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10620" yWindow="45" windowWidth="10665" windowHeight="7500" tabRatio="919" activeTab="8"/>
  </bookViews>
  <sheets>
    <sheet name="STORAGE" sheetId="38" r:id="rId1"/>
    <sheet name="Partner Storage" sheetId="47" r:id="rId2"/>
    <sheet name="1135 Storage" sheetId="48" r:id="rId3"/>
    <sheet name="Summary" sheetId="45" r:id="rId4"/>
    <sheet name="Tacoma-Report Page" sheetId="34" r:id="rId5"/>
    <sheet name="RWS-Report Page " sheetId="35" r:id="rId6"/>
    <sheet name="Annual Consumption Report" sheetId="44" r:id="rId7"/>
    <sheet name="Sheet1" sheetId="32" r:id="rId8"/>
    <sheet name="Monthly Consumption Report" sheetId="22" r:id="rId9"/>
    <sheet name="Calculation" sheetId="43" r:id="rId10"/>
    <sheet name="Calculations II" sheetId="24" r:id="rId11"/>
    <sheet name="HH Capacity Table" sheetId="29" r:id="rId12"/>
    <sheet name="Accounting-Delivery" sheetId="30" r:id="rId13"/>
    <sheet name="Diversion Rights" sheetId="16" r:id="rId14"/>
    <sheet name="Lookup" sheetId="23" r:id="rId15"/>
    <sheet name="Conversions" sheetId="42" r:id="rId16"/>
    <sheet name="System Flows" sheetId="49" r:id="rId17"/>
    <sheet name="Sheet2" sheetId="50" r:id="rId18"/>
  </sheets>
  <externalReferences>
    <externalReference r:id="rId19"/>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6">'Annual Consumption Report'!$A$2:$V$35</definedName>
    <definedName name="_xlnm.Print_Area" localSheetId="8">'Monthly Consumption Report'!$A$2:$R$54</definedName>
    <definedName name="_xlnm.Print_Area" localSheetId="5">'RWS-Report Page '!$B$1:$L$109</definedName>
    <definedName name="_xlnm.Print_Area" localSheetId="7">Sheet1!$B$1:$CA$7</definedName>
    <definedName name="_xlnm.Print_Area" localSheetId="4">'Tacoma-Report Page'!$A$1:$K$74</definedName>
    <definedName name="_xlnm.Print_Titles" localSheetId="12">'Accounting-Delivery'!$1:$7</definedName>
    <definedName name="_xlnm.Print_Titles" localSheetId="5">'RWS-Report Page '!$1:$4</definedName>
    <definedName name="_xlnm.Print_Titles" localSheetId="3">Summary!$1:$3</definedName>
    <definedName name="_xlnm.Print_Titles" localSheetId="4">'Tacoma-Report Page'!$1:$7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neg" localSheetId="3" hidden="1">2</definedName>
    <definedName name="solver_num" localSheetId="3" hidden="1">0</definedName>
    <definedName name="solver_nwt" localSheetId="3" hidden="1">1</definedName>
    <definedName name="solver_opt" localSheetId="3" hidden="1">Summary!#REF!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1</definedName>
    <definedName name="solver_val" localSheetId="3" hidden="1">0</definedName>
    <definedName name="Z">#REF!</definedName>
    <definedName name="Z_BB2BAFA4_4BB9_41E9_9F62_A062B88CB317_.wvu.Cols" localSheetId="3" hidden="1">Summary!$P:$P,Summary!$R:$S,Summary!$AB:$AB,Summary!$AE:$AE,Summary!#REF!</definedName>
    <definedName name="Z_BB2BAFA4_4BB9_41E9_9F62_A062B88CB317_.wvu.PrintTitles" localSheetId="3" hidden="1">Summary!$1:$3</definedName>
    <definedName name="Z_BB2BAFA4_4BB9_41E9_9F62_A062B88CB317_.wvu.Rows" localSheetId="3" hidden="1">Summary!$4:$4</definedName>
  </definedNames>
  <calcPr calcId="125725"/>
</workbook>
</file>

<file path=xl/calcChain.xml><?xml version="1.0" encoding="utf-8"?>
<calcChain xmlns="http://schemas.openxmlformats.org/spreadsheetml/2006/main">
  <c r="AC376" i="32"/>
  <c r="AD376" s="1"/>
  <c r="AC377"/>
  <c r="AD377"/>
  <c r="AC378"/>
  <c r="AD378" s="1"/>
  <c r="AC379"/>
  <c r="AD379"/>
  <c r="AC380"/>
  <c r="AD380"/>
  <c r="AC381"/>
  <c r="AD381"/>
  <c r="AC382"/>
  <c r="AD382"/>
  <c r="AC373" l="1"/>
  <c r="AD373" s="1"/>
  <c r="AC374"/>
  <c r="AD374" s="1"/>
  <c r="AC375"/>
  <c r="AD375"/>
  <c r="AC371" l="1"/>
  <c r="AD371" s="1"/>
  <c r="AC372"/>
  <c r="AD372" s="1"/>
  <c r="AC369" l="1"/>
  <c r="AD369" s="1"/>
  <c r="AC370"/>
  <c r="AD370" s="1"/>
  <c r="EG373" l="1"/>
  <c r="EG374"/>
  <c r="EG375"/>
  <c r="EG376"/>
  <c r="EG377"/>
  <c r="EG378"/>
  <c r="EG379"/>
  <c r="AC366" l="1"/>
  <c r="AD366" s="1"/>
  <c r="AC367"/>
  <c r="AD367" s="1"/>
  <c r="AC368"/>
  <c r="AD368" s="1"/>
  <c r="AC364" l="1"/>
  <c r="AD364" s="1"/>
  <c r="AC365"/>
  <c r="AD365" s="1"/>
  <c r="EG366" l="1"/>
  <c r="EG367"/>
  <c r="EG368"/>
  <c r="EG369"/>
  <c r="EG370"/>
  <c r="EG371"/>
  <c r="EG372"/>
  <c r="AC362" l="1"/>
  <c r="AD362" s="1"/>
  <c r="AC363"/>
  <c r="AD363" s="1"/>
  <c r="AC359" l="1"/>
  <c r="AD359" s="1"/>
  <c r="AC360"/>
  <c r="AD360" s="1"/>
  <c r="AC361"/>
  <c r="AD361" s="1"/>
  <c r="AC358" l="1"/>
  <c r="AD358" s="1"/>
  <c r="EG359"/>
  <c r="EG360"/>
  <c r="EG361"/>
  <c r="EG362"/>
  <c r="EG363"/>
  <c r="EG364"/>
  <c r="EG365"/>
  <c r="AC356" l="1"/>
  <c r="AD356" s="1"/>
  <c r="AC357"/>
  <c r="AD357" s="1"/>
  <c r="AC352" l="1"/>
  <c r="AD352" s="1"/>
  <c r="AC353"/>
  <c r="AD353" s="1"/>
  <c r="AC354"/>
  <c r="AD354" s="1"/>
  <c r="AC355"/>
  <c r="AD355" s="1"/>
  <c r="EG352" l="1"/>
  <c r="EG353"/>
  <c r="EG354"/>
  <c r="EG355"/>
  <c r="EG356"/>
  <c r="EG357"/>
  <c r="EG358"/>
  <c r="AC351"/>
  <c r="AD351" s="1"/>
  <c r="AC350" l="1"/>
  <c r="AD350" s="1"/>
  <c r="AC349" l="1"/>
  <c r="AD349" s="1"/>
  <c r="AC348" l="1"/>
  <c r="AD348" s="1"/>
  <c r="AC343" l="1"/>
  <c r="AD343" s="1"/>
  <c r="AC344"/>
  <c r="AD344" s="1"/>
  <c r="AC345"/>
  <c r="AD345" s="1"/>
  <c r="AC346"/>
  <c r="AD346" s="1"/>
  <c r="AC347"/>
  <c r="AD347" s="1"/>
  <c r="EG345"/>
  <c r="EG346"/>
  <c r="EG347"/>
  <c r="EG348"/>
  <c r="EG349"/>
  <c r="EG350"/>
  <c r="EG351"/>
  <c r="AC341" l="1"/>
  <c r="AD341" s="1"/>
  <c r="AC342"/>
  <c r="AD342" s="1"/>
  <c r="AC338" l="1"/>
  <c r="AD338" s="1"/>
  <c r="AC339"/>
  <c r="AD339" s="1"/>
  <c r="AC340"/>
  <c r="AD340" s="1"/>
  <c r="AC337" l="1"/>
  <c r="AD337" s="1"/>
  <c r="EG331"/>
  <c r="EG332"/>
  <c r="EG333"/>
  <c r="EG334"/>
  <c r="EG335"/>
  <c r="EG336"/>
  <c r="EG337"/>
  <c r="EG338"/>
  <c r="EG339"/>
  <c r="EG340"/>
  <c r="EG341"/>
  <c r="EG342"/>
  <c r="EG343"/>
  <c r="EG344"/>
  <c r="AC334"/>
  <c r="AD334" s="1"/>
  <c r="AC335"/>
  <c r="AD335" s="1"/>
  <c r="AC336"/>
  <c r="AD336" s="1"/>
  <c r="AC331" l="1"/>
  <c r="AD331" s="1"/>
  <c r="AC332"/>
  <c r="AD332" s="1"/>
  <c r="AC333"/>
  <c r="AD333" s="1"/>
  <c r="AC330" l="1"/>
  <c r="AD330" s="1"/>
  <c r="AC329" l="1"/>
  <c r="AD329" s="1"/>
  <c r="AC327" l="1"/>
  <c r="AD327" s="1"/>
  <c r="AC328"/>
  <c r="AD328" s="1"/>
  <c r="AC324" l="1"/>
  <c r="AD324" s="1"/>
  <c r="AC325"/>
  <c r="AD325" s="1"/>
  <c r="AC326"/>
  <c r="AD326" s="1"/>
  <c r="AC323" l="1"/>
  <c r="AD323" s="1"/>
  <c r="AC322" l="1"/>
  <c r="AD322" s="1"/>
  <c r="EG324"/>
  <c r="EG325"/>
  <c r="EG326"/>
  <c r="EG327"/>
  <c r="EG328"/>
  <c r="EG329"/>
  <c r="EG330"/>
  <c r="AC321" l="1"/>
  <c r="AD321" s="1"/>
  <c r="AC320" l="1"/>
  <c r="AD320" s="1"/>
  <c r="AC317" l="1"/>
  <c r="AD317" s="1"/>
  <c r="AC318"/>
  <c r="AD318" s="1"/>
  <c r="AC319"/>
  <c r="AD319" s="1"/>
  <c r="AC316" l="1"/>
  <c r="AD316" s="1"/>
  <c r="EG317"/>
  <c r="EG318"/>
  <c r="EG319"/>
  <c r="EG320"/>
  <c r="EG321"/>
  <c r="EG322"/>
  <c r="EG323"/>
  <c r="AC313" l="1"/>
  <c r="AD313" s="1"/>
  <c r="AC314"/>
  <c r="AD314" s="1"/>
  <c r="AC315"/>
  <c r="AD315" s="1"/>
  <c r="AC310"/>
  <c r="AD310" s="1"/>
  <c r="AC311"/>
  <c r="AD311" s="1"/>
  <c r="AC312"/>
  <c r="AD312" s="1"/>
  <c r="EG310" l="1"/>
  <c r="EG311"/>
  <c r="EG312"/>
  <c r="EG313"/>
  <c r="EG314"/>
  <c r="EG315"/>
  <c r="EG316"/>
  <c r="AC307"/>
  <c r="AD307" s="1"/>
  <c r="AC308"/>
  <c r="AD308" s="1"/>
  <c r="AC309"/>
  <c r="AD309" s="1"/>
  <c r="AC306" l="1"/>
  <c r="AD306" s="1"/>
  <c r="AC302" l="1"/>
  <c r="AD302" s="1"/>
  <c r="AC303"/>
  <c r="AD303" s="1"/>
  <c r="AC304"/>
  <c r="AD304" s="1"/>
  <c r="AC305"/>
  <c r="AD305" s="1"/>
  <c r="EG303" l="1"/>
  <c r="EG304"/>
  <c r="EG305"/>
  <c r="EG306"/>
  <c r="EG307"/>
  <c r="EG308"/>
  <c r="EG309"/>
  <c r="AC301"/>
  <c r="AD301" s="1"/>
  <c r="AC299"/>
  <c r="AD299" s="1"/>
  <c r="AC300"/>
  <c r="AD300" s="1"/>
  <c r="AC296" l="1"/>
  <c r="AD296" s="1"/>
  <c r="AC297"/>
  <c r="AD297" s="1"/>
  <c r="AC298"/>
  <c r="AD298" s="1"/>
  <c r="AC295"/>
  <c r="AD295" s="1"/>
  <c r="EG296" l="1"/>
  <c r="EG297"/>
  <c r="EG298"/>
  <c r="EG299"/>
  <c r="EG300"/>
  <c r="EG301"/>
  <c r="EG302"/>
  <c r="AC294"/>
  <c r="AD294" s="1"/>
  <c r="AC293" l="1"/>
  <c r="AD293" s="1"/>
  <c r="FW282" i="43" l="1"/>
  <c r="FW283"/>
  <c r="FW284"/>
  <c r="FW285"/>
  <c r="FW286"/>
  <c r="FW287"/>
  <c r="FW288"/>
  <c r="FW289"/>
  <c r="FW290"/>
  <c r="FW291"/>
  <c r="FW292"/>
  <c r="FW293"/>
  <c r="FW294"/>
  <c r="FW295"/>
  <c r="FW296"/>
  <c r="FW297"/>
  <c r="FW298"/>
  <c r="FW299"/>
  <c r="FW300"/>
  <c r="FW301"/>
  <c r="FW302"/>
  <c r="FW303"/>
  <c r="FW304"/>
  <c r="FW305"/>
  <c r="FW306"/>
  <c r="FW307"/>
  <c r="FW308"/>
  <c r="FW309"/>
  <c r="FW310"/>
  <c r="FW311"/>
  <c r="FW312"/>
  <c r="FW313"/>
  <c r="FW314"/>
  <c r="FW315"/>
  <c r="FW316"/>
  <c r="FW317"/>
  <c r="FW318"/>
  <c r="FW319"/>
  <c r="FW320"/>
  <c r="FW321"/>
  <c r="FW322"/>
  <c r="FW323"/>
  <c r="FW324"/>
  <c r="FW325"/>
  <c r="FW326"/>
  <c r="FW327"/>
  <c r="FW328"/>
  <c r="FW329"/>
  <c r="FW330"/>
  <c r="FW331"/>
  <c r="FW332"/>
  <c r="FW333"/>
  <c r="FW334"/>
  <c r="FW335"/>
  <c r="FW336"/>
  <c r="FW337"/>
  <c r="FW338"/>
  <c r="FW339"/>
  <c r="FW340"/>
  <c r="FW341"/>
  <c r="FW342"/>
  <c r="FW343"/>
  <c r="FW344"/>
  <c r="FW345"/>
  <c r="FW346"/>
  <c r="FW347"/>
  <c r="FW348"/>
  <c r="FW349"/>
  <c r="FW350"/>
  <c r="FW351"/>
  <c r="FW352"/>
  <c r="FW353"/>
  <c r="FW354"/>
  <c r="FW355"/>
  <c r="FW356"/>
  <c r="FW357"/>
  <c r="FW358"/>
  <c r="FW359"/>
  <c r="FW360"/>
  <c r="FW361"/>
  <c r="FW362"/>
  <c r="FW363"/>
  <c r="FW364"/>
  <c r="FW365"/>
  <c r="FW366"/>
  <c r="FW367"/>
  <c r="FW368"/>
  <c r="FW369"/>
  <c r="FW370"/>
  <c r="FW371"/>
  <c r="FW372"/>
  <c r="FW373"/>
  <c r="FW374"/>
  <c r="FW375"/>
  <c r="FW376"/>
  <c r="FW377"/>
  <c r="FW378"/>
  <c r="FW379"/>
  <c r="FW380"/>
  <c r="FW381"/>
  <c r="FV282"/>
  <c r="FV283"/>
  <c r="FV284"/>
  <c r="FV285"/>
  <c r="FV286"/>
  <c r="FV287"/>
  <c r="FV288"/>
  <c r="FV289"/>
  <c r="FV290"/>
  <c r="FV291"/>
  <c r="FV292"/>
  <c r="FV293"/>
  <c r="FV294"/>
  <c r="FV295"/>
  <c r="FV296"/>
  <c r="FV297"/>
  <c r="FV298"/>
  <c r="FV299"/>
  <c r="FV300"/>
  <c r="FV301"/>
  <c r="FV302"/>
  <c r="FV303"/>
  <c r="FV304"/>
  <c r="FV305"/>
  <c r="FV306"/>
  <c r="FV307"/>
  <c r="FV308"/>
  <c r="FV309"/>
  <c r="FV310"/>
  <c r="FV311"/>
  <c r="FV312"/>
  <c r="FV313"/>
  <c r="FV314"/>
  <c r="FV315"/>
  <c r="FV316"/>
  <c r="FV317"/>
  <c r="FV318"/>
  <c r="FV319"/>
  <c r="FV320"/>
  <c r="FV321"/>
  <c r="FV322"/>
  <c r="FV323"/>
  <c r="FV324"/>
  <c r="FV325"/>
  <c r="FV326"/>
  <c r="FV327"/>
  <c r="FV328"/>
  <c r="FV329"/>
  <c r="FV330"/>
  <c r="FV331"/>
  <c r="FV332"/>
  <c r="FV333"/>
  <c r="FV334"/>
  <c r="FV335"/>
  <c r="FV336"/>
  <c r="FV337"/>
  <c r="FV338"/>
  <c r="FV339"/>
  <c r="FV340"/>
  <c r="FV341"/>
  <c r="FV342"/>
  <c r="FV343"/>
  <c r="FV344"/>
  <c r="FV345"/>
  <c r="FV346"/>
  <c r="FV347"/>
  <c r="FV348"/>
  <c r="FV349"/>
  <c r="FV350"/>
  <c r="FV351"/>
  <c r="FV352"/>
  <c r="FV353"/>
  <c r="FV354"/>
  <c r="FV355"/>
  <c r="FV356"/>
  <c r="FV357"/>
  <c r="FV358"/>
  <c r="FV359"/>
  <c r="FV360"/>
  <c r="FV361"/>
  <c r="FV362"/>
  <c r="FV363"/>
  <c r="FV364"/>
  <c r="FV365"/>
  <c r="FV366"/>
  <c r="FV367"/>
  <c r="FV368"/>
  <c r="FV369"/>
  <c r="FV370"/>
  <c r="FV371"/>
  <c r="FV372"/>
  <c r="FV373"/>
  <c r="FV374"/>
  <c r="FV375"/>
  <c r="FV376"/>
  <c r="FV377"/>
  <c r="FV378"/>
  <c r="FV379"/>
  <c r="FV380"/>
  <c r="FV381"/>
  <c r="AC292" i="32"/>
  <c r="AD292" s="1"/>
  <c r="AC289" l="1"/>
  <c r="AD289" s="1"/>
  <c r="AC290"/>
  <c r="AD290" s="1"/>
  <c r="AC291"/>
  <c r="AD291" s="1"/>
  <c r="AC287" l="1"/>
  <c r="AD287" s="1"/>
  <c r="AC288"/>
  <c r="AD288" s="1"/>
  <c r="EG289" l="1"/>
  <c r="EG290"/>
  <c r="EG291"/>
  <c r="EG292"/>
  <c r="EG293"/>
  <c r="EG294"/>
  <c r="EG295"/>
  <c r="AC286" l="1"/>
  <c r="AD286" s="1"/>
  <c r="AC285" l="1"/>
  <c r="AD285" s="1"/>
  <c r="AC282" l="1"/>
  <c r="AD282" s="1"/>
  <c r="AC283"/>
  <c r="AD283" s="1"/>
  <c r="AC284"/>
  <c r="AD284" s="1"/>
  <c r="AC281" l="1"/>
  <c r="AD281" s="1"/>
  <c r="EG282" l="1"/>
  <c r="EG283"/>
  <c r="EG284"/>
  <c r="EG285"/>
  <c r="EG286"/>
  <c r="EG287"/>
  <c r="EG288"/>
  <c r="AC280"/>
  <c r="AD280" s="1"/>
  <c r="AC279" l="1"/>
  <c r="AD279" s="1"/>
  <c r="AC278" l="1"/>
  <c r="AD278" s="1"/>
  <c r="AC274" l="1"/>
  <c r="AD274" s="1"/>
  <c r="AC275"/>
  <c r="AD275" s="1"/>
  <c r="AC276"/>
  <c r="AD276" s="1"/>
  <c r="AC277"/>
  <c r="AD277" s="1"/>
  <c r="EG281" l="1"/>
  <c r="EG280"/>
  <c r="EG279"/>
  <c r="EG278"/>
  <c r="EG277"/>
  <c r="EG276"/>
  <c r="EG275"/>
  <c r="I261" i="45"/>
  <c r="AC273" i="32"/>
  <c r="AD273" s="1"/>
  <c r="AC272"/>
  <c r="AD272" s="1"/>
  <c r="AC271"/>
  <c r="AD271" s="1"/>
  <c r="AC268"/>
  <c r="AD268" s="1"/>
  <c r="AC269"/>
  <c r="AD269" s="1"/>
  <c r="AC270"/>
  <c r="AD270" s="1"/>
  <c r="EG268"/>
  <c r="EG269"/>
  <c r="EG270"/>
  <c r="EG271"/>
  <c r="EG272"/>
  <c r="EG273"/>
  <c r="EG274"/>
  <c r="AC267"/>
  <c r="AD267" s="1"/>
  <c r="AC266" l="1"/>
  <c r="AD266" s="1"/>
  <c r="AC265" l="1"/>
  <c r="AD265" s="1"/>
  <c r="AC264" l="1"/>
  <c r="AD264" s="1"/>
  <c r="AC261" l="1"/>
  <c r="AD261" s="1"/>
  <c r="AC262"/>
  <c r="AD262" s="1"/>
  <c r="AC263"/>
  <c r="AD263" s="1"/>
  <c r="AC260" l="1"/>
  <c r="AD260" s="1"/>
  <c r="EG262"/>
  <c r="EG263"/>
  <c r="EG264"/>
  <c r="EG265"/>
  <c r="EG266"/>
  <c r="EG267"/>
  <c r="EG261"/>
  <c r="O253" i="45" l="1"/>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AC259" i="32"/>
  <c r="AD259" s="1"/>
  <c r="N381" i="43" l="1"/>
  <c r="DP255"/>
  <c r="DP256"/>
  <c r="DP257"/>
  <c r="DP258"/>
  <c r="DP259"/>
  <c r="DP260"/>
  <c r="DP261"/>
  <c r="DP262"/>
  <c r="DP263"/>
  <c r="DP264"/>
  <c r="DP265"/>
  <c r="DP266"/>
  <c r="DP267"/>
  <c r="DP268"/>
  <c r="DP269"/>
  <c r="DP270"/>
  <c r="DP271"/>
  <c r="DP272"/>
  <c r="DP273"/>
  <c r="DP274"/>
  <c r="DP275"/>
  <c r="DP276"/>
  <c r="DP277"/>
  <c r="DP278"/>
  <c r="DP279"/>
  <c r="DP280"/>
  <c r="DP281"/>
  <c r="DP282"/>
  <c r="DP283"/>
  <c r="DP284"/>
  <c r="DP285"/>
  <c r="DP286"/>
  <c r="DP287"/>
  <c r="DP288"/>
  <c r="DP289"/>
  <c r="DP290"/>
  <c r="DP291"/>
  <c r="DP292"/>
  <c r="DP293"/>
  <c r="DP294"/>
  <c r="DP295"/>
  <c r="DP296"/>
  <c r="DP297"/>
  <c r="DP298"/>
  <c r="DP299"/>
  <c r="DP300"/>
  <c r="DP301"/>
  <c r="DP302"/>
  <c r="DP303"/>
  <c r="DP304"/>
  <c r="DP305"/>
  <c r="DP306"/>
  <c r="DP307"/>
  <c r="DP308"/>
  <c r="DP309"/>
  <c r="DP310"/>
  <c r="DP311"/>
  <c r="DP312"/>
  <c r="DP313"/>
  <c r="DP314"/>
  <c r="DP315"/>
  <c r="DP316"/>
  <c r="DP317"/>
  <c r="DP318"/>
  <c r="DP319"/>
  <c r="DP320"/>
  <c r="DP321"/>
  <c r="DP322"/>
  <c r="DP323"/>
  <c r="DP324"/>
  <c r="DP325"/>
  <c r="DP326"/>
  <c r="DP327"/>
  <c r="DP328"/>
  <c r="DP329"/>
  <c r="DP330"/>
  <c r="DP331"/>
  <c r="DP332"/>
  <c r="DP333"/>
  <c r="DP334"/>
  <c r="DP335"/>
  <c r="DP336"/>
  <c r="DP337"/>
  <c r="DP338"/>
  <c r="DP339"/>
  <c r="DP340"/>
  <c r="DP341"/>
  <c r="DP342"/>
  <c r="DP343"/>
  <c r="DP344"/>
  <c r="DP345"/>
  <c r="DP346"/>
  <c r="DP347"/>
  <c r="DP348"/>
  <c r="DP349"/>
  <c r="DP350"/>
  <c r="DP351"/>
  <c r="DP352"/>
  <c r="DP353"/>
  <c r="DP354"/>
  <c r="DP355"/>
  <c r="DP356"/>
  <c r="DP357"/>
  <c r="DP358"/>
  <c r="DP359"/>
  <c r="DP360"/>
  <c r="DP361"/>
  <c r="DP362"/>
  <c r="DP363"/>
  <c r="DP364"/>
  <c r="DP365"/>
  <c r="DP366"/>
  <c r="DP367"/>
  <c r="DP368"/>
  <c r="DP369"/>
  <c r="DP370"/>
  <c r="DP371"/>
  <c r="DP372"/>
  <c r="DP373"/>
  <c r="DP374"/>
  <c r="DP375"/>
  <c r="DP376"/>
  <c r="DP377"/>
  <c r="DP378"/>
  <c r="DP379"/>
  <c r="DP380"/>
  <c r="DP381"/>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M378" l="1"/>
  <c r="AM374"/>
  <c r="AM370"/>
  <c r="AM366"/>
  <c r="AM362"/>
  <c r="AM358"/>
  <c r="AM354"/>
  <c r="AM350"/>
  <c r="AM346"/>
  <c r="AM342"/>
  <c r="AM338"/>
  <c r="AM334"/>
  <c r="AM330"/>
  <c r="AM326"/>
  <c r="AM322"/>
  <c r="AM318"/>
  <c r="AM314"/>
  <c r="AM310"/>
  <c r="AM306"/>
  <c r="AM302"/>
  <c r="AM298"/>
  <c r="AM294"/>
  <c r="AM290"/>
  <c r="AM286"/>
  <c r="AM282"/>
  <c r="AM278"/>
  <c r="AM274"/>
  <c r="AM270"/>
  <c r="AM266"/>
  <c r="AM262"/>
  <c r="AM381"/>
  <c r="AM377"/>
  <c r="AM373"/>
  <c r="AM369"/>
  <c r="AM365"/>
  <c r="AM361"/>
  <c r="AM357"/>
  <c r="AM353"/>
  <c r="AM349"/>
  <c r="AM345"/>
  <c r="AM341"/>
  <c r="AM337"/>
  <c r="AM333"/>
  <c r="AM329"/>
  <c r="AM325"/>
  <c r="AM321"/>
  <c r="AM317"/>
  <c r="AM313"/>
  <c r="AM309"/>
  <c r="AM305"/>
  <c r="AM301"/>
  <c r="AM297"/>
  <c r="AM293"/>
  <c r="AM289"/>
  <c r="AM285"/>
  <c r="AM281"/>
  <c r="AM277"/>
  <c r="AM273"/>
  <c r="AM269"/>
  <c r="AM265"/>
  <c r="AM261"/>
  <c r="AM257"/>
  <c r="AM380"/>
  <c r="AM376"/>
  <c r="AM372"/>
  <c r="AM368"/>
  <c r="AM364"/>
  <c r="AM360"/>
  <c r="AM356"/>
  <c r="AM352"/>
  <c r="AM348"/>
  <c r="AM344"/>
  <c r="AM340"/>
  <c r="AM336"/>
  <c r="AM332"/>
  <c r="AM328"/>
  <c r="AM324"/>
  <c r="AM320"/>
  <c r="AM316"/>
  <c r="AM312"/>
  <c r="AM308"/>
  <c r="AM304"/>
  <c r="AM300"/>
  <c r="AM296"/>
  <c r="AM292"/>
  <c r="AM288"/>
  <c r="AM284"/>
  <c r="AM280"/>
  <c r="AM276"/>
  <c r="AM272"/>
  <c r="AM268"/>
  <c r="AM264"/>
  <c r="AM260"/>
  <c r="AM379"/>
  <c r="AM375"/>
  <c r="AM371"/>
  <c r="AM367"/>
  <c r="AM363"/>
  <c r="AM359"/>
  <c r="AM355"/>
  <c r="AM351"/>
  <c r="AM347"/>
  <c r="AM343"/>
  <c r="AM339"/>
  <c r="AM335"/>
  <c r="AM331"/>
  <c r="AM327"/>
  <c r="AM323"/>
  <c r="AM319"/>
  <c r="AM315"/>
  <c r="AM311"/>
  <c r="AM307"/>
  <c r="AM303"/>
  <c r="AM299"/>
  <c r="AM295"/>
  <c r="AM291"/>
  <c r="AM287"/>
  <c r="AM283"/>
  <c r="AM279"/>
  <c r="AM258"/>
  <c r="AM275"/>
  <c r="AM271"/>
  <c r="AM267"/>
  <c r="AM263"/>
  <c r="AM259"/>
  <c r="AC258" i="32"/>
  <c r="AD258" s="1"/>
  <c r="AL254" i="43" l="1"/>
  <c r="AL255"/>
  <c r="AM256" s="1"/>
  <c r="AC254" i="32"/>
  <c r="AD254" s="1"/>
  <c r="AC255"/>
  <c r="AD255" s="1"/>
  <c r="AC256"/>
  <c r="AD256" s="1"/>
  <c r="AC257"/>
  <c r="AD257" s="1"/>
  <c r="EG254" l="1"/>
  <c r="EG255"/>
  <c r="EG256"/>
  <c r="EG257"/>
  <c r="EG258"/>
  <c r="EG259"/>
  <c r="EG260"/>
  <c r="AC253"/>
  <c r="AD253" s="1"/>
  <c r="AC252" l="1"/>
  <c r="AD252" s="1"/>
  <c r="AC251" l="1"/>
  <c r="AD251" s="1"/>
  <c r="AC250" l="1"/>
  <c r="AD250" s="1"/>
  <c r="AC247" l="1"/>
  <c r="AD247" s="1"/>
  <c r="AC248"/>
  <c r="AD248" s="1"/>
  <c r="AC249"/>
  <c r="AD249" s="1"/>
  <c r="AC246" l="1"/>
  <c r="AD246" s="1"/>
  <c r="EG247"/>
  <c r="EG248"/>
  <c r="EG249"/>
  <c r="EG250"/>
  <c r="EG251"/>
  <c r="EG252"/>
  <c r="EG253"/>
  <c r="AC244"/>
  <c r="AD244" s="1"/>
  <c r="AC245"/>
  <c r="AD245" s="1"/>
  <c r="AC243"/>
  <c r="AD243" s="1"/>
  <c r="EG246"/>
  <c r="AC240"/>
  <c r="AD240" s="1"/>
  <c r="AC241"/>
  <c r="AD241" s="1"/>
  <c r="AC242"/>
  <c r="AD242" s="1"/>
  <c r="G2" i="35"/>
  <c r="AC239" i="32"/>
  <c r="AD239" s="1"/>
  <c r="EG245" l="1"/>
  <c r="EG244"/>
  <c r="EG243"/>
  <c r="EG242"/>
  <c r="EG241"/>
  <c r="EG240"/>
  <c r="AC238"/>
  <c r="AD238" s="1"/>
  <c r="AC236" l="1"/>
  <c r="AD236" s="1"/>
  <c r="AC237"/>
  <c r="AD237" s="1"/>
  <c r="EG9" l="1"/>
  <c r="EG10"/>
  <c r="EG11"/>
  <c r="EG12"/>
  <c r="EG13"/>
  <c r="EG184"/>
  <c r="EG185"/>
  <c r="EG186"/>
  <c r="EG187"/>
  <c r="EG188"/>
  <c r="EG189"/>
  <c r="EG190"/>
  <c r="EG191"/>
  <c r="EG192"/>
  <c r="EG193"/>
  <c r="EG194"/>
  <c r="EG195"/>
  <c r="EG196"/>
  <c r="EG197"/>
  <c r="EG198"/>
  <c r="EG199"/>
  <c r="EG200"/>
  <c r="EG201"/>
  <c r="EG202"/>
  <c r="EG203"/>
  <c r="EG204"/>
  <c r="EG205"/>
  <c r="EG206"/>
  <c r="EG207"/>
  <c r="EG208"/>
  <c r="EG209"/>
  <c r="EG210"/>
  <c r="EG211"/>
  <c r="EG212"/>
  <c r="EG213"/>
  <c r="EG214"/>
  <c r="EG215"/>
  <c r="EG216"/>
  <c r="EG217"/>
  <c r="EG218"/>
  <c r="EG219"/>
  <c r="EG220"/>
  <c r="EG221"/>
  <c r="EG222"/>
  <c r="EG223"/>
  <c r="EG224"/>
  <c r="EG225"/>
  <c r="EG226"/>
  <c r="EG227"/>
  <c r="EG228"/>
  <c r="EG229"/>
  <c r="EG230"/>
  <c r="EG231"/>
  <c r="EG232"/>
  <c r="EG233"/>
  <c r="EG234"/>
  <c r="EG235"/>
  <c r="EG236"/>
  <c r="EG237"/>
  <c r="EG238"/>
  <c r="EG239"/>
  <c r="EG8"/>
  <c r="AC233" l="1"/>
  <c r="AD233" s="1"/>
  <c r="AC234"/>
  <c r="AD234" s="1"/>
  <c r="AC235"/>
  <c r="AD235" s="1"/>
  <c r="AC232" l="1"/>
  <c r="AD232" s="1"/>
  <c r="AC231" l="1"/>
  <c r="AD231" s="1"/>
  <c r="AC229" l="1"/>
  <c r="AD229" s="1"/>
  <c r="AC230"/>
  <c r="AD230" s="1"/>
  <c r="AC226" l="1"/>
  <c r="AD226" s="1"/>
  <c r="AC227"/>
  <c r="AD227" s="1"/>
  <c r="AC228"/>
  <c r="AD228" s="1"/>
  <c r="AC225" l="1"/>
  <c r="AD225" s="1"/>
  <c r="AC223" l="1"/>
  <c r="AD223" s="1"/>
  <c r="AC224"/>
  <c r="AD224" s="1"/>
  <c r="AC222" l="1"/>
  <c r="AD222" s="1"/>
  <c r="F3" i="34" l="1"/>
  <c r="AC219" i="32"/>
  <c r="AD219" s="1"/>
  <c r="AC220"/>
  <c r="AD220" s="1"/>
  <c r="AC221"/>
  <c r="AD221" s="1"/>
  <c r="AC218" l="1"/>
  <c r="AD218" s="1"/>
  <c r="AC217"/>
  <c r="AD217" s="1"/>
  <c r="AC216"/>
  <c r="AD216" s="1"/>
  <c r="AC215"/>
  <c r="AD215" s="1"/>
  <c r="V208" i="45"/>
  <c r="V209"/>
  <c r="V210"/>
  <c r="V211"/>
  <c r="V212"/>
  <c r="V213"/>
  <c r="V214"/>
  <c r="V215"/>
  <c r="AC212" i="32"/>
  <c r="AD212" s="1"/>
  <c r="AC213"/>
  <c r="AD213" s="1"/>
  <c r="AC214"/>
  <c r="AD214" s="1"/>
  <c r="AC211"/>
  <c r="AD211" s="1"/>
  <c r="AC210" l="1"/>
  <c r="AD210" s="1"/>
  <c r="AC209" l="1"/>
  <c r="AD209" s="1"/>
  <c r="AC208" l="1"/>
  <c r="AD208" s="1"/>
  <c r="AC205" l="1"/>
  <c r="AD205" s="1"/>
  <c r="AC206"/>
  <c r="AD206" s="1"/>
  <c r="AC207"/>
  <c r="AD207" s="1"/>
  <c r="AC204" l="1"/>
  <c r="AD204" s="1"/>
  <c r="AC203" l="1"/>
  <c r="AD203" s="1"/>
  <c r="AC202" l="1"/>
  <c r="AD202" s="1"/>
  <c r="AC201" l="1"/>
  <c r="AD201" s="1"/>
  <c r="AC197" l="1"/>
  <c r="AD197" s="1"/>
  <c r="AC198"/>
  <c r="AD198" s="1"/>
  <c r="AC199"/>
  <c r="AD199" s="1"/>
  <c r="AC200"/>
  <c r="AD200" s="1"/>
  <c r="AC196" l="1"/>
  <c r="AD196" s="1"/>
  <c r="AC195" l="1"/>
  <c r="AD195" s="1"/>
  <c r="AC194"/>
  <c r="AD194" s="1"/>
  <c r="AC191"/>
  <c r="AD191" s="1"/>
  <c r="AC192"/>
  <c r="AD192" s="1"/>
  <c r="AC193"/>
  <c r="AD193" s="1"/>
  <c r="AC190"/>
  <c r="AD190" s="1"/>
  <c r="AC189"/>
  <c r="AD189" s="1"/>
  <c r="AC187"/>
  <c r="AD187" s="1"/>
  <c r="AC188"/>
  <c r="AD188" s="1"/>
  <c r="AC183"/>
  <c r="AD183" s="1"/>
  <c r="AC184"/>
  <c r="AD184" s="1"/>
  <c r="AC185"/>
  <c r="AD185" s="1"/>
  <c r="AC186"/>
  <c r="AD186" s="1"/>
  <c r="EJ178"/>
  <c r="EK178"/>
  <c r="EJ179"/>
  <c r="EK179"/>
  <c r="EJ180"/>
  <c r="EK180"/>
  <c r="EJ181"/>
  <c r="EK181"/>
  <c r="EJ182"/>
  <c r="EK182"/>
  <c r="EJ183"/>
  <c r="EK183"/>
  <c r="AC181"/>
  <c r="AD181" s="1"/>
  <c r="AC182"/>
  <c r="AD182" s="1"/>
  <c r="EG180" l="1"/>
  <c r="EG182"/>
  <c r="EG178"/>
  <c r="EG183"/>
  <c r="EG181"/>
  <c r="EG179"/>
  <c r="EK169"/>
  <c r="EK170"/>
  <c r="EK171"/>
  <c r="EK172"/>
  <c r="EK173"/>
  <c r="EK174"/>
  <c r="EK175"/>
  <c r="EK176"/>
  <c r="EK177"/>
  <c r="EJ169"/>
  <c r="EJ170"/>
  <c r="EJ171"/>
  <c r="EJ172"/>
  <c r="EJ173"/>
  <c r="EJ174"/>
  <c r="EJ175"/>
  <c r="EJ176"/>
  <c r="EJ177"/>
  <c r="AC180"/>
  <c r="AD180" s="1"/>
  <c r="EG176" l="1"/>
  <c r="EG172"/>
  <c r="EG177"/>
  <c r="EG173"/>
  <c r="EG169"/>
  <c r="EG175"/>
  <c r="EG171"/>
  <c r="EG174"/>
  <c r="EG170"/>
  <c r="AC175"/>
  <c r="AD175" s="1"/>
  <c r="AC176"/>
  <c r="AD176" s="1"/>
  <c r="AC177"/>
  <c r="AD177" s="1"/>
  <c r="AC178"/>
  <c r="AD178" s="1"/>
  <c r="AC179"/>
  <c r="AD179" s="1"/>
  <c r="AC174" l="1"/>
  <c r="AD174" s="1"/>
  <c r="AC173" l="1"/>
  <c r="AD173" s="1"/>
  <c r="AC170"/>
  <c r="AD170" s="1"/>
  <c r="AC171"/>
  <c r="AD171" s="1"/>
  <c r="AC172"/>
  <c r="AD172" s="1"/>
  <c r="AC168"/>
  <c r="AD168" s="1"/>
  <c r="AC169"/>
  <c r="AD169" s="1"/>
  <c r="AC167" l="1"/>
  <c r="AD167" s="1"/>
  <c r="AC166" l="1"/>
  <c r="AD166" s="1"/>
  <c r="AC163" l="1"/>
  <c r="AD163" s="1"/>
  <c r="AC164"/>
  <c r="AD164" s="1"/>
  <c r="AC165"/>
  <c r="AD165" s="1"/>
  <c r="EJ164"/>
  <c r="EK164"/>
  <c r="EJ165"/>
  <c r="EK165"/>
  <c r="EJ166"/>
  <c r="EK166"/>
  <c r="EJ167"/>
  <c r="EK167"/>
  <c r="EJ168"/>
  <c r="EK168"/>
  <c r="EG166" l="1"/>
  <c r="EG168"/>
  <c r="EG164"/>
  <c r="EG167"/>
  <c r="EG165"/>
  <c r="AC162"/>
  <c r="AD162" s="1"/>
  <c r="AC161"/>
  <c r="AD161" s="1"/>
  <c r="AC160"/>
  <c r="AD160" s="1"/>
  <c r="AC156"/>
  <c r="AD156" s="1"/>
  <c r="AC157"/>
  <c r="AD157" s="1"/>
  <c r="AC158"/>
  <c r="AD158" s="1"/>
  <c r="AC159"/>
  <c r="AD159" s="1"/>
  <c r="AC152"/>
  <c r="AD152" s="1"/>
  <c r="AC153"/>
  <c r="AD153" s="1"/>
  <c r="AC154"/>
  <c r="AD154" s="1"/>
  <c r="AC155"/>
  <c r="AD155" s="1"/>
  <c r="EJ156"/>
  <c r="EK156"/>
  <c r="EJ157"/>
  <c r="EK157"/>
  <c r="EJ158"/>
  <c r="EK158"/>
  <c r="EJ159"/>
  <c r="EK159"/>
  <c r="EJ160"/>
  <c r="EK160"/>
  <c r="EJ161"/>
  <c r="EK161"/>
  <c r="EJ162"/>
  <c r="EK162"/>
  <c r="EJ163"/>
  <c r="EK163"/>
  <c r="EG163" l="1"/>
  <c r="EG161"/>
  <c r="EG159"/>
  <c r="EG157"/>
  <c r="EG162"/>
  <c r="EG160"/>
  <c r="EG158"/>
  <c r="EG156"/>
  <c r="AC149"/>
  <c r="AD149" s="1"/>
  <c r="AC150"/>
  <c r="AD150" s="1"/>
  <c r="AC151"/>
  <c r="AD151" s="1"/>
  <c r="AC148" l="1"/>
  <c r="AD148" s="1"/>
  <c r="EJ148" l="1"/>
  <c r="EK148"/>
  <c r="EJ149"/>
  <c r="EK149"/>
  <c r="EJ150"/>
  <c r="EK150"/>
  <c r="EJ151"/>
  <c r="EK151"/>
  <c r="EJ152"/>
  <c r="EK152"/>
  <c r="EJ153"/>
  <c r="EK153"/>
  <c r="EJ154"/>
  <c r="EK154"/>
  <c r="EJ155"/>
  <c r="EK155"/>
  <c r="AC147"/>
  <c r="AD147" s="1"/>
  <c r="EG154" l="1"/>
  <c r="EG152"/>
  <c r="EG150"/>
  <c r="EG148"/>
  <c r="EG151"/>
  <c r="EG149"/>
  <c r="EG155"/>
  <c r="EG153"/>
  <c r="AC145"/>
  <c r="AD145" s="1"/>
  <c r="AC146"/>
  <c r="AD146" s="1"/>
  <c r="AC142" l="1"/>
  <c r="AD142" s="1"/>
  <c r="AC143"/>
  <c r="AD143" s="1"/>
  <c r="AC144"/>
  <c r="AD144" s="1"/>
  <c r="EJ142" l="1"/>
  <c r="EK142"/>
  <c r="EJ143"/>
  <c r="EK143"/>
  <c r="EJ144"/>
  <c r="EK144"/>
  <c r="EJ145"/>
  <c r="EK145"/>
  <c r="EJ146"/>
  <c r="EK146"/>
  <c r="EJ147"/>
  <c r="EK147"/>
  <c r="AC141"/>
  <c r="AD141" s="1"/>
  <c r="L141"/>
  <c r="EG145" l="1"/>
  <c r="EG147"/>
  <c r="EG146"/>
  <c r="EG144"/>
  <c r="EG143"/>
  <c r="EG142"/>
  <c r="L135"/>
  <c r="L136"/>
  <c r="L137"/>
  <c r="L138"/>
  <c r="L139"/>
  <c r="L140"/>
  <c r="AC140"/>
  <c r="AD140" s="1"/>
  <c r="AC139" l="1"/>
  <c r="AD139" s="1"/>
  <c r="AC138" l="1"/>
  <c r="AD138" s="1"/>
  <c r="AC135" l="1"/>
  <c r="AD135" s="1"/>
  <c r="AC136"/>
  <c r="AD136" s="1"/>
  <c r="AC137"/>
  <c r="AD137" s="1"/>
  <c r="EJ135" l="1"/>
  <c r="EK135"/>
  <c r="EJ136"/>
  <c r="EK136"/>
  <c r="EJ137"/>
  <c r="EK137"/>
  <c r="EJ138"/>
  <c r="EK138"/>
  <c r="EJ139"/>
  <c r="EK139"/>
  <c r="EJ140"/>
  <c r="EK140"/>
  <c r="EJ141"/>
  <c r="EK141"/>
  <c r="L134"/>
  <c r="AC134"/>
  <c r="AD134" s="1"/>
  <c r="L131"/>
  <c r="L132"/>
  <c r="L133"/>
  <c r="AC133"/>
  <c r="AD133" s="1"/>
  <c r="AC131"/>
  <c r="AD131" s="1"/>
  <c r="AC132"/>
  <c r="AD132" s="1"/>
  <c r="EG138" l="1"/>
  <c r="EG136"/>
  <c r="EG140"/>
  <c r="EG141"/>
  <c r="EG139"/>
  <c r="EG137"/>
  <c r="EG135"/>
  <c r="L128"/>
  <c r="L129"/>
  <c r="L130"/>
  <c r="AC128"/>
  <c r="AD128" s="1"/>
  <c r="AC129"/>
  <c r="AD129" s="1"/>
  <c r="AC130"/>
  <c r="AD130" s="1"/>
  <c r="L124"/>
  <c r="L125"/>
  <c r="L126"/>
  <c r="L127"/>
  <c r="EJ128"/>
  <c r="EK128"/>
  <c r="EJ129"/>
  <c r="EK129"/>
  <c r="EJ130"/>
  <c r="EK130"/>
  <c r="EJ131"/>
  <c r="EK131"/>
  <c r="EJ132"/>
  <c r="EK132"/>
  <c r="EJ133"/>
  <c r="EK133"/>
  <c r="EJ134"/>
  <c r="EK134"/>
  <c r="AC124"/>
  <c r="AD124" s="1"/>
  <c r="AC125"/>
  <c r="AD125" s="1"/>
  <c r="AC126"/>
  <c r="AD126" s="1"/>
  <c r="AC127"/>
  <c r="AD127" s="1"/>
  <c r="EG130" l="1"/>
  <c r="EG128"/>
  <c r="EG133"/>
  <c r="EG134"/>
  <c r="EG132"/>
  <c r="EG131"/>
  <c r="EG129"/>
  <c r="L121"/>
  <c r="L122"/>
  <c r="L123"/>
  <c r="AC121"/>
  <c r="AD121" s="1"/>
  <c r="AC122"/>
  <c r="AD122" s="1"/>
  <c r="AC123"/>
  <c r="AD123" s="1"/>
  <c r="AC120" l="1"/>
  <c r="AD120" s="1"/>
  <c r="L120"/>
  <c r="EJ120" l="1"/>
  <c r="EK120"/>
  <c r="EJ121"/>
  <c r="EK121"/>
  <c r="EJ122"/>
  <c r="EK122"/>
  <c r="EJ123"/>
  <c r="EK123"/>
  <c r="EJ124"/>
  <c r="EK124"/>
  <c r="EJ125"/>
  <c r="EK125"/>
  <c r="EJ126"/>
  <c r="EK126"/>
  <c r="EJ127"/>
  <c r="EK127"/>
  <c r="AC117"/>
  <c r="AD117" s="1"/>
  <c r="AC118"/>
  <c r="AD118" s="1"/>
  <c r="AC119"/>
  <c r="AD119" s="1"/>
  <c r="L117"/>
  <c r="L118"/>
  <c r="L119"/>
  <c r="EG123" l="1"/>
  <c r="EG125"/>
  <c r="EG126"/>
  <c r="EG127"/>
  <c r="EG121"/>
  <c r="EG124"/>
  <c r="EG122"/>
  <c r="EG120"/>
  <c r="L114"/>
  <c r="L115"/>
  <c r="L116"/>
  <c r="AC114"/>
  <c r="AD114" s="1"/>
  <c r="AC115"/>
  <c r="AD115" s="1"/>
  <c r="AC116"/>
  <c r="AD116" s="1"/>
  <c r="EJ107" l="1"/>
  <c r="EK107"/>
  <c r="EJ108"/>
  <c r="EK108"/>
  <c r="EJ109"/>
  <c r="EK109"/>
  <c r="EJ110"/>
  <c r="EK110"/>
  <c r="EJ111"/>
  <c r="EK111"/>
  <c r="EJ112"/>
  <c r="EK112"/>
  <c r="EJ113"/>
  <c r="EK113"/>
  <c r="EJ114"/>
  <c r="EK114"/>
  <c r="EJ115"/>
  <c r="EK115"/>
  <c r="EJ116"/>
  <c r="EK116"/>
  <c r="EJ117"/>
  <c r="EK117"/>
  <c r="EJ118"/>
  <c r="EK118"/>
  <c r="EJ119"/>
  <c r="EK119"/>
  <c r="L113"/>
  <c r="AC113"/>
  <c r="AD113" s="1"/>
  <c r="EG119" l="1"/>
  <c r="EG117"/>
  <c r="EG115"/>
  <c r="EG113"/>
  <c r="EG111"/>
  <c r="EG114"/>
  <c r="EG110"/>
  <c r="EG118"/>
  <c r="EG116"/>
  <c r="EG112"/>
  <c r="EG108"/>
  <c r="EG109"/>
  <c r="EG107"/>
  <c r="L110"/>
  <c r="L111"/>
  <c r="L112"/>
  <c r="AC110"/>
  <c r="AD110" s="1"/>
  <c r="AC111"/>
  <c r="AD111" s="1"/>
  <c r="AC112"/>
  <c r="AD112" s="1"/>
  <c r="L107" l="1"/>
  <c r="L108"/>
  <c r="L109"/>
  <c r="AC107"/>
  <c r="AD107" s="1"/>
  <c r="AC108"/>
  <c r="AD108" s="1"/>
  <c r="AC109"/>
  <c r="AD109" s="1"/>
  <c r="L98" l="1"/>
  <c r="L99"/>
  <c r="L100"/>
  <c r="L101"/>
  <c r="L102"/>
  <c r="L103"/>
  <c r="L104"/>
  <c r="L105"/>
  <c r="L106"/>
  <c r="AC104"/>
  <c r="AD104" s="1"/>
  <c r="AC105"/>
  <c r="AD105" s="1"/>
  <c r="AC106"/>
  <c r="AD106" s="1"/>
  <c r="AC100"/>
  <c r="AD100" s="1"/>
  <c r="AC101"/>
  <c r="AD101" s="1"/>
  <c r="AC102"/>
  <c r="AD102" s="1"/>
  <c r="AC103"/>
  <c r="AD103" s="1"/>
  <c r="EJ93"/>
  <c r="EK93"/>
  <c r="EJ94"/>
  <c r="EK94"/>
  <c r="EJ95"/>
  <c r="EK95"/>
  <c r="EJ96"/>
  <c r="EK96"/>
  <c r="EJ97"/>
  <c r="EK97"/>
  <c r="EJ98"/>
  <c r="EK98"/>
  <c r="EJ99"/>
  <c r="EK99"/>
  <c r="EJ100"/>
  <c r="EK100"/>
  <c r="EJ101"/>
  <c r="EK101"/>
  <c r="EJ102"/>
  <c r="EK102"/>
  <c r="EJ103"/>
  <c r="EK103"/>
  <c r="EJ104"/>
  <c r="EK104"/>
  <c r="EJ105"/>
  <c r="EK105"/>
  <c r="EJ106"/>
  <c r="EK106"/>
  <c r="AC99"/>
  <c r="AD99" s="1"/>
  <c r="EG105" l="1"/>
  <c r="EG104"/>
  <c r="EG100"/>
  <c r="EG96"/>
  <c r="EG94"/>
  <c r="EG106"/>
  <c r="EG102"/>
  <c r="EG98"/>
  <c r="EG103"/>
  <c r="EG101"/>
  <c r="EG99"/>
  <c r="EG97"/>
  <c r="EG95"/>
  <c r="EG93"/>
  <c r="AC98"/>
  <c r="AD98" s="1"/>
  <c r="L97" l="1"/>
  <c r="AC97"/>
  <c r="AD97" s="1"/>
  <c r="L96" l="1"/>
  <c r="AC96"/>
  <c r="AD96" s="1"/>
  <c r="L95"/>
  <c r="L94"/>
  <c r="L93"/>
  <c r="AC93"/>
  <c r="AD93" s="1"/>
  <c r="AC94"/>
  <c r="AD94" s="1"/>
  <c r="AC95"/>
  <c r="AD95" s="1"/>
  <c r="L92" l="1"/>
  <c r="AC92"/>
  <c r="AD92" s="1"/>
  <c r="L91" l="1"/>
  <c r="AC91"/>
  <c r="AD91" s="1"/>
  <c r="AC90"/>
  <c r="AD90" s="1"/>
  <c r="L82"/>
  <c r="L83"/>
  <c r="L84"/>
  <c r="L85"/>
  <c r="L86"/>
  <c r="L87"/>
  <c r="L88"/>
  <c r="L89"/>
  <c r="L90"/>
  <c r="AC89" l="1"/>
  <c r="AD89" s="1"/>
  <c r="AC86"/>
  <c r="AD86" s="1"/>
  <c r="AC87"/>
  <c r="AD87" s="1"/>
  <c r="AC88"/>
  <c r="AD88" s="1"/>
  <c r="EJ88"/>
  <c r="EK88"/>
  <c r="EJ89"/>
  <c r="EK89"/>
  <c r="EJ90"/>
  <c r="EK90"/>
  <c r="EJ91"/>
  <c r="EK91"/>
  <c r="EJ92"/>
  <c r="EK92"/>
  <c r="EJ78"/>
  <c r="EJ79"/>
  <c r="EJ80"/>
  <c r="EJ81"/>
  <c r="EJ82"/>
  <c r="EJ83"/>
  <c r="EJ84"/>
  <c r="EJ85"/>
  <c r="EJ86"/>
  <c r="EJ87"/>
  <c r="EJ77"/>
  <c r="EK78"/>
  <c r="EK79"/>
  <c r="EK80"/>
  <c r="EK81"/>
  <c r="EK82"/>
  <c r="EK83"/>
  <c r="EK84"/>
  <c r="EK85"/>
  <c r="EK86"/>
  <c r="EK87"/>
  <c r="AC84"/>
  <c r="AD84" s="1"/>
  <c r="AC85"/>
  <c r="AD85" s="1"/>
  <c r="AC83"/>
  <c r="AD83" s="1"/>
  <c r="EG91" l="1"/>
  <c r="EG89"/>
  <c r="EG86"/>
  <c r="EG84"/>
  <c r="EG80"/>
  <c r="EG87"/>
  <c r="EG83"/>
  <c r="EG79"/>
  <c r="EG82"/>
  <c r="EG78"/>
  <c r="EG85"/>
  <c r="EG81"/>
  <c r="EG92"/>
  <c r="EG90"/>
  <c r="EG88"/>
  <c r="AC82"/>
  <c r="AD82" s="1"/>
  <c r="L78" l="1"/>
  <c r="L79"/>
  <c r="L80"/>
  <c r="L81"/>
  <c r="AC77"/>
  <c r="AD77" s="1"/>
  <c r="AC78"/>
  <c r="AD78" s="1"/>
  <c r="AC79"/>
  <c r="AD79" s="1"/>
  <c r="AC80"/>
  <c r="AD80" s="1"/>
  <c r="AC81"/>
  <c r="AD81" s="1"/>
  <c r="L23" l="1"/>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20"/>
  <c r="L21"/>
  <c r="L22"/>
  <c r="L19"/>
  <c r="EK15"/>
  <c r="EG15" s="1"/>
  <c r="EK16"/>
  <c r="EG16" s="1"/>
  <c r="EK17"/>
  <c r="EG17" s="1"/>
  <c r="EK18"/>
  <c r="EG18" s="1"/>
  <c r="EK19"/>
  <c r="EG19" s="1"/>
  <c r="EK20"/>
  <c r="EG20" s="1"/>
  <c r="EK21"/>
  <c r="EG21" s="1"/>
  <c r="EK22"/>
  <c r="EG22" s="1"/>
  <c r="EK23"/>
  <c r="EG23" s="1"/>
  <c r="EK24"/>
  <c r="EG24" s="1"/>
  <c r="EK25"/>
  <c r="EG25" s="1"/>
  <c r="EK26"/>
  <c r="EG26" s="1"/>
  <c r="EK27"/>
  <c r="EG27" s="1"/>
  <c r="EK28"/>
  <c r="EG28" s="1"/>
  <c r="EK29"/>
  <c r="EG29" s="1"/>
  <c r="EK30"/>
  <c r="EG30" s="1"/>
  <c r="EK31"/>
  <c r="EG31" s="1"/>
  <c r="EK32"/>
  <c r="EG32" s="1"/>
  <c r="EK33"/>
  <c r="EG33" s="1"/>
  <c r="EK34"/>
  <c r="EG34" s="1"/>
  <c r="EK35"/>
  <c r="EG35" s="1"/>
  <c r="EK36"/>
  <c r="EG36" s="1"/>
  <c r="EK37"/>
  <c r="EG37" s="1"/>
  <c r="EK38"/>
  <c r="EG38" s="1"/>
  <c r="EK39"/>
  <c r="EG39" s="1"/>
  <c r="EK40"/>
  <c r="EG40" s="1"/>
  <c r="EK41"/>
  <c r="EG41" s="1"/>
  <c r="EK42"/>
  <c r="EG42" s="1"/>
  <c r="EK43"/>
  <c r="EG43" s="1"/>
  <c r="EK44"/>
  <c r="EG44" s="1"/>
  <c r="EK45"/>
  <c r="EG45" s="1"/>
  <c r="EK46"/>
  <c r="EG46" s="1"/>
  <c r="EK47"/>
  <c r="EG47" s="1"/>
  <c r="EK48"/>
  <c r="EG48" s="1"/>
  <c r="EK49"/>
  <c r="EG49" s="1"/>
  <c r="EK50"/>
  <c r="EG50" s="1"/>
  <c r="EK51"/>
  <c r="EG51" s="1"/>
  <c r="EK52"/>
  <c r="EG52" s="1"/>
  <c r="EK53"/>
  <c r="EG53" s="1"/>
  <c r="EK54"/>
  <c r="EG54" s="1"/>
  <c r="EK55"/>
  <c r="EG55" s="1"/>
  <c r="EK56"/>
  <c r="EG56" s="1"/>
  <c r="EK57"/>
  <c r="EG57" s="1"/>
  <c r="EK58"/>
  <c r="EG58" s="1"/>
  <c r="EK59"/>
  <c r="EG59" s="1"/>
  <c r="EK60"/>
  <c r="EG60" s="1"/>
  <c r="EK61"/>
  <c r="EG61" s="1"/>
  <c r="EK62"/>
  <c r="EG62" s="1"/>
  <c r="EK63"/>
  <c r="EG63" s="1"/>
  <c r="EK64"/>
  <c r="EG64" s="1"/>
  <c r="EK65"/>
  <c r="EG65" s="1"/>
  <c r="EK66"/>
  <c r="EG66" s="1"/>
  <c r="EK67"/>
  <c r="EG67" s="1"/>
  <c r="EK68"/>
  <c r="EG68" s="1"/>
  <c r="EK69"/>
  <c r="EG69" s="1"/>
  <c r="EK70"/>
  <c r="EG70" s="1"/>
  <c r="EK71"/>
  <c r="EG71" s="1"/>
  <c r="EK72"/>
  <c r="EG72" s="1"/>
  <c r="EK73"/>
  <c r="EG73" s="1"/>
  <c r="EK74"/>
  <c r="EG74" s="1"/>
  <c r="EK75"/>
  <c r="EG75" s="1"/>
  <c r="EK76"/>
  <c r="EG76" s="1"/>
  <c r="EK77"/>
  <c r="EG77" s="1"/>
  <c r="EK14"/>
  <c r="EG14" s="1"/>
  <c r="AC76" l="1"/>
  <c r="AD76" s="1"/>
  <c r="AC75" l="1"/>
  <c r="AD75" s="1"/>
  <c r="AC72" l="1"/>
  <c r="AD72" s="1"/>
  <c r="AC73"/>
  <c r="AD73" s="1"/>
  <c r="AC74"/>
  <c r="AD74" s="1"/>
  <c r="AC71" l="1"/>
  <c r="AD71" s="1"/>
  <c r="AC70" l="1"/>
  <c r="AD70" s="1"/>
  <c r="AC69" l="1"/>
  <c r="AD69" s="1"/>
  <c r="AC68" l="1"/>
  <c r="AD68" s="1"/>
  <c r="AC65" l="1"/>
  <c r="AD65" s="1"/>
  <c r="AC66"/>
  <c r="AD66" s="1"/>
  <c r="AC67"/>
  <c r="AD67" s="1"/>
  <c r="AC64" l="1"/>
  <c r="AD64" s="1"/>
  <c r="AC63"/>
  <c r="AD63" s="1"/>
  <c r="AC58" l="1"/>
  <c r="AD58" s="1"/>
  <c r="AC59"/>
  <c r="AD59" s="1"/>
  <c r="AC60"/>
  <c r="AD60" s="1"/>
  <c r="AC61"/>
  <c r="AD61" s="1"/>
  <c r="AC62"/>
  <c r="AD62" s="1"/>
  <c r="AC56"/>
  <c r="AD56" s="1"/>
  <c r="AC57"/>
  <c r="AD57" s="1"/>
  <c r="AC54" l="1"/>
  <c r="AD54" s="1"/>
  <c r="AC55"/>
  <c r="AD55" s="1"/>
  <c r="AC51" l="1"/>
  <c r="AD51" s="1"/>
  <c r="AC52"/>
  <c r="AD52" s="1"/>
  <c r="AC53"/>
  <c r="AD53" s="1"/>
  <c r="AC50" l="1"/>
  <c r="AD50" s="1"/>
  <c r="AC49" l="1"/>
  <c r="AD49" s="1"/>
  <c r="AC48" l="1"/>
  <c r="AD48" s="1"/>
  <c r="AC47" l="1"/>
  <c r="AD47" s="1"/>
  <c r="AC44" l="1"/>
  <c r="AD44" s="1"/>
  <c r="AC45"/>
  <c r="AD45" s="1"/>
  <c r="AC46"/>
  <c r="AD46" s="1"/>
  <c r="AC42" l="1"/>
  <c r="AD42" s="1"/>
  <c r="AC43"/>
  <c r="AD43" s="1"/>
  <c r="AC41" l="1"/>
  <c r="AD41" s="1"/>
  <c r="AC40" l="1"/>
  <c r="AD40" s="1"/>
  <c r="AC37" l="1"/>
  <c r="AD37" s="1"/>
  <c r="AC38"/>
  <c r="AD38" s="1"/>
  <c r="AC39"/>
  <c r="AD39" s="1"/>
  <c r="AC34" l="1"/>
  <c r="AD34" s="1"/>
  <c r="AC35"/>
  <c r="AD35" s="1"/>
  <c r="AC36"/>
  <c r="AD36" s="1"/>
  <c r="AC30" l="1"/>
  <c r="AD30" s="1"/>
  <c r="AC31"/>
  <c r="AD31" s="1"/>
  <c r="AC32"/>
  <c r="AD32" s="1"/>
  <c r="AC33"/>
  <c r="AD33" s="1"/>
  <c r="AC29"/>
  <c r="AD29" s="1"/>
  <c r="AC28" l="1"/>
  <c r="AD28" s="1"/>
  <c r="AC9" l="1"/>
  <c r="AD9" s="1"/>
  <c r="AC10"/>
  <c r="AD10" s="1"/>
  <c r="AC11"/>
  <c r="AD11" s="1"/>
  <c r="AC12"/>
  <c r="AD12" s="1"/>
  <c r="AC13"/>
  <c r="AD13" s="1"/>
  <c r="AC14"/>
  <c r="AD14" s="1"/>
  <c r="AC15"/>
  <c r="AD15" s="1"/>
  <c r="AC16"/>
  <c r="AD16" s="1"/>
  <c r="AC17"/>
  <c r="AD17" s="1"/>
  <c r="AC18"/>
  <c r="AD18" s="1"/>
  <c r="AC19"/>
  <c r="AD19" s="1"/>
  <c r="AC20"/>
  <c r="AD20" s="1"/>
  <c r="AC21"/>
  <c r="AD21" s="1"/>
  <c r="AC22"/>
  <c r="AD22" s="1"/>
  <c r="AC23"/>
  <c r="AD23" s="1"/>
  <c r="AC24"/>
  <c r="AD24" s="1"/>
  <c r="AC25"/>
  <c r="AD25" s="1"/>
  <c r="AC26"/>
  <c r="AD26" s="1"/>
  <c r="AC27"/>
  <c r="AD27" s="1"/>
  <c r="AC8"/>
  <c r="AD8" s="1"/>
  <c r="AN299" i="24" l="1"/>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10"/>
  <c r="AN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203"/>
  <c r="AO204"/>
  <c r="AO205"/>
  <c r="AO206"/>
  <c r="AO207"/>
  <c r="AO208"/>
  <c r="AO209"/>
  <c r="AO210"/>
  <c r="AO211"/>
  <c r="AO212"/>
  <c r="AO213"/>
  <c r="AO214"/>
  <c r="AO215"/>
  <c r="AO216"/>
  <c r="AO217"/>
  <c r="AO218"/>
  <c r="AO219"/>
  <c r="AO220"/>
  <c r="AO221"/>
  <c r="AO222"/>
  <c r="AO223"/>
  <c r="AO224"/>
  <c r="AO225"/>
  <c r="AO226"/>
  <c r="AO227"/>
  <c r="AO228"/>
  <c r="AO229"/>
  <c r="AO230"/>
  <c r="AO231"/>
  <c r="AO232"/>
  <c r="AO233"/>
  <c r="AO234"/>
  <c r="AO235"/>
  <c r="AO236"/>
  <c r="AO237"/>
  <c r="AO238"/>
  <c r="AO239"/>
  <c r="AO240"/>
  <c r="AO241"/>
  <c r="AO242"/>
  <c r="AO243"/>
  <c r="AO244"/>
  <c r="AO245"/>
  <c r="AO246"/>
  <c r="AO247"/>
  <c r="AO248"/>
  <c r="AO249"/>
  <c r="AO250"/>
  <c r="AO251"/>
  <c r="AO252"/>
  <c r="AO253"/>
  <c r="AO254"/>
  <c r="AO255"/>
  <c r="AO256"/>
  <c r="AO257"/>
  <c r="AO258"/>
  <c r="AO259"/>
  <c r="AO260"/>
  <c r="AO261"/>
  <c r="AO262"/>
  <c r="AO263"/>
  <c r="AO264"/>
  <c r="AO265"/>
  <c r="AO266"/>
  <c r="AO267"/>
  <c r="AO268"/>
  <c r="AO269"/>
  <c r="AO270"/>
  <c r="AO271"/>
  <c r="AO272"/>
  <c r="AO273"/>
  <c r="AO274"/>
  <c r="AO275"/>
  <c r="AO276"/>
  <c r="AO277"/>
  <c r="AO278"/>
  <c r="AO279"/>
  <c r="AO280"/>
  <c r="AO281"/>
  <c r="AO282"/>
  <c r="AO283"/>
  <c r="AO284"/>
  <c r="AO285"/>
  <c r="AO286"/>
  <c r="AO287"/>
  <c r="AO288"/>
  <c r="AO289"/>
  <c r="AO290"/>
  <c r="AO291"/>
  <c r="AO292"/>
  <c r="AO293"/>
  <c r="AO294"/>
  <c r="AO295"/>
  <c r="AO296"/>
  <c r="AO297"/>
  <c r="AO298"/>
  <c r="AO299"/>
  <c r="AO300"/>
  <c r="AO301"/>
  <c r="AO302"/>
  <c r="AO303"/>
  <c r="AO304"/>
  <c r="AO305"/>
  <c r="AO306"/>
  <c r="AO307"/>
  <c r="AO308"/>
  <c r="AO309"/>
  <c r="AO310"/>
  <c r="AO311"/>
  <c r="AO312"/>
  <c r="AO313"/>
  <c r="AO314"/>
  <c r="AO315"/>
  <c r="AO316"/>
  <c r="AO317"/>
  <c r="AO318"/>
  <c r="AO319"/>
  <c r="AO320"/>
  <c r="AO321"/>
  <c r="AO322"/>
  <c r="AO323"/>
  <c r="AO324"/>
  <c r="AO325"/>
  <c r="AO326"/>
  <c r="AO327"/>
  <c r="AO328"/>
  <c r="AO329"/>
  <c r="AO330"/>
  <c r="AO331"/>
  <c r="AO332"/>
  <c r="AO333"/>
  <c r="AO334"/>
  <c r="AO335"/>
  <c r="AO336"/>
  <c r="AO337"/>
  <c r="AO338"/>
  <c r="AO339"/>
  <c r="AO340"/>
  <c r="AO341"/>
  <c r="AO342"/>
  <c r="AO343"/>
  <c r="AO344"/>
  <c r="AO345"/>
  <c r="AO346"/>
  <c r="AO347"/>
  <c r="AO348"/>
  <c r="AO349"/>
  <c r="AO350"/>
  <c r="AO351"/>
  <c r="AO352"/>
  <c r="AO353"/>
  <c r="AO354"/>
  <c r="AO355"/>
  <c r="AO356"/>
  <c r="AO357"/>
  <c r="AO358"/>
  <c r="AO359"/>
  <c r="AO360"/>
  <c r="AO361"/>
  <c r="AO362"/>
  <c r="AO363"/>
  <c r="AO364"/>
  <c r="AO365"/>
  <c r="AO366"/>
  <c r="AO367"/>
  <c r="AO368"/>
  <c r="AO369"/>
  <c r="AO370"/>
  <c r="AO371"/>
  <c r="AO372"/>
  <c r="AO373"/>
  <c r="AO374"/>
  <c r="AO375"/>
  <c r="AO376"/>
  <c r="AO377"/>
  <c r="AO378"/>
  <c r="AO379"/>
  <c r="AO380"/>
  <c r="AO381"/>
  <c r="AO9"/>
  <c r="D21"/>
  <c r="D10"/>
  <c r="E10"/>
  <c r="D11"/>
  <c r="E11"/>
  <c r="D12"/>
  <c r="E12"/>
  <c r="D13"/>
  <c r="E13"/>
  <c r="D14"/>
  <c r="E14"/>
  <c r="D15"/>
  <c r="E15"/>
  <c r="D16"/>
  <c r="E16"/>
  <c r="D17"/>
  <c r="E17"/>
  <c r="D18"/>
  <c r="E18"/>
  <c r="D19"/>
  <c r="E19"/>
  <c r="D20"/>
  <c r="E20"/>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E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6"/>
  <c r="E226"/>
  <c r="D227"/>
  <c r="E227"/>
  <c r="D228"/>
  <c r="E228"/>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6"/>
  <c r="E256"/>
  <c r="D257"/>
  <c r="E257"/>
  <c r="D258"/>
  <c r="E258"/>
  <c r="D259"/>
  <c r="E259"/>
  <c r="D260"/>
  <c r="E260"/>
  <c r="D261"/>
  <c r="E261"/>
  <c r="D262"/>
  <c r="E262"/>
  <c r="D263"/>
  <c r="E263"/>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18"/>
  <c r="E318"/>
  <c r="D319"/>
  <c r="E319"/>
  <c r="D320"/>
  <c r="E320"/>
  <c r="D321"/>
  <c r="E321"/>
  <c r="D322"/>
  <c r="E322"/>
  <c r="D323"/>
  <c r="E323"/>
  <c r="D324"/>
  <c r="E324"/>
  <c r="D325"/>
  <c r="E325"/>
  <c r="D326"/>
  <c r="E326"/>
  <c r="D327"/>
  <c r="E327"/>
  <c r="D328"/>
  <c r="E328"/>
  <c r="D329"/>
  <c r="E329"/>
  <c r="D330"/>
  <c r="E330"/>
  <c r="D331"/>
  <c r="E331"/>
  <c r="D332"/>
  <c r="E332"/>
  <c r="D333"/>
  <c r="E333"/>
  <c r="D334"/>
  <c r="E334"/>
  <c r="D335"/>
  <c r="E335"/>
  <c r="D336"/>
  <c r="E336"/>
  <c r="D337"/>
  <c r="E337"/>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6"/>
  <c r="E356"/>
  <c r="D357"/>
  <c r="E357"/>
  <c r="D358"/>
  <c r="E358"/>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E9"/>
  <c r="D9"/>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8"/>
  <c r="V257" i="45"/>
  <c r="V258"/>
  <c r="V259"/>
  <c r="V260"/>
  <c r="V9" i="49"/>
  <c r="W9" s="1"/>
  <c r="X9" s="1"/>
  <c r="V10"/>
  <c r="W10" s="1"/>
  <c r="X10" s="1"/>
  <c r="V11"/>
  <c r="W11" s="1"/>
  <c r="X11" s="1"/>
  <c r="V12"/>
  <c r="W12" s="1"/>
  <c r="X12" s="1"/>
  <c r="V13"/>
  <c r="W13" s="1"/>
  <c r="X13" s="1"/>
  <c r="V8"/>
  <c r="W8" s="1"/>
  <c r="X8" s="1"/>
  <c r="AT9" i="24"/>
  <c r="AT10"/>
  <c r="AT11"/>
  <c r="AT12"/>
  <c r="AT13"/>
  <c r="AT14"/>
  <c r="AT15"/>
  <c r="AT16"/>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8"/>
  <c r="AV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2"/>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7"/>
  <c r="AV188"/>
  <c r="AV189"/>
  <c r="AV190"/>
  <c r="AV191"/>
  <c r="AV192"/>
  <c r="AV193"/>
  <c r="AV194"/>
  <c r="AV195"/>
  <c r="AV196"/>
  <c r="AV197"/>
  <c r="AV198"/>
  <c r="AV199"/>
  <c r="AV200"/>
  <c r="AV201"/>
  <c r="AV202"/>
  <c r="AV203"/>
  <c r="AV204"/>
  <c r="AV205"/>
  <c r="AV206"/>
  <c r="AV207"/>
  <c r="AV208"/>
  <c r="AV209"/>
  <c r="AV210"/>
  <c r="AV211"/>
  <c r="AV212"/>
  <c r="AV213"/>
  <c r="AV214"/>
  <c r="AV215"/>
  <c r="AV216"/>
  <c r="AV217"/>
  <c r="AV218"/>
  <c r="AV219"/>
  <c r="AV220"/>
  <c r="AV221"/>
  <c r="AV222"/>
  <c r="AV223"/>
  <c r="AV224"/>
  <c r="AV225"/>
  <c r="AV226"/>
  <c r="AV227"/>
  <c r="AV228"/>
  <c r="AV229"/>
  <c r="AV230"/>
  <c r="AV231"/>
  <c r="AV232"/>
  <c r="AV233"/>
  <c r="AV234"/>
  <c r="AV235"/>
  <c r="AV236"/>
  <c r="AV237"/>
  <c r="AV238"/>
  <c r="AV239"/>
  <c r="AV240"/>
  <c r="AV241"/>
  <c r="AV242"/>
  <c r="AV243"/>
  <c r="AV244"/>
  <c r="AV245"/>
  <c r="AV246"/>
  <c r="AV247"/>
  <c r="AV248"/>
  <c r="AV249"/>
  <c r="AV250"/>
  <c r="AV251"/>
  <c r="AV252"/>
  <c r="AV253"/>
  <c r="AV254"/>
  <c r="AV255"/>
  <c r="AV256"/>
  <c r="AV257"/>
  <c r="AV258"/>
  <c r="AV259"/>
  <c r="AV260"/>
  <c r="AV261"/>
  <c r="AV262"/>
  <c r="AV263"/>
  <c r="AV264"/>
  <c r="AV265"/>
  <c r="AV266"/>
  <c r="AV267"/>
  <c r="AV268"/>
  <c r="AV269"/>
  <c r="AV270"/>
  <c r="AV271"/>
  <c r="AV272"/>
  <c r="AV273"/>
  <c r="AV274"/>
  <c r="AV275"/>
  <c r="AV276"/>
  <c r="AV277"/>
  <c r="AV278"/>
  <c r="AV279"/>
  <c r="AV280"/>
  <c r="AV281"/>
  <c r="AV282"/>
  <c r="AV283"/>
  <c r="AV284"/>
  <c r="AV285"/>
  <c r="AV286"/>
  <c r="AV287"/>
  <c r="AV288"/>
  <c r="AV289"/>
  <c r="AV290"/>
  <c r="AV291"/>
  <c r="AV292"/>
  <c r="AV293"/>
  <c r="AV294"/>
  <c r="AV295"/>
  <c r="AV296"/>
  <c r="AV297"/>
  <c r="AV298"/>
  <c r="AV299"/>
  <c r="AV300"/>
  <c r="AV301"/>
  <c r="AV302"/>
  <c r="AV303"/>
  <c r="AV304"/>
  <c r="AV305"/>
  <c r="AV306"/>
  <c r="AV307"/>
  <c r="AV308"/>
  <c r="AV309"/>
  <c r="AV310"/>
  <c r="AV311"/>
  <c r="AV312"/>
  <c r="AV313"/>
  <c r="AV314"/>
  <c r="AV315"/>
  <c r="AV316"/>
  <c r="AV317"/>
  <c r="AV318"/>
  <c r="AV319"/>
  <c r="AV320"/>
  <c r="AV321"/>
  <c r="AV322"/>
  <c r="AV323"/>
  <c r="AV324"/>
  <c r="AV325"/>
  <c r="AV326"/>
  <c r="AV327"/>
  <c r="AV328"/>
  <c r="AV329"/>
  <c r="AV330"/>
  <c r="AV331"/>
  <c r="AV332"/>
  <c r="AV333"/>
  <c r="AV334"/>
  <c r="AV335"/>
  <c r="AV336"/>
  <c r="AV337"/>
  <c r="AV338"/>
  <c r="AV339"/>
  <c r="AV340"/>
  <c r="AV341"/>
  <c r="AV342"/>
  <c r="AV343"/>
  <c r="AV344"/>
  <c r="AV345"/>
  <c r="AV346"/>
  <c r="AV347"/>
  <c r="AV348"/>
  <c r="AV349"/>
  <c r="AV350"/>
  <c r="AV351"/>
  <c r="AV352"/>
  <c r="AV353"/>
  <c r="AV354"/>
  <c r="AV355"/>
  <c r="AV356"/>
  <c r="AV357"/>
  <c r="AV358"/>
  <c r="AV359"/>
  <c r="AV360"/>
  <c r="AV361"/>
  <c r="AV362"/>
  <c r="AV363"/>
  <c r="AV364"/>
  <c r="AV365"/>
  <c r="AV366"/>
  <c r="AV367"/>
  <c r="AV368"/>
  <c r="AV369"/>
  <c r="AV370"/>
  <c r="AV371"/>
  <c r="AV372"/>
  <c r="AV373"/>
  <c r="AV374"/>
  <c r="AV375"/>
  <c r="AV376"/>
  <c r="AV377"/>
  <c r="AV378"/>
  <c r="AV379"/>
  <c r="AV380"/>
  <c r="AV381"/>
  <c r="AV8"/>
  <c r="FD159" i="43"/>
  <c r="FD160"/>
  <c r="FD161"/>
  <c r="FD162"/>
  <c r="FD163"/>
  <c r="FD164"/>
  <c r="AP57" i="24" l="1"/>
  <c r="AQ57" s="1"/>
  <c r="AP41"/>
  <c r="AQ41" s="1"/>
  <c r="AP25"/>
  <c r="AQ25" s="1"/>
  <c r="AP380"/>
  <c r="AQ380" s="1"/>
  <c r="AP376"/>
  <c r="AQ376" s="1"/>
  <c r="AP372"/>
  <c r="AS372" s="1"/>
  <c r="AP368"/>
  <c r="AQ368" s="1"/>
  <c r="AP364"/>
  <c r="AS364" s="1"/>
  <c r="AP360"/>
  <c r="AQ360" s="1"/>
  <c r="AP358"/>
  <c r="AQ358" s="1"/>
  <c r="AP354"/>
  <c r="AQ354" s="1"/>
  <c r="AP350"/>
  <c r="AS350" s="1"/>
  <c r="AP344"/>
  <c r="AQ344" s="1"/>
  <c r="AP340"/>
  <c r="AQ340" s="1"/>
  <c r="AP336"/>
  <c r="AQ336" s="1"/>
  <c r="AP332"/>
  <c r="AQ332" s="1"/>
  <c r="AP328"/>
  <c r="AQ328" s="1"/>
  <c r="AP324"/>
  <c r="AS324" s="1"/>
  <c r="AP320"/>
  <c r="AQ320" s="1"/>
  <c r="AP318"/>
  <c r="AR318" s="1"/>
  <c r="AP312"/>
  <c r="AQ312" s="1"/>
  <c r="AP308"/>
  <c r="AQ308" s="1"/>
  <c r="AP304"/>
  <c r="AQ304" s="1"/>
  <c r="AP300"/>
  <c r="AS300" s="1"/>
  <c r="AP298"/>
  <c r="AS298" s="1"/>
  <c r="AP294"/>
  <c r="AQ294" s="1"/>
  <c r="AP290"/>
  <c r="AQ290" s="1"/>
  <c r="AP284"/>
  <c r="AQ284" s="1"/>
  <c r="AP280"/>
  <c r="AQ280" s="1"/>
  <c r="AP276"/>
  <c r="AS276" s="1"/>
  <c r="AP272"/>
  <c r="AQ272" s="1"/>
  <c r="AP264"/>
  <c r="AR264" s="1"/>
  <c r="AP260"/>
  <c r="AQ260" s="1"/>
  <c r="AP256"/>
  <c r="AQ256" s="1"/>
  <c r="AP254"/>
  <c r="AQ254" s="1"/>
  <c r="AP250"/>
  <c r="AQ250" s="1"/>
  <c r="AP244"/>
  <c r="AQ244" s="1"/>
  <c r="AP240"/>
  <c r="AQ240" s="1"/>
  <c r="AP236"/>
  <c r="AQ236" s="1"/>
  <c r="AP232"/>
  <c r="AQ232" s="1"/>
  <c r="AP228"/>
  <c r="AQ228" s="1"/>
  <c r="AP224"/>
  <c r="AQ224" s="1"/>
  <c r="AP220"/>
  <c r="AQ220" s="1"/>
  <c r="AP216"/>
  <c r="AQ216" s="1"/>
  <c r="AP214"/>
  <c r="AQ214" s="1"/>
  <c r="AP210"/>
  <c r="AQ210" s="1"/>
  <c r="AP204"/>
  <c r="AQ204" s="1"/>
  <c r="AP200"/>
  <c r="AQ200" s="1"/>
  <c r="AP198"/>
  <c r="AQ198" s="1"/>
  <c r="AP194"/>
  <c r="AQ194" s="1"/>
  <c r="AP188"/>
  <c r="AQ188" s="1"/>
  <c r="AP378"/>
  <c r="AR378" s="1"/>
  <c r="AP374"/>
  <c r="AR374" s="1"/>
  <c r="AP370"/>
  <c r="AS370" s="1"/>
  <c r="AP366"/>
  <c r="AQ366" s="1"/>
  <c r="AP362"/>
  <c r="AS362" s="1"/>
  <c r="AP356"/>
  <c r="AR356" s="1"/>
  <c r="AP352"/>
  <c r="AQ352" s="1"/>
  <c r="AP348"/>
  <c r="AR348" s="1"/>
  <c r="AP346"/>
  <c r="AR346" s="1"/>
  <c r="AP342"/>
  <c r="AQ342" s="1"/>
  <c r="AP338"/>
  <c r="AR338" s="1"/>
  <c r="AP334"/>
  <c r="AQ334" s="1"/>
  <c r="AP330"/>
  <c r="AS330" s="1"/>
  <c r="AP326"/>
  <c r="AQ326" s="1"/>
  <c r="AP322"/>
  <c r="AQ322" s="1"/>
  <c r="AP316"/>
  <c r="AR316" s="1"/>
  <c r="AP314"/>
  <c r="AS314" s="1"/>
  <c r="AP310"/>
  <c r="AR310" s="1"/>
  <c r="AP306"/>
  <c r="AQ306" s="1"/>
  <c r="AP302"/>
  <c r="AQ302" s="1"/>
  <c r="AP296"/>
  <c r="AQ296" s="1"/>
  <c r="AP292"/>
  <c r="AQ292" s="1"/>
  <c r="AP288"/>
  <c r="AQ288" s="1"/>
  <c r="AP286"/>
  <c r="AR286" s="1"/>
  <c r="AP282"/>
  <c r="AR282" s="1"/>
  <c r="AP278"/>
  <c r="AR278" s="1"/>
  <c r="AP274"/>
  <c r="AQ274" s="1"/>
  <c r="AP266"/>
  <c r="AQ266" s="1"/>
  <c r="AP262"/>
  <c r="AQ262" s="1"/>
  <c r="AP258"/>
  <c r="AQ258" s="1"/>
  <c r="AP252"/>
  <c r="AQ252" s="1"/>
  <c r="AP248"/>
  <c r="AQ248" s="1"/>
  <c r="AP246"/>
  <c r="AQ246" s="1"/>
  <c r="AP242"/>
  <c r="AQ242" s="1"/>
  <c r="AP238"/>
  <c r="AQ238" s="1"/>
  <c r="AP234"/>
  <c r="AQ234" s="1"/>
  <c r="AP230"/>
  <c r="AQ230" s="1"/>
  <c r="AP226"/>
  <c r="AQ226" s="1"/>
  <c r="AP222"/>
  <c r="AQ222" s="1"/>
  <c r="AP218"/>
  <c r="AQ218" s="1"/>
  <c r="AP212"/>
  <c r="AQ212" s="1"/>
  <c r="AP208"/>
  <c r="AQ208" s="1"/>
  <c r="AP206"/>
  <c r="AQ206" s="1"/>
  <c r="AP202"/>
  <c r="AQ202" s="1"/>
  <c r="AP196"/>
  <c r="AQ196" s="1"/>
  <c r="AP192"/>
  <c r="AQ192" s="1"/>
  <c r="AP190"/>
  <c r="AQ190" s="1"/>
  <c r="AP14"/>
  <c r="AQ14" s="1"/>
  <c r="AP10"/>
  <c r="AQ10" s="1"/>
  <c r="AP19"/>
  <c r="AQ19" s="1"/>
  <c r="AP17"/>
  <c r="AQ17" s="1"/>
  <c r="AP15"/>
  <c r="AQ15" s="1"/>
  <c r="AP13"/>
  <c r="AQ13" s="1"/>
  <c r="AP11"/>
  <c r="AQ11" s="1"/>
  <c r="AP9"/>
  <c r="AQ9" s="1"/>
  <c r="AP67"/>
  <c r="AQ67" s="1"/>
  <c r="AP51"/>
  <c r="AQ51" s="1"/>
  <c r="AP35"/>
  <c r="AQ35" s="1"/>
  <c r="AP186"/>
  <c r="AQ186" s="1"/>
  <c r="AP184"/>
  <c r="AS184" s="1"/>
  <c r="AP182"/>
  <c r="AQ182" s="1"/>
  <c r="AP180"/>
  <c r="AR180" s="1"/>
  <c r="AP178"/>
  <c r="AQ178" s="1"/>
  <c r="AP176"/>
  <c r="AQ176" s="1"/>
  <c r="AP174"/>
  <c r="AQ174" s="1"/>
  <c r="AP172"/>
  <c r="AQ172" s="1"/>
  <c r="AP170"/>
  <c r="AQ170" s="1"/>
  <c r="AP168"/>
  <c r="AS168" s="1"/>
  <c r="AP166"/>
  <c r="AQ166" s="1"/>
  <c r="AP164"/>
  <c r="AQ164" s="1"/>
  <c r="AP162"/>
  <c r="AQ162" s="1"/>
  <c r="AP160"/>
  <c r="AQ160" s="1"/>
  <c r="AP158"/>
  <c r="AQ158" s="1"/>
  <c r="AP156"/>
  <c r="AQ156" s="1"/>
  <c r="AP154"/>
  <c r="AQ154" s="1"/>
  <c r="AP152"/>
  <c r="AS152" s="1"/>
  <c r="AP150"/>
  <c r="AQ150" s="1"/>
  <c r="AP148"/>
  <c r="AR148" s="1"/>
  <c r="AP146"/>
  <c r="AQ146" s="1"/>
  <c r="AP144"/>
  <c r="AQ144" s="1"/>
  <c r="AP142"/>
  <c r="AQ142" s="1"/>
  <c r="AP140"/>
  <c r="AQ140" s="1"/>
  <c r="AP138"/>
  <c r="AQ138" s="1"/>
  <c r="AP136"/>
  <c r="AS136" s="1"/>
  <c r="AP134"/>
  <c r="AQ134" s="1"/>
  <c r="AP132"/>
  <c r="AQ132" s="1"/>
  <c r="AP130"/>
  <c r="AQ130" s="1"/>
  <c r="AP128"/>
  <c r="AQ128" s="1"/>
  <c r="AP126"/>
  <c r="AR126" s="1"/>
  <c r="AP124"/>
  <c r="AQ124" s="1"/>
  <c r="AP122"/>
  <c r="AQ122" s="1"/>
  <c r="AP120"/>
  <c r="AQ120" s="1"/>
  <c r="AP118"/>
  <c r="AQ118" s="1"/>
  <c r="AP116"/>
  <c r="AR116" s="1"/>
  <c r="AP114"/>
  <c r="AR114" s="1"/>
  <c r="AP112"/>
  <c r="AQ112" s="1"/>
  <c r="AP110"/>
  <c r="AS110" s="1"/>
  <c r="AP108"/>
  <c r="AQ108" s="1"/>
  <c r="AP106"/>
  <c r="AQ106" s="1"/>
  <c r="AP104"/>
  <c r="AQ104" s="1"/>
  <c r="AP102"/>
  <c r="AQ102" s="1"/>
  <c r="AP100"/>
  <c r="AQ100" s="1"/>
  <c r="AP98"/>
  <c r="AQ98" s="1"/>
  <c r="AP96"/>
  <c r="AQ96" s="1"/>
  <c r="AP94"/>
  <c r="AQ94" s="1"/>
  <c r="AP92"/>
  <c r="AQ92" s="1"/>
  <c r="AP90"/>
  <c r="AQ90" s="1"/>
  <c r="AP88"/>
  <c r="AQ88" s="1"/>
  <c r="AP86"/>
  <c r="AQ86" s="1"/>
  <c r="AP84"/>
  <c r="AS84" s="1"/>
  <c r="AP82"/>
  <c r="AR82" s="1"/>
  <c r="AP80"/>
  <c r="AQ80" s="1"/>
  <c r="AP78"/>
  <c r="AQ78" s="1"/>
  <c r="AP76"/>
  <c r="AQ76" s="1"/>
  <c r="AP74"/>
  <c r="AS74" s="1"/>
  <c r="AP72"/>
  <c r="AQ72" s="1"/>
  <c r="AP70"/>
  <c r="AQ70" s="1"/>
  <c r="AP68"/>
  <c r="AQ68" s="1"/>
  <c r="AP66"/>
  <c r="AQ66" s="1"/>
  <c r="AP64"/>
  <c r="AQ64" s="1"/>
  <c r="AP62"/>
  <c r="AQ62" s="1"/>
  <c r="AP60"/>
  <c r="AQ60" s="1"/>
  <c r="AP58"/>
  <c r="AQ58" s="1"/>
  <c r="AP50"/>
  <c r="AQ50" s="1"/>
  <c r="AP46"/>
  <c r="AQ46" s="1"/>
  <c r="AP34"/>
  <c r="AQ34" s="1"/>
  <c r="AP30"/>
  <c r="AQ30" s="1"/>
  <c r="AP56"/>
  <c r="AQ56" s="1"/>
  <c r="AP54"/>
  <c r="AQ54" s="1"/>
  <c r="AP52"/>
  <c r="AQ52" s="1"/>
  <c r="AP48"/>
  <c r="AQ48" s="1"/>
  <c r="AP44"/>
  <c r="AQ44" s="1"/>
  <c r="AP42"/>
  <c r="AQ42" s="1"/>
  <c r="AP40"/>
  <c r="AQ40" s="1"/>
  <c r="AP38"/>
  <c r="AQ38" s="1"/>
  <c r="AP36"/>
  <c r="AQ36" s="1"/>
  <c r="AP32"/>
  <c r="AQ32" s="1"/>
  <c r="AP28"/>
  <c r="AQ28" s="1"/>
  <c r="AP26"/>
  <c r="AR26" s="1"/>
  <c r="AP24"/>
  <c r="AQ24" s="1"/>
  <c r="AP22"/>
  <c r="AQ22" s="1"/>
  <c r="AP21"/>
  <c r="AQ21" s="1"/>
  <c r="AR358"/>
  <c r="AP18"/>
  <c r="AQ18" s="1"/>
  <c r="AP379"/>
  <c r="AQ379" s="1"/>
  <c r="AP375"/>
  <c r="AP371"/>
  <c r="AQ371" s="1"/>
  <c r="AP369"/>
  <c r="AR369" s="1"/>
  <c r="AP365"/>
  <c r="AR365" s="1"/>
  <c r="AP361"/>
  <c r="AR361" s="1"/>
  <c r="AP359"/>
  <c r="AP355"/>
  <c r="AQ355" s="1"/>
  <c r="AP351"/>
  <c r="AS351" s="1"/>
  <c r="AP349"/>
  <c r="AP345"/>
  <c r="AP341"/>
  <c r="AR341" s="1"/>
  <c r="AP337"/>
  <c r="AR337" s="1"/>
  <c r="AP335"/>
  <c r="AP331"/>
  <c r="AQ331" s="1"/>
  <c r="AP329"/>
  <c r="AR329" s="1"/>
  <c r="AP325"/>
  <c r="AR325" s="1"/>
  <c r="AP323"/>
  <c r="AQ323" s="1"/>
  <c r="AP319"/>
  <c r="AP315"/>
  <c r="AQ315" s="1"/>
  <c r="AP311"/>
  <c r="AS311" s="1"/>
  <c r="AP309"/>
  <c r="AP305"/>
  <c r="AR305" s="1"/>
  <c r="AP303"/>
  <c r="AS303" s="1"/>
  <c r="AP299"/>
  <c r="AQ299" s="1"/>
  <c r="AP297"/>
  <c r="AR297" s="1"/>
  <c r="AP293"/>
  <c r="AR293" s="1"/>
  <c r="AP291"/>
  <c r="AQ291" s="1"/>
  <c r="AP287"/>
  <c r="AS287" s="1"/>
  <c r="AP285"/>
  <c r="AP281"/>
  <c r="AP279"/>
  <c r="AS279" s="1"/>
  <c r="AP261"/>
  <c r="AP259"/>
  <c r="AQ259" s="1"/>
  <c r="AP255"/>
  <c r="AQ255" s="1"/>
  <c r="AP251"/>
  <c r="AQ251" s="1"/>
  <c r="AP249"/>
  <c r="AP245"/>
  <c r="AP241"/>
  <c r="AP237"/>
  <c r="AP235"/>
  <c r="AQ235" s="1"/>
  <c r="AP231"/>
  <c r="AQ231" s="1"/>
  <c r="AP227"/>
  <c r="AQ227" s="1"/>
  <c r="AP223"/>
  <c r="AS223" s="1"/>
  <c r="AP221"/>
  <c r="AR221" s="1"/>
  <c r="AP217"/>
  <c r="AP213"/>
  <c r="AP211"/>
  <c r="AQ211" s="1"/>
  <c r="AP207"/>
  <c r="AQ207" s="1"/>
  <c r="AP205"/>
  <c r="AR205" s="1"/>
  <c r="AP201"/>
  <c r="AP197"/>
  <c r="AP193"/>
  <c r="AR193" s="1"/>
  <c r="AP191"/>
  <c r="AQ191" s="1"/>
  <c r="AP187"/>
  <c r="AQ187" s="1"/>
  <c r="AP183"/>
  <c r="AS183" s="1"/>
  <c r="AP181"/>
  <c r="AR181" s="1"/>
  <c r="AP179"/>
  <c r="AQ179" s="1"/>
  <c r="AP175"/>
  <c r="AQ175" s="1"/>
  <c r="AP173"/>
  <c r="AR173" s="1"/>
  <c r="AP169"/>
  <c r="AR169" s="1"/>
  <c r="AP167"/>
  <c r="AP163"/>
  <c r="AQ163" s="1"/>
  <c r="AP161"/>
  <c r="AR161" s="1"/>
  <c r="AP157"/>
  <c r="AR157" s="1"/>
  <c r="AP155"/>
  <c r="AQ155" s="1"/>
  <c r="AP151"/>
  <c r="AS151" s="1"/>
  <c r="AP149"/>
  <c r="AR149" s="1"/>
  <c r="AP145"/>
  <c r="AR145" s="1"/>
  <c r="AP143"/>
  <c r="AQ143" s="1"/>
  <c r="AP139"/>
  <c r="AQ139" s="1"/>
  <c r="AP137"/>
  <c r="AR137" s="1"/>
  <c r="AP133"/>
  <c r="AQ133" s="1"/>
  <c r="AP129"/>
  <c r="AQ129" s="1"/>
  <c r="AP127"/>
  <c r="AQ127" s="1"/>
  <c r="AP123"/>
  <c r="AQ123" s="1"/>
  <c r="AP119"/>
  <c r="AS119" s="1"/>
  <c r="AP117"/>
  <c r="AQ117" s="1"/>
  <c r="AP113"/>
  <c r="AQ113" s="1"/>
  <c r="AP107"/>
  <c r="AQ107" s="1"/>
  <c r="AP95"/>
  <c r="AQ95" s="1"/>
  <c r="AP381"/>
  <c r="AP377"/>
  <c r="AP373"/>
  <c r="AR373" s="1"/>
  <c r="AP367"/>
  <c r="AS367" s="1"/>
  <c r="AP363"/>
  <c r="AQ363" s="1"/>
  <c r="AP357"/>
  <c r="AR357" s="1"/>
  <c r="AP353"/>
  <c r="AR353" s="1"/>
  <c r="AP347"/>
  <c r="AQ347" s="1"/>
  <c r="AP343"/>
  <c r="AP339"/>
  <c r="AQ339" s="1"/>
  <c r="AP333"/>
  <c r="AR333" s="1"/>
  <c r="AP327"/>
  <c r="AS327" s="1"/>
  <c r="AP321"/>
  <c r="AR321" s="1"/>
  <c r="AP317"/>
  <c r="AP313"/>
  <c r="AR313" s="1"/>
  <c r="AP307"/>
  <c r="AQ307" s="1"/>
  <c r="AP301"/>
  <c r="AR301" s="1"/>
  <c r="AP295"/>
  <c r="AP289"/>
  <c r="AR289" s="1"/>
  <c r="AP283"/>
  <c r="AQ283" s="1"/>
  <c r="AP263"/>
  <c r="AQ263" s="1"/>
  <c r="AP257"/>
  <c r="AP253"/>
  <c r="AP247"/>
  <c r="AQ247" s="1"/>
  <c r="AP243"/>
  <c r="AQ243" s="1"/>
  <c r="AP239"/>
  <c r="AQ239" s="1"/>
  <c r="AP233"/>
  <c r="AP229"/>
  <c r="AP225"/>
  <c r="AP219"/>
  <c r="AS219" s="1"/>
  <c r="AP215"/>
  <c r="AQ215" s="1"/>
  <c r="AP209"/>
  <c r="AR209" s="1"/>
  <c r="AP203"/>
  <c r="AQ203" s="1"/>
  <c r="AP199"/>
  <c r="AQ199" s="1"/>
  <c r="AP195"/>
  <c r="AQ195" s="1"/>
  <c r="AP189"/>
  <c r="AR189" s="1"/>
  <c r="AP185"/>
  <c r="AR185" s="1"/>
  <c r="AP177"/>
  <c r="AP171"/>
  <c r="AQ171" s="1"/>
  <c r="AP165"/>
  <c r="AR165" s="1"/>
  <c r="AP159"/>
  <c r="AQ159" s="1"/>
  <c r="AP153"/>
  <c r="AR153" s="1"/>
  <c r="AP147"/>
  <c r="AQ147" s="1"/>
  <c r="AP141"/>
  <c r="AR141" s="1"/>
  <c r="AP135"/>
  <c r="AS135" s="1"/>
  <c r="AP131"/>
  <c r="AQ131" s="1"/>
  <c r="AP125"/>
  <c r="AR125" s="1"/>
  <c r="AP121"/>
  <c r="AR121" s="1"/>
  <c r="AP115"/>
  <c r="AQ115" s="1"/>
  <c r="AP111"/>
  <c r="AQ111" s="1"/>
  <c r="AP109"/>
  <c r="AR109" s="1"/>
  <c r="AP105"/>
  <c r="AR105" s="1"/>
  <c r="AP103"/>
  <c r="AS103" s="1"/>
  <c r="AP101"/>
  <c r="AQ101" s="1"/>
  <c r="AP99"/>
  <c r="AQ99" s="1"/>
  <c r="AP97"/>
  <c r="AQ97" s="1"/>
  <c r="AP93"/>
  <c r="AR93" s="1"/>
  <c r="AP91"/>
  <c r="AQ91" s="1"/>
  <c r="AP89"/>
  <c r="AR89" s="1"/>
  <c r="AP87"/>
  <c r="AS87" s="1"/>
  <c r="AP85"/>
  <c r="AQ85" s="1"/>
  <c r="AP83"/>
  <c r="AQ83" s="1"/>
  <c r="AP81"/>
  <c r="AQ81" s="1"/>
  <c r="AP79"/>
  <c r="AQ79" s="1"/>
  <c r="AP77"/>
  <c r="AP75"/>
  <c r="AQ75" s="1"/>
  <c r="AP73"/>
  <c r="AQ73" s="1"/>
  <c r="AP71"/>
  <c r="AS71" s="1"/>
  <c r="AP69"/>
  <c r="AR69" s="1"/>
  <c r="AP65"/>
  <c r="AQ65" s="1"/>
  <c r="AP63"/>
  <c r="AQ63" s="1"/>
  <c r="AP61"/>
  <c r="AR61" s="1"/>
  <c r="AP59"/>
  <c r="AQ59" s="1"/>
  <c r="AP55"/>
  <c r="AP53"/>
  <c r="AR53" s="1"/>
  <c r="AP49"/>
  <c r="AQ49" s="1"/>
  <c r="AP47"/>
  <c r="AQ47" s="1"/>
  <c r="AP45"/>
  <c r="AR45" s="1"/>
  <c r="AP43"/>
  <c r="AQ43" s="1"/>
  <c r="AP39"/>
  <c r="AS39" s="1"/>
  <c r="AP37"/>
  <c r="AR37" s="1"/>
  <c r="AP33"/>
  <c r="AQ33" s="1"/>
  <c r="AP31"/>
  <c r="AQ31" s="1"/>
  <c r="AP29"/>
  <c r="AR29" s="1"/>
  <c r="AP27"/>
  <c r="AQ27" s="1"/>
  <c r="AP23"/>
  <c r="AP277"/>
  <c r="AR277" s="1"/>
  <c r="AP273"/>
  <c r="AR273" s="1"/>
  <c r="AP265"/>
  <c r="AR265" s="1"/>
  <c r="AP20"/>
  <c r="AP16"/>
  <c r="AQ16" s="1"/>
  <c r="AP12"/>
  <c r="AS12" s="1"/>
  <c r="AP275"/>
  <c r="AQ275" s="1"/>
  <c r="AP271"/>
  <c r="AS271" s="1"/>
  <c r="AP267"/>
  <c r="AS267" s="1"/>
  <c r="AP270"/>
  <c r="AR270" s="1"/>
  <c r="AP268"/>
  <c r="AR268" s="1"/>
  <c r="AP269"/>
  <c r="AR269" s="1"/>
  <c r="AX218" i="43"/>
  <c r="EF213"/>
  <c r="EF214"/>
  <c r="EF215"/>
  <c r="EF216"/>
  <c r="EF217"/>
  <c r="EF218"/>
  <c r="EF219"/>
  <c r="AS228" i="24" l="1"/>
  <c r="AS178"/>
  <c r="AQ278"/>
  <c r="AR376"/>
  <c r="AS200"/>
  <c r="AS90"/>
  <c r="AS194"/>
  <c r="AR170"/>
  <c r="AS210"/>
  <c r="AR186"/>
  <c r="AS326"/>
  <c r="AR326"/>
  <c r="AR57"/>
  <c r="AS274"/>
  <c r="AR306"/>
  <c r="AQ370"/>
  <c r="AQ324"/>
  <c r="AS48"/>
  <c r="AR322"/>
  <c r="AS322"/>
  <c r="AR276"/>
  <c r="AS190"/>
  <c r="AS238"/>
  <c r="AR58"/>
  <c r="AR206"/>
  <c r="AR17"/>
  <c r="AS9"/>
  <c r="AS66"/>
  <c r="AR240"/>
  <c r="AR122"/>
  <c r="AR238"/>
  <c r="AR294"/>
  <c r="AS130"/>
  <c r="AS338"/>
  <c r="AR38"/>
  <c r="AQ114"/>
  <c r="AS122"/>
  <c r="AR106"/>
  <c r="AS98"/>
  <c r="AS356"/>
  <c r="AS226"/>
  <c r="AR192"/>
  <c r="AS208"/>
  <c r="AR323"/>
  <c r="AS292"/>
  <c r="AR242"/>
  <c r="AR360"/>
  <c r="AS374"/>
  <c r="AR280"/>
  <c r="AR292"/>
  <c r="AQ356"/>
  <c r="AS278"/>
  <c r="AS244"/>
  <c r="AS312"/>
  <c r="AS360"/>
  <c r="AS198"/>
  <c r="AR214"/>
  <c r="AQ298"/>
  <c r="AQ374"/>
  <c r="AR164"/>
  <c r="AR342"/>
  <c r="AS57"/>
  <c r="AS260"/>
  <c r="AS328"/>
  <c r="AS376"/>
  <c r="AS242"/>
  <c r="AR244"/>
  <c r="AR226"/>
  <c r="AR298"/>
  <c r="AR208"/>
  <c r="AS310"/>
  <c r="AS342"/>
  <c r="AR328"/>
  <c r="AS40"/>
  <c r="AR258"/>
  <c r="AQ148"/>
  <c r="AR312"/>
  <c r="AS164"/>
  <c r="AS280"/>
  <c r="AS344"/>
  <c r="AS214"/>
  <c r="AS258"/>
  <c r="AR260"/>
  <c r="AS192"/>
  <c r="AR198"/>
  <c r="AQ310"/>
  <c r="AR228"/>
  <c r="AR344"/>
  <c r="AQ276"/>
  <c r="AS83"/>
  <c r="AS146"/>
  <c r="AS17"/>
  <c r="AR41"/>
  <c r="AR91"/>
  <c r="AS222"/>
  <c r="AS224"/>
  <c r="AR74"/>
  <c r="AR138"/>
  <c r="AR190"/>
  <c r="AR222"/>
  <c r="AR370"/>
  <c r="AS26"/>
  <c r="AR372"/>
  <c r="AR288"/>
  <c r="AR352"/>
  <c r="AQ338"/>
  <c r="AS30"/>
  <c r="AS162"/>
  <c r="AS41"/>
  <c r="AR255"/>
  <c r="AS206"/>
  <c r="AR48"/>
  <c r="AR256"/>
  <c r="AR30"/>
  <c r="AR90"/>
  <c r="AR154"/>
  <c r="AQ74"/>
  <c r="AS114"/>
  <c r="AR324"/>
  <c r="AS299"/>
  <c r="AR101"/>
  <c r="AS82"/>
  <c r="AR54"/>
  <c r="AR94"/>
  <c r="AR175"/>
  <c r="AS175"/>
  <c r="AS127"/>
  <c r="AS46"/>
  <c r="AR187"/>
  <c r="AQ82"/>
  <c r="AS286"/>
  <c r="AS259"/>
  <c r="AS179"/>
  <c r="AR32"/>
  <c r="AR362"/>
  <c r="AS126"/>
  <c r="AR182"/>
  <c r="AR230"/>
  <c r="AR366"/>
  <c r="AQ378"/>
  <c r="AS290"/>
  <c r="AQ136"/>
  <c r="AS78"/>
  <c r="AS284"/>
  <c r="AS380"/>
  <c r="AQ110"/>
  <c r="AQ350"/>
  <c r="AS94"/>
  <c r="AS246"/>
  <c r="AR118"/>
  <c r="AR158"/>
  <c r="AQ314"/>
  <c r="AS216"/>
  <c r="AS42"/>
  <c r="AS118"/>
  <c r="AS166"/>
  <c r="AR200"/>
  <c r="AR250"/>
  <c r="AQ282"/>
  <c r="AQ346"/>
  <c r="AR212"/>
  <c r="AR196"/>
  <c r="AR300"/>
  <c r="AS264"/>
  <c r="AR364"/>
  <c r="AS54"/>
  <c r="AS86"/>
  <c r="AS150"/>
  <c r="AR49"/>
  <c r="AS196"/>
  <c r="AS250"/>
  <c r="AR216"/>
  <c r="AR102"/>
  <c r="AR142"/>
  <c r="AR330"/>
  <c r="AS282"/>
  <c r="AS346"/>
  <c r="AS378"/>
  <c r="AQ300"/>
  <c r="AS318"/>
  <c r="AQ126"/>
  <c r="AQ364"/>
  <c r="AS51"/>
  <c r="AS22"/>
  <c r="AS62"/>
  <c r="AS134"/>
  <c r="AS158"/>
  <c r="AS25"/>
  <c r="AS204"/>
  <c r="AS296"/>
  <c r="AS332"/>
  <c r="AR120"/>
  <c r="AR232"/>
  <c r="AR10"/>
  <c r="AR42"/>
  <c r="AR62"/>
  <c r="AR86"/>
  <c r="AR150"/>
  <c r="AR262"/>
  <c r="AR314"/>
  <c r="AQ330"/>
  <c r="AQ362"/>
  <c r="AR284"/>
  <c r="AR332"/>
  <c r="AS232"/>
  <c r="AS10"/>
  <c r="AQ318"/>
  <c r="AS13"/>
  <c r="AR296"/>
  <c r="AR380"/>
  <c r="AS174"/>
  <c r="AR13"/>
  <c r="AS32"/>
  <c r="AR51"/>
  <c r="AS230"/>
  <c r="AR78"/>
  <c r="AR166"/>
  <c r="AQ264"/>
  <c r="AS70"/>
  <c r="AS102"/>
  <c r="AS142"/>
  <c r="AS182"/>
  <c r="AR25"/>
  <c r="AS212"/>
  <c r="AS347"/>
  <c r="AS262"/>
  <c r="AR22"/>
  <c r="AR46"/>
  <c r="AR70"/>
  <c r="AR110"/>
  <c r="AR134"/>
  <c r="AR174"/>
  <c r="AR246"/>
  <c r="AR350"/>
  <c r="AS269"/>
  <c r="AR271"/>
  <c r="AS112"/>
  <c r="AR184"/>
  <c r="AS334"/>
  <c r="AQ271"/>
  <c r="AS15"/>
  <c r="AR147"/>
  <c r="AS50"/>
  <c r="AR218"/>
  <c r="AR234"/>
  <c r="AR336"/>
  <c r="AQ348"/>
  <c r="AS272"/>
  <c r="AS31"/>
  <c r="AS73"/>
  <c r="AS236"/>
  <c r="AS254"/>
  <c r="AR202"/>
  <c r="AR302"/>
  <c r="AQ316"/>
  <c r="AS64"/>
  <c r="AS348"/>
  <c r="AR136"/>
  <c r="AS104"/>
  <c r="AR14"/>
  <c r="AR254"/>
  <c r="AR15"/>
  <c r="AQ286"/>
  <c r="AR320"/>
  <c r="AR368"/>
  <c r="AR266"/>
  <c r="AR272"/>
  <c r="AR274"/>
  <c r="AS38"/>
  <c r="AS97"/>
  <c r="AR73"/>
  <c r="AS72"/>
  <c r="AS188"/>
  <c r="AS220"/>
  <c r="AS252"/>
  <c r="AS288"/>
  <c r="AS304"/>
  <c r="AS320"/>
  <c r="AS336"/>
  <c r="AS352"/>
  <c r="AS368"/>
  <c r="AR215"/>
  <c r="AR88"/>
  <c r="AR152"/>
  <c r="AR248"/>
  <c r="AS307"/>
  <c r="AS160"/>
  <c r="AS240"/>
  <c r="AR98"/>
  <c r="AR130"/>
  <c r="AR146"/>
  <c r="AR162"/>
  <c r="AR178"/>
  <c r="AR194"/>
  <c r="AR210"/>
  <c r="AR290"/>
  <c r="AR334"/>
  <c r="AR354"/>
  <c r="AR224"/>
  <c r="AS302"/>
  <c r="AS366"/>
  <c r="AQ26"/>
  <c r="AQ372"/>
  <c r="AQ168"/>
  <c r="AS248"/>
  <c r="AS294"/>
  <c r="AS358"/>
  <c r="AS306"/>
  <c r="AS354"/>
  <c r="AS58"/>
  <c r="AR308"/>
  <c r="AR340"/>
  <c r="AS316"/>
  <c r="AR72"/>
  <c r="AR220"/>
  <c r="AS235"/>
  <c r="AQ152"/>
  <c r="AQ267"/>
  <c r="AS277"/>
  <c r="AS266"/>
  <c r="AS63"/>
  <c r="AS14"/>
  <c r="AS106"/>
  <c r="AS138"/>
  <c r="AS154"/>
  <c r="AS170"/>
  <c r="AS186"/>
  <c r="AS80"/>
  <c r="AS308"/>
  <c r="AS340"/>
  <c r="AR247"/>
  <c r="AS202"/>
  <c r="AS218"/>
  <c r="AS234"/>
  <c r="AR104"/>
  <c r="AR168"/>
  <c r="AR204"/>
  <c r="AR236"/>
  <c r="AR252"/>
  <c r="AS256"/>
  <c r="AR9"/>
  <c r="AR188"/>
  <c r="AQ184"/>
  <c r="AR304"/>
  <c r="AR66"/>
  <c r="AS43"/>
  <c r="AS28"/>
  <c r="AS52"/>
  <c r="AS92"/>
  <c r="AR267"/>
  <c r="AS19"/>
  <c r="AS99"/>
  <c r="AS100"/>
  <c r="AS148"/>
  <c r="AR19"/>
  <c r="AR107"/>
  <c r="AR195"/>
  <c r="AS147"/>
  <c r="AS215"/>
  <c r="AQ116"/>
  <c r="AR132"/>
  <c r="AS11"/>
  <c r="AS35"/>
  <c r="AS107"/>
  <c r="AS81"/>
  <c r="AR21"/>
  <c r="AR81"/>
  <c r="AS124"/>
  <c r="AS180"/>
  <c r="AR171"/>
  <c r="AS171"/>
  <c r="AR84"/>
  <c r="AQ180"/>
  <c r="AS21"/>
  <c r="AS132"/>
  <c r="AR11"/>
  <c r="AR99"/>
  <c r="AR52"/>
  <c r="AS123"/>
  <c r="AR140"/>
  <c r="AS116"/>
  <c r="AR100"/>
  <c r="AR108"/>
  <c r="AQ277"/>
  <c r="AS79"/>
  <c r="AS49"/>
  <c r="AR97"/>
  <c r="AR117"/>
  <c r="AS68"/>
  <c r="AS88"/>
  <c r="AS108"/>
  <c r="AS128"/>
  <c r="AS156"/>
  <c r="AR67"/>
  <c r="AR123"/>
  <c r="AR239"/>
  <c r="AR259"/>
  <c r="AS211"/>
  <c r="AS283"/>
  <c r="AS355"/>
  <c r="AR40"/>
  <c r="AR80"/>
  <c r="AR112"/>
  <c r="AR144"/>
  <c r="AR176"/>
  <c r="AS291"/>
  <c r="AS144"/>
  <c r="AR76"/>
  <c r="AR18"/>
  <c r="AR355"/>
  <c r="AQ84"/>
  <c r="AR124"/>
  <c r="AR34"/>
  <c r="AS34"/>
  <c r="AR156"/>
  <c r="AR79"/>
  <c r="AR50"/>
  <c r="AR60"/>
  <c r="AR172"/>
  <c r="AS268"/>
  <c r="AS67"/>
  <c r="AS33"/>
  <c r="AS65"/>
  <c r="AS129"/>
  <c r="AS60"/>
  <c r="AS76"/>
  <c r="AS96"/>
  <c r="AS120"/>
  <c r="AS140"/>
  <c r="AS172"/>
  <c r="AR35"/>
  <c r="AR155"/>
  <c r="AR211"/>
  <c r="AR251"/>
  <c r="AS251"/>
  <c r="AS315"/>
  <c r="AR68"/>
  <c r="AR64"/>
  <c r="AR96"/>
  <c r="AR128"/>
  <c r="AR160"/>
  <c r="AS247"/>
  <c r="AS176"/>
  <c r="AR92"/>
  <c r="AS133"/>
  <c r="AR133"/>
  <c r="AS44"/>
  <c r="AR27"/>
  <c r="AR235"/>
  <c r="AR36"/>
  <c r="AS159"/>
  <c r="AS263"/>
  <c r="AR31"/>
  <c r="AR299"/>
  <c r="AR315"/>
  <c r="AS273"/>
  <c r="AS36"/>
  <c r="AR243"/>
  <c r="AS243"/>
  <c r="AS379"/>
  <c r="AS18"/>
  <c r="AR95"/>
  <c r="AR191"/>
  <c r="AR28"/>
  <c r="AQ273"/>
  <c r="AS95"/>
  <c r="AR85"/>
  <c r="AS24"/>
  <c r="AS56"/>
  <c r="AR59"/>
  <c r="AR24"/>
  <c r="AR56"/>
  <c r="AS207"/>
  <c r="AR379"/>
  <c r="AR207"/>
  <c r="AR44"/>
  <c r="AQ177"/>
  <c r="AS177"/>
  <c r="AQ377"/>
  <c r="AS377"/>
  <c r="AQ151"/>
  <c r="AR151"/>
  <c r="AQ241"/>
  <c r="AS241"/>
  <c r="AR241"/>
  <c r="AQ281"/>
  <c r="AS281"/>
  <c r="AS270"/>
  <c r="AR275"/>
  <c r="AS16"/>
  <c r="AR131"/>
  <c r="AQ20"/>
  <c r="AR20"/>
  <c r="AS131"/>
  <c r="AS187"/>
  <c r="AS331"/>
  <c r="AQ37"/>
  <c r="AS37"/>
  <c r="AQ69"/>
  <c r="AS69"/>
  <c r="AS77"/>
  <c r="AQ77"/>
  <c r="AQ185"/>
  <c r="AS185"/>
  <c r="AQ225"/>
  <c r="AS225"/>
  <c r="AR47"/>
  <c r="AR127"/>
  <c r="AR203"/>
  <c r="AQ167"/>
  <c r="AR167"/>
  <c r="AS205"/>
  <c r="AQ205"/>
  <c r="AQ217"/>
  <c r="AR217"/>
  <c r="AS217"/>
  <c r="AQ245"/>
  <c r="AS245"/>
  <c r="AR245"/>
  <c r="AQ285"/>
  <c r="AS285"/>
  <c r="AQ297"/>
  <c r="AS297"/>
  <c r="AQ309"/>
  <c r="AS309"/>
  <c r="AQ335"/>
  <c r="AR335"/>
  <c r="AQ349"/>
  <c r="AS349"/>
  <c r="AQ361"/>
  <c r="AS361"/>
  <c r="AQ375"/>
  <c r="AR375"/>
  <c r="AR331"/>
  <c r="AQ268"/>
  <c r="AS275"/>
  <c r="AS27"/>
  <c r="AS59"/>
  <c r="AS75"/>
  <c r="AS91"/>
  <c r="AS113"/>
  <c r="AR77"/>
  <c r="AS20"/>
  <c r="AR43"/>
  <c r="AR75"/>
  <c r="AR139"/>
  <c r="AR199"/>
  <c r="AR231"/>
  <c r="AR263"/>
  <c r="AS155"/>
  <c r="AS191"/>
  <c r="AS231"/>
  <c r="AS323"/>
  <c r="AS363"/>
  <c r="AR309"/>
  <c r="AS115"/>
  <c r="AS139"/>
  <c r="AS167"/>
  <c r="AS195"/>
  <c r="AS339"/>
  <c r="AR225"/>
  <c r="AQ29"/>
  <c r="AS29"/>
  <c r="AQ39"/>
  <c r="AR39"/>
  <c r="AQ61"/>
  <c r="AS61"/>
  <c r="AQ71"/>
  <c r="AR71"/>
  <c r="AQ87"/>
  <c r="AR87"/>
  <c r="AQ105"/>
  <c r="AS105"/>
  <c r="AQ121"/>
  <c r="AS121"/>
  <c r="AS141"/>
  <c r="AQ141"/>
  <c r="AQ165"/>
  <c r="AS165"/>
  <c r="AQ189"/>
  <c r="AS189"/>
  <c r="AQ209"/>
  <c r="AS209"/>
  <c r="AQ229"/>
  <c r="AS229"/>
  <c r="AR229"/>
  <c r="AQ327"/>
  <c r="AR327"/>
  <c r="AQ367"/>
  <c r="AR367"/>
  <c r="AR63"/>
  <c r="AR143"/>
  <c r="AR283"/>
  <c r="AQ119"/>
  <c r="AR119"/>
  <c r="AQ145"/>
  <c r="AS145"/>
  <c r="AQ157"/>
  <c r="AS157"/>
  <c r="AQ169"/>
  <c r="AS169"/>
  <c r="AQ181"/>
  <c r="AS181"/>
  <c r="AQ193"/>
  <c r="AS193"/>
  <c r="AQ221"/>
  <c r="AS221"/>
  <c r="AQ249"/>
  <c r="AS249"/>
  <c r="AR249"/>
  <c r="AQ261"/>
  <c r="AS261"/>
  <c r="AR261"/>
  <c r="AQ287"/>
  <c r="AR287"/>
  <c r="AQ311"/>
  <c r="AR311"/>
  <c r="AQ325"/>
  <c r="AS325"/>
  <c r="AQ337"/>
  <c r="AS337"/>
  <c r="AQ351"/>
  <c r="AR351"/>
  <c r="AQ365"/>
  <c r="AS365"/>
  <c r="AR291"/>
  <c r="AR347"/>
  <c r="AQ265"/>
  <c r="AS265"/>
  <c r="AQ23"/>
  <c r="AR23"/>
  <c r="AS45"/>
  <c r="AQ45"/>
  <c r="AQ55"/>
  <c r="AR55"/>
  <c r="AQ153"/>
  <c r="AS153"/>
  <c r="AQ219"/>
  <c r="AR219"/>
  <c r="AQ257"/>
  <c r="AS257"/>
  <c r="AR257"/>
  <c r="AQ295"/>
  <c r="AR295"/>
  <c r="AQ317"/>
  <c r="AS317"/>
  <c r="AQ357"/>
  <c r="AS357"/>
  <c r="AQ201"/>
  <c r="AS201"/>
  <c r="AR201"/>
  <c r="AQ213"/>
  <c r="AS213"/>
  <c r="AR213"/>
  <c r="AQ293"/>
  <c r="AS293"/>
  <c r="AQ305"/>
  <c r="AS305"/>
  <c r="AQ319"/>
  <c r="AR319"/>
  <c r="AQ345"/>
  <c r="AS345"/>
  <c r="AQ359"/>
  <c r="AR359"/>
  <c r="AS23"/>
  <c r="AS55"/>
  <c r="AS101"/>
  <c r="AR163"/>
  <c r="AR227"/>
  <c r="AS359"/>
  <c r="AQ93"/>
  <c r="AS93"/>
  <c r="AQ103"/>
  <c r="AR103"/>
  <c r="AQ135"/>
  <c r="AR135"/>
  <c r="AQ301"/>
  <c r="AS301"/>
  <c r="AQ321"/>
  <c r="AS321"/>
  <c r="AQ343"/>
  <c r="AR343"/>
  <c r="AQ381"/>
  <c r="AS381"/>
  <c r="AR339"/>
  <c r="AS47"/>
  <c r="AS111"/>
  <c r="AS85"/>
  <c r="AS117"/>
  <c r="AR33"/>
  <c r="AR65"/>
  <c r="AR113"/>
  <c r="AR129"/>
  <c r="AR177"/>
  <c r="AR83"/>
  <c r="AR115"/>
  <c r="AR179"/>
  <c r="AS163"/>
  <c r="AS203"/>
  <c r="AS239"/>
  <c r="AS295"/>
  <c r="AS335"/>
  <c r="AS375"/>
  <c r="AR281"/>
  <c r="AR317"/>
  <c r="AR345"/>
  <c r="AR381"/>
  <c r="AR16"/>
  <c r="AQ12"/>
  <c r="AR12"/>
  <c r="AS143"/>
  <c r="AS199"/>
  <c r="AS227"/>
  <c r="AS255"/>
  <c r="AS319"/>
  <c r="AS343"/>
  <c r="AS371"/>
  <c r="AR285"/>
  <c r="AR349"/>
  <c r="AR377"/>
  <c r="AQ53"/>
  <c r="AS53"/>
  <c r="AQ89"/>
  <c r="AS89"/>
  <c r="AS109"/>
  <c r="AQ109"/>
  <c r="AQ125"/>
  <c r="AS125"/>
  <c r="AQ233"/>
  <c r="AS233"/>
  <c r="AR233"/>
  <c r="AQ253"/>
  <c r="AS253"/>
  <c r="AR253"/>
  <c r="AQ289"/>
  <c r="AS289"/>
  <c r="AQ313"/>
  <c r="AS313"/>
  <c r="AQ333"/>
  <c r="AS333"/>
  <c r="AQ353"/>
  <c r="AS353"/>
  <c r="AQ373"/>
  <c r="AS373"/>
  <c r="AR159"/>
  <c r="AR363"/>
  <c r="AQ137"/>
  <c r="AS137"/>
  <c r="AQ149"/>
  <c r="AS149"/>
  <c r="AQ161"/>
  <c r="AS161"/>
  <c r="AS173"/>
  <c r="AQ173"/>
  <c r="AQ183"/>
  <c r="AR183"/>
  <c r="AQ197"/>
  <c r="AS197"/>
  <c r="AR197"/>
  <c r="AQ223"/>
  <c r="AR223"/>
  <c r="AS237"/>
  <c r="AQ237"/>
  <c r="AR237"/>
  <c r="AQ279"/>
  <c r="AR279"/>
  <c r="AQ303"/>
  <c r="AR303"/>
  <c r="AQ329"/>
  <c r="AS329"/>
  <c r="AQ341"/>
  <c r="AS341"/>
  <c r="AQ369"/>
  <c r="AS369"/>
  <c r="AR111"/>
  <c r="AR307"/>
  <c r="AR371"/>
  <c r="AQ270"/>
  <c r="AQ269"/>
  <c r="A8" i="49"/>
  <c r="H15" l="1"/>
  <c r="H13"/>
  <c r="H14"/>
  <c r="H10"/>
  <c r="G15"/>
  <c r="G13"/>
  <c r="G14"/>
  <c r="G10"/>
  <c r="D25"/>
  <c r="D24"/>
  <c r="D23"/>
  <c r="D22"/>
  <c r="C25"/>
  <c r="C24"/>
  <c r="C23"/>
  <c r="C22"/>
  <c r="GC9" i="43" l="1"/>
  <c r="GC10"/>
  <c r="GC11"/>
  <c r="GC12"/>
  <c r="GC13"/>
  <c r="GC14"/>
  <c r="GC15"/>
  <c r="GC16"/>
  <c r="GC17"/>
  <c r="GC18"/>
  <c r="GC19"/>
  <c r="GC20"/>
  <c r="GC21"/>
  <c r="GC22"/>
  <c r="GC23"/>
  <c r="GC24"/>
  <c r="GC25"/>
  <c r="GC26"/>
  <c r="GC27"/>
  <c r="GC28"/>
  <c r="GC29"/>
  <c r="GC30"/>
  <c r="GC31"/>
  <c r="GC32"/>
  <c r="GC33"/>
  <c r="GC34"/>
  <c r="GC35"/>
  <c r="GC36"/>
  <c r="GC37"/>
  <c r="GC38"/>
  <c r="GC39"/>
  <c r="GC40"/>
  <c r="GC41"/>
  <c r="GC42"/>
  <c r="GC43"/>
  <c r="GC44"/>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C107"/>
  <c r="GC108"/>
  <c r="GC109"/>
  <c r="GC110"/>
  <c r="GC111"/>
  <c r="GC112"/>
  <c r="GC113"/>
  <c r="GC114"/>
  <c r="GC115"/>
  <c r="GC116"/>
  <c r="GC117"/>
  <c r="GC118"/>
  <c r="GC119"/>
  <c r="GC120"/>
  <c r="GC121"/>
  <c r="GC122"/>
  <c r="GC123"/>
  <c r="GC124"/>
  <c r="GC125"/>
  <c r="GC126"/>
  <c r="GC127"/>
  <c r="GC128"/>
  <c r="GC129"/>
  <c r="GC130"/>
  <c r="GC131"/>
  <c r="GC132"/>
  <c r="GC133"/>
  <c r="GC134"/>
  <c r="GC135"/>
  <c r="GC136"/>
  <c r="GC137"/>
  <c r="GC138"/>
  <c r="GC139"/>
  <c r="GC140"/>
  <c r="GC141"/>
  <c r="GC142"/>
  <c r="GC143"/>
  <c r="GC144"/>
  <c r="GC145"/>
  <c r="GC146"/>
  <c r="GC147"/>
  <c r="GC148"/>
  <c r="GC149"/>
  <c r="GC150"/>
  <c r="GC151"/>
  <c r="GC152"/>
  <c r="GC153"/>
  <c r="GC154"/>
  <c r="GC155"/>
  <c r="GC156"/>
  <c r="GC157"/>
  <c r="GC158"/>
  <c r="GC159"/>
  <c r="GC160"/>
  <c r="GC161"/>
  <c r="GC162"/>
  <c r="GC163"/>
  <c r="GC164"/>
  <c r="GC165"/>
  <c r="GC166"/>
  <c r="GC167"/>
  <c r="GC168"/>
  <c r="GC169"/>
  <c r="GC170"/>
  <c r="GC171"/>
  <c r="GC172"/>
  <c r="GC173"/>
  <c r="GC174"/>
  <c r="GC175"/>
  <c r="GC176"/>
  <c r="GC177"/>
  <c r="GC178"/>
  <c r="GC179"/>
  <c r="GC180"/>
  <c r="GC181"/>
  <c r="GC182"/>
  <c r="GC183"/>
  <c r="GC184"/>
  <c r="GC185"/>
  <c r="GC186"/>
  <c r="GC187"/>
  <c r="GC188"/>
  <c r="GC189"/>
  <c r="GC190"/>
  <c r="GC191"/>
  <c r="GC192"/>
  <c r="GC193"/>
  <c r="GC194"/>
  <c r="GC195"/>
  <c r="GC196"/>
  <c r="GC197"/>
  <c r="GC198"/>
  <c r="GC199"/>
  <c r="GC200"/>
  <c r="GC201"/>
  <c r="GC202"/>
  <c r="GC203"/>
  <c r="GC204"/>
  <c r="GC205"/>
  <c r="GC206"/>
  <c r="GC207"/>
  <c r="GC208"/>
  <c r="GC209"/>
  <c r="GC210"/>
  <c r="GC211"/>
  <c r="GC212"/>
  <c r="GC213"/>
  <c r="GC214"/>
  <c r="GC215"/>
  <c r="GC216"/>
  <c r="GC217"/>
  <c r="GC218"/>
  <c r="GC219"/>
  <c r="GC220"/>
  <c r="GC221"/>
  <c r="GC222"/>
  <c r="GC223"/>
  <c r="GC224"/>
  <c r="GC225"/>
  <c r="GC226"/>
  <c r="GC227"/>
  <c r="GC228"/>
  <c r="GC229"/>
  <c r="GC230"/>
  <c r="GC231"/>
  <c r="GC232"/>
  <c r="GC233"/>
  <c r="GC234"/>
  <c r="GC235"/>
  <c r="GC236"/>
  <c r="GC237"/>
  <c r="GC238"/>
  <c r="GC239"/>
  <c r="GC240"/>
  <c r="GC241"/>
  <c r="GC242"/>
  <c r="GC243"/>
  <c r="GC244"/>
  <c r="GC245"/>
  <c r="GC246"/>
  <c r="GC247"/>
  <c r="GC248"/>
  <c r="GC249"/>
  <c r="GC250"/>
  <c r="GC251"/>
  <c r="GC252"/>
  <c r="GC253"/>
  <c r="GC254"/>
  <c r="GC255"/>
  <c r="GC256"/>
  <c r="GC257"/>
  <c r="GC258"/>
  <c r="GC259"/>
  <c r="GC260"/>
  <c r="GC261"/>
  <c r="GC262"/>
  <c r="GC263"/>
  <c r="GC264"/>
  <c r="GC265"/>
  <c r="GC266"/>
  <c r="GC267"/>
  <c r="GC268"/>
  <c r="GC269"/>
  <c r="GC270"/>
  <c r="GC271"/>
  <c r="GC272"/>
  <c r="GC273"/>
  <c r="GC274"/>
  <c r="GC275"/>
  <c r="GC276"/>
  <c r="GC277"/>
  <c r="GC278"/>
  <c r="GC279"/>
  <c r="GC280"/>
  <c r="GC281"/>
  <c r="GC282"/>
  <c r="GC283"/>
  <c r="GC284"/>
  <c r="GC285"/>
  <c r="GC286"/>
  <c r="GC287"/>
  <c r="GC288"/>
  <c r="GC289"/>
  <c r="GC290"/>
  <c r="GC291"/>
  <c r="GC292"/>
  <c r="GC293"/>
  <c r="GC294"/>
  <c r="GC295"/>
  <c r="GC296"/>
  <c r="GC297"/>
  <c r="GC298"/>
  <c r="GC299"/>
  <c r="GC300"/>
  <c r="GC301"/>
  <c r="GC302"/>
  <c r="GC303"/>
  <c r="GC304"/>
  <c r="GC305"/>
  <c r="GC306"/>
  <c r="GC307"/>
  <c r="GC308"/>
  <c r="GC309"/>
  <c r="GC310"/>
  <c r="GC311"/>
  <c r="GC312"/>
  <c r="GC313"/>
  <c r="GC314"/>
  <c r="GC315"/>
  <c r="GC316"/>
  <c r="GC317"/>
  <c r="GC318"/>
  <c r="GC319"/>
  <c r="GC320"/>
  <c r="GC321"/>
  <c r="GC322"/>
  <c r="GC323"/>
  <c r="GC324"/>
  <c r="GC325"/>
  <c r="GC326"/>
  <c r="GC327"/>
  <c r="GC328"/>
  <c r="GC329"/>
  <c r="GC330"/>
  <c r="GC331"/>
  <c r="GC332"/>
  <c r="GC333"/>
  <c r="GC334"/>
  <c r="GC335"/>
  <c r="GC336"/>
  <c r="GC337"/>
  <c r="GC338"/>
  <c r="GC339"/>
  <c r="GC340"/>
  <c r="GC341"/>
  <c r="GC342"/>
  <c r="GC343"/>
  <c r="GC344"/>
  <c r="GC345"/>
  <c r="GC346"/>
  <c r="GC347"/>
  <c r="GC348"/>
  <c r="GC349"/>
  <c r="GC350"/>
  <c r="GC351"/>
  <c r="GC352"/>
  <c r="GC353"/>
  <c r="GC354"/>
  <c r="GC355"/>
  <c r="GC356"/>
  <c r="GC357"/>
  <c r="GC358"/>
  <c r="GC359"/>
  <c r="GC360"/>
  <c r="GC361"/>
  <c r="GC362"/>
  <c r="GC363"/>
  <c r="GC364"/>
  <c r="GC365"/>
  <c r="GC366"/>
  <c r="GC367"/>
  <c r="GC368"/>
  <c r="GC369"/>
  <c r="GC370"/>
  <c r="GC371"/>
  <c r="GC372"/>
  <c r="GC373"/>
  <c r="GC374"/>
  <c r="GC375"/>
  <c r="GC376"/>
  <c r="GC377"/>
  <c r="GC378"/>
  <c r="GC379"/>
  <c r="GC380"/>
  <c r="GC381"/>
  <c r="GC8"/>
  <c r="EU29" l="1"/>
  <c r="EU27"/>
  <c r="EU28"/>
  <c r="W9" i="24"/>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W296"/>
  <c r="W297"/>
  <c r="W298"/>
  <c r="W299"/>
  <c r="W300"/>
  <c r="W301"/>
  <c r="W302"/>
  <c r="W303"/>
  <c r="W304"/>
  <c r="W305"/>
  <c r="W306"/>
  <c r="W307"/>
  <c r="W308"/>
  <c r="W309"/>
  <c r="W310"/>
  <c r="W311"/>
  <c r="W312"/>
  <c r="W313"/>
  <c r="W314"/>
  <c r="W315"/>
  <c r="W316"/>
  <c r="W317"/>
  <c r="W318"/>
  <c r="W319"/>
  <c r="W320"/>
  <c r="W321"/>
  <c r="W322"/>
  <c r="W323"/>
  <c r="W324"/>
  <c r="W325"/>
  <c r="W326"/>
  <c r="W327"/>
  <c r="W328"/>
  <c r="W329"/>
  <c r="W330"/>
  <c r="W331"/>
  <c r="W332"/>
  <c r="W333"/>
  <c r="W334"/>
  <c r="W335"/>
  <c r="W336"/>
  <c r="W337"/>
  <c r="W338"/>
  <c r="W339"/>
  <c r="W340"/>
  <c r="W341"/>
  <c r="W342"/>
  <c r="W343"/>
  <c r="W344"/>
  <c r="W345"/>
  <c r="W346"/>
  <c r="W347"/>
  <c r="W348"/>
  <c r="W349"/>
  <c r="W350"/>
  <c r="W351"/>
  <c r="W352"/>
  <c r="W353"/>
  <c r="W354"/>
  <c r="W355"/>
  <c r="W356"/>
  <c r="W357"/>
  <c r="W358"/>
  <c r="W359"/>
  <c r="W360"/>
  <c r="W361"/>
  <c r="W362"/>
  <c r="W363"/>
  <c r="W364"/>
  <c r="W365"/>
  <c r="W366"/>
  <c r="W367"/>
  <c r="W368"/>
  <c r="W369"/>
  <c r="W370"/>
  <c r="W371"/>
  <c r="W372"/>
  <c r="W373"/>
  <c r="W374"/>
  <c r="W375"/>
  <c r="W376"/>
  <c r="W377"/>
  <c r="W378"/>
  <c r="W379"/>
  <c r="W380"/>
  <c r="W381"/>
  <c r="W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47"/>
  <c r="BN348"/>
  <c r="BN349"/>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M301"/>
  <c r="BM302"/>
  <c r="BM303"/>
  <c r="BM304"/>
  <c r="BM305"/>
  <c r="BM306"/>
  <c r="BM307"/>
  <c r="BM308"/>
  <c r="BM309"/>
  <c r="BM310"/>
  <c r="BM311"/>
  <c r="BM312"/>
  <c r="BM313"/>
  <c r="BM314"/>
  <c r="BM315"/>
  <c r="BM316"/>
  <c r="BM317"/>
  <c r="BM318"/>
  <c r="BM319"/>
  <c r="BM320"/>
  <c r="BM321"/>
  <c r="BM322"/>
  <c r="BM323"/>
  <c r="BM324"/>
  <c r="BM325"/>
  <c r="BM326"/>
  <c r="BM327"/>
  <c r="BM328"/>
  <c r="BM329"/>
  <c r="BM330"/>
  <c r="BM331"/>
  <c r="BM332"/>
  <c r="BM333"/>
  <c r="BM334"/>
  <c r="BM335"/>
  <c r="BM336"/>
  <c r="BM337"/>
  <c r="BM338"/>
  <c r="BM339"/>
  <c r="BM340"/>
  <c r="BM341"/>
  <c r="BM342"/>
  <c r="BM343"/>
  <c r="BM344"/>
  <c r="BM345"/>
  <c r="BM346"/>
  <c r="BM347"/>
  <c r="BM348"/>
  <c r="BM349"/>
  <c r="BM350"/>
  <c r="BM351"/>
  <c r="BM352"/>
  <c r="BM353"/>
  <c r="BM354"/>
  <c r="BM355"/>
  <c r="BM356"/>
  <c r="BM357"/>
  <c r="BM358"/>
  <c r="BM359"/>
  <c r="BM360"/>
  <c r="BM361"/>
  <c r="BM362"/>
  <c r="BM363"/>
  <c r="BM364"/>
  <c r="BM365"/>
  <c r="BM366"/>
  <c r="BM367"/>
  <c r="BM368"/>
  <c r="BM369"/>
  <c r="BM370"/>
  <c r="BM371"/>
  <c r="BM372"/>
  <c r="BM373"/>
  <c r="BM374"/>
  <c r="BM375"/>
  <c r="BM376"/>
  <c r="BM377"/>
  <c r="BM378"/>
  <c r="BM379"/>
  <c r="BM380"/>
  <c r="BM381"/>
  <c r="BM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8"/>
  <c r="AT16" i="43" l="1"/>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9"/>
  <c r="AT10"/>
  <c r="AT11"/>
  <c r="AT12"/>
  <c r="AT13"/>
  <c r="AT14"/>
  <c r="AT15"/>
  <c r="AT8"/>
  <c r="BR4" i="32"/>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X386" i="45"/>
  <c r="D379" l="1"/>
  <c r="D380"/>
  <c r="D381"/>
  <c r="D382"/>
  <c r="D383"/>
  <c r="D384"/>
  <c r="AT359" i="24"/>
  <c r="AT360"/>
  <c r="AT361"/>
  <c r="AT362"/>
  <c r="AT363"/>
  <c r="AT364"/>
  <c r="AT365"/>
  <c r="AT366"/>
  <c r="AT367"/>
  <c r="AT368"/>
  <c r="AT369"/>
  <c r="AT370"/>
  <c r="AT371"/>
  <c r="AT372"/>
  <c r="AT373"/>
  <c r="AT374"/>
  <c r="AT375"/>
  <c r="AT376"/>
  <c r="AT377"/>
  <c r="AT378"/>
  <c r="AT379"/>
  <c r="AT380"/>
  <c r="AT381"/>
  <c r="N6"/>
  <c r="M6"/>
  <c r="K6"/>
  <c r="I6"/>
  <c r="M9" l="1"/>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8"/>
  <c r="F8"/>
  <c r="GH9" i="43" l="1"/>
  <c r="GH10"/>
  <c r="GH11"/>
  <c r="GH12"/>
  <c r="GH13"/>
  <c r="GH14"/>
  <c r="GH15"/>
  <c r="GH16"/>
  <c r="GH17"/>
  <c r="GH18"/>
  <c r="GH19"/>
  <c r="GH20"/>
  <c r="GH21"/>
  <c r="GH22"/>
  <c r="GH23"/>
  <c r="GH24"/>
  <c r="GH25"/>
  <c r="GH26"/>
  <c r="GH27"/>
  <c r="GH28"/>
  <c r="GH29"/>
  <c r="GH30"/>
  <c r="GH31"/>
  <c r="GH32"/>
  <c r="GH33"/>
  <c r="GH34"/>
  <c r="GH35"/>
  <c r="GH36"/>
  <c r="GH37"/>
  <c r="GH38"/>
  <c r="GH39"/>
  <c r="GH40"/>
  <c r="GH41"/>
  <c r="GH42"/>
  <c r="GH43"/>
  <c r="GH44"/>
  <c r="GH45"/>
  <c r="GH46"/>
  <c r="GH47"/>
  <c r="GH48"/>
  <c r="GH49"/>
  <c r="GH50"/>
  <c r="GH51"/>
  <c r="GH52"/>
  <c r="GH53"/>
  <c r="GH54"/>
  <c r="GH55"/>
  <c r="GH56"/>
  <c r="GH57"/>
  <c r="GH58"/>
  <c r="GH59"/>
  <c r="GH60"/>
  <c r="GH61"/>
  <c r="GH62"/>
  <c r="GH63"/>
  <c r="GH64"/>
  <c r="GH65"/>
  <c r="GH66"/>
  <c r="GH67"/>
  <c r="GH68"/>
  <c r="GH69"/>
  <c r="GH70"/>
  <c r="GH71"/>
  <c r="GH72"/>
  <c r="GH73"/>
  <c r="GH74"/>
  <c r="GH75"/>
  <c r="GH76"/>
  <c r="GH77"/>
  <c r="GH78"/>
  <c r="GH79"/>
  <c r="GH80"/>
  <c r="GH81"/>
  <c r="GH82"/>
  <c r="GH83"/>
  <c r="GH84"/>
  <c r="GH85"/>
  <c r="GH86"/>
  <c r="GH87"/>
  <c r="GH88"/>
  <c r="GH89"/>
  <c r="GH90"/>
  <c r="GH91"/>
  <c r="GH92"/>
  <c r="GH93"/>
  <c r="GH94"/>
  <c r="GH95"/>
  <c r="GH96"/>
  <c r="GH97"/>
  <c r="GH98"/>
  <c r="GH99"/>
  <c r="GH100"/>
  <c r="GH101"/>
  <c r="GH102"/>
  <c r="GH103"/>
  <c r="GH104"/>
  <c r="GH105"/>
  <c r="GH106"/>
  <c r="GH107"/>
  <c r="GH108"/>
  <c r="GH109"/>
  <c r="GH110"/>
  <c r="GH111"/>
  <c r="GH112"/>
  <c r="GH113"/>
  <c r="GH114"/>
  <c r="GH115"/>
  <c r="GH116"/>
  <c r="GH117"/>
  <c r="GH118"/>
  <c r="GH119"/>
  <c r="GH120"/>
  <c r="GH121"/>
  <c r="GH122"/>
  <c r="GH123"/>
  <c r="GH124"/>
  <c r="GH125"/>
  <c r="GH126"/>
  <c r="GH127"/>
  <c r="GH128"/>
  <c r="GH129"/>
  <c r="GH130"/>
  <c r="GH131"/>
  <c r="GH132"/>
  <c r="GH133"/>
  <c r="GH134"/>
  <c r="GH135"/>
  <c r="GH136"/>
  <c r="GH137"/>
  <c r="GH138"/>
  <c r="GH139"/>
  <c r="GH140"/>
  <c r="GH141"/>
  <c r="GH142"/>
  <c r="GH143"/>
  <c r="GH144"/>
  <c r="GH145"/>
  <c r="GH146"/>
  <c r="GH147"/>
  <c r="GH148"/>
  <c r="GH149"/>
  <c r="GH150"/>
  <c r="GH151"/>
  <c r="GH152"/>
  <c r="GH153"/>
  <c r="GH154"/>
  <c r="GH155"/>
  <c r="GH156"/>
  <c r="GH157"/>
  <c r="GH158"/>
  <c r="GH159"/>
  <c r="GH160"/>
  <c r="GH161"/>
  <c r="GH162"/>
  <c r="GH163"/>
  <c r="GH164"/>
  <c r="GH165"/>
  <c r="GH166"/>
  <c r="GH167"/>
  <c r="GH168"/>
  <c r="GH169"/>
  <c r="GH170"/>
  <c r="GH171"/>
  <c r="GH172"/>
  <c r="GH173"/>
  <c r="GH174"/>
  <c r="GH175"/>
  <c r="GH176"/>
  <c r="GH177"/>
  <c r="GH178"/>
  <c r="GH179"/>
  <c r="GH180"/>
  <c r="GH181"/>
  <c r="GH182"/>
  <c r="GH183"/>
  <c r="GH184"/>
  <c r="GH185"/>
  <c r="GH186"/>
  <c r="GH187"/>
  <c r="GH188"/>
  <c r="GH189"/>
  <c r="GH190"/>
  <c r="GH191"/>
  <c r="GH192"/>
  <c r="GH193"/>
  <c r="GH194"/>
  <c r="GH195"/>
  <c r="GH196"/>
  <c r="GH197"/>
  <c r="GH198"/>
  <c r="GH199"/>
  <c r="GH200"/>
  <c r="GH201"/>
  <c r="GH202"/>
  <c r="GH203"/>
  <c r="GH204"/>
  <c r="GH205"/>
  <c r="GH206"/>
  <c r="GH207"/>
  <c r="GH208"/>
  <c r="GH209"/>
  <c r="GH210"/>
  <c r="GH211"/>
  <c r="GH212"/>
  <c r="GH213"/>
  <c r="GH214"/>
  <c r="GH215"/>
  <c r="GH216"/>
  <c r="GH217"/>
  <c r="GH218"/>
  <c r="GH219"/>
  <c r="GH220"/>
  <c r="GH221"/>
  <c r="GH222"/>
  <c r="GH223"/>
  <c r="GH224"/>
  <c r="GH225"/>
  <c r="GH226"/>
  <c r="GH227"/>
  <c r="GH228"/>
  <c r="GH229"/>
  <c r="GH230"/>
  <c r="GH231"/>
  <c r="GH232"/>
  <c r="GH233"/>
  <c r="GH234"/>
  <c r="GH235"/>
  <c r="GH236"/>
  <c r="GH237"/>
  <c r="GH238"/>
  <c r="GH239"/>
  <c r="GH240"/>
  <c r="GH241"/>
  <c r="GH242"/>
  <c r="GH243"/>
  <c r="GH244"/>
  <c r="GH245"/>
  <c r="GH246"/>
  <c r="GH247"/>
  <c r="GH248"/>
  <c r="GH249"/>
  <c r="GH250"/>
  <c r="GH251"/>
  <c r="GH252"/>
  <c r="GH253"/>
  <c r="GH254"/>
  <c r="GH255"/>
  <c r="GH256"/>
  <c r="GH257"/>
  <c r="GH258"/>
  <c r="GH259"/>
  <c r="GH260"/>
  <c r="GH261"/>
  <c r="GH262"/>
  <c r="GH263"/>
  <c r="GH264"/>
  <c r="GH265"/>
  <c r="GH266"/>
  <c r="GH267"/>
  <c r="GH268"/>
  <c r="GH269"/>
  <c r="GH270"/>
  <c r="GH271"/>
  <c r="GH272"/>
  <c r="GH273"/>
  <c r="GH274"/>
  <c r="GH275"/>
  <c r="GH276"/>
  <c r="GH277"/>
  <c r="GH278"/>
  <c r="GH279"/>
  <c r="GH280"/>
  <c r="GH281"/>
  <c r="GH282"/>
  <c r="S282" s="1"/>
  <c r="GH283"/>
  <c r="S283" s="1"/>
  <c r="GH284"/>
  <c r="S284" s="1"/>
  <c r="GH285"/>
  <c r="S285" s="1"/>
  <c r="GH286"/>
  <c r="S286" s="1"/>
  <c r="GH287"/>
  <c r="S287" s="1"/>
  <c r="GH288"/>
  <c r="S288" s="1"/>
  <c r="GH289"/>
  <c r="S289" s="1"/>
  <c r="GH290"/>
  <c r="S290" s="1"/>
  <c r="GH291"/>
  <c r="S291" s="1"/>
  <c r="GH292"/>
  <c r="S292" s="1"/>
  <c r="GH293"/>
  <c r="S293" s="1"/>
  <c r="GH294"/>
  <c r="S294" s="1"/>
  <c r="GH295"/>
  <c r="S295" s="1"/>
  <c r="GH296"/>
  <c r="S296" s="1"/>
  <c r="GH297"/>
  <c r="S297" s="1"/>
  <c r="GH298"/>
  <c r="S298" s="1"/>
  <c r="GH299"/>
  <c r="S299" s="1"/>
  <c r="GH300"/>
  <c r="S300" s="1"/>
  <c r="GH301"/>
  <c r="S301" s="1"/>
  <c r="GH302"/>
  <c r="GH303"/>
  <c r="GH304"/>
  <c r="GH305"/>
  <c r="GH306"/>
  <c r="GH307"/>
  <c r="GH308"/>
  <c r="GH309"/>
  <c r="GH310"/>
  <c r="GH311"/>
  <c r="GH312"/>
  <c r="GH313"/>
  <c r="GH314"/>
  <c r="GH315"/>
  <c r="GH316"/>
  <c r="GH317"/>
  <c r="GH318"/>
  <c r="GH319"/>
  <c r="GH320"/>
  <c r="GH321"/>
  <c r="GH322"/>
  <c r="GH323"/>
  <c r="GH324"/>
  <c r="GH325"/>
  <c r="GH326"/>
  <c r="GH327"/>
  <c r="GH328"/>
  <c r="GH329"/>
  <c r="GH330"/>
  <c r="GH331"/>
  <c r="GH332"/>
  <c r="GH333"/>
  <c r="GH334"/>
  <c r="GH335"/>
  <c r="GH336"/>
  <c r="GH337"/>
  <c r="GH338"/>
  <c r="GH339"/>
  <c r="GH340"/>
  <c r="GH341"/>
  <c r="GH342"/>
  <c r="GH343"/>
  <c r="GH344"/>
  <c r="GH345"/>
  <c r="GH346"/>
  <c r="GH347"/>
  <c r="GH348"/>
  <c r="GH349"/>
  <c r="GH350"/>
  <c r="GH351"/>
  <c r="GH352"/>
  <c r="GH353"/>
  <c r="GH354"/>
  <c r="GH355"/>
  <c r="GH356"/>
  <c r="GH357"/>
  <c r="GH358"/>
  <c r="GH359"/>
  <c r="GH360"/>
  <c r="GH361"/>
  <c r="GH362"/>
  <c r="GH363"/>
  <c r="GH364"/>
  <c r="GH365"/>
  <c r="GH366"/>
  <c r="GH367"/>
  <c r="GH368"/>
  <c r="GH369"/>
  <c r="GH370"/>
  <c r="GH371"/>
  <c r="GH372"/>
  <c r="GH373"/>
  <c r="GH374"/>
  <c r="GH375"/>
  <c r="GH376"/>
  <c r="GH377"/>
  <c r="GH378"/>
  <c r="GH379"/>
  <c r="GH380"/>
  <c r="GH381"/>
  <c r="GH8"/>
  <c r="GB9" l="1"/>
  <c r="GB10"/>
  <c r="GB11"/>
  <c r="GB12"/>
  <c r="GB13"/>
  <c r="GB14"/>
  <c r="GB15"/>
  <c r="GB16"/>
  <c r="GB17"/>
  <c r="GB18"/>
  <c r="GB19"/>
  <c r="GB20"/>
  <c r="GB21"/>
  <c r="GB22"/>
  <c r="GB23"/>
  <c r="GB24"/>
  <c r="GB25"/>
  <c r="GB26"/>
  <c r="GB27"/>
  <c r="GB28"/>
  <c r="GB29"/>
  <c r="GB30"/>
  <c r="GB31"/>
  <c r="GB32"/>
  <c r="GB33"/>
  <c r="GB34"/>
  <c r="GB35"/>
  <c r="GB36"/>
  <c r="GB37"/>
  <c r="GB38"/>
  <c r="GB39"/>
  <c r="GB40"/>
  <c r="GB41"/>
  <c r="GB42"/>
  <c r="GB43"/>
  <c r="GB44"/>
  <c r="GB45"/>
  <c r="GB46"/>
  <c r="GB47"/>
  <c r="GB48"/>
  <c r="GB49"/>
  <c r="GB50"/>
  <c r="GB51"/>
  <c r="GB52"/>
  <c r="GB53"/>
  <c r="GB54"/>
  <c r="GB55"/>
  <c r="GB56"/>
  <c r="GB57"/>
  <c r="GB58"/>
  <c r="GB59"/>
  <c r="GB60"/>
  <c r="GB61"/>
  <c r="GB62"/>
  <c r="GB63"/>
  <c r="GB64"/>
  <c r="GB65"/>
  <c r="GB66"/>
  <c r="GB67"/>
  <c r="GB68"/>
  <c r="GB69"/>
  <c r="GB70"/>
  <c r="GB71"/>
  <c r="GB72"/>
  <c r="GB73"/>
  <c r="GB74"/>
  <c r="GB75"/>
  <c r="GB76"/>
  <c r="GB77"/>
  <c r="GB78"/>
  <c r="GB79"/>
  <c r="GB80"/>
  <c r="GB81"/>
  <c r="GB82"/>
  <c r="GB83"/>
  <c r="GB84"/>
  <c r="GB85"/>
  <c r="GB86"/>
  <c r="GB87"/>
  <c r="GB88"/>
  <c r="GB89"/>
  <c r="GB90"/>
  <c r="GB91"/>
  <c r="GB92"/>
  <c r="GB93"/>
  <c r="GB94"/>
  <c r="GB95"/>
  <c r="GB96"/>
  <c r="GB97"/>
  <c r="GB98"/>
  <c r="GB99"/>
  <c r="GB100"/>
  <c r="GB101"/>
  <c r="GB102"/>
  <c r="GB103"/>
  <c r="GB104"/>
  <c r="GB105"/>
  <c r="GB106"/>
  <c r="GB107"/>
  <c r="GB108"/>
  <c r="GB109"/>
  <c r="GB110"/>
  <c r="GB111"/>
  <c r="GB112"/>
  <c r="GB113"/>
  <c r="GB114"/>
  <c r="GB115"/>
  <c r="GB116"/>
  <c r="GB117"/>
  <c r="GB118"/>
  <c r="GB119"/>
  <c r="GB120"/>
  <c r="GB121"/>
  <c r="GB122"/>
  <c r="GB123"/>
  <c r="GB124"/>
  <c r="GB125"/>
  <c r="GB126"/>
  <c r="GB127"/>
  <c r="GB128"/>
  <c r="GB129"/>
  <c r="GB130"/>
  <c r="GB131"/>
  <c r="GB132"/>
  <c r="GB133"/>
  <c r="GB134"/>
  <c r="GB135"/>
  <c r="GB136"/>
  <c r="GB137"/>
  <c r="GB138"/>
  <c r="GB139"/>
  <c r="GB140"/>
  <c r="GB141"/>
  <c r="GB142"/>
  <c r="GB143"/>
  <c r="GB144"/>
  <c r="GB145"/>
  <c r="GB146"/>
  <c r="GB147"/>
  <c r="GB148"/>
  <c r="GB149"/>
  <c r="GB150"/>
  <c r="GB151"/>
  <c r="GB152"/>
  <c r="GB153"/>
  <c r="GB154"/>
  <c r="GB155"/>
  <c r="GB156"/>
  <c r="GB157"/>
  <c r="GB158"/>
  <c r="GB159"/>
  <c r="GB160"/>
  <c r="GB161"/>
  <c r="GB162"/>
  <c r="GB163"/>
  <c r="GB164"/>
  <c r="GB165"/>
  <c r="GB166"/>
  <c r="GB167"/>
  <c r="GB168"/>
  <c r="GB169"/>
  <c r="GB170"/>
  <c r="GB171"/>
  <c r="GB172"/>
  <c r="GB173"/>
  <c r="GB174"/>
  <c r="GB175"/>
  <c r="GB176"/>
  <c r="GB177"/>
  <c r="GB178"/>
  <c r="GB179"/>
  <c r="GB180"/>
  <c r="GB181"/>
  <c r="GB182"/>
  <c r="GB183"/>
  <c r="GB184"/>
  <c r="GB185"/>
  <c r="GB186"/>
  <c r="GB187"/>
  <c r="GB188"/>
  <c r="GB189"/>
  <c r="GB190"/>
  <c r="GB191"/>
  <c r="GB192"/>
  <c r="GB193"/>
  <c r="GB194"/>
  <c r="GB195"/>
  <c r="GB196"/>
  <c r="GB197"/>
  <c r="GB198"/>
  <c r="GB199"/>
  <c r="GB200"/>
  <c r="GB201"/>
  <c r="GB202"/>
  <c r="GB203"/>
  <c r="GB204"/>
  <c r="GB205"/>
  <c r="GB206"/>
  <c r="GB207"/>
  <c r="GB208"/>
  <c r="GB209"/>
  <c r="GB210"/>
  <c r="GB211"/>
  <c r="GB212"/>
  <c r="GB213"/>
  <c r="GB214"/>
  <c r="GB215"/>
  <c r="GB216"/>
  <c r="GB217"/>
  <c r="GB218"/>
  <c r="GB219"/>
  <c r="GB220"/>
  <c r="GB221"/>
  <c r="GB222"/>
  <c r="GB223"/>
  <c r="GB224"/>
  <c r="GB225"/>
  <c r="GB226"/>
  <c r="GB227"/>
  <c r="GB228"/>
  <c r="GB229"/>
  <c r="GB230"/>
  <c r="GB231"/>
  <c r="GB232"/>
  <c r="GB233"/>
  <c r="GB234"/>
  <c r="GB235"/>
  <c r="GB236"/>
  <c r="GB237"/>
  <c r="GB238"/>
  <c r="GB239"/>
  <c r="GB240"/>
  <c r="GB241"/>
  <c r="GB242"/>
  <c r="GB243"/>
  <c r="GB244"/>
  <c r="GB245"/>
  <c r="GB246"/>
  <c r="GB247"/>
  <c r="GB248"/>
  <c r="GB249"/>
  <c r="GB250"/>
  <c r="GB251"/>
  <c r="GB252"/>
  <c r="GB253"/>
  <c r="GB254"/>
  <c r="GB255"/>
  <c r="GB256"/>
  <c r="GB257"/>
  <c r="GB258"/>
  <c r="GB259"/>
  <c r="GB260"/>
  <c r="GB261"/>
  <c r="GB262"/>
  <c r="GB263"/>
  <c r="GB264"/>
  <c r="GB265"/>
  <c r="GB266"/>
  <c r="GB267"/>
  <c r="GB268"/>
  <c r="GB269"/>
  <c r="GB270"/>
  <c r="GB271"/>
  <c r="GB272"/>
  <c r="GB273"/>
  <c r="GB274"/>
  <c r="GB275"/>
  <c r="GB276"/>
  <c r="GB277"/>
  <c r="GB278"/>
  <c r="GB279"/>
  <c r="GB280"/>
  <c r="GB281"/>
  <c r="GB282"/>
  <c r="GB283"/>
  <c r="GB284"/>
  <c r="GB285"/>
  <c r="GB286"/>
  <c r="GB287"/>
  <c r="GB288"/>
  <c r="GB289"/>
  <c r="GB290"/>
  <c r="GB291"/>
  <c r="GB292"/>
  <c r="GB293"/>
  <c r="GB294"/>
  <c r="GB295"/>
  <c r="GB296"/>
  <c r="GB297"/>
  <c r="GB298"/>
  <c r="GB299"/>
  <c r="GB300"/>
  <c r="GB301"/>
  <c r="GB302"/>
  <c r="GB303"/>
  <c r="GB304"/>
  <c r="GB305"/>
  <c r="GB306"/>
  <c r="GB307"/>
  <c r="GB308"/>
  <c r="GB309"/>
  <c r="GB310"/>
  <c r="GB311"/>
  <c r="GB312"/>
  <c r="GB313"/>
  <c r="GB314"/>
  <c r="GB315"/>
  <c r="GB316"/>
  <c r="GB317"/>
  <c r="GB318"/>
  <c r="GB319"/>
  <c r="GB320"/>
  <c r="GB321"/>
  <c r="GB322"/>
  <c r="GB323"/>
  <c r="GB324"/>
  <c r="GB325"/>
  <c r="GB326"/>
  <c r="GB327"/>
  <c r="GB328"/>
  <c r="GB329"/>
  <c r="GB330"/>
  <c r="GB331"/>
  <c r="GB332"/>
  <c r="GB333"/>
  <c r="GB334"/>
  <c r="GB335"/>
  <c r="GB336"/>
  <c r="GB337"/>
  <c r="GB338"/>
  <c r="GB339"/>
  <c r="GB340"/>
  <c r="GB341"/>
  <c r="GB342"/>
  <c r="GB343"/>
  <c r="GB344"/>
  <c r="GB345"/>
  <c r="GB346"/>
  <c r="GB347"/>
  <c r="GB348"/>
  <c r="GB349"/>
  <c r="GB350"/>
  <c r="GB351"/>
  <c r="GB352"/>
  <c r="GB353"/>
  <c r="GB354"/>
  <c r="GB355"/>
  <c r="GB356"/>
  <c r="GB357"/>
  <c r="GB358"/>
  <c r="GB359"/>
  <c r="GB360"/>
  <c r="GB361"/>
  <c r="GB362"/>
  <c r="GB363"/>
  <c r="GB364"/>
  <c r="GB365"/>
  <c r="GB366"/>
  <c r="GB367"/>
  <c r="GB368"/>
  <c r="GB369"/>
  <c r="GB370"/>
  <c r="GB371"/>
  <c r="GB372"/>
  <c r="GB373"/>
  <c r="GB374"/>
  <c r="GB375"/>
  <c r="GB376"/>
  <c r="GB377"/>
  <c r="GB378"/>
  <c r="GB379"/>
  <c r="GB380"/>
  <c r="GB381"/>
  <c r="GB8"/>
  <c r="GF9"/>
  <c r="GF10"/>
  <c r="GF11"/>
  <c r="GF12"/>
  <c r="GF13"/>
  <c r="GF14"/>
  <c r="GF15"/>
  <c r="GF16"/>
  <c r="GF17"/>
  <c r="GF18"/>
  <c r="GF19"/>
  <c r="GF20"/>
  <c r="GF21"/>
  <c r="GF22"/>
  <c r="GF23"/>
  <c r="GF24"/>
  <c r="GF25"/>
  <c r="GF26"/>
  <c r="GF27"/>
  <c r="GF28"/>
  <c r="GF29"/>
  <c r="GF30"/>
  <c r="GF31"/>
  <c r="GF32"/>
  <c r="GF33"/>
  <c r="GF34"/>
  <c r="GF35"/>
  <c r="GF36"/>
  <c r="GF37"/>
  <c r="GF38"/>
  <c r="GF39"/>
  <c r="GF40"/>
  <c r="GF41"/>
  <c r="GF42"/>
  <c r="GF43"/>
  <c r="GF44"/>
  <c r="GF45"/>
  <c r="GF46"/>
  <c r="GF47"/>
  <c r="GF48"/>
  <c r="GF49"/>
  <c r="GF50"/>
  <c r="GF51"/>
  <c r="GF52"/>
  <c r="GF53"/>
  <c r="GF54"/>
  <c r="GF55"/>
  <c r="GF56"/>
  <c r="GF57"/>
  <c r="GF58"/>
  <c r="GF59"/>
  <c r="GF60"/>
  <c r="GF61"/>
  <c r="GF62"/>
  <c r="GF63"/>
  <c r="GF64"/>
  <c r="GF65"/>
  <c r="GF66"/>
  <c r="GF67"/>
  <c r="GF68"/>
  <c r="GF69"/>
  <c r="GF70"/>
  <c r="GF71"/>
  <c r="GF72"/>
  <c r="GF73"/>
  <c r="GF74"/>
  <c r="GF75"/>
  <c r="GF76"/>
  <c r="GF77"/>
  <c r="GF78"/>
  <c r="GF79"/>
  <c r="GF80"/>
  <c r="GF81"/>
  <c r="GF82"/>
  <c r="GF83"/>
  <c r="GF84"/>
  <c r="GF85"/>
  <c r="GF86"/>
  <c r="GF87"/>
  <c r="GF88"/>
  <c r="GF89"/>
  <c r="GF90"/>
  <c r="GF91"/>
  <c r="GF92"/>
  <c r="GF93"/>
  <c r="GF94"/>
  <c r="GF95"/>
  <c r="GF96"/>
  <c r="GF97"/>
  <c r="GF98"/>
  <c r="GF99"/>
  <c r="GF100"/>
  <c r="GF101"/>
  <c r="GF102"/>
  <c r="GF103"/>
  <c r="GF104"/>
  <c r="GF105"/>
  <c r="GF106"/>
  <c r="GF107"/>
  <c r="GF108"/>
  <c r="GF109"/>
  <c r="GF110"/>
  <c r="GF111"/>
  <c r="GF112"/>
  <c r="GF113"/>
  <c r="GF114"/>
  <c r="GF115"/>
  <c r="GF116"/>
  <c r="GF117"/>
  <c r="GF118"/>
  <c r="GF119"/>
  <c r="GF120"/>
  <c r="GF121"/>
  <c r="GF122"/>
  <c r="GF123"/>
  <c r="GF124"/>
  <c r="GF125"/>
  <c r="GF126"/>
  <c r="GF127"/>
  <c r="GF128"/>
  <c r="GF129"/>
  <c r="GF130"/>
  <c r="GF131"/>
  <c r="GF132"/>
  <c r="GF133"/>
  <c r="GF134"/>
  <c r="GF135"/>
  <c r="GF136"/>
  <c r="GF137"/>
  <c r="GF138"/>
  <c r="GF139"/>
  <c r="GF140"/>
  <c r="GF141"/>
  <c r="GF142"/>
  <c r="GF143"/>
  <c r="GF144"/>
  <c r="GF145"/>
  <c r="GF146"/>
  <c r="GF147"/>
  <c r="GF148"/>
  <c r="GF149"/>
  <c r="GF150"/>
  <c r="GF151"/>
  <c r="GF152"/>
  <c r="GF153"/>
  <c r="GF154"/>
  <c r="GF155"/>
  <c r="GF156"/>
  <c r="GF157"/>
  <c r="GF158"/>
  <c r="GF159"/>
  <c r="GF160"/>
  <c r="GF161"/>
  <c r="GF162"/>
  <c r="GF163"/>
  <c r="GF164"/>
  <c r="GF165"/>
  <c r="GF166"/>
  <c r="GF167"/>
  <c r="GF168"/>
  <c r="GF169"/>
  <c r="GF170"/>
  <c r="GF171"/>
  <c r="GF172"/>
  <c r="GF173"/>
  <c r="GF174"/>
  <c r="GF175"/>
  <c r="GF176"/>
  <c r="GF177"/>
  <c r="GF178"/>
  <c r="GF179"/>
  <c r="GF180"/>
  <c r="GF181"/>
  <c r="GF182"/>
  <c r="GF183"/>
  <c r="GF184"/>
  <c r="GF185"/>
  <c r="GF186"/>
  <c r="GF187"/>
  <c r="GF188"/>
  <c r="GF189"/>
  <c r="GF190"/>
  <c r="GF191"/>
  <c r="GF192"/>
  <c r="GF193"/>
  <c r="GF194"/>
  <c r="GF195"/>
  <c r="GF196"/>
  <c r="GF197"/>
  <c r="GF198"/>
  <c r="GF199"/>
  <c r="GF200"/>
  <c r="GF201"/>
  <c r="GF202"/>
  <c r="GF203"/>
  <c r="GF204"/>
  <c r="GF205"/>
  <c r="GF206"/>
  <c r="GF207"/>
  <c r="GF208"/>
  <c r="GF209"/>
  <c r="GF210"/>
  <c r="GF211"/>
  <c r="GF212"/>
  <c r="GF213"/>
  <c r="GF214"/>
  <c r="GF215"/>
  <c r="GF216"/>
  <c r="GF217"/>
  <c r="GF218"/>
  <c r="GF219"/>
  <c r="GF220"/>
  <c r="GF221"/>
  <c r="GF222"/>
  <c r="GF223"/>
  <c r="GF224"/>
  <c r="GF225"/>
  <c r="GF226"/>
  <c r="GF227"/>
  <c r="GF228"/>
  <c r="GF229"/>
  <c r="GF230"/>
  <c r="GF231"/>
  <c r="GF232"/>
  <c r="GF233"/>
  <c r="GF234"/>
  <c r="GF235"/>
  <c r="GF236"/>
  <c r="GF237"/>
  <c r="GF238"/>
  <c r="GF239"/>
  <c r="GF240"/>
  <c r="GF241"/>
  <c r="GF242"/>
  <c r="GF243"/>
  <c r="GF244"/>
  <c r="GF245"/>
  <c r="GF246"/>
  <c r="GF247"/>
  <c r="GF248"/>
  <c r="GF249"/>
  <c r="GF250"/>
  <c r="GF251"/>
  <c r="GF252"/>
  <c r="GF253"/>
  <c r="GF254"/>
  <c r="GF255"/>
  <c r="GF256"/>
  <c r="GF257"/>
  <c r="GF258"/>
  <c r="GF259"/>
  <c r="GF260"/>
  <c r="GF261"/>
  <c r="GF262"/>
  <c r="GF263"/>
  <c r="GF264"/>
  <c r="GF265"/>
  <c r="GF266"/>
  <c r="GF267"/>
  <c r="GF268"/>
  <c r="GF269"/>
  <c r="GF270"/>
  <c r="GF271"/>
  <c r="GF272"/>
  <c r="GF273"/>
  <c r="GF274"/>
  <c r="GF275"/>
  <c r="GF276"/>
  <c r="GF277"/>
  <c r="GF278"/>
  <c r="GF279"/>
  <c r="GF280"/>
  <c r="GF281"/>
  <c r="GF282"/>
  <c r="GF283"/>
  <c r="GF284"/>
  <c r="GF285"/>
  <c r="GF286"/>
  <c r="GF287"/>
  <c r="GF288"/>
  <c r="GF289"/>
  <c r="GF290"/>
  <c r="GF291"/>
  <c r="GF292"/>
  <c r="GF293"/>
  <c r="GF294"/>
  <c r="GF295"/>
  <c r="GF296"/>
  <c r="GF297"/>
  <c r="GF298"/>
  <c r="GF299"/>
  <c r="GF300"/>
  <c r="GF301"/>
  <c r="GF302"/>
  <c r="GF303"/>
  <c r="GF304"/>
  <c r="GF305"/>
  <c r="GF306"/>
  <c r="GF307"/>
  <c r="GF308"/>
  <c r="GF309"/>
  <c r="GF310"/>
  <c r="GF311"/>
  <c r="GF312"/>
  <c r="GF313"/>
  <c r="GF314"/>
  <c r="GF315"/>
  <c r="GF316"/>
  <c r="GF317"/>
  <c r="GF318"/>
  <c r="GF319"/>
  <c r="GF320"/>
  <c r="GF321"/>
  <c r="GF322"/>
  <c r="GF323"/>
  <c r="GF324"/>
  <c r="GF325"/>
  <c r="GF326"/>
  <c r="GF327"/>
  <c r="GF328"/>
  <c r="GF329"/>
  <c r="GF330"/>
  <c r="GF331"/>
  <c r="GF332"/>
  <c r="GF333"/>
  <c r="GF334"/>
  <c r="GF335"/>
  <c r="GF336"/>
  <c r="GF337"/>
  <c r="GF338"/>
  <c r="GF339"/>
  <c r="GF340"/>
  <c r="GF341"/>
  <c r="GF342"/>
  <c r="GF343"/>
  <c r="GF344"/>
  <c r="GF345"/>
  <c r="GF346"/>
  <c r="GF347"/>
  <c r="GF348"/>
  <c r="GF349"/>
  <c r="GF350"/>
  <c r="GF351"/>
  <c r="GF352"/>
  <c r="GF353"/>
  <c r="GF354"/>
  <c r="GF355"/>
  <c r="GF356"/>
  <c r="GF357"/>
  <c r="GF358"/>
  <c r="GF359"/>
  <c r="GF360"/>
  <c r="GF361"/>
  <c r="GF362"/>
  <c r="GF363"/>
  <c r="GF364"/>
  <c r="GF365"/>
  <c r="GF366"/>
  <c r="GF367"/>
  <c r="GF368"/>
  <c r="GF369"/>
  <c r="GF370"/>
  <c r="GF371"/>
  <c r="GF372"/>
  <c r="GF373"/>
  <c r="GF374"/>
  <c r="GF375"/>
  <c r="GF376"/>
  <c r="GF377"/>
  <c r="GF378"/>
  <c r="GF379"/>
  <c r="GF380"/>
  <c r="GF381"/>
  <c r="GF8"/>
  <c r="GD9"/>
  <c r="T9" s="1"/>
  <c r="GD10"/>
  <c r="T10" s="1"/>
  <c r="GD11"/>
  <c r="T11" s="1"/>
  <c r="GD12"/>
  <c r="T12" s="1"/>
  <c r="GD13"/>
  <c r="T13" s="1"/>
  <c r="GD14"/>
  <c r="T14" s="1"/>
  <c r="GD15"/>
  <c r="T15" s="1"/>
  <c r="GD16"/>
  <c r="T16" s="1"/>
  <c r="GD17"/>
  <c r="T17" s="1"/>
  <c r="GD18"/>
  <c r="T18" s="1"/>
  <c r="GD19"/>
  <c r="T19" s="1"/>
  <c r="GD20"/>
  <c r="T20" s="1"/>
  <c r="GD21"/>
  <c r="T21" s="1"/>
  <c r="GD22"/>
  <c r="T22" s="1"/>
  <c r="GD23"/>
  <c r="T23" s="1"/>
  <c r="GD24"/>
  <c r="T24" s="1"/>
  <c r="GD25"/>
  <c r="T25" s="1"/>
  <c r="GD26"/>
  <c r="T26" s="1"/>
  <c r="GD27"/>
  <c r="T27" s="1"/>
  <c r="GD28"/>
  <c r="T28" s="1"/>
  <c r="GD29"/>
  <c r="T29" s="1"/>
  <c r="GD30"/>
  <c r="T30" s="1"/>
  <c r="GD31"/>
  <c r="T31" s="1"/>
  <c r="GD32"/>
  <c r="T32" s="1"/>
  <c r="GD33"/>
  <c r="T33" s="1"/>
  <c r="GD34"/>
  <c r="T34" s="1"/>
  <c r="GD35"/>
  <c r="T35" s="1"/>
  <c r="GD36"/>
  <c r="T36" s="1"/>
  <c r="GD37"/>
  <c r="T37" s="1"/>
  <c r="GD38"/>
  <c r="T38" s="1"/>
  <c r="GD39"/>
  <c r="T39" s="1"/>
  <c r="GD40"/>
  <c r="T40" s="1"/>
  <c r="GD41"/>
  <c r="T41" s="1"/>
  <c r="GD42"/>
  <c r="T42" s="1"/>
  <c r="GD43"/>
  <c r="T43" s="1"/>
  <c r="GD44"/>
  <c r="T44" s="1"/>
  <c r="GD45"/>
  <c r="T45" s="1"/>
  <c r="GD46"/>
  <c r="T46" s="1"/>
  <c r="GD47"/>
  <c r="T47" s="1"/>
  <c r="GD48"/>
  <c r="T48" s="1"/>
  <c r="GD49"/>
  <c r="T49" s="1"/>
  <c r="GD50"/>
  <c r="T50" s="1"/>
  <c r="GD51"/>
  <c r="T51" s="1"/>
  <c r="GD52"/>
  <c r="T52" s="1"/>
  <c r="GD53"/>
  <c r="T53" s="1"/>
  <c r="GD54"/>
  <c r="T54" s="1"/>
  <c r="GD55"/>
  <c r="T55" s="1"/>
  <c r="GD56"/>
  <c r="T56" s="1"/>
  <c r="GD57"/>
  <c r="GD58"/>
  <c r="GD59"/>
  <c r="GD60"/>
  <c r="GD61"/>
  <c r="GD62"/>
  <c r="GD63"/>
  <c r="GD64"/>
  <c r="GD65"/>
  <c r="GD66"/>
  <c r="GD67"/>
  <c r="GD68"/>
  <c r="GD69"/>
  <c r="GD70"/>
  <c r="GD71"/>
  <c r="GD72"/>
  <c r="GD73"/>
  <c r="GD74"/>
  <c r="GD75"/>
  <c r="GD76"/>
  <c r="GD77"/>
  <c r="GD78"/>
  <c r="GD79"/>
  <c r="GD80"/>
  <c r="GD81"/>
  <c r="GD82"/>
  <c r="GD83"/>
  <c r="GD84"/>
  <c r="GD85"/>
  <c r="GD86"/>
  <c r="GD87"/>
  <c r="GD88"/>
  <c r="GD89"/>
  <c r="GD90"/>
  <c r="GD91"/>
  <c r="GD92"/>
  <c r="GD93"/>
  <c r="GD94"/>
  <c r="GD95"/>
  <c r="GD96"/>
  <c r="GD97"/>
  <c r="GD98"/>
  <c r="GD99"/>
  <c r="GD100"/>
  <c r="GD101"/>
  <c r="GD102"/>
  <c r="GD103"/>
  <c r="GD104"/>
  <c r="GD105"/>
  <c r="GD106"/>
  <c r="GD107"/>
  <c r="GD108"/>
  <c r="GD109"/>
  <c r="GD110"/>
  <c r="GD111"/>
  <c r="GD112"/>
  <c r="GD113"/>
  <c r="GD114"/>
  <c r="GD115"/>
  <c r="GD116"/>
  <c r="GD117"/>
  <c r="GD118"/>
  <c r="GD119"/>
  <c r="GD120"/>
  <c r="GD121"/>
  <c r="GD122"/>
  <c r="GD123"/>
  <c r="GD124"/>
  <c r="GD125"/>
  <c r="GD126"/>
  <c r="GD127"/>
  <c r="GD128"/>
  <c r="GD129"/>
  <c r="GD130"/>
  <c r="GD131"/>
  <c r="GD132"/>
  <c r="GD133"/>
  <c r="GD134"/>
  <c r="GD135"/>
  <c r="GD136"/>
  <c r="GD137"/>
  <c r="GD138"/>
  <c r="GD139"/>
  <c r="GD140"/>
  <c r="GD141"/>
  <c r="GD142"/>
  <c r="GD143"/>
  <c r="GD144"/>
  <c r="GD145"/>
  <c r="GD146"/>
  <c r="GD147"/>
  <c r="GD148"/>
  <c r="GD149"/>
  <c r="GD150"/>
  <c r="GD151"/>
  <c r="GD152"/>
  <c r="GD153"/>
  <c r="GD154"/>
  <c r="GD155"/>
  <c r="GD156"/>
  <c r="GD157"/>
  <c r="GD158"/>
  <c r="GD159"/>
  <c r="GD160"/>
  <c r="GD161"/>
  <c r="GD162"/>
  <c r="GD163"/>
  <c r="GD164"/>
  <c r="GD165"/>
  <c r="GD166"/>
  <c r="GD167"/>
  <c r="GD168"/>
  <c r="GD169"/>
  <c r="GD170"/>
  <c r="GD171"/>
  <c r="GD172"/>
  <c r="GD173"/>
  <c r="GD174"/>
  <c r="GD175"/>
  <c r="GD176"/>
  <c r="GD177"/>
  <c r="GD178"/>
  <c r="GD179"/>
  <c r="GD180"/>
  <c r="GD181"/>
  <c r="GD182"/>
  <c r="GD183"/>
  <c r="GD184"/>
  <c r="GD185"/>
  <c r="GD186"/>
  <c r="GD187"/>
  <c r="GD188"/>
  <c r="GD189"/>
  <c r="GD190"/>
  <c r="GD191"/>
  <c r="GD192"/>
  <c r="GD193"/>
  <c r="GD194"/>
  <c r="GD195"/>
  <c r="GD196"/>
  <c r="GD197"/>
  <c r="GD198"/>
  <c r="GD199"/>
  <c r="GD200"/>
  <c r="GD201"/>
  <c r="GD202"/>
  <c r="GD203"/>
  <c r="GD204"/>
  <c r="GD205"/>
  <c r="GD206"/>
  <c r="GD207"/>
  <c r="GD208"/>
  <c r="GD209"/>
  <c r="GD210"/>
  <c r="GD211"/>
  <c r="GD212"/>
  <c r="GD213"/>
  <c r="GD214"/>
  <c r="GD215"/>
  <c r="GD216"/>
  <c r="GD217"/>
  <c r="AV217" s="1"/>
  <c r="GD218"/>
  <c r="GD219"/>
  <c r="GD220"/>
  <c r="GD221"/>
  <c r="GD222"/>
  <c r="GD223"/>
  <c r="GD224"/>
  <c r="GD225"/>
  <c r="GD226"/>
  <c r="GD227"/>
  <c r="GD228"/>
  <c r="GD229"/>
  <c r="GD230"/>
  <c r="GD231"/>
  <c r="GD232"/>
  <c r="GD233"/>
  <c r="GD234"/>
  <c r="GD235"/>
  <c r="GD236"/>
  <c r="GD237"/>
  <c r="GD238"/>
  <c r="GD239"/>
  <c r="GD240"/>
  <c r="GD241"/>
  <c r="GD242"/>
  <c r="GD243"/>
  <c r="GD244"/>
  <c r="GD245"/>
  <c r="GD246"/>
  <c r="GD247"/>
  <c r="GD248"/>
  <c r="GD249"/>
  <c r="GD250"/>
  <c r="GD251"/>
  <c r="GD252"/>
  <c r="GD253"/>
  <c r="GD254"/>
  <c r="GD255"/>
  <c r="GD256"/>
  <c r="GD257"/>
  <c r="GD258"/>
  <c r="GD259"/>
  <c r="GD260"/>
  <c r="GD261"/>
  <c r="GD262"/>
  <c r="GD263"/>
  <c r="GD264"/>
  <c r="GD265"/>
  <c r="GD266"/>
  <c r="GD267"/>
  <c r="GD268"/>
  <c r="GD269"/>
  <c r="GD270"/>
  <c r="GD271"/>
  <c r="GD272"/>
  <c r="GD273"/>
  <c r="GD274"/>
  <c r="GD275"/>
  <c r="GD276"/>
  <c r="GD277"/>
  <c r="GD278"/>
  <c r="GD279"/>
  <c r="GD280"/>
  <c r="GD281"/>
  <c r="GD282"/>
  <c r="GD283"/>
  <c r="GD284"/>
  <c r="GD285"/>
  <c r="GD286"/>
  <c r="GD287"/>
  <c r="GD288"/>
  <c r="GD289"/>
  <c r="GD290"/>
  <c r="GD291"/>
  <c r="GD292"/>
  <c r="GD293"/>
  <c r="GD294"/>
  <c r="GD295"/>
  <c r="GD296"/>
  <c r="GD297"/>
  <c r="GD298"/>
  <c r="GD299"/>
  <c r="GD300"/>
  <c r="GD301"/>
  <c r="GD302"/>
  <c r="GD303"/>
  <c r="GD304"/>
  <c r="GD305"/>
  <c r="GD306"/>
  <c r="GD307"/>
  <c r="GD308"/>
  <c r="GD309"/>
  <c r="GD310"/>
  <c r="GD311"/>
  <c r="GD312"/>
  <c r="GD313"/>
  <c r="GD314"/>
  <c r="GD315"/>
  <c r="GD316"/>
  <c r="GD317"/>
  <c r="GD318"/>
  <c r="GD319"/>
  <c r="GD320"/>
  <c r="GD321"/>
  <c r="GD322"/>
  <c r="GD323"/>
  <c r="GD324"/>
  <c r="GD325"/>
  <c r="GD326"/>
  <c r="GD327"/>
  <c r="GD328"/>
  <c r="GD329"/>
  <c r="GD330"/>
  <c r="GD331"/>
  <c r="GD332"/>
  <c r="GD333"/>
  <c r="GD334"/>
  <c r="GD335"/>
  <c r="GD336"/>
  <c r="GD337"/>
  <c r="GD338"/>
  <c r="GD339"/>
  <c r="GD340"/>
  <c r="GD341"/>
  <c r="GD342"/>
  <c r="GD343"/>
  <c r="GD344"/>
  <c r="GD345"/>
  <c r="GD346"/>
  <c r="GD347"/>
  <c r="GD348"/>
  <c r="GD349"/>
  <c r="GD350"/>
  <c r="GD351"/>
  <c r="GD352"/>
  <c r="GD353"/>
  <c r="GD354"/>
  <c r="GD355"/>
  <c r="GD356"/>
  <c r="GD357"/>
  <c r="GD358"/>
  <c r="GD359"/>
  <c r="GD360"/>
  <c r="GD361"/>
  <c r="GD362"/>
  <c r="GD363"/>
  <c r="GD364"/>
  <c r="GD365"/>
  <c r="GD366"/>
  <c r="GD367"/>
  <c r="GD368"/>
  <c r="GD369"/>
  <c r="GD370"/>
  <c r="GD371"/>
  <c r="GD372"/>
  <c r="GD373"/>
  <c r="GD374"/>
  <c r="GD375"/>
  <c r="GD376"/>
  <c r="GD377"/>
  <c r="GD378"/>
  <c r="GD379"/>
  <c r="GD380"/>
  <c r="GD381"/>
  <c r="GD8"/>
  <c r="T8" s="1"/>
  <c r="FW9"/>
  <c r="FW10"/>
  <c r="FW11"/>
  <c r="FW12"/>
  <c r="FW13"/>
  <c r="FW14"/>
  <c r="FW15"/>
  <c r="FW16"/>
  <c r="FW17"/>
  <c r="FW18"/>
  <c r="FW19"/>
  <c r="FW20"/>
  <c r="FW21"/>
  <c r="FW22"/>
  <c r="FW23"/>
  <c r="FW24"/>
  <c r="FW25"/>
  <c r="FW26"/>
  <c r="FW27"/>
  <c r="FW28"/>
  <c r="FW29"/>
  <c r="FW30"/>
  <c r="FW31"/>
  <c r="FW32"/>
  <c r="FW33"/>
  <c r="FW34"/>
  <c r="FW35"/>
  <c r="FW36"/>
  <c r="FW37"/>
  <c r="FW38"/>
  <c r="FW39"/>
  <c r="FW40"/>
  <c r="FW41"/>
  <c r="FW42"/>
  <c r="FW43"/>
  <c r="FW44"/>
  <c r="FW45"/>
  <c r="FW46"/>
  <c r="FW47"/>
  <c r="FW48"/>
  <c r="FW49"/>
  <c r="FW50"/>
  <c r="FW51"/>
  <c r="FW52"/>
  <c r="FW53"/>
  <c r="FW54"/>
  <c r="FW55"/>
  <c r="FW56"/>
  <c r="FW57"/>
  <c r="FW58"/>
  <c r="FW59"/>
  <c r="FW60"/>
  <c r="FW61"/>
  <c r="FW62"/>
  <c r="FW63"/>
  <c r="FW64"/>
  <c r="FW65"/>
  <c r="FW66"/>
  <c r="FW67"/>
  <c r="FW68"/>
  <c r="FW69"/>
  <c r="FW70"/>
  <c r="FW71"/>
  <c r="FW72"/>
  <c r="FW73"/>
  <c r="FW74"/>
  <c r="FW75"/>
  <c r="FW76"/>
  <c r="FW77"/>
  <c r="FW78"/>
  <c r="FW79"/>
  <c r="FW80"/>
  <c r="FW81"/>
  <c r="FW82"/>
  <c r="FW83"/>
  <c r="FW84"/>
  <c r="FW85"/>
  <c r="FW86"/>
  <c r="FW87"/>
  <c r="FW88"/>
  <c r="FW89"/>
  <c r="FW90"/>
  <c r="FW91"/>
  <c r="FW92"/>
  <c r="FW93"/>
  <c r="FW94"/>
  <c r="FW95"/>
  <c r="FW96"/>
  <c r="FW97"/>
  <c r="FW98"/>
  <c r="FW99"/>
  <c r="FW100"/>
  <c r="FW101"/>
  <c r="FW102"/>
  <c r="FW103"/>
  <c r="FW104"/>
  <c r="FW105"/>
  <c r="FW106"/>
  <c r="FW107"/>
  <c r="FW108"/>
  <c r="FW109"/>
  <c r="FW110"/>
  <c r="FW111"/>
  <c r="FW112"/>
  <c r="FW113"/>
  <c r="FW114"/>
  <c r="FW115"/>
  <c r="FW116"/>
  <c r="FW117"/>
  <c r="FW118"/>
  <c r="FW119"/>
  <c r="FW120"/>
  <c r="FW121"/>
  <c r="FW122"/>
  <c r="FW123"/>
  <c r="FW124"/>
  <c r="FW125"/>
  <c r="FW126"/>
  <c r="FW127"/>
  <c r="FW128"/>
  <c r="FW129"/>
  <c r="FW130"/>
  <c r="FW131"/>
  <c r="FW132"/>
  <c r="FW133"/>
  <c r="FW134"/>
  <c r="FW135"/>
  <c r="FW136"/>
  <c r="FW137"/>
  <c r="FW138"/>
  <c r="FW139"/>
  <c r="FW140"/>
  <c r="FW141"/>
  <c r="FW142"/>
  <c r="FW143"/>
  <c r="FW144"/>
  <c r="FW145"/>
  <c r="FW146"/>
  <c r="FW147"/>
  <c r="FW148"/>
  <c r="FW149"/>
  <c r="FW150"/>
  <c r="FW151"/>
  <c r="FW152"/>
  <c r="FW153"/>
  <c r="FW154"/>
  <c r="FW155"/>
  <c r="FW156"/>
  <c r="FW157"/>
  <c r="FW158"/>
  <c r="FW159"/>
  <c r="FW160"/>
  <c r="FW161"/>
  <c r="FW162"/>
  <c r="FW163"/>
  <c r="FW164"/>
  <c r="FW165"/>
  <c r="FW166"/>
  <c r="FW167"/>
  <c r="FW168"/>
  <c r="FW169"/>
  <c r="FW170"/>
  <c r="FW171"/>
  <c r="FW172"/>
  <c r="FW173"/>
  <c r="FW174"/>
  <c r="FW175"/>
  <c r="FW176"/>
  <c r="FW177"/>
  <c r="FW178"/>
  <c r="FW179"/>
  <c r="FW180"/>
  <c r="FW181"/>
  <c r="FW182"/>
  <c r="FW183"/>
  <c r="FW184"/>
  <c r="FW185"/>
  <c r="FW186"/>
  <c r="FW187"/>
  <c r="FW188"/>
  <c r="FW189"/>
  <c r="FW190"/>
  <c r="FW191"/>
  <c r="FW192"/>
  <c r="FW193"/>
  <c r="FW194"/>
  <c r="FW195"/>
  <c r="FW196"/>
  <c r="FW197"/>
  <c r="FW198"/>
  <c r="FW199"/>
  <c r="FW200"/>
  <c r="FW201"/>
  <c r="FW202"/>
  <c r="FW203"/>
  <c r="FW204"/>
  <c r="FW205"/>
  <c r="FW206"/>
  <c r="FW207"/>
  <c r="FW208"/>
  <c r="FW209"/>
  <c r="FW210"/>
  <c r="FW211"/>
  <c r="FW212"/>
  <c r="FW213"/>
  <c r="FW214"/>
  <c r="FW215"/>
  <c r="FW216"/>
  <c r="FW217"/>
  <c r="FW218"/>
  <c r="FW219"/>
  <c r="FW220"/>
  <c r="FW221"/>
  <c r="FW222"/>
  <c r="FW223"/>
  <c r="FW224"/>
  <c r="FW225"/>
  <c r="FW226"/>
  <c r="FW227"/>
  <c r="FW228"/>
  <c r="FW229"/>
  <c r="FW230"/>
  <c r="FW231"/>
  <c r="FW232"/>
  <c r="FW233"/>
  <c r="FW234"/>
  <c r="FW235"/>
  <c r="FW236"/>
  <c r="FW237"/>
  <c r="FW238"/>
  <c r="FW239"/>
  <c r="FW240"/>
  <c r="FW241"/>
  <c r="FW242"/>
  <c r="FW243"/>
  <c r="FW244"/>
  <c r="FW245"/>
  <c r="FW246"/>
  <c r="FW247"/>
  <c r="FW248"/>
  <c r="FW249"/>
  <c r="FW250"/>
  <c r="FW251"/>
  <c r="FW252"/>
  <c r="FW253"/>
  <c r="FW254"/>
  <c r="FW255"/>
  <c r="FW256"/>
  <c r="FW257"/>
  <c r="FW258"/>
  <c r="FW259"/>
  <c r="FW260"/>
  <c r="FW261"/>
  <c r="FW262"/>
  <c r="FW263"/>
  <c r="FW264"/>
  <c r="FW265"/>
  <c r="FW266"/>
  <c r="FW267"/>
  <c r="FW268"/>
  <c r="FW269"/>
  <c r="FW270"/>
  <c r="FW271"/>
  <c r="FW272"/>
  <c r="FW273"/>
  <c r="FW274"/>
  <c r="FW275"/>
  <c r="FW276"/>
  <c r="FW277"/>
  <c r="FW278"/>
  <c r="FW279"/>
  <c r="FW280"/>
  <c r="FW281"/>
  <c r="FW8"/>
  <c r="FV9"/>
  <c r="FV10"/>
  <c r="FV11"/>
  <c r="FV12"/>
  <c r="FV13"/>
  <c r="FV14"/>
  <c r="FV15"/>
  <c r="FV16"/>
  <c r="FV17"/>
  <c r="FV18"/>
  <c r="FV19"/>
  <c r="FV20"/>
  <c r="FV21"/>
  <c r="FV22"/>
  <c r="FV23"/>
  <c r="FV24"/>
  <c r="FV25"/>
  <c r="FV26"/>
  <c r="FV27"/>
  <c r="FV28"/>
  <c r="FV29"/>
  <c r="FV30"/>
  <c r="FV31"/>
  <c r="FV32"/>
  <c r="FV33"/>
  <c r="FV34"/>
  <c r="FV35"/>
  <c r="FV36"/>
  <c r="FV37"/>
  <c r="FV38"/>
  <c r="FV39"/>
  <c r="FV40"/>
  <c r="FV41"/>
  <c r="FV42"/>
  <c r="FV43"/>
  <c r="FV44"/>
  <c r="FV45"/>
  <c r="FV46"/>
  <c r="FV47"/>
  <c r="FV48"/>
  <c r="FV49"/>
  <c r="FV50"/>
  <c r="FV51"/>
  <c r="FV52"/>
  <c r="FV53"/>
  <c r="FV54"/>
  <c r="FV55"/>
  <c r="FV56"/>
  <c r="FV57"/>
  <c r="FV58"/>
  <c r="FV59"/>
  <c r="FV60"/>
  <c r="FV61"/>
  <c r="FV62"/>
  <c r="FV63"/>
  <c r="FV64"/>
  <c r="FV65"/>
  <c r="FV66"/>
  <c r="FV67"/>
  <c r="FV68"/>
  <c r="FV69"/>
  <c r="FV70"/>
  <c r="FV71"/>
  <c r="FV72"/>
  <c r="FV73"/>
  <c r="FV74"/>
  <c r="FV75"/>
  <c r="FV76"/>
  <c r="FV77"/>
  <c r="FV78"/>
  <c r="FV79"/>
  <c r="FV80"/>
  <c r="FV81"/>
  <c r="FV82"/>
  <c r="FV83"/>
  <c r="FV84"/>
  <c r="FV85"/>
  <c r="FV86"/>
  <c r="FV87"/>
  <c r="FV88"/>
  <c r="FV89"/>
  <c r="FV90"/>
  <c r="FV91"/>
  <c r="FV92"/>
  <c r="FV93"/>
  <c r="FV94"/>
  <c r="FV95"/>
  <c r="FV96"/>
  <c r="FV97"/>
  <c r="FV98"/>
  <c r="FV99"/>
  <c r="FV100"/>
  <c r="FV101"/>
  <c r="FV102"/>
  <c r="FV103"/>
  <c r="FV104"/>
  <c r="FV105"/>
  <c r="FV106"/>
  <c r="FV107"/>
  <c r="FV108"/>
  <c r="FV109"/>
  <c r="FV110"/>
  <c r="FV111"/>
  <c r="FV112"/>
  <c r="FV113"/>
  <c r="FV114"/>
  <c r="FV115"/>
  <c r="FV116"/>
  <c r="FV117"/>
  <c r="FV118"/>
  <c r="FV119"/>
  <c r="FV120"/>
  <c r="FV121"/>
  <c r="FV122"/>
  <c r="FV123"/>
  <c r="FV124"/>
  <c r="FV125"/>
  <c r="FV126"/>
  <c r="FV127"/>
  <c r="FV128"/>
  <c r="FV129"/>
  <c r="FV130"/>
  <c r="FV131"/>
  <c r="FV132"/>
  <c r="FV133"/>
  <c r="FV134"/>
  <c r="FV135"/>
  <c r="FV136"/>
  <c r="FV137"/>
  <c r="FV138"/>
  <c r="FV139"/>
  <c r="FV140"/>
  <c r="FV141"/>
  <c r="FV142"/>
  <c r="FV143"/>
  <c r="FV144"/>
  <c r="FV145"/>
  <c r="FV146"/>
  <c r="FV147"/>
  <c r="FV148"/>
  <c r="FV149"/>
  <c r="FV150"/>
  <c r="FV151"/>
  <c r="FV152"/>
  <c r="FV153"/>
  <c r="FV154"/>
  <c r="FV155"/>
  <c r="FV156"/>
  <c r="FV157"/>
  <c r="FV158"/>
  <c r="FV159"/>
  <c r="FV160"/>
  <c r="FV161"/>
  <c r="FV162"/>
  <c r="FV163"/>
  <c r="FV164"/>
  <c r="FV165"/>
  <c r="FV166"/>
  <c r="FV167"/>
  <c r="FV168"/>
  <c r="FV169"/>
  <c r="FV170"/>
  <c r="FV171"/>
  <c r="FV172"/>
  <c r="FV173"/>
  <c r="FV174"/>
  <c r="FV175"/>
  <c r="FV176"/>
  <c r="FV177"/>
  <c r="FV178"/>
  <c r="FV179"/>
  <c r="FV180"/>
  <c r="FV181"/>
  <c r="FV182"/>
  <c r="FV183"/>
  <c r="FV184"/>
  <c r="FV185"/>
  <c r="FV186"/>
  <c r="FV187"/>
  <c r="FV188"/>
  <c r="FV189"/>
  <c r="FV190"/>
  <c r="FV191"/>
  <c r="FV192"/>
  <c r="FV193"/>
  <c r="FV194"/>
  <c r="FV195"/>
  <c r="FV196"/>
  <c r="FV197"/>
  <c r="FV198"/>
  <c r="FV199"/>
  <c r="FV200"/>
  <c r="FV201"/>
  <c r="FV202"/>
  <c r="FV203"/>
  <c r="FV204"/>
  <c r="FV205"/>
  <c r="FV206"/>
  <c r="FV207"/>
  <c r="FV208"/>
  <c r="FV209"/>
  <c r="FV210"/>
  <c r="FV211"/>
  <c r="FV212"/>
  <c r="FV213"/>
  <c r="FV214"/>
  <c r="FV215"/>
  <c r="FV216"/>
  <c r="FV217"/>
  <c r="FV218"/>
  <c r="FV219"/>
  <c r="FV220"/>
  <c r="FV221"/>
  <c r="FV222"/>
  <c r="FV223"/>
  <c r="FV224"/>
  <c r="FV225"/>
  <c r="FV226"/>
  <c r="FV227"/>
  <c r="FV228"/>
  <c r="FV229"/>
  <c r="FV230"/>
  <c r="FV231"/>
  <c r="FV232"/>
  <c r="FV233"/>
  <c r="FV234"/>
  <c r="FV235"/>
  <c r="FV236"/>
  <c r="FV237"/>
  <c r="FV238"/>
  <c r="FV239"/>
  <c r="FV240"/>
  <c r="FV241"/>
  <c r="FV242"/>
  <c r="FV243"/>
  <c r="FV244"/>
  <c r="FV245"/>
  <c r="FV246"/>
  <c r="FV247"/>
  <c r="FV248"/>
  <c r="FV249"/>
  <c r="FV250"/>
  <c r="FV251"/>
  <c r="FV252"/>
  <c r="FV253"/>
  <c r="FV254"/>
  <c r="FV255"/>
  <c r="FV256"/>
  <c r="FV257"/>
  <c r="FV258"/>
  <c r="FV259"/>
  <c r="FV260"/>
  <c r="FV261"/>
  <c r="FV262"/>
  <c r="FV263"/>
  <c r="FV264"/>
  <c r="FV265"/>
  <c r="FV266"/>
  <c r="FV267"/>
  <c r="FV268"/>
  <c r="FV269"/>
  <c r="FV270"/>
  <c r="FV271"/>
  <c r="FV272"/>
  <c r="FV273"/>
  <c r="FV274"/>
  <c r="FV275"/>
  <c r="FV276"/>
  <c r="FV277"/>
  <c r="FV278"/>
  <c r="FV279"/>
  <c r="FV280"/>
  <c r="FV281"/>
  <c r="FV8"/>
  <c r="U8" l="1"/>
  <c r="U70"/>
  <c r="U66"/>
  <c r="U62"/>
  <c r="U58"/>
  <c r="U54"/>
  <c r="U50"/>
  <c r="U46"/>
  <c r="U42"/>
  <c r="U38"/>
  <c r="U34"/>
  <c r="U30"/>
  <c r="U26"/>
  <c r="U22"/>
  <c r="U18"/>
  <c r="U14"/>
  <c r="U10"/>
  <c r="U69"/>
  <c r="U65"/>
  <c r="U61"/>
  <c r="U57"/>
  <c r="U53"/>
  <c r="U49"/>
  <c r="U45"/>
  <c r="U41"/>
  <c r="U37"/>
  <c r="U33"/>
  <c r="U29"/>
  <c r="U25"/>
  <c r="U21"/>
  <c r="U17"/>
  <c r="U13"/>
  <c r="U9"/>
  <c r="U68"/>
  <c r="U64"/>
  <c r="U60"/>
  <c r="U56"/>
  <c r="U52"/>
  <c r="U48"/>
  <c r="U44"/>
  <c r="U40"/>
  <c r="U36"/>
  <c r="U32"/>
  <c r="U28"/>
  <c r="U24"/>
  <c r="U20"/>
  <c r="U16"/>
  <c r="U12"/>
  <c r="U71"/>
  <c r="U67"/>
  <c r="U63"/>
  <c r="U59"/>
  <c r="U55"/>
  <c r="U51"/>
  <c r="U47"/>
  <c r="U43"/>
  <c r="U39"/>
  <c r="U35"/>
  <c r="U31"/>
  <c r="U27"/>
  <c r="U23"/>
  <c r="U19"/>
  <c r="U15"/>
  <c r="U11"/>
  <c r="U192"/>
  <c r="U188"/>
  <c r="U184"/>
  <c r="U180"/>
  <c r="U176"/>
  <c r="U172"/>
  <c r="U168"/>
  <c r="U164"/>
  <c r="U160"/>
  <c r="U156"/>
  <c r="U152"/>
  <c r="U148"/>
  <c r="U144"/>
  <c r="U140"/>
  <c r="U136"/>
  <c r="U132"/>
  <c r="U128"/>
  <c r="U124"/>
  <c r="U120"/>
  <c r="U116"/>
  <c r="U112"/>
  <c r="U108"/>
  <c r="U104"/>
  <c r="U100"/>
  <c r="U96"/>
  <c r="U92"/>
  <c r="U88"/>
  <c r="U84"/>
  <c r="U80"/>
  <c r="U76"/>
  <c r="U72"/>
  <c r="U189"/>
  <c r="U185"/>
  <c r="U181"/>
  <c r="U177"/>
  <c r="U173"/>
  <c r="U169"/>
  <c r="U165"/>
  <c r="U161"/>
  <c r="U157"/>
  <c r="U153"/>
  <c r="U149"/>
  <c r="U145"/>
  <c r="U141"/>
  <c r="U137"/>
  <c r="U133"/>
  <c r="U129"/>
  <c r="U125"/>
  <c r="U121"/>
  <c r="U117"/>
  <c r="U113"/>
  <c r="U109"/>
  <c r="U105"/>
  <c r="U101"/>
  <c r="U97"/>
  <c r="U93"/>
  <c r="U89"/>
  <c r="U85"/>
  <c r="U81"/>
  <c r="U77"/>
  <c r="U73"/>
  <c r="U190"/>
  <c r="U186"/>
  <c r="U182"/>
  <c r="U178"/>
  <c r="U174"/>
  <c r="U170"/>
  <c r="U166"/>
  <c r="U162"/>
  <c r="U158"/>
  <c r="U154"/>
  <c r="U150"/>
  <c r="U146"/>
  <c r="U142"/>
  <c r="U138"/>
  <c r="U134"/>
  <c r="U130"/>
  <c r="U126"/>
  <c r="U122"/>
  <c r="U118"/>
  <c r="U114"/>
  <c r="U110"/>
  <c r="U106"/>
  <c r="U102"/>
  <c r="U98"/>
  <c r="U94"/>
  <c r="U90"/>
  <c r="U86"/>
  <c r="U82"/>
  <c r="U78"/>
  <c r="U74"/>
  <c r="U191"/>
  <c r="U187"/>
  <c r="U183"/>
  <c r="U179"/>
  <c r="U175"/>
  <c r="U171"/>
  <c r="U167"/>
  <c r="U163"/>
  <c r="U159"/>
  <c r="U155"/>
  <c r="U151"/>
  <c r="U147"/>
  <c r="U143"/>
  <c r="U139"/>
  <c r="U135"/>
  <c r="U131"/>
  <c r="U127"/>
  <c r="U123"/>
  <c r="U119"/>
  <c r="U115"/>
  <c r="U111"/>
  <c r="U107"/>
  <c r="U103"/>
  <c r="U99"/>
  <c r="U95"/>
  <c r="U91"/>
  <c r="U87"/>
  <c r="U83"/>
  <c r="U79"/>
  <c r="U75"/>
  <c r="A1" i="45" l="1"/>
  <c r="AC343" l="1"/>
  <c r="AC344"/>
  <c r="AC345"/>
  <c r="AC242"/>
  <c r="AC190"/>
  <c r="AC241"/>
  <c r="AC226"/>
  <c r="AC230"/>
  <c r="AC234"/>
  <c r="AC238"/>
  <c r="AC246"/>
  <c r="AC250"/>
  <c r="AC254"/>
  <c r="AC258"/>
  <c r="AC262"/>
  <c r="AC266"/>
  <c r="AC270"/>
  <c r="AC274"/>
  <c r="AC278"/>
  <c r="AC282"/>
  <c r="AC286"/>
  <c r="AC290"/>
  <c r="AC294"/>
  <c r="AC298"/>
  <c r="AC302"/>
  <c r="AC306"/>
  <c r="AC310"/>
  <c r="AC314"/>
  <c r="AC318"/>
  <c r="AC322"/>
  <c r="AC326"/>
  <c r="AC330"/>
  <c r="AC334"/>
  <c r="AC338"/>
  <c r="AC342"/>
  <c r="AC346"/>
  <c r="AC350"/>
  <c r="AC354"/>
  <c r="AC358"/>
  <c r="AC362"/>
  <c r="AC366"/>
  <c r="AC370"/>
  <c r="AC374"/>
  <c r="AC378"/>
  <c r="AC382"/>
  <c r="AC229"/>
  <c r="AC233"/>
  <c r="AC237"/>
  <c r="AC245"/>
  <c r="AC249"/>
  <c r="AC253"/>
  <c r="AC257"/>
  <c r="AC261"/>
  <c r="AC265"/>
  <c r="AC269"/>
  <c r="AC273"/>
  <c r="AC277"/>
  <c r="AC281"/>
  <c r="AC285"/>
  <c r="AC289"/>
  <c r="AC293"/>
  <c r="AC297"/>
  <c r="AC301"/>
  <c r="AC305"/>
  <c r="AC309"/>
  <c r="AC313"/>
  <c r="AC317"/>
  <c r="AC321"/>
  <c r="AC325"/>
  <c r="AC329"/>
  <c r="AC333"/>
  <c r="AC337"/>
  <c r="AC341"/>
  <c r="AC349"/>
  <c r="AC353"/>
  <c r="AC357"/>
  <c r="AC361"/>
  <c r="AC365"/>
  <c r="AC369"/>
  <c r="AC373"/>
  <c r="AC377"/>
  <c r="AC381"/>
  <c r="AC228"/>
  <c r="AC232"/>
  <c r="AC236"/>
  <c r="AC240"/>
  <c r="AC244"/>
  <c r="AC248"/>
  <c r="AC252"/>
  <c r="AC256"/>
  <c r="AC260"/>
  <c r="AC264"/>
  <c r="AC268"/>
  <c r="AC272"/>
  <c r="AC276"/>
  <c r="AC280"/>
  <c r="AC284"/>
  <c r="AC288"/>
  <c r="AC292"/>
  <c r="AC296"/>
  <c r="AC300"/>
  <c r="AC304"/>
  <c r="AC308"/>
  <c r="AC312"/>
  <c r="AC316"/>
  <c r="AC320"/>
  <c r="AC324"/>
  <c r="AC328"/>
  <c r="AC332"/>
  <c r="AC336"/>
  <c r="AC340"/>
  <c r="AC348"/>
  <c r="AC352"/>
  <c r="AC356"/>
  <c r="AC360"/>
  <c r="AC364"/>
  <c r="AC368"/>
  <c r="AC372"/>
  <c r="AC376"/>
  <c r="AC380"/>
  <c r="AC384"/>
  <c r="AC227"/>
  <c r="AC231"/>
  <c r="AC235"/>
  <c r="AC239"/>
  <c r="AC243"/>
  <c r="AC247"/>
  <c r="AC251"/>
  <c r="AC255"/>
  <c r="AC259"/>
  <c r="AC263"/>
  <c r="AC267"/>
  <c r="AC271"/>
  <c r="AC275"/>
  <c r="AC279"/>
  <c r="AC283"/>
  <c r="AC287"/>
  <c r="AC291"/>
  <c r="AC295"/>
  <c r="AC299"/>
  <c r="AC303"/>
  <c r="AC307"/>
  <c r="AC311"/>
  <c r="AC315"/>
  <c r="AC319"/>
  <c r="AC323"/>
  <c r="AC327"/>
  <c r="AC331"/>
  <c r="AC335"/>
  <c r="AC339"/>
  <c r="AC347"/>
  <c r="AC351"/>
  <c r="AC355"/>
  <c r="AC359"/>
  <c r="AC363"/>
  <c r="AC367"/>
  <c r="AC371"/>
  <c r="AC375"/>
  <c r="AC379"/>
  <c r="AC383"/>
  <c r="W11"/>
  <c r="W12" s="1"/>
  <c r="W13" s="1"/>
  <c r="W14" s="1"/>
  <c r="W15" s="1"/>
  <c r="W16" s="1"/>
  <c r="W17" s="1"/>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W52" s="1"/>
  <c r="W53" s="1"/>
  <c r="W54" s="1"/>
  <c r="W55" s="1"/>
  <c r="W56" s="1"/>
  <c r="W57" s="1"/>
  <c r="W58" s="1"/>
  <c r="W59" s="1"/>
  <c r="W60" s="1"/>
  <c r="W61" s="1"/>
  <c r="W62" s="1"/>
  <c r="W63" s="1"/>
  <c r="W64" s="1"/>
  <c r="W65" s="1"/>
  <c r="W66" s="1"/>
  <c r="W67" s="1"/>
  <c r="W68" s="1"/>
  <c r="W69" s="1"/>
  <c r="W70" s="1"/>
  <c r="W71" s="1"/>
  <c r="W72" s="1"/>
  <c r="W73" s="1"/>
  <c r="W74" s="1"/>
  <c r="W75" s="1"/>
  <c r="W76" s="1"/>
  <c r="W77" s="1"/>
  <c r="W78" s="1"/>
  <c r="W79" s="1"/>
  <c r="W80" s="1"/>
  <c r="W81" s="1"/>
  <c r="W82" s="1"/>
  <c r="W83" s="1"/>
  <c r="W84" s="1"/>
  <c r="W85" s="1"/>
  <c r="W86" s="1"/>
  <c r="W87" s="1"/>
  <c r="W88" s="1"/>
  <c r="W89" s="1"/>
  <c r="W90" s="1"/>
  <c r="W91" s="1"/>
  <c r="W92" s="1"/>
  <c r="W93" s="1"/>
  <c r="W94" s="1"/>
  <c r="W95" s="1"/>
  <c r="W96" s="1"/>
  <c r="W97" s="1"/>
  <c r="W98" s="1"/>
  <c r="W99" s="1"/>
  <c r="W100" s="1"/>
  <c r="W101" s="1"/>
  <c r="W102" s="1"/>
  <c r="W103" s="1"/>
  <c r="W104" s="1"/>
  <c r="W105" s="1"/>
  <c r="W106" s="1"/>
  <c r="W107" s="1"/>
  <c r="W108" s="1"/>
  <c r="W109" s="1"/>
  <c r="W110" s="1"/>
  <c r="W111" s="1"/>
  <c r="W112" s="1"/>
  <c r="W113" s="1"/>
  <c r="W114" s="1"/>
  <c r="W115" s="1"/>
  <c r="W116" s="1"/>
  <c r="W117" s="1"/>
  <c r="W118" s="1"/>
  <c r="W119" s="1"/>
  <c r="AC165"/>
  <c r="AC174"/>
  <c r="AC178"/>
  <c r="AC182"/>
  <c r="AC186"/>
  <c r="AC194"/>
  <c r="AC198"/>
  <c r="AC202"/>
  <c r="AC206"/>
  <c r="AC210"/>
  <c r="AC214"/>
  <c r="AC218"/>
  <c r="AC222"/>
  <c r="AC173"/>
  <c r="AC177"/>
  <c r="AC181"/>
  <c r="AC185"/>
  <c r="AC189"/>
  <c r="AC193"/>
  <c r="AC197"/>
  <c r="AC201"/>
  <c r="AC205"/>
  <c r="AC209"/>
  <c r="AC213"/>
  <c r="AC217"/>
  <c r="AC221"/>
  <c r="AC225"/>
  <c r="AC172"/>
  <c r="AC176"/>
  <c r="AC180"/>
  <c r="AC184"/>
  <c r="AC188"/>
  <c r="AC192"/>
  <c r="AC196"/>
  <c r="AC200"/>
  <c r="AC204"/>
  <c r="AC208"/>
  <c r="AC212"/>
  <c r="AC216"/>
  <c r="AC220"/>
  <c r="AC224"/>
  <c r="AC171"/>
  <c r="AC175"/>
  <c r="AC179"/>
  <c r="AC183"/>
  <c r="AC187"/>
  <c r="AC191"/>
  <c r="AC195"/>
  <c r="AC199"/>
  <c r="AC203"/>
  <c r="AC207"/>
  <c r="AC211"/>
  <c r="AC215"/>
  <c r="AC219"/>
  <c r="AC223"/>
  <c r="AC154"/>
  <c r="AC158"/>
  <c r="AC162"/>
  <c r="AC166"/>
  <c r="AC170"/>
  <c r="AC153"/>
  <c r="AC157"/>
  <c r="AC161"/>
  <c r="AC169"/>
  <c r="AC152"/>
  <c r="AC156"/>
  <c r="AC160"/>
  <c r="AC164"/>
  <c r="AC168"/>
  <c r="AC167"/>
  <c r="AC151"/>
  <c r="AC155"/>
  <c r="AC159"/>
  <c r="AC163"/>
  <c r="AC144"/>
  <c r="AC148"/>
  <c r="AC143"/>
  <c r="AC147"/>
  <c r="AC142"/>
  <c r="AC146"/>
  <c r="AC150"/>
  <c r="AC141"/>
  <c r="AC145"/>
  <c r="AC149"/>
  <c r="AC99"/>
  <c r="AC103"/>
  <c r="AC107"/>
  <c r="AC111"/>
  <c r="AC115"/>
  <c r="AC119"/>
  <c r="AC123"/>
  <c r="AC127"/>
  <c r="AC131"/>
  <c r="AC135"/>
  <c r="AC139"/>
  <c r="AC102"/>
  <c r="AC106"/>
  <c r="AC110"/>
  <c r="AC114"/>
  <c r="AC118"/>
  <c r="AC122"/>
  <c r="AC126"/>
  <c r="AC130"/>
  <c r="AC134"/>
  <c r="AC138"/>
  <c r="AC101"/>
  <c r="AC105"/>
  <c r="AC109"/>
  <c r="AC113"/>
  <c r="AC117"/>
  <c r="AC121"/>
  <c r="AC125"/>
  <c r="AC129"/>
  <c r="AC133"/>
  <c r="AC137"/>
  <c r="AC100"/>
  <c r="AC104"/>
  <c r="AC108"/>
  <c r="AC112"/>
  <c r="AC116"/>
  <c r="AC120"/>
  <c r="AC124"/>
  <c r="AC128"/>
  <c r="AC132"/>
  <c r="AC136"/>
  <c r="AC140"/>
  <c r="AC5"/>
  <c r="AC9"/>
  <c r="AC13"/>
  <c r="AC17"/>
  <c r="AC21"/>
  <c r="AC25"/>
  <c r="AC29"/>
  <c r="AC33"/>
  <c r="AC37"/>
  <c r="AC41"/>
  <c r="AC45"/>
  <c r="AC49"/>
  <c r="AC53"/>
  <c r="AC57"/>
  <c r="AC61"/>
  <c r="AC65"/>
  <c r="AC69"/>
  <c r="AC73"/>
  <c r="AC77"/>
  <c r="AC81"/>
  <c r="AC85"/>
  <c r="AC89"/>
  <c r="AC93"/>
  <c r="AC8"/>
  <c r="AC12"/>
  <c r="AC16"/>
  <c r="AC20"/>
  <c r="AC24"/>
  <c r="AC28"/>
  <c r="AC32"/>
  <c r="AC36"/>
  <c r="AC40"/>
  <c r="AC44"/>
  <c r="AC48"/>
  <c r="AC52"/>
  <c r="AC56"/>
  <c r="AC60"/>
  <c r="AC64"/>
  <c r="AC68"/>
  <c r="AC72"/>
  <c r="AC76"/>
  <c r="AC80"/>
  <c r="AC84"/>
  <c r="AC88"/>
  <c r="AC92"/>
  <c r="AC96"/>
  <c r="AC78"/>
  <c r="AC86"/>
  <c r="AC90"/>
  <c r="AC98"/>
  <c r="AC97"/>
  <c r="AC7"/>
  <c r="AC11"/>
  <c r="AC15"/>
  <c r="AC19"/>
  <c r="AC23"/>
  <c r="AC27"/>
  <c r="AC31"/>
  <c r="AC35"/>
  <c r="AC39"/>
  <c r="AC43"/>
  <c r="AC47"/>
  <c r="AC51"/>
  <c r="AC55"/>
  <c r="AC59"/>
  <c r="AC63"/>
  <c r="AC67"/>
  <c r="AC71"/>
  <c r="AC75"/>
  <c r="AC79"/>
  <c r="AC83"/>
  <c r="AC87"/>
  <c r="AC91"/>
  <c r="AC95"/>
  <c r="AC6"/>
  <c r="AC10"/>
  <c r="AC14"/>
  <c r="AC18"/>
  <c r="AC22"/>
  <c r="AC26"/>
  <c r="AC30"/>
  <c r="AC34"/>
  <c r="AC38"/>
  <c r="AC42"/>
  <c r="AC46"/>
  <c r="AC50"/>
  <c r="AC54"/>
  <c r="AC58"/>
  <c r="AC62"/>
  <c r="AC66"/>
  <c r="AC70"/>
  <c r="AC74"/>
  <c r="AC82"/>
  <c r="AC94"/>
  <c r="T382"/>
  <c r="T380"/>
  <c r="T384"/>
  <c r="T381"/>
  <c r="T379"/>
  <c r="T383"/>
  <c r="DP26" i="43" l="1"/>
  <c r="ET9" l="1"/>
  <c r="EU9"/>
  <c r="ET10"/>
  <c r="EU10"/>
  <c r="ET11"/>
  <c r="EU11"/>
  <c r="ET12"/>
  <c r="EU12"/>
  <c r="ET13"/>
  <c r="EU13"/>
  <c r="ET14"/>
  <c r="EU14"/>
  <c r="ET15"/>
  <c r="EU15"/>
  <c r="ET16"/>
  <c r="EU16"/>
  <c r="ET17"/>
  <c r="EU17"/>
  <c r="ET18"/>
  <c r="EU18"/>
  <c r="ET19"/>
  <c r="EU19"/>
  <c r="ET20"/>
  <c r="EU20"/>
  <c r="ET21"/>
  <c r="EU21"/>
  <c r="ET22"/>
  <c r="EU22"/>
  <c r="ET23"/>
  <c r="EU23"/>
  <c r="ET24"/>
  <c r="EU24"/>
  <c r="ET25"/>
  <c r="EU25"/>
  <c r="ET26"/>
  <c r="EU26"/>
  <c r="ET27"/>
  <c r="ET28"/>
  <c r="ES28" s="1"/>
  <c r="ET29"/>
  <c r="ET30"/>
  <c r="EU30"/>
  <c r="ET31"/>
  <c r="EU31"/>
  <c r="ET32"/>
  <c r="EU32"/>
  <c r="ET33"/>
  <c r="EU33"/>
  <c r="ET34"/>
  <c r="EU34"/>
  <c r="ET35"/>
  <c r="EU35"/>
  <c r="ET36"/>
  <c r="EU36"/>
  <c r="ET37"/>
  <c r="EU37"/>
  <c r="ET38"/>
  <c r="EU38"/>
  <c r="ET39"/>
  <c r="EU39"/>
  <c r="ET40"/>
  <c r="EU40"/>
  <c r="ET41"/>
  <c r="EU41"/>
  <c r="ET42"/>
  <c r="EU42"/>
  <c r="ET43"/>
  <c r="EU43"/>
  <c r="ET44"/>
  <c r="EU44"/>
  <c r="ET45"/>
  <c r="EU45"/>
  <c r="ET46"/>
  <c r="EU46"/>
  <c r="ET47"/>
  <c r="EU47"/>
  <c r="ET48"/>
  <c r="EU48"/>
  <c r="ET49"/>
  <c r="EU49"/>
  <c r="ET50"/>
  <c r="EU50"/>
  <c r="ET51"/>
  <c r="EU51"/>
  <c r="ET52"/>
  <c r="EU52"/>
  <c r="ET53"/>
  <c r="EU53"/>
  <c r="ET54"/>
  <c r="EU54"/>
  <c r="ET55"/>
  <c r="EU55"/>
  <c r="ET56"/>
  <c r="EU56"/>
  <c r="ET57"/>
  <c r="EU57"/>
  <c r="ET58"/>
  <c r="EU58"/>
  <c r="ET59"/>
  <c r="EU59"/>
  <c r="ET60"/>
  <c r="EU60"/>
  <c r="ET61"/>
  <c r="EU61"/>
  <c r="ET62"/>
  <c r="EU62"/>
  <c r="ET63"/>
  <c r="EU63"/>
  <c r="ET64"/>
  <c r="EU64"/>
  <c r="ET65"/>
  <c r="EU65"/>
  <c r="ET66"/>
  <c r="EU66"/>
  <c r="ET67"/>
  <c r="EU67"/>
  <c r="ET68"/>
  <c r="EU68"/>
  <c r="ET69"/>
  <c r="EU69"/>
  <c r="ET70"/>
  <c r="EU70"/>
  <c r="ET71"/>
  <c r="EU71"/>
  <c r="ET72"/>
  <c r="EU72"/>
  <c r="ET73"/>
  <c r="EU73"/>
  <c r="ET74"/>
  <c r="EU74"/>
  <c r="ET75"/>
  <c r="EU75"/>
  <c r="ET76"/>
  <c r="EU76"/>
  <c r="ET77"/>
  <c r="EU77"/>
  <c r="ET78"/>
  <c r="EU78"/>
  <c r="ET79"/>
  <c r="EU79"/>
  <c r="ET80"/>
  <c r="EU80"/>
  <c r="ET81"/>
  <c r="EU81"/>
  <c r="ET82"/>
  <c r="EU82"/>
  <c r="ET83"/>
  <c r="EU83"/>
  <c r="ET84"/>
  <c r="EU84"/>
  <c r="ET85"/>
  <c r="EU85"/>
  <c r="ET86"/>
  <c r="EU86"/>
  <c r="ET87"/>
  <c r="EU87"/>
  <c r="ET88"/>
  <c r="EU88"/>
  <c r="ET89"/>
  <c r="EU89"/>
  <c r="ET90"/>
  <c r="EU90"/>
  <c r="ET91"/>
  <c r="EU91"/>
  <c r="ET92"/>
  <c r="EU92"/>
  <c r="ET93"/>
  <c r="EU93"/>
  <c r="ET94"/>
  <c r="EU94"/>
  <c r="ET95"/>
  <c r="EU95"/>
  <c r="ET96"/>
  <c r="EU96"/>
  <c r="ET97"/>
  <c r="EU97"/>
  <c r="ET98"/>
  <c r="EU98"/>
  <c r="ET99"/>
  <c r="EU99"/>
  <c r="ET100"/>
  <c r="EU100"/>
  <c r="ET101"/>
  <c r="EU101"/>
  <c r="ET102"/>
  <c r="EU102"/>
  <c r="ET103"/>
  <c r="EU103"/>
  <c r="ET104"/>
  <c r="EU104"/>
  <c r="ET105"/>
  <c r="EU105"/>
  <c r="ET106"/>
  <c r="EU106"/>
  <c r="ET107"/>
  <c r="EU107"/>
  <c r="ET108"/>
  <c r="EU108"/>
  <c r="ET109"/>
  <c r="EU109"/>
  <c r="ET110"/>
  <c r="EU110"/>
  <c r="ET111"/>
  <c r="EU111"/>
  <c r="ET112"/>
  <c r="EU112"/>
  <c r="ET113"/>
  <c r="EU113"/>
  <c r="ET114"/>
  <c r="EU114"/>
  <c r="ET115"/>
  <c r="EU115"/>
  <c r="ET116"/>
  <c r="EU116"/>
  <c r="ET117"/>
  <c r="EU117"/>
  <c r="ET118"/>
  <c r="EU118"/>
  <c r="ET119"/>
  <c r="EU119"/>
  <c r="ET120"/>
  <c r="EU120"/>
  <c r="ET121"/>
  <c r="EU121"/>
  <c r="ET122"/>
  <c r="EU122"/>
  <c r="ET123"/>
  <c r="EU123"/>
  <c r="ET124"/>
  <c r="EU124"/>
  <c r="ET125"/>
  <c r="EU125"/>
  <c r="ET126"/>
  <c r="EU126"/>
  <c r="ET127"/>
  <c r="EU127"/>
  <c r="ET128"/>
  <c r="EU128"/>
  <c r="ET129"/>
  <c r="EU129"/>
  <c r="ET130"/>
  <c r="EU130"/>
  <c r="ET131"/>
  <c r="EU131"/>
  <c r="ET132"/>
  <c r="EU132"/>
  <c r="ET133"/>
  <c r="EU133"/>
  <c r="ET134"/>
  <c r="EU134"/>
  <c r="ET135"/>
  <c r="EU135"/>
  <c r="ET136"/>
  <c r="EU136"/>
  <c r="ET137"/>
  <c r="EU137"/>
  <c r="ET138"/>
  <c r="EU138"/>
  <c r="ET139"/>
  <c r="EU139"/>
  <c r="ET140"/>
  <c r="EU140"/>
  <c r="ET141"/>
  <c r="EU141"/>
  <c r="ET142"/>
  <c r="EU142"/>
  <c r="ET143"/>
  <c r="EU143"/>
  <c r="ET144"/>
  <c r="EU144"/>
  <c r="ET145"/>
  <c r="EU145"/>
  <c r="ET146"/>
  <c r="EU146"/>
  <c r="ET147"/>
  <c r="EU147"/>
  <c r="ET148"/>
  <c r="EU148"/>
  <c r="ET149"/>
  <c r="EU149"/>
  <c r="ET150"/>
  <c r="EU150"/>
  <c r="ET151"/>
  <c r="EU151"/>
  <c r="ET152"/>
  <c r="EU152"/>
  <c r="ET153"/>
  <c r="EU153"/>
  <c r="ET154"/>
  <c r="EU154"/>
  <c r="ET155"/>
  <c r="EU155"/>
  <c r="ET156"/>
  <c r="EU156"/>
  <c r="ET157"/>
  <c r="EU157"/>
  <c r="ET158"/>
  <c r="EU158"/>
  <c r="ET159"/>
  <c r="EU159"/>
  <c r="ET160"/>
  <c r="EU160"/>
  <c r="ET161"/>
  <c r="EU161"/>
  <c r="ET162"/>
  <c r="EU162"/>
  <c r="ET163"/>
  <c r="EU163"/>
  <c r="ET164"/>
  <c r="EU164"/>
  <c r="ET165"/>
  <c r="EU165"/>
  <c r="ET166"/>
  <c r="EU166"/>
  <c r="ET167"/>
  <c r="EU167"/>
  <c r="ET168"/>
  <c r="EU168"/>
  <c r="ET169"/>
  <c r="EU169"/>
  <c r="ET170"/>
  <c r="EU170"/>
  <c r="ET171"/>
  <c r="EU171"/>
  <c r="ET172"/>
  <c r="EU172"/>
  <c r="ET173"/>
  <c r="EU173"/>
  <c r="ET174"/>
  <c r="EU174"/>
  <c r="ET175"/>
  <c r="EU175"/>
  <c r="ET176"/>
  <c r="EU176"/>
  <c r="ET177"/>
  <c r="EU177"/>
  <c r="ET178"/>
  <c r="EU178"/>
  <c r="ET179"/>
  <c r="EU179"/>
  <c r="ET180"/>
  <c r="EU180"/>
  <c r="ET181"/>
  <c r="EU181"/>
  <c r="ET182"/>
  <c r="EU182"/>
  <c r="ET183"/>
  <c r="EU183"/>
  <c r="ET184"/>
  <c r="EU184"/>
  <c r="ET185"/>
  <c r="EU185"/>
  <c r="ET186"/>
  <c r="EU186"/>
  <c r="ET187"/>
  <c r="EU187"/>
  <c r="ET188"/>
  <c r="EU188"/>
  <c r="ET189"/>
  <c r="EU189"/>
  <c r="ET190"/>
  <c r="EU190"/>
  <c r="ET191"/>
  <c r="EU191"/>
  <c r="ET192"/>
  <c r="EU192"/>
  <c r="ET193"/>
  <c r="EU193"/>
  <c r="ET194"/>
  <c r="EU194"/>
  <c r="ET195"/>
  <c r="EU195"/>
  <c r="ET196"/>
  <c r="EU196"/>
  <c r="ET197"/>
  <c r="EU197"/>
  <c r="ET198"/>
  <c r="EU198"/>
  <c r="ET199"/>
  <c r="EU199"/>
  <c r="ET200"/>
  <c r="EU200"/>
  <c r="ET201"/>
  <c r="EU201"/>
  <c r="ET202"/>
  <c r="EU202"/>
  <c r="ET203"/>
  <c r="EU203"/>
  <c r="ET204"/>
  <c r="EU204"/>
  <c r="ET205"/>
  <c r="EU205"/>
  <c r="ET206"/>
  <c r="EU206"/>
  <c r="ET207"/>
  <c r="EU207"/>
  <c r="ET208"/>
  <c r="EU208"/>
  <c r="ET209"/>
  <c r="EU209"/>
  <c r="ET210"/>
  <c r="EU210"/>
  <c r="ET211"/>
  <c r="EU211"/>
  <c r="ET212"/>
  <c r="EU212"/>
  <c r="ET213"/>
  <c r="EU213"/>
  <c r="ET214"/>
  <c r="EU214"/>
  <c r="ET215"/>
  <c r="EU215"/>
  <c r="ET216"/>
  <c r="EU216"/>
  <c r="ET217"/>
  <c r="EU217"/>
  <c r="ET218"/>
  <c r="EU218"/>
  <c r="ET219"/>
  <c r="EU219"/>
  <c r="ET220"/>
  <c r="EU220"/>
  <c r="ET221"/>
  <c r="EU221"/>
  <c r="ET222"/>
  <c r="EU222"/>
  <c r="ET223"/>
  <c r="EU223"/>
  <c r="ET224"/>
  <c r="EU224"/>
  <c r="ET225"/>
  <c r="EU225"/>
  <c r="ET226"/>
  <c r="EU226"/>
  <c r="ET227"/>
  <c r="EU227"/>
  <c r="ET228"/>
  <c r="EU228"/>
  <c r="ET229"/>
  <c r="EU229"/>
  <c r="ET230"/>
  <c r="EU230"/>
  <c r="ET231"/>
  <c r="EU231"/>
  <c r="ET232"/>
  <c r="EU232"/>
  <c r="ET233"/>
  <c r="EU233"/>
  <c r="ET234"/>
  <c r="EU234"/>
  <c r="ET235"/>
  <c r="EU235"/>
  <c r="ET236"/>
  <c r="EU236"/>
  <c r="ET237"/>
  <c r="EU237"/>
  <c r="ET238"/>
  <c r="EU238"/>
  <c r="ET239"/>
  <c r="EU239"/>
  <c r="ET240"/>
  <c r="EU240"/>
  <c r="ET241"/>
  <c r="EU241"/>
  <c r="ET242"/>
  <c r="EU242"/>
  <c r="ET243"/>
  <c r="EU243"/>
  <c r="ET244"/>
  <c r="EU244"/>
  <c r="ET245"/>
  <c r="EU245"/>
  <c r="ET246"/>
  <c r="EU246"/>
  <c r="ET247"/>
  <c r="EU247"/>
  <c r="ET248"/>
  <c r="EU248"/>
  <c r="ET249"/>
  <c r="EU249"/>
  <c r="ET250"/>
  <c r="EU250"/>
  <c r="ET251"/>
  <c r="EU251"/>
  <c r="ET252"/>
  <c r="EU252"/>
  <c r="ET253"/>
  <c r="EU253"/>
  <c r="ET254"/>
  <c r="EU254"/>
  <c r="ET255"/>
  <c r="EU255"/>
  <c r="ET256"/>
  <c r="EU256"/>
  <c r="ET257"/>
  <c r="EU257"/>
  <c r="ET258"/>
  <c r="EU258"/>
  <c r="ET259"/>
  <c r="EU259"/>
  <c r="ET260"/>
  <c r="EU260"/>
  <c r="ET261"/>
  <c r="EU261"/>
  <c r="ET262"/>
  <c r="EU262"/>
  <c r="ET263"/>
  <c r="EU263"/>
  <c r="ET264"/>
  <c r="EU264"/>
  <c r="ET265"/>
  <c r="EU265"/>
  <c r="ET266"/>
  <c r="EU266"/>
  <c r="ET267"/>
  <c r="EU267"/>
  <c r="ET268"/>
  <c r="EU268"/>
  <c r="ET269"/>
  <c r="EU269"/>
  <c r="ET270"/>
  <c r="EU270"/>
  <c r="ET271"/>
  <c r="EU271"/>
  <c r="ET272"/>
  <c r="EU272"/>
  <c r="ET273"/>
  <c r="EU273"/>
  <c r="ET274"/>
  <c r="EU274"/>
  <c r="ET275"/>
  <c r="EU275"/>
  <c r="ET276"/>
  <c r="EU276"/>
  <c r="ET277"/>
  <c r="EU277"/>
  <c r="ET278"/>
  <c r="EU278"/>
  <c r="ET279"/>
  <c r="EU279"/>
  <c r="ET280"/>
  <c r="EU280"/>
  <c r="ET281"/>
  <c r="EU281"/>
  <c r="ET282"/>
  <c r="EU282"/>
  <c r="ET283"/>
  <c r="EU283"/>
  <c r="ET284"/>
  <c r="EU284"/>
  <c r="ET285"/>
  <c r="EU285"/>
  <c r="ET286"/>
  <c r="EU286"/>
  <c r="ET287"/>
  <c r="EU287"/>
  <c r="ET288"/>
  <c r="EU288"/>
  <c r="ET289"/>
  <c r="EU289"/>
  <c r="ET290"/>
  <c r="EU290"/>
  <c r="ET291"/>
  <c r="EU291"/>
  <c r="ET292"/>
  <c r="EU292"/>
  <c r="ET293"/>
  <c r="EU293"/>
  <c r="ET294"/>
  <c r="EU294"/>
  <c r="ET295"/>
  <c r="EU295"/>
  <c r="ET296"/>
  <c r="EU296"/>
  <c r="ET297"/>
  <c r="EU297"/>
  <c r="ET298"/>
  <c r="EU298"/>
  <c r="ET299"/>
  <c r="EU299"/>
  <c r="ET300"/>
  <c r="EU300"/>
  <c r="ET301"/>
  <c r="EU301"/>
  <c r="ET302"/>
  <c r="EU302"/>
  <c r="ET303"/>
  <c r="EU303"/>
  <c r="ET304"/>
  <c r="EU304"/>
  <c r="ET305"/>
  <c r="EU305"/>
  <c r="ET306"/>
  <c r="EU306"/>
  <c r="ET307"/>
  <c r="EU307"/>
  <c r="ET308"/>
  <c r="EU308"/>
  <c r="ET309"/>
  <c r="EU309"/>
  <c r="ET310"/>
  <c r="EU310"/>
  <c r="ET311"/>
  <c r="EU311"/>
  <c r="ET312"/>
  <c r="EU312"/>
  <c r="ET313"/>
  <c r="EU313"/>
  <c r="ET314"/>
  <c r="EU314"/>
  <c r="ET315"/>
  <c r="EU315"/>
  <c r="ET316"/>
  <c r="EU316"/>
  <c r="ET317"/>
  <c r="EU317"/>
  <c r="ET318"/>
  <c r="EU318"/>
  <c r="ET319"/>
  <c r="EU319"/>
  <c r="ET320"/>
  <c r="EU320"/>
  <c r="ET321"/>
  <c r="EU321"/>
  <c r="ET322"/>
  <c r="EU322"/>
  <c r="ET323"/>
  <c r="EU323"/>
  <c r="ET324"/>
  <c r="EU324"/>
  <c r="ET325"/>
  <c r="EU325"/>
  <c r="ET326"/>
  <c r="EU326"/>
  <c r="ET327"/>
  <c r="EU327"/>
  <c r="ET328"/>
  <c r="EU328"/>
  <c r="ET329"/>
  <c r="EU329"/>
  <c r="ET330"/>
  <c r="EU330"/>
  <c r="ET331"/>
  <c r="EU331"/>
  <c r="ET332"/>
  <c r="EU332"/>
  <c r="ET333"/>
  <c r="EU333"/>
  <c r="ET334"/>
  <c r="EU334"/>
  <c r="ET335"/>
  <c r="EU335"/>
  <c r="ET336"/>
  <c r="EU336"/>
  <c r="ET337"/>
  <c r="EU337"/>
  <c r="ET338"/>
  <c r="EU338"/>
  <c r="ET339"/>
  <c r="EU339"/>
  <c r="ET340"/>
  <c r="EU340"/>
  <c r="ET341"/>
  <c r="EU341"/>
  <c r="ET342"/>
  <c r="EU342"/>
  <c r="ET343"/>
  <c r="EU343"/>
  <c r="ET344"/>
  <c r="EU344"/>
  <c r="ET345"/>
  <c r="EU345"/>
  <c r="ET346"/>
  <c r="EU346"/>
  <c r="ET347"/>
  <c r="EU347"/>
  <c r="ET348"/>
  <c r="EU348"/>
  <c r="ET349"/>
  <c r="EU349"/>
  <c r="ET350"/>
  <c r="EU350"/>
  <c r="ET351"/>
  <c r="EU351"/>
  <c r="ET352"/>
  <c r="EU352"/>
  <c r="ET353"/>
  <c r="EU353"/>
  <c r="ET354"/>
  <c r="EU354"/>
  <c r="ET355"/>
  <c r="EU355"/>
  <c r="ET356"/>
  <c r="EU356"/>
  <c r="ET357"/>
  <c r="EU357"/>
  <c r="ET358"/>
  <c r="EU358"/>
  <c r="ET359"/>
  <c r="EU359"/>
  <c r="ET360"/>
  <c r="EU360"/>
  <c r="ET361"/>
  <c r="EU361"/>
  <c r="ET362"/>
  <c r="EU362"/>
  <c r="ET363"/>
  <c r="EU363"/>
  <c r="ET364"/>
  <c r="EU364"/>
  <c r="ET365"/>
  <c r="EU365"/>
  <c r="ET366"/>
  <c r="EU366"/>
  <c r="ET367"/>
  <c r="EU367"/>
  <c r="ET368"/>
  <c r="EU368"/>
  <c r="ET369"/>
  <c r="EU369"/>
  <c r="ET370"/>
  <c r="EU370"/>
  <c r="ET371"/>
  <c r="EU371"/>
  <c r="ET372"/>
  <c r="EU372"/>
  <c r="ET373"/>
  <c r="EU373"/>
  <c r="ET374"/>
  <c r="EU374"/>
  <c r="ET375"/>
  <c r="EU375"/>
  <c r="ET376"/>
  <c r="EU376"/>
  <c r="ET377"/>
  <c r="EU377"/>
  <c r="ET378"/>
  <c r="EU378"/>
  <c r="ET379"/>
  <c r="EU379"/>
  <c r="ET380"/>
  <c r="EU380"/>
  <c r="ET381"/>
  <c r="EU381"/>
  <c r="EU8"/>
  <c r="ET8"/>
  <c r="ES380" l="1"/>
  <c r="ES378"/>
  <c r="ES376"/>
  <c r="ES374"/>
  <c r="ES372"/>
  <c r="ES370"/>
  <c r="ES368"/>
  <c r="ES366"/>
  <c r="ES364"/>
  <c r="ES362"/>
  <c r="ES360"/>
  <c r="ES358"/>
  <c r="ES356"/>
  <c r="ES354"/>
  <c r="ES352"/>
  <c r="ES350"/>
  <c r="ES348"/>
  <c r="ES346"/>
  <c r="ES344"/>
  <c r="ES342"/>
  <c r="ES340"/>
  <c r="ES338"/>
  <c r="ES336"/>
  <c r="ES334"/>
  <c r="ES332"/>
  <c r="ES330"/>
  <c r="ES328"/>
  <c r="ES326"/>
  <c r="ES324"/>
  <c r="ES322"/>
  <c r="ES320"/>
  <c r="ES318"/>
  <c r="ES316"/>
  <c r="ES314"/>
  <c r="ES312"/>
  <c r="ES310"/>
  <c r="ES308"/>
  <c r="ES306"/>
  <c r="ES304"/>
  <c r="ES302"/>
  <c r="ES300"/>
  <c r="ES298"/>
  <c r="ES296"/>
  <c r="ES294"/>
  <c r="ES292"/>
  <c r="ES290"/>
  <c r="ES288"/>
  <c r="ES286"/>
  <c r="ES284"/>
  <c r="ES282"/>
  <c r="ES280"/>
  <c r="ES278"/>
  <c r="ES276"/>
  <c r="ES274"/>
  <c r="ES272"/>
  <c r="ES270"/>
  <c r="ES268"/>
  <c r="ES266"/>
  <c r="ES264"/>
  <c r="ES262"/>
  <c r="ES260"/>
  <c r="ES258"/>
  <c r="ES256"/>
  <c r="ES254"/>
  <c r="ES252"/>
  <c r="ES250"/>
  <c r="ES248"/>
  <c r="ES246"/>
  <c r="ES242"/>
  <c r="ES240"/>
  <c r="ES238"/>
  <c r="ES236"/>
  <c r="ES234"/>
  <c r="ES232"/>
  <c r="ES230"/>
  <c r="ES228"/>
  <c r="ES226"/>
  <c r="ES224"/>
  <c r="ES222"/>
  <c r="ES218"/>
  <c r="ES214"/>
  <c r="ES210"/>
  <c r="ES208"/>
  <c r="ES206"/>
  <c r="ES204"/>
  <c r="ES202"/>
  <c r="ES198"/>
  <c r="ES196"/>
  <c r="ES194"/>
  <c r="ES192"/>
  <c r="ES190"/>
  <c r="ES188"/>
  <c r="ES186"/>
  <c r="ES184"/>
  <c r="ES182"/>
  <c r="ES180"/>
  <c r="ES178"/>
  <c r="ES176"/>
  <c r="ES174"/>
  <c r="ES172"/>
  <c r="ES170"/>
  <c r="ES168"/>
  <c r="ES166"/>
  <c r="ES164"/>
  <c r="ES162"/>
  <c r="ES160"/>
  <c r="ES158"/>
  <c r="ES156"/>
  <c r="ES154"/>
  <c r="ES152"/>
  <c r="ES150"/>
  <c r="ES148"/>
  <c r="ES146"/>
  <c r="ES144"/>
  <c r="ES142"/>
  <c r="ES140"/>
  <c r="ES138"/>
  <c r="ES136"/>
  <c r="ES134"/>
  <c r="ES132"/>
  <c r="ES130"/>
  <c r="ES128"/>
  <c r="ES126"/>
  <c r="ES124"/>
  <c r="ES122"/>
  <c r="ES120"/>
  <c r="ES80"/>
  <c r="ES78"/>
  <c r="ES76"/>
  <c r="ES74"/>
  <c r="ES72"/>
  <c r="ES70"/>
  <c r="ES68"/>
  <c r="ES66"/>
  <c r="ES64"/>
  <c r="ES244"/>
  <c r="ES220"/>
  <c r="ES216"/>
  <c r="ES212"/>
  <c r="J9" i="49"/>
  <c r="I9"/>
  <c r="I8"/>
  <c r="J8"/>
  <c r="ES200" i="43"/>
  <c r="ES62"/>
  <c r="ES60"/>
  <c r="ES58"/>
  <c r="ES56"/>
  <c r="ES118"/>
  <c r="ES116"/>
  <c r="ES114"/>
  <c r="ES112"/>
  <c r="ES110"/>
  <c r="ES108"/>
  <c r="ES106"/>
  <c r="ES104"/>
  <c r="ES102"/>
  <c r="ES100"/>
  <c r="ES98"/>
  <c r="ES96"/>
  <c r="ES94"/>
  <c r="ES92"/>
  <c r="ES90"/>
  <c r="ES88"/>
  <c r="ES86"/>
  <c r="ES84"/>
  <c r="ES82"/>
  <c r="ES26"/>
  <c r="ES24"/>
  <c r="ES22"/>
  <c r="ES20"/>
  <c r="ES18"/>
  <c r="ES16"/>
  <c r="ES14"/>
  <c r="ES12"/>
  <c r="ES10"/>
  <c r="ES54"/>
  <c r="ES52"/>
  <c r="ES50"/>
  <c r="ES48"/>
  <c r="ES46"/>
  <c r="ES44"/>
  <c r="ES42"/>
  <c r="ES40"/>
  <c r="ES38"/>
  <c r="ES36"/>
  <c r="ES34"/>
  <c r="ES32"/>
  <c r="ES30"/>
  <c r="ES381"/>
  <c r="ES379"/>
  <c r="ES377"/>
  <c r="ES375"/>
  <c r="ES373"/>
  <c r="ES371"/>
  <c r="ES369"/>
  <c r="ES367"/>
  <c r="ES365"/>
  <c r="ES363"/>
  <c r="ES361"/>
  <c r="ES359"/>
  <c r="ES357"/>
  <c r="ES355"/>
  <c r="ES353"/>
  <c r="ES351"/>
  <c r="ES349"/>
  <c r="ES347"/>
  <c r="ES345"/>
  <c r="ES343"/>
  <c r="ES341"/>
  <c r="ES339"/>
  <c r="ES337"/>
  <c r="ES335"/>
  <c r="ES333"/>
  <c r="ES331"/>
  <c r="ES329"/>
  <c r="ES327"/>
  <c r="ES325"/>
  <c r="ES323"/>
  <c r="ES321"/>
  <c r="ES319"/>
  <c r="ES317"/>
  <c r="ES315"/>
  <c r="ES313"/>
  <c r="ES311"/>
  <c r="ES309"/>
  <c r="ES307"/>
  <c r="ES305"/>
  <c r="ES303"/>
  <c r="ES301"/>
  <c r="ES299"/>
  <c r="ES297"/>
  <c r="ES295"/>
  <c r="ES293"/>
  <c r="ES291"/>
  <c r="ES289"/>
  <c r="ES287"/>
  <c r="ES285"/>
  <c r="ES283"/>
  <c r="ES281"/>
  <c r="ES279"/>
  <c r="ES277"/>
  <c r="ES275"/>
  <c r="ES273"/>
  <c r="ES271"/>
  <c r="ES269"/>
  <c r="ES267"/>
  <c r="ES265"/>
  <c r="ES263"/>
  <c r="ES261"/>
  <c r="ES259"/>
  <c r="ES257"/>
  <c r="ES255"/>
  <c r="ES253"/>
  <c r="ES251"/>
  <c r="ES249"/>
  <c r="ES247"/>
  <c r="ES245"/>
  <c r="ES243"/>
  <c r="ES241"/>
  <c r="ES239"/>
  <c r="ES237"/>
  <c r="ES235"/>
  <c r="ES233"/>
  <c r="ES231"/>
  <c r="ES229"/>
  <c r="ES227"/>
  <c r="ES225"/>
  <c r="ES223"/>
  <c r="ES221"/>
  <c r="ES219"/>
  <c r="ES217"/>
  <c r="ES215"/>
  <c r="ES213"/>
  <c r="ES211"/>
  <c r="ES209"/>
  <c r="ES207"/>
  <c r="ES205"/>
  <c r="ES203"/>
  <c r="ES201"/>
  <c r="ES199"/>
  <c r="ES197"/>
  <c r="ES195"/>
  <c r="ES193"/>
  <c r="ES191"/>
  <c r="ES189"/>
  <c r="ES187"/>
  <c r="ES185"/>
  <c r="ES183"/>
  <c r="ES181"/>
  <c r="ES179"/>
  <c r="ES177"/>
  <c r="ES175"/>
  <c r="ES173"/>
  <c r="ES171"/>
  <c r="ES169"/>
  <c r="ES167"/>
  <c r="ES165"/>
  <c r="ES163"/>
  <c r="ES161"/>
  <c r="ES159"/>
  <c r="ES157"/>
  <c r="ES155"/>
  <c r="ES153"/>
  <c r="ES151"/>
  <c r="ES149"/>
  <c r="ES147"/>
  <c r="ES145"/>
  <c r="ES143"/>
  <c r="ES141"/>
  <c r="ES139"/>
  <c r="ES137"/>
  <c r="ES135"/>
  <c r="ES133"/>
  <c r="ES131"/>
  <c r="ES129"/>
  <c r="ES127"/>
  <c r="ES125"/>
  <c r="ES123"/>
  <c r="ES121"/>
  <c r="ES119"/>
  <c r="ES117"/>
  <c r="ES115"/>
  <c r="ES113"/>
  <c r="ES111"/>
  <c r="ES109"/>
  <c r="ES107"/>
  <c r="ES105"/>
  <c r="ES103"/>
  <c r="ES101"/>
  <c r="ES99"/>
  <c r="ES97"/>
  <c r="ES95"/>
  <c r="ES93"/>
  <c r="ES91"/>
  <c r="ES89"/>
  <c r="ES87"/>
  <c r="ES85"/>
  <c r="ES83"/>
  <c r="ES81"/>
  <c r="ES79"/>
  <c r="ES77"/>
  <c r="ES75"/>
  <c r="ES73"/>
  <c r="ES71"/>
  <c r="ES69"/>
  <c r="ES67"/>
  <c r="ES65"/>
  <c r="ES63"/>
  <c r="ES61"/>
  <c r="ES59"/>
  <c r="ES57"/>
  <c r="ES55"/>
  <c r="ES53"/>
  <c r="ES51"/>
  <c r="ES49"/>
  <c r="ES47"/>
  <c r="ES45"/>
  <c r="ES43"/>
  <c r="ES41"/>
  <c r="ES39"/>
  <c r="ES37"/>
  <c r="ES35"/>
  <c r="ES33"/>
  <c r="ES31"/>
  <c r="ES29"/>
  <c r="ES27"/>
  <c r="ES25"/>
  <c r="ES23"/>
  <c r="ES21"/>
  <c r="ES19"/>
  <c r="ES17"/>
  <c r="ES15"/>
  <c r="ES13"/>
  <c r="ES11"/>
  <c r="ES9"/>
  <c r="ES8"/>
  <c r="AL30"/>
  <c r="AL31"/>
  <c r="DP20"/>
  <c r="DP19"/>
  <c r="O43"/>
  <c r="AC43"/>
  <c r="AD43"/>
  <c r="AE43"/>
  <c r="AF43"/>
  <c r="AG43"/>
  <c r="AL43"/>
  <c r="AW43"/>
  <c r="AX43"/>
  <c r="BG43"/>
  <c r="BI43"/>
  <c r="BM43"/>
  <c r="BE43" s="1"/>
  <c r="BQ43"/>
  <c r="BZ43"/>
  <c r="CB43"/>
  <c r="CG43"/>
  <c r="CD43" s="1"/>
  <c r="CH43"/>
  <c r="CU43"/>
  <c r="CW43"/>
  <c r="DA43"/>
  <c r="CS43" s="1"/>
  <c r="DP43"/>
  <c r="EF43"/>
  <c r="EM43"/>
  <c r="FD43"/>
  <c r="FQ43"/>
  <c r="O44"/>
  <c r="AC44"/>
  <c r="AD44"/>
  <c r="AE44"/>
  <c r="AF44"/>
  <c r="AG44"/>
  <c r="AL44"/>
  <c r="AW44"/>
  <c r="AX44"/>
  <c r="BG44"/>
  <c r="BI44"/>
  <c r="BM44"/>
  <c r="BE44" s="1"/>
  <c r="BZ44"/>
  <c r="CB44"/>
  <c r="CG44"/>
  <c r="CH44"/>
  <c r="CU44"/>
  <c r="CW44"/>
  <c r="DA44"/>
  <c r="CS44" s="1"/>
  <c r="DP44"/>
  <c r="EF44"/>
  <c r="EM44"/>
  <c r="FD44"/>
  <c r="FQ44"/>
  <c r="O45"/>
  <c r="AC45"/>
  <c r="AD45"/>
  <c r="AE45"/>
  <c r="AF45"/>
  <c r="AG45"/>
  <c r="AL45"/>
  <c r="AW45"/>
  <c r="AX45"/>
  <c r="BG45"/>
  <c r="BI45"/>
  <c r="BM45"/>
  <c r="BE45" s="1"/>
  <c r="BQ45"/>
  <c r="BZ45"/>
  <c r="CB45"/>
  <c r="CG45"/>
  <c r="CD45" s="1"/>
  <c r="CH45"/>
  <c r="CU45"/>
  <c r="CW45"/>
  <c r="DA45"/>
  <c r="CS45" s="1"/>
  <c r="DP45"/>
  <c r="EF45"/>
  <c r="EM45"/>
  <c r="FD45"/>
  <c r="FQ45"/>
  <c r="O46"/>
  <c r="AC46"/>
  <c r="AD46"/>
  <c r="AE46"/>
  <c r="AF46"/>
  <c r="AG46"/>
  <c r="AL46"/>
  <c r="AW46"/>
  <c r="AX46"/>
  <c r="BG46"/>
  <c r="BI46"/>
  <c r="BM46"/>
  <c r="BE46" s="1"/>
  <c r="BZ46"/>
  <c r="CB46"/>
  <c r="CG46"/>
  <c r="CD46" s="1"/>
  <c r="AS46" s="1"/>
  <c r="CH46"/>
  <c r="CU46"/>
  <c r="CW46"/>
  <c r="DA46"/>
  <c r="CS46" s="1"/>
  <c r="DP46"/>
  <c r="EF46"/>
  <c r="EM46"/>
  <c r="FD46"/>
  <c r="FQ46"/>
  <c r="O47"/>
  <c r="AC47"/>
  <c r="AD47"/>
  <c r="AE47"/>
  <c r="AF47"/>
  <c r="AG47"/>
  <c r="AL47"/>
  <c r="AW47"/>
  <c r="AX47"/>
  <c r="BG47"/>
  <c r="BI47"/>
  <c r="BM47"/>
  <c r="BE47" s="1"/>
  <c r="BZ47"/>
  <c r="CB47"/>
  <c r="CG47"/>
  <c r="CD47" s="1"/>
  <c r="CH47"/>
  <c r="CL47"/>
  <c r="CU47"/>
  <c r="CW47"/>
  <c r="DA47"/>
  <c r="CS47" s="1"/>
  <c r="DE47"/>
  <c r="DP47"/>
  <c r="EF47"/>
  <c r="EM47"/>
  <c r="FD47"/>
  <c r="FQ47"/>
  <c r="O48"/>
  <c r="AC48"/>
  <c r="AD48"/>
  <c r="AE48"/>
  <c r="AF48"/>
  <c r="AG48"/>
  <c r="AL48"/>
  <c r="AW48"/>
  <c r="AX48"/>
  <c r="BG48"/>
  <c r="BI48"/>
  <c r="BM48"/>
  <c r="BE48" s="1"/>
  <c r="BZ48"/>
  <c r="CB48"/>
  <c r="CG48"/>
  <c r="CH48"/>
  <c r="CU48"/>
  <c r="CW48"/>
  <c r="DA48"/>
  <c r="CS48" s="1"/>
  <c r="DP48"/>
  <c r="EF48"/>
  <c r="EM48"/>
  <c r="FD48"/>
  <c r="FQ48"/>
  <c r="O49"/>
  <c r="AC49"/>
  <c r="AD49"/>
  <c r="AE49"/>
  <c r="AF49"/>
  <c r="AG49"/>
  <c r="AL49"/>
  <c r="AW49"/>
  <c r="AX49"/>
  <c r="BG49"/>
  <c r="BI49"/>
  <c r="BM49"/>
  <c r="BE49" s="1"/>
  <c r="BQ49"/>
  <c r="BZ49"/>
  <c r="CB49"/>
  <c r="CG49"/>
  <c r="CD49" s="1"/>
  <c r="CH49"/>
  <c r="CU49"/>
  <c r="CW49"/>
  <c r="DA49"/>
  <c r="CS49" s="1"/>
  <c r="DP49"/>
  <c r="EF49"/>
  <c r="EM49"/>
  <c r="FD49"/>
  <c r="FQ49"/>
  <c r="O50"/>
  <c r="AC50"/>
  <c r="AD50"/>
  <c r="AE50"/>
  <c r="AF50"/>
  <c r="AG50"/>
  <c r="AL50"/>
  <c r="AW50"/>
  <c r="AX50"/>
  <c r="BG50"/>
  <c r="BI50"/>
  <c r="BM50"/>
  <c r="BE50" s="1"/>
  <c r="BZ50"/>
  <c r="CB50"/>
  <c r="CG50"/>
  <c r="CD50" s="1"/>
  <c r="AS50" s="1"/>
  <c r="CH50"/>
  <c r="CU50"/>
  <c r="CW50"/>
  <c r="DA50"/>
  <c r="CS50" s="1"/>
  <c r="DP50"/>
  <c r="EF50"/>
  <c r="EM50"/>
  <c r="FD50"/>
  <c r="FQ50"/>
  <c r="O51"/>
  <c r="CL51" s="1"/>
  <c r="AC51"/>
  <c r="AD51"/>
  <c r="AE51"/>
  <c r="AF51"/>
  <c r="AG51"/>
  <c r="AL51"/>
  <c r="AM51" s="1"/>
  <c r="AW51"/>
  <c r="AX51"/>
  <c r="BG51"/>
  <c r="BI51"/>
  <c r="BM51"/>
  <c r="BE51" s="1"/>
  <c r="BZ51"/>
  <c r="CB51"/>
  <c r="CG51"/>
  <c r="CD51" s="1"/>
  <c r="AS51" s="1"/>
  <c r="CH51"/>
  <c r="CU51"/>
  <c r="CW51"/>
  <c r="DA51"/>
  <c r="CS51" s="1"/>
  <c r="DP51"/>
  <c r="EF51"/>
  <c r="EM51"/>
  <c r="FD51"/>
  <c r="FQ51"/>
  <c r="O52"/>
  <c r="AC52"/>
  <c r="AD52"/>
  <c r="AE52"/>
  <c r="AF52"/>
  <c r="AG52"/>
  <c r="AL52"/>
  <c r="AW52"/>
  <c r="AX52"/>
  <c r="BG52"/>
  <c r="BI52"/>
  <c r="BM52"/>
  <c r="BE52" s="1"/>
  <c r="BZ52"/>
  <c r="CB52"/>
  <c r="CG52"/>
  <c r="CD52" s="1"/>
  <c r="CH52"/>
  <c r="CL52"/>
  <c r="CU52"/>
  <c r="CW52"/>
  <c r="DA52"/>
  <c r="CS52" s="1"/>
  <c r="DE52"/>
  <c r="DP52"/>
  <c r="EF52"/>
  <c r="EM52"/>
  <c r="FD52"/>
  <c r="FQ52"/>
  <c r="O53"/>
  <c r="AC53"/>
  <c r="AD53"/>
  <c r="AE53"/>
  <c r="AF53"/>
  <c r="AG53"/>
  <c r="AL53"/>
  <c r="AW53"/>
  <c r="AX53"/>
  <c r="BG53"/>
  <c r="BI53"/>
  <c r="BM53"/>
  <c r="BE53" s="1"/>
  <c r="BZ53"/>
  <c r="CB53"/>
  <c r="CG53"/>
  <c r="CH53"/>
  <c r="CU53"/>
  <c r="CW53"/>
  <c r="DA53"/>
  <c r="CS53" s="1"/>
  <c r="DP53"/>
  <c r="EF53"/>
  <c r="EM53"/>
  <c r="FD53"/>
  <c r="FQ53"/>
  <c r="O54"/>
  <c r="AC54"/>
  <c r="AD54"/>
  <c r="AE54"/>
  <c r="AF54"/>
  <c r="AG54"/>
  <c r="AL54"/>
  <c r="AM54" s="1"/>
  <c r="AW54"/>
  <c r="AX54"/>
  <c r="BG54"/>
  <c r="BI54"/>
  <c r="BM54"/>
  <c r="BE54" s="1"/>
  <c r="BZ54"/>
  <c r="CB54"/>
  <c r="CG54"/>
  <c r="CD54" s="1"/>
  <c r="CH54"/>
  <c r="CL54"/>
  <c r="CU54"/>
  <c r="CW54"/>
  <c r="DA54"/>
  <c r="CS54" s="1"/>
  <c r="DE54"/>
  <c r="DP54"/>
  <c r="EF54"/>
  <c r="EM54"/>
  <c r="FD54"/>
  <c r="FQ54"/>
  <c r="O55"/>
  <c r="AC55"/>
  <c r="AD55"/>
  <c r="AE55"/>
  <c r="AF55"/>
  <c r="AG55"/>
  <c r="AL55"/>
  <c r="AW55"/>
  <c r="AX55"/>
  <c r="BG55"/>
  <c r="BI55"/>
  <c r="BM55"/>
  <c r="BE55" s="1"/>
  <c r="BZ55"/>
  <c r="CB55"/>
  <c r="CG55"/>
  <c r="CD55" s="1"/>
  <c r="AS55" s="1"/>
  <c r="CH55"/>
  <c r="CU55"/>
  <c r="CW55"/>
  <c r="DA55"/>
  <c r="CS55" s="1"/>
  <c r="DP55"/>
  <c r="EF55"/>
  <c r="EM55"/>
  <c r="FD55"/>
  <c r="FQ55"/>
  <c r="O56"/>
  <c r="AC56"/>
  <c r="AD56"/>
  <c r="AE56"/>
  <c r="AF56"/>
  <c r="AG56"/>
  <c r="AL56"/>
  <c r="AM56" s="1"/>
  <c r="AW56"/>
  <c r="AX56"/>
  <c r="BG56"/>
  <c r="BI56"/>
  <c r="BM56"/>
  <c r="BE56" s="1"/>
  <c r="BZ56"/>
  <c r="CB56"/>
  <c r="CG56"/>
  <c r="CD56" s="1"/>
  <c r="CH56"/>
  <c r="CL56"/>
  <c r="CU56"/>
  <c r="CW56"/>
  <c r="DA56"/>
  <c r="CS56" s="1"/>
  <c r="DE56"/>
  <c r="DP56"/>
  <c r="EF56"/>
  <c r="EM56"/>
  <c r="FD56"/>
  <c r="FQ56"/>
  <c r="O57"/>
  <c r="AC57"/>
  <c r="AD57"/>
  <c r="AE57"/>
  <c r="AF57"/>
  <c r="AG57"/>
  <c r="AL57"/>
  <c r="AW57"/>
  <c r="AX57"/>
  <c r="BG57"/>
  <c r="BI57"/>
  <c r="BM57"/>
  <c r="BE57" s="1"/>
  <c r="BZ57"/>
  <c r="CB57"/>
  <c r="CG57"/>
  <c r="CH57"/>
  <c r="CU57"/>
  <c r="CW57"/>
  <c r="DA57"/>
  <c r="CS57" s="1"/>
  <c r="DP57"/>
  <c r="EF57"/>
  <c r="EM57"/>
  <c r="FD57"/>
  <c r="FQ57"/>
  <c r="O58"/>
  <c r="AC58"/>
  <c r="AD58"/>
  <c r="AE58"/>
  <c r="AF58"/>
  <c r="AG58"/>
  <c r="AL58"/>
  <c r="AM58" s="1"/>
  <c r="AW58"/>
  <c r="AX58"/>
  <c r="BG58"/>
  <c r="BI58"/>
  <c r="BM58"/>
  <c r="BE58" s="1"/>
  <c r="BQ58"/>
  <c r="BZ58"/>
  <c r="CB58"/>
  <c r="CG58"/>
  <c r="CD58" s="1"/>
  <c r="CH58"/>
  <c r="CU58"/>
  <c r="CW58"/>
  <c r="DA58"/>
  <c r="CS58" s="1"/>
  <c r="DE58"/>
  <c r="DP58"/>
  <c r="EF58"/>
  <c r="EM58"/>
  <c r="FD58"/>
  <c r="FQ58"/>
  <c r="O59"/>
  <c r="AC59"/>
  <c r="AD59"/>
  <c r="AE59"/>
  <c r="AF59"/>
  <c r="AG59"/>
  <c r="AL59"/>
  <c r="AW59"/>
  <c r="AX59"/>
  <c r="BG59"/>
  <c r="BI59"/>
  <c r="BM59"/>
  <c r="BE59" s="1"/>
  <c r="BZ59"/>
  <c r="CB59"/>
  <c r="CG59"/>
  <c r="CH59"/>
  <c r="CU59"/>
  <c r="CW59"/>
  <c r="DA59"/>
  <c r="CS59" s="1"/>
  <c r="DP59"/>
  <c r="EF59"/>
  <c r="EM59"/>
  <c r="FD59"/>
  <c r="FQ59"/>
  <c r="O60"/>
  <c r="AC60"/>
  <c r="AD60"/>
  <c r="AE60"/>
  <c r="AF60"/>
  <c r="AG60"/>
  <c r="AL60"/>
  <c r="AW60"/>
  <c r="AX60"/>
  <c r="BG60"/>
  <c r="BI60"/>
  <c r="BM60"/>
  <c r="BE60" s="1"/>
  <c r="BQ60"/>
  <c r="BZ60"/>
  <c r="CB60"/>
  <c r="CG60"/>
  <c r="CD60" s="1"/>
  <c r="CH60"/>
  <c r="CU60"/>
  <c r="CW60"/>
  <c r="DA60"/>
  <c r="CS60" s="1"/>
  <c r="DP60"/>
  <c r="EF60"/>
  <c r="EM60"/>
  <c r="FD60"/>
  <c r="FQ60"/>
  <c r="O61"/>
  <c r="AC61"/>
  <c r="AD61"/>
  <c r="AE61"/>
  <c r="AF61"/>
  <c r="AG61"/>
  <c r="AL61"/>
  <c r="AW61"/>
  <c r="AX61"/>
  <c r="BG61"/>
  <c r="BI61"/>
  <c r="BM61"/>
  <c r="BE61" s="1"/>
  <c r="BZ61"/>
  <c r="CB61"/>
  <c r="CG61"/>
  <c r="CH61"/>
  <c r="CU61"/>
  <c r="CW61"/>
  <c r="DA61"/>
  <c r="CS61" s="1"/>
  <c r="DP61"/>
  <c r="EF61"/>
  <c r="EM61"/>
  <c r="FD61"/>
  <c r="FQ61"/>
  <c r="O62"/>
  <c r="Z62" s="1"/>
  <c r="AC62"/>
  <c r="AD62"/>
  <c r="AE62"/>
  <c r="AF62"/>
  <c r="AG62"/>
  <c r="AL62"/>
  <c r="AW62"/>
  <c r="AX62"/>
  <c r="BG62"/>
  <c r="BI62"/>
  <c r="BM62"/>
  <c r="BE62" s="1"/>
  <c r="BZ62"/>
  <c r="CB62"/>
  <c r="CG62"/>
  <c r="CD62" s="1"/>
  <c r="AS62" s="1"/>
  <c r="CH62"/>
  <c r="CL62"/>
  <c r="CU62"/>
  <c r="CW62"/>
  <c r="DA62"/>
  <c r="CS62" s="1"/>
  <c r="DE62"/>
  <c r="DP62"/>
  <c r="EF62"/>
  <c r="EM62"/>
  <c r="FD62"/>
  <c r="FQ62"/>
  <c r="O63"/>
  <c r="Z63" s="1"/>
  <c r="AC63"/>
  <c r="AD63"/>
  <c r="AE63"/>
  <c r="AF63"/>
  <c r="AG63"/>
  <c r="AL63"/>
  <c r="AW63"/>
  <c r="AX63"/>
  <c r="BG63"/>
  <c r="BI63"/>
  <c r="BM63"/>
  <c r="BE63" s="1"/>
  <c r="BZ63"/>
  <c r="CB63"/>
  <c r="CG63"/>
  <c r="CH63"/>
  <c r="CL63"/>
  <c r="CU63"/>
  <c r="CW63"/>
  <c r="DA63"/>
  <c r="CS63" s="1"/>
  <c r="DE63"/>
  <c r="DP63"/>
  <c r="EF63"/>
  <c r="EM63"/>
  <c r="FD63"/>
  <c r="FQ63"/>
  <c r="O64"/>
  <c r="AC64"/>
  <c r="AD64"/>
  <c r="AE64"/>
  <c r="AF64"/>
  <c r="AG64"/>
  <c r="AL64"/>
  <c r="AW64"/>
  <c r="AX64"/>
  <c r="BG64"/>
  <c r="BI64"/>
  <c r="BM64"/>
  <c r="BE64" s="1"/>
  <c r="BZ64"/>
  <c r="CB64"/>
  <c r="CG64"/>
  <c r="CH64"/>
  <c r="CL64"/>
  <c r="CU64"/>
  <c r="CW64"/>
  <c r="DA64"/>
  <c r="CS64" s="1"/>
  <c r="DE64"/>
  <c r="DP64"/>
  <c r="EF64"/>
  <c r="EM64"/>
  <c r="FD64"/>
  <c r="FQ64"/>
  <c r="O65"/>
  <c r="Z65" s="1"/>
  <c r="AC65"/>
  <c r="AD65"/>
  <c r="AE65"/>
  <c r="AF65"/>
  <c r="AG65"/>
  <c r="AL65"/>
  <c r="AW65"/>
  <c r="AX65"/>
  <c r="BG65"/>
  <c r="BI65"/>
  <c r="BM65"/>
  <c r="BE65" s="1"/>
  <c r="BZ65"/>
  <c r="CB65"/>
  <c r="CG65"/>
  <c r="CH65"/>
  <c r="CU65"/>
  <c r="CW65"/>
  <c r="DA65"/>
  <c r="CS65" s="1"/>
  <c r="DP65"/>
  <c r="EF65"/>
  <c r="EM65"/>
  <c r="FD65"/>
  <c r="FQ65"/>
  <c r="O66"/>
  <c r="AC66"/>
  <c r="AD66"/>
  <c r="AE66"/>
  <c r="AF66"/>
  <c r="AG66"/>
  <c r="AL66"/>
  <c r="AW66"/>
  <c r="AX66"/>
  <c r="BG66"/>
  <c r="BI66"/>
  <c r="BM66"/>
  <c r="BE66" s="1"/>
  <c r="BZ66"/>
  <c r="CB66"/>
  <c r="CG66"/>
  <c r="CH66"/>
  <c r="CL66"/>
  <c r="CU66"/>
  <c r="CW66"/>
  <c r="DA66"/>
  <c r="CS66" s="1"/>
  <c r="DE66"/>
  <c r="DP66"/>
  <c r="EF66"/>
  <c r="EM66"/>
  <c r="FD66"/>
  <c r="FQ66"/>
  <c r="O67"/>
  <c r="Z67" s="1"/>
  <c r="AC67"/>
  <c r="AD67"/>
  <c r="AE67"/>
  <c r="AF67"/>
  <c r="AG67"/>
  <c r="AL67"/>
  <c r="AW67"/>
  <c r="AX67"/>
  <c r="BG67"/>
  <c r="BI67"/>
  <c r="BM67"/>
  <c r="BE67" s="1"/>
  <c r="BQ67"/>
  <c r="BZ67"/>
  <c r="CB67"/>
  <c r="CG67"/>
  <c r="CD67" s="1"/>
  <c r="AS67" s="1"/>
  <c r="CH67"/>
  <c r="CU67"/>
  <c r="CW67"/>
  <c r="DA67"/>
  <c r="CS67" s="1"/>
  <c r="DE67"/>
  <c r="DP67"/>
  <c r="EF67"/>
  <c r="EM67"/>
  <c r="FD67"/>
  <c r="FQ67"/>
  <c r="O68"/>
  <c r="AC68"/>
  <c r="AD68"/>
  <c r="AE68"/>
  <c r="AF68"/>
  <c r="AG68"/>
  <c r="AL68"/>
  <c r="AW68"/>
  <c r="AX68"/>
  <c r="BG68"/>
  <c r="BI68"/>
  <c r="BM68"/>
  <c r="BE68" s="1"/>
  <c r="BQ68"/>
  <c r="BZ68"/>
  <c r="CB68"/>
  <c r="CG68"/>
  <c r="CD68" s="1"/>
  <c r="CH68"/>
  <c r="CU68"/>
  <c r="CW68"/>
  <c r="DA68"/>
  <c r="CS68" s="1"/>
  <c r="DP68"/>
  <c r="EF68"/>
  <c r="EM68"/>
  <c r="FD68"/>
  <c r="FQ68"/>
  <c r="O69"/>
  <c r="Z69" s="1"/>
  <c r="AC69"/>
  <c r="AD69"/>
  <c r="AE69"/>
  <c r="AF69"/>
  <c r="AG69"/>
  <c r="AL69"/>
  <c r="AW69"/>
  <c r="AX69"/>
  <c r="BG69"/>
  <c r="BI69"/>
  <c r="BM69"/>
  <c r="BE69" s="1"/>
  <c r="BZ69"/>
  <c r="CB69"/>
  <c r="CG69"/>
  <c r="CH69"/>
  <c r="CU69"/>
  <c r="CW69"/>
  <c r="DA69"/>
  <c r="CS69" s="1"/>
  <c r="DP69"/>
  <c r="EF69"/>
  <c r="EM69"/>
  <c r="FD69"/>
  <c r="FQ69"/>
  <c r="O70"/>
  <c r="AC70"/>
  <c r="AD70"/>
  <c r="AE70"/>
  <c r="AF70"/>
  <c r="AG70"/>
  <c r="AL70"/>
  <c r="AW70"/>
  <c r="AX70"/>
  <c r="BG70"/>
  <c r="BI70"/>
  <c r="BM70"/>
  <c r="BE70" s="1"/>
  <c r="BZ70"/>
  <c r="CB70"/>
  <c r="CG70"/>
  <c r="CD70" s="1"/>
  <c r="CH70"/>
  <c r="CL70"/>
  <c r="CU70"/>
  <c r="CW70"/>
  <c r="DA70"/>
  <c r="CS70" s="1"/>
  <c r="DE70"/>
  <c r="DP70"/>
  <c r="EF70"/>
  <c r="EM70"/>
  <c r="FD70"/>
  <c r="FQ70"/>
  <c r="O71"/>
  <c r="Z71" s="1"/>
  <c r="AC71"/>
  <c r="AD71"/>
  <c r="AE71"/>
  <c r="AF71"/>
  <c r="AG71"/>
  <c r="AL71"/>
  <c r="AW71"/>
  <c r="AX71"/>
  <c r="BG71"/>
  <c r="BI71"/>
  <c r="BM71"/>
  <c r="BE71" s="1"/>
  <c r="BZ71"/>
  <c r="CB71"/>
  <c r="CG71"/>
  <c r="CD71" s="1"/>
  <c r="AS71" s="1"/>
  <c r="CH71"/>
  <c r="CU71"/>
  <c r="CW71"/>
  <c r="DA71"/>
  <c r="CS71" s="1"/>
  <c r="DP71"/>
  <c r="EF71"/>
  <c r="EM71"/>
  <c r="FD71"/>
  <c r="FQ71"/>
  <c r="O72"/>
  <c r="AC72"/>
  <c r="AD72"/>
  <c r="AE72"/>
  <c r="AF72"/>
  <c r="AG72"/>
  <c r="AL72"/>
  <c r="AW72"/>
  <c r="AX72"/>
  <c r="BG72"/>
  <c r="BI72"/>
  <c r="BM72"/>
  <c r="BE72" s="1"/>
  <c r="BQ72"/>
  <c r="BZ72"/>
  <c r="CB72"/>
  <c r="CG72"/>
  <c r="CD72" s="1"/>
  <c r="CH72"/>
  <c r="CU72"/>
  <c r="CW72"/>
  <c r="DA72"/>
  <c r="CS72" s="1"/>
  <c r="DP72"/>
  <c r="EF72"/>
  <c r="EM72"/>
  <c r="FD72"/>
  <c r="FQ72"/>
  <c r="O73"/>
  <c r="Z73" s="1"/>
  <c r="AC73"/>
  <c r="AD73"/>
  <c r="AE73"/>
  <c r="AF73"/>
  <c r="AG73"/>
  <c r="AL73"/>
  <c r="AW73"/>
  <c r="AX73"/>
  <c r="BG73"/>
  <c r="BI73"/>
  <c r="BM73"/>
  <c r="BE73" s="1"/>
  <c r="BZ73"/>
  <c r="CB73"/>
  <c r="CG73"/>
  <c r="CH73"/>
  <c r="CU73"/>
  <c r="CW73"/>
  <c r="DA73"/>
  <c r="CS73" s="1"/>
  <c r="DP73"/>
  <c r="EF73"/>
  <c r="EM73"/>
  <c r="FD73"/>
  <c r="FQ73"/>
  <c r="O74"/>
  <c r="AC74"/>
  <c r="AD74"/>
  <c r="AE74"/>
  <c r="AF74"/>
  <c r="AG74"/>
  <c r="AL74"/>
  <c r="AW74"/>
  <c r="AX74"/>
  <c r="BG74"/>
  <c r="BI74"/>
  <c r="BM74"/>
  <c r="BE74" s="1"/>
  <c r="BQ74"/>
  <c r="BZ74"/>
  <c r="CB74"/>
  <c r="CG74"/>
  <c r="CD74" s="1"/>
  <c r="CH74"/>
  <c r="CU74"/>
  <c r="CW74"/>
  <c r="DA74"/>
  <c r="CS74" s="1"/>
  <c r="DP74"/>
  <c r="EF74"/>
  <c r="EM74"/>
  <c r="FD74"/>
  <c r="FQ74"/>
  <c r="O75"/>
  <c r="Z75" s="1"/>
  <c r="AC75"/>
  <c r="AD75"/>
  <c r="AE75"/>
  <c r="AF75"/>
  <c r="AG75"/>
  <c r="AL75"/>
  <c r="AW75"/>
  <c r="AX75"/>
  <c r="BG75"/>
  <c r="BI75"/>
  <c r="BM75"/>
  <c r="BE75" s="1"/>
  <c r="BZ75"/>
  <c r="CB75"/>
  <c r="CG75"/>
  <c r="CH75"/>
  <c r="CU75"/>
  <c r="CW75"/>
  <c r="DA75"/>
  <c r="CS75" s="1"/>
  <c r="DP75"/>
  <c r="EF75"/>
  <c r="EM75"/>
  <c r="FD75"/>
  <c r="FQ75"/>
  <c r="O76"/>
  <c r="AC76"/>
  <c r="AD76"/>
  <c r="AE76"/>
  <c r="AF76"/>
  <c r="AG76"/>
  <c r="AL76"/>
  <c r="AW76"/>
  <c r="AX76"/>
  <c r="BG76"/>
  <c r="BI76"/>
  <c r="BM76"/>
  <c r="BE76" s="1"/>
  <c r="BQ76"/>
  <c r="BZ76"/>
  <c r="CB76"/>
  <c r="CG76"/>
  <c r="CD76" s="1"/>
  <c r="AS76" s="1"/>
  <c r="CH76"/>
  <c r="CU76"/>
  <c r="CW76"/>
  <c r="DA76"/>
  <c r="CS76" s="1"/>
  <c r="DE76"/>
  <c r="DP76"/>
  <c r="EF76"/>
  <c r="EM76"/>
  <c r="FD76"/>
  <c r="FQ76"/>
  <c r="O77"/>
  <c r="AC77"/>
  <c r="AD77"/>
  <c r="AE77"/>
  <c r="AF77"/>
  <c r="AG77"/>
  <c r="AL77"/>
  <c r="AW77"/>
  <c r="AX77"/>
  <c r="BG77"/>
  <c r="BI77"/>
  <c r="BM77"/>
  <c r="BE77" s="1"/>
  <c r="BZ77"/>
  <c r="CB77"/>
  <c r="CG77"/>
  <c r="CH77"/>
  <c r="CU77"/>
  <c r="CW77"/>
  <c r="DA77"/>
  <c r="CS77" s="1"/>
  <c r="DP77"/>
  <c r="EF77"/>
  <c r="EM77"/>
  <c r="FD77"/>
  <c r="FQ77"/>
  <c r="O78"/>
  <c r="AC78"/>
  <c r="AD78"/>
  <c r="AE78"/>
  <c r="AF78"/>
  <c r="AG78"/>
  <c r="AL78"/>
  <c r="AW78"/>
  <c r="AX78"/>
  <c r="BG78"/>
  <c r="BI78"/>
  <c r="BM78"/>
  <c r="BE78" s="1"/>
  <c r="BZ78"/>
  <c r="CB78"/>
  <c r="CG78"/>
  <c r="CH78"/>
  <c r="CU78"/>
  <c r="CW78"/>
  <c r="DA78"/>
  <c r="CS78" s="1"/>
  <c r="DP78"/>
  <c r="EF78"/>
  <c r="EM78"/>
  <c r="FD78"/>
  <c r="FQ78"/>
  <c r="O79"/>
  <c r="Z79" s="1"/>
  <c r="AC79"/>
  <c r="AD79"/>
  <c r="AE79"/>
  <c r="AF79"/>
  <c r="AG79"/>
  <c r="AL79"/>
  <c r="AW79"/>
  <c r="AX79"/>
  <c r="BG79"/>
  <c r="BI79"/>
  <c r="BM79"/>
  <c r="BE79" s="1"/>
  <c r="BZ79"/>
  <c r="CB79"/>
  <c r="CG79"/>
  <c r="CD79" s="1"/>
  <c r="CH79"/>
  <c r="CL79"/>
  <c r="CU79"/>
  <c r="CW79"/>
  <c r="DA79"/>
  <c r="CS79" s="1"/>
  <c r="DE79"/>
  <c r="DP79"/>
  <c r="EF79"/>
  <c r="EM79"/>
  <c r="FD79"/>
  <c r="FQ79"/>
  <c r="O80"/>
  <c r="AC80"/>
  <c r="AD80"/>
  <c r="AE80"/>
  <c r="AF80"/>
  <c r="AG80"/>
  <c r="AL80"/>
  <c r="AW80"/>
  <c r="AX80"/>
  <c r="BG80"/>
  <c r="BI80"/>
  <c r="BM80"/>
  <c r="BE80" s="1"/>
  <c r="BQ80"/>
  <c r="BZ80"/>
  <c r="CB80"/>
  <c r="CG80"/>
  <c r="CD80" s="1"/>
  <c r="AS80" s="1"/>
  <c r="CH80"/>
  <c r="CU80"/>
  <c r="CW80"/>
  <c r="DA80"/>
  <c r="CS80" s="1"/>
  <c r="DP80"/>
  <c r="EF80"/>
  <c r="EM80"/>
  <c r="FD80"/>
  <c r="FQ80"/>
  <c r="O81"/>
  <c r="Z81" s="1"/>
  <c r="AC81"/>
  <c r="AD81"/>
  <c r="AE81"/>
  <c r="AF81"/>
  <c r="AG81"/>
  <c r="AL81"/>
  <c r="AW81"/>
  <c r="AX81"/>
  <c r="BG81"/>
  <c r="BI81"/>
  <c r="BM81"/>
  <c r="BE81" s="1"/>
  <c r="BQ81"/>
  <c r="BZ81"/>
  <c r="CB81"/>
  <c r="CG81"/>
  <c r="CD81" s="1"/>
  <c r="AS81" s="1"/>
  <c r="CH81"/>
  <c r="CU81"/>
  <c r="CW81"/>
  <c r="DA81"/>
  <c r="CS81" s="1"/>
  <c r="DP81"/>
  <c r="EF81"/>
  <c r="EM81"/>
  <c r="FD81"/>
  <c r="FQ81"/>
  <c r="O82"/>
  <c r="AC82"/>
  <c r="AD82"/>
  <c r="AE82"/>
  <c r="AF82"/>
  <c r="AG82"/>
  <c r="AL82"/>
  <c r="AW82"/>
  <c r="AX82"/>
  <c r="BG82"/>
  <c r="BI82"/>
  <c r="BM82"/>
  <c r="BE82" s="1"/>
  <c r="BZ82"/>
  <c r="CB82"/>
  <c r="CG82"/>
  <c r="CD82" s="1"/>
  <c r="AS82" s="1"/>
  <c r="CH82"/>
  <c r="CU82"/>
  <c r="CW82"/>
  <c r="DA82"/>
  <c r="CS82" s="1"/>
  <c r="DP82"/>
  <c r="EF82"/>
  <c r="EM82"/>
  <c r="FD82"/>
  <c r="FQ82"/>
  <c r="O83"/>
  <c r="Z83" s="1"/>
  <c r="AC83"/>
  <c r="AD83"/>
  <c r="AE83"/>
  <c r="AF83"/>
  <c r="AG83"/>
  <c r="AL83"/>
  <c r="AW83"/>
  <c r="AX83"/>
  <c r="BG83"/>
  <c r="BI83"/>
  <c r="BM83"/>
  <c r="BE83" s="1"/>
  <c r="BZ83"/>
  <c r="CB83"/>
  <c r="CG83"/>
  <c r="CD83" s="1"/>
  <c r="CH83"/>
  <c r="CL83"/>
  <c r="CU83"/>
  <c r="CW83"/>
  <c r="DA83"/>
  <c r="CS83" s="1"/>
  <c r="DE83"/>
  <c r="DP83"/>
  <c r="EF83"/>
  <c r="EM83"/>
  <c r="FD83"/>
  <c r="FQ83"/>
  <c r="O84"/>
  <c r="AC84"/>
  <c r="AD84"/>
  <c r="AE84"/>
  <c r="AF84"/>
  <c r="AG84"/>
  <c r="AL84"/>
  <c r="AW84"/>
  <c r="AX84"/>
  <c r="BG84"/>
  <c r="BI84"/>
  <c r="BM84"/>
  <c r="BE84" s="1"/>
  <c r="BQ84"/>
  <c r="BZ84"/>
  <c r="CB84"/>
  <c r="CG84"/>
  <c r="CH84"/>
  <c r="CU84"/>
  <c r="CW84"/>
  <c r="DA84"/>
  <c r="CS84" s="1"/>
  <c r="DP84"/>
  <c r="EF84"/>
  <c r="EM84"/>
  <c r="FD84"/>
  <c r="FQ84"/>
  <c r="O85"/>
  <c r="Z85" s="1"/>
  <c r="AC85"/>
  <c r="AD85"/>
  <c r="AE85"/>
  <c r="AF85"/>
  <c r="AG85"/>
  <c r="AL85"/>
  <c r="AW85"/>
  <c r="AX85"/>
  <c r="BG85"/>
  <c r="BI85"/>
  <c r="BM85"/>
  <c r="BE85" s="1"/>
  <c r="BQ85"/>
  <c r="BZ85"/>
  <c r="CB85"/>
  <c r="CG85"/>
  <c r="CD85" s="1"/>
  <c r="AS85" s="1"/>
  <c r="CH85"/>
  <c r="CU85"/>
  <c r="CW85"/>
  <c r="DA85"/>
  <c r="CS85" s="1"/>
  <c r="DP85"/>
  <c r="EF85"/>
  <c r="EM85"/>
  <c r="FD85"/>
  <c r="FQ85"/>
  <c r="O86"/>
  <c r="AC86"/>
  <c r="AD86"/>
  <c r="AE86"/>
  <c r="AF86"/>
  <c r="AG86"/>
  <c r="AL86"/>
  <c r="AW86"/>
  <c r="AX86"/>
  <c r="BG86"/>
  <c r="BI86"/>
  <c r="BM86"/>
  <c r="BE86" s="1"/>
  <c r="BZ86"/>
  <c r="CB86"/>
  <c r="CG86"/>
  <c r="CH86"/>
  <c r="CL86"/>
  <c r="CU86"/>
  <c r="CW86"/>
  <c r="DA86"/>
  <c r="CS86" s="1"/>
  <c r="DE86"/>
  <c r="DP86"/>
  <c r="EF86"/>
  <c r="EM86"/>
  <c r="FD86"/>
  <c r="FQ86"/>
  <c r="O87"/>
  <c r="Z87" s="1"/>
  <c r="AC87"/>
  <c r="AD87"/>
  <c r="AE87"/>
  <c r="AF87"/>
  <c r="AG87"/>
  <c r="AL87"/>
  <c r="AW87"/>
  <c r="AX87"/>
  <c r="BG87"/>
  <c r="BI87"/>
  <c r="BM87"/>
  <c r="BE87" s="1"/>
  <c r="BZ87"/>
  <c r="CB87"/>
  <c r="CG87"/>
  <c r="CD87" s="1"/>
  <c r="CH87"/>
  <c r="CL87"/>
  <c r="CU87"/>
  <c r="CW87"/>
  <c r="DA87"/>
  <c r="CS87" s="1"/>
  <c r="DE87"/>
  <c r="DP87"/>
  <c r="EF87"/>
  <c r="EM87"/>
  <c r="FD87"/>
  <c r="FQ87"/>
  <c r="O88"/>
  <c r="AC88"/>
  <c r="AD88"/>
  <c r="AE88"/>
  <c r="AF88"/>
  <c r="AG88"/>
  <c r="AL88"/>
  <c r="AW88"/>
  <c r="AX88"/>
  <c r="BG88"/>
  <c r="BI88"/>
  <c r="BM88"/>
  <c r="BE88" s="1"/>
  <c r="BQ88"/>
  <c r="BZ88"/>
  <c r="CB88"/>
  <c r="CG88"/>
  <c r="CD88" s="1"/>
  <c r="AS88" s="1"/>
  <c r="CH88"/>
  <c r="CU88"/>
  <c r="CW88"/>
  <c r="DA88"/>
  <c r="CS88" s="1"/>
  <c r="DP88"/>
  <c r="EF88"/>
  <c r="EM88"/>
  <c r="FD88"/>
  <c r="FQ88"/>
  <c r="O89"/>
  <c r="Z89" s="1"/>
  <c r="AC89"/>
  <c r="AD89"/>
  <c r="AE89"/>
  <c r="AF89"/>
  <c r="AG89"/>
  <c r="AL89"/>
  <c r="AW89"/>
  <c r="AX89"/>
  <c r="BG89"/>
  <c r="BI89"/>
  <c r="BM89"/>
  <c r="BE89" s="1"/>
  <c r="BQ89"/>
  <c r="BZ89"/>
  <c r="CB89"/>
  <c r="CG89"/>
  <c r="CD89" s="1"/>
  <c r="AS89" s="1"/>
  <c r="CH89"/>
  <c r="CU89"/>
  <c r="CW89"/>
  <c r="DA89"/>
  <c r="CS89" s="1"/>
  <c r="DP89"/>
  <c r="EF89"/>
  <c r="EM89"/>
  <c r="FD89"/>
  <c r="FQ89"/>
  <c r="O90"/>
  <c r="AC90"/>
  <c r="AD90"/>
  <c r="AE90"/>
  <c r="AF90"/>
  <c r="AG90"/>
  <c r="AL90"/>
  <c r="AW90"/>
  <c r="AX90"/>
  <c r="BG90"/>
  <c r="BI90"/>
  <c r="BM90"/>
  <c r="BE90" s="1"/>
  <c r="BZ90"/>
  <c r="CB90"/>
  <c r="CG90"/>
  <c r="CH90"/>
  <c r="CL90"/>
  <c r="CU90"/>
  <c r="CW90"/>
  <c r="DA90"/>
  <c r="CS90" s="1"/>
  <c r="DE90"/>
  <c r="DP90"/>
  <c r="EF90"/>
  <c r="EM90"/>
  <c r="FD90"/>
  <c r="FQ90"/>
  <c r="O91"/>
  <c r="Z91" s="1"/>
  <c r="AC91"/>
  <c r="AD91"/>
  <c r="AE91"/>
  <c r="AF91"/>
  <c r="AG91"/>
  <c r="AL91"/>
  <c r="AW91"/>
  <c r="AX91"/>
  <c r="BG91"/>
  <c r="BI91"/>
  <c r="BM91"/>
  <c r="BE91" s="1"/>
  <c r="BZ91"/>
  <c r="CB91"/>
  <c r="CG91"/>
  <c r="CH91"/>
  <c r="CL91"/>
  <c r="CU91"/>
  <c r="CW91"/>
  <c r="DA91"/>
  <c r="CS91" s="1"/>
  <c r="DE91"/>
  <c r="DP91"/>
  <c r="EF91"/>
  <c r="EM91"/>
  <c r="FD91"/>
  <c r="FQ91"/>
  <c r="O92"/>
  <c r="AC92"/>
  <c r="AD92"/>
  <c r="AE92"/>
  <c r="AF92"/>
  <c r="AG92"/>
  <c r="AL92"/>
  <c r="AW92"/>
  <c r="AX92"/>
  <c r="BG92"/>
  <c r="BI92"/>
  <c r="BM92"/>
  <c r="BE92" s="1"/>
  <c r="BQ92"/>
  <c r="BZ92"/>
  <c r="CB92"/>
  <c r="CG92"/>
  <c r="CH92"/>
  <c r="CU92"/>
  <c r="CW92"/>
  <c r="DA92"/>
  <c r="CS92" s="1"/>
  <c r="DP92"/>
  <c r="EF92"/>
  <c r="EM92"/>
  <c r="FD92"/>
  <c r="FQ92"/>
  <c r="O93"/>
  <c r="AC93"/>
  <c r="AD93"/>
  <c r="AE93"/>
  <c r="AF93"/>
  <c r="AG93"/>
  <c r="AL93"/>
  <c r="AW93"/>
  <c r="AX93"/>
  <c r="BG93"/>
  <c r="BI93"/>
  <c r="BM93"/>
  <c r="BE93" s="1"/>
  <c r="BQ93"/>
  <c r="BZ93"/>
  <c r="CB93"/>
  <c r="CG93"/>
  <c r="CD93" s="1"/>
  <c r="AS93" s="1"/>
  <c r="CH93"/>
  <c r="CU93"/>
  <c r="CW93"/>
  <c r="DA93"/>
  <c r="CS93" s="1"/>
  <c r="DP93"/>
  <c r="EF93"/>
  <c r="EM93"/>
  <c r="FD93"/>
  <c r="FQ93"/>
  <c r="O94"/>
  <c r="BQ94" s="1"/>
  <c r="AC94"/>
  <c r="AD94"/>
  <c r="AE94"/>
  <c r="AF94"/>
  <c r="AG94"/>
  <c r="AL94"/>
  <c r="AW94"/>
  <c r="AX94"/>
  <c r="BG94"/>
  <c r="BI94"/>
  <c r="BM94"/>
  <c r="BE94" s="1"/>
  <c r="BZ94"/>
  <c r="CB94"/>
  <c r="CG94"/>
  <c r="CD94" s="1"/>
  <c r="CH94"/>
  <c r="CU94"/>
  <c r="CW94"/>
  <c r="DA94"/>
  <c r="CS94" s="1"/>
  <c r="DP94"/>
  <c r="EF94"/>
  <c r="EM94"/>
  <c r="FD94"/>
  <c r="FQ94"/>
  <c r="O95"/>
  <c r="Z95" s="1"/>
  <c r="AC95"/>
  <c r="AD95"/>
  <c r="AE95"/>
  <c r="AF95"/>
  <c r="AG95"/>
  <c r="AL95"/>
  <c r="AW95"/>
  <c r="AX95"/>
  <c r="BG95"/>
  <c r="BI95"/>
  <c r="BM95"/>
  <c r="BE95" s="1"/>
  <c r="BZ95"/>
  <c r="CB95"/>
  <c r="CG95"/>
  <c r="CH95"/>
  <c r="CU95"/>
  <c r="CW95"/>
  <c r="DA95"/>
  <c r="CS95" s="1"/>
  <c r="DP95"/>
  <c r="EF95"/>
  <c r="EM95"/>
  <c r="FD95"/>
  <c r="FQ95"/>
  <c r="O96"/>
  <c r="AC96"/>
  <c r="AD96"/>
  <c r="AE96"/>
  <c r="AF96"/>
  <c r="AG96"/>
  <c r="AL96"/>
  <c r="AW96"/>
  <c r="AX96"/>
  <c r="BG96"/>
  <c r="BI96"/>
  <c r="BM96"/>
  <c r="BE96" s="1"/>
  <c r="BZ96"/>
  <c r="CB96"/>
  <c r="CG96"/>
  <c r="CD96" s="1"/>
  <c r="CH96"/>
  <c r="CL96"/>
  <c r="CU96"/>
  <c r="CW96"/>
  <c r="DA96"/>
  <c r="CS96" s="1"/>
  <c r="DE96"/>
  <c r="DP96"/>
  <c r="EF96"/>
  <c r="EM96"/>
  <c r="FD96"/>
  <c r="FQ96"/>
  <c r="O97"/>
  <c r="Z97" s="1"/>
  <c r="AC97"/>
  <c r="AD97"/>
  <c r="AE97"/>
  <c r="AF97"/>
  <c r="AG97"/>
  <c r="AL97"/>
  <c r="AW97"/>
  <c r="AX97"/>
  <c r="BG97"/>
  <c r="BI97"/>
  <c r="BM97"/>
  <c r="BE97" s="1"/>
  <c r="BZ97"/>
  <c r="CB97"/>
  <c r="CG97"/>
  <c r="CD97" s="1"/>
  <c r="AS97" s="1"/>
  <c r="CH97"/>
  <c r="CU97"/>
  <c r="CW97"/>
  <c r="DA97"/>
  <c r="CS97" s="1"/>
  <c r="DP97"/>
  <c r="EF97"/>
  <c r="EM97"/>
  <c r="FD97"/>
  <c r="FQ97"/>
  <c r="O98"/>
  <c r="BQ98" s="1"/>
  <c r="AC98"/>
  <c r="AD98"/>
  <c r="AE98"/>
  <c r="AF98"/>
  <c r="AG98"/>
  <c r="AL98"/>
  <c r="AW98"/>
  <c r="AX98"/>
  <c r="BG98"/>
  <c r="BI98"/>
  <c r="BM98"/>
  <c r="BE98" s="1"/>
  <c r="BZ98"/>
  <c r="CB98"/>
  <c r="CG98"/>
  <c r="CD98" s="1"/>
  <c r="CH98"/>
  <c r="CU98"/>
  <c r="CW98"/>
  <c r="DA98"/>
  <c r="CS98" s="1"/>
  <c r="DP98"/>
  <c r="EF98"/>
  <c r="EM98"/>
  <c r="FD98"/>
  <c r="FQ98"/>
  <c r="O99"/>
  <c r="Z99" s="1"/>
  <c r="AC99"/>
  <c r="AD99"/>
  <c r="AE99"/>
  <c r="AF99"/>
  <c r="AG99"/>
  <c r="AL99"/>
  <c r="AW99"/>
  <c r="AX99"/>
  <c r="BG99"/>
  <c r="BI99"/>
  <c r="BM99"/>
  <c r="BE99" s="1"/>
  <c r="BZ99"/>
  <c r="CB99"/>
  <c r="CG99"/>
  <c r="CH99"/>
  <c r="CU99"/>
  <c r="CW99"/>
  <c r="DA99"/>
  <c r="CS99" s="1"/>
  <c r="DP99"/>
  <c r="EF99"/>
  <c r="EM99"/>
  <c r="FD99"/>
  <c r="FQ99"/>
  <c r="O100"/>
  <c r="AC100"/>
  <c r="AD100"/>
  <c r="AE100"/>
  <c r="AF100"/>
  <c r="AG100"/>
  <c r="AL100"/>
  <c r="AW100"/>
  <c r="AX100"/>
  <c r="BG100"/>
  <c r="BI100"/>
  <c r="BM100"/>
  <c r="BE100" s="1"/>
  <c r="BZ100"/>
  <c r="CB100"/>
  <c r="CG100"/>
  <c r="CD100" s="1"/>
  <c r="CH100"/>
  <c r="CL100"/>
  <c r="CU100"/>
  <c r="CW100"/>
  <c r="DA100"/>
  <c r="CS100" s="1"/>
  <c r="DE100"/>
  <c r="DP100"/>
  <c r="EF100"/>
  <c r="EM100"/>
  <c r="FD100"/>
  <c r="FQ100"/>
  <c r="O101"/>
  <c r="Z101" s="1"/>
  <c r="AC101"/>
  <c r="AD101"/>
  <c r="AE101"/>
  <c r="AF101"/>
  <c r="AG101"/>
  <c r="AL101"/>
  <c r="AW101"/>
  <c r="AX101"/>
  <c r="BG101"/>
  <c r="BI101"/>
  <c r="BM101"/>
  <c r="BE101" s="1"/>
  <c r="BZ101"/>
  <c r="CB101"/>
  <c r="CG101"/>
  <c r="CD101" s="1"/>
  <c r="AS101" s="1"/>
  <c r="CH101"/>
  <c r="CU101"/>
  <c r="CW101"/>
  <c r="DA101"/>
  <c r="CS101" s="1"/>
  <c r="DP101"/>
  <c r="EF101"/>
  <c r="EM101"/>
  <c r="FD101"/>
  <c r="FQ101"/>
  <c r="O102"/>
  <c r="AC102"/>
  <c r="AD102"/>
  <c r="AE102"/>
  <c r="AF102"/>
  <c r="AG102"/>
  <c r="AL102"/>
  <c r="AM102" s="1"/>
  <c r="AW102"/>
  <c r="AX102"/>
  <c r="BG102"/>
  <c r="BI102"/>
  <c r="BM102"/>
  <c r="BE102" s="1"/>
  <c r="BZ102"/>
  <c r="CB102"/>
  <c r="CG102"/>
  <c r="CD102" s="1"/>
  <c r="CH102"/>
  <c r="CL102"/>
  <c r="CU102"/>
  <c r="CW102"/>
  <c r="DA102"/>
  <c r="CS102" s="1"/>
  <c r="DE102"/>
  <c r="DP102"/>
  <c r="EF102"/>
  <c r="EM102"/>
  <c r="FD102"/>
  <c r="FQ102"/>
  <c r="O103"/>
  <c r="Z103" s="1"/>
  <c r="AC103"/>
  <c r="AD103"/>
  <c r="AE103"/>
  <c r="AF103"/>
  <c r="AG103"/>
  <c r="AL103"/>
  <c r="AW103"/>
  <c r="AX103"/>
  <c r="BG103"/>
  <c r="BI103"/>
  <c r="BM103"/>
  <c r="BE103" s="1"/>
  <c r="BZ103"/>
  <c r="CB103"/>
  <c r="CG103"/>
  <c r="CH103"/>
  <c r="CU103"/>
  <c r="CW103"/>
  <c r="DA103"/>
  <c r="CS103" s="1"/>
  <c r="DP103"/>
  <c r="EF103"/>
  <c r="EM103"/>
  <c r="FD103"/>
  <c r="FQ103"/>
  <c r="O104"/>
  <c r="AC104"/>
  <c r="AD104"/>
  <c r="AE104"/>
  <c r="AF104"/>
  <c r="AG104"/>
  <c r="AL104"/>
  <c r="AM104" s="1"/>
  <c r="AW104"/>
  <c r="AX104"/>
  <c r="BG104"/>
  <c r="BI104"/>
  <c r="BM104"/>
  <c r="BE104" s="1"/>
  <c r="BZ104"/>
  <c r="CB104"/>
  <c r="CG104"/>
  <c r="CD104" s="1"/>
  <c r="CH104"/>
  <c r="CL104"/>
  <c r="CU104"/>
  <c r="CW104"/>
  <c r="DA104"/>
  <c r="CS104" s="1"/>
  <c r="DE104"/>
  <c r="DP104"/>
  <c r="EF104"/>
  <c r="EM104"/>
  <c r="FD104"/>
  <c r="FQ104"/>
  <c r="O105"/>
  <c r="Z105" s="1"/>
  <c r="AC105"/>
  <c r="AD105"/>
  <c r="AE105"/>
  <c r="AF105"/>
  <c r="AG105"/>
  <c r="AL105"/>
  <c r="AW105"/>
  <c r="AX105"/>
  <c r="BG105"/>
  <c r="BI105"/>
  <c r="BM105"/>
  <c r="BE105" s="1"/>
  <c r="BZ105"/>
  <c r="CB105"/>
  <c r="CG105"/>
  <c r="CD105" s="1"/>
  <c r="AS105" s="1"/>
  <c r="CH105"/>
  <c r="CU105"/>
  <c r="CW105"/>
  <c r="DA105"/>
  <c r="CS105" s="1"/>
  <c r="DP105"/>
  <c r="EF105"/>
  <c r="EM105"/>
  <c r="FD105"/>
  <c r="FQ105"/>
  <c r="O106"/>
  <c r="AC106"/>
  <c r="AD106"/>
  <c r="AE106"/>
  <c r="AF106"/>
  <c r="AG106"/>
  <c r="AL106"/>
  <c r="AM106" s="1"/>
  <c r="AW106"/>
  <c r="AX106"/>
  <c r="BG106"/>
  <c r="BI106"/>
  <c r="BM106"/>
  <c r="BE106" s="1"/>
  <c r="BZ106"/>
  <c r="CB106"/>
  <c r="CG106"/>
  <c r="CH106"/>
  <c r="CL106"/>
  <c r="CU106"/>
  <c r="CW106"/>
  <c r="DA106"/>
  <c r="CS106" s="1"/>
  <c r="DE106"/>
  <c r="DP106"/>
  <c r="Q103" i="45" s="1"/>
  <c r="R103" s="1"/>
  <c r="EF106" i="43"/>
  <c r="EM106"/>
  <c r="FD106"/>
  <c r="FQ106"/>
  <c r="O107"/>
  <c r="AC107"/>
  <c r="AD107"/>
  <c r="AE107"/>
  <c r="AF107"/>
  <c r="AG107"/>
  <c r="AL107"/>
  <c r="AW107"/>
  <c r="AX107"/>
  <c r="BG107"/>
  <c r="BI107"/>
  <c r="BM107"/>
  <c r="BE107" s="1"/>
  <c r="BZ107"/>
  <c r="CB107"/>
  <c r="CG107"/>
  <c r="CH107"/>
  <c r="CU107"/>
  <c r="CW107"/>
  <c r="DA107"/>
  <c r="CS107" s="1"/>
  <c r="DP107"/>
  <c r="EF107"/>
  <c r="EM107"/>
  <c r="FD107"/>
  <c r="FQ107"/>
  <c r="O108"/>
  <c r="BQ108" s="1"/>
  <c r="AC108"/>
  <c r="AD108"/>
  <c r="AE108"/>
  <c r="AF108"/>
  <c r="AG108"/>
  <c r="AL108"/>
  <c r="AM108" s="1"/>
  <c r="AW108"/>
  <c r="AX108"/>
  <c r="BG108"/>
  <c r="BI108"/>
  <c r="BM108"/>
  <c r="BE108" s="1"/>
  <c r="BZ108"/>
  <c r="CB108"/>
  <c r="CG108"/>
  <c r="CD108" s="1"/>
  <c r="AS108" s="1"/>
  <c r="CH108"/>
  <c r="CU108"/>
  <c r="CW108"/>
  <c r="DA108"/>
  <c r="CS108" s="1"/>
  <c r="DP108"/>
  <c r="EF108"/>
  <c r="EM108"/>
  <c r="FD108"/>
  <c r="FQ108"/>
  <c r="O109"/>
  <c r="Z109" s="1"/>
  <c r="AC109"/>
  <c r="AD109"/>
  <c r="AE109"/>
  <c r="AF109"/>
  <c r="AG109"/>
  <c r="AL109"/>
  <c r="AW109"/>
  <c r="AX109"/>
  <c r="BG109"/>
  <c r="BI109"/>
  <c r="BM109"/>
  <c r="BE109" s="1"/>
  <c r="BZ109"/>
  <c r="CB109"/>
  <c r="CG109"/>
  <c r="CH109"/>
  <c r="CU109"/>
  <c r="CW109"/>
  <c r="DA109"/>
  <c r="CS109" s="1"/>
  <c r="DP109"/>
  <c r="EF109"/>
  <c r="EM109"/>
  <c r="FD109"/>
  <c r="FQ109"/>
  <c r="O110"/>
  <c r="AC110"/>
  <c r="AD110"/>
  <c r="AE110"/>
  <c r="AF110"/>
  <c r="AG110"/>
  <c r="AL110"/>
  <c r="AM110" s="1"/>
  <c r="AW110"/>
  <c r="AX110"/>
  <c r="BG110"/>
  <c r="BI110"/>
  <c r="BM110"/>
  <c r="BE110" s="1"/>
  <c r="BQ110"/>
  <c r="BZ110"/>
  <c r="CB110"/>
  <c r="CG110"/>
  <c r="CD110" s="1"/>
  <c r="CH110"/>
  <c r="CU110"/>
  <c r="CW110"/>
  <c r="DA110"/>
  <c r="CS110" s="1"/>
  <c r="DP110"/>
  <c r="EF110"/>
  <c r="EM110"/>
  <c r="FD110"/>
  <c r="FQ110"/>
  <c r="O111"/>
  <c r="Z111" s="1"/>
  <c r="AC111"/>
  <c r="AD111"/>
  <c r="AE111"/>
  <c r="AF111"/>
  <c r="AG111"/>
  <c r="AL111"/>
  <c r="AW111"/>
  <c r="AX111"/>
  <c r="BG111"/>
  <c r="BI111"/>
  <c r="BM111"/>
  <c r="BE111" s="1"/>
  <c r="BZ111"/>
  <c r="CB111"/>
  <c r="CG111"/>
  <c r="CD111" s="1"/>
  <c r="AS111" s="1"/>
  <c r="CH111"/>
  <c r="CU111"/>
  <c r="CW111"/>
  <c r="DA111"/>
  <c r="CS111" s="1"/>
  <c r="DP111"/>
  <c r="EF111"/>
  <c r="EM111"/>
  <c r="FD111"/>
  <c r="FQ111"/>
  <c r="O112"/>
  <c r="AC112"/>
  <c r="AD112"/>
  <c r="AE112"/>
  <c r="AF112"/>
  <c r="AG112"/>
  <c r="AL112"/>
  <c r="AW112"/>
  <c r="AX112"/>
  <c r="BG112"/>
  <c r="BI112"/>
  <c r="BM112"/>
  <c r="BE112" s="1"/>
  <c r="BZ112"/>
  <c r="CB112"/>
  <c r="CG112"/>
  <c r="CD112" s="1"/>
  <c r="CH112"/>
  <c r="CL112"/>
  <c r="CU112"/>
  <c r="CW112"/>
  <c r="DA112"/>
  <c r="CS112" s="1"/>
  <c r="DE112"/>
  <c r="DP112"/>
  <c r="EF112"/>
  <c r="EM112"/>
  <c r="FD112"/>
  <c r="FQ112"/>
  <c r="O113"/>
  <c r="Z113" s="1"/>
  <c r="AC113"/>
  <c r="AD113"/>
  <c r="AE113"/>
  <c r="AF113"/>
  <c r="AG113"/>
  <c r="AL113"/>
  <c r="AW113"/>
  <c r="AX113"/>
  <c r="BG113"/>
  <c r="BI113"/>
  <c r="BM113"/>
  <c r="BE113" s="1"/>
  <c r="BZ113"/>
  <c r="CB113"/>
  <c r="CG113"/>
  <c r="CH113"/>
  <c r="CU113"/>
  <c r="CW113"/>
  <c r="DA113"/>
  <c r="CS113" s="1"/>
  <c r="DP113"/>
  <c r="EF113"/>
  <c r="EM113"/>
  <c r="FD113"/>
  <c r="FQ113"/>
  <c r="O114"/>
  <c r="AC114"/>
  <c r="AD114"/>
  <c r="AE114"/>
  <c r="AF114"/>
  <c r="AG114"/>
  <c r="AL114"/>
  <c r="AW114"/>
  <c r="AX114"/>
  <c r="BG114"/>
  <c r="BI114"/>
  <c r="BM114"/>
  <c r="BE114" s="1"/>
  <c r="BQ114"/>
  <c r="BZ114"/>
  <c r="CB114"/>
  <c r="CG114"/>
  <c r="CD114" s="1"/>
  <c r="CH114"/>
  <c r="CU114"/>
  <c r="CW114"/>
  <c r="DA114"/>
  <c r="CS114" s="1"/>
  <c r="DP114"/>
  <c r="EF114"/>
  <c r="EM114"/>
  <c r="FD114"/>
  <c r="FQ114"/>
  <c r="O115"/>
  <c r="Z115" s="1"/>
  <c r="AC115"/>
  <c r="AD115"/>
  <c r="AE115"/>
  <c r="AF115"/>
  <c r="AG115"/>
  <c r="AL115"/>
  <c r="AW115"/>
  <c r="AX115"/>
  <c r="BG115"/>
  <c r="BI115"/>
  <c r="BM115"/>
  <c r="BE115" s="1"/>
  <c r="BZ115"/>
  <c r="CB115"/>
  <c r="CG115"/>
  <c r="CD115" s="1"/>
  <c r="AS115" s="1"/>
  <c r="CH115"/>
  <c r="CU115"/>
  <c r="CW115"/>
  <c r="DA115"/>
  <c r="CS115" s="1"/>
  <c r="DP115"/>
  <c r="EF115"/>
  <c r="EM115"/>
  <c r="FD115"/>
  <c r="FQ115"/>
  <c r="O116"/>
  <c r="AC116"/>
  <c r="AD116"/>
  <c r="AE116"/>
  <c r="AF116"/>
  <c r="AG116"/>
  <c r="AL116"/>
  <c r="AW116"/>
  <c r="AX116"/>
  <c r="BG116"/>
  <c r="BI116"/>
  <c r="BM116"/>
  <c r="BE116" s="1"/>
  <c r="BZ116"/>
  <c r="CB116"/>
  <c r="CG116"/>
  <c r="CD116" s="1"/>
  <c r="CH116"/>
  <c r="CL116"/>
  <c r="CU116"/>
  <c r="CW116"/>
  <c r="DA116"/>
  <c r="CS116" s="1"/>
  <c r="DE116"/>
  <c r="DP116"/>
  <c r="EF116"/>
  <c r="EM116"/>
  <c r="FD116"/>
  <c r="FQ116"/>
  <c r="O117"/>
  <c r="Z117" s="1"/>
  <c r="AC117"/>
  <c r="AD117"/>
  <c r="AE117"/>
  <c r="AF117"/>
  <c r="AG117"/>
  <c r="AL117"/>
  <c r="AW117"/>
  <c r="AX117"/>
  <c r="BG117"/>
  <c r="BI117"/>
  <c r="BM117"/>
  <c r="BE117" s="1"/>
  <c r="BZ117"/>
  <c r="CB117"/>
  <c r="CG117"/>
  <c r="CH117"/>
  <c r="CU117"/>
  <c r="CW117"/>
  <c r="DA117"/>
  <c r="CS117" s="1"/>
  <c r="DP117"/>
  <c r="DQ117" s="1"/>
  <c r="EF117"/>
  <c r="EM117"/>
  <c r="FD117"/>
  <c r="FQ117"/>
  <c r="O118"/>
  <c r="AC118"/>
  <c r="AD118"/>
  <c r="AE118"/>
  <c r="AF118"/>
  <c r="AG118"/>
  <c r="AL118"/>
  <c r="AW118"/>
  <c r="AX118"/>
  <c r="BG118"/>
  <c r="BI118"/>
  <c r="BM118"/>
  <c r="BE118" s="1"/>
  <c r="BZ118"/>
  <c r="CB118"/>
  <c r="CG118"/>
  <c r="CD118" s="1"/>
  <c r="CH118"/>
  <c r="CL118"/>
  <c r="CU118"/>
  <c r="CW118"/>
  <c r="DA118"/>
  <c r="CS118" s="1"/>
  <c r="DE118"/>
  <c r="DP118"/>
  <c r="EF118"/>
  <c r="EM118"/>
  <c r="FD118"/>
  <c r="FQ118"/>
  <c r="O119"/>
  <c r="Z119" s="1"/>
  <c r="AC119"/>
  <c r="AD119"/>
  <c r="AE119"/>
  <c r="AF119"/>
  <c r="AG119"/>
  <c r="AL119"/>
  <c r="AW119"/>
  <c r="AX119"/>
  <c r="BG119"/>
  <c r="BI119"/>
  <c r="BM119"/>
  <c r="BE119" s="1"/>
  <c r="BZ119"/>
  <c r="CB119"/>
  <c r="CG119"/>
  <c r="CD119" s="1"/>
  <c r="AS119" s="1"/>
  <c r="CH119"/>
  <c r="CU119"/>
  <c r="CW119"/>
  <c r="DA119"/>
  <c r="CS119" s="1"/>
  <c r="DP119"/>
  <c r="DQ119" s="1"/>
  <c r="EF119"/>
  <c r="EM119"/>
  <c r="FD119"/>
  <c r="FQ119"/>
  <c r="O120"/>
  <c r="AC120"/>
  <c r="AD120"/>
  <c r="AE120"/>
  <c r="AF120"/>
  <c r="AG120"/>
  <c r="AL120"/>
  <c r="AW120"/>
  <c r="AX120"/>
  <c r="BG120"/>
  <c r="BI120"/>
  <c r="BM120"/>
  <c r="BE120" s="1"/>
  <c r="BZ120"/>
  <c r="CB120"/>
  <c r="CG120"/>
  <c r="CD120" s="1"/>
  <c r="CH120"/>
  <c r="CL120"/>
  <c r="CU120"/>
  <c r="CW120"/>
  <c r="DA120"/>
  <c r="CS120" s="1"/>
  <c r="DE120"/>
  <c r="DP120"/>
  <c r="EF120"/>
  <c r="EM120"/>
  <c r="FD120"/>
  <c r="FQ120"/>
  <c r="O121"/>
  <c r="Z121" s="1"/>
  <c r="AC121"/>
  <c r="AD121"/>
  <c r="AE121"/>
  <c r="AF121"/>
  <c r="AG121"/>
  <c r="AL121"/>
  <c r="AW121"/>
  <c r="AX121"/>
  <c r="BG121"/>
  <c r="BI121"/>
  <c r="BM121"/>
  <c r="BE121" s="1"/>
  <c r="BZ121"/>
  <c r="CB121"/>
  <c r="CG121"/>
  <c r="CH121"/>
  <c r="CU121"/>
  <c r="CW121"/>
  <c r="DA121"/>
  <c r="CS121" s="1"/>
  <c r="DP121"/>
  <c r="DQ121" s="1"/>
  <c r="EF121"/>
  <c r="EM121"/>
  <c r="FD121"/>
  <c r="FQ121"/>
  <c r="O122"/>
  <c r="BQ122" s="1"/>
  <c r="AC122"/>
  <c r="AD122"/>
  <c r="AE122"/>
  <c r="AF122"/>
  <c r="AG122"/>
  <c r="AL122"/>
  <c r="AW122"/>
  <c r="AX122"/>
  <c r="BG122"/>
  <c r="BI122"/>
  <c r="BM122"/>
  <c r="BE122" s="1"/>
  <c r="BZ122"/>
  <c r="CB122"/>
  <c r="CG122"/>
  <c r="CD122" s="1"/>
  <c r="AS122" s="1"/>
  <c r="CH122"/>
  <c r="CU122"/>
  <c r="CW122"/>
  <c r="DA122"/>
  <c r="CS122" s="1"/>
  <c r="DP122"/>
  <c r="EF122"/>
  <c r="EM122"/>
  <c r="FD122"/>
  <c r="FQ122"/>
  <c r="O123"/>
  <c r="AC123"/>
  <c r="AD123"/>
  <c r="AE123"/>
  <c r="AF123"/>
  <c r="AG123"/>
  <c r="AL123"/>
  <c r="AW123"/>
  <c r="AX123"/>
  <c r="BG123"/>
  <c r="BI123"/>
  <c r="BM123"/>
  <c r="BE123" s="1"/>
  <c r="BZ123"/>
  <c r="CB123"/>
  <c r="CG123"/>
  <c r="CH123"/>
  <c r="CU123"/>
  <c r="CW123"/>
  <c r="DA123"/>
  <c r="CS123" s="1"/>
  <c r="DP123"/>
  <c r="EF123"/>
  <c r="EM123"/>
  <c r="FD123"/>
  <c r="FQ123"/>
  <c r="O124"/>
  <c r="AC124"/>
  <c r="AD124"/>
  <c r="AE124"/>
  <c r="AF124"/>
  <c r="AG124"/>
  <c r="AL124"/>
  <c r="AW124"/>
  <c r="AX124"/>
  <c r="BG124"/>
  <c r="BI124"/>
  <c r="BM124"/>
  <c r="BE124" s="1"/>
  <c r="BQ124"/>
  <c r="BZ124"/>
  <c r="CB124"/>
  <c r="CG124"/>
  <c r="CD124" s="1"/>
  <c r="AS124" s="1"/>
  <c r="CH124"/>
  <c r="CU124"/>
  <c r="CW124"/>
  <c r="DA124"/>
  <c r="CS124" s="1"/>
  <c r="DP124"/>
  <c r="EF124"/>
  <c r="EM124"/>
  <c r="FD124"/>
  <c r="FQ124"/>
  <c r="O125"/>
  <c r="AC125"/>
  <c r="AD125"/>
  <c r="AE125"/>
  <c r="AF125"/>
  <c r="AG125"/>
  <c r="AL125"/>
  <c r="AW125"/>
  <c r="AX125"/>
  <c r="BG125"/>
  <c r="BI125"/>
  <c r="BM125"/>
  <c r="BE125" s="1"/>
  <c r="BQ125"/>
  <c r="BZ125"/>
  <c r="CB125"/>
  <c r="CG125"/>
  <c r="CD125" s="1"/>
  <c r="CH125"/>
  <c r="CU125"/>
  <c r="CW125"/>
  <c r="DA125"/>
  <c r="CS125" s="1"/>
  <c r="DP125"/>
  <c r="EF125"/>
  <c r="EM125"/>
  <c r="FD125"/>
  <c r="FQ125"/>
  <c r="O126"/>
  <c r="Z126" s="1"/>
  <c r="AC126"/>
  <c r="AD126"/>
  <c r="AE126"/>
  <c r="AF126"/>
  <c r="AG126"/>
  <c r="AL126"/>
  <c r="AW126"/>
  <c r="AX126"/>
  <c r="BG126"/>
  <c r="BI126"/>
  <c r="BM126"/>
  <c r="BE126" s="1"/>
  <c r="BQ126"/>
  <c r="BZ126"/>
  <c r="CB126"/>
  <c r="CG126"/>
  <c r="CH126"/>
  <c r="CU126"/>
  <c r="CW126"/>
  <c r="DA126"/>
  <c r="CS126" s="1"/>
  <c r="DP126"/>
  <c r="EF126"/>
  <c r="EM126"/>
  <c r="FD126"/>
  <c r="FQ126"/>
  <c r="O127"/>
  <c r="Z127" s="1"/>
  <c r="AC127"/>
  <c r="AD127"/>
  <c r="AE127"/>
  <c r="AF127"/>
  <c r="AG127"/>
  <c r="AL127"/>
  <c r="AW127"/>
  <c r="AX127"/>
  <c r="BG127"/>
  <c r="BI127"/>
  <c r="BM127"/>
  <c r="BE127" s="1"/>
  <c r="BZ127"/>
  <c r="CB127"/>
  <c r="CG127"/>
  <c r="CH127"/>
  <c r="CL127"/>
  <c r="CU127"/>
  <c r="CW127"/>
  <c r="DA127"/>
  <c r="CS127" s="1"/>
  <c r="DE127"/>
  <c r="DP127"/>
  <c r="EF127"/>
  <c r="EM127"/>
  <c r="FD127"/>
  <c r="FQ127"/>
  <c r="O128"/>
  <c r="Z128" s="1"/>
  <c r="AC128"/>
  <c r="AD128"/>
  <c r="AE128"/>
  <c r="AF128"/>
  <c r="AG128"/>
  <c r="AL128"/>
  <c r="AW128"/>
  <c r="AX128"/>
  <c r="BG128"/>
  <c r="BI128"/>
  <c r="BM128"/>
  <c r="BE128" s="1"/>
  <c r="BZ128"/>
  <c r="CB128"/>
  <c r="CG128"/>
  <c r="CH128"/>
  <c r="CL128"/>
  <c r="CU128"/>
  <c r="CW128"/>
  <c r="DA128"/>
  <c r="CS128" s="1"/>
  <c r="DE128"/>
  <c r="DP128"/>
  <c r="EF128"/>
  <c r="EM128"/>
  <c r="FD128"/>
  <c r="FQ128"/>
  <c r="O129"/>
  <c r="AC129"/>
  <c r="AD129"/>
  <c r="AE129"/>
  <c r="AF129"/>
  <c r="AG129"/>
  <c r="AL129"/>
  <c r="AW129"/>
  <c r="AX129"/>
  <c r="BG129"/>
  <c r="BI129"/>
  <c r="BM129"/>
  <c r="BE129" s="1"/>
  <c r="BZ129"/>
  <c r="CB129"/>
  <c r="CG129"/>
  <c r="CH129"/>
  <c r="CL129"/>
  <c r="CU129"/>
  <c r="CW129"/>
  <c r="DA129"/>
  <c r="CS129" s="1"/>
  <c r="DE129"/>
  <c r="DP129"/>
  <c r="EF129"/>
  <c r="EM129"/>
  <c r="FD129"/>
  <c r="FQ129"/>
  <c r="O130"/>
  <c r="AC130"/>
  <c r="AD130"/>
  <c r="AE130"/>
  <c r="AF130"/>
  <c r="AG130"/>
  <c r="AL130"/>
  <c r="AW130"/>
  <c r="AX130"/>
  <c r="BG130"/>
  <c r="BI130"/>
  <c r="BM130"/>
  <c r="BE130" s="1"/>
  <c r="BZ130"/>
  <c r="CB130"/>
  <c r="CG130"/>
  <c r="CH130"/>
  <c r="CU130"/>
  <c r="CW130"/>
  <c r="DA130"/>
  <c r="CS130" s="1"/>
  <c r="DP130"/>
  <c r="EF130"/>
  <c r="EM130"/>
  <c r="FD130"/>
  <c r="FQ130"/>
  <c r="O131"/>
  <c r="Z131" s="1"/>
  <c r="AC131"/>
  <c r="AD131"/>
  <c r="AE131"/>
  <c r="AF131"/>
  <c r="AG131"/>
  <c r="AL131"/>
  <c r="AW131"/>
  <c r="AX131"/>
  <c r="BG131"/>
  <c r="BI131"/>
  <c r="BM131"/>
  <c r="BE131" s="1"/>
  <c r="BZ131"/>
  <c r="CB131"/>
  <c r="CG131"/>
  <c r="CH131"/>
  <c r="CL131"/>
  <c r="CU131"/>
  <c r="CW131"/>
  <c r="DA131"/>
  <c r="CS131" s="1"/>
  <c r="DE131"/>
  <c r="DP131"/>
  <c r="EF131"/>
  <c r="EM131"/>
  <c r="FD131"/>
  <c r="FQ131"/>
  <c r="O132"/>
  <c r="Z132" s="1"/>
  <c r="AC132"/>
  <c r="AD132"/>
  <c r="AE132"/>
  <c r="AF132"/>
  <c r="AG132"/>
  <c r="AL132"/>
  <c r="AW132"/>
  <c r="AX132"/>
  <c r="BG132"/>
  <c r="BI132"/>
  <c r="BM132"/>
  <c r="BE132" s="1"/>
  <c r="BZ132"/>
  <c r="CB132"/>
  <c r="CG132"/>
  <c r="CH132"/>
  <c r="CL132"/>
  <c r="CU132"/>
  <c r="CW132"/>
  <c r="DA132"/>
  <c r="CS132" s="1"/>
  <c r="DE132"/>
  <c r="DP132"/>
  <c r="EF132"/>
  <c r="EM132"/>
  <c r="FD132"/>
  <c r="FQ132"/>
  <c r="O133"/>
  <c r="AC133"/>
  <c r="AD133"/>
  <c r="AE133"/>
  <c r="AF133"/>
  <c r="AG133"/>
  <c r="AL133"/>
  <c r="AW133"/>
  <c r="AX133"/>
  <c r="BG133"/>
  <c r="BI133"/>
  <c r="BM133"/>
  <c r="BE133" s="1"/>
  <c r="BQ133"/>
  <c r="BZ133"/>
  <c r="CB133"/>
  <c r="CG133"/>
  <c r="CH133"/>
  <c r="CU133"/>
  <c r="CW133"/>
  <c r="DA133"/>
  <c r="CS133" s="1"/>
  <c r="DP133"/>
  <c r="EF133"/>
  <c r="EM133"/>
  <c r="FD133"/>
  <c r="FQ133"/>
  <c r="O134"/>
  <c r="AC134"/>
  <c r="AD134"/>
  <c r="AE134"/>
  <c r="AF134"/>
  <c r="AG134"/>
  <c r="AL134"/>
  <c r="AW134"/>
  <c r="AX134"/>
  <c r="BG134"/>
  <c r="BI134"/>
  <c r="BM134"/>
  <c r="BE134" s="1"/>
  <c r="BQ134"/>
  <c r="BZ134"/>
  <c r="CB134"/>
  <c r="CG134"/>
  <c r="CH134"/>
  <c r="CU134"/>
  <c r="CW134"/>
  <c r="DA134"/>
  <c r="CS134" s="1"/>
  <c r="DP134"/>
  <c r="EF134"/>
  <c r="EM134"/>
  <c r="FD134"/>
  <c r="FQ134"/>
  <c r="O135"/>
  <c r="AC135"/>
  <c r="AD135"/>
  <c r="AE135"/>
  <c r="AF135"/>
  <c r="AG135"/>
  <c r="AL135"/>
  <c r="AW135"/>
  <c r="AX135"/>
  <c r="BG135"/>
  <c r="BI135"/>
  <c r="BM135"/>
  <c r="BE135" s="1"/>
  <c r="BZ135"/>
  <c r="CB135"/>
  <c r="CG135"/>
  <c r="CH135"/>
  <c r="CU135"/>
  <c r="CW135"/>
  <c r="DA135"/>
  <c r="CS135" s="1"/>
  <c r="DP135"/>
  <c r="EF135"/>
  <c r="EM135"/>
  <c r="FD135"/>
  <c r="FQ135"/>
  <c r="O136"/>
  <c r="Z136" s="1"/>
  <c r="AC136"/>
  <c r="AD136"/>
  <c r="AE136"/>
  <c r="AF136"/>
  <c r="AG136"/>
  <c r="AL136"/>
  <c r="AW136"/>
  <c r="AX136"/>
  <c r="BG136"/>
  <c r="BI136"/>
  <c r="BM136"/>
  <c r="BE136" s="1"/>
  <c r="BZ136"/>
  <c r="CB136"/>
  <c r="CG136"/>
  <c r="CD136" s="1"/>
  <c r="CH136"/>
  <c r="CL136"/>
  <c r="CU136"/>
  <c r="CW136"/>
  <c r="DA136"/>
  <c r="CS136" s="1"/>
  <c r="DE136"/>
  <c r="DP136"/>
  <c r="EF136"/>
  <c r="EM136"/>
  <c r="FD136"/>
  <c r="FQ136"/>
  <c r="O137"/>
  <c r="AC137"/>
  <c r="AD137"/>
  <c r="AE137"/>
  <c r="AF137"/>
  <c r="AG137"/>
  <c r="AL137"/>
  <c r="AW137"/>
  <c r="AX137"/>
  <c r="BG137"/>
  <c r="BI137"/>
  <c r="BM137"/>
  <c r="BE137" s="1"/>
  <c r="BZ137"/>
  <c r="CB137"/>
  <c r="CG137"/>
  <c r="CH137"/>
  <c r="CL137"/>
  <c r="CU137"/>
  <c r="CW137"/>
  <c r="DA137"/>
  <c r="CS137" s="1"/>
  <c r="DE137"/>
  <c r="DP137"/>
  <c r="EF137"/>
  <c r="EM137"/>
  <c r="FD137"/>
  <c r="FQ137"/>
  <c r="O138"/>
  <c r="AC138"/>
  <c r="AD138"/>
  <c r="AE138"/>
  <c r="AF138"/>
  <c r="AG138"/>
  <c r="AL138"/>
  <c r="AW138"/>
  <c r="AX138"/>
  <c r="BG138"/>
  <c r="BI138"/>
  <c r="BM138"/>
  <c r="BE138" s="1"/>
  <c r="BQ138"/>
  <c r="BZ138"/>
  <c r="CB138"/>
  <c r="CG138"/>
  <c r="CH138"/>
  <c r="CU138"/>
  <c r="CW138"/>
  <c r="DA138"/>
  <c r="CS138" s="1"/>
  <c r="DP138"/>
  <c r="EF138"/>
  <c r="EM138"/>
  <c r="FD138"/>
  <c r="FQ138"/>
  <c r="O139"/>
  <c r="AC139"/>
  <c r="AD139"/>
  <c r="AE139"/>
  <c r="AF139"/>
  <c r="AG139"/>
  <c r="AL139"/>
  <c r="AW139"/>
  <c r="AX139"/>
  <c r="BG139"/>
  <c r="BI139"/>
  <c r="BM139"/>
  <c r="BE139" s="1"/>
  <c r="BZ139"/>
  <c r="CB139"/>
  <c r="CG139"/>
  <c r="CH139"/>
  <c r="CL139"/>
  <c r="CU139"/>
  <c r="CW139"/>
  <c r="DA139"/>
  <c r="CS139" s="1"/>
  <c r="DE139"/>
  <c r="DP139"/>
  <c r="EF139"/>
  <c r="EM139"/>
  <c r="FD139"/>
  <c r="FQ139"/>
  <c r="O140"/>
  <c r="Z140" s="1"/>
  <c r="AC140"/>
  <c r="AD140"/>
  <c r="AE140"/>
  <c r="AF140"/>
  <c r="AG140"/>
  <c r="AL140"/>
  <c r="AW140"/>
  <c r="AX140"/>
  <c r="BG140"/>
  <c r="BI140"/>
  <c r="BM140"/>
  <c r="BE140" s="1"/>
  <c r="BZ140"/>
  <c r="CB140"/>
  <c r="CG140"/>
  <c r="CD140" s="1"/>
  <c r="CH140"/>
  <c r="CL140"/>
  <c r="CU140"/>
  <c r="CW140"/>
  <c r="DA140"/>
  <c r="CS140" s="1"/>
  <c r="DE140"/>
  <c r="DP140"/>
  <c r="EF140"/>
  <c r="EM140"/>
  <c r="FD140"/>
  <c r="FQ140"/>
  <c r="O141"/>
  <c r="Z141" s="1"/>
  <c r="AC141"/>
  <c r="AD141"/>
  <c r="AE141"/>
  <c r="AF141"/>
  <c r="AG141"/>
  <c r="AL141"/>
  <c r="AW141"/>
  <c r="AX141"/>
  <c r="BG141"/>
  <c r="BI141"/>
  <c r="BM141"/>
  <c r="BE141" s="1"/>
  <c r="BZ141"/>
  <c r="CB141"/>
  <c r="CG141"/>
  <c r="CH141"/>
  <c r="CU141"/>
  <c r="CW141"/>
  <c r="DA141"/>
  <c r="CS141" s="1"/>
  <c r="DP141"/>
  <c r="EF141"/>
  <c r="EM141"/>
  <c r="FD141"/>
  <c r="FQ141"/>
  <c r="O142"/>
  <c r="BQ142" s="1"/>
  <c r="AC142"/>
  <c r="AD142"/>
  <c r="AE142"/>
  <c r="AF142"/>
  <c r="AG142"/>
  <c r="AL142"/>
  <c r="AW142"/>
  <c r="AX142"/>
  <c r="BG142"/>
  <c r="BI142"/>
  <c r="BM142"/>
  <c r="BE142" s="1"/>
  <c r="BZ142"/>
  <c r="CB142"/>
  <c r="CG142"/>
  <c r="CD142" s="1"/>
  <c r="CH142"/>
  <c r="CU142"/>
  <c r="CW142"/>
  <c r="DA142"/>
  <c r="CS142" s="1"/>
  <c r="DP142"/>
  <c r="EF142"/>
  <c r="EM142"/>
  <c r="FD142"/>
  <c r="FQ142"/>
  <c r="O143"/>
  <c r="Z143" s="1"/>
  <c r="AC143"/>
  <c r="AD143"/>
  <c r="AE143"/>
  <c r="AF143"/>
  <c r="AG143"/>
  <c r="AL143"/>
  <c r="AW143"/>
  <c r="AX143"/>
  <c r="BG143"/>
  <c r="BI143"/>
  <c r="BM143"/>
  <c r="BE143" s="1"/>
  <c r="BZ143"/>
  <c r="CB143"/>
  <c r="CG143"/>
  <c r="CD143" s="1"/>
  <c r="AS143" s="1"/>
  <c r="CH143"/>
  <c r="CU143"/>
  <c r="CW143"/>
  <c r="DA143"/>
  <c r="CS143" s="1"/>
  <c r="DP143"/>
  <c r="EF143"/>
  <c r="EM143"/>
  <c r="FD143"/>
  <c r="FQ143"/>
  <c r="O144"/>
  <c r="AC144"/>
  <c r="AD144"/>
  <c r="AE144"/>
  <c r="AF144"/>
  <c r="AG144"/>
  <c r="AL144"/>
  <c r="AW144"/>
  <c r="AX144"/>
  <c r="BG144"/>
  <c r="BI144"/>
  <c r="BM144"/>
  <c r="BE144" s="1"/>
  <c r="BQ144"/>
  <c r="BZ144"/>
  <c r="CB144"/>
  <c r="CG144"/>
  <c r="CD144" s="1"/>
  <c r="CH144"/>
  <c r="CU144"/>
  <c r="CW144"/>
  <c r="DA144"/>
  <c r="CS144" s="1"/>
  <c r="DP144"/>
  <c r="EF144"/>
  <c r="EM144"/>
  <c r="FD144"/>
  <c r="FQ144"/>
  <c r="O145"/>
  <c r="Z145" s="1"/>
  <c r="AC145"/>
  <c r="AD145"/>
  <c r="AE145"/>
  <c r="AF145"/>
  <c r="AG145"/>
  <c r="AL145"/>
  <c r="AW145"/>
  <c r="AX145"/>
  <c r="BG145"/>
  <c r="BI145"/>
  <c r="BM145"/>
  <c r="BE145" s="1"/>
  <c r="BZ145"/>
  <c r="CB145"/>
  <c r="CG145"/>
  <c r="CH145"/>
  <c r="CU145"/>
  <c r="CW145"/>
  <c r="DA145"/>
  <c r="CS145" s="1"/>
  <c r="DP145"/>
  <c r="Q142" i="45" s="1"/>
  <c r="EF145" i="43"/>
  <c r="EM145"/>
  <c r="FD145"/>
  <c r="FQ145"/>
  <c r="O146"/>
  <c r="AC146"/>
  <c r="AD146"/>
  <c r="AE146"/>
  <c r="AF146"/>
  <c r="AG146"/>
  <c r="AL146"/>
  <c r="AW146"/>
  <c r="AX146"/>
  <c r="BG146"/>
  <c r="BI146"/>
  <c r="BM146"/>
  <c r="BE146" s="1"/>
  <c r="BQ146"/>
  <c r="BZ146"/>
  <c r="CB146"/>
  <c r="CG146"/>
  <c r="CD146" s="1"/>
  <c r="CH146"/>
  <c r="CU146"/>
  <c r="CW146"/>
  <c r="DA146"/>
  <c r="CS146" s="1"/>
  <c r="DP146"/>
  <c r="Q143" i="45" s="1"/>
  <c r="EF146" i="43"/>
  <c r="EM146"/>
  <c r="FD146"/>
  <c r="FQ146"/>
  <c r="O147"/>
  <c r="Z147" s="1"/>
  <c r="AC147"/>
  <c r="AD147"/>
  <c r="AE147"/>
  <c r="AF147"/>
  <c r="AG147"/>
  <c r="AL147"/>
  <c r="AW147"/>
  <c r="AX147"/>
  <c r="BG147"/>
  <c r="BI147"/>
  <c r="BM147"/>
  <c r="BE147" s="1"/>
  <c r="BZ147"/>
  <c r="CB147"/>
  <c r="CG147"/>
  <c r="CD147" s="1"/>
  <c r="AS147" s="1"/>
  <c r="CH147"/>
  <c r="CU147"/>
  <c r="CW147"/>
  <c r="DA147"/>
  <c r="CS147" s="1"/>
  <c r="DP147"/>
  <c r="Q144" i="45" s="1"/>
  <c r="EF147" i="43"/>
  <c r="EM147"/>
  <c r="FD147"/>
  <c r="FQ147"/>
  <c r="O148"/>
  <c r="AC148"/>
  <c r="AD148"/>
  <c r="AE148"/>
  <c r="AF148"/>
  <c r="AG148"/>
  <c r="AL148"/>
  <c r="AW148"/>
  <c r="AX148"/>
  <c r="BG148"/>
  <c r="BI148"/>
  <c r="BM148"/>
  <c r="BE148" s="1"/>
  <c r="BQ148"/>
  <c r="BZ148"/>
  <c r="CB148"/>
  <c r="CG148"/>
  <c r="CD148" s="1"/>
  <c r="CH148"/>
  <c r="CU148"/>
  <c r="CW148"/>
  <c r="DA148"/>
  <c r="CS148" s="1"/>
  <c r="DP148"/>
  <c r="Q145" i="45" s="1"/>
  <c r="EF148" i="43"/>
  <c r="EM148"/>
  <c r="FD148"/>
  <c r="FQ148"/>
  <c r="O149"/>
  <c r="Z149" s="1"/>
  <c r="AC149"/>
  <c r="AD149"/>
  <c r="AE149"/>
  <c r="AF149"/>
  <c r="AG149"/>
  <c r="AL149"/>
  <c r="AW149"/>
  <c r="AX149"/>
  <c r="BG149"/>
  <c r="BI149"/>
  <c r="BM149"/>
  <c r="BE149" s="1"/>
  <c r="BZ149"/>
  <c r="CB149"/>
  <c r="CG149"/>
  <c r="CH149"/>
  <c r="CU149"/>
  <c r="CW149"/>
  <c r="DA149"/>
  <c r="CS149" s="1"/>
  <c r="DP149"/>
  <c r="Q146" i="45" s="1"/>
  <c r="EF149" i="43"/>
  <c r="EM149"/>
  <c r="FD149"/>
  <c r="FQ149"/>
  <c r="O150"/>
  <c r="AC150"/>
  <c r="AD150"/>
  <c r="AE150"/>
  <c r="AF150"/>
  <c r="AG150"/>
  <c r="AL150"/>
  <c r="AW150"/>
  <c r="AX150"/>
  <c r="BG150"/>
  <c r="BI150"/>
  <c r="BM150"/>
  <c r="BE150" s="1"/>
  <c r="BQ150"/>
  <c r="BZ150"/>
  <c r="CB150"/>
  <c r="CG150"/>
  <c r="CD150" s="1"/>
  <c r="CH150"/>
  <c r="CU150"/>
  <c r="CW150"/>
  <c r="DA150"/>
  <c r="CS150" s="1"/>
  <c r="DP150"/>
  <c r="Q147" i="45" s="1"/>
  <c r="EF150" i="43"/>
  <c r="EM150"/>
  <c r="FD150"/>
  <c r="FQ150"/>
  <c r="O151"/>
  <c r="Z151" s="1"/>
  <c r="AC151"/>
  <c r="AD151"/>
  <c r="AE151"/>
  <c r="AF151"/>
  <c r="AG151"/>
  <c r="AL151"/>
  <c r="AW151"/>
  <c r="AX151"/>
  <c r="BG151"/>
  <c r="BI151"/>
  <c r="BM151"/>
  <c r="BE151" s="1"/>
  <c r="BZ151"/>
  <c r="CB151"/>
  <c r="CG151"/>
  <c r="CD151" s="1"/>
  <c r="AS151" s="1"/>
  <c r="CH151"/>
  <c r="CU151"/>
  <c r="CW151"/>
  <c r="DA151"/>
  <c r="CS151" s="1"/>
  <c r="DP151"/>
  <c r="Q148" i="45" s="1"/>
  <c r="EF151" i="43"/>
  <c r="EM151"/>
  <c r="FD151"/>
  <c r="FQ151"/>
  <c r="O152"/>
  <c r="AC152"/>
  <c r="AD152"/>
  <c r="AE152"/>
  <c r="AF152"/>
  <c r="AG152"/>
  <c r="AL152"/>
  <c r="AW152"/>
  <c r="AX152"/>
  <c r="BG152"/>
  <c r="BI152"/>
  <c r="BM152"/>
  <c r="BE152" s="1"/>
  <c r="BQ152"/>
  <c r="BZ152"/>
  <c r="CB152"/>
  <c r="CG152"/>
  <c r="CD152" s="1"/>
  <c r="CH152"/>
  <c r="CU152"/>
  <c r="CW152"/>
  <c r="DA152"/>
  <c r="CS152" s="1"/>
  <c r="DP152"/>
  <c r="Q149" i="45" s="1"/>
  <c r="EF152" i="43"/>
  <c r="EM152"/>
  <c r="FD152"/>
  <c r="FQ152"/>
  <c r="O153"/>
  <c r="Z153" s="1"/>
  <c r="AC153"/>
  <c r="AD153"/>
  <c r="AE153"/>
  <c r="AF153"/>
  <c r="AG153"/>
  <c r="AL153"/>
  <c r="AW153"/>
  <c r="AX153"/>
  <c r="BG153"/>
  <c r="BI153"/>
  <c r="BM153"/>
  <c r="BE153" s="1"/>
  <c r="BZ153"/>
  <c r="CB153"/>
  <c r="CG153"/>
  <c r="CH153"/>
  <c r="CU153"/>
  <c r="CW153"/>
  <c r="DA153"/>
  <c r="CS153" s="1"/>
  <c r="DP153"/>
  <c r="Q150" i="45" s="1"/>
  <c r="EF153" i="43"/>
  <c r="EM153"/>
  <c r="FD153"/>
  <c r="FQ153"/>
  <c r="O154"/>
  <c r="AC154"/>
  <c r="AD154"/>
  <c r="AE154"/>
  <c r="AF154"/>
  <c r="AG154"/>
  <c r="AL154"/>
  <c r="AW154"/>
  <c r="AX154"/>
  <c r="BG154"/>
  <c r="BI154"/>
  <c r="BM154"/>
  <c r="BE154" s="1"/>
  <c r="BQ154"/>
  <c r="BZ154"/>
  <c r="CB154"/>
  <c r="CG154"/>
  <c r="CD154" s="1"/>
  <c r="CH154"/>
  <c r="CU154"/>
  <c r="CW154"/>
  <c r="DA154"/>
  <c r="CS154" s="1"/>
  <c r="DP154"/>
  <c r="Q151" i="45" s="1"/>
  <c r="EF154" i="43"/>
  <c r="EM154"/>
  <c r="FD154"/>
  <c r="FQ154"/>
  <c r="O155"/>
  <c r="Z155" s="1"/>
  <c r="AC155"/>
  <c r="AD155"/>
  <c r="AE155"/>
  <c r="AF155"/>
  <c r="AG155"/>
  <c r="AL155"/>
  <c r="AW155"/>
  <c r="AX155"/>
  <c r="BG155"/>
  <c r="BI155"/>
  <c r="BM155"/>
  <c r="BE155" s="1"/>
  <c r="BZ155"/>
  <c r="CB155"/>
  <c r="CG155"/>
  <c r="CD155" s="1"/>
  <c r="AS155" s="1"/>
  <c r="CH155"/>
  <c r="CU155"/>
  <c r="CW155"/>
  <c r="DA155"/>
  <c r="CS155" s="1"/>
  <c r="DP155"/>
  <c r="Q152" i="45" s="1"/>
  <c r="EF155" i="43"/>
  <c r="EM155"/>
  <c r="FD155"/>
  <c r="FQ155"/>
  <c r="O156"/>
  <c r="AC156"/>
  <c r="AD156"/>
  <c r="AE156"/>
  <c r="AF156"/>
  <c r="AG156"/>
  <c r="AL156"/>
  <c r="AW156"/>
  <c r="AX156"/>
  <c r="BG156"/>
  <c r="BI156"/>
  <c r="BM156"/>
  <c r="BE156" s="1"/>
  <c r="BQ156"/>
  <c r="BZ156"/>
  <c r="CB156"/>
  <c r="CG156"/>
  <c r="CD156" s="1"/>
  <c r="CH156"/>
  <c r="CU156"/>
  <c r="CW156"/>
  <c r="DA156"/>
  <c r="CS156" s="1"/>
  <c r="DP156"/>
  <c r="Q153" i="45" s="1"/>
  <c r="EF156" i="43"/>
  <c r="EM156"/>
  <c r="FD156"/>
  <c r="FQ156"/>
  <c r="O157"/>
  <c r="Z157" s="1"/>
  <c r="AC157"/>
  <c r="AD157"/>
  <c r="AE157"/>
  <c r="AF157"/>
  <c r="AG157"/>
  <c r="AL157"/>
  <c r="AW157"/>
  <c r="AX157"/>
  <c r="BG157"/>
  <c r="BI157"/>
  <c r="BM157"/>
  <c r="BE157" s="1"/>
  <c r="BZ157"/>
  <c r="CB157"/>
  <c r="CG157"/>
  <c r="CH157"/>
  <c r="CU157"/>
  <c r="CW157"/>
  <c r="DA157"/>
  <c r="CS157" s="1"/>
  <c r="DP157"/>
  <c r="Q154" i="45" s="1"/>
  <c r="EF157" i="43"/>
  <c r="EM157"/>
  <c r="FD157"/>
  <c r="FQ157"/>
  <c r="O158"/>
  <c r="AC158"/>
  <c r="AD158"/>
  <c r="AE158"/>
  <c r="AF158"/>
  <c r="AG158"/>
  <c r="AL158"/>
  <c r="AW158"/>
  <c r="AX158"/>
  <c r="BG158"/>
  <c r="BI158"/>
  <c r="BM158"/>
  <c r="BE158" s="1"/>
  <c r="BQ158"/>
  <c r="BZ158"/>
  <c r="CB158"/>
  <c r="CG158"/>
  <c r="CD158" s="1"/>
  <c r="CH158"/>
  <c r="CU158"/>
  <c r="CW158"/>
  <c r="DA158"/>
  <c r="CS158" s="1"/>
  <c r="DP158"/>
  <c r="Q155" i="45" s="1"/>
  <c r="EF158" i="43"/>
  <c r="EM158"/>
  <c r="FD158"/>
  <c r="FQ158"/>
  <c r="O159"/>
  <c r="Z159" s="1"/>
  <c r="AC159"/>
  <c r="AD159"/>
  <c r="AE159"/>
  <c r="AF159"/>
  <c r="AG159"/>
  <c r="AL159"/>
  <c r="AW159"/>
  <c r="AX159"/>
  <c r="BG159"/>
  <c r="BI159"/>
  <c r="BM159"/>
  <c r="BE159" s="1"/>
  <c r="BZ159"/>
  <c r="CB159"/>
  <c r="CG159"/>
  <c r="CD159" s="1"/>
  <c r="AS159" s="1"/>
  <c r="CH159"/>
  <c r="CU159"/>
  <c r="CW159"/>
  <c r="DA159"/>
  <c r="CS159" s="1"/>
  <c r="DP159"/>
  <c r="Q156" i="45" s="1"/>
  <c r="EF159" i="43"/>
  <c r="EM159"/>
  <c r="FQ159"/>
  <c r="O160"/>
  <c r="AC160"/>
  <c r="AD160"/>
  <c r="AE160"/>
  <c r="AF160"/>
  <c r="AG160"/>
  <c r="AL160"/>
  <c r="AW160"/>
  <c r="AX160"/>
  <c r="BG160"/>
  <c r="BI160"/>
  <c r="BM160"/>
  <c r="BE160" s="1"/>
  <c r="BQ160"/>
  <c r="BZ160"/>
  <c r="CB160"/>
  <c r="CG160"/>
  <c r="CD160" s="1"/>
  <c r="CH160"/>
  <c r="CU160"/>
  <c r="CW160"/>
  <c r="DA160"/>
  <c r="CS160" s="1"/>
  <c r="DP160"/>
  <c r="Q157" i="45" s="1"/>
  <c r="EF160" i="43"/>
  <c r="EM160"/>
  <c r="FQ160"/>
  <c r="O161"/>
  <c r="Z161" s="1"/>
  <c r="AC161"/>
  <c r="AD161"/>
  <c r="AE161"/>
  <c r="AF161"/>
  <c r="AG161"/>
  <c r="AL161"/>
  <c r="AW161"/>
  <c r="AX161"/>
  <c r="BG161"/>
  <c r="BI161"/>
  <c r="BM161"/>
  <c r="BE161" s="1"/>
  <c r="BZ161"/>
  <c r="CB161"/>
  <c r="CG161"/>
  <c r="CH161"/>
  <c r="CU161"/>
  <c r="CW161"/>
  <c r="DA161"/>
  <c r="CS161" s="1"/>
  <c r="DP161"/>
  <c r="Q158" i="45" s="1"/>
  <c r="EF161" i="43"/>
  <c r="EM161"/>
  <c r="FQ161"/>
  <c r="O162"/>
  <c r="AC162"/>
  <c r="AD162"/>
  <c r="AE162"/>
  <c r="AF162"/>
  <c r="AG162"/>
  <c r="AL162"/>
  <c r="AW162"/>
  <c r="AX162"/>
  <c r="BG162"/>
  <c r="BI162"/>
  <c r="BM162"/>
  <c r="BE162" s="1"/>
  <c r="BZ162"/>
  <c r="CB162"/>
  <c r="CG162"/>
  <c r="CD162" s="1"/>
  <c r="CH162"/>
  <c r="CL162"/>
  <c r="CU162"/>
  <c r="CW162"/>
  <c r="DA162"/>
  <c r="CS162" s="1"/>
  <c r="DE162"/>
  <c r="DP162"/>
  <c r="Q159" i="45" s="1"/>
  <c r="EF162" i="43"/>
  <c r="EM162"/>
  <c r="FQ162"/>
  <c r="O163"/>
  <c r="Z163" s="1"/>
  <c r="AC163"/>
  <c r="AD163"/>
  <c r="AE163"/>
  <c r="AF163"/>
  <c r="AG163"/>
  <c r="AL163"/>
  <c r="AW163"/>
  <c r="AX163"/>
  <c r="BG163"/>
  <c r="BI163"/>
  <c r="BM163"/>
  <c r="BE163" s="1"/>
  <c r="BZ163"/>
  <c r="CB163"/>
  <c r="CG163"/>
  <c r="CD163" s="1"/>
  <c r="AS163" s="1"/>
  <c r="CH163"/>
  <c r="CU163"/>
  <c r="CW163"/>
  <c r="DA163"/>
  <c r="CS163" s="1"/>
  <c r="DP163"/>
  <c r="Q160" i="45" s="1"/>
  <c r="EF163" i="43"/>
  <c r="EM163"/>
  <c r="FQ163"/>
  <c r="O164"/>
  <c r="AC164"/>
  <c r="AD164"/>
  <c r="AE164"/>
  <c r="AF164"/>
  <c r="AG164"/>
  <c r="AL164"/>
  <c r="AW164"/>
  <c r="AX164"/>
  <c r="BG164"/>
  <c r="BI164"/>
  <c r="BM164"/>
  <c r="BE164" s="1"/>
  <c r="BZ164"/>
  <c r="CB164"/>
  <c r="CG164"/>
  <c r="CD164" s="1"/>
  <c r="CH164"/>
  <c r="CL164"/>
  <c r="CU164"/>
  <c r="CW164"/>
  <c r="DA164"/>
  <c r="CS164" s="1"/>
  <c r="DE164"/>
  <c r="DP164"/>
  <c r="Q161" i="45" s="1"/>
  <c r="EF164" i="43"/>
  <c r="EM164"/>
  <c r="FQ164"/>
  <c r="O165"/>
  <c r="Z165" s="1"/>
  <c r="AC165"/>
  <c r="AD165"/>
  <c r="AE165"/>
  <c r="AF165"/>
  <c r="AG165"/>
  <c r="AL165"/>
  <c r="AW165"/>
  <c r="AX165"/>
  <c r="BG165"/>
  <c r="BI165"/>
  <c r="BM165"/>
  <c r="BE165" s="1"/>
  <c r="BZ165"/>
  <c r="CB165"/>
  <c r="CG165"/>
  <c r="CH165"/>
  <c r="CU165"/>
  <c r="CW165"/>
  <c r="DA165"/>
  <c r="CS165" s="1"/>
  <c r="DP165"/>
  <c r="EF165"/>
  <c r="EM165"/>
  <c r="FD165"/>
  <c r="FQ165"/>
  <c r="O166"/>
  <c r="AC166"/>
  <c r="AD166"/>
  <c r="AE166"/>
  <c r="AF166"/>
  <c r="AG166"/>
  <c r="AL166"/>
  <c r="AW166"/>
  <c r="AX166"/>
  <c r="BG166"/>
  <c r="BI166"/>
  <c r="BM166"/>
  <c r="BE166" s="1"/>
  <c r="BZ166"/>
  <c r="CB166"/>
  <c r="CG166"/>
  <c r="CD166" s="1"/>
  <c r="CH166"/>
  <c r="CL166"/>
  <c r="CU166"/>
  <c r="CW166"/>
  <c r="DA166"/>
  <c r="CS166" s="1"/>
  <c r="DE166"/>
  <c r="DP166"/>
  <c r="EF166"/>
  <c r="EM166"/>
  <c r="FD166"/>
  <c r="FQ166"/>
  <c r="O167"/>
  <c r="Z167" s="1"/>
  <c r="AC167"/>
  <c r="AD167"/>
  <c r="AE167"/>
  <c r="AF167"/>
  <c r="AG167"/>
  <c r="AL167"/>
  <c r="AW167"/>
  <c r="AX167"/>
  <c r="BG167"/>
  <c r="BI167"/>
  <c r="BM167"/>
  <c r="BE167" s="1"/>
  <c r="BZ167"/>
  <c r="CB167"/>
  <c r="CG167"/>
  <c r="CD167" s="1"/>
  <c r="AS167" s="1"/>
  <c r="CH167"/>
  <c r="CU167"/>
  <c r="CW167"/>
  <c r="DA167"/>
  <c r="CS167" s="1"/>
  <c r="DP167"/>
  <c r="EF167"/>
  <c r="EM167"/>
  <c r="FD167"/>
  <c r="FQ167"/>
  <c r="O168"/>
  <c r="AC168"/>
  <c r="AD168"/>
  <c r="AE168"/>
  <c r="AF168"/>
  <c r="AG168"/>
  <c r="AL168"/>
  <c r="AW168"/>
  <c r="AX168"/>
  <c r="BG168"/>
  <c r="BI168"/>
  <c r="BM168"/>
  <c r="BE168" s="1"/>
  <c r="BZ168"/>
  <c r="CB168"/>
  <c r="CG168"/>
  <c r="CD168" s="1"/>
  <c r="CH168"/>
  <c r="CL168"/>
  <c r="CU168"/>
  <c r="CW168"/>
  <c r="DA168"/>
  <c r="CS168" s="1"/>
  <c r="DE168"/>
  <c r="DP168"/>
  <c r="Q165" i="45" s="1"/>
  <c r="EF168" i="43"/>
  <c r="EM168"/>
  <c r="FD168"/>
  <c r="FQ168"/>
  <c r="O169"/>
  <c r="Z169" s="1"/>
  <c r="AC169"/>
  <c r="AD169"/>
  <c r="AE169"/>
  <c r="AF169"/>
  <c r="AG169"/>
  <c r="AL169"/>
  <c r="AW169"/>
  <c r="AX169"/>
  <c r="BG169"/>
  <c r="BI169"/>
  <c r="BM169"/>
  <c r="BE169" s="1"/>
  <c r="BZ169"/>
  <c r="CB169"/>
  <c r="CG169"/>
  <c r="CH169"/>
  <c r="CU169"/>
  <c r="CW169"/>
  <c r="DA169"/>
  <c r="CS169" s="1"/>
  <c r="DP169"/>
  <c r="EF169"/>
  <c r="EM169"/>
  <c r="FD169"/>
  <c r="FQ169"/>
  <c r="O170"/>
  <c r="AC170"/>
  <c r="AD170"/>
  <c r="AE170"/>
  <c r="AF170"/>
  <c r="AG170"/>
  <c r="AL170"/>
  <c r="AW170"/>
  <c r="AX170"/>
  <c r="BG170"/>
  <c r="BI170"/>
  <c r="BM170"/>
  <c r="BE170" s="1"/>
  <c r="BQ170"/>
  <c r="BZ170"/>
  <c r="CB170"/>
  <c r="CG170"/>
  <c r="CD170" s="1"/>
  <c r="AS170" s="1"/>
  <c r="CH170"/>
  <c r="CU170"/>
  <c r="CW170"/>
  <c r="DA170"/>
  <c r="CS170" s="1"/>
  <c r="DP170"/>
  <c r="EF170"/>
  <c r="EM170"/>
  <c r="FD170"/>
  <c r="FQ170"/>
  <c r="O171"/>
  <c r="AC171"/>
  <c r="AD171"/>
  <c r="AE171"/>
  <c r="AF171"/>
  <c r="AG171"/>
  <c r="AL171"/>
  <c r="AW171"/>
  <c r="AX171"/>
  <c r="BG171"/>
  <c r="BI171"/>
  <c r="BM171"/>
  <c r="BE171" s="1"/>
  <c r="BZ171"/>
  <c r="CB171"/>
  <c r="CG171"/>
  <c r="CH171"/>
  <c r="CU171"/>
  <c r="CW171"/>
  <c r="DA171"/>
  <c r="CS171" s="1"/>
  <c r="DP171"/>
  <c r="EF171"/>
  <c r="EM171"/>
  <c r="FD171"/>
  <c r="FQ171"/>
  <c r="O172"/>
  <c r="AC172"/>
  <c r="AD172"/>
  <c r="AE172"/>
  <c r="AF172"/>
  <c r="AG172"/>
  <c r="AL172"/>
  <c r="AW172"/>
  <c r="AX172"/>
  <c r="BG172"/>
  <c r="BI172"/>
  <c r="BM172"/>
  <c r="BE172" s="1"/>
  <c r="BQ172"/>
  <c r="BZ172"/>
  <c r="CB172"/>
  <c r="CG172"/>
  <c r="CH172"/>
  <c r="CU172"/>
  <c r="CW172"/>
  <c r="DA172"/>
  <c r="CS172" s="1"/>
  <c r="DP172"/>
  <c r="EF172"/>
  <c r="EM172"/>
  <c r="FD172"/>
  <c r="FQ172"/>
  <c r="O173"/>
  <c r="Z173" s="1"/>
  <c r="AC173"/>
  <c r="AD173"/>
  <c r="AE173"/>
  <c r="AF173"/>
  <c r="AG173"/>
  <c r="AL173"/>
  <c r="AW173"/>
  <c r="AX173"/>
  <c r="BG173"/>
  <c r="BI173"/>
  <c r="BM173"/>
  <c r="BE173" s="1"/>
  <c r="BZ173"/>
  <c r="CB173"/>
  <c r="CG173"/>
  <c r="CD173" s="1"/>
  <c r="CH173"/>
  <c r="CL173"/>
  <c r="CU173"/>
  <c r="CW173"/>
  <c r="DA173"/>
  <c r="CS173" s="1"/>
  <c r="DE173"/>
  <c r="DP173"/>
  <c r="EF173"/>
  <c r="EM173"/>
  <c r="FD173"/>
  <c r="FQ173"/>
  <c r="O174"/>
  <c r="Z174" s="1"/>
  <c r="AC174"/>
  <c r="AD174"/>
  <c r="AE174"/>
  <c r="AF174"/>
  <c r="AG174"/>
  <c r="AL174"/>
  <c r="AW174"/>
  <c r="AX174"/>
  <c r="BG174"/>
  <c r="BI174"/>
  <c r="BM174"/>
  <c r="BE174" s="1"/>
  <c r="BZ174"/>
  <c r="CB174"/>
  <c r="CG174"/>
  <c r="CH174"/>
  <c r="CL174"/>
  <c r="CU174"/>
  <c r="CW174"/>
  <c r="DA174"/>
  <c r="CS174" s="1"/>
  <c r="DE174"/>
  <c r="DP174"/>
  <c r="EF174"/>
  <c r="EM174"/>
  <c r="FD174"/>
  <c r="FQ174"/>
  <c r="O175"/>
  <c r="AC175"/>
  <c r="AD175"/>
  <c r="AE175"/>
  <c r="AF175"/>
  <c r="AG175"/>
  <c r="AL175"/>
  <c r="AW175"/>
  <c r="AX175"/>
  <c r="BG175"/>
  <c r="BI175"/>
  <c r="BM175"/>
  <c r="BE175" s="1"/>
  <c r="BZ175"/>
  <c r="CB175"/>
  <c r="CG175"/>
  <c r="CH175"/>
  <c r="CL175"/>
  <c r="CU175"/>
  <c r="CW175"/>
  <c r="DA175"/>
  <c r="CS175" s="1"/>
  <c r="DE175"/>
  <c r="DP175"/>
  <c r="EF175"/>
  <c r="EM175"/>
  <c r="FD175"/>
  <c r="FQ175"/>
  <c r="O176"/>
  <c r="Z176" s="1"/>
  <c r="AC176"/>
  <c r="AD176"/>
  <c r="AE176"/>
  <c r="AF176"/>
  <c r="AG176"/>
  <c r="AL176"/>
  <c r="AW176"/>
  <c r="AX176"/>
  <c r="BG176"/>
  <c r="BI176"/>
  <c r="BM176"/>
  <c r="BE176" s="1"/>
  <c r="BZ176"/>
  <c r="CB176"/>
  <c r="CG176"/>
  <c r="CH176"/>
  <c r="CU176"/>
  <c r="CW176"/>
  <c r="DA176"/>
  <c r="CS176" s="1"/>
  <c r="DP176"/>
  <c r="EF176"/>
  <c r="EM176"/>
  <c r="FD176"/>
  <c r="FQ176"/>
  <c r="O177"/>
  <c r="Z177" s="1"/>
  <c r="AC177"/>
  <c r="AD177"/>
  <c r="AE177"/>
  <c r="AF177"/>
  <c r="AG177"/>
  <c r="AL177"/>
  <c r="AW177"/>
  <c r="AX177"/>
  <c r="BG177"/>
  <c r="BI177"/>
  <c r="BM177"/>
  <c r="BE177" s="1"/>
  <c r="BZ177"/>
  <c r="CB177"/>
  <c r="CG177"/>
  <c r="CD177" s="1"/>
  <c r="CH177"/>
  <c r="CL177"/>
  <c r="CU177"/>
  <c r="CW177"/>
  <c r="DA177"/>
  <c r="CS177" s="1"/>
  <c r="DE177"/>
  <c r="DP177"/>
  <c r="EF177"/>
  <c r="EM177"/>
  <c r="FD177"/>
  <c r="FQ177"/>
  <c r="O178"/>
  <c r="CL178" s="1"/>
  <c r="AC178"/>
  <c r="AD178"/>
  <c r="AE178"/>
  <c r="AF178"/>
  <c r="AG178"/>
  <c r="AL178"/>
  <c r="AW178"/>
  <c r="AX178"/>
  <c r="BG178"/>
  <c r="BI178"/>
  <c r="BM178"/>
  <c r="BE178" s="1"/>
  <c r="BZ178"/>
  <c r="CB178"/>
  <c r="CG178"/>
  <c r="CH178"/>
  <c r="CU178"/>
  <c r="CW178"/>
  <c r="DA178"/>
  <c r="CS178" s="1"/>
  <c r="DP178"/>
  <c r="EF178"/>
  <c r="EM178"/>
  <c r="FD178"/>
  <c r="FQ178"/>
  <c r="O179"/>
  <c r="AC179"/>
  <c r="AD179"/>
  <c r="AE179"/>
  <c r="AF179"/>
  <c r="AG179"/>
  <c r="AL179"/>
  <c r="AW179"/>
  <c r="AX179"/>
  <c r="BG179"/>
  <c r="BI179"/>
  <c r="BM179"/>
  <c r="BE179" s="1"/>
  <c r="BZ179"/>
  <c r="CB179"/>
  <c r="CG179"/>
  <c r="CD179" s="1"/>
  <c r="AS179" s="1"/>
  <c r="CH179"/>
  <c r="CL179"/>
  <c r="CU179"/>
  <c r="CW179"/>
  <c r="DA179"/>
  <c r="CS179" s="1"/>
  <c r="DE179"/>
  <c r="DP179"/>
  <c r="EF179"/>
  <c r="EM179"/>
  <c r="FD179"/>
  <c r="FQ179"/>
  <c r="O180"/>
  <c r="Z180" s="1"/>
  <c r="AC180"/>
  <c r="AD180"/>
  <c r="AE180"/>
  <c r="AF180"/>
  <c r="AG180"/>
  <c r="AL180"/>
  <c r="AW180"/>
  <c r="AX180"/>
  <c r="BG180"/>
  <c r="BI180"/>
  <c r="BM180"/>
  <c r="BE180" s="1"/>
  <c r="BZ180"/>
  <c r="CB180"/>
  <c r="CG180"/>
  <c r="CH180"/>
  <c r="CU180"/>
  <c r="CW180"/>
  <c r="DA180"/>
  <c r="CS180" s="1"/>
  <c r="DP180"/>
  <c r="EF180"/>
  <c r="EM180"/>
  <c r="FD180"/>
  <c r="FQ180"/>
  <c r="O181"/>
  <c r="AC181"/>
  <c r="AD181"/>
  <c r="AE181"/>
  <c r="AF181"/>
  <c r="AG181"/>
  <c r="AL181"/>
  <c r="AW181"/>
  <c r="AX181"/>
  <c r="BG181"/>
  <c r="BI181"/>
  <c r="BM181"/>
  <c r="BE181" s="1"/>
  <c r="BZ181"/>
  <c r="CB181"/>
  <c r="CG181"/>
  <c r="CD181" s="1"/>
  <c r="CH181"/>
  <c r="CU181"/>
  <c r="CW181"/>
  <c r="DA181"/>
  <c r="CS181" s="1"/>
  <c r="DP181"/>
  <c r="EF181"/>
  <c r="EM181"/>
  <c r="FD181"/>
  <c r="FQ181"/>
  <c r="O182"/>
  <c r="AC182"/>
  <c r="AD182"/>
  <c r="AE182"/>
  <c r="AF182"/>
  <c r="AG182"/>
  <c r="AL182"/>
  <c r="AW182"/>
  <c r="AX182"/>
  <c r="BG182"/>
  <c r="BI182"/>
  <c r="BM182"/>
  <c r="BE182" s="1"/>
  <c r="BZ182"/>
  <c r="CB182"/>
  <c r="CG182"/>
  <c r="CH182"/>
  <c r="CU182"/>
  <c r="CW182"/>
  <c r="DA182"/>
  <c r="CS182" s="1"/>
  <c r="DP182"/>
  <c r="EF182"/>
  <c r="EM182"/>
  <c r="FD182"/>
  <c r="FQ182"/>
  <c r="O183"/>
  <c r="AC183"/>
  <c r="AD183"/>
  <c r="AE183"/>
  <c r="AF183"/>
  <c r="AG183"/>
  <c r="AL183"/>
  <c r="AW183"/>
  <c r="AX183"/>
  <c r="BG183"/>
  <c r="BI183"/>
  <c r="BM183"/>
  <c r="BE183" s="1"/>
  <c r="BZ183"/>
  <c r="CB183"/>
  <c r="CG183"/>
  <c r="CD183" s="1"/>
  <c r="CH183"/>
  <c r="CL183"/>
  <c r="CU183"/>
  <c r="CW183"/>
  <c r="DA183"/>
  <c r="CS183" s="1"/>
  <c r="DE183"/>
  <c r="DP183"/>
  <c r="EF183"/>
  <c r="EM183"/>
  <c r="FD183"/>
  <c r="FQ183"/>
  <c r="O184"/>
  <c r="Z184" s="1"/>
  <c r="AC184"/>
  <c r="AD184"/>
  <c r="AE184"/>
  <c r="AF184"/>
  <c r="AG184"/>
  <c r="AL184"/>
  <c r="AW184"/>
  <c r="AX184"/>
  <c r="BG184"/>
  <c r="BI184"/>
  <c r="BM184"/>
  <c r="BE184" s="1"/>
  <c r="BZ184"/>
  <c r="CB184"/>
  <c r="CG184"/>
  <c r="CH184"/>
  <c r="CU184"/>
  <c r="CW184"/>
  <c r="DA184"/>
  <c r="CS184" s="1"/>
  <c r="DP184"/>
  <c r="EF184"/>
  <c r="EM184"/>
  <c r="FD184"/>
  <c r="FQ184"/>
  <c r="O185"/>
  <c r="Z185" s="1"/>
  <c r="AC185"/>
  <c r="AD185"/>
  <c r="AE185"/>
  <c r="AF185"/>
  <c r="AG185"/>
  <c r="AL185"/>
  <c r="AW185"/>
  <c r="AX185"/>
  <c r="BG185"/>
  <c r="BI185"/>
  <c r="BM185"/>
  <c r="BE185" s="1"/>
  <c r="BZ185"/>
  <c r="CB185"/>
  <c r="CG185"/>
  <c r="CD185" s="1"/>
  <c r="CH185"/>
  <c r="CL185"/>
  <c r="CU185"/>
  <c r="CW185"/>
  <c r="DA185"/>
  <c r="CS185" s="1"/>
  <c r="DE185"/>
  <c r="DP185"/>
  <c r="EF185"/>
  <c r="EM185"/>
  <c r="FD185"/>
  <c r="FQ185"/>
  <c r="O186"/>
  <c r="Z186" s="1"/>
  <c r="AC186"/>
  <c r="AD186"/>
  <c r="AE186"/>
  <c r="AF186"/>
  <c r="AG186"/>
  <c r="AL186"/>
  <c r="AW186"/>
  <c r="AX186"/>
  <c r="BG186"/>
  <c r="BI186"/>
  <c r="BM186"/>
  <c r="BE186" s="1"/>
  <c r="BZ186"/>
  <c r="CB186"/>
  <c r="CG186"/>
  <c r="CH186"/>
  <c r="CL186"/>
  <c r="CU186"/>
  <c r="CW186"/>
  <c r="DA186"/>
  <c r="CS186" s="1"/>
  <c r="DE186"/>
  <c r="DP186"/>
  <c r="EF186"/>
  <c r="EM186"/>
  <c r="FD186"/>
  <c r="FQ186"/>
  <c r="O187"/>
  <c r="AC187"/>
  <c r="AD187"/>
  <c r="AE187"/>
  <c r="AF187"/>
  <c r="AG187"/>
  <c r="AL187"/>
  <c r="AW187"/>
  <c r="AX187"/>
  <c r="BG187"/>
  <c r="BI187"/>
  <c r="BM187"/>
  <c r="BE187" s="1"/>
  <c r="BZ187"/>
  <c r="CB187"/>
  <c r="CG187"/>
  <c r="CD187" s="1"/>
  <c r="CH187"/>
  <c r="CL187"/>
  <c r="CU187"/>
  <c r="CW187"/>
  <c r="DA187"/>
  <c r="CS187" s="1"/>
  <c r="DE187"/>
  <c r="DP187"/>
  <c r="EF187"/>
  <c r="EM187"/>
  <c r="FD187"/>
  <c r="FQ187"/>
  <c r="O188"/>
  <c r="Z188" s="1"/>
  <c r="AC188"/>
  <c r="AD188"/>
  <c r="AE188"/>
  <c r="AF188"/>
  <c r="AG188"/>
  <c r="AL188"/>
  <c r="AW188"/>
  <c r="AX188"/>
  <c r="BG188"/>
  <c r="BI188"/>
  <c r="BM188"/>
  <c r="BE188" s="1"/>
  <c r="BZ188"/>
  <c r="CB188"/>
  <c r="CG188"/>
  <c r="CH188"/>
  <c r="CU188"/>
  <c r="CW188"/>
  <c r="DA188"/>
  <c r="CS188" s="1"/>
  <c r="DP188"/>
  <c r="EF188"/>
  <c r="EM188"/>
  <c r="FD188"/>
  <c r="FQ188"/>
  <c r="O189"/>
  <c r="Z189" s="1"/>
  <c r="AC189"/>
  <c r="AD189"/>
  <c r="AE189"/>
  <c r="AF189"/>
  <c r="AG189"/>
  <c r="AL189"/>
  <c r="AW189"/>
  <c r="AX189"/>
  <c r="BG189"/>
  <c r="BI189"/>
  <c r="BM189"/>
  <c r="BE189" s="1"/>
  <c r="BZ189"/>
  <c r="CB189"/>
  <c r="CG189"/>
  <c r="CD189" s="1"/>
  <c r="CH189"/>
  <c r="CL189"/>
  <c r="CU189"/>
  <c r="CW189"/>
  <c r="DA189"/>
  <c r="CS189" s="1"/>
  <c r="DE189"/>
  <c r="DP189"/>
  <c r="EF189"/>
  <c r="EM189"/>
  <c r="FD189"/>
  <c r="FQ189"/>
  <c r="O190"/>
  <c r="AC190"/>
  <c r="AD190"/>
  <c r="AE190"/>
  <c r="AF190"/>
  <c r="AG190"/>
  <c r="AL190"/>
  <c r="AW190"/>
  <c r="AX190"/>
  <c r="BG190"/>
  <c r="BI190"/>
  <c r="BM190"/>
  <c r="BE190" s="1"/>
  <c r="BZ190"/>
  <c r="CB190"/>
  <c r="CG190"/>
  <c r="CH190"/>
  <c r="CU190"/>
  <c r="CW190"/>
  <c r="DA190"/>
  <c r="CS190" s="1"/>
  <c r="DP190"/>
  <c r="EF190"/>
  <c r="EM190"/>
  <c r="FD190"/>
  <c r="FQ190"/>
  <c r="O191"/>
  <c r="AC191"/>
  <c r="AD191"/>
  <c r="AE191"/>
  <c r="AF191"/>
  <c r="AG191"/>
  <c r="AL191"/>
  <c r="AW191"/>
  <c r="AX191"/>
  <c r="BG191"/>
  <c r="BI191"/>
  <c r="BM191"/>
  <c r="BE191" s="1"/>
  <c r="BZ191"/>
  <c r="CB191"/>
  <c r="CG191"/>
  <c r="CD191" s="1"/>
  <c r="CH191"/>
  <c r="CL191"/>
  <c r="CU191"/>
  <c r="CW191"/>
  <c r="DA191"/>
  <c r="CS191" s="1"/>
  <c r="DE191"/>
  <c r="DP191"/>
  <c r="EF191"/>
  <c r="EM191"/>
  <c r="FD191"/>
  <c r="FQ191"/>
  <c r="O192"/>
  <c r="Z192" s="1"/>
  <c r="AC192"/>
  <c r="AD192"/>
  <c r="AE192"/>
  <c r="AF192"/>
  <c r="AG192"/>
  <c r="AL192"/>
  <c r="AW192"/>
  <c r="AX192"/>
  <c r="BG192"/>
  <c r="BI192"/>
  <c r="BM192"/>
  <c r="BE192" s="1"/>
  <c r="BZ192"/>
  <c r="CB192"/>
  <c r="CG192"/>
  <c r="CH192"/>
  <c r="CU192"/>
  <c r="CW192"/>
  <c r="DA192"/>
  <c r="CS192" s="1"/>
  <c r="DP192"/>
  <c r="EF192"/>
  <c r="EM192"/>
  <c r="FD192"/>
  <c r="FQ192"/>
  <c r="O193"/>
  <c r="Z193" s="1"/>
  <c r="AC193"/>
  <c r="AD193"/>
  <c r="AE193"/>
  <c r="AF193"/>
  <c r="AG193"/>
  <c r="AL193"/>
  <c r="AW193"/>
  <c r="AX193"/>
  <c r="BG193"/>
  <c r="BI193"/>
  <c r="BM193"/>
  <c r="BE193" s="1"/>
  <c r="BZ193"/>
  <c r="CB193"/>
  <c r="CG193"/>
  <c r="CD193" s="1"/>
  <c r="CH193"/>
  <c r="CL193"/>
  <c r="CU193"/>
  <c r="CW193"/>
  <c r="DA193"/>
  <c r="CS193" s="1"/>
  <c r="DE193"/>
  <c r="DP193"/>
  <c r="EF193"/>
  <c r="EM193"/>
  <c r="FD193"/>
  <c r="FQ193"/>
  <c r="O194"/>
  <c r="Z194" s="1"/>
  <c r="AC194"/>
  <c r="AD194"/>
  <c r="AE194"/>
  <c r="AF194"/>
  <c r="AG194"/>
  <c r="AL194"/>
  <c r="AW194"/>
  <c r="AX194"/>
  <c r="BG194"/>
  <c r="BI194"/>
  <c r="BM194"/>
  <c r="BE194" s="1"/>
  <c r="BZ194"/>
  <c r="CB194"/>
  <c r="CG194"/>
  <c r="CH194"/>
  <c r="CL194"/>
  <c r="CU194"/>
  <c r="CW194"/>
  <c r="DA194"/>
  <c r="CS194" s="1"/>
  <c r="DE194"/>
  <c r="DP194"/>
  <c r="EF194"/>
  <c r="U194" s="1"/>
  <c r="EM194"/>
  <c r="FD194"/>
  <c r="FQ194"/>
  <c r="O195"/>
  <c r="AC195"/>
  <c r="AD195"/>
  <c r="AE195"/>
  <c r="AF195"/>
  <c r="AG195"/>
  <c r="AL195"/>
  <c r="AW195"/>
  <c r="AX195"/>
  <c r="BG195"/>
  <c r="BI195"/>
  <c r="BM195"/>
  <c r="BE195" s="1"/>
  <c r="BQ195"/>
  <c r="BZ195"/>
  <c r="CB195"/>
  <c r="CG195"/>
  <c r="CH195"/>
  <c r="CU195"/>
  <c r="CW195"/>
  <c r="DA195"/>
  <c r="CS195" s="1"/>
  <c r="DP195"/>
  <c r="EF195"/>
  <c r="U195" s="1"/>
  <c r="EM195"/>
  <c r="FD195"/>
  <c r="FQ195"/>
  <c r="O196"/>
  <c r="AC196"/>
  <c r="AD196"/>
  <c r="AE196"/>
  <c r="AF196"/>
  <c r="AG196"/>
  <c r="AL196"/>
  <c r="AW196"/>
  <c r="AX196"/>
  <c r="BG196"/>
  <c r="BI196"/>
  <c r="BM196"/>
  <c r="BE196" s="1"/>
  <c r="BZ196"/>
  <c r="CB196"/>
  <c r="CG196"/>
  <c r="CH196"/>
  <c r="CU196"/>
  <c r="CW196"/>
  <c r="DA196"/>
  <c r="CS196" s="1"/>
  <c r="DP196"/>
  <c r="EF196"/>
  <c r="EM196"/>
  <c r="FD196"/>
  <c r="FQ196"/>
  <c r="O197"/>
  <c r="AC197"/>
  <c r="AD197"/>
  <c r="AE197"/>
  <c r="AF197"/>
  <c r="AG197"/>
  <c r="AL197"/>
  <c r="AW197"/>
  <c r="AX197"/>
  <c r="BG197"/>
  <c r="BI197"/>
  <c r="BM197"/>
  <c r="BE197" s="1"/>
  <c r="BZ197"/>
  <c r="CB197"/>
  <c r="CG197"/>
  <c r="CD197" s="1"/>
  <c r="CH197"/>
  <c r="CU197"/>
  <c r="CW197"/>
  <c r="DA197"/>
  <c r="CS197" s="1"/>
  <c r="DP197"/>
  <c r="EF197"/>
  <c r="EM197"/>
  <c r="FD197"/>
  <c r="FQ197"/>
  <c r="O198"/>
  <c r="Z198" s="1"/>
  <c r="AC198"/>
  <c r="AD198"/>
  <c r="AE198"/>
  <c r="AF198"/>
  <c r="AG198"/>
  <c r="AL198"/>
  <c r="AW198"/>
  <c r="AX198"/>
  <c r="BG198"/>
  <c r="BI198"/>
  <c r="BM198"/>
  <c r="BE198" s="1"/>
  <c r="BZ198"/>
  <c r="CB198"/>
  <c r="CG198"/>
  <c r="CD198" s="1"/>
  <c r="AS198" s="1"/>
  <c r="CH198"/>
  <c r="CL198"/>
  <c r="CU198"/>
  <c r="CW198"/>
  <c r="DA198"/>
  <c r="CS198" s="1"/>
  <c r="DE198"/>
  <c r="DP198"/>
  <c r="EF198"/>
  <c r="EM198"/>
  <c r="FD198"/>
  <c r="FQ198"/>
  <c r="O199"/>
  <c r="AC199"/>
  <c r="AD199"/>
  <c r="AE199"/>
  <c r="AF199"/>
  <c r="AG199"/>
  <c r="AL199"/>
  <c r="AW199"/>
  <c r="AX199"/>
  <c r="BG199"/>
  <c r="BI199"/>
  <c r="BM199"/>
  <c r="BE199" s="1"/>
  <c r="BZ199"/>
  <c r="CB199"/>
  <c r="CG199"/>
  <c r="CH199"/>
  <c r="CL199"/>
  <c r="CU199"/>
  <c r="CW199"/>
  <c r="DA199"/>
  <c r="CS199" s="1"/>
  <c r="DE199"/>
  <c r="DP199"/>
  <c r="EF199"/>
  <c r="EM199"/>
  <c r="FD199"/>
  <c r="FQ199"/>
  <c r="O200"/>
  <c r="BQ200" s="1"/>
  <c r="AC200"/>
  <c r="AD200"/>
  <c r="AE200"/>
  <c r="AF200"/>
  <c r="AG200"/>
  <c r="AL200"/>
  <c r="AW200"/>
  <c r="AX200"/>
  <c r="BG200"/>
  <c r="BI200"/>
  <c r="BM200"/>
  <c r="BE200" s="1"/>
  <c r="BZ200"/>
  <c r="CB200"/>
  <c r="CG200"/>
  <c r="CD200" s="1"/>
  <c r="CH200"/>
  <c r="CU200"/>
  <c r="CW200"/>
  <c r="DA200"/>
  <c r="CS200" s="1"/>
  <c r="DP200"/>
  <c r="EF200"/>
  <c r="EM200"/>
  <c r="FD200"/>
  <c r="FQ200"/>
  <c r="O201"/>
  <c r="AC201"/>
  <c r="AD201"/>
  <c r="AE201"/>
  <c r="AF201"/>
  <c r="AG201"/>
  <c r="AL201"/>
  <c r="AW201"/>
  <c r="AX201"/>
  <c r="BG201"/>
  <c r="BI201"/>
  <c r="BM201"/>
  <c r="BE201" s="1"/>
  <c r="BZ201"/>
  <c r="CB201"/>
  <c r="CG201"/>
  <c r="CH201"/>
  <c r="CL201"/>
  <c r="CU201"/>
  <c r="CW201"/>
  <c r="DA201"/>
  <c r="CS201" s="1"/>
  <c r="DE201"/>
  <c r="DP201"/>
  <c r="EF201"/>
  <c r="EM201"/>
  <c r="FD201"/>
  <c r="FQ201"/>
  <c r="O202"/>
  <c r="Z202" s="1"/>
  <c r="AC202"/>
  <c r="AD202"/>
  <c r="AE202"/>
  <c r="AF202"/>
  <c r="AG202"/>
  <c r="AL202"/>
  <c r="AW202"/>
  <c r="AX202"/>
  <c r="BG202"/>
  <c r="BI202"/>
  <c r="BM202"/>
  <c r="BE202" s="1"/>
  <c r="BZ202"/>
  <c r="CB202"/>
  <c r="CG202"/>
  <c r="CD202" s="1"/>
  <c r="CH202"/>
  <c r="CU202"/>
  <c r="CW202"/>
  <c r="DA202"/>
  <c r="CS202" s="1"/>
  <c r="DP202"/>
  <c r="EF202"/>
  <c r="EM202"/>
  <c r="FD202"/>
  <c r="FQ202"/>
  <c r="O203"/>
  <c r="BQ203" s="1"/>
  <c r="AC203"/>
  <c r="AD203"/>
  <c r="AE203"/>
  <c r="AF203"/>
  <c r="AG203"/>
  <c r="AL203"/>
  <c r="AW203"/>
  <c r="AX203"/>
  <c r="BG203"/>
  <c r="BI203"/>
  <c r="BM203"/>
  <c r="BE203" s="1"/>
  <c r="BZ203"/>
  <c r="CB203"/>
  <c r="CG203"/>
  <c r="CD203" s="1"/>
  <c r="CH203"/>
  <c r="CU203"/>
  <c r="CW203"/>
  <c r="DA203"/>
  <c r="CS203" s="1"/>
  <c r="DP203"/>
  <c r="EF203"/>
  <c r="EM203"/>
  <c r="FD203"/>
  <c r="FQ203"/>
  <c r="O204"/>
  <c r="AC204"/>
  <c r="AD204"/>
  <c r="AE204"/>
  <c r="AF204"/>
  <c r="AG204"/>
  <c r="AL204"/>
  <c r="AW204"/>
  <c r="AX204"/>
  <c r="BG204"/>
  <c r="BI204"/>
  <c r="BM204"/>
  <c r="BE204" s="1"/>
  <c r="BZ204"/>
  <c r="CB204"/>
  <c r="CG204"/>
  <c r="CD204" s="1"/>
  <c r="CH204"/>
  <c r="CL204"/>
  <c r="CU204"/>
  <c r="CW204"/>
  <c r="DA204"/>
  <c r="CS204" s="1"/>
  <c r="DE204"/>
  <c r="DP204"/>
  <c r="EF204"/>
  <c r="EM204"/>
  <c r="FD204"/>
  <c r="FQ204"/>
  <c r="O205"/>
  <c r="Z205" s="1"/>
  <c r="AC205"/>
  <c r="AD205"/>
  <c r="AE205"/>
  <c r="AF205"/>
  <c r="AG205"/>
  <c r="AL205"/>
  <c r="AW205"/>
  <c r="AX205"/>
  <c r="BG205"/>
  <c r="BI205"/>
  <c r="BM205"/>
  <c r="BE205" s="1"/>
  <c r="BZ205"/>
  <c r="CB205"/>
  <c r="CG205"/>
  <c r="CH205"/>
  <c r="CU205"/>
  <c r="CW205"/>
  <c r="DA205"/>
  <c r="CS205" s="1"/>
  <c r="DP205"/>
  <c r="EF205"/>
  <c r="EM205"/>
  <c r="FD205"/>
  <c r="FQ205"/>
  <c r="O206"/>
  <c r="BQ206" s="1"/>
  <c r="AC206"/>
  <c r="AD206"/>
  <c r="AE206"/>
  <c r="AF206"/>
  <c r="AG206"/>
  <c r="AL206"/>
  <c r="AW206"/>
  <c r="AX206"/>
  <c r="BG206"/>
  <c r="BI206"/>
  <c r="BM206"/>
  <c r="BE206" s="1"/>
  <c r="BZ206"/>
  <c r="CB206"/>
  <c r="CG206"/>
  <c r="CD206" s="1"/>
  <c r="CH206"/>
  <c r="CU206"/>
  <c r="CW206"/>
  <c r="DA206"/>
  <c r="CS206" s="1"/>
  <c r="DP206"/>
  <c r="EF206"/>
  <c r="EM206"/>
  <c r="FD206"/>
  <c r="FQ206"/>
  <c r="O207"/>
  <c r="Z207" s="1"/>
  <c r="AC207"/>
  <c r="AD207"/>
  <c r="AE207"/>
  <c r="AF207"/>
  <c r="AG207"/>
  <c r="AL207"/>
  <c r="AW207"/>
  <c r="AX207"/>
  <c r="BG207"/>
  <c r="BI207"/>
  <c r="BM207"/>
  <c r="BE207" s="1"/>
  <c r="BZ207"/>
  <c r="CB207"/>
  <c r="CG207"/>
  <c r="CD207" s="1"/>
  <c r="AS207" s="1"/>
  <c r="CH207"/>
  <c r="CU207"/>
  <c r="CW207"/>
  <c r="DA207"/>
  <c r="CS207" s="1"/>
  <c r="DP207"/>
  <c r="EF207"/>
  <c r="EM207"/>
  <c r="FD207"/>
  <c r="FQ207"/>
  <c r="O208"/>
  <c r="BQ208" s="1"/>
  <c r="AC208"/>
  <c r="AD208"/>
  <c r="AE208"/>
  <c r="AF208"/>
  <c r="AG208"/>
  <c r="AL208"/>
  <c r="AW208"/>
  <c r="AX208"/>
  <c r="BG208"/>
  <c r="BI208"/>
  <c r="BM208"/>
  <c r="BE208" s="1"/>
  <c r="BZ208"/>
  <c r="CB208"/>
  <c r="CG208"/>
  <c r="CD208" s="1"/>
  <c r="CH208"/>
  <c r="CU208"/>
  <c r="CW208"/>
  <c r="DA208"/>
  <c r="CS208" s="1"/>
  <c r="DP208"/>
  <c r="EF208"/>
  <c r="EM208"/>
  <c r="FD208"/>
  <c r="FQ208"/>
  <c r="O209"/>
  <c r="Z209" s="1"/>
  <c r="AC209"/>
  <c r="AD209"/>
  <c r="AE209"/>
  <c r="AF209"/>
  <c r="AG209"/>
  <c r="AL209"/>
  <c r="AW209"/>
  <c r="AX209"/>
  <c r="BG209"/>
  <c r="BI209"/>
  <c r="BM209"/>
  <c r="BE209" s="1"/>
  <c r="BZ209"/>
  <c r="CB209"/>
  <c r="CG209"/>
  <c r="CH209"/>
  <c r="CU209"/>
  <c r="CW209"/>
  <c r="DA209"/>
  <c r="CS209" s="1"/>
  <c r="DP209"/>
  <c r="EF209"/>
  <c r="EM209"/>
  <c r="FD209"/>
  <c r="FQ209"/>
  <c r="O210"/>
  <c r="BQ210" s="1"/>
  <c r="AC210"/>
  <c r="AD210"/>
  <c r="AE210"/>
  <c r="AF210"/>
  <c r="AG210"/>
  <c r="AL210"/>
  <c r="AW210"/>
  <c r="AX210"/>
  <c r="BG210"/>
  <c r="BI210"/>
  <c r="BM210"/>
  <c r="BE210" s="1"/>
  <c r="BZ210"/>
  <c r="CB210"/>
  <c r="CG210"/>
  <c r="CD210" s="1"/>
  <c r="CH210"/>
  <c r="CU210"/>
  <c r="CW210"/>
  <c r="DA210"/>
  <c r="CS210" s="1"/>
  <c r="DP210"/>
  <c r="EF210"/>
  <c r="EM210"/>
  <c r="FD210"/>
  <c r="FQ210"/>
  <c r="O211"/>
  <c r="Z211" s="1"/>
  <c r="AC211"/>
  <c r="AD211"/>
  <c r="AE211"/>
  <c r="AF211"/>
  <c r="AG211"/>
  <c r="AL211"/>
  <c r="AW211"/>
  <c r="AX211"/>
  <c r="BG211"/>
  <c r="BI211"/>
  <c r="BM211"/>
  <c r="BE211" s="1"/>
  <c r="BZ211"/>
  <c r="CB211"/>
  <c r="CG211"/>
  <c r="CD211" s="1"/>
  <c r="AS211" s="1"/>
  <c r="CH211"/>
  <c r="CU211"/>
  <c r="CW211"/>
  <c r="DA211"/>
  <c r="CS211" s="1"/>
  <c r="DP211"/>
  <c r="EF211"/>
  <c r="EM211"/>
  <c r="FD211"/>
  <c r="FQ211"/>
  <c r="O212"/>
  <c r="AC212"/>
  <c r="AD212"/>
  <c r="AE212"/>
  <c r="AF212"/>
  <c r="AG212"/>
  <c r="AL212"/>
  <c r="AW212"/>
  <c r="AX212"/>
  <c r="BG212"/>
  <c r="BI212"/>
  <c r="BM212"/>
  <c r="BE212" s="1"/>
  <c r="BQ212"/>
  <c r="BZ212"/>
  <c r="CB212"/>
  <c r="CG212"/>
  <c r="CD212" s="1"/>
  <c r="CH212"/>
  <c r="CU212"/>
  <c r="CW212"/>
  <c r="DA212"/>
  <c r="CS212" s="1"/>
  <c r="DP212"/>
  <c r="EF212"/>
  <c r="EM212"/>
  <c r="FD212"/>
  <c r="FQ212"/>
  <c r="O213"/>
  <c r="Z213" s="1"/>
  <c r="AC213"/>
  <c r="AD213"/>
  <c r="AE213"/>
  <c r="AF213"/>
  <c r="AG213"/>
  <c r="AL213"/>
  <c r="AW213"/>
  <c r="AX213"/>
  <c r="BG213"/>
  <c r="BI213"/>
  <c r="BM213"/>
  <c r="BE213" s="1"/>
  <c r="BZ213"/>
  <c r="CB213"/>
  <c r="CG213"/>
  <c r="CH213"/>
  <c r="CU213"/>
  <c r="CW213"/>
  <c r="DA213"/>
  <c r="CS213" s="1"/>
  <c r="DP213"/>
  <c r="EM213"/>
  <c r="FD213"/>
  <c r="FQ213"/>
  <c r="O214"/>
  <c r="AC214"/>
  <c r="AD214"/>
  <c r="AE214"/>
  <c r="AF214"/>
  <c r="AG214"/>
  <c r="AL214"/>
  <c r="AW214"/>
  <c r="AX214"/>
  <c r="BG214"/>
  <c r="BI214"/>
  <c r="BM214"/>
  <c r="BE214" s="1"/>
  <c r="BQ214"/>
  <c r="BZ214"/>
  <c r="CB214"/>
  <c r="CG214"/>
  <c r="CD214" s="1"/>
  <c r="CH214"/>
  <c r="CU214"/>
  <c r="CW214"/>
  <c r="DA214"/>
  <c r="CS214" s="1"/>
  <c r="DP214"/>
  <c r="EM214"/>
  <c r="FD214"/>
  <c r="FQ214"/>
  <c r="O215"/>
  <c r="Z215" s="1"/>
  <c r="AC215"/>
  <c r="AD215"/>
  <c r="AE215"/>
  <c r="AF215"/>
  <c r="AG215"/>
  <c r="AL215"/>
  <c r="AW215"/>
  <c r="AX215"/>
  <c r="BG215"/>
  <c r="BI215"/>
  <c r="BM215"/>
  <c r="BE215" s="1"/>
  <c r="BZ215"/>
  <c r="CB215"/>
  <c r="CG215"/>
  <c r="CD215" s="1"/>
  <c r="AS215" s="1"/>
  <c r="CH215"/>
  <c r="CU215"/>
  <c r="CW215"/>
  <c r="DA215"/>
  <c r="CS215" s="1"/>
  <c r="DP215"/>
  <c r="EM215"/>
  <c r="FD215"/>
  <c r="FQ215"/>
  <c r="O216"/>
  <c r="AC216"/>
  <c r="AD216"/>
  <c r="AE216"/>
  <c r="AF216"/>
  <c r="AG216"/>
  <c r="AL216"/>
  <c r="AW216"/>
  <c r="AX216"/>
  <c r="BG216"/>
  <c r="BI216"/>
  <c r="BM216"/>
  <c r="BE216" s="1"/>
  <c r="BQ216"/>
  <c r="BZ216"/>
  <c r="CB216"/>
  <c r="CG216"/>
  <c r="CD216" s="1"/>
  <c r="CH216"/>
  <c r="CU216"/>
  <c r="CW216"/>
  <c r="DA216"/>
  <c r="CS216" s="1"/>
  <c r="DP216"/>
  <c r="EM216"/>
  <c r="FD216"/>
  <c r="FQ216"/>
  <c r="O217"/>
  <c r="Z217" s="1"/>
  <c r="AC217"/>
  <c r="AD217"/>
  <c r="AE217"/>
  <c r="AF217"/>
  <c r="AG217"/>
  <c r="AL217"/>
  <c r="AW217"/>
  <c r="AX217"/>
  <c r="BG217"/>
  <c r="BI217"/>
  <c r="BM217"/>
  <c r="BE217" s="1"/>
  <c r="BZ217"/>
  <c r="CB217"/>
  <c r="CG217"/>
  <c r="CH217"/>
  <c r="CU217"/>
  <c r="CW217"/>
  <c r="DA217"/>
  <c r="CS217" s="1"/>
  <c r="DP217"/>
  <c r="EM217"/>
  <c r="FD217"/>
  <c r="FQ217"/>
  <c r="O218"/>
  <c r="BQ218" s="1"/>
  <c r="AC218"/>
  <c r="AD218"/>
  <c r="AE218"/>
  <c r="AF218"/>
  <c r="AG218"/>
  <c r="AL218"/>
  <c r="AW218"/>
  <c r="BG218"/>
  <c r="BI218"/>
  <c r="BM218"/>
  <c r="BE218" s="1"/>
  <c r="BZ218"/>
  <c r="CB218"/>
  <c r="CG218"/>
  <c r="CD218" s="1"/>
  <c r="CH218"/>
  <c r="CU218"/>
  <c r="CW218"/>
  <c r="DA218"/>
  <c r="CS218" s="1"/>
  <c r="DP218"/>
  <c r="EM218"/>
  <c r="FD218"/>
  <c r="FQ218"/>
  <c r="O219"/>
  <c r="Z219" s="1"/>
  <c r="AC219"/>
  <c r="AD219"/>
  <c r="AE219"/>
  <c r="AF219"/>
  <c r="AG219"/>
  <c r="AL219"/>
  <c r="AW219"/>
  <c r="AX219"/>
  <c r="BG219"/>
  <c r="BI219"/>
  <c r="BM219"/>
  <c r="BE219" s="1"/>
  <c r="BZ219"/>
  <c r="CB219"/>
  <c r="CG219"/>
  <c r="CD219" s="1"/>
  <c r="AS219" s="1"/>
  <c r="CH219"/>
  <c r="CU219"/>
  <c r="CW219"/>
  <c r="DA219"/>
  <c r="CS219" s="1"/>
  <c r="DP219"/>
  <c r="EM219"/>
  <c r="FD219"/>
  <c r="FQ219"/>
  <c r="O220"/>
  <c r="AC220"/>
  <c r="AD220"/>
  <c r="AE220"/>
  <c r="AF220"/>
  <c r="AG220"/>
  <c r="AL220"/>
  <c r="AW220"/>
  <c r="AX220"/>
  <c r="BG220"/>
  <c r="BI220"/>
  <c r="BM220"/>
  <c r="BE220" s="1"/>
  <c r="BQ220"/>
  <c r="BZ220"/>
  <c r="CB220"/>
  <c r="CG220"/>
  <c r="CD220" s="1"/>
  <c r="CH220"/>
  <c r="CU220"/>
  <c r="CW220"/>
  <c r="DA220"/>
  <c r="CS220" s="1"/>
  <c r="DP220"/>
  <c r="EF220"/>
  <c r="EM220"/>
  <c r="FD220"/>
  <c r="FQ220"/>
  <c r="O221"/>
  <c r="Z221" s="1"/>
  <c r="AC221"/>
  <c r="AD221"/>
  <c r="AE221"/>
  <c r="AF221"/>
  <c r="AG221"/>
  <c r="AL221"/>
  <c r="AW221"/>
  <c r="AX221"/>
  <c r="BG221"/>
  <c r="BI221"/>
  <c r="BM221"/>
  <c r="BE221" s="1"/>
  <c r="BZ221"/>
  <c r="CB221"/>
  <c r="CG221"/>
  <c r="CH221"/>
  <c r="CU221"/>
  <c r="CW221"/>
  <c r="DA221"/>
  <c r="CS221" s="1"/>
  <c r="DP221"/>
  <c r="EF221"/>
  <c r="EM221"/>
  <c r="FD221"/>
  <c r="FQ221"/>
  <c r="O222"/>
  <c r="AC222"/>
  <c r="AD222"/>
  <c r="AE222"/>
  <c r="AF222"/>
  <c r="AG222"/>
  <c r="AL222"/>
  <c r="AW222"/>
  <c r="AX222"/>
  <c r="BG222"/>
  <c r="BI222"/>
  <c r="BM222"/>
  <c r="BE222" s="1"/>
  <c r="BZ222"/>
  <c r="CB222"/>
  <c r="CG222"/>
  <c r="CD222" s="1"/>
  <c r="CH222"/>
  <c r="CL222"/>
  <c r="CU222"/>
  <c r="CW222"/>
  <c r="DA222"/>
  <c r="CS222" s="1"/>
  <c r="DE222"/>
  <c r="DP222"/>
  <c r="EF222"/>
  <c r="EM222"/>
  <c r="FD222"/>
  <c r="FQ222"/>
  <c r="O223"/>
  <c r="Z223" s="1"/>
  <c r="AC223"/>
  <c r="AD223"/>
  <c r="AE223"/>
  <c r="AF223"/>
  <c r="AG223"/>
  <c r="AL223"/>
  <c r="AW223"/>
  <c r="AX223"/>
  <c r="BG223"/>
  <c r="BI223"/>
  <c r="BM223"/>
  <c r="BE223" s="1"/>
  <c r="BZ223"/>
  <c r="CB223"/>
  <c r="CG223"/>
  <c r="CD223" s="1"/>
  <c r="AS223" s="1"/>
  <c r="CH223"/>
  <c r="CU223"/>
  <c r="CW223"/>
  <c r="DA223"/>
  <c r="CS223" s="1"/>
  <c r="DP223"/>
  <c r="EF223"/>
  <c r="EM223"/>
  <c r="FD223"/>
  <c r="FQ223"/>
  <c r="O224"/>
  <c r="AC224"/>
  <c r="AD224"/>
  <c r="AE224"/>
  <c r="AF224"/>
  <c r="AG224"/>
  <c r="AL224"/>
  <c r="AW224"/>
  <c r="AX224"/>
  <c r="BG224"/>
  <c r="BI224"/>
  <c r="BM224"/>
  <c r="BE224" s="1"/>
  <c r="BZ224"/>
  <c r="CB224"/>
  <c r="CG224"/>
  <c r="CD224" s="1"/>
  <c r="CH224"/>
  <c r="CL224"/>
  <c r="CU224"/>
  <c r="CW224"/>
  <c r="DA224"/>
  <c r="CS224" s="1"/>
  <c r="DE224"/>
  <c r="DP224"/>
  <c r="EF224"/>
  <c r="EM224"/>
  <c r="FD224"/>
  <c r="FQ224"/>
  <c r="O225"/>
  <c r="Z225" s="1"/>
  <c r="AC225"/>
  <c r="AD225"/>
  <c r="AE225"/>
  <c r="AF225"/>
  <c r="AG225"/>
  <c r="AL225"/>
  <c r="AW225"/>
  <c r="AX225"/>
  <c r="BG225"/>
  <c r="BI225"/>
  <c r="BM225"/>
  <c r="BE225" s="1"/>
  <c r="BZ225"/>
  <c r="CB225"/>
  <c r="CG225"/>
  <c r="CH225"/>
  <c r="CU225"/>
  <c r="CW225"/>
  <c r="DA225"/>
  <c r="CS225" s="1"/>
  <c r="DP225"/>
  <c r="EF225"/>
  <c r="EM225"/>
  <c r="FD225"/>
  <c r="FQ225"/>
  <c r="O226"/>
  <c r="AC226"/>
  <c r="AD226"/>
  <c r="AE226"/>
  <c r="AF226"/>
  <c r="AG226"/>
  <c r="AL226"/>
  <c r="AW226"/>
  <c r="AX226"/>
  <c r="BG226"/>
  <c r="BI226"/>
  <c r="BM226"/>
  <c r="BE226" s="1"/>
  <c r="BZ226"/>
  <c r="CB226"/>
  <c r="CG226"/>
  <c r="CD226" s="1"/>
  <c r="CH226"/>
  <c r="CL226"/>
  <c r="CU226"/>
  <c r="CW226"/>
  <c r="DA226"/>
  <c r="CS226" s="1"/>
  <c r="DE226"/>
  <c r="DP226"/>
  <c r="EF226"/>
  <c r="EM226"/>
  <c r="FD226"/>
  <c r="FQ226"/>
  <c r="O227"/>
  <c r="Z227" s="1"/>
  <c r="AC227"/>
  <c r="AD227"/>
  <c r="AE227"/>
  <c r="AF227"/>
  <c r="AG227"/>
  <c r="AL227"/>
  <c r="AW227"/>
  <c r="AX227"/>
  <c r="BG227"/>
  <c r="BI227"/>
  <c r="BM227"/>
  <c r="BE227" s="1"/>
  <c r="BZ227"/>
  <c r="CB227"/>
  <c r="CG227"/>
  <c r="CD227" s="1"/>
  <c r="AS227" s="1"/>
  <c r="CH227"/>
  <c r="CU227"/>
  <c r="CW227"/>
  <c r="DA227"/>
  <c r="CS227" s="1"/>
  <c r="DP227"/>
  <c r="EF227"/>
  <c r="EM227"/>
  <c r="FD227"/>
  <c r="FQ227"/>
  <c r="O228"/>
  <c r="CL228" s="1"/>
  <c r="AC228"/>
  <c r="AD228"/>
  <c r="AE228"/>
  <c r="AF228"/>
  <c r="AG228"/>
  <c r="AL228"/>
  <c r="AW228"/>
  <c r="AX228"/>
  <c r="BG228"/>
  <c r="BI228"/>
  <c r="BM228"/>
  <c r="BE228" s="1"/>
  <c r="BZ228"/>
  <c r="CB228"/>
  <c r="CG228"/>
  <c r="CD228" s="1"/>
  <c r="CH228"/>
  <c r="CU228"/>
  <c r="CW228"/>
  <c r="DA228"/>
  <c r="CS228" s="1"/>
  <c r="DP228"/>
  <c r="EF228"/>
  <c r="EM228"/>
  <c r="FD228"/>
  <c r="FQ228"/>
  <c r="O229"/>
  <c r="Z229" s="1"/>
  <c r="AC229"/>
  <c r="AD229"/>
  <c r="AE229"/>
  <c r="AF229"/>
  <c r="AG229"/>
  <c r="AL229"/>
  <c r="AW229"/>
  <c r="AX229"/>
  <c r="BG229"/>
  <c r="BI229"/>
  <c r="BM229"/>
  <c r="BE229" s="1"/>
  <c r="BZ229"/>
  <c r="CB229"/>
  <c r="CG229"/>
  <c r="CH229"/>
  <c r="CU229"/>
  <c r="CW229"/>
  <c r="DA229"/>
  <c r="CS229" s="1"/>
  <c r="DP229"/>
  <c r="EF229"/>
  <c r="EM229"/>
  <c r="FD229"/>
  <c r="FQ229"/>
  <c r="O230"/>
  <c r="AC230"/>
  <c r="AD230"/>
  <c r="AE230"/>
  <c r="AF230"/>
  <c r="AG230"/>
  <c r="AL230"/>
  <c r="AW230"/>
  <c r="AX230"/>
  <c r="BG230"/>
  <c r="BI230"/>
  <c r="BM230"/>
  <c r="BE230" s="1"/>
  <c r="BQ230"/>
  <c r="BZ230"/>
  <c r="CB230"/>
  <c r="CG230"/>
  <c r="CD230" s="1"/>
  <c r="CH230"/>
  <c r="CU230"/>
  <c r="CW230"/>
  <c r="DA230"/>
  <c r="CS230" s="1"/>
  <c r="DP230"/>
  <c r="EF230"/>
  <c r="EM230"/>
  <c r="FD230"/>
  <c r="FQ230"/>
  <c r="O231"/>
  <c r="Z231" s="1"/>
  <c r="AC231"/>
  <c r="AD231"/>
  <c r="AE231"/>
  <c r="AF231"/>
  <c r="AG231"/>
  <c r="AL231"/>
  <c r="AW231"/>
  <c r="AX231"/>
  <c r="BG231"/>
  <c r="BI231"/>
  <c r="BM231"/>
  <c r="BE231" s="1"/>
  <c r="BZ231"/>
  <c r="CB231"/>
  <c r="CG231"/>
  <c r="CD231" s="1"/>
  <c r="AS231" s="1"/>
  <c r="CH231"/>
  <c r="CU231"/>
  <c r="CW231"/>
  <c r="DA231"/>
  <c r="CS231" s="1"/>
  <c r="DP231"/>
  <c r="EF231"/>
  <c r="EM231"/>
  <c r="FD231"/>
  <c r="FQ231"/>
  <c r="O232"/>
  <c r="AC232"/>
  <c r="AD232"/>
  <c r="AE232"/>
  <c r="AF232"/>
  <c r="AG232"/>
  <c r="AL232"/>
  <c r="AW232"/>
  <c r="AX232"/>
  <c r="BG232"/>
  <c r="BI232"/>
  <c r="BM232"/>
  <c r="BE232" s="1"/>
  <c r="BZ232"/>
  <c r="CB232"/>
  <c r="CG232"/>
  <c r="CD232" s="1"/>
  <c r="CH232"/>
  <c r="CL232"/>
  <c r="CU232"/>
  <c r="CW232"/>
  <c r="DA232"/>
  <c r="CS232" s="1"/>
  <c r="DE232"/>
  <c r="DP232"/>
  <c r="EF232"/>
  <c r="EM232"/>
  <c r="FD232"/>
  <c r="FQ232"/>
  <c r="O233"/>
  <c r="Z233" s="1"/>
  <c r="AC233"/>
  <c r="AD233"/>
  <c r="AE233"/>
  <c r="AF233"/>
  <c r="AG233"/>
  <c r="AL233"/>
  <c r="AW233"/>
  <c r="AX233"/>
  <c r="BG233"/>
  <c r="BI233"/>
  <c r="BM233"/>
  <c r="BE233" s="1"/>
  <c r="BZ233"/>
  <c r="CB233"/>
  <c r="CG233"/>
  <c r="CH233"/>
  <c r="CU233"/>
  <c r="CW233"/>
  <c r="DA233"/>
  <c r="CS233" s="1"/>
  <c r="DP233"/>
  <c r="EF233"/>
  <c r="EM233"/>
  <c r="FD233"/>
  <c r="FQ233"/>
  <c r="O234"/>
  <c r="AC234"/>
  <c r="AD234"/>
  <c r="AE234"/>
  <c r="AF234"/>
  <c r="AG234"/>
  <c r="AL234"/>
  <c r="AW234"/>
  <c r="AX234"/>
  <c r="BG234"/>
  <c r="BI234"/>
  <c r="BM234"/>
  <c r="BE234" s="1"/>
  <c r="BQ234"/>
  <c r="BZ234"/>
  <c r="CB234"/>
  <c r="CG234"/>
  <c r="CD234" s="1"/>
  <c r="CH234"/>
  <c r="CU234"/>
  <c r="CW234"/>
  <c r="DA234"/>
  <c r="CS234" s="1"/>
  <c r="DP234"/>
  <c r="EF234"/>
  <c r="EM234"/>
  <c r="FD234"/>
  <c r="FQ234"/>
  <c r="O235"/>
  <c r="Z235" s="1"/>
  <c r="AC235"/>
  <c r="AD235"/>
  <c r="AE235"/>
  <c r="AF235"/>
  <c r="AG235"/>
  <c r="AL235"/>
  <c r="AW235"/>
  <c r="AX235"/>
  <c r="BG235"/>
  <c r="BI235"/>
  <c r="BM235"/>
  <c r="BE235" s="1"/>
  <c r="BZ235"/>
  <c r="CB235"/>
  <c r="CG235"/>
  <c r="CD235" s="1"/>
  <c r="AS235" s="1"/>
  <c r="CH235"/>
  <c r="CU235"/>
  <c r="CW235"/>
  <c r="DA235"/>
  <c r="CS235" s="1"/>
  <c r="DP235"/>
  <c r="EF235"/>
  <c r="EM235"/>
  <c r="FD235"/>
  <c r="FQ235"/>
  <c r="O236"/>
  <c r="AC236"/>
  <c r="AD236"/>
  <c r="AE236"/>
  <c r="AF236"/>
  <c r="AG236"/>
  <c r="AL236"/>
  <c r="AW236"/>
  <c r="AX236"/>
  <c r="BG236"/>
  <c r="BI236"/>
  <c r="BM236"/>
  <c r="BE236" s="1"/>
  <c r="BQ236"/>
  <c r="BZ236"/>
  <c r="CB236"/>
  <c r="CG236"/>
  <c r="CD236" s="1"/>
  <c r="AS236" s="1"/>
  <c r="CH236"/>
  <c r="CU236"/>
  <c r="CW236"/>
  <c r="DA236"/>
  <c r="CS236" s="1"/>
  <c r="DE236"/>
  <c r="DP236"/>
  <c r="EF236"/>
  <c r="EM236"/>
  <c r="FD236"/>
  <c r="FQ236"/>
  <c r="O237"/>
  <c r="AC237"/>
  <c r="AD237"/>
  <c r="AE237"/>
  <c r="AF237"/>
  <c r="AG237"/>
  <c r="AL237"/>
  <c r="AW237"/>
  <c r="AX237"/>
  <c r="BG237"/>
  <c r="BI237"/>
  <c r="BM237"/>
  <c r="BE237" s="1"/>
  <c r="BZ237"/>
  <c r="CB237"/>
  <c r="CG237"/>
  <c r="CH237"/>
  <c r="CU237"/>
  <c r="CW237"/>
  <c r="DA237"/>
  <c r="CS237" s="1"/>
  <c r="DP237"/>
  <c r="EF237"/>
  <c r="EM237"/>
  <c r="FD237"/>
  <c r="FQ237"/>
  <c r="O238"/>
  <c r="AC238"/>
  <c r="AD238"/>
  <c r="AE238"/>
  <c r="AF238"/>
  <c r="AG238"/>
  <c r="AL238"/>
  <c r="AW238"/>
  <c r="AX238"/>
  <c r="BG238"/>
  <c r="BI238"/>
  <c r="BM238"/>
  <c r="BE238" s="1"/>
  <c r="BQ238"/>
  <c r="BZ238"/>
  <c r="CB238"/>
  <c r="CG238"/>
  <c r="CD238" s="1"/>
  <c r="AS238" s="1"/>
  <c r="CH238"/>
  <c r="CU238"/>
  <c r="CW238"/>
  <c r="DA238"/>
  <c r="CS238" s="1"/>
  <c r="DP238"/>
  <c r="EF238"/>
  <c r="EM238"/>
  <c r="FD238"/>
  <c r="FQ238"/>
  <c r="O239"/>
  <c r="AC239"/>
  <c r="AD239"/>
  <c r="AE239"/>
  <c r="AF239"/>
  <c r="AG239"/>
  <c r="AL239"/>
  <c r="AW239"/>
  <c r="AX239"/>
  <c r="BG239"/>
  <c r="BI239"/>
  <c r="BM239"/>
  <c r="BE239" s="1"/>
  <c r="BZ239"/>
  <c r="CB239"/>
  <c r="CG239"/>
  <c r="CH239"/>
  <c r="CU239"/>
  <c r="CW239"/>
  <c r="DA239"/>
  <c r="CS239" s="1"/>
  <c r="DP239"/>
  <c r="EF239"/>
  <c r="EM239"/>
  <c r="FD239"/>
  <c r="FQ239"/>
  <c r="O240"/>
  <c r="AC240"/>
  <c r="AD240"/>
  <c r="AE240"/>
  <c r="AF240"/>
  <c r="AG240"/>
  <c r="AL240"/>
  <c r="AW240"/>
  <c r="AX240"/>
  <c r="BG240"/>
  <c r="BI240"/>
  <c r="BM240"/>
  <c r="BE240" s="1"/>
  <c r="BQ240"/>
  <c r="BZ240"/>
  <c r="CB240"/>
  <c r="CG240"/>
  <c r="CD240" s="1"/>
  <c r="CH240"/>
  <c r="CU240"/>
  <c r="CW240"/>
  <c r="DA240"/>
  <c r="CS240" s="1"/>
  <c r="DP240"/>
  <c r="EF240"/>
  <c r="EM240"/>
  <c r="FD240"/>
  <c r="FQ240"/>
  <c r="O241"/>
  <c r="CL241" s="1"/>
  <c r="AC241"/>
  <c r="AD241"/>
  <c r="AE241"/>
  <c r="AF241"/>
  <c r="AG241"/>
  <c r="AL241"/>
  <c r="AW241"/>
  <c r="AX241"/>
  <c r="BG241"/>
  <c r="BI241"/>
  <c r="BM241"/>
  <c r="BE241" s="1"/>
  <c r="BZ241"/>
  <c r="CB241"/>
  <c r="CG241"/>
  <c r="CD241" s="1"/>
  <c r="CH241"/>
  <c r="CU241"/>
  <c r="CW241"/>
  <c r="DA241"/>
  <c r="CS241" s="1"/>
  <c r="DP241"/>
  <c r="EF241"/>
  <c r="EM241"/>
  <c r="FD241"/>
  <c r="FQ241"/>
  <c r="O242"/>
  <c r="AC242"/>
  <c r="AD242"/>
  <c r="AE242"/>
  <c r="AF242"/>
  <c r="AG242"/>
  <c r="AL242"/>
  <c r="AW242"/>
  <c r="AX242"/>
  <c r="BG242"/>
  <c r="BI242"/>
  <c r="BM242"/>
  <c r="BE242" s="1"/>
  <c r="BZ242"/>
  <c r="CB242"/>
  <c r="CG242"/>
  <c r="CD242" s="1"/>
  <c r="AS242" s="1"/>
  <c r="CH242"/>
  <c r="CL242"/>
  <c r="CU242"/>
  <c r="CW242"/>
  <c r="DA242"/>
  <c r="CS242" s="1"/>
  <c r="DE242"/>
  <c r="DP242"/>
  <c r="EF242"/>
  <c r="EM242"/>
  <c r="FD242"/>
  <c r="FQ242"/>
  <c r="O243"/>
  <c r="Z243" s="1"/>
  <c r="AC243"/>
  <c r="AD243"/>
  <c r="AE243"/>
  <c r="AF243"/>
  <c r="AG243"/>
  <c r="AL243"/>
  <c r="AW243"/>
  <c r="AX243"/>
  <c r="BG243"/>
  <c r="BI243"/>
  <c r="BM243"/>
  <c r="BE243" s="1"/>
  <c r="BZ243"/>
  <c r="CB243"/>
  <c r="CG243"/>
  <c r="CH243"/>
  <c r="CU243"/>
  <c r="CW243"/>
  <c r="DA243"/>
  <c r="CS243" s="1"/>
  <c r="DP243"/>
  <c r="EF243"/>
  <c r="EM243"/>
  <c r="FD243"/>
  <c r="FQ243"/>
  <c r="O244"/>
  <c r="Z244" s="1"/>
  <c r="AC244"/>
  <c r="AD244"/>
  <c r="AE244"/>
  <c r="AF244"/>
  <c r="AG244"/>
  <c r="AL244"/>
  <c r="AW244"/>
  <c r="AX244"/>
  <c r="BG244"/>
  <c r="BI244"/>
  <c r="BM244"/>
  <c r="BE244" s="1"/>
  <c r="BZ244"/>
  <c r="CB244"/>
  <c r="CG244"/>
  <c r="CD244" s="1"/>
  <c r="CH244"/>
  <c r="CL244"/>
  <c r="CU244"/>
  <c r="CW244"/>
  <c r="DA244"/>
  <c r="CS244" s="1"/>
  <c r="DE244"/>
  <c r="DP244"/>
  <c r="EF244"/>
  <c r="EM244"/>
  <c r="FD244"/>
  <c r="FQ244"/>
  <c r="O245"/>
  <c r="AC245"/>
  <c r="AD245"/>
  <c r="AE245"/>
  <c r="AF245"/>
  <c r="AG245"/>
  <c r="AL245"/>
  <c r="AW245"/>
  <c r="AX245"/>
  <c r="BG245"/>
  <c r="BI245"/>
  <c r="BM245"/>
  <c r="BE245" s="1"/>
  <c r="BQ245"/>
  <c r="BZ245"/>
  <c r="CB245"/>
  <c r="CG245"/>
  <c r="CH245"/>
  <c r="CU245"/>
  <c r="CW245"/>
  <c r="DA245"/>
  <c r="CS245" s="1"/>
  <c r="DP245"/>
  <c r="EF245"/>
  <c r="EM245"/>
  <c r="FD245"/>
  <c r="FQ245"/>
  <c r="O246"/>
  <c r="BQ246" s="1"/>
  <c r="AC246"/>
  <c r="AD246"/>
  <c r="AE246"/>
  <c r="AF246"/>
  <c r="AG246"/>
  <c r="AL246"/>
  <c r="AW246"/>
  <c r="AX246"/>
  <c r="BG246"/>
  <c r="BI246"/>
  <c r="BM246"/>
  <c r="BE246" s="1"/>
  <c r="BZ246"/>
  <c r="CB246"/>
  <c r="CG246"/>
  <c r="CD246" s="1"/>
  <c r="AS246" s="1"/>
  <c r="CH246"/>
  <c r="CU246"/>
  <c r="CW246"/>
  <c r="DA246"/>
  <c r="CS246" s="1"/>
  <c r="DP246"/>
  <c r="EF246"/>
  <c r="EM246"/>
  <c r="FD246"/>
  <c r="FQ246"/>
  <c r="O247"/>
  <c r="Z247" s="1"/>
  <c r="AC247"/>
  <c r="AD247"/>
  <c r="AE247"/>
  <c r="AF247"/>
  <c r="AG247"/>
  <c r="AL247"/>
  <c r="AW247"/>
  <c r="AX247"/>
  <c r="BG247"/>
  <c r="BI247"/>
  <c r="BM247"/>
  <c r="BE247" s="1"/>
  <c r="BZ247"/>
  <c r="CB247"/>
  <c r="CG247"/>
  <c r="CH247"/>
  <c r="CU247"/>
  <c r="CW247"/>
  <c r="DA247"/>
  <c r="CS247" s="1"/>
  <c r="DP247"/>
  <c r="EF247"/>
  <c r="EM247"/>
  <c r="FD247"/>
  <c r="FQ247"/>
  <c r="O248"/>
  <c r="Z248" s="1"/>
  <c r="AC248"/>
  <c r="AD248"/>
  <c r="AE248"/>
  <c r="AF248"/>
  <c r="AG248"/>
  <c r="AL248"/>
  <c r="AW248"/>
  <c r="AX248"/>
  <c r="BG248"/>
  <c r="BI248"/>
  <c r="BM248"/>
  <c r="BE248" s="1"/>
  <c r="BZ248"/>
  <c r="CB248"/>
  <c r="CG248"/>
  <c r="CH248"/>
  <c r="CU248"/>
  <c r="CW248"/>
  <c r="DA248"/>
  <c r="CS248" s="1"/>
  <c r="DP248"/>
  <c r="EF248"/>
  <c r="EM248"/>
  <c r="FD248"/>
  <c r="FQ248"/>
  <c r="O249"/>
  <c r="Z249" s="1"/>
  <c r="AC249"/>
  <c r="AD249"/>
  <c r="AE249"/>
  <c r="AF249"/>
  <c r="AG249"/>
  <c r="AL249"/>
  <c r="AW249"/>
  <c r="AX249"/>
  <c r="BG249"/>
  <c r="BI249"/>
  <c r="BM249"/>
  <c r="BE249" s="1"/>
  <c r="BZ249"/>
  <c r="CB249"/>
  <c r="CG249"/>
  <c r="CH249"/>
  <c r="CL249"/>
  <c r="CU249"/>
  <c r="CW249"/>
  <c r="DA249"/>
  <c r="CS249" s="1"/>
  <c r="DE249"/>
  <c r="DP249"/>
  <c r="EF249"/>
  <c r="EM249"/>
  <c r="FD249"/>
  <c r="FQ249"/>
  <c r="O250"/>
  <c r="AC250"/>
  <c r="AD250"/>
  <c r="AE250"/>
  <c r="AF250"/>
  <c r="AG250"/>
  <c r="AL250"/>
  <c r="AW250"/>
  <c r="AX250"/>
  <c r="BG250"/>
  <c r="BI250"/>
  <c r="BM250"/>
  <c r="BE250" s="1"/>
  <c r="BQ250"/>
  <c r="BZ250"/>
  <c r="CB250"/>
  <c r="CG250"/>
  <c r="CD250" s="1"/>
  <c r="AS250" s="1"/>
  <c r="CH250"/>
  <c r="CU250"/>
  <c r="CW250"/>
  <c r="DA250"/>
  <c r="CS250" s="1"/>
  <c r="DP250"/>
  <c r="EF250"/>
  <c r="EM250"/>
  <c r="FD250"/>
  <c r="FQ250"/>
  <c r="O251"/>
  <c r="Z251" s="1"/>
  <c r="AC251"/>
  <c r="AD251"/>
  <c r="AE251"/>
  <c r="AF251"/>
  <c r="AG251"/>
  <c r="AL251"/>
  <c r="AW251"/>
  <c r="AX251"/>
  <c r="BG251"/>
  <c r="BI251"/>
  <c r="BM251"/>
  <c r="BE251" s="1"/>
  <c r="BZ251"/>
  <c r="CB251"/>
  <c r="CG251"/>
  <c r="CH251"/>
  <c r="CU251"/>
  <c r="CW251"/>
  <c r="DA251"/>
  <c r="CS251" s="1"/>
  <c r="DP251"/>
  <c r="EF251"/>
  <c r="EM251"/>
  <c r="FD251"/>
  <c r="FQ251"/>
  <c r="O252"/>
  <c r="Z252" s="1"/>
  <c r="AC252"/>
  <c r="AD252"/>
  <c r="AE252"/>
  <c r="AF252"/>
  <c r="AG252"/>
  <c r="AL252"/>
  <c r="AW252"/>
  <c r="AX252"/>
  <c r="BG252"/>
  <c r="BI252"/>
  <c r="BM252"/>
  <c r="BE252" s="1"/>
  <c r="BZ252"/>
  <c r="CB252"/>
  <c r="CG252"/>
  <c r="CH252"/>
  <c r="CL252"/>
  <c r="CU252"/>
  <c r="CW252"/>
  <c r="DA252"/>
  <c r="CS252" s="1"/>
  <c r="DE252"/>
  <c r="DP252"/>
  <c r="EF252"/>
  <c r="EM252"/>
  <c r="FD252"/>
  <c r="FQ252"/>
  <c r="O253"/>
  <c r="Z253" s="1"/>
  <c r="AC253"/>
  <c r="AD253"/>
  <c r="AE253"/>
  <c r="AF253"/>
  <c r="AG253"/>
  <c r="AL253"/>
  <c r="AW253"/>
  <c r="AX253"/>
  <c r="BG253"/>
  <c r="BI253"/>
  <c r="BM253"/>
  <c r="BE253" s="1"/>
  <c r="BZ253"/>
  <c r="CB253"/>
  <c r="CG253"/>
  <c r="CH253"/>
  <c r="CL253"/>
  <c r="CU253"/>
  <c r="CW253"/>
  <c r="DA253"/>
  <c r="CS253" s="1"/>
  <c r="DE253"/>
  <c r="DP253"/>
  <c r="EF253"/>
  <c r="EM253"/>
  <c r="FD253"/>
  <c r="FQ253"/>
  <c r="O254"/>
  <c r="CL254" s="1"/>
  <c r="AC254"/>
  <c r="AD254"/>
  <c r="AE254"/>
  <c r="AF254"/>
  <c r="AG254"/>
  <c r="AW254"/>
  <c r="AX254"/>
  <c r="BG254"/>
  <c r="BI254"/>
  <c r="BM254"/>
  <c r="BE254" s="1"/>
  <c r="BZ254"/>
  <c r="CB254"/>
  <c r="CG254"/>
  <c r="CH254"/>
  <c r="CU254"/>
  <c r="CW254"/>
  <c r="DA254"/>
  <c r="CS254" s="1"/>
  <c r="DP254"/>
  <c r="EF254"/>
  <c r="EM254"/>
  <c r="FD254"/>
  <c r="FQ254"/>
  <c r="O255"/>
  <c r="BQ255" s="1"/>
  <c r="AC255"/>
  <c r="AD255"/>
  <c r="AE255"/>
  <c r="AF255"/>
  <c r="AG255"/>
  <c r="AW255"/>
  <c r="AX255"/>
  <c r="BG255"/>
  <c r="BI255"/>
  <c r="BM255"/>
  <c r="BE255" s="1"/>
  <c r="BZ255"/>
  <c r="CB255"/>
  <c r="CG255"/>
  <c r="CH255"/>
  <c r="CU255"/>
  <c r="CW255"/>
  <c r="DA255"/>
  <c r="CS255" s="1"/>
  <c r="EF255"/>
  <c r="EM255"/>
  <c r="FD255"/>
  <c r="FQ255"/>
  <c r="O256"/>
  <c r="Z256" s="1"/>
  <c r="AC256"/>
  <c r="AD256"/>
  <c r="AE256"/>
  <c r="AF256"/>
  <c r="AG256"/>
  <c r="AW256"/>
  <c r="AX256"/>
  <c r="BG256"/>
  <c r="BI256"/>
  <c r="BM256"/>
  <c r="BE256" s="1"/>
  <c r="BZ256"/>
  <c r="CB256"/>
  <c r="CG256"/>
  <c r="CH256"/>
  <c r="CU256"/>
  <c r="CW256"/>
  <c r="DA256"/>
  <c r="CS256" s="1"/>
  <c r="EF256"/>
  <c r="EM256"/>
  <c r="FD256"/>
  <c r="FQ256"/>
  <c r="O257"/>
  <c r="AC257"/>
  <c r="AD257"/>
  <c r="AE257"/>
  <c r="AF257"/>
  <c r="AG257"/>
  <c r="AW257"/>
  <c r="AX257"/>
  <c r="BG257"/>
  <c r="BI257"/>
  <c r="BM257"/>
  <c r="BE257" s="1"/>
  <c r="BZ257"/>
  <c r="CB257"/>
  <c r="CG257"/>
  <c r="CD257" s="1"/>
  <c r="AP257" s="1"/>
  <c r="CH257"/>
  <c r="CU257"/>
  <c r="CW257"/>
  <c r="DA257"/>
  <c r="CS257" s="1"/>
  <c r="EF257"/>
  <c r="EM257"/>
  <c r="FD257"/>
  <c r="FQ257"/>
  <c r="O258"/>
  <c r="CL258" s="1"/>
  <c r="AC258"/>
  <c r="AD258"/>
  <c r="AE258"/>
  <c r="AF258"/>
  <c r="AG258"/>
  <c r="AW258"/>
  <c r="AX258"/>
  <c r="BG258"/>
  <c r="BI258"/>
  <c r="BM258"/>
  <c r="BE258" s="1"/>
  <c r="BZ258"/>
  <c r="CB258"/>
  <c r="CG258"/>
  <c r="CH258"/>
  <c r="CU258"/>
  <c r="CW258"/>
  <c r="DA258"/>
  <c r="CS258" s="1"/>
  <c r="EF258"/>
  <c r="EM258"/>
  <c r="FD258"/>
  <c r="FQ258"/>
  <c r="O259"/>
  <c r="BQ259" s="1"/>
  <c r="AC259"/>
  <c r="AD259"/>
  <c r="AE259"/>
  <c r="AF259"/>
  <c r="AG259"/>
  <c r="AW259"/>
  <c r="AX259"/>
  <c r="BG259"/>
  <c r="BI259"/>
  <c r="BM259"/>
  <c r="BE259" s="1"/>
  <c r="BZ259"/>
  <c r="CB259"/>
  <c r="CG259"/>
  <c r="CH259"/>
  <c r="CU259"/>
  <c r="CW259"/>
  <c r="DA259"/>
  <c r="CS259" s="1"/>
  <c r="EF259"/>
  <c r="EM259"/>
  <c r="FD259"/>
  <c r="FQ259"/>
  <c r="O260"/>
  <c r="AC260"/>
  <c r="AD260"/>
  <c r="AE260"/>
  <c r="AF260"/>
  <c r="AG260"/>
  <c r="AW260"/>
  <c r="AX260"/>
  <c r="BG260"/>
  <c r="BI260"/>
  <c r="BM260"/>
  <c r="BE260" s="1"/>
  <c r="BZ260"/>
  <c r="CB260"/>
  <c r="CG260"/>
  <c r="CH260"/>
  <c r="CU260"/>
  <c r="CW260"/>
  <c r="DA260"/>
  <c r="CS260" s="1"/>
  <c r="EF260"/>
  <c r="EM260"/>
  <c r="FD260"/>
  <c r="FQ260"/>
  <c r="O261"/>
  <c r="AC261"/>
  <c r="AD261"/>
  <c r="AE261"/>
  <c r="AF261"/>
  <c r="AG261"/>
  <c r="AW261"/>
  <c r="AX261"/>
  <c r="BG261"/>
  <c r="BI261"/>
  <c r="BM261"/>
  <c r="BE261" s="1"/>
  <c r="BZ261"/>
  <c r="CB261"/>
  <c r="CG261"/>
  <c r="CD261" s="1"/>
  <c r="AP261" s="1"/>
  <c r="CH261"/>
  <c r="CU261"/>
  <c r="CW261"/>
  <c r="DA261"/>
  <c r="CS261" s="1"/>
  <c r="EF261"/>
  <c r="EM261"/>
  <c r="FD261"/>
  <c r="FQ261"/>
  <c r="O262"/>
  <c r="CL262" s="1"/>
  <c r="AC262"/>
  <c r="AD262"/>
  <c r="AE262"/>
  <c r="AF262"/>
  <c r="AG262"/>
  <c r="AW262"/>
  <c r="AX262"/>
  <c r="BG262"/>
  <c r="BI262"/>
  <c r="BM262"/>
  <c r="BE262" s="1"/>
  <c r="BZ262"/>
  <c r="CB262"/>
  <c r="CG262"/>
  <c r="CD262" s="1"/>
  <c r="AP262" s="1"/>
  <c r="CH262"/>
  <c r="CU262"/>
  <c r="CW262"/>
  <c r="DA262"/>
  <c r="CS262" s="1"/>
  <c r="EF262"/>
  <c r="EM262"/>
  <c r="FD262"/>
  <c r="FQ262"/>
  <c r="O263"/>
  <c r="BQ263" s="1"/>
  <c r="AC263"/>
  <c r="AD263"/>
  <c r="AE263"/>
  <c r="AF263"/>
  <c r="AG263"/>
  <c r="AW263"/>
  <c r="AX263"/>
  <c r="BG263"/>
  <c r="BI263"/>
  <c r="BM263"/>
  <c r="BE263" s="1"/>
  <c r="BZ263"/>
  <c r="CB263"/>
  <c r="CG263"/>
  <c r="CH263"/>
  <c r="CU263"/>
  <c r="CW263"/>
  <c r="DA263"/>
  <c r="CS263" s="1"/>
  <c r="EF263"/>
  <c r="EM263"/>
  <c r="FD263"/>
  <c r="FQ263"/>
  <c r="O264"/>
  <c r="AC264"/>
  <c r="AD264"/>
  <c r="AE264"/>
  <c r="AF264"/>
  <c r="AG264"/>
  <c r="AW264"/>
  <c r="AX264"/>
  <c r="BG264"/>
  <c r="BI264"/>
  <c r="BM264"/>
  <c r="BE264" s="1"/>
  <c r="BZ264"/>
  <c r="CB264"/>
  <c r="CG264"/>
  <c r="CH264"/>
  <c r="CU264"/>
  <c r="CW264"/>
  <c r="DA264"/>
  <c r="CS264" s="1"/>
  <c r="EF264"/>
  <c r="EM264"/>
  <c r="FD264"/>
  <c r="FQ264"/>
  <c r="O265"/>
  <c r="Z265" s="1"/>
  <c r="AC265"/>
  <c r="AD265"/>
  <c r="AE265"/>
  <c r="AF265"/>
  <c r="AG265"/>
  <c r="AW265"/>
  <c r="AX265"/>
  <c r="BG265"/>
  <c r="BI265"/>
  <c r="BM265"/>
  <c r="BE265" s="1"/>
  <c r="BZ265"/>
  <c r="CB265"/>
  <c r="CG265"/>
  <c r="CH265"/>
  <c r="CU265"/>
  <c r="CW265"/>
  <c r="DA265"/>
  <c r="CS265" s="1"/>
  <c r="EF265"/>
  <c r="EM265"/>
  <c r="FD265"/>
  <c r="FQ265"/>
  <c r="O266"/>
  <c r="CL266" s="1"/>
  <c r="AC266"/>
  <c r="AD266"/>
  <c r="AE266"/>
  <c r="AF266"/>
  <c r="AG266"/>
  <c r="AW266"/>
  <c r="AX266"/>
  <c r="BG266"/>
  <c r="BI266"/>
  <c r="BM266"/>
  <c r="BE266" s="1"/>
  <c r="BZ266"/>
  <c r="CB266"/>
  <c r="CG266"/>
  <c r="CH266"/>
  <c r="CU266"/>
  <c r="CW266"/>
  <c r="DA266"/>
  <c r="CS266" s="1"/>
  <c r="EF266"/>
  <c r="EM266"/>
  <c r="FD266"/>
  <c r="FQ266"/>
  <c r="O267"/>
  <c r="BQ267" s="1"/>
  <c r="AC267"/>
  <c r="AD267"/>
  <c r="AE267"/>
  <c r="AF267"/>
  <c r="AG267"/>
  <c r="AW267"/>
  <c r="AX267"/>
  <c r="BG267"/>
  <c r="BI267"/>
  <c r="BM267"/>
  <c r="BE267" s="1"/>
  <c r="BZ267"/>
  <c r="CB267"/>
  <c r="CG267"/>
  <c r="CH267"/>
  <c r="CU267"/>
  <c r="CW267"/>
  <c r="DA267"/>
  <c r="CS267" s="1"/>
  <c r="EF267"/>
  <c r="EM267"/>
  <c r="FD267"/>
  <c r="FQ267"/>
  <c r="O268"/>
  <c r="AC268"/>
  <c r="AD268"/>
  <c r="AE268"/>
  <c r="AF268"/>
  <c r="AG268"/>
  <c r="AW268"/>
  <c r="AX268"/>
  <c r="BG268"/>
  <c r="BI268"/>
  <c r="BM268"/>
  <c r="BE268" s="1"/>
  <c r="BZ268"/>
  <c r="CB268"/>
  <c r="CG268"/>
  <c r="CH268"/>
  <c r="CU268"/>
  <c r="CW268"/>
  <c r="DA268"/>
  <c r="CS268" s="1"/>
  <c r="EF268"/>
  <c r="EM268"/>
  <c r="FD268"/>
  <c r="FQ268"/>
  <c r="O269"/>
  <c r="Z269" s="1"/>
  <c r="AC269"/>
  <c r="AD269"/>
  <c r="AE269"/>
  <c r="AF269"/>
  <c r="AG269"/>
  <c r="AW269"/>
  <c r="AX269"/>
  <c r="BG269"/>
  <c r="BI269"/>
  <c r="BM269"/>
  <c r="BE269" s="1"/>
  <c r="BZ269"/>
  <c r="CB269"/>
  <c r="CG269"/>
  <c r="CH269"/>
  <c r="CU269"/>
  <c r="CW269"/>
  <c r="DA269"/>
  <c r="CS269" s="1"/>
  <c r="EF269"/>
  <c r="EM269"/>
  <c r="FD269"/>
  <c r="FQ269"/>
  <c r="O270"/>
  <c r="CL270" s="1"/>
  <c r="AC270"/>
  <c r="AD270"/>
  <c r="AE270"/>
  <c r="AF270"/>
  <c r="AG270"/>
  <c r="AW270"/>
  <c r="AX270"/>
  <c r="BG270"/>
  <c r="BI270"/>
  <c r="BM270"/>
  <c r="BE270" s="1"/>
  <c r="BZ270"/>
  <c r="CB270"/>
  <c r="CG270"/>
  <c r="CH270"/>
  <c r="CU270"/>
  <c r="CW270"/>
  <c r="DA270"/>
  <c r="CS270" s="1"/>
  <c r="EF270"/>
  <c r="EM270"/>
  <c r="FD270"/>
  <c r="FQ270"/>
  <c r="O271"/>
  <c r="BQ271" s="1"/>
  <c r="AC271"/>
  <c r="AD271"/>
  <c r="AE271"/>
  <c r="AF271"/>
  <c r="AG271"/>
  <c r="AW271"/>
  <c r="AX271"/>
  <c r="BG271"/>
  <c r="BI271"/>
  <c r="BM271"/>
  <c r="BE271" s="1"/>
  <c r="BZ271"/>
  <c r="CB271"/>
  <c r="CG271"/>
  <c r="CH271"/>
  <c r="CU271"/>
  <c r="CW271"/>
  <c r="DA271"/>
  <c r="CS271" s="1"/>
  <c r="EF271"/>
  <c r="EM271"/>
  <c r="FD271"/>
  <c r="FQ271"/>
  <c r="O272"/>
  <c r="AC272"/>
  <c r="AD272"/>
  <c r="AE272"/>
  <c r="AF272"/>
  <c r="AG272"/>
  <c r="AW272"/>
  <c r="AX272"/>
  <c r="BG272"/>
  <c r="BI272"/>
  <c r="BM272"/>
  <c r="BE272" s="1"/>
  <c r="BZ272"/>
  <c r="CB272"/>
  <c r="CG272"/>
  <c r="CD272" s="1"/>
  <c r="AP272" s="1"/>
  <c r="CH272"/>
  <c r="CU272"/>
  <c r="CW272"/>
  <c r="DA272"/>
  <c r="CS272" s="1"/>
  <c r="EF272"/>
  <c r="EM272"/>
  <c r="FD272"/>
  <c r="FQ272"/>
  <c r="O273"/>
  <c r="AC273"/>
  <c r="AD273"/>
  <c r="AE273"/>
  <c r="AF273"/>
  <c r="AG273"/>
  <c r="AW273"/>
  <c r="AX273"/>
  <c r="BG273"/>
  <c r="BI273"/>
  <c r="BM273"/>
  <c r="BE273" s="1"/>
  <c r="BZ273"/>
  <c r="CB273"/>
  <c r="CG273"/>
  <c r="CD273" s="1"/>
  <c r="CH273"/>
  <c r="CU273"/>
  <c r="CW273"/>
  <c r="DA273"/>
  <c r="CS273" s="1"/>
  <c r="EF273"/>
  <c r="EM273"/>
  <c r="FD273"/>
  <c r="FQ273"/>
  <c r="O274"/>
  <c r="Z274" s="1"/>
  <c r="AC274"/>
  <c r="AD274"/>
  <c r="AE274"/>
  <c r="AF274"/>
  <c r="AG274"/>
  <c r="AW274"/>
  <c r="AX274"/>
  <c r="BG274"/>
  <c r="BI274"/>
  <c r="BM274"/>
  <c r="BE274" s="1"/>
  <c r="BZ274"/>
  <c r="CB274"/>
  <c r="CG274"/>
  <c r="CH274"/>
  <c r="CU274"/>
  <c r="CW274"/>
  <c r="DA274"/>
  <c r="CS274" s="1"/>
  <c r="EF274"/>
  <c r="EM274"/>
  <c r="FD274"/>
  <c r="FQ274"/>
  <c r="O275"/>
  <c r="AC275"/>
  <c r="AD275"/>
  <c r="AE275"/>
  <c r="AF275"/>
  <c r="AG275"/>
  <c r="AW275"/>
  <c r="AX275"/>
  <c r="BG275"/>
  <c r="BI275"/>
  <c r="BM275"/>
  <c r="BE275" s="1"/>
  <c r="BZ275"/>
  <c r="CB275"/>
  <c r="CG275"/>
  <c r="CD275" s="1"/>
  <c r="AP275" s="1"/>
  <c r="CH275"/>
  <c r="CU275"/>
  <c r="CW275"/>
  <c r="DA275"/>
  <c r="CS275" s="1"/>
  <c r="EF275"/>
  <c r="EM275"/>
  <c r="FD275"/>
  <c r="FQ275"/>
  <c r="O276"/>
  <c r="Z276" s="1"/>
  <c r="AC276"/>
  <c r="AD276"/>
  <c r="AE276"/>
  <c r="AF276"/>
  <c r="AG276"/>
  <c r="AW276"/>
  <c r="AX276"/>
  <c r="BG276"/>
  <c r="BI276"/>
  <c r="BM276"/>
  <c r="BE276" s="1"/>
  <c r="BZ276"/>
  <c r="CB276"/>
  <c r="CG276"/>
  <c r="CD276" s="1"/>
  <c r="AP276" s="1"/>
  <c r="CH276"/>
  <c r="CU276"/>
  <c r="CW276"/>
  <c r="DA276"/>
  <c r="CS276" s="1"/>
  <c r="EF276"/>
  <c r="EM276"/>
  <c r="FD276"/>
  <c r="FQ276"/>
  <c r="O277"/>
  <c r="Z277" s="1"/>
  <c r="AC277"/>
  <c r="AD277"/>
  <c r="AE277"/>
  <c r="AF277"/>
  <c r="AG277"/>
  <c r="AW277"/>
  <c r="AX277"/>
  <c r="BG277"/>
  <c r="BI277"/>
  <c r="BM277"/>
  <c r="BE277" s="1"/>
  <c r="BZ277"/>
  <c r="CB277"/>
  <c r="CG277"/>
  <c r="CD277" s="1"/>
  <c r="CH277"/>
  <c r="CU277"/>
  <c r="CW277"/>
  <c r="DA277"/>
  <c r="CS277" s="1"/>
  <c r="EF277"/>
  <c r="EM277"/>
  <c r="FD277"/>
  <c r="FQ277"/>
  <c r="O278"/>
  <c r="BQ278" s="1"/>
  <c r="AC278"/>
  <c r="AD278"/>
  <c r="AE278"/>
  <c r="AF278"/>
  <c r="AG278"/>
  <c r="AW278"/>
  <c r="AX278"/>
  <c r="BG278"/>
  <c r="BI278"/>
  <c r="BM278"/>
  <c r="BE278" s="1"/>
  <c r="BZ278"/>
  <c r="CB278"/>
  <c r="CG278"/>
  <c r="CD278" s="1"/>
  <c r="AP278" s="1"/>
  <c r="CH278"/>
  <c r="CU278"/>
  <c r="CW278"/>
  <c r="DA278"/>
  <c r="CS278" s="1"/>
  <c r="EF278"/>
  <c r="EM278"/>
  <c r="FD278"/>
  <c r="FQ278"/>
  <c r="O279"/>
  <c r="Z279" s="1"/>
  <c r="AC279"/>
  <c r="AD279"/>
  <c r="AE279"/>
  <c r="AF279"/>
  <c r="AG279"/>
  <c r="AW279"/>
  <c r="AX279"/>
  <c r="BG279"/>
  <c r="BI279"/>
  <c r="BM279"/>
  <c r="BE279" s="1"/>
  <c r="BZ279"/>
  <c r="CB279"/>
  <c r="CG279"/>
  <c r="CH279"/>
  <c r="CU279"/>
  <c r="CW279"/>
  <c r="DA279"/>
  <c r="CS279" s="1"/>
  <c r="EF279"/>
  <c r="EM279"/>
  <c r="FD279"/>
  <c r="FQ279"/>
  <c r="O280"/>
  <c r="BQ280" s="1"/>
  <c r="AC280"/>
  <c r="AD280"/>
  <c r="AE280"/>
  <c r="AF280"/>
  <c r="AG280"/>
  <c r="AW280"/>
  <c r="AX280"/>
  <c r="BG280"/>
  <c r="BI280"/>
  <c r="BM280"/>
  <c r="BE280" s="1"/>
  <c r="BZ280"/>
  <c r="CB280"/>
  <c r="CG280"/>
  <c r="CD280" s="1"/>
  <c r="AP280" s="1"/>
  <c r="CH280"/>
  <c r="CU280"/>
  <c r="CW280"/>
  <c r="DA280"/>
  <c r="CS280" s="1"/>
  <c r="EF280"/>
  <c r="EM280"/>
  <c r="FD280"/>
  <c r="FQ280"/>
  <c r="O281"/>
  <c r="Z281" s="1"/>
  <c r="AC281"/>
  <c r="AD281"/>
  <c r="AE281"/>
  <c r="AF281"/>
  <c r="AG281"/>
  <c r="AW281"/>
  <c r="AX281"/>
  <c r="BG281"/>
  <c r="BI281"/>
  <c r="BM281"/>
  <c r="BE281" s="1"/>
  <c r="BZ281"/>
  <c r="CB281"/>
  <c r="CG281"/>
  <c r="CD281" s="1"/>
  <c r="CH281"/>
  <c r="CU281"/>
  <c r="CW281"/>
  <c r="DA281"/>
  <c r="CS281" s="1"/>
  <c r="EF281"/>
  <c r="EM281"/>
  <c r="FD281"/>
  <c r="FQ281"/>
  <c r="O282"/>
  <c r="AC282"/>
  <c r="AD282"/>
  <c r="AE282"/>
  <c r="AF282"/>
  <c r="AG282"/>
  <c r="AW282"/>
  <c r="AX282"/>
  <c r="BG282"/>
  <c r="BI282"/>
  <c r="BM282"/>
  <c r="BE282" s="1"/>
  <c r="BZ282"/>
  <c r="CB282"/>
  <c r="CG282"/>
  <c r="CD282" s="1"/>
  <c r="AP282" s="1"/>
  <c r="CH282"/>
  <c r="CU282"/>
  <c r="CW282"/>
  <c r="DA282"/>
  <c r="CS282" s="1"/>
  <c r="EF282"/>
  <c r="EM282"/>
  <c r="FD282"/>
  <c r="FQ282"/>
  <c r="O283"/>
  <c r="AC283"/>
  <c r="AD283"/>
  <c r="AE283"/>
  <c r="AF283"/>
  <c r="AG283"/>
  <c r="AW283"/>
  <c r="AX283"/>
  <c r="BG283"/>
  <c r="BI283"/>
  <c r="BM283"/>
  <c r="BE283" s="1"/>
  <c r="BZ283"/>
  <c r="CB283"/>
  <c r="CG283"/>
  <c r="CH283"/>
  <c r="CU283"/>
  <c r="CW283"/>
  <c r="DA283"/>
  <c r="CS283" s="1"/>
  <c r="EF283"/>
  <c r="EM283"/>
  <c r="FD283"/>
  <c r="FQ283"/>
  <c r="O284"/>
  <c r="AC284"/>
  <c r="AD284"/>
  <c r="AE284"/>
  <c r="AF284"/>
  <c r="AG284"/>
  <c r="AW284"/>
  <c r="AX284"/>
  <c r="BG284"/>
  <c r="BI284"/>
  <c r="BM284"/>
  <c r="BE284" s="1"/>
  <c r="BZ284"/>
  <c r="CB284"/>
  <c r="CG284"/>
  <c r="CD284" s="1"/>
  <c r="AP284" s="1"/>
  <c r="CH284"/>
  <c r="CU284"/>
  <c r="CW284"/>
  <c r="DA284"/>
  <c r="CS284" s="1"/>
  <c r="EF284"/>
  <c r="EM284"/>
  <c r="FD284"/>
  <c r="FQ284"/>
  <c r="O285"/>
  <c r="AC285"/>
  <c r="AD285"/>
  <c r="AE285"/>
  <c r="AF285"/>
  <c r="AG285"/>
  <c r="AW285"/>
  <c r="AX285"/>
  <c r="BG285"/>
  <c r="BI285"/>
  <c r="BM285"/>
  <c r="BE285" s="1"/>
  <c r="BZ285"/>
  <c r="CB285"/>
  <c r="CG285"/>
  <c r="CD285" s="1"/>
  <c r="CH285"/>
  <c r="CU285"/>
  <c r="CW285"/>
  <c r="DA285"/>
  <c r="CS285" s="1"/>
  <c r="EF285"/>
  <c r="EM285"/>
  <c r="FD285"/>
  <c r="FQ285"/>
  <c r="O286"/>
  <c r="AC286"/>
  <c r="AD286"/>
  <c r="AE286"/>
  <c r="AF286"/>
  <c r="AG286"/>
  <c r="AW286"/>
  <c r="AX286"/>
  <c r="BG286"/>
  <c r="BI286"/>
  <c r="BM286"/>
  <c r="BE286" s="1"/>
  <c r="BZ286"/>
  <c r="CB286"/>
  <c r="CG286"/>
  <c r="CD286" s="1"/>
  <c r="AP286" s="1"/>
  <c r="CH286"/>
  <c r="CU286"/>
  <c r="CW286"/>
  <c r="DA286"/>
  <c r="CS286" s="1"/>
  <c r="EF286"/>
  <c r="EM286"/>
  <c r="FD286"/>
  <c r="FQ286"/>
  <c r="O287"/>
  <c r="AC287"/>
  <c r="AD287"/>
  <c r="AE287"/>
  <c r="AF287"/>
  <c r="AG287"/>
  <c r="AW287"/>
  <c r="AX287"/>
  <c r="BG287"/>
  <c r="BI287"/>
  <c r="BM287"/>
  <c r="BE287" s="1"/>
  <c r="BZ287"/>
  <c r="CB287"/>
  <c r="CG287"/>
  <c r="CH287"/>
  <c r="CU287"/>
  <c r="CW287"/>
  <c r="DA287"/>
  <c r="CS287" s="1"/>
  <c r="EF287"/>
  <c r="EM287"/>
  <c r="FD287"/>
  <c r="FQ287"/>
  <c r="O288"/>
  <c r="AC288"/>
  <c r="AD288"/>
  <c r="AE288"/>
  <c r="AF288"/>
  <c r="AG288"/>
  <c r="AW288"/>
  <c r="AX288"/>
  <c r="BG288"/>
  <c r="BI288"/>
  <c r="BM288"/>
  <c r="BE288" s="1"/>
  <c r="BZ288"/>
  <c r="CB288"/>
  <c r="CG288"/>
  <c r="CD288" s="1"/>
  <c r="AP288" s="1"/>
  <c r="CH288"/>
  <c r="CU288"/>
  <c r="CW288"/>
  <c r="DA288"/>
  <c r="CS288" s="1"/>
  <c r="EF288"/>
  <c r="EM288"/>
  <c r="FD288"/>
  <c r="FQ288"/>
  <c r="O289"/>
  <c r="AC289"/>
  <c r="AD289"/>
  <c r="AE289"/>
  <c r="AF289"/>
  <c r="AG289"/>
  <c r="AW289"/>
  <c r="AX289"/>
  <c r="BG289"/>
  <c r="BI289"/>
  <c r="BM289"/>
  <c r="BE289" s="1"/>
  <c r="BZ289"/>
  <c r="CB289"/>
  <c r="CG289"/>
  <c r="CD289" s="1"/>
  <c r="CH289"/>
  <c r="CU289"/>
  <c r="CW289"/>
  <c r="DA289"/>
  <c r="CS289" s="1"/>
  <c r="EF289"/>
  <c r="EM289"/>
  <c r="FD289"/>
  <c r="FQ289"/>
  <c r="O290"/>
  <c r="AC290"/>
  <c r="AD290"/>
  <c r="AE290"/>
  <c r="AF290"/>
  <c r="AG290"/>
  <c r="AW290"/>
  <c r="AX290"/>
  <c r="BG290"/>
  <c r="BI290"/>
  <c r="BM290"/>
  <c r="BE290" s="1"/>
  <c r="BZ290"/>
  <c r="CB290"/>
  <c r="CG290"/>
  <c r="CD290" s="1"/>
  <c r="AP290" s="1"/>
  <c r="CH290"/>
  <c r="CU290"/>
  <c r="CW290"/>
  <c r="DA290"/>
  <c r="CS290" s="1"/>
  <c r="EF290"/>
  <c r="EM290"/>
  <c r="FD290"/>
  <c r="FQ290"/>
  <c r="O291"/>
  <c r="AC291"/>
  <c r="AD291"/>
  <c r="AE291"/>
  <c r="AF291"/>
  <c r="AG291"/>
  <c r="AW291"/>
  <c r="AX291"/>
  <c r="BG291"/>
  <c r="BI291"/>
  <c r="BM291"/>
  <c r="BE291" s="1"/>
  <c r="BZ291"/>
  <c r="CB291"/>
  <c r="CG291"/>
  <c r="CH291"/>
  <c r="CU291"/>
  <c r="CW291"/>
  <c r="DA291"/>
  <c r="CS291" s="1"/>
  <c r="EF291"/>
  <c r="EM291"/>
  <c r="FD291"/>
  <c r="FQ291"/>
  <c r="O292"/>
  <c r="AC292"/>
  <c r="AD292"/>
  <c r="AE292"/>
  <c r="AF292"/>
  <c r="AG292"/>
  <c r="AW292"/>
  <c r="AX292"/>
  <c r="BG292"/>
  <c r="BI292"/>
  <c r="BM292"/>
  <c r="BE292" s="1"/>
  <c r="BZ292"/>
  <c r="CB292"/>
  <c r="CG292"/>
  <c r="CD292" s="1"/>
  <c r="AP292" s="1"/>
  <c r="CH292"/>
  <c r="CU292"/>
  <c r="CW292"/>
  <c r="DA292"/>
  <c r="CS292" s="1"/>
  <c r="EF292"/>
  <c r="EM292"/>
  <c r="FD292"/>
  <c r="FQ292"/>
  <c r="O293"/>
  <c r="AC293"/>
  <c r="AD293"/>
  <c r="AE293"/>
  <c r="AF293"/>
  <c r="AG293"/>
  <c r="AW293"/>
  <c r="AX293"/>
  <c r="BG293"/>
  <c r="BI293"/>
  <c r="BM293"/>
  <c r="BE293" s="1"/>
  <c r="BZ293"/>
  <c r="CB293"/>
  <c r="CG293"/>
  <c r="CD293" s="1"/>
  <c r="CH293"/>
  <c r="CU293"/>
  <c r="CW293"/>
  <c r="DA293"/>
  <c r="CS293" s="1"/>
  <c r="EF293"/>
  <c r="EM293"/>
  <c r="FD293"/>
  <c r="FQ293"/>
  <c r="O294"/>
  <c r="AC294"/>
  <c r="AD294"/>
  <c r="AE294"/>
  <c r="AF294"/>
  <c r="AG294"/>
  <c r="AW294"/>
  <c r="AX294"/>
  <c r="BG294"/>
  <c r="BI294"/>
  <c r="BM294"/>
  <c r="BE294" s="1"/>
  <c r="BZ294"/>
  <c r="CB294"/>
  <c r="CG294"/>
  <c r="CD294" s="1"/>
  <c r="AP294" s="1"/>
  <c r="CH294"/>
  <c r="CU294"/>
  <c r="CW294"/>
  <c r="DA294"/>
  <c r="CS294" s="1"/>
  <c r="EF294"/>
  <c r="EM294"/>
  <c r="FD294"/>
  <c r="FQ294"/>
  <c r="O295"/>
  <c r="AC295"/>
  <c r="AD295"/>
  <c r="AE295"/>
  <c r="AF295"/>
  <c r="AG295"/>
  <c r="AW295"/>
  <c r="AX295"/>
  <c r="BG295"/>
  <c r="BI295"/>
  <c r="BM295"/>
  <c r="BE295" s="1"/>
  <c r="BZ295"/>
  <c r="CB295"/>
  <c r="CG295"/>
  <c r="CH295"/>
  <c r="CU295"/>
  <c r="CW295"/>
  <c r="DA295"/>
  <c r="CS295" s="1"/>
  <c r="EF295"/>
  <c r="EM295"/>
  <c r="FD295"/>
  <c r="FQ295"/>
  <c r="O296"/>
  <c r="AC296"/>
  <c r="AD296"/>
  <c r="AE296"/>
  <c r="AF296"/>
  <c r="AG296"/>
  <c r="AW296"/>
  <c r="AX296"/>
  <c r="BG296"/>
  <c r="BI296"/>
  <c r="BM296"/>
  <c r="BE296" s="1"/>
  <c r="BZ296"/>
  <c r="CB296"/>
  <c r="CG296"/>
  <c r="CD296" s="1"/>
  <c r="AP296" s="1"/>
  <c r="CH296"/>
  <c r="CU296"/>
  <c r="CW296"/>
  <c r="DA296"/>
  <c r="CS296" s="1"/>
  <c r="EF296"/>
  <c r="EM296"/>
  <c r="FD296"/>
  <c r="FQ296"/>
  <c r="O297"/>
  <c r="AC297"/>
  <c r="AD297"/>
  <c r="AE297"/>
  <c r="AF297"/>
  <c r="AG297"/>
  <c r="AW297"/>
  <c r="AX297"/>
  <c r="BG297"/>
  <c r="BI297"/>
  <c r="BM297"/>
  <c r="BE297" s="1"/>
  <c r="BZ297"/>
  <c r="CB297"/>
  <c r="CG297"/>
  <c r="CD297" s="1"/>
  <c r="CH297"/>
  <c r="CU297"/>
  <c r="CW297"/>
  <c r="DA297"/>
  <c r="CS297" s="1"/>
  <c r="EF297"/>
  <c r="EM297"/>
  <c r="FD297"/>
  <c r="FQ297"/>
  <c r="O298"/>
  <c r="AC298"/>
  <c r="AD298"/>
  <c r="AE298"/>
  <c r="AF298"/>
  <c r="AG298"/>
  <c r="AW298"/>
  <c r="AX298"/>
  <c r="BG298"/>
  <c r="BI298"/>
  <c r="BM298"/>
  <c r="BE298" s="1"/>
  <c r="BZ298"/>
  <c r="CB298"/>
  <c r="CG298"/>
  <c r="CD298" s="1"/>
  <c r="AP298" s="1"/>
  <c r="CH298"/>
  <c r="CU298"/>
  <c r="CW298"/>
  <c r="DA298"/>
  <c r="CS298" s="1"/>
  <c r="EF298"/>
  <c r="EM298"/>
  <c r="FD298"/>
  <c r="FQ298"/>
  <c r="O299"/>
  <c r="AC299"/>
  <c r="AD299"/>
  <c r="AE299"/>
  <c r="AF299"/>
  <c r="AG299"/>
  <c r="AW299"/>
  <c r="AX299"/>
  <c r="BG299"/>
  <c r="BI299"/>
  <c r="BM299"/>
  <c r="BE299" s="1"/>
  <c r="BZ299"/>
  <c r="CB299"/>
  <c r="CG299"/>
  <c r="CH299"/>
  <c r="CU299"/>
  <c r="CW299"/>
  <c r="DA299"/>
  <c r="CS299" s="1"/>
  <c r="EF299"/>
  <c r="EM299"/>
  <c r="FD299"/>
  <c r="FQ299"/>
  <c r="O300"/>
  <c r="AC300"/>
  <c r="AD300"/>
  <c r="AE300"/>
  <c r="AF300"/>
  <c r="AG300"/>
  <c r="AW300"/>
  <c r="AX300"/>
  <c r="BG300"/>
  <c r="BI300"/>
  <c r="BM300"/>
  <c r="BE300" s="1"/>
  <c r="BZ300"/>
  <c r="CB300"/>
  <c r="CG300"/>
  <c r="CD300" s="1"/>
  <c r="AP300" s="1"/>
  <c r="CH300"/>
  <c r="CU300"/>
  <c r="CW300"/>
  <c r="DA300"/>
  <c r="CS300" s="1"/>
  <c r="EF300"/>
  <c r="EM300"/>
  <c r="FD300"/>
  <c r="FQ300"/>
  <c r="O301"/>
  <c r="AC301"/>
  <c r="AD301"/>
  <c r="AE301"/>
  <c r="AF301"/>
  <c r="AG301"/>
  <c r="AW301"/>
  <c r="AX301"/>
  <c r="BG301"/>
  <c r="BI301"/>
  <c r="BM301"/>
  <c r="BE301" s="1"/>
  <c r="BZ301"/>
  <c r="CB301"/>
  <c r="CG301"/>
  <c r="CD301" s="1"/>
  <c r="CH301"/>
  <c r="CU301"/>
  <c r="CW301"/>
  <c r="DA301"/>
  <c r="CS301" s="1"/>
  <c r="EF301"/>
  <c r="EM301"/>
  <c r="FD301"/>
  <c r="FQ301"/>
  <c r="O302"/>
  <c r="AC302"/>
  <c r="AD302"/>
  <c r="AE302"/>
  <c r="AF302"/>
  <c r="AG302"/>
  <c r="AW302"/>
  <c r="AX302"/>
  <c r="BG302"/>
  <c r="BI302"/>
  <c r="BM302"/>
  <c r="BE302" s="1"/>
  <c r="BZ302"/>
  <c r="CB302"/>
  <c r="CG302"/>
  <c r="CD302" s="1"/>
  <c r="AP302" s="1"/>
  <c r="CH302"/>
  <c r="CU302"/>
  <c r="CW302"/>
  <c r="DA302"/>
  <c r="CS302" s="1"/>
  <c r="EF302"/>
  <c r="EM302"/>
  <c r="FD302"/>
  <c r="FQ302"/>
  <c r="O303"/>
  <c r="AC303"/>
  <c r="AD303"/>
  <c r="AE303"/>
  <c r="AF303"/>
  <c r="AG303"/>
  <c r="AW303"/>
  <c r="AX303"/>
  <c r="BG303"/>
  <c r="BI303"/>
  <c r="BM303"/>
  <c r="BE303" s="1"/>
  <c r="BZ303"/>
  <c r="CB303"/>
  <c r="CG303"/>
  <c r="CH303"/>
  <c r="CU303"/>
  <c r="CW303"/>
  <c r="DA303"/>
  <c r="CS303" s="1"/>
  <c r="EF303"/>
  <c r="EM303"/>
  <c r="FD303"/>
  <c r="FQ303"/>
  <c r="O304"/>
  <c r="Q304" s="1"/>
  <c r="AC304"/>
  <c r="AD304"/>
  <c r="AE304"/>
  <c r="AF304"/>
  <c r="AG304"/>
  <c r="AW304"/>
  <c r="AX304"/>
  <c r="BG304"/>
  <c r="BI304"/>
  <c r="BM304"/>
  <c r="BE304" s="1"/>
  <c r="BZ304"/>
  <c r="CB304"/>
  <c r="CG304"/>
  <c r="CD304" s="1"/>
  <c r="AP304" s="1"/>
  <c r="CH304"/>
  <c r="CU304"/>
  <c r="CW304"/>
  <c r="DA304"/>
  <c r="CS304" s="1"/>
  <c r="EF304"/>
  <c r="EM304"/>
  <c r="FD304"/>
  <c r="FQ304"/>
  <c r="O305"/>
  <c r="Z305" s="1"/>
  <c r="AC305"/>
  <c r="AD305"/>
  <c r="AE305"/>
  <c r="AF305"/>
  <c r="AG305"/>
  <c r="AW305"/>
  <c r="AX305"/>
  <c r="BG305"/>
  <c r="BI305"/>
  <c r="BM305"/>
  <c r="BE305" s="1"/>
  <c r="BZ305"/>
  <c r="CB305"/>
  <c r="CG305"/>
  <c r="CD305" s="1"/>
  <c r="CH305"/>
  <c r="CU305"/>
  <c r="CW305"/>
  <c r="DA305"/>
  <c r="CS305" s="1"/>
  <c r="EF305"/>
  <c r="EM305"/>
  <c r="FD305"/>
  <c r="FQ305"/>
  <c r="O306"/>
  <c r="DE306" s="1"/>
  <c r="AC306"/>
  <c r="AD306"/>
  <c r="AE306"/>
  <c r="AF306"/>
  <c r="AG306"/>
  <c r="AW306"/>
  <c r="AX306"/>
  <c r="BG306"/>
  <c r="BI306"/>
  <c r="BM306"/>
  <c r="BE306" s="1"/>
  <c r="BZ306"/>
  <c r="CB306"/>
  <c r="CG306"/>
  <c r="CD306" s="1"/>
  <c r="AP306" s="1"/>
  <c r="CH306"/>
  <c r="CU306"/>
  <c r="CW306"/>
  <c r="DA306"/>
  <c r="CS306" s="1"/>
  <c r="EF306"/>
  <c r="EM306"/>
  <c r="FD306"/>
  <c r="FQ306"/>
  <c r="O307"/>
  <c r="Z307" s="1"/>
  <c r="AC307"/>
  <c r="AD307"/>
  <c r="AE307"/>
  <c r="AF307"/>
  <c r="AG307"/>
  <c r="AW307"/>
  <c r="AX307"/>
  <c r="BG307"/>
  <c r="BI307"/>
  <c r="BM307"/>
  <c r="BE307" s="1"/>
  <c r="BZ307"/>
  <c r="CB307"/>
  <c r="CG307"/>
  <c r="CH307"/>
  <c r="CU307"/>
  <c r="CW307"/>
  <c r="DA307"/>
  <c r="CS307" s="1"/>
  <c r="EF307"/>
  <c r="EM307"/>
  <c r="FD307"/>
  <c r="FQ307"/>
  <c r="O308"/>
  <c r="BQ308" s="1"/>
  <c r="AC308"/>
  <c r="AD308"/>
  <c r="AE308"/>
  <c r="AF308"/>
  <c r="AG308"/>
  <c r="AW308"/>
  <c r="AX308"/>
  <c r="BG308"/>
  <c r="BI308"/>
  <c r="BM308"/>
  <c r="BE308" s="1"/>
  <c r="BZ308"/>
  <c r="CB308"/>
  <c r="CG308"/>
  <c r="CD308" s="1"/>
  <c r="AP308" s="1"/>
  <c r="CH308"/>
  <c r="CU308"/>
  <c r="CW308"/>
  <c r="DA308"/>
  <c r="CS308" s="1"/>
  <c r="EF308"/>
  <c r="EM308"/>
  <c r="FD308"/>
  <c r="FQ308"/>
  <c r="O309"/>
  <c r="Z309" s="1"/>
  <c r="AC309"/>
  <c r="AD309"/>
  <c r="AE309"/>
  <c r="AF309"/>
  <c r="AG309"/>
  <c r="AW309"/>
  <c r="AX309"/>
  <c r="BG309"/>
  <c r="BI309"/>
  <c r="BM309"/>
  <c r="BE309" s="1"/>
  <c r="BZ309"/>
  <c r="CB309"/>
  <c r="CG309"/>
  <c r="CD309" s="1"/>
  <c r="CH309"/>
  <c r="CU309"/>
  <c r="CW309"/>
  <c r="DA309"/>
  <c r="CS309" s="1"/>
  <c r="EF309"/>
  <c r="EM309"/>
  <c r="FD309"/>
  <c r="FQ309"/>
  <c r="O310"/>
  <c r="BQ310" s="1"/>
  <c r="AC310"/>
  <c r="AD310"/>
  <c r="AE310"/>
  <c r="AF310"/>
  <c r="AG310"/>
  <c r="AW310"/>
  <c r="AX310"/>
  <c r="BG310"/>
  <c r="BI310"/>
  <c r="BM310"/>
  <c r="BE310" s="1"/>
  <c r="BZ310"/>
  <c r="CB310"/>
  <c r="CG310"/>
  <c r="CD310" s="1"/>
  <c r="AP310" s="1"/>
  <c r="CH310"/>
  <c r="CU310"/>
  <c r="CW310"/>
  <c r="DA310"/>
  <c r="CS310" s="1"/>
  <c r="EF310"/>
  <c r="EM310"/>
  <c r="FD310"/>
  <c r="FQ310"/>
  <c r="O311"/>
  <c r="Z311" s="1"/>
  <c r="AC311"/>
  <c r="AD311"/>
  <c r="AE311"/>
  <c r="AF311"/>
  <c r="AG311"/>
  <c r="AW311"/>
  <c r="AX311"/>
  <c r="BG311"/>
  <c r="BI311"/>
  <c r="BM311"/>
  <c r="BE311" s="1"/>
  <c r="BZ311"/>
  <c r="CB311"/>
  <c r="CG311"/>
  <c r="CH311"/>
  <c r="CU311"/>
  <c r="CW311"/>
  <c r="DA311"/>
  <c r="CS311" s="1"/>
  <c r="EF311"/>
  <c r="EM311"/>
  <c r="FD311"/>
  <c r="FQ311"/>
  <c r="O312"/>
  <c r="BQ312" s="1"/>
  <c r="AC312"/>
  <c r="AD312"/>
  <c r="AE312"/>
  <c r="AF312"/>
  <c r="AG312"/>
  <c r="AW312"/>
  <c r="AX312"/>
  <c r="BG312"/>
  <c r="BI312"/>
  <c r="BM312"/>
  <c r="BE312" s="1"/>
  <c r="BZ312"/>
  <c r="CB312"/>
  <c r="CG312"/>
  <c r="CD312" s="1"/>
  <c r="AP312" s="1"/>
  <c r="CH312"/>
  <c r="CU312"/>
  <c r="CW312"/>
  <c r="DA312"/>
  <c r="CS312" s="1"/>
  <c r="EF312"/>
  <c r="EM312"/>
  <c r="FD312"/>
  <c r="FQ312"/>
  <c r="O313"/>
  <c r="Z313" s="1"/>
  <c r="AC313"/>
  <c r="AD313"/>
  <c r="AE313"/>
  <c r="AF313"/>
  <c r="AG313"/>
  <c r="AW313"/>
  <c r="AX313"/>
  <c r="BG313"/>
  <c r="BI313"/>
  <c r="BM313"/>
  <c r="BE313" s="1"/>
  <c r="BZ313"/>
  <c r="CB313"/>
  <c r="CG313"/>
  <c r="CD313" s="1"/>
  <c r="CH313"/>
  <c r="CU313"/>
  <c r="CW313"/>
  <c r="DA313"/>
  <c r="CS313" s="1"/>
  <c r="EF313"/>
  <c r="EM313"/>
  <c r="FD313"/>
  <c r="FQ313"/>
  <c r="O314"/>
  <c r="BQ314" s="1"/>
  <c r="AC314"/>
  <c r="AD314"/>
  <c r="AE314"/>
  <c r="AF314"/>
  <c r="AG314"/>
  <c r="AW314"/>
  <c r="AX314"/>
  <c r="BG314"/>
  <c r="BI314"/>
  <c r="BM314"/>
  <c r="BE314" s="1"/>
  <c r="BZ314"/>
  <c r="CB314"/>
  <c r="CG314"/>
  <c r="CD314" s="1"/>
  <c r="AP314" s="1"/>
  <c r="CH314"/>
  <c r="CU314"/>
  <c r="CW314"/>
  <c r="DA314"/>
  <c r="CS314" s="1"/>
  <c r="EF314"/>
  <c r="EM314"/>
  <c r="FD314"/>
  <c r="FQ314"/>
  <c r="O315"/>
  <c r="Z315" s="1"/>
  <c r="AC315"/>
  <c r="AD315"/>
  <c r="AE315"/>
  <c r="AF315"/>
  <c r="AG315"/>
  <c r="AW315"/>
  <c r="AX315"/>
  <c r="BG315"/>
  <c r="BI315"/>
  <c r="BM315"/>
  <c r="BE315" s="1"/>
  <c r="BZ315"/>
  <c r="CB315"/>
  <c r="CG315"/>
  <c r="CH315"/>
  <c r="CU315"/>
  <c r="CW315"/>
  <c r="DA315"/>
  <c r="CS315" s="1"/>
  <c r="EF315"/>
  <c r="EM315"/>
  <c r="FD315"/>
  <c r="FQ315"/>
  <c r="O316"/>
  <c r="BQ316" s="1"/>
  <c r="AC316"/>
  <c r="AD316"/>
  <c r="AE316"/>
  <c r="AF316"/>
  <c r="AG316"/>
  <c r="AW316"/>
  <c r="AX316"/>
  <c r="BG316"/>
  <c r="BI316"/>
  <c r="BM316"/>
  <c r="BE316" s="1"/>
  <c r="BZ316"/>
  <c r="CB316"/>
  <c r="CG316"/>
  <c r="CD316" s="1"/>
  <c r="AP316" s="1"/>
  <c r="CH316"/>
  <c r="CU316"/>
  <c r="CW316"/>
  <c r="DA316"/>
  <c r="CS316" s="1"/>
  <c r="EF316"/>
  <c r="EM316"/>
  <c r="FD316"/>
  <c r="FQ316"/>
  <c r="O317"/>
  <c r="Z317" s="1"/>
  <c r="AC317"/>
  <c r="AD317"/>
  <c r="AE317"/>
  <c r="AF317"/>
  <c r="AG317"/>
  <c r="AW317"/>
  <c r="AX317"/>
  <c r="BG317"/>
  <c r="BI317"/>
  <c r="BM317"/>
  <c r="BE317" s="1"/>
  <c r="BZ317"/>
  <c r="CB317"/>
  <c r="CG317"/>
  <c r="CD317" s="1"/>
  <c r="CH317"/>
  <c r="CU317"/>
  <c r="CW317"/>
  <c r="DA317"/>
  <c r="CS317" s="1"/>
  <c r="EF317"/>
  <c r="EM317"/>
  <c r="FD317"/>
  <c r="FQ317"/>
  <c r="O318"/>
  <c r="BQ318" s="1"/>
  <c r="AC318"/>
  <c r="AD318"/>
  <c r="AE318"/>
  <c r="AF318"/>
  <c r="AG318"/>
  <c r="AW318"/>
  <c r="AX318"/>
  <c r="BG318"/>
  <c r="BI318"/>
  <c r="BM318"/>
  <c r="BE318" s="1"/>
  <c r="BZ318"/>
  <c r="CB318"/>
  <c r="CG318"/>
  <c r="CD318" s="1"/>
  <c r="AP318" s="1"/>
  <c r="CH318"/>
  <c r="CU318"/>
  <c r="CW318"/>
  <c r="DA318"/>
  <c r="CS318" s="1"/>
  <c r="EF318"/>
  <c r="EM318"/>
  <c r="FD318"/>
  <c r="FQ318"/>
  <c r="O319"/>
  <c r="Z319" s="1"/>
  <c r="AC319"/>
  <c r="AD319"/>
  <c r="AE319"/>
  <c r="AF319"/>
  <c r="AG319"/>
  <c r="AW319"/>
  <c r="AX319"/>
  <c r="BG319"/>
  <c r="BI319"/>
  <c r="BM319"/>
  <c r="BE319" s="1"/>
  <c r="BZ319"/>
  <c r="CB319"/>
  <c r="CG319"/>
  <c r="CH319"/>
  <c r="CU319"/>
  <c r="CW319"/>
  <c r="DA319"/>
  <c r="CS319" s="1"/>
  <c r="EF319"/>
  <c r="EM319"/>
  <c r="FD319"/>
  <c r="FQ319"/>
  <c r="O320"/>
  <c r="BQ320" s="1"/>
  <c r="AC320"/>
  <c r="AD320"/>
  <c r="AE320"/>
  <c r="AF320"/>
  <c r="AG320"/>
  <c r="AW320"/>
  <c r="AX320"/>
  <c r="BG320"/>
  <c r="BI320"/>
  <c r="BM320"/>
  <c r="BE320" s="1"/>
  <c r="BZ320"/>
  <c r="CB320"/>
  <c r="CG320"/>
  <c r="CD320" s="1"/>
  <c r="AP320" s="1"/>
  <c r="CH320"/>
  <c r="CU320"/>
  <c r="CW320"/>
  <c r="DA320"/>
  <c r="CS320" s="1"/>
  <c r="EF320"/>
  <c r="EM320"/>
  <c r="FD320"/>
  <c r="FQ320"/>
  <c r="O321"/>
  <c r="AC321"/>
  <c r="AD321"/>
  <c r="AE321"/>
  <c r="AF321"/>
  <c r="AG321"/>
  <c r="AW321"/>
  <c r="AX321"/>
  <c r="BG321"/>
  <c r="BI321"/>
  <c r="BM321"/>
  <c r="BE321" s="1"/>
  <c r="BZ321"/>
  <c r="CB321"/>
  <c r="CG321"/>
  <c r="CD321" s="1"/>
  <c r="CH321"/>
  <c r="CU321"/>
  <c r="CW321"/>
  <c r="DA321"/>
  <c r="CS321" s="1"/>
  <c r="EF321"/>
  <c r="EM321"/>
  <c r="FD321"/>
  <c r="FQ321"/>
  <c r="O322"/>
  <c r="BQ322" s="1"/>
  <c r="AC322"/>
  <c r="AD322"/>
  <c r="AE322"/>
  <c r="AF322"/>
  <c r="AG322"/>
  <c r="AW322"/>
  <c r="AX322"/>
  <c r="BG322"/>
  <c r="BI322"/>
  <c r="BM322"/>
  <c r="BE322" s="1"/>
  <c r="BZ322"/>
  <c r="CB322"/>
  <c r="CG322"/>
  <c r="CD322" s="1"/>
  <c r="AP322" s="1"/>
  <c r="CH322"/>
  <c r="CU322"/>
  <c r="CW322"/>
  <c r="DA322"/>
  <c r="CS322" s="1"/>
  <c r="EF322"/>
  <c r="EM322"/>
  <c r="FD322"/>
  <c r="FQ322"/>
  <c r="O323"/>
  <c r="AC323"/>
  <c r="AD323"/>
  <c r="AE323"/>
  <c r="AF323"/>
  <c r="AG323"/>
  <c r="AW323"/>
  <c r="AX323"/>
  <c r="BG323"/>
  <c r="BI323"/>
  <c r="BM323"/>
  <c r="BE323" s="1"/>
  <c r="BZ323"/>
  <c r="CB323"/>
  <c r="CG323"/>
  <c r="CH323"/>
  <c r="CU323"/>
  <c r="CW323"/>
  <c r="DA323"/>
  <c r="CS323" s="1"/>
  <c r="EF323"/>
  <c r="EM323"/>
  <c r="FD323"/>
  <c r="FQ323"/>
  <c r="O324"/>
  <c r="CL324" s="1"/>
  <c r="AC324"/>
  <c r="AD324"/>
  <c r="AE324"/>
  <c r="AF324"/>
  <c r="AG324"/>
  <c r="AW324"/>
  <c r="AX324"/>
  <c r="BG324"/>
  <c r="BI324"/>
  <c r="BM324"/>
  <c r="BE324" s="1"/>
  <c r="BZ324"/>
  <c r="CB324"/>
  <c r="CG324"/>
  <c r="CD324" s="1"/>
  <c r="AP324" s="1"/>
  <c r="CH324"/>
  <c r="CU324"/>
  <c r="CW324"/>
  <c r="DA324"/>
  <c r="CS324" s="1"/>
  <c r="EF324"/>
  <c r="EM324"/>
  <c r="FD324"/>
  <c r="FQ324"/>
  <c r="O325"/>
  <c r="AC325"/>
  <c r="AD325"/>
  <c r="AE325"/>
  <c r="AF325"/>
  <c r="AG325"/>
  <c r="AW325"/>
  <c r="AX325"/>
  <c r="BG325"/>
  <c r="BI325"/>
  <c r="BM325"/>
  <c r="BE325" s="1"/>
  <c r="BZ325"/>
  <c r="CB325"/>
  <c r="CG325"/>
  <c r="CD325" s="1"/>
  <c r="CH325"/>
  <c r="CU325"/>
  <c r="CW325"/>
  <c r="DA325"/>
  <c r="CS325" s="1"/>
  <c r="EF325"/>
  <c r="EM325"/>
  <c r="FD325"/>
  <c r="FQ325"/>
  <c r="O326"/>
  <c r="DE326" s="1"/>
  <c r="AC326"/>
  <c r="AD326"/>
  <c r="AE326"/>
  <c r="AF326"/>
  <c r="AG326"/>
  <c r="AW326"/>
  <c r="AX326"/>
  <c r="BG326"/>
  <c r="BI326"/>
  <c r="BM326"/>
  <c r="BE326" s="1"/>
  <c r="BZ326"/>
  <c r="CB326"/>
  <c r="CG326"/>
  <c r="CD326" s="1"/>
  <c r="AP326" s="1"/>
  <c r="CH326"/>
  <c r="CU326"/>
  <c r="CW326"/>
  <c r="DA326"/>
  <c r="CS326" s="1"/>
  <c r="EF326"/>
  <c r="EM326"/>
  <c r="FD326"/>
  <c r="FQ326"/>
  <c r="O327"/>
  <c r="AC327"/>
  <c r="AD327"/>
  <c r="AE327"/>
  <c r="AF327"/>
  <c r="AG327"/>
  <c r="AW327"/>
  <c r="AX327"/>
  <c r="BG327"/>
  <c r="BI327"/>
  <c r="BM327"/>
  <c r="BE327" s="1"/>
  <c r="BZ327"/>
  <c r="CB327"/>
  <c r="CG327"/>
  <c r="CH327"/>
  <c r="CU327"/>
  <c r="CW327"/>
  <c r="DA327"/>
  <c r="CS327" s="1"/>
  <c r="EF327"/>
  <c r="EM327"/>
  <c r="FD327"/>
  <c r="FQ327"/>
  <c r="O328"/>
  <c r="CL328" s="1"/>
  <c r="AC328"/>
  <c r="AD328"/>
  <c r="AE328"/>
  <c r="AF328"/>
  <c r="AG328"/>
  <c r="AW328"/>
  <c r="AX328"/>
  <c r="BG328"/>
  <c r="BI328"/>
  <c r="BM328"/>
  <c r="BE328" s="1"/>
  <c r="BZ328"/>
  <c r="CB328"/>
  <c r="CG328"/>
  <c r="CD328" s="1"/>
  <c r="AP328" s="1"/>
  <c r="CH328"/>
  <c r="CU328"/>
  <c r="CW328"/>
  <c r="DA328"/>
  <c r="CS328" s="1"/>
  <c r="EF328"/>
  <c r="EM328"/>
  <c r="FD328"/>
  <c r="FQ328"/>
  <c r="O329"/>
  <c r="AC329"/>
  <c r="AD329"/>
  <c r="AE329"/>
  <c r="AF329"/>
  <c r="AG329"/>
  <c r="AW329"/>
  <c r="AX329"/>
  <c r="BG329"/>
  <c r="BI329"/>
  <c r="BM329"/>
  <c r="BE329" s="1"/>
  <c r="BZ329"/>
  <c r="CB329"/>
  <c r="CG329"/>
  <c r="CD329" s="1"/>
  <c r="CH329"/>
  <c r="CU329"/>
  <c r="CW329"/>
  <c r="DA329"/>
  <c r="CS329" s="1"/>
  <c r="EF329"/>
  <c r="EM329"/>
  <c r="FD329"/>
  <c r="FQ329"/>
  <c r="O330"/>
  <c r="CL330" s="1"/>
  <c r="AC330"/>
  <c r="AD330"/>
  <c r="AE330"/>
  <c r="AF330"/>
  <c r="AG330"/>
  <c r="AW330"/>
  <c r="AX330"/>
  <c r="BG330"/>
  <c r="BI330"/>
  <c r="BM330"/>
  <c r="BE330" s="1"/>
  <c r="BZ330"/>
  <c r="CB330"/>
  <c r="CG330"/>
  <c r="CD330" s="1"/>
  <c r="AP330" s="1"/>
  <c r="CH330"/>
  <c r="CU330"/>
  <c r="CW330"/>
  <c r="DA330"/>
  <c r="CS330" s="1"/>
  <c r="EF330"/>
  <c r="EM330"/>
  <c r="FD330"/>
  <c r="FQ330"/>
  <c r="O331"/>
  <c r="AC331"/>
  <c r="AD331"/>
  <c r="AE331"/>
  <c r="AF331"/>
  <c r="AG331"/>
  <c r="AW331"/>
  <c r="AX331"/>
  <c r="BG331"/>
  <c r="BI331"/>
  <c r="BM331"/>
  <c r="BE331" s="1"/>
  <c r="BZ331"/>
  <c r="CB331"/>
  <c r="CG331"/>
  <c r="CH331"/>
  <c r="CU331"/>
  <c r="CW331"/>
  <c r="DA331"/>
  <c r="CS331" s="1"/>
  <c r="EF331"/>
  <c r="EM331"/>
  <c r="FD331"/>
  <c r="FQ331"/>
  <c r="O332"/>
  <c r="CL332" s="1"/>
  <c r="AC332"/>
  <c r="AD332"/>
  <c r="AE332"/>
  <c r="AF332"/>
  <c r="AG332"/>
  <c r="AW332"/>
  <c r="AX332"/>
  <c r="BG332"/>
  <c r="BI332"/>
  <c r="BM332"/>
  <c r="BE332" s="1"/>
  <c r="BZ332"/>
  <c r="CB332"/>
  <c r="CG332"/>
  <c r="CD332" s="1"/>
  <c r="AP332" s="1"/>
  <c r="CH332"/>
  <c r="CU332"/>
  <c r="CW332"/>
  <c r="DA332"/>
  <c r="CS332" s="1"/>
  <c r="EF332"/>
  <c r="EM332"/>
  <c r="FD332"/>
  <c r="FQ332"/>
  <c r="O333"/>
  <c r="AC333"/>
  <c r="AD333"/>
  <c r="AE333"/>
  <c r="AF333"/>
  <c r="AG333"/>
  <c r="AW333"/>
  <c r="AX333"/>
  <c r="BG333"/>
  <c r="BI333"/>
  <c r="BM333"/>
  <c r="BE333" s="1"/>
  <c r="BZ333"/>
  <c r="CB333"/>
  <c r="CG333"/>
  <c r="CD333" s="1"/>
  <c r="CH333"/>
  <c r="CU333"/>
  <c r="CW333"/>
  <c r="DA333"/>
  <c r="CS333" s="1"/>
  <c r="EF333"/>
  <c r="EM333"/>
  <c r="FD333"/>
  <c r="FQ333"/>
  <c r="O334"/>
  <c r="CL334" s="1"/>
  <c r="AC334"/>
  <c r="AD334"/>
  <c r="AE334"/>
  <c r="AF334"/>
  <c r="AG334"/>
  <c r="AW334"/>
  <c r="AX334"/>
  <c r="BG334"/>
  <c r="BI334"/>
  <c r="BM334"/>
  <c r="BE334" s="1"/>
  <c r="BZ334"/>
  <c r="CB334"/>
  <c r="CG334"/>
  <c r="CD334" s="1"/>
  <c r="AP334" s="1"/>
  <c r="CH334"/>
  <c r="CU334"/>
  <c r="CW334"/>
  <c r="DA334"/>
  <c r="CS334" s="1"/>
  <c r="EF334"/>
  <c r="EM334"/>
  <c r="FD334"/>
  <c r="FQ334"/>
  <c r="O335"/>
  <c r="AC335"/>
  <c r="AD335"/>
  <c r="AE335"/>
  <c r="AF335"/>
  <c r="AG335"/>
  <c r="AW335"/>
  <c r="AX335"/>
  <c r="BG335"/>
  <c r="BI335"/>
  <c r="BM335"/>
  <c r="BE335" s="1"/>
  <c r="BZ335"/>
  <c r="CB335"/>
  <c r="CG335"/>
  <c r="CH335"/>
  <c r="CU335"/>
  <c r="CW335"/>
  <c r="DA335"/>
  <c r="CS335" s="1"/>
  <c r="EF335"/>
  <c r="EM335"/>
  <c r="FD335"/>
  <c r="FQ335"/>
  <c r="O336"/>
  <c r="CL336" s="1"/>
  <c r="AC336"/>
  <c r="AD336"/>
  <c r="AE336"/>
  <c r="AF336"/>
  <c r="AG336"/>
  <c r="AW336"/>
  <c r="AX336"/>
  <c r="BG336"/>
  <c r="BI336"/>
  <c r="BM336"/>
  <c r="BE336" s="1"/>
  <c r="BZ336"/>
  <c r="CB336"/>
  <c r="CG336"/>
  <c r="CH336"/>
  <c r="CU336"/>
  <c r="CW336"/>
  <c r="DA336"/>
  <c r="CS336" s="1"/>
  <c r="EF336"/>
  <c r="EM336"/>
  <c r="FD336"/>
  <c r="FQ336"/>
  <c r="O337"/>
  <c r="AC337"/>
  <c r="AD337"/>
  <c r="AE337"/>
  <c r="AF337"/>
  <c r="AG337"/>
  <c r="AW337"/>
  <c r="AX337"/>
  <c r="BG337"/>
  <c r="BI337"/>
  <c r="BM337"/>
  <c r="BE337" s="1"/>
  <c r="BZ337"/>
  <c r="CB337"/>
  <c r="CG337"/>
  <c r="CH337"/>
  <c r="CU337"/>
  <c r="CW337"/>
  <c r="DA337"/>
  <c r="CS337" s="1"/>
  <c r="EF337"/>
  <c r="EM337"/>
  <c r="FD337"/>
  <c r="FQ337"/>
  <c r="O338"/>
  <c r="BQ338" s="1"/>
  <c r="AC338"/>
  <c r="AD338"/>
  <c r="AE338"/>
  <c r="AF338"/>
  <c r="AG338"/>
  <c r="AW338"/>
  <c r="AX338"/>
  <c r="BG338"/>
  <c r="BI338"/>
  <c r="BM338"/>
  <c r="BE338" s="1"/>
  <c r="BZ338"/>
  <c r="CB338"/>
  <c r="CG338"/>
  <c r="CD338" s="1"/>
  <c r="CH338"/>
  <c r="CU338"/>
  <c r="CW338"/>
  <c r="DA338"/>
  <c r="CS338" s="1"/>
  <c r="EF338"/>
  <c r="EM338"/>
  <c r="FD338"/>
  <c r="FQ338"/>
  <c r="O339"/>
  <c r="AC339"/>
  <c r="AD339"/>
  <c r="AE339"/>
  <c r="AF339"/>
  <c r="AG339"/>
  <c r="AW339"/>
  <c r="AX339"/>
  <c r="BG339"/>
  <c r="BI339"/>
  <c r="BM339"/>
  <c r="BE339" s="1"/>
  <c r="BZ339"/>
  <c r="CB339"/>
  <c r="CG339"/>
  <c r="CH339"/>
  <c r="CU339"/>
  <c r="CW339"/>
  <c r="DA339"/>
  <c r="CS339" s="1"/>
  <c r="EF339"/>
  <c r="EM339"/>
  <c r="FD339"/>
  <c r="FQ339"/>
  <c r="O340"/>
  <c r="BQ340" s="1"/>
  <c r="AC340"/>
  <c r="AD340"/>
  <c r="AE340"/>
  <c r="AF340"/>
  <c r="AG340"/>
  <c r="AW340"/>
  <c r="AX340"/>
  <c r="BG340"/>
  <c r="BI340"/>
  <c r="BM340"/>
  <c r="BE340" s="1"/>
  <c r="BZ340"/>
  <c r="CB340"/>
  <c r="CG340"/>
  <c r="CH340"/>
  <c r="CU340"/>
  <c r="CW340"/>
  <c r="DA340"/>
  <c r="CS340" s="1"/>
  <c r="EF340"/>
  <c r="EM340"/>
  <c r="FD340"/>
  <c r="FQ340"/>
  <c r="O341"/>
  <c r="AC341"/>
  <c r="AD341"/>
  <c r="AE341"/>
  <c r="AF341"/>
  <c r="AG341"/>
  <c r="AW341"/>
  <c r="AX341"/>
  <c r="BG341"/>
  <c r="BI341"/>
  <c r="BM341"/>
  <c r="BE341" s="1"/>
  <c r="BZ341"/>
  <c r="CB341"/>
  <c r="CG341"/>
  <c r="CH341"/>
  <c r="CU341"/>
  <c r="CW341"/>
  <c r="DA341"/>
  <c r="CS341" s="1"/>
  <c r="EF341"/>
  <c r="EM341"/>
  <c r="FD341"/>
  <c r="FQ341"/>
  <c r="O342"/>
  <c r="BQ342" s="1"/>
  <c r="AC342"/>
  <c r="AD342"/>
  <c r="AE342"/>
  <c r="AF342"/>
  <c r="AG342"/>
  <c r="AW342"/>
  <c r="AX342"/>
  <c r="BG342"/>
  <c r="BI342"/>
  <c r="BM342"/>
  <c r="BE342" s="1"/>
  <c r="BZ342"/>
  <c r="CB342"/>
  <c r="CG342"/>
  <c r="CD342" s="1"/>
  <c r="CH342"/>
  <c r="CU342"/>
  <c r="CW342"/>
  <c r="DA342"/>
  <c r="CS342" s="1"/>
  <c r="EF342"/>
  <c r="EM342"/>
  <c r="FD342"/>
  <c r="FQ342"/>
  <c r="O343"/>
  <c r="AC343"/>
  <c r="AD343"/>
  <c r="AE343"/>
  <c r="AF343"/>
  <c r="AG343"/>
  <c r="AW343"/>
  <c r="AX343"/>
  <c r="BG343"/>
  <c r="BI343"/>
  <c r="BM343"/>
  <c r="BE343" s="1"/>
  <c r="BZ343"/>
  <c r="CB343"/>
  <c r="CG343"/>
  <c r="CD343" s="1"/>
  <c r="CH343"/>
  <c r="CU343"/>
  <c r="CW343"/>
  <c r="DA343"/>
  <c r="CS343" s="1"/>
  <c r="EF343"/>
  <c r="EM343"/>
  <c r="FD343"/>
  <c r="FQ343"/>
  <c r="O344"/>
  <c r="BQ344" s="1"/>
  <c r="AC344"/>
  <c r="AD344"/>
  <c r="AE344"/>
  <c r="AF344"/>
  <c r="AG344"/>
  <c r="AW344"/>
  <c r="AX344"/>
  <c r="BG344"/>
  <c r="BI344"/>
  <c r="BM344"/>
  <c r="BE344" s="1"/>
  <c r="BZ344"/>
  <c r="CB344"/>
  <c r="CG344"/>
  <c r="CD344" s="1"/>
  <c r="AP344" s="1"/>
  <c r="CH344"/>
  <c r="CU344"/>
  <c r="CW344"/>
  <c r="DA344"/>
  <c r="CS344" s="1"/>
  <c r="EF344"/>
  <c r="EM344"/>
  <c r="FD344"/>
  <c r="FQ344"/>
  <c r="O345"/>
  <c r="AC345"/>
  <c r="AD345"/>
  <c r="AE345"/>
  <c r="AF345"/>
  <c r="AG345"/>
  <c r="AW345"/>
  <c r="AX345"/>
  <c r="BG345"/>
  <c r="BI345"/>
  <c r="BM345"/>
  <c r="BE345" s="1"/>
  <c r="BZ345"/>
  <c r="CB345"/>
  <c r="CG345"/>
  <c r="CH345"/>
  <c r="CU345"/>
  <c r="CW345"/>
  <c r="DA345"/>
  <c r="CS345" s="1"/>
  <c r="EF345"/>
  <c r="EM345"/>
  <c r="FD345"/>
  <c r="FQ345"/>
  <c r="O346"/>
  <c r="BQ346" s="1"/>
  <c r="AC346"/>
  <c r="AD346"/>
  <c r="AE346"/>
  <c r="AF346"/>
  <c r="AG346"/>
  <c r="AW346"/>
  <c r="AX346"/>
  <c r="BG346"/>
  <c r="BI346"/>
  <c r="BM346"/>
  <c r="BE346" s="1"/>
  <c r="BZ346"/>
  <c r="CB346"/>
  <c r="CG346"/>
  <c r="CD346" s="1"/>
  <c r="CH346"/>
  <c r="CU346"/>
  <c r="CW346"/>
  <c r="DA346"/>
  <c r="CS346" s="1"/>
  <c r="EF346"/>
  <c r="EM346"/>
  <c r="FD346"/>
  <c r="FQ346"/>
  <c r="O347"/>
  <c r="AC347"/>
  <c r="AD347"/>
  <c r="AE347"/>
  <c r="AF347"/>
  <c r="AG347"/>
  <c r="AW347"/>
  <c r="AX347"/>
  <c r="BG347"/>
  <c r="BI347"/>
  <c r="BM347"/>
  <c r="BE347" s="1"/>
  <c r="BZ347"/>
  <c r="CB347"/>
  <c r="CG347"/>
  <c r="CD347" s="1"/>
  <c r="CH347"/>
  <c r="CU347"/>
  <c r="CW347"/>
  <c r="DA347"/>
  <c r="CS347" s="1"/>
  <c r="EF347"/>
  <c r="EM347"/>
  <c r="FD347"/>
  <c r="FQ347"/>
  <c r="O348"/>
  <c r="BQ348" s="1"/>
  <c r="AC348"/>
  <c r="AD348"/>
  <c r="AE348"/>
  <c r="AF348"/>
  <c r="AG348"/>
  <c r="AW348"/>
  <c r="AX348"/>
  <c r="BG348"/>
  <c r="BI348"/>
  <c r="BM348"/>
  <c r="BE348" s="1"/>
  <c r="BZ348"/>
  <c r="CB348"/>
  <c r="CG348"/>
  <c r="CD348" s="1"/>
  <c r="AP348" s="1"/>
  <c r="CH348"/>
  <c r="CU348"/>
  <c r="CW348"/>
  <c r="DA348"/>
  <c r="CS348" s="1"/>
  <c r="EF348"/>
  <c r="EM348"/>
  <c r="FD348"/>
  <c r="FQ348"/>
  <c r="O349"/>
  <c r="AC349"/>
  <c r="AD349"/>
  <c r="AE349"/>
  <c r="AF349"/>
  <c r="AG349"/>
  <c r="AW349"/>
  <c r="AX349"/>
  <c r="BG349"/>
  <c r="BI349"/>
  <c r="BM349"/>
  <c r="BE349" s="1"/>
  <c r="BZ349"/>
  <c r="CB349"/>
  <c r="CG349"/>
  <c r="CH349"/>
  <c r="CU349"/>
  <c r="CW349"/>
  <c r="DA349"/>
  <c r="CS349" s="1"/>
  <c r="EF349"/>
  <c r="EM349"/>
  <c r="FD349"/>
  <c r="FQ349"/>
  <c r="O350"/>
  <c r="BQ350" s="1"/>
  <c r="AC350"/>
  <c r="AD350"/>
  <c r="AE350"/>
  <c r="AF350"/>
  <c r="AG350"/>
  <c r="AW350"/>
  <c r="AX350"/>
  <c r="BG350"/>
  <c r="BI350"/>
  <c r="BM350"/>
  <c r="BE350" s="1"/>
  <c r="BZ350"/>
  <c r="CB350"/>
  <c r="CG350"/>
  <c r="CD350" s="1"/>
  <c r="CH350"/>
  <c r="CU350"/>
  <c r="CW350"/>
  <c r="DA350"/>
  <c r="CS350" s="1"/>
  <c r="EF350"/>
  <c r="EM350"/>
  <c r="FD350"/>
  <c r="FQ350"/>
  <c r="O351"/>
  <c r="AC351"/>
  <c r="AD351"/>
  <c r="AE351"/>
  <c r="AF351"/>
  <c r="AG351"/>
  <c r="AW351"/>
  <c r="AX351"/>
  <c r="BG351"/>
  <c r="BI351"/>
  <c r="BM351"/>
  <c r="BE351" s="1"/>
  <c r="BZ351"/>
  <c r="CB351"/>
  <c r="CG351"/>
  <c r="CD351" s="1"/>
  <c r="CH351"/>
  <c r="CU351"/>
  <c r="CW351"/>
  <c r="DA351"/>
  <c r="CS351" s="1"/>
  <c r="EF351"/>
  <c r="EM351"/>
  <c r="FD351"/>
  <c r="FQ351"/>
  <c r="O352"/>
  <c r="BQ352" s="1"/>
  <c r="AC352"/>
  <c r="AD352"/>
  <c r="AE352"/>
  <c r="AF352"/>
  <c r="AG352"/>
  <c r="AW352"/>
  <c r="AX352"/>
  <c r="BG352"/>
  <c r="BI352"/>
  <c r="BM352"/>
  <c r="BE352" s="1"/>
  <c r="BZ352"/>
  <c r="CB352"/>
  <c r="CG352"/>
  <c r="CD352" s="1"/>
  <c r="AP352" s="1"/>
  <c r="CH352"/>
  <c r="CU352"/>
  <c r="CW352"/>
  <c r="DA352"/>
  <c r="CS352" s="1"/>
  <c r="EF352"/>
  <c r="EM352"/>
  <c r="FD352"/>
  <c r="FQ352"/>
  <c r="O353"/>
  <c r="AC353"/>
  <c r="AD353"/>
  <c r="AE353"/>
  <c r="AF353"/>
  <c r="AG353"/>
  <c r="AW353"/>
  <c r="AX353"/>
  <c r="BG353"/>
  <c r="BI353"/>
  <c r="BM353"/>
  <c r="BE353" s="1"/>
  <c r="BZ353"/>
  <c r="CB353"/>
  <c r="CG353"/>
  <c r="CH353"/>
  <c r="CU353"/>
  <c r="CW353"/>
  <c r="DA353"/>
  <c r="CS353" s="1"/>
  <c r="EF353"/>
  <c r="EM353"/>
  <c r="FD353"/>
  <c r="FQ353"/>
  <c r="O354"/>
  <c r="BQ354" s="1"/>
  <c r="AC354"/>
  <c r="AD354"/>
  <c r="AE354"/>
  <c r="AF354"/>
  <c r="AG354"/>
  <c r="AW354"/>
  <c r="AX354"/>
  <c r="BG354"/>
  <c r="BI354"/>
  <c r="BM354"/>
  <c r="BE354" s="1"/>
  <c r="BZ354"/>
  <c r="CB354"/>
  <c r="CG354"/>
  <c r="CD354" s="1"/>
  <c r="CH354"/>
  <c r="CU354"/>
  <c r="CW354"/>
  <c r="DA354"/>
  <c r="CS354" s="1"/>
  <c r="EF354"/>
  <c r="EM354"/>
  <c r="FD354"/>
  <c r="FQ354"/>
  <c r="O355"/>
  <c r="AC355"/>
  <c r="AD355"/>
  <c r="AE355"/>
  <c r="AF355"/>
  <c r="AG355"/>
  <c r="AW355"/>
  <c r="AX355"/>
  <c r="BG355"/>
  <c r="BI355"/>
  <c r="BM355"/>
  <c r="BE355" s="1"/>
  <c r="BZ355"/>
  <c r="CB355"/>
  <c r="CG355"/>
  <c r="CD355" s="1"/>
  <c r="CH355"/>
  <c r="CU355"/>
  <c r="CW355"/>
  <c r="DA355"/>
  <c r="CS355" s="1"/>
  <c r="EF355"/>
  <c r="EM355"/>
  <c r="FD355"/>
  <c r="FQ355"/>
  <c r="O356"/>
  <c r="BQ356" s="1"/>
  <c r="AC356"/>
  <c r="AD356"/>
  <c r="AE356"/>
  <c r="AF356"/>
  <c r="AG356"/>
  <c r="AW356"/>
  <c r="AX356"/>
  <c r="BG356"/>
  <c r="BI356"/>
  <c r="BM356"/>
  <c r="BE356" s="1"/>
  <c r="BZ356"/>
  <c r="CB356"/>
  <c r="CG356"/>
  <c r="CD356" s="1"/>
  <c r="AP356" s="1"/>
  <c r="CH356"/>
  <c r="CU356"/>
  <c r="CW356"/>
  <c r="DA356"/>
  <c r="CS356" s="1"/>
  <c r="EF356"/>
  <c r="EM356"/>
  <c r="FD356"/>
  <c r="FQ356"/>
  <c r="O357"/>
  <c r="AC357"/>
  <c r="AD357"/>
  <c r="AE357"/>
  <c r="AF357"/>
  <c r="AG357"/>
  <c r="AW357"/>
  <c r="AX357"/>
  <c r="BG357"/>
  <c r="BI357"/>
  <c r="BM357"/>
  <c r="BE357" s="1"/>
  <c r="BZ357"/>
  <c r="CB357"/>
  <c r="CG357"/>
  <c r="CH357"/>
  <c r="CU357"/>
  <c r="CW357"/>
  <c r="DA357"/>
  <c r="CS357" s="1"/>
  <c r="EF357"/>
  <c r="EM357"/>
  <c r="FD357"/>
  <c r="FQ357"/>
  <c r="O358"/>
  <c r="BQ358" s="1"/>
  <c r="AC358"/>
  <c r="AD358"/>
  <c r="AE358"/>
  <c r="AF358"/>
  <c r="AG358"/>
  <c r="AW358"/>
  <c r="AX358"/>
  <c r="BG358"/>
  <c r="BI358"/>
  <c r="BM358"/>
  <c r="BE358" s="1"/>
  <c r="BZ358"/>
  <c r="CB358"/>
  <c r="CG358"/>
  <c r="CD358" s="1"/>
  <c r="CH358"/>
  <c r="CU358"/>
  <c r="CW358"/>
  <c r="DA358"/>
  <c r="CS358" s="1"/>
  <c r="EF358"/>
  <c r="EM358"/>
  <c r="FD358"/>
  <c r="FQ358"/>
  <c r="O359"/>
  <c r="AC359"/>
  <c r="AD359"/>
  <c r="AE359"/>
  <c r="AF359"/>
  <c r="AG359"/>
  <c r="AW359"/>
  <c r="AX359"/>
  <c r="BG359"/>
  <c r="BI359"/>
  <c r="BM359"/>
  <c r="BE359" s="1"/>
  <c r="BZ359"/>
  <c r="CB359"/>
  <c r="CG359"/>
  <c r="CD359" s="1"/>
  <c r="CH359"/>
  <c r="CU359"/>
  <c r="CW359"/>
  <c r="DA359"/>
  <c r="CS359" s="1"/>
  <c r="EF359"/>
  <c r="EM359"/>
  <c r="FD359"/>
  <c r="FQ359"/>
  <c r="O360"/>
  <c r="BQ360" s="1"/>
  <c r="AC360"/>
  <c r="AD360"/>
  <c r="AE360"/>
  <c r="AF360"/>
  <c r="AG360"/>
  <c r="AW360"/>
  <c r="AX360"/>
  <c r="BG360"/>
  <c r="BI360"/>
  <c r="BM360"/>
  <c r="BE360" s="1"/>
  <c r="BZ360"/>
  <c r="CB360"/>
  <c r="CG360"/>
  <c r="CD360" s="1"/>
  <c r="AP360" s="1"/>
  <c r="CH360"/>
  <c r="CU360"/>
  <c r="CW360"/>
  <c r="DA360"/>
  <c r="CS360" s="1"/>
  <c r="EF360"/>
  <c r="EM360"/>
  <c r="FD360"/>
  <c r="FQ360"/>
  <c r="O361"/>
  <c r="AC361"/>
  <c r="AD361"/>
  <c r="AE361"/>
  <c r="AF361"/>
  <c r="AG361"/>
  <c r="AW361"/>
  <c r="AX361"/>
  <c r="BG361"/>
  <c r="BI361"/>
  <c r="BM361"/>
  <c r="BE361" s="1"/>
  <c r="BZ361"/>
  <c r="CB361"/>
  <c r="CG361"/>
  <c r="CH361"/>
  <c r="CU361"/>
  <c r="CW361"/>
  <c r="DA361"/>
  <c r="CS361" s="1"/>
  <c r="EF361"/>
  <c r="EM361"/>
  <c r="FD361"/>
  <c r="FQ361"/>
  <c r="O362"/>
  <c r="BQ362" s="1"/>
  <c r="AC362"/>
  <c r="AD362"/>
  <c r="AE362"/>
  <c r="AF362"/>
  <c r="AG362"/>
  <c r="AW362"/>
  <c r="AX362"/>
  <c r="BG362"/>
  <c r="BI362"/>
  <c r="BM362"/>
  <c r="BE362" s="1"/>
  <c r="BZ362"/>
  <c r="CB362"/>
  <c r="CG362"/>
  <c r="CD362" s="1"/>
  <c r="CH362"/>
  <c r="CU362"/>
  <c r="CW362"/>
  <c r="DA362"/>
  <c r="CS362" s="1"/>
  <c r="EF362"/>
  <c r="EM362"/>
  <c r="FD362"/>
  <c r="FQ362"/>
  <c r="O363"/>
  <c r="AC363"/>
  <c r="AD363"/>
  <c r="AE363"/>
  <c r="AF363"/>
  <c r="AG363"/>
  <c r="AW363"/>
  <c r="AX363"/>
  <c r="BG363"/>
  <c r="BI363"/>
  <c r="BM363"/>
  <c r="BE363" s="1"/>
  <c r="BZ363"/>
  <c r="CB363"/>
  <c r="CG363"/>
  <c r="CD363" s="1"/>
  <c r="CH363"/>
  <c r="CU363"/>
  <c r="CW363"/>
  <c r="DA363"/>
  <c r="CS363" s="1"/>
  <c r="EF363"/>
  <c r="EM363"/>
  <c r="FD363"/>
  <c r="FQ363"/>
  <c r="O364"/>
  <c r="BQ364" s="1"/>
  <c r="AC364"/>
  <c r="AD364"/>
  <c r="AE364"/>
  <c r="AF364"/>
  <c r="AG364"/>
  <c r="AW364"/>
  <c r="AX364"/>
  <c r="BG364"/>
  <c r="BI364"/>
  <c r="BM364"/>
  <c r="BE364" s="1"/>
  <c r="BZ364"/>
  <c r="CB364"/>
  <c r="CG364"/>
  <c r="CD364" s="1"/>
  <c r="AP364" s="1"/>
  <c r="CH364"/>
  <c r="CU364"/>
  <c r="CW364"/>
  <c r="DA364"/>
  <c r="CS364" s="1"/>
  <c r="EF364"/>
  <c r="EM364"/>
  <c r="FD364"/>
  <c r="FQ364"/>
  <c r="O365"/>
  <c r="AC365"/>
  <c r="AD365"/>
  <c r="AE365"/>
  <c r="AF365"/>
  <c r="AG365"/>
  <c r="AW365"/>
  <c r="AX365"/>
  <c r="BG365"/>
  <c r="BI365"/>
  <c r="BM365"/>
  <c r="BE365" s="1"/>
  <c r="BZ365"/>
  <c r="CB365"/>
  <c r="CG365"/>
  <c r="CH365"/>
  <c r="CU365"/>
  <c r="CW365"/>
  <c r="DA365"/>
  <c r="CS365" s="1"/>
  <c r="EF365"/>
  <c r="EM365"/>
  <c r="FD365"/>
  <c r="FQ365"/>
  <c r="O366"/>
  <c r="BQ366" s="1"/>
  <c r="AC366"/>
  <c r="AD366"/>
  <c r="AE366"/>
  <c r="AF366"/>
  <c r="AG366"/>
  <c r="AW366"/>
  <c r="AX366"/>
  <c r="BG366"/>
  <c r="BI366"/>
  <c r="BM366"/>
  <c r="BE366" s="1"/>
  <c r="BZ366"/>
  <c r="CB366"/>
  <c r="CG366"/>
  <c r="CD366" s="1"/>
  <c r="CH366"/>
  <c r="CU366"/>
  <c r="CW366"/>
  <c r="DA366"/>
  <c r="CS366" s="1"/>
  <c r="EF366"/>
  <c r="EM366"/>
  <c r="FD366"/>
  <c r="FQ366"/>
  <c r="O367"/>
  <c r="AC367"/>
  <c r="AD367"/>
  <c r="AE367"/>
  <c r="AF367"/>
  <c r="AG367"/>
  <c r="AW367"/>
  <c r="AX367"/>
  <c r="BG367"/>
  <c r="BI367"/>
  <c r="BM367"/>
  <c r="BE367" s="1"/>
  <c r="BZ367"/>
  <c r="CB367"/>
  <c r="CG367"/>
  <c r="CD367" s="1"/>
  <c r="CH367"/>
  <c r="CU367"/>
  <c r="CW367"/>
  <c r="DA367"/>
  <c r="CS367" s="1"/>
  <c r="EF367"/>
  <c r="EM367"/>
  <c r="FD367"/>
  <c r="FQ367"/>
  <c r="O368"/>
  <c r="BQ368" s="1"/>
  <c r="AC368"/>
  <c r="AD368"/>
  <c r="AE368"/>
  <c r="AF368"/>
  <c r="AG368"/>
  <c r="AW368"/>
  <c r="AX368"/>
  <c r="BG368"/>
  <c r="BI368"/>
  <c r="BM368"/>
  <c r="BE368" s="1"/>
  <c r="BZ368"/>
  <c r="CB368"/>
  <c r="CG368"/>
  <c r="CD368" s="1"/>
  <c r="AP368" s="1"/>
  <c r="CH368"/>
  <c r="CU368"/>
  <c r="CW368"/>
  <c r="DA368"/>
  <c r="CS368" s="1"/>
  <c r="EF368"/>
  <c r="EM368"/>
  <c r="FD368"/>
  <c r="FQ368"/>
  <c r="O369"/>
  <c r="AC369"/>
  <c r="AD369"/>
  <c r="AE369"/>
  <c r="AF369"/>
  <c r="AG369"/>
  <c r="AW369"/>
  <c r="AX369"/>
  <c r="BG369"/>
  <c r="BI369"/>
  <c r="BM369"/>
  <c r="BE369" s="1"/>
  <c r="BZ369"/>
  <c r="CB369"/>
  <c r="CG369"/>
  <c r="CH369"/>
  <c r="CU369"/>
  <c r="CW369"/>
  <c r="DA369"/>
  <c r="CS369" s="1"/>
  <c r="EF369"/>
  <c r="EM369"/>
  <c r="FD369"/>
  <c r="FQ369"/>
  <c r="O370"/>
  <c r="BQ370" s="1"/>
  <c r="AC370"/>
  <c r="AD370"/>
  <c r="AE370"/>
  <c r="AF370"/>
  <c r="AG370"/>
  <c r="AW370"/>
  <c r="AX370"/>
  <c r="BG370"/>
  <c r="BI370"/>
  <c r="BM370"/>
  <c r="BE370" s="1"/>
  <c r="BZ370"/>
  <c r="CB370"/>
  <c r="CG370"/>
  <c r="CD370" s="1"/>
  <c r="CH370"/>
  <c r="CU370"/>
  <c r="CW370"/>
  <c r="DA370"/>
  <c r="CS370" s="1"/>
  <c r="EF370"/>
  <c r="EM370"/>
  <c r="FD370"/>
  <c r="FQ370"/>
  <c r="O371"/>
  <c r="AC371"/>
  <c r="AD371"/>
  <c r="AE371"/>
  <c r="AF371"/>
  <c r="AG371"/>
  <c r="AW371"/>
  <c r="AX371"/>
  <c r="BG371"/>
  <c r="BI371"/>
  <c r="BM371"/>
  <c r="BE371" s="1"/>
  <c r="BZ371"/>
  <c r="CB371"/>
  <c r="CG371"/>
  <c r="CD371" s="1"/>
  <c r="CH371"/>
  <c r="CU371"/>
  <c r="CW371"/>
  <c r="DA371"/>
  <c r="CS371" s="1"/>
  <c r="EF371"/>
  <c r="EM371"/>
  <c r="FD371"/>
  <c r="FQ371"/>
  <c r="O372"/>
  <c r="BQ372" s="1"/>
  <c r="AC372"/>
  <c r="AD372"/>
  <c r="AE372"/>
  <c r="AF372"/>
  <c r="AG372"/>
  <c r="AW372"/>
  <c r="AX372"/>
  <c r="BG372"/>
  <c r="BI372"/>
  <c r="BM372"/>
  <c r="BE372" s="1"/>
  <c r="BZ372"/>
  <c r="CB372"/>
  <c r="CG372"/>
  <c r="CD372" s="1"/>
  <c r="AP372" s="1"/>
  <c r="CH372"/>
  <c r="CU372"/>
  <c r="CW372"/>
  <c r="DA372"/>
  <c r="CS372" s="1"/>
  <c r="EF372"/>
  <c r="EM372"/>
  <c r="FD372"/>
  <c r="FQ372"/>
  <c r="O373"/>
  <c r="AC373"/>
  <c r="AD373"/>
  <c r="AE373"/>
  <c r="AF373"/>
  <c r="AG373"/>
  <c r="AW373"/>
  <c r="AX373"/>
  <c r="BG373"/>
  <c r="BI373"/>
  <c r="BM373"/>
  <c r="BE373" s="1"/>
  <c r="BZ373"/>
  <c r="CB373"/>
  <c r="CG373"/>
  <c r="CH373"/>
  <c r="CU373"/>
  <c r="CW373"/>
  <c r="DA373"/>
  <c r="CS373" s="1"/>
  <c r="EF373"/>
  <c r="EM373"/>
  <c r="FD373"/>
  <c r="FQ373"/>
  <c r="O374"/>
  <c r="BQ374" s="1"/>
  <c r="AC374"/>
  <c r="AD374"/>
  <c r="AE374"/>
  <c r="AF374"/>
  <c r="AG374"/>
  <c r="AW374"/>
  <c r="AX374"/>
  <c r="BG374"/>
  <c r="BI374"/>
  <c r="BM374"/>
  <c r="BE374" s="1"/>
  <c r="BZ374"/>
  <c r="CB374"/>
  <c r="CG374"/>
  <c r="CD374" s="1"/>
  <c r="CH374"/>
  <c r="CU374"/>
  <c r="CW374"/>
  <c r="DA374"/>
  <c r="CS374" s="1"/>
  <c r="EF374"/>
  <c r="EM374"/>
  <c r="FD374"/>
  <c r="FQ374"/>
  <c r="O375"/>
  <c r="AC375"/>
  <c r="AD375"/>
  <c r="AE375"/>
  <c r="AF375"/>
  <c r="AG375"/>
  <c r="AW375"/>
  <c r="AX375"/>
  <c r="BG375"/>
  <c r="BI375"/>
  <c r="BM375"/>
  <c r="BE375" s="1"/>
  <c r="BZ375"/>
  <c r="CB375"/>
  <c r="CG375"/>
  <c r="CD375" s="1"/>
  <c r="CH375"/>
  <c r="CU375"/>
  <c r="CW375"/>
  <c r="DA375"/>
  <c r="CS375" s="1"/>
  <c r="EF375"/>
  <c r="EM375"/>
  <c r="FD375"/>
  <c r="FQ375"/>
  <c r="O376"/>
  <c r="BQ376" s="1"/>
  <c r="AC376"/>
  <c r="AD376"/>
  <c r="AE376"/>
  <c r="AF376"/>
  <c r="AG376"/>
  <c r="AW376"/>
  <c r="AX376"/>
  <c r="BG376"/>
  <c r="BI376"/>
  <c r="BM376"/>
  <c r="BE376" s="1"/>
  <c r="BZ376"/>
  <c r="CB376"/>
  <c r="CG376"/>
  <c r="CD376" s="1"/>
  <c r="AP376" s="1"/>
  <c r="CH376"/>
  <c r="CU376"/>
  <c r="CW376"/>
  <c r="DA376"/>
  <c r="CS376" s="1"/>
  <c r="EF376"/>
  <c r="EM376"/>
  <c r="FD376"/>
  <c r="FQ376"/>
  <c r="O377"/>
  <c r="AC377"/>
  <c r="AD377"/>
  <c r="AE377"/>
  <c r="AF377"/>
  <c r="AG377"/>
  <c r="AW377"/>
  <c r="AX377"/>
  <c r="BG377"/>
  <c r="BI377"/>
  <c r="BM377"/>
  <c r="BE377" s="1"/>
  <c r="BZ377"/>
  <c r="CB377"/>
  <c r="CG377"/>
  <c r="CH377"/>
  <c r="CU377"/>
  <c r="CW377"/>
  <c r="DA377"/>
  <c r="CS377" s="1"/>
  <c r="EF377"/>
  <c r="EM377"/>
  <c r="FD377"/>
  <c r="FQ377"/>
  <c r="O378"/>
  <c r="BQ378" s="1"/>
  <c r="AC378"/>
  <c r="AD378"/>
  <c r="AE378"/>
  <c r="AF378"/>
  <c r="AG378"/>
  <c r="AW378"/>
  <c r="AX378"/>
  <c r="BG378"/>
  <c r="BI378"/>
  <c r="BM378"/>
  <c r="BE378" s="1"/>
  <c r="BZ378"/>
  <c r="CB378"/>
  <c r="CG378"/>
  <c r="CD378" s="1"/>
  <c r="CH378"/>
  <c r="CU378"/>
  <c r="CW378"/>
  <c r="DA378"/>
  <c r="CS378" s="1"/>
  <c r="EF378"/>
  <c r="EM378"/>
  <c r="FD378"/>
  <c r="FQ378"/>
  <c r="O379"/>
  <c r="AC379"/>
  <c r="AD379"/>
  <c r="AE379"/>
  <c r="AF379"/>
  <c r="AG379"/>
  <c r="AW379"/>
  <c r="AX379"/>
  <c r="BG379"/>
  <c r="BI379"/>
  <c r="BM379"/>
  <c r="BE379" s="1"/>
  <c r="BZ379"/>
  <c r="CB379"/>
  <c r="CG379"/>
  <c r="CD379" s="1"/>
  <c r="CH379"/>
  <c r="CU379"/>
  <c r="CW379"/>
  <c r="DA379"/>
  <c r="CS379" s="1"/>
  <c r="EF379"/>
  <c r="EM379"/>
  <c r="FD379"/>
  <c r="FQ379"/>
  <c r="O380"/>
  <c r="BQ380" s="1"/>
  <c r="AC380"/>
  <c r="AD380"/>
  <c r="AE380"/>
  <c r="AF380"/>
  <c r="AG380"/>
  <c r="AW380"/>
  <c r="AX380"/>
  <c r="BG380"/>
  <c r="BI380"/>
  <c r="BM380"/>
  <c r="BE380" s="1"/>
  <c r="BZ380"/>
  <c r="CB380"/>
  <c r="CG380"/>
  <c r="CD380" s="1"/>
  <c r="AP380" s="1"/>
  <c r="CH380"/>
  <c r="CU380"/>
  <c r="CW380"/>
  <c r="DA380"/>
  <c r="CS380" s="1"/>
  <c r="EF380"/>
  <c r="EM380"/>
  <c r="FD380"/>
  <c r="FQ380"/>
  <c r="O381"/>
  <c r="AC381"/>
  <c r="AD381"/>
  <c r="AE381"/>
  <c r="AF381"/>
  <c r="AG381"/>
  <c r="AW381"/>
  <c r="AX381"/>
  <c r="BG381"/>
  <c r="BI381"/>
  <c r="BM381"/>
  <c r="BE381" s="1"/>
  <c r="BZ381"/>
  <c r="CB381"/>
  <c r="CG381"/>
  <c r="CH381"/>
  <c r="CU381"/>
  <c r="CW381"/>
  <c r="DA381"/>
  <c r="CS381" s="1"/>
  <c r="EF381"/>
  <c r="EM381"/>
  <c r="FD381"/>
  <c r="FQ381"/>
  <c r="F18" i="24"/>
  <c r="U18"/>
  <c r="AM18"/>
  <c r="F19"/>
  <c r="U19"/>
  <c r="AM19"/>
  <c r="F20"/>
  <c r="U20"/>
  <c r="AM20"/>
  <c r="F21"/>
  <c r="U21"/>
  <c r="AM21"/>
  <c r="F22"/>
  <c r="U22"/>
  <c r="AM22"/>
  <c r="F23"/>
  <c r="U23"/>
  <c r="AM23"/>
  <c r="F24"/>
  <c r="U24"/>
  <c r="AM24"/>
  <c r="F25"/>
  <c r="U25"/>
  <c r="AM25"/>
  <c r="F26"/>
  <c r="U26"/>
  <c r="AM26"/>
  <c r="F27"/>
  <c r="U27"/>
  <c r="AM27"/>
  <c r="F28"/>
  <c r="U28"/>
  <c r="AM28"/>
  <c r="F29"/>
  <c r="U29"/>
  <c r="AM29"/>
  <c r="F30"/>
  <c r="U30"/>
  <c r="AM30"/>
  <c r="F31"/>
  <c r="U31"/>
  <c r="AM31"/>
  <c r="F32"/>
  <c r="U32"/>
  <c r="AM32"/>
  <c r="F33"/>
  <c r="U33"/>
  <c r="AM33"/>
  <c r="F34"/>
  <c r="U34"/>
  <c r="AM34"/>
  <c r="F35"/>
  <c r="U35"/>
  <c r="AM35"/>
  <c r="F36"/>
  <c r="U36"/>
  <c r="AM36"/>
  <c r="F37"/>
  <c r="U37"/>
  <c r="AM37"/>
  <c r="F38"/>
  <c r="U38"/>
  <c r="AM38"/>
  <c r="F39"/>
  <c r="U39"/>
  <c r="AM39"/>
  <c r="F40"/>
  <c r="U40"/>
  <c r="AM40"/>
  <c r="F41"/>
  <c r="U41"/>
  <c r="AM41"/>
  <c r="F42"/>
  <c r="U42"/>
  <c r="AM42"/>
  <c r="F43"/>
  <c r="U43"/>
  <c r="AM43"/>
  <c r="F44"/>
  <c r="U44"/>
  <c r="AM44"/>
  <c r="F45"/>
  <c r="U45"/>
  <c r="AM45"/>
  <c r="F46"/>
  <c r="U46"/>
  <c r="AM46"/>
  <c r="F47"/>
  <c r="U47"/>
  <c r="AM47"/>
  <c r="F48"/>
  <c r="U48"/>
  <c r="AM48"/>
  <c r="F49"/>
  <c r="U49"/>
  <c r="AM49"/>
  <c r="F50"/>
  <c r="U50"/>
  <c r="AM50"/>
  <c r="F51"/>
  <c r="U51"/>
  <c r="AM51"/>
  <c r="F52"/>
  <c r="U52"/>
  <c r="AM52"/>
  <c r="F53"/>
  <c r="U53"/>
  <c r="AM53"/>
  <c r="F54"/>
  <c r="U54"/>
  <c r="AM54"/>
  <c r="F55"/>
  <c r="U55"/>
  <c r="AM55"/>
  <c r="F56"/>
  <c r="U56"/>
  <c r="AM56"/>
  <c r="F57"/>
  <c r="U57"/>
  <c r="AM57"/>
  <c r="F58"/>
  <c r="U58"/>
  <c r="AM58"/>
  <c r="F59"/>
  <c r="U59"/>
  <c r="AM59"/>
  <c r="F60"/>
  <c r="U60"/>
  <c r="AM60"/>
  <c r="F61"/>
  <c r="U61"/>
  <c r="AM61"/>
  <c r="F62"/>
  <c r="U62"/>
  <c r="AM62"/>
  <c r="F63"/>
  <c r="U63"/>
  <c r="AM63"/>
  <c r="F64"/>
  <c r="U64"/>
  <c r="AM64"/>
  <c r="F65"/>
  <c r="U65"/>
  <c r="AM65"/>
  <c r="F66"/>
  <c r="U66"/>
  <c r="AM66"/>
  <c r="F67"/>
  <c r="U67"/>
  <c r="AM67"/>
  <c r="F68"/>
  <c r="U68"/>
  <c r="AM68"/>
  <c r="F69"/>
  <c r="U69"/>
  <c r="AM69"/>
  <c r="F70"/>
  <c r="U70"/>
  <c r="AM70"/>
  <c r="F71"/>
  <c r="U71"/>
  <c r="AM71"/>
  <c r="F72"/>
  <c r="U72"/>
  <c r="AM72"/>
  <c r="F73"/>
  <c r="U73"/>
  <c r="AM73"/>
  <c r="F74"/>
  <c r="U74"/>
  <c r="AM74"/>
  <c r="F75"/>
  <c r="U75"/>
  <c r="AM75"/>
  <c r="F76"/>
  <c r="U76"/>
  <c r="AM76"/>
  <c r="F77"/>
  <c r="U77"/>
  <c r="AM77"/>
  <c r="F78"/>
  <c r="U78"/>
  <c r="AM78"/>
  <c r="F79"/>
  <c r="U79"/>
  <c r="AM79"/>
  <c r="F80"/>
  <c r="U80"/>
  <c r="AM80"/>
  <c r="F81"/>
  <c r="U81"/>
  <c r="AM81"/>
  <c r="F82"/>
  <c r="U82"/>
  <c r="AM82"/>
  <c r="F83"/>
  <c r="U83"/>
  <c r="AM83"/>
  <c r="F84"/>
  <c r="U84"/>
  <c r="AM84"/>
  <c r="F85"/>
  <c r="U85"/>
  <c r="AM85"/>
  <c r="F86"/>
  <c r="U86"/>
  <c r="AM86"/>
  <c r="F87"/>
  <c r="U87"/>
  <c r="AM87"/>
  <c r="F88"/>
  <c r="U88"/>
  <c r="AM88"/>
  <c r="F89"/>
  <c r="U89"/>
  <c r="AM89"/>
  <c r="F90"/>
  <c r="U90"/>
  <c r="AM90"/>
  <c r="F91"/>
  <c r="U91"/>
  <c r="AM91"/>
  <c r="F92"/>
  <c r="U92"/>
  <c r="AM92"/>
  <c r="F93"/>
  <c r="U93"/>
  <c r="AM93"/>
  <c r="F94"/>
  <c r="U94"/>
  <c r="AM94"/>
  <c r="F95"/>
  <c r="U95"/>
  <c r="AM95"/>
  <c r="F96"/>
  <c r="U96"/>
  <c r="AM96"/>
  <c r="F97"/>
  <c r="U97"/>
  <c r="AM97"/>
  <c r="F98"/>
  <c r="U98"/>
  <c r="AM98"/>
  <c r="F99"/>
  <c r="U99"/>
  <c r="AM99"/>
  <c r="F100"/>
  <c r="U100"/>
  <c r="AM100"/>
  <c r="F101"/>
  <c r="U101"/>
  <c r="AM101"/>
  <c r="F102"/>
  <c r="U102"/>
  <c r="AM102"/>
  <c r="F103"/>
  <c r="U103"/>
  <c r="AM103"/>
  <c r="F104"/>
  <c r="U104"/>
  <c r="AM104"/>
  <c r="F105"/>
  <c r="U105"/>
  <c r="AM105"/>
  <c r="F106"/>
  <c r="U106"/>
  <c r="AM106"/>
  <c r="F107"/>
  <c r="U107"/>
  <c r="AM107"/>
  <c r="F108"/>
  <c r="U108"/>
  <c r="AM108"/>
  <c r="F109"/>
  <c r="U109"/>
  <c r="AM109"/>
  <c r="F110"/>
  <c r="U110"/>
  <c r="AM110"/>
  <c r="F111"/>
  <c r="U111"/>
  <c r="AM111"/>
  <c r="F112"/>
  <c r="U112"/>
  <c r="AM112"/>
  <c r="F113"/>
  <c r="U113"/>
  <c r="AM113"/>
  <c r="F114"/>
  <c r="U114"/>
  <c r="AM114"/>
  <c r="F115"/>
  <c r="U115"/>
  <c r="AM115"/>
  <c r="F116"/>
  <c r="U116"/>
  <c r="AM116"/>
  <c r="F117"/>
  <c r="U117"/>
  <c r="AM117"/>
  <c r="F118"/>
  <c r="U118"/>
  <c r="AM118"/>
  <c r="F119"/>
  <c r="U119"/>
  <c r="AM119"/>
  <c r="F120"/>
  <c r="U120"/>
  <c r="AM120"/>
  <c r="F121"/>
  <c r="U121"/>
  <c r="AM121"/>
  <c r="F122"/>
  <c r="U122"/>
  <c r="AM122"/>
  <c r="F123"/>
  <c r="U123"/>
  <c r="AM123"/>
  <c r="F124"/>
  <c r="U124"/>
  <c r="AM124"/>
  <c r="F125"/>
  <c r="U125"/>
  <c r="AM125"/>
  <c r="F126"/>
  <c r="U126"/>
  <c r="AM126"/>
  <c r="F127"/>
  <c r="U127"/>
  <c r="AM127"/>
  <c r="F128"/>
  <c r="U128"/>
  <c r="AM128"/>
  <c r="F129"/>
  <c r="U129"/>
  <c r="AM129"/>
  <c r="F130"/>
  <c r="U130"/>
  <c r="AM130"/>
  <c r="F131"/>
  <c r="U131"/>
  <c r="AM131"/>
  <c r="F132"/>
  <c r="U132"/>
  <c r="AM132"/>
  <c r="F133"/>
  <c r="U133"/>
  <c r="AM133"/>
  <c r="F134"/>
  <c r="U134"/>
  <c r="AM134"/>
  <c r="F135"/>
  <c r="U135"/>
  <c r="AM135"/>
  <c r="F136"/>
  <c r="U136"/>
  <c r="AM136"/>
  <c r="F137"/>
  <c r="U137"/>
  <c r="AM137"/>
  <c r="F138"/>
  <c r="U138"/>
  <c r="AM138"/>
  <c r="F139"/>
  <c r="U139"/>
  <c r="AM139"/>
  <c r="F140"/>
  <c r="U140"/>
  <c r="AM140"/>
  <c r="F141"/>
  <c r="U141"/>
  <c r="AM141"/>
  <c r="F142"/>
  <c r="U142"/>
  <c r="AM142"/>
  <c r="F143"/>
  <c r="U143"/>
  <c r="AM143"/>
  <c r="F144"/>
  <c r="U144"/>
  <c r="AM144"/>
  <c r="F145"/>
  <c r="U145"/>
  <c r="AM145"/>
  <c r="F146"/>
  <c r="U146"/>
  <c r="AM146"/>
  <c r="F147"/>
  <c r="U147"/>
  <c r="AM147"/>
  <c r="F148"/>
  <c r="U148"/>
  <c r="AM148"/>
  <c r="F149"/>
  <c r="U149"/>
  <c r="AM149"/>
  <c r="F150"/>
  <c r="U150"/>
  <c r="AM150"/>
  <c r="F151"/>
  <c r="U151"/>
  <c r="AM151"/>
  <c r="F152"/>
  <c r="U152"/>
  <c r="AM152"/>
  <c r="F153"/>
  <c r="U153"/>
  <c r="AM153"/>
  <c r="F154"/>
  <c r="U154"/>
  <c r="AM154"/>
  <c r="F155"/>
  <c r="U155"/>
  <c r="AM155"/>
  <c r="F156"/>
  <c r="U156"/>
  <c r="AM156"/>
  <c r="F157"/>
  <c r="U157"/>
  <c r="AM157"/>
  <c r="F158"/>
  <c r="U158"/>
  <c r="AM158"/>
  <c r="F159"/>
  <c r="U159"/>
  <c r="AM159"/>
  <c r="F160"/>
  <c r="U160"/>
  <c r="AM160"/>
  <c r="F161"/>
  <c r="U161"/>
  <c r="AM161"/>
  <c r="F162"/>
  <c r="U162"/>
  <c r="AM162"/>
  <c r="F163"/>
  <c r="U163"/>
  <c r="AM163"/>
  <c r="F164"/>
  <c r="U164"/>
  <c r="AM164"/>
  <c r="F165"/>
  <c r="U165"/>
  <c r="AM165"/>
  <c r="F166"/>
  <c r="U166"/>
  <c r="AM166"/>
  <c r="F167"/>
  <c r="U167"/>
  <c r="AM167"/>
  <c r="F168"/>
  <c r="U168"/>
  <c r="AM168"/>
  <c r="F169"/>
  <c r="U169"/>
  <c r="AM169"/>
  <c r="F170"/>
  <c r="U170"/>
  <c r="AM170"/>
  <c r="F171"/>
  <c r="U171"/>
  <c r="AM171"/>
  <c r="F172"/>
  <c r="U172"/>
  <c r="AM172"/>
  <c r="F173"/>
  <c r="U173"/>
  <c r="AM173"/>
  <c r="F174"/>
  <c r="U174"/>
  <c r="AM174"/>
  <c r="F175"/>
  <c r="U175"/>
  <c r="AM175"/>
  <c r="F176"/>
  <c r="U176"/>
  <c r="AM176"/>
  <c r="F177"/>
  <c r="U177"/>
  <c r="AM177"/>
  <c r="F178"/>
  <c r="U178"/>
  <c r="AM178"/>
  <c r="F179"/>
  <c r="U179"/>
  <c r="AM179"/>
  <c r="F180"/>
  <c r="U180"/>
  <c r="AM180"/>
  <c r="F181"/>
  <c r="U181"/>
  <c r="AM181"/>
  <c r="F182"/>
  <c r="U182"/>
  <c r="AM182"/>
  <c r="F183"/>
  <c r="U183"/>
  <c r="AM183"/>
  <c r="F184"/>
  <c r="U184"/>
  <c r="AM184"/>
  <c r="F185"/>
  <c r="U185"/>
  <c r="AM185"/>
  <c r="F186"/>
  <c r="U186"/>
  <c r="AM186"/>
  <c r="F187"/>
  <c r="U187"/>
  <c r="AM187"/>
  <c r="F188"/>
  <c r="U188"/>
  <c r="AM188"/>
  <c r="F189"/>
  <c r="U189"/>
  <c r="AM189"/>
  <c r="F190"/>
  <c r="U190"/>
  <c r="AM190"/>
  <c r="F191"/>
  <c r="U191"/>
  <c r="AM191"/>
  <c r="F192"/>
  <c r="U192"/>
  <c r="AM192"/>
  <c r="F193"/>
  <c r="U193"/>
  <c r="AM193"/>
  <c r="F194"/>
  <c r="U194"/>
  <c r="AM194"/>
  <c r="F195"/>
  <c r="U195"/>
  <c r="AM195"/>
  <c r="F196"/>
  <c r="U196"/>
  <c r="AM196"/>
  <c r="F197"/>
  <c r="U197"/>
  <c r="AM197"/>
  <c r="F198"/>
  <c r="U198"/>
  <c r="AM198"/>
  <c r="F199"/>
  <c r="U199"/>
  <c r="AM199"/>
  <c r="F200"/>
  <c r="U200"/>
  <c r="AM200"/>
  <c r="F201"/>
  <c r="U201"/>
  <c r="AM201"/>
  <c r="F202"/>
  <c r="U202"/>
  <c r="AM202"/>
  <c r="F203"/>
  <c r="U203"/>
  <c r="AM203"/>
  <c r="F204"/>
  <c r="U204"/>
  <c r="AM204"/>
  <c r="F205"/>
  <c r="U205"/>
  <c r="AM205"/>
  <c r="F206"/>
  <c r="U206"/>
  <c r="AM206"/>
  <c r="F207"/>
  <c r="U207"/>
  <c r="AM207"/>
  <c r="F208"/>
  <c r="U208"/>
  <c r="AM208"/>
  <c r="F209"/>
  <c r="U209"/>
  <c r="AM209"/>
  <c r="F210"/>
  <c r="U210"/>
  <c r="AM210"/>
  <c r="F211"/>
  <c r="U211"/>
  <c r="AM211"/>
  <c r="F212"/>
  <c r="U212"/>
  <c r="AM212"/>
  <c r="F213"/>
  <c r="U213"/>
  <c r="AM213"/>
  <c r="F214"/>
  <c r="U214"/>
  <c r="AM214"/>
  <c r="F215"/>
  <c r="U215"/>
  <c r="AM215"/>
  <c r="F216"/>
  <c r="U216"/>
  <c r="AM216"/>
  <c r="F217"/>
  <c r="U217"/>
  <c r="AM217"/>
  <c r="F218"/>
  <c r="U218"/>
  <c r="AM218"/>
  <c r="F219"/>
  <c r="U219"/>
  <c r="AM219"/>
  <c r="F220"/>
  <c r="U220"/>
  <c r="AM220"/>
  <c r="F221"/>
  <c r="U221"/>
  <c r="AM221"/>
  <c r="F222"/>
  <c r="U222"/>
  <c r="AM222"/>
  <c r="F223"/>
  <c r="U223"/>
  <c r="AM223"/>
  <c r="F224"/>
  <c r="U224"/>
  <c r="AM224"/>
  <c r="F225"/>
  <c r="U225"/>
  <c r="AM225"/>
  <c r="F226"/>
  <c r="U226"/>
  <c r="AM226"/>
  <c r="F227"/>
  <c r="U227"/>
  <c r="AM227"/>
  <c r="F228"/>
  <c r="U228"/>
  <c r="AM228"/>
  <c r="F229"/>
  <c r="U229"/>
  <c r="AM229"/>
  <c r="F230"/>
  <c r="U230"/>
  <c r="AM230"/>
  <c r="F231"/>
  <c r="U231"/>
  <c r="AM231"/>
  <c r="F232"/>
  <c r="U232"/>
  <c r="AM232"/>
  <c r="F233"/>
  <c r="U233"/>
  <c r="AM233"/>
  <c r="F234"/>
  <c r="U234"/>
  <c r="AM234"/>
  <c r="F235"/>
  <c r="U235"/>
  <c r="AM235"/>
  <c r="F236"/>
  <c r="U236"/>
  <c r="AM236"/>
  <c r="F237"/>
  <c r="U237"/>
  <c r="AM237"/>
  <c r="F238"/>
  <c r="U238"/>
  <c r="AM238"/>
  <c r="F239"/>
  <c r="U239"/>
  <c r="AM239"/>
  <c r="F240"/>
  <c r="U240"/>
  <c r="AM240"/>
  <c r="F241"/>
  <c r="U241"/>
  <c r="AM241"/>
  <c r="F242"/>
  <c r="U242"/>
  <c r="AM242"/>
  <c r="F243"/>
  <c r="U243"/>
  <c r="AM243"/>
  <c r="F244"/>
  <c r="U244"/>
  <c r="AM244"/>
  <c r="F245"/>
  <c r="U245"/>
  <c r="AM245"/>
  <c r="F246"/>
  <c r="U246"/>
  <c r="AM246"/>
  <c r="F247"/>
  <c r="U247"/>
  <c r="AM247"/>
  <c r="F248"/>
  <c r="U248"/>
  <c r="AM248"/>
  <c r="F249"/>
  <c r="U249"/>
  <c r="AM249"/>
  <c r="F250"/>
  <c r="U250"/>
  <c r="AM250"/>
  <c r="F251"/>
  <c r="U251"/>
  <c r="AM251"/>
  <c r="F252"/>
  <c r="U252"/>
  <c r="AM252"/>
  <c r="F253"/>
  <c r="U253"/>
  <c r="AM253"/>
  <c r="F254"/>
  <c r="U254"/>
  <c r="AM254"/>
  <c r="F255"/>
  <c r="U255"/>
  <c r="AM255"/>
  <c r="F256"/>
  <c r="U256"/>
  <c r="AM256"/>
  <c r="F257"/>
  <c r="U257"/>
  <c r="AM257"/>
  <c r="F258"/>
  <c r="U258"/>
  <c r="AM258"/>
  <c r="F259"/>
  <c r="U259"/>
  <c r="AM259"/>
  <c r="F260"/>
  <c r="U260"/>
  <c r="AM260"/>
  <c r="F261"/>
  <c r="U261"/>
  <c r="AM261"/>
  <c r="F262"/>
  <c r="U262"/>
  <c r="AM262"/>
  <c r="F263"/>
  <c r="U263"/>
  <c r="AM263"/>
  <c r="F264"/>
  <c r="U264"/>
  <c r="AM264"/>
  <c r="F265"/>
  <c r="U265"/>
  <c r="AM265"/>
  <c r="F266"/>
  <c r="U266"/>
  <c r="AM266"/>
  <c r="F267"/>
  <c r="U267"/>
  <c r="AM267"/>
  <c r="F268"/>
  <c r="U268"/>
  <c r="AM268"/>
  <c r="F269"/>
  <c r="U269"/>
  <c r="AM269"/>
  <c r="F270"/>
  <c r="U270"/>
  <c r="AM270"/>
  <c r="F271"/>
  <c r="U271"/>
  <c r="AM271"/>
  <c r="F272"/>
  <c r="U272"/>
  <c r="AM272"/>
  <c r="F273"/>
  <c r="U273"/>
  <c r="AM273"/>
  <c r="F274"/>
  <c r="U274"/>
  <c r="AM274"/>
  <c r="F275"/>
  <c r="U275"/>
  <c r="AM275"/>
  <c r="F276"/>
  <c r="U276"/>
  <c r="AM276"/>
  <c r="F277"/>
  <c r="U277"/>
  <c r="AM277"/>
  <c r="F278"/>
  <c r="U278"/>
  <c r="AM278"/>
  <c r="F279"/>
  <c r="U279"/>
  <c r="AM279"/>
  <c r="F280"/>
  <c r="U280"/>
  <c r="AM280"/>
  <c r="F281"/>
  <c r="U281"/>
  <c r="AM281"/>
  <c r="F282"/>
  <c r="U282"/>
  <c r="AM282"/>
  <c r="F283"/>
  <c r="U283"/>
  <c r="AM283"/>
  <c r="F284"/>
  <c r="U284"/>
  <c r="AM284"/>
  <c r="F285"/>
  <c r="U285"/>
  <c r="AM285"/>
  <c r="F286"/>
  <c r="U286"/>
  <c r="AM286"/>
  <c r="F287"/>
  <c r="U287"/>
  <c r="AM287"/>
  <c r="F288"/>
  <c r="U288"/>
  <c r="AM288"/>
  <c r="F289"/>
  <c r="U289"/>
  <c r="AM289"/>
  <c r="F290"/>
  <c r="U290"/>
  <c r="AM290"/>
  <c r="F291"/>
  <c r="U291"/>
  <c r="AM291"/>
  <c r="F292"/>
  <c r="U292"/>
  <c r="AM292"/>
  <c r="F293"/>
  <c r="U293"/>
  <c r="AM293"/>
  <c r="F294"/>
  <c r="U294"/>
  <c r="AM294"/>
  <c r="F295"/>
  <c r="U295"/>
  <c r="AM295"/>
  <c r="F296"/>
  <c r="U296"/>
  <c r="AM296"/>
  <c r="F297"/>
  <c r="U297"/>
  <c r="AM297"/>
  <c r="F298"/>
  <c r="U298"/>
  <c r="AM298"/>
  <c r="F299"/>
  <c r="U299"/>
  <c r="AM299"/>
  <c r="F300"/>
  <c r="U300"/>
  <c r="AM300"/>
  <c r="F301"/>
  <c r="U301"/>
  <c r="AM301"/>
  <c r="F302"/>
  <c r="U302"/>
  <c r="AM302"/>
  <c r="F303"/>
  <c r="U303"/>
  <c r="AM303"/>
  <c r="F304"/>
  <c r="U304"/>
  <c r="AM304"/>
  <c r="F305"/>
  <c r="U305"/>
  <c r="AM305"/>
  <c r="F306"/>
  <c r="U306"/>
  <c r="AM306"/>
  <c r="F307"/>
  <c r="U307"/>
  <c r="AM307"/>
  <c r="F308"/>
  <c r="U308"/>
  <c r="AM308"/>
  <c r="F309"/>
  <c r="U309"/>
  <c r="AM309"/>
  <c r="F310"/>
  <c r="U310"/>
  <c r="AM310"/>
  <c r="F311"/>
  <c r="U311"/>
  <c r="AM311"/>
  <c r="F312"/>
  <c r="U312"/>
  <c r="AM312"/>
  <c r="F313"/>
  <c r="U313"/>
  <c r="AM313"/>
  <c r="F314"/>
  <c r="U314"/>
  <c r="AM314"/>
  <c r="F315"/>
  <c r="U315"/>
  <c r="AM315"/>
  <c r="F316"/>
  <c r="U316"/>
  <c r="AM316"/>
  <c r="F317"/>
  <c r="U317"/>
  <c r="AM317"/>
  <c r="F318"/>
  <c r="U318"/>
  <c r="AM318"/>
  <c r="F319"/>
  <c r="U319"/>
  <c r="AM319"/>
  <c r="F320"/>
  <c r="U320"/>
  <c r="AM320"/>
  <c r="F321"/>
  <c r="U321"/>
  <c r="AM321"/>
  <c r="F322"/>
  <c r="U322"/>
  <c r="AM322"/>
  <c r="F323"/>
  <c r="U323"/>
  <c r="AM323"/>
  <c r="F324"/>
  <c r="U324"/>
  <c r="AM324"/>
  <c r="F325"/>
  <c r="U325"/>
  <c r="AM325"/>
  <c r="F326"/>
  <c r="U326"/>
  <c r="AM326"/>
  <c r="F327"/>
  <c r="U327"/>
  <c r="AM327"/>
  <c r="F328"/>
  <c r="U328"/>
  <c r="AM328"/>
  <c r="F329"/>
  <c r="U329"/>
  <c r="AM329"/>
  <c r="F330"/>
  <c r="U330"/>
  <c r="AM330"/>
  <c r="F331"/>
  <c r="U331"/>
  <c r="AM331"/>
  <c r="F332"/>
  <c r="U332"/>
  <c r="AM332"/>
  <c r="F333"/>
  <c r="U333"/>
  <c r="AM333"/>
  <c r="F334"/>
  <c r="U334"/>
  <c r="AM334"/>
  <c r="U335"/>
  <c r="AM335"/>
  <c r="F336"/>
  <c r="U336"/>
  <c r="AM336"/>
  <c r="F337"/>
  <c r="U337"/>
  <c r="AM337"/>
  <c r="F338"/>
  <c r="U338"/>
  <c r="AM338"/>
  <c r="F339"/>
  <c r="U339"/>
  <c r="AM339"/>
  <c r="F340"/>
  <c r="U340"/>
  <c r="AM340"/>
  <c r="F341"/>
  <c r="U341"/>
  <c r="AM341"/>
  <c r="F342"/>
  <c r="U342"/>
  <c r="AM342"/>
  <c r="F343"/>
  <c r="U343"/>
  <c r="AM343"/>
  <c r="F344"/>
  <c r="U344"/>
  <c r="AM344"/>
  <c r="F345"/>
  <c r="U345"/>
  <c r="AM345"/>
  <c r="F346"/>
  <c r="U346"/>
  <c r="AM346"/>
  <c r="F347"/>
  <c r="U347"/>
  <c r="AM347"/>
  <c r="F348"/>
  <c r="U348"/>
  <c r="AM348"/>
  <c r="F349"/>
  <c r="U349"/>
  <c r="AM349"/>
  <c r="F350"/>
  <c r="U350"/>
  <c r="AM350"/>
  <c r="F351"/>
  <c r="U351"/>
  <c r="AM351"/>
  <c r="F352"/>
  <c r="U352"/>
  <c r="AM352"/>
  <c r="F353"/>
  <c r="U353"/>
  <c r="AM353"/>
  <c r="F354"/>
  <c r="U354"/>
  <c r="AM354"/>
  <c r="F355"/>
  <c r="U355"/>
  <c r="AM355"/>
  <c r="F356"/>
  <c r="U356"/>
  <c r="AM356"/>
  <c r="F357"/>
  <c r="U357"/>
  <c r="AM357"/>
  <c r="F358"/>
  <c r="U358"/>
  <c r="AM358"/>
  <c r="F359"/>
  <c r="U359"/>
  <c r="AM359"/>
  <c r="F360"/>
  <c r="U360"/>
  <c r="AM360"/>
  <c r="F361"/>
  <c r="U361"/>
  <c r="AM361"/>
  <c r="F362"/>
  <c r="U362"/>
  <c r="AM362"/>
  <c r="F363"/>
  <c r="U363"/>
  <c r="AM363"/>
  <c r="F364"/>
  <c r="U364"/>
  <c r="AM364"/>
  <c r="F365"/>
  <c r="U365"/>
  <c r="AM365"/>
  <c r="F366"/>
  <c r="U366"/>
  <c r="AM366"/>
  <c r="F367"/>
  <c r="U367"/>
  <c r="AM367"/>
  <c r="F368"/>
  <c r="U368"/>
  <c r="AM368"/>
  <c r="F369"/>
  <c r="U369"/>
  <c r="AM369"/>
  <c r="F370"/>
  <c r="U370"/>
  <c r="AM370"/>
  <c r="F371"/>
  <c r="U371"/>
  <c r="AM371"/>
  <c r="F372"/>
  <c r="U372"/>
  <c r="AM372"/>
  <c r="F373"/>
  <c r="U373"/>
  <c r="AM373"/>
  <c r="F374"/>
  <c r="U374"/>
  <c r="AM374"/>
  <c r="F375"/>
  <c r="U375"/>
  <c r="AM375"/>
  <c r="F376"/>
  <c r="U376"/>
  <c r="AM376"/>
  <c r="F377"/>
  <c r="U377"/>
  <c r="AM377"/>
  <c r="F378"/>
  <c r="U378"/>
  <c r="AM378"/>
  <c r="F379"/>
  <c r="U379"/>
  <c r="AM379"/>
  <c r="F380"/>
  <c r="U380"/>
  <c r="AM380"/>
  <c r="F381"/>
  <c r="U381"/>
  <c r="AM381"/>
  <c r="CL302" i="43" l="1"/>
  <c r="Q302"/>
  <c r="Z303"/>
  <c r="Q303"/>
  <c r="DE178"/>
  <c r="BQ292"/>
  <c r="BQ290"/>
  <c r="DE284"/>
  <c r="CL284"/>
  <c r="DE300"/>
  <c r="CL300"/>
  <c r="DE286"/>
  <c r="CL286"/>
  <c r="DE262"/>
  <c r="DE274"/>
  <c r="CL274"/>
  <c r="AS358"/>
  <c r="AP358"/>
  <c r="AS347"/>
  <c r="AP347"/>
  <c r="AS338"/>
  <c r="AP338"/>
  <c r="DE270"/>
  <c r="DE269"/>
  <c r="CL269"/>
  <c r="DE266"/>
  <c r="AS379"/>
  <c r="AP379"/>
  <c r="AS375"/>
  <c r="AP375"/>
  <c r="AS371"/>
  <c r="AP371"/>
  <c r="AS367"/>
  <c r="AP367"/>
  <c r="AS363"/>
  <c r="AP363"/>
  <c r="AS354"/>
  <c r="AP354"/>
  <c r="AS350"/>
  <c r="AP350"/>
  <c r="AS343"/>
  <c r="AP343"/>
  <c r="DE334"/>
  <c r="AS333"/>
  <c r="AP333"/>
  <c r="DE328"/>
  <c r="AS325"/>
  <c r="AP325"/>
  <c r="AS317"/>
  <c r="AP317"/>
  <c r="AS309"/>
  <c r="AP309"/>
  <c r="AS305"/>
  <c r="AP305"/>
  <c r="AS289"/>
  <c r="AP289"/>
  <c r="AS273"/>
  <c r="AP273"/>
  <c r="AS359"/>
  <c r="AP359"/>
  <c r="AS346"/>
  <c r="AP346"/>
  <c r="BQ298"/>
  <c r="AS297"/>
  <c r="AP297"/>
  <c r="BQ282"/>
  <c r="AS281"/>
  <c r="AP281"/>
  <c r="DE258"/>
  <c r="AS378"/>
  <c r="AP378"/>
  <c r="AS374"/>
  <c r="AP374"/>
  <c r="AS370"/>
  <c r="AP370"/>
  <c r="AS366"/>
  <c r="AP366"/>
  <c r="AS362"/>
  <c r="AP362"/>
  <c r="AS355"/>
  <c r="AP355"/>
  <c r="AS351"/>
  <c r="AP351"/>
  <c r="AS342"/>
  <c r="AP342"/>
  <c r="DE330"/>
  <c r="AS329"/>
  <c r="AP329"/>
  <c r="DE324"/>
  <c r="AS321"/>
  <c r="AP321"/>
  <c r="DE314"/>
  <c r="AS313"/>
  <c r="AP313"/>
  <c r="DE302"/>
  <c r="AS301"/>
  <c r="AP301"/>
  <c r="BQ296"/>
  <c r="AS293"/>
  <c r="AP293"/>
  <c r="AS285"/>
  <c r="AP285"/>
  <c r="AS277"/>
  <c r="AP277"/>
  <c r="DE254"/>
  <c r="DE374"/>
  <c r="CL265"/>
  <c r="DE265"/>
  <c r="BQ294"/>
  <c r="CL306"/>
  <c r="CL276"/>
  <c r="DE336"/>
  <c r="BQ288"/>
  <c r="CL256"/>
  <c r="DE256"/>
  <c r="DE370"/>
  <c r="DE228"/>
  <c r="CL326"/>
  <c r="DE332"/>
  <c r="DE241"/>
  <c r="DE108"/>
  <c r="Z283"/>
  <c r="AS376"/>
  <c r="AS316"/>
  <c r="AR310"/>
  <c r="AS310"/>
  <c r="AS296"/>
  <c r="AS288"/>
  <c r="AS262"/>
  <c r="AS261"/>
  <c r="AR208"/>
  <c r="AS208"/>
  <c r="AR204"/>
  <c r="AS204"/>
  <c r="AP203"/>
  <c r="AS203"/>
  <c r="AP197"/>
  <c r="AS197"/>
  <c r="AR164"/>
  <c r="AS164"/>
  <c r="AP162"/>
  <c r="AS162"/>
  <c r="AP154"/>
  <c r="AS154"/>
  <c r="AP146"/>
  <c r="AS146"/>
  <c r="AP136"/>
  <c r="AS136"/>
  <c r="AP118"/>
  <c r="AS118"/>
  <c r="AP104"/>
  <c r="AS104"/>
  <c r="AP100"/>
  <c r="AS100"/>
  <c r="AR98"/>
  <c r="AS98"/>
  <c r="AP60"/>
  <c r="AS60"/>
  <c r="AS372"/>
  <c r="AS364"/>
  <c r="AS352"/>
  <c r="AS344"/>
  <c r="AR334"/>
  <c r="AS334"/>
  <c r="AR330"/>
  <c r="AS330"/>
  <c r="AR326"/>
  <c r="AS326"/>
  <c r="AR318"/>
  <c r="AS318"/>
  <c r="AS312"/>
  <c r="AR306"/>
  <c r="AS306"/>
  <c r="AS304"/>
  <c r="AS300"/>
  <c r="AR298"/>
  <c r="AS298"/>
  <c r="AR290"/>
  <c r="AS290"/>
  <c r="AR286"/>
  <c r="AS286"/>
  <c r="AR278"/>
  <c r="AS278"/>
  <c r="AS272"/>
  <c r="AS257"/>
  <c r="AP244"/>
  <c r="AS244"/>
  <c r="AP241"/>
  <c r="AS241"/>
  <c r="AR240"/>
  <c r="AS240"/>
  <c r="AP234"/>
  <c r="AS234"/>
  <c r="AP226"/>
  <c r="AS226"/>
  <c r="AP222"/>
  <c r="AS222"/>
  <c r="AR220"/>
  <c r="AS220"/>
  <c r="AR216"/>
  <c r="AS216"/>
  <c r="AP210"/>
  <c r="AS210"/>
  <c r="AP200"/>
  <c r="AS200"/>
  <c r="AP191"/>
  <c r="AS191"/>
  <c r="AP187"/>
  <c r="AS187"/>
  <c r="AP185"/>
  <c r="AS185"/>
  <c r="AP177"/>
  <c r="AS177"/>
  <c r="AP166"/>
  <c r="AS166"/>
  <c r="AR156"/>
  <c r="AS156"/>
  <c r="AR148"/>
  <c r="AS148"/>
  <c r="AP96"/>
  <c r="AS96"/>
  <c r="AR94"/>
  <c r="AS94"/>
  <c r="AR83"/>
  <c r="AS83"/>
  <c r="AR79"/>
  <c r="AS79"/>
  <c r="AP54"/>
  <c r="AS54"/>
  <c r="AS380"/>
  <c r="AS368"/>
  <c r="AS320"/>
  <c r="AR314"/>
  <c r="AS314"/>
  <c r="AS292"/>
  <c r="AS280"/>
  <c r="AR232"/>
  <c r="AS232"/>
  <c r="AP230"/>
  <c r="AS230"/>
  <c r="AP218"/>
  <c r="AS218"/>
  <c r="AP214"/>
  <c r="AS214"/>
  <c r="AR212"/>
  <c r="AS212"/>
  <c r="AR160"/>
  <c r="AS160"/>
  <c r="AP158"/>
  <c r="AS158"/>
  <c r="AP150"/>
  <c r="AS150"/>
  <c r="AP142"/>
  <c r="AS142"/>
  <c r="AR120"/>
  <c r="AS120"/>
  <c r="AR116"/>
  <c r="AS116"/>
  <c r="AP114"/>
  <c r="AS114"/>
  <c r="AR102"/>
  <c r="AS102"/>
  <c r="AR72"/>
  <c r="AS72"/>
  <c r="AP58"/>
  <c r="AS58"/>
  <c r="AP49"/>
  <c r="AS49"/>
  <c r="AR43"/>
  <c r="AS43"/>
  <c r="AS360"/>
  <c r="AS356"/>
  <c r="AS348"/>
  <c r="AS332"/>
  <c r="AS328"/>
  <c r="AS324"/>
  <c r="AR322"/>
  <c r="AS322"/>
  <c r="AS308"/>
  <c r="AR302"/>
  <c r="AS302"/>
  <c r="AR294"/>
  <c r="AS294"/>
  <c r="AS284"/>
  <c r="AR282"/>
  <c r="AS282"/>
  <c r="AR276"/>
  <c r="AS276"/>
  <c r="AS275"/>
  <c r="AR228"/>
  <c r="AS228"/>
  <c r="AR224"/>
  <c r="AS224"/>
  <c r="AP206"/>
  <c r="AS206"/>
  <c r="AP202"/>
  <c r="AS202"/>
  <c r="AP193"/>
  <c r="AS193"/>
  <c r="AP189"/>
  <c r="AS189"/>
  <c r="AP183"/>
  <c r="AS183"/>
  <c r="AP181"/>
  <c r="AS181"/>
  <c r="AP173"/>
  <c r="AS173"/>
  <c r="AR168"/>
  <c r="AS168"/>
  <c r="AR152"/>
  <c r="AS152"/>
  <c r="AR144"/>
  <c r="AS144"/>
  <c r="AP140"/>
  <c r="AS140"/>
  <c r="AR125"/>
  <c r="AS125"/>
  <c r="AR112"/>
  <c r="AS112"/>
  <c r="AP110"/>
  <c r="AS110"/>
  <c r="AR87"/>
  <c r="AS87"/>
  <c r="AP74"/>
  <c r="AS74"/>
  <c r="AP70"/>
  <c r="AS70"/>
  <c r="AR68"/>
  <c r="AS68"/>
  <c r="AR56"/>
  <c r="AS56"/>
  <c r="AR52"/>
  <c r="AS52"/>
  <c r="AR47"/>
  <c r="AS47"/>
  <c r="AP45"/>
  <c r="AS45"/>
  <c r="Z301"/>
  <c r="Z295"/>
  <c r="Z287"/>
  <c r="Z299"/>
  <c r="Z291"/>
  <c r="Z285"/>
  <c r="Z297"/>
  <c r="Z289"/>
  <c r="Z293"/>
  <c r="DQ379"/>
  <c r="DQ367"/>
  <c r="DQ359"/>
  <c r="J10" i="49"/>
  <c r="DQ365" i="43"/>
  <c r="Z375"/>
  <c r="Z373"/>
  <c r="Z363"/>
  <c r="Z357"/>
  <c r="Z349"/>
  <c r="Z335"/>
  <c r="Z331"/>
  <c r="Z327"/>
  <c r="Z323"/>
  <c r="Z381"/>
  <c r="Z371"/>
  <c r="Z369"/>
  <c r="Z361"/>
  <c r="Z351"/>
  <c r="Z343"/>
  <c r="Z57"/>
  <c r="Z53"/>
  <c r="Z48"/>
  <c r="Z43"/>
  <c r="Z379"/>
  <c r="Z367"/>
  <c r="Z359"/>
  <c r="Z353"/>
  <c r="Z345"/>
  <c r="Z333"/>
  <c r="Z329"/>
  <c r="Z325"/>
  <c r="Z50"/>
  <c r="Z45"/>
  <c r="Z44"/>
  <c r="Z377"/>
  <c r="Z365"/>
  <c r="Z355"/>
  <c r="Z347"/>
  <c r="Z321"/>
  <c r="Z55"/>
  <c r="Z47"/>
  <c r="Z46"/>
  <c r="DQ375"/>
  <c r="DQ373"/>
  <c r="DQ363"/>
  <c r="DQ83"/>
  <c r="DQ79"/>
  <c r="AM77"/>
  <c r="AM87"/>
  <c r="AM80"/>
  <c r="DQ371"/>
  <c r="DQ369"/>
  <c r="DQ361"/>
  <c r="DQ212"/>
  <c r="AM95"/>
  <c r="DQ87"/>
  <c r="DQ76"/>
  <c r="AM44"/>
  <c r="AM47"/>
  <c r="Z378"/>
  <c r="Z372"/>
  <c r="Z366"/>
  <c r="Z358"/>
  <c r="Z350"/>
  <c r="Z342"/>
  <c r="Z320"/>
  <c r="Z310"/>
  <c r="Z298"/>
  <c r="Z290"/>
  <c r="Z278"/>
  <c r="Z262"/>
  <c r="Z254"/>
  <c r="Z246"/>
  <c r="Z245"/>
  <c r="Z237"/>
  <c r="Z234"/>
  <c r="Z232"/>
  <c r="Z216"/>
  <c r="Z208"/>
  <c r="Z199"/>
  <c r="DE197"/>
  <c r="Z197"/>
  <c r="CL190"/>
  <c r="Z190"/>
  <c r="Z171"/>
  <c r="Z170"/>
  <c r="Z168"/>
  <c r="Z166"/>
  <c r="Z164"/>
  <c r="Z162"/>
  <c r="Z154"/>
  <c r="Z146"/>
  <c r="Z137"/>
  <c r="DE135"/>
  <c r="Z135"/>
  <c r="Z134"/>
  <c r="Z133"/>
  <c r="Z125"/>
  <c r="Z124"/>
  <c r="Z107"/>
  <c r="Z98"/>
  <c r="Z96"/>
  <c r="Z74"/>
  <c r="Z66"/>
  <c r="Z64"/>
  <c r="CL59"/>
  <c r="Z59"/>
  <c r="Z49"/>
  <c r="DQ357"/>
  <c r="DQ349"/>
  <c r="DQ319"/>
  <c r="DQ309"/>
  <c r="DQ169"/>
  <c r="DQ167"/>
  <c r="DQ165"/>
  <c r="DQ163"/>
  <c r="DQ161"/>
  <c r="AM158"/>
  <c r="DQ108"/>
  <c r="DQ104"/>
  <c r="DQ100"/>
  <c r="Z380"/>
  <c r="Z374"/>
  <c r="Z368"/>
  <c r="Z360"/>
  <c r="Z356"/>
  <c r="Z348"/>
  <c r="Z341"/>
  <c r="Z340"/>
  <c r="Z318"/>
  <c r="Z308"/>
  <c r="Z306"/>
  <c r="Z296"/>
  <c r="Z288"/>
  <c r="Z286"/>
  <c r="Z284"/>
  <c r="Z266"/>
  <c r="CL264"/>
  <c r="Z264"/>
  <c r="Z263"/>
  <c r="CL261"/>
  <c r="Z261"/>
  <c r="Z258"/>
  <c r="Z255"/>
  <c r="Z230"/>
  <c r="Z228"/>
  <c r="Z226"/>
  <c r="Z224"/>
  <c r="Z222"/>
  <c r="Z214"/>
  <c r="Z206"/>
  <c r="Z204"/>
  <c r="Z203"/>
  <c r="Z201"/>
  <c r="Z200"/>
  <c r="Z196"/>
  <c r="Z195"/>
  <c r="Z183"/>
  <c r="Z175"/>
  <c r="Z160"/>
  <c r="Z152"/>
  <c r="Z144"/>
  <c r="Z139"/>
  <c r="Z138"/>
  <c r="Z123"/>
  <c r="Z122"/>
  <c r="Z120"/>
  <c r="Z118"/>
  <c r="Z116"/>
  <c r="Z94"/>
  <c r="Z93"/>
  <c r="Z92"/>
  <c r="Z88"/>
  <c r="Z84"/>
  <c r="Z80"/>
  <c r="CL77"/>
  <c r="Z77"/>
  <c r="Z76"/>
  <c r="Z70"/>
  <c r="Z370"/>
  <c r="Z362"/>
  <c r="Z354"/>
  <c r="Z346"/>
  <c r="Z339"/>
  <c r="Z338"/>
  <c r="Z336"/>
  <c r="Z334"/>
  <c r="Z332"/>
  <c r="Z330"/>
  <c r="Z328"/>
  <c r="Z326"/>
  <c r="Z324"/>
  <c r="Z316"/>
  <c r="Z314"/>
  <c r="Z294"/>
  <c r="Z282"/>
  <c r="Z275"/>
  <c r="CL273"/>
  <c r="Z273"/>
  <c r="Z270"/>
  <c r="CL268"/>
  <c r="Z268"/>
  <c r="Z267"/>
  <c r="CL260"/>
  <c r="Z260"/>
  <c r="Z259"/>
  <c r="CL257"/>
  <c r="Z257"/>
  <c r="Z241"/>
  <c r="Z240"/>
  <c r="Z220"/>
  <c r="Z212"/>
  <c r="CL182"/>
  <c r="Z182"/>
  <c r="Z178"/>
  <c r="Z158"/>
  <c r="Z150"/>
  <c r="Z142"/>
  <c r="Z129"/>
  <c r="Z114"/>
  <c r="Z112"/>
  <c r="Z86"/>
  <c r="Z68"/>
  <c r="Z376"/>
  <c r="Z364"/>
  <c r="Z352"/>
  <c r="Z344"/>
  <c r="Z337"/>
  <c r="Z322"/>
  <c r="Z312"/>
  <c r="Z304"/>
  <c r="Z302"/>
  <c r="Z300"/>
  <c r="Z292"/>
  <c r="Z280"/>
  <c r="CL272"/>
  <c r="Z272"/>
  <c r="Z271"/>
  <c r="Z250"/>
  <c r="Z242"/>
  <c r="Z239"/>
  <c r="Z238"/>
  <c r="Z236"/>
  <c r="Z218"/>
  <c r="Z210"/>
  <c r="Z191"/>
  <c r="Z187"/>
  <c r="CL181"/>
  <c r="Z181"/>
  <c r="Z179"/>
  <c r="Z172"/>
  <c r="Z156"/>
  <c r="Z148"/>
  <c r="Z130"/>
  <c r="Z110"/>
  <c r="Z108"/>
  <c r="Z106"/>
  <c r="Z104"/>
  <c r="Z102"/>
  <c r="Z100"/>
  <c r="Z90"/>
  <c r="Z82"/>
  <c r="Z78"/>
  <c r="Z72"/>
  <c r="DE61"/>
  <c r="Z61"/>
  <c r="Z60"/>
  <c r="Z58"/>
  <c r="Z56"/>
  <c r="Z54"/>
  <c r="Z52"/>
  <c r="Z51"/>
  <c r="DQ353"/>
  <c r="DQ335"/>
  <c r="DQ331"/>
  <c r="DQ329"/>
  <c r="DQ327"/>
  <c r="DQ325"/>
  <c r="DQ323"/>
  <c r="DQ315"/>
  <c r="DQ313"/>
  <c r="AM114"/>
  <c r="AM112"/>
  <c r="DQ351"/>
  <c r="DQ321"/>
  <c r="DQ311"/>
  <c r="DQ303"/>
  <c r="DQ301"/>
  <c r="DQ47"/>
  <c r="DQ355"/>
  <c r="DQ347"/>
  <c r="DQ339"/>
  <c r="DQ307"/>
  <c r="DQ305"/>
  <c r="DE304"/>
  <c r="DQ345"/>
  <c r="DQ333"/>
  <c r="CL304"/>
  <c r="AM154"/>
  <c r="AM146"/>
  <c r="DQ141"/>
  <c r="DQ56"/>
  <c r="DQ157"/>
  <c r="DQ149"/>
  <c r="DQ115"/>
  <c r="AM221"/>
  <c r="AM170"/>
  <c r="AM168"/>
  <c r="P245"/>
  <c r="AM242"/>
  <c r="DQ241"/>
  <c r="DQ239"/>
  <c r="DQ298"/>
  <c r="AM160"/>
  <c r="DQ155"/>
  <c r="DQ147"/>
  <c r="AM144"/>
  <c r="AM122"/>
  <c r="AM120"/>
  <c r="AM118"/>
  <c r="DQ109"/>
  <c r="DQ107"/>
  <c r="DQ105"/>
  <c r="DQ53"/>
  <c r="DQ293"/>
  <c r="DE320"/>
  <c r="CL320"/>
  <c r="DE298"/>
  <c r="CL298"/>
  <c r="DQ296"/>
  <c r="DQ279"/>
  <c r="DQ271"/>
  <c r="DQ153"/>
  <c r="AM150"/>
  <c r="DQ145"/>
  <c r="DQ91"/>
  <c r="P302"/>
  <c r="DQ176"/>
  <c r="AM172"/>
  <c r="DQ159"/>
  <c r="AM156"/>
  <c r="DQ151"/>
  <c r="AM148"/>
  <c r="DQ113"/>
  <c r="P106"/>
  <c r="DQ220"/>
  <c r="AM213"/>
  <c r="AM152"/>
  <c r="AM127"/>
  <c r="AM125"/>
  <c r="DQ122"/>
  <c r="P120"/>
  <c r="P119"/>
  <c r="AM116"/>
  <c r="P116"/>
  <c r="P115"/>
  <c r="AM235"/>
  <c r="DQ234"/>
  <c r="AM217"/>
  <c r="DQ216"/>
  <c r="AM209"/>
  <c r="DQ208"/>
  <c r="DQ156"/>
  <c r="AM73"/>
  <c r="DQ48"/>
  <c r="DE156"/>
  <c r="CL156"/>
  <c r="DQ131"/>
  <c r="DQ128"/>
  <c r="AM67"/>
  <c r="AM65"/>
  <c r="DQ244"/>
  <c r="P166"/>
  <c r="DQ63"/>
  <c r="DQ381"/>
  <c r="DE366"/>
  <c r="CL366"/>
  <c r="DE362"/>
  <c r="CL362"/>
  <c r="DE358"/>
  <c r="CL358"/>
  <c r="DE354"/>
  <c r="CL354"/>
  <c r="DE234"/>
  <c r="CL234"/>
  <c r="DE220"/>
  <c r="CL220"/>
  <c r="P218"/>
  <c r="DE216"/>
  <c r="CL216"/>
  <c r="DE212"/>
  <c r="CL212"/>
  <c r="P210"/>
  <c r="DE208"/>
  <c r="CL208"/>
  <c r="DE125"/>
  <c r="CL125"/>
  <c r="AM97"/>
  <c r="AM92"/>
  <c r="P381"/>
  <c r="DQ380"/>
  <c r="P206"/>
  <c r="DE380"/>
  <c r="CL380"/>
  <c r="DQ314"/>
  <c r="P244"/>
  <c r="DQ103"/>
  <c r="DQ101"/>
  <c r="P85"/>
  <c r="DE296"/>
  <c r="CL296"/>
  <c r="P102"/>
  <c r="AM229"/>
  <c r="DQ228"/>
  <c r="AM227"/>
  <c r="DQ226"/>
  <c r="AM225"/>
  <c r="DQ224"/>
  <c r="AM223"/>
  <c r="DQ173"/>
  <c r="AM132"/>
  <c r="AM129"/>
  <c r="DQ125"/>
  <c r="AM119"/>
  <c r="DQ112"/>
  <c r="AM109"/>
  <c r="DQ99"/>
  <c r="DQ86"/>
  <c r="DQ72"/>
  <c r="AM62"/>
  <c r="DQ295"/>
  <c r="DQ292"/>
  <c r="DQ197"/>
  <c r="DQ154"/>
  <c r="DQ146"/>
  <c r="AM141"/>
  <c r="DQ135"/>
  <c r="AM134"/>
  <c r="AM91"/>
  <c r="DQ82"/>
  <c r="DQ78"/>
  <c r="AM231"/>
  <c r="AM219"/>
  <c r="DQ218"/>
  <c r="AM215"/>
  <c r="DQ214"/>
  <c r="AM211"/>
  <c r="DQ210"/>
  <c r="AM207"/>
  <c r="DQ206"/>
  <c r="AM201"/>
  <c r="DQ168"/>
  <c r="DQ59"/>
  <c r="DQ57"/>
  <c r="AM48"/>
  <c r="AM205"/>
  <c r="AM194"/>
  <c r="DQ193"/>
  <c r="AM192"/>
  <c r="AM190"/>
  <c r="DQ189"/>
  <c r="AM188"/>
  <c r="AM173"/>
  <c r="AM167"/>
  <c r="AM163"/>
  <c r="AM153"/>
  <c r="DQ97"/>
  <c r="DQ95"/>
  <c r="DQ268"/>
  <c r="DQ260"/>
  <c r="AM248"/>
  <c r="AM138"/>
  <c r="AM136"/>
  <c r="DQ342"/>
  <c r="DQ289"/>
  <c r="DQ282"/>
  <c r="DQ277"/>
  <c r="AM249"/>
  <c r="DQ248"/>
  <c r="AM123"/>
  <c r="AM98"/>
  <c r="AM96"/>
  <c r="AM74"/>
  <c r="DQ67"/>
  <c r="AM64"/>
  <c r="DQ61"/>
  <c r="AM100"/>
  <c r="P326"/>
  <c r="AM255"/>
  <c r="AM195"/>
  <c r="AM53"/>
  <c r="DE133"/>
  <c r="CL133"/>
  <c r="DQ126"/>
  <c r="DQ124"/>
  <c r="P72"/>
  <c r="DQ376"/>
  <c r="DE372"/>
  <c r="CL372"/>
  <c r="DE338"/>
  <c r="CL338"/>
  <c r="DQ288"/>
  <c r="DE282"/>
  <c r="CL282"/>
  <c r="DQ280"/>
  <c r="DQ275"/>
  <c r="DQ273"/>
  <c r="DQ257"/>
  <c r="AM251"/>
  <c r="DE246"/>
  <c r="CL246"/>
  <c r="DQ243"/>
  <c r="AM238"/>
  <c r="DQ203"/>
  <c r="AM193"/>
  <c r="DQ192"/>
  <c r="AM191"/>
  <c r="DQ190"/>
  <c r="AM189"/>
  <c r="AM175"/>
  <c r="DQ172"/>
  <c r="P172"/>
  <c r="P168"/>
  <c r="P164"/>
  <c r="DE158"/>
  <c r="CL158"/>
  <c r="AM151"/>
  <c r="DQ148"/>
  <c r="AM133"/>
  <c r="AM130"/>
  <c r="AM128"/>
  <c r="AM107"/>
  <c r="AM103"/>
  <c r="AM99"/>
  <c r="DQ96"/>
  <c r="DQ71"/>
  <c r="AM68"/>
  <c r="AM52"/>
  <c r="P379"/>
  <c r="DQ378"/>
  <c r="DQ372"/>
  <c r="DQ294"/>
  <c r="DQ286"/>
  <c r="DQ267"/>
  <c r="DQ264"/>
  <c r="DQ259"/>
  <c r="AM252"/>
  <c r="AM246"/>
  <c r="DQ245"/>
  <c r="AM241"/>
  <c r="AM202"/>
  <c r="DQ201"/>
  <c r="AM199"/>
  <c r="DQ198"/>
  <c r="AM197"/>
  <c r="AM186"/>
  <c r="DQ185"/>
  <c r="AM184"/>
  <c r="AM178"/>
  <c r="DQ174"/>
  <c r="P160"/>
  <c r="P159"/>
  <c r="DQ158"/>
  <c r="AM157"/>
  <c r="AM140"/>
  <c r="DQ132"/>
  <c r="DQ127"/>
  <c r="DQ120"/>
  <c r="P118"/>
  <c r="DQ116"/>
  <c r="AM113"/>
  <c r="P104"/>
  <c r="P100"/>
  <c r="DQ84"/>
  <c r="DQ80"/>
  <c r="AM75"/>
  <c r="AM72"/>
  <c r="AM63"/>
  <c r="P61"/>
  <c r="AM59"/>
  <c r="AM57"/>
  <c r="DQ51"/>
  <c r="DQ45"/>
  <c r="DQ93"/>
  <c r="AM90"/>
  <c r="AM89"/>
  <c r="AM85"/>
  <c r="AM84"/>
  <c r="AM82"/>
  <c r="AM81"/>
  <c r="P75"/>
  <c r="P73"/>
  <c r="DE74"/>
  <c r="CL74"/>
  <c r="DQ74"/>
  <c r="AM69"/>
  <c r="DQ66"/>
  <c r="DQ62"/>
  <c r="P56"/>
  <c r="DE51"/>
  <c r="BQ51"/>
  <c r="P51"/>
  <c r="DQ55"/>
  <c r="DQ54"/>
  <c r="P52"/>
  <c r="CL370"/>
  <c r="DQ370"/>
  <c r="DE368"/>
  <c r="CL368"/>
  <c r="DE312"/>
  <c r="CL312"/>
  <c r="DE308"/>
  <c r="CL308"/>
  <c r="DQ297"/>
  <c r="DE292"/>
  <c r="CL292"/>
  <c r="DQ290"/>
  <c r="DE288"/>
  <c r="CL288"/>
  <c r="DQ281"/>
  <c r="DQ278"/>
  <c r="DQ272"/>
  <c r="DQ261"/>
  <c r="AM254"/>
  <c r="DQ253"/>
  <c r="DE250"/>
  <c r="CL250"/>
  <c r="AM247"/>
  <c r="AM240"/>
  <c r="DQ235"/>
  <c r="DQ229"/>
  <c r="DQ227"/>
  <c r="AM226"/>
  <c r="DQ225"/>
  <c r="AM224"/>
  <c r="DQ223"/>
  <c r="DQ221"/>
  <c r="AM218"/>
  <c r="DQ217"/>
  <c r="AM214"/>
  <c r="DQ213"/>
  <c r="AM210"/>
  <c r="DQ209"/>
  <c r="AM206"/>
  <c r="DQ205"/>
  <c r="P204"/>
  <c r="AM203"/>
  <c r="AM200"/>
  <c r="AM182"/>
  <c r="DQ181"/>
  <c r="DQ177"/>
  <c r="P173"/>
  <c r="AM171"/>
  <c r="DQ170"/>
  <c r="P170"/>
  <c r="DQ166"/>
  <c r="AM155"/>
  <c r="DQ152"/>
  <c r="AM147"/>
  <c r="DQ144"/>
  <c r="AM139"/>
  <c r="DQ138"/>
  <c r="AM137"/>
  <c r="AM135"/>
  <c r="DQ130"/>
  <c r="AM126"/>
  <c r="AM124"/>
  <c r="DQ123"/>
  <c r="DQ118"/>
  <c r="DQ114"/>
  <c r="AM111"/>
  <c r="DQ106"/>
  <c r="DQ102"/>
  <c r="DQ98"/>
  <c r="P98"/>
  <c r="DE94"/>
  <c r="CL94"/>
  <c r="AM93"/>
  <c r="DQ90"/>
  <c r="DE88"/>
  <c r="CL88"/>
  <c r="AM83"/>
  <c r="AM79"/>
  <c r="AM76"/>
  <c r="DQ75"/>
  <c r="DQ73"/>
  <c r="DQ69"/>
  <c r="AM60"/>
  <c r="DQ374"/>
  <c r="P324"/>
  <c r="DQ322"/>
  <c r="DQ299"/>
  <c r="DE294"/>
  <c r="CL294"/>
  <c r="DQ287"/>
  <c r="DQ285"/>
  <c r="DQ283"/>
  <c r="P273"/>
  <c r="DQ263"/>
  <c r="P257"/>
  <c r="DQ255"/>
  <c r="AM253"/>
  <c r="DQ252"/>
  <c r="AM250"/>
  <c r="DQ247"/>
  <c r="DE245"/>
  <c r="CL245"/>
  <c r="AM244"/>
  <c r="AM196"/>
  <c r="DQ194"/>
  <c r="AM176"/>
  <c r="AM169"/>
  <c r="AM165"/>
  <c r="AM161"/>
  <c r="DE160"/>
  <c r="CL160"/>
  <c r="AM143"/>
  <c r="DQ142"/>
  <c r="DQ140"/>
  <c r="DQ136"/>
  <c r="DQ134"/>
  <c r="AM131"/>
  <c r="AM121"/>
  <c r="AM117"/>
  <c r="AM105"/>
  <c r="AM101"/>
  <c r="P89"/>
  <c r="DQ88"/>
  <c r="AM88"/>
  <c r="AM86"/>
  <c r="AM71"/>
  <c r="AM66"/>
  <c r="CL58"/>
  <c r="DQ52"/>
  <c r="P300"/>
  <c r="P284"/>
  <c r="DQ240"/>
  <c r="AM239"/>
  <c r="AM233"/>
  <c r="DQ232"/>
  <c r="P196"/>
  <c r="P162"/>
  <c r="DQ160"/>
  <c r="AM159"/>
  <c r="P149"/>
  <c r="P121"/>
  <c r="P117"/>
  <c r="DQ58"/>
  <c r="AM55"/>
  <c r="DE310"/>
  <c r="CL310"/>
  <c r="DE195"/>
  <c r="CL195"/>
  <c r="DQ188"/>
  <c r="AM187"/>
  <c r="DQ186"/>
  <c r="AM185"/>
  <c r="DE364"/>
  <c r="CL364"/>
  <c r="DE360"/>
  <c r="CL360"/>
  <c r="DE356"/>
  <c r="CL356"/>
  <c r="DE352"/>
  <c r="CL352"/>
  <c r="P214"/>
  <c r="DE238"/>
  <c r="CL238"/>
  <c r="P237"/>
  <c r="P377"/>
  <c r="P373"/>
  <c r="P371"/>
  <c r="P369"/>
  <c r="DQ368"/>
  <c r="P367"/>
  <c r="DQ366"/>
  <c r="P365"/>
  <c r="DQ364"/>
  <c r="P363"/>
  <c r="DQ362"/>
  <c r="P361"/>
  <c r="DQ360"/>
  <c r="P359"/>
  <c r="DQ358"/>
  <c r="P357"/>
  <c r="DQ356"/>
  <c r="P355"/>
  <c r="DQ354"/>
  <c r="P353"/>
  <c r="DQ352"/>
  <c r="P351"/>
  <c r="DQ350"/>
  <c r="P349"/>
  <c r="DQ348"/>
  <c r="P347"/>
  <c r="DQ346"/>
  <c r="P346"/>
  <c r="P345"/>
  <c r="DQ344"/>
  <c r="P344"/>
  <c r="P343"/>
  <c r="P342"/>
  <c r="DQ341"/>
  <c r="DE340"/>
  <c r="CL340"/>
  <c r="DQ337"/>
  <c r="DE322"/>
  <c r="CL322"/>
  <c r="P321"/>
  <c r="DQ320"/>
  <c r="P319"/>
  <c r="DQ318"/>
  <c r="P317"/>
  <c r="DQ316"/>
  <c r="P316"/>
  <c r="P313"/>
  <c r="DQ312"/>
  <c r="P311"/>
  <c r="DQ310"/>
  <c r="P310"/>
  <c r="P309"/>
  <c r="DQ308"/>
  <c r="P308"/>
  <c r="P280"/>
  <c r="DE278"/>
  <c r="CL278"/>
  <c r="P276"/>
  <c r="P195"/>
  <c r="DQ184"/>
  <c r="AM183"/>
  <c r="DQ182"/>
  <c r="AM181"/>
  <c r="DQ180"/>
  <c r="AM179"/>
  <c r="DQ178"/>
  <c r="DQ171"/>
  <c r="DE124"/>
  <c r="CL124"/>
  <c r="DQ94"/>
  <c r="DE92"/>
  <c r="CL92"/>
  <c r="AM45"/>
  <c r="DQ44"/>
  <c r="P318"/>
  <c r="AM94"/>
  <c r="P348"/>
  <c r="P314"/>
  <c r="DE350"/>
  <c r="CL350"/>
  <c r="DE348"/>
  <c r="CL348"/>
  <c r="DE346"/>
  <c r="CL346"/>
  <c r="DE344"/>
  <c r="CL344"/>
  <c r="DQ343"/>
  <c r="DE342"/>
  <c r="CL342"/>
  <c r="P304"/>
  <c r="P378"/>
  <c r="P376"/>
  <c r="P374"/>
  <c r="P372"/>
  <c r="P370"/>
  <c r="P368"/>
  <c r="P366"/>
  <c r="P364"/>
  <c r="P362"/>
  <c r="P360"/>
  <c r="P358"/>
  <c r="P356"/>
  <c r="P354"/>
  <c r="P352"/>
  <c r="P350"/>
  <c r="P306"/>
  <c r="P139"/>
  <c r="P328"/>
  <c r="DQ231"/>
  <c r="DE230"/>
  <c r="CL230"/>
  <c r="DQ202"/>
  <c r="P194"/>
  <c r="P186"/>
  <c r="BQ178"/>
  <c r="P178"/>
  <c r="P380"/>
  <c r="DE378"/>
  <c r="CL378"/>
  <c r="DQ377"/>
  <c r="DE376"/>
  <c r="CL376"/>
  <c r="P375"/>
  <c r="P298"/>
  <c r="P294"/>
  <c r="P290"/>
  <c r="P288"/>
  <c r="P286"/>
  <c r="DQ256"/>
  <c r="P252"/>
  <c r="BQ191"/>
  <c r="P191"/>
  <c r="P189"/>
  <c r="BQ183"/>
  <c r="P183"/>
  <c r="P181"/>
  <c r="P156"/>
  <c r="P155"/>
  <c r="P153"/>
  <c r="P151"/>
  <c r="DQ150"/>
  <c r="AM149"/>
  <c r="DE148"/>
  <c r="CL148"/>
  <c r="P147"/>
  <c r="P146"/>
  <c r="AM145"/>
  <c r="AM142"/>
  <c r="P142"/>
  <c r="DQ139"/>
  <c r="P133"/>
  <c r="P127"/>
  <c r="DE98"/>
  <c r="CL98"/>
  <c r="P90"/>
  <c r="DE84"/>
  <c r="CL84"/>
  <c r="P84"/>
  <c r="P83"/>
  <c r="P82"/>
  <c r="DE80"/>
  <c r="CL80"/>
  <c r="P54"/>
  <c r="P332"/>
  <c r="P330"/>
  <c r="P320"/>
  <c r="DE318"/>
  <c r="CL318"/>
  <c r="DQ317"/>
  <c r="DE316"/>
  <c r="CL316"/>
  <c r="P315"/>
  <c r="BQ241"/>
  <c r="P241"/>
  <c r="AM234"/>
  <c r="DQ233"/>
  <c r="P233"/>
  <c r="AM232"/>
  <c r="P231"/>
  <c r="P228"/>
  <c r="P226"/>
  <c r="P224"/>
  <c r="P222"/>
  <c r="AM220"/>
  <c r="DQ219"/>
  <c r="DE218"/>
  <c r="CL218"/>
  <c r="AM216"/>
  <c r="DQ215"/>
  <c r="DE214"/>
  <c r="CL214"/>
  <c r="AM212"/>
  <c r="DQ211"/>
  <c r="DE210"/>
  <c r="CL210"/>
  <c r="AM204"/>
  <c r="DE203"/>
  <c r="CL203"/>
  <c r="P44"/>
  <c r="CL374"/>
  <c r="P336"/>
  <c r="P334"/>
  <c r="P282"/>
  <c r="P278"/>
  <c r="P272"/>
  <c r="BQ266"/>
  <c r="P266"/>
  <c r="P264"/>
  <c r="P261"/>
  <c r="P256"/>
  <c r="P255"/>
  <c r="P253"/>
  <c r="P250"/>
  <c r="P248"/>
  <c r="P234"/>
  <c r="P220"/>
  <c r="P216"/>
  <c r="P212"/>
  <c r="AM208"/>
  <c r="P208"/>
  <c r="DQ207"/>
  <c r="P201"/>
  <c r="P185"/>
  <c r="AM180"/>
  <c r="P180"/>
  <c r="BQ179"/>
  <c r="P179"/>
  <c r="AM177"/>
  <c r="P177"/>
  <c r="AM174"/>
  <c r="P171"/>
  <c r="P131"/>
  <c r="P126"/>
  <c r="P125"/>
  <c r="P124"/>
  <c r="P123"/>
  <c r="P81"/>
  <c r="P80"/>
  <c r="P79"/>
  <c r="P78"/>
  <c r="P68"/>
  <c r="P66"/>
  <c r="P62"/>
  <c r="P59"/>
  <c r="CL314"/>
  <c r="P312"/>
  <c r="P296"/>
  <c r="P292"/>
  <c r="DQ291"/>
  <c r="DE290"/>
  <c r="CL290"/>
  <c r="P287"/>
  <c r="P285"/>
  <c r="P279"/>
  <c r="BQ270"/>
  <c r="P270"/>
  <c r="P268"/>
  <c r="P260"/>
  <c r="P247"/>
  <c r="P246"/>
  <c r="AM245"/>
  <c r="AM243"/>
  <c r="DE240"/>
  <c r="CL240"/>
  <c r="P239"/>
  <c r="CL236"/>
  <c r="P232"/>
  <c r="DQ230"/>
  <c r="AM230"/>
  <c r="P229"/>
  <c r="AM228"/>
  <c r="P227"/>
  <c r="P225"/>
  <c r="P223"/>
  <c r="BQ199"/>
  <c r="P199"/>
  <c r="P197"/>
  <c r="P193"/>
  <c r="P188"/>
  <c r="P158"/>
  <c r="P157"/>
  <c r="DE154"/>
  <c r="CL154"/>
  <c r="P154"/>
  <c r="DE152"/>
  <c r="CL152"/>
  <c r="P152"/>
  <c r="DE150"/>
  <c r="CL150"/>
  <c r="P150"/>
  <c r="P148"/>
  <c r="DE146"/>
  <c r="CL146"/>
  <c r="P145"/>
  <c r="P144"/>
  <c r="DQ143"/>
  <c r="DE142"/>
  <c r="CL142"/>
  <c r="P141"/>
  <c r="P140"/>
  <c r="P135"/>
  <c r="P134"/>
  <c r="P122"/>
  <c r="AM115"/>
  <c r="DE114"/>
  <c r="CL114"/>
  <c r="P112"/>
  <c r="DQ111"/>
  <c r="DE110"/>
  <c r="CL110"/>
  <c r="P109"/>
  <c r="CL108"/>
  <c r="P97"/>
  <c r="P96"/>
  <c r="P95"/>
  <c r="DE93"/>
  <c r="CL93"/>
  <c r="P88"/>
  <c r="P87"/>
  <c r="P86"/>
  <c r="P76"/>
  <c r="P74"/>
  <c r="DE72"/>
  <c r="CL72"/>
  <c r="P70"/>
  <c r="P58"/>
  <c r="BQ381"/>
  <c r="CL379"/>
  <c r="BQ377"/>
  <c r="CL375"/>
  <c r="BQ373"/>
  <c r="CL371"/>
  <c r="BQ369"/>
  <c r="CL367"/>
  <c r="BQ365"/>
  <c r="CL363"/>
  <c r="BQ361"/>
  <c r="CL359"/>
  <c r="BQ357"/>
  <c r="CL355"/>
  <c r="BQ353"/>
  <c r="CL351"/>
  <c r="BQ349"/>
  <c r="CL347"/>
  <c r="BQ345"/>
  <c r="CL343"/>
  <c r="CL321"/>
  <c r="BQ319"/>
  <c r="CL317"/>
  <c r="BQ315"/>
  <c r="CL313"/>
  <c r="BQ311"/>
  <c r="CL309"/>
  <c r="BQ287"/>
  <c r="CL285"/>
  <c r="BQ274"/>
  <c r="P341"/>
  <c r="DQ340"/>
  <c r="P340"/>
  <c r="P339"/>
  <c r="DQ338"/>
  <c r="P338"/>
  <c r="P337"/>
  <c r="DQ336"/>
  <c r="BQ336"/>
  <c r="P335"/>
  <c r="DQ334"/>
  <c r="BQ334"/>
  <c r="P333"/>
  <c r="DQ332"/>
  <c r="BQ332"/>
  <c r="P331"/>
  <c r="DQ330"/>
  <c r="BQ330"/>
  <c r="P329"/>
  <c r="DQ328"/>
  <c r="BQ328"/>
  <c r="P327"/>
  <c r="DQ326"/>
  <c r="BQ326"/>
  <c r="P325"/>
  <c r="DQ324"/>
  <c r="BQ324"/>
  <c r="P323"/>
  <c r="P322"/>
  <c r="P307"/>
  <c r="DQ306"/>
  <c r="BQ306"/>
  <c r="P305"/>
  <c r="DQ304"/>
  <c r="BQ304"/>
  <c r="P303"/>
  <c r="DQ302"/>
  <c r="BQ302"/>
  <c r="P301"/>
  <c r="DQ300"/>
  <c r="BQ300"/>
  <c r="P299"/>
  <c r="P297"/>
  <c r="P295"/>
  <c r="P293"/>
  <c r="P291"/>
  <c r="P289"/>
  <c r="BQ286"/>
  <c r="DQ284"/>
  <c r="BQ284"/>
  <c r="P283"/>
  <c r="P281"/>
  <c r="DE280"/>
  <c r="CL280"/>
  <c r="BQ335"/>
  <c r="CL333"/>
  <c r="BQ331"/>
  <c r="CL329"/>
  <c r="BQ327"/>
  <c r="CL325"/>
  <c r="BQ323"/>
  <c r="BQ307"/>
  <c r="CL305"/>
  <c r="BQ303"/>
  <c r="CL301"/>
  <c r="BQ299"/>
  <c r="CL297"/>
  <c r="BQ295"/>
  <c r="CL293"/>
  <c r="BQ291"/>
  <c r="CL289"/>
  <c r="BQ283"/>
  <c r="CL281"/>
  <c r="BQ279"/>
  <c r="CL277"/>
  <c r="BQ276"/>
  <c r="BQ251"/>
  <c r="BQ249"/>
  <c r="BQ248"/>
  <c r="CL235"/>
  <c r="BQ221"/>
  <c r="CL219"/>
  <c r="BQ217"/>
  <c r="CL215"/>
  <c r="BQ213"/>
  <c r="CL211"/>
  <c r="BQ209"/>
  <c r="CL207"/>
  <c r="BQ205"/>
  <c r="BQ202"/>
  <c r="BQ198"/>
  <c r="BQ197"/>
  <c r="BQ194"/>
  <c r="BQ193"/>
  <c r="BQ188"/>
  <c r="BQ186"/>
  <c r="BQ185"/>
  <c r="BQ177"/>
  <c r="BQ173"/>
  <c r="P277"/>
  <c r="DE273"/>
  <c r="DE272"/>
  <c r="P271"/>
  <c r="DQ269"/>
  <c r="P269"/>
  <c r="DE268"/>
  <c r="P267"/>
  <c r="DQ265"/>
  <c r="P265"/>
  <c r="DE264"/>
  <c r="P263"/>
  <c r="BQ262"/>
  <c r="P262"/>
  <c r="DE261"/>
  <c r="DE260"/>
  <c r="P259"/>
  <c r="BQ258"/>
  <c r="P258"/>
  <c r="DE257"/>
  <c r="P192"/>
  <c r="DE190"/>
  <c r="P190"/>
  <c r="BQ187"/>
  <c r="P187"/>
  <c r="P184"/>
  <c r="DE182"/>
  <c r="P182"/>
  <c r="DE181"/>
  <c r="P176"/>
  <c r="BQ175"/>
  <c r="P175"/>
  <c r="P174"/>
  <c r="DE172"/>
  <c r="CL172"/>
  <c r="DE170"/>
  <c r="CL170"/>
  <c r="P169"/>
  <c r="BQ168"/>
  <c r="P167"/>
  <c r="BQ166"/>
  <c r="AM166"/>
  <c r="P165"/>
  <c r="DQ164"/>
  <c r="BQ164"/>
  <c r="AM164"/>
  <c r="P163"/>
  <c r="DQ162"/>
  <c r="BQ162"/>
  <c r="AM162"/>
  <c r="P161"/>
  <c r="BQ273"/>
  <c r="BQ272"/>
  <c r="BQ269"/>
  <c r="BQ268"/>
  <c r="BQ265"/>
  <c r="BQ264"/>
  <c r="BQ261"/>
  <c r="BQ260"/>
  <c r="BQ257"/>
  <c r="BQ256"/>
  <c r="BQ253"/>
  <c r="BQ252"/>
  <c r="BQ247"/>
  <c r="BQ244"/>
  <c r="BQ243"/>
  <c r="BQ233"/>
  <c r="CL231"/>
  <c r="BQ229"/>
  <c r="CL227"/>
  <c r="BQ225"/>
  <c r="CL223"/>
  <c r="BQ192"/>
  <c r="BQ190"/>
  <c r="BQ189"/>
  <c r="BQ184"/>
  <c r="BQ182"/>
  <c r="BQ181"/>
  <c r="BQ180"/>
  <c r="BQ176"/>
  <c r="BQ174"/>
  <c r="BQ169"/>
  <c r="CL167"/>
  <c r="BQ165"/>
  <c r="CL163"/>
  <c r="BQ161"/>
  <c r="BQ254"/>
  <c r="P254"/>
  <c r="DQ251"/>
  <c r="P251"/>
  <c r="DQ249"/>
  <c r="P249"/>
  <c r="DE248"/>
  <c r="CL248"/>
  <c r="P243"/>
  <c r="BQ242"/>
  <c r="P242"/>
  <c r="P240"/>
  <c r="DQ238"/>
  <c r="P238"/>
  <c r="DQ236"/>
  <c r="AM236"/>
  <c r="P236"/>
  <c r="P235"/>
  <c r="BQ232"/>
  <c r="P230"/>
  <c r="BQ228"/>
  <c r="BQ226"/>
  <c r="BQ224"/>
  <c r="DQ222"/>
  <c r="BQ222"/>
  <c r="AM222"/>
  <c r="P221"/>
  <c r="P219"/>
  <c r="P217"/>
  <c r="P215"/>
  <c r="P213"/>
  <c r="P211"/>
  <c r="P209"/>
  <c r="P207"/>
  <c r="DE206"/>
  <c r="CL206"/>
  <c r="P205"/>
  <c r="DQ204"/>
  <c r="BQ204"/>
  <c r="DE202"/>
  <c r="CL202"/>
  <c r="P202"/>
  <c r="P200"/>
  <c r="P198"/>
  <c r="CL197"/>
  <c r="DQ196"/>
  <c r="CL143"/>
  <c r="BQ141"/>
  <c r="BQ140"/>
  <c r="BQ135"/>
  <c r="BQ132"/>
  <c r="BQ131"/>
  <c r="BQ128"/>
  <c r="BQ121"/>
  <c r="CL119"/>
  <c r="BQ117"/>
  <c r="CL115"/>
  <c r="BQ113"/>
  <c r="CL111"/>
  <c r="P138"/>
  <c r="BQ137"/>
  <c r="P137"/>
  <c r="P136"/>
  <c r="P110"/>
  <c r="P108"/>
  <c r="P107"/>
  <c r="BQ106"/>
  <c r="P105"/>
  <c r="BQ104"/>
  <c r="P103"/>
  <c r="BQ102"/>
  <c r="P101"/>
  <c r="BQ100"/>
  <c r="P99"/>
  <c r="CL159"/>
  <c r="BQ157"/>
  <c r="CL155"/>
  <c r="BQ153"/>
  <c r="CL151"/>
  <c r="BQ149"/>
  <c r="CL147"/>
  <c r="BQ145"/>
  <c r="BQ136"/>
  <c r="BQ127"/>
  <c r="CL126"/>
  <c r="BQ109"/>
  <c r="CL105"/>
  <c r="BQ103"/>
  <c r="CL101"/>
  <c r="BQ99"/>
  <c r="DE144"/>
  <c r="CL144"/>
  <c r="P143"/>
  <c r="P132"/>
  <c r="BQ130"/>
  <c r="P130"/>
  <c r="BQ129"/>
  <c r="P129"/>
  <c r="P128"/>
  <c r="DE122"/>
  <c r="CL122"/>
  <c r="BQ120"/>
  <c r="BQ118"/>
  <c r="BQ116"/>
  <c r="P114"/>
  <c r="P113"/>
  <c r="BQ112"/>
  <c r="P111"/>
  <c r="CL97"/>
  <c r="BQ95"/>
  <c r="CL85"/>
  <c r="BQ83"/>
  <c r="CL81"/>
  <c r="BQ79"/>
  <c r="CL75"/>
  <c r="BQ73"/>
  <c r="BQ62"/>
  <c r="BQ61"/>
  <c r="BQ59"/>
  <c r="CL46"/>
  <c r="BQ44"/>
  <c r="P91"/>
  <c r="DE82"/>
  <c r="CL82"/>
  <c r="DE78"/>
  <c r="CL78"/>
  <c r="AM78"/>
  <c r="P77"/>
  <c r="P71"/>
  <c r="DQ70"/>
  <c r="BQ70"/>
  <c r="AM70"/>
  <c r="P69"/>
  <c r="DE68"/>
  <c r="CL68"/>
  <c r="P67"/>
  <c r="P65"/>
  <c r="BQ64"/>
  <c r="P63"/>
  <c r="AM61"/>
  <c r="DE60"/>
  <c r="CL60"/>
  <c r="P60"/>
  <c r="P57"/>
  <c r="BQ56"/>
  <c r="P55"/>
  <c r="BQ54"/>
  <c r="P53"/>
  <c r="BQ52"/>
  <c r="DE49"/>
  <c r="CL49"/>
  <c r="P49"/>
  <c r="P47"/>
  <c r="P45"/>
  <c r="BQ91"/>
  <c r="CL89"/>
  <c r="BQ87"/>
  <c r="BQ77"/>
  <c r="CL71"/>
  <c r="BQ69"/>
  <c r="CL67"/>
  <c r="BQ65"/>
  <c r="BQ63"/>
  <c r="BQ57"/>
  <c r="CL55"/>
  <c r="BQ53"/>
  <c r="BQ47"/>
  <c r="CL45"/>
  <c r="CL43"/>
  <c r="BQ96"/>
  <c r="P94"/>
  <c r="DQ50"/>
  <c r="AM50"/>
  <c r="CL50"/>
  <c r="P50"/>
  <c r="DQ49"/>
  <c r="AM49"/>
  <c r="BQ48"/>
  <c r="P48"/>
  <c r="P46"/>
  <c r="DQ46"/>
  <c r="AM46"/>
  <c r="DE45"/>
  <c r="DE44"/>
  <c r="CL44"/>
  <c r="P43"/>
  <c r="DE43"/>
  <c r="P64"/>
  <c r="BX270"/>
  <c r="CE270" s="1"/>
  <c r="BX269"/>
  <c r="CE269" s="1"/>
  <c r="BX52"/>
  <c r="CE52" s="1"/>
  <c r="BX148"/>
  <c r="CE148" s="1"/>
  <c r="BX348"/>
  <c r="CE348" s="1"/>
  <c r="BX346"/>
  <c r="CE346" s="1"/>
  <c r="BK337"/>
  <c r="BX332"/>
  <c r="CE332" s="1"/>
  <c r="BX330"/>
  <c r="CE330" s="1"/>
  <c r="BK276"/>
  <c r="CY202"/>
  <c r="CY171"/>
  <c r="BX142"/>
  <c r="CE142" s="1"/>
  <c r="BX175"/>
  <c r="CE175" s="1"/>
  <c r="BK77"/>
  <c r="CY339"/>
  <c r="BX320"/>
  <c r="CE320" s="1"/>
  <c r="BX318"/>
  <c r="CE318" s="1"/>
  <c r="BX312"/>
  <c r="CE312" s="1"/>
  <c r="BX228"/>
  <c r="CE228" s="1"/>
  <c r="BX126"/>
  <c r="CE126" s="1"/>
  <c r="CY273"/>
  <c r="BK273"/>
  <c r="BX218"/>
  <c r="CE218" s="1"/>
  <c r="CY239"/>
  <c r="BX226"/>
  <c r="CE226" s="1"/>
  <c r="BK196"/>
  <c r="CY195"/>
  <c r="BX166"/>
  <c r="CE166" s="1"/>
  <c r="BX164"/>
  <c r="CE164" s="1"/>
  <c r="BX72"/>
  <c r="CE72" s="1"/>
  <c r="BX68"/>
  <c r="CE68" s="1"/>
  <c r="BX372"/>
  <c r="CE372" s="1"/>
  <c r="BX368"/>
  <c r="CE368" s="1"/>
  <c r="BK339"/>
  <c r="BX338"/>
  <c r="CE338" s="1"/>
  <c r="BX306"/>
  <c r="CE306" s="1"/>
  <c r="BX304"/>
  <c r="CE304" s="1"/>
  <c r="BX298"/>
  <c r="CE298" s="1"/>
  <c r="CY199"/>
  <c r="BX179"/>
  <c r="CE179" s="1"/>
  <c r="CY123"/>
  <c r="BK107"/>
  <c r="BX45"/>
  <c r="CE45" s="1"/>
  <c r="CY341"/>
  <c r="CY337"/>
  <c r="BX266"/>
  <c r="CE266" s="1"/>
  <c r="BX208"/>
  <c r="CE208" s="1"/>
  <c r="BX150"/>
  <c r="CE150" s="1"/>
  <c r="CY140"/>
  <c r="BX134"/>
  <c r="CE134" s="1"/>
  <c r="BX133"/>
  <c r="CE133" s="1"/>
  <c r="BX130"/>
  <c r="CE130" s="1"/>
  <c r="BX84"/>
  <c r="CE84" s="1"/>
  <c r="CY59"/>
  <c r="BX201"/>
  <c r="CE201" s="1"/>
  <c r="BX178"/>
  <c r="CE178" s="1"/>
  <c r="BX364"/>
  <c r="CE364" s="1"/>
  <c r="BX362"/>
  <c r="CE362" s="1"/>
  <c r="BX354"/>
  <c r="CE354" s="1"/>
  <c r="BX328"/>
  <c r="CE328" s="1"/>
  <c r="BX324"/>
  <c r="CE324" s="1"/>
  <c r="BX322"/>
  <c r="CE322" s="1"/>
  <c r="BX294"/>
  <c r="CE294" s="1"/>
  <c r="BX292"/>
  <c r="CE292" s="1"/>
  <c r="BX282"/>
  <c r="CE282" s="1"/>
  <c r="BX242"/>
  <c r="CE242" s="1"/>
  <c r="BX238"/>
  <c r="CE238" s="1"/>
  <c r="BK237"/>
  <c r="BX236"/>
  <c r="CE236" s="1"/>
  <c r="BX216"/>
  <c r="CE216" s="1"/>
  <c r="BX172"/>
  <c r="CE172" s="1"/>
  <c r="BX158"/>
  <c r="CE158" s="1"/>
  <c r="BX156"/>
  <c r="CE156" s="1"/>
  <c r="BX125"/>
  <c r="CE125" s="1"/>
  <c r="BX118"/>
  <c r="CE118" s="1"/>
  <c r="BX116"/>
  <c r="CE116" s="1"/>
  <c r="BX108"/>
  <c r="CE108" s="1"/>
  <c r="BX106"/>
  <c r="CE106" s="1"/>
  <c r="BX96"/>
  <c r="CE96" s="1"/>
  <c r="BX64"/>
  <c r="CE64" s="1"/>
  <c r="BX63"/>
  <c r="CE63" s="1"/>
  <c r="BX56"/>
  <c r="CE56" s="1"/>
  <c r="BX49"/>
  <c r="CE49" s="1"/>
  <c r="BX47"/>
  <c r="CE47" s="1"/>
  <c r="BX43"/>
  <c r="CE43" s="1"/>
  <c r="BX340"/>
  <c r="CE340" s="1"/>
  <c r="BX265"/>
  <c r="CE265" s="1"/>
  <c r="BX260"/>
  <c r="CE260" s="1"/>
  <c r="BX248"/>
  <c r="CE248" s="1"/>
  <c r="BX205"/>
  <c r="CE205" s="1"/>
  <c r="BX132"/>
  <c r="CE132" s="1"/>
  <c r="BX104"/>
  <c r="CE104" s="1"/>
  <c r="BX102"/>
  <c r="CE102" s="1"/>
  <c r="BX92"/>
  <c r="CE92" s="1"/>
  <c r="BX283"/>
  <c r="CE283" s="1"/>
  <c r="BX256"/>
  <c r="CE256" s="1"/>
  <c r="BX252"/>
  <c r="CE252" s="1"/>
  <c r="BX249"/>
  <c r="CE249" s="1"/>
  <c r="BX243"/>
  <c r="CE243" s="1"/>
  <c r="BX199"/>
  <c r="CE199" s="1"/>
  <c r="BX127"/>
  <c r="CE127" s="1"/>
  <c r="AR76"/>
  <c r="BX380"/>
  <c r="CE380" s="1"/>
  <c r="BX378"/>
  <c r="CE378" s="1"/>
  <c r="BX336"/>
  <c r="CE336" s="1"/>
  <c r="BX323"/>
  <c r="CE323" s="1"/>
  <c r="BK275"/>
  <c r="BX274"/>
  <c r="CE274" s="1"/>
  <c r="BX268"/>
  <c r="CE268" s="1"/>
  <c r="BX264"/>
  <c r="CE264" s="1"/>
  <c r="BX262"/>
  <c r="CE262" s="1"/>
  <c r="CD260"/>
  <c r="AP260" s="1"/>
  <c r="BX259"/>
  <c r="CE259" s="1"/>
  <c r="BX258"/>
  <c r="CE258" s="1"/>
  <c r="BX257"/>
  <c r="CE257" s="1"/>
  <c r="BX254"/>
  <c r="CE254" s="1"/>
  <c r="BX253"/>
  <c r="CE253" s="1"/>
  <c r="CD249"/>
  <c r="CD248"/>
  <c r="BX247"/>
  <c r="CE247" s="1"/>
  <c r="BX245"/>
  <c r="CE245" s="1"/>
  <c r="BX244"/>
  <c r="CE244" s="1"/>
  <c r="BX241"/>
  <c r="CE241" s="1"/>
  <c r="BX240"/>
  <c r="CE240" s="1"/>
  <c r="BX214"/>
  <c r="CE214" s="1"/>
  <c r="BX195"/>
  <c r="CE195" s="1"/>
  <c r="BX194"/>
  <c r="CE194" s="1"/>
  <c r="BX191"/>
  <c r="CE191" s="1"/>
  <c r="BX190"/>
  <c r="CE190" s="1"/>
  <c r="BX187"/>
  <c r="CE187" s="1"/>
  <c r="BX186"/>
  <c r="CE186" s="1"/>
  <c r="BX183"/>
  <c r="CE183" s="1"/>
  <c r="BX182"/>
  <c r="CE182" s="1"/>
  <c r="BX157"/>
  <c r="CE157" s="1"/>
  <c r="BX139"/>
  <c r="CE139" s="1"/>
  <c r="BX137"/>
  <c r="CE137" s="1"/>
  <c r="BX135"/>
  <c r="CE135" s="1"/>
  <c r="CD132"/>
  <c r="BX131"/>
  <c r="CE131" s="1"/>
  <c r="BX129"/>
  <c r="CE129" s="1"/>
  <c r="BX128"/>
  <c r="CE128" s="1"/>
  <c r="CD127"/>
  <c r="BX117"/>
  <c r="CE117" s="1"/>
  <c r="BX114"/>
  <c r="CE114" s="1"/>
  <c r="AP108"/>
  <c r="BX103"/>
  <c r="CE103" s="1"/>
  <c r="BX88"/>
  <c r="CE88" s="1"/>
  <c r="BX86"/>
  <c r="CE86" s="1"/>
  <c r="BX80"/>
  <c r="CE80" s="1"/>
  <c r="BX79"/>
  <c r="CE79" s="1"/>
  <c r="BX78"/>
  <c r="CE78" s="1"/>
  <c r="BX73"/>
  <c r="CE73" s="1"/>
  <c r="BX69"/>
  <c r="CE69" s="1"/>
  <c r="CD63"/>
  <c r="BK59"/>
  <c r="BX370"/>
  <c r="CE370" s="1"/>
  <c r="BX344"/>
  <c r="CE344" s="1"/>
  <c r="BX331"/>
  <c r="CE331" s="1"/>
  <c r="BX307"/>
  <c r="CE307" s="1"/>
  <c r="BX295"/>
  <c r="CE295" s="1"/>
  <c r="BX290"/>
  <c r="CE290" s="1"/>
  <c r="BX280"/>
  <c r="CE280" s="1"/>
  <c r="BX278"/>
  <c r="CE278" s="1"/>
  <c r="BX250"/>
  <c r="CE250" s="1"/>
  <c r="BX246"/>
  <c r="CE246" s="1"/>
  <c r="BX229"/>
  <c r="CE229" s="1"/>
  <c r="BX203"/>
  <c r="CE203" s="1"/>
  <c r="BX192"/>
  <c r="CE192" s="1"/>
  <c r="BX188"/>
  <c r="CE188" s="1"/>
  <c r="BX184"/>
  <c r="CE184" s="1"/>
  <c r="BX180"/>
  <c r="CE180" s="1"/>
  <c r="BX174"/>
  <c r="CE174" s="1"/>
  <c r="BX173"/>
  <c r="CE173" s="1"/>
  <c r="BX165"/>
  <c r="CE165" s="1"/>
  <c r="BX149"/>
  <c r="CE149" s="1"/>
  <c r="BX91"/>
  <c r="CE91" s="1"/>
  <c r="BX90"/>
  <c r="CE90" s="1"/>
  <c r="BX76"/>
  <c r="CE76" s="1"/>
  <c r="BX66"/>
  <c r="CE66" s="1"/>
  <c r="BX61"/>
  <c r="CE61" s="1"/>
  <c r="BX59"/>
  <c r="CE59" s="1"/>
  <c r="BX58"/>
  <c r="CE58" s="1"/>
  <c r="BX44"/>
  <c r="CE44" s="1"/>
  <c r="AR236"/>
  <c r="AP236"/>
  <c r="AR170"/>
  <c r="AP246"/>
  <c r="AR246"/>
  <c r="AP250"/>
  <c r="AR250"/>
  <c r="BX381"/>
  <c r="CE381" s="1"/>
  <c r="BX374"/>
  <c r="CE374" s="1"/>
  <c r="BX373"/>
  <c r="CE373" s="1"/>
  <c r="BX366"/>
  <c r="CE366" s="1"/>
  <c r="BX365"/>
  <c r="CE365" s="1"/>
  <c r="BX358"/>
  <c r="CE358" s="1"/>
  <c r="BX357"/>
  <c r="CE357" s="1"/>
  <c r="BX350"/>
  <c r="CE350" s="1"/>
  <c r="BX349"/>
  <c r="CE349" s="1"/>
  <c r="BX342"/>
  <c r="CE342" s="1"/>
  <c r="BK341"/>
  <c r="BX334"/>
  <c r="CE334" s="1"/>
  <c r="BX326"/>
  <c r="CE326" s="1"/>
  <c r="BX316"/>
  <c r="CE316" s="1"/>
  <c r="BX315"/>
  <c r="CE315" s="1"/>
  <c r="BX308"/>
  <c r="CE308" s="1"/>
  <c r="BX302"/>
  <c r="CE302" s="1"/>
  <c r="BX296"/>
  <c r="CE296" s="1"/>
  <c r="BX288"/>
  <c r="CE288" s="1"/>
  <c r="BX286"/>
  <c r="CE286" s="1"/>
  <c r="CD270"/>
  <c r="CD266"/>
  <c r="CD254"/>
  <c r="AS254" s="1"/>
  <c r="BX230"/>
  <c r="CE230" s="1"/>
  <c r="BX222"/>
  <c r="CE222" s="1"/>
  <c r="BX220"/>
  <c r="CE220" s="1"/>
  <c r="BX217"/>
  <c r="CE217" s="1"/>
  <c r="BX212"/>
  <c r="CE212" s="1"/>
  <c r="BX209"/>
  <c r="CE209" s="1"/>
  <c r="BX206"/>
  <c r="CE206" s="1"/>
  <c r="BX204"/>
  <c r="CE204" s="1"/>
  <c r="AR203"/>
  <c r="BK202"/>
  <c r="CY194"/>
  <c r="BX176"/>
  <c r="CE176" s="1"/>
  <c r="BK171"/>
  <c r="BX170"/>
  <c r="CE170" s="1"/>
  <c r="BX168"/>
  <c r="CE168" s="1"/>
  <c r="BX160"/>
  <c r="CE160" s="1"/>
  <c r="BX152"/>
  <c r="CE152" s="1"/>
  <c r="BX144"/>
  <c r="CE144" s="1"/>
  <c r="BX141"/>
  <c r="CE141" s="1"/>
  <c r="CD137"/>
  <c r="AS137" s="1"/>
  <c r="CD133"/>
  <c r="AS133" s="1"/>
  <c r="CD129"/>
  <c r="AS129" s="1"/>
  <c r="BK123"/>
  <c r="BX122"/>
  <c r="CE122" s="1"/>
  <c r="BX120"/>
  <c r="CE120" s="1"/>
  <c r="BX112"/>
  <c r="CE112" s="1"/>
  <c r="BX110"/>
  <c r="CE110" s="1"/>
  <c r="CD106"/>
  <c r="BX98"/>
  <c r="CE98" s="1"/>
  <c r="CD84"/>
  <c r="AR80"/>
  <c r="CY75"/>
  <c r="BX70"/>
  <c r="CE70" s="1"/>
  <c r="CD64"/>
  <c r="AS64" s="1"/>
  <c r="BX60"/>
  <c r="CE60" s="1"/>
  <c r="BX54"/>
  <c r="CE54" s="1"/>
  <c r="BX51"/>
  <c r="CE51" s="1"/>
  <c r="BX376"/>
  <c r="CE376" s="1"/>
  <c r="BX360"/>
  <c r="CE360" s="1"/>
  <c r="BX352"/>
  <c r="CE352" s="1"/>
  <c r="CD336"/>
  <c r="AP336" s="1"/>
  <c r="BX335"/>
  <c r="CE335" s="1"/>
  <c r="BX327"/>
  <c r="CE327" s="1"/>
  <c r="BX310"/>
  <c r="CE310" s="1"/>
  <c r="BX303"/>
  <c r="CE303" s="1"/>
  <c r="BX299"/>
  <c r="CE299" s="1"/>
  <c r="BX291"/>
  <c r="CE291" s="1"/>
  <c r="BX284"/>
  <c r="CE284" s="1"/>
  <c r="BX279"/>
  <c r="CE279" s="1"/>
  <c r="BX275"/>
  <c r="CE275" s="1"/>
  <c r="AR275"/>
  <c r="BX271"/>
  <c r="CE271" s="1"/>
  <c r="CD269"/>
  <c r="AP269" s="1"/>
  <c r="CD268"/>
  <c r="AP268" s="1"/>
  <c r="BX267"/>
  <c r="CE267" s="1"/>
  <c r="CD265"/>
  <c r="AP265" s="1"/>
  <c r="CD264"/>
  <c r="AP264" s="1"/>
  <c r="BX263"/>
  <c r="CE263" s="1"/>
  <c r="AR262"/>
  <c r="BX261"/>
  <c r="CE261" s="1"/>
  <c r="CD258"/>
  <c r="CD256"/>
  <c r="AP256" s="1"/>
  <c r="BX255"/>
  <c r="CE255" s="1"/>
  <c r="CD253"/>
  <c r="CD252"/>
  <c r="BX251"/>
  <c r="CE251" s="1"/>
  <c r="CD245"/>
  <c r="CY237"/>
  <c r="BX233"/>
  <c r="CE233" s="1"/>
  <c r="BX225"/>
  <c r="CE225" s="1"/>
  <c r="BX210"/>
  <c r="CE210" s="1"/>
  <c r="CY200"/>
  <c r="CD199"/>
  <c r="AS199" s="1"/>
  <c r="BX198"/>
  <c r="CE198" s="1"/>
  <c r="BX197"/>
  <c r="CE197" s="1"/>
  <c r="BK197"/>
  <c r="CD195"/>
  <c r="AS195" s="1"/>
  <c r="CD194"/>
  <c r="BX193"/>
  <c r="CE193" s="1"/>
  <c r="AR191"/>
  <c r="CD190"/>
  <c r="BX189"/>
  <c r="CE189" s="1"/>
  <c r="AR187"/>
  <c r="CD186"/>
  <c r="BX185"/>
  <c r="CE185" s="1"/>
  <c r="AR183"/>
  <c r="CD182"/>
  <c r="BX181"/>
  <c r="CE181" s="1"/>
  <c r="BX177"/>
  <c r="CE177" s="1"/>
  <c r="BX169"/>
  <c r="CE169" s="1"/>
  <c r="BX162"/>
  <c r="CE162" s="1"/>
  <c r="BX161"/>
  <c r="CE161" s="1"/>
  <c r="BX154"/>
  <c r="CE154" s="1"/>
  <c r="BX153"/>
  <c r="CE153" s="1"/>
  <c r="BX146"/>
  <c r="CE146" s="1"/>
  <c r="BX145"/>
  <c r="CE145" s="1"/>
  <c r="BX136"/>
  <c r="CE136" s="1"/>
  <c r="CD135"/>
  <c r="CD128"/>
  <c r="BX124"/>
  <c r="CE124" s="1"/>
  <c r="BX121"/>
  <c r="CE121" s="1"/>
  <c r="BX113"/>
  <c r="CE113" s="1"/>
  <c r="BX109"/>
  <c r="CE109" s="1"/>
  <c r="CY107"/>
  <c r="BX100"/>
  <c r="CE100" s="1"/>
  <c r="BX99"/>
  <c r="CE99" s="1"/>
  <c r="BX94"/>
  <c r="CE94" s="1"/>
  <c r="CD92"/>
  <c r="CD91"/>
  <c r="AR88"/>
  <c r="BX83"/>
  <c r="CE83" s="1"/>
  <c r="CD78"/>
  <c r="AP76"/>
  <c r="BX62"/>
  <c r="CE62" s="1"/>
  <c r="BX377"/>
  <c r="CE377" s="1"/>
  <c r="BX369"/>
  <c r="CE369" s="1"/>
  <c r="BX361"/>
  <c r="CE361" s="1"/>
  <c r="BX353"/>
  <c r="CE353" s="1"/>
  <c r="BX345"/>
  <c r="CE345" s="1"/>
  <c r="CD340"/>
  <c r="AP340" s="1"/>
  <c r="BX319"/>
  <c r="CE319" s="1"/>
  <c r="BX311"/>
  <c r="CE311" s="1"/>
  <c r="BX287"/>
  <c r="CE287" s="1"/>
  <c r="CD274"/>
  <c r="BX272"/>
  <c r="CE272" s="1"/>
  <c r="BX221"/>
  <c r="CE221" s="1"/>
  <c r="BX213"/>
  <c r="CE213" s="1"/>
  <c r="CD178"/>
  <c r="CD175"/>
  <c r="AS175" s="1"/>
  <c r="CD174"/>
  <c r="CD172"/>
  <c r="AS172" s="1"/>
  <c r="CD131"/>
  <c r="BX95"/>
  <c r="CE95" s="1"/>
  <c r="CD90"/>
  <c r="BX87"/>
  <c r="CE87" s="1"/>
  <c r="CD86"/>
  <c r="BX65"/>
  <c r="CE65" s="1"/>
  <c r="BX57"/>
  <c r="CE57" s="1"/>
  <c r="BX356"/>
  <c r="CE356" s="1"/>
  <c r="BX314"/>
  <c r="CE314" s="1"/>
  <c r="BX300"/>
  <c r="CE300" s="1"/>
  <c r="BK239"/>
  <c r="BX234"/>
  <c r="CE234" s="1"/>
  <c r="BX232"/>
  <c r="CE232" s="1"/>
  <c r="BX224"/>
  <c r="CE224" s="1"/>
  <c r="BX74"/>
  <c r="CE74" s="1"/>
  <c r="BX53"/>
  <c r="CE53" s="1"/>
  <c r="BX48"/>
  <c r="CE48" s="1"/>
  <c r="CY378"/>
  <c r="CY377"/>
  <c r="BK375"/>
  <c r="BK374"/>
  <c r="CY370"/>
  <c r="CY369"/>
  <c r="BK367"/>
  <c r="BK366"/>
  <c r="CY362"/>
  <c r="CY361"/>
  <c r="BK359"/>
  <c r="BK358"/>
  <c r="CY354"/>
  <c r="CY353"/>
  <c r="BK351"/>
  <c r="BK350"/>
  <c r="CY346"/>
  <c r="CY345"/>
  <c r="BK343"/>
  <c r="BK342"/>
  <c r="CY338"/>
  <c r="CY336"/>
  <c r="CY380"/>
  <c r="CY379"/>
  <c r="AR379"/>
  <c r="BK377"/>
  <c r="BK376"/>
  <c r="CY372"/>
  <c r="CY371"/>
  <c r="AR371"/>
  <c r="BK369"/>
  <c r="BK368"/>
  <c r="CY364"/>
  <c r="CY363"/>
  <c r="AR363"/>
  <c r="BK361"/>
  <c r="BK360"/>
  <c r="CY356"/>
  <c r="CY355"/>
  <c r="AR355"/>
  <c r="BK353"/>
  <c r="BK352"/>
  <c r="CY348"/>
  <c r="CY347"/>
  <c r="AR347"/>
  <c r="BK345"/>
  <c r="BK344"/>
  <c r="CY381"/>
  <c r="BK379"/>
  <c r="BK378"/>
  <c r="CY374"/>
  <c r="CY373"/>
  <c r="BK371"/>
  <c r="BK370"/>
  <c r="CY366"/>
  <c r="CY365"/>
  <c r="BK363"/>
  <c r="BK362"/>
  <c r="CY358"/>
  <c r="CY357"/>
  <c r="BK355"/>
  <c r="BK354"/>
  <c r="CY350"/>
  <c r="CY349"/>
  <c r="BK347"/>
  <c r="BK346"/>
  <c r="CY342"/>
  <c r="CY340"/>
  <c r="BK338"/>
  <c r="BK381"/>
  <c r="BK380"/>
  <c r="CY376"/>
  <c r="CY375"/>
  <c r="AR375"/>
  <c r="BK373"/>
  <c r="BK372"/>
  <c r="CY368"/>
  <c r="CY367"/>
  <c r="AR367"/>
  <c r="BK365"/>
  <c r="BK364"/>
  <c r="CY360"/>
  <c r="CY359"/>
  <c r="AR359"/>
  <c r="BK357"/>
  <c r="BK356"/>
  <c r="CY352"/>
  <c r="CY351"/>
  <c r="AR351"/>
  <c r="BK349"/>
  <c r="BK348"/>
  <c r="CY344"/>
  <c r="CY343"/>
  <c r="AR343"/>
  <c r="BK340"/>
  <c r="CL341"/>
  <c r="DE341"/>
  <c r="BQ341"/>
  <c r="CL337"/>
  <c r="DE337"/>
  <c r="BQ337"/>
  <c r="CY332"/>
  <c r="CY331"/>
  <c r="BK329"/>
  <c r="BK328"/>
  <c r="CY324"/>
  <c r="CY323"/>
  <c r="CY321"/>
  <c r="AR321"/>
  <c r="BK319"/>
  <c r="BK318"/>
  <c r="CY314"/>
  <c r="CY313"/>
  <c r="AR313"/>
  <c r="BK311"/>
  <c r="BK310"/>
  <c r="CY307"/>
  <c r="BK305"/>
  <c r="BK304"/>
  <c r="CY300"/>
  <c r="CY298"/>
  <c r="BK297"/>
  <c r="CY295"/>
  <c r="BK294"/>
  <c r="CY290"/>
  <c r="BK289"/>
  <c r="BK287"/>
  <c r="CY285"/>
  <c r="AR285"/>
  <c r="BK284"/>
  <c r="CY283"/>
  <c r="BK282"/>
  <c r="CY278"/>
  <c r="BK277"/>
  <c r="AR380"/>
  <c r="AR376"/>
  <c r="AR372"/>
  <c r="AR368"/>
  <c r="AR364"/>
  <c r="AR360"/>
  <c r="AR356"/>
  <c r="AR352"/>
  <c r="AR348"/>
  <c r="AR344"/>
  <c r="CD341"/>
  <c r="BX341"/>
  <c r="CD337"/>
  <c r="BX337"/>
  <c r="CY334"/>
  <c r="CY333"/>
  <c r="AR333"/>
  <c r="BK331"/>
  <c r="BK330"/>
  <c r="CY326"/>
  <c r="CY325"/>
  <c r="AR325"/>
  <c r="BK323"/>
  <c r="BK322"/>
  <c r="BK321"/>
  <c r="BK320"/>
  <c r="CY316"/>
  <c r="CY315"/>
  <c r="BK313"/>
  <c r="BK312"/>
  <c r="CY308"/>
  <c r="BK307"/>
  <c r="BK306"/>
  <c r="CY302"/>
  <c r="CY301"/>
  <c r="AR301"/>
  <c r="CY296"/>
  <c r="BK295"/>
  <c r="CY293"/>
  <c r="AR293"/>
  <c r="BK292"/>
  <c r="CY288"/>
  <c r="CY286"/>
  <c r="BK285"/>
  <c r="BK283"/>
  <c r="CY281"/>
  <c r="AR281"/>
  <c r="BK280"/>
  <c r="DE381"/>
  <c r="CL381"/>
  <c r="CD381"/>
  <c r="BX379"/>
  <c r="BQ379"/>
  <c r="DE377"/>
  <c r="CL377"/>
  <c r="CD377"/>
  <c r="BX375"/>
  <c r="BQ375"/>
  <c r="DE373"/>
  <c r="CL373"/>
  <c r="CD373"/>
  <c r="BX371"/>
  <c r="BQ371"/>
  <c r="DE369"/>
  <c r="CL369"/>
  <c r="CD369"/>
  <c r="BX367"/>
  <c r="BQ367"/>
  <c r="DE365"/>
  <c r="CL365"/>
  <c r="CD365"/>
  <c r="BX363"/>
  <c r="BQ363"/>
  <c r="DE361"/>
  <c r="CL361"/>
  <c r="CD361"/>
  <c r="BX359"/>
  <c r="BQ359"/>
  <c r="DE357"/>
  <c r="CL357"/>
  <c r="CD357"/>
  <c r="BX355"/>
  <c r="BQ355"/>
  <c r="DE353"/>
  <c r="CL353"/>
  <c r="CD353"/>
  <c r="BX351"/>
  <c r="BQ351"/>
  <c r="DE349"/>
  <c r="CL349"/>
  <c r="CD349"/>
  <c r="BX347"/>
  <c r="BQ347"/>
  <c r="DE345"/>
  <c r="CL345"/>
  <c r="CD345"/>
  <c r="BX343"/>
  <c r="BQ343"/>
  <c r="BQ339"/>
  <c r="CL339"/>
  <c r="DE339"/>
  <c r="CY335"/>
  <c r="BK333"/>
  <c r="BK332"/>
  <c r="CY328"/>
  <c r="CY327"/>
  <c r="BK325"/>
  <c r="BK324"/>
  <c r="CY318"/>
  <c r="CY317"/>
  <c r="AR317"/>
  <c r="BK315"/>
  <c r="BK314"/>
  <c r="CY310"/>
  <c r="CY309"/>
  <c r="AR309"/>
  <c r="CY304"/>
  <c r="CY303"/>
  <c r="BK301"/>
  <c r="BK300"/>
  <c r="CY299"/>
  <c r="BK298"/>
  <c r="CY294"/>
  <c r="BK293"/>
  <c r="CY291"/>
  <c r="BK290"/>
  <c r="CY284"/>
  <c r="CY282"/>
  <c r="BK281"/>
  <c r="CY279"/>
  <c r="BK278"/>
  <c r="AR378"/>
  <c r="AR374"/>
  <c r="AR370"/>
  <c r="AR366"/>
  <c r="AR362"/>
  <c r="AR358"/>
  <c r="AR354"/>
  <c r="AR350"/>
  <c r="AR346"/>
  <c r="AR342"/>
  <c r="BX339"/>
  <c r="CD339"/>
  <c r="BK335"/>
  <c r="BK334"/>
  <c r="CY330"/>
  <c r="CY329"/>
  <c r="AR329"/>
  <c r="BK327"/>
  <c r="BK326"/>
  <c r="CY322"/>
  <c r="CY320"/>
  <c r="CY319"/>
  <c r="BK317"/>
  <c r="BK316"/>
  <c r="CY312"/>
  <c r="CY311"/>
  <c r="BK309"/>
  <c r="BK308"/>
  <c r="CY306"/>
  <c r="CY305"/>
  <c r="AR305"/>
  <c r="BK303"/>
  <c r="BK302"/>
  <c r="BK299"/>
  <c r="CY297"/>
  <c r="AR297"/>
  <c r="BK296"/>
  <c r="CY292"/>
  <c r="BK291"/>
  <c r="CY289"/>
  <c r="AR289"/>
  <c r="BK288"/>
  <c r="CY287"/>
  <c r="BK286"/>
  <c r="CY280"/>
  <c r="BK279"/>
  <c r="CY277"/>
  <c r="AR277"/>
  <c r="DE379"/>
  <c r="DE375"/>
  <c r="DE371"/>
  <c r="DE367"/>
  <c r="DE363"/>
  <c r="DE359"/>
  <c r="DE355"/>
  <c r="DE351"/>
  <c r="DE347"/>
  <c r="DE343"/>
  <c r="AR338"/>
  <c r="BK336"/>
  <c r="CL275"/>
  <c r="DE275"/>
  <c r="CY271"/>
  <c r="BK271"/>
  <c r="CY267"/>
  <c r="BK267"/>
  <c r="CY263"/>
  <c r="BK263"/>
  <c r="BK261"/>
  <c r="CY260"/>
  <c r="CY255"/>
  <c r="BK255"/>
  <c r="CY251"/>
  <c r="BK245"/>
  <c r="AR242"/>
  <c r="AP242"/>
  <c r="DE335"/>
  <c r="CL335"/>
  <c r="CD335"/>
  <c r="BX333"/>
  <c r="BQ333"/>
  <c r="DE331"/>
  <c r="CL331"/>
  <c r="CD331"/>
  <c r="BX329"/>
  <c r="BQ329"/>
  <c r="DE327"/>
  <c r="CL327"/>
  <c r="CD327"/>
  <c r="BX325"/>
  <c r="BQ325"/>
  <c r="DE323"/>
  <c r="CL323"/>
  <c r="CD323"/>
  <c r="BX321"/>
  <c r="BQ321"/>
  <c r="DE319"/>
  <c r="CL319"/>
  <c r="CD319"/>
  <c r="BX317"/>
  <c r="BQ317"/>
  <c r="DE315"/>
  <c r="CL315"/>
  <c r="CD315"/>
  <c r="BX313"/>
  <c r="BQ313"/>
  <c r="DE311"/>
  <c r="CL311"/>
  <c r="CD311"/>
  <c r="BX309"/>
  <c r="BQ309"/>
  <c r="DE307"/>
  <c r="CL307"/>
  <c r="CD307"/>
  <c r="BX305"/>
  <c r="BQ305"/>
  <c r="DE303"/>
  <c r="CL303"/>
  <c r="CD303"/>
  <c r="BX301"/>
  <c r="BQ301"/>
  <c r="DE299"/>
  <c r="CL299"/>
  <c r="CD299"/>
  <c r="BX297"/>
  <c r="BQ297"/>
  <c r="DE295"/>
  <c r="CL295"/>
  <c r="CD295"/>
  <c r="BX293"/>
  <c r="BQ293"/>
  <c r="DE291"/>
  <c r="CL291"/>
  <c r="CD291"/>
  <c r="BX289"/>
  <c r="BQ289"/>
  <c r="DE287"/>
  <c r="CL287"/>
  <c r="CD287"/>
  <c r="BX285"/>
  <c r="BQ285"/>
  <c r="DE283"/>
  <c r="CL283"/>
  <c r="CD283"/>
  <c r="BX281"/>
  <c r="BQ281"/>
  <c r="DE279"/>
  <c r="CL279"/>
  <c r="CD279"/>
  <c r="BX277"/>
  <c r="BQ277"/>
  <c r="DE276"/>
  <c r="BX276"/>
  <c r="P275"/>
  <c r="CY274"/>
  <c r="P274"/>
  <c r="BX273"/>
  <c r="CY276"/>
  <c r="BK274"/>
  <c r="BK272"/>
  <c r="BK269"/>
  <c r="BK268"/>
  <c r="BK265"/>
  <c r="BK264"/>
  <c r="CY262"/>
  <c r="BK262"/>
  <c r="CY261"/>
  <c r="BK256"/>
  <c r="BK253"/>
  <c r="BK252"/>
  <c r="BK251"/>
  <c r="CY247"/>
  <c r="CY243"/>
  <c r="CY242"/>
  <c r="CY241"/>
  <c r="BK240"/>
  <c r="CY238"/>
  <c r="CY236"/>
  <c r="AR332"/>
  <c r="AR328"/>
  <c r="AR324"/>
  <c r="AR320"/>
  <c r="AR316"/>
  <c r="AR312"/>
  <c r="AR308"/>
  <c r="AR304"/>
  <c r="AR300"/>
  <c r="AR296"/>
  <c r="AR292"/>
  <c r="AR288"/>
  <c r="AR284"/>
  <c r="AR280"/>
  <c r="DQ274"/>
  <c r="AR273"/>
  <c r="CY272"/>
  <c r="CY270"/>
  <c r="BK270"/>
  <c r="CY269"/>
  <c r="CY268"/>
  <c r="CY266"/>
  <c r="BK266"/>
  <c r="CY265"/>
  <c r="CY264"/>
  <c r="CY259"/>
  <c r="BK259"/>
  <c r="BK257"/>
  <c r="CY256"/>
  <c r="CY254"/>
  <c r="BK254"/>
  <c r="CY253"/>
  <c r="CY252"/>
  <c r="BK249"/>
  <c r="BK248"/>
  <c r="BK247"/>
  <c r="CY245"/>
  <c r="BK244"/>
  <c r="BK243"/>
  <c r="DE333"/>
  <c r="DE329"/>
  <c r="DE325"/>
  <c r="DE321"/>
  <c r="DE317"/>
  <c r="DE313"/>
  <c r="DE309"/>
  <c r="DE305"/>
  <c r="DE301"/>
  <c r="DE297"/>
  <c r="DE293"/>
  <c r="DE289"/>
  <c r="DE285"/>
  <c r="DE281"/>
  <c r="DE277"/>
  <c r="DQ276"/>
  <c r="BQ275"/>
  <c r="BK260"/>
  <c r="CY258"/>
  <c r="BK258"/>
  <c r="CY257"/>
  <c r="CY250"/>
  <c r="BK250"/>
  <c r="CY249"/>
  <c r="CY248"/>
  <c r="CY246"/>
  <c r="BK246"/>
  <c r="CY244"/>
  <c r="BK242"/>
  <c r="BK241"/>
  <c r="CY240"/>
  <c r="BK238"/>
  <c r="BK236"/>
  <c r="CY275"/>
  <c r="BX237"/>
  <c r="CD237"/>
  <c r="AS237" s="1"/>
  <c r="AP235"/>
  <c r="AR235"/>
  <c r="BK234"/>
  <c r="CY233"/>
  <c r="BK232"/>
  <c r="CY228"/>
  <c r="BK227"/>
  <c r="CY225"/>
  <c r="BK224"/>
  <c r="CY218"/>
  <c r="BK217"/>
  <c r="CY215"/>
  <c r="AP215"/>
  <c r="AR215"/>
  <c r="BK214"/>
  <c r="CY210"/>
  <c r="BK209"/>
  <c r="CY207"/>
  <c r="AP207"/>
  <c r="AR207"/>
  <c r="BK204"/>
  <c r="CY201"/>
  <c r="BK199"/>
  <c r="DE271"/>
  <c r="CL271"/>
  <c r="CD271"/>
  <c r="DQ270"/>
  <c r="DE267"/>
  <c r="CL267"/>
  <c r="CD267"/>
  <c r="DQ266"/>
  <c r="DE263"/>
  <c r="CL263"/>
  <c r="CD263"/>
  <c r="DQ262"/>
  <c r="AR261"/>
  <c r="DE259"/>
  <c r="CL259"/>
  <c r="CD259"/>
  <c r="DQ258"/>
  <c r="AR257"/>
  <c r="DE255"/>
  <c r="CL255"/>
  <c r="CD255"/>
  <c r="AS255" s="1"/>
  <c r="DQ254"/>
  <c r="DE251"/>
  <c r="CL251"/>
  <c r="CD251"/>
  <c r="AS251" s="1"/>
  <c r="DQ250"/>
  <c r="DE247"/>
  <c r="CL247"/>
  <c r="CD247"/>
  <c r="AS247" s="1"/>
  <c r="DQ246"/>
  <c r="DE243"/>
  <c r="CL243"/>
  <c r="CD243"/>
  <c r="AS243" s="1"/>
  <c r="DQ242"/>
  <c r="AR241"/>
  <c r="BK235"/>
  <c r="BK233"/>
  <c r="CY231"/>
  <c r="AP231"/>
  <c r="AR231"/>
  <c r="BK230"/>
  <c r="CY226"/>
  <c r="BK225"/>
  <c r="CY223"/>
  <c r="AP223"/>
  <c r="AR223"/>
  <c r="BK222"/>
  <c r="CY221"/>
  <c r="BK220"/>
  <c r="CY216"/>
  <c r="BK215"/>
  <c r="CY213"/>
  <c r="BK212"/>
  <c r="CY208"/>
  <c r="BK207"/>
  <c r="BK206"/>
  <c r="CY205"/>
  <c r="BK200"/>
  <c r="AR272"/>
  <c r="AR244"/>
  <c r="AP238"/>
  <c r="DQ237"/>
  <c r="AM237"/>
  <c r="CL239"/>
  <c r="DE239"/>
  <c r="BQ239"/>
  <c r="CY234"/>
  <c r="CY232"/>
  <c r="BK231"/>
  <c r="CY229"/>
  <c r="BK228"/>
  <c r="CY224"/>
  <c r="BK223"/>
  <c r="BK221"/>
  <c r="CY219"/>
  <c r="AP219"/>
  <c r="AR219"/>
  <c r="BK218"/>
  <c r="CY214"/>
  <c r="BK213"/>
  <c r="CY211"/>
  <c r="AP211"/>
  <c r="AR211"/>
  <c r="BK210"/>
  <c r="BK205"/>
  <c r="CY204"/>
  <c r="CY198"/>
  <c r="CY197"/>
  <c r="AP240"/>
  <c r="AR238"/>
  <c r="CD239"/>
  <c r="AS239" s="1"/>
  <c r="BX239"/>
  <c r="BQ237"/>
  <c r="CL237"/>
  <c r="DE237"/>
  <c r="CY235"/>
  <c r="CY230"/>
  <c r="BK229"/>
  <c r="CY227"/>
  <c r="AP227"/>
  <c r="AR227"/>
  <c r="BK226"/>
  <c r="CY222"/>
  <c r="CY220"/>
  <c r="BK219"/>
  <c r="CY217"/>
  <c r="BK216"/>
  <c r="CY212"/>
  <c r="BK211"/>
  <c r="CY209"/>
  <c r="BK208"/>
  <c r="CY206"/>
  <c r="BQ201"/>
  <c r="AR197"/>
  <c r="BK193"/>
  <c r="CY191"/>
  <c r="BK190"/>
  <c r="CY189"/>
  <c r="BK187"/>
  <c r="CY186"/>
  <c r="CY184"/>
  <c r="BK180"/>
  <c r="BK179"/>
  <c r="BK177"/>
  <c r="BK176"/>
  <c r="BK175"/>
  <c r="CY173"/>
  <c r="BK172"/>
  <c r="BK170"/>
  <c r="BX235"/>
  <c r="BQ235"/>
  <c r="DE233"/>
  <c r="CL233"/>
  <c r="CD233"/>
  <c r="AS233" s="1"/>
  <c r="BX231"/>
  <c r="BQ231"/>
  <c r="DE229"/>
  <c r="CL229"/>
  <c r="CD229"/>
  <c r="AS229" s="1"/>
  <c r="BX227"/>
  <c r="BQ227"/>
  <c r="DE225"/>
  <c r="CL225"/>
  <c r="CD225"/>
  <c r="AS225" s="1"/>
  <c r="BX223"/>
  <c r="BQ223"/>
  <c r="DE221"/>
  <c r="CL221"/>
  <c r="CD221"/>
  <c r="AS221" s="1"/>
  <c r="BX219"/>
  <c r="BQ219"/>
  <c r="DE217"/>
  <c r="CL217"/>
  <c r="CD217"/>
  <c r="AS217" s="1"/>
  <c r="BX215"/>
  <c r="BQ215"/>
  <c r="DE213"/>
  <c r="CL213"/>
  <c r="CD213"/>
  <c r="AS213" s="1"/>
  <c r="BX211"/>
  <c r="BQ211"/>
  <c r="DE209"/>
  <c r="CL209"/>
  <c r="CD209"/>
  <c r="AS209" s="1"/>
  <c r="BX207"/>
  <c r="BQ207"/>
  <c r="DE205"/>
  <c r="CL205"/>
  <c r="CD205"/>
  <c r="AS205" s="1"/>
  <c r="CY203"/>
  <c r="P203"/>
  <c r="BX202"/>
  <c r="CD201"/>
  <c r="AS201" s="1"/>
  <c r="AM198"/>
  <c r="BK203"/>
  <c r="CL200"/>
  <c r="DE200"/>
  <c r="CY193"/>
  <c r="BK191"/>
  <c r="CY190"/>
  <c r="CY188"/>
  <c r="BK184"/>
  <c r="BK181"/>
  <c r="AR179"/>
  <c r="AP179"/>
  <c r="BK178"/>
  <c r="CY177"/>
  <c r="AR234"/>
  <c r="AP232"/>
  <c r="AR230"/>
  <c r="AP228"/>
  <c r="AR226"/>
  <c r="AP224"/>
  <c r="AR222"/>
  <c r="AP220"/>
  <c r="AR218"/>
  <c r="AP216"/>
  <c r="AR214"/>
  <c r="AP212"/>
  <c r="AR210"/>
  <c r="AP208"/>
  <c r="AR206"/>
  <c r="AP204"/>
  <c r="BX200"/>
  <c r="AR200"/>
  <c r="AR202"/>
  <c r="DQ195"/>
  <c r="BK194"/>
  <c r="CY192"/>
  <c r="BK188"/>
  <c r="BK185"/>
  <c r="CY183"/>
  <c r="BK182"/>
  <c r="CY181"/>
  <c r="CY179"/>
  <c r="BK174"/>
  <c r="CY170"/>
  <c r="DE235"/>
  <c r="DE231"/>
  <c r="DE227"/>
  <c r="DE223"/>
  <c r="DE219"/>
  <c r="DE215"/>
  <c r="DE211"/>
  <c r="DE207"/>
  <c r="BK201"/>
  <c r="DQ200"/>
  <c r="DQ199"/>
  <c r="AP198"/>
  <c r="AR198"/>
  <c r="BK198"/>
  <c r="CY196"/>
  <c r="BX196"/>
  <c r="CD196"/>
  <c r="AS196" s="1"/>
  <c r="BQ196"/>
  <c r="CL196"/>
  <c r="DE196"/>
  <c r="BK195"/>
  <c r="BR195" s="1"/>
  <c r="BK192"/>
  <c r="BK189"/>
  <c r="CY187"/>
  <c r="BK186"/>
  <c r="CY185"/>
  <c r="BK183"/>
  <c r="CY182"/>
  <c r="CY180"/>
  <c r="CY178"/>
  <c r="CY176"/>
  <c r="CY175"/>
  <c r="CY174"/>
  <c r="BK173"/>
  <c r="CY172"/>
  <c r="CY169"/>
  <c r="BK169"/>
  <c r="BK168"/>
  <c r="CY164"/>
  <c r="CY163"/>
  <c r="AP163"/>
  <c r="AR163"/>
  <c r="BK161"/>
  <c r="BK160"/>
  <c r="CY156"/>
  <c r="CY155"/>
  <c r="AP155"/>
  <c r="AR155"/>
  <c r="BK153"/>
  <c r="BK152"/>
  <c r="CY148"/>
  <c r="CY147"/>
  <c r="AP147"/>
  <c r="AR147"/>
  <c r="BK145"/>
  <c r="BK144"/>
  <c r="CY143"/>
  <c r="AP143"/>
  <c r="AR143"/>
  <c r="BK142"/>
  <c r="CY139"/>
  <c r="DE192"/>
  <c r="CL192"/>
  <c r="CD192"/>
  <c r="AS192" s="1"/>
  <c r="DQ191"/>
  <c r="DE188"/>
  <c r="CL188"/>
  <c r="CD188"/>
  <c r="AS188" s="1"/>
  <c r="DQ187"/>
  <c r="DE184"/>
  <c r="CL184"/>
  <c r="CD184"/>
  <c r="AS184" s="1"/>
  <c r="DQ183"/>
  <c r="DE180"/>
  <c r="CL180"/>
  <c r="CD180"/>
  <c r="DQ179"/>
  <c r="DE176"/>
  <c r="CL176"/>
  <c r="CD176"/>
  <c r="AS176" s="1"/>
  <c r="DQ175"/>
  <c r="CL171"/>
  <c r="DE171"/>
  <c r="BQ171"/>
  <c r="CY166"/>
  <c r="CY165"/>
  <c r="BK163"/>
  <c r="BK162"/>
  <c r="CY158"/>
  <c r="CY157"/>
  <c r="BK155"/>
  <c r="BK154"/>
  <c r="CY150"/>
  <c r="CY149"/>
  <c r="BK147"/>
  <c r="BK146"/>
  <c r="BK143"/>
  <c r="CY141"/>
  <c r="AR193"/>
  <c r="AR189"/>
  <c r="AR185"/>
  <c r="AR181"/>
  <c r="AR177"/>
  <c r="AR173"/>
  <c r="AP170"/>
  <c r="CD171"/>
  <c r="AS171" s="1"/>
  <c r="BX171"/>
  <c r="CY168"/>
  <c r="CY167"/>
  <c r="AP167"/>
  <c r="AR167"/>
  <c r="BK165"/>
  <c r="BK164"/>
  <c r="CY160"/>
  <c r="CY159"/>
  <c r="AP159"/>
  <c r="AR159"/>
  <c r="BK157"/>
  <c r="BK156"/>
  <c r="CY152"/>
  <c r="CY151"/>
  <c r="AP151"/>
  <c r="AR151"/>
  <c r="BK149"/>
  <c r="BK148"/>
  <c r="CY144"/>
  <c r="CY142"/>
  <c r="BK141"/>
  <c r="BK167"/>
  <c r="BK166"/>
  <c r="CY162"/>
  <c r="CY161"/>
  <c r="BK159"/>
  <c r="BK158"/>
  <c r="CY154"/>
  <c r="CY153"/>
  <c r="BK151"/>
  <c r="BK150"/>
  <c r="CY146"/>
  <c r="CY145"/>
  <c r="AR140"/>
  <c r="CY137"/>
  <c r="BK137"/>
  <c r="CY135"/>
  <c r="CY133"/>
  <c r="BK133"/>
  <c r="BK131"/>
  <c r="CY129"/>
  <c r="BK129"/>
  <c r="CY128"/>
  <c r="CY125"/>
  <c r="CY122"/>
  <c r="DE169"/>
  <c r="CL169"/>
  <c r="CD169"/>
  <c r="AS169" s="1"/>
  <c r="BX167"/>
  <c r="BQ167"/>
  <c r="DE165"/>
  <c r="CL165"/>
  <c r="CD165"/>
  <c r="AS165" s="1"/>
  <c r="BX163"/>
  <c r="BQ163"/>
  <c r="DE161"/>
  <c r="CL161"/>
  <c r="CD161"/>
  <c r="AS161" s="1"/>
  <c r="BX159"/>
  <c r="BQ159"/>
  <c r="DE157"/>
  <c r="CL157"/>
  <c r="CD157"/>
  <c r="AS157" s="1"/>
  <c r="BX155"/>
  <c r="BQ155"/>
  <c r="DE153"/>
  <c r="CL153"/>
  <c r="CD153"/>
  <c r="AS153" s="1"/>
  <c r="BX151"/>
  <c r="BQ151"/>
  <c r="DE149"/>
  <c r="CL149"/>
  <c r="CD149"/>
  <c r="AS149" s="1"/>
  <c r="BX147"/>
  <c r="BQ147"/>
  <c r="DE145"/>
  <c r="CL145"/>
  <c r="CD145"/>
  <c r="AS145" s="1"/>
  <c r="BX143"/>
  <c r="BQ143"/>
  <c r="DE141"/>
  <c r="CL141"/>
  <c r="CD141"/>
  <c r="AS141" s="1"/>
  <c r="BK139"/>
  <c r="CY138"/>
  <c r="BX138"/>
  <c r="CD138"/>
  <c r="AS138" s="1"/>
  <c r="BK138"/>
  <c r="BK132"/>
  <c r="CY131"/>
  <c r="CY130"/>
  <c r="BK130"/>
  <c r="BK127"/>
  <c r="CY126"/>
  <c r="BK126"/>
  <c r="BK124"/>
  <c r="AP168"/>
  <c r="AR166"/>
  <c r="AP164"/>
  <c r="AR162"/>
  <c r="AP160"/>
  <c r="AR158"/>
  <c r="AP156"/>
  <c r="AR154"/>
  <c r="AP152"/>
  <c r="AR150"/>
  <c r="AP148"/>
  <c r="AR146"/>
  <c r="AP144"/>
  <c r="AR142"/>
  <c r="BQ139"/>
  <c r="BK136"/>
  <c r="CY132"/>
  <c r="CY127"/>
  <c r="BK125"/>
  <c r="BK122"/>
  <c r="DE167"/>
  <c r="DE163"/>
  <c r="DE159"/>
  <c r="DE155"/>
  <c r="DE151"/>
  <c r="DE147"/>
  <c r="DE143"/>
  <c r="BX140"/>
  <c r="BK140"/>
  <c r="CD139"/>
  <c r="AS139" s="1"/>
  <c r="CY136"/>
  <c r="BK135"/>
  <c r="CY134"/>
  <c r="BK134"/>
  <c r="BK128"/>
  <c r="CY124"/>
  <c r="CL123"/>
  <c r="DE123"/>
  <c r="BQ123"/>
  <c r="CY120"/>
  <c r="CY119"/>
  <c r="AP119"/>
  <c r="AR119"/>
  <c r="BK117"/>
  <c r="BK116"/>
  <c r="CY112"/>
  <c r="BK111"/>
  <c r="CY110"/>
  <c r="CY109"/>
  <c r="DE138"/>
  <c r="CL138"/>
  <c r="DQ137"/>
  <c r="AR136"/>
  <c r="DE134"/>
  <c r="CL134"/>
  <c r="CD134"/>
  <c r="AS134" s="1"/>
  <c r="DQ133"/>
  <c r="DE130"/>
  <c r="CL130"/>
  <c r="CD130"/>
  <c r="AS130" s="1"/>
  <c r="DQ129"/>
  <c r="DE126"/>
  <c r="CD126"/>
  <c r="AS126" s="1"/>
  <c r="AP124"/>
  <c r="AP122"/>
  <c r="CD123"/>
  <c r="AS123" s="1"/>
  <c r="BX123"/>
  <c r="CY121"/>
  <c r="BK119"/>
  <c r="BK118"/>
  <c r="CY114"/>
  <c r="CY113"/>
  <c r="BK109"/>
  <c r="CY108"/>
  <c r="CY106"/>
  <c r="AP125"/>
  <c r="AR124"/>
  <c r="AR122"/>
  <c r="BK121"/>
  <c r="BK120"/>
  <c r="CY116"/>
  <c r="CY115"/>
  <c r="AP115"/>
  <c r="AR115"/>
  <c r="BK113"/>
  <c r="BK112"/>
  <c r="BK110"/>
  <c r="BK106"/>
  <c r="CY118"/>
  <c r="CY117"/>
  <c r="BK115"/>
  <c r="BK114"/>
  <c r="CY111"/>
  <c r="AP111"/>
  <c r="AR111"/>
  <c r="BK108"/>
  <c r="BK105"/>
  <c r="BK104"/>
  <c r="CY100"/>
  <c r="CY99"/>
  <c r="CY94"/>
  <c r="AP93"/>
  <c r="AR93"/>
  <c r="BK93"/>
  <c r="CY91"/>
  <c r="DE121"/>
  <c r="CL121"/>
  <c r="CD121"/>
  <c r="AS121" s="1"/>
  <c r="BX119"/>
  <c r="BQ119"/>
  <c r="DE117"/>
  <c r="CL117"/>
  <c r="CD117"/>
  <c r="AS117" s="1"/>
  <c r="BX115"/>
  <c r="BQ115"/>
  <c r="DE113"/>
  <c r="CL113"/>
  <c r="CD113"/>
  <c r="AS113" s="1"/>
  <c r="BX111"/>
  <c r="BQ111"/>
  <c r="DE109"/>
  <c r="CL109"/>
  <c r="CD109"/>
  <c r="AS109" s="1"/>
  <c r="AR108"/>
  <c r="BQ107"/>
  <c r="CL107"/>
  <c r="DE107"/>
  <c r="CY102"/>
  <c r="CY101"/>
  <c r="AP101"/>
  <c r="AR101"/>
  <c r="BK99"/>
  <c r="BK98"/>
  <c r="CY96"/>
  <c r="CY95"/>
  <c r="CY93"/>
  <c r="AP120"/>
  <c r="AR118"/>
  <c r="AP116"/>
  <c r="AR114"/>
  <c r="AP112"/>
  <c r="AR110"/>
  <c r="BX107"/>
  <c r="CD107"/>
  <c r="AS107" s="1"/>
  <c r="CY104"/>
  <c r="CY103"/>
  <c r="BK101"/>
  <c r="BK100"/>
  <c r="CY97"/>
  <c r="AP97"/>
  <c r="AR97"/>
  <c r="BK95"/>
  <c r="BK94"/>
  <c r="DE119"/>
  <c r="DE115"/>
  <c r="DE111"/>
  <c r="DQ110"/>
  <c r="CY105"/>
  <c r="AP105"/>
  <c r="AR105"/>
  <c r="BK103"/>
  <c r="BK102"/>
  <c r="CY98"/>
  <c r="BK97"/>
  <c r="BK96"/>
  <c r="DQ92"/>
  <c r="BK90"/>
  <c r="CY89"/>
  <c r="AP89"/>
  <c r="AR89"/>
  <c r="BK89"/>
  <c r="CY87"/>
  <c r="BK86"/>
  <c r="CY84"/>
  <c r="BK84"/>
  <c r="AP82"/>
  <c r="AR82"/>
  <c r="CY78"/>
  <c r="BK76"/>
  <c r="BX105"/>
  <c r="BQ105"/>
  <c r="DE103"/>
  <c r="CL103"/>
  <c r="CD103"/>
  <c r="AS103" s="1"/>
  <c r="BX101"/>
  <c r="BQ101"/>
  <c r="DE99"/>
  <c r="CL99"/>
  <c r="CD99"/>
  <c r="AS99" s="1"/>
  <c r="BX97"/>
  <c r="BQ97"/>
  <c r="DE95"/>
  <c r="CL95"/>
  <c r="CD95"/>
  <c r="AS95" s="1"/>
  <c r="BX93"/>
  <c r="CY90"/>
  <c r="CY86"/>
  <c r="CY82"/>
  <c r="BK82"/>
  <c r="BK79"/>
  <c r="AR104"/>
  <c r="AP102"/>
  <c r="AR100"/>
  <c r="AP98"/>
  <c r="AR96"/>
  <c r="AP94"/>
  <c r="BK83"/>
  <c r="CY81"/>
  <c r="AP81"/>
  <c r="AR81"/>
  <c r="BK81"/>
  <c r="CY80"/>
  <c r="BK80"/>
  <c r="CY79"/>
  <c r="DE105"/>
  <c r="DE101"/>
  <c r="DE97"/>
  <c r="P93"/>
  <c r="CY92"/>
  <c r="P92"/>
  <c r="BK92"/>
  <c r="BK91"/>
  <c r="CY88"/>
  <c r="BK88"/>
  <c r="BK87"/>
  <c r="CY85"/>
  <c r="AP85"/>
  <c r="AR85"/>
  <c r="BK85"/>
  <c r="CY83"/>
  <c r="BK78"/>
  <c r="CY77"/>
  <c r="CY76"/>
  <c r="CD75"/>
  <c r="AS75" s="1"/>
  <c r="BX75"/>
  <c r="BK73"/>
  <c r="BK72"/>
  <c r="CY70"/>
  <c r="BK69"/>
  <c r="CY67"/>
  <c r="AP67"/>
  <c r="AR67"/>
  <c r="BK67"/>
  <c r="CY66"/>
  <c r="BQ90"/>
  <c r="AP88"/>
  <c r="BQ86"/>
  <c r="BX82"/>
  <c r="BQ82"/>
  <c r="AP80"/>
  <c r="BQ78"/>
  <c r="BK74"/>
  <c r="CY71"/>
  <c r="AP71"/>
  <c r="AR71"/>
  <c r="CY68"/>
  <c r="BX89"/>
  <c r="AP87"/>
  <c r="BX85"/>
  <c r="AP83"/>
  <c r="BX81"/>
  <c r="AP79"/>
  <c r="BX77"/>
  <c r="BK75"/>
  <c r="CY72"/>
  <c r="BK71"/>
  <c r="BK70"/>
  <c r="DQ89"/>
  <c r="DQ85"/>
  <c r="DQ81"/>
  <c r="DQ77"/>
  <c r="CY74"/>
  <c r="CY73"/>
  <c r="CY69"/>
  <c r="BK68"/>
  <c r="DE89"/>
  <c r="DE85"/>
  <c r="DE81"/>
  <c r="DE77"/>
  <c r="CD77"/>
  <c r="AS77" s="1"/>
  <c r="CY63"/>
  <c r="BK62"/>
  <c r="BQ75"/>
  <c r="DE73"/>
  <c r="CL73"/>
  <c r="CD73"/>
  <c r="AS73" s="1"/>
  <c r="BX71"/>
  <c r="BQ71"/>
  <c r="DE69"/>
  <c r="CL69"/>
  <c r="CD69"/>
  <c r="AS69" s="1"/>
  <c r="DQ68"/>
  <c r="BX67"/>
  <c r="BK66"/>
  <c r="CY65"/>
  <c r="CY62"/>
  <c r="BK60"/>
  <c r="AR74"/>
  <c r="AP72"/>
  <c r="AR70"/>
  <c r="AP68"/>
  <c r="BQ66"/>
  <c r="BK65"/>
  <c r="CY64"/>
  <c r="BK64"/>
  <c r="CY61"/>
  <c r="DE75"/>
  <c r="DE71"/>
  <c r="CD66"/>
  <c r="AS66" s="1"/>
  <c r="BK63"/>
  <c r="BK61"/>
  <c r="CY60"/>
  <c r="CY58"/>
  <c r="CY56"/>
  <c r="CY52"/>
  <c r="DQ65"/>
  <c r="AP62"/>
  <c r="AR60"/>
  <c r="CY57"/>
  <c r="CY55"/>
  <c r="AP55"/>
  <c r="AR55"/>
  <c r="BK54"/>
  <c r="DE65"/>
  <c r="CL65"/>
  <c r="CD65"/>
  <c r="AS65" s="1"/>
  <c r="DQ64"/>
  <c r="CL61"/>
  <c r="CD61"/>
  <c r="AS61" s="1"/>
  <c r="DQ60"/>
  <c r="DE59"/>
  <c r="BK57"/>
  <c r="BK56"/>
  <c r="BK55"/>
  <c r="CY53"/>
  <c r="BK52"/>
  <c r="AR62"/>
  <c r="CD59"/>
  <c r="AS59" s="1"/>
  <c r="AR58"/>
  <c r="CY54"/>
  <c r="BK53"/>
  <c r="CY51"/>
  <c r="BK51"/>
  <c r="BK58"/>
  <c r="CY50"/>
  <c r="AP50"/>
  <c r="AR50"/>
  <c r="BK49"/>
  <c r="BK46"/>
  <c r="DE57"/>
  <c r="CL57"/>
  <c r="CD57"/>
  <c r="AS57" s="1"/>
  <c r="BX55"/>
  <c r="BQ55"/>
  <c r="DE53"/>
  <c r="CL53"/>
  <c r="CD53"/>
  <c r="AS53" s="1"/>
  <c r="AP51"/>
  <c r="BK50"/>
  <c r="CY48"/>
  <c r="BK47"/>
  <c r="CY45"/>
  <c r="BK43"/>
  <c r="AP56"/>
  <c r="AR54"/>
  <c r="AP52"/>
  <c r="AR51"/>
  <c r="CY49"/>
  <c r="BK48"/>
  <c r="CY44"/>
  <c r="BK44"/>
  <c r="DE55"/>
  <c r="CY47"/>
  <c r="CY46"/>
  <c r="AP46"/>
  <c r="AR46"/>
  <c r="BK45"/>
  <c r="CY43"/>
  <c r="BX50"/>
  <c r="BQ50"/>
  <c r="DE48"/>
  <c r="CL48"/>
  <c r="CD48"/>
  <c r="AS48" s="1"/>
  <c r="BX46"/>
  <c r="BQ46"/>
  <c r="CD44"/>
  <c r="AS44" s="1"/>
  <c r="AR49"/>
  <c r="AP47"/>
  <c r="AR45"/>
  <c r="AP43"/>
  <c r="DE50"/>
  <c r="DE46"/>
  <c r="BP65" i="24"/>
  <c r="BP18"/>
  <c r="BP381"/>
  <c r="BP373"/>
  <c r="BP365"/>
  <c r="BP357"/>
  <c r="BP349"/>
  <c r="BP341"/>
  <c r="BP333"/>
  <c r="BP325"/>
  <c r="BP374"/>
  <c r="BP366"/>
  <c r="BP358"/>
  <c r="BP350"/>
  <c r="BP342"/>
  <c r="BP334"/>
  <c r="BP326"/>
  <c r="BP379"/>
  <c r="BP375"/>
  <c r="BP371"/>
  <c r="BP367"/>
  <c r="BP363"/>
  <c r="BP359"/>
  <c r="BP355"/>
  <c r="BP351"/>
  <c r="BP347"/>
  <c r="BP343"/>
  <c r="BP339"/>
  <c r="BP335"/>
  <c r="BP331"/>
  <c r="BP327"/>
  <c r="BP376"/>
  <c r="BP368"/>
  <c r="BP360"/>
  <c r="BP352"/>
  <c r="BP344"/>
  <c r="BP336"/>
  <c r="BP328"/>
  <c r="BP323"/>
  <c r="BP319"/>
  <c r="BP317"/>
  <c r="BP313"/>
  <c r="BP311"/>
  <c r="BP309"/>
  <c r="BP307"/>
  <c r="BP305"/>
  <c r="BP303"/>
  <c r="BP301"/>
  <c r="BP299"/>
  <c r="BP297"/>
  <c r="BP296"/>
  <c r="BP248"/>
  <c r="BP246"/>
  <c r="BP324"/>
  <c r="BP322"/>
  <c r="BP320"/>
  <c r="BP318"/>
  <c r="BP316"/>
  <c r="BP314"/>
  <c r="BP308"/>
  <c r="BP300"/>
  <c r="BP290"/>
  <c r="BP286"/>
  <c r="BP269"/>
  <c r="BP261"/>
  <c r="BP256"/>
  <c r="BP241"/>
  <c r="BP237"/>
  <c r="BP234"/>
  <c r="BP230"/>
  <c r="BP224"/>
  <c r="BP245"/>
  <c r="BP243"/>
  <c r="BP231"/>
  <c r="BP244"/>
  <c r="BP242"/>
  <c r="BP238"/>
  <c r="BP229"/>
  <c r="BP227"/>
  <c r="BP222"/>
  <c r="BP220"/>
  <c r="BP218"/>
  <c r="BP216"/>
  <c r="BP214"/>
  <c r="BP210"/>
  <c r="BP208"/>
  <c r="BP206"/>
  <c r="BP202"/>
  <c r="BP198"/>
  <c r="BP194"/>
  <c r="BP190"/>
  <c r="BP175"/>
  <c r="BP159"/>
  <c r="BP205"/>
  <c r="BP201"/>
  <c r="BP197"/>
  <c r="BP193"/>
  <c r="BP188"/>
  <c r="BP180"/>
  <c r="BP172"/>
  <c r="BP160"/>
  <c r="BP221"/>
  <c r="BP219"/>
  <c r="BP217"/>
  <c r="BP215"/>
  <c r="BP213"/>
  <c r="BP211"/>
  <c r="BP185"/>
  <c r="BP181"/>
  <c r="BP177"/>
  <c r="BP169"/>
  <c r="BP165"/>
  <c r="BP153"/>
  <c r="BP207"/>
  <c r="BP203"/>
  <c r="BP199"/>
  <c r="BP195"/>
  <c r="BP191"/>
  <c r="BP174"/>
  <c r="BP166"/>
  <c r="BP158"/>
  <c r="BP150"/>
  <c r="BP148"/>
  <c r="BP146"/>
  <c r="BP144"/>
  <c r="BP140"/>
  <c r="BP132"/>
  <c r="BP118"/>
  <c r="BP108"/>
  <c r="BP149"/>
  <c r="BP147"/>
  <c r="BP145"/>
  <c r="BP141"/>
  <c r="BP139"/>
  <c r="BP137"/>
  <c r="BP131"/>
  <c r="BP123"/>
  <c r="BP115"/>
  <c r="BP107"/>
  <c r="BP102"/>
  <c r="BP80"/>
  <c r="BP93"/>
  <c r="BP91"/>
  <c r="BP79"/>
  <c r="BP70"/>
  <c r="BP66"/>
  <c r="BP62"/>
  <c r="BP92"/>
  <c r="BP85"/>
  <c r="BP59"/>
  <c r="BP57"/>
  <c r="BP55"/>
  <c r="BP53"/>
  <c r="BP51"/>
  <c r="BP49"/>
  <c r="BP47"/>
  <c r="BP45"/>
  <c r="BP58"/>
  <c r="BP56"/>
  <c r="BP54"/>
  <c r="BP50"/>
  <c r="BP48"/>
  <c r="BP46"/>
  <c r="BP43"/>
  <c r="BP19"/>
  <c r="AS291" i="43" l="1"/>
  <c r="AP291"/>
  <c r="AS307"/>
  <c r="AP307"/>
  <c r="AS323"/>
  <c r="AP323"/>
  <c r="AS357"/>
  <c r="AP357"/>
  <c r="AS373"/>
  <c r="AP373"/>
  <c r="AS337"/>
  <c r="AP337"/>
  <c r="AS266"/>
  <c r="AP266"/>
  <c r="AS279"/>
  <c r="AP279"/>
  <c r="AS295"/>
  <c r="AP295"/>
  <c r="AS311"/>
  <c r="AP311"/>
  <c r="AS327"/>
  <c r="AP327"/>
  <c r="AS345"/>
  <c r="AP345"/>
  <c r="AS361"/>
  <c r="AP361"/>
  <c r="AS377"/>
  <c r="AP377"/>
  <c r="AS270"/>
  <c r="AP270"/>
  <c r="AS259"/>
  <c r="AP259"/>
  <c r="AS283"/>
  <c r="AP283"/>
  <c r="AS299"/>
  <c r="AP299"/>
  <c r="AS315"/>
  <c r="AP315"/>
  <c r="AS331"/>
  <c r="AP331"/>
  <c r="AS339"/>
  <c r="AP339"/>
  <c r="AS349"/>
  <c r="AP349"/>
  <c r="AS365"/>
  <c r="AP365"/>
  <c r="AS381"/>
  <c r="AP381"/>
  <c r="AS341"/>
  <c r="AP341"/>
  <c r="AS258"/>
  <c r="AP258"/>
  <c r="AS263"/>
  <c r="AP263"/>
  <c r="AS267"/>
  <c r="AP267"/>
  <c r="AS271"/>
  <c r="AP271"/>
  <c r="AS287"/>
  <c r="AP287"/>
  <c r="AS303"/>
  <c r="AP303"/>
  <c r="AS319"/>
  <c r="AP319"/>
  <c r="AS335"/>
  <c r="AP335"/>
  <c r="AS353"/>
  <c r="AP353"/>
  <c r="AS369"/>
  <c r="AP369"/>
  <c r="AS274"/>
  <c r="AP274"/>
  <c r="AS180"/>
  <c r="AP180"/>
  <c r="AP86"/>
  <c r="AS86"/>
  <c r="AP131"/>
  <c r="AS131"/>
  <c r="AP178"/>
  <c r="AS178"/>
  <c r="AR340"/>
  <c r="AS340"/>
  <c r="AP78"/>
  <c r="AS78"/>
  <c r="AP92"/>
  <c r="AS92"/>
  <c r="AP186"/>
  <c r="AS186"/>
  <c r="AP253"/>
  <c r="AS253"/>
  <c r="AS265"/>
  <c r="AP106"/>
  <c r="AS106"/>
  <c r="AP63"/>
  <c r="AS63"/>
  <c r="AP127"/>
  <c r="AS127"/>
  <c r="AP132"/>
  <c r="AS132"/>
  <c r="AP249"/>
  <c r="AS249"/>
  <c r="AR91"/>
  <c r="AS91"/>
  <c r="AP190"/>
  <c r="AS190"/>
  <c r="AP252"/>
  <c r="AS252"/>
  <c r="AS264"/>
  <c r="AS269"/>
  <c r="AS336"/>
  <c r="AP248"/>
  <c r="AS248"/>
  <c r="AP90"/>
  <c r="AS90"/>
  <c r="AP174"/>
  <c r="AS174"/>
  <c r="AP135"/>
  <c r="AS135"/>
  <c r="AP194"/>
  <c r="AS194"/>
  <c r="AS256"/>
  <c r="AS268"/>
  <c r="AP84"/>
  <c r="AS84"/>
  <c r="AS260"/>
  <c r="AP128"/>
  <c r="AS128"/>
  <c r="AP182"/>
  <c r="AS182"/>
  <c r="AP245"/>
  <c r="AS245"/>
  <c r="I10" i="49"/>
  <c r="DL308" i="43"/>
  <c r="DM308" s="1"/>
  <c r="DL307"/>
  <c r="AR248"/>
  <c r="AR127"/>
  <c r="AR78"/>
  <c r="AR86"/>
  <c r="AR90"/>
  <c r="AR131"/>
  <c r="AR178"/>
  <c r="AR186"/>
  <c r="AR249"/>
  <c r="DL199"/>
  <c r="AR269"/>
  <c r="AR252"/>
  <c r="AR336"/>
  <c r="AR264"/>
  <c r="BP40" i="24"/>
  <c r="BP39"/>
  <c r="BP38"/>
  <c r="BP37"/>
  <c r="BP36"/>
  <c r="BP35"/>
  <c r="BP34"/>
  <c r="AR174" i="43"/>
  <c r="AR135"/>
  <c r="AR194"/>
  <c r="AR245"/>
  <c r="AR63"/>
  <c r="AR106"/>
  <c r="AR128"/>
  <c r="AR260"/>
  <c r="AR253"/>
  <c r="AP91"/>
  <c r="AR132"/>
  <c r="AP172"/>
  <c r="AR172"/>
  <c r="AR182"/>
  <c r="AR190"/>
  <c r="DL194"/>
  <c r="AR256"/>
  <c r="AR268"/>
  <c r="AR265"/>
  <c r="DH59"/>
  <c r="DL59"/>
  <c r="AP175"/>
  <c r="AR175"/>
  <c r="AP195"/>
  <c r="AR195"/>
  <c r="AP199"/>
  <c r="AR199"/>
  <c r="AP133"/>
  <c r="AR133"/>
  <c r="AR270"/>
  <c r="AP129"/>
  <c r="AR129"/>
  <c r="AR266"/>
  <c r="AR84"/>
  <c r="AP254"/>
  <c r="AR254"/>
  <c r="DH275"/>
  <c r="AR274"/>
  <c r="AR92"/>
  <c r="AR258"/>
  <c r="AP64"/>
  <c r="AR64"/>
  <c r="AP137"/>
  <c r="AR137"/>
  <c r="DL195"/>
  <c r="CE46"/>
  <c r="DH46" s="1"/>
  <c r="DL43"/>
  <c r="DM43" s="1"/>
  <c r="DH45"/>
  <c r="DL49"/>
  <c r="DM49" s="1"/>
  <c r="CE55"/>
  <c r="DL55" s="1"/>
  <c r="DM55" s="1"/>
  <c r="DH58"/>
  <c r="DL57"/>
  <c r="DL52"/>
  <c r="DM52" s="1"/>
  <c r="DL64"/>
  <c r="AP75"/>
  <c r="AR75"/>
  <c r="DL83"/>
  <c r="CE93"/>
  <c r="DL93" s="1"/>
  <c r="AR99"/>
  <c r="AP99"/>
  <c r="CE101"/>
  <c r="DH101" s="1"/>
  <c r="AR44"/>
  <c r="AP44"/>
  <c r="AR48"/>
  <c r="AP48"/>
  <c r="DL47"/>
  <c r="DM47" s="1"/>
  <c r="DH44"/>
  <c r="DH48"/>
  <c r="DH43"/>
  <c r="DL45"/>
  <c r="DM45" s="1"/>
  <c r="DL48"/>
  <c r="AR57"/>
  <c r="AP57"/>
  <c r="DH49"/>
  <c r="DH51"/>
  <c r="DH52"/>
  <c r="DH56"/>
  <c r="AR65"/>
  <c r="AP65"/>
  <c r="DH54"/>
  <c r="DL58"/>
  <c r="DM58" s="1"/>
  <c r="DL61"/>
  <c r="DL66"/>
  <c r="CE75"/>
  <c r="DH75" s="1"/>
  <c r="DH92"/>
  <c r="CE50"/>
  <c r="DL44"/>
  <c r="AR53"/>
  <c r="AP53"/>
  <c r="DL54"/>
  <c r="DM54" s="1"/>
  <c r="AR59"/>
  <c r="AP59"/>
  <c r="DH57"/>
  <c r="AR61"/>
  <c r="AP61"/>
  <c r="DL60"/>
  <c r="DM60" s="1"/>
  <c r="DH63"/>
  <c r="DH68"/>
  <c r="DL72"/>
  <c r="CE77"/>
  <c r="DL77" s="1"/>
  <c r="CE89"/>
  <c r="DL89" s="1"/>
  <c r="DH69"/>
  <c r="DL70"/>
  <c r="DL88"/>
  <c r="DL92"/>
  <c r="DH47"/>
  <c r="DL51"/>
  <c r="DM51" s="1"/>
  <c r="DH53"/>
  <c r="DL53"/>
  <c r="DL62"/>
  <c r="DH66"/>
  <c r="AR73"/>
  <c r="AP73"/>
  <c r="DH62"/>
  <c r="DL63"/>
  <c r="DL69"/>
  <c r="CE81"/>
  <c r="DH81" s="1"/>
  <c r="CE82"/>
  <c r="DL82" s="1"/>
  <c r="DH78"/>
  <c r="DH91"/>
  <c r="DL80"/>
  <c r="DL86"/>
  <c r="DL78"/>
  <c r="DH60"/>
  <c r="DL65"/>
  <c r="AR69"/>
  <c r="AP69"/>
  <c r="CE71"/>
  <c r="DH70"/>
  <c r="CE85"/>
  <c r="DH85" s="1"/>
  <c r="DH74"/>
  <c r="DH73"/>
  <c r="DH88"/>
  <c r="DH80"/>
  <c r="DH83"/>
  <c r="DH79"/>
  <c r="AR95"/>
  <c r="AP95"/>
  <c r="CE97"/>
  <c r="DH97" s="1"/>
  <c r="AR103"/>
  <c r="AP103"/>
  <c r="CE105"/>
  <c r="DL105" s="1"/>
  <c r="DH84"/>
  <c r="DL98"/>
  <c r="DH102"/>
  <c r="DH95"/>
  <c r="DL103"/>
  <c r="DL104"/>
  <c r="CE107"/>
  <c r="DL102"/>
  <c r="AR109"/>
  <c r="AP109"/>
  <c r="CE111"/>
  <c r="DH111" s="1"/>
  <c r="AR117"/>
  <c r="AP117"/>
  <c r="CE119"/>
  <c r="DH119" s="1"/>
  <c r="DH106"/>
  <c r="DL116"/>
  <c r="DH120"/>
  <c r="DL113"/>
  <c r="DL114"/>
  <c r="DH118"/>
  <c r="AP123"/>
  <c r="AR123"/>
  <c r="AR130"/>
  <c r="AP130"/>
  <c r="AR134"/>
  <c r="AP134"/>
  <c r="DL120"/>
  <c r="DL124"/>
  <c r="DH134"/>
  <c r="DH122"/>
  <c r="DL126"/>
  <c r="DL130"/>
  <c r="DH139"/>
  <c r="DL122"/>
  <c r="DL128"/>
  <c r="DL144"/>
  <c r="DH148"/>
  <c r="DH157"/>
  <c r="CE171"/>
  <c r="AR180"/>
  <c r="DH142"/>
  <c r="DL148"/>
  <c r="DH152"/>
  <c r="DH161"/>
  <c r="DL169"/>
  <c r="DL172"/>
  <c r="DL182"/>
  <c r="DH192"/>
  <c r="AR196"/>
  <c r="AP196"/>
  <c r="DH201"/>
  <c r="DL170"/>
  <c r="DL177"/>
  <c r="DH178"/>
  <c r="DH184"/>
  <c r="AR209"/>
  <c r="AP209"/>
  <c r="CE215"/>
  <c r="DH215" s="1"/>
  <c r="AR225"/>
  <c r="AP225"/>
  <c r="CE231"/>
  <c r="DH231" s="1"/>
  <c r="DH170"/>
  <c r="DL186"/>
  <c r="DL197"/>
  <c r="DL204"/>
  <c r="DM204" s="1"/>
  <c r="DH213"/>
  <c r="DL229"/>
  <c r="DL234"/>
  <c r="DM234" s="1"/>
  <c r="DH233"/>
  <c r="AR243"/>
  <c r="AP243"/>
  <c r="DH199"/>
  <c r="DL225"/>
  <c r="DL233"/>
  <c r="DL275"/>
  <c r="DM275" s="1"/>
  <c r="DH241"/>
  <c r="DL246"/>
  <c r="DM246" s="1"/>
  <c r="DH250"/>
  <c r="DH258"/>
  <c r="DL245"/>
  <c r="DH259"/>
  <c r="DL269"/>
  <c r="DL236"/>
  <c r="DM236" s="1"/>
  <c r="DL238"/>
  <c r="DM238" s="1"/>
  <c r="DH251"/>
  <c r="AR283"/>
  <c r="CE289"/>
  <c r="DL289" s="1"/>
  <c r="DM289" s="1"/>
  <c r="AR299"/>
  <c r="DL260"/>
  <c r="DH261"/>
  <c r="DL263"/>
  <c r="DL267"/>
  <c r="DL271"/>
  <c r="DL280"/>
  <c r="DM280" s="1"/>
  <c r="DH286"/>
  <c r="DH288"/>
  <c r="DH327"/>
  <c r="DL279"/>
  <c r="DL284"/>
  <c r="DM284" s="1"/>
  <c r="DH290"/>
  <c r="DL294"/>
  <c r="DM294" s="1"/>
  <c r="DH298"/>
  <c r="DH300"/>
  <c r="DH315"/>
  <c r="DH324"/>
  <c r="DL335"/>
  <c r="CE343"/>
  <c r="DL343" s="1"/>
  <c r="DM343" s="1"/>
  <c r="DN343" s="1"/>
  <c r="AR349"/>
  <c r="CE351"/>
  <c r="DH351" s="1"/>
  <c r="AR357"/>
  <c r="CE359"/>
  <c r="DH359" s="1"/>
  <c r="AR365"/>
  <c r="CE367"/>
  <c r="DH367" s="1"/>
  <c r="AR373"/>
  <c r="CE375"/>
  <c r="DL375" s="1"/>
  <c r="DM375" s="1"/>
  <c r="AR381"/>
  <c r="DH283"/>
  <c r="DL296"/>
  <c r="DM296" s="1"/>
  <c r="DH323"/>
  <c r="CE337"/>
  <c r="DL295"/>
  <c r="DL300"/>
  <c r="DM300" s="1"/>
  <c r="DH304"/>
  <c r="DL323"/>
  <c r="DL324"/>
  <c r="DM324" s="1"/>
  <c r="DH328"/>
  <c r="DH357"/>
  <c r="DL360"/>
  <c r="DM360" s="1"/>
  <c r="DH372"/>
  <c r="DL340"/>
  <c r="DH346"/>
  <c r="DH354"/>
  <c r="DH362"/>
  <c r="DH370"/>
  <c r="DH378"/>
  <c r="DH344"/>
  <c r="DH361"/>
  <c r="DL364"/>
  <c r="DM364" s="1"/>
  <c r="DH376"/>
  <c r="DL84"/>
  <c r="DH103"/>
  <c r="AR107"/>
  <c r="AP107"/>
  <c r="DH98"/>
  <c r="DL99"/>
  <c r="DL100"/>
  <c r="DH104"/>
  <c r="DH114"/>
  <c r="DH110"/>
  <c r="DH112"/>
  <c r="DH121"/>
  <c r="DL106"/>
  <c r="DL108"/>
  <c r="CE123"/>
  <c r="DL112"/>
  <c r="DH116"/>
  <c r="DH128"/>
  <c r="DH135"/>
  <c r="CE140"/>
  <c r="DH140" s="1"/>
  <c r="DL127"/>
  <c r="DH126"/>
  <c r="DH130"/>
  <c r="AR145"/>
  <c r="AP145"/>
  <c r="CE147"/>
  <c r="DL147" s="1"/>
  <c r="AR153"/>
  <c r="AP153"/>
  <c r="CE155"/>
  <c r="DL155" s="1"/>
  <c r="AR161"/>
  <c r="AP161"/>
  <c r="CE163"/>
  <c r="DL163" s="1"/>
  <c r="AR169"/>
  <c r="AP169"/>
  <c r="DL129"/>
  <c r="DH133"/>
  <c r="DL137"/>
  <c r="DL145"/>
  <c r="DL146"/>
  <c r="DH150"/>
  <c r="DL161"/>
  <c r="DL162"/>
  <c r="DH166"/>
  <c r="DH149"/>
  <c r="DL168"/>
  <c r="DH146"/>
  <c r="DL157"/>
  <c r="DL158"/>
  <c r="DH162"/>
  <c r="AR192"/>
  <c r="AP192"/>
  <c r="DH144"/>
  <c r="DH153"/>
  <c r="DH173"/>
  <c r="DL175"/>
  <c r="DL176"/>
  <c r="DL180"/>
  <c r="DL185"/>
  <c r="DH186"/>
  <c r="DL187"/>
  <c r="DH189"/>
  <c r="DH198"/>
  <c r="DL179"/>
  <c r="DL192"/>
  <c r="CE200"/>
  <c r="DH200" s="1"/>
  <c r="DH181"/>
  <c r="DH191"/>
  <c r="CE202"/>
  <c r="AR213"/>
  <c r="AP213"/>
  <c r="CE219"/>
  <c r="DH219" s="1"/>
  <c r="AR229"/>
  <c r="AP229"/>
  <c r="CE235"/>
  <c r="DH235" s="1"/>
  <c r="DL184"/>
  <c r="DL189"/>
  <c r="DH190"/>
  <c r="DL191"/>
  <c r="DH193"/>
  <c r="DL206"/>
  <c r="DM206" s="1"/>
  <c r="DL209"/>
  <c r="DL217"/>
  <c r="DL222"/>
  <c r="DM222" s="1"/>
  <c r="DH226"/>
  <c r="AP239"/>
  <c r="AR239"/>
  <c r="DH221"/>
  <c r="DL205"/>
  <c r="DL208"/>
  <c r="DM208" s="1"/>
  <c r="DH212"/>
  <c r="DL216"/>
  <c r="DM216" s="1"/>
  <c r="DH220"/>
  <c r="DH222"/>
  <c r="AR247"/>
  <c r="AP247"/>
  <c r="AR251"/>
  <c r="AP251"/>
  <c r="AR255"/>
  <c r="AP255"/>
  <c r="AR259"/>
  <c r="AR263"/>
  <c r="AR267"/>
  <c r="AR271"/>
  <c r="DL210"/>
  <c r="DM210" s="1"/>
  <c r="DH214"/>
  <c r="CE237"/>
  <c r="DH236"/>
  <c r="DH248"/>
  <c r="DH249"/>
  <c r="DL252"/>
  <c r="DL254"/>
  <c r="DL264"/>
  <c r="DL266"/>
  <c r="DH270"/>
  <c r="DL272"/>
  <c r="DM272" s="1"/>
  <c r="DH240"/>
  <c r="DH256"/>
  <c r="DL262"/>
  <c r="DM262" s="1"/>
  <c r="DH264"/>
  <c r="DH265"/>
  <c r="DH272"/>
  <c r="CE273"/>
  <c r="CE277"/>
  <c r="DH277" s="1"/>
  <c r="AR287"/>
  <c r="CE293"/>
  <c r="DH293" s="1"/>
  <c r="AR303"/>
  <c r="CE305"/>
  <c r="DL305" s="1"/>
  <c r="DM305" s="1"/>
  <c r="AR311"/>
  <c r="CE313"/>
  <c r="DL313" s="1"/>
  <c r="DM313" s="1"/>
  <c r="AR319"/>
  <c r="CE321"/>
  <c r="DL321" s="1"/>
  <c r="DM321" s="1"/>
  <c r="AR327"/>
  <c r="CE329"/>
  <c r="DL329" s="1"/>
  <c r="DM329" s="1"/>
  <c r="AR335"/>
  <c r="DH263"/>
  <c r="DH267"/>
  <c r="DH271"/>
  <c r="DH336"/>
  <c r="DH279"/>
  <c r="DL292"/>
  <c r="DM292" s="1"/>
  <c r="DH296"/>
  <c r="DL306"/>
  <c r="DM306" s="1"/>
  <c r="DL311"/>
  <c r="DL312"/>
  <c r="DM312" s="1"/>
  <c r="DH316"/>
  <c r="DL286"/>
  <c r="DM286" s="1"/>
  <c r="DN286" s="1"/>
  <c r="DO286" s="1"/>
  <c r="AQ286" s="1"/>
  <c r="DH295"/>
  <c r="DL302"/>
  <c r="DM302" s="1"/>
  <c r="DH306"/>
  <c r="DH312"/>
  <c r="DL334"/>
  <c r="DM334" s="1"/>
  <c r="AR341"/>
  <c r="DL283"/>
  <c r="DH287"/>
  <c r="DL314"/>
  <c r="DM314" s="1"/>
  <c r="DH318"/>
  <c r="DH340"/>
  <c r="DH348"/>
  <c r="DH365"/>
  <c r="DL368"/>
  <c r="DM368" s="1"/>
  <c r="DH380"/>
  <c r="DH352"/>
  <c r="DH369"/>
  <c r="DL372"/>
  <c r="DM372" s="1"/>
  <c r="DL336"/>
  <c r="DL338"/>
  <c r="DM338" s="1"/>
  <c r="DN338" s="1"/>
  <c r="DH90"/>
  <c r="DH96"/>
  <c r="DH100"/>
  <c r="DH99"/>
  <c r="AR113"/>
  <c r="AP113"/>
  <c r="CE115"/>
  <c r="DH115" s="1"/>
  <c r="AR121"/>
  <c r="AP121"/>
  <c r="DL91"/>
  <c r="DH113"/>
  <c r="DL121"/>
  <c r="DH117"/>
  <c r="DL136"/>
  <c r="DL132"/>
  <c r="DH124"/>
  <c r="DH127"/>
  <c r="DL131"/>
  <c r="DH132"/>
  <c r="CE138"/>
  <c r="DL142"/>
  <c r="DL160"/>
  <c r="DH164"/>
  <c r="AR188"/>
  <c r="AP188"/>
  <c r="DL139"/>
  <c r="DH145"/>
  <c r="DL164"/>
  <c r="DH168"/>
  <c r="DL174"/>
  <c r="DL178"/>
  <c r="DH188"/>
  <c r="DL190"/>
  <c r="DH203"/>
  <c r="DL203"/>
  <c r="DM203" s="1"/>
  <c r="CE207"/>
  <c r="AR217"/>
  <c r="AP217"/>
  <c r="CE223"/>
  <c r="DH223" s="1"/>
  <c r="AR233"/>
  <c r="AP233"/>
  <c r="DH172"/>
  <c r="DH176"/>
  <c r="DH180"/>
  <c r="DL230"/>
  <c r="DM230" s="1"/>
  <c r="CE239"/>
  <c r="DL198"/>
  <c r="DH210"/>
  <c r="DL224"/>
  <c r="DM224" s="1"/>
  <c r="DH228"/>
  <c r="DL232"/>
  <c r="DM232" s="1"/>
  <c r="DL226"/>
  <c r="DM226" s="1"/>
  <c r="DH230"/>
  <c r="DL201"/>
  <c r="DH204"/>
  <c r="DH209"/>
  <c r="DL218"/>
  <c r="DM218" s="1"/>
  <c r="DH224"/>
  <c r="DL228"/>
  <c r="DM228" s="1"/>
  <c r="DH232"/>
  <c r="DH234"/>
  <c r="AR237"/>
  <c r="AP237"/>
  <c r="DL240"/>
  <c r="DM240" s="1"/>
  <c r="DH242"/>
  <c r="DL244"/>
  <c r="DM244" s="1"/>
  <c r="DH246"/>
  <c r="DL248"/>
  <c r="DL250"/>
  <c r="DM250" s="1"/>
  <c r="DL258"/>
  <c r="DH260"/>
  <c r="DH243"/>
  <c r="DH247"/>
  <c r="DL253"/>
  <c r="DL265"/>
  <c r="DL241"/>
  <c r="DM241" s="1"/>
  <c r="DL261"/>
  <c r="DM261" s="1"/>
  <c r="DL274"/>
  <c r="CE281"/>
  <c r="DH281" s="1"/>
  <c r="AR291"/>
  <c r="CE297"/>
  <c r="DH297" s="1"/>
  <c r="DH245"/>
  <c r="DL251"/>
  <c r="DL255"/>
  <c r="DL287"/>
  <c r="DH291"/>
  <c r="DH302"/>
  <c r="DL330"/>
  <c r="DM330" s="1"/>
  <c r="DH334"/>
  <c r="CE339"/>
  <c r="DH278"/>
  <c r="DL282"/>
  <c r="DM282" s="1"/>
  <c r="DL291"/>
  <c r="DL299"/>
  <c r="DL303"/>
  <c r="DL304"/>
  <c r="DM304" s="1"/>
  <c r="DL318"/>
  <c r="DM318" s="1"/>
  <c r="DL327"/>
  <c r="DL328"/>
  <c r="DM328" s="1"/>
  <c r="DH332"/>
  <c r="AR345"/>
  <c r="CE347"/>
  <c r="DH347" s="1"/>
  <c r="AR353"/>
  <c r="CE355"/>
  <c r="DL355" s="1"/>
  <c r="DM355" s="1"/>
  <c r="DN355" s="1"/>
  <c r="AR361"/>
  <c r="CE363"/>
  <c r="DH363" s="1"/>
  <c r="AR369"/>
  <c r="CE371"/>
  <c r="DH371" s="1"/>
  <c r="AR377"/>
  <c r="CE379"/>
  <c r="DL379" s="1"/>
  <c r="DM379" s="1"/>
  <c r="DH280"/>
  <c r="DH307"/>
  <c r="DL326"/>
  <c r="DM326" s="1"/>
  <c r="DH330"/>
  <c r="CE341"/>
  <c r="DL290"/>
  <c r="DM290" s="1"/>
  <c r="DH294"/>
  <c r="DL298"/>
  <c r="DM298" s="1"/>
  <c r="DH310"/>
  <c r="DH319"/>
  <c r="DL331"/>
  <c r="DL332"/>
  <c r="DM332" s="1"/>
  <c r="DL344"/>
  <c r="DM344" s="1"/>
  <c r="DN344" s="1"/>
  <c r="DH356"/>
  <c r="DH373"/>
  <c r="DL376"/>
  <c r="DM376" s="1"/>
  <c r="DH338"/>
  <c r="DH345"/>
  <c r="DL348"/>
  <c r="DM348" s="1"/>
  <c r="DN348" s="1"/>
  <c r="DH360"/>
  <c r="DH377"/>
  <c r="DL380"/>
  <c r="DM380" s="1"/>
  <c r="DL345"/>
  <c r="DL346"/>
  <c r="DM346" s="1"/>
  <c r="DN346" s="1"/>
  <c r="DL353"/>
  <c r="DL354"/>
  <c r="DM354" s="1"/>
  <c r="DN354" s="1"/>
  <c r="DL361"/>
  <c r="DL362"/>
  <c r="DM362" s="1"/>
  <c r="DL369"/>
  <c r="DL370"/>
  <c r="DM370" s="1"/>
  <c r="DL377"/>
  <c r="DL378"/>
  <c r="DM378" s="1"/>
  <c r="DH197"/>
  <c r="DL56"/>
  <c r="DM56" s="1"/>
  <c r="DH61"/>
  <c r="AR66"/>
  <c r="AP66"/>
  <c r="DH64"/>
  <c r="DH65"/>
  <c r="CE67"/>
  <c r="DL67" s="1"/>
  <c r="AR77"/>
  <c r="AP77"/>
  <c r="DL73"/>
  <c r="DL74"/>
  <c r="DL68"/>
  <c r="DH72"/>
  <c r="DL76"/>
  <c r="DH87"/>
  <c r="DL79"/>
  <c r="DL90"/>
  <c r="DH76"/>
  <c r="DH86"/>
  <c r="DL87"/>
  <c r="DH94"/>
  <c r="DL95"/>
  <c r="DL96"/>
  <c r="DM96" s="1"/>
  <c r="DL94"/>
  <c r="DH108"/>
  <c r="DL117"/>
  <c r="DL118"/>
  <c r="DH109"/>
  <c r="AR126"/>
  <c r="AP126"/>
  <c r="DL109"/>
  <c r="DL110"/>
  <c r="DL134"/>
  <c r="AR139"/>
  <c r="AP139"/>
  <c r="DH125"/>
  <c r="DH136"/>
  <c r="AR138"/>
  <c r="AP138"/>
  <c r="AR141"/>
  <c r="AP141"/>
  <c r="CE143"/>
  <c r="DH143" s="1"/>
  <c r="AR149"/>
  <c r="AP149"/>
  <c r="CE151"/>
  <c r="DH151" s="1"/>
  <c r="AR157"/>
  <c r="AP157"/>
  <c r="CE159"/>
  <c r="DL159" s="1"/>
  <c r="AR165"/>
  <c r="AP165"/>
  <c r="CE167"/>
  <c r="DH167" s="1"/>
  <c r="DL125"/>
  <c r="DH129"/>
  <c r="DH131"/>
  <c r="DL133"/>
  <c r="DL135"/>
  <c r="DH137"/>
  <c r="DL153"/>
  <c r="DL154"/>
  <c r="DH158"/>
  <c r="DH141"/>
  <c r="DL152"/>
  <c r="DH156"/>
  <c r="DH165"/>
  <c r="AP171"/>
  <c r="AR171"/>
  <c r="DL141"/>
  <c r="DL149"/>
  <c r="DL150"/>
  <c r="DH154"/>
  <c r="DL165"/>
  <c r="DL166"/>
  <c r="AR176"/>
  <c r="AP176"/>
  <c r="AR184"/>
  <c r="AP184"/>
  <c r="DL156"/>
  <c r="DH160"/>
  <c r="DH169"/>
  <c r="DH183"/>
  <c r="DH195"/>
  <c r="CE196"/>
  <c r="DH174"/>
  <c r="DL181"/>
  <c r="DH182"/>
  <c r="DL183"/>
  <c r="DH185"/>
  <c r="DH194"/>
  <c r="DL188"/>
  <c r="DL193"/>
  <c r="AR201"/>
  <c r="AP201"/>
  <c r="AR205"/>
  <c r="AP205"/>
  <c r="CE211"/>
  <c r="DH211" s="1"/>
  <c r="AR221"/>
  <c r="AP221"/>
  <c r="CE227"/>
  <c r="DH227" s="1"/>
  <c r="DL173"/>
  <c r="DH175"/>
  <c r="DH177"/>
  <c r="DH179"/>
  <c r="DH187"/>
  <c r="DH208"/>
  <c r="DL212"/>
  <c r="DM212" s="1"/>
  <c r="DH216"/>
  <c r="DL220"/>
  <c r="DM220" s="1"/>
  <c r="DH229"/>
  <c r="DH205"/>
  <c r="DL214"/>
  <c r="DM214" s="1"/>
  <c r="DH218"/>
  <c r="DH206"/>
  <c r="DL213"/>
  <c r="DL221"/>
  <c r="DH225"/>
  <c r="DH217"/>
  <c r="DH238"/>
  <c r="DL249"/>
  <c r="DL257"/>
  <c r="DM257" s="1"/>
  <c r="DH244"/>
  <c r="DH254"/>
  <c r="DL256"/>
  <c r="DH257"/>
  <c r="DL259"/>
  <c r="DH266"/>
  <c r="DL268"/>
  <c r="DL270"/>
  <c r="DL242"/>
  <c r="DM242" s="1"/>
  <c r="DL243"/>
  <c r="DL247"/>
  <c r="DH252"/>
  <c r="DH253"/>
  <c r="DH262"/>
  <c r="DH268"/>
  <c r="DH269"/>
  <c r="DH274"/>
  <c r="CE276"/>
  <c r="AR279"/>
  <c r="CE285"/>
  <c r="DH285" s="1"/>
  <c r="AR295"/>
  <c r="CE301"/>
  <c r="AR307"/>
  <c r="CE309"/>
  <c r="AR315"/>
  <c r="CE317"/>
  <c r="DL317" s="1"/>
  <c r="DM317" s="1"/>
  <c r="AR323"/>
  <c r="CE325"/>
  <c r="DL325" s="1"/>
  <c r="DM325" s="1"/>
  <c r="AR331"/>
  <c r="CE333"/>
  <c r="DH255"/>
  <c r="DH299"/>
  <c r="DH303"/>
  <c r="DH308"/>
  <c r="DL319"/>
  <c r="DL320"/>
  <c r="DM320" s="1"/>
  <c r="DL322"/>
  <c r="DM322" s="1"/>
  <c r="DH326"/>
  <c r="DH335"/>
  <c r="AR339"/>
  <c r="DL310"/>
  <c r="DM310" s="1"/>
  <c r="DH314"/>
  <c r="DL288"/>
  <c r="DM288" s="1"/>
  <c r="DH292"/>
  <c r="DL315"/>
  <c r="DL316"/>
  <c r="DM316" s="1"/>
  <c r="DH320"/>
  <c r="DH322"/>
  <c r="DH331"/>
  <c r="AR337"/>
  <c r="DL278"/>
  <c r="DM278" s="1"/>
  <c r="DH282"/>
  <c r="DH284"/>
  <c r="DH311"/>
  <c r="DH349"/>
  <c r="DL352"/>
  <c r="DM352" s="1"/>
  <c r="DN352" s="1"/>
  <c r="DH364"/>
  <c r="DH381"/>
  <c r="DL342"/>
  <c r="DM342" s="1"/>
  <c r="DN342" s="1"/>
  <c r="DL349"/>
  <c r="DL350"/>
  <c r="DM350" s="1"/>
  <c r="DN350" s="1"/>
  <c r="DL357"/>
  <c r="DL358"/>
  <c r="DM358" s="1"/>
  <c r="DL365"/>
  <c r="DL366"/>
  <c r="DM366" s="1"/>
  <c r="DL373"/>
  <c r="DL374"/>
  <c r="DM374" s="1"/>
  <c r="DL381"/>
  <c r="DH353"/>
  <c r="DL356"/>
  <c r="DM356" s="1"/>
  <c r="DH368"/>
  <c r="DH342"/>
  <c r="DH350"/>
  <c r="DH358"/>
  <c r="DH366"/>
  <c r="DH374"/>
  <c r="BP133" i="24"/>
  <c r="BP109"/>
  <c r="BP125"/>
  <c r="BP228"/>
  <c r="BP117"/>
  <c r="BP162"/>
  <c r="BP170"/>
  <c r="BP178"/>
  <c r="BP186"/>
  <c r="BP225"/>
  <c r="BP252"/>
  <c r="BP74"/>
  <c r="BP111"/>
  <c r="BP119"/>
  <c r="BP127"/>
  <c r="BP157"/>
  <c r="BP173"/>
  <c r="BP189"/>
  <c r="BP209"/>
  <c r="BP152"/>
  <c r="BP168"/>
  <c r="BP184"/>
  <c r="BP212"/>
  <c r="BP223"/>
  <c r="BP233"/>
  <c r="BP226"/>
  <c r="BP232"/>
  <c r="BP68"/>
  <c r="BP77"/>
  <c r="BP154"/>
  <c r="BP151"/>
  <c r="BP167"/>
  <c r="BP183"/>
  <c r="BP298"/>
  <c r="BP302"/>
  <c r="BP306"/>
  <c r="BP310"/>
  <c r="BP250"/>
  <c r="BP332"/>
  <c r="BP340"/>
  <c r="BP348"/>
  <c r="BP356"/>
  <c r="BP364"/>
  <c r="BP372"/>
  <c r="BP380"/>
  <c r="BP330"/>
  <c r="BP338"/>
  <c r="BP346"/>
  <c r="BP354"/>
  <c r="BP362"/>
  <c r="BP370"/>
  <c r="BP378"/>
  <c r="BP329"/>
  <c r="BP337"/>
  <c r="BP345"/>
  <c r="BP353"/>
  <c r="BP361"/>
  <c r="BP369"/>
  <c r="BP377"/>
  <c r="BP76"/>
  <c r="BP72"/>
  <c r="BP99"/>
  <c r="BP113"/>
  <c r="BP121"/>
  <c r="BP129"/>
  <c r="DM253" i="43" l="1"/>
  <c r="DN253" s="1"/>
  <c r="DO253" s="1"/>
  <c r="AQ253" s="1"/>
  <c r="DM260"/>
  <c r="DN260" s="1"/>
  <c r="DO260" s="1"/>
  <c r="AQ260" s="1"/>
  <c r="DM340"/>
  <c r="DN340" s="1"/>
  <c r="DM256"/>
  <c r="DN256" s="1"/>
  <c r="DO256" s="1"/>
  <c r="AQ256" s="1"/>
  <c r="DM249"/>
  <c r="DN249" s="1"/>
  <c r="DO249" s="1"/>
  <c r="AQ249" s="1"/>
  <c r="DM336"/>
  <c r="DN336" s="1"/>
  <c r="DM264"/>
  <c r="DN264" s="1"/>
  <c r="DO264" s="1"/>
  <c r="AQ264" s="1"/>
  <c r="DM245"/>
  <c r="DN245" s="1"/>
  <c r="DO245" s="1"/>
  <c r="AQ245" s="1"/>
  <c r="DM268"/>
  <c r="DN268" s="1"/>
  <c r="DO268" s="1"/>
  <c r="AQ268" s="1"/>
  <c r="DM265"/>
  <c r="DN265" s="1"/>
  <c r="DO265" s="1"/>
  <c r="AQ265" s="1"/>
  <c r="DM248"/>
  <c r="DN248" s="1"/>
  <c r="DO248" s="1"/>
  <c r="AQ248" s="1"/>
  <c r="DL367"/>
  <c r="DM367" s="1"/>
  <c r="DN367" s="1"/>
  <c r="DM252"/>
  <c r="DN252" s="1"/>
  <c r="DO252" s="1"/>
  <c r="AQ252" s="1"/>
  <c r="DM269"/>
  <c r="DN269" s="1"/>
  <c r="DO269" s="1"/>
  <c r="AQ269" s="1"/>
  <c r="DM181"/>
  <c r="DN181" s="1"/>
  <c r="DO181" s="1"/>
  <c r="AQ181" s="1"/>
  <c r="DM154"/>
  <c r="DN154" s="1"/>
  <c r="DO154" s="1"/>
  <c r="AQ154" s="1"/>
  <c r="DM159"/>
  <c r="DN159" s="1"/>
  <c r="DO159" s="1"/>
  <c r="AQ159" s="1"/>
  <c r="DM76"/>
  <c r="DN76" s="1"/>
  <c r="DO76" s="1"/>
  <c r="AQ76" s="1"/>
  <c r="DM67"/>
  <c r="DN67" s="1"/>
  <c r="DO67" s="1"/>
  <c r="AQ67" s="1"/>
  <c r="DM174"/>
  <c r="DN174" s="1"/>
  <c r="DO174" s="1"/>
  <c r="AQ174" s="1"/>
  <c r="DM132"/>
  <c r="DN132" s="1"/>
  <c r="DO132" s="1"/>
  <c r="AQ132" s="1"/>
  <c r="DM179"/>
  <c r="DN179" s="1"/>
  <c r="DO179" s="1"/>
  <c r="AQ179" s="1"/>
  <c r="DM158"/>
  <c r="DN158" s="1"/>
  <c r="DO158" s="1"/>
  <c r="AQ158" s="1"/>
  <c r="DM112"/>
  <c r="DN112" s="1"/>
  <c r="DO112" s="1"/>
  <c r="AQ112" s="1"/>
  <c r="DM84"/>
  <c r="DN84" s="1"/>
  <c r="DO84" s="1"/>
  <c r="AQ84" s="1"/>
  <c r="DM197"/>
  <c r="DN197" s="1"/>
  <c r="DO197" s="1"/>
  <c r="AQ197" s="1"/>
  <c r="DM182"/>
  <c r="DN182" s="1"/>
  <c r="DO182" s="1"/>
  <c r="AQ182" s="1"/>
  <c r="DM116"/>
  <c r="DN116" s="1"/>
  <c r="DO116" s="1"/>
  <c r="AQ116" s="1"/>
  <c r="DM104"/>
  <c r="DN104" s="1"/>
  <c r="DO104" s="1"/>
  <c r="AQ104" s="1"/>
  <c r="DM98"/>
  <c r="DN98" s="1"/>
  <c r="DO98" s="1"/>
  <c r="AQ98" s="1"/>
  <c r="DM78"/>
  <c r="DN78" s="1"/>
  <c r="DO78" s="1"/>
  <c r="AQ78" s="1"/>
  <c r="DM63"/>
  <c r="DN63" s="1"/>
  <c r="DO63" s="1"/>
  <c r="AQ63" s="1"/>
  <c r="DM88"/>
  <c r="DN88" s="1"/>
  <c r="DO88" s="1"/>
  <c r="AQ88" s="1"/>
  <c r="DM156"/>
  <c r="DN156" s="1"/>
  <c r="DO156" s="1"/>
  <c r="AQ156" s="1"/>
  <c r="DM135"/>
  <c r="DN135" s="1"/>
  <c r="DO135" s="1"/>
  <c r="AQ135" s="1"/>
  <c r="DM125"/>
  <c r="DN125" s="1"/>
  <c r="DO125" s="1"/>
  <c r="AQ125" s="1"/>
  <c r="DM118"/>
  <c r="DN118" s="1"/>
  <c r="DO118" s="1"/>
  <c r="AQ118" s="1"/>
  <c r="DN96"/>
  <c r="DO96" s="1"/>
  <c r="AQ96" s="1"/>
  <c r="DM74"/>
  <c r="DN74" s="1"/>
  <c r="DO74" s="1"/>
  <c r="AQ74" s="1"/>
  <c r="DM178"/>
  <c r="DN178" s="1"/>
  <c r="DO178" s="1"/>
  <c r="AQ178" s="1"/>
  <c r="DM191"/>
  <c r="DN191" s="1"/>
  <c r="DO191" s="1"/>
  <c r="AQ191" s="1"/>
  <c r="DM187"/>
  <c r="DN187" s="1"/>
  <c r="DO187" s="1"/>
  <c r="AQ187" s="1"/>
  <c r="DM168"/>
  <c r="DN168" s="1"/>
  <c r="DO168" s="1"/>
  <c r="AQ168" s="1"/>
  <c r="DM127"/>
  <c r="DN127" s="1"/>
  <c r="DO127" s="1"/>
  <c r="AQ127" s="1"/>
  <c r="DM106"/>
  <c r="DN106" s="1"/>
  <c r="DO106" s="1"/>
  <c r="AQ106" s="1"/>
  <c r="DM122"/>
  <c r="DN122" s="1"/>
  <c r="DO122" s="1"/>
  <c r="AQ122" s="1"/>
  <c r="DM92"/>
  <c r="DN92" s="1"/>
  <c r="DO92" s="1"/>
  <c r="AQ92" s="1"/>
  <c r="DM89"/>
  <c r="DN89" s="1"/>
  <c r="DO89" s="1"/>
  <c r="AQ89" s="1"/>
  <c r="DM83"/>
  <c r="DN83" s="1"/>
  <c r="DO83" s="1"/>
  <c r="AQ83" s="1"/>
  <c r="DM173"/>
  <c r="DN173" s="1"/>
  <c r="DO173" s="1"/>
  <c r="AQ173" s="1"/>
  <c r="DM193"/>
  <c r="DN193" s="1"/>
  <c r="DO193" s="1"/>
  <c r="AQ193" s="1"/>
  <c r="DM183"/>
  <c r="DN183" s="1"/>
  <c r="DO183" s="1"/>
  <c r="AQ183" s="1"/>
  <c r="DM166"/>
  <c r="DN166" s="1"/>
  <c r="DO166" s="1"/>
  <c r="AQ166" s="1"/>
  <c r="DM94"/>
  <c r="DN94" s="1"/>
  <c r="DO94" s="1"/>
  <c r="AQ94" s="1"/>
  <c r="DM87"/>
  <c r="DN87" s="1"/>
  <c r="DO87" s="1"/>
  <c r="AQ87" s="1"/>
  <c r="DM79"/>
  <c r="DN79" s="1"/>
  <c r="DO79" s="1"/>
  <c r="AQ79" s="1"/>
  <c r="DM68"/>
  <c r="DN68" s="1"/>
  <c r="DO68" s="1"/>
  <c r="AQ68" s="1"/>
  <c r="DM164"/>
  <c r="DN164" s="1"/>
  <c r="DO164" s="1"/>
  <c r="AQ164" s="1"/>
  <c r="DM142"/>
  <c r="DN142" s="1"/>
  <c r="DO142" s="1"/>
  <c r="AQ142" s="1"/>
  <c r="DM162"/>
  <c r="DN162" s="1"/>
  <c r="DO162" s="1"/>
  <c r="AQ162" s="1"/>
  <c r="DM108"/>
  <c r="DN108" s="1"/>
  <c r="DO108" s="1"/>
  <c r="AQ108" s="1"/>
  <c r="DM170"/>
  <c r="DN170" s="1"/>
  <c r="DO170" s="1"/>
  <c r="AQ170" s="1"/>
  <c r="DM128"/>
  <c r="DN128" s="1"/>
  <c r="DO128" s="1"/>
  <c r="AQ128" s="1"/>
  <c r="DM120"/>
  <c r="DN120" s="1"/>
  <c r="DO120" s="1"/>
  <c r="AQ120" s="1"/>
  <c r="DM102"/>
  <c r="DN102" s="1"/>
  <c r="DO102" s="1"/>
  <c r="AQ102" s="1"/>
  <c r="DM105"/>
  <c r="DN105" s="1"/>
  <c r="DO105" s="1"/>
  <c r="AQ105" s="1"/>
  <c r="DM80"/>
  <c r="DN80" s="1"/>
  <c r="DO80" s="1"/>
  <c r="AQ80" s="1"/>
  <c r="DM62"/>
  <c r="DN62" s="1"/>
  <c r="DO62" s="1"/>
  <c r="AQ62" s="1"/>
  <c r="DM93"/>
  <c r="DN93" s="1"/>
  <c r="DO93" s="1"/>
  <c r="AQ93" s="1"/>
  <c r="DM194"/>
  <c r="DN194" s="1"/>
  <c r="DO194" s="1"/>
  <c r="AQ194" s="1"/>
  <c r="DM150"/>
  <c r="DN150" s="1"/>
  <c r="DO150" s="1"/>
  <c r="AQ150" s="1"/>
  <c r="DM152"/>
  <c r="DN152" s="1"/>
  <c r="DO152" s="1"/>
  <c r="AQ152" s="1"/>
  <c r="DM110"/>
  <c r="DN110" s="1"/>
  <c r="DO110" s="1"/>
  <c r="AQ110" s="1"/>
  <c r="DM90"/>
  <c r="DN90" s="1"/>
  <c r="DO90" s="1"/>
  <c r="AQ90" s="1"/>
  <c r="DM198"/>
  <c r="DN198" s="1"/>
  <c r="DO198" s="1"/>
  <c r="AQ198" s="1"/>
  <c r="DM190"/>
  <c r="DN190" s="1"/>
  <c r="DO190" s="1"/>
  <c r="AQ190" s="1"/>
  <c r="DM160"/>
  <c r="DN160" s="1"/>
  <c r="DO160" s="1"/>
  <c r="AQ160" s="1"/>
  <c r="DM131"/>
  <c r="DN131" s="1"/>
  <c r="DO131" s="1"/>
  <c r="AQ131" s="1"/>
  <c r="DM136"/>
  <c r="DN136" s="1"/>
  <c r="DO136" s="1"/>
  <c r="AQ136" s="1"/>
  <c r="DM189"/>
  <c r="DN189" s="1"/>
  <c r="DO189" s="1"/>
  <c r="AQ189" s="1"/>
  <c r="DM185"/>
  <c r="DN185" s="1"/>
  <c r="DO185" s="1"/>
  <c r="AQ185" s="1"/>
  <c r="DM146"/>
  <c r="DN146" s="1"/>
  <c r="DO146" s="1"/>
  <c r="AQ146" s="1"/>
  <c r="DM163"/>
  <c r="DN163" s="1"/>
  <c r="DO163" s="1"/>
  <c r="AQ163" s="1"/>
  <c r="DM155"/>
  <c r="DN155" s="1"/>
  <c r="DO155" s="1"/>
  <c r="AQ155" s="1"/>
  <c r="DM147"/>
  <c r="DN147" s="1"/>
  <c r="DO147" s="1"/>
  <c r="AQ147" s="1"/>
  <c r="DM100"/>
  <c r="DN100" s="1"/>
  <c r="DO100" s="1"/>
  <c r="AQ100" s="1"/>
  <c r="DM186"/>
  <c r="DN186" s="1"/>
  <c r="DO186" s="1"/>
  <c r="AQ186" s="1"/>
  <c r="DM177"/>
  <c r="DN177" s="1"/>
  <c r="DO177" s="1"/>
  <c r="AQ177" s="1"/>
  <c r="DM148"/>
  <c r="DN148" s="1"/>
  <c r="DO148" s="1"/>
  <c r="AQ148" s="1"/>
  <c r="DM144"/>
  <c r="DN144" s="1"/>
  <c r="DO144" s="1"/>
  <c r="AQ144" s="1"/>
  <c r="DM124"/>
  <c r="DN124" s="1"/>
  <c r="DO124" s="1"/>
  <c r="AQ124" s="1"/>
  <c r="DM114"/>
  <c r="DN114" s="1"/>
  <c r="DO114" s="1"/>
  <c r="AQ114" s="1"/>
  <c r="DM86"/>
  <c r="DN86" s="1"/>
  <c r="DO86" s="1"/>
  <c r="AQ86" s="1"/>
  <c r="DM82"/>
  <c r="DN82" s="1"/>
  <c r="DO82" s="1"/>
  <c r="AQ82" s="1"/>
  <c r="DM70"/>
  <c r="DN70" s="1"/>
  <c r="DO70" s="1"/>
  <c r="AQ70" s="1"/>
  <c r="DM72"/>
  <c r="DN72" s="1"/>
  <c r="DO72" s="1"/>
  <c r="AQ72" s="1"/>
  <c r="DL285"/>
  <c r="DM285" s="1"/>
  <c r="DN285" s="1"/>
  <c r="DM130"/>
  <c r="DN130" s="1"/>
  <c r="DO130" s="1"/>
  <c r="AQ130" s="1"/>
  <c r="DL231"/>
  <c r="DM231" s="1"/>
  <c r="DL215"/>
  <c r="DM215" s="1"/>
  <c r="DL101"/>
  <c r="DH93"/>
  <c r="DM299"/>
  <c r="DN299" s="1"/>
  <c r="DM319"/>
  <c r="DL359"/>
  <c r="DM359" s="1"/>
  <c r="DH329"/>
  <c r="DM381"/>
  <c r="DM188"/>
  <c r="DN188" s="1"/>
  <c r="DM95"/>
  <c r="DN95" s="1"/>
  <c r="DM303"/>
  <c r="DN303" s="1"/>
  <c r="DM255"/>
  <c r="DN255" s="1"/>
  <c r="DL111"/>
  <c r="DM283"/>
  <c r="DN283" s="1"/>
  <c r="DM365"/>
  <c r="DM349"/>
  <c r="DN349" s="1"/>
  <c r="DL277"/>
  <c r="DM277" s="1"/>
  <c r="DN277" s="1"/>
  <c r="DL219"/>
  <c r="DM219" s="1"/>
  <c r="DN219" s="1"/>
  <c r="DL235"/>
  <c r="DM235" s="1"/>
  <c r="DM153"/>
  <c r="DN153" s="1"/>
  <c r="DM73"/>
  <c r="DN73" s="1"/>
  <c r="DH375"/>
  <c r="DH305"/>
  <c r="DM274"/>
  <c r="DM137"/>
  <c r="DN137" s="1"/>
  <c r="DL119"/>
  <c r="DM172"/>
  <c r="DN172" s="1"/>
  <c r="DM53"/>
  <c r="DN53" s="1"/>
  <c r="DM247"/>
  <c r="DN247" s="1"/>
  <c r="DM213"/>
  <c r="DH355"/>
  <c r="DM270"/>
  <c r="DH89"/>
  <c r="DH163"/>
  <c r="DH147"/>
  <c r="DM65"/>
  <c r="DN65" s="1"/>
  <c r="DL97"/>
  <c r="DH343"/>
  <c r="DL351"/>
  <c r="DM351" s="1"/>
  <c r="DN351" s="1"/>
  <c r="DM243"/>
  <c r="DN243" s="1"/>
  <c r="DH105"/>
  <c r="DL85"/>
  <c r="DH289"/>
  <c r="DM327"/>
  <c r="DN327" s="1"/>
  <c r="DM287"/>
  <c r="DN287" s="1"/>
  <c r="DM258"/>
  <c r="DM91"/>
  <c r="DN91" s="1"/>
  <c r="DM99"/>
  <c r="DM59"/>
  <c r="DN59" s="1"/>
  <c r="DL363"/>
  <c r="DM363" s="1"/>
  <c r="DN363" s="1"/>
  <c r="DH379"/>
  <c r="DM373"/>
  <c r="DM357"/>
  <c r="DN357" s="1"/>
  <c r="DH313"/>
  <c r="DL293"/>
  <c r="DM293" s="1"/>
  <c r="DM259"/>
  <c r="DM133"/>
  <c r="DN133" s="1"/>
  <c r="DM134"/>
  <c r="DM109"/>
  <c r="DM117"/>
  <c r="DM251"/>
  <c r="DM266"/>
  <c r="DN266" s="1"/>
  <c r="DM254"/>
  <c r="DN254" s="1"/>
  <c r="DM209"/>
  <c r="DN209" s="1"/>
  <c r="DM180"/>
  <c r="DN180" s="1"/>
  <c r="DM175"/>
  <c r="DN175" s="1"/>
  <c r="DM129"/>
  <c r="DN129" s="1"/>
  <c r="DH55"/>
  <c r="DM195"/>
  <c r="DM315"/>
  <c r="DN315" s="1"/>
  <c r="DM199"/>
  <c r="DM345"/>
  <c r="DN345" s="1"/>
  <c r="DM64"/>
  <c r="DN64" s="1"/>
  <c r="DM361"/>
  <c r="DN361" s="1"/>
  <c r="DM353"/>
  <c r="DN353" s="1"/>
  <c r="DL281"/>
  <c r="DM281" s="1"/>
  <c r="DM291"/>
  <c r="DN291" s="1"/>
  <c r="DM165"/>
  <c r="DN165" s="1"/>
  <c r="DM149"/>
  <c r="DM377"/>
  <c r="DN377" s="1"/>
  <c r="DH155"/>
  <c r="DM221"/>
  <c r="DM192"/>
  <c r="DN192" s="1"/>
  <c r="DM225"/>
  <c r="DN225" s="1"/>
  <c r="DM103"/>
  <c r="DM44"/>
  <c r="DN44" s="1"/>
  <c r="DM141"/>
  <c r="DN141" s="1"/>
  <c r="DM121"/>
  <c r="DN121" s="1"/>
  <c r="DM311"/>
  <c r="DM161"/>
  <c r="DN379"/>
  <c r="DO379" s="1"/>
  <c r="AQ379" s="1"/>
  <c r="DN317"/>
  <c r="DO317" s="1"/>
  <c r="AQ317" s="1"/>
  <c r="DO350"/>
  <c r="AQ350" s="1"/>
  <c r="DN374"/>
  <c r="DO374" s="1"/>
  <c r="AQ374" s="1"/>
  <c r="DN358"/>
  <c r="DO358" s="1"/>
  <c r="AQ358" s="1"/>
  <c r="DO342"/>
  <c r="AQ342" s="1"/>
  <c r="DN322"/>
  <c r="DO322" s="1"/>
  <c r="AQ322" s="1"/>
  <c r="DN242"/>
  <c r="DO242" s="1"/>
  <c r="AQ242" s="1"/>
  <c r="DN214"/>
  <c r="DO214" s="1"/>
  <c r="AQ214" s="1"/>
  <c r="DN220"/>
  <c r="DO220" s="1"/>
  <c r="AQ220" s="1"/>
  <c r="DO348"/>
  <c r="AQ348" s="1"/>
  <c r="DO344"/>
  <c r="AQ344" s="1"/>
  <c r="DN313"/>
  <c r="DO313" s="1"/>
  <c r="AQ313" s="1"/>
  <c r="DN318"/>
  <c r="DO318" s="1"/>
  <c r="AQ318" s="1"/>
  <c r="DN282"/>
  <c r="DO282" s="1"/>
  <c r="AQ282" s="1"/>
  <c r="DN261"/>
  <c r="DO261" s="1"/>
  <c r="AQ261" s="1"/>
  <c r="DN218"/>
  <c r="DO218" s="1"/>
  <c r="AQ218" s="1"/>
  <c r="DN226"/>
  <c r="DO226" s="1"/>
  <c r="AQ226" s="1"/>
  <c r="DN232"/>
  <c r="DO232" s="1"/>
  <c r="AQ232" s="1"/>
  <c r="DH239"/>
  <c r="DL239"/>
  <c r="DM239" s="1"/>
  <c r="DN372"/>
  <c r="DO372" s="1"/>
  <c r="AQ372" s="1"/>
  <c r="DN334"/>
  <c r="DO334" s="1"/>
  <c r="AQ334" s="1"/>
  <c r="DN306"/>
  <c r="DO306" s="1"/>
  <c r="AQ306" s="1"/>
  <c r="DL237"/>
  <c r="DM237" s="1"/>
  <c r="DH237"/>
  <c r="DN206"/>
  <c r="DO206" s="1"/>
  <c r="AQ206" s="1"/>
  <c r="DL200"/>
  <c r="DN364"/>
  <c r="DO364" s="1"/>
  <c r="AQ364" s="1"/>
  <c r="DN360"/>
  <c r="DH337"/>
  <c r="DL337"/>
  <c r="DM337" s="1"/>
  <c r="DN337" s="1"/>
  <c r="DN284"/>
  <c r="DO284" s="1"/>
  <c r="AQ284" s="1"/>
  <c r="DN246"/>
  <c r="DO246" s="1"/>
  <c r="AQ246" s="1"/>
  <c r="DH77"/>
  <c r="DN49"/>
  <c r="DO49" s="1"/>
  <c r="AQ49" s="1"/>
  <c r="DL333"/>
  <c r="DM333" s="1"/>
  <c r="DL301"/>
  <c r="DM301" s="1"/>
  <c r="DM201"/>
  <c r="DH207"/>
  <c r="DM217"/>
  <c r="DM267"/>
  <c r="DM113"/>
  <c r="DM77"/>
  <c r="DN356"/>
  <c r="DO356" s="1"/>
  <c r="AQ356" s="1"/>
  <c r="DN329"/>
  <c r="DO329" s="1"/>
  <c r="AQ329" s="1"/>
  <c r="DN257"/>
  <c r="DO257" s="1"/>
  <c r="AQ257" s="1"/>
  <c r="DH196"/>
  <c r="DN56"/>
  <c r="DO56" s="1"/>
  <c r="AQ56" s="1"/>
  <c r="DN370"/>
  <c r="DO370" s="1"/>
  <c r="AQ370" s="1"/>
  <c r="DO354"/>
  <c r="AQ354" s="1"/>
  <c r="DO355"/>
  <c r="AQ355" s="1"/>
  <c r="DN332"/>
  <c r="DO332" s="1"/>
  <c r="AQ332" s="1"/>
  <c r="DN290"/>
  <c r="DO290" s="1"/>
  <c r="AQ290" s="1"/>
  <c r="DN305"/>
  <c r="DO305" s="1"/>
  <c r="AQ305" s="1"/>
  <c r="DN250"/>
  <c r="DO250" s="1"/>
  <c r="AQ250" s="1"/>
  <c r="DO343"/>
  <c r="AQ343" s="1"/>
  <c r="DN314"/>
  <c r="DO314" s="1"/>
  <c r="AQ314" s="1"/>
  <c r="DL273"/>
  <c r="DM273" s="1"/>
  <c r="DH273"/>
  <c r="DN208"/>
  <c r="DO208" s="1"/>
  <c r="AQ208" s="1"/>
  <c r="DN300"/>
  <c r="DO300" s="1"/>
  <c r="AQ300" s="1"/>
  <c r="DN296"/>
  <c r="DO296" s="1"/>
  <c r="AQ296" s="1"/>
  <c r="DN289"/>
  <c r="DO289" s="1"/>
  <c r="AQ289" s="1"/>
  <c r="DN236"/>
  <c r="DO236" s="1"/>
  <c r="AQ236" s="1"/>
  <c r="DN275"/>
  <c r="DO275" s="1"/>
  <c r="AQ275" s="1"/>
  <c r="DN234"/>
  <c r="DO234" s="1"/>
  <c r="AQ234" s="1"/>
  <c r="DN204"/>
  <c r="DO204" s="1"/>
  <c r="AQ204" s="1"/>
  <c r="DN51"/>
  <c r="DO51" s="1"/>
  <c r="AQ51" s="1"/>
  <c r="DL75"/>
  <c r="DN45"/>
  <c r="DO45" s="1"/>
  <c r="AQ45" s="1"/>
  <c r="DM205"/>
  <c r="DM157"/>
  <c r="DL371"/>
  <c r="DM371" s="1"/>
  <c r="DM323"/>
  <c r="DH333"/>
  <c r="DL309"/>
  <c r="DM309" s="1"/>
  <c r="DM126"/>
  <c r="DM69"/>
  <c r="DM61"/>
  <c r="DL50"/>
  <c r="DM50" s="1"/>
  <c r="DN278"/>
  <c r="DO278" s="1"/>
  <c r="AQ278" s="1"/>
  <c r="DN325"/>
  <c r="DO325" s="1"/>
  <c r="AQ325" s="1"/>
  <c r="DN320"/>
  <c r="DO320" s="1"/>
  <c r="AQ320" s="1"/>
  <c r="DH276"/>
  <c r="DN212"/>
  <c r="DO212" s="1"/>
  <c r="AQ212" s="1"/>
  <c r="DN380"/>
  <c r="DO380" s="1"/>
  <c r="AQ380" s="1"/>
  <c r="DN376"/>
  <c r="DO376" s="1"/>
  <c r="AQ376" s="1"/>
  <c r="DL341"/>
  <c r="DM341" s="1"/>
  <c r="DN341" s="1"/>
  <c r="DH341"/>
  <c r="DN328"/>
  <c r="DO328" s="1"/>
  <c r="AQ328" s="1"/>
  <c r="DN304"/>
  <c r="DO304" s="1"/>
  <c r="AQ304" s="1"/>
  <c r="DH339"/>
  <c r="DL339"/>
  <c r="DM339" s="1"/>
  <c r="DN339" s="1"/>
  <c r="DN330"/>
  <c r="DO330" s="1"/>
  <c r="AQ330" s="1"/>
  <c r="DN241"/>
  <c r="DO241" s="1"/>
  <c r="AQ241" s="1"/>
  <c r="DN228"/>
  <c r="DO228" s="1"/>
  <c r="AQ228" s="1"/>
  <c r="DN224"/>
  <c r="DO224" s="1"/>
  <c r="AQ224" s="1"/>
  <c r="DN230"/>
  <c r="DO230" s="1"/>
  <c r="AQ230" s="1"/>
  <c r="DO338"/>
  <c r="AQ338" s="1"/>
  <c r="DN368"/>
  <c r="DO368" s="1"/>
  <c r="AQ368" s="1"/>
  <c r="DN321"/>
  <c r="DO321" s="1"/>
  <c r="AQ321" s="1"/>
  <c r="DN308"/>
  <c r="DO308" s="1"/>
  <c r="AQ308" s="1"/>
  <c r="DN302"/>
  <c r="DO302" s="1"/>
  <c r="AQ302" s="1"/>
  <c r="DN312"/>
  <c r="DO312" s="1"/>
  <c r="AQ312" s="1"/>
  <c r="DN292"/>
  <c r="DO292" s="1"/>
  <c r="AQ292" s="1"/>
  <c r="DN262"/>
  <c r="DO262" s="1"/>
  <c r="AQ262" s="1"/>
  <c r="DN272"/>
  <c r="DO272" s="1"/>
  <c r="AQ272" s="1"/>
  <c r="DN210"/>
  <c r="DO210" s="1"/>
  <c r="AQ210" s="1"/>
  <c r="DN222"/>
  <c r="DO222" s="1"/>
  <c r="AQ222" s="1"/>
  <c r="DL140"/>
  <c r="DL123"/>
  <c r="DH123"/>
  <c r="DN294"/>
  <c r="DO294" s="1"/>
  <c r="AQ294" s="1"/>
  <c r="DN280"/>
  <c r="DO280" s="1"/>
  <c r="AQ280" s="1"/>
  <c r="DL107"/>
  <c r="DH107"/>
  <c r="DN60"/>
  <c r="DO60" s="1"/>
  <c r="AQ60" s="1"/>
  <c r="DN58"/>
  <c r="DO58" s="1"/>
  <c r="AQ58" s="1"/>
  <c r="DN55"/>
  <c r="DO55" s="1"/>
  <c r="AQ55" s="1"/>
  <c r="DN52"/>
  <c r="DO52" s="1"/>
  <c r="AQ52" s="1"/>
  <c r="DN43"/>
  <c r="DO43" s="1"/>
  <c r="AQ43" s="1"/>
  <c r="DM139"/>
  <c r="DL167"/>
  <c r="DL276"/>
  <c r="DM276" s="1"/>
  <c r="DL223"/>
  <c r="DM223" s="1"/>
  <c r="DM184"/>
  <c r="DL196"/>
  <c r="DM176"/>
  <c r="DH159"/>
  <c r="DH138"/>
  <c r="DL115"/>
  <c r="DM335"/>
  <c r="DM279"/>
  <c r="DM271"/>
  <c r="DM263"/>
  <c r="DM233"/>
  <c r="DM169"/>
  <c r="DL151"/>
  <c r="DL138"/>
  <c r="DL71"/>
  <c r="DH71"/>
  <c r="DH50"/>
  <c r="DM57"/>
  <c r="DN366"/>
  <c r="DO366" s="1"/>
  <c r="AQ366" s="1"/>
  <c r="DO352"/>
  <c r="AQ352" s="1"/>
  <c r="DN316"/>
  <c r="DO316" s="1"/>
  <c r="AQ316" s="1"/>
  <c r="DN288"/>
  <c r="DO288" s="1"/>
  <c r="AQ288" s="1"/>
  <c r="DN310"/>
  <c r="DO310" s="1"/>
  <c r="AQ310" s="1"/>
  <c r="DN378"/>
  <c r="DO378" s="1"/>
  <c r="AQ378" s="1"/>
  <c r="DN362"/>
  <c r="DO362" s="1"/>
  <c r="AQ362" s="1"/>
  <c r="DO346"/>
  <c r="AQ346" s="1"/>
  <c r="DN298"/>
  <c r="DO298" s="1"/>
  <c r="AQ298" s="1"/>
  <c r="DN326"/>
  <c r="DO326" s="1"/>
  <c r="AQ326" s="1"/>
  <c r="DN244"/>
  <c r="DO244" s="1"/>
  <c r="AQ244" s="1"/>
  <c r="DN240"/>
  <c r="DO240" s="1"/>
  <c r="AQ240" s="1"/>
  <c r="DN203"/>
  <c r="DO203" s="1"/>
  <c r="AQ203" s="1"/>
  <c r="DN375"/>
  <c r="DO375" s="1"/>
  <c r="AQ375" s="1"/>
  <c r="DN216"/>
  <c r="DO216" s="1"/>
  <c r="AQ216" s="1"/>
  <c r="DL202"/>
  <c r="DM202" s="1"/>
  <c r="DH202"/>
  <c r="DN324"/>
  <c r="DO324" s="1"/>
  <c r="AQ324" s="1"/>
  <c r="DN238"/>
  <c r="DO238" s="1"/>
  <c r="AQ238" s="1"/>
  <c r="DH171"/>
  <c r="DL171"/>
  <c r="DN54"/>
  <c r="DO54" s="1"/>
  <c r="AQ54" s="1"/>
  <c r="DN47"/>
  <c r="DO47" s="1"/>
  <c r="AQ47" s="1"/>
  <c r="DH317"/>
  <c r="DM369"/>
  <c r="DM331"/>
  <c r="DM307"/>
  <c r="DH325"/>
  <c r="DH301"/>
  <c r="DL211"/>
  <c r="DM211" s="1"/>
  <c r="DL347"/>
  <c r="DM347" s="1"/>
  <c r="DN347" s="1"/>
  <c r="DH321"/>
  <c r="DH309"/>
  <c r="DL297"/>
  <c r="DM297" s="1"/>
  <c r="DL227"/>
  <c r="DM227" s="1"/>
  <c r="DM145"/>
  <c r="DM295"/>
  <c r="DL207"/>
  <c r="DM207" s="1"/>
  <c r="DM229"/>
  <c r="DL143"/>
  <c r="DH82"/>
  <c r="DH67"/>
  <c r="DL81"/>
  <c r="DM66"/>
  <c r="DM48"/>
  <c r="DL46"/>
  <c r="DM46" s="1"/>
  <c r="E298" i="45"/>
  <c r="F298"/>
  <c r="G298"/>
  <c r="H298"/>
  <c r="I298"/>
  <c r="J298"/>
  <c r="K298"/>
  <c r="L298"/>
  <c r="P298"/>
  <c r="Q298"/>
  <c r="R298" s="1"/>
  <c r="E299"/>
  <c r="F299"/>
  <c r="G299"/>
  <c r="H299"/>
  <c r="I299"/>
  <c r="J299"/>
  <c r="K299"/>
  <c r="L299"/>
  <c r="P299"/>
  <c r="Q299"/>
  <c r="R299" s="1"/>
  <c r="E300"/>
  <c r="F300"/>
  <c r="G300"/>
  <c r="H300"/>
  <c r="I300"/>
  <c r="J300"/>
  <c r="K300"/>
  <c r="L300"/>
  <c r="P300"/>
  <c r="Q300"/>
  <c r="R300" s="1"/>
  <c r="E301"/>
  <c r="F301"/>
  <c r="G301"/>
  <c r="H301"/>
  <c r="I301"/>
  <c r="J301"/>
  <c r="K301"/>
  <c r="L301"/>
  <c r="P301"/>
  <c r="Q301"/>
  <c r="R301" s="1"/>
  <c r="E302"/>
  <c r="F302"/>
  <c r="G302"/>
  <c r="H302"/>
  <c r="I302"/>
  <c r="J302"/>
  <c r="K302"/>
  <c r="L302"/>
  <c r="P302"/>
  <c r="Q302"/>
  <c r="R302" s="1"/>
  <c r="E303"/>
  <c r="F303"/>
  <c r="G303"/>
  <c r="H303"/>
  <c r="I303"/>
  <c r="J303"/>
  <c r="K303"/>
  <c r="L303"/>
  <c r="P303"/>
  <c r="Q303"/>
  <c r="R303" s="1"/>
  <c r="E304"/>
  <c r="F304"/>
  <c r="G304"/>
  <c r="H304"/>
  <c r="I304"/>
  <c r="J304"/>
  <c r="K304"/>
  <c r="L304"/>
  <c r="P304"/>
  <c r="Q304"/>
  <c r="R304" s="1"/>
  <c r="E305"/>
  <c r="F305"/>
  <c r="G305"/>
  <c r="H305"/>
  <c r="I305"/>
  <c r="J305"/>
  <c r="K305"/>
  <c r="L305"/>
  <c r="P305"/>
  <c r="Q305"/>
  <c r="R305" s="1"/>
  <c r="E306"/>
  <c r="F306"/>
  <c r="G306"/>
  <c r="H306"/>
  <c r="I306"/>
  <c r="J306"/>
  <c r="K306"/>
  <c r="L306"/>
  <c r="P306"/>
  <c r="Q306"/>
  <c r="R306" s="1"/>
  <c r="E307"/>
  <c r="F307"/>
  <c r="G307"/>
  <c r="H307"/>
  <c r="I307"/>
  <c r="J307"/>
  <c r="K307"/>
  <c r="L307"/>
  <c r="P307"/>
  <c r="Q307"/>
  <c r="R307" s="1"/>
  <c r="E308"/>
  <c r="F308"/>
  <c r="G308"/>
  <c r="H308"/>
  <c r="I308"/>
  <c r="J308"/>
  <c r="K308"/>
  <c r="L308"/>
  <c r="P308"/>
  <c r="Q308"/>
  <c r="R308" s="1"/>
  <c r="E309"/>
  <c r="F309"/>
  <c r="G309"/>
  <c r="H309"/>
  <c r="I309"/>
  <c r="J309"/>
  <c r="K309"/>
  <c r="L309"/>
  <c r="P309"/>
  <c r="Q309"/>
  <c r="R309" s="1"/>
  <c r="E310"/>
  <c r="F310"/>
  <c r="G310"/>
  <c r="H310"/>
  <c r="I310"/>
  <c r="J310"/>
  <c r="K310"/>
  <c r="L310"/>
  <c r="P310"/>
  <c r="Q310"/>
  <c r="R310" s="1"/>
  <c r="E311"/>
  <c r="F311"/>
  <c r="G311"/>
  <c r="H311"/>
  <c r="I311"/>
  <c r="J311"/>
  <c r="K311"/>
  <c r="L311"/>
  <c r="P311"/>
  <c r="Q311"/>
  <c r="R311" s="1"/>
  <c r="E312"/>
  <c r="F312"/>
  <c r="G312"/>
  <c r="H312"/>
  <c r="I312"/>
  <c r="J312"/>
  <c r="K312"/>
  <c r="L312"/>
  <c r="P312"/>
  <c r="Q312"/>
  <c r="R312" s="1"/>
  <c r="E313"/>
  <c r="F313"/>
  <c r="G313"/>
  <c r="H313"/>
  <c r="I313"/>
  <c r="J313"/>
  <c r="K313"/>
  <c r="L313"/>
  <c r="P313"/>
  <c r="Q313"/>
  <c r="R313" s="1"/>
  <c r="E314"/>
  <c r="F314"/>
  <c r="G314"/>
  <c r="H314"/>
  <c r="I314"/>
  <c r="J314"/>
  <c r="K314"/>
  <c r="L314"/>
  <c r="P314"/>
  <c r="Q314"/>
  <c r="R314" s="1"/>
  <c r="E315"/>
  <c r="F315"/>
  <c r="G315"/>
  <c r="H315"/>
  <c r="I315"/>
  <c r="J315"/>
  <c r="K315"/>
  <c r="L315"/>
  <c r="P315"/>
  <c r="Q315"/>
  <c r="R315" s="1"/>
  <c r="E316"/>
  <c r="F316"/>
  <c r="G316"/>
  <c r="H316"/>
  <c r="I316"/>
  <c r="J316"/>
  <c r="K316"/>
  <c r="L316"/>
  <c r="P316"/>
  <c r="Q316"/>
  <c r="R316" s="1"/>
  <c r="E317"/>
  <c r="F317"/>
  <c r="G317"/>
  <c r="H317"/>
  <c r="I317"/>
  <c r="J317"/>
  <c r="K317"/>
  <c r="L317"/>
  <c r="P317"/>
  <c r="Q317"/>
  <c r="R317" s="1"/>
  <c r="E318"/>
  <c r="F318"/>
  <c r="G318"/>
  <c r="H318"/>
  <c r="I318"/>
  <c r="J318"/>
  <c r="K318"/>
  <c r="L318"/>
  <c r="P318"/>
  <c r="Q318"/>
  <c r="R318" s="1"/>
  <c r="E319"/>
  <c r="F319"/>
  <c r="G319"/>
  <c r="H319"/>
  <c r="I319"/>
  <c r="J319"/>
  <c r="K319"/>
  <c r="L319"/>
  <c r="P319"/>
  <c r="Q319"/>
  <c r="R319" s="1"/>
  <c r="E320"/>
  <c r="F320"/>
  <c r="G320"/>
  <c r="H320"/>
  <c r="I320"/>
  <c r="J320"/>
  <c r="K320"/>
  <c r="L320"/>
  <c r="P320"/>
  <c r="Q320"/>
  <c r="R320" s="1"/>
  <c r="E321"/>
  <c r="F321"/>
  <c r="G321"/>
  <c r="H321"/>
  <c r="I321"/>
  <c r="J321"/>
  <c r="K321"/>
  <c r="L321"/>
  <c r="P321"/>
  <c r="Q321"/>
  <c r="R321" s="1"/>
  <c r="E322"/>
  <c r="F322"/>
  <c r="G322"/>
  <c r="H322"/>
  <c r="I322"/>
  <c r="J322"/>
  <c r="K322"/>
  <c r="L322"/>
  <c r="P322"/>
  <c r="Q322"/>
  <c r="R322" s="1"/>
  <c r="E323"/>
  <c r="F323"/>
  <c r="G323"/>
  <c r="H323"/>
  <c r="I323"/>
  <c r="J323"/>
  <c r="K323"/>
  <c r="L323"/>
  <c r="P323"/>
  <c r="Q323"/>
  <c r="R323" s="1"/>
  <c r="E324"/>
  <c r="F324"/>
  <c r="G324"/>
  <c r="H324"/>
  <c r="I324"/>
  <c r="J324"/>
  <c r="K324"/>
  <c r="L324"/>
  <c r="P324"/>
  <c r="Q324"/>
  <c r="R324" s="1"/>
  <c r="E325"/>
  <c r="F325"/>
  <c r="G325"/>
  <c r="H325"/>
  <c r="I325"/>
  <c r="J325"/>
  <c r="K325"/>
  <c r="L325"/>
  <c r="P325"/>
  <c r="Q325"/>
  <c r="R325" s="1"/>
  <c r="E326"/>
  <c r="F326"/>
  <c r="G326"/>
  <c r="H326"/>
  <c r="I326"/>
  <c r="J326"/>
  <c r="K326"/>
  <c r="L326"/>
  <c r="P326"/>
  <c r="Q326"/>
  <c r="R326" s="1"/>
  <c r="E327"/>
  <c r="F327"/>
  <c r="G327"/>
  <c r="H327"/>
  <c r="I327"/>
  <c r="J327"/>
  <c r="K327"/>
  <c r="L327"/>
  <c r="P327"/>
  <c r="Q327"/>
  <c r="R327" s="1"/>
  <c r="E328"/>
  <c r="F328"/>
  <c r="G328"/>
  <c r="H328"/>
  <c r="I328"/>
  <c r="J328"/>
  <c r="K328"/>
  <c r="L328"/>
  <c r="P328"/>
  <c r="Q328"/>
  <c r="R328" s="1"/>
  <c r="E329"/>
  <c r="F329"/>
  <c r="G329"/>
  <c r="H329"/>
  <c r="I329"/>
  <c r="J329"/>
  <c r="K329"/>
  <c r="L329"/>
  <c r="P329"/>
  <c r="Q329"/>
  <c r="R329" s="1"/>
  <c r="E330"/>
  <c r="F330"/>
  <c r="G330"/>
  <c r="H330"/>
  <c r="I330"/>
  <c r="J330"/>
  <c r="K330"/>
  <c r="L330"/>
  <c r="P330"/>
  <c r="Q330"/>
  <c r="R330" s="1"/>
  <c r="E331"/>
  <c r="F331"/>
  <c r="G331"/>
  <c r="H331"/>
  <c r="I331"/>
  <c r="J331"/>
  <c r="K331"/>
  <c r="L331"/>
  <c r="P331"/>
  <c r="Q331"/>
  <c r="R331" s="1"/>
  <c r="E332"/>
  <c r="F332"/>
  <c r="G332"/>
  <c r="H332"/>
  <c r="I332"/>
  <c r="J332"/>
  <c r="K332"/>
  <c r="L332"/>
  <c r="P332"/>
  <c r="Q332"/>
  <c r="R332" s="1"/>
  <c r="E333"/>
  <c r="F333"/>
  <c r="G333"/>
  <c r="H333"/>
  <c r="I333"/>
  <c r="J333"/>
  <c r="K333"/>
  <c r="L333"/>
  <c r="P333"/>
  <c r="Q333"/>
  <c r="R333" s="1"/>
  <c r="E334"/>
  <c r="F334"/>
  <c r="G334"/>
  <c r="H334"/>
  <c r="I334"/>
  <c r="J334"/>
  <c r="K334"/>
  <c r="L334"/>
  <c r="P334"/>
  <c r="Q334"/>
  <c r="R334" s="1"/>
  <c r="E335"/>
  <c r="F335"/>
  <c r="G335"/>
  <c r="H335"/>
  <c r="I335"/>
  <c r="J335"/>
  <c r="K335"/>
  <c r="L335"/>
  <c r="P335"/>
  <c r="Q335"/>
  <c r="R335" s="1"/>
  <c r="E336"/>
  <c r="F336"/>
  <c r="G336"/>
  <c r="H336"/>
  <c r="I336"/>
  <c r="J336"/>
  <c r="K336"/>
  <c r="L336"/>
  <c r="P336"/>
  <c r="Q336"/>
  <c r="R336" s="1"/>
  <c r="E337"/>
  <c r="F337"/>
  <c r="G337"/>
  <c r="H337"/>
  <c r="I337"/>
  <c r="J337"/>
  <c r="K337"/>
  <c r="L337"/>
  <c r="P337"/>
  <c r="Q337"/>
  <c r="R337" s="1"/>
  <c r="E338"/>
  <c r="F338"/>
  <c r="G338"/>
  <c r="H338"/>
  <c r="I338"/>
  <c r="J338"/>
  <c r="K338"/>
  <c r="L338"/>
  <c r="P338"/>
  <c r="Q338"/>
  <c r="R338" s="1"/>
  <c r="E339"/>
  <c r="F339"/>
  <c r="G339"/>
  <c r="H339"/>
  <c r="I339"/>
  <c r="J339"/>
  <c r="K339"/>
  <c r="L339"/>
  <c r="P339"/>
  <c r="Q339"/>
  <c r="R339" s="1"/>
  <c r="E340"/>
  <c r="F340"/>
  <c r="G340"/>
  <c r="H340"/>
  <c r="I340"/>
  <c r="J340"/>
  <c r="K340"/>
  <c r="L340"/>
  <c r="P340"/>
  <c r="Q340"/>
  <c r="R340" s="1"/>
  <c r="E341"/>
  <c r="F341"/>
  <c r="G341"/>
  <c r="H341"/>
  <c r="I341"/>
  <c r="J341"/>
  <c r="K341"/>
  <c r="L341"/>
  <c r="P341"/>
  <c r="Q341"/>
  <c r="R341" s="1"/>
  <c r="E342"/>
  <c r="F342"/>
  <c r="G342"/>
  <c r="H342"/>
  <c r="I342"/>
  <c r="J342"/>
  <c r="K342"/>
  <c r="L342"/>
  <c r="P342"/>
  <c r="Q342"/>
  <c r="R342" s="1"/>
  <c r="E343"/>
  <c r="F343"/>
  <c r="G343"/>
  <c r="H343"/>
  <c r="I343"/>
  <c r="J343"/>
  <c r="K343"/>
  <c r="L343"/>
  <c r="P343"/>
  <c r="Q343"/>
  <c r="R343" s="1"/>
  <c r="E344"/>
  <c r="F344"/>
  <c r="G344"/>
  <c r="H344"/>
  <c r="I344"/>
  <c r="J344"/>
  <c r="K344"/>
  <c r="L344"/>
  <c r="P344"/>
  <c r="Q344"/>
  <c r="R344" s="1"/>
  <c r="E345"/>
  <c r="F345"/>
  <c r="G345"/>
  <c r="H345"/>
  <c r="I345"/>
  <c r="J345"/>
  <c r="K345"/>
  <c r="L345"/>
  <c r="P345"/>
  <c r="Q345"/>
  <c r="R345" s="1"/>
  <c r="E346"/>
  <c r="F346"/>
  <c r="G346"/>
  <c r="H346"/>
  <c r="I346"/>
  <c r="J346"/>
  <c r="K346"/>
  <c r="L346"/>
  <c r="P346"/>
  <c r="Q346"/>
  <c r="R346" s="1"/>
  <c r="E347"/>
  <c r="F347"/>
  <c r="G347"/>
  <c r="H347"/>
  <c r="I347"/>
  <c r="J347"/>
  <c r="K347"/>
  <c r="L347"/>
  <c r="P347"/>
  <c r="Q347"/>
  <c r="R347" s="1"/>
  <c r="E348"/>
  <c r="F348"/>
  <c r="G348"/>
  <c r="H348"/>
  <c r="I348"/>
  <c r="J348"/>
  <c r="K348"/>
  <c r="L348"/>
  <c r="P348"/>
  <c r="Q348"/>
  <c r="R348" s="1"/>
  <c r="E349"/>
  <c r="F349"/>
  <c r="G349"/>
  <c r="H349"/>
  <c r="I349"/>
  <c r="J349"/>
  <c r="K349"/>
  <c r="L349"/>
  <c r="P349"/>
  <c r="Q349"/>
  <c r="R349" s="1"/>
  <c r="E350"/>
  <c r="F350"/>
  <c r="G350"/>
  <c r="H350"/>
  <c r="I350"/>
  <c r="J350"/>
  <c r="K350"/>
  <c r="L350"/>
  <c r="P350"/>
  <c r="Q350"/>
  <c r="R350" s="1"/>
  <c r="E351"/>
  <c r="F351"/>
  <c r="G351"/>
  <c r="H351"/>
  <c r="I351"/>
  <c r="J351"/>
  <c r="K351"/>
  <c r="L351"/>
  <c r="P351"/>
  <c r="Q351"/>
  <c r="R351" s="1"/>
  <c r="E352"/>
  <c r="F352"/>
  <c r="G352"/>
  <c r="H352"/>
  <c r="I352"/>
  <c r="J352"/>
  <c r="K352"/>
  <c r="L352"/>
  <c r="P352"/>
  <c r="Q352"/>
  <c r="R352" s="1"/>
  <c r="E353"/>
  <c r="F353"/>
  <c r="G353"/>
  <c r="H353"/>
  <c r="I353"/>
  <c r="J353"/>
  <c r="K353"/>
  <c r="L353"/>
  <c r="P353"/>
  <c r="Q353"/>
  <c r="R353" s="1"/>
  <c r="E354"/>
  <c r="F354"/>
  <c r="G354"/>
  <c r="H354"/>
  <c r="I354"/>
  <c r="J354"/>
  <c r="K354"/>
  <c r="L354"/>
  <c r="P354"/>
  <c r="Q354"/>
  <c r="R354" s="1"/>
  <c r="E355"/>
  <c r="F355"/>
  <c r="G355"/>
  <c r="H355"/>
  <c r="I355"/>
  <c r="J355"/>
  <c r="K355"/>
  <c r="L355"/>
  <c r="P355"/>
  <c r="Q355"/>
  <c r="R355" s="1"/>
  <c r="E356"/>
  <c r="F356"/>
  <c r="G356"/>
  <c r="H356"/>
  <c r="I356"/>
  <c r="J356"/>
  <c r="K356"/>
  <c r="L356"/>
  <c r="P356"/>
  <c r="Q356"/>
  <c r="R356" s="1"/>
  <c r="E357"/>
  <c r="F357"/>
  <c r="G357"/>
  <c r="H357"/>
  <c r="I357"/>
  <c r="J357"/>
  <c r="K357"/>
  <c r="L357"/>
  <c r="P357"/>
  <c r="Q357"/>
  <c r="R357" s="1"/>
  <c r="E358"/>
  <c r="F358"/>
  <c r="G358"/>
  <c r="H358"/>
  <c r="I358"/>
  <c r="J358"/>
  <c r="K358"/>
  <c r="L358"/>
  <c r="P358"/>
  <c r="Q358"/>
  <c r="R358" s="1"/>
  <c r="E359"/>
  <c r="F359"/>
  <c r="G359"/>
  <c r="H359"/>
  <c r="I359"/>
  <c r="J359"/>
  <c r="K359"/>
  <c r="L359"/>
  <c r="P359"/>
  <c r="Q359"/>
  <c r="R359" s="1"/>
  <c r="E360"/>
  <c r="F360"/>
  <c r="G360"/>
  <c r="H360"/>
  <c r="I360"/>
  <c r="J360"/>
  <c r="K360"/>
  <c r="L360"/>
  <c r="P360"/>
  <c r="Q360"/>
  <c r="R360" s="1"/>
  <c r="E361"/>
  <c r="F361"/>
  <c r="G361"/>
  <c r="H361"/>
  <c r="I361"/>
  <c r="J361"/>
  <c r="K361"/>
  <c r="L361"/>
  <c r="P361"/>
  <c r="Q361"/>
  <c r="R361" s="1"/>
  <c r="E362"/>
  <c r="F362"/>
  <c r="G362"/>
  <c r="H362"/>
  <c r="I362"/>
  <c r="J362"/>
  <c r="K362"/>
  <c r="L362"/>
  <c r="P362"/>
  <c r="Q362"/>
  <c r="R362" s="1"/>
  <c r="E363"/>
  <c r="F363"/>
  <c r="G363"/>
  <c r="H363"/>
  <c r="I363"/>
  <c r="J363"/>
  <c r="K363"/>
  <c r="L363"/>
  <c r="P363"/>
  <c r="Q363"/>
  <c r="R363" s="1"/>
  <c r="E364"/>
  <c r="F364"/>
  <c r="G364"/>
  <c r="H364"/>
  <c r="I364"/>
  <c r="J364"/>
  <c r="K364"/>
  <c r="L364"/>
  <c r="P364"/>
  <c r="Q364"/>
  <c r="R364" s="1"/>
  <c r="E365"/>
  <c r="F365"/>
  <c r="G365"/>
  <c r="H365"/>
  <c r="I365"/>
  <c r="J365"/>
  <c r="K365"/>
  <c r="L365"/>
  <c r="P365"/>
  <c r="Q365"/>
  <c r="R365" s="1"/>
  <c r="E366"/>
  <c r="F366"/>
  <c r="G366"/>
  <c r="H366"/>
  <c r="I366"/>
  <c r="J366"/>
  <c r="K366"/>
  <c r="L366"/>
  <c r="P366"/>
  <c r="Q366"/>
  <c r="R366" s="1"/>
  <c r="E367"/>
  <c r="F367"/>
  <c r="G367"/>
  <c r="H367"/>
  <c r="I367"/>
  <c r="J367"/>
  <c r="K367"/>
  <c r="L367"/>
  <c r="P367"/>
  <c r="Q367"/>
  <c r="R367" s="1"/>
  <c r="E368"/>
  <c r="F368"/>
  <c r="G368"/>
  <c r="H368"/>
  <c r="I368"/>
  <c r="J368"/>
  <c r="K368"/>
  <c r="L368"/>
  <c r="P368"/>
  <c r="Q368"/>
  <c r="R368" s="1"/>
  <c r="E369"/>
  <c r="F369"/>
  <c r="G369"/>
  <c r="H369"/>
  <c r="I369"/>
  <c r="J369"/>
  <c r="K369"/>
  <c r="L369"/>
  <c r="P369"/>
  <c r="Q369"/>
  <c r="R369" s="1"/>
  <c r="E370"/>
  <c r="F370"/>
  <c r="G370"/>
  <c r="H370"/>
  <c r="I370"/>
  <c r="J370"/>
  <c r="K370"/>
  <c r="L370"/>
  <c r="P370"/>
  <c r="Q370"/>
  <c r="R370" s="1"/>
  <c r="E371"/>
  <c r="F371"/>
  <c r="G371"/>
  <c r="H371"/>
  <c r="I371"/>
  <c r="J371"/>
  <c r="K371"/>
  <c r="L371"/>
  <c r="P371"/>
  <c r="Q371"/>
  <c r="R371" s="1"/>
  <c r="E372"/>
  <c r="F372"/>
  <c r="G372"/>
  <c r="H372"/>
  <c r="I372"/>
  <c r="J372"/>
  <c r="K372"/>
  <c r="L372"/>
  <c r="P372"/>
  <c r="Q372"/>
  <c r="R372" s="1"/>
  <c r="E373"/>
  <c r="F373"/>
  <c r="G373"/>
  <c r="H373"/>
  <c r="I373"/>
  <c r="J373"/>
  <c r="K373"/>
  <c r="L373"/>
  <c r="P373"/>
  <c r="Q373"/>
  <c r="R373" s="1"/>
  <c r="E374"/>
  <c r="F374"/>
  <c r="G374"/>
  <c r="H374"/>
  <c r="I374"/>
  <c r="J374"/>
  <c r="K374"/>
  <c r="L374"/>
  <c r="P374"/>
  <c r="Q374"/>
  <c r="R374" s="1"/>
  <c r="E375"/>
  <c r="F375"/>
  <c r="G375"/>
  <c r="H375"/>
  <c r="I375"/>
  <c r="J375"/>
  <c r="K375"/>
  <c r="L375"/>
  <c r="P375"/>
  <c r="Q375"/>
  <c r="R375" s="1"/>
  <c r="E376"/>
  <c r="F376"/>
  <c r="G376"/>
  <c r="H376"/>
  <c r="I376"/>
  <c r="J376"/>
  <c r="K376"/>
  <c r="L376"/>
  <c r="P376"/>
  <c r="Q376"/>
  <c r="R376" s="1"/>
  <c r="E377"/>
  <c r="F377"/>
  <c r="G377"/>
  <c r="H377"/>
  <c r="I377"/>
  <c r="J377"/>
  <c r="K377"/>
  <c r="L377"/>
  <c r="P377"/>
  <c r="Q377"/>
  <c r="R377" s="1"/>
  <c r="E378"/>
  <c r="F378"/>
  <c r="G378"/>
  <c r="H378"/>
  <c r="I378"/>
  <c r="J378"/>
  <c r="K378"/>
  <c r="L378"/>
  <c r="P378"/>
  <c r="Q378"/>
  <c r="R378" s="1"/>
  <c r="E379"/>
  <c r="F379"/>
  <c r="G379"/>
  <c r="H379"/>
  <c r="I379"/>
  <c r="J379"/>
  <c r="K379"/>
  <c r="L379"/>
  <c r="M379"/>
  <c r="N379"/>
  <c r="P379"/>
  <c r="Q379"/>
  <c r="R379" s="1"/>
  <c r="AF379"/>
  <c r="C380"/>
  <c r="U380"/>
  <c r="E380"/>
  <c r="F380"/>
  <c r="G380"/>
  <c r="H380"/>
  <c r="I380"/>
  <c r="J380"/>
  <c r="K380"/>
  <c r="L380"/>
  <c r="M380"/>
  <c r="N380"/>
  <c r="P380"/>
  <c r="Q380"/>
  <c r="V380"/>
  <c r="AF380"/>
  <c r="C381"/>
  <c r="U381"/>
  <c r="E381"/>
  <c r="F381"/>
  <c r="G381"/>
  <c r="H381"/>
  <c r="I381"/>
  <c r="J381"/>
  <c r="K381"/>
  <c r="L381"/>
  <c r="M381"/>
  <c r="N381"/>
  <c r="P381"/>
  <c r="Q381"/>
  <c r="V381"/>
  <c r="AF381"/>
  <c r="C382"/>
  <c r="U382"/>
  <c r="E382"/>
  <c r="F382"/>
  <c r="G382"/>
  <c r="H382"/>
  <c r="I382"/>
  <c r="J382"/>
  <c r="K382"/>
  <c r="L382"/>
  <c r="M382"/>
  <c r="N382"/>
  <c r="P382"/>
  <c r="Q382"/>
  <c r="V382"/>
  <c r="AF382"/>
  <c r="C383"/>
  <c r="U383"/>
  <c r="E383"/>
  <c r="F383"/>
  <c r="G383"/>
  <c r="H383"/>
  <c r="I383"/>
  <c r="J383"/>
  <c r="K383"/>
  <c r="L383"/>
  <c r="M383"/>
  <c r="N383"/>
  <c r="P383"/>
  <c r="Q383"/>
  <c r="V383"/>
  <c r="AF383"/>
  <c r="C384"/>
  <c r="U384"/>
  <c r="E384"/>
  <c r="F384"/>
  <c r="G384"/>
  <c r="H384"/>
  <c r="I384"/>
  <c r="J384"/>
  <c r="K384"/>
  <c r="L384"/>
  <c r="M384"/>
  <c r="N384"/>
  <c r="P384"/>
  <c r="Q384"/>
  <c r="V384"/>
  <c r="AF384"/>
  <c r="E155"/>
  <c r="F155"/>
  <c r="G155"/>
  <c r="H155"/>
  <c r="I155"/>
  <c r="J155"/>
  <c r="K155"/>
  <c r="L155"/>
  <c r="O155"/>
  <c r="P155"/>
  <c r="R155"/>
  <c r="E156"/>
  <c r="F156"/>
  <c r="G156"/>
  <c r="H156"/>
  <c r="I156"/>
  <c r="J156"/>
  <c r="K156"/>
  <c r="L156"/>
  <c r="O156"/>
  <c r="P156"/>
  <c r="R156"/>
  <c r="E157"/>
  <c r="F157"/>
  <c r="G157"/>
  <c r="H157"/>
  <c r="I157"/>
  <c r="J157"/>
  <c r="K157"/>
  <c r="L157"/>
  <c r="O157"/>
  <c r="P157"/>
  <c r="R157"/>
  <c r="E158"/>
  <c r="F158"/>
  <c r="G158"/>
  <c r="H158"/>
  <c r="I158"/>
  <c r="J158"/>
  <c r="K158"/>
  <c r="L158"/>
  <c r="O158"/>
  <c r="P158"/>
  <c r="R158"/>
  <c r="E159"/>
  <c r="F159"/>
  <c r="G159"/>
  <c r="H159"/>
  <c r="I159"/>
  <c r="J159"/>
  <c r="K159"/>
  <c r="L159"/>
  <c r="O159"/>
  <c r="P159"/>
  <c r="R159"/>
  <c r="E160"/>
  <c r="F160"/>
  <c r="G160"/>
  <c r="H160"/>
  <c r="I160"/>
  <c r="J160"/>
  <c r="K160"/>
  <c r="L160"/>
  <c r="O160"/>
  <c r="P160"/>
  <c r="R160"/>
  <c r="E161"/>
  <c r="F161"/>
  <c r="G161"/>
  <c r="H161"/>
  <c r="I161"/>
  <c r="J161"/>
  <c r="K161"/>
  <c r="L161"/>
  <c r="O161"/>
  <c r="P161"/>
  <c r="R161"/>
  <c r="E162"/>
  <c r="F162"/>
  <c r="G162"/>
  <c r="H162"/>
  <c r="I162"/>
  <c r="J162"/>
  <c r="K162"/>
  <c r="L162"/>
  <c r="O162"/>
  <c r="P162"/>
  <c r="Q162"/>
  <c r="R162" s="1"/>
  <c r="E163"/>
  <c r="F163"/>
  <c r="G163"/>
  <c r="H163"/>
  <c r="I163"/>
  <c r="J163"/>
  <c r="K163"/>
  <c r="L163"/>
  <c r="O163"/>
  <c r="P163"/>
  <c r="Q163"/>
  <c r="R163" s="1"/>
  <c r="E164"/>
  <c r="F164"/>
  <c r="G164"/>
  <c r="H164"/>
  <c r="I164"/>
  <c r="J164"/>
  <c r="K164"/>
  <c r="L164"/>
  <c r="O164"/>
  <c r="P164"/>
  <c r="Q164"/>
  <c r="R164" s="1"/>
  <c r="E165"/>
  <c r="F165"/>
  <c r="G165"/>
  <c r="H165"/>
  <c r="I165"/>
  <c r="J165"/>
  <c r="K165"/>
  <c r="L165"/>
  <c r="O165"/>
  <c r="P165"/>
  <c r="R165"/>
  <c r="E166"/>
  <c r="F166"/>
  <c r="G166"/>
  <c r="H166"/>
  <c r="I166"/>
  <c r="J166"/>
  <c r="K166"/>
  <c r="L166"/>
  <c r="O166"/>
  <c r="P166"/>
  <c r="Q166"/>
  <c r="R166" s="1"/>
  <c r="E167"/>
  <c r="F167"/>
  <c r="G167"/>
  <c r="H167"/>
  <c r="I167"/>
  <c r="J167"/>
  <c r="K167"/>
  <c r="L167"/>
  <c r="O167"/>
  <c r="P167"/>
  <c r="Q167"/>
  <c r="R167" s="1"/>
  <c r="E168"/>
  <c r="F168"/>
  <c r="G168"/>
  <c r="H168"/>
  <c r="I168"/>
  <c r="J168"/>
  <c r="K168"/>
  <c r="L168"/>
  <c r="O168"/>
  <c r="P168"/>
  <c r="Q168"/>
  <c r="R168" s="1"/>
  <c r="E169"/>
  <c r="F169"/>
  <c r="G169"/>
  <c r="H169"/>
  <c r="I169"/>
  <c r="J169"/>
  <c r="K169"/>
  <c r="L169"/>
  <c r="O169"/>
  <c r="P169"/>
  <c r="Q169"/>
  <c r="R169" s="1"/>
  <c r="E170"/>
  <c r="F170"/>
  <c r="G170"/>
  <c r="H170"/>
  <c r="I170"/>
  <c r="J170"/>
  <c r="K170"/>
  <c r="L170"/>
  <c r="O170"/>
  <c r="P170"/>
  <c r="Q170"/>
  <c r="R170" s="1"/>
  <c r="E171"/>
  <c r="F171"/>
  <c r="G171"/>
  <c r="H171"/>
  <c r="I171"/>
  <c r="J171"/>
  <c r="K171"/>
  <c r="L171"/>
  <c r="O171"/>
  <c r="P171"/>
  <c r="Q171"/>
  <c r="R171" s="1"/>
  <c r="E172"/>
  <c r="F172"/>
  <c r="G172"/>
  <c r="H172"/>
  <c r="I172"/>
  <c r="J172"/>
  <c r="K172"/>
  <c r="L172"/>
  <c r="O172"/>
  <c r="P172"/>
  <c r="Q172"/>
  <c r="R172" s="1"/>
  <c r="E173"/>
  <c r="F173"/>
  <c r="G173"/>
  <c r="H173"/>
  <c r="I173"/>
  <c r="J173"/>
  <c r="K173"/>
  <c r="L173"/>
  <c r="O173"/>
  <c r="P173"/>
  <c r="Q173"/>
  <c r="R173" s="1"/>
  <c r="E174"/>
  <c r="F174"/>
  <c r="G174"/>
  <c r="H174"/>
  <c r="I174"/>
  <c r="J174"/>
  <c r="K174"/>
  <c r="L174"/>
  <c r="O174"/>
  <c r="P174"/>
  <c r="Q174"/>
  <c r="R174" s="1"/>
  <c r="E175"/>
  <c r="F175"/>
  <c r="G175"/>
  <c r="H175"/>
  <c r="I175"/>
  <c r="J175"/>
  <c r="K175"/>
  <c r="L175"/>
  <c r="O175"/>
  <c r="P175"/>
  <c r="Q175"/>
  <c r="R175" s="1"/>
  <c r="E176"/>
  <c r="F176"/>
  <c r="G176"/>
  <c r="H176"/>
  <c r="I176"/>
  <c r="J176"/>
  <c r="K176"/>
  <c r="L176"/>
  <c r="O176"/>
  <c r="P176"/>
  <c r="Q176"/>
  <c r="R176" s="1"/>
  <c r="E177"/>
  <c r="F177"/>
  <c r="G177"/>
  <c r="H177"/>
  <c r="I177"/>
  <c r="J177"/>
  <c r="K177"/>
  <c r="L177"/>
  <c r="O177"/>
  <c r="P177"/>
  <c r="Q177"/>
  <c r="R177" s="1"/>
  <c r="E178"/>
  <c r="F178"/>
  <c r="G178"/>
  <c r="H178"/>
  <c r="I178"/>
  <c r="J178"/>
  <c r="K178"/>
  <c r="L178"/>
  <c r="O178"/>
  <c r="P178"/>
  <c r="Q178"/>
  <c r="R178" s="1"/>
  <c r="E179"/>
  <c r="F179"/>
  <c r="G179"/>
  <c r="H179"/>
  <c r="I179"/>
  <c r="J179"/>
  <c r="K179"/>
  <c r="L179"/>
  <c r="O179"/>
  <c r="P179"/>
  <c r="Q179"/>
  <c r="R179" s="1"/>
  <c r="E180"/>
  <c r="F180"/>
  <c r="G180"/>
  <c r="H180"/>
  <c r="I180"/>
  <c r="J180"/>
  <c r="K180"/>
  <c r="L180"/>
  <c r="O180"/>
  <c r="P180"/>
  <c r="Q180"/>
  <c r="R180" s="1"/>
  <c r="E181"/>
  <c r="F181"/>
  <c r="G181"/>
  <c r="H181"/>
  <c r="I181"/>
  <c r="J181"/>
  <c r="K181"/>
  <c r="L181"/>
  <c r="O181"/>
  <c r="P181"/>
  <c r="Q181"/>
  <c r="R181" s="1"/>
  <c r="E182"/>
  <c r="F182"/>
  <c r="G182"/>
  <c r="H182"/>
  <c r="I182"/>
  <c r="J182"/>
  <c r="K182"/>
  <c r="L182"/>
  <c r="O182"/>
  <c r="P182"/>
  <c r="Q182"/>
  <c r="R182" s="1"/>
  <c r="E183"/>
  <c r="F183"/>
  <c r="G183"/>
  <c r="H183"/>
  <c r="I183"/>
  <c r="J183"/>
  <c r="K183"/>
  <c r="L183"/>
  <c r="O183"/>
  <c r="P183"/>
  <c r="Q183"/>
  <c r="R183" s="1"/>
  <c r="E184"/>
  <c r="F184"/>
  <c r="G184"/>
  <c r="H184"/>
  <c r="I184"/>
  <c r="J184"/>
  <c r="K184"/>
  <c r="L184"/>
  <c r="O184"/>
  <c r="P184"/>
  <c r="Q184"/>
  <c r="R184" s="1"/>
  <c r="E185"/>
  <c r="F185"/>
  <c r="G185"/>
  <c r="H185"/>
  <c r="I185"/>
  <c r="J185"/>
  <c r="K185"/>
  <c r="L185"/>
  <c r="O185"/>
  <c r="P185"/>
  <c r="Q185"/>
  <c r="R185" s="1"/>
  <c r="E186"/>
  <c r="F186"/>
  <c r="G186"/>
  <c r="H186"/>
  <c r="I186"/>
  <c r="J186"/>
  <c r="K186"/>
  <c r="L186"/>
  <c r="O186"/>
  <c r="P186"/>
  <c r="Q186"/>
  <c r="R186" s="1"/>
  <c r="E187"/>
  <c r="F187"/>
  <c r="G187"/>
  <c r="H187"/>
  <c r="I187"/>
  <c r="J187"/>
  <c r="K187"/>
  <c r="L187"/>
  <c r="O187"/>
  <c r="P187"/>
  <c r="Q187"/>
  <c r="R187" s="1"/>
  <c r="E188"/>
  <c r="F188"/>
  <c r="G188"/>
  <c r="H188"/>
  <c r="I188"/>
  <c r="J188"/>
  <c r="K188"/>
  <c r="L188"/>
  <c r="O188"/>
  <c r="P188"/>
  <c r="Q188"/>
  <c r="R188" s="1"/>
  <c r="E189"/>
  <c r="F189"/>
  <c r="G189"/>
  <c r="H189"/>
  <c r="I189"/>
  <c r="J189"/>
  <c r="K189"/>
  <c r="L189"/>
  <c r="O189"/>
  <c r="P189"/>
  <c r="Q189"/>
  <c r="R189" s="1"/>
  <c r="E190"/>
  <c r="F190"/>
  <c r="G190"/>
  <c r="H190"/>
  <c r="I190"/>
  <c r="J190"/>
  <c r="K190"/>
  <c r="L190"/>
  <c r="O190"/>
  <c r="P190"/>
  <c r="Q190"/>
  <c r="R190" s="1"/>
  <c r="E191"/>
  <c r="F191"/>
  <c r="G191"/>
  <c r="H191"/>
  <c r="I191"/>
  <c r="J191"/>
  <c r="K191"/>
  <c r="L191"/>
  <c r="O191"/>
  <c r="P191"/>
  <c r="Q191"/>
  <c r="R191" s="1"/>
  <c r="E192"/>
  <c r="F192"/>
  <c r="G192"/>
  <c r="H192"/>
  <c r="I192"/>
  <c r="J192"/>
  <c r="K192"/>
  <c r="L192"/>
  <c r="O192"/>
  <c r="P192"/>
  <c r="Q192"/>
  <c r="R192" s="1"/>
  <c r="E193"/>
  <c r="F193"/>
  <c r="G193"/>
  <c r="H193"/>
  <c r="I193"/>
  <c r="J193"/>
  <c r="K193"/>
  <c r="L193"/>
  <c r="O193"/>
  <c r="P193"/>
  <c r="Q193"/>
  <c r="R193" s="1"/>
  <c r="E194"/>
  <c r="F194"/>
  <c r="G194"/>
  <c r="H194"/>
  <c r="I194"/>
  <c r="J194"/>
  <c r="K194"/>
  <c r="L194"/>
  <c r="O194"/>
  <c r="P194"/>
  <c r="Q194"/>
  <c r="R194" s="1"/>
  <c r="E195"/>
  <c r="F195"/>
  <c r="G195"/>
  <c r="H195"/>
  <c r="I195"/>
  <c r="J195"/>
  <c r="K195"/>
  <c r="L195"/>
  <c r="O195"/>
  <c r="P195"/>
  <c r="Q195"/>
  <c r="R195" s="1"/>
  <c r="E196"/>
  <c r="F196"/>
  <c r="G196"/>
  <c r="H196"/>
  <c r="I196"/>
  <c r="J196"/>
  <c r="K196"/>
  <c r="L196"/>
  <c r="O196"/>
  <c r="P196"/>
  <c r="Q196"/>
  <c r="R196" s="1"/>
  <c r="E197"/>
  <c r="F197"/>
  <c r="G197"/>
  <c r="H197"/>
  <c r="I197"/>
  <c r="J197"/>
  <c r="K197"/>
  <c r="L197"/>
  <c r="O197"/>
  <c r="P197"/>
  <c r="Q197"/>
  <c r="R197" s="1"/>
  <c r="E198"/>
  <c r="F198"/>
  <c r="G198"/>
  <c r="H198"/>
  <c r="I198"/>
  <c r="J198"/>
  <c r="K198"/>
  <c r="L198"/>
  <c r="O198"/>
  <c r="P198"/>
  <c r="Q198"/>
  <c r="R198" s="1"/>
  <c r="E199"/>
  <c r="F199"/>
  <c r="G199"/>
  <c r="H199"/>
  <c r="I199"/>
  <c r="J199"/>
  <c r="K199"/>
  <c r="L199"/>
  <c r="O199"/>
  <c r="P199"/>
  <c r="Q199"/>
  <c r="R199" s="1"/>
  <c r="E200"/>
  <c r="F200"/>
  <c r="G200"/>
  <c r="H200"/>
  <c r="I200"/>
  <c r="J200"/>
  <c r="K200"/>
  <c r="L200"/>
  <c r="O200"/>
  <c r="P200"/>
  <c r="Q200"/>
  <c r="R200" s="1"/>
  <c r="E201"/>
  <c r="F201"/>
  <c r="G201"/>
  <c r="H201"/>
  <c r="I201"/>
  <c r="J201"/>
  <c r="K201"/>
  <c r="L201"/>
  <c r="O201"/>
  <c r="P201"/>
  <c r="Q201"/>
  <c r="R201" s="1"/>
  <c r="E202"/>
  <c r="F202"/>
  <c r="G202"/>
  <c r="H202"/>
  <c r="I202"/>
  <c r="J202"/>
  <c r="K202"/>
  <c r="L202"/>
  <c r="O202"/>
  <c r="P202"/>
  <c r="Q202"/>
  <c r="R202" s="1"/>
  <c r="E203"/>
  <c r="F203"/>
  <c r="G203"/>
  <c r="H203"/>
  <c r="I203"/>
  <c r="J203"/>
  <c r="K203"/>
  <c r="L203"/>
  <c r="O203"/>
  <c r="P203"/>
  <c r="Q203"/>
  <c r="R203" s="1"/>
  <c r="E204"/>
  <c r="F204"/>
  <c r="G204"/>
  <c r="H204"/>
  <c r="I204"/>
  <c r="J204"/>
  <c r="K204"/>
  <c r="L204"/>
  <c r="O204"/>
  <c r="P204"/>
  <c r="Q204"/>
  <c r="R204" s="1"/>
  <c r="E205"/>
  <c r="F205"/>
  <c r="G205"/>
  <c r="H205"/>
  <c r="I205"/>
  <c r="J205"/>
  <c r="K205"/>
  <c r="L205"/>
  <c r="O205"/>
  <c r="P205"/>
  <c r="Q205"/>
  <c r="R205" s="1"/>
  <c r="E206"/>
  <c r="F206"/>
  <c r="G206"/>
  <c r="H206"/>
  <c r="I206"/>
  <c r="J206"/>
  <c r="K206"/>
  <c r="L206"/>
  <c r="O206"/>
  <c r="P206"/>
  <c r="Q206"/>
  <c r="R206" s="1"/>
  <c r="E207"/>
  <c r="F207"/>
  <c r="G207"/>
  <c r="H207"/>
  <c r="I207"/>
  <c r="J207"/>
  <c r="K207"/>
  <c r="L207"/>
  <c r="O207"/>
  <c r="P207"/>
  <c r="Q207"/>
  <c r="R207" s="1"/>
  <c r="E208"/>
  <c r="F208"/>
  <c r="G208"/>
  <c r="H208"/>
  <c r="I208"/>
  <c r="J208"/>
  <c r="K208"/>
  <c r="L208"/>
  <c r="O208"/>
  <c r="P208"/>
  <c r="Q208"/>
  <c r="R208" s="1"/>
  <c r="E209"/>
  <c r="F209"/>
  <c r="G209"/>
  <c r="H209"/>
  <c r="I209"/>
  <c r="J209"/>
  <c r="K209"/>
  <c r="L209"/>
  <c r="O209"/>
  <c r="P209"/>
  <c r="Q209"/>
  <c r="R209" s="1"/>
  <c r="E210"/>
  <c r="F210"/>
  <c r="G210"/>
  <c r="H210"/>
  <c r="I210"/>
  <c r="J210"/>
  <c r="K210"/>
  <c r="L210"/>
  <c r="O210"/>
  <c r="P210"/>
  <c r="Q210"/>
  <c r="R210" s="1"/>
  <c r="E211"/>
  <c r="F211"/>
  <c r="G211"/>
  <c r="H211"/>
  <c r="I211"/>
  <c r="J211"/>
  <c r="K211"/>
  <c r="L211"/>
  <c r="O211"/>
  <c r="P211"/>
  <c r="Q211"/>
  <c r="R211" s="1"/>
  <c r="E212"/>
  <c r="F212"/>
  <c r="G212"/>
  <c r="H212"/>
  <c r="I212"/>
  <c r="J212"/>
  <c r="K212"/>
  <c r="L212"/>
  <c r="O212"/>
  <c r="P212"/>
  <c r="Q212"/>
  <c r="R212" s="1"/>
  <c r="E213"/>
  <c r="F213"/>
  <c r="G213"/>
  <c r="H213"/>
  <c r="I213"/>
  <c r="J213"/>
  <c r="K213"/>
  <c r="L213"/>
  <c r="O213"/>
  <c r="P213"/>
  <c r="Q213"/>
  <c r="R213" s="1"/>
  <c r="E214"/>
  <c r="F214"/>
  <c r="G214"/>
  <c r="H214"/>
  <c r="I214"/>
  <c r="J214"/>
  <c r="K214"/>
  <c r="L214"/>
  <c r="O214"/>
  <c r="P214"/>
  <c r="Q214"/>
  <c r="R214" s="1"/>
  <c r="E215"/>
  <c r="F215"/>
  <c r="G215"/>
  <c r="H215"/>
  <c r="I215"/>
  <c r="J215"/>
  <c r="K215"/>
  <c r="L215"/>
  <c r="O215"/>
  <c r="P215"/>
  <c r="Q215"/>
  <c r="R215" s="1"/>
  <c r="E216"/>
  <c r="F216"/>
  <c r="G216"/>
  <c r="H216"/>
  <c r="I216"/>
  <c r="J216"/>
  <c r="K216"/>
  <c r="L216"/>
  <c r="O216"/>
  <c r="P216"/>
  <c r="Q216"/>
  <c r="R216" s="1"/>
  <c r="E217"/>
  <c r="F217"/>
  <c r="G217"/>
  <c r="H217"/>
  <c r="I217"/>
  <c r="J217"/>
  <c r="K217"/>
  <c r="L217"/>
  <c r="O217"/>
  <c r="P217"/>
  <c r="Q217"/>
  <c r="R217" s="1"/>
  <c r="E218"/>
  <c r="F218"/>
  <c r="G218"/>
  <c r="H218"/>
  <c r="I218"/>
  <c r="J218"/>
  <c r="K218"/>
  <c r="L218"/>
  <c r="O218"/>
  <c r="P218"/>
  <c r="Q218"/>
  <c r="R218" s="1"/>
  <c r="E219"/>
  <c r="F219"/>
  <c r="G219"/>
  <c r="H219"/>
  <c r="I219"/>
  <c r="J219"/>
  <c r="K219"/>
  <c r="L219"/>
  <c r="O219"/>
  <c r="P219"/>
  <c r="Q219"/>
  <c r="R219" s="1"/>
  <c r="E220"/>
  <c r="F220"/>
  <c r="G220"/>
  <c r="H220"/>
  <c r="I220"/>
  <c r="J220"/>
  <c r="K220"/>
  <c r="L220"/>
  <c r="O220"/>
  <c r="P220"/>
  <c r="Q220"/>
  <c r="R220" s="1"/>
  <c r="E221"/>
  <c r="F221"/>
  <c r="G221"/>
  <c r="H221"/>
  <c r="I221"/>
  <c r="J221"/>
  <c r="K221"/>
  <c r="L221"/>
  <c r="O221"/>
  <c r="P221"/>
  <c r="Q221"/>
  <c r="R221" s="1"/>
  <c r="E222"/>
  <c r="F222"/>
  <c r="G222"/>
  <c r="H222"/>
  <c r="I222"/>
  <c r="J222"/>
  <c r="K222"/>
  <c r="L222"/>
  <c r="O222"/>
  <c r="P222"/>
  <c r="Q222"/>
  <c r="R222" s="1"/>
  <c r="E223"/>
  <c r="F223"/>
  <c r="G223"/>
  <c r="H223"/>
  <c r="I223"/>
  <c r="J223"/>
  <c r="K223"/>
  <c r="L223"/>
  <c r="O223"/>
  <c r="P223"/>
  <c r="Q223"/>
  <c r="R223" s="1"/>
  <c r="E224"/>
  <c r="F224"/>
  <c r="G224"/>
  <c r="H224"/>
  <c r="I224"/>
  <c r="J224"/>
  <c r="K224"/>
  <c r="L224"/>
  <c r="O224"/>
  <c r="P224"/>
  <c r="Q224"/>
  <c r="R224" s="1"/>
  <c r="E225"/>
  <c r="F225"/>
  <c r="G225"/>
  <c r="H225"/>
  <c r="I225"/>
  <c r="J225"/>
  <c r="K225"/>
  <c r="L225"/>
  <c r="O225"/>
  <c r="P225"/>
  <c r="Q225"/>
  <c r="R225" s="1"/>
  <c r="E226"/>
  <c r="F226"/>
  <c r="G226"/>
  <c r="H226"/>
  <c r="I226"/>
  <c r="J226"/>
  <c r="K226"/>
  <c r="L226"/>
  <c r="O226"/>
  <c r="P226"/>
  <c r="Q226"/>
  <c r="R226" s="1"/>
  <c r="E227"/>
  <c r="F227"/>
  <c r="G227"/>
  <c r="H227"/>
  <c r="I227"/>
  <c r="J227"/>
  <c r="K227"/>
  <c r="L227"/>
  <c r="O227"/>
  <c r="P227"/>
  <c r="Q227"/>
  <c r="R227" s="1"/>
  <c r="E228"/>
  <c r="F228"/>
  <c r="G228"/>
  <c r="H228"/>
  <c r="I228"/>
  <c r="J228"/>
  <c r="K228"/>
  <c r="L228"/>
  <c r="O228"/>
  <c r="P228"/>
  <c r="Q228"/>
  <c r="R228" s="1"/>
  <c r="E229"/>
  <c r="F229"/>
  <c r="G229"/>
  <c r="H229"/>
  <c r="I229"/>
  <c r="J229"/>
  <c r="K229"/>
  <c r="L229"/>
  <c r="O229"/>
  <c r="P229"/>
  <c r="Q229"/>
  <c r="R229" s="1"/>
  <c r="E230"/>
  <c r="F230"/>
  <c r="G230"/>
  <c r="H230"/>
  <c r="I230"/>
  <c r="J230"/>
  <c r="K230"/>
  <c r="L230"/>
  <c r="O230"/>
  <c r="P230"/>
  <c r="Q230"/>
  <c r="R230" s="1"/>
  <c r="E231"/>
  <c r="F231"/>
  <c r="G231"/>
  <c r="H231"/>
  <c r="I231"/>
  <c r="J231"/>
  <c r="K231"/>
  <c r="L231"/>
  <c r="O231"/>
  <c r="P231"/>
  <c r="Q231"/>
  <c r="R231" s="1"/>
  <c r="E232"/>
  <c r="F232"/>
  <c r="G232"/>
  <c r="H232"/>
  <c r="I232"/>
  <c r="J232"/>
  <c r="K232"/>
  <c r="L232"/>
  <c r="O232"/>
  <c r="P232"/>
  <c r="Q232"/>
  <c r="R232" s="1"/>
  <c r="E233"/>
  <c r="F233"/>
  <c r="G233"/>
  <c r="H233"/>
  <c r="I233"/>
  <c r="J233"/>
  <c r="K233"/>
  <c r="L233"/>
  <c r="O233"/>
  <c r="P233"/>
  <c r="Q233"/>
  <c r="R233" s="1"/>
  <c r="E234"/>
  <c r="F234"/>
  <c r="G234"/>
  <c r="H234"/>
  <c r="I234"/>
  <c r="J234"/>
  <c r="K234"/>
  <c r="L234"/>
  <c r="O234"/>
  <c r="P234"/>
  <c r="Q234"/>
  <c r="R234" s="1"/>
  <c r="E235"/>
  <c r="F235"/>
  <c r="G235"/>
  <c r="H235"/>
  <c r="I235"/>
  <c r="J235"/>
  <c r="K235"/>
  <c r="L235"/>
  <c r="O235"/>
  <c r="P235"/>
  <c r="Q235"/>
  <c r="R235" s="1"/>
  <c r="E236"/>
  <c r="F236"/>
  <c r="G236"/>
  <c r="H236"/>
  <c r="I236"/>
  <c r="J236"/>
  <c r="K236"/>
  <c r="L236"/>
  <c r="O236"/>
  <c r="P236"/>
  <c r="Q236"/>
  <c r="R236" s="1"/>
  <c r="E237"/>
  <c r="F237"/>
  <c r="G237"/>
  <c r="H237"/>
  <c r="I237"/>
  <c r="J237"/>
  <c r="K237"/>
  <c r="L237"/>
  <c r="O237"/>
  <c r="P237"/>
  <c r="Q237"/>
  <c r="R237" s="1"/>
  <c r="E238"/>
  <c r="F238"/>
  <c r="G238"/>
  <c r="H238"/>
  <c r="I238"/>
  <c r="J238"/>
  <c r="K238"/>
  <c r="L238"/>
  <c r="O238"/>
  <c r="P238"/>
  <c r="Q238"/>
  <c r="R238" s="1"/>
  <c r="E239"/>
  <c r="F239"/>
  <c r="G239"/>
  <c r="H239"/>
  <c r="I239"/>
  <c r="J239"/>
  <c r="K239"/>
  <c r="L239"/>
  <c r="O239"/>
  <c r="P239"/>
  <c r="Q239"/>
  <c r="R239" s="1"/>
  <c r="E240"/>
  <c r="F240"/>
  <c r="G240"/>
  <c r="H240"/>
  <c r="I240"/>
  <c r="J240"/>
  <c r="K240"/>
  <c r="L240"/>
  <c r="O240"/>
  <c r="P240"/>
  <c r="Q240"/>
  <c r="R240" s="1"/>
  <c r="E241"/>
  <c r="F241"/>
  <c r="G241"/>
  <c r="H241"/>
  <c r="I241"/>
  <c r="J241"/>
  <c r="K241"/>
  <c r="L241"/>
  <c r="O241"/>
  <c r="P241"/>
  <c r="Q241"/>
  <c r="R241" s="1"/>
  <c r="E242"/>
  <c r="F242"/>
  <c r="G242"/>
  <c r="H242"/>
  <c r="I242"/>
  <c r="J242"/>
  <c r="K242"/>
  <c r="L242"/>
  <c r="O242"/>
  <c r="P242"/>
  <c r="Q242"/>
  <c r="R242" s="1"/>
  <c r="E243"/>
  <c r="F243"/>
  <c r="G243"/>
  <c r="H243"/>
  <c r="I243"/>
  <c r="J243"/>
  <c r="K243"/>
  <c r="L243"/>
  <c r="O243"/>
  <c r="P243"/>
  <c r="Q243"/>
  <c r="R243" s="1"/>
  <c r="E244"/>
  <c r="F244"/>
  <c r="G244"/>
  <c r="H244"/>
  <c r="I244"/>
  <c r="J244"/>
  <c r="K244"/>
  <c r="L244"/>
  <c r="O244"/>
  <c r="P244"/>
  <c r="Q244"/>
  <c r="R244" s="1"/>
  <c r="E245"/>
  <c r="F245"/>
  <c r="G245"/>
  <c r="H245"/>
  <c r="I245"/>
  <c r="J245"/>
  <c r="K245"/>
  <c r="L245"/>
  <c r="O245"/>
  <c r="P245"/>
  <c r="Q245"/>
  <c r="R245" s="1"/>
  <c r="E246"/>
  <c r="F246"/>
  <c r="G246"/>
  <c r="H246"/>
  <c r="I246"/>
  <c r="J246"/>
  <c r="K246"/>
  <c r="L246"/>
  <c r="O246"/>
  <c r="P246"/>
  <c r="Q246"/>
  <c r="R246" s="1"/>
  <c r="E247"/>
  <c r="F247"/>
  <c r="G247"/>
  <c r="H247"/>
  <c r="I247"/>
  <c r="J247"/>
  <c r="K247"/>
  <c r="L247"/>
  <c r="O247"/>
  <c r="P247"/>
  <c r="Q247"/>
  <c r="R247" s="1"/>
  <c r="E248"/>
  <c r="F248"/>
  <c r="G248"/>
  <c r="H248"/>
  <c r="I248"/>
  <c r="J248"/>
  <c r="K248"/>
  <c r="L248"/>
  <c r="O248"/>
  <c r="P248"/>
  <c r="Q248"/>
  <c r="R248" s="1"/>
  <c r="E249"/>
  <c r="F249"/>
  <c r="G249"/>
  <c r="H249"/>
  <c r="I249"/>
  <c r="J249"/>
  <c r="K249"/>
  <c r="L249"/>
  <c r="O249"/>
  <c r="P249"/>
  <c r="Q249"/>
  <c r="R249" s="1"/>
  <c r="E250"/>
  <c r="F250"/>
  <c r="G250"/>
  <c r="H250"/>
  <c r="I250"/>
  <c r="J250"/>
  <c r="K250"/>
  <c r="L250"/>
  <c r="O250"/>
  <c r="P250"/>
  <c r="Q250"/>
  <c r="R250" s="1"/>
  <c r="E251"/>
  <c r="F251"/>
  <c r="G251"/>
  <c r="H251"/>
  <c r="I251"/>
  <c r="J251"/>
  <c r="K251"/>
  <c r="L251"/>
  <c r="O251"/>
  <c r="P251"/>
  <c r="Q251"/>
  <c r="R251" s="1"/>
  <c r="E252"/>
  <c r="F252"/>
  <c r="G252"/>
  <c r="H252"/>
  <c r="I252"/>
  <c r="J252"/>
  <c r="K252"/>
  <c r="L252"/>
  <c r="O252"/>
  <c r="P252"/>
  <c r="Q252"/>
  <c r="R252" s="1"/>
  <c r="E253"/>
  <c r="F253"/>
  <c r="G253"/>
  <c r="H253"/>
  <c r="I253"/>
  <c r="J253"/>
  <c r="K253"/>
  <c r="L253"/>
  <c r="P253"/>
  <c r="Q253"/>
  <c r="R253" s="1"/>
  <c r="E254"/>
  <c r="F254"/>
  <c r="G254"/>
  <c r="H254"/>
  <c r="I254"/>
  <c r="J254"/>
  <c r="K254"/>
  <c r="L254"/>
  <c r="P254"/>
  <c r="Q254"/>
  <c r="R254" s="1"/>
  <c r="E255"/>
  <c r="F255"/>
  <c r="G255"/>
  <c r="H255"/>
  <c r="I255"/>
  <c r="J255"/>
  <c r="K255"/>
  <c r="L255"/>
  <c r="P255"/>
  <c r="Q255"/>
  <c r="R255" s="1"/>
  <c r="E256"/>
  <c r="F256"/>
  <c r="G256"/>
  <c r="H256"/>
  <c r="I256"/>
  <c r="J256"/>
  <c r="K256"/>
  <c r="L256"/>
  <c r="P256"/>
  <c r="Q256"/>
  <c r="R256" s="1"/>
  <c r="E257"/>
  <c r="F257"/>
  <c r="G257"/>
  <c r="H257"/>
  <c r="I257"/>
  <c r="J257"/>
  <c r="K257"/>
  <c r="L257"/>
  <c r="P257"/>
  <c r="Q257"/>
  <c r="R257" s="1"/>
  <c r="E258"/>
  <c r="F258"/>
  <c r="G258"/>
  <c r="H258"/>
  <c r="I258"/>
  <c r="J258"/>
  <c r="K258"/>
  <c r="L258"/>
  <c r="P258"/>
  <c r="Q258"/>
  <c r="R258" s="1"/>
  <c r="E259"/>
  <c r="F259"/>
  <c r="G259"/>
  <c r="H259"/>
  <c r="I259"/>
  <c r="J259"/>
  <c r="K259"/>
  <c r="L259"/>
  <c r="P259"/>
  <c r="Q259"/>
  <c r="R259" s="1"/>
  <c r="E260"/>
  <c r="F260"/>
  <c r="G260"/>
  <c r="H260"/>
  <c r="I260"/>
  <c r="J260"/>
  <c r="K260"/>
  <c r="L260"/>
  <c r="P260"/>
  <c r="Q260"/>
  <c r="R260" s="1"/>
  <c r="E261"/>
  <c r="F261"/>
  <c r="G261"/>
  <c r="H261"/>
  <c r="J261"/>
  <c r="K261"/>
  <c r="L261"/>
  <c r="P261"/>
  <c r="Q261"/>
  <c r="R261" s="1"/>
  <c r="E262"/>
  <c r="F262"/>
  <c r="G262"/>
  <c r="H262"/>
  <c r="I262"/>
  <c r="J262"/>
  <c r="K262"/>
  <c r="L262"/>
  <c r="P262"/>
  <c r="Q262"/>
  <c r="R262" s="1"/>
  <c r="E263"/>
  <c r="F263"/>
  <c r="G263"/>
  <c r="H263"/>
  <c r="I263"/>
  <c r="J263"/>
  <c r="K263"/>
  <c r="L263"/>
  <c r="P263"/>
  <c r="Q263"/>
  <c r="R263" s="1"/>
  <c r="E264"/>
  <c r="F264"/>
  <c r="G264"/>
  <c r="H264"/>
  <c r="I264"/>
  <c r="J264"/>
  <c r="K264"/>
  <c r="L264"/>
  <c r="P264"/>
  <c r="Q264"/>
  <c r="R264" s="1"/>
  <c r="E265"/>
  <c r="F265"/>
  <c r="G265"/>
  <c r="H265"/>
  <c r="I265"/>
  <c r="J265"/>
  <c r="K265"/>
  <c r="L265"/>
  <c r="P265"/>
  <c r="Q265"/>
  <c r="R265" s="1"/>
  <c r="E266"/>
  <c r="F266"/>
  <c r="G266"/>
  <c r="H266"/>
  <c r="I266"/>
  <c r="J266"/>
  <c r="K266"/>
  <c r="L266"/>
  <c r="P266"/>
  <c r="Q266"/>
  <c r="R266" s="1"/>
  <c r="E267"/>
  <c r="F267"/>
  <c r="G267"/>
  <c r="H267"/>
  <c r="I267"/>
  <c r="J267"/>
  <c r="K267"/>
  <c r="L267"/>
  <c r="P267"/>
  <c r="Q267"/>
  <c r="R267" s="1"/>
  <c r="E268"/>
  <c r="F268"/>
  <c r="G268"/>
  <c r="H268"/>
  <c r="I268"/>
  <c r="J268"/>
  <c r="K268"/>
  <c r="L268"/>
  <c r="P268"/>
  <c r="Q268"/>
  <c r="R268" s="1"/>
  <c r="E269"/>
  <c r="F269"/>
  <c r="G269"/>
  <c r="H269"/>
  <c r="I269"/>
  <c r="J269"/>
  <c r="K269"/>
  <c r="L269"/>
  <c r="P269"/>
  <c r="Q269"/>
  <c r="R269" s="1"/>
  <c r="E270"/>
  <c r="F270"/>
  <c r="G270"/>
  <c r="H270"/>
  <c r="I270"/>
  <c r="J270"/>
  <c r="K270"/>
  <c r="L270"/>
  <c r="P270"/>
  <c r="Q270"/>
  <c r="R270" s="1"/>
  <c r="E271"/>
  <c r="F271"/>
  <c r="G271"/>
  <c r="H271"/>
  <c r="I271"/>
  <c r="J271"/>
  <c r="K271"/>
  <c r="L271"/>
  <c r="P271"/>
  <c r="Q271"/>
  <c r="R271" s="1"/>
  <c r="E272"/>
  <c r="F272"/>
  <c r="G272"/>
  <c r="H272"/>
  <c r="I272"/>
  <c r="J272"/>
  <c r="K272"/>
  <c r="L272"/>
  <c r="P272"/>
  <c r="Q272"/>
  <c r="R272" s="1"/>
  <c r="E273"/>
  <c r="F273"/>
  <c r="G273"/>
  <c r="H273"/>
  <c r="I273"/>
  <c r="J273"/>
  <c r="K273"/>
  <c r="L273"/>
  <c r="P273"/>
  <c r="Q273"/>
  <c r="R273" s="1"/>
  <c r="E274"/>
  <c r="F274"/>
  <c r="G274"/>
  <c r="H274"/>
  <c r="I274"/>
  <c r="J274"/>
  <c r="K274"/>
  <c r="L274"/>
  <c r="P274"/>
  <c r="Q274"/>
  <c r="R274" s="1"/>
  <c r="E275"/>
  <c r="F275"/>
  <c r="G275"/>
  <c r="H275"/>
  <c r="I275"/>
  <c r="J275"/>
  <c r="K275"/>
  <c r="L275"/>
  <c r="P275"/>
  <c r="Q275"/>
  <c r="R275" s="1"/>
  <c r="E276"/>
  <c r="F276"/>
  <c r="G276"/>
  <c r="H276"/>
  <c r="I276"/>
  <c r="J276"/>
  <c r="K276"/>
  <c r="L276"/>
  <c r="P276"/>
  <c r="Q276"/>
  <c r="R276" s="1"/>
  <c r="E277"/>
  <c r="F277"/>
  <c r="G277"/>
  <c r="H277"/>
  <c r="I277"/>
  <c r="J277"/>
  <c r="K277"/>
  <c r="L277"/>
  <c r="P277"/>
  <c r="Q277"/>
  <c r="R277" s="1"/>
  <c r="E278"/>
  <c r="F278"/>
  <c r="G278"/>
  <c r="H278"/>
  <c r="I278"/>
  <c r="J278"/>
  <c r="K278"/>
  <c r="L278"/>
  <c r="P278"/>
  <c r="Q278"/>
  <c r="R278" s="1"/>
  <c r="E279"/>
  <c r="F279"/>
  <c r="G279"/>
  <c r="H279"/>
  <c r="I279"/>
  <c r="J279"/>
  <c r="K279"/>
  <c r="L279"/>
  <c r="P279"/>
  <c r="Q279"/>
  <c r="R279" s="1"/>
  <c r="E280"/>
  <c r="F280"/>
  <c r="G280"/>
  <c r="H280"/>
  <c r="I280"/>
  <c r="J280"/>
  <c r="K280"/>
  <c r="L280"/>
  <c r="P280"/>
  <c r="Q280"/>
  <c r="R280" s="1"/>
  <c r="E281"/>
  <c r="F281"/>
  <c r="G281"/>
  <c r="H281"/>
  <c r="I281"/>
  <c r="J281"/>
  <c r="K281"/>
  <c r="L281"/>
  <c r="P281"/>
  <c r="Q281"/>
  <c r="R281" s="1"/>
  <c r="E282"/>
  <c r="F282"/>
  <c r="G282"/>
  <c r="H282"/>
  <c r="I282"/>
  <c r="J282"/>
  <c r="K282"/>
  <c r="L282"/>
  <c r="P282"/>
  <c r="Q282"/>
  <c r="R282" s="1"/>
  <c r="E283"/>
  <c r="F283"/>
  <c r="G283"/>
  <c r="H283"/>
  <c r="I283"/>
  <c r="J283"/>
  <c r="K283"/>
  <c r="L283"/>
  <c r="P283"/>
  <c r="Q283"/>
  <c r="R283" s="1"/>
  <c r="E284"/>
  <c r="F284"/>
  <c r="G284"/>
  <c r="H284"/>
  <c r="I284"/>
  <c r="J284"/>
  <c r="K284"/>
  <c r="L284"/>
  <c r="P284"/>
  <c r="Q284"/>
  <c r="R284" s="1"/>
  <c r="E285"/>
  <c r="F285"/>
  <c r="G285"/>
  <c r="H285"/>
  <c r="I285"/>
  <c r="J285"/>
  <c r="K285"/>
  <c r="L285"/>
  <c r="P285"/>
  <c r="Q285"/>
  <c r="R285" s="1"/>
  <c r="E286"/>
  <c r="F286"/>
  <c r="G286"/>
  <c r="H286"/>
  <c r="I286"/>
  <c r="J286"/>
  <c r="K286"/>
  <c r="L286"/>
  <c r="P286"/>
  <c r="Q286"/>
  <c r="R286" s="1"/>
  <c r="E287"/>
  <c r="F287"/>
  <c r="G287"/>
  <c r="H287"/>
  <c r="I287"/>
  <c r="J287"/>
  <c r="K287"/>
  <c r="L287"/>
  <c r="P287"/>
  <c r="Q287"/>
  <c r="R287" s="1"/>
  <c r="E288"/>
  <c r="F288"/>
  <c r="G288"/>
  <c r="H288"/>
  <c r="I288"/>
  <c r="J288"/>
  <c r="K288"/>
  <c r="L288"/>
  <c r="P288"/>
  <c r="Q288"/>
  <c r="R288" s="1"/>
  <c r="E289"/>
  <c r="F289"/>
  <c r="G289"/>
  <c r="H289"/>
  <c r="I289"/>
  <c r="J289"/>
  <c r="K289"/>
  <c r="L289"/>
  <c r="P289"/>
  <c r="Q289"/>
  <c r="R289" s="1"/>
  <c r="E290"/>
  <c r="F290"/>
  <c r="G290"/>
  <c r="H290"/>
  <c r="I290"/>
  <c r="J290"/>
  <c r="K290"/>
  <c r="L290"/>
  <c r="P290"/>
  <c r="Q290"/>
  <c r="R290" s="1"/>
  <c r="E291"/>
  <c r="F291"/>
  <c r="G291"/>
  <c r="H291"/>
  <c r="I291"/>
  <c r="J291"/>
  <c r="K291"/>
  <c r="L291"/>
  <c r="P291"/>
  <c r="Q291"/>
  <c r="R291" s="1"/>
  <c r="E292"/>
  <c r="F292"/>
  <c r="G292"/>
  <c r="H292"/>
  <c r="I292"/>
  <c r="J292"/>
  <c r="K292"/>
  <c r="L292"/>
  <c r="P292"/>
  <c r="Q292"/>
  <c r="R292" s="1"/>
  <c r="E293"/>
  <c r="F293"/>
  <c r="G293"/>
  <c r="H293"/>
  <c r="I293"/>
  <c r="J293"/>
  <c r="K293"/>
  <c r="L293"/>
  <c r="P293"/>
  <c r="Q293"/>
  <c r="R293" s="1"/>
  <c r="E294"/>
  <c r="F294"/>
  <c r="G294"/>
  <c r="H294"/>
  <c r="I294"/>
  <c r="J294"/>
  <c r="K294"/>
  <c r="L294"/>
  <c r="P294"/>
  <c r="Q294"/>
  <c r="R294" s="1"/>
  <c r="E295"/>
  <c r="F295"/>
  <c r="G295"/>
  <c r="H295"/>
  <c r="I295"/>
  <c r="J295"/>
  <c r="K295"/>
  <c r="L295"/>
  <c r="P295"/>
  <c r="Q295"/>
  <c r="R295" s="1"/>
  <c r="E296"/>
  <c r="F296"/>
  <c r="G296"/>
  <c r="H296"/>
  <c r="I296"/>
  <c r="J296"/>
  <c r="K296"/>
  <c r="L296"/>
  <c r="P296"/>
  <c r="Q296"/>
  <c r="R296" s="1"/>
  <c r="E297"/>
  <c r="F297"/>
  <c r="G297"/>
  <c r="H297"/>
  <c r="I297"/>
  <c r="J297"/>
  <c r="K297"/>
  <c r="L297"/>
  <c r="P297"/>
  <c r="Q297"/>
  <c r="R297" s="1"/>
  <c r="H17"/>
  <c r="I17"/>
  <c r="J17"/>
  <c r="K17"/>
  <c r="L17"/>
  <c r="O17"/>
  <c r="Q17"/>
  <c r="R17" s="1"/>
  <c r="H18"/>
  <c r="I18"/>
  <c r="J18"/>
  <c r="K18"/>
  <c r="L18"/>
  <c r="O18"/>
  <c r="H19"/>
  <c r="I19"/>
  <c r="J19"/>
  <c r="K19"/>
  <c r="L19"/>
  <c r="O19"/>
  <c r="H20"/>
  <c r="I20"/>
  <c r="J20"/>
  <c r="K20"/>
  <c r="L20"/>
  <c r="O20"/>
  <c r="H21"/>
  <c r="I21"/>
  <c r="J21"/>
  <c r="K21"/>
  <c r="L21"/>
  <c r="O21"/>
  <c r="H22"/>
  <c r="I22"/>
  <c r="J22"/>
  <c r="K22"/>
  <c r="L22"/>
  <c r="O22"/>
  <c r="H23"/>
  <c r="I23"/>
  <c r="J23"/>
  <c r="K23"/>
  <c r="L23"/>
  <c r="O23"/>
  <c r="H24"/>
  <c r="I24"/>
  <c r="J24"/>
  <c r="K24"/>
  <c r="L24"/>
  <c r="O24"/>
  <c r="H25"/>
  <c r="I25"/>
  <c r="J25"/>
  <c r="K25"/>
  <c r="L25"/>
  <c r="O25"/>
  <c r="H26"/>
  <c r="I26"/>
  <c r="J26"/>
  <c r="K26"/>
  <c r="L26"/>
  <c r="O26"/>
  <c r="H27"/>
  <c r="I27"/>
  <c r="J27"/>
  <c r="K27"/>
  <c r="L27"/>
  <c r="O27"/>
  <c r="H28"/>
  <c r="I28"/>
  <c r="J28"/>
  <c r="K28"/>
  <c r="L28"/>
  <c r="O28"/>
  <c r="H29"/>
  <c r="I29"/>
  <c r="J29"/>
  <c r="K29"/>
  <c r="L29"/>
  <c r="O29"/>
  <c r="H30"/>
  <c r="I30"/>
  <c r="J30"/>
  <c r="K30"/>
  <c r="L30"/>
  <c r="O30"/>
  <c r="H31"/>
  <c r="I31"/>
  <c r="J31"/>
  <c r="K31"/>
  <c r="L31"/>
  <c r="O31"/>
  <c r="H32"/>
  <c r="I32"/>
  <c r="J32"/>
  <c r="K32"/>
  <c r="L32"/>
  <c r="O32"/>
  <c r="H33"/>
  <c r="I33"/>
  <c r="J33"/>
  <c r="K33"/>
  <c r="L33"/>
  <c r="O33"/>
  <c r="H34"/>
  <c r="I34"/>
  <c r="J34"/>
  <c r="K34"/>
  <c r="L34"/>
  <c r="O34"/>
  <c r="H35"/>
  <c r="I35"/>
  <c r="J35"/>
  <c r="K35"/>
  <c r="L35"/>
  <c r="O35"/>
  <c r="H36"/>
  <c r="I36"/>
  <c r="J36"/>
  <c r="K36"/>
  <c r="L36"/>
  <c r="O36"/>
  <c r="H37"/>
  <c r="I37"/>
  <c r="J37"/>
  <c r="K37"/>
  <c r="L37"/>
  <c r="O37"/>
  <c r="H38"/>
  <c r="I38"/>
  <c r="J38"/>
  <c r="K38"/>
  <c r="L38"/>
  <c r="O38"/>
  <c r="H39"/>
  <c r="I39"/>
  <c r="J39"/>
  <c r="K39"/>
  <c r="L39"/>
  <c r="O39"/>
  <c r="E40"/>
  <c r="F40"/>
  <c r="G40"/>
  <c r="H40"/>
  <c r="I40"/>
  <c r="J40"/>
  <c r="K40"/>
  <c r="L40"/>
  <c r="O40"/>
  <c r="P40"/>
  <c r="Q40"/>
  <c r="R40" s="1"/>
  <c r="E41"/>
  <c r="F41"/>
  <c r="G41"/>
  <c r="H41"/>
  <c r="I41"/>
  <c r="J41"/>
  <c r="K41"/>
  <c r="L41"/>
  <c r="O41"/>
  <c r="P41"/>
  <c r="Q41"/>
  <c r="R41" s="1"/>
  <c r="E42"/>
  <c r="F42"/>
  <c r="G42"/>
  <c r="H42"/>
  <c r="I42"/>
  <c r="J42"/>
  <c r="K42"/>
  <c r="L42"/>
  <c r="O42"/>
  <c r="P42"/>
  <c r="Q42"/>
  <c r="R42" s="1"/>
  <c r="E43"/>
  <c r="F43"/>
  <c r="G43"/>
  <c r="H43"/>
  <c r="I43"/>
  <c r="J43"/>
  <c r="K43"/>
  <c r="L43"/>
  <c r="O43"/>
  <c r="P43"/>
  <c r="Q43"/>
  <c r="R43" s="1"/>
  <c r="E44"/>
  <c r="F44"/>
  <c r="G44"/>
  <c r="H44"/>
  <c r="I44"/>
  <c r="J44"/>
  <c r="K44"/>
  <c r="L44"/>
  <c r="O44"/>
  <c r="P44"/>
  <c r="Q44"/>
  <c r="R44" s="1"/>
  <c r="E45"/>
  <c r="F45"/>
  <c r="G45"/>
  <c r="H45"/>
  <c r="I45"/>
  <c r="J45"/>
  <c r="K45"/>
  <c r="L45"/>
  <c r="O45"/>
  <c r="P45"/>
  <c r="Q45"/>
  <c r="R45" s="1"/>
  <c r="E46"/>
  <c r="F46"/>
  <c r="G46"/>
  <c r="H46"/>
  <c r="I46"/>
  <c r="J46"/>
  <c r="K46"/>
  <c r="L46"/>
  <c r="O46"/>
  <c r="P46"/>
  <c r="Q46"/>
  <c r="R46" s="1"/>
  <c r="E47"/>
  <c r="F47"/>
  <c r="G47"/>
  <c r="H47"/>
  <c r="I47"/>
  <c r="J47"/>
  <c r="K47"/>
  <c r="L47"/>
  <c r="O47"/>
  <c r="P47"/>
  <c r="Q47"/>
  <c r="R47" s="1"/>
  <c r="E48"/>
  <c r="F48"/>
  <c r="G48"/>
  <c r="H48"/>
  <c r="I48"/>
  <c r="J48"/>
  <c r="K48"/>
  <c r="L48"/>
  <c r="O48"/>
  <c r="P48"/>
  <c r="Q48"/>
  <c r="R48" s="1"/>
  <c r="E49"/>
  <c r="F49"/>
  <c r="G49"/>
  <c r="H49"/>
  <c r="I49"/>
  <c r="J49"/>
  <c r="K49"/>
  <c r="L49"/>
  <c r="O49"/>
  <c r="P49"/>
  <c r="Q49"/>
  <c r="R49" s="1"/>
  <c r="E50"/>
  <c r="F50"/>
  <c r="G50"/>
  <c r="H50"/>
  <c r="I50"/>
  <c r="J50"/>
  <c r="K50"/>
  <c r="L50"/>
  <c r="O50"/>
  <c r="P50"/>
  <c r="Q50"/>
  <c r="R50" s="1"/>
  <c r="E51"/>
  <c r="F51"/>
  <c r="G51"/>
  <c r="H51"/>
  <c r="I51"/>
  <c r="J51"/>
  <c r="K51"/>
  <c r="L51"/>
  <c r="O51"/>
  <c r="P51"/>
  <c r="Q51"/>
  <c r="R51" s="1"/>
  <c r="E52"/>
  <c r="F52"/>
  <c r="G52"/>
  <c r="H52"/>
  <c r="I52"/>
  <c r="J52"/>
  <c r="K52"/>
  <c r="L52"/>
  <c r="O52"/>
  <c r="P52"/>
  <c r="Q52"/>
  <c r="R52" s="1"/>
  <c r="E53"/>
  <c r="F53"/>
  <c r="G53"/>
  <c r="H53"/>
  <c r="I53"/>
  <c r="J53"/>
  <c r="K53"/>
  <c r="L53"/>
  <c r="O53"/>
  <c r="P53"/>
  <c r="Q53"/>
  <c r="R53" s="1"/>
  <c r="E54"/>
  <c r="F54"/>
  <c r="G54"/>
  <c r="H54"/>
  <c r="I54"/>
  <c r="J54"/>
  <c r="K54"/>
  <c r="L54"/>
  <c r="O54"/>
  <c r="P54"/>
  <c r="Q54"/>
  <c r="R54" s="1"/>
  <c r="E55"/>
  <c r="F55"/>
  <c r="G55"/>
  <c r="H55"/>
  <c r="I55"/>
  <c r="J55"/>
  <c r="K55"/>
  <c r="L55"/>
  <c r="O55"/>
  <c r="P55"/>
  <c r="Q55"/>
  <c r="R55" s="1"/>
  <c r="E56"/>
  <c r="F56"/>
  <c r="G56"/>
  <c r="H56"/>
  <c r="I56"/>
  <c r="J56"/>
  <c r="K56"/>
  <c r="L56"/>
  <c r="O56"/>
  <c r="P56"/>
  <c r="Q56"/>
  <c r="R56" s="1"/>
  <c r="E57"/>
  <c r="F57"/>
  <c r="G57"/>
  <c r="H57"/>
  <c r="I57"/>
  <c r="J57"/>
  <c r="K57"/>
  <c r="L57"/>
  <c r="O57"/>
  <c r="P57"/>
  <c r="Q57"/>
  <c r="R57" s="1"/>
  <c r="E58"/>
  <c r="F58"/>
  <c r="G58"/>
  <c r="H58"/>
  <c r="I58"/>
  <c r="J58"/>
  <c r="K58"/>
  <c r="L58"/>
  <c r="O58"/>
  <c r="P58"/>
  <c r="Q58"/>
  <c r="R58" s="1"/>
  <c r="E59"/>
  <c r="F59"/>
  <c r="G59"/>
  <c r="H59"/>
  <c r="I59"/>
  <c r="J59"/>
  <c r="K59"/>
  <c r="L59"/>
  <c r="O59"/>
  <c r="P59"/>
  <c r="Q59"/>
  <c r="R59" s="1"/>
  <c r="E60"/>
  <c r="F60"/>
  <c r="G60"/>
  <c r="H60"/>
  <c r="I60"/>
  <c r="J60"/>
  <c r="K60"/>
  <c r="L60"/>
  <c r="O60"/>
  <c r="P60"/>
  <c r="Q60"/>
  <c r="R60" s="1"/>
  <c r="E61"/>
  <c r="F61"/>
  <c r="G61"/>
  <c r="H61"/>
  <c r="I61"/>
  <c r="J61"/>
  <c r="K61"/>
  <c r="L61"/>
  <c r="O61"/>
  <c r="P61"/>
  <c r="Q61"/>
  <c r="R61" s="1"/>
  <c r="E62"/>
  <c r="F62"/>
  <c r="G62"/>
  <c r="H62"/>
  <c r="I62"/>
  <c r="J62"/>
  <c r="K62"/>
  <c r="L62"/>
  <c r="O62"/>
  <c r="P62"/>
  <c r="Q62"/>
  <c r="R62" s="1"/>
  <c r="E63"/>
  <c r="F63"/>
  <c r="G63"/>
  <c r="H63"/>
  <c r="I63"/>
  <c r="J63"/>
  <c r="K63"/>
  <c r="L63"/>
  <c r="O63"/>
  <c r="P63"/>
  <c r="Q63"/>
  <c r="R63" s="1"/>
  <c r="E64"/>
  <c r="F64"/>
  <c r="G64"/>
  <c r="H64"/>
  <c r="I64"/>
  <c r="J64"/>
  <c r="K64"/>
  <c r="L64"/>
  <c r="O64"/>
  <c r="P64"/>
  <c r="Q64"/>
  <c r="R64" s="1"/>
  <c r="E65"/>
  <c r="F65"/>
  <c r="G65"/>
  <c r="H65"/>
  <c r="I65"/>
  <c r="J65"/>
  <c r="K65"/>
  <c r="L65"/>
  <c r="O65"/>
  <c r="P65"/>
  <c r="Q65"/>
  <c r="R65" s="1"/>
  <c r="E66"/>
  <c r="F66"/>
  <c r="G66"/>
  <c r="H66"/>
  <c r="I66"/>
  <c r="J66"/>
  <c r="K66"/>
  <c r="L66"/>
  <c r="O66"/>
  <c r="P66"/>
  <c r="Q66"/>
  <c r="R66" s="1"/>
  <c r="E67"/>
  <c r="F67"/>
  <c r="G67"/>
  <c r="H67"/>
  <c r="I67"/>
  <c r="J67"/>
  <c r="K67"/>
  <c r="L67"/>
  <c r="O67"/>
  <c r="P67"/>
  <c r="Q67"/>
  <c r="R67" s="1"/>
  <c r="E68"/>
  <c r="F68"/>
  <c r="G68"/>
  <c r="H68"/>
  <c r="I68"/>
  <c r="J68"/>
  <c r="K68"/>
  <c r="L68"/>
  <c r="O68"/>
  <c r="P68"/>
  <c r="Q68"/>
  <c r="R68" s="1"/>
  <c r="E69"/>
  <c r="F69"/>
  <c r="G69"/>
  <c r="H69"/>
  <c r="I69"/>
  <c r="J69"/>
  <c r="K69"/>
  <c r="L69"/>
  <c r="O69"/>
  <c r="P69"/>
  <c r="Q69"/>
  <c r="R69" s="1"/>
  <c r="E70"/>
  <c r="F70"/>
  <c r="G70"/>
  <c r="H70"/>
  <c r="I70"/>
  <c r="J70"/>
  <c r="K70"/>
  <c r="L70"/>
  <c r="O70"/>
  <c r="P70"/>
  <c r="Q70"/>
  <c r="R70" s="1"/>
  <c r="E71"/>
  <c r="F71"/>
  <c r="G71"/>
  <c r="H71"/>
  <c r="I71"/>
  <c r="J71"/>
  <c r="K71"/>
  <c r="L71"/>
  <c r="O71"/>
  <c r="P71"/>
  <c r="Q71"/>
  <c r="R71" s="1"/>
  <c r="E72"/>
  <c r="F72"/>
  <c r="G72"/>
  <c r="H72"/>
  <c r="I72"/>
  <c r="J72"/>
  <c r="K72"/>
  <c r="L72"/>
  <c r="O72"/>
  <c r="P72"/>
  <c r="Q72"/>
  <c r="R72" s="1"/>
  <c r="E73"/>
  <c r="F73"/>
  <c r="G73"/>
  <c r="H73"/>
  <c r="I73"/>
  <c r="J73"/>
  <c r="K73"/>
  <c r="L73"/>
  <c r="O73"/>
  <c r="P73"/>
  <c r="Q73"/>
  <c r="R73" s="1"/>
  <c r="E74"/>
  <c r="F74"/>
  <c r="G74"/>
  <c r="H74"/>
  <c r="I74"/>
  <c r="J74"/>
  <c r="K74"/>
  <c r="L74"/>
  <c r="O74"/>
  <c r="P74"/>
  <c r="Q74"/>
  <c r="R74" s="1"/>
  <c r="E75"/>
  <c r="F75"/>
  <c r="G75"/>
  <c r="H75"/>
  <c r="I75"/>
  <c r="J75"/>
  <c r="K75"/>
  <c r="L75"/>
  <c r="O75"/>
  <c r="P75"/>
  <c r="Q75"/>
  <c r="R75" s="1"/>
  <c r="E76"/>
  <c r="F76"/>
  <c r="G76"/>
  <c r="H76"/>
  <c r="I76"/>
  <c r="J76"/>
  <c r="K76"/>
  <c r="L76"/>
  <c r="O76"/>
  <c r="P76"/>
  <c r="Q76"/>
  <c r="R76" s="1"/>
  <c r="E77"/>
  <c r="F77"/>
  <c r="G77"/>
  <c r="H77"/>
  <c r="I77"/>
  <c r="J77"/>
  <c r="K77"/>
  <c r="L77"/>
  <c r="O77"/>
  <c r="P77"/>
  <c r="Q77"/>
  <c r="R77" s="1"/>
  <c r="E78"/>
  <c r="F78"/>
  <c r="G78"/>
  <c r="H78"/>
  <c r="I78"/>
  <c r="J78"/>
  <c r="K78"/>
  <c r="L78"/>
  <c r="O78"/>
  <c r="P78"/>
  <c r="Q78"/>
  <c r="R78" s="1"/>
  <c r="E79"/>
  <c r="F79"/>
  <c r="G79"/>
  <c r="H79"/>
  <c r="I79"/>
  <c r="J79"/>
  <c r="K79"/>
  <c r="L79"/>
  <c r="O79"/>
  <c r="P79"/>
  <c r="Q79"/>
  <c r="R79" s="1"/>
  <c r="E80"/>
  <c r="F80"/>
  <c r="G80"/>
  <c r="H80"/>
  <c r="I80"/>
  <c r="J80"/>
  <c r="K80"/>
  <c r="L80"/>
  <c r="O80"/>
  <c r="P80"/>
  <c r="Q80"/>
  <c r="R80" s="1"/>
  <c r="E81"/>
  <c r="F81"/>
  <c r="G81"/>
  <c r="H81"/>
  <c r="I81"/>
  <c r="J81"/>
  <c r="K81"/>
  <c r="L81"/>
  <c r="O81"/>
  <c r="P81"/>
  <c r="Q81"/>
  <c r="R81" s="1"/>
  <c r="E82"/>
  <c r="F82"/>
  <c r="G82"/>
  <c r="H82"/>
  <c r="I82"/>
  <c r="J82"/>
  <c r="K82"/>
  <c r="L82"/>
  <c r="O82"/>
  <c r="P82"/>
  <c r="Q82"/>
  <c r="R82" s="1"/>
  <c r="E83"/>
  <c r="F83"/>
  <c r="G83"/>
  <c r="H83"/>
  <c r="I83"/>
  <c r="J83"/>
  <c r="K83"/>
  <c r="L83"/>
  <c r="O83"/>
  <c r="P83"/>
  <c r="Q83"/>
  <c r="R83" s="1"/>
  <c r="E84"/>
  <c r="F84"/>
  <c r="G84"/>
  <c r="H84"/>
  <c r="I84"/>
  <c r="J84"/>
  <c r="K84"/>
  <c r="L84"/>
  <c r="O84"/>
  <c r="P84"/>
  <c r="Q84"/>
  <c r="R84" s="1"/>
  <c r="E85"/>
  <c r="F85"/>
  <c r="G85"/>
  <c r="H85"/>
  <c r="I85"/>
  <c r="J85"/>
  <c r="K85"/>
  <c r="L85"/>
  <c r="O85"/>
  <c r="P85"/>
  <c r="Q85"/>
  <c r="R85" s="1"/>
  <c r="E86"/>
  <c r="F86"/>
  <c r="G86"/>
  <c r="H86"/>
  <c r="I86"/>
  <c r="J86"/>
  <c r="K86"/>
  <c r="L86"/>
  <c r="O86"/>
  <c r="P86"/>
  <c r="Q86"/>
  <c r="R86" s="1"/>
  <c r="E87"/>
  <c r="F87"/>
  <c r="G87"/>
  <c r="H87"/>
  <c r="I87"/>
  <c r="J87"/>
  <c r="K87"/>
  <c r="L87"/>
  <c r="O87"/>
  <c r="P87"/>
  <c r="Q87"/>
  <c r="R87" s="1"/>
  <c r="E88"/>
  <c r="F88"/>
  <c r="G88"/>
  <c r="H88"/>
  <c r="I88"/>
  <c r="J88"/>
  <c r="K88"/>
  <c r="L88"/>
  <c r="O88"/>
  <c r="P88"/>
  <c r="Q88"/>
  <c r="R88" s="1"/>
  <c r="E89"/>
  <c r="F89"/>
  <c r="G89"/>
  <c r="H89"/>
  <c r="I89"/>
  <c r="J89"/>
  <c r="K89"/>
  <c r="L89"/>
  <c r="O89"/>
  <c r="P89"/>
  <c r="Q89"/>
  <c r="R89" s="1"/>
  <c r="E90"/>
  <c r="F90"/>
  <c r="G90"/>
  <c r="H90"/>
  <c r="I90"/>
  <c r="J90"/>
  <c r="K90"/>
  <c r="L90"/>
  <c r="O90"/>
  <c r="P90"/>
  <c r="Q90"/>
  <c r="R90" s="1"/>
  <c r="E91"/>
  <c r="F91"/>
  <c r="G91"/>
  <c r="H91"/>
  <c r="I91"/>
  <c r="J91"/>
  <c r="K91"/>
  <c r="L91"/>
  <c r="O91"/>
  <c r="P91"/>
  <c r="Q91"/>
  <c r="R91" s="1"/>
  <c r="E92"/>
  <c r="F92"/>
  <c r="G92"/>
  <c r="H92"/>
  <c r="I92"/>
  <c r="J92"/>
  <c r="K92"/>
  <c r="L92"/>
  <c r="O92"/>
  <c r="P92"/>
  <c r="Q92"/>
  <c r="R92" s="1"/>
  <c r="E93"/>
  <c r="F93"/>
  <c r="G93"/>
  <c r="H93"/>
  <c r="I93"/>
  <c r="J93"/>
  <c r="K93"/>
  <c r="L93"/>
  <c r="O93"/>
  <c r="P93"/>
  <c r="Q93"/>
  <c r="R93" s="1"/>
  <c r="E94"/>
  <c r="F94"/>
  <c r="G94"/>
  <c r="H94"/>
  <c r="I94"/>
  <c r="J94"/>
  <c r="K94"/>
  <c r="L94"/>
  <c r="O94"/>
  <c r="P94"/>
  <c r="Q94"/>
  <c r="R94" s="1"/>
  <c r="E95"/>
  <c r="F95"/>
  <c r="G95"/>
  <c r="H95"/>
  <c r="I95"/>
  <c r="J95"/>
  <c r="K95"/>
  <c r="L95"/>
  <c r="O95"/>
  <c r="P95"/>
  <c r="Q95"/>
  <c r="R95" s="1"/>
  <c r="E96"/>
  <c r="F96"/>
  <c r="G96"/>
  <c r="H96"/>
  <c r="I96"/>
  <c r="J96"/>
  <c r="K96"/>
  <c r="L96"/>
  <c r="O96"/>
  <c r="P96"/>
  <c r="Q96"/>
  <c r="R96" s="1"/>
  <c r="E97"/>
  <c r="F97"/>
  <c r="G97"/>
  <c r="H97"/>
  <c r="I97"/>
  <c r="J97"/>
  <c r="K97"/>
  <c r="L97"/>
  <c r="O97"/>
  <c r="P97"/>
  <c r="Q97"/>
  <c r="R97" s="1"/>
  <c r="E98"/>
  <c r="F98"/>
  <c r="G98"/>
  <c r="H98"/>
  <c r="I98"/>
  <c r="J98"/>
  <c r="K98"/>
  <c r="L98"/>
  <c r="O98"/>
  <c r="P98"/>
  <c r="Q98"/>
  <c r="R98" s="1"/>
  <c r="E99"/>
  <c r="F99"/>
  <c r="G99"/>
  <c r="H99"/>
  <c r="I99"/>
  <c r="J99"/>
  <c r="K99"/>
  <c r="L99"/>
  <c r="O99"/>
  <c r="P99"/>
  <c r="Q99"/>
  <c r="R99" s="1"/>
  <c r="E100"/>
  <c r="F100"/>
  <c r="G100"/>
  <c r="H100"/>
  <c r="I100"/>
  <c r="J100"/>
  <c r="K100"/>
  <c r="L100"/>
  <c r="O100"/>
  <c r="P100"/>
  <c r="Q100"/>
  <c r="R100" s="1"/>
  <c r="E101"/>
  <c r="F101"/>
  <c r="G101"/>
  <c r="H101"/>
  <c r="I101"/>
  <c r="J101"/>
  <c r="K101"/>
  <c r="L101"/>
  <c r="O101"/>
  <c r="P101"/>
  <c r="Q101"/>
  <c r="R101" s="1"/>
  <c r="E102"/>
  <c r="F102"/>
  <c r="G102"/>
  <c r="H102"/>
  <c r="I102"/>
  <c r="J102"/>
  <c r="K102"/>
  <c r="L102"/>
  <c r="O102"/>
  <c r="P102"/>
  <c r="Q102"/>
  <c r="R102" s="1"/>
  <c r="E103"/>
  <c r="F103"/>
  <c r="G103"/>
  <c r="H103"/>
  <c r="I103"/>
  <c r="J103"/>
  <c r="K103"/>
  <c r="L103"/>
  <c r="O103"/>
  <c r="P103"/>
  <c r="E104"/>
  <c r="F104"/>
  <c r="G104"/>
  <c r="H104"/>
  <c r="I104"/>
  <c r="J104"/>
  <c r="K104"/>
  <c r="L104"/>
  <c r="O104"/>
  <c r="P104"/>
  <c r="Q104"/>
  <c r="R104" s="1"/>
  <c r="E105"/>
  <c r="F105"/>
  <c r="G105"/>
  <c r="H105"/>
  <c r="I105"/>
  <c r="J105"/>
  <c r="K105"/>
  <c r="L105"/>
  <c r="O105"/>
  <c r="P105"/>
  <c r="Q105"/>
  <c r="R105" s="1"/>
  <c r="E106"/>
  <c r="F106"/>
  <c r="G106"/>
  <c r="H106"/>
  <c r="I106"/>
  <c r="J106"/>
  <c r="K106"/>
  <c r="L106"/>
  <c r="O106"/>
  <c r="P106"/>
  <c r="Q106"/>
  <c r="R106" s="1"/>
  <c r="E107"/>
  <c r="F107"/>
  <c r="G107"/>
  <c r="H107"/>
  <c r="I107"/>
  <c r="J107"/>
  <c r="K107"/>
  <c r="L107"/>
  <c r="O107"/>
  <c r="P107"/>
  <c r="Q107"/>
  <c r="R107" s="1"/>
  <c r="E108"/>
  <c r="F108"/>
  <c r="G108"/>
  <c r="H108"/>
  <c r="I108"/>
  <c r="J108"/>
  <c r="K108"/>
  <c r="L108"/>
  <c r="O108"/>
  <c r="P108"/>
  <c r="Q108"/>
  <c r="R108" s="1"/>
  <c r="E109"/>
  <c r="F109"/>
  <c r="G109"/>
  <c r="H109"/>
  <c r="I109"/>
  <c r="J109"/>
  <c r="K109"/>
  <c r="L109"/>
  <c r="O109"/>
  <c r="P109"/>
  <c r="Q109"/>
  <c r="R109" s="1"/>
  <c r="E110"/>
  <c r="F110"/>
  <c r="G110"/>
  <c r="H110"/>
  <c r="I110"/>
  <c r="J110"/>
  <c r="K110"/>
  <c r="L110"/>
  <c r="O110"/>
  <c r="P110"/>
  <c r="Q110"/>
  <c r="R110" s="1"/>
  <c r="E111"/>
  <c r="F111"/>
  <c r="G111"/>
  <c r="H111"/>
  <c r="I111"/>
  <c r="J111"/>
  <c r="K111"/>
  <c r="L111"/>
  <c r="O111"/>
  <c r="P111"/>
  <c r="Q111"/>
  <c r="R111" s="1"/>
  <c r="E112"/>
  <c r="F112"/>
  <c r="G112"/>
  <c r="H112"/>
  <c r="I112"/>
  <c r="J112"/>
  <c r="K112"/>
  <c r="L112"/>
  <c r="O112"/>
  <c r="P112"/>
  <c r="Q112"/>
  <c r="R112" s="1"/>
  <c r="E113"/>
  <c r="F113"/>
  <c r="G113"/>
  <c r="H113"/>
  <c r="I113"/>
  <c r="J113"/>
  <c r="K113"/>
  <c r="L113"/>
  <c r="O113"/>
  <c r="P113"/>
  <c r="Q113"/>
  <c r="R113" s="1"/>
  <c r="E114"/>
  <c r="F114"/>
  <c r="G114"/>
  <c r="H114"/>
  <c r="I114"/>
  <c r="J114"/>
  <c r="K114"/>
  <c r="L114"/>
  <c r="O114"/>
  <c r="P114"/>
  <c r="Q114"/>
  <c r="R114" s="1"/>
  <c r="E115"/>
  <c r="F115"/>
  <c r="G115"/>
  <c r="H115"/>
  <c r="I115"/>
  <c r="J115"/>
  <c r="K115"/>
  <c r="L115"/>
  <c r="O115"/>
  <c r="P115"/>
  <c r="Q115"/>
  <c r="R115" s="1"/>
  <c r="E116"/>
  <c r="F116"/>
  <c r="G116"/>
  <c r="H116"/>
  <c r="I116"/>
  <c r="J116"/>
  <c r="K116"/>
  <c r="L116"/>
  <c r="O116"/>
  <c r="P116"/>
  <c r="Q116"/>
  <c r="R116" s="1"/>
  <c r="E117"/>
  <c r="F117"/>
  <c r="G117"/>
  <c r="H117"/>
  <c r="I117"/>
  <c r="J117"/>
  <c r="K117"/>
  <c r="L117"/>
  <c r="O117"/>
  <c r="P117"/>
  <c r="Q117"/>
  <c r="R117" s="1"/>
  <c r="E118"/>
  <c r="F118"/>
  <c r="G118"/>
  <c r="H118"/>
  <c r="I118"/>
  <c r="J118"/>
  <c r="K118"/>
  <c r="L118"/>
  <c r="O118"/>
  <c r="P118"/>
  <c r="Q118"/>
  <c r="R118" s="1"/>
  <c r="E119"/>
  <c r="F119"/>
  <c r="G119"/>
  <c r="H119"/>
  <c r="I119"/>
  <c r="J119"/>
  <c r="K119"/>
  <c r="L119"/>
  <c r="O119"/>
  <c r="P119"/>
  <c r="Q119"/>
  <c r="R119" s="1"/>
  <c r="E120"/>
  <c r="F120"/>
  <c r="G120"/>
  <c r="H120"/>
  <c r="I120"/>
  <c r="J120"/>
  <c r="K120"/>
  <c r="L120"/>
  <c r="O120"/>
  <c r="P120"/>
  <c r="Q120"/>
  <c r="R120" s="1"/>
  <c r="E121"/>
  <c r="F121"/>
  <c r="G121"/>
  <c r="H121"/>
  <c r="I121"/>
  <c r="J121"/>
  <c r="K121"/>
  <c r="L121"/>
  <c r="O121"/>
  <c r="P121"/>
  <c r="Q121"/>
  <c r="R121" s="1"/>
  <c r="E122"/>
  <c r="F122"/>
  <c r="G122"/>
  <c r="H122"/>
  <c r="I122"/>
  <c r="J122"/>
  <c r="K122"/>
  <c r="L122"/>
  <c r="O122"/>
  <c r="P122"/>
  <c r="Q122"/>
  <c r="R122" s="1"/>
  <c r="E123"/>
  <c r="F123"/>
  <c r="G123"/>
  <c r="H123"/>
  <c r="I123"/>
  <c r="J123"/>
  <c r="K123"/>
  <c r="L123"/>
  <c r="O123"/>
  <c r="P123"/>
  <c r="Q123"/>
  <c r="R123" s="1"/>
  <c r="E124"/>
  <c r="F124"/>
  <c r="G124"/>
  <c r="H124"/>
  <c r="I124"/>
  <c r="J124"/>
  <c r="K124"/>
  <c r="L124"/>
  <c r="O124"/>
  <c r="P124"/>
  <c r="Q124"/>
  <c r="R124" s="1"/>
  <c r="E125"/>
  <c r="F125"/>
  <c r="G125"/>
  <c r="H125"/>
  <c r="I125"/>
  <c r="J125"/>
  <c r="K125"/>
  <c r="L125"/>
  <c r="O125"/>
  <c r="P125"/>
  <c r="Q125"/>
  <c r="R125" s="1"/>
  <c r="E126"/>
  <c r="F126"/>
  <c r="G126"/>
  <c r="H126"/>
  <c r="I126"/>
  <c r="J126"/>
  <c r="K126"/>
  <c r="L126"/>
  <c r="O126"/>
  <c r="P126"/>
  <c r="Q126"/>
  <c r="R126" s="1"/>
  <c r="E127"/>
  <c r="F127"/>
  <c r="G127"/>
  <c r="H127"/>
  <c r="I127"/>
  <c r="J127"/>
  <c r="K127"/>
  <c r="L127"/>
  <c r="O127"/>
  <c r="P127"/>
  <c r="Q127"/>
  <c r="R127" s="1"/>
  <c r="E128"/>
  <c r="F128"/>
  <c r="G128"/>
  <c r="H128"/>
  <c r="I128"/>
  <c r="J128"/>
  <c r="K128"/>
  <c r="L128"/>
  <c r="O128"/>
  <c r="P128"/>
  <c r="Q128"/>
  <c r="R128" s="1"/>
  <c r="E129"/>
  <c r="F129"/>
  <c r="G129"/>
  <c r="H129"/>
  <c r="I129"/>
  <c r="J129"/>
  <c r="K129"/>
  <c r="L129"/>
  <c r="O129"/>
  <c r="P129"/>
  <c r="Q129"/>
  <c r="R129" s="1"/>
  <c r="E130"/>
  <c r="F130"/>
  <c r="G130"/>
  <c r="H130"/>
  <c r="I130"/>
  <c r="J130"/>
  <c r="K130"/>
  <c r="L130"/>
  <c r="O130"/>
  <c r="P130"/>
  <c r="Q130"/>
  <c r="R130" s="1"/>
  <c r="E131"/>
  <c r="F131"/>
  <c r="G131"/>
  <c r="H131"/>
  <c r="I131"/>
  <c r="J131"/>
  <c r="K131"/>
  <c r="L131"/>
  <c r="O131"/>
  <c r="P131"/>
  <c r="Q131"/>
  <c r="R131" s="1"/>
  <c r="E132"/>
  <c r="F132"/>
  <c r="G132"/>
  <c r="H132"/>
  <c r="I132"/>
  <c r="J132"/>
  <c r="K132"/>
  <c r="L132"/>
  <c r="O132"/>
  <c r="P132"/>
  <c r="Q132"/>
  <c r="R132" s="1"/>
  <c r="E133"/>
  <c r="F133"/>
  <c r="G133"/>
  <c r="H133"/>
  <c r="I133"/>
  <c r="J133"/>
  <c r="K133"/>
  <c r="L133"/>
  <c r="O133"/>
  <c r="P133"/>
  <c r="Q133"/>
  <c r="R133" s="1"/>
  <c r="E134"/>
  <c r="F134"/>
  <c r="G134"/>
  <c r="H134"/>
  <c r="I134"/>
  <c r="J134"/>
  <c r="K134"/>
  <c r="L134"/>
  <c r="O134"/>
  <c r="P134"/>
  <c r="Q134"/>
  <c r="R134" s="1"/>
  <c r="E135"/>
  <c r="F135"/>
  <c r="G135"/>
  <c r="H135"/>
  <c r="I135"/>
  <c r="J135"/>
  <c r="K135"/>
  <c r="L135"/>
  <c r="O135"/>
  <c r="P135"/>
  <c r="Q135"/>
  <c r="R135" s="1"/>
  <c r="E136"/>
  <c r="F136"/>
  <c r="G136"/>
  <c r="H136"/>
  <c r="I136"/>
  <c r="J136"/>
  <c r="K136"/>
  <c r="L136"/>
  <c r="O136"/>
  <c r="P136"/>
  <c r="Q136"/>
  <c r="R136" s="1"/>
  <c r="E137"/>
  <c r="F137"/>
  <c r="G137"/>
  <c r="H137"/>
  <c r="I137"/>
  <c r="J137"/>
  <c r="K137"/>
  <c r="L137"/>
  <c r="O137"/>
  <c r="P137"/>
  <c r="Q137"/>
  <c r="R137" s="1"/>
  <c r="E138"/>
  <c r="F138"/>
  <c r="G138"/>
  <c r="H138"/>
  <c r="I138"/>
  <c r="J138"/>
  <c r="K138"/>
  <c r="L138"/>
  <c r="O138"/>
  <c r="P138"/>
  <c r="Q138"/>
  <c r="R138" s="1"/>
  <c r="E139"/>
  <c r="F139"/>
  <c r="G139"/>
  <c r="H139"/>
  <c r="I139"/>
  <c r="J139"/>
  <c r="K139"/>
  <c r="L139"/>
  <c r="O139"/>
  <c r="P139"/>
  <c r="Q139"/>
  <c r="R139" s="1"/>
  <c r="E140"/>
  <c r="F140"/>
  <c r="G140"/>
  <c r="H140"/>
  <c r="I140"/>
  <c r="J140"/>
  <c r="K140"/>
  <c r="L140"/>
  <c r="O140"/>
  <c r="P140"/>
  <c r="Q140"/>
  <c r="R140" s="1"/>
  <c r="E141"/>
  <c r="F141"/>
  <c r="G141"/>
  <c r="H141"/>
  <c r="I141"/>
  <c r="J141"/>
  <c r="K141"/>
  <c r="L141"/>
  <c r="O141"/>
  <c r="P141"/>
  <c r="Q141"/>
  <c r="R141" s="1"/>
  <c r="E142"/>
  <c r="F142"/>
  <c r="G142"/>
  <c r="H142"/>
  <c r="I142"/>
  <c r="J142"/>
  <c r="K142"/>
  <c r="L142"/>
  <c r="O142"/>
  <c r="P142"/>
  <c r="R142"/>
  <c r="E143"/>
  <c r="F143"/>
  <c r="G143"/>
  <c r="H143"/>
  <c r="I143"/>
  <c r="J143"/>
  <c r="K143"/>
  <c r="L143"/>
  <c r="O143"/>
  <c r="P143"/>
  <c r="R143"/>
  <c r="E144"/>
  <c r="F144"/>
  <c r="G144"/>
  <c r="H144"/>
  <c r="I144"/>
  <c r="J144"/>
  <c r="K144"/>
  <c r="L144"/>
  <c r="O144"/>
  <c r="P144"/>
  <c r="R144"/>
  <c r="E145"/>
  <c r="F145"/>
  <c r="G145"/>
  <c r="H145"/>
  <c r="I145"/>
  <c r="J145"/>
  <c r="K145"/>
  <c r="L145"/>
  <c r="O145"/>
  <c r="P145"/>
  <c r="R145"/>
  <c r="E146"/>
  <c r="F146"/>
  <c r="G146"/>
  <c r="H146"/>
  <c r="I146"/>
  <c r="J146"/>
  <c r="K146"/>
  <c r="L146"/>
  <c r="O146"/>
  <c r="P146"/>
  <c r="R146"/>
  <c r="E147"/>
  <c r="F147"/>
  <c r="G147"/>
  <c r="H147"/>
  <c r="I147"/>
  <c r="J147"/>
  <c r="K147"/>
  <c r="L147"/>
  <c r="O147"/>
  <c r="P147"/>
  <c r="R147"/>
  <c r="E148"/>
  <c r="F148"/>
  <c r="G148"/>
  <c r="H148"/>
  <c r="I148"/>
  <c r="J148"/>
  <c r="K148"/>
  <c r="L148"/>
  <c r="O148"/>
  <c r="P148"/>
  <c r="R148"/>
  <c r="E149"/>
  <c r="F149"/>
  <c r="G149"/>
  <c r="H149"/>
  <c r="I149"/>
  <c r="J149"/>
  <c r="K149"/>
  <c r="L149"/>
  <c r="O149"/>
  <c r="P149"/>
  <c r="R149"/>
  <c r="E150"/>
  <c r="F150"/>
  <c r="G150"/>
  <c r="H150"/>
  <c r="I150"/>
  <c r="J150"/>
  <c r="K150"/>
  <c r="L150"/>
  <c r="O150"/>
  <c r="P150"/>
  <c r="R150"/>
  <c r="E151"/>
  <c r="F151"/>
  <c r="G151"/>
  <c r="H151"/>
  <c r="I151"/>
  <c r="J151"/>
  <c r="K151"/>
  <c r="L151"/>
  <c r="O151"/>
  <c r="P151"/>
  <c r="R151"/>
  <c r="E152"/>
  <c r="F152"/>
  <c r="G152"/>
  <c r="H152"/>
  <c r="I152"/>
  <c r="J152"/>
  <c r="K152"/>
  <c r="L152"/>
  <c r="O152"/>
  <c r="P152"/>
  <c r="R152"/>
  <c r="E153"/>
  <c r="F153"/>
  <c r="G153"/>
  <c r="H153"/>
  <c r="I153"/>
  <c r="J153"/>
  <c r="K153"/>
  <c r="L153"/>
  <c r="O153"/>
  <c r="P153"/>
  <c r="R153"/>
  <c r="E154"/>
  <c r="F154"/>
  <c r="G154"/>
  <c r="H154"/>
  <c r="I154"/>
  <c r="J154"/>
  <c r="K154"/>
  <c r="L154"/>
  <c r="O154"/>
  <c r="P154"/>
  <c r="R154"/>
  <c r="H12"/>
  <c r="I12"/>
  <c r="J12"/>
  <c r="K12"/>
  <c r="L12"/>
  <c r="O12"/>
  <c r="H13"/>
  <c r="I13"/>
  <c r="J13"/>
  <c r="K13"/>
  <c r="L13"/>
  <c r="O13"/>
  <c r="H14"/>
  <c r="I14"/>
  <c r="J14"/>
  <c r="K14"/>
  <c r="L14"/>
  <c r="O14"/>
  <c r="H15"/>
  <c r="I15"/>
  <c r="J15"/>
  <c r="K15"/>
  <c r="L15"/>
  <c r="O15"/>
  <c r="H16"/>
  <c r="I16"/>
  <c r="J16"/>
  <c r="K16"/>
  <c r="L16"/>
  <c r="O16"/>
  <c r="Q16"/>
  <c r="R16" s="1"/>
  <c r="O18" i="43"/>
  <c r="AC18"/>
  <c r="AD18"/>
  <c r="AE18"/>
  <c r="E15" i="45" s="1"/>
  <c r="AF18" i="43"/>
  <c r="AG18"/>
  <c r="G15" i="45" s="1"/>
  <c r="AL18" i="43"/>
  <c r="AW18"/>
  <c r="AX18"/>
  <c r="BG18"/>
  <c r="BI18"/>
  <c r="BM18"/>
  <c r="BE18" s="1"/>
  <c r="BQ18"/>
  <c r="BZ18"/>
  <c r="CB18"/>
  <c r="CG18"/>
  <c r="CD18" s="1"/>
  <c r="CH18"/>
  <c r="CU18"/>
  <c r="CW18"/>
  <c r="DA18"/>
  <c r="CS18" s="1"/>
  <c r="DP18"/>
  <c r="Q15" i="45" s="1"/>
  <c r="R15" s="1"/>
  <c r="EF18" i="43"/>
  <c r="EM18"/>
  <c r="FD18"/>
  <c r="P15" i="45" s="1"/>
  <c r="FQ18" i="43"/>
  <c r="O19"/>
  <c r="AC19"/>
  <c r="AD19"/>
  <c r="AE19"/>
  <c r="E16" i="45" s="1"/>
  <c r="AF19" i="43"/>
  <c r="F16" i="45" s="1"/>
  <c r="AG19" i="43"/>
  <c r="G16" i="45" s="1"/>
  <c r="AL19" i="43"/>
  <c r="AW19"/>
  <c r="AX19"/>
  <c r="BG19"/>
  <c r="BI19"/>
  <c r="BM19"/>
  <c r="BE19" s="1"/>
  <c r="BZ19"/>
  <c r="CB19"/>
  <c r="CG19"/>
  <c r="CH19"/>
  <c r="CU19"/>
  <c r="CW19"/>
  <c r="DA19"/>
  <c r="CS19" s="1"/>
  <c r="EF19"/>
  <c r="EM19"/>
  <c r="FD19"/>
  <c r="P16" i="45" s="1"/>
  <c r="FQ19" i="43"/>
  <c r="O20"/>
  <c r="AC20"/>
  <c r="AD20"/>
  <c r="AE20"/>
  <c r="E17" i="45" s="1"/>
  <c r="AF20" i="43"/>
  <c r="F17" i="45" s="1"/>
  <c r="AG20" i="43"/>
  <c r="G17" i="45" s="1"/>
  <c r="AL20" i="43"/>
  <c r="AW20"/>
  <c r="AX20"/>
  <c r="BG20"/>
  <c r="BI20"/>
  <c r="BM20"/>
  <c r="BE20" s="1"/>
  <c r="BQ20"/>
  <c r="BZ20"/>
  <c r="CB20"/>
  <c r="CG20"/>
  <c r="CH20"/>
  <c r="CU20"/>
  <c r="CW20"/>
  <c r="DA20"/>
  <c r="CS20" s="1"/>
  <c r="EF20"/>
  <c r="EM20"/>
  <c r="FD20"/>
  <c r="P17" i="45" s="1"/>
  <c r="FQ20" i="43"/>
  <c r="O21"/>
  <c r="AC21"/>
  <c r="AD21"/>
  <c r="AE21"/>
  <c r="AF21"/>
  <c r="F18" i="45" s="1"/>
  <c r="AG21" i="43"/>
  <c r="G18" i="45" s="1"/>
  <c r="AL21" i="43"/>
  <c r="AW21"/>
  <c r="AX21"/>
  <c r="BG21"/>
  <c r="BI21"/>
  <c r="BM21"/>
  <c r="BE21" s="1"/>
  <c r="BZ21"/>
  <c r="CB21"/>
  <c r="CG21"/>
  <c r="CH21"/>
  <c r="CL21"/>
  <c r="CU21"/>
  <c r="CW21"/>
  <c r="DA21"/>
  <c r="CS21" s="1"/>
  <c r="DE21"/>
  <c r="DP21"/>
  <c r="Q18" i="45" s="1"/>
  <c r="R18" s="1"/>
  <c r="EF21" i="43"/>
  <c r="EM21"/>
  <c r="FD21"/>
  <c r="P18" i="45" s="1"/>
  <c r="FQ21" i="43"/>
  <c r="O22"/>
  <c r="AC22"/>
  <c r="AD22"/>
  <c r="AE22"/>
  <c r="E19" i="45" s="1"/>
  <c r="AF22" i="43"/>
  <c r="F19" i="45" s="1"/>
  <c r="AG22" i="43"/>
  <c r="G19" i="45" s="1"/>
  <c r="AL22" i="43"/>
  <c r="AW22"/>
  <c r="AX22"/>
  <c r="BG22"/>
  <c r="BI22"/>
  <c r="BM22"/>
  <c r="BE22" s="1"/>
  <c r="BQ22"/>
  <c r="BZ22"/>
  <c r="CB22"/>
  <c r="CG22"/>
  <c r="CD22" s="1"/>
  <c r="CH22"/>
  <c r="CU22"/>
  <c r="CW22"/>
  <c r="DA22"/>
  <c r="CS22" s="1"/>
  <c r="DP22"/>
  <c r="EF22"/>
  <c r="EM22"/>
  <c r="FD22"/>
  <c r="P19" i="45" s="1"/>
  <c r="FQ22" i="43"/>
  <c r="O23"/>
  <c r="AC23"/>
  <c r="AD23"/>
  <c r="AE23"/>
  <c r="AF23"/>
  <c r="F20" i="45" s="1"/>
  <c r="AG23" i="43"/>
  <c r="G20" i="45" s="1"/>
  <c r="AL23" i="43"/>
  <c r="AW23"/>
  <c r="AX23"/>
  <c r="BG23"/>
  <c r="BI23"/>
  <c r="BM23"/>
  <c r="BE23" s="1"/>
  <c r="BZ23"/>
  <c r="CB23"/>
  <c r="CG23"/>
  <c r="CH23"/>
  <c r="CU23"/>
  <c r="CW23"/>
  <c r="DA23"/>
  <c r="CS23" s="1"/>
  <c r="DP23"/>
  <c r="Q20" i="45" s="1"/>
  <c r="R20" s="1"/>
  <c r="EF23" i="43"/>
  <c r="EM23"/>
  <c r="FD23"/>
  <c r="P20" i="45" s="1"/>
  <c r="FQ23" i="43"/>
  <c r="O24"/>
  <c r="AC24"/>
  <c r="AD24"/>
  <c r="AE24"/>
  <c r="E21" i="45" s="1"/>
  <c r="AF24" i="43"/>
  <c r="AG24"/>
  <c r="G21" i="45" s="1"/>
  <c r="AL24" i="43"/>
  <c r="AW24"/>
  <c r="AX24"/>
  <c r="BG24"/>
  <c r="BI24"/>
  <c r="BM24"/>
  <c r="BE24" s="1"/>
  <c r="BQ24"/>
  <c r="BZ24"/>
  <c r="CB24"/>
  <c r="CG24"/>
  <c r="CD24" s="1"/>
  <c r="CH24"/>
  <c r="CU24"/>
  <c r="CW24"/>
  <c r="DA24"/>
  <c r="CS24" s="1"/>
  <c r="DP24"/>
  <c r="EF24"/>
  <c r="EM24"/>
  <c r="FD24"/>
  <c r="P21" i="45" s="1"/>
  <c r="FQ24" i="43"/>
  <c r="O25"/>
  <c r="AC25"/>
  <c r="AD25"/>
  <c r="AE25"/>
  <c r="E22" i="45" s="1"/>
  <c r="AF25" i="43"/>
  <c r="F22" i="45" s="1"/>
  <c r="AG25" i="43"/>
  <c r="G22" i="45" s="1"/>
  <c r="AL25" i="43"/>
  <c r="AW25"/>
  <c r="AX25"/>
  <c r="BG25"/>
  <c r="BI25"/>
  <c r="BM25"/>
  <c r="BE25" s="1"/>
  <c r="BZ25"/>
  <c r="CB25"/>
  <c r="CG25"/>
  <c r="CD25" s="1"/>
  <c r="AS25" s="1"/>
  <c r="CH25"/>
  <c r="CL25"/>
  <c r="CU25"/>
  <c r="CW25"/>
  <c r="DA25"/>
  <c r="CS25" s="1"/>
  <c r="DE25"/>
  <c r="DP25"/>
  <c r="Q22" i="45" s="1"/>
  <c r="R22" s="1"/>
  <c r="EF25" i="43"/>
  <c r="EM25"/>
  <c r="FD25"/>
  <c r="P22" i="45" s="1"/>
  <c r="FQ25" i="43"/>
  <c r="O26"/>
  <c r="AC26"/>
  <c r="AD26"/>
  <c r="AE26"/>
  <c r="AF26"/>
  <c r="F23" i="45" s="1"/>
  <c r="AG26" i="43"/>
  <c r="G23" i="45" s="1"/>
  <c r="AL26" i="43"/>
  <c r="AW26"/>
  <c r="AX26"/>
  <c r="BG26"/>
  <c r="BI26"/>
  <c r="BM26"/>
  <c r="BE26" s="1"/>
  <c r="BZ26"/>
  <c r="CB26"/>
  <c r="CG26"/>
  <c r="CD26" s="1"/>
  <c r="CH26"/>
  <c r="CU26"/>
  <c r="CW26"/>
  <c r="DA26"/>
  <c r="CS26" s="1"/>
  <c r="EF26"/>
  <c r="EM26"/>
  <c r="FD26"/>
  <c r="P23" i="45" s="1"/>
  <c r="FQ26" i="43"/>
  <c r="O27"/>
  <c r="AC27"/>
  <c r="AD27"/>
  <c r="AE27"/>
  <c r="E24" i="45" s="1"/>
  <c r="AF27" i="43"/>
  <c r="F24" i="45" s="1"/>
  <c r="AG27" i="43"/>
  <c r="G24" i="45" s="1"/>
  <c r="AL27" i="43"/>
  <c r="AW27"/>
  <c r="AX27"/>
  <c r="BG27"/>
  <c r="BI27"/>
  <c r="BM27"/>
  <c r="BE27" s="1"/>
  <c r="BQ27"/>
  <c r="BZ27"/>
  <c r="CB27"/>
  <c r="CG27"/>
  <c r="CD27" s="1"/>
  <c r="AS27" s="1"/>
  <c r="CH27"/>
  <c r="CU27"/>
  <c r="CW27"/>
  <c r="DA27"/>
  <c r="CS27" s="1"/>
  <c r="DP27"/>
  <c r="EF27"/>
  <c r="EM27"/>
  <c r="FD27"/>
  <c r="P24" i="45" s="1"/>
  <c r="FQ27" i="43"/>
  <c r="O28"/>
  <c r="CL28" s="1"/>
  <c r="AC28"/>
  <c r="AD28"/>
  <c r="AE28"/>
  <c r="AF28"/>
  <c r="F25" i="45" s="1"/>
  <c r="AG28" i="43"/>
  <c r="G25" i="45" s="1"/>
  <c r="AL28" i="43"/>
  <c r="AW28"/>
  <c r="AX28"/>
  <c r="BG28"/>
  <c r="BI28"/>
  <c r="BM28"/>
  <c r="BE28" s="1"/>
  <c r="BZ28"/>
  <c r="CB28"/>
  <c r="CG28"/>
  <c r="CD28" s="1"/>
  <c r="AS28" s="1"/>
  <c r="CH28"/>
  <c r="CU28"/>
  <c r="CW28"/>
  <c r="DA28"/>
  <c r="CS28" s="1"/>
  <c r="DP28"/>
  <c r="Q25" i="45" s="1"/>
  <c r="R25" s="1"/>
  <c r="EF28" i="43"/>
  <c r="EM28"/>
  <c r="FD28"/>
  <c r="P25" i="45" s="1"/>
  <c r="FQ28" i="43"/>
  <c r="O29"/>
  <c r="AC29"/>
  <c r="AD29"/>
  <c r="AE29"/>
  <c r="E26" i="45" s="1"/>
  <c r="AF29" i="43"/>
  <c r="F26" i="45" s="1"/>
  <c r="AG29" i="43"/>
  <c r="G26" i="45" s="1"/>
  <c r="AL29" i="43"/>
  <c r="AW29"/>
  <c r="AX29"/>
  <c r="BG29"/>
  <c r="BI29"/>
  <c r="BM29"/>
  <c r="BE29" s="1"/>
  <c r="BQ29"/>
  <c r="BZ29"/>
  <c r="CB29"/>
  <c r="CG29"/>
  <c r="CD29" s="1"/>
  <c r="CH29"/>
  <c r="CU29"/>
  <c r="CW29"/>
  <c r="DA29"/>
  <c r="CS29" s="1"/>
  <c r="DP29"/>
  <c r="EF29"/>
  <c r="EM29"/>
  <c r="FD29"/>
  <c r="P26" i="45" s="1"/>
  <c r="FQ29" i="43"/>
  <c r="O30"/>
  <c r="AC30"/>
  <c r="AD30"/>
  <c r="AE30"/>
  <c r="AF30"/>
  <c r="F27" i="45" s="1"/>
  <c r="AG30" i="43"/>
  <c r="G27" i="45" s="1"/>
  <c r="AW30" i="43"/>
  <c r="AX30"/>
  <c r="BG30"/>
  <c r="BI30"/>
  <c r="BM30"/>
  <c r="BE30" s="1"/>
  <c r="BZ30"/>
  <c r="CB30"/>
  <c r="CG30"/>
  <c r="CH30"/>
  <c r="CU30"/>
  <c r="CW30"/>
  <c r="DA30"/>
  <c r="CS30" s="1"/>
  <c r="DP30"/>
  <c r="Q27" i="45" s="1"/>
  <c r="R27" s="1"/>
  <c r="EF30" i="43"/>
  <c r="EM30"/>
  <c r="FD30"/>
  <c r="P27" i="45" s="1"/>
  <c r="FQ30" i="43"/>
  <c r="O31"/>
  <c r="AC31"/>
  <c r="AD31"/>
  <c r="AE31"/>
  <c r="E28" i="45" s="1"/>
  <c r="AF31" i="43"/>
  <c r="F28" i="45" s="1"/>
  <c r="AG31" i="43"/>
  <c r="G28" i="45" s="1"/>
  <c r="AM31" i="43"/>
  <c r="AW31"/>
  <c r="AX31"/>
  <c r="BG31"/>
  <c r="BI31"/>
  <c r="BM31"/>
  <c r="BE31" s="1"/>
  <c r="BZ31"/>
  <c r="CB31"/>
  <c r="CG31"/>
  <c r="CD31" s="1"/>
  <c r="AS31" s="1"/>
  <c r="CH31"/>
  <c r="CU31"/>
  <c r="CW31"/>
  <c r="DA31"/>
  <c r="CS31" s="1"/>
  <c r="DP31"/>
  <c r="EF31"/>
  <c r="EM31"/>
  <c r="FD31"/>
  <c r="P28" i="45" s="1"/>
  <c r="FQ31" i="43"/>
  <c r="O32"/>
  <c r="AC32"/>
  <c r="AD32"/>
  <c r="AE32"/>
  <c r="AF32"/>
  <c r="F29" i="45" s="1"/>
  <c r="AG32" i="43"/>
  <c r="G29" i="45" s="1"/>
  <c r="AL32" i="43"/>
  <c r="AM32" s="1"/>
  <c r="AW32"/>
  <c r="AX32"/>
  <c r="BG32"/>
  <c r="BI32"/>
  <c r="BM32"/>
  <c r="BE32" s="1"/>
  <c r="BZ32"/>
  <c r="CB32"/>
  <c r="CG32"/>
  <c r="CD32" s="1"/>
  <c r="AS32" s="1"/>
  <c r="CH32"/>
  <c r="CU32"/>
  <c r="CW32"/>
  <c r="DA32"/>
  <c r="CS32" s="1"/>
  <c r="DP32"/>
  <c r="Q29" i="45" s="1"/>
  <c r="R29" s="1"/>
  <c r="EF32" i="43"/>
  <c r="EM32"/>
  <c r="FD32"/>
  <c r="P29" i="45" s="1"/>
  <c r="FQ32" i="43"/>
  <c r="O33"/>
  <c r="BQ33" s="1"/>
  <c r="AC33"/>
  <c r="AD33"/>
  <c r="AE33"/>
  <c r="E30" i="45" s="1"/>
  <c r="AF33" i="43"/>
  <c r="AG33"/>
  <c r="G30" i="45" s="1"/>
  <c r="AL33" i="43"/>
  <c r="AW33"/>
  <c r="AX33"/>
  <c r="BG33"/>
  <c r="BI33"/>
  <c r="BM33"/>
  <c r="BE33" s="1"/>
  <c r="BZ33"/>
  <c r="CB33"/>
  <c r="CG33"/>
  <c r="CD33" s="1"/>
  <c r="CH33"/>
  <c r="CU33"/>
  <c r="CW33"/>
  <c r="DA33"/>
  <c r="CS33" s="1"/>
  <c r="DP33"/>
  <c r="EF33"/>
  <c r="EM33"/>
  <c r="FD33"/>
  <c r="P30" i="45" s="1"/>
  <c r="FQ33" i="43"/>
  <c r="O34"/>
  <c r="AC34"/>
  <c r="AD34"/>
  <c r="AE34"/>
  <c r="AF34"/>
  <c r="F31" i="45" s="1"/>
  <c r="AG34" i="43"/>
  <c r="G31" i="45" s="1"/>
  <c r="AL34" i="43"/>
  <c r="AW34"/>
  <c r="AX34"/>
  <c r="BG34"/>
  <c r="BI34"/>
  <c r="BM34"/>
  <c r="BE34" s="1"/>
  <c r="BZ34"/>
  <c r="CB34"/>
  <c r="CG34"/>
  <c r="CD34" s="1"/>
  <c r="CH34"/>
  <c r="CU34"/>
  <c r="CW34"/>
  <c r="DA34"/>
  <c r="CS34" s="1"/>
  <c r="DP34"/>
  <c r="EF34"/>
  <c r="EM34"/>
  <c r="FD34"/>
  <c r="P31" i="45" s="1"/>
  <c r="FQ34" i="43"/>
  <c r="O35"/>
  <c r="AC35"/>
  <c r="AD35"/>
  <c r="AE35"/>
  <c r="E32" i="45" s="1"/>
  <c r="AF35" i="43"/>
  <c r="F32" i="45" s="1"/>
  <c r="AG35" i="43"/>
  <c r="G32" i="45" s="1"/>
  <c r="AL35" i="43"/>
  <c r="AW35"/>
  <c r="AX35"/>
  <c r="BG35"/>
  <c r="BI35"/>
  <c r="BM35"/>
  <c r="BE35" s="1"/>
  <c r="BZ35"/>
  <c r="CB35"/>
  <c r="CG35"/>
  <c r="CH35"/>
  <c r="CL35"/>
  <c r="CU35"/>
  <c r="CW35"/>
  <c r="DA35"/>
  <c r="CS35" s="1"/>
  <c r="DE35"/>
  <c r="DP35"/>
  <c r="Q32" i="45" s="1"/>
  <c r="R32" s="1"/>
  <c r="EF35" i="43"/>
  <c r="EM35"/>
  <c r="FD35"/>
  <c r="P32" i="45" s="1"/>
  <c r="FQ35" i="43"/>
  <c r="O36"/>
  <c r="AC36"/>
  <c r="AD36"/>
  <c r="AE36"/>
  <c r="AF36"/>
  <c r="F33" i="45" s="1"/>
  <c r="AG36" i="43"/>
  <c r="G33" i="45" s="1"/>
  <c r="AL36" i="43"/>
  <c r="AW36"/>
  <c r="AX36"/>
  <c r="BG36"/>
  <c r="BI36"/>
  <c r="BM36"/>
  <c r="BE36" s="1"/>
  <c r="BZ36"/>
  <c r="CB36"/>
  <c r="CG36"/>
  <c r="CD36" s="1"/>
  <c r="AS36" s="1"/>
  <c r="CH36"/>
  <c r="CL36"/>
  <c r="CU36"/>
  <c r="CW36"/>
  <c r="DA36"/>
  <c r="CS36" s="1"/>
  <c r="DE36"/>
  <c r="DP36"/>
  <c r="EF36"/>
  <c r="EM36"/>
  <c r="FD36"/>
  <c r="P33" i="45" s="1"/>
  <c r="FQ36" i="43"/>
  <c r="O37"/>
  <c r="BQ37" s="1"/>
  <c r="AC37"/>
  <c r="AD37"/>
  <c r="AE37"/>
  <c r="AF37"/>
  <c r="F34" i="45" s="1"/>
  <c r="AG37" i="43"/>
  <c r="G34" i="45" s="1"/>
  <c r="AL37" i="43"/>
  <c r="AW37"/>
  <c r="AX37"/>
  <c r="BG37"/>
  <c r="BI37"/>
  <c r="BM37"/>
  <c r="BE37" s="1"/>
  <c r="BZ37"/>
  <c r="CB37"/>
  <c r="CG37"/>
  <c r="CD37" s="1"/>
  <c r="AS37" s="1"/>
  <c r="CH37"/>
  <c r="CU37"/>
  <c r="CW37"/>
  <c r="DA37"/>
  <c r="CS37" s="1"/>
  <c r="DP37"/>
  <c r="Q34" i="45" s="1"/>
  <c r="R34" s="1"/>
  <c r="EF37" i="43"/>
  <c r="EM37"/>
  <c r="FD37"/>
  <c r="P34" i="45" s="1"/>
  <c r="FQ37" i="43"/>
  <c r="O38"/>
  <c r="AC38"/>
  <c r="AD38"/>
  <c r="AE38"/>
  <c r="E35" i="45" s="1"/>
  <c r="AF38" i="43"/>
  <c r="AG38"/>
  <c r="G35" i="45" s="1"/>
  <c r="AL38" i="43"/>
  <c r="AW38"/>
  <c r="AX38"/>
  <c r="BG38"/>
  <c r="BI38"/>
  <c r="BM38"/>
  <c r="BE38" s="1"/>
  <c r="BZ38"/>
  <c r="CB38"/>
  <c r="CG38"/>
  <c r="CD38" s="1"/>
  <c r="CH38"/>
  <c r="CL38"/>
  <c r="CU38"/>
  <c r="CW38"/>
  <c r="DA38"/>
  <c r="CS38" s="1"/>
  <c r="DE38"/>
  <c r="DP38"/>
  <c r="Q35" i="45" s="1"/>
  <c r="R35" s="1"/>
  <c r="EF38" i="43"/>
  <c r="EM38"/>
  <c r="FD38"/>
  <c r="P35" i="45" s="1"/>
  <c r="FQ38" i="43"/>
  <c r="O39"/>
  <c r="AC39"/>
  <c r="AD39"/>
  <c r="AE39"/>
  <c r="E36" i="45" s="1"/>
  <c r="AF39" i="43"/>
  <c r="AG39"/>
  <c r="G36" i="45" s="1"/>
  <c r="AL39" i="43"/>
  <c r="AW39"/>
  <c r="AX39"/>
  <c r="BG39"/>
  <c r="BI39"/>
  <c r="BM39"/>
  <c r="BE39" s="1"/>
  <c r="BZ39"/>
  <c r="CB39"/>
  <c r="CG39"/>
  <c r="CH39"/>
  <c r="CU39"/>
  <c r="CW39"/>
  <c r="DA39"/>
  <c r="CS39" s="1"/>
  <c r="DP39"/>
  <c r="EF39"/>
  <c r="EM39"/>
  <c r="FD39"/>
  <c r="P36" i="45" s="1"/>
  <c r="FQ39" i="43"/>
  <c r="O40"/>
  <c r="AC40"/>
  <c r="AD40"/>
  <c r="AE40"/>
  <c r="E37" i="45" s="1"/>
  <c r="AF40" i="43"/>
  <c r="F37" i="45" s="1"/>
  <c r="AG40" i="43"/>
  <c r="G37" i="45" s="1"/>
  <c r="AL40" i="43"/>
  <c r="AW40"/>
  <c r="AX40"/>
  <c r="BG40"/>
  <c r="BI40"/>
  <c r="BM40"/>
  <c r="BE40" s="1"/>
  <c r="BZ40"/>
  <c r="CB40"/>
  <c r="CG40"/>
  <c r="CD40" s="1"/>
  <c r="AS40" s="1"/>
  <c r="CH40"/>
  <c r="CL40"/>
  <c r="CU40"/>
  <c r="CW40"/>
  <c r="DA40"/>
  <c r="CS40" s="1"/>
  <c r="DE40"/>
  <c r="DP40"/>
  <c r="EF40"/>
  <c r="EM40"/>
  <c r="FD40"/>
  <c r="P37" i="45" s="1"/>
  <c r="FQ40" i="43"/>
  <c r="O41"/>
  <c r="AC41"/>
  <c r="AD41"/>
  <c r="AE41"/>
  <c r="AF41"/>
  <c r="F38" i="45" s="1"/>
  <c r="AG41" i="43"/>
  <c r="G38" i="45" s="1"/>
  <c r="AL41" i="43"/>
  <c r="AW41"/>
  <c r="AX41"/>
  <c r="BG41"/>
  <c r="BI41"/>
  <c r="BM41"/>
  <c r="BE41" s="1"/>
  <c r="BQ41"/>
  <c r="BZ41"/>
  <c r="CB41"/>
  <c r="CG41"/>
  <c r="CD41" s="1"/>
  <c r="AS41" s="1"/>
  <c r="CH41"/>
  <c r="CU41"/>
  <c r="CW41"/>
  <c r="DA41"/>
  <c r="CS41" s="1"/>
  <c r="DP41"/>
  <c r="Q38" i="45" s="1"/>
  <c r="R38" s="1"/>
  <c r="EF41" i="43"/>
  <c r="EM41"/>
  <c r="FD41"/>
  <c r="P38" i="45" s="1"/>
  <c r="FQ41" i="43"/>
  <c r="O42"/>
  <c r="AC42"/>
  <c r="AD42"/>
  <c r="AE42"/>
  <c r="E39" i="45" s="1"/>
  <c r="AF42" i="43"/>
  <c r="F39" i="45" s="1"/>
  <c r="AG42" i="43"/>
  <c r="G39" i="45" s="1"/>
  <c r="AL42" i="43"/>
  <c r="AM43" s="1"/>
  <c r="AW42"/>
  <c r="AX42"/>
  <c r="BG42"/>
  <c r="BI42"/>
  <c r="BM42"/>
  <c r="BE42" s="1"/>
  <c r="BZ42"/>
  <c r="CB42"/>
  <c r="CG42"/>
  <c r="CD42" s="1"/>
  <c r="AS42" s="1"/>
  <c r="CH42"/>
  <c r="CU42"/>
  <c r="CW42"/>
  <c r="DA42"/>
  <c r="CS42" s="1"/>
  <c r="DP42"/>
  <c r="DQ43" s="1"/>
  <c r="EF42"/>
  <c r="EM42"/>
  <c r="FD42"/>
  <c r="P39" i="45" s="1"/>
  <c r="FQ42" i="43"/>
  <c r="DP13"/>
  <c r="DP12"/>
  <c r="DP11"/>
  <c r="FQ11"/>
  <c r="FQ12"/>
  <c r="FQ13"/>
  <c r="FQ14"/>
  <c r="FQ15"/>
  <c r="FQ16"/>
  <c r="FQ17"/>
  <c r="U11" i="24"/>
  <c r="U12"/>
  <c r="U13"/>
  <c r="U14"/>
  <c r="U15"/>
  <c r="U16"/>
  <c r="U17"/>
  <c r="F12"/>
  <c r="F13"/>
  <c r="F14"/>
  <c r="F15"/>
  <c r="F16"/>
  <c r="F17"/>
  <c r="E381" i="43"/>
  <c r="D381"/>
  <c r="E380"/>
  <c r="D380"/>
  <c r="E379"/>
  <c r="D379"/>
  <c r="E378"/>
  <c r="D378"/>
  <c r="E377"/>
  <c r="D377"/>
  <c r="E376"/>
  <c r="D376"/>
  <c r="E375"/>
  <c r="D375"/>
  <c r="E374"/>
  <c r="D374"/>
  <c r="E373"/>
  <c r="D373"/>
  <c r="E372"/>
  <c r="D372"/>
  <c r="E371"/>
  <c r="D371"/>
  <c r="E370"/>
  <c r="D370"/>
  <c r="E369"/>
  <c r="D369"/>
  <c r="E368"/>
  <c r="D368"/>
  <c r="E367"/>
  <c r="D367"/>
  <c r="E366"/>
  <c r="D366"/>
  <c r="E365"/>
  <c r="D365"/>
  <c r="E364"/>
  <c r="D364"/>
  <c r="E363"/>
  <c r="D363"/>
  <c r="E362"/>
  <c r="D362"/>
  <c r="E361"/>
  <c r="D361"/>
  <c r="E360"/>
  <c r="D360"/>
  <c r="E359"/>
  <c r="D359"/>
  <c r="E358"/>
  <c r="D358"/>
  <c r="E357"/>
  <c r="D357"/>
  <c r="E356"/>
  <c r="D356"/>
  <c r="E355"/>
  <c r="D355"/>
  <c r="E354"/>
  <c r="D354"/>
  <c r="E353"/>
  <c r="D353"/>
  <c r="E352"/>
  <c r="D352"/>
  <c r="E351"/>
  <c r="D351"/>
  <c r="E350"/>
  <c r="D350"/>
  <c r="E349"/>
  <c r="D349"/>
  <c r="E348"/>
  <c r="D348"/>
  <c r="E347"/>
  <c r="D347"/>
  <c r="E346"/>
  <c r="D346"/>
  <c r="E345"/>
  <c r="D345"/>
  <c r="E344"/>
  <c r="D344"/>
  <c r="E343"/>
  <c r="D343"/>
  <c r="E342"/>
  <c r="D342"/>
  <c r="E341"/>
  <c r="D341"/>
  <c r="E340"/>
  <c r="D340"/>
  <c r="E339"/>
  <c r="D339"/>
  <c r="E338"/>
  <c r="D338"/>
  <c r="E337"/>
  <c r="D337"/>
  <c r="E336"/>
  <c r="D336"/>
  <c r="E335"/>
  <c r="D335"/>
  <c r="E334"/>
  <c r="D334"/>
  <c r="E333"/>
  <c r="D333"/>
  <c r="E332"/>
  <c r="D332"/>
  <c r="E331"/>
  <c r="D331"/>
  <c r="E330"/>
  <c r="D330"/>
  <c r="E329"/>
  <c r="D329"/>
  <c r="E328"/>
  <c r="D328"/>
  <c r="E327"/>
  <c r="D327"/>
  <c r="E326"/>
  <c r="D326"/>
  <c r="E325"/>
  <c r="D325"/>
  <c r="E324"/>
  <c r="D324"/>
  <c r="E323"/>
  <c r="D323"/>
  <c r="E322"/>
  <c r="D322"/>
  <c r="E321"/>
  <c r="D321"/>
  <c r="E320"/>
  <c r="D320"/>
  <c r="E319"/>
  <c r="D319"/>
  <c r="E318"/>
  <c r="D318"/>
  <c r="E317"/>
  <c r="D317"/>
  <c r="E316"/>
  <c r="D316"/>
  <c r="E315"/>
  <c r="D315"/>
  <c r="E314"/>
  <c r="D314"/>
  <c r="E313"/>
  <c r="D313"/>
  <c r="E312"/>
  <c r="D312"/>
  <c r="E311"/>
  <c r="D311"/>
  <c r="E310"/>
  <c r="D310"/>
  <c r="E309"/>
  <c r="D309"/>
  <c r="E308"/>
  <c r="D308"/>
  <c r="E307"/>
  <c r="D307"/>
  <c r="E306"/>
  <c r="D306"/>
  <c r="E305"/>
  <c r="D305"/>
  <c r="E304"/>
  <c r="D304"/>
  <c r="E303"/>
  <c r="D303"/>
  <c r="E302"/>
  <c r="D302"/>
  <c r="E301"/>
  <c r="D301"/>
  <c r="E300"/>
  <c r="D300"/>
  <c r="E299"/>
  <c r="D299"/>
  <c r="E298"/>
  <c r="D298"/>
  <c r="E297"/>
  <c r="D297"/>
  <c r="E296"/>
  <c r="D296"/>
  <c r="E295"/>
  <c r="D295"/>
  <c r="E294"/>
  <c r="D294"/>
  <c r="E293"/>
  <c r="D293"/>
  <c r="E292"/>
  <c r="D292"/>
  <c r="E291"/>
  <c r="D291"/>
  <c r="E290"/>
  <c r="D290"/>
  <c r="E289"/>
  <c r="D289"/>
  <c r="E288"/>
  <c r="D288"/>
  <c r="E287"/>
  <c r="D287"/>
  <c r="E286"/>
  <c r="D286"/>
  <c r="E285"/>
  <c r="D285"/>
  <c r="E284"/>
  <c r="D284"/>
  <c r="E283"/>
  <c r="D283"/>
  <c r="E282"/>
  <c r="D282"/>
  <c r="E281"/>
  <c r="D281"/>
  <c r="E280"/>
  <c r="D280"/>
  <c r="E279"/>
  <c r="D279"/>
  <c r="E278"/>
  <c r="D278"/>
  <c r="E277"/>
  <c r="D277"/>
  <c r="E276"/>
  <c r="D276"/>
  <c r="E275"/>
  <c r="D275"/>
  <c r="E274"/>
  <c r="D274"/>
  <c r="E273"/>
  <c r="D273"/>
  <c r="E272"/>
  <c r="D272"/>
  <c r="E271"/>
  <c r="D271"/>
  <c r="E270"/>
  <c r="D270"/>
  <c r="E269"/>
  <c r="D269"/>
  <c r="E268"/>
  <c r="D268"/>
  <c r="E267"/>
  <c r="D267"/>
  <c r="E266"/>
  <c r="D266"/>
  <c r="E265"/>
  <c r="D265"/>
  <c r="E264"/>
  <c r="D264"/>
  <c r="E263"/>
  <c r="D263"/>
  <c r="E262"/>
  <c r="D262"/>
  <c r="E261"/>
  <c r="D261"/>
  <c r="E260"/>
  <c r="D260"/>
  <c r="E259"/>
  <c r="D259"/>
  <c r="E258"/>
  <c r="D258"/>
  <c r="E257"/>
  <c r="D257"/>
  <c r="E256"/>
  <c r="M253" i="45" s="1"/>
  <c r="D256" i="43"/>
  <c r="N253" i="45" s="1"/>
  <c r="E255" i="43"/>
  <c r="M252" i="45" s="1"/>
  <c r="D255" i="43"/>
  <c r="N252" i="45" s="1"/>
  <c r="E254" i="43"/>
  <c r="M251" i="45" s="1"/>
  <c r="D254" i="43"/>
  <c r="N251" i="45" s="1"/>
  <c r="E253" i="43"/>
  <c r="M250" i="45" s="1"/>
  <c r="D253" i="43"/>
  <c r="N250" i="45" s="1"/>
  <c r="E252" i="43"/>
  <c r="M249" i="45" s="1"/>
  <c r="D252" i="43"/>
  <c r="N249" i="45" s="1"/>
  <c r="E251" i="43"/>
  <c r="M248" i="45" s="1"/>
  <c r="D251" i="43"/>
  <c r="N248" i="45" s="1"/>
  <c r="E250" i="43"/>
  <c r="M247" i="45" s="1"/>
  <c r="D250" i="43"/>
  <c r="N247" i="45" s="1"/>
  <c r="E249" i="43"/>
  <c r="M246" i="45" s="1"/>
  <c r="D249" i="43"/>
  <c r="N246" i="45" s="1"/>
  <c r="E248" i="43"/>
  <c r="M245" i="45" s="1"/>
  <c r="D248" i="43"/>
  <c r="N245" i="45" s="1"/>
  <c r="E247" i="43"/>
  <c r="M244" i="45" s="1"/>
  <c r="D247" i="43"/>
  <c r="N244" i="45" s="1"/>
  <c r="E246" i="43"/>
  <c r="M243" i="45" s="1"/>
  <c r="D246" i="43"/>
  <c r="N243" i="45" s="1"/>
  <c r="E245" i="43"/>
  <c r="M242" i="45" s="1"/>
  <c r="D245" i="43"/>
  <c r="N242" i="45" s="1"/>
  <c r="E244" i="43"/>
  <c r="M241" i="45" s="1"/>
  <c r="D244" i="43"/>
  <c r="N241" i="45" s="1"/>
  <c r="E243" i="43"/>
  <c r="M240" i="45" s="1"/>
  <c r="D243" i="43"/>
  <c r="N240" i="45" s="1"/>
  <c r="E242" i="43"/>
  <c r="M239" i="45" s="1"/>
  <c r="D242" i="43"/>
  <c r="N239" i="45" s="1"/>
  <c r="E241" i="43"/>
  <c r="M238" i="45" s="1"/>
  <c r="D241" i="43"/>
  <c r="N238" i="45" s="1"/>
  <c r="E240" i="43"/>
  <c r="M237" i="45" s="1"/>
  <c r="D240" i="43"/>
  <c r="N237" i="45" s="1"/>
  <c r="E239" i="43"/>
  <c r="M236" i="45" s="1"/>
  <c r="D239" i="43"/>
  <c r="N236" i="45" s="1"/>
  <c r="E238" i="43"/>
  <c r="M235" i="45" s="1"/>
  <c r="D238" i="43"/>
  <c r="N235" i="45" s="1"/>
  <c r="E237" i="43"/>
  <c r="M234" i="45" s="1"/>
  <c r="D237" i="43"/>
  <c r="N234" i="45" s="1"/>
  <c r="E236" i="43"/>
  <c r="M233" i="45" s="1"/>
  <c r="D236" i="43"/>
  <c r="N233" i="45" s="1"/>
  <c r="E235" i="43"/>
  <c r="M232" i="45" s="1"/>
  <c r="D235" i="43"/>
  <c r="N232" i="45" s="1"/>
  <c r="E234" i="43"/>
  <c r="M231" i="45" s="1"/>
  <c r="D234" i="43"/>
  <c r="N231" i="45" s="1"/>
  <c r="E233" i="43"/>
  <c r="M230" i="45" s="1"/>
  <c r="D233" i="43"/>
  <c r="N230" i="45" s="1"/>
  <c r="E232" i="43"/>
  <c r="M229" i="45" s="1"/>
  <c r="D232" i="43"/>
  <c r="N229" i="45" s="1"/>
  <c r="E231" i="43"/>
  <c r="M228" i="45" s="1"/>
  <c r="D231" i="43"/>
  <c r="N228" i="45" s="1"/>
  <c r="E230" i="43"/>
  <c r="M227" i="45" s="1"/>
  <c r="D230" i="43"/>
  <c r="N227" i="45" s="1"/>
  <c r="E229" i="43"/>
  <c r="M226" i="45" s="1"/>
  <c r="D229" i="43"/>
  <c r="N226" i="45" s="1"/>
  <c r="E228" i="43"/>
  <c r="M225" i="45" s="1"/>
  <c r="D228" i="43"/>
  <c r="N225" i="45" s="1"/>
  <c r="E227" i="43"/>
  <c r="M224" i="45" s="1"/>
  <c r="D227" i="43"/>
  <c r="N224" i="45" s="1"/>
  <c r="E226" i="43"/>
  <c r="M223" i="45" s="1"/>
  <c r="D226" i="43"/>
  <c r="N223" i="45" s="1"/>
  <c r="E225" i="43"/>
  <c r="M222" i="45" s="1"/>
  <c r="D225" i="43"/>
  <c r="N222" i="45" s="1"/>
  <c r="E224" i="43"/>
  <c r="M221" i="45" s="1"/>
  <c r="D224" i="43"/>
  <c r="N221" i="45" s="1"/>
  <c r="E223" i="43"/>
  <c r="M220" i="45" s="1"/>
  <c r="D223" i="43"/>
  <c r="N220" i="45" s="1"/>
  <c r="E222" i="43"/>
  <c r="M219" i="45" s="1"/>
  <c r="D222" i="43"/>
  <c r="N219" i="45" s="1"/>
  <c r="E221" i="43"/>
  <c r="M218" i="45" s="1"/>
  <c r="D221" i="43"/>
  <c r="N218" i="45" s="1"/>
  <c r="E220" i="43"/>
  <c r="M217" i="45" s="1"/>
  <c r="D220" i="43"/>
  <c r="N217" i="45" s="1"/>
  <c r="E219" i="43"/>
  <c r="M216" i="45" s="1"/>
  <c r="D219" i="43"/>
  <c r="N216" i="45" s="1"/>
  <c r="E218" i="43"/>
  <c r="M215" i="45" s="1"/>
  <c r="D218" i="43"/>
  <c r="N215" i="45" s="1"/>
  <c r="E217" i="43"/>
  <c r="M214" i="45" s="1"/>
  <c r="D217" i="43"/>
  <c r="N214" i="45" s="1"/>
  <c r="E216" i="43"/>
  <c r="M213" i="45" s="1"/>
  <c r="D216" i="43"/>
  <c r="N213" i="45" s="1"/>
  <c r="E215" i="43"/>
  <c r="M212" i="45" s="1"/>
  <c r="D215" i="43"/>
  <c r="N212" i="45" s="1"/>
  <c r="E214" i="43"/>
  <c r="M211" i="45" s="1"/>
  <c r="D214" i="43"/>
  <c r="N211" i="45" s="1"/>
  <c r="E213" i="43"/>
  <c r="M210" i="45" s="1"/>
  <c r="D213" i="43"/>
  <c r="N210" i="45" s="1"/>
  <c r="E212" i="43"/>
  <c r="M209" i="45" s="1"/>
  <c r="D212" i="43"/>
  <c r="N209" i="45" s="1"/>
  <c r="E211" i="43"/>
  <c r="M208" i="45" s="1"/>
  <c r="D211" i="43"/>
  <c r="N208" i="45" s="1"/>
  <c r="E210" i="43"/>
  <c r="M207" i="45" s="1"/>
  <c r="D210" i="43"/>
  <c r="N207" i="45" s="1"/>
  <c r="E209" i="43"/>
  <c r="M206" i="45" s="1"/>
  <c r="D209" i="43"/>
  <c r="N206" i="45" s="1"/>
  <c r="E208" i="43"/>
  <c r="M205" i="45" s="1"/>
  <c r="D208" i="43"/>
  <c r="N205" i="45" s="1"/>
  <c r="E207" i="43"/>
  <c r="M204" i="45" s="1"/>
  <c r="D207" i="43"/>
  <c r="N204" i="45" s="1"/>
  <c r="E206" i="43"/>
  <c r="M203" i="45" s="1"/>
  <c r="D206" i="43"/>
  <c r="N203" i="45" s="1"/>
  <c r="E205" i="43"/>
  <c r="M202" i="45" s="1"/>
  <c r="D205" i="43"/>
  <c r="N202" i="45" s="1"/>
  <c r="E204" i="43"/>
  <c r="M201" i="45" s="1"/>
  <c r="D204" i="43"/>
  <c r="N201" i="45" s="1"/>
  <c r="E203" i="43"/>
  <c r="M200" i="45" s="1"/>
  <c r="D203" i="43"/>
  <c r="N200" i="45" s="1"/>
  <c r="E202" i="43"/>
  <c r="M199" i="45" s="1"/>
  <c r="D202" i="43"/>
  <c r="N199" i="45" s="1"/>
  <c r="E201" i="43"/>
  <c r="M198" i="45" s="1"/>
  <c r="D201" i="43"/>
  <c r="N198" i="45" s="1"/>
  <c r="E200" i="43"/>
  <c r="M197" i="45" s="1"/>
  <c r="D200" i="43"/>
  <c r="E199"/>
  <c r="D199"/>
  <c r="E198"/>
  <c r="D198"/>
  <c r="E197"/>
  <c r="D197"/>
  <c r="E196"/>
  <c r="D196"/>
  <c r="E195"/>
  <c r="D195"/>
  <c r="E194"/>
  <c r="D194"/>
  <c r="E193"/>
  <c r="D193"/>
  <c r="E192"/>
  <c r="D192"/>
  <c r="E191"/>
  <c r="D191"/>
  <c r="E190"/>
  <c r="D190"/>
  <c r="E189"/>
  <c r="D189"/>
  <c r="E188"/>
  <c r="D188"/>
  <c r="E187"/>
  <c r="D187"/>
  <c r="E186"/>
  <c r="D186"/>
  <c r="E185"/>
  <c r="D185"/>
  <c r="E184"/>
  <c r="D184"/>
  <c r="E183"/>
  <c r="D183"/>
  <c r="E182"/>
  <c r="D182"/>
  <c r="E181"/>
  <c r="D181"/>
  <c r="J181" s="1"/>
  <c r="E180"/>
  <c r="D180"/>
  <c r="E179"/>
  <c r="D179"/>
  <c r="E178"/>
  <c r="D178"/>
  <c r="E177"/>
  <c r="D177"/>
  <c r="E176"/>
  <c r="D176"/>
  <c r="E175"/>
  <c r="D175"/>
  <c r="E174"/>
  <c r="D174"/>
  <c r="E173"/>
  <c r="M170" i="45" s="1"/>
  <c r="D173" i="43"/>
  <c r="N170" i="45" s="1"/>
  <c r="E172" i="43"/>
  <c r="M169" i="45" s="1"/>
  <c r="D172" i="43"/>
  <c r="N169" i="45" s="1"/>
  <c r="E171" i="43"/>
  <c r="M168" i="45" s="1"/>
  <c r="D171" i="43"/>
  <c r="N168" i="45" s="1"/>
  <c r="E170" i="43"/>
  <c r="M167" i="45" s="1"/>
  <c r="D170" i="43"/>
  <c r="N167" i="45" s="1"/>
  <c r="E169" i="43"/>
  <c r="M166" i="45" s="1"/>
  <c r="D169" i="43"/>
  <c r="N166" i="45" s="1"/>
  <c r="E168" i="43"/>
  <c r="M165" i="45" s="1"/>
  <c r="D168" i="43"/>
  <c r="N165" i="45" s="1"/>
  <c r="E167" i="43"/>
  <c r="M164" i="45" s="1"/>
  <c r="D167" i="43"/>
  <c r="N164" i="45" s="1"/>
  <c r="E166" i="43"/>
  <c r="M163" i="45" s="1"/>
  <c r="D166" i="43"/>
  <c r="N163" i="45" s="1"/>
  <c r="E165" i="43"/>
  <c r="M162" i="45" s="1"/>
  <c r="D165" i="43"/>
  <c r="N162" i="45" s="1"/>
  <c r="E164" i="43"/>
  <c r="M161" i="45" s="1"/>
  <c r="D164" i="43"/>
  <c r="N161" i="45" s="1"/>
  <c r="E163" i="43"/>
  <c r="M160" i="45" s="1"/>
  <c r="D163" i="43"/>
  <c r="N160" i="45" s="1"/>
  <c r="E162" i="43"/>
  <c r="M159" i="45" s="1"/>
  <c r="D162" i="43"/>
  <c r="N159" i="45" s="1"/>
  <c r="E161" i="43"/>
  <c r="M158" i="45" s="1"/>
  <c r="D161" i="43"/>
  <c r="N158" i="45" s="1"/>
  <c r="E160" i="43"/>
  <c r="M157" i="45" s="1"/>
  <c r="D160" i="43"/>
  <c r="N157" i="45" s="1"/>
  <c r="E159" i="43"/>
  <c r="M156" i="45" s="1"/>
  <c r="D159" i="43"/>
  <c r="N156" i="45" s="1"/>
  <c r="E158" i="43"/>
  <c r="M155" i="45" s="1"/>
  <c r="D158" i="43"/>
  <c r="N155" i="45" s="1"/>
  <c r="E157" i="43"/>
  <c r="M154" i="45" s="1"/>
  <c r="D157" i="43"/>
  <c r="N154" i="45" s="1"/>
  <c r="E156" i="43"/>
  <c r="M153" i="45" s="1"/>
  <c r="D156" i="43"/>
  <c r="N153" i="45" s="1"/>
  <c r="E155" i="43"/>
  <c r="M152" i="45" s="1"/>
  <c r="D155" i="43"/>
  <c r="N152" i="45" s="1"/>
  <c r="E154" i="43"/>
  <c r="M151" i="45" s="1"/>
  <c r="D154" i="43"/>
  <c r="N151" i="45" s="1"/>
  <c r="E153" i="43"/>
  <c r="M150" i="45" s="1"/>
  <c r="D153" i="43"/>
  <c r="N150" i="45" s="1"/>
  <c r="E152" i="43"/>
  <c r="M149" i="45" s="1"/>
  <c r="D152" i="43"/>
  <c r="N149" i="45" s="1"/>
  <c r="E151" i="43"/>
  <c r="M148" i="45" s="1"/>
  <c r="D151" i="43"/>
  <c r="N148" i="45" s="1"/>
  <c r="E150" i="43"/>
  <c r="M147" i="45" s="1"/>
  <c r="D150" i="43"/>
  <c r="E149"/>
  <c r="M146" i="45" s="1"/>
  <c r="D149" i="43"/>
  <c r="E148"/>
  <c r="M145" i="45" s="1"/>
  <c r="D148" i="43"/>
  <c r="N145" i="45" s="1"/>
  <c r="E147" i="43"/>
  <c r="M144" i="45" s="1"/>
  <c r="D147" i="43"/>
  <c r="N144" i="45" s="1"/>
  <c r="E146" i="43"/>
  <c r="M143" i="45" s="1"/>
  <c r="D146" i="43"/>
  <c r="N143" i="45" s="1"/>
  <c r="E145" i="43"/>
  <c r="M142" i="45" s="1"/>
  <c r="D145" i="43"/>
  <c r="N142" i="45" s="1"/>
  <c r="E144" i="43"/>
  <c r="M141" i="45" s="1"/>
  <c r="D144" i="43"/>
  <c r="N141" i="45" s="1"/>
  <c r="E143" i="43"/>
  <c r="M140" i="45" s="1"/>
  <c r="D143" i="43"/>
  <c r="N140" i="45" s="1"/>
  <c r="E142" i="43"/>
  <c r="M139" i="45" s="1"/>
  <c r="D142" i="43"/>
  <c r="N139" i="45" s="1"/>
  <c r="E141" i="43"/>
  <c r="M138" i="45" s="1"/>
  <c r="D141" i="43"/>
  <c r="N138" i="45" s="1"/>
  <c r="E140" i="43"/>
  <c r="M137" i="45" s="1"/>
  <c r="D140" i="43"/>
  <c r="N137" i="45" s="1"/>
  <c r="E139" i="43"/>
  <c r="M136" i="45" s="1"/>
  <c r="D139" i="43"/>
  <c r="N136" i="45" s="1"/>
  <c r="E138" i="43"/>
  <c r="M135" i="45" s="1"/>
  <c r="D138" i="43"/>
  <c r="N135" i="45" s="1"/>
  <c r="E137" i="43"/>
  <c r="M134" i="45" s="1"/>
  <c r="D137" i="43"/>
  <c r="N134" i="45" s="1"/>
  <c r="E136" i="43"/>
  <c r="M133" i="45" s="1"/>
  <c r="D136" i="43"/>
  <c r="N133" i="45" s="1"/>
  <c r="E135" i="43"/>
  <c r="M132" i="45" s="1"/>
  <c r="D135" i="43"/>
  <c r="N132" i="45" s="1"/>
  <c r="E134" i="43"/>
  <c r="M131" i="45" s="1"/>
  <c r="D134" i="43"/>
  <c r="N131" i="45" s="1"/>
  <c r="E133" i="43"/>
  <c r="M130" i="45" s="1"/>
  <c r="D133" i="43"/>
  <c r="N130" i="45" s="1"/>
  <c r="E132" i="43"/>
  <c r="M129" i="45" s="1"/>
  <c r="D132" i="43"/>
  <c r="N129" i="45" s="1"/>
  <c r="E131" i="43"/>
  <c r="M128" i="45" s="1"/>
  <c r="D131" i="43"/>
  <c r="N128" i="45" s="1"/>
  <c r="E130" i="43"/>
  <c r="M127" i="45" s="1"/>
  <c r="D130" i="43"/>
  <c r="N127" i="45" s="1"/>
  <c r="E129" i="43"/>
  <c r="M126" i="45" s="1"/>
  <c r="D129" i="43"/>
  <c r="N126" i="45" s="1"/>
  <c r="E128" i="43"/>
  <c r="M125" i="45" s="1"/>
  <c r="D128" i="43"/>
  <c r="N125" i="45" s="1"/>
  <c r="E127" i="43"/>
  <c r="M124" i="45" s="1"/>
  <c r="D127" i="43"/>
  <c r="N124" i="45" s="1"/>
  <c r="E126" i="43"/>
  <c r="M123" i="45" s="1"/>
  <c r="D126" i="43"/>
  <c r="N123" i="45" s="1"/>
  <c r="E125" i="43"/>
  <c r="M122" i="45" s="1"/>
  <c r="D125" i="43"/>
  <c r="N122" i="45" s="1"/>
  <c r="E124" i="43"/>
  <c r="M121" i="45" s="1"/>
  <c r="D124" i="43"/>
  <c r="N121" i="45" s="1"/>
  <c r="E123" i="43"/>
  <c r="M120" i="45" s="1"/>
  <c r="D123" i="43"/>
  <c r="N120" i="45" s="1"/>
  <c r="E122" i="43"/>
  <c r="M119" i="45" s="1"/>
  <c r="D122" i="43"/>
  <c r="N119" i="45" s="1"/>
  <c r="E121" i="43"/>
  <c r="M118" i="45" s="1"/>
  <c r="D121" i="43"/>
  <c r="N118" i="45" s="1"/>
  <c r="E120" i="43"/>
  <c r="M117" i="45" s="1"/>
  <c r="D120" i="43"/>
  <c r="N117" i="45" s="1"/>
  <c r="E119" i="43"/>
  <c r="M116" i="45" s="1"/>
  <c r="D119" i="43"/>
  <c r="N116" i="45" s="1"/>
  <c r="E118" i="43"/>
  <c r="M115" i="45" s="1"/>
  <c r="D118" i="43"/>
  <c r="N115" i="45" s="1"/>
  <c r="E117" i="43"/>
  <c r="M114" i="45" s="1"/>
  <c r="D117" i="43"/>
  <c r="N114" i="45" s="1"/>
  <c r="E116" i="43"/>
  <c r="M113" i="45" s="1"/>
  <c r="D116" i="43"/>
  <c r="N113" i="45" s="1"/>
  <c r="E115" i="43"/>
  <c r="M112" i="45" s="1"/>
  <c r="D115" i="43"/>
  <c r="N112" i="45" s="1"/>
  <c r="E114" i="43"/>
  <c r="M111" i="45" s="1"/>
  <c r="D114" i="43"/>
  <c r="N111" i="45" s="1"/>
  <c r="E113" i="43"/>
  <c r="M110" i="45" s="1"/>
  <c r="D113" i="43"/>
  <c r="N110" i="45" s="1"/>
  <c r="E112" i="43"/>
  <c r="M109" i="45" s="1"/>
  <c r="D112" i="43"/>
  <c r="N109" i="45" s="1"/>
  <c r="E111" i="43"/>
  <c r="M108" i="45" s="1"/>
  <c r="D111" i="43"/>
  <c r="N108" i="45" s="1"/>
  <c r="E110" i="43"/>
  <c r="M107" i="45" s="1"/>
  <c r="D110" i="43"/>
  <c r="N107" i="45" s="1"/>
  <c r="E109" i="43"/>
  <c r="M106" i="45" s="1"/>
  <c r="D109" i="43"/>
  <c r="N106" i="45" s="1"/>
  <c r="E108" i="43"/>
  <c r="M105" i="45" s="1"/>
  <c r="D108" i="43"/>
  <c r="N105" i="45" s="1"/>
  <c r="E107" i="43"/>
  <c r="M104" i="45" s="1"/>
  <c r="D107" i="43"/>
  <c r="N104" i="45" s="1"/>
  <c r="E106" i="43"/>
  <c r="M103" i="45" s="1"/>
  <c r="D106" i="43"/>
  <c r="N103" i="45" s="1"/>
  <c r="E105" i="43"/>
  <c r="M102" i="45" s="1"/>
  <c r="D105" i="43"/>
  <c r="N102" i="45" s="1"/>
  <c r="E104" i="43"/>
  <c r="M101" i="45" s="1"/>
  <c r="D104" i="43"/>
  <c r="N101" i="45" s="1"/>
  <c r="E103" i="43"/>
  <c r="M100" i="45" s="1"/>
  <c r="D103" i="43"/>
  <c r="N100" i="45" s="1"/>
  <c r="E102" i="43"/>
  <c r="M99" i="45" s="1"/>
  <c r="D102" i="43"/>
  <c r="N99" i="45" s="1"/>
  <c r="E101" i="43"/>
  <c r="M98" i="45" s="1"/>
  <c r="D101" i="43"/>
  <c r="N98" i="45" s="1"/>
  <c r="E100" i="43"/>
  <c r="M97" i="45" s="1"/>
  <c r="D100" i="43"/>
  <c r="N97" i="45" s="1"/>
  <c r="E99" i="43"/>
  <c r="M96" i="45" s="1"/>
  <c r="D99" i="43"/>
  <c r="N96" i="45" s="1"/>
  <c r="E98" i="43"/>
  <c r="M95" i="45" s="1"/>
  <c r="D98" i="43"/>
  <c r="N95" i="45" s="1"/>
  <c r="E97" i="43"/>
  <c r="M94" i="45" s="1"/>
  <c r="D97" i="43"/>
  <c r="N94" i="45" s="1"/>
  <c r="E96" i="43"/>
  <c r="M93" i="45" s="1"/>
  <c r="D96" i="43"/>
  <c r="N93" i="45" s="1"/>
  <c r="E95" i="43"/>
  <c r="M92" i="45" s="1"/>
  <c r="D95" i="43"/>
  <c r="N92" i="45" s="1"/>
  <c r="E94" i="43"/>
  <c r="M91" i="45" s="1"/>
  <c r="D94" i="43"/>
  <c r="N91" i="45" s="1"/>
  <c r="E93" i="43"/>
  <c r="M90" i="45" s="1"/>
  <c r="D93" i="43"/>
  <c r="N90" i="45" s="1"/>
  <c r="E92" i="43"/>
  <c r="M89" i="45" s="1"/>
  <c r="D92" i="43"/>
  <c r="N89" i="45" s="1"/>
  <c r="E91" i="43"/>
  <c r="M88" i="45" s="1"/>
  <c r="D91" i="43"/>
  <c r="N88" i="45" s="1"/>
  <c r="E90" i="43"/>
  <c r="M87" i="45" s="1"/>
  <c r="D90" i="43"/>
  <c r="N87" i="45" s="1"/>
  <c r="E89" i="43"/>
  <c r="M86" i="45" s="1"/>
  <c r="D89" i="43"/>
  <c r="N86" i="45" s="1"/>
  <c r="E88" i="43"/>
  <c r="M85" i="45" s="1"/>
  <c r="D88" i="43"/>
  <c r="N85" i="45" s="1"/>
  <c r="E87" i="43"/>
  <c r="M84" i="45" s="1"/>
  <c r="D87" i="43"/>
  <c r="N84" i="45" s="1"/>
  <c r="E86" i="43"/>
  <c r="M83" i="45" s="1"/>
  <c r="D86" i="43"/>
  <c r="N83" i="45" s="1"/>
  <c r="E85" i="43"/>
  <c r="M82" i="45" s="1"/>
  <c r="D85" i="43"/>
  <c r="N82" i="45" s="1"/>
  <c r="E84" i="43"/>
  <c r="M81" i="45" s="1"/>
  <c r="D84" i="43"/>
  <c r="N81" i="45" s="1"/>
  <c r="E83" i="43"/>
  <c r="M80" i="45" s="1"/>
  <c r="D83" i="43"/>
  <c r="N80" i="45" s="1"/>
  <c r="E82" i="43"/>
  <c r="M79" i="45" s="1"/>
  <c r="D82" i="43"/>
  <c r="N79" i="45" s="1"/>
  <c r="E81" i="43"/>
  <c r="M78" i="45" s="1"/>
  <c r="D81" i="43"/>
  <c r="N78" i="45" s="1"/>
  <c r="E80" i="43"/>
  <c r="M77" i="45" s="1"/>
  <c r="D80" i="43"/>
  <c r="N77" i="45" s="1"/>
  <c r="E79" i="43"/>
  <c r="M76" i="45" s="1"/>
  <c r="D79" i="43"/>
  <c r="N76" i="45" s="1"/>
  <c r="E78" i="43"/>
  <c r="M75" i="45" s="1"/>
  <c r="D78" i="43"/>
  <c r="N75" i="45" s="1"/>
  <c r="E77" i="43"/>
  <c r="M74" i="45" s="1"/>
  <c r="D77" i="43"/>
  <c r="N74" i="45" s="1"/>
  <c r="E76" i="43"/>
  <c r="M73" i="45" s="1"/>
  <c r="D76" i="43"/>
  <c r="N73" i="45" s="1"/>
  <c r="E75" i="43"/>
  <c r="M72" i="45" s="1"/>
  <c r="D75" i="43"/>
  <c r="N72" i="45" s="1"/>
  <c r="E74" i="43"/>
  <c r="M71" i="45" s="1"/>
  <c r="D74" i="43"/>
  <c r="N71" i="45" s="1"/>
  <c r="E73" i="43"/>
  <c r="M70" i="45" s="1"/>
  <c r="D73" i="43"/>
  <c r="N70" i="45" s="1"/>
  <c r="E72" i="43"/>
  <c r="M69" i="45" s="1"/>
  <c r="D72" i="43"/>
  <c r="N69" i="45" s="1"/>
  <c r="E71" i="43"/>
  <c r="M68" i="45" s="1"/>
  <c r="D71" i="43"/>
  <c r="N68" i="45" s="1"/>
  <c r="E70" i="43"/>
  <c r="M67" i="45" s="1"/>
  <c r="D70" i="43"/>
  <c r="N67" i="45" s="1"/>
  <c r="E69" i="43"/>
  <c r="M66" i="45" s="1"/>
  <c r="D69" i="43"/>
  <c r="N66" i="45" s="1"/>
  <c r="E68" i="43"/>
  <c r="M65" i="45" s="1"/>
  <c r="D68" i="43"/>
  <c r="N65" i="45" s="1"/>
  <c r="E67" i="43"/>
  <c r="M64" i="45" s="1"/>
  <c r="D67" i="43"/>
  <c r="N64" i="45" s="1"/>
  <c r="E66" i="43"/>
  <c r="M63" i="45" s="1"/>
  <c r="D66" i="43"/>
  <c r="N63" i="45" s="1"/>
  <c r="E65" i="43"/>
  <c r="M62" i="45" s="1"/>
  <c r="D65" i="43"/>
  <c r="N62" i="45" s="1"/>
  <c r="E64" i="43"/>
  <c r="M61" i="45" s="1"/>
  <c r="D64" i="43"/>
  <c r="N61" i="45" s="1"/>
  <c r="E63" i="43"/>
  <c r="M60" i="45" s="1"/>
  <c r="D63" i="43"/>
  <c r="N60" i="45" s="1"/>
  <c r="E62" i="43"/>
  <c r="M59" i="45" s="1"/>
  <c r="D62" i="43"/>
  <c r="N59" i="45" s="1"/>
  <c r="E61" i="43"/>
  <c r="M58" i="45" s="1"/>
  <c r="D61" i="43"/>
  <c r="N58" i="45" s="1"/>
  <c r="E60" i="43"/>
  <c r="M57" i="45" s="1"/>
  <c r="D60" i="43"/>
  <c r="N57" i="45" s="1"/>
  <c r="E59" i="43"/>
  <c r="M56" i="45" s="1"/>
  <c r="D59" i="43"/>
  <c r="N56" i="45" s="1"/>
  <c r="E58" i="43"/>
  <c r="M55" i="45" s="1"/>
  <c r="D58" i="43"/>
  <c r="N55" i="45" s="1"/>
  <c r="E57" i="43"/>
  <c r="M54" i="45" s="1"/>
  <c r="D57" i="43"/>
  <c r="N54" i="45" s="1"/>
  <c r="E56" i="43"/>
  <c r="M53" i="45" s="1"/>
  <c r="D56" i="43"/>
  <c r="N53" i="45" s="1"/>
  <c r="E55" i="43"/>
  <c r="M52" i="45" s="1"/>
  <c r="D55" i="43"/>
  <c r="N52" i="45" s="1"/>
  <c r="E54" i="43"/>
  <c r="M51" i="45" s="1"/>
  <c r="D54" i="43"/>
  <c r="N51" i="45" s="1"/>
  <c r="E53" i="43"/>
  <c r="M50" i="45" s="1"/>
  <c r="D53" i="43"/>
  <c r="N50" i="45" s="1"/>
  <c r="E52" i="43"/>
  <c r="M49" i="45" s="1"/>
  <c r="D52" i="43"/>
  <c r="N49" i="45" s="1"/>
  <c r="E51" i="43"/>
  <c r="M48" i="45" s="1"/>
  <c r="D51" i="43"/>
  <c r="N48" i="45" s="1"/>
  <c r="E50" i="43"/>
  <c r="M47" i="45" s="1"/>
  <c r="D50" i="43"/>
  <c r="N47" i="45" s="1"/>
  <c r="E49" i="43"/>
  <c r="M46" i="45" s="1"/>
  <c r="D49" i="43"/>
  <c r="N46" i="45" s="1"/>
  <c r="E48" i="43"/>
  <c r="M45" i="45" s="1"/>
  <c r="D48" i="43"/>
  <c r="N45" i="45" s="1"/>
  <c r="E47" i="43"/>
  <c r="M44" i="45" s="1"/>
  <c r="D47" i="43"/>
  <c r="N44" i="45" s="1"/>
  <c r="E46" i="43"/>
  <c r="M43" i="45" s="1"/>
  <c r="D46" i="43"/>
  <c r="N43" i="45" s="1"/>
  <c r="E45" i="43"/>
  <c r="M42" i="45" s="1"/>
  <c r="D45" i="43"/>
  <c r="N42" i="45" s="1"/>
  <c r="E44" i="43"/>
  <c r="M41" i="45" s="1"/>
  <c r="D44" i="43"/>
  <c r="N41" i="45" s="1"/>
  <c r="E43" i="43"/>
  <c r="M40" i="45" s="1"/>
  <c r="D43" i="43"/>
  <c r="N40" i="45" s="1"/>
  <c r="E42" i="43"/>
  <c r="M39" i="45" s="1"/>
  <c r="D42" i="43"/>
  <c r="N39" i="45" s="1"/>
  <c r="E41" i="43"/>
  <c r="M38" i="45" s="1"/>
  <c r="D41" i="43"/>
  <c r="N38" i="45" s="1"/>
  <c r="E40" i="43"/>
  <c r="M37" i="45" s="1"/>
  <c r="D40" i="43"/>
  <c r="N37" i="45" s="1"/>
  <c r="E39" i="43"/>
  <c r="M36" i="45" s="1"/>
  <c r="D39" i="43"/>
  <c r="N36" i="45" s="1"/>
  <c r="E38" i="43"/>
  <c r="M35" i="45" s="1"/>
  <c r="D38" i="43"/>
  <c r="N35" i="45" s="1"/>
  <c r="E37" i="43"/>
  <c r="M34" i="45" s="1"/>
  <c r="D37" i="43"/>
  <c r="N34" i="45" s="1"/>
  <c r="E36" i="43"/>
  <c r="M33" i="45" s="1"/>
  <c r="D36" i="43"/>
  <c r="N33" i="45" s="1"/>
  <c r="E35" i="43"/>
  <c r="M32" i="45" s="1"/>
  <c r="D35" i="43"/>
  <c r="N32" i="45" s="1"/>
  <c r="E34" i="43"/>
  <c r="M31" i="45" s="1"/>
  <c r="D34" i="43"/>
  <c r="N31" i="45" s="1"/>
  <c r="E33" i="43"/>
  <c r="M30" i="45" s="1"/>
  <c r="D33" i="43"/>
  <c r="N30" i="45" s="1"/>
  <c r="E32" i="43"/>
  <c r="M29" i="45" s="1"/>
  <c r="D32" i="43"/>
  <c r="N29" i="45" s="1"/>
  <c r="E31" i="43"/>
  <c r="M28" i="45" s="1"/>
  <c r="D31" i="43"/>
  <c r="N28" i="45" s="1"/>
  <c r="E30" i="43"/>
  <c r="M27" i="45" s="1"/>
  <c r="D30" i="43"/>
  <c r="N27" i="45" s="1"/>
  <c r="E29" i="43"/>
  <c r="M26" i="45" s="1"/>
  <c r="D29" i="43"/>
  <c r="N26" i="45" s="1"/>
  <c r="E28" i="43"/>
  <c r="M25" i="45" s="1"/>
  <c r="D28" i="43"/>
  <c r="N25" i="45" s="1"/>
  <c r="E27" i="43"/>
  <c r="M24" i="45" s="1"/>
  <c r="D27" i="43"/>
  <c r="N24" i="45" s="1"/>
  <c r="E26" i="43"/>
  <c r="M23" i="45" s="1"/>
  <c r="D26" i="43"/>
  <c r="N23" i="45" s="1"/>
  <c r="E25" i="43"/>
  <c r="M22" i="45" s="1"/>
  <c r="D25" i="43"/>
  <c r="N22" i="45" s="1"/>
  <c r="E24" i="43"/>
  <c r="M21" i="45" s="1"/>
  <c r="D24" i="43"/>
  <c r="N21" i="45" s="1"/>
  <c r="E23" i="43"/>
  <c r="M20" i="45" s="1"/>
  <c r="D23" i="43"/>
  <c r="N20" i="45" s="1"/>
  <c r="E22" i="43"/>
  <c r="M19" i="45" s="1"/>
  <c r="D22" i="43"/>
  <c r="N19" i="45" s="1"/>
  <c r="E21" i="43"/>
  <c r="M18" i="45" s="1"/>
  <c r="D21" i="43"/>
  <c r="N18" i="45" s="1"/>
  <c r="E20" i="43"/>
  <c r="M17" i="45" s="1"/>
  <c r="D20" i="43"/>
  <c r="N17" i="45" s="1"/>
  <c r="E19" i="43"/>
  <c r="M16" i="45" s="1"/>
  <c r="D19" i="43"/>
  <c r="N16" i="45" s="1"/>
  <c r="E18" i="43"/>
  <c r="M15" i="45" s="1"/>
  <c r="D18" i="43"/>
  <c r="N15" i="45" s="1"/>
  <c r="S311" l="1"/>
  <c r="M254"/>
  <c r="M256"/>
  <c r="M258"/>
  <c r="M260"/>
  <c r="M262"/>
  <c r="M264"/>
  <c r="M266"/>
  <c r="M268"/>
  <c r="M270"/>
  <c r="M272"/>
  <c r="M274"/>
  <c r="M276"/>
  <c r="M278"/>
  <c r="M280"/>
  <c r="M282"/>
  <c r="M284"/>
  <c r="M286"/>
  <c r="M288"/>
  <c r="M290"/>
  <c r="M292"/>
  <c r="M294"/>
  <c r="M296"/>
  <c r="M298"/>
  <c r="M300"/>
  <c r="M302"/>
  <c r="M304"/>
  <c r="M306"/>
  <c r="M308"/>
  <c r="M310"/>
  <c r="M312"/>
  <c r="M314"/>
  <c r="M316"/>
  <c r="M318"/>
  <c r="M320"/>
  <c r="M322"/>
  <c r="M324"/>
  <c r="M326"/>
  <c r="M328"/>
  <c r="M330"/>
  <c r="M332"/>
  <c r="M334"/>
  <c r="M336"/>
  <c r="M338"/>
  <c r="M340"/>
  <c r="M342"/>
  <c r="M344"/>
  <c r="M346"/>
  <c r="M348"/>
  <c r="M350"/>
  <c r="M352"/>
  <c r="M354"/>
  <c r="M356"/>
  <c r="M358"/>
  <c r="M360"/>
  <c r="M362"/>
  <c r="M364"/>
  <c r="M366"/>
  <c r="M368"/>
  <c r="M370"/>
  <c r="M372"/>
  <c r="M374"/>
  <c r="M376"/>
  <c r="M378"/>
  <c r="N255"/>
  <c r="N257"/>
  <c r="N259"/>
  <c r="N261"/>
  <c r="N263"/>
  <c r="N265"/>
  <c r="N267"/>
  <c r="N269"/>
  <c r="N271"/>
  <c r="N273"/>
  <c r="N275"/>
  <c r="N277"/>
  <c r="N279"/>
  <c r="N281"/>
  <c r="N283"/>
  <c r="N285"/>
  <c r="N287"/>
  <c r="N289"/>
  <c r="N291"/>
  <c r="N293"/>
  <c r="N295"/>
  <c r="N297"/>
  <c r="N299"/>
  <c r="N301"/>
  <c r="N303"/>
  <c r="N305"/>
  <c r="N307"/>
  <c r="N309"/>
  <c r="N311"/>
  <c r="N313"/>
  <c r="N315"/>
  <c r="N317"/>
  <c r="N319"/>
  <c r="N321"/>
  <c r="N323"/>
  <c r="N325"/>
  <c r="N327"/>
  <c r="N329"/>
  <c r="N331"/>
  <c r="N333"/>
  <c r="N335"/>
  <c r="N337"/>
  <c r="N339"/>
  <c r="N341"/>
  <c r="N343"/>
  <c r="N345"/>
  <c r="N347"/>
  <c r="N349"/>
  <c r="N351"/>
  <c r="N353"/>
  <c r="N355"/>
  <c r="N357"/>
  <c r="N359"/>
  <c r="N361"/>
  <c r="N363"/>
  <c r="N365"/>
  <c r="N367"/>
  <c r="N369"/>
  <c r="N371"/>
  <c r="N373"/>
  <c r="N375"/>
  <c r="N377"/>
  <c r="M255"/>
  <c r="M257"/>
  <c r="M259"/>
  <c r="M261"/>
  <c r="M263"/>
  <c r="M265"/>
  <c r="M267"/>
  <c r="M269"/>
  <c r="M271"/>
  <c r="M273"/>
  <c r="M275"/>
  <c r="M277"/>
  <c r="M279"/>
  <c r="M281"/>
  <c r="M283"/>
  <c r="M285"/>
  <c r="M287"/>
  <c r="M289"/>
  <c r="M291"/>
  <c r="M293"/>
  <c r="M295"/>
  <c r="M297"/>
  <c r="M299"/>
  <c r="M301"/>
  <c r="M303"/>
  <c r="M305"/>
  <c r="M307"/>
  <c r="M309"/>
  <c r="M311"/>
  <c r="M313"/>
  <c r="M315"/>
  <c r="M317"/>
  <c r="M319"/>
  <c r="M321"/>
  <c r="M323"/>
  <c r="M325"/>
  <c r="M327"/>
  <c r="M329"/>
  <c r="M331"/>
  <c r="M333"/>
  <c r="M335"/>
  <c r="M337"/>
  <c r="M339"/>
  <c r="M341"/>
  <c r="M343"/>
  <c r="M345"/>
  <c r="M347"/>
  <c r="M349"/>
  <c r="M351"/>
  <c r="M353"/>
  <c r="M355"/>
  <c r="M357"/>
  <c r="M359"/>
  <c r="M361"/>
  <c r="M363"/>
  <c r="M365"/>
  <c r="M367"/>
  <c r="M369"/>
  <c r="M371"/>
  <c r="M373"/>
  <c r="M375"/>
  <c r="M377"/>
  <c r="N254"/>
  <c r="N256"/>
  <c r="N258"/>
  <c r="N260"/>
  <c r="N262"/>
  <c r="N264"/>
  <c r="N266"/>
  <c r="N268"/>
  <c r="N270"/>
  <c r="N272"/>
  <c r="N274"/>
  <c r="N276"/>
  <c r="N278"/>
  <c r="N280"/>
  <c r="N282"/>
  <c r="N284"/>
  <c r="N286"/>
  <c r="N288"/>
  <c r="N290"/>
  <c r="N292"/>
  <c r="N294"/>
  <c r="N296"/>
  <c r="N298"/>
  <c r="N300"/>
  <c r="N302"/>
  <c r="N304"/>
  <c r="N306"/>
  <c r="N308"/>
  <c r="N310"/>
  <c r="N312"/>
  <c r="N314"/>
  <c r="N316"/>
  <c r="N318"/>
  <c r="N320"/>
  <c r="N322"/>
  <c r="N324"/>
  <c r="N326"/>
  <c r="N328"/>
  <c r="N330"/>
  <c r="N332"/>
  <c r="N334"/>
  <c r="N336"/>
  <c r="N338"/>
  <c r="N340"/>
  <c r="N342"/>
  <c r="N344"/>
  <c r="N346"/>
  <c r="N348"/>
  <c r="N350"/>
  <c r="N352"/>
  <c r="N354"/>
  <c r="N356"/>
  <c r="N358"/>
  <c r="N360"/>
  <c r="N362"/>
  <c r="N364"/>
  <c r="N366"/>
  <c r="N368"/>
  <c r="N370"/>
  <c r="N372"/>
  <c r="N374"/>
  <c r="N376"/>
  <c r="N378"/>
  <c r="DE28" i="43"/>
  <c r="N197" i="45"/>
  <c r="J200" i="43"/>
  <c r="M171" i="45"/>
  <c r="I174" i="43"/>
  <c r="M173" i="45"/>
  <c r="I176" i="43"/>
  <c r="M175" i="45"/>
  <c r="I178" i="43"/>
  <c r="M177" i="45"/>
  <c r="I180" i="43"/>
  <c r="M179" i="45"/>
  <c r="I182" i="43"/>
  <c r="M181" i="45"/>
  <c r="I184" i="43"/>
  <c r="M183" i="45"/>
  <c r="I186" i="43"/>
  <c r="M185" i="45"/>
  <c r="I188" i="43"/>
  <c r="M187" i="45"/>
  <c r="I190" i="43"/>
  <c r="M189" i="45"/>
  <c r="I192" i="43"/>
  <c r="M191" i="45"/>
  <c r="I194" i="43"/>
  <c r="M193" i="45"/>
  <c r="I196" i="43"/>
  <c r="M195" i="45"/>
  <c r="I198" i="43"/>
  <c r="N172" i="45"/>
  <c r="J175" i="43"/>
  <c r="N174" i="45"/>
  <c r="J177" i="43"/>
  <c r="N176" i="45"/>
  <c r="J179" i="43"/>
  <c r="N180" i="45"/>
  <c r="J183" i="43"/>
  <c r="N182" i="45"/>
  <c r="J185" i="43"/>
  <c r="N184" i="45"/>
  <c r="J187" i="43"/>
  <c r="N186" i="45"/>
  <c r="J189" i="43"/>
  <c r="N188" i="45"/>
  <c r="J191" i="43"/>
  <c r="N190" i="45"/>
  <c r="J193" i="43"/>
  <c r="N192" i="45"/>
  <c r="J195" i="43"/>
  <c r="N194" i="45"/>
  <c r="J197" i="43"/>
  <c r="N196" i="45"/>
  <c r="J199" i="43"/>
  <c r="M172" i="45"/>
  <c r="AH172" s="1"/>
  <c r="I175" i="43"/>
  <c r="M174" i="45"/>
  <c r="I177" i="43"/>
  <c r="M176" i="45"/>
  <c r="AH176" s="1"/>
  <c r="I179" i="43"/>
  <c r="M178" i="45"/>
  <c r="I181" i="43"/>
  <c r="M180" i="45"/>
  <c r="I183" i="43"/>
  <c r="M182" i="45"/>
  <c r="I185" i="43"/>
  <c r="M184" i="45"/>
  <c r="I187" i="43"/>
  <c r="M186" i="45"/>
  <c r="I189" i="43"/>
  <c r="M188" i="45"/>
  <c r="I191" i="43"/>
  <c r="M190" i="45"/>
  <c r="I193" i="43"/>
  <c r="M192" i="45"/>
  <c r="I195" i="43"/>
  <c r="M194" i="45"/>
  <c r="I197" i="43"/>
  <c r="M196" i="45"/>
  <c r="I199" i="43"/>
  <c r="N171" i="45"/>
  <c r="J174" i="43"/>
  <c r="N173" i="45"/>
  <c r="J176" i="43"/>
  <c r="N175" i="45"/>
  <c r="J178" i="43"/>
  <c r="N177" i="45"/>
  <c r="J180" i="43"/>
  <c r="N179" i="45"/>
  <c r="J182" i="43"/>
  <c r="N181" i="45"/>
  <c r="J184" i="43"/>
  <c r="N183" i="45"/>
  <c r="J186" i="43"/>
  <c r="N185" i="45"/>
  <c r="J188" i="43"/>
  <c r="N187" i="45"/>
  <c r="J190" i="43"/>
  <c r="N189" i="45"/>
  <c r="J192" i="43"/>
  <c r="N191" i="45"/>
  <c r="J194" i="43"/>
  <c r="N193" i="45"/>
  <c r="J196" i="43"/>
  <c r="N195" i="45"/>
  <c r="J198" i="43"/>
  <c r="DE33"/>
  <c r="R383" i="45"/>
  <c r="R382"/>
  <c r="R381"/>
  <c r="R384"/>
  <c r="R380"/>
  <c r="J13" i="49"/>
  <c r="I13"/>
  <c r="DO360" i="43"/>
  <c r="AQ360" s="1"/>
  <c r="DN359"/>
  <c r="DO359" s="1"/>
  <c r="DO336"/>
  <c r="CA336" s="1"/>
  <c r="DO367"/>
  <c r="AQ367" s="1"/>
  <c r="AP33"/>
  <c r="AS33"/>
  <c r="AP29"/>
  <c r="AS29"/>
  <c r="AR18"/>
  <c r="AS18"/>
  <c r="AR34"/>
  <c r="AS34"/>
  <c r="AP26"/>
  <c r="AS26"/>
  <c r="AP38"/>
  <c r="AS38"/>
  <c r="AR22"/>
  <c r="AS22"/>
  <c r="AP24"/>
  <c r="AS24"/>
  <c r="N178" i="45"/>
  <c r="N146"/>
  <c r="AH146" s="1"/>
  <c r="J149" i="43"/>
  <c r="N147" i="45"/>
  <c r="AH147" s="1"/>
  <c r="J150" i="43"/>
  <c r="Z37"/>
  <c r="Z35"/>
  <c r="Z34"/>
  <c r="Z28"/>
  <c r="Z26"/>
  <c r="Z41"/>
  <c r="Z23"/>
  <c r="CL42"/>
  <c r="Z36"/>
  <c r="Z32"/>
  <c r="Z31"/>
  <c r="Z29"/>
  <c r="Z25"/>
  <c r="Z21"/>
  <c r="Z18"/>
  <c r="Z40"/>
  <c r="Z19"/>
  <c r="DM171"/>
  <c r="DN171" s="1"/>
  <c r="DO171" s="1"/>
  <c r="AQ171" s="1"/>
  <c r="DM71"/>
  <c r="DN71" s="1"/>
  <c r="DO71" s="1"/>
  <c r="AQ71" s="1"/>
  <c r="DM123"/>
  <c r="DN123" s="1"/>
  <c r="DO123" s="1"/>
  <c r="AQ123" s="1"/>
  <c r="DM75"/>
  <c r="DN75" s="1"/>
  <c r="DO75" s="1"/>
  <c r="AQ75" s="1"/>
  <c r="DM81"/>
  <c r="DN81" s="1"/>
  <c r="DO81" s="1"/>
  <c r="AQ81" s="1"/>
  <c r="DM107"/>
  <c r="DN107" s="1"/>
  <c r="DO107" s="1"/>
  <c r="AQ107" s="1"/>
  <c r="DM97"/>
  <c r="DN97" s="1"/>
  <c r="DM111"/>
  <c r="DN111" s="1"/>
  <c r="DM143"/>
  <c r="DN143" s="1"/>
  <c r="DO143" s="1"/>
  <c r="AQ143" s="1"/>
  <c r="DM151"/>
  <c r="DN151" s="1"/>
  <c r="DO151" s="1"/>
  <c r="AQ151" s="1"/>
  <c r="DM200"/>
  <c r="DN200" s="1"/>
  <c r="DO200" s="1"/>
  <c r="AQ200" s="1"/>
  <c r="DM85"/>
  <c r="DN85" s="1"/>
  <c r="DM119"/>
  <c r="DN119" s="1"/>
  <c r="DO119" s="1"/>
  <c r="AQ119" s="1"/>
  <c r="DM101"/>
  <c r="DN101" s="1"/>
  <c r="DO101" s="1"/>
  <c r="AQ101" s="1"/>
  <c r="DM138"/>
  <c r="DN138" s="1"/>
  <c r="DO138" s="1"/>
  <c r="AQ138" s="1"/>
  <c r="DM115"/>
  <c r="DN115" s="1"/>
  <c r="DO115" s="1"/>
  <c r="AQ115" s="1"/>
  <c r="DM196"/>
  <c r="DN196" s="1"/>
  <c r="DO196" s="1"/>
  <c r="AQ196" s="1"/>
  <c r="DM167"/>
  <c r="DN167" s="1"/>
  <c r="DO167" s="1"/>
  <c r="AQ167" s="1"/>
  <c r="DM140"/>
  <c r="DN140" s="1"/>
  <c r="DO140" s="1"/>
  <c r="AQ140" s="1"/>
  <c r="AM40"/>
  <c r="AM33"/>
  <c r="DE19"/>
  <c r="CL19"/>
  <c r="DE42"/>
  <c r="Z22"/>
  <c r="Z38"/>
  <c r="Z24"/>
  <c r="Z42"/>
  <c r="Z33"/>
  <c r="Z20"/>
  <c r="CL39"/>
  <c r="Z39"/>
  <c r="CL30"/>
  <c r="Z30"/>
  <c r="Z27"/>
  <c r="AG293" i="45"/>
  <c r="CC194" i="43"/>
  <c r="BH194"/>
  <c r="CX194"/>
  <c r="BY194"/>
  <c r="BF194"/>
  <c r="BJ194"/>
  <c r="CV194"/>
  <c r="CA194"/>
  <c r="CT194"/>
  <c r="DN231"/>
  <c r="DO231" s="1"/>
  <c r="AQ231" s="1"/>
  <c r="DO353"/>
  <c r="AQ353" s="1"/>
  <c r="DO73"/>
  <c r="DO188"/>
  <c r="AQ188" s="1"/>
  <c r="DO340"/>
  <c r="AQ340" s="1"/>
  <c r="AG382" i="45"/>
  <c r="DE24" i="43"/>
  <c r="CL24"/>
  <c r="AM25"/>
  <c r="DQ31"/>
  <c r="DE30"/>
  <c r="DQ36"/>
  <c r="DQ33"/>
  <c r="AM27"/>
  <c r="DQ26"/>
  <c r="AM24"/>
  <c r="DQ40"/>
  <c r="AM29"/>
  <c r="AM22"/>
  <c r="DE39"/>
  <c r="DQ39"/>
  <c r="AM36"/>
  <c r="DQ27"/>
  <c r="AM21"/>
  <c r="AM39"/>
  <c r="AM30"/>
  <c r="DQ22"/>
  <c r="DO277"/>
  <c r="DO243"/>
  <c r="AQ243" s="1"/>
  <c r="DO327"/>
  <c r="AQ327" s="1"/>
  <c r="DN258"/>
  <c r="DO258" s="1"/>
  <c r="AQ258" s="1"/>
  <c r="DO65"/>
  <c r="AQ65" s="1"/>
  <c r="DN373"/>
  <c r="DO373" s="1"/>
  <c r="DN274"/>
  <c r="DO274" s="1"/>
  <c r="AQ274" s="1"/>
  <c r="DN281"/>
  <c r="DO281" s="1"/>
  <c r="AQ281" s="1"/>
  <c r="DN99"/>
  <c r="DO99" s="1"/>
  <c r="AQ99" s="1"/>
  <c r="DO299"/>
  <c r="AQ299" s="1"/>
  <c r="DN117"/>
  <c r="DO117" s="1"/>
  <c r="AQ117" s="1"/>
  <c r="DO209"/>
  <c r="AQ209" s="1"/>
  <c r="DO345"/>
  <c r="AQ345" s="1"/>
  <c r="DN215"/>
  <c r="DO215" s="1"/>
  <c r="AQ215" s="1"/>
  <c r="DO129"/>
  <c r="DO303"/>
  <c r="AQ303" s="1"/>
  <c r="DO133"/>
  <c r="DO137"/>
  <c r="DN319"/>
  <c r="DO319" s="1"/>
  <c r="AQ319" s="1"/>
  <c r="DO247"/>
  <c r="AQ247" s="1"/>
  <c r="DO165"/>
  <c r="AQ165" s="1"/>
  <c r="DO175"/>
  <c r="DO53"/>
  <c r="AQ53" s="1"/>
  <c r="S183" i="45"/>
  <c r="S169"/>
  <c r="AM26" i="43"/>
  <c r="DQ19"/>
  <c r="AG384" i="45"/>
  <c r="AG303"/>
  <c r="AG301"/>
  <c r="S299"/>
  <c r="DN259" i="43"/>
  <c r="DO259" s="1"/>
  <c r="AQ259" s="1"/>
  <c r="AM35"/>
  <c r="DQ34"/>
  <c r="DQ29"/>
  <c r="DQ24"/>
  <c r="AM23"/>
  <c r="DE22"/>
  <c r="CL22"/>
  <c r="DQ21"/>
  <c r="AM19"/>
  <c r="DN161"/>
  <c r="DO161" s="1"/>
  <c r="AQ161" s="1"/>
  <c r="DN221"/>
  <c r="DO221" s="1"/>
  <c r="AQ221" s="1"/>
  <c r="DN235"/>
  <c r="DO235" s="1"/>
  <c r="AQ235" s="1"/>
  <c r="AG298" i="45"/>
  <c r="DQ25" i="43"/>
  <c r="BQ39"/>
  <c r="BQ35"/>
  <c r="BQ34"/>
  <c r="CL32"/>
  <c r="CL31"/>
  <c r="BQ26"/>
  <c r="BQ25"/>
  <c r="BQ21"/>
  <c r="BQ19"/>
  <c r="CL18"/>
  <c r="P30"/>
  <c r="P28"/>
  <c r="P24"/>
  <c r="P18"/>
  <c r="F21" i="45"/>
  <c r="B21" s="1"/>
  <c r="CL41" i="43"/>
  <c r="BQ40"/>
  <c r="CL37"/>
  <c r="BQ36"/>
  <c r="BQ30"/>
  <c r="CL29"/>
  <c r="BQ28"/>
  <c r="BQ23"/>
  <c r="P26"/>
  <c r="P21"/>
  <c r="DO91"/>
  <c r="DO351"/>
  <c r="DO95"/>
  <c r="AQ95" s="1"/>
  <c r="DO219"/>
  <c r="DN251"/>
  <c r="DO251" s="1"/>
  <c r="AQ251" s="1"/>
  <c r="Q39" i="45"/>
  <c r="R39" s="1"/>
  <c r="S39" s="1"/>
  <c r="P42" i="43"/>
  <c r="DO363"/>
  <c r="DN365"/>
  <c r="DO365" s="1"/>
  <c r="DO172"/>
  <c r="DO121"/>
  <c r="AQ121" s="1"/>
  <c r="DO266"/>
  <c r="DN134"/>
  <c r="DO134" s="1"/>
  <c r="AQ134" s="1"/>
  <c r="DQ42"/>
  <c r="AM42"/>
  <c r="P41"/>
  <c r="E38" i="45"/>
  <c r="B38" s="1"/>
  <c r="DN109" i="43"/>
  <c r="DO109" s="1"/>
  <c r="AQ109" s="1"/>
  <c r="DO349"/>
  <c r="AQ349" s="1"/>
  <c r="DN149"/>
  <c r="DO149" s="1"/>
  <c r="AQ149" s="1"/>
  <c r="DE29"/>
  <c r="P37"/>
  <c r="P32"/>
  <c r="DE18"/>
  <c r="P38"/>
  <c r="P39"/>
  <c r="Q37" i="45"/>
  <c r="R37" s="1"/>
  <c r="S38" s="1"/>
  <c r="AM41" i="43"/>
  <c r="P40"/>
  <c r="Q36" i="45"/>
  <c r="R36" s="1"/>
  <c r="F36"/>
  <c r="B36" s="1"/>
  <c r="F35"/>
  <c r="B35" s="1"/>
  <c r="DQ38" i="43"/>
  <c r="AM38"/>
  <c r="DN103"/>
  <c r="DO103" s="1"/>
  <c r="AQ103" s="1"/>
  <c r="DO254"/>
  <c r="DO255"/>
  <c r="AQ255" s="1"/>
  <c r="DO153"/>
  <c r="AQ153" s="1"/>
  <c r="DN270"/>
  <c r="DO270" s="1"/>
  <c r="AQ270" s="1"/>
  <c r="DO283"/>
  <c r="DO285"/>
  <c r="DN311"/>
  <c r="DO311" s="1"/>
  <c r="AQ311" s="1"/>
  <c r="DN381"/>
  <c r="DO381" s="1"/>
  <c r="E34" i="45"/>
  <c r="B34" s="1"/>
  <c r="AM37" i="43"/>
  <c r="Q33" i="45"/>
  <c r="R33" s="1"/>
  <c r="S34" s="1"/>
  <c r="P36" i="43"/>
  <c r="E33" i="45"/>
  <c r="B33" s="1"/>
  <c r="P35" i="43"/>
  <c r="DE34"/>
  <c r="Q31" i="45"/>
  <c r="R31" s="1"/>
  <c r="S32" s="1"/>
  <c r="DQ35" i="43"/>
  <c r="P34"/>
  <c r="E31" i="45"/>
  <c r="B31" s="1"/>
  <c r="CL33" i="43"/>
  <c r="AM34"/>
  <c r="Q30" i="45"/>
  <c r="R30" s="1"/>
  <c r="S30" s="1"/>
  <c r="P33" i="43"/>
  <c r="F30" i="45"/>
  <c r="B30" s="1"/>
  <c r="DQ32" i="43"/>
  <c r="DN293"/>
  <c r="DO293" s="1"/>
  <c r="AQ293" s="1"/>
  <c r="E29" i="45"/>
  <c r="B29" s="1"/>
  <c r="Q28"/>
  <c r="R28" s="1"/>
  <c r="S28" s="1"/>
  <c r="BQ31" i="43"/>
  <c r="P31"/>
  <c r="DE31"/>
  <c r="E27" i="45"/>
  <c r="B27" s="1"/>
  <c r="DQ30" i="43"/>
  <c r="Q26" i="45"/>
  <c r="R26" s="1"/>
  <c r="S26" s="1"/>
  <c r="P29" i="43"/>
  <c r="E25" i="45"/>
  <c r="B25" s="1"/>
  <c r="DO291" i="43"/>
  <c r="AQ291" s="1"/>
  <c r="DO357"/>
  <c r="DO64"/>
  <c r="DO59"/>
  <c r="AQ59" s="1"/>
  <c r="DN213"/>
  <c r="DO213" s="1"/>
  <c r="AQ213" s="1"/>
  <c r="DQ28"/>
  <c r="AM28"/>
  <c r="Q24" i="45"/>
  <c r="R24" s="1"/>
  <c r="DE27" i="43"/>
  <c r="CL27"/>
  <c r="P27"/>
  <c r="Q23" i="45"/>
  <c r="R23" s="1"/>
  <c r="S23" s="1"/>
  <c r="DE26" i="43"/>
  <c r="CL26"/>
  <c r="E23" i="45"/>
  <c r="B23" s="1"/>
  <c r="DO192" i="43"/>
  <c r="AQ192" s="1"/>
  <c r="DO141"/>
  <c r="AQ141" s="1"/>
  <c r="DO180"/>
  <c r="AQ180" s="1"/>
  <c r="DO287"/>
  <c r="AQ287" s="1"/>
  <c r="P25"/>
  <c r="Q21" i="45"/>
  <c r="R21" s="1"/>
  <c r="S21" s="1"/>
  <c r="DN195" i="43"/>
  <c r="DO195" s="1"/>
  <c r="AQ195" s="1"/>
  <c r="DO377"/>
  <c r="AQ377" s="1"/>
  <c r="DO315"/>
  <c r="AQ315" s="1"/>
  <c r="DO44"/>
  <c r="AQ44" s="1"/>
  <c r="DO361"/>
  <c r="AQ361" s="1"/>
  <c r="DO225"/>
  <c r="AQ225" s="1"/>
  <c r="P23"/>
  <c r="E20" i="45"/>
  <c r="B20" s="1"/>
  <c r="DE23" i="43"/>
  <c r="CL23"/>
  <c r="DN199"/>
  <c r="DO199" s="1"/>
  <c r="AQ199" s="1"/>
  <c r="Q19" i="45"/>
  <c r="R19" s="1"/>
  <c r="S19" s="1"/>
  <c r="DQ23" i="43"/>
  <c r="P22"/>
  <c r="E18" i="45"/>
  <c r="B18" s="1"/>
  <c r="DE20" i="43"/>
  <c r="CL20"/>
  <c r="P20"/>
  <c r="DN46"/>
  <c r="DO46" s="1"/>
  <c r="AQ46" s="1"/>
  <c r="DN48"/>
  <c r="DO48" s="1"/>
  <c r="AQ48" s="1"/>
  <c r="DN229"/>
  <c r="DO229" s="1"/>
  <c r="AQ229" s="1"/>
  <c r="DN295"/>
  <c r="DO295" s="1"/>
  <c r="AQ295" s="1"/>
  <c r="DN227"/>
  <c r="DO227" s="1"/>
  <c r="AQ227" s="1"/>
  <c r="DN369"/>
  <c r="DO369" s="1"/>
  <c r="AQ369" s="1"/>
  <c r="BH88"/>
  <c r="CA88"/>
  <c r="CX88"/>
  <c r="BF88"/>
  <c r="BJ88"/>
  <c r="CC88"/>
  <c r="CT88"/>
  <c r="BY88"/>
  <c r="CV88"/>
  <c r="BJ63"/>
  <c r="CC63"/>
  <c r="CV63"/>
  <c r="BY63"/>
  <c r="CX63"/>
  <c r="BF63"/>
  <c r="CA63"/>
  <c r="BH63"/>
  <c r="CT63"/>
  <c r="CA112"/>
  <c r="CT112"/>
  <c r="BJ112"/>
  <c r="BF112"/>
  <c r="CC112"/>
  <c r="CV112"/>
  <c r="CX112"/>
  <c r="BY112"/>
  <c r="BH112"/>
  <c r="BJ375"/>
  <c r="CC375"/>
  <c r="CV375"/>
  <c r="BH375"/>
  <c r="CA375"/>
  <c r="CX375"/>
  <c r="BF375"/>
  <c r="CT375"/>
  <c r="BY375"/>
  <c r="CX142"/>
  <c r="CT142"/>
  <c r="CC142"/>
  <c r="BF142"/>
  <c r="BH142"/>
  <c r="CV142"/>
  <c r="BY142"/>
  <c r="CA142"/>
  <c r="BJ142"/>
  <c r="BH203"/>
  <c r="CX203"/>
  <c r="CA203"/>
  <c r="BJ203"/>
  <c r="BF203"/>
  <c r="CC203"/>
  <c r="BY203"/>
  <c r="CT203"/>
  <c r="CV203"/>
  <c r="BJ240"/>
  <c r="CC240"/>
  <c r="CV240"/>
  <c r="BY240"/>
  <c r="CT240"/>
  <c r="CA240"/>
  <c r="BF240"/>
  <c r="CX240"/>
  <c r="BH240"/>
  <c r="BJ248"/>
  <c r="CC248"/>
  <c r="CV248"/>
  <c r="BH248"/>
  <c r="BY248"/>
  <c r="CT248"/>
  <c r="BF248"/>
  <c r="CX248"/>
  <c r="CA248"/>
  <c r="CX96"/>
  <c r="CA96"/>
  <c r="BF96"/>
  <c r="BJ96"/>
  <c r="CV96"/>
  <c r="BY96"/>
  <c r="CC96"/>
  <c r="CT96"/>
  <c r="BH96"/>
  <c r="BH166"/>
  <c r="CA166"/>
  <c r="BJ166"/>
  <c r="BF166"/>
  <c r="CV166"/>
  <c r="BY166"/>
  <c r="CC166"/>
  <c r="CX166"/>
  <c r="CT166"/>
  <c r="CX316"/>
  <c r="BH316"/>
  <c r="BJ316"/>
  <c r="BF316"/>
  <c r="BY316"/>
  <c r="CA316"/>
  <c r="CC316"/>
  <c r="CV316"/>
  <c r="CT316"/>
  <c r="DN57"/>
  <c r="DO57" s="1"/>
  <c r="AQ57" s="1"/>
  <c r="DN335"/>
  <c r="DO335" s="1"/>
  <c r="AQ335" s="1"/>
  <c r="DN276"/>
  <c r="DO276" s="1"/>
  <c r="AQ276" s="1"/>
  <c r="DN139"/>
  <c r="DO139" s="1"/>
  <c r="AQ139" s="1"/>
  <c r="CA92"/>
  <c r="BH92"/>
  <c r="CX92"/>
  <c r="BY92"/>
  <c r="BJ92"/>
  <c r="CT92"/>
  <c r="CV92"/>
  <c r="BF92"/>
  <c r="CC92"/>
  <c r="CT122"/>
  <c r="BF122"/>
  <c r="BJ122"/>
  <c r="CC122"/>
  <c r="BY122"/>
  <c r="BH122"/>
  <c r="CV122"/>
  <c r="CX122"/>
  <c r="CA122"/>
  <c r="BF170"/>
  <c r="CT170"/>
  <c r="BH170"/>
  <c r="BY170"/>
  <c r="CX170"/>
  <c r="CA170"/>
  <c r="BJ170"/>
  <c r="CV170"/>
  <c r="CC170"/>
  <c r="BH186"/>
  <c r="CA186"/>
  <c r="CX186"/>
  <c r="BJ186"/>
  <c r="CC186"/>
  <c r="CV186"/>
  <c r="CT186"/>
  <c r="BF186"/>
  <c r="BY186"/>
  <c r="BF294"/>
  <c r="BY294"/>
  <c r="BJ294"/>
  <c r="CC294"/>
  <c r="CV294"/>
  <c r="CT294"/>
  <c r="DB294" s="1"/>
  <c r="BH294"/>
  <c r="CX294"/>
  <c r="CA294"/>
  <c r="BF106"/>
  <c r="BH106"/>
  <c r="BJ106"/>
  <c r="CA106"/>
  <c r="CC106"/>
  <c r="BY106"/>
  <c r="CX106"/>
  <c r="CT106"/>
  <c r="CV106"/>
  <c r="BY222"/>
  <c r="CA222"/>
  <c r="BF222"/>
  <c r="CT222"/>
  <c r="BJ222"/>
  <c r="CC222"/>
  <c r="CV222"/>
  <c r="CX222"/>
  <c r="BH222"/>
  <c r="BJ272"/>
  <c r="CC272"/>
  <c r="CV272"/>
  <c r="BY272"/>
  <c r="BF272"/>
  <c r="CT272"/>
  <c r="BH272"/>
  <c r="CX272"/>
  <c r="CA272"/>
  <c r="CC312"/>
  <c r="CV312"/>
  <c r="BY312"/>
  <c r="BF312"/>
  <c r="CX312"/>
  <c r="CT312"/>
  <c r="BH312"/>
  <c r="BJ312"/>
  <c r="CA312"/>
  <c r="BJ230"/>
  <c r="BF230"/>
  <c r="CT230"/>
  <c r="CC230"/>
  <c r="CV230"/>
  <c r="BH230"/>
  <c r="CX230"/>
  <c r="BY230"/>
  <c r="CA230"/>
  <c r="DO339"/>
  <c r="AQ339" s="1"/>
  <c r="DO341"/>
  <c r="AQ341" s="1"/>
  <c r="BH110"/>
  <c r="CV110"/>
  <c r="CX110"/>
  <c r="CA110"/>
  <c r="BF110"/>
  <c r="BY110"/>
  <c r="BJ110"/>
  <c r="CT110"/>
  <c r="CC110"/>
  <c r="DN61"/>
  <c r="DO61" s="1"/>
  <c r="AQ61" s="1"/>
  <c r="DN309"/>
  <c r="DO309" s="1"/>
  <c r="AQ309" s="1"/>
  <c r="DN323"/>
  <c r="DO323" s="1"/>
  <c r="AQ323" s="1"/>
  <c r="BY70"/>
  <c r="CA70"/>
  <c r="CC70"/>
  <c r="CV70"/>
  <c r="BH70"/>
  <c r="BJ70"/>
  <c r="CX70"/>
  <c r="CT70"/>
  <c r="BF70"/>
  <c r="BF234"/>
  <c r="CX234"/>
  <c r="BH234"/>
  <c r="BJ234"/>
  <c r="CV234"/>
  <c r="BY234"/>
  <c r="CA234"/>
  <c r="CC234"/>
  <c r="CT234"/>
  <c r="CX296"/>
  <c r="BY296"/>
  <c r="BJ296"/>
  <c r="BF296"/>
  <c r="CT296"/>
  <c r="DB296" s="1"/>
  <c r="BH296"/>
  <c r="CC296"/>
  <c r="CA296"/>
  <c r="CV296"/>
  <c r="BY162"/>
  <c r="BF162"/>
  <c r="CX162"/>
  <c r="CT162"/>
  <c r="BH162"/>
  <c r="BJ162"/>
  <c r="CA162"/>
  <c r="CC162"/>
  <c r="CV162"/>
  <c r="CC314"/>
  <c r="CT314"/>
  <c r="BH314"/>
  <c r="CX314"/>
  <c r="CA314"/>
  <c r="CV314"/>
  <c r="BY314"/>
  <c r="BJ314"/>
  <c r="BF314"/>
  <c r="CT160"/>
  <c r="CC160"/>
  <c r="CX160"/>
  <c r="BY160"/>
  <c r="BH160"/>
  <c r="BF160"/>
  <c r="CV160"/>
  <c r="CA160"/>
  <c r="BJ160"/>
  <c r="BJ174"/>
  <c r="CC174"/>
  <c r="CV174"/>
  <c r="BY174"/>
  <c r="CX174"/>
  <c r="CT174"/>
  <c r="CA174"/>
  <c r="BH174"/>
  <c r="BF174"/>
  <c r="BH250"/>
  <c r="CA250"/>
  <c r="CX250"/>
  <c r="CT250"/>
  <c r="CC250"/>
  <c r="BY250"/>
  <c r="CV250"/>
  <c r="BJ250"/>
  <c r="BF250"/>
  <c r="BH305"/>
  <c r="CA305"/>
  <c r="CX305"/>
  <c r="BJ305"/>
  <c r="CC305"/>
  <c r="CV305"/>
  <c r="BF305"/>
  <c r="CT305"/>
  <c r="BY305"/>
  <c r="CT354"/>
  <c r="CC354"/>
  <c r="BF354"/>
  <c r="CX354"/>
  <c r="BH354"/>
  <c r="BY354"/>
  <c r="CA354"/>
  <c r="BJ354"/>
  <c r="CV354"/>
  <c r="CT370"/>
  <c r="BH370"/>
  <c r="BF370"/>
  <c r="CA370"/>
  <c r="BJ370"/>
  <c r="CV370"/>
  <c r="CC370"/>
  <c r="BY370"/>
  <c r="CX370"/>
  <c r="BY56"/>
  <c r="BH56"/>
  <c r="CC56"/>
  <c r="CV56"/>
  <c r="CX56"/>
  <c r="CA56"/>
  <c r="BF56"/>
  <c r="CT56"/>
  <c r="BJ56"/>
  <c r="BJ87"/>
  <c r="CC87"/>
  <c r="CV87"/>
  <c r="BH87"/>
  <c r="CT87"/>
  <c r="BF87"/>
  <c r="BY87"/>
  <c r="CX87"/>
  <c r="CA87"/>
  <c r="CX94"/>
  <c r="BY94"/>
  <c r="BH94"/>
  <c r="BJ94"/>
  <c r="CA94"/>
  <c r="CC94"/>
  <c r="CV94"/>
  <c r="CT94"/>
  <c r="BF94"/>
  <c r="BH159"/>
  <c r="CA159"/>
  <c r="CX159"/>
  <c r="BJ159"/>
  <c r="CC159"/>
  <c r="CV159"/>
  <c r="CT159"/>
  <c r="BF159"/>
  <c r="BY159"/>
  <c r="BH183"/>
  <c r="CA183"/>
  <c r="CX183"/>
  <c r="CC183"/>
  <c r="BJ183"/>
  <c r="BY183"/>
  <c r="CV183"/>
  <c r="CT183"/>
  <c r="BF183"/>
  <c r="BJ257"/>
  <c r="CC257"/>
  <c r="CV257"/>
  <c r="BH257"/>
  <c r="BY257"/>
  <c r="CT257"/>
  <c r="CA257"/>
  <c r="CX257"/>
  <c r="BF257"/>
  <c r="BF356"/>
  <c r="CX356"/>
  <c r="CT356"/>
  <c r="BH356"/>
  <c r="BY356"/>
  <c r="CA356"/>
  <c r="BJ356"/>
  <c r="CV356"/>
  <c r="CC356"/>
  <c r="DN267"/>
  <c r="DO267" s="1"/>
  <c r="AQ267" s="1"/>
  <c r="CV49"/>
  <c r="CA49"/>
  <c r="BF49"/>
  <c r="BY49"/>
  <c r="BJ49"/>
  <c r="CT49"/>
  <c r="CC49"/>
  <c r="CX49"/>
  <c r="BH49"/>
  <c r="CT364"/>
  <c r="CC364"/>
  <c r="BY364"/>
  <c r="CX364"/>
  <c r="BH364"/>
  <c r="CA364"/>
  <c r="BJ364"/>
  <c r="BF364"/>
  <c r="CV364"/>
  <c r="BH108"/>
  <c r="CC108"/>
  <c r="CX108"/>
  <c r="BY108"/>
  <c r="BF108"/>
  <c r="CA108"/>
  <c r="CV108"/>
  <c r="CT108"/>
  <c r="BJ108"/>
  <c r="BH179"/>
  <c r="CA179"/>
  <c r="CX179"/>
  <c r="CC179"/>
  <c r="CV179"/>
  <c r="CT179"/>
  <c r="BY179"/>
  <c r="BJ179"/>
  <c r="BF179"/>
  <c r="BH191"/>
  <c r="CA191"/>
  <c r="CX191"/>
  <c r="BJ191"/>
  <c r="CC191"/>
  <c r="CV191"/>
  <c r="BY191"/>
  <c r="CT191"/>
  <c r="BF191"/>
  <c r="BJ252"/>
  <c r="CC252"/>
  <c r="CV252"/>
  <c r="CT252"/>
  <c r="BY252"/>
  <c r="CA252"/>
  <c r="BF252"/>
  <c r="CX252"/>
  <c r="BH252"/>
  <c r="BJ265"/>
  <c r="CC265"/>
  <c r="CV265"/>
  <c r="CA265"/>
  <c r="BH265"/>
  <c r="BF265"/>
  <c r="CT265"/>
  <c r="BY265"/>
  <c r="CX265"/>
  <c r="CT282"/>
  <c r="BJ282"/>
  <c r="CV282"/>
  <c r="CC282"/>
  <c r="CX282"/>
  <c r="BY282"/>
  <c r="BH282"/>
  <c r="BF282"/>
  <c r="CA282"/>
  <c r="BH313"/>
  <c r="CA313"/>
  <c r="CX313"/>
  <c r="BJ313"/>
  <c r="CC313"/>
  <c r="CV313"/>
  <c r="CT313"/>
  <c r="BF313"/>
  <c r="BY313"/>
  <c r="CX348"/>
  <c r="BH348"/>
  <c r="CA348"/>
  <c r="BJ348"/>
  <c r="BF348"/>
  <c r="CV348"/>
  <c r="CT348"/>
  <c r="CC348"/>
  <c r="BY348"/>
  <c r="CX152"/>
  <c r="BY152"/>
  <c r="BH152"/>
  <c r="BF152"/>
  <c r="CV152"/>
  <c r="CA152"/>
  <c r="BJ152"/>
  <c r="CT152"/>
  <c r="CC152"/>
  <c r="CC220"/>
  <c r="BF220"/>
  <c r="CV220"/>
  <c r="BY220"/>
  <c r="BH220"/>
  <c r="CA220"/>
  <c r="BJ220"/>
  <c r="CX220"/>
  <c r="CT220"/>
  <c r="BH242"/>
  <c r="CA242"/>
  <c r="CX242"/>
  <c r="BF242"/>
  <c r="BJ242"/>
  <c r="BY242"/>
  <c r="CC242"/>
  <c r="CT242"/>
  <c r="CV242"/>
  <c r="CV322"/>
  <c r="CX322"/>
  <c r="BY322"/>
  <c r="BH322"/>
  <c r="BJ322"/>
  <c r="CA322"/>
  <c r="CC322"/>
  <c r="BF322"/>
  <c r="CT322"/>
  <c r="BH155"/>
  <c r="CA155"/>
  <c r="CX155"/>
  <c r="BJ155"/>
  <c r="CC155"/>
  <c r="CV155"/>
  <c r="CT155"/>
  <c r="BF155"/>
  <c r="BY155"/>
  <c r="DN297"/>
  <c r="DO297" s="1"/>
  <c r="AQ297" s="1"/>
  <c r="DN331"/>
  <c r="DO331" s="1"/>
  <c r="AQ331" s="1"/>
  <c r="BY120"/>
  <c r="BH120"/>
  <c r="CX120"/>
  <c r="CA120"/>
  <c r="CT120"/>
  <c r="BJ120"/>
  <c r="BF120"/>
  <c r="CV120"/>
  <c r="CC120"/>
  <c r="BH324"/>
  <c r="CC324"/>
  <c r="CX324"/>
  <c r="BY324"/>
  <c r="CA324"/>
  <c r="CV324"/>
  <c r="CT324"/>
  <c r="BF324"/>
  <c r="BJ324"/>
  <c r="CA216"/>
  <c r="CV216"/>
  <c r="CX216"/>
  <c r="CT216"/>
  <c r="BJ216"/>
  <c r="BY216"/>
  <c r="BH216"/>
  <c r="CC216"/>
  <c r="BF216"/>
  <c r="BH190"/>
  <c r="CA190"/>
  <c r="CX190"/>
  <c r="BJ190"/>
  <c r="CC190"/>
  <c r="CV190"/>
  <c r="BF190"/>
  <c r="CT190"/>
  <c r="BY190"/>
  <c r="CT298"/>
  <c r="DB298" s="1"/>
  <c r="CA298"/>
  <c r="CV298"/>
  <c r="BJ298"/>
  <c r="CX298"/>
  <c r="BY298"/>
  <c r="CC298"/>
  <c r="BF298"/>
  <c r="BH298"/>
  <c r="CT378"/>
  <c r="BF378"/>
  <c r="CX378"/>
  <c r="BH378"/>
  <c r="CA378"/>
  <c r="BJ378"/>
  <c r="CV378"/>
  <c r="BY378"/>
  <c r="CC378"/>
  <c r="BJ79"/>
  <c r="CC79"/>
  <c r="CV79"/>
  <c r="BY79"/>
  <c r="CA79"/>
  <c r="CT79"/>
  <c r="BF79"/>
  <c r="BH79"/>
  <c r="CX79"/>
  <c r="BF366"/>
  <c r="CX366"/>
  <c r="BH366"/>
  <c r="BY366"/>
  <c r="CA366"/>
  <c r="BJ366"/>
  <c r="CV366"/>
  <c r="CT366"/>
  <c r="CC366"/>
  <c r="DN233"/>
  <c r="DO233" s="1"/>
  <c r="AQ233" s="1"/>
  <c r="DN279"/>
  <c r="DO279" s="1"/>
  <c r="AQ279" s="1"/>
  <c r="BY52"/>
  <c r="CV52"/>
  <c r="BH52"/>
  <c r="BF52"/>
  <c r="CX52"/>
  <c r="CT52"/>
  <c r="CA52"/>
  <c r="BJ52"/>
  <c r="CC52"/>
  <c r="BH55"/>
  <c r="CA55"/>
  <c r="CX55"/>
  <c r="BJ55"/>
  <c r="CC55"/>
  <c r="CV55"/>
  <c r="CT55"/>
  <c r="BF55"/>
  <c r="BY55"/>
  <c r="BJ60"/>
  <c r="CV60"/>
  <c r="BH60"/>
  <c r="BY60"/>
  <c r="CX60"/>
  <c r="CC60"/>
  <c r="BF60"/>
  <c r="CT60"/>
  <c r="CA60"/>
  <c r="CA114"/>
  <c r="BJ114"/>
  <c r="CV114"/>
  <c r="BY114"/>
  <c r="CC114"/>
  <c r="BF114"/>
  <c r="CX114"/>
  <c r="CT114"/>
  <c r="BH114"/>
  <c r="BJ260"/>
  <c r="CC260"/>
  <c r="CV260"/>
  <c r="CA260"/>
  <c r="BF260"/>
  <c r="CX260"/>
  <c r="CT260"/>
  <c r="BH260"/>
  <c r="BY260"/>
  <c r="BH262"/>
  <c r="CA262"/>
  <c r="CX262"/>
  <c r="BJ262"/>
  <c r="CT262"/>
  <c r="CC262"/>
  <c r="BY262"/>
  <c r="BF262"/>
  <c r="CV262"/>
  <c r="CC286"/>
  <c r="CX286"/>
  <c r="CT286"/>
  <c r="BH286"/>
  <c r="CA286"/>
  <c r="BF286"/>
  <c r="CV286"/>
  <c r="BY286"/>
  <c r="BJ286"/>
  <c r="BH321"/>
  <c r="CA321"/>
  <c r="CX321"/>
  <c r="BJ321"/>
  <c r="CC321"/>
  <c r="CV321"/>
  <c r="BF321"/>
  <c r="CT321"/>
  <c r="BY321"/>
  <c r="BY338"/>
  <c r="BJ338"/>
  <c r="BH338"/>
  <c r="CC338"/>
  <c r="CV338"/>
  <c r="CA338"/>
  <c r="BF338"/>
  <c r="CT338"/>
  <c r="CX338"/>
  <c r="BJ136"/>
  <c r="CC136"/>
  <c r="CV136"/>
  <c r="BY136"/>
  <c r="CX136"/>
  <c r="CT136"/>
  <c r="BH136"/>
  <c r="BF136"/>
  <c r="CA136"/>
  <c r="BJ198"/>
  <c r="CC198"/>
  <c r="CV198"/>
  <c r="CA198"/>
  <c r="BH198"/>
  <c r="CT198"/>
  <c r="CX198"/>
  <c r="BF198"/>
  <c r="BY198"/>
  <c r="CT228"/>
  <c r="CC228"/>
  <c r="BF228"/>
  <c r="CV228"/>
  <c r="BY228"/>
  <c r="BH228"/>
  <c r="CA228"/>
  <c r="BJ228"/>
  <c r="CX228"/>
  <c r="BJ253"/>
  <c r="CC253"/>
  <c r="CV253"/>
  <c r="BY253"/>
  <c r="CX253"/>
  <c r="BH253"/>
  <c r="CT253"/>
  <c r="BF253"/>
  <c r="CA253"/>
  <c r="CC330"/>
  <c r="BF330"/>
  <c r="CT330"/>
  <c r="CV330"/>
  <c r="CX330"/>
  <c r="BY330"/>
  <c r="BH330"/>
  <c r="BJ330"/>
  <c r="CA330"/>
  <c r="CV328"/>
  <c r="CX328"/>
  <c r="CT328"/>
  <c r="BJ328"/>
  <c r="CC328"/>
  <c r="BF328"/>
  <c r="BH328"/>
  <c r="BY328"/>
  <c r="CA328"/>
  <c r="CC376"/>
  <c r="CX376"/>
  <c r="BH376"/>
  <c r="BF376"/>
  <c r="CT376"/>
  <c r="CA376"/>
  <c r="BJ376"/>
  <c r="CV376"/>
  <c r="BY376"/>
  <c r="CV76"/>
  <c r="BY76"/>
  <c r="CA76"/>
  <c r="BH76"/>
  <c r="CC76"/>
  <c r="CX76"/>
  <c r="CT76"/>
  <c r="BJ76"/>
  <c r="BF76"/>
  <c r="BH163"/>
  <c r="CA163"/>
  <c r="CX163"/>
  <c r="BJ163"/>
  <c r="CC163"/>
  <c r="CV163"/>
  <c r="CT163"/>
  <c r="BF163"/>
  <c r="BY163"/>
  <c r="BJ212"/>
  <c r="CX212"/>
  <c r="CC212"/>
  <c r="BF212"/>
  <c r="BY212"/>
  <c r="CV212"/>
  <c r="BH212"/>
  <c r="CT212"/>
  <c r="CA212"/>
  <c r="BH325"/>
  <c r="CA325"/>
  <c r="CX325"/>
  <c r="BJ325"/>
  <c r="CC325"/>
  <c r="CV325"/>
  <c r="BF325"/>
  <c r="CT325"/>
  <c r="BY325"/>
  <c r="DN50"/>
  <c r="DO50" s="1"/>
  <c r="AQ50" s="1"/>
  <c r="DN69"/>
  <c r="DO69" s="1"/>
  <c r="AQ69" s="1"/>
  <c r="DN205"/>
  <c r="DO205" s="1"/>
  <c r="AQ205" s="1"/>
  <c r="CT72"/>
  <c r="CA72"/>
  <c r="BF72"/>
  <c r="BH72"/>
  <c r="CV72"/>
  <c r="CC72"/>
  <c r="CX72"/>
  <c r="BY72"/>
  <c r="BJ72"/>
  <c r="BH80"/>
  <c r="CA80"/>
  <c r="CX80"/>
  <c r="CV80"/>
  <c r="BF80"/>
  <c r="BY80"/>
  <c r="CC80"/>
  <c r="BJ80"/>
  <c r="CT80"/>
  <c r="BH105"/>
  <c r="CA105"/>
  <c r="CX105"/>
  <c r="BJ105"/>
  <c r="CC105"/>
  <c r="CV105"/>
  <c r="CT105"/>
  <c r="BF105"/>
  <c r="BY105"/>
  <c r="CX144"/>
  <c r="BY144"/>
  <c r="BH144"/>
  <c r="BF144"/>
  <c r="CV144"/>
  <c r="CA144"/>
  <c r="BJ144"/>
  <c r="CT144"/>
  <c r="CC144"/>
  <c r="BF204"/>
  <c r="BY204"/>
  <c r="CA204"/>
  <c r="BJ204"/>
  <c r="CV204"/>
  <c r="CC204"/>
  <c r="CX204"/>
  <c r="CT204"/>
  <c r="BH204"/>
  <c r="BJ245"/>
  <c r="CC245"/>
  <c r="CV245"/>
  <c r="BF245"/>
  <c r="CX245"/>
  <c r="CT245"/>
  <c r="CA245"/>
  <c r="BY245"/>
  <c r="BH245"/>
  <c r="CT236"/>
  <c r="CV236"/>
  <c r="BY236"/>
  <c r="BJ236"/>
  <c r="BH236"/>
  <c r="BF236"/>
  <c r="CC236"/>
  <c r="CX236"/>
  <c r="CA236"/>
  <c r="BH289"/>
  <c r="CA289"/>
  <c r="CX289"/>
  <c r="BJ289"/>
  <c r="CC289"/>
  <c r="CV289"/>
  <c r="BF289"/>
  <c r="CT289"/>
  <c r="BY289"/>
  <c r="BF168"/>
  <c r="CV168"/>
  <c r="CA168"/>
  <c r="BJ168"/>
  <c r="CT168"/>
  <c r="CC168"/>
  <c r="CX168"/>
  <c r="BY168"/>
  <c r="BH168"/>
  <c r="BH147"/>
  <c r="CA147"/>
  <c r="CX147"/>
  <c r="BJ147"/>
  <c r="CC147"/>
  <c r="CV147"/>
  <c r="CT147"/>
  <c r="BF147"/>
  <c r="BY147"/>
  <c r="BH208"/>
  <c r="CC208"/>
  <c r="CX208"/>
  <c r="CT208"/>
  <c r="CA208"/>
  <c r="CV208"/>
  <c r="BY208"/>
  <c r="BJ208"/>
  <c r="BF208"/>
  <c r="CT332"/>
  <c r="BJ332"/>
  <c r="BF332"/>
  <c r="BH332"/>
  <c r="CC332"/>
  <c r="CX332"/>
  <c r="CA332"/>
  <c r="CV332"/>
  <c r="BY332"/>
  <c r="BJ355"/>
  <c r="CC355"/>
  <c r="CV355"/>
  <c r="BH355"/>
  <c r="CA355"/>
  <c r="CX355"/>
  <c r="CT355"/>
  <c r="BF355"/>
  <c r="BY355"/>
  <c r="BJ74"/>
  <c r="CA74"/>
  <c r="CV74"/>
  <c r="CT74"/>
  <c r="BH74"/>
  <c r="CC74"/>
  <c r="CX74"/>
  <c r="BF74"/>
  <c r="BY74"/>
  <c r="DN77"/>
  <c r="DO77" s="1"/>
  <c r="AQ77" s="1"/>
  <c r="DN201"/>
  <c r="DO201" s="1"/>
  <c r="AQ201" s="1"/>
  <c r="DN333"/>
  <c r="DO333" s="1"/>
  <c r="AQ333" s="1"/>
  <c r="BJ62"/>
  <c r="CC62"/>
  <c r="CV62"/>
  <c r="BY62"/>
  <c r="CT62"/>
  <c r="CA62"/>
  <c r="CX62"/>
  <c r="BF62"/>
  <c r="BH62"/>
  <c r="BJ86"/>
  <c r="CC86"/>
  <c r="CV86"/>
  <c r="CX86"/>
  <c r="BY86"/>
  <c r="BF86"/>
  <c r="CT86"/>
  <c r="CA86"/>
  <c r="BH86"/>
  <c r="BJ128"/>
  <c r="CC128"/>
  <c r="CV128"/>
  <c r="CT128"/>
  <c r="CA128"/>
  <c r="BF128"/>
  <c r="CX128"/>
  <c r="BH128"/>
  <c r="BY128"/>
  <c r="BH246"/>
  <c r="CA246"/>
  <c r="CX246"/>
  <c r="BF246"/>
  <c r="BJ246"/>
  <c r="BY246"/>
  <c r="CT246"/>
  <c r="CV246"/>
  <c r="CC246"/>
  <c r="BJ306"/>
  <c r="CA306"/>
  <c r="CC306"/>
  <c r="BF306"/>
  <c r="CT306"/>
  <c r="CV306"/>
  <c r="CX306"/>
  <c r="BY306"/>
  <c r="BH306"/>
  <c r="CX334"/>
  <c r="BF334"/>
  <c r="CT334"/>
  <c r="BJ334"/>
  <c r="BH334"/>
  <c r="CC334"/>
  <c r="CV334"/>
  <c r="BY334"/>
  <c r="CA334"/>
  <c r="BY372"/>
  <c r="CA372"/>
  <c r="BJ372"/>
  <c r="CV372"/>
  <c r="CC372"/>
  <c r="BF372"/>
  <c r="CX372"/>
  <c r="CT372"/>
  <c r="BH372"/>
  <c r="CT164"/>
  <c r="BH164"/>
  <c r="BF164"/>
  <c r="CX164"/>
  <c r="CA164"/>
  <c r="BY164"/>
  <c r="BJ164"/>
  <c r="CV164"/>
  <c r="CC164"/>
  <c r="CT226"/>
  <c r="BH226"/>
  <c r="CA226"/>
  <c r="BJ226"/>
  <c r="BF226"/>
  <c r="CV226"/>
  <c r="CC226"/>
  <c r="CX226"/>
  <c r="BY226"/>
  <c r="BJ135"/>
  <c r="CC135"/>
  <c r="CV135"/>
  <c r="BY135"/>
  <c r="BF135"/>
  <c r="CA135"/>
  <c r="BH135"/>
  <c r="CX135"/>
  <c r="CT135"/>
  <c r="BJ379"/>
  <c r="CC379"/>
  <c r="CV379"/>
  <c r="BH379"/>
  <c r="CA379"/>
  <c r="CX379"/>
  <c r="CT379"/>
  <c r="BF379"/>
  <c r="BY379"/>
  <c r="DN145"/>
  <c r="DO145" s="1"/>
  <c r="AQ145" s="1"/>
  <c r="DO347"/>
  <c r="AQ347" s="1"/>
  <c r="DN307"/>
  <c r="DO307" s="1"/>
  <c r="AQ307" s="1"/>
  <c r="CX47"/>
  <c r="BH47"/>
  <c r="BJ47"/>
  <c r="CV47"/>
  <c r="CT47"/>
  <c r="CA47"/>
  <c r="CC47"/>
  <c r="BF47"/>
  <c r="BY47"/>
  <c r="BJ197"/>
  <c r="CC197"/>
  <c r="CV197"/>
  <c r="BY197"/>
  <c r="CA197"/>
  <c r="CT197"/>
  <c r="BH197"/>
  <c r="CX197"/>
  <c r="BF197"/>
  <c r="CT238"/>
  <c r="BF238"/>
  <c r="BH238"/>
  <c r="BY238"/>
  <c r="CA238"/>
  <c r="BJ238"/>
  <c r="CV238"/>
  <c r="CX238"/>
  <c r="CC238"/>
  <c r="DN202"/>
  <c r="DO202" s="1"/>
  <c r="AQ202" s="1"/>
  <c r="BJ131"/>
  <c r="CC131"/>
  <c r="CV131"/>
  <c r="CX131"/>
  <c r="CT131"/>
  <c r="CA131"/>
  <c r="BY131"/>
  <c r="BF131"/>
  <c r="BH131"/>
  <c r="BJ244"/>
  <c r="CC244"/>
  <c r="CV244"/>
  <c r="CT244"/>
  <c r="BY244"/>
  <c r="CX244"/>
  <c r="CA244"/>
  <c r="BH244"/>
  <c r="BF244"/>
  <c r="CC150"/>
  <c r="CX150"/>
  <c r="BF150"/>
  <c r="BY150"/>
  <c r="BH150"/>
  <c r="CT150"/>
  <c r="CA150"/>
  <c r="BJ150"/>
  <c r="CV150"/>
  <c r="CA288"/>
  <c r="CV288"/>
  <c r="CX288"/>
  <c r="BY288"/>
  <c r="BJ288"/>
  <c r="BF288"/>
  <c r="CT288"/>
  <c r="BH288"/>
  <c r="CC288"/>
  <c r="DN169"/>
  <c r="DO169" s="1"/>
  <c r="AQ169" s="1"/>
  <c r="DN271"/>
  <c r="DO271" s="1"/>
  <c r="AQ271" s="1"/>
  <c r="DN176"/>
  <c r="DO176" s="1"/>
  <c r="AQ176" s="1"/>
  <c r="DN223"/>
  <c r="DO223" s="1"/>
  <c r="AQ223" s="1"/>
  <c r="BY102"/>
  <c r="BJ102"/>
  <c r="CC102"/>
  <c r="CT102"/>
  <c r="BH102"/>
  <c r="BF102"/>
  <c r="CX102"/>
  <c r="CA102"/>
  <c r="CV102"/>
  <c r="BY116"/>
  <c r="CC116"/>
  <c r="BF116"/>
  <c r="CX116"/>
  <c r="CT116"/>
  <c r="BH116"/>
  <c r="CV116"/>
  <c r="CA116"/>
  <c r="BJ116"/>
  <c r="BJ124"/>
  <c r="CC124"/>
  <c r="CV124"/>
  <c r="BF124"/>
  <c r="CT124"/>
  <c r="BH124"/>
  <c r="BY124"/>
  <c r="CX124"/>
  <c r="CA124"/>
  <c r="BJ185"/>
  <c r="CC185"/>
  <c r="CV185"/>
  <c r="CX185"/>
  <c r="CT185"/>
  <c r="BH185"/>
  <c r="BY185"/>
  <c r="BF185"/>
  <c r="CA185"/>
  <c r="BY210"/>
  <c r="CC210"/>
  <c r="BF210"/>
  <c r="CT210"/>
  <c r="BH210"/>
  <c r="CA210"/>
  <c r="CV210"/>
  <c r="BJ210"/>
  <c r="CX210"/>
  <c r="CC292"/>
  <c r="BY292"/>
  <c r="CV292"/>
  <c r="CT292"/>
  <c r="DB292" s="1"/>
  <c r="BH292"/>
  <c r="CA292"/>
  <c r="BJ292"/>
  <c r="BF292"/>
  <c r="CX292"/>
  <c r="BY308"/>
  <c r="BH308"/>
  <c r="BJ308"/>
  <c r="CT308"/>
  <c r="CA308"/>
  <c r="CC308"/>
  <c r="CV308"/>
  <c r="CX308"/>
  <c r="BF308"/>
  <c r="BJ320"/>
  <c r="CA320"/>
  <c r="CC320"/>
  <c r="CV320"/>
  <c r="CX320"/>
  <c r="BY320"/>
  <c r="BF320"/>
  <c r="CT320"/>
  <c r="BH320"/>
  <c r="DN157"/>
  <c r="DO157" s="1"/>
  <c r="AQ157" s="1"/>
  <c r="BY45"/>
  <c r="CT45"/>
  <c r="BJ45"/>
  <c r="CX45"/>
  <c r="BH45"/>
  <c r="CC45"/>
  <c r="BF45"/>
  <c r="CA45"/>
  <c r="CV45"/>
  <c r="BJ300"/>
  <c r="BY300"/>
  <c r="BH300"/>
  <c r="CC300"/>
  <c r="CX300"/>
  <c r="CT300"/>
  <c r="DB300" s="1"/>
  <c r="CA300"/>
  <c r="BF300"/>
  <c r="CV300"/>
  <c r="BJ146"/>
  <c r="BY146"/>
  <c r="CA146"/>
  <c r="CC146"/>
  <c r="BF146"/>
  <c r="CV146"/>
  <c r="CT146"/>
  <c r="CX146"/>
  <c r="BH146"/>
  <c r="CT290"/>
  <c r="DB290" s="1"/>
  <c r="BH290"/>
  <c r="CA290"/>
  <c r="CV290"/>
  <c r="BY290"/>
  <c r="BJ290"/>
  <c r="BF290"/>
  <c r="CX290"/>
  <c r="CC290"/>
  <c r="BH68"/>
  <c r="CV68"/>
  <c r="CT68"/>
  <c r="CC68"/>
  <c r="BY68"/>
  <c r="CA68"/>
  <c r="BF68"/>
  <c r="CX68"/>
  <c r="BJ68"/>
  <c r="CA156"/>
  <c r="BY156"/>
  <c r="BJ156"/>
  <c r="CV156"/>
  <c r="CC156"/>
  <c r="CT156"/>
  <c r="BH156"/>
  <c r="BF156"/>
  <c r="CX156"/>
  <c r="BH329"/>
  <c r="CA329"/>
  <c r="CX329"/>
  <c r="BJ329"/>
  <c r="CC329"/>
  <c r="CV329"/>
  <c r="BF329"/>
  <c r="CT329"/>
  <c r="BY329"/>
  <c r="DN113"/>
  <c r="DO113" s="1"/>
  <c r="AQ113" s="1"/>
  <c r="DN301"/>
  <c r="DO301" s="1"/>
  <c r="AQ301" s="1"/>
  <c r="BJ89"/>
  <c r="CC89"/>
  <c r="CV89"/>
  <c r="BH89"/>
  <c r="CX89"/>
  <c r="BF89"/>
  <c r="CT89"/>
  <c r="CA89"/>
  <c r="BY89"/>
  <c r="CV104"/>
  <c r="BF104"/>
  <c r="CX104"/>
  <c r="BY104"/>
  <c r="CT104"/>
  <c r="BH104"/>
  <c r="BJ104"/>
  <c r="CA104"/>
  <c r="CC104"/>
  <c r="BH284"/>
  <c r="CC284"/>
  <c r="BY284"/>
  <c r="CA284"/>
  <c r="CX284"/>
  <c r="CT284"/>
  <c r="BF284"/>
  <c r="CV284"/>
  <c r="BJ284"/>
  <c r="DO337"/>
  <c r="AQ337" s="1"/>
  <c r="BH84"/>
  <c r="CA84"/>
  <c r="CX84"/>
  <c r="BF84"/>
  <c r="CV84"/>
  <c r="CT84"/>
  <c r="BY84"/>
  <c r="CC84"/>
  <c r="BJ84"/>
  <c r="DN237"/>
  <c r="DO237" s="1"/>
  <c r="AQ237" s="1"/>
  <c r="BJ264"/>
  <c r="CC264"/>
  <c r="CV264"/>
  <c r="BY264"/>
  <c r="BF264"/>
  <c r="CX264"/>
  <c r="CT264"/>
  <c r="BH264"/>
  <c r="CA264"/>
  <c r="DN239"/>
  <c r="DO239" s="1"/>
  <c r="AQ239" s="1"/>
  <c r="BF232"/>
  <c r="CX232"/>
  <c r="CT232"/>
  <c r="BJ232"/>
  <c r="BY232"/>
  <c r="BH232"/>
  <c r="CC232"/>
  <c r="CV232"/>
  <c r="CA232"/>
  <c r="BJ261"/>
  <c r="CC261"/>
  <c r="CV261"/>
  <c r="BY261"/>
  <c r="CA261"/>
  <c r="BF261"/>
  <c r="CX261"/>
  <c r="CT261"/>
  <c r="BH261"/>
  <c r="CX318"/>
  <c r="CT318"/>
  <c r="CA318"/>
  <c r="BF318"/>
  <c r="CV318"/>
  <c r="BJ318"/>
  <c r="BY318"/>
  <c r="CC318"/>
  <c r="BH318"/>
  <c r="CC344"/>
  <c r="CX344"/>
  <c r="BH344"/>
  <c r="BF344"/>
  <c r="CT344"/>
  <c r="CA344"/>
  <c r="BJ344"/>
  <c r="CV344"/>
  <c r="BY344"/>
  <c r="BJ90"/>
  <c r="CC90"/>
  <c r="CV90"/>
  <c r="BF90"/>
  <c r="CA90"/>
  <c r="BY90"/>
  <c r="CX90"/>
  <c r="CT90"/>
  <c r="BH90"/>
  <c r="BH125"/>
  <c r="CA125"/>
  <c r="BY125"/>
  <c r="BJ125"/>
  <c r="CV125"/>
  <c r="CT125"/>
  <c r="CC125"/>
  <c r="BF125"/>
  <c r="CX125"/>
  <c r="CV342"/>
  <c r="CC342"/>
  <c r="BF342"/>
  <c r="CX342"/>
  <c r="BY342"/>
  <c r="BH342"/>
  <c r="CT342"/>
  <c r="CA342"/>
  <c r="BJ342"/>
  <c r="CX358"/>
  <c r="BH358"/>
  <c r="BF358"/>
  <c r="CA358"/>
  <c r="BJ358"/>
  <c r="CV358"/>
  <c r="BY358"/>
  <c r="CC358"/>
  <c r="CT358"/>
  <c r="CV374"/>
  <c r="CC374"/>
  <c r="BF374"/>
  <c r="CX374"/>
  <c r="BY374"/>
  <c r="BH374"/>
  <c r="CT374"/>
  <c r="CA374"/>
  <c r="BJ374"/>
  <c r="CA350"/>
  <c r="BJ350"/>
  <c r="BF350"/>
  <c r="CV350"/>
  <c r="CC350"/>
  <c r="BY350"/>
  <c r="CX350"/>
  <c r="CT350"/>
  <c r="BH350"/>
  <c r="BH317"/>
  <c r="CA317"/>
  <c r="CX317"/>
  <c r="BJ317"/>
  <c r="CC317"/>
  <c r="CV317"/>
  <c r="CT317"/>
  <c r="BF317"/>
  <c r="BY317"/>
  <c r="BH67"/>
  <c r="CA67"/>
  <c r="CX67"/>
  <c r="BJ67"/>
  <c r="CC67"/>
  <c r="CV67"/>
  <c r="CT67"/>
  <c r="BF67"/>
  <c r="BY67"/>
  <c r="DN66"/>
  <c r="DO66" s="1"/>
  <c r="AQ66" s="1"/>
  <c r="DN207"/>
  <c r="DO207" s="1"/>
  <c r="AQ207" s="1"/>
  <c r="DN211"/>
  <c r="DO211" s="1"/>
  <c r="AQ211" s="1"/>
  <c r="CT54"/>
  <c r="BH54"/>
  <c r="BF54"/>
  <c r="CV54"/>
  <c r="CA54"/>
  <c r="BJ54"/>
  <c r="CX54"/>
  <c r="CC54"/>
  <c r="BY54"/>
  <c r="BJ130"/>
  <c r="CC130"/>
  <c r="CV130"/>
  <c r="BH130"/>
  <c r="CA130"/>
  <c r="CX130"/>
  <c r="BY130"/>
  <c r="CT130"/>
  <c r="BF130"/>
  <c r="BJ177"/>
  <c r="CC177"/>
  <c r="CV177"/>
  <c r="CX177"/>
  <c r="BH177"/>
  <c r="BY177"/>
  <c r="CT177"/>
  <c r="CA177"/>
  <c r="BF177"/>
  <c r="BY100"/>
  <c r="BH100"/>
  <c r="BJ100"/>
  <c r="BF100"/>
  <c r="CT100"/>
  <c r="CA100"/>
  <c r="CC100"/>
  <c r="CV100"/>
  <c r="CX100"/>
  <c r="BJ127"/>
  <c r="CC127"/>
  <c r="CV127"/>
  <c r="BF127"/>
  <c r="BH127"/>
  <c r="CT127"/>
  <c r="CX127"/>
  <c r="BY127"/>
  <c r="CA127"/>
  <c r="BY158"/>
  <c r="CA158"/>
  <c r="BJ158"/>
  <c r="CV158"/>
  <c r="CT158"/>
  <c r="CC158"/>
  <c r="CX158"/>
  <c r="BH158"/>
  <c r="BF158"/>
  <c r="BH178"/>
  <c r="CA178"/>
  <c r="CX178"/>
  <c r="BJ178"/>
  <c r="BF178"/>
  <c r="CT178"/>
  <c r="CC178"/>
  <c r="CV178"/>
  <c r="BY178"/>
  <c r="CT326"/>
  <c r="BJ326"/>
  <c r="BH326"/>
  <c r="CC326"/>
  <c r="CV326"/>
  <c r="BY326"/>
  <c r="CA326"/>
  <c r="CX326"/>
  <c r="BF326"/>
  <c r="CT346"/>
  <c r="BF346"/>
  <c r="CX346"/>
  <c r="BH346"/>
  <c r="CA346"/>
  <c r="BJ346"/>
  <c r="CV346"/>
  <c r="BY346"/>
  <c r="CC346"/>
  <c r="CT362"/>
  <c r="CA362"/>
  <c r="BJ362"/>
  <c r="BF362"/>
  <c r="CV362"/>
  <c r="CC362"/>
  <c r="CX362"/>
  <c r="BY362"/>
  <c r="BH362"/>
  <c r="BJ249"/>
  <c r="CC249"/>
  <c r="CV249"/>
  <c r="CX249"/>
  <c r="BF249"/>
  <c r="CT249"/>
  <c r="BH249"/>
  <c r="BY249"/>
  <c r="CA249"/>
  <c r="BF310"/>
  <c r="CV310"/>
  <c r="BJ310"/>
  <c r="BY310"/>
  <c r="CC310"/>
  <c r="BH310"/>
  <c r="CX310"/>
  <c r="CT310"/>
  <c r="CA310"/>
  <c r="BJ352"/>
  <c r="CV352"/>
  <c r="CC352"/>
  <c r="BF352"/>
  <c r="CT352"/>
  <c r="CX352"/>
  <c r="BY352"/>
  <c r="BH352"/>
  <c r="CA352"/>
  <c r="DN263"/>
  <c r="DO263" s="1"/>
  <c r="AQ263" s="1"/>
  <c r="DN184"/>
  <c r="DO184" s="1"/>
  <c r="AQ184" s="1"/>
  <c r="CV43"/>
  <c r="BY43"/>
  <c r="BH43"/>
  <c r="BJ43"/>
  <c r="BF43"/>
  <c r="CA43"/>
  <c r="CC43"/>
  <c r="CX43"/>
  <c r="CT43"/>
  <c r="CV58"/>
  <c r="BY58"/>
  <c r="BH58"/>
  <c r="BF58"/>
  <c r="CA58"/>
  <c r="BJ58"/>
  <c r="CT58"/>
  <c r="CX58"/>
  <c r="CC58"/>
  <c r="BJ78"/>
  <c r="CC78"/>
  <c r="CV78"/>
  <c r="BF78"/>
  <c r="CT78"/>
  <c r="BH78"/>
  <c r="CX78"/>
  <c r="BY78"/>
  <c r="CA78"/>
  <c r="BF280"/>
  <c r="CV280"/>
  <c r="BY280"/>
  <c r="BH280"/>
  <c r="BJ280"/>
  <c r="CT280"/>
  <c r="CA280"/>
  <c r="CC280"/>
  <c r="CX280"/>
  <c r="BH187"/>
  <c r="CA187"/>
  <c r="CX187"/>
  <c r="CC187"/>
  <c r="CT187"/>
  <c r="BJ187"/>
  <c r="BF187"/>
  <c r="CV187"/>
  <c r="BY187"/>
  <c r="CX302"/>
  <c r="BF302"/>
  <c r="CT302"/>
  <c r="DB302" s="1"/>
  <c r="BJ302"/>
  <c r="BH302"/>
  <c r="CC302"/>
  <c r="CV302"/>
  <c r="BY302"/>
  <c r="CA302"/>
  <c r="CX368"/>
  <c r="BY368"/>
  <c r="BH368"/>
  <c r="CA368"/>
  <c r="BJ368"/>
  <c r="CV368"/>
  <c r="CC368"/>
  <c r="BF368"/>
  <c r="CT368"/>
  <c r="BJ132"/>
  <c r="CC132"/>
  <c r="CV132"/>
  <c r="BF132"/>
  <c r="CA132"/>
  <c r="BH132"/>
  <c r="BY132"/>
  <c r="CT132"/>
  <c r="CX132"/>
  <c r="BF224"/>
  <c r="CT224"/>
  <c r="CV224"/>
  <c r="CX224"/>
  <c r="BY224"/>
  <c r="BH224"/>
  <c r="BJ224"/>
  <c r="CA224"/>
  <c r="CC224"/>
  <c r="CC241"/>
  <c r="CX241"/>
  <c r="BH241"/>
  <c r="CV241"/>
  <c r="CT241"/>
  <c r="CA241"/>
  <c r="BF241"/>
  <c r="BY241"/>
  <c r="BJ241"/>
  <c r="CT304"/>
  <c r="CA304"/>
  <c r="CV304"/>
  <c r="CX304"/>
  <c r="BJ304"/>
  <c r="BF304"/>
  <c r="CC304"/>
  <c r="BY304"/>
  <c r="BH304"/>
  <c r="CX380"/>
  <c r="BH380"/>
  <c r="CA380"/>
  <c r="BJ380"/>
  <c r="BF380"/>
  <c r="CV380"/>
  <c r="CT380"/>
  <c r="CC380"/>
  <c r="BY380"/>
  <c r="BJ82"/>
  <c r="CC82"/>
  <c r="CV82"/>
  <c r="CA82"/>
  <c r="BH82"/>
  <c r="CX82"/>
  <c r="BF82"/>
  <c r="CT82"/>
  <c r="BY82"/>
  <c r="BH278"/>
  <c r="BF278"/>
  <c r="CV278"/>
  <c r="BY278"/>
  <c r="CA278"/>
  <c r="BJ278"/>
  <c r="CC278"/>
  <c r="CX278"/>
  <c r="CT278"/>
  <c r="DN126"/>
  <c r="DO126" s="1"/>
  <c r="AQ126" s="1"/>
  <c r="DN371"/>
  <c r="DO371" s="1"/>
  <c r="AQ371" s="1"/>
  <c r="BJ83"/>
  <c r="CC83"/>
  <c r="CV83"/>
  <c r="BH83"/>
  <c r="BY83"/>
  <c r="CT83"/>
  <c r="BF83"/>
  <c r="CA83"/>
  <c r="CX83"/>
  <c r="BH51"/>
  <c r="CC51"/>
  <c r="BY51"/>
  <c r="CT51"/>
  <c r="CA51"/>
  <c r="CV51"/>
  <c r="BF51"/>
  <c r="CX51"/>
  <c r="BJ51"/>
  <c r="BH93"/>
  <c r="CA93"/>
  <c r="CX93"/>
  <c r="BJ93"/>
  <c r="CC93"/>
  <c r="CV93"/>
  <c r="CT93"/>
  <c r="BF93"/>
  <c r="BY93"/>
  <c r="BH182"/>
  <c r="CA182"/>
  <c r="CX182"/>
  <c r="BJ182"/>
  <c r="CC182"/>
  <c r="CV182"/>
  <c r="CT182"/>
  <c r="BY182"/>
  <c r="BF182"/>
  <c r="BJ275"/>
  <c r="BY275"/>
  <c r="CV275"/>
  <c r="BH275"/>
  <c r="CX275"/>
  <c r="CC275"/>
  <c r="CT275"/>
  <c r="BF275"/>
  <c r="CA275"/>
  <c r="BJ269"/>
  <c r="CC269"/>
  <c r="CV269"/>
  <c r="CT269"/>
  <c r="BH269"/>
  <c r="BY269"/>
  <c r="CX269"/>
  <c r="CA269"/>
  <c r="BF269"/>
  <c r="DN273"/>
  <c r="DO273" s="1"/>
  <c r="AQ273" s="1"/>
  <c r="BJ343"/>
  <c r="CC343"/>
  <c r="CV343"/>
  <c r="BH343"/>
  <c r="CA343"/>
  <c r="CX343"/>
  <c r="BF343"/>
  <c r="CT343"/>
  <c r="BY343"/>
  <c r="CX118"/>
  <c r="BH118"/>
  <c r="BJ118"/>
  <c r="BF118"/>
  <c r="BY118"/>
  <c r="CA118"/>
  <c r="CC118"/>
  <c r="CV118"/>
  <c r="CT118"/>
  <c r="BJ181"/>
  <c r="CC181"/>
  <c r="CV181"/>
  <c r="BY181"/>
  <c r="CA181"/>
  <c r="BF181"/>
  <c r="CX181"/>
  <c r="CT181"/>
  <c r="BH181"/>
  <c r="BJ193"/>
  <c r="CC193"/>
  <c r="CV193"/>
  <c r="BY193"/>
  <c r="BF193"/>
  <c r="CX193"/>
  <c r="CT193"/>
  <c r="CA193"/>
  <c r="BH193"/>
  <c r="DN217"/>
  <c r="DO217" s="1"/>
  <c r="AQ217" s="1"/>
  <c r="CX98"/>
  <c r="BY98"/>
  <c r="CA98"/>
  <c r="BF98"/>
  <c r="CV98"/>
  <c r="BJ98"/>
  <c r="CT98"/>
  <c r="CC98"/>
  <c r="BH98"/>
  <c r="BY148"/>
  <c r="BJ148"/>
  <c r="CV148"/>
  <c r="CC148"/>
  <c r="CT148"/>
  <c r="BH148"/>
  <c r="BF148"/>
  <c r="CX148"/>
  <c r="CA148"/>
  <c r="BJ189"/>
  <c r="CC189"/>
  <c r="CV189"/>
  <c r="BY189"/>
  <c r="CT189"/>
  <c r="BF189"/>
  <c r="CA189"/>
  <c r="BH189"/>
  <c r="CX189"/>
  <c r="CX206"/>
  <c r="BY206"/>
  <c r="CT206"/>
  <c r="BJ206"/>
  <c r="CV206"/>
  <c r="BH206"/>
  <c r="CC206"/>
  <c r="BF206"/>
  <c r="CA206"/>
  <c r="CT218"/>
  <c r="BH218"/>
  <c r="CA218"/>
  <c r="CV218"/>
  <c r="BJ218"/>
  <c r="CX218"/>
  <c r="BY218"/>
  <c r="CC218"/>
  <c r="BF218"/>
  <c r="CX154"/>
  <c r="BH154"/>
  <c r="BJ154"/>
  <c r="CA154"/>
  <c r="CC154"/>
  <c r="CV154"/>
  <c r="BY154"/>
  <c r="BF154"/>
  <c r="CT154"/>
  <c r="BJ173"/>
  <c r="CC173"/>
  <c r="CV173"/>
  <c r="BY173"/>
  <c r="BF173"/>
  <c r="CX173"/>
  <c r="CA173"/>
  <c r="BH173"/>
  <c r="CT173"/>
  <c r="CX214"/>
  <c r="CA214"/>
  <c r="BF214"/>
  <c r="BJ214"/>
  <c r="BY214"/>
  <c r="CC214"/>
  <c r="CV214"/>
  <c r="CT214"/>
  <c r="BH214"/>
  <c r="BJ256"/>
  <c r="CC256"/>
  <c r="CV256"/>
  <c r="BY256"/>
  <c r="CA256"/>
  <c r="BF256"/>
  <c r="CX256"/>
  <c r="CT256"/>
  <c r="BH256"/>
  <c r="BJ268"/>
  <c r="CC268"/>
  <c r="CV268"/>
  <c r="CX268"/>
  <c r="CA268"/>
  <c r="BY268"/>
  <c r="BH268"/>
  <c r="BF268"/>
  <c r="CT268"/>
  <c r="S310" i="45"/>
  <c r="S308"/>
  <c r="S307"/>
  <c r="AG306"/>
  <c r="AG302"/>
  <c r="S302"/>
  <c r="B254"/>
  <c r="B306"/>
  <c r="AG299"/>
  <c r="S265"/>
  <c r="S263"/>
  <c r="AH216"/>
  <c r="AH379"/>
  <c r="S303"/>
  <c r="B299"/>
  <c r="S217"/>
  <c r="S215"/>
  <c r="S185"/>
  <c r="S160"/>
  <c r="AG383"/>
  <c r="AH381"/>
  <c r="S373"/>
  <c r="S369"/>
  <c r="S365"/>
  <c r="S361"/>
  <c r="S357"/>
  <c r="S353"/>
  <c r="S349"/>
  <c r="S345"/>
  <c r="S341"/>
  <c r="S337"/>
  <c r="AG309"/>
  <c r="AG307"/>
  <c r="B301"/>
  <c r="AG261"/>
  <c r="B181"/>
  <c r="B179"/>
  <c r="AH157"/>
  <c r="B155"/>
  <c r="AH384"/>
  <c r="B384"/>
  <c r="B383"/>
  <c r="AG381"/>
  <c r="AG377"/>
  <c r="B374"/>
  <c r="B372"/>
  <c r="B370"/>
  <c r="B368"/>
  <c r="B366"/>
  <c r="B364"/>
  <c r="B362"/>
  <c r="B360"/>
  <c r="B358"/>
  <c r="B356"/>
  <c r="B354"/>
  <c r="B352"/>
  <c r="B350"/>
  <c r="B348"/>
  <c r="B346"/>
  <c r="B344"/>
  <c r="B342"/>
  <c r="B340"/>
  <c r="B338"/>
  <c r="B336"/>
  <c r="B334"/>
  <c r="B332"/>
  <c r="B330"/>
  <c r="B328"/>
  <c r="B326"/>
  <c r="B324"/>
  <c r="B322"/>
  <c r="B320"/>
  <c r="B318"/>
  <c r="B316"/>
  <c r="B314"/>
  <c r="B312"/>
  <c r="B309"/>
  <c r="AG305"/>
  <c r="AH159"/>
  <c r="S306"/>
  <c r="B286"/>
  <c r="AH182"/>
  <c r="AG379"/>
  <c r="AG375"/>
  <c r="AG373"/>
  <c r="AG371"/>
  <c r="AG369"/>
  <c r="AG367"/>
  <c r="AG365"/>
  <c r="AG363"/>
  <c r="AG361"/>
  <c r="AG359"/>
  <c r="AG357"/>
  <c r="AG355"/>
  <c r="AG353"/>
  <c r="AG351"/>
  <c r="AG349"/>
  <c r="AG347"/>
  <c r="AG345"/>
  <c r="AG343"/>
  <c r="AG341"/>
  <c r="AG339"/>
  <c r="AG337"/>
  <c r="AG335"/>
  <c r="S333"/>
  <c r="AG333"/>
  <c r="AG331"/>
  <c r="S329"/>
  <c r="AG329"/>
  <c r="AG327"/>
  <c r="S325"/>
  <c r="AG325"/>
  <c r="AG323"/>
  <c r="S321"/>
  <c r="AG321"/>
  <c r="AG319"/>
  <c r="S317"/>
  <c r="AG317"/>
  <c r="AG315"/>
  <c r="S313"/>
  <c r="AG313"/>
  <c r="AG311"/>
  <c r="AG310"/>
  <c r="B305"/>
  <c r="F15"/>
  <c r="B15" s="1"/>
  <c r="P19" i="43"/>
  <c r="S304" i="45"/>
  <c r="AG287"/>
  <c r="B260"/>
  <c r="AH242"/>
  <c r="AG214"/>
  <c r="S212"/>
  <c r="AG212"/>
  <c r="B188"/>
  <c r="S186"/>
  <c r="B186"/>
  <c r="AH184"/>
  <c r="AH165"/>
  <c r="AH161"/>
  <c r="AG155"/>
  <c r="B373"/>
  <c r="B369"/>
  <c r="B365"/>
  <c r="B361"/>
  <c r="B357"/>
  <c r="B353"/>
  <c r="B349"/>
  <c r="B345"/>
  <c r="B341"/>
  <c r="B337"/>
  <c r="B333"/>
  <c r="B329"/>
  <c r="B325"/>
  <c r="B321"/>
  <c r="B317"/>
  <c r="AG316"/>
  <c r="B313"/>
  <c r="AG312"/>
  <c r="B308"/>
  <c r="B307"/>
  <c r="AG304"/>
  <c r="S300"/>
  <c r="B300"/>
  <c r="S297"/>
  <c r="S295"/>
  <c r="S219"/>
  <c r="S372"/>
  <c r="S368"/>
  <c r="AH368"/>
  <c r="S364"/>
  <c r="S360"/>
  <c r="S356"/>
  <c r="S352"/>
  <c r="S348"/>
  <c r="S344"/>
  <c r="S340"/>
  <c r="S336"/>
  <c r="S332"/>
  <c r="S328"/>
  <c r="S324"/>
  <c r="S320"/>
  <c r="S316"/>
  <c r="S312"/>
  <c r="S305"/>
  <c r="B292"/>
  <c r="AG255"/>
  <c r="B382"/>
  <c r="B381"/>
  <c r="B380"/>
  <c r="B379"/>
  <c r="B378"/>
  <c r="B377"/>
  <c r="B376"/>
  <c r="B375"/>
  <c r="B371"/>
  <c r="B367"/>
  <c r="B363"/>
  <c r="B359"/>
  <c r="B355"/>
  <c r="B351"/>
  <c r="B347"/>
  <c r="B343"/>
  <c r="B339"/>
  <c r="B335"/>
  <c r="B331"/>
  <c r="B327"/>
  <c r="B323"/>
  <c r="B319"/>
  <c r="B315"/>
  <c r="AG314"/>
  <c r="B311"/>
  <c r="B310"/>
  <c r="AG308"/>
  <c r="B304"/>
  <c r="AH303"/>
  <c r="B303"/>
  <c r="B302"/>
  <c r="S298"/>
  <c r="B298"/>
  <c r="AH383"/>
  <c r="S374"/>
  <c r="S370"/>
  <c r="S366"/>
  <c r="S362"/>
  <c r="S358"/>
  <c r="S354"/>
  <c r="S350"/>
  <c r="S346"/>
  <c r="S342"/>
  <c r="S338"/>
  <c r="S334"/>
  <c r="S330"/>
  <c r="S326"/>
  <c r="S322"/>
  <c r="S318"/>
  <c r="S314"/>
  <c r="S309"/>
  <c r="AH380"/>
  <c r="AG380"/>
  <c r="AG378"/>
  <c r="AG376"/>
  <c r="AH382"/>
  <c r="S371"/>
  <c r="S367"/>
  <c r="AH367"/>
  <c r="S363"/>
  <c r="S359"/>
  <c r="S355"/>
  <c r="S351"/>
  <c r="S347"/>
  <c r="S343"/>
  <c r="S339"/>
  <c r="S335"/>
  <c r="S331"/>
  <c r="S327"/>
  <c r="S323"/>
  <c r="S319"/>
  <c r="S315"/>
  <c r="S375"/>
  <c r="S301"/>
  <c r="AG374"/>
  <c r="AG372"/>
  <c r="AG370"/>
  <c r="AG368"/>
  <c r="AG366"/>
  <c r="AG364"/>
  <c r="AG362"/>
  <c r="AG360"/>
  <c r="AG358"/>
  <c r="AG356"/>
  <c r="AG354"/>
  <c r="AG352"/>
  <c r="AG350"/>
  <c r="AG348"/>
  <c r="AG346"/>
  <c r="AG344"/>
  <c r="AG342"/>
  <c r="AG340"/>
  <c r="AG338"/>
  <c r="AG336"/>
  <c r="AG334"/>
  <c r="AG332"/>
  <c r="AG330"/>
  <c r="AG328"/>
  <c r="AG326"/>
  <c r="AG324"/>
  <c r="AG322"/>
  <c r="AG320"/>
  <c r="AG318"/>
  <c r="AG300"/>
  <c r="S281"/>
  <c r="S279"/>
  <c r="AG277"/>
  <c r="B270"/>
  <c r="S249"/>
  <c r="B249"/>
  <c r="S247"/>
  <c r="B247"/>
  <c r="S242"/>
  <c r="B242"/>
  <c r="AH238"/>
  <c r="AH236"/>
  <c r="AH234"/>
  <c r="AH232"/>
  <c r="AH230"/>
  <c r="B220"/>
  <c r="S218"/>
  <c r="B218"/>
  <c r="B213"/>
  <c r="B211"/>
  <c r="S201"/>
  <c r="S199"/>
  <c r="S193"/>
  <c r="S191"/>
  <c r="S189"/>
  <c r="S187"/>
  <c r="AG182"/>
  <c r="S180"/>
  <c r="AG180"/>
  <c r="S166"/>
  <c r="B276"/>
  <c r="AH170"/>
  <c r="AH239"/>
  <c r="AH237"/>
  <c r="AH235"/>
  <c r="AH233"/>
  <c r="AH231"/>
  <c r="AH200"/>
  <c r="AH198"/>
  <c r="AG271"/>
  <c r="AH252"/>
  <c r="AH214"/>
  <c r="S164"/>
  <c r="B294"/>
  <c r="AG285"/>
  <c r="B278"/>
  <c r="AG269"/>
  <c r="B262"/>
  <c r="AG253"/>
  <c r="S168"/>
  <c r="AH168"/>
  <c r="S289"/>
  <c r="S287"/>
  <c r="B284"/>
  <c r="S273"/>
  <c r="S271"/>
  <c r="B268"/>
  <c r="S257"/>
  <c r="S255"/>
  <c r="B252"/>
  <c r="B229"/>
  <c r="B227"/>
  <c r="AH208"/>
  <c r="AH206"/>
  <c r="B204"/>
  <c r="S202"/>
  <c r="B202"/>
  <c r="B197"/>
  <c r="B195"/>
  <c r="AH174"/>
  <c r="B172"/>
  <c r="B164"/>
  <c r="S162"/>
  <c r="AH250"/>
  <c r="AH248"/>
  <c r="AH167"/>
  <c r="AG295"/>
  <c r="AG279"/>
  <c r="AG263"/>
  <c r="AG247"/>
  <c r="AG240"/>
  <c r="AG238"/>
  <c r="AG237"/>
  <c r="AG236"/>
  <c r="AG235"/>
  <c r="AG234"/>
  <c r="AG233"/>
  <c r="AG232"/>
  <c r="AG231"/>
  <c r="AG230"/>
  <c r="AG228"/>
  <c r="AH224"/>
  <c r="AH222"/>
  <c r="S209"/>
  <c r="S207"/>
  <c r="S205"/>
  <c r="S203"/>
  <c r="AG198"/>
  <c r="S196"/>
  <c r="AG196"/>
  <c r="AH190"/>
  <c r="S177"/>
  <c r="S175"/>
  <c r="S173"/>
  <c r="B88"/>
  <c r="B84"/>
  <c r="B296"/>
  <c r="S291"/>
  <c r="AG291"/>
  <c r="B288"/>
  <c r="S283"/>
  <c r="AG283"/>
  <c r="B280"/>
  <c r="S275"/>
  <c r="AG275"/>
  <c r="B272"/>
  <c r="S267"/>
  <c r="AG267"/>
  <c r="B264"/>
  <c r="S259"/>
  <c r="AH259"/>
  <c r="AG259"/>
  <c r="B256"/>
  <c r="S251"/>
  <c r="AG251"/>
  <c r="S248"/>
  <c r="B248"/>
  <c r="S246"/>
  <c r="AH246"/>
  <c r="B246"/>
  <c r="AH244"/>
  <c r="AG166"/>
  <c r="AG165"/>
  <c r="S163"/>
  <c r="AG163"/>
  <c r="B163"/>
  <c r="S156"/>
  <c r="B156"/>
  <c r="AG19"/>
  <c r="S293"/>
  <c r="B290"/>
  <c r="S285"/>
  <c r="B282"/>
  <c r="S277"/>
  <c r="B274"/>
  <c r="S269"/>
  <c r="B266"/>
  <c r="S261"/>
  <c r="B258"/>
  <c r="S253"/>
  <c r="B250"/>
  <c r="B243"/>
  <c r="B228"/>
  <c r="AH226"/>
  <c r="B226"/>
  <c r="B221"/>
  <c r="B219"/>
  <c r="B212"/>
  <c r="S210"/>
  <c r="AH210"/>
  <c r="B210"/>
  <c r="B205"/>
  <c r="B203"/>
  <c r="B196"/>
  <c r="S194"/>
  <c r="B194"/>
  <c r="B189"/>
  <c r="B187"/>
  <c r="B180"/>
  <c r="S178"/>
  <c r="B178"/>
  <c r="B173"/>
  <c r="S171"/>
  <c r="S158"/>
  <c r="B158"/>
  <c r="AH240"/>
  <c r="AG157"/>
  <c r="AH155"/>
  <c r="AG297"/>
  <c r="AG289"/>
  <c r="AG281"/>
  <c r="AG273"/>
  <c r="AG265"/>
  <c r="AG257"/>
  <c r="AG249"/>
  <c r="AG244"/>
  <c r="AG222"/>
  <c r="S220"/>
  <c r="AG220"/>
  <c r="AH218"/>
  <c r="S213"/>
  <c r="S211"/>
  <c r="AG206"/>
  <c r="S204"/>
  <c r="AG204"/>
  <c r="AH202"/>
  <c r="S197"/>
  <c r="S195"/>
  <c r="AG190"/>
  <c r="S188"/>
  <c r="AG188"/>
  <c r="S181"/>
  <c r="S179"/>
  <c r="AG174"/>
  <c r="S172"/>
  <c r="AG172"/>
  <c r="AH245"/>
  <c r="B245"/>
  <c r="AH241"/>
  <c r="B241"/>
  <c r="B225"/>
  <c r="AG224"/>
  <c r="B224"/>
  <c r="AH217"/>
  <c r="B217"/>
  <c r="AG216"/>
  <c r="B216"/>
  <c r="AH209"/>
  <c r="B209"/>
  <c r="AG208"/>
  <c r="B208"/>
  <c r="AH201"/>
  <c r="B201"/>
  <c r="AG200"/>
  <c r="B200"/>
  <c r="AH193"/>
  <c r="B193"/>
  <c r="AG192"/>
  <c r="B192"/>
  <c r="AH185"/>
  <c r="B185"/>
  <c r="AG184"/>
  <c r="B184"/>
  <c r="AH177"/>
  <c r="B177"/>
  <c r="AG176"/>
  <c r="B176"/>
  <c r="AH169"/>
  <c r="B169"/>
  <c r="AG168"/>
  <c r="B168"/>
  <c r="AG167"/>
  <c r="B167"/>
  <c r="AH160"/>
  <c r="B160"/>
  <c r="AG159"/>
  <c r="B159"/>
  <c r="S244"/>
  <c r="B244"/>
  <c r="B240"/>
  <c r="B239"/>
  <c r="B238"/>
  <c r="B237"/>
  <c r="B236"/>
  <c r="B235"/>
  <c r="B234"/>
  <c r="B233"/>
  <c r="B232"/>
  <c r="B231"/>
  <c r="B230"/>
  <c r="B223"/>
  <c r="B222"/>
  <c r="AH215"/>
  <c r="B215"/>
  <c r="B214"/>
  <c r="AH207"/>
  <c r="B207"/>
  <c r="B206"/>
  <c r="AH199"/>
  <c r="B199"/>
  <c r="B198"/>
  <c r="AH191"/>
  <c r="B191"/>
  <c r="B190"/>
  <c r="AH183"/>
  <c r="B183"/>
  <c r="B182"/>
  <c r="AH175"/>
  <c r="B175"/>
  <c r="B174"/>
  <c r="AH166"/>
  <c r="B166"/>
  <c r="B165"/>
  <c r="AH158"/>
  <c r="B157"/>
  <c r="AH253"/>
  <c r="AH251"/>
  <c r="AH249"/>
  <c r="AH243"/>
  <c r="AH213"/>
  <c r="AH205"/>
  <c r="AH197"/>
  <c r="AH164"/>
  <c r="AH156"/>
  <c r="S155"/>
  <c r="AG86"/>
  <c r="AG84"/>
  <c r="S76"/>
  <c r="S72"/>
  <c r="S70"/>
  <c r="S68"/>
  <c r="S64"/>
  <c r="S62"/>
  <c r="S60"/>
  <c r="S56"/>
  <c r="S54"/>
  <c r="S52"/>
  <c r="S48"/>
  <c r="S46"/>
  <c r="S44"/>
  <c r="B297"/>
  <c r="S296"/>
  <c r="AG296"/>
  <c r="B295"/>
  <c r="S294"/>
  <c r="AG294"/>
  <c r="B293"/>
  <c r="S292"/>
  <c r="AG292"/>
  <c r="AH291"/>
  <c r="B291"/>
  <c r="S290"/>
  <c r="AG290"/>
  <c r="B289"/>
  <c r="S288"/>
  <c r="AG288"/>
  <c r="B287"/>
  <c r="S286"/>
  <c r="AG286"/>
  <c r="B285"/>
  <c r="S284"/>
  <c r="AG284"/>
  <c r="B283"/>
  <c r="S282"/>
  <c r="AG282"/>
  <c r="B281"/>
  <c r="S280"/>
  <c r="AG280"/>
  <c r="B279"/>
  <c r="S278"/>
  <c r="AG278"/>
  <c r="B277"/>
  <c r="S276"/>
  <c r="AG276"/>
  <c r="AH275"/>
  <c r="B275"/>
  <c r="S274"/>
  <c r="AG274"/>
  <c r="B273"/>
  <c r="S272"/>
  <c r="AG272"/>
  <c r="B271"/>
  <c r="S270"/>
  <c r="AG270"/>
  <c r="B269"/>
  <c r="S268"/>
  <c r="AG268"/>
  <c r="B267"/>
  <c r="S266"/>
  <c r="AG266"/>
  <c r="B265"/>
  <c r="S264"/>
  <c r="AG264"/>
  <c r="B263"/>
  <c r="S262"/>
  <c r="AG262"/>
  <c r="B261"/>
  <c r="S260"/>
  <c r="AG260"/>
  <c r="B259"/>
  <c r="S258"/>
  <c r="AG258"/>
  <c r="B257"/>
  <c r="S256"/>
  <c r="AG256"/>
  <c r="B255"/>
  <c r="S254"/>
  <c r="AG254"/>
  <c r="B253"/>
  <c r="S252"/>
  <c r="AG252"/>
  <c r="B251"/>
  <c r="S250"/>
  <c r="AG250"/>
  <c r="AG248"/>
  <c r="AH247"/>
  <c r="AG246"/>
  <c r="AG242"/>
  <c r="AH228"/>
  <c r="AG226"/>
  <c r="AH220"/>
  <c r="AH219"/>
  <c r="AG218"/>
  <c r="AH212"/>
  <c r="AH211"/>
  <c r="AG210"/>
  <c r="AH204"/>
  <c r="AH203"/>
  <c r="AG202"/>
  <c r="AH195"/>
  <c r="AG194"/>
  <c r="AH187"/>
  <c r="AG186"/>
  <c r="AH180"/>
  <c r="AH179"/>
  <c r="AG178"/>
  <c r="AH171"/>
  <c r="B171"/>
  <c r="AG170"/>
  <c r="B170"/>
  <c r="AH163"/>
  <c r="AH162"/>
  <c r="B162"/>
  <c r="AG161"/>
  <c r="B161"/>
  <c r="S245"/>
  <c r="S241"/>
  <c r="S243"/>
  <c r="S239"/>
  <c r="S231"/>
  <c r="AH223"/>
  <c r="AG223"/>
  <c r="AG239"/>
  <c r="S216"/>
  <c r="S208"/>
  <c r="S200"/>
  <c r="S192"/>
  <c r="S184"/>
  <c r="S176"/>
  <c r="S167"/>
  <c r="S159"/>
  <c r="AH229"/>
  <c r="AG229"/>
  <c r="AH221"/>
  <c r="AG221"/>
  <c r="S214"/>
  <c r="S206"/>
  <c r="S198"/>
  <c r="S190"/>
  <c r="S182"/>
  <c r="S174"/>
  <c r="S165"/>
  <c r="S157"/>
  <c r="AH227"/>
  <c r="AG227"/>
  <c r="AG245"/>
  <c r="AG243"/>
  <c r="AG241"/>
  <c r="S225"/>
  <c r="AH225"/>
  <c r="AG225"/>
  <c r="S170"/>
  <c r="S161"/>
  <c r="AG219"/>
  <c r="AG217"/>
  <c r="AG215"/>
  <c r="AG213"/>
  <c r="AG211"/>
  <c r="AG209"/>
  <c r="AG207"/>
  <c r="AG205"/>
  <c r="AG203"/>
  <c r="AG201"/>
  <c r="AG199"/>
  <c r="AG197"/>
  <c r="AG195"/>
  <c r="AG193"/>
  <c r="AG191"/>
  <c r="AG189"/>
  <c r="AG187"/>
  <c r="AG185"/>
  <c r="AG183"/>
  <c r="AG181"/>
  <c r="AG179"/>
  <c r="AG177"/>
  <c r="AG175"/>
  <c r="AG173"/>
  <c r="AG171"/>
  <c r="AG169"/>
  <c r="AG164"/>
  <c r="AG162"/>
  <c r="AG160"/>
  <c r="AG158"/>
  <c r="AG156"/>
  <c r="B105"/>
  <c r="AH110"/>
  <c r="S79"/>
  <c r="AH126"/>
  <c r="AG24"/>
  <c r="AH23"/>
  <c r="B110"/>
  <c r="B62"/>
  <c r="B58"/>
  <c r="B50"/>
  <c r="B42"/>
  <c r="AG146"/>
  <c r="AG142"/>
  <c r="AH136"/>
  <c r="B129"/>
  <c r="B126"/>
  <c r="B121"/>
  <c r="AH106"/>
  <c r="AG95"/>
  <c r="B79"/>
  <c r="AH75"/>
  <c r="AG74"/>
  <c r="AH71"/>
  <c r="AG70"/>
  <c r="AH67"/>
  <c r="AG66"/>
  <c r="AH63"/>
  <c r="AG62"/>
  <c r="AH59"/>
  <c r="AG58"/>
  <c r="AH55"/>
  <c r="AG54"/>
  <c r="AH51"/>
  <c r="AG50"/>
  <c r="AH47"/>
  <c r="AG46"/>
  <c r="AH43"/>
  <c r="AG42"/>
  <c r="AH39"/>
  <c r="AG38"/>
  <c r="AH35"/>
  <c r="AG34"/>
  <c r="AH31"/>
  <c r="AG30"/>
  <c r="AH27"/>
  <c r="AH144"/>
  <c r="AH140"/>
  <c r="AG114"/>
  <c r="AH81"/>
  <c r="AH152"/>
  <c r="AH148"/>
  <c r="AH130"/>
  <c r="AH122"/>
  <c r="AH97"/>
  <c r="AH134"/>
  <c r="AH101"/>
  <c r="AG98"/>
  <c r="AG92"/>
  <c r="AG90"/>
  <c r="AG88"/>
  <c r="AH102"/>
  <c r="AH93"/>
  <c r="AH73"/>
  <c r="AH65"/>
  <c r="AH57"/>
  <c r="AH49"/>
  <c r="AH41"/>
  <c r="AH33"/>
  <c r="AH154"/>
  <c r="B148"/>
  <c r="B140"/>
  <c r="AH138"/>
  <c r="B134"/>
  <c r="B130"/>
  <c r="AG118"/>
  <c r="AH114"/>
  <c r="B109"/>
  <c r="B106"/>
  <c r="B101"/>
  <c r="AG96"/>
  <c r="AG94"/>
  <c r="AG91"/>
  <c r="AG87"/>
  <c r="AH85"/>
  <c r="S74"/>
  <c r="B72"/>
  <c r="AG71"/>
  <c r="B71"/>
  <c r="S66"/>
  <c r="B64"/>
  <c r="AG63"/>
  <c r="B63"/>
  <c r="S58"/>
  <c r="B56"/>
  <c r="AG55"/>
  <c r="B55"/>
  <c r="S50"/>
  <c r="B48"/>
  <c r="AG47"/>
  <c r="B47"/>
  <c r="S42"/>
  <c r="B40"/>
  <c r="B39"/>
  <c r="B32"/>
  <c r="B26"/>
  <c r="AG22"/>
  <c r="AH21"/>
  <c r="AG20"/>
  <c r="AG17"/>
  <c r="AH118"/>
  <c r="AH69"/>
  <c r="AH61"/>
  <c r="AH53"/>
  <c r="AH45"/>
  <c r="AH37"/>
  <c r="AH29"/>
  <c r="B152"/>
  <c r="AH150"/>
  <c r="B144"/>
  <c r="AH142"/>
  <c r="S136"/>
  <c r="AG134"/>
  <c r="AG130"/>
  <c r="B125"/>
  <c r="B122"/>
  <c r="B97"/>
  <c r="AH89"/>
  <c r="B81"/>
  <c r="AG78"/>
  <c r="B76"/>
  <c r="AG75"/>
  <c r="B75"/>
  <c r="B68"/>
  <c r="B67"/>
  <c r="B60"/>
  <c r="AG59"/>
  <c r="B59"/>
  <c r="B52"/>
  <c r="AG51"/>
  <c r="B51"/>
  <c r="B44"/>
  <c r="AG43"/>
  <c r="B43"/>
  <c r="B28"/>
  <c r="B22"/>
  <c r="AH128"/>
  <c r="AG126"/>
  <c r="AH124"/>
  <c r="AG122"/>
  <c r="B118"/>
  <c r="B117"/>
  <c r="B114"/>
  <c r="AG110"/>
  <c r="AH108"/>
  <c r="AG106"/>
  <c r="AG100"/>
  <c r="B100"/>
  <c r="AH95"/>
  <c r="B93"/>
  <c r="AH91"/>
  <c r="AG89"/>
  <c r="B89"/>
  <c r="AG80"/>
  <c r="B80"/>
  <c r="AG79"/>
  <c r="AH77"/>
  <c r="B77"/>
  <c r="AG76"/>
  <c r="B74"/>
  <c r="S73"/>
  <c r="AG73"/>
  <c r="B73"/>
  <c r="AG72"/>
  <c r="B70"/>
  <c r="S69"/>
  <c r="B69"/>
  <c r="AG68"/>
  <c r="B66"/>
  <c r="S65"/>
  <c r="B65"/>
  <c r="AG64"/>
  <c r="S61"/>
  <c r="AG61"/>
  <c r="B61"/>
  <c r="AG60"/>
  <c r="S57"/>
  <c r="AG57"/>
  <c r="B57"/>
  <c r="AG56"/>
  <c r="B54"/>
  <c r="S53"/>
  <c r="AG53"/>
  <c r="B53"/>
  <c r="AG52"/>
  <c r="S49"/>
  <c r="AG49"/>
  <c r="B49"/>
  <c r="AG48"/>
  <c r="B46"/>
  <c r="S45"/>
  <c r="AG45"/>
  <c r="B45"/>
  <c r="AG44"/>
  <c r="S41"/>
  <c r="AG41"/>
  <c r="B41"/>
  <c r="AG40"/>
  <c r="B37"/>
  <c r="AG36"/>
  <c r="AG32"/>
  <c r="AG28"/>
  <c r="AG25"/>
  <c r="AH19"/>
  <c r="S18"/>
  <c r="B154"/>
  <c r="B150"/>
  <c r="B146"/>
  <c r="B142"/>
  <c r="B138"/>
  <c r="B133"/>
  <c r="AH120"/>
  <c r="B113"/>
  <c r="AH104"/>
  <c r="AG99"/>
  <c r="B96"/>
  <c r="B92"/>
  <c r="AH87"/>
  <c r="B85"/>
  <c r="AH83"/>
  <c r="AG82"/>
  <c r="AH79"/>
  <c r="AH116"/>
  <c r="S75"/>
  <c r="S71"/>
  <c r="S67"/>
  <c r="S63"/>
  <c r="S59"/>
  <c r="S55"/>
  <c r="S51"/>
  <c r="S47"/>
  <c r="S43"/>
  <c r="S35"/>
  <c r="AH25"/>
  <c r="AG144"/>
  <c r="AH132"/>
  <c r="AH112"/>
  <c r="AG101"/>
  <c r="AH99"/>
  <c r="AH17"/>
  <c r="S78"/>
  <c r="AG154"/>
  <c r="AH151"/>
  <c r="B151"/>
  <c r="AG150"/>
  <c r="B147"/>
  <c r="AH143"/>
  <c r="B143"/>
  <c r="AH139"/>
  <c r="B139"/>
  <c r="AG138"/>
  <c r="B136"/>
  <c r="S135"/>
  <c r="AH135"/>
  <c r="B135"/>
  <c r="AG132"/>
  <c r="B128"/>
  <c r="AH127"/>
  <c r="B127"/>
  <c r="AG124"/>
  <c r="B120"/>
  <c r="AH119"/>
  <c r="B119"/>
  <c r="AG116"/>
  <c r="B112"/>
  <c r="AH111"/>
  <c r="B111"/>
  <c r="AG108"/>
  <c r="B104"/>
  <c r="AH103"/>
  <c r="B103"/>
  <c r="S102"/>
  <c r="AG102"/>
  <c r="B102"/>
  <c r="B95"/>
  <c r="B94"/>
  <c r="AG93"/>
  <c r="B87"/>
  <c r="B86"/>
  <c r="AG85"/>
  <c r="AG77"/>
  <c r="AH76"/>
  <c r="AH74"/>
  <c r="AH72"/>
  <c r="AH70"/>
  <c r="AG69"/>
  <c r="AH68"/>
  <c r="AG67"/>
  <c r="AH66"/>
  <c r="AG65"/>
  <c r="AH64"/>
  <c r="AH62"/>
  <c r="AH60"/>
  <c r="AH58"/>
  <c r="AH56"/>
  <c r="AH54"/>
  <c r="AH52"/>
  <c r="AH50"/>
  <c r="AH48"/>
  <c r="AH46"/>
  <c r="AH44"/>
  <c r="AH42"/>
  <c r="AH40"/>
  <c r="AG39"/>
  <c r="AH38"/>
  <c r="AG37"/>
  <c r="AH36"/>
  <c r="AG35"/>
  <c r="AH34"/>
  <c r="AG33"/>
  <c r="AH32"/>
  <c r="AG31"/>
  <c r="AH30"/>
  <c r="AG29"/>
  <c r="AH28"/>
  <c r="AG27"/>
  <c r="B19"/>
  <c r="AH133"/>
  <c r="AH125"/>
  <c r="AH117"/>
  <c r="AH109"/>
  <c r="AH26"/>
  <c r="AH18"/>
  <c r="S153"/>
  <c r="AH153"/>
  <c r="B153"/>
  <c r="AG152"/>
  <c r="S149"/>
  <c r="AH149"/>
  <c r="B149"/>
  <c r="AG148"/>
  <c r="S145"/>
  <c r="AH145"/>
  <c r="B145"/>
  <c r="S141"/>
  <c r="AH141"/>
  <c r="B141"/>
  <c r="AG140"/>
  <c r="S137"/>
  <c r="AH137"/>
  <c r="B137"/>
  <c r="AG136"/>
  <c r="B132"/>
  <c r="AH131"/>
  <c r="B131"/>
  <c r="AG128"/>
  <c r="B124"/>
  <c r="AH123"/>
  <c r="B123"/>
  <c r="AG120"/>
  <c r="B116"/>
  <c r="AH115"/>
  <c r="B115"/>
  <c r="AG112"/>
  <c r="B108"/>
  <c r="AH107"/>
  <c r="B107"/>
  <c r="AG104"/>
  <c r="B99"/>
  <c r="B98"/>
  <c r="AG97"/>
  <c r="B91"/>
  <c r="B90"/>
  <c r="AG83"/>
  <c r="B83"/>
  <c r="B82"/>
  <c r="AG81"/>
  <c r="B78"/>
  <c r="AG26"/>
  <c r="AH24"/>
  <c r="B24"/>
  <c r="AG23"/>
  <c r="AH22"/>
  <c r="AG21"/>
  <c r="S17"/>
  <c r="B17"/>
  <c r="AH129"/>
  <c r="AH121"/>
  <c r="AH113"/>
  <c r="AH105"/>
  <c r="AH20"/>
  <c r="S127"/>
  <c r="S128"/>
  <c r="S119"/>
  <c r="S120"/>
  <c r="S111"/>
  <c r="S112"/>
  <c r="S103"/>
  <c r="S104"/>
  <c r="S94"/>
  <c r="S95"/>
  <c r="S86"/>
  <c r="S87"/>
  <c r="S151"/>
  <c r="S147"/>
  <c r="S143"/>
  <c r="S139"/>
  <c r="S133"/>
  <c r="S134"/>
  <c r="S125"/>
  <c r="S126"/>
  <c r="S117"/>
  <c r="S118"/>
  <c r="S109"/>
  <c r="S110"/>
  <c r="S100"/>
  <c r="S101"/>
  <c r="S92"/>
  <c r="S93"/>
  <c r="S84"/>
  <c r="S85"/>
  <c r="S154"/>
  <c r="S150"/>
  <c r="S146"/>
  <c r="S142"/>
  <c r="S138"/>
  <c r="S131"/>
  <c r="S132"/>
  <c r="S123"/>
  <c r="S124"/>
  <c r="S115"/>
  <c r="S116"/>
  <c r="S107"/>
  <c r="S108"/>
  <c r="S98"/>
  <c r="S99"/>
  <c r="S90"/>
  <c r="S91"/>
  <c r="S82"/>
  <c r="S83"/>
  <c r="S129"/>
  <c r="S130"/>
  <c r="S121"/>
  <c r="S122"/>
  <c r="S113"/>
  <c r="S114"/>
  <c r="S105"/>
  <c r="S106"/>
  <c r="S96"/>
  <c r="S97"/>
  <c r="S88"/>
  <c r="S89"/>
  <c r="S80"/>
  <c r="S81"/>
  <c r="S152"/>
  <c r="S148"/>
  <c r="S144"/>
  <c r="S140"/>
  <c r="AH78"/>
  <c r="AH100"/>
  <c r="AH98"/>
  <c r="AH96"/>
  <c r="AH94"/>
  <c r="AH92"/>
  <c r="AH90"/>
  <c r="AH88"/>
  <c r="AH86"/>
  <c r="AH84"/>
  <c r="AH82"/>
  <c r="AH80"/>
  <c r="AG153"/>
  <c r="AG151"/>
  <c r="AG149"/>
  <c r="AG147"/>
  <c r="AG145"/>
  <c r="AG143"/>
  <c r="AG141"/>
  <c r="AG139"/>
  <c r="AG137"/>
  <c r="AG135"/>
  <c r="AG133"/>
  <c r="AG131"/>
  <c r="AG129"/>
  <c r="AG127"/>
  <c r="AG125"/>
  <c r="AG123"/>
  <c r="AG121"/>
  <c r="AG119"/>
  <c r="AG117"/>
  <c r="AG115"/>
  <c r="AG113"/>
  <c r="AG111"/>
  <c r="AG109"/>
  <c r="AG107"/>
  <c r="AG105"/>
  <c r="AG103"/>
  <c r="S77"/>
  <c r="AG18"/>
  <c r="AH16"/>
  <c r="AG14"/>
  <c r="AG16"/>
  <c r="B16"/>
  <c r="AH15"/>
  <c r="AG12"/>
  <c r="S16"/>
  <c r="AG15"/>
  <c r="AG13"/>
  <c r="DQ20" i="43"/>
  <c r="AM20"/>
  <c r="BX30"/>
  <c r="CE30" s="1"/>
  <c r="BX36"/>
  <c r="CE36" s="1"/>
  <c r="BX40"/>
  <c r="CE40" s="1"/>
  <c r="BX39"/>
  <c r="CE39" s="1"/>
  <c r="BX35"/>
  <c r="CE35" s="1"/>
  <c r="CD39"/>
  <c r="BX29"/>
  <c r="CE29" s="1"/>
  <c r="BX20"/>
  <c r="CE20" s="1"/>
  <c r="BX33"/>
  <c r="CE33" s="1"/>
  <c r="CY26"/>
  <c r="BX26"/>
  <c r="CE26" s="1"/>
  <c r="BX22"/>
  <c r="CE22" s="1"/>
  <c r="AR40"/>
  <c r="BX38"/>
  <c r="CE38" s="1"/>
  <c r="BX21"/>
  <c r="CE21" s="1"/>
  <c r="CD20"/>
  <c r="CD35"/>
  <c r="BX24"/>
  <c r="CE24" s="1"/>
  <c r="BX19"/>
  <c r="CE19" s="1"/>
  <c r="BX18"/>
  <c r="CE18" s="1"/>
  <c r="BX31"/>
  <c r="CE31" s="1"/>
  <c r="BX27"/>
  <c r="CE27" s="1"/>
  <c r="BX23"/>
  <c r="CE23" s="1"/>
  <c r="CD21"/>
  <c r="CY39"/>
  <c r="BK38"/>
  <c r="CY36"/>
  <c r="BK36"/>
  <c r="CY34"/>
  <c r="AP42"/>
  <c r="AR42"/>
  <c r="CY41"/>
  <c r="AP41"/>
  <c r="AR41"/>
  <c r="BK41"/>
  <c r="CY40"/>
  <c r="BK40"/>
  <c r="CY38"/>
  <c r="CY37"/>
  <c r="AP37"/>
  <c r="AR37"/>
  <c r="BK37"/>
  <c r="CY42"/>
  <c r="BK42"/>
  <c r="BK35"/>
  <c r="BK39"/>
  <c r="CY35"/>
  <c r="BK33"/>
  <c r="BK32"/>
  <c r="BX42"/>
  <c r="BQ42"/>
  <c r="AP40"/>
  <c r="BQ38"/>
  <c r="AR38"/>
  <c r="AP36"/>
  <c r="CL34"/>
  <c r="BX34"/>
  <c r="BK34"/>
  <c r="AP34"/>
  <c r="BK31"/>
  <c r="CY29"/>
  <c r="AP28"/>
  <c r="AR28"/>
  <c r="BK27"/>
  <c r="BX41"/>
  <c r="BX37"/>
  <c r="CY33"/>
  <c r="CY28"/>
  <c r="BK28"/>
  <c r="DQ41"/>
  <c r="DQ37"/>
  <c r="AR36"/>
  <c r="CY32"/>
  <c r="AP32"/>
  <c r="AR32"/>
  <c r="CY31"/>
  <c r="CY30"/>
  <c r="BK30"/>
  <c r="BK29"/>
  <c r="CY27"/>
  <c r="DE41"/>
  <c r="DE37"/>
  <c r="CY25"/>
  <c r="BK25"/>
  <c r="BK24"/>
  <c r="CY23"/>
  <c r="BK23"/>
  <c r="BK21"/>
  <c r="BK20"/>
  <c r="AR33"/>
  <c r="AP31"/>
  <c r="AR29"/>
  <c r="AP27"/>
  <c r="CY22"/>
  <c r="CY21"/>
  <c r="BK18"/>
  <c r="BX32"/>
  <c r="BQ32"/>
  <c r="CD30"/>
  <c r="AS30" s="1"/>
  <c r="BX28"/>
  <c r="AR26"/>
  <c r="CY24"/>
  <c r="CY20"/>
  <c r="CY19"/>
  <c r="BK19"/>
  <c r="AR31"/>
  <c r="AR27"/>
  <c r="AP25"/>
  <c r="AR25"/>
  <c r="BK22"/>
  <c r="CY18"/>
  <c r="DE32"/>
  <c r="BK26"/>
  <c r="BX25"/>
  <c r="CD23"/>
  <c r="AS23" s="1"/>
  <c r="CD19"/>
  <c r="AS19" s="1"/>
  <c r="AR24"/>
  <c r="AP22"/>
  <c r="AP18"/>
  <c r="F9" i="24"/>
  <c r="F10"/>
  <c r="F11"/>
  <c r="AH178" i="45" l="1"/>
  <c r="AH376"/>
  <c r="AH360"/>
  <c r="AH352"/>
  <c r="AH344"/>
  <c r="AH336"/>
  <c r="AH328"/>
  <c r="AH320"/>
  <c r="AH312"/>
  <c r="AH304"/>
  <c r="AH296"/>
  <c r="AH288"/>
  <c r="AH280"/>
  <c r="AH272"/>
  <c r="AH264"/>
  <c r="AH256"/>
  <c r="AH196"/>
  <c r="AH371"/>
  <c r="AH192"/>
  <c r="AH188"/>
  <c r="AH194"/>
  <c r="AH186"/>
  <c r="AH363"/>
  <c r="AH355"/>
  <c r="AH347"/>
  <c r="AH339"/>
  <c r="AH331"/>
  <c r="AH257"/>
  <c r="AH310"/>
  <c r="AH374"/>
  <c r="AH366"/>
  <c r="AH358"/>
  <c r="AH350"/>
  <c r="AH342"/>
  <c r="AH334"/>
  <c r="AH326"/>
  <c r="AH318"/>
  <c r="AH302"/>
  <c r="AH278"/>
  <c r="AH254"/>
  <c r="CA360" i="43"/>
  <c r="AH323" i="45"/>
  <c r="AH315"/>
  <c r="AH307"/>
  <c r="AH299"/>
  <c r="AH283"/>
  <c r="AH267"/>
  <c r="AH377"/>
  <c r="AH369"/>
  <c r="AH361"/>
  <c r="AH353"/>
  <c r="AH345"/>
  <c r="AH337"/>
  <c r="AH329"/>
  <c r="AH375"/>
  <c r="AH359"/>
  <c r="AH351"/>
  <c r="AH343"/>
  <c r="AH335"/>
  <c r="AH327"/>
  <c r="AH319"/>
  <c r="AH311"/>
  <c r="AH295"/>
  <c r="AH287"/>
  <c r="AH279"/>
  <c r="AH271"/>
  <c r="AH263"/>
  <c r="AH255"/>
  <c r="AH189"/>
  <c r="AH181"/>
  <c r="AH173"/>
  <c r="AH276"/>
  <c r="AH370"/>
  <c r="AH362"/>
  <c r="AH354"/>
  <c r="AH346"/>
  <c r="AH338"/>
  <c r="AH330"/>
  <c r="AH322"/>
  <c r="AH314"/>
  <c r="AH306"/>
  <c r="AH372"/>
  <c r="AH364"/>
  <c r="AH356"/>
  <c r="AH348"/>
  <c r="AH340"/>
  <c r="AH332"/>
  <c r="AH324"/>
  <c r="AH316"/>
  <c r="AH308"/>
  <c r="AH300"/>
  <c r="AH292"/>
  <c r="AH284"/>
  <c r="AH268"/>
  <c r="AH260"/>
  <c r="AH321"/>
  <c r="AH313"/>
  <c r="AH305"/>
  <c r="AH297"/>
  <c r="AH289"/>
  <c r="AH365"/>
  <c r="AH281"/>
  <c r="AH273"/>
  <c r="AH265"/>
  <c r="AH373"/>
  <c r="AH357"/>
  <c r="AH349"/>
  <c r="AH341"/>
  <c r="AH333"/>
  <c r="AH325"/>
  <c r="AH317"/>
  <c r="AH298"/>
  <c r="AH294"/>
  <c r="AH286"/>
  <c r="AH270"/>
  <c r="AH262"/>
  <c r="AH309"/>
  <c r="AH301"/>
  <c r="AH293"/>
  <c r="AH285"/>
  <c r="AH277"/>
  <c r="AH269"/>
  <c r="AH261"/>
  <c r="AH378"/>
  <c r="AH290"/>
  <c r="AH282"/>
  <c r="AH274"/>
  <c r="AH266"/>
  <c r="AH258"/>
  <c r="S384"/>
  <c r="CC360" i="43"/>
  <c r="CC336"/>
  <c r="AQ381"/>
  <c r="BH381"/>
  <c r="CX381"/>
  <c r="CC381"/>
  <c r="BY381"/>
  <c r="BF381"/>
  <c r="CA381"/>
  <c r="BJ381"/>
  <c r="CV381"/>
  <c r="CT381"/>
  <c r="CX360"/>
  <c r="BJ360"/>
  <c r="BH360"/>
  <c r="CV360"/>
  <c r="BF360"/>
  <c r="BY360"/>
  <c r="CT360"/>
  <c r="AQ373"/>
  <c r="CA373"/>
  <c r="BJ373"/>
  <c r="CV373"/>
  <c r="BY373"/>
  <c r="BH373"/>
  <c r="CX373"/>
  <c r="CC373"/>
  <c r="BF373"/>
  <c r="CT373"/>
  <c r="AQ365"/>
  <c r="BH365"/>
  <c r="CX365"/>
  <c r="CC365"/>
  <c r="BY365"/>
  <c r="CT365"/>
  <c r="CA365"/>
  <c r="BJ365"/>
  <c r="CV365"/>
  <c r="BF365"/>
  <c r="CT336"/>
  <c r="CV336"/>
  <c r="CX336"/>
  <c r="BH336"/>
  <c r="AQ336"/>
  <c r="BY336"/>
  <c r="BF336"/>
  <c r="BJ336"/>
  <c r="BH367"/>
  <c r="CT367"/>
  <c r="BY367"/>
  <c r="CA367"/>
  <c r="BJ367"/>
  <c r="CX367"/>
  <c r="CC367"/>
  <c r="BF367"/>
  <c r="CV367"/>
  <c r="AR35"/>
  <c r="AS35"/>
  <c r="AP21"/>
  <c r="AS21"/>
  <c r="AP20"/>
  <c r="AS20"/>
  <c r="AR39"/>
  <c r="AS39"/>
  <c r="CF74"/>
  <c r="CM74" s="1"/>
  <c r="CC73"/>
  <c r="AQ73"/>
  <c r="BH283"/>
  <c r="AQ283"/>
  <c r="CX254"/>
  <c r="AQ254"/>
  <c r="CV266"/>
  <c r="AQ266"/>
  <c r="CC363"/>
  <c r="AQ363"/>
  <c r="BH219"/>
  <c r="AQ219"/>
  <c r="CC359"/>
  <c r="AQ359"/>
  <c r="CA133"/>
  <c r="AQ133"/>
  <c r="CA277"/>
  <c r="AQ277"/>
  <c r="BH357"/>
  <c r="AQ357"/>
  <c r="CA285"/>
  <c r="AQ285"/>
  <c r="CC91"/>
  <c r="AQ91"/>
  <c r="CA175"/>
  <c r="AQ175"/>
  <c r="CA137"/>
  <c r="AQ137"/>
  <c r="CA64"/>
  <c r="AQ64"/>
  <c r="BH172"/>
  <c r="AQ172"/>
  <c r="CC351"/>
  <c r="AQ351"/>
  <c r="CA129"/>
  <c r="AQ129"/>
  <c r="S24" i="45"/>
  <c r="S25"/>
  <c r="S29"/>
  <c r="S37"/>
  <c r="S20"/>
  <c r="S33"/>
  <c r="DO97" i="43"/>
  <c r="DO85"/>
  <c r="DO111"/>
  <c r="S36" i="45"/>
  <c r="S22"/>
  <c r="S31"/>
  <c r="S27"/>
  <c r="S40"/>
  <c r="CA353" i="43"/>
  <c r="BJ353"/>
  <c r="CV353"/>
  <c r="BY353"/>
  <c r="BH353"/>
  <c r="CX353"/>
  <c r="CC353"/>
  <c r="CT353"/>
  <c r="BF353"/>
  <c r="CA349"/>
  <c r="BJ349"/>
  <c r="CV349"/>
  <c r="CT349"/>
  <c r="BH349"/>
  <c r="CX349"/>
  <c r="CC349"/>
  <c r="BY349"/>
  <c r="BF349"/>
  <c r="CT340"/>
  <c r="CX340"/>
  <c r="BH340"/>
  <c r="CV340"/>
  <c r="CA340"/>
  <c r="BY340"/>
  <c r="BJ340"/>
  <c r="BF340"/>
  <c r="CC340"/>
  <c r="CC311"/>
  <c r="BH311"/>
  <c r="CX311"/>
  <c r="BF311"/>
  <c r="BJ311"/>
  <c r="CV311"/>
  <c r="CA311"/>
  <c r="BY311"/>
  <c r="CT311"/>
  <c r="CV319"/>
  <c r="BF319"/>
  <c r="CC319"/>
  <c r="CX319"/>
  <c r="BJ319"/>
  <c r="CA319"/>
  <c r="CT319"/>
  <c r="BH319"/>
  <c r="BY319"/>
  <c r="BH293"/>
  <c r="CX293"/>
  <c r="CC293"/>
  <c r="CT293"/>
  <c r="DB293" s="1"/>
  <c r="CA293"/>
  <c r="BJ293"/>
  <c r="CV293"/>
  <c r="BF293"/>
  <c r="BY293"/>
  <c r="BH281"/>
  <c r="CX281"/>
  <c r="CC281"/>
  <c r="BF281"/>
  <c r="CA281"/>
  <c r="BJ281"/>
  <c r="CV281"/>
  <c r="CT281"/>
  <c r="BY281"/>
  <c r="BH274"/>
  <c r="CT274"/>
  <c r="CC274"/>
  <c r="CV274"/>
  <c r="CX274"/>
  <c r="CA274"/>
  <c r="BJ274"/>
  <c r="BY274"/>
  <c r="BF274"/>
  <c r="CA270"/>
  <c r="BY270"/>
  <c r="CV270"/>
  <c r="CT270"/>
  <c r="BH270"/>
  <c r="CX270"/>
  <c r="BJ270"/>
  <c r="BF270"/>
  <c r="CC270"/>
  <c r="BJ259"/>
  <c r="CV259"/>
  <c r="BH259"/>
  <c r="CX259"/>
  <c r="CT259"/>
  <c r="CC259"/>
  <c r="BF259"/>
  <c r="CA259"/>
  <c r="BY259"/>
  <c r="CX258"/>
  <c r="CA258"/>
  <c r="CT258"/>
  <c r="BY258"/>
  <c r="BH258"/>
  <c r="BJ258"/>
  <c r="CC258"/>
  <c r="CV258"/>
  <c r="BF258"/>
  <c r="CC251"/>
  <c r="CT251"/>
  <c r="CA251"/>
  <c r="CX251"/>
  <c r="BJ251"/>
  <c r="CV251"/>
  <c r="BF251"/>
  <c r="BH251"/>
  <c r="BY251"/>
  <c r="BH235"/>
  <c r="CX235"/>
  <c r="CC235"/>
  <c r="BF235"/>
  <c r="CA235"/>
  <c r="BJ235"/>
  <c r="CV235"/>
  <c r="CT235"/>
  <c r="BY235"/>
  <c r="BH231"/>
  <c r="CX231"/>
  <c r="CC231"/>
  <c r="BF231"/>
  <c r="BY231"/>
  <c r="CA231"/>
  <c r="BJ231"/>
  <c r="CV231"/>
  <c r="CT231"/>
  <c r="CC221"/>
  <c r="CT221"/>
  <c r="BJ221"/>
  <c r="CV221"/>
  <c r="CA221"/>
  <c r="BY221"/>
  <c r="BF221"/>
  <c r="BH221"/>
  <c r="CX221"/>
  <c r="CF194"/>
  <c r="CM194" s="1"/>
  <c r="BJ215"/>
  <c r="CT215"/>
  <c r="CX215"/>
  <c r="BF215"/>
  <c r="CA215"/>
  <c r="CV215"/>
  <c r="BY215"/>
  <c r="BH215"/>
  <c r="CC215"/>
  <c r="BF213"/>
  <c r="CA213"/>
  <c r="CV213"/>
  <c r="BJ213"/>
  <c r="CT213"/>
  <c r="BY213"/>
  <c r="CX213"/>
  <c r="BH213"/>
  <c r="CC213"/>
  <c r="ED194"/>
  <c r="BL194"/>
  <c r="BR194" s="1"/>
  <c r="CZ194"/>
  <c r="DF194" s="1"/>
  <c r="BJ161"/>
  <c r="CV161"/>
  <c r="CA161"/>
  <c r="BF161"/>
  <c r="CT161"/>
  <c r="CC161"/>
  <c r="CX161"/>
  <c r="BH161"/>
  <c r="BY161"/>
  <c r="BF188"/>
  <c r="CX188"/>
  <c r="CC149"/>
  <c r="BH149"/>
  <c r="CX149"/>
  <c r="CT149"/>
  <c r="CV149"/>
  <c r="CA149"/>
  <c r="BF149"/>
  <c r="BJ149"/>
  <c r="BY149"/>
  <c r="BH188"/>
  <c r="CC188"/>
  <c r="CT188"/>
  <c r="BY188"/>
  <c r="CA188"/>
  <c r="CV188"/>
  <c r="BJ188"/>
  <c r="BJ134"/>
  <c r="CV134"/>
  <c r="CX134"/>
  <c r="CA134"/>
  <c r="CT134"/>
  <c r="CC134"/>
  <c r="BY134"/>
  <c r="BH134"/>
  <c r="BF134"/>
  <c r="CX65"/>
  <c r="CC277"/>
  <c r="BY73"/>
  <c r="BJ73"/>
  <c r="CA73"/>
  <c r="CA119"/>
  <c r="BJ119"/>
  <c r="CV119"/>
  <c r="CT119"/>
  <c r="BY119"/>
  <c r="BH119"/>
  <c r="CC119"/>
  <c r="CX119"/>
  <c r="BF119"/>
  <c r="CT65"/>
  <c r="CT277"/>
  <c r="BH65"/>
  <c r="BJ65"/>
  <c r="BY277"/>
  <c r="BH277"/>
  <c r="CV65"/>
  <c r="CX277"/>
  <c r="BF219"/>
  <c r="BF359"/>
  <c r="CT209"/>
  <c r="BF277"/>
  <c r="CV277"/>
  <c r="BJ277"/>
  <c r="BJ117"/>
  <c r="CV117"/>
  <c r="CA117"/>
  <c r="BF117"/>
  <c r="CT117"/>
  <c r="CX117"/>
  <c r="CC117"/>
  <c r="BH117"/>
  <c r="BY117"/>
  <c r="BJ133"/>
  <c r="CX327"/>
  <c r="CV121"/>
  <c r="BF73"/>
  <c r="CV73"/>
  <c r="CV137"/>
  <c r="BF129"/>
  <c r="CT73"/>
  <c r="CX73"/>
  <c r="BH73"/>
  <c r="CC109"/>
  <c r="BH109"/>
  <c r="CX109"/>
  <c r="BY109"/>
  <c r="BJ109"/>
  <c r="CV109"/>
  <c r="CA109"/>
  <c r="BF109"/>
  <c r="CT109"/>
  <c r="CC103"/>
  <c r="BH103"/>
  <c r="CX103"/>
  <c r="CT103"/>
  <c r="BJ103"/>
  <c r="CV103"/>
  <c r="CA103"/>
  <c r="BY103"/>
  <c r="BF103"/>
  <c r="CA101"/>
  <c r="BJ101"/>
  <c r="CV101"/>
  <c r="CT101"/>
  <c r="BY101"/>
  <c r="BH101"/>
  <c r="CX101"/>
  <c r="CC101"/>
  <c r="BF101"/>
  <c r="BJ99"/>
  <c r="CV99"/>
  <c r="CA99"/>
  <c r="BY99"/>
  <c r="BF99"/>
  <c r="CC99"/>
  <c r="BH99"/>
  <c r="CX99"/>
  <c r="CT99"/>
  <c r="BF137"/>
  <c r="BH137"/>
  <c r="CX243"/>
  <c r="BJ95"/>
  <c r="CV243"/>
  <c r="CT247"/>
  <c r="CV53"/>
  <c r="BY243"/>
  <c r="BJ299"/>
  <c r="CT243"/>
  <c r="BJ243"/>
  <c r="BJ303"/>
  <c r="BF53"/>
  <c r="CT137"/>
  <c r="CX137"/>
  <c r="BF243"/>
  <c r="CA243"/>
  <c r="BH243"/>
  <c r="CC243"/>
  <c r="BY121"/>
  <c r="BJ247"/>
  <c r="BY299"/>
  <c r="CX95"/>
  <c r="BH345"/>
  <c r="BY129"/>
  <c r="CC327"/>
  <c r="BH209"/>
  <c r="BF327"/>
  <c r="BH327"/>
  <c r="CA219"/>
  <c r="CV359"/>
  <c r="CX209"/>
  <c r="CC209"/>
  <c r="BY327"/>
  <c r="CT327"/>
  <c r="CA327"/>
  <c r="CV327"/>
  <c r="BJ327"/>
  <c r="CA121"/>
  <c r="BH247"/>
  <c r="CA299"/>
  <c r="CV180"/>
  <c r="CT95"/>
  <c r="BH95"/>
  <c r="BY345"/>
  <c r="BH91"/>
  <c r="BH129"/>
  <c r="BY303"/>
  <c r="CA53"/>
  <c r="CV247"/>
  <c r="CT299"/>
  <c r="DB299" s="1"/>
  <c r="CT345"/>
  <c r="CX91"/>
  <c r="CT303"/>
  <c r="CT53"/>
  <c r="BJ53"/>
  <c r="CA255"/>
  <c r="BF247"/>
  <c r="CV299"/>
  <c r="BF285"/>
  <c r="CX345"/>
  <c r="BF91"/>
  <c r="BJ91"/>
  <c r="CV303"/>
  <c r="CC345"/>
  <c r="CV91"/>
  <c r="CA303"/>
  <c r="CA65"/>
  <c r="BF65"/>
  <c r="BY65"/>
  <c r="CC65"/>
  <c r="BH153"/>
  <c r="CV287"/>
  <c r="BY219"/>
  <c r="CV219"/>
  <c r="CA359"/>
  <c r="BH133"/>
  <c r="BF209"/>
  <c r="BY209"/>
  <c r="CA209"/>
  <c r="CV209"/>
  <c r="BJ209"/>
  <c r="BY53"/>
  <c r="CX53"/>
  <c r="BH53"/>
  <c r="CC53"/>
  <c r="BY137"/>
  <c r="BJ137"/>
  <c r="CC137"/>
  <c r="CV255"/>
  <c r="BF121"/>
  <c r="CT121"/>
  <c r="BH121"/>
  <c r="BJ121"/>
  <c r="CX247"/>
  <c r="BY247"/>
  <c r="CA247"/>
  <c r="CC247"/>
  <c r="BF299"/>
  <c r="CX299"/>
  <c r="BH299"/>
  <c r="CC299"/>
  <c r="BJ285"/>
  <c r="BY95"/>
  <c r="CA95"/>
  <c r="CC95"/>
  <c r="CA377"/>
  <c r="BF345"/>
  <c r="CV345"/>
  <c r="BJ345"/>
  <c r="CA345"/>
  <c r="CA91"/>
  <c r="BY91"/>
  <c r="CT91"/>
  <c r="CV129"/>
  <c r="CT129"/>
  <c r="CX129"/>
  <c r="BF303"/>
  <c r="CX303"/>
  <c r="BH303"/>
  <c r="CC303"/>
  <c r="BF175"/>
  <c r="BF357"/>
  <c r="CX133"/>
  <c r="BJ141"/>
  <c r="CC133"/>
  <c r="CX121"/>
  <c r="CC121"/>
  <c r="CT180"/>
  <c r="BJ219"/>
  <c r="CX165"/>
  <c r="BF95"/>
  <c r="CV95"/>
  <c r="BY359"/>
  <c r="BJ359"/>
  <c r="BJ129"/>
  <c r="CC129"/>
  <c r="BY133"/>
  <c r="CA192"/>
  <c r="CX175"/>
  <c r="CT351"/>
  <c r="BF153"/>
  <c r="BH254"/>
  <c r="CT287"/>
  <c r="CT219"/>
  <c r="CC219"/>
  <c r="CX219"/>
  <c r="CC165"/>
  <c r="CA59"/>
  <c r="BH363"/>
  <c r="CT359"/>
  <c r="CX359"/>
  <c r="BH359"/>
  <c r="CT133"/>
  <c r="CV133"/>
  <c r="BF133"/>
  <c r="BF266"/>
  <c r="CV175"/>
  <c r="CT175"/>
  <c r="BH175"/>
  <c r="CX172"/>
  <c r="CA172"/>
  <c r="CV291"/>
  <c r="BJ175"/>
  <c r="BY175"/>
  <c r="CC175"/>
  <c r="BF291"/>
  <c r="CT153"/>
  <c r="CA153"/>
  <c r="BJ153"/>
  <c r="BF165"/>
  <c r="CV165"/>
  <c r="CA141"/>
  <c r="CA357"/>
  <c r="BY172"/>
  <c r="BJ172"/>
  <c r="CX153"/>
  <c r="CC153"/>
  <c r="CV315"/>
  <c r="BY165"/>
  <c r="BH165"/>
  <c r="CT141"/>
  <c r="BJ357"/>
  <c r="CV172"/>
  <c r="BH351"/>
  <c r="BY153"/>
  <c r="CV153"/>
  <c r="BF315"/>
  <c r="CT165"/>
  <c r="CA165"/>
  <c r="BJ165"/>
  <c r="CV357"/>
  <c r="CC172"/>
  <c r="BF172"/>
  <c r="CT172"/>
  <c r="BF351"/>
  <c r="CV351"/>
  <c r="BH180"/>
  <c r="CC180"/>
  <c r="CX315"/>
  <c r="CC315"/>
  <c r="CX283"/>
  <c r="CT266"/>
  <c r="BY192"/>
  <c r="CA351"/>
  <c r="BJ351"/>
  <c r="CC254"/>
  <c r="BF180"/>
  <c r="BY180"/>
  <c r="BY315"/>
  <c r="BH315"/>
  <c r="BF363"/>
  <c r="CT192"/>
  <c r="BJ192"/>
  <c r="BY351"/>
  <c r="CX351"/>
  <c r="BF254"/>
  <c r="CX180"/>
  <c r="CA180"/>
  <c r="BJ180"/>
  <c r="CT315"/>
  <c r="CA315"/>
  <c r="BJ315"/>
  <c r="CC283"/>
  <c r="CA266"/>
  <c r="CV192"/>
  <c r="BJ254"/>
  <c r="CV254"/>
  <c r="CT283"/>
  <c r="CA283"/>
  <c r="BJ283"/>
  <c r="CT363"/>
  <c r="CV363"/>
  <c r="BY266"/>
  <c r="BJ266"/>
  <c r="BH266"/>
  <c r="CT254"/>
  <c r="CA254"/>
  <c r="BY283"/>
  <c r="CV283"/>
  <c r="CA363"/>
  <c r="BJ363"/>
  <c r="CC266"/>
  <c r="CX266"/>
  <c r="BY254"/>
  <c r="BF283"/>
  <c r="BY363"/>
  <c r="CX363"/>
  <c r="BY64"/>
  <c r="BH255"/>
  <c r="CC255"/>
  <c r="CT285"/>
  <c r="CX285"/>
  <c r="BY141"/>
  <c r="BH141"/>
  <c r="CX361"/>
  <c r="BY59"/>
  <c r="BF59"/>
  <c r="CX255"/>
  <c r="CT255"/>
  <c r="CC285"/>
  <c r="BH285"/>
  <c r="CX141"/>
  <c r="CC141"/>
  <c r="CV377"/>
  <c r="CC59"/>
  <c r="BY255"/>
  <c r="BF255"/>
  <c r="BJ255"/>
  <c r="BY285"/>
  <c r="CV285"/>
  <c r="BF141"/>
  <c r="CV141"/>
  <c r="CX59"/>
  <c r="CA291"/>
  <c r="CX64"/>
  <c r="CC64"/>
  <c r="BH64"/>
  <c r="BJ64"/>
  <c r="CT64"/>
  <c r="BF64"/>
  <c r="CV64"/>
  <c r="BH192"/>
  <c r="BF192"/>
  <c r="CX192"/>
  <c r="CC192"/>
  <c r="BY291"/>
  <c r="CT291"/>
  <c r="DB291" s="1"/>
  <c r="BH291"/>
  <c r="BJ291"/>
  <c r="CT361"/>
  <c r="BH59"/>
  <c r="CT59"/>
  <c r="CV59"/>
  <c r="BJ59"/>
  <c r="CT44"/>
  <c r="CT357"/>
  <c r="BY357"/>
  <c r="CC357"/>
  <c r="CX357"/>
  <c r="CX291"/>
  <c r="CC291"/>
  <c r="CX287"/>
  <c r="CC287"/>
  <c r="CV44"/>
  <c r="CC225"/>
  <c r="BF287"/>
  <c r="BH287"/>
  <c r="CX225"/>
  <c r="BY287"/>
  <c r="CA287"/>
  <c r="BJ287"/>
  <c r="BF225"/>
  <c r="BH225"/>
  <c r="BF377"/>
  <c r="BJ377"/>
  <c r="BF361"/>
  <c r="CC361"/>
  <c r="BH361"/>
  <c r="BF44"/>
  <c r="CA44"/>
  <c r="BJ44"/>
  <c r="BH195"/>
  <c r="CX195"/>
  <c r="CC195"/>
  <c r="CT195"/>
  <c r="CA195"/>
  <c r="BJ195"/>
  <c r="BY195"/>
  <c r="CV195"/>
  <c r="BF195"/>
  <c r="CT225"/>
  <c r="BY225"/>
  <c r="CA225"/>
  <c r="CV225"/>
  <c r="BJ225"/>
  <c r="BY377"/>
  <c r="CT377"/>
  <c r="CC377"/>
  <c r="CX377"/>
  <c r="BH377"/>
  <c r="BY361"/>
  <c r="CV361"/>
  <c r="BJ361"/>
  <c r="CA361"/>
  <c r="BY44"/>
  <c r="CX44"/>
  <c r="BH44"/>
  <c r="CC44"/>
  <c r="CA199"/>
  <c r="BJ199"/>
  <c r="CC199"/>
  <c r="CX199"/>
  <c r="BH199"/>
  <c r="BF199"/>
  <c r="CT199"/>
  <c r="CV199"/>
  <c r="BY199"/>
  <c r="AR20"/>
  <c r="CF187"/>
  <c r="CM187" s="1"/>
  <c r="CF370"/>
  <c r="CF90"/>
  <c r="CF318"/>
  <c r="CF47"/>
  <c r="CM47" s="1"/>
  <c r="CF282"/>
  <c r="CF265"/>
  <c r="CF314"/>
  <c r="CF268"/>
  <c r="CM268" s="1"/>
  <c r="CF362"/>
  <c r="CF178"/>
  <c r="CM178" s="1"/>
  <c r="CF131"/>
  <c r="CM131" s="1"/>
  <c r="CF226"/>
  <c r="CM226" s="1"/>
  <c r="CF334"/>
  <c r="CF289"/>
  <c r="CF245"/>
  <c r="CM245" s="1"/>
  <c r="CF105"/>
  <c r="CM105" s="1"/>
  <c r="CF72"/>
  <c r="CF328"/>
  <c r="CF198"/>
  <c r="CF190"/>
  <c r="CM190" s="1"/>
  <c r="CF191"/>
  <c r="CF183"/>
  <c r="CM183" s="1"/>
  <c r="CF305"/>
  <c r="CF230"/>
  <c r="CF106"/>
  <c r="CM106" s="1"/>
  <c r="CF163"/>
  <c r="CF320"/>
  <c r="CF164"/>
  <c r="CF128"/>
  <c r="CM128" s="1"/>
  <c r="CF181"/>
  <c r="CM181" s="1"/>
  <c r="CF343"/>
  <c r="CF93"/>
  <c r="CM93" s="1"/>
  <c r="CF253"/>
  <c r="CM253" s="1"/>
  <c r="CF182"/>
  <c r="CF352"/>
  <c r="CF185"/>
  <c r="CM185" s="1"/>
  <c r="CF197"/>
  <c r="CM197" s="1"/>
  <c r="CF252"/>
  <c r="CM252" s="1"/>
  <c r="CF288"/>
  <c r="CF135"/>
  <c r="CF62"/>
  <c r="CM62" s="1"/>
  <c r="CF338"/>
  <c r="CF108"/>
  <c r="CM108" s="1"/>
  <c r="CF257"/>
  <c r="CM257" s="1"/>
  <c r="CF189"/>
  <c r="CF102"/>
  <c r="CF49"/>
  <c r="CM49" s="1"/>
  <c r="CF278"/>
  <c r="CM278" s="1"/>
  <c r="CF82"/>
  <c r="CM82" s="1"/>
  <c r="CF304"/>
  <c r="CI304" s="1"/>
  <c r="CF132"/>
  <c r="CF302"/>
  <c r="CF58"/>
  <c r="CF310"/>
  <c r="CF130"/>
  <c r="CM130" s="1"/>
  <c r="CF350"/>
  <c r="CF348"/>
  <c r="CF98"/>
  <c r="CF241"/>
  <c r="CM241" s="1"/>
  <c r="CF210"/>
  <c r="CF124"/>
  <c r="CM124" s="1"/>
  <c r="CF116"/>
  <c r="CM116" s="1"/>
  <c r="CF150"/>
  <c r="CM150" s="1"/>
  <c r="CF306"/>
  <c r="CF332"/>
  <c r="CF208"/>
  <c r="CF147"/>
  <c r="CM147" s="1"/>
  <c r="CF80"/>
  <c r="CM80" s="1"/>
  <c r="CF321"/>
  <c r="CF260"/>
  <c r="CM260" s="1"/>
  <c r="CF55"/>
  <c r="CM55" s="1"/>
  <c r="CF79"/>
  <c r="CF298"/>
  <c r="CF179"/>
  <c r="CF354"/>
  <c r="CF234"/>
  <c r="CM234" s="1"/>
  <c r="CF166"/>
  <c r="CM166" s="1"/>
  <c r="CF248"/>
  <c r="CF375"/>
  <c r="CF112"/>
  <c r="CM112" s="1"/>
  <c r="CF88"/>
  <c r="CF114"/>
  <c r="CM114" s="1"/>
  <c r="CZ256"/>
  <c r="ED256"/>
  <c r="U256" s="1"/>
  <c r="BL173"/>
  <c r="CZ218"/>
  <c r="ED218"/>
  <c r="U218" s="1"/>
  <c r="CZ206"/>
  <c r="ED206"/>
  <c r="U206" s="1"/>
  <c r="BL98"/>
  <c r="CZ181"/>
  <c r="ED181"/>
  <c r="BL343"/>
  <c r="BJ273"/>
  <c r="CC273"/>
  <c r="CV273"/>
  <c r="CX273"/>
  <c r="BH273"/>
  <c r="BF273"/>
  <c r="CT273"/>
  <c r="CA273"/>
  <c r="BY273"/>
  <c r="BL269"/>
  <c r="BL182"/>
  <c r="BL93"/>
  <c r="CF269"/>
  <c r="BL256"/>
  <c r="BL268"/>
  <c r="CZ214"/>
  <c r="ED214"/>
  <c r="U214" s="1"/>
  <c r="BL154"/>
  <c r="BL206"/>
  <c r="BL189"/>
  <c r="BR189" s="1"/>
  <c r="CC200"/>
  <c r="CT200"/>
  <c r="CA200"/>
  <c r="CX200"/>
  <c r="BJ200"/>
  <c r="CV200"/>
  <c r="BF200"/>
  <c r="BH200"/>
  <c r="BY200"/>
  <c r="BJ217"/>
  <c r="CC217"/>
  <c r="CV217"/>
  <c r="BH217"/>
  <c r="CA217"/>
  <c r="CX217"/>
  <c r="BY217"/>
  <c r="BF217"/>
  <c r="CT217"/>
  <c r="BL193"/>
  <c r="BR193" s="1"/>
  <c r="BL181"/>
  <c r="BL118"/>
  <c r="CZ269"/>
  <c r="ED269"/>
  <c r="U269" s="1"/>
  <c r="CF275"/>
  <c r="CZ268"/>
  <c r="ED268"/>
  <c r="U268" s="1"/>
  <c r="CF256"/>
  <c r="CF214"/>
  <c r="BL214"/>
  <c r="CZ173"/>
  <c r="ED173"/>
  <c r="BL218"/>
  <c r="CZ189"/>
  <c r="ED189"/>
  <c r="BL148"/>
  <c r="CZ193"/>
  <c r="ED193"/>
  <c r="U193" s="1"/>
  <c r="CZ343"/>
  <c r="ED343"/>
  <c r="BL275"/>
  <c r="CZ182"/>
  <c r="ED182"/>
  <c r="CZ51"/>
  <c r="ED51"/>
  <c r="BJ126"/>
  <c r="CC126"/>
  <c r="CV126"/>
  <c r="BH126"/>
  <c r="CA126"/>
  <c r="CX126"/>
  <c r="BY126"/>
  <c r="CT126"/>
  <c r="BF126"/>
  <c r="ED278"/>
  <c r="U278" s="1"/>
  <c r="CZ278"/>
  <c r="CZ380"/>
  <c r="ED380"/>
  <c r="CZ132"/>
  <c r="ED132"/>
  <c r="BL132"/>
  <c r="CZ58"/>
  <c r="ED58"/>
  <c r="BL310"/>
  <c r="CZ249"/>
  <c r="ED249"/>
  <c r="U249" s="1"/>
  <c r="CZ158"/>
  <c r="ED158"/>
  <c r="CZ100"/>
  <c r="ED100"/>
  <c r="CZ130"/>
  <c r="ED130"/>
  <c r="BL54"/>
  <c r="CZ317"/>
  <c r="ED317"/>
  <c r="CZ374"/>
  <c r="ED374"/>
  <c r="BL374"/>
  <c r="CZ358"/>
  <c r="ED358"/>
  <c r="CZ342"/>
  <c r="ED342"/>
  <c r="BL342"/>
  <c r="BL90"/>
  <c r="CZ344"/>
  <c r="ED344"/>
  <c r="BL318"/>
  <c r="BL264"/>
  <c r="CZ284"/>
  <c r="ED284"/>
  <c r="U284" s="1"/>
  <c r="CZ89"/>
  <c r="ED89"/>
  <c r="BH301"/>
  <c r="CA301"/>
  <c r="CX301"/>
  <c r="BJ301"/>
  <c r="CC301"/>
  <c r="CV301"/>
  <c r="BF301"/>
  <c r="CT301"/>
  <c r="DB301" s="1"/>
  <c r="BY301"/>
  <c r="CZ329"/>
  <c r="ED329"/>
  <c r="BL156"/>
  <c r="BL300"/>
  <c r="CZ45"/>
  <c r="ED45"/>
  <c r="CZ308"/>
  <c r="ED308"/>
  <c r="U308" s="1"/>
  <c r="CZ210"/>
  <c r="ED210"/>
  <c r="U210" s="1"/>
  <c r="BL102"/>
  <c r="BL150"/>
  <c r="BL244"/>
  <c r="BL197"/>
  <c r="BL47"/>
  <c r="CZ379"/>
  <c r="ED379"/>
  <c r="CZ226"/>
  <c r="ED226"/>
  <c r="U226" s="1"/>
  <c r="BL164"/>
  <c r="CZ372"/>
  <c r="ED372"/>
  <c r="ED334"/>
  <c r="CZ334"/>
  <c r="ED306"/>
  <c r="CZ306"/>
  <c r="ED246"/>
  <c r="U246" s="1"/>
  <c r="CZ246"/>
  <c r="CZ86"/>
  <c r="ED86"/>
  <c r="CZ62"/>
  <c r="ED62"/>
  <c r="CZ74"/>
  <c r="ED74"/>
  <c r="BL147"/>
  <c r="CZ245"/>
  <c r="ED245"/>
  <c r="U245" s="1"/>
  <c r="ED204"/>
  <c r="U204" s="1"/>
  <c r="CZ204"/>
  <c r="CZ105"/>
  <c r="ED105"/>
  <c r="CZ80"/>
  <c r="ED80"/>
  <c r="BL80"/>
  <c r="ED72"/>
  <c r="CZ72"/>
  <c r="BJ69"/>
  <c r="CC69"/>
  <c r="CV69"/>
  <c r="BH69"/>
  <c r="CA69"/>
  <c r="CX69"/>
  <c r="BY69"/>
  <c r="BF69"/>
  <c r="CT69"/>
  <c r="BL163"/>
  <c r="BL76"/>
  <c r="CZ198"/>
  <c r="ED198"/>
  <c r="U198" s="1"/>
  <c r="CZ321"/>
  <c r="ED321"/>
  <c r="BL286"/>
  <c r="BH107"/>
  <c r="CA107"/>
  <c r="CV107"/>
  <c r="BF107"/>
  <c r="BJ107"/>
  <c r="CC107"/>
  <c r="CX107"/>
  <c r="CT107"/>
  <c r="BY107"/>
  <c r="BL60"/>
  <c r="BL52"/>
  <c r="BL190"/>
  <c r="BR190" s="1"/>
  <c r="BL216"/>
  <c r="ED120"/>
  <c r="CZ120"/>
  <c r="BH297"/>
  <c r="CA297"/>
  <c r="CX297"/>
  <c r="BJ297"/>
  <c r="CC297"/>
  <c r="CV297"/>
  <c r="BF297"/>
  <c r="CT297"/>
  <c r="DB297" s="1"/>
  <c r="BY297"/>
  <c r="ED242"/>
  <c r="U242" s="1"/>
  <c r="CZ242"/>
  <c r="BL242"/>
  <c r="CZ313"/>
  <c r="ED313"/>
  <c r="BL265"/>
  <c r="BL252"/>
  <c r="CZ252"/>
  <c r="ED252"/>
  <c r="U252" s="1"/>
  <c r="ED191"/>
  <c r="CZ191"/>
  <c r="ED179"/>
  <c r="CZ179"/>
  <c r="BL108"/>
  <c r="BL257"/>
  <c r="CZ257"/>
  <c r="ED257"/>
  <c r="U257" s="1"/>
  <c r="CZ159"/>
  <c r="ED159"/>
  <c r="BL94"/>
  <c r="BL370"/>
  <c r="CZ354"/>
  <c r="ED354"/>
  <c r="BL305"/>
  <c r="BL314"/>
  <c r="BL162"/>
  <c r="CZ234"/>
  <c r="ED234"/>
  <c r="U234" s="1"/>
  <c r="BL234"/>
  <c r="BH309"/>
  <c r="CA309"/>
  <c r="CX309"/>
  <c r="BJ309"/>
  <c r="CC309"/>
  <c r="CV309"/>
  <c r="CT309"/>
  <c r="BF309"/>
  <c r="BY309"/>
  <c r="CZ110"/>
  <c r="ED110"/>
  <c r="CA339"/>
  <c r="CV339"/>
  <c r="BJ339"/>
  <c r="CC339"/>
  <c r="CX339"/>
  <c r="BH339"/>
  <c r="CT339"/>
  <c r="BF339"/>
  <c r="BY339"/>
  <c r="BL122"/>
  <c r="BL92"/>
  <c r="CZ166"/>
  <c r="ED166"/>
  <c r="CZ96"/>
  <c r="ED96"/>
  <c r="CZ142"/>
  <c r="ED142"/>
  <c r="CZ375"/>
  <c r="ED375"/>
  <c r="BL63"/>
  <c r="BH227"/>
  <c r="CA227"/>
  <c r="CX227"/>
  <c r="BJ227"/>
  <c r="CC227"/>
  <c r="CV227"/>
  <c r="BF227"/>
  <c r="CT227"/>
  <c r="BY227"/>
  <c r="BJ229"/>
  <c r="CC229"/>
  <c r="CV229"/>
  <c r="BH229"/>
  <c r="CA229"/>
  <c r="CX229"/>
  <c r="BY229"/>
  <c r="BF229"/>
  <c r="CT229"/>
  <c r="BH46"/>
  <c r="CA46"/>
  <c r="CX46"/>
  <c r="BJ46"/>
  <c r="CC46"/>
  <c r="CV46"/>
  <c r="CT46"/>
  <c r="BF46"/>
  <c r="BY46"/>
  <c r="CF154"/>
  <c r="CF193"/>
  <c r="CF83"/>
  <c r="CF280"/>
  <c r="CF43"/>
  <c r="CF346"/>
  <c r="CF326"/>
  <c r="CF158"/>
  <c r="CF100"/>
  <c r="CF177"/>
  <c r="CF67"/>
  <c r="CF344"/>
  <c r="CF261"/>
  <c r="CF284"/>
  <c r="CF104"/>
  <c r="CF68"/>
  <c r="CF146"/>
  <c r="CF292"/>
  <c r="CI292" s="1"/>
  <c r="CF244"/>
  <c r="CF238"/>
  <c r="CF372"/>
  <c r="CF355"/>
  <c r="CF325"/>
  <c r="CF76"/>
  <c r="CL76" s="1"/>
  <c r="CF136"/>
  <c r="CF262"/>
  <c r="CF60"/>
  <c r="CF378"/>
  <c r="CF120"/>
  <c r="CF155"/>
  <c r="CF220"/>
  <c r="CF152"/>
  <c r="CF87"/>
  <c r="CF56"/>
  <c r="CF174"/>
  <c r="CF296"/>
  <c r="CI296" s="1"/>
  <c r="CF272"/>
  <c r="CF222"/>
  <c r="CF186"/>
  <c r="CF170"/>
  <c r="CF92"/>
  <c r="CF203"/>
  <c r="ED83"/>
  <c r="CZ83"/>
  <c r="BL278"/>
  <c r="BL82"/>
  <c r="BL304"/>
  <c r="CZ241"/>
  <c r="ED241"/>
  <c r="U241" s="1"/>
  <c r="BL302"/>
  <c r="ED187"/>
  <c r="CZ187"/>
  <c r="BL58"/>
  <c r="BJ184"/>
  <c r="CC184"/>
  <c r="CV184"/>
  <c r="BH184"/>
  <c r="CA184"/>
  <c r="CX184"/>
  <c r="BY184"/>
  <c r="BF184"/>
  <c r="CT184"/>
  <c r="BH151"/>
  <c r="CA151"/>
  <c r="CX151"/>
  <c r="BJ151"/>
  <c r="CC151"/>
  <c r="CV151"/>
  <c r="CT151"/>
  <c r="BF151"/>
  <c r="BY151"/>
  <c r="CZ346"/>
  <c r="ED346"/>
  <c r="BL158"/>
  <c r="BL127"/>
  <c r="CZ177"/>
  <c r="ED177"/>
  <c r="BL130"/>
  <c r="BH207"/>
  <c r="CA207"/>
  <c r="CX207"/>
  <c r="BJ207"/>
  <c r="CC207"/>
  <c r="CV207"/>
  <c r="CT207"/>
  <c r="BF207"/>
  <c r="BY207"/>
  <c r="BL317"/>
  <c r="ED125"/>
  <c r="CZ125"/>
  <c r="CZ90"/>
  <c r="ED90"/>
  <c r="CZ261"/>
  <c r="ED261"/>
  <c r="U261" s="1"/>
  <c r="ED232"/>
  <c r="U232" s="1"/>
  <c r="CZ232"/>
  <c r="CZ84"/>
  <c r="ED84"/>
  <c r="CC337"/>
  <c r="CX337"/>
  <c r="BH337"/>
  <c r="CA337"/>
  <c r="CV337"/>
  <c r="BJ337"/>
  <c r="CT337"/>
  <c r="BF337"/>
  <c r="BY337"/>
  <c r="BL284"/>
  <c r="CZ104"/>
  <c r="ED104"/>
  <c r="BL290"/>
  <c r="CZ146"/>
  <c r="ED146"/>
  <c r="BJ157"/>
  <c r="CC157"/>
  <c r="CV157"/>
  <c r="BH157"/>
  <c r="CA157"/>
  <c r="CX157"/>
  <c r="BY157"/>
  <c r="BF157"/>
  <c r="CT157"/>
  <c r="ED116"/>
  <c r="CZ116"/>
  <c r="BH223"/>
  <c r="CA223"/>
  <c r="CX223"/>
  <c r="BJ223"/>
  <c r="CC223"/>
  <c r="CV223"/>
  <c r="BF223"/>
  <c r="CT223"/>
  <c r="BY223"/>
  <c r="BH115"/>
  <c r="CA115"/>
  <c r="CX115"/>
  <c r="BJ115"/>
  <c r="CC115"/>
  <c r="CV115"/>
  <c r="CT115"/>
  <c r="BF115"/>
  <c r="BY115"/>
  <c r="BJ169"/>
  <c r="CC169"/>
  <c r="CV169"/>
  <c r="BH169"/>
  <c r="CA169"/>
  <c r="CX169"/>
  <c r="BF169"/>
  <c r="CT169"/>
  <c r="BY169"/>
  <c r="BL288"/>
  <c r="BL131"/>
  <c r="CZ131"/>
  <c r="ED131"/>
  <c r="CZ238"/>
  <c r="ED238"/>
  <c r="U238" s="1"/>
  <c r="CZ197"/>
  <c r="ED197"/>
  <c r="U197" s="1"/>
  <c r="ED47"/>
  <c r="CZ47"/>
  <c r="BL379"/>
  <c r="BL226"/>
  <c r="BL246"/>
  <c r="BL128"/>
  <c r="BH333"/>
  <c r="CA333"/>
  <c r="CX333"/>
  <c r="BJ333"/>
  <c r="CC333"/>
  <c r="CV333"/>
  <c r="CT333"/>
  <c r="BF333"/>
  <c r="BY333"/>
  <c r="BL74"/>
  <c r="CZ355"/>
  <c r="ED355"/>
  <c r="CZ332"/>
  <c r="ED332"/>
  <c r="BL289"/>
  <c r="CZ236"/>
  <c r="ED236"/>
  <c r="U236" s="1"/>
  <c r="BL204"/>
  <c r="BL105"/>
  <c r="BL325"/>
  <c r="BL376"/>
  <c r="BL328"/>
  <c r="CZ328"/>
  <c r="ED328"/>
  <c r="ED228"/>
  <c r="U228" s="1"/>
  <c r="CZ228"/>
  <c r="BL136"/>
  <c r="BL338"/>
  <c r="ED286"/>
  <c r="U286" s="1"/>
  <c r="CZ286"/>
  <c r="BL262"/>
  <c r="CZ260"/>
  <c r="ED260"/>
  <c r="U260" s="1"/>
  <c r="CZ114"/>
  <c r="ED114"/>
  <c r="CZ60"/>
  <c r="ED60"/>
  <c r="CZ55"/>
  <c r="ED55"/>
  <c r="BJ196"/>
  <c r="CC196"/>
  <c r="CV196"/>
  <c r="CA196"/>
  <c r="CX196"/>
  <c r="CT196"/>
  <c r="BF196"/>
  <c r="BH196"/>
  <c r="BY196"/>
  <c r="BJ233"/>
  <c r="CC233"/>
  <c r="CV233"/>
  <c r="BH233"/>
  <c r="CA233"/>
  <c r="CX233"/>
  <c r="BF233"/>
  <c r="BY233"/>
  <c r="CT233"/>
  <c r="ED79"/>
  <c r="CZ79"/>
  <c r="CZ378"/>
  <c r="ED378"/>
  <c r="BL298"/>
  <c r="CZ190"/>
  <c r="ED190"/>
  <c r="CZ324"/>
  <c r="ED324"/>
  <c r="BJ81"/>
  <c r="CC81"/>
  <c r="CV81"/>
  <c r="CT81"/>
  <c r="CX81"/>
  <c r="BF81"/>
  <c r="CA81"/>
  <c r="BH81"/>
  <c r="BY81"/>
  <c r="ED220"/>
  <c r="U220" s="1"/>
  <c r="CZ220"/>
  <c r="BL348"/>
  <c r="BL313"/>
  <c r="BL282"/>
  <c r="CZ265"/>
  <c r="ED265"/>
  <c r="U265" s="1"/>
  <c r="BL191"/>
  <c r="BR191" s="1"/>
  <c r="BL364"/>
  <c r="CZ364"/>
  <c r="ED364"/>
  <c r="CZ49"/>
  <c r="ED49"/>
  <c r="BJ267"/>
  <c r="CC267"/>
  <c r="CV267"/>
  <c r="BY267"/>
  <c r="CX267"/>
  <c r="CT267"/>
  <c r="BH267"/>
  <c r="BF267"/>
  <c r="CA267"/>
  <c r="CZ356"/>
  <c r="ED356"/>
  <c r="ED183"/>
  <c r="CZ183"/>
  <c r="BL159"/>
  <c r="CZ305"/>
  <c r="ED305"/>
  <c r="BL250"/>
  <c r="BL174"/>
  <c r="ED314"/>
  <c r="CZ314"/>
  <c r="CZ70"/>
  <c r="ED70"/>
  <c r="BH75"/>
  <c r="CC75"/>
  <c r="CT75"/>
  <c r="CX75"/>
  <c r="BJ75"/>
  <c r="CA75"/>
  <c r="CV75"/>
  <c r="BF75"/>
  <c r="BY75"/>
  <c r="BL110"/>
  <c r="CZ312"/>
  <c r="ED312"/>
  <c r="BH140"/>
  <c r="CC140"/>
  <c r="BJ140"/>
  <c r="CA140"/>
  <c r="CV140"/>
  <c r="CX140"/>
  <c r="BF140"/>
  <c r="CT140"/>
  <c r="BY140"/>
  <c r="BL294"/>
  <c r="CZ186"/>
  <c r="ED186"/>
  <c r="BL170"/>
  <c r="CV276"/>
  <c r="CC276"/>
  <c r="BF276"/>
  <c r="BJ276"/>
  <c r="CX276"/>
  <c r="CT276"/>
  <c r="BH276"/>
  <c r="CA276"/>
  <c r="BY276"/>
  <c r="BJ138"/>
  <c r="CC138"/>
  <c r="CV138"/>
  <c r="BH138"/>
  <c r="CT138"/>
  <c r="CA138"/>
  <c r="BF138"/>
  <c r="CX138"/>
  <c r="BY138"/>
  <c r="BL316"/>
  <c r="BL240"/>
  <c r="CZ203"/>
  <c r="ED203"/>
  <c r="U203" s="1"/>
  <c r="BL112"/>
  <c r="CF300"/>
  <c r="CI300" s="1"/>
  <c r="CF308"/>
  <c r="CF144"/>
  <c r="CF228"/>
  <c r="CF52"/>
  <c r="CF216"/>
  <c r="CF324"/>
  <c r="CF322"/>
  <c r="CF94"/>
  <c r="CF160"/>
  <c r="CZ154"/>
  <c r="ED154"/>
  <c r="ED148"/>
  <c r="CZ148"/>
  <c r="ED98"/>
  <c r="CZ98"/>
  <c r="CZ118"/>
  <c r="ED118"/>
  <c r="ED275"/>
  <c r="U275" s="1"/>
  <c r="CZ275"/>
  <c r="CZ93"/>
  <c r="ED93"/>
  <c r="BL83"/>
  <c r="CZ82"/>
  <c r="ED82"/>
  <c r="BL380"/>
  <c r="BL224"/>
  <c r="BL368"/>
  <c r="ED302"/>
  <c r="CZ302"/>
  <c r="BL280"/>
  <c r="BL78"/>
  <c r="BL352"/>
  <c r="BL362"/>
  <c r="BL346"/>
  <c r="BL178"/>
  <c r="CZ54"/>
  <c r="ED54"/>
  <c r="CZ67"/>
  <c r="ED67"/>
  <c r="BL350"/>
  <c r="BL358"/>
  <c r="ED318"/>
  <c r="CZ318"/>
  <c r="CA239"/>
  <c r="CV239"/>
  <c r="BF239"/>
  <c r="BJ239"/>
  <c r="CC239"/>
  <c r="CX239"/>
  <c r="BH239"/>
  <c r="CT239"/>
  <c r="BY239"/>
  <c r="CF239" s="1"/>
  <c r="CZ264"/>
  <c r="ED264"/>
  <c r="U264" s="1"/>
  <c r="BF237"/>
  <c r="BJ237"/>
  <c r="CC237"/>
  <c r="CX237"/>
  <c r="BH237"/>
  <c r="CA237"/>
  <c r="CV237"/>
  <c r="CT237"/>
  <c r="BY237"/>
  <c r="BL104"/>
  <c r="BJ113"/>
  <c r="CC113"/>
  <c r="CV113"/>
  <c r="BH113"/>
  <c r="CA113"/>
  <c r="CX113"/>
  <c r="BY113"/>
  <c r="CT113"/>
  <c r="BF113"/>
  <c r="ED156"/>
  <c r="CZ156"/>
  <c r="BL68"/>
  <c r="ED68"/>
  <c r="CZ68"/>
  <c r="CZ300"/>
  <c r="ED300"/>
  <c r="U300" s="1"/>
  <c r="BL45"/>
  <c r="BL320"/>
  <c r="BL308"/>
  <c r="CZ292"/>
  <c r="ED292"/>
  <c r="U292" s="1"/>
  <c r="CC123"/>
  <c r="CT123"/>
  <c r="CX123"/>
  <c r="BH123"/>
  <c r="CA123"/>
  <c r="CV123"/>
  <c r="BJ123"/>
  <c r="BF123"/>
  <c r="BY123"/>
  <c r="BL124"/>
  <c r="ED102"/>
  <c r="CZ102"/>
  <c r="CZ288"/>
  <c r="ED288"/>
  <c r="U288" s="1"/>
  <c r="CZ244"/>
  <c r="ED244"/>
  <c r="U244" s="1"/>
  <c r="BL238"/>
  <c r="BH171"/>
  <c r="CA171"/>
  <c r="CV171"/>
  <c r="BJ171"/>
  <c r="CC171"/>
  <c r="CX171"/>
  <c r="BF171"/>
  <c r="CT171"/>
  <c r="BY171"/>
  <c r="BJ347"/>
  <c r="CC347"/>
  <c r="CV347"/>
  <c r="BH347"/>
  <c r="CA347"/>
  <c r="CX347"/>
  <c r="CT347"/>
  <c r="BF347"/>
  <c r="BY347"/>
  <c r="BL135"/>
  <c r="ED164"/>
  <c r="CZ164"/>
  <c r="BL372"/>
  <c r="CV77"/>
  <c r="BH77"/>
  <c r="CC77"/>
  <c r="CX77"/>
  <c r="BJ77"/>
  <c r="CA77"/>
  <c r="BF77"/>
  <c r="CT77"/>
  <c r="BY77"/>
  <c r="BL355"/>
  <c r="ED208"/>
  <c r="U208" s="1"/>
  <c r="CZ208"/>
  <c r="CZ289"/>
  <c r="ED289"/>
  <c r="U289" s="1"/>
  <c r="BL236"/>
  <c r="BL245"/>
  <c r="BL72"/>
  <c r="BJ205"/>
  <c r="CC205"/>
  <c r="CV205"/>
  <c r="BH205"/>
  <c r="CA205"/>
  <c r="CX205"/>
  <c r="BY205"/>
  <c r="CT205"/>
  <c r="BF205"/>
  <c r="BH50"/>
  <c r="CA50"/>
  <c r="CX50"/>
  <c r="BJ50"/>
  <c r="CC50"/>
  <c r="CV50"/>
  <c r="BF50"/>
  <c r="CT50"/>
  <c r="BY50"/>
  <c r="CZ325"/>
  <c r="ED325"/>
  <c r="ED212"/>
  <c r="U212" s="1"/>
  <c r="CZ212"/>
  <c r="BL212"/>
  <c r="CZ76"/>
  <c r="ED76"/>
  <c r="CZ376"/>
  <c r="ED376"/>
  <c r="BL330"/>
  <c r="CZ253"/>
  <c r="ED253"/>
  <c r="U253" s="1"/>
  <c r="BL198"/>
  <c r="CZ136"/>
  <c r="ED136"/>
  <c r="CZ338"/>
  <c r="ED338"/>
  <c r="ED262"/>
  <c r="U262" s="1"/>
  <c r="CZ262"/>
  <c r="BL55"/>
  <c r="ED52"/>
  <c r="CZ52"/>
  <c r="CZ366"/>
  <c r="ED366"/>
  <c r="BL79"/>
  <c r="BL378"/>
  <c r="ED298"/>
  <c r="U298" s="1"/>
  <c r="CZ298"/>
  <c r="BL324"/>
  <c r="BL120"/>
  <c r="BJ331"/>
  <c r="CC331"/>
  <c r="CV331"/>
  <c r="BH331"/>
  <c r="CA331"/>
  <c r="CX331"/>
  <c r="CT331"/>
  <c r="BF331"/>
  <c r="BY331"/>
  <c r="BH143"/>
  <c r="CA143"/>
  <c r="CX143"/>
  <c r="BJ143"/>
  <c r="CC143"/>
  <c r="CV143"/>
  <c r="CT143"/>
  <c r="BF143"/>
  <c r="BY143"/>
  <c r="CZ155"/>
  <c r="ED155"/>
  <c r="BL322"/>
  <c r="BL220"/>
  <c r="ED152"/>
  <c r="CZ152"/>
  <c r="BL152"/>
  <c r="ED282"/>
  <c r="U282" s="1"/>
  <c r="CZ282"/>
  <c r="BL49"/>
  <c r="BL183"/>
  <c r="ED87"/>
  <c r="CZ87"/>
  <c r="BL56"/>
  <c r="CZ370"/>
  <c r="ED370"/>
  <c r="BL354"/>
  <c r="CZ174"/>
  <c r="ED174"/>
  <c r="ED160"/>
  <c r="CZ160"/>
  <c r="CZ162"/>
  <c r="ED162"/>
  <c r="BL296"/>
  <c r="BL70"/>
  <c r="BJ323"/>
  <c r="CC323"/>
  <c r="CV323"/>
  <c r="BH323"/>
  <c r="CA323"/>
  <c r="CX323"/>
  <c r="BF323"/>
  <c r="BY323"/>
  <c r="CT323"/>
  <c r="BJ61"/>
  <c r="CC61"/>
  <c r="CV61"/>
  <c r="CX61"/>
  <c r="BY61"/>
  <c r="BF61"/>
  <c r="BH61"/>
  <c r="CT61"/>
  <c r="CA61"/>
  <c r="BL230"/>
  <c r="BL272"/>
  <c r="BL222"/>
  <c r="ED294"/>
  <c r="U294" s="1"/>
  <c r="CZ294"/>
  <c r="CZ170"/>
  <c r="ED170"/>
  <c r="CZ92"/>
  <c r="ED92"/>
  <c r="CZ316"/>
  <c r="ED316"/>
  <c r="CZ248"/>
  <c r="ED248"/>
  <c r="U248" s="1"/>
  <c r="BL203"/>
  <c r="CZ88"/>
  <c r="ED88"/>
  <c r="BH369"/>
  <c r="CA369"/>
  <c r="CX369"/>
  <c r="BJ369"/>
  <c r="CC369"/>
  <c r="CV369"/>
  <c r="CT369"/>
  <c r="BF369"/>
  <c r="BY369"/>
  <c r="BJ295"/>
  <c r="CC295"/>
  <c r="CV295"/>
  <c r="BH295"/>
  <c r="CA295"/>
  <c r="CX295"/>
  <c r="BY295"/>
  <c r="CT295"/>
  <c r="DB295" s="1"/>
  <c r="BF295"/>
  <c r="BJ48"/>
  <c r="CC48"/>
  <c r="CV48"/>
  <c r="BH48"/>
  <c r="CA48"/>
  <c r="CX48"/>
  <c r="BY48"/>
  <c r="CT48"/>
  <c r="BF48"/>
  <c r="CF173"/>
  <c r="CF218"/>
  <c r="CF206"/>
  <c r="CF148"/>
  <c r="CF118"/>
  <c r="CF380"/>
  <c r="CF224"/>
  <c r="CF78"/>
  <c r="CF249"/>
  <c r="CF127"/>
  <c r="CF54"/>
  <c r="CF317"/>
  <c r="CF374"/>
  <c r="CF358"/>
  <c r="CF342"/>
  <c r="CF125"/>
  <c r="CF264"/>
  <c r="CF84"/>
  <c r="CF89"/>
  <c r="CF329"/>
  <c r="CF156"/>
  <c r="CF379"/>
  <c r="CF86"/>
  <c r="CF168"/>
  <c r="CF204"/>
  <c r="CF376"/>
  <c r="CF330"/>
  <c r="CF286"/>
  <c r="CF366"/>
  <c r="CF242"/>
  <c r="CF313"/>
  <c r="CF159"/>
  <c r="CF250"/>
  <c r="CF70"/>
  <c r="CF110"/>
  <c r="CF312"/>
  <c r="CF294"/>
  <c r="CI294" s="1"/>
  <c r="CF316"/>
  <c r="CF96"/>
  <c r="CF240"/>
  <c r="CF142"/>
  <c r="CF63"/>
  <c r="BL51"/>
  <c r="BJ371"/>
  <c r="CC371"/>
  <c r="CV371"/>
  <c r="BH371"/>
  <c r="CA371"/>
  <c r="CX371"/>
  <c r="CT371"/>
  <c r="BF371"/>
  <c r="BY371"/>
  <c r="CZ304"/>
  <c r="ED304"/>
  <c r="BL241"/>
  <c r="ED224"/>
  <c r="U224" s="1"/>
  <c r="CZ224"/>
  <c r="CZ368"/>
  <c r="ED368"/>
  <c r="BL187"/>
  <c r="BR187" s="1"/>
  <c r="CZ280"/>
  <c r="ED280"/>
  <c r="U280" s="1"/>
  <c r="CZ78"/>
  <c r="ED78"/>
  <c r="ED43"/>
  <c r="CZ43"/>
  <c r="BL43"/>
  <c r="BJ263"/>
  <c r="CC263"/>
  <c r="CV263"/>
  <c r="BH263"/>
  <c r="BY263"/>
  <c r="CA263"/>
  <c r="CX263"/>
  <c r="CT263"/>
  <c r="BF263"/>
  <c r="CZ352"/>
  <c r="ED352"/>
  <c r="ED310"/>
  <c r="CZ310"/>
  <c r="BL249"/>
  <c r="CZ362"/>
  <c r="ED362"/>
  <c r="BL326"/>
  <c r="ED326"/>
  <c r="CZ326"/>
  <c r="CZ178"/>
  <c r="ED178"/>
  <c r="CZ127"/>
  <c r="ED127"/>
  <c r="BL100"/>
  <c r="BL177"/>
  <c r="BH211"/>
  <c r="CA211"/>
  <c r="CX211"/>
  <c r="BJ211"/>
  <c r="CC211"/>
  <c r="CV211"/>
  <c r="CT211"/>
  <c r="BF211"/>
  <c r="BY211"/>
  <c r="BJ66"/>
  <c r="CV66"/>
  <c r="CC66"/>
  <c r="CT66"/>
  <c r="CX66"/>
  <c r="BH66"/>
  <c r="BY66"/>
  <c r="BF66"/>
  <c r="CA66"/>
  <c r="BL67"/>
  <c r="CZ350"/>
  <c r="ED350"/>
  <c r="BL125"/>
  <c r="BL344"/>
  <c r="BL261"/>
  <c r="BL232"/>
  <c r="BL84"/>
  <c r="BL89"/>
  <c r="BL329"/>
  <c r="ED290"/>
  <c r="U290" s="1"/>
  <c r="CZ290"/>
  <c r="BL146"/>
  <c r="CZ320"/>
  <c r="ED320"/>
  <c r="BL292"/>
  <c r="BL210"/>
  <c r="BL185"/>
  <c r="CZ185"/>
  <c r="ED185"/>
  <c r="CZ124"/>
  <c r="ED124"/>
  <c r="BL116"/>
  <c r="BJ176"/>
  <c r="CC176"/>
  <c r="CV176"/>
  <c r="CX176"/>
  <c r="BY176"/>
  <c r="CA176"/>
  <c r="CT176"/>
  <c r="BF176"/>
  <c r="BH176"/>
  <c r="BJ271"/>
  <c r="CC271"/>
  <c r="CV271"/>
  <c r="BH271"/>
  <c r="BY271"/>
  <c r="CA271"/>
  <c r="CX271"/>
  <c r="CT271"/>
  <c r="BF271"/>
  <c r="BH71"/>
  <c r="CA71"/>
  <c r="CX71"/>
  <c r="BJ71"/>
  <c r="CC71"/>
  <c r="CV71"/>
  <c r="BF71"/>
  <c r="CT71"/>
  <c r="BY71"/>
  <c r="CZ150"/>
  <c r="ED150"/>
  <c r="BJ202"/>
  <c r="CC202"/>
  <c r="CV202"/>
  <c r="CX202"/>
  <c r="BH202"/>
  <c r="BF202"/>
  <c r="CA202"/>
  <c r="CT202"/>
  <c r="BY202"/>
  <c r="BJ307"/>
  <c r="CC307"/>
  <c r="CV307"/>
  <c r="BH307"/>
  <c r="CA307"/>
  <c r="CX307"/>
  <c r="CT307"/>
  <c r="BF307"/>
  <c r="BY307"/>
  <c r="BJ145"/>
  <c r="CC145"/>
  <c r="CV145"/>
  <c r="BH145"/>
  <c r="CA145"/>
  <c r="CX145"/>
  <c r="BY145"/>
  <c r="CT145"/>
  <c r="BF145"/>
  <c r="CZ135"/>
  <c r="ED135"/>
  <c r="BL334"/>
  <c r="BL306"/>
  <c r="CZ128"/>
  <c r="ED128"/>
  <c r="BL86"/>
  <c r="BL62"/>
  <c r="CC201"/>
  <c r="BJ201"/>
  <c r="CV201"/>
  <c r="CT201"/>
  <c r="CA201"/>
  <c r="BH201"/>
  <c r="BF201"/>
  <c r="BY201"/>
  <c r="CX201"/>
  <c r="BL332"/>
  <c r="BL208"/>
  <c r="CZ147"/>
  <c r="ED147"/>
  <c r="ED168"/>
  <c r="CZ168"/>
  <c r="BL168"/>
  <c r="ED144"/>
  <c r="CZ144"/>
  <c r="BL144"/>
  <c r="CZ163"/>
  <c r="ED163"/>
  <c r="ED330"/>
  <c r="CZ330"/>
  <c r="BL253"/>
  <c r="BL228"/>
  <c r="BL321"/>
  <c r="BL260"/>
  <c r="BL114"/>
  <c r="BH167"/>
  <c r="CA167"/>
  <c r="CX167"/>
  <c r="BJ167"/>
  <c r="CC167"/>
  <c r="CV167"/>
  <c r="CT167"/>
  <c r="BF167"/>
  <c r="BY167"/>
  <c r="BJ279"/>
  <c r="CC279"/>
  <c r="CV279"/>
  <c r="BH279"/>
  <c r="CA279"/>
  <c r="CX279"/>
  <c r="BY279"/>
  <c r="CT279"/>
  <c r="BF279"/>
  <c r="BL366"/>
  <c r="ED216"/>
  <c r="U216" s="1"/>
  <c r="CZ216"/>
  <c r="BL155"/>
  <c r="ED322"/>
  <c r="CZ322"/>
  <c r="CZ348"/>
  <c r="ED348"/>
  <c r="BL179"/>
  <c r="CZ108"/>
  <c r="ED108"/>
  <c r="BL356"/>
  <c r="ED94"/>
  <c r="CZ94"/>
  <c r="BL87"/>
  <c r="ED56"/>
  <c r="CZ56"/>
  <c r="ED250"/>
  <c r="U250" s="1"/>
  <c r="CZ250"/>
  <c r="BL160"/>
  <c r="CZ296"/>
  <c r="ED296"/>
  <c r="U296" s="1"/>
  <c r="CC341"/>
  <c r="CX341"/>
  <c r="BH341"/>
  <c r="CA341"/>
  <c r="CV341"/>
  <c r="BJ341"/>
  <c r="BF341"/>
  <c r="CT341"/>
  <c r="BY341"/>
  <c r="CZ230"/>
  <c r="ED230"/>
  <c r="U230" s="1"/>
  <c r="BL312"/>
  <c r="CZ272"/>
  <c r="ED272"/>
  <c r="U272" s="1"/>
  <c r="CZ222"/>
  <c r="ED222"/>
  <c r="U222" s="1"/>
  <c r="CZ106"/>
  <c r="ED106"/>
  <c r="BL106"/>
  <c r="BL186"/>
  <c r="CZ122"/>
  <c r="ED122"/>
  <c r="BJ139"/>
  <c r="CV139"/>
  <c r="CC139"/>
  <c r="CT139"/>
  <c r="CA139"/>
  <c r="BH139"/>
  <c r="BF139"/>
  <c r="CX139"/>
  <c r="BY139"/>
  <c r="BJ335"/>
  <c r="CC335"/>
  <c r="CV335"/>
  <c r="BH335"/>
  <c r="CA335"/>
  <c r="CX335"/>
  <c r="BY335"/>
  <c r="BF335"/>
  <c r="CT335"/>
  <c r="BJ57"/>
  <c r="CC57"/>
  <c r="CV57"/>
  <c r="BH57"/>
  <c r="CA57"/>
  <c r="CX57"/>
  <c r="BY57"/>
  <c r="CT57"/>
  <c r="BF57"/>
  <c r="BL166"/>
  <c r="BL96"/>
  <c r="BL248"/>
  <c r="CZ240"/>
  <c r="ED240"/>
  <c r="U240" s="1"/>
  <c r="BL142"/>
  <c r="BL375"/>
  <c r="ED112"/>
  <c r="CZ112"/>
  <c r="CZ63"/>
  <c r="ED63"/>
  <c r="BL88"/>
  <c r="CF51"/>
  <c r="CF368"/>
  <c r="CF232"/>
  <c r="CF290"/>
  <c r="CF45"/>
  <c r="CF246"/>
  <c r="CF236"/>
  <c r="CF212"/>
  <c r="CF364"/>
  <c r="CF356"/>
  <c r="CF162"/>
  <c r="CF122"/>
  <c r="S232" i="45"/>
  <c r="S376"/>
  <c r="S377"/>
  <c r="S378"/>
  <c r="S379"/>
  <c r="S380"/>
  <c r="S381"/>
  <c r="S382"/>
  <c r="S383"/>
  <c r="S233"/>
  <c r="S235"/>
  <c r="S237"/>
  <c r="S227"/>
  <c r="S228"/>
  <c r="S221"/>
  <c r="S222"/>
  <c r="S229"/>
  <c r="S230"/>
  <c r="S226"/>
  <c r="S223"/>
  <c r="S224"/>
  <c r="S234"/>
  <c r="S236"/>
  <c r="S240"/>
  <c r="S238"/>
  <c r="AP39" i="43"/>
  <c r="AR21"/>
  <c r="DL26"/>
  <c r="DM26" s="1"/>
  <c r="DN26" s="1"/>
  <c r="AP35"/>
  <c r="DH26"/>
  <c r="DL20"/>
  <c r="AR30"/>
  <c r="AP30"/>
  <c r="CE32"/>
  <c r="DH32" s="1"/>
  <c r="DH21"/>
  <c r="DH24"/>
  <c r="DL33"/>
  <c r="DM33" s="1"/>
  <c r="DL35"/>
  <c r="DH39"/>
  <c r="DL40"/>
  <c r="DM40" s="1"/>
  <c r="DH38"/>
  <c r="DL39"/>
  <c r="AR23"/>
  <c r="AP23"/>
  <c r="CE25"/>
  <c r="DH25" s="1"/>
  <c r="DL18"/>
  <c r="DM18" s="1"/>
  <c r="DH22"/>
  <c r="DH19"/>
  <c r="DH18"/>
  <c r="DH23"/>
  <c r="DL27"/>
  <c r="DM27" s="1"/>
  <c r="DH29"/>
  <c r="DL30"/>
  <c r="DL31"/>
  <c r="DM31" s="1"/>
  <c r="CE37"/>
  <c r="DH37" s="1"/>
  <c r="CE42"/>
  <c r="DH42" s="1"/>
  <c r="DH36"/>
  <c r="DL19"/>
  <c r="DL24"/>
  <c r="DM24" s="1"/>
  <c r="DL21"/>
  <c r="DH20"/>
  <c r="DL23"/>
  <c r="CE41"/>
  <c r="DL41" s="1"/>
  <c r="DM41" s="1"/>
  <c r="DL29"/>
  <c r="DM29" s="1"/>
  <c r="DH31"/>
  <c r="CE34"/>
  <c r="DL34" s="1"/>
  <c r="DM34" s="1"/>
  <c r="DH35"/>
  <c r="DL36"/>
  <c r="DM36" s="1"/>
  <c r="AR19"/>
  <c r="AP19"/>
  <c r="CE28"/>
  <c r="DL28" s="1"/>
  <c r="DM28" s="1"/>
  <c r="DL22"/>
  <c r="DM22" s="1"/>
  <c r="DH30"/>
  <c r="DH27"/>
  <c r="DH33"/>
  <c r="DL38"/>
  <c r="DM38" s="1"/>
  <c r="DH40"/>
  <c r="H389" i="45"/>
  <c r="I389"/>
  <c r="J389"/>
  <c r="K389"/>
  <c r="L389"/>
  <c r="O389"/>
  <c r="AD389"/>
  <c r="FD17" i="43"/>
  <c r="FD16"/>
  <c r="P13" i="45" s="1"/>
  <c r="FD15" i="43"/>
  <c r="P12" i="45" s="1"/>
  <c r="FD14" i="43"/>
  <c r="FD13"/>
  <c r="FD12"/>
  <c r="FD11"/>
  <c r="FD10"/>
  <c r="FD9"/>
  <c r="FD8"/>
  <c r="O5" i="45"/>
  <c r="O6"/>
  <c r="O7"/>
  <c r="O8"/>
  <c r="O9"/>
  <c r="O10"/>
  <c r="O11"/>
  <c r="O387"/>
  <c r="I5"/>
  <c r="J5"/>
  <c r="K5"/>
  <c r="I6"/>
  <c r="J6"/>
  <c r="K6"/>
  <c r="I7"/>
  <c r="J7"/>
  <c r="K7"/>
  <c r="I8"/>
  <c r="J8"/>
  <c r="K8"/>
  <c r="I9"/>
  <c r="J9"/>
  <c r="K9"/>
  <c r="I10"/>
  <c r="J10"/>
  <c r="K10"/>
  <c r="I11"/>
  <c r="J11"/>
  <c r="K11"/>
  <c r="I387"/>
  <c r="J387"/>
  <c r="K387"/>
  <c r="U8" i="24"/>
  <c r="AM8"/>
  <c r="U9"/>
  <c r="AM9"/>
  <c r="U10"/>
  <c r="AM10"/>
  <c r="AM11"/>
  <c r="AM12"/>
  <c r="AM13"/>
  <c r="AM14"/>
  <c r="AM15"/>
  <c r="AM16"/>
  <c r="AM17"/>
  <c r="D8" i="43"/>
  <c r="E8"/>
  <c r="O8"/>
  <c r="AC8"/>
  <c r="AD8"/>
  <c r="AE8"/>
  <c r="AF8"/>
  <c r="AG8"/>
  <c r="AL8"/>
  <c r="AW8"/>
  <c r="AX8"/>
  <c r="BG8"/>
  <c r="BI8"/>
  <c r="BM8"/>
  <c r="BE8" s="1"/>
  <c r="BZ8"/>
  <c r="CB8"/>
  <c r="CG8"/>
  <c r="CD8" s="1"/>
  <c r="CH8"/>
  <c r="CU8"/>
  <c r="CW8"/>
  <c r="DA8"/>
  <c r="CS8" s="1"/>
  <c r="DP8"/>
  <c r="EF8"/>
  <c r="EM8"/>
  <c r="FQ8"/>
  <c r="D9"/>
  <c r="E9"/>
  <c r="O9"/>
  <c r="AC9"/>
  <c r="AD9"/>
  <c r="AE9"/>
  <c r="AF9"/>
  <c r="AG9"/>
  <c r="AL9"/>
  <c r="AW9"/>
  <c r="AX9"/>
  <c r="BG9"/>
  <c r="BI9"/>
  <c r="BM9"/>
  <c r="BE9" s="1"/>
  <c r="BQ9"/>
  <c r="BZ9"/>
  <c r="CB9"/>
  <c r="CG9"/>
  <c r="CD9" s="1"/>
  <c r="AS9" s="1"/>
  <c r="CH9"/>
  <c r="CU9"/>
  <c r="CW9"/>
  <c r="DA9"/>
  <c r="CS9" s="1"/>
  <c r="DP9"/>
  <c r="EF9"/>
  <c r="EM9"/>
  <c r="FQ9"/>
  <c r="D10"/>
  <c r="E10"/>
  <c r="O10"/>
  <c r="BQ10" s="1"/>
  <c r="AC10"/>
  <c r="AD10"/>
  <c r="AE10"/>
  <c r="AF10"/>
  <c r="AG10"/>
  <c r="AL10"/>
  <c r="AW10"/>
  <c r="AX10"/>
  <c r="BG10"/>
  <c r="BI10"/>
  <c r="BM10"/>
  <c r="BE10" s="1"/>
  <c r="BZ10"/>
  <c r="CB10"/>
  <c r="CG10"/>
  <c r="CH10"/>
  <c r="CU10"/>
  <c r="CW10"/>
  <c r="DA10"/>
  <c r="CS10" s="1"/>
  <c r="DP10"/>
  <c r="EF10"/>
  <c r="EM10"/>
  <c r="FQ10"/>
  <c r="D11"/>
  <c r="E11"/>
  <c r="O11"/>
  <c r="BQ11" s="1"/>
  <c r="AC11"/>
  <c r="AD11"/>
  <c r="AE11"/>
  <c r="AF11"/>
  <c r="AG11"/>
  <c r="AL11"/>
  <c r="AW11"/>
  <c r="AX11"/>
  <c r="BG11"/>
  <c r="BI11"/>
  <c r="BM11"/>
  <c r="BE11" s="1"/>
  <c r="BZ11"/>
  <c r="CB11"/>
  <c r="CG11"/>
  <c r="CD11" s="1"/>
  <c r="AS11" s="1"/>
  <c r="CH11"/>
  <c r="CU11"/>
  <c r="CW11"/>
  <c r="DA11"/>
  <c r="CS11" s="1"/>
  <c r="EF11"/>
  <c r="EM11"/>
  <c r="D12"/>
  <c r="E12"/>
  <c r="O12"/>
  <c r="BQ12" s="1"/>
  <c r="AC12"/>
  <c r="AD12"/>
  <c r="AE12"/>
  <c r="AF12"/>
  <c r="AG12"/>
  <c r="AL12"/>
  <c r="AW12"/>
  <c r="AX12"/>
  <c r="BG12"/>
  <c r="BI12"/>
  <c r="BM12"/>
  <c r="BE12" s="1"/>
  <c r="BZ12"/>
  <c r="CB12"/>
  <c r="CG12"/>
  <c r="CH12"/>
  <c r="CU12"/>
  <c r="CW12"/>
  <c r="DA12"/>
  <c r="CS12" s="1"/>
  <c r="EF12"/>
  <c r="EM12"/>
  <c r="D13"/>
  <c r="E13"/>
  <c r="O13"/>
  <c r="AC13"/>
  <c r="AD13"/>
  <c r="AE13"/>
  <c r="AF13"/>
  <c r="AG13"/>
  <c r="AL13"/>
  <c r="AW13"/>
  <c r="AX13"/>
  <c r="BG13"/>
  <c r="BI13"/>
  <c r="BM13"/>
  <c r="BE13" s="1"/>
  <c r="BZ13"/>
  <c r="CB13"/>
  <c r="CG13"/>
  <c r="CD13" s="1"/>
  <c r="AS13" s="1"/>
  <c r="CH13"/>
  <c r="CU13"/>
  <c r="CW13"/>
  <c r="DA13"/>
  <c r="CS13" s="1"/>
  <c r="EF13"/>
  <c r="EM13"/>
  <c r="D14"/>
  <c r="E14"/>
  <c r="O14"/>
  <c r="AC14"/>
  <c r="AD14"/>
  <c r="AE14"/>
  <c r="AF14"/>
  <c r="AG14"/>
  <c r="AL14"/>
  <c r="AW14"/>
  <c r="AX14"/>
  <c r="BG14"/>
  <c r="BI14"/>
  <c r="BM14"/>
  <c r="BE14" s="1"/>
  <c r="BZ14"/>
  <c r="CB14"/>
  <c r="CG14"/>
  <c r="CD14" s="1"/>
  <c r="AS14" s="1"/>
  <c r="CH14"/>
  <c r="CU14"/>
  <c r="CW14"/>
  <c r="DA14"/>
  <c r="CS14" s="1"/>
  <c r="DP14"/>
  <c r="EF14"/>
  <c r="EM14"/>
  <c r="D15"/>
  <c r="N12" i="45" s="1"/>
  <c r="E15" i="43"/>
  <c r="M12" i="45" s="1"/>
  <c r="O15" i="43"/>
  <c r="AC15"/>
  <c r="AD15"/>
  <c r="AE15"/>
  <c r="E12" i="45" s="1"/>
  <c r="AF15" i="43"/>
  <c r="F12" i="45" s="1"/>
  <c r="AG15" i="43"/>
  <c r="G12" i="45" s="1"/>
  <c r="AL15" i="43"/>
  <c r="AW15"/>
  <c r="AX15"/>
  <c r="BG15"/>
  <c r="BI15"/>
  <c r="BM15"/>
  <c r="BE15" s="1"/>
  <c r="BZ15"/>
  <c r="CB15"/>
  <c r="CG15"/>
  <c r="CD15" s="1"/>
  <c r="AS15" s="1"/>
  <c r="CH15"/>
  <c r="CU15"/>
  <c r="CW15"/>
  <c r="DA15"/>
  <c r="CS15" s="1"/>
  <c r="DP15"/>
  <c r="Q12" i="45" s="1"/>
  <c r="R12" s="1"/>
  <c r="EF15" i="43"/>
  <c r="EM15"/>
  <c r="D16"/>
  <c r="N13" i="45" s="1"/>
  <c r="E16" i="43"/>
  <c r="M13" i="45" s="1"/>
  <c r="O16" i="43"/>
  <c r="BQ16" s="1"/>
  <c r="AC16"/>
  <c r="AD16"/>
  <c r="AE16"/>
  <c r="E13" i="45" s="1"/>
  <c r="AF16" i="43"/>
  <c r="F13" i="45" s="1"/>
  <c r="AG16" i="43"/>
  <c r="G13" i="45" s="1"/>
  <c r="AL16" i="43"/>
  <c r="AW16"/>
  <c r="AX16"/>
  <c r="BG16"/>
  <c r="BI16"/>
  <c r="BM16"/>
  <c r="BE16" s="1"/>
  <c r="BZ16"/>
  <c r="CB16"/>
  <c r="CG16"/>
  <c r="CD16" s="1"/>
  <c r="CH16"/>
  <c r="CU16"/>
  <c r="CW16"/>
  <c r="DA16"/>
  <c r="CS16" s="1"/>
  <c r="DP16"/>
  <c r="Q13" i="45" s="1"/>
  <c r="R13" s="1"/>
  <c r="EF16" i="43"/>
  <c r="EM16"/>
  <c r="D17"/>
  <c r="E17"/>
  <c r="O17"/>
  <c r="AC17"/>
  <c r="AD17"/>
  <c r="AE17"/>
  <c r="AF17"/>
  <c r="AG17"/>
  <c r="AL17"/>
  <c r="AM18" s="1"/>
  <c r="AW17"/>
  <c r="AX17"/>
  <c r="BG17"/>
  <c r="BI17"/>
  <c r="BM17"/>
  <c r="BE17" s="1"/>
  <c r="BZ17"/>
  <c r="CB17"/>
  <c r="CG17"/>
  <c r="CD17" s="1"/>
  <c r="AS17" s="1"/>
  <c r="CH17"/>
  <c r="CU17"/>
  <c r="CW17"/>
  <c r="DA17"/>
  <c r="CS17" s="1"/>
  <c r="DP17"/>
  <c r="EF17"/>
  <c r="EM17"/>
  <c r="CM306" l="1"/>
  <c r="CI306"/>
  <c r="CM302"/>
  <c r="CI302"/>
  <c r="CM375"/>
  <c r="CM354"/>
  <c r="CM352"/>
  <c r="CM320"/>
  <c r="CM305"/>
  <c r="CI305"/>
  <c r="CM314"/>
  <c r="CM318"/>
  <c r="CM310"/>
  <c r="CM338"/>
  <c r="CM328"/>
  <c r="CM298"/>
  <c r="CI298"/>
  <c r="CM321"/>
  <c r="CM332"/>
  <c r="CM348"/>
  <c r="CM370"/>
  <c r="CM288"/>
  <c r="CM289"/>
  <c r="CM282"/>
  <c r="CF360"/>
  <c r="ED381"/>
  <c r="BL381"/>
  <c r="CF336"/>
  <c r="BL365"/>
  <c r="BR365" s="1"/>
  <c r="CZ360"/>
  <c r="DF360" s="1"/>
  <c r="CZ373"/>
  <c r="DF373" s="1"/>
  <c r="CZ381"/>
  <c r="ED365"/>
  <c r="CF381"/>
  <c r="ED373"/>
  <c r="CF373"/>
  <c r="BL373"/>
  <c r="ED360"/>
  <c r="BL360"/>
  <c r="BR360" s="1"/>
  <c r="CZ365"/>
  <c r="DF365" s="1"/>
  <c r="CF365"/>
  <c r="CZ336"/>
  <c r="DF336" s="1"/>
  <c r="ED336"/>
  <c r="DM21"/>
  <c r="DN21" s="1"/>
  <c r="DO21" s="1"/>
  <c r="AQ21" s="1"/>
  <c r="BL336"/>
  <c r="BL367"/>
  <c r="BR367" s="1"/>
  <c r="ED367"/>
  <c r="CZ367"/>
  <c r="DF367" s="1"/>
  <c r="CF367"/>
  <c r="CZ266"/>
  <c r="DF266" s="1"/>
  <c r="CF133"/>
  <c r="CM133" s="1"/>
  <c r="DM20"/>
  <c r="DN20" s="1"/>
  <c r="DO20" s="1"/>
  <c r="AQ20" s="1"/>
  <c r="AP16"/>
  <c r="AS16"/>
  <c r="AP8"/>
  <c r="AS8"/>
  <c r="U310"/>
  <c r="CF254"/>
  <c r="CM254" s="1"/>
  <c r="BH111"/>
  <c r="AQ111"/>
  <c r="BH97"/>
  <c r="AQ97"/>
  <c r="CC85"/>
  <c r="AQ85"/>
  <c r="BJ97"/>
  <c r="BY97"/>
  <c r="CC97"/>
  <c r="CV97"/>
  <c r="CX97"/>
  <c r="BF97"/>
  <c r="CA97"/>
  <c r="CT97"/>
  <c r="CZ97" s="1"/>
  <c r="DF97" s="1"/>
  <c r="CT111"/>
  <c r="CV111"/>
  <c r="BH85"/>
  <c r="CA85"/>
  <c r="CX85"/>
  <c r="CV85"/>
  <c r="CT85"/>
  <c r="BF85"/>
  <c r="BJ85"/>
  <c r="BY85"/>
  <c r="CX111"/>
  <c r="BY111"/>
  <c r="BF111"/>
  <c r="CA111"/>
  <c r="CC111"/>
  <c r="BJ111"/>
  <c r="Z10"/>
  <c r="Z17"/>
  <c r="Z9"/>
  <c r="Z13"/>
  <c r="Z12"/>
  <c r="Z11"/>
  <c r="CF277"/>
  <c r="CM277" s="1"/>
  <c r="BL349"/>
  <c r="BR349" s="1"/>
  <c r="CF353"/>
  <c r="CF349"/>
  <c r="CZ353"/>
  <c r="DF353" s="1"/>
  <c r="ED349"/>
  <c r="CZ349"/>
  <c r="BL353"/>
  <c r="BR353" s="1"/>
  <c r="ED353"/>
  <c r="Z15"/>
  <c r="BQ8"/>
  <c r="Z8"/>
  <c r="Z16"/>
  <c r="Z14"/>
  <c r="BL340"/>
  <c r="BR340" s="1"/>
  <c r="CZ340"/>
  <c r="DF340" s="1"/>
  <c r="CF340"/>
  <c r="ED340"/>
  <c r="CZ319"/>
  <c r="DF319" s="1"/>
  <c r="CZ311"/>
  <c r="DF311" s="1"/>
  <c r="CF281"/>
  <c r="CM281" s="1"/>
  <c r="CZ293"/>
  <c r="DF293" s="1"/>
  <c r="CF293"/>
  <c r="CF319"/>
  <c r="BL319"/>
  <c r="BR319" s="1"/>
  <c r="CF311"/>
  <c r="BL311"/>
  <c r="BR311" s="1"/>
  <c r="ED311"/>
  <c r="ED319"/>
  <c r="ED293"/>
  <c r="U293" s="1"/>
  <c r="BL293"/>
  <c r="BR293" s="1"/>
  <c r="ED281"/>
  <c r="U281" s="1"/>
  <c r="CZ281"/>
  <c r="DF281" s="1"/>
  <c r="BL281"/>
  <c r="BR281" s="1"/>
  <c r="CF274"/>
  <c r="CM274" s="1"/>
  <c r="CF270"/>
  <c r="BL270"/>
  <c r="CZ274"/>
  <c r="DF274" s="1"/>
  <c r="ED251"/>
  <c r="U251" s="1"/>
  <c r="BL259"/>
  <c r="BR259" s="1"/>
  <c r="BL274"/>
  <c r="BR274" s="1"/>
  <c r="ED274"/>
  <c r="U274" s="1"/>
  <c r="CF251"/>
  <c r="CM251" s="1"/>
  <c r="ED270"/>
  <c r="U270" s="1"/>
  <c r="CZ270"/>
  <c r="DF270" s="1"/>
  <c r="BL258"/>
  <c r="BR258" s="1"/>
  <c r="CF258"/>
  <c r="CZ259"/>
  <c r="DF259" s="1"/>
  <c r="CZ258"/>
  <c r="DF258" s="1"/>
  <c r="ED259"/>
  <c r="U259" s="1"/>
  <c r="ED258"/>
  <c r="U258" s="1"/>
  <c r="CF149"/>
  <c r="CM149" s="1"/>
  <c r="CF259"/>
  <c r="CM259" s="1"/>
  <c r="CZ235"/>
  <c r="DF235" s="1"/>
  <c r="BL251"/>
  <c r="BR251" s="1"/>
  <c r="BL235"/>
  <c r="CZ251"/>
  <c r="DF251" s="1"/>
  <c r="CZ73"/>
  <c r="DF73" s="1"/>
  <c r="DJ194"/>
  <c r="ED235"/>
  <c r="U235" s="1"/>
  <c r="CF235"/>
  <c r="BL231"/>
  <c r="BR231" s="1"/>
  <c r="CF215"/>
  <c r="ED231"/>
  <c r="U231" s="1"/>
  <c r="BL221"/>
  <c r="BR221" s="1"/>
  <c r="CF221"/>
  <c r="CM221" s="1"/>
  <c r="CZ231"/>
  <c r="DF231" s="1"/>
  <c r="CF231"/>
  <c r="BL215"/>
  <c r="CZ215"/>
  <c r="DF215" s="1"/>
  <c r="CF213"/>
  <c r="CZ213"/>
  <c r="DF213" s="1"/>
  <c r="ED215"/>
  <c r="U215" s="1"/>
  <c r="BL213"/>
  <c r="ED221"/>
  <c r="U221" s="1"/>
  <c r="ED213"/>
  <c r="U213" s="1"/>
  <c r="CZ221"/>
  <c r="DF221" s="1"/>
  <c r="CZ359"/>
  <c r="DF359" s="1"/>
  <c r="CZ53"/>
  <c r="DF53" s="1"/>
  <c r="BL247"/>
  <c r="BR247" s="1"/>
  <c r="CZ121"/>
  <c r="DF121" s="1"/>
  <c r="CF345"/>
  <c r="CZ161"/>
  <c r="DF161" s="1"/>
  <c r="CF161"/>
  <c r="CM161" s="1"/>
  <c r="ED161"/>
  <c r="BL161"/>
  <c r="BR161" s="1"/>
  <c r="CZ149"/>
  <c r="DF149" s="1"/>
  <c r="ED134"/>
  <c r="ED149"/>
  <c r="BL149"/>
  <c r="BR149" s="1"/>
  <c r="CZ119"/>
  <c r="DF119" s="1"/>
  <c r="CZ188"/>
  <c r="DF188" s="1"/>
  <c r="BL188"/>
  <c r="BR188" s="1"/>
  <c r="BL180"/>
  <c r="CF188"/>
  <c r="CM188" s="1"/>
  <c r="ED109"/>
  <c r="CZ117"/>
  <c r="DF117" s="1"/>
  <c r="CZ277"/>
  <c r="CF134"/>
  <c r="CM134" s="1"/>
  <c r="CM198"/>
  <c r="ED247"/>
  <c r="U247" s="1"/>
  <c r="ED188"/>
  <c r="ED73"/>
  <c r="BL117"/>
  <c r="BR117" s="1"/>
  <c r="CF73"/>
  <c r="CM73" s="1"/>
  <c r="CM265"/>
  <c r="BL119"/>
  <c r="BR119" s="1"/>
  <c r="ED119"/>
  <c r="CZ345"/>
  <c r="DF345" s="1"/>
  <c r="ED117"/>
  <c r="CZ134"/>
  <c r="DF134" s="1"/>
  <c r="CL135"/>
  <c r="CM135" s="1"/>
  <c r="BL134"/>
  <c r="BR134" s="1"/>
  <c r="BL133"/>
  <c r="BR133" s="1"/>
  <c r="CZ243"/>
  <c r="DF243" s="1"/>
  <c r="CZ101"/>
  <c r="DF101" s="1"/>
  <c r="CZ303"/>
  <c r="DF303" s="1"/>
  <c r="BL129"/>
  <c r="BR129" s="1"/>
  <c r="CZ109"/>
  <c r="DF109" s="1"/>
  <c r="CF109"/>
  <c r="CM109" s="1"/>
  <c r="CZ209"/>
  <c r="DF209" s="1"/>
  <c r="CF119"/>
  <c r="CM119" s="1"/>
  <c r="BL73"/>
  <c r="BR73" s="1"/>
  <c r="CZ247"/>
  <c r="BL65"/>
  <c r="BR65" s="1"/>
  <c r="BL219"/>
  <c r="BR219" s="1"/>
  <c r="CZ137"/>
  <c r="DF137" s="1"/>
  <c r="CZ351"/>
  <c r="DF351" s="1"/>
  <c r="BL277"/>
  <c r="BR277" s="1"/>
  <c r="CZ357"/>
  <c r="DF357" s="1"/>
  <c r="ED327"/>
  <c r="CZ65"/>
  <c r="DF65" s="1"/>
  <c r="CF65"/>
  <c r="CM65" s="1"/>
  <c r="CZ59"/>
  <c r="DF59" s="1"/>
  <c r="BL165"/>
  <c r="BR165" s="1"/>
  <c r="BL175"/>
  <c r="BR175" s="1"/>
  <c r="ED303"/>
  <c r="BL101"/>
  <c r="BR101" s="1"/>
  <c r="CF117"/>
  <c r="CM117" s="1"/>
  <c r="ED277"/>
  <c r="U277" s="1"/>
  <c r="ED359"/>
  <c r="CF101"/>
  <c r="CM101" s="1"/>
  <c r="BL103"/>
  <c r="BR103" s="1"/>
  <c r="ED103"/>
  <c r="BL109"/>
  <c r="BR109" s="1"/>
  <c r="CZ363"/>
  <c r="DF363" s="1"/>
  <c r="CZ315"/>
  <c r="DF315" s="1"/>
  <c r="BL243"/>
  <c r="BR243" s="1"/>
  <c r="ED101"/>
  <c r="BL303"/>
  <c r="BR303" s="1"/>
  <c r="CZ327"/>
  <c r="DF327" s="1"/>
  <c r="CZ129"/>
  <c r="DF129" s="1"/>
  <c r="CF53"/>
  <c r="BL209"/>
  <c r="ED95"/>
  <c r="CF99"/>
  <c r="CM99" s="1"/>
  <c r="CZ254"/>
  <c r="ED243"/>
  <c r="U243" s="1"/>
  <c r="CZ103"/>
  <c r="DF103" s="1"/>
  <c r="BL99"/>
  <c r="BR99" s="1"/>
  <c r="CZ99"/>
  <c r="DF99" s="1"/>
  <c r="CF103"/>
  <c r="CM103" s="1"/>
  <c r="CM164"/>
  <c r="CM72"/>
  <c r="BQ14"/>
  <c r="M389" i="45"/>
  <c r="M14"/>
  <c r="N389"/>
  <c r="N14"/>
  <c r="AH13"/>
  <c r="AH12"/>
  <c r="BL95" i="43"/>
  <c r="BR95" s="1"/>
  <c r="ED99"/>
  <c r="BL137"/>
  <c r="BR137" s="1"/>
  <c r="ED137"/>
  <c r="CF243"/>
  <c r="S13" i="45"/>
  <c r="ED129" i="43"/>
  <c r="CF129"/>
  <c r="CM129" s="1"/>
  <c r="ED363"/>
  <c r="CF137"/>
  <c r="CM137" s="1"/>
  <c r="CF327"/>
  <c r="BL327"/>
  <c r="BR327" s="1"/>
  <c r="BL285"/>
  <c r="BR285" s="1"/>
  <c r="BL299"/>
  <c r="ED345"/>
  <c r="BL345"/>
  <c r="CF299"/>
  <c r="CF95"/>
  <c r="CM95" s="1"/>
  <c r="CM208"/>
  <c r="CZ255"/>
  <c r="DF255" s="1"/>
  <c r="ED283"/>
  <c r="U283" s="1"/>
  <c r="CF175"/>
  <c r="CM175" s="1"/>
  <c r="CZ287"/>
  <c r="DF287" s="1"/>
  <c r="CZ180"/>
  <c r="DF180" s="1"/>
  <c r="CF121"/>
  <c r="CM121" s="1"/>
  <c r="CZ192"/>
  <c r="DF192" s="1"/>
  <c r="ED165"/>
  <c r="CZ95"/>
  <c r="DF95" s="1"/>
  <c r="CZ91"/>
  <c r="DF91" s="1"/>
  <c r="CF165"/>
  <c r="CM165" s="1"/>
  <c r="CZ133"/>
  <c r="DF133" s="1"/>
  <c r="BL53"/>
  <c r="BR53" s="1"/>
  <c r="CF209"/>
  <c r="CM209" s="1"/>
  <c r="CZ175"/>
  <c r="DF175" s="1"/>
  <c r="BL172"/>
  <c r="BR172" s="1"/>
  <c r="BL91"/>
  <c r="BR91" s="1"/>
  <c r="ED121"/>
  <c r="BL153"/>
  <c r="BR153" s="1"/>
  <c r="ED299"/>
  <c r="U299" s="1"/>
  <c r="CZ283"/>
  <c r="ED53"/>
  <c r="ED180"/>
  <c r="BL254"/>
  <c r="ED133"/>
  <c r="ED91"/>
  <c r="ED351"/>
  <c r="ED172"/>
  <c r="CZ219"/>
  <c r="DF219" s="1"/>
  <c r="BL359"/>
  <c r="BR359" s="1"/>
  <c r="CF91"/>
  <c r="CM91" s="1"/>
  <c r="ED209"/>
  <c r="U209" s="1"/>
  <c r="ED65"/>
  <c r="BL121"/>
  <c r="BR121" s="1"/>
  <c r="CF359"/>
  <c r="CF219"/>
  <c r="CZ299"/>
  <c r="DF299" s="1"/>
  <c r="ED219"/>
  <c r="U219" s="1"/>
  <c r="CF303"/>
  <c r="CF247"/>
  <c r="ED153"/>
  <c r="CZ285"/>
  <c r="BL315"/>
  <c r="BR315" s="1"/>
  <c r="CZ165"/>
  <c r="CZ291"/>
  <c r="CF59"/>
  <c r="CM59" s="1"/>
  <c r="BL357"/>
  <c r="BR357" s="1"/>
  <c r="ED175"/>
  <c r="ED357"/>
  <c r="CZ153"/>
  <c r="DF153" s="1"/>
  <c r="CF351"/>
  <c r="CZ172"/>
  <c r="DF172" s="1"/>
  <c r="CM210"/>
  <c r="CF180"/>
  <c r="CF153"/>
  <c r="CZ141"/>
  <c r="DF141" s="1"/>
  <c r="CF172"/>
  <c r="CM172" s="1"/>
  <c r="CZ64"/>
  <c r="DF64" s="1"/>
  <c r="DQ18"/>
  <c r="Q14" i="45"/>
  <c r="R14" s="1"/>
  <c r="G389"/>
  <c r="G14"/>
  <c r="E389"/>
  <c r="E14"/>
  <c r="CL13" i="43"/>
  <c r="CL12"/>
  <c r="CL11"/>
  <c r="CL10"/>
  <c r="CL9"/>
  <c r="CL8"/>
  <c r="P389" i="45"/>
  <c r="P14"/>
  <c r="BP11" i="24"/>
  <c r="BQ17" i="43"/>
  <c r="B13" i="45"/>
  <c r="B12"/>
  <c r="BL361" i="43"/>
  <c r="BR361" s="1"/>
  <c r="BL291"/>
  <c r="BR291" s="1"/>
  <c r="ED266"/>
  <c r="U266" s="1"/>
  <c r="ED287"/>
  <c r="U287" s="1"/>
  <c r="BL351"/>
  <c r="BR351" s="1"/>
  <c r="BL363"/>
  <c r="BR363" s="1"/>
  <c r="ED285"/>
  <c r="U285" s="1"/>
  <c r="ED141"/>
  <c r="BL255"/>
  <c r="CF283"/>
  <c r="CF315"/>
  <c r="CF192"/>
  <c r="CM192" s="1"/>
  <c r="CF266"/>
  <c r="CM266" s="1"/>
  <c r="ED315"/>
  <c r="ED59"/>
  <c r="ED255"/>
  <c r="U255" s="1"/>
  <c r="CM230"/>
  <c r="CM179"/>
  <c r="ED192"/>
  <c r="CM79"/>
  <c r="CM381"/>
  <c r="BL192"/>
  <c r="BR192" s="1"/>
  <c r="ED254"/>
  <c r="U254" s="1"/>
  <c r="CF255"/>
  <c r="CM255" s="1"/>
  <c r="CZ44"/>
  <c r="DF44" s="1"/>
  <c r="BL141"/>
  <c r="BR141" s="1"/>
  <c r="CF64"/>
  <c r="CM64" s="1"/>
  <c r="ED64"/>
  <c r="CM58"/>
  <c r="CM304"/>
  <c r="CF363"/>
  <c r="BL283"/>
  <c r="BR283" s="1"/>
  <c r="CM360"/>
  <c r="CM350"/>
  <c r="BL377"/>
  <c r="BR377" s="1"/>
  <c r="BL266"/>
  <c r="BR266" s="1"/>
  <c r="ED377"/>
  <c r="CF225"/>
  <c r="CF285"/>
  <c r="BL59"/>
  <c r="BR59" s="1"/>
  <c r="ED291"/>
  <c r="U291" s="1"/>
  <c r="CF141"/>
  <c r="CM141" s="1"/>
  <c r="CM248"/>
  <c r="CM132"/>
  <c r="ED44"/>
  <c r="CM191"/>
  <c r="BL64"/>
  <c r="CM334"/>
  <c r="CF357"/>
  <c r="CZ361"/>
  <c r="DF361" s="1"/>
  <c r="CF291"/>
  <c r="CF287"/>
  <c r="CF44"/>
  <c r="CZ225"/>
  <c r="BL44"/>
  <c r="BR44" s="1"/>
  <c r="CM90"/>
  <c r="BL287"/>
  <c r="CM362"/>
  <c r="CM163"/>
  <c r="CZ377"/>
  <c r="DF377" s="1"/>
  <c r="ED361"/>
  <c r="CM343"/>
  <c r="CM182"/>
  <c r="CF361"/>
  <c r="ED225"/>
  <c r="U225" s="1"/>
  <c r="CF195"/>
  <c r="CM88"/>
  <c r="BL225"/>
  <c r="CM189"/>
  <c r="CF377"/>
  <c r="BL195"/>
  <c r="ED195"/>
  <c r="CZ195"/>
  <c r="CF199"/>
  <c r="BL199"/>
  <c r="ED199"/>
  <c r="U199" s="1"/>
  <c r="CZ199"/>
  <c r="DL32"/>
  <c r="DM32" s="1"/>
  <c r="DN32" s="1"/>
  <c r="CF123"/>
  <c r="CM123" s="1"/>
  <c r="CM98"/>
  <c r="CF167"/>
  <c r="CM167" s="1"/>
  <c r="CF140"/>
  <c r="CF271"/>
  <c r="CF276"/>
  <c r="CM276" s="1"/>
  <c r="CF207"/>
  <c r="CM207" s="1"/>
  <c r="CF145"/>
  <c r="CM145" s="1"/>
  <c r="CF273"/>
  <c r="DM23"/>
  <c r="DN23" s="1"/>
  <c r="DO23" s="1"/>
  <c r="AQ23" s="1"/>
  <c r="CM102"/>
  <c r="CF48"/>
  <c r="CM48" s="1"/>
  <c r="CF369"/>
  <c r="CF50"/>
  <c r="CF205"/>
  <c r="CF337"/>
  <c r="CF69"/>
  <c r="CF126"/>
  <c r="CM126" s="1"/>
  <c r="CF201"/>
  <c r="CM201" s="1"/>
  <c r="CF339"/>
  <c r="CF323"/>
  <c r="CF171"/>
  <c r="CM171" s="1"/>
  <c r="CF143"/>
  <c r="CM143" s="1"/>
  <c r="CF196"/>
  <c r="CF139"/>
  <c r="CM139" s="1"/>
  <c r="CF71"/>
  <c r="CF176"/>
  <c r="CM176" s="1"/>
  <c r="CF371"/>
  <c r="CF331"/>
  <c r="CF75"/>
  <c r="CM75" s="1"/>
  <c r="CF46"/>
  <c r="CM46" s="1"/>
  <c r="CF229"/>
  <c r="CM229" s="1"/>
  <c r="CF227"/>
  <c r="CF301"/>
  <c r="CF279"/>
  <c r="CM279" s="1"/>
  <c r="DF112"/>
  <c r="CM212"/>
  <c r="CM290"/>
  <c r="DF63"/>
  <c r="DJ375"/>
  <c r="BR375"/>
  <c r="DJ248"/>
  <c r="BR248"/>
  <c r="BL57"/>
  <c r="DJ106"/>
  <c r="BR106"/>
  <c r="CM162"/>
  <c r="CM45"/>
  <c r="CM51"/>
  <c r="DJ142"/>
  <c r="BR142"/>
  <c r="DF240"/>
  <c r="BL335"/>
  <c r="DF122"/>
  <c r="DJ312"/>
  <c r="BR312"/>
  <c r="DF230"/>
  <c r="DF296"/>
  <c r="DJ356"/>
  <c r="BR356"/>
  <c r="DJ155"/>
  <c r="BR155"/>
  <c r="DJ366"/>
  <c r="BR366"/>
  <c r="CZ279"/>
  <c r="ED279"/>
  <c r="U279" s="1"/>
  <c r="DJ260"/>
  <c r="BR260"/>
  <c r="DJ321"/>
  <c r="BR321"/>
  <c r="DJ228"/>
  <c r="BR228"/>
  <c r="DF163"/>
  <c r="DJ332"/>
  <c r="BR332"/>
  <c r="ED201"/>
  <c r="U201" s="1"/>
  <c r="CZ201"/>
  <c r="BL145"/>
  <c r="CZ307"/>
  <c r="ED307"/>
  <c r="U307" s="1"/>
  <c r="CZ202"/>
  <c r="ED202"/>
  <c r="U202" s="1"/>
  <c r="DF124"/>
  <c r="DF185"/>
  <c r="DJ84"/>
  <c r="BR84"/>
  <c r="DJ344"/>
  <c r="BR344"/>
  <c r="DF350"/>
  <c r="BL211"/>
  <c r="DF326"/>
  <c r="DF362"/>
  <c r="CZ263"/>
  <c r="ED263"/>
  <c r="U263" s="1"/>
  <c r="BL371"/>
  <c r="DJ51"/>
  <c r="BR51"/>
  <c r="CM96"/>
  <c r="CM110"/>
  <c r="CM250"/>
  <c r="CM330"/>
  <c r="CM168"/>
  <c r="CM329"/>
  <c r="CM264"/>
  <c r="CM342"/>
  <c r="CM54"/>
  <c r="CM224"/>
  <c r="CM218"/>
  <c r="CZ48"/>
  <c r="ED48"/>
  <c r="BL369"/>
  <c r="DF316"/>
  <c r="DJ272"/>
  <c r="BR272"/>
  <c r="BL61"/>
  <c r="DJ56"/>
  <c r="BR56"/>
  <c r="DJ152"/>
  <c r="BR152"/>
  <c r="DJ322"/>
  <c r="BR322"/>
  <c r="DF381"/>
  <c r="DF155"/>
  <c r="CZ143"/>
  <c r="ED143"/>
  <c r="DF52"/>
  <c r="CF335"/>
  <c r="CM356"/>
  <c r="CM122"/>
  <c r="CM246"/>
  <c r="CM368"/>
  <c r="DJ96"/>
  <c r="BR96"/>
  <c r="CZ335"/>
  <c r="ED335"/>
  <c r="BL139"/>
  <c r="DF106"/>
  <c r="DF222"/>
  <c r="BL341"/>
  <c r="DF250"/>
  <c r="DF94"/>
  <c r="DF348"/>
  <c r="BL279"/>
  <c r="CZ167"/>
  <c r="ED167"/>
  <c r="DF144"/>
  <c r="DF168"/>
  <c r="DF147"/>
  <c r="DJ62"/>
  <c r="BR62"/>
  <c r="DJ86"/>
  <c r="BR86"/>
  <c r="DJ306"/>
  <c r="BR306"/>
  <c r="DF135"/>
  <c r="BL307"/>
  <c r="CZ271"/>
  <c r="ED271"/>
  <c r="U271" s="1"/>
  <c r="DJ210"/>
  <c r="BR210"/>
  <c r="DJ89"/>
  <c r="BR89"/>
  <c r="DJ232"/>
  <c r="BR232"/>
  <c r="DJ67"/>
  <c r="BR67"/>
  <c r="DJ177"/>
  <c r="BR177"/>
  <c r="BL263"/>
  <c r="DF43"/>
  <c r="DJ187"/>
  <c r="CM240"/>
  <c r="CM312"/>
  <c r="CM313"/>
  <c r="CM286"/>
  <c r="CM204"/>
  <c r="CM379"/>
  <c r="CM156"/>
  <c r="CM84"/>
  <c r="CM317"/>
  <c r="CM78"/>
  <c r="BL143"/>
  <c r="DJ120"/>
  <c r="BR120"/>
  <c r="DF298"/>
  <c r="DF366"/>
  <c r="CF341"/>
  <c r="CF57"/>
  <c r="CF202"/>
  <c r="CF66"/>
  <c r="CF211"/>
  <c r="CF263"/>
  <c r="CM364"/>
  <c r="CM236"/>
  <c r="CM232"/>
  <c r="DJ88"/>
  <c r="BR88"/>
  <c r="DJ166"/>
  <c r="BR166"/>
  <c r="CZ57"/>
  <c r="ED57"/>
  <c r="ED139"/>
  <c r="CZ139"/>
  <c r="DJ186"/>
  <c r="BR186"/>
  <c r="DF272"/>
  <c r="ED341"/>
  <c r="CZ341"/>
  <c r="DJ160"/>
  <c r="BR160"/>
  <c r="DJ87"/>
  <c r="BR87"/>
  <c r="DJ179"/>
  <c r="BR179"/>
  <c r="BL167"/>
  <c r="DJ114"/>
  <c r="BR114"/>
  <c r="DF330"/>
  <c r="DJ144"/>
  <c r="BR144"/>
  <c r="DJ168"/>
  <c r="BR168"/>
  <c r="DJ208"/>
  <c r="BR208"/>
  <c r="BL202"/>
  <c r="DF150"/>
  <c r="BL71"/>
  <c r="BL271"/>
  <c r="CZ176"/>
  <c r="ED176"/>
  <c r="DJ116"/>
  <c r="BR116"/>
  <c r="DF320"/>
  <c r="DJ329"/>
  <c r="BR329"/>
  <c r="BL66"/>
  <c r="ED66"/>
  <c r="CZ66"/>
  <c r="DJ100"/>
  <c r="BR100"/>
  <c r="DF127"/>
  <c r="DF178"/>
  <c r="DJ43"/>
  <c r="BR43"/>
  <c r="DF78"/>
  <c r="DF224"/>
  <c r="DJ241"/>
  <c r="BR241"/>
  <c r="CM142"/>
  <c r="CM294"/>
  <c r="CM70"/>
  <c r="CM366"/>
  <c r="CM86"/>
  <c r="CM89"/>
  <c r="CM125"/>
  <c r="CM374"/>
  <c r="CM249"/>
  <c r="CF307"/>
  <c r="DF56"/>
  <c r="DF108"/>
  <c r="DF322"/>
  <c r="BR381"/>
  <c r="DF216"/>
  <c r="DJ253"/>
  <c r="BR253"/>
  <c r="BL201"/>
  <c r="DF128"/>
  <c r="DJ334"/>
  <c r="BR334"/>
  <c r="CZ145"/>
  <c r="ED145"/>
  <c r="CZ71"/>
  <c r="ED71"/>
  <c r="BL176"/>
  <c r="DJ185"/>
  <c r="BR185"/>
  <c r="DJ292"/>
  <c r="BR292"/>
  <c r="DJ146"/>
  <c r="BR146"/>
  <c r="DF290"/>
  <c r="DJ261"/>
  <c r="BR261"/>
  <c r="DJ125"/>
  <c r="BR125"/>
  <c r="CZ211"/>
  <c r="ED211"/>
  <c r="U211" s="1"/>
  <c r="DJ326"/>
  <c r="BR326"/>
  <c r="DJ249"/>
  <c r="BR249"/>
  <c r="DF310"/>
  <c r="DF352"/>
  <c r="DF280"/>
  <c r="DF368"/>
  <c r="DF304"/>
  <c r="V379" i="45"/>
  <c r="CZ371" i="43"/>
  <c r="ED371"/>
  <c r="CM63"/>
  <c r="CM316"/>
  <c r="CM159"/>
  <c r="CM242"/>
  <c r="CM376"/>
  <c r="CM358"/>
  <c r="CM127"/>
  <c r="CM118"/>
  <c r="CM206"/>
  <c r="CM173"/>
  <c r="BL295"/>
  <c r="ED369"/>
  <c r="CZ369"/>
  <c r="BL323"/>
  <c r="DJ70"/>
  <c r="BR70"/>
  <c r="DJ354"/>
  <c r="BR354"/>
  <c r="DF370"/>
  <c r="DF87"/>
  <c r="DJ183"/>
  <c r="BR183"/>
  <c r="CF61"/>
  <c r="DF262"/>
  <c r="DF338"/>
  <c r="DF253"/>
  <c r="DJ330"/>
  <c r="BR330"/>
  <c r="DF212"/>
  <c r="DF325"/>
  <c r="CZ50"/>
  <c r="ED50"/>
  <c r="DJ72"/>
  <c r="BR72"/>
  <c r="DJ245"/>
  <c r="BR245"/>
  <c r="DF289"/>
  <c r="DF208"/>
  <c r="DJ355"/>
  <c r="BR355"/>
  <c r="ED171"/>
  <c r="CZ171"/>
  <c r="DJ124"/>
  <c r="BR124"/>
  <c r="ED123"/>
  <c r="CZ123"/>
  <c r="DJ320"/>
  <c r="BR320"/>
  <c r="DF300"/>
  <c r="CZ113"/>
  <c r="ED113"/>
  <c r="ED239"/>
  <c r="U239" s="1"/>
  <c r="CZ239"/>
  <c r="DF54"/>
  <c r="DJ352"/>
  <c r="BR352"/>
  <c r="DJ368"/>
  <c r="BR368"/>
  <c r="DF118"/>
  <c r="DF148"/>
  <c r="CM160"/>
  <c r="CM216"/>
  <c r="CM144"/>
  <c r="BL138"/>
  <c r="DJ294"/>
  <c r="BR294"/>
  <c r="DF312"/>
  <c r="DJ110"/>
  <c r="BR110"/>
  <c r="BL75"/>
  <c r="DF70"/>
  <c r="DF314"/>
  <c r="DF305"/>
  <c r="CZ267"/>
  <c r="ED267"/>
  <c r="U267" s="1"/>
  <c r="DF49"/>
  <c r="DJ348"/>
  <c r="BR348"/>
  <c r="DF60"/>
  <c r="DJ204"/>
  <c r="BR204"/>
  <c r="DF332"/>
  <c r="DJ74"/>
  <c r="BR74"/>
  <c r="DJ246"/>
  <c r="BR246"/>
  <c r="DF238"/>
  <c r="BL115"/>
  <c r="CZ157"/>
  <c r="ED157"/>
  <c r="DJ290"/>
  <c r="BR290"/>
  <c r="DJ284"/>
  <c r="BR284"/>
  <c r="BL337"/>
  <c r="DF90"/>
  <c r="DJ317"/>
  <c r="BR317"/>
  <c r="CZ207"/>
  <c r="ED207"/>
  <c r="U207" s="1"/>
  <c r="DJ130"/>
  <c r="BR130"/>
  <c r="DF177"/>
  <c r="DF346"/>
  <c r="CZ151"/>
  <c r="ED151"/>
  <c r="CZ184"/>
  <c r="ED184"/>
  <c r="CM203"/>
  <c r="CM222"/>
  <c r="CM174"/>
  <c r="CM152"/>
  <c r="CM120"/>
  <c r="CM262"/>
  <c r="CM325"/>
  <c r="CM244"/>
  <c r="CM146"/>
  <c r="CM284"/>
  <c r="CM67"/>
  <c r="CM326"/>
  <c r="CM193"/>
  <c r="DF166"/>
  <c r="BL309"/>
  <c r="DJ234"/>
  <c r="BR234"/>
  <c r="DF234"/>
  <c r="DJ370"/>
  <c r="BR370"/>
  <c r="DJ94"/>
  <c r="BR94"/>
  <c r="DF257"/>
  <c r="DF191"/>
  <c r="DF252"/>
  <c r="DJ265"/>
  <c r="BR265"/>
  <c r="DF313"/>
  <c r="DJ190"/>
  <c r="DF321"/>
  <c r="DF198"/>
  <c r="DF306"/>
  <c r="DJ47"/>
  <c r="BR47"/>
  <c r="DJ150"/>
  <c r="BR150"/>
  <c r="DF308"/>
  <c r="DF45"/>
  <c r="DF329"/>
  <c r="CZ301"/>
  <c r="ED301"/>
  <c r="U301" s="1"/>
  <c r="DJ54"/>
  <c r="BR54"/>
  <c r="DF130"/>
  <c r="DF189"/>
  <c r="DJ218"/>
  <c r="BR218"/>
  <c r="DF173"/>
  <c r="CM256"/>
  <c r="CM275"/>
  <c r="DJ118"/>
  <c r="BR118"/>
  <c r="DJ193"/>
  <c r="BL217"/>
  <c r="BR217" s="1"/>
  <c r="BL200"/>
  <c r="DJ189"/>
  <c r="DJ268"/>
  <c r="BR268"/>
  <c r="DJ256"/>
  <c r="BR256"/>
  <c r="DJ269"/>
  <c r="BR269"/>
  <c r="DF136"/>
  <c r="DJ212"/>
  <c r="BR212"/>
  <c r="BL77"/>
  <c r="DF164"/>
  <c r="DJ135"/>
  <c r="BR135"/>
  <c r="CZ347"/>
  <c r="ED347"/>
  <c r="DJ238"/>
  <c r="BR238"/>
  <c r="DF244"/>
  <c r="DF102"/>
  <c r="DF292"/>
  <c r="DJ45"/>
  <c r="BR45"/>
  <c r="DJ68"/>
  <c r="BR68"/>
  <c r="BL113"/>
  <c r="ED237"/>
  <c r="U237" s="1"/>
  <c r="CZ237"/>
  <c r="CM239"/>
  <c r="DJ358"/>
  <c r="BR358"/>
  <c r="DJ280"/>
  <c r="BR280"/>
  <c r="DF302"/>
  <c r="DJ380"/>
  <c r="BR380"/>
  <c r="DF93"/>
  <c r="DF154"/>
  <c r="CM324"/>
  <c r="CM228"/>
  <c r="CM300"/>
  <c r="DJ240"/>
  <c r="BR240"/>
  <c r="DJ316"/>
  <c r="BR316"/>
  <c r="CZ276"/>
  <c r="ED276"/>
  <c r="U276" s="1"/>
  <c r="DF183"/>
  <c r="DF265"/>
  <c r="DJ282"/>
  <c r="BR282"/>
  <c r="DF220"/>
  <c r="CZ81"/>
  <c r="ED81"/>
  <c r="DF324"/>
  <c r="BL233"/>
  <c r="DF114"/>
  <c r="DF328"/>
  <c r="CZ333"/>
  <c r="ED333"/>
  <c r="DJ128"/>
  <c r="BR128"/>
  <c r="DJ379"/>
  <c r="BR379"/>
  <c r="DF131"/>
  <c r="BL169"/>
  <c r="BL223"/>
  <c r="DF104"/>
  <c r="BL207"/>
  <c r="BL151"/>
  <c r="DF187"/>
  <c r="DJ302"/>
  <c r="BR302"/>
  <c r="DJ304"/>
  <c r="BR304"/>
  <c r="DJ82"/>
  <c r="BR82"/>
  <c r="CM186"/>
  <c r="CM155"/>
  <c r="CM355"/>
  <c r="CM238"/>
  <c r="CM292"/>
  <c r="CM104"/>
  <c r="CM344"/>
  <c r="CM158"/>
  <c r="CM280"/>
  <c r="BL229"/>
  <c r="DF375"/>
  <c r="DJ305"/>
  <c r="BR305"/>
  <c r="DJ257"/>
  <c r="BR257"/>
  <c r="DJ108"/>
  <c r="BR108"/>
  <c r="BL297"/>
  <c r="DJ52"/>
  <c r="BR52"/>
  <c r="ED107"/>
  <c r="CZ107"/>
  <c r="BL107"/>
  <c r="DJ76"/>
  <c r="BR76"/>
  <c r="BL69"/>
  <c r="DF72"/>
  <c r="DJ80"/>
  <c r="BR80"/>
  <c r="DF80"/>
  <c r="DF204"/>
  <c r="DF245"/>
  <c r="DJ147"/>
  <c r="BR147"/>
  <c r="DF86"/>
  <c r="DF334"/>
  <c r="DF372"/>
  <c r="DJ164"/>
  <c r="BR164"/>
  <c r="DJ102"/>
  <c r="BR102"/>
  <c r="DF344"/>
  <c r="DJ90"/>
  <c r="BR90"/>
  <c r="DJ374"/>
  <c r="BR374"/>
  <c r="DF374"/>
  <c r="DF100"/>
  <c r="DF58"/>
  <c r="DF132"/>
  <c r="DF51"/>
  <c r="DF182"/>
  <c r="CM214"/>
  <c r="DF268"/>
  <c r="CZ217"/>
  <c r="ED217"/>
  <c r="U217" s="1"/>
  <c r="DJ154"/>
  <c r="BR154"/>
  <c r="DF214"/>
  <c r="BL273"/>
  <c r="DJ173"/>
  <c r="BR173"/>
  <c r="DF256"/>
  <c r="CM148"/>
  <c r="BL48"/>
  <c r="DF92"/>
  <c r="DF294"/>
  <c r="CZ323"/>
  <c r="ED323"/>
  <c r="DJ296"/>
  <c r="BR296"/>
  <c r="DJ49"/>
  <c r="BR49"/>
  <c r="CZ331"/>
  <c r="ED331"/>
  <c r="DJ378"/>
  <c r="BR378"/>
  <c r="DF376"/>
  <c r="CZ205"/>
  <c r="ED205"/>
  <c r="U205" s="1"/>
  <c r="DJ236"/>
  <c r="BR236"/>
  <c r="CZ77"/>
  <c r="ED77"/>
  <c r="DJ372"/>
  <c r="BR372"/>
  <c r="BL347"/>
  <c r="DF288"/>
  <c r="BL123"/>
  <c r="DF68"/>
  <c r="DF156"/>
  <c r="BL237"/>
  <c r="DJ350"/>
  <c r="BR350"/>
  <c r="DJ346"/>
  <c r="BR346"/>
  <c r="DJ78"/>
  <c r="BR78"/>
  <c r="DJ224"/>
  <c r="BR224"/>
  <c r="CM322"/>
  <c r="CM52"/>
  <c r="DF203"/>
  <c r="CZ138"/>
  <c r="ED138"/>
  <c r="BL276"/>
  <c r="DJ170"/>
  <c r="BR170"/>
  <c r="BL140"/>
  <c r="DJ250"/>
  <c r="BR250"/>
  <c r="DJ159"/>
  <c r="BR159"/>
  <c r="DF356"/>
  <c r="BL267"/>
  <c r="DF364"/>
  <c r="DJ364"/>
  <c r="BR364"/>
  <c r="DJ191"/>
  <c r="DJ298"/>
  <c r="BR298"/>
  <c r="ED196"/>
  <c r="U196" s="1"/>
  <c r="CZ196"/>
  <c r="DF260"/>
  <c r="DF286"/>
  <c r="DJ338"/>
  <c r="BR338"/>
  <c r="DF228"/>
  <c r="DJ325"/>
  <c r="BR325"/>
  <c r="DJ105"/>
  <c r="BR105"/>
  <c r="DF236"/>
  <c r="DF355"/>
  <c r="BL333"/>
  <c r="DJ226"/>
  <c r="BR226"/>
  <c r="DJ288"/>
  <c r="BR288"/>
  <c r="ED169"/>
  <c r="CZ169"/>
  <c r="CZ223"/>
  <c r="ED223"/>
  <c r="U223" s="1"/>
  <c r="DF84"/>
  <c r="DF232"/>
  <c r="DF261"/>
  <c r="DF125"/>
  <c r="DJ127"/>
  <c r="BR127"/>
  <c r="DJ58"/>
  <c r="BR58"/>
  <c r="DJ278"/>
  <c r="BR278"/>
  <c r="DF83"/>
  <c r="CM170"/>
  <c r="CM296"/>
  <c r="CM87"/>
  <c r="CM60"/>
  <c r="CM76"/>
  <c r="CM100"/>
  <c r="CM43"/>
  <c r="CM83"/>
  <c r="CM154"/>
  <c r="CZ46"/>
  <c r="ED46"/>
  <c r="CZ229"/>
  <c r="ED229"/>
  <c r="U229" s="1"/>
  <c r="BL227"/>
  <c r="DJ63"/>
  <c r="BR63"/>
  <c r="DF142"/>
  <c r="DJ92"/>
  <c r="BR92"/>
  <c r="ED339"/>
  <c r="CZ339"/>
  <c r="DJ162"/>
  <c r="BR162"/>
  <c r="DJ314"/>
  <c r="BR314"/>
  <c r="DF354"/>
  <c r="DF159"/>
  <c r="DF242"/>
  <c r="CZ297"/>
  <c r="ED297"/>
  <c r="U297" s="1"/>
  <c r="DF120"/>
  <c r="DJ216"/>
  <c r="BR216"/>
  <c r="DJ60"/>
  <c r="BR60"/>
  <c r="DJ286"/>
  <c r="BR286"/>
  <c r="DJ163"/>
  <c r="BR163"/>
  <c r="CZ69"/>
  <c r="ED69"/>
  <c r="DF74"/>
  <c r="DF226"/>
  <c r="DJ300"/>
  <c r="BR300"/>
  <c r="DJ156"/>
  <c r="BR156"/>
  <c r="DF89"/>
  <c r="DJ342"/>
  <c r="BR342"/>
  <c r="DF342"/>
  <c r="DF158"/>
  <c r="DF278"/>
  <c r="CZ126"/>
  <c r="ED126"/>
  <c r="DJ275"/>
  <c r="BR275"/>
  <c r="DF343"/>
  <c r="DJ148"/>
  <c r="BR148"/>
  <c r="DF269"/>
  <c r="DJ181"/>
  <c r="BR181"/>
  <c r="ED200"/>
  <c r="U200" s="1"/>
  <c r="CZ200"/>
  <c r="DJ206"/>
  <c r="BR206"/>
  <c r="DJ93"/>
  <c r="BR93"/>
  <c r="DJ182"/>
  <c r="BR182"/>
  <c r="CZ273"/>
  <c r="ED273"/>
  <c r="U273" s="1"/>
  <c r="DJ343"/>
  <c r="BR343"/>
  <c r="CF295"/>
  <c r="CI295" s="1"/>
  <c r="CF237"/>
  <c r="CF138"/>
  <c r="CF267"/>
  <c r="CF81"/>
  <c r="CF233"/>
  <c r="CF115"/>
  <c r="CF157"/>
  <c r="CF184"/>
  <c r="CF309"/>
  <c r="CF107"/>
  <c r="CF200"/>
  <c r="CM380"/>
  <c r="CZ295"/>
  <c r="ED295"/>
  <c r="U295" s="1"/>
  <c r="DF88"/>
  <c r="DJ203"/>
  <c r="BR203"/>
  <c r="DF248"/>
  <c r="DF170"/>
  <c r="DJ222"/>
  <c r="BR222"/>
  <c r="DJ230"/>
  <c r="BR230"/>
  <c r="ED61"/>
  <c r="CZ61"/>
  <c r="DF162"/>
  <c r="DF160"/>
  <c r="DF174"/>
  <c r="DF282"/>
  <c r="DF152"/>
  <c r="DJ220"/>
  <c r="BR220"/>
  <c r="BL331"/>
  <c r="DJ324"/>
  <c r="BR324"/>
  <c r="DJ79"/>
  <c r="BR79"/>
  <c r="DJ55"/>
  <c r="BR55"/>
  <c r="DJ198"/>
  <c r="BR198"/>
  <c r="DF76"/>
  <c r="BL50"/>
  <c r="BL205"/>
  <c r="BL171"/>
  <c r="DJ308"/>
  <c r="BR308"/>
  <c r="DJ104"/>
  <c r="BR104"/>
  <c r="DF264"/>
  <c r="BL239"/>
  <c r="DF318"/>
  <c r="DF67"/>
  <c r="DJ178"/>
  <c r="BR178"/>
  <c r="DJ362"/>
  <c r="BR362"/>
  <c r="DF82"/>
  <c r="DJ83"/>
  <c r="BR83"/>
  <c r="DF275"/>
  <c r="DF98"/>
  <c r="CM94"/>
  <c r="CM308"/>
  <c r="DJ112"/>
  <c r="BR112"/>
  <c r="DF186"/>
  <c r="CZ140"/>
  <c r="ED140"/>
  <c r="ED75"/>
  <c r="CZ75"/>
  <c r="DJ174"/>
  <c r="BR174"/>
  <c r="DJ313"/>
  <c r="BR313"/>
  <c r="BL81"/>
  <c r="DF190"/>
  <c r="DF378"/>
  <c r="DF79"/>
  <c r="CZ233"/>
  <c r="ED233"/>
  <c r="U233" s="1"/>
  <c r="BL196"/>
  <c r="BR196" s="1"/>
  <c r="DF55"/>
  <c r="DJ262"/>
  <c r="BR262"/>
  <c r="DJ136"/>
  <c r="BR136"/>
  <c r="DJ328"/>
  <c r="BR328"/>
  <c r="DJ376"/>
  <c r="BR376"/>
  <c r="DJ289"/>
  <c r="BR289"/>
  <c r="DF47"/>
  <c r="DF197"/>
  <c r="DJ131"/>
  <c r="BR131"/>
  <c r="CZ115"/>
  <c r="ED115"/>
  <c r="DF116"/>
  <c r="BL157"/>
  <c r="DF146"/>
  <c r="ED337"/>
  <c r="CZ337"/>
  <c r="DJ158"/>
  <c r="BR158"/>
  <c r="BL184"/>
  <c r="DF241"/>
  <c r="CM92"/>
  <c r="CM272"/>
  <c r="CM56"/>
  <c r="CM220"/>
  <c r="CM378"/>
  <c r="CM136"/>
  <c r="CM372"/>
  <c r="CM68"/>
  <c r="CM261"/>
  <c r="CM177"/>
  <c r="CM346"/>
  <c r="BL46"/>
  <c r="CZ227"/>
  <c r="ED227"/>
  <c r="U227" s="1"/>
  <c r="DF96"/>
  <c r="DJ122"/>
  <c r="BR122"/>
  <c r="BL339"/>
  <c r="DF110"/>
  <c r="CZ309"/>
  <c r="ED309"/>
  <c r="U309" s="1"/>
  <c r="DF179"/>
  <c r="DJ252"/>
  <c r="BR252"/>
  <c r="DJ242"/>
  <c r="BR242"/>
  <c r="DF105"/>
  <c r="DF62"/>
  <c r="DF246"/>
  <c r="DF379"/>
  <c r="DJ197"/>
  <c r="BR197"/>
  <c r="DJ244"/>
  <c r="BR244"/>
  <c r="DF210"/>
  <c r="BL301"/>
  <c r="DF284"/>
  <c r="DJ264"/>
  <c r="BR264"/>
  <c r="DJ318"/>
  <c r="BR318"/>
  <c r="DF358"/>
  <c r="DF317"/>
  <c r="DF249"/>
  <c r="DJ310"/>
  <c r="BR310"/>
  <c r="DJ132"/>
  <c r="BR132"/>
  <c r="DF380"/>
  <c r="BL126"/>
  <c r="DF193"/>
  <c r="DJ214"/>
  <c r="BR214"/>
  <c r="CM269"/>
  <c r="DF181"/>
  <c r="DJ98"/>
  <c r="BR98"/>
  <c r="DF206"/>
  <c r="DF218"/>
  <c r="CF77"/>
  <c r="CF347"/>
  <c r="CF113"/>
  <c r="CF333"/>
  <c r="CF169"/>
  <c r="CF223"/>
  <c r="CF151"/>
  <c r="CF297"/>
  <c r="CI297" s="1"/>
  <c r="CF217"/>
  <c r="DO26"/>
  <c r="F389" i="45"/>
  <c r="F14"/>
  <c r="AG389"/>
  <c r="DM39" i="43"/>
  <c r="DM35"/>
  <c r="DN35" s="1"/>
  <c r="DL25"/>
  <c r="DM25" s="1"/>
  <c r="DN25" s="1"/>
  <c r="BP17" i="24"/>
  <c r="BP16"/>
  <c r="CL17" i="43"/>
  <c r="DM30"/>
  <c r="CL16"/>
  <c r="BP15" i="24"/>
  <c r="DH41" i="43"/>
  <c r="BQ15"/>
  <c r="DH34"/>
  <c r="DH28"/>
  <c r="DN28"/>
  <c r="DO28" s="1"/>
  <c r="AQ28" s="1"/>
  <c r="DN41"/>
  <c r="DO41" s="1"/>
  <c r="AQ41" s="1"/>
  <c r="DN36"/>
  <c r="DO36" s="1"/>
  <c r="AQ36" s="1"/>
  <c r="DN31"/>
  <c r="DO31" s="1"/>
  <c r="AQ31" s="1"/>
  <c r="DN33"/>
  <c r="DO33" s="1"/>
  <c r="AQ33" s="1"/>
  <c r="DM19"/>
  <c r="DN40"/>
  <c r="DO40" s="1"/>
  <c r="AQ40" s="1"/>
  <c r="DL42"/>
  <c r="DM42" s="1"/>
  <c r="DN22"/>
  <c r="DO22" s="1"/>
  <c r="AQ22" s="1"/>
  <c r="DN34"/>
  <c r="DO34" s="1"/>
  <c r="AQ34" s="1"/>
  <c r="DN24"/>
  <c r="DO24" s="1"/>
  <c r="AQ24" s="1"/>
  <c r="DN27"/>
  <c r="DO27" s="1"/>
  <c r="AQ27" s="1"/>
  <c r="DN18"/>
  <c r="DO18" s="1"/>
  <c r="AQ18" s="1"/>
  <c r="DN38"/>
  <c r="DO38" s="1"/>
  <c r="AQ38" s="1"/>
  <c r="DN29"/>
  <c r="DO29" s="1"/>
  <c r="AQ29" s="1"/>
  <c r="DL37"/>
  <c r="DM37" s="1"/>
  <c r="BP13" i="24"/>
  <c r="BP14"/>
  <c r="CL14" i="43"/>
  <c r="DE11"/>
  <c r="AM11"/>
  <c r="AM10"/>
  <c r="DQ9"/>
  <c r="DQ13"/>
  <c r="DQ11"/>
  <c r="P9"/>
  <c r="AM17"/>
  <c r="P8"/>
  <c r="AM9"/>
  <c r="AM15"/>
  <c r="P10"/>
  <c r="AM12"/>
  <c r="P13"/>
  <c r="P16"/>
  <c r="DE12"/>
  <c r="P11"/>
  <c r="DE10"/>
  <c r="DQ15"/>
  <c r="P15"/>
  <c r="AM13"/>
  <c r="DQ17"/>
  <c r="Q389" i="45"/>
  <c r="R389" s="1"/>
  <c r="S389" s="1"/>
  <c r="AM16" i="43"/>
  <c r="DE15"/>
  <c r="CL15"/>
  <c r="DE14"/>
  <c r="BQ13"/>
  <c r="P12"/>
  <c r="AM14"/>
  <c r="DE13"/>
  <c r="P17"/>
  <c r="DE17"/>
  <c r="DE16"/>
  <c r="P14"/>
  <c r="DE9"/>
  <c r="DE8"/>
  <c r="BX12"/>
  <c r="CE12" s="1"/>
  <c r="BX9"/>
  <c r="CE9" s="1"/>
  <c r="BX17"/>
  <c r="CE17" s="1"/>
  <c r="BX13"/>
  <c r="CE13" s="1"/>
  <c r="BX14"/>
  <c r="CE14" s="1"/>
  <c r="BX16"/>
  <c r="CE16" s="1"/>
  <c r="CD12"/>
  <c r="AS12" s="1"/>
  <c r="BX10"/>
  <c r="CE10" s="1"/>
  <c r="BX8"/>
  <c r="CE8" s="1"/>
  <c r="AP14"/>
  <c r="AR14"/>
  <c r="BX15"/>
  <c r="CE15" s="1"/>
  <c r="CD10"/>
  <c r="AS10" s="1"/>
  <c r="AR16"/>
  <c r="AR8"/>
  <c r="BX11"/>
  <c r="CE11" s="1"/>
  <c r="CY17"/>
  <c r="CY16"/>
  <c r="BK14"/>
  <c r="BK13"/>
  <c r="CY9"/>
  <c r="CY8"/>
  <c r="BK16"/>
  <c r="BK15"/>
  <c r="CY11"/>
  <c r="CY10"/>
  <c r="BK8"/>
  <c r="BK17"/>
  <c r="CY13"/>
  <c r="CY12"/>
  <c r="BK10"/>
  <c r="BK9"/>
  <c r="CY15"/>
  <c r="CY14"/>
  <c r="BK12"/>
  <c r="BK11"/>
  <c r="AP17"/>
  <c r="AP15"/>
  <c r="AP13"/>
  <c r="AP11"/>
  <c r="AP9"/>
  <c r="DQ16"/>
  <c r="DQ14"/>
  <c r="DQ12"/>
  <c r="DQ10"/>
  <c r="DQ8"/>
  <c r="AR17"/>
  <c r="AR15"/>
  <c r="AR13"/>
  <c r="AR11"/>
  <c r="AR9"/>
  <c r="CM293" l="1"/>
  <c r="CI293"/>
  <c r="CM353"/>
  <c r="CM365"/>
  <c r="CM301"/>
  <c r="CI301"/>
  <c r="CM327"/>
  <c r="CM345"/>
  <c r="CM311"/>
  <c r="CM373"/>
  <c r="CM336"/>
  <c r="CM331"/>
  <c r="CM323"/>
  <c r="CM369"/>
  <c r="CM363"/>
  <c r="CM351"/>
  <c r="CM303"/>
  <c r="CI303"/>
  <c r="CM359"/>
  <c r="CM340"/>
  <c r="CM337"/>
  <c r="CM299"/>
  <c r="CI299"/>
  <c r="CM319"/>
  <c r="CM349"/>
  <c r="CM283"/>
  <c r="CM287"/>
  <c r="CM153"/>
  <c r="DJ360"/>
  <c r="DJ381"/>
  <c r="DJ373"/>
  <c r="BR373"/>
  <c r="DJ365"/>
  <c r="DJ336"/>
  <c r="BR336"/>
  <c r="DJ367"/>
  <c r="CM367"/>
  <c r="U311"/>
  <c r="CC26"/>
  <c r="AQ26"/>
  <c r="B389" i="45"/>
  <c r="B14"/>
  <c r="AH389"/>
  <c r="CM213" i="43"/>
  <c r="CM215"/>
  <c r="ED97"/>
  <c r="BL97"/>
  <c r="BR97" s="1"/>
  <c r="CF97"/>
  <c r="CM97" s="1"/>
  <c r="CZ111"/>
  <c r="DF111" s="1"/>
  <c r="ED111"/>
  <c r="BL111"/>
  <c r="BR111" s="1"/>
  <c r="CF85"/>
  <c r="CM85" s="1"/>
  <c r="CZ85"/>
  <c r="DF85" s="1"/>
  <c r="ED85"/>
  <c r="BL85"/>
  <c r="BR85" s="1"/>
  <c r="CF111"/>
  <c r="CM111" s="1"/>
  <c r="BR215"/>
  <c r="DJ349"/>
  <c r="DJ353"/>
  <c r="DF349"/>
  <c r="DJ311"/>
  <c r="DJ340"/>
  <c r="DJ293"/>
  <c r="DJ319"/>
  <c r="BR235"/>
  <c r="BR270"/>
  <c r="DJ270"/>
  <c r="CM270"/>
  <c r="DJ281"/>
  <c r="DJ274"/>
  <c r="CM258"/>
  <c r="DJ258"/>
  <c r="CM235"/>
  <c r="DJ221"/>
  <c r="DJ259"/>
  <c r="DJ251"/>
  <c r="BR213"/>
  <c r="DJ213"/>
  <c r="DJ235"/>
  <c r="CM231"/>
  <c r="DJ215"/>
  <c r="DJ231"/>
  <c r="DF277"/>
  <c r="DJ161"/>
  <c r="DJ149"/>
  <c r="BR180"/>
  <c r="DJ103"/>
  <c r="DF254"/>
  <c r="DJ277"/>
  <c r="DJ188"/>
  <c r="CM219"/>
  <c r="DJ73"/>
  <c r="DJ134"/>
  <c r="DJ119"/>
  <c r="DJ254"/>
  <c r="DJ345"/>
  <c r="DF247"/>
  <c r="BR209"/>
  <c r="DJ247"/>
  <c r="DF283"/>
  <c r="DJ351"/>
  <c r="DJ101"/>
  <c r="DJ95"/>
  <c r="DJ327"/>
  <c r="DJ65"/>
  <c r="BR345"/>
  <c r="DJ99"/>
  <c r="DJ117"/>
  <c r="DJ53"/>
  <c r="CM53"/>
  <c r="DJ109"/>
  <c r="DJ129"/>
  <c r="DJ303"/>
  <c r="DJ219"/>
  <c r="DJ359"/>
  <c r="BR254"/>
  <c r="DJ209"/>
  <c r="BR299"/>
  <c r="DF225"/>
  <c r="DJ133"/>
  <c r="AH14" i="45"/>
  <c r="BP12" i="24"/>
  <c r="DF285" i="43"/>
  <c r="DJ121"/>
  <c r="DJ175"/>
  <c r="DJ285"/>
  <c r="DJ243"/>
  <c r="DJ137"/>
  <c r="DJ291"/>
  <c r="CM243"/>
  <c r="DJ59"/>
  <c r="DJ299"/>
  <c r="DJ283"/>
  <c r="CM247"/>
  <c r="DJ315"/>
  <c r="DJ91"/>
  <c r="BR255"/>
  <c r="DF291"/>
  <c r="DJ377"/>
  <c r="DJ64"/>
  <c r="DJ165"/>
  <c r="DJ141"/>
  <c r="DJ357"/>
  <c r="CM227"/>
  <c r="DF165"/>
  <c r="CM225"/>
  <c r="CM285"/>
  <c r="DJ172"/>
  <c r="DJ192"/>
  <c r="BR225"/>
  <c r="DJ361"/>
  <c r="CM273"/>
  <c r="DJ363"/>
  <c r="DJ255"/>
  <c r="CM205"/>
  <c r="BR64"/>
  <c r="DJ153"/>
  <c r="DJ180"/>
  <c r="CM180"/>
  <c r="CM315"/>
  <c r="S15" i="45"/>
  <c r="S14"/>
  <c r="DJ225" i="43"/>
  <c r="CM69"/>
  <c r="CM339"/>
  <c r="DJ266"/>
  <c r="CM140"/>
  <c r="CM44"/>
  <c r="DJ287"/>
  <c r="DO32"/>
  <c r="BR287"/>
  <c r="CM271"/>
  <c r="DJ44"/>
  <c r="CM371"/>
  <c r="CM71"/>
  <c r="CM357"/>
  <c r="CM291"/>
  <c r="CM196"/>
  <c r="CM50"/>
  <c r="CM195"/>
  <c r="CM361"/>
  <c r="CM377"/>
  <c r="DF195"/>
  <c r="DJ195"/>
  <c r="CM199"/>
  <c r="DF199"/>
  <c r="DJ199"/>
  <c r="BR199"/>
  <c r="CX26"/>
  <c r="BF26"/>
  <c r="BH26"/>
  <c r="CV26"/>
  <c r="DN30"/>
  <c r="DO30" s="1"/>
  <c r="AQ30" s="1"/>
  <c r="BY26"/>
  <c r="DN39"/>
  <c r="DO39" s="1"/>
  <c r="AQ39" s="1"/>
  <c r="CT26"/>
  <c r="CA26"/>
  <c r="DO25"/>
  <c r="BJ26"/>
  <c r="DO35"/>
  <c r="DJ205"/>
  <c r="BR205"/>
  <c r="DJ50"/>
  <c r="BR50"/>
  <c r="CM184"/>
  <c r="CM233"/>
  <c r="CM267"/>
  <c r="DF69"/>
  <c r="DJ227"/>
  <c r="BR227"/>
  <c r="DF223"/>
  <c r="DJ276"/>
  <c r="BR276"/>
  <c r="DJ347"/>
  <c r="BR347"/>
  <c r="DF205"/>
  <c r="DJ48"/>
  <c r="BR48"/>
  <c r="DJ69"/>
  <c r="BR69"/>
  <c r="DJ297"/>
  <c r="BR297"/>
  <c r="DJ151"/>
  <c r="BR151"/>
  <c r="DF333"/>
  <c r="DJ113"/>
  <c r="BR113"/>
  <c r="DJ77"/>
  <c r="BR77"/>
  <c r="DF157"/>
  <c r="DF267"/>
  <c r="DJ138"/>
  <c r="BR138"/>
  <c r="DF369"/>
  <c r="DF71"/>
  <c r="DF145"/>
  <c r="DJ66"/>
  <c r="BR66"/>
  <c r="DJ202"/>
  <c r="BR202"/>
  <c r="DF341"/>
  <c r="DF139"/>
  <c r="CM211"/>
  <c r="CM57"/>
  <c r="DJ263"/>
  <c r="BR263"/>
  <c r="DF271"/>
  <c r="DJ341"/>
  <c r="BR341"/>
  <c r="DJ139"/>
  <c r="BR139"/>
  <c r="DF143"/>
  <c r="DJ61"/>
  <c r="BR61"/>
  <c r="DF48"/>
  <c r="DJ211"/>
  <c r="BR211"/>
  <c r="DF201"/>
  <c r="DF279"/>
  <c r="DJ335"/>
  <c r="BR335"/>
  <c r="CM347"/>
  <c r="DF309"/>
  <c r="CM151"/>
  <c r="CM333"/>
  <c r="DF337"/>
  <c r="DJ331"/>
  <c r="BR331"/>
  <c r="DF295"/>
  <c r="CM107"/>
  <c r="CM237"/>
  <c r="DF273"/>
  <c r="DF126"/>
  <c r="DF229"/>
  <c r="DF196"/>
  <c r="DJ267"/>
  <c r="BR267"/>
  <c r="DJ140"/>
  <c r="BR140"/>
  <c r="DF331"/>
  <c r="DJ273"/>
  <c r="BR273"/>
  <c r="DJ229"/>
  <c r="BR229"/>
  <c r="DJ223"/>
  <c r="BR223"/>
  <c r="DJ200"/>
  <c r="BR200"/>
  <c r="DJ309"/>
  <c r="BR309"/>
  <c r="DF184"/>
  <c r="DJ337"/>
  <c r="BR337"/>
  <c r="DF239"/>
  <c r="DF113"/>
  <c r="DF50"/>
  <c r="DJ295"/>
  <c r="BR295"/>
  <c r="DF66"/>
  <c r="CM263"/>
  <c r="DJ279"/>
  <c r="BR279"/>
  <c r="DF335"/>
  <c r="DJ145"/>
  <c r="BR145"/>
  <c r="DJ57"/>
  <c r="BR57"/>
  <c r="CM223"/>
  <c r="CM297"/>
  <c r="CM217"/>
  <c r="CM169"/>
  <c r="CM113"/>
  <c r="DJ126"/>
  <c r="BR126"/>
  <c r="DF227"/>
  <c r="DJ46"/>
  <c r="BR46"/>
  <c r="DJ184"/>
  <c r="BR184"/>
  <c r="DJ157"/>
  <c r="BR157"/>
  <c r="DJ196"/>
  <c r="DF75"/>
  <c r="DF140"/>
  <c r="CM309"/>
  <c r="CM115"/>
  <c r="DF297"/>
  <c r="DF169"/>
  <c r="DF138"/>
  <c r="DF77"/>
  <c r="DF217"/>
  <c r="DF107"/>
  <c r="DJ207"/>
  <c r="BR207"/>
  <c r="DF81"/>
  <c r="DF276"/>
  <c r="DF347"/>
  <c r="DJ115"/>
  <c r="BR115"/>
  <c r="DF123"/>
  <c r="DF171"/>
  <c r="DJ323"/>
  <c r="BR323"/>
  <c r="DF371"/>
  <c r="DJ201"/>
  <c r="BR201"/>
  <c r="CM307"/>
  <c r="CM202"/>
  <c r="DJ307"/>
  <c r="BR307"/>
  <c r="CM335"/>
  <c r="DJ371"/>
  <c r="BR371"/>
  <c r="DF263"/>
  <c r="DF202"/>
  <c r="CM77"/>
  <c r="DJ301"/>
  <c r="BR301"/>
  <c r="DJ339"/>
  <c r="BR339"/>
  <c r="DF115"/>
  <c r="DF233"/>
  <c r="DJ81"/>
  <c r="BR81"/>
  <c r="DJ239"/>
  <c r="BR239"/>
  <c r="DJ171"/>
  <c r="BR171"/>
  <c r="DF61"/>
  <c r="CM200"/>
  <c r="CM157"/>
  <c r="CM81"/>
  <c r="CM138"/>
  <c r="CM295"/>
  <c r="DF200"/>
  <c r="DF339"/>
  <c r="DF46"/>
  <c r="DJ333"/>
  <c r="BR333"/>
  <c r="DJ237"/>
  <c r="BR237"/>
  <c r="DJ123"/>
  <c r="BR123"/>
  <c r="DF323"/>
  <c r="DJ107"/>
  <c r="BR107"/>
  <c r="DJ169"/>
  <c r="BR169"/>
  <c r="DJ233"/>
  <c r="BR233"/>
  <c r="DF237"/>
  <c r="DJ217"/>
  <c r="DF301"/>
  <c r="DF151"/>
  <c r="DF207"/>
  <c r="DJ75"/>
  <c r="BR75"/>
  <c r="CM61"/>
  <c r="DF211"/>
  <c r="DJ176"/>
  <c r="BR176"/>
  <c r="DF176"/>
  <c r="DJ271"/>
  <c r="BR271"/>
  <c r="DJ71"/>
  <c r="BR71"/>
  <c r="DJ167"/>
  <c r="BR167"/>
  <c r="DF57"/>
  <c r="CM66"/>
  <c r="CM341"/>
  <c r="DJ143"/>
  <c r="BR143"/>
  <c r="DF167"/>
  <c r="DJ369"/>
  <c r="BR369"/>
  <c r="DF307"/>
  <c r="BJ21"/>
  <c r="CC21"/>
  <c r="CV21"/>
  <c r="BY21"/>
  <c r="CA21"/>
  <c r="CX21"/>
  <c r="BH21"/>
  <c r="BF21"/>
  <c r="CT21"/>
  <c r="CC27"/>
  <c r="BY27"/>
  <c r="BH27"/>
  <c r="BF27"/>
  <c r="CT27"/>
  <c r="CA27"/>
  <c r="CV27"/>
  <c r="CX27"/>
  <c r="BJ27"/>
  <c r="BY22"/>
  <c r="BH22"/>
  <c r="BF22"/>
  <c r="CA22"/>
  <c r="BJ22"/>
  <c r="CX22"/>
  <c r="CT22"/>
  <c r="CC22"/>
  <c r="CV22"/>
  <c r="DN19"/>
  <c r="DO19" s="1"/>
  <c r="AQ19" s="1"/>
  <c r="BJ28"/>
  <c r="CC28"/>
  <c r="CV28"/>
  <c r="BH28"/>
  <c r="CA28"/>
  <c r="CX28"/>
  <c r="CT28"/>
  <c r="BF28"/>
  <c r="BY28"/>
  <c r="BJ20"/>
  <c r="CC20"/>
  <c r="CV20"/>
  <c r="BF20"/>
  <c r="BY20"/>
  <c r="CT20"/>
  <c r="BH20"/>
  <c r="CX20"/>
  <c r="CA20"/>
  <c r="BJ24"/>
  <c r="CT24"/>
  <c r="CC24"/>
  <c r="CV24"/>
  <c r="BH24"/>
  <c r="BF24"/>
  <c r="BY24"/>
  <c r="CX24"/>
  <c r="CA24"/>
  <c r="BJ34"/>
  <c r="CV34"/>
  <c r="BH34"/>
  <c r="CC34"/>
  <c r="CX34"/>
  <c r="CT34"/>
  <c r="BF34"/>
  <c r="CA34"/>
  <c r="BY34"/>
  <c r="DN42"/>
  <c r="DO42" s="1"/>
  <c r="AQ42" s="1"/>
  <c r="BH40"/>
  <c r="CA40"/>
  <c r="CX40"/>
  <c r="CV40"/>
  <c r="BJ40"/>
  <c r="BF40"/>
  <c r="CT40"/>
  <c r="CC40"/>
  <c r="BY40"/>
  <c r="BH36"/>
  <c r="CA36"/>
  <c r="CX36"/>
  <c r="CT36"/>
  <c r="CC36"/>
  <c r="BY36"/>
  <c r="BJ36"/>
  <c r="BF36"/>
  <c r="CV36"/>
  <c r="DN37"/>
  <c r="DO37" s="1"/>
  <c r="AQ37" s="1"/>
  <c r="BH29"/>
  <c r="BJ29"/>
  <c r="CV29"/>
  <c r="CA29"/>
  <c r="CC29"/>
  <c r="BF29"/>
  <c r="CX29"/>
  <c r="CT29"/>
  <c r="BY29"/>
  <c r="BJ38"/>
  <c r="CC38"/>
  <c r="CV38"/>
  <c r="BY38"/>
  <c r="CT38"/>
  <c r="CA38"/>
  <c r="BH38"/>
  <c r="BF38"/>
  <c r="CX38"/>
  <c r="CC18"/>
  <c r="BY18"/>
  <c r="CX18"/>
  <c r="BF18"/>
  <c r="CV18"/>
  <c r="CT18"/>
  <c r="BH18"/>
  <c r="CA18"/>
  <c r="BJ18"/>
  <c r="BJ23"/>
  <c r="CC23"/>
  <c r="CV23"/>
  <c r="BH23"/>
  <c r="CA23"/>
  <c r="CX23"/>
  <c r="CT23"/>
  <c r="BY23"/>
  <c r="BF23"/>
  <c r="CT33"/>
  <c r="BY33"/>
  <c r="BH33"/>
  <c r="BJ33"/>
  <c r="CV33"/>
  <c r="CA33"/>
  <c r="CC33"/>
  <c r="BF33"/>
  <c r="CX33"/>
  <c r="CX31"/>
  <c r="BY31"/>
  <c r="BJ31"/>
  <c r="CV31"/>
  <c r="CT31"/>
  <c r="CC31"/>
  <c r="BF31"/>
  <c r="BH31"/>
  <c r="CA31"/>
  <c r="BJ41"/>
  <c r="CC41"/>
  <c r="CV41"/>
  <c r="BF41"/>
  <c r="CT41"/>
  <c r="BH41"/>
  <c r="CX41"/>
  <c r="CA41"/>
  <c r="BY41"/>
  <c r="AP12"/>
  <c r="AR12"/>
  <c r="AP10"/>
  <c r="AR10"/>
  <c r="DL15"/>
  <c r="DM15" s="1"/>
  <c r="DL12"/>
  <c r="DH17"/>
  <c r="DL17"/>
  <c r="DM17" s="1"/>
  <c r="DL14"/>
  <c r="DM14" s="1"/>
  <c r="DH10"/>
  <c r="DL11"/>
  <c r="DM11" s="1"/>
  <c r="DH16"/>
  <c r="DL16"/>
  <c r="DM16" s="1"/>
  <c r="DH12"/>
  <c r="DH9"/>
  <c r="DL10"/>
  <c r="DH15"/>
  <c r="DL9"/>
  <c r="DM9" s="1"/>
  <c r="DH14"/>
  <c r="DH11"/>
  <c r="DL13"/>
  <c r="DM13" s="1"/>
  <c r="DH8"/>
  <c r="DL8"/>
  <c r="DM8" s="1"/>
  <c r="DH13"/>
  <c r="C8" i="42"/>
  <c r="L4" i="35"/>
  <c r="L109" s="1"/>
  <c r="C6" i="42"/>
  <c r="DR18" i="43" s="1"/>
  <c r="G18" s="1"/>
  <c r="K7" i="34"/>
  <c r="K20" s="1"/>
  <c r="C7" i="42"/>
  <c r="H5" i="45"/>
  <c r="L5"/>
  <c r="AG5" s="1"/>
  <c r="H6"/>
  <c r="L6"/>
  <c r="H7"/>
  <c r="L7"/>
  <c r="AG7" s="1"/>
  <c r="H8"/>
  <c r="L8"/>
  <c r="AG8" s="1"/>
  <c r="H9"/>
  <c r="L9"/>
  <c r="H10"/>
  <c r="L10"/>
  <c r="AG10" s="1"/>
  <c r="H11"/>
  <c r="L11"/>
  <c r="AG11" s="1"/>
  <c r="H387"/>
  <c r="L387"/>
  <c r="AG387" s="1"/>
  <c r="F5"/>
  <c r="G5"/>
  <c r="P5"/>
  <c r="F6"/>
  <c r="P6"/>
  <c r="F7"/>
  <c r="G7"/>
  <c r="P7"/>
  <c r="F8"/>
  <c r="G8"/>
  <c r="P8"/>
  <c r="M9"/>
  <c r="F9"/>
  <c r="G9"/>
  <c r="P9"/>
  <c r="F10"/>
  <c r="G10"/>
  <c r="P10"/>
  <c r="E11"/>
  <c r="F11"/>
  <c r="G11"/>
  <c r="P11"/>
  <c r="E387"/>
  <c r="F387"/>
  <c r="P387"/>
  <c r="AN4"/>
  <c r="C7" i="30"/>
  <c r="A3" i="44"/>
  <c r="F6" i="24"/>
  <c r="G6"/>
  <c r="G311" s="1"/>
  <c r="H6"/>
  <c r="H55" s="1"/>
  <c r="N20"/>
  <c r="E8" i="42"/>
  <c r="C9"/>
  <c r="L51"/>
  <c r="M2" i="29"/>
  <c r="M3" s="1"/>
  <c r="M6"/>
  <c r="F4" i="23"/>
  <c r="F5"/>
  <c r="F6"/>
  <c r="F7"/>
  <c r="F8"/>
  <c r="F9"/>
  <c r="M9"/>
  <c r="N17" s="1"/>
  <c r="M17" s="1"/>
  <c r="F10"/>
  <c r="M10"/>
  <c r="M18" s="1"/>
  <c r="N10"/>
  <c r="N18" s="1"/>
  <c r="F11"/>
  <c r="F12"/>
  <c r="N12"/>
  <c r="F13"/>
  <c r="N13"/>
  <c r="F14"/>
  <c r="N14"/>
  <c r="F15"/>
  <c r="M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A3" i="22"/>
  <c r="A9"/>
  <c r="M10" i="45"/>
  <c r="M8"/>
  <c r="Q387"/>
  <c r="R387" s="1"/>
  <c r="M11"/>
  <c r="Q7"/>
  <c r="M7"/>
  <c r="M5"/>
  <c r="G387"/>
  <c r="G6"/>
  <c r="Q6"/>
  <c r="R6" s="1"/>
  <c r="Q9"/>
  <c r="R9" s="1"/>
  <c r="E8"/>
  <c r="M387"/>
  <c r="M6"/>
  <c r="N5"/>
  <c r="N9"/>
  <c r="N8"/>
  <c r="N387"/>
  <c r="N7"/>
  <c r="N11"/>
  <c r="N6"/>
  <c r="N10"/>
  <c r="Q10"/>
  <c r="R10" s="1"/>
  <c r="Q5"/>
  <c r="R5" s="1"/>
  <c r="M59" i="42"/>
  <c r="L58"/>
  <c r="L54"/>
  <c r="O54"/>
  <c r="N56"/>
  <c r="O51"/>
  <c r="N55"/>
  <c r="Q11" i="45"/>
  <c r="E7"/>
  <c r="E6"/>
  <c r="E10"/>
  <c r="Q8"/>
  <c r="R8" s="1"/>
  <c r="E5"/>
  <c r="N62" i="42"/>
  <c r="L62"/>
  <c r="N61"/>
  <c r="E9" i="45"/>
  <c r="M61" i="42"/>
  <c r="N53"/>
  <c r="M51"/>
  <c r="O62"/>
  <c r="L53"/>
  <c r="L60"/>
  <c r="O56"/>
  <c r="M60"/>
  <c r="L57"/>
  <c r="O59"/>
  <c r="L55"/>
  <c r="O61"/>
  <c r="N58"/>
  <c r="M54"/>
  <c r="O52"/>
  <c r="O53"/>
  <c r="L61"/>
  <c r="N51"/>
  <c r="M55"/>
  <c r="L52"/>
  <c r="M58"/>
  <c r="N54"/>
  <c r="N59"/>
  <c r="M57"/>
  <c r="L59"/>
  <c r="M56"/>
  <c r="N57"/>
  <c r="O57"/>
  <c r="M52"/>
  <c r="O58"/>
  <c r="L56"/>
  <c r="O55"/>
  <c r="N52"/>
  <c r="O60"/>
  <c r="S19" i="44" l="1"/>
  <c r="L259" i="43"/>
  <c r="L263"/>
  <c r="L267"/>
  <c r="L271"/>
  <c r="L275"/>
  <c r="L279"/>
  <c r="L283"/>
  <c r="L287"/>
  <c r="L291"/>
  <c r="L295"/>
  <c r="L299"/>
  <c r="L303"/>
  <c r="L307"/>
  <c r="L311"/>
  <c r="L315"/>
  <c r="L319"/>
  <c r="L323"/>
  <c r="L327"/>
  <c r="L331"/>
  <c r="L335"/>
  <c r="L339"/>
  <c r="L343"/>
  <c r="L347"/>
  <c r="L351"/>
  <c r="L355"/>
  <c r="L359"/>
  <c r="L363"/>
  <c r="L367"/>
  <c r="L371"/>
  <c r="L375"/>
  <c r="L379"/>
  <c r="L256"/>
  <c r="L260"/>
  <c r="L264"/>
  <c r="L268"/>
  <c r="L272"/>
  <c r="L276"/>
  <c r="L280"/>
  <c r="L284"/>
  <c r="L288"/>
  <c r="L292"/>
  <c r="L296"/>
  <c r="L300"/>
  <c r="L304"/>
  <c r="L308"/>
  <c r="L312"/>
  <c r="L316"/>
  <c r="L320"/>
  <c r="L324"/>
  <c r="L328"/>
  <c r="L332"/>
  <c r="L336"/>
  <c r="L340"/>
  <c r="L344"/>
  <c r="L348"/>
  <c r="L352"/>
  <c r="L356"/>
  <c r="L360"/>
  <c r="L364"/>
  <c r="L368"/>
  <c r="L372"/>
  <c r="L376"/>
  <c r="L380"/>
  <c r="L257"/>
  <c r="L261"/>
  <c r="L265"/>
  <c r="L269"/>
  <c r="L273"/>
  <c r="L277"/>
  <c r="L281"/>
  <c r="L285"/>
  <c r="L289"/>
  <c r="L293"/>
  <c r="L297"/>
  <c r="L301"/>
  <c r="L305"/>
  <c r="L309"/>
  <c r="L313"/>
  <c r="L317"/>
  <c r="L321"/>
  <c r="L325"/>
  <c r="L329"/>
  <c r="L333"/>
  <c r="L337"/>
  <c r="L341"/>
  <c r="L345"/>
  <c r="L349"/>
  <c r="L353"/>
  <c r="L357"/>
  <c r="L361"/>
  <c r="L365"/>
  <c r="L369"/>
  <c r="L373"/>
  <c r="L377"/>
  <c r="L381"/>
  <c r="L258"/>
  <c r="L262"/>
  <c r="L266"/>
  <c r="L270"/>
  <c r="L274"/>
  <c r="L278"/>
  <c r="L282"/>
  <c r="L286"/>
  <c r="L290"/>
  <c r="L294"/>
  <c r="L298"/>
  <c r="L302"/>
  <c r="L306"/>
  <c r="L310"/>
  <c r="L314"/>
  <c r="L318"/>
  <c r="L322"/>
  <c r="L326"/>
  <c r="L330"/>
  <c r="L334"/>
  <c r="L338"/>
  <c r="L342"/>
  <c r="L346"/>
  <c r="L350"/>
  <c r="L354"/>
  <c r="L358"/>
  <c r="L362"/>
  <c r="L366"/>
  <c r="L370"/>
  <c r="L374"/>
  <c r="L378"/>
  <c r="I257"/>
  <c r="I261"/>
  <c r="I265"/>
  <c r="I269"/>
  <c r="I273"/>
  <c r="I277"/>
  <c r="I281"/>
  <c r="I285"/>
  <c r="I289"/>
  <c r="I293"/>
  <c r="I297"/>
  <c r="I301"/>
  <c r="I305"/>
  <c r="I309"/>
  <c r="I313"/>
  <c r="I317"/>
  <c r="I321"/>
  <c r="I325"/>
  <c r="I329"/>
  <c r="I333"/>
  <c r="I337"/>
  <c r="I341"/>
  <c r="I345"/>
  <c r="I349"/>
  <c r="I353"/>
  <c r="I357"/>
  <c r="I361"/>
  <c r="I365"/>
  <c r="I369"/>
  <c r="I373"/>
  <c r="I377"/>
  <c r="I381"/>
  <c r="J260"/>
  <c r="J264"/>
  <c r="J268"/>
  <c r="J272"/>
  <c r="J276"/>
  <c r="J280"/>
  <c r="J284"/>
  <c r="J288"/>
  <c r="J292"/>
  <c r="J296"/>
  <c r="J300"/>
  <c r="J304"/>
  <c r="J308"/>
  <c r="J312"/>
  <c r="J316"/>
  <c r="J320"/>
  <c r="J324"/>
  <c r="J328"/>
  <c r="J332"/>
  <c r="J336"/>
  <c r="J340"/>
  <c r="J344"/>
  <c r="J348"/>
  <c r="J352"/>
  <c r="J356"/>
  <c r="J360"/>
  <c r="J364"/>
  <c r="J368"/>
  <c r="J372"/>
  <c r="J376"/>
  <c r="J380"/>
  <c r="I260"/>
  <c r="I264"/>
  <c r="I268"/>
  <c r="I272"/>
  <c r="I276"/>
  <c r="I280"/>
  <c r="I284"/>
  <c r="I288"/>
  <c r="I292"/>
  <c r="I296"/>
  <c r="I300"/>
  <c r="I304"/>
  <c r="I308"/>
  <c r="I312"/>
  <c r="I316"/>
  <c r="I320"/>
  <c r="I324"/>
  <c r="I328"/>
  <c r="I332"/>
  <c r="I336"/>
  <c r="I340"/>
  <c r="I344"/>
  <c r="I259"/>
  <c r="I263"/>
  <c r="I267"/>
  <c r="I271"/>
  <c r="I275"/>
  <c r="I279"/>
  <c r="I283"/>
  <c r="I287"/>
  <c r="I291"/>
  <c r="I295"/>
  <c r="I299"/>
  <c r="I303"/>
  <c r="I307"/>
  <c r="I311"/>
  <c r="I315"/>
  <c r="I319"/>
  <c r="I323"/>
  <c r="I327"/>
  <c r="I331"/>
  <c r="I335"/>
  <c r="I339"/>
  <c r="I343"/>
  <c r="I347"/>
  <c r="I351"/>
  <c r="I355"/>
  <c r="I359"/>
  <c r="I363"/>
  <c r="I367"/>
  <c r="I371"/>
  <c r="I375"/>
  <c r="I379"/>
  <c r="J258"/>
  <c r="J262"/>
  <c r="J266"/>
  <c r="J270"/>
  <c r="J274"/>
  <c r="J278"/>
  <c r="J282"/>
  <c r="J286"/>
  <c r="J290"/>
  <c r="J294"/>
  <c r="J298"/>
  <c r="J302"/>
  <c r="J306"/>
  <c r="J310"/>
  <c r="J314"/>
  <c r="J318"/>
  <c r="J322"/>
  <c r="J326"/>
  <c r="J330"/>
  <c r="J334"/>
  <c r="J338"/>
  <c r="J342"/>
  <c r="J346"/>
  <c r="J350"/>
  <c r="J354"/>
  <c r="J358"/>
  <c r="J362"/>
  <c r="J366"/>
  <c r="J370"/>
  <c r="J374"/>
  <c r="J378"/>
  <c r="I258"/>
  <c r="I262"/>
  <c r="I266"/>
  <c r="I270"/>
  <c r="I274"/>
  <c r="I278"/>
  <c r="I282"/>
  <c r="I286"/>
  <c r="I290"/>
  <c r="I294"/>
  <c r="I298"/>
  <c r="I302"/>
  <c r="I306"/>
  <c r="I310"/>
  <c r="I314"/>
  <c r="I318"/>
  <c r="I322"/>
  <c r="I326"/>
  <c r="I330"/>
  <c r="I334"/>
  <c r="I338"/>
  <c r="I342"/>
  <c r="I346"/>
  <c r="I350"/>
  <c r="I354"/>
  <c r="I358"/>
  <c r="I362"/>
  <c r="I366"/>
  <c r="I370"/>
  <c r="I374"/>
  <c r="I378"/>
  <c r="J257"/>
  <c r="J261"/>
  <c r="J265"/>
  <c r="J269"/>
  <c r="J273"/>
  <c r="J277"/>
  <c r="J281"/>
  <c r="J285"/>
  <c r="J289"/>
  <c r="J293"/>
  <c r="J297"/>
  <c r="J301"/>
  <c r="J305"/>
  <c r="J309"/>
  <c r="J313"/>
  <c r="J317"/>
  <c r="J321"/>
  <c r="J325"/>
  <c r="J329"/>
  <c r="J333"/>
  <c r="J337"/>
  <c r="J341"/>
  <c r="J345"/>
  <c r="J349"/>
  <c r="J353"/>
  <c r="J357"/>
  <c r="J361"/>
  <c r="J365"/>
  <c r="J369"/>
  <c r="J373"/>
  <c r="J377"/>
  <c r="J381"/>
  <c r="I352"/>
  <c r="I356"/>
  <c r="I360"/>
  <c r="I364"/>
  <c r="I368"/>
  <c r="I372"/>
  <c r="I376"/>
  <c r="I380"/>
  <c r="J259"/>
  <c r="J263"/>
  <c r="J267"/>
  <c r="J271"/>
  <c r="J275"/>
  <c r="J279"/>
  <c r="J283"/>
  <c r="J287"/>
  <c r="J291"/>
  <c r="J295"/>
  <c r="J299"/>
  <c r="J303"/>
  <c r="J307"/>
  <c r="J311"/>
  <c r="J315"/>
  <c r="J319"/>
  <c r="J323"/>
  <c r="J327"/>
  <c r="J331"/>
  <c r="J335"/>
  <c r="J339"/>
  <c r="J343"/>
  <c r="J347"/>
  <c r="J351"/>
  <c r="J355"/>
  <c r="J359"/>
  <c r="J363"/>
  <c r="J367"/>
  <c r="J371"/>
  <c r="J375"/>
  <c r="J379"/>
  <c r="I348"/>
  <c r="C27" i="30"/>
  <c r="C20"/>
  <c r="C19"/>
  <c r="C23"/>
  <c r="C22"/>
  <c r="C21"/>
  <c r="N16" i="23"/>
  <c r="M16" s="1"/>
  <c r="CV32" i="43"/>
  <c r="AQ32"/>
  <c r="BJ25"/>
  <c r="AQ25"/>
  <c r="CC35"/>
  <c r="AQ35"/>
  <c r="K18" i="34"/>
  <c r="K43"/>
  <c r="K42"/>
  <c r="K41"/>
  <c r="K11"/>
  <c r="K46"/>
  <c r="H8" i="43"/>
  <c r="AF15" i="45"/>
  <c r="H18" i="43"/>
  <c r="C6" i="30"/>
  <c r="G221" i="23"/>
  <c r="DJ97" i="43"/>
  <c r="D7" i="30"/>
  <c r="C28"/>
  <c r="DJ111" i="43"/>
  <c r="DJ85"/>
  <c r="BC34" i="24"/>
  <c r="AX18"/>
  <c r="BB18"/>
  <c r="BF18"/>
  <c r="AZ19"/>
  <c r="BD19"/>
  <c r="BH19"/>
  <c r="AX20"/>
  <c r="BB20"/>
  <c r="BF20"/>
  <c r="AZ21"/>
  <c r="BD21"/>
  <c r="BH21"/>
  <c r="AX22"/>
  <c r="BB22"/>
  <c r="BF22"/>
  <c r="AZ23"/>
  <c r="BD23"/>
  <c r="BH23"/>
  <c r="AX24"/>
  <c r="BB24"/>
  <c r="BF24"/>
  <c r="AZ25"/>
  <c r="BD25"/>
  <c r="BH25"/>
  <c r="AX26"/>
  <c r="BB26"/>
  <c r="BF26"/>
  <c r="AZ27"/>
  <c r="BD27"/>
  <c r="BH27"/>
  <c r="AX28"/>
  <c r="BB28"/>
  <c r="BF28"/>
  <c r="AZ29"/>
  <c r="BD29"/>
  <c r="BH29"/>
  <c r="AX30"/>
  <c r="BB30"/>
  <c r="BF30"/>
  <c r="AZ31"/>
  <c r="BE31"/>
  <c r="AU32"/>
  <c r="AY32"/>
  <c r="BD32"/>
  <c r="BH32"/>
  <c r="AX33"/>
  <c r="BB33"/>
  <c r="BG33"/>
  <c r="AW34"/>
  <c r="BA34"/>
  <c r="BF34"/>
  <c r="AZ35"/>
  <c r="BE35"/>
  <c r="AU36"/>
  <c r="AY36"/>
  <c r="BD36"/>
  <c r="BH36"/>
  <c r="AX37"/>
  <c r="BB37"/>
  <c r="BF37"/>
  <c r="AZ38"/>
  <c r="BD38"/>
  <c r="BH38"/>
  <c r="AX39"/>
  <c r="BB39"/>
  <c r="BF39"/>
  <c r="AZ40"/>
  <c r="BD40"/>
  <c r="BH40"/>
  <c r="AX41"/>
  <c r="BB41"/>
  <c r="BF41"/>
  <c r="AZ42"/>
  <c r="BD42"/>
  <c r="BH42"/>
  <c r="AX43"/>
  <c r="BB43"/>
  <c r="BF43"/>
  <c r="AZ44"/>
  <c r="BD44"/>
  <c r="BH44"/>
  <c r="AX45"/>
  <c r="BB45"/>
  <c r="BF45"/>
  <c r="AZ46"/>
  <c r="BD46"/>
  <c r="BH46"/>
  <c r="AX47"/>
  <c r="BB47"/>
  <c r="BF47"/>
  <c r="AZ48"/>
  <c r="BD48"/>
  <c r="BH48"/>
  <c r="AX49"/>
  <c r="BB49"/>
  <c r="BF49"/>
  <c r="AZ50"/>
  <c r="BD50"/>
  <c r="BH50"/>
  <c r="AX51"/>
  <c r="BB51"/>
  <c r="BF51"/>
  <c r="BC31"/>
  <c r="BC35"/>
  <c r="BC32"/>
  <c r="BC36"/>
  <c r="BC33"/>
  <c r="AU18"/>
  <c r="AZ18"/>
  <c r="BE18"/>
  <c r="AW19"/>
  <c r="BB19"/>
  <c r="BG19"/>
  <c r="AU20"/>
  <c r="AZ20"/>
  <c r="BE20"/>
  <c r="AW21"/>
  <c r="BB21"/>
  <c r="BG21"/>
  <c r="AU22"/>
  <c r="AZ22"/>
  <c r="BE22"/>
  <c r="AW23"/>
  <c r="BB23"/>
  <c r="BG23"/>
  <c r="AU24"/>
  <c r="AZ24"/>
  <c r="BE24"/>
  <c r="AW25"/>
  <c r="BB25"/>
  <c r="BG25"/>
  <c r="AU26"/>
  <c r="AZ26"/>
  <c r="BE26"/>
  <c r="AW27"/>
  <c r="BB27"/>
  <c r="BG27"/>
  <c r="AU28"/>
  <c r="AZ28"/>
  <c r="BE28"/>
  <c r="AW29"/>
  <c r="BB29"/>
  <c r="BG29"/>
  <c r="AU30"/>
  <c r="AZ30"/>
  <c r="BE30"/>
  <c r="AW31"/>
  <c r="BB31"/>
  <c r="BH31"/>
  <c r="AZ32"/>
  <c r="BF32"/>
  <c r="AY33"/>
  <c r="BE33"/>
  <c r="BB34"/>
  <c r="BH34"/>
  <c r="AY35"/>
  <c r="BF35"/>
  <c r="AW36"/>
  <c r="BB36"/>
  <c r="BA37"/>
  <c r="BG37"/>
  <c r="AX38"/>
  <c r="BC38"/>
  <c r="BA39"/>
  <c r="BG39"/>
  <c r="AX40"/>
  <c r="BC40"/>
  <c r="BA41"/>
  <c r="BG41"/>
  <c r="AX42"/>
  <c r="BC42"/>
  <c r="BA43"/>
  <c r="BG43"/>
  <c r="AX44"/>
  <c r="BC44"/>
  <c r="AD44" s="1"/>
  <c r="BA45"/>
  <c r="BG45"/>
  <c r="AX46"/>
  <c r="BC46"/>
  <c r="AE46" s="1"/>
  <c r="BA47"/>
  <c r="BG47"/>
  <c r="AX48"/>
  <c r="BC48"/>
  <c r="AD48" s="1"/>
  <c r="BA49"/>
  <c r="BG49"/>
  <c r="AX50"/>
  <c r="BC50"/>
  <c r="AD50" s="1"/>
  <c r="BA51"/>
  <c r="BG51"/>
  <c r="AX52"/>
  <c r="BB52"/>
  <c r="BF52"/>
  <c r="AZ53"/>
  <c r="BD53"/>
  <c r="BH53"/>
  <c r="AX54"/>
  <c r="BB54"/>
  <c r="BF54"/>
  <c r="AZ55"/>
  <c r="BD55"/>
  <c r="BH55"/>
  <c r="AX56"/>
  <c r="BB56"/>
  <c r="BF56"/>
  <c r="AZ57"/>
  <c r="BD57"/>
  <c r="BH57"/>
  <c r="AX58"/>
  <c r="BB58"/>
  <c r="BF58"/>
  <c r="AZ59"/>
  <c r="BD59"/>
  <c r="BH59"/>
  <c r="AX60"/>
  <c r="BB60"/>
  <c r="BF60"/>
  <c r="AZ61"/>
  <c r="BD61"/>
  <c r="BH61"/>
  <c r="AX62"/>
  <c r="BB62"/>
  <c r="BF62"/>
  <c r="AZ63"/>
  <c r="BD63"/>
  <c r="BH63"/>
  <c r="AX64"/>
  <c r="BB64"/>
  <c r="BF64"/>
  <c r="AZ65"/>
  <c r="BD65"/>
  <c r="BH65"/>
  <c r="AX66"/>
  <c r="BB66"/>
  <c r="BF66"/>
  <c r="AZ67"/>
  <c r="BD67"/>
  <c r="BH67"/>
  <c r="AX68"/>
  <c r="BB68"/>
  <c r="BF68"/>
  <c r="AZ69"/>
  <c r="BD69"/>
  <c r="BH69"/>
  <c r="BC18"/>
  <c r="AU19"/>
  <c r="BC19"/>
  <c r="AY20"/>
  <c r="BG20"/>
  <c r="AY21"/>
  <c r="BF21"/>
  <c r="BC22"/>
  <c r="AU23"/>
  <c r="BC23"/>
  <c r="AY24"/>
  <c r="BG24"/>
  <c r="AY25"/>
  <c r="BF25"/>
  <c r="BC26"/>
  <c r="AU27"/>
  <c r="BC27"/>
  <c r="AY28"/>
  <c r="BG28"/>
  <c r="AY29"/>
  <c r="BF29"/>
  <c r="BC30"/>
  <c r="AU31"/>
  <c r="BD31"/>
  <c r="AX32"/>
  <c r="BG32"/>
  <c r="AU33"/>
  <c r="BA33"/>
  <c r="AU34"/>
  <c r="BD34"/>
  <c r="AX35"/>
  <c r="BG35"/>
  <c r="AZ36"/>
  <c r="BG36"/>
  <c r="AU37"/>
  <c r="BC37"/>
  <c r="AU38"/>
  <c r="BB38"/>
  <c r="AW39"/>
  <c r="BD39"/>
  <c r="AW40"/>
  <c r="BE40"/>
  <c r="AY41"/>
  <c r="BE41"/>
  <c r="AY42"/>
  <c r="BF42"/>
  <c r="AZ43"/>
  <c r="BH43"/>
  <c r="BA44"/>
  <c r="BG44"/>
  <c r="AU45"/>
  <c r="BC45"/>
  <c r="AU46"/>
  <c r="BB46"/>
  <c r="AW47"/>
  <c r="BD47"/>
  <c r="AW48"/>
  <c r="BE48"/>
  <c r="AY49"/>
  <c r="BE49"/>
  <c r="AY50"/>
  <c r="BF50"/>
  <c r="AZ51"/>
  <c r="BH51"/>
  <c r="AZ52"/>
  <c r="BE52"/>
  <c r="AW53"/>
  <c r="BB53"/>
  <c r="BG53"/>
  <c r="AU54"/>
  <c r="AZ54"/>
  <c r="BE54"/>
  <c r="AW55"/>
  <c r="BB55"/>
  <c r="BG55"/>
  <c r="AU56"/>
  <c r="AZ56"/>
  <c r="BE56"/>
  <c r="AW57"/>
  <c r="BB57"/>
  <c r="BG57"/>
  <c r="AU58"/>
  <c r="AZ58"/>
  <c r="BE58"/>
  <c r="AW59"/>
  <c r="BB59"/>
  <c r="BG59"/>
  <c r="AU60"/>
  <c r="AZ60"/>
  <c r="BE60"/>
  <c r="AW61"/>
  <c r="BB61"/>
  <c r="BG61"/>
  <c r="AU62"/>
  <c r="AZ62"/>
  <c r="BE62"/>
  <c r="AW63"/>
  <c r="BB63"/>
  <c r="BG63"/>
  <c r="AU64"/>
  <c r="AZ64"/>
  <c r="BE64"/>
  <c r="AW65"/>
  <c r="BB65"/>
  <c r="BG65"/>
  <c r="AU66"/>
  <c r="AZ66"/>
  <c r="BE66"/>
  <c r="AW67"/>
  <c r="BB67"/>
  <c r="BG67"/>
  <c r="AU68"/>
  <c r="AZ68"/>
  <c r="BE68"/>
  <c r="AW69"/>
  <c r="BB69"/>
  <c r="BG69"/>
  <c r="AU70"/>
  <c r="AY70"/>
  <c r="BC70"/>
  <c r="BG70"/>
  <c r="AW71"/>
  <c r="BA71"/>
  <c r="BE71"/>
  <c r="AU72"/>
  <c r="AY72"/>
  <c r="BC72"/>
  <c r="BG72"/>
  <c r="AW73"/>
  <c r="BA73"/>
  <c r="BE73"/>
  <c r="AU74"/>
  <c r="AY74"/>
  <c r="BC74"/>
  <c r="BG74"/>
  <c r="AW75"/>
  <c r="BA75"/>
  <c r="BE75"/>
  <c r="AU76"/>
  <c r="AY76"/>
  <c r="BC76"/>
  <c r="BG76"/>
  <c r="AW77"/>
  <c r="BA77"/>
  <c r="BE77"/>
  <c r="AU78"/>
  <c r="AY78"/>
  <c r="BC78"/>
  <c r="BG78"/>
  <c r="AW79"/>
  <c r="BA79"/>
  <c r="BE79"/>
  <c r="AU80"/>
  <c r="AY80"/>
  <c r="BC80"/>
  <c r="BG80"/>
  <c r="AW81"/>
  <c r="BA81"/>
  <c r="BE81"/>
  <c r="AU82"/>
  <c r="AY82"/>
  <c r="BC82"/>
  <c r="BG82"/>
  <c r="AW83"/>
  <c r="AW18"/>
  <c r="BG18"/>
  <c r="BA19"/>
  <c r="BA20"/>
  <c r="AU21"/>
  <c r="BE21"/>
  <c r="AW22"/>
  <c r="BG22"/>
  <c r="BA23"/>
  <c r="BA24"/>
  <c r="AU25"/>
  <c r="BE25"/>
  <c r="AW26"/>
  <c r="BG26"/>
  <c r="BA27"/>
  <c r="BA28"/>
  <c r="AU29"/>
  <c r="BE29"/>
  <c r="AW30"/>
  <c r="BG30"/>
  <c r="BA31"/>
  <c r="BA32"/>
  <c r="AZ33"/>
  <c r="AX34"/>
  <c r="BG34"/>
  <c r="AU35"/>
  <c r="BD35"/>
  <c r="BA36"/>
  <c r="AZ37"/>
  <c r="AW38"/>
  <c r="BF38"/>
  <c r="BC39"/>
  <c r="AY40"/>
  <c r="BG40"/>
  <c r="AU41"/>
  <c r="BD41"/>
  <c r="BA42"/>
  <c r="AW43"/>
  <c r="BE43"/>
  <c r="AU44"/>
  <c r="BE44"/>
  <c r="BD45"/>
  <c r="AY46"/>
  <c r="BG46"/>
  <c r="AU47"/>
  <c r="BE47"/>
  <c r="BA48"/>
  <c r="AW49"/>
  <c r="BH49"/>
  <c r="BB50"/>
  <c r="AY51"/>
  <c r="AW52"/>
  <c r="BD52"/>
  <c r="AX53"/>
  <c r="BE53"/>
  <c r="BA54"/>
  <c r="BH54"/>
  <c r="BA55"/>
  <c r="AW56"/>
  <c r="BD56"/>
  <c r="BI56" s="1"/>
  <c r="AX57"/>
  <c r="BE57"/>
  <c r="BA58"/>
  <c r="BH58"/>
  <c r="BA59"/>
  <c r="AW60"/>
  <c r="BD60"/>
  <c r="AX61"/>
  <c r="BE61"/>
  <c r="BA62"/>
  <c r="BH62"/>
  <c r="BA63"/>
  <c r="AW64"/>
  <c r="BD64"/>
  <c r="AX65"/>
  <c r="BE65"/>
  <c r="BA66"/>
  <c r="BH66"/>
  <c r="BA67"/>
  <c r="AW68"/>
  <c r="BD68"/>
  <c r="AX69"/>
  <c r="BE69"/>
  <c r="AZ70"/>
  <c r="BE70"/>
  <c r="BB71"/>
  <c r="BG71"/>
  <c r="AX72"/>
  <c r="BD72"/>
  <c r="AU73"/>
  <c r="AZ73"/>
  <c r="BF73"/>
  <c r="AW74"/>
  <c r="BB74"/>
  <c r="BH74"/>
  <c r="AY75"/>
  <c r="BD75"/>
  <c r="BA76"/>
  <c r="BF76"/>
  <c r="AX77"/>
  <c r="BC77"/>
  <c r="AD77" s="1"/>
  <c r="BH77"/>
  <c r="AZ78"/>
  <c r="BE78"/>
  <c r="BB79"/>
  <c r="BG79"/>
  <c r="AX80"/>
  <c r="BD80"/>
  <c r="AU81"/>
  <c r="AZ81"/>
  <c r="BF81"/>
  <c r="AW82"/>
  <c r="BB82"/>
  <c r="BH82"/>
  <c r="AY83"/>
  <c r="BC83"/>
  <c r="BG83"/>
  <c r="AW84"/>
  <c r="BA84"/>
  <c r="BE84"/>
  <c r="AU85"/>
  <c r="AY85"/>
  <c r="BC85"/>
  <c r="BG85"/>
  <c r="AW86"/>
  <c r="BA86"/>
  <c r="BE86"/>
  <c r="AU87"/>
  <c r="AY87"/>
  <c r="BC87"/>
  <c r="BG87"/>
  <c r="AW88"/>
  <c r="BA88"/>
  <c r="BE88"/>
  <c r="AU89"/>
  <c r="AY89"/>
  <c r="BC89"/>
  <c r="BG89"/>
  <c r="AW90"/>
  <c r="BA90"/>
  <c r="BE90"/>
  <c r="AU91"/>
  <c r="AY91"/>
  <c r="BC91"/>
  <c r="AD91" s="1"/>
  <c r="BG91"/>
  <c r="AW92"/>
  <c r="BA92"/>
  <c r="BE92"/>
  <c r="AU93"/>
  <c r="AY93"/>
  <c r="BC93"/>
  <c r="BG93"/>
  <c r="AW94"/>
  <c r="BA94"/>
  <c r="BE94"/>
  <c r="AU95"/>
  <c r="AY95"/>
  <c r="BD95"/>
  <c r="BH95"/>
  <c r="AX96"/>
  <c r="BB96"/>
  <c r="BF96"/>
  <c r="AZ97"/>
  <c r="BD97"/>
  <c r="BH97"/>
  <c r="AX98"/>
  <c r="BB98"/>
  <c r="BF98"/>
  <c r="AZ99"/>
  <c r="BD99"/>
  <c r="BH99"/>
  <c r="AX100"/>
  <c r="BB100"/>
  <c r="BF100"/>
  <c r="AZ101"/>
  <c r="BD101"/>
  <c r="BH101"/>
  <c r="AX102"/>
  <c r="BB102"/>
  <c r="BF102"/>
  <c r="AZ103"/>
  <c r="BD103"/>
  <c r="BH103"/>
  <c r="AX104"/>
  <c r="BB104"/>
  <c r="BF104"/>
  <c r="AZ105"/>
  <c r="BD105"/>
  <c r="BH105"/>
  <c r="AX106"/>
  <c r="BB106"/>
  <c r="BF106"/>
  <c r="AZ107"/>
  <c r="BD107"/>
  <c r="BH107"/>
  <c r="AX108"/>
  <c r="BB108"/>
  <c r="BF108"/>
  <c r="AZ109"/>
  <c r="BD109"/>
  <c r="BH109"/>
  <c r="AX110"/>
  <c r="BB110"/>
  <c r="BF110"/>
  <c r="AZ111"/>
  <c r="BD111"/>
  <c r="BH111"/>
  <c r="AX112"/>
  <c r="BB112"/>
  <c r="BF112"/>
  <c r="AZ113"/>
  <c r="BD113"/>
  <c r="BH113"/>
  <c r="AX114"/>
  <c r="BB114"/>
  <c r="BF114"/>
  <c r="AZ115"/>
  <c r="BD115"/>
  <c r="BH115"/>
  <c r="AX116"/>
  <c r="BB116"/>
  <c r="BF116"/>
  <c r="AZ117"/>
  <c r="BD117"/>
  <c r="BH117"/>
  <c r="AX118"/>
  <c r="BB118"/>
  <c r="BF118"/>
  <c r="AZ119"/>
  <c r="BD119"/>
  <c r="BH119"/>
  <c r="AX120"/>
  <c r="BB120"/>
  <c r="BF120"/>
  <c r="AZ121"/>
  <c r="BD121"/>
  <c r="BH121"/>
  <c r="AX122"/>
  <c r="BB122"/>
  <c r="BF122"/>
  <c r="AZ123"/>
  <c r="BD123"/>
  <c r="BH123"/>
  <c r="AX124"/>
  <c r="BB124"/>
  <c r="BF124"/>
  <c r="AZ125"/>
  <c r="BD125"/>
  <c r="BH125"/>
  <c r="AX126"/>
  <c r="BB126"/>
  <c r="BF126"/>
  <c r="AZ127"/>
  <c r="BD127"/>
  <c r="BH127"/>
  <c r="AX128"/>
  <c r="BB128"/>
  <c r="BF128"/>
  <c r="AZ129"/>
  <c r="BD129"/>
  <c r="BH129"/>
  <c r="AX130"/>
  <c r="BB130"/>
  <c r="BF130"/>
  <c r="AZ131"/>
  <c r="BD131"/>
  <c r="BH131"/>
  <c r="AX132"/>
  <c r="BB132"/>
  <c r="BF132"/>
  <c r="AZ133"/>
  <c r="BD133"/>
  <c r="BH133"/>
  <c r="AX134"/>
  <c r="BB134"/>
  <c r="BF134"/>
  <c r="AZ135"/>
  <c r="BD135"/>
  <c r="BH135"/>
  <c r="AX136"/>
  <c r="BB136"/>
  <c r="BF136"/>
  <c r="AZ137"/>
  <c r="BD137"/>
  <c r="BH137"/>
  <c r="AX138"/>
  <c r="BB138"/>
  <c r="AY18"/>
  <c r="AX19"/>
  <c r="AW20"/>
  <c r="AX21"/>
  <c r="BD22"/>
  <c r="BE23"/>
  <c r="BD24"/>
  <c r="BC25"/>
  <c r="AY26"/>
  <c r="AX27"/>
  <c r="AW28"/>
  <c r="AX29"/>
  <c r="BD30"/>
  <c r="BF31"/>
  <c r="BE32"/>
  <c r="BH33"/>
  <c r="BA35"/>
  <c r="AX36"/>
  <c r="BD37"/>
  <c r="BA38"/>
  <c r="AZ39"/>
  <c r="BA40"/>
  <c r="BC41"/>
  <c r="BB42"/>
  <c r="BC43"/>
  <c r="BF44"/>
  <c r="AW45"/>
  <c r="BH45"/>
  <c r="BF46"/>
  <c r="AY47"/>
  <c r="AU48"/>
  <c r="BG48"/>
  <c r="AU49"/>
  <c r="AW50"/>
  <c r="AW51"/>
  <c r="AY52"/>
  <c r="BH52"/>
  <c r="BC53"/>
  <c r="AE53" s="1"/>
  <c r="BC54"/>
  <c r="AY55"/>
  <c r="AY56"/>
  <c r="BH56"/>
  <c r="BC57"/>
  <c r="AD57" s="1"/>
  <c r="BC58"/>
  <c r="AY59"/>
  <c r="AY60"/>
  <c r="BH60"/>
  <c r="BC61"/>
  <c r="AE61" s="1"/>
  <c r="BC62"/>
  <c r="AY63"/>
  <c r="AY64"/>
  <c r="BH64"/>
  <c r="BC65"/>
  <c r="AE65" s="1"/>
  <c r="BC66"/>
  <c r="AD66" s="1"/>
  <c r="AY67"/>
  <c r="AY68"/>
  <c r="BH68"/>
  <c r="BC69"/>
  <c r="AD69" s="1"/>
  <c r="BA70"/>
  <c r="BH70"/>
  <c r="AZ71"/>
  <c r="BH71"/>
  <c r="BA72"/>
  <c r="BH72"/>
  <c r="BB73"/>
  <c r="BH73"/>
  <c r="BA74"/>
  <c r="BC75"/>
  <c r="AE75" s="1"/>
  <c r="AW76"/>
  <c r="BD76"/>
  <c r="BD77"/>
  <c r="AX78"/>
  <c r="BF78"/>
  <c r="AY79"/>
  <c r="BF79"/>
  <c r="AZ80"/>
  <c r="BF80"/>
  <c r="AY81"/>
  <c r="BG81"/>
  <c r="AZ82"/>
  <c r="BF82"/>
  <c r="AU83"/>
  <c r="BA83"/>
  <c r="BF83"/>
  <c r="AX84"/>
  <c r="BC84"/>
  <c r="BH84"/>
  <c r="AZ85"/>
  <c r="BE85"/>
  <c r="BB86"/>
  <c r="BG86"/>
  <c r="AX87"/>
  <c r="BD87"/>
  <c r="AU88"/>
  <c r="AZ88"/>
  <c r="BF88"/>
  <c r="AW89"/>
  <c r="BB89"/>
  <c r="BH89"/>
  <c r="AY90"/>
  <c r="BD90"/>
  <c r="BA91"/>
  <c r="BF91"/>
  <c r="AX92"/>
  <c r="BC92"/>
  <c r="BH92"/>
  <c r="AZ93"/>
  <c r="BE93"/>
  <c r="BB94"/>
  <c r="BG94"/>
  <c r="AX95"/>
  <c r="BE95"/>
  <c r="AW96"/>
  <c r="BC96"/>
  <c r="BH96"/>
  <c r="AY97"/>
  <c r="BE97"/>
  <c r="AW98"/>
  <c r="BC98"/>
  <c r="BH98"/>
  <c r="AY99"/>
  <c r="BE99"/>
  <c r="AW100"/>
  <c r="BC100"/>
  <c r="BH100"/>
  <c r="AY101"/>
  <c r="BE101"/>
  <c r="AW102"/>
  <c r="BC102"/>
  <c r="BH102"/>
  <c r="AY103"/>
  <c r="BE103"/>
  <c r="AW104"/>
  <c r="BC104"/>
  <c r="BH104"/>
  <c r="AY105"/>
  <c r="BE105"/>
  <c r="AW106"/>
  <c r="BC106"/>
  <c r="BH106"/>
  <c r="AY107"/>
  <c r="BE107"/>
  <c r="AW108"/>
  <c r="BC108"/>
  <c r="BH108"/>
  <c r="AY109"/>
  <c r="BE109"/>
  <c r="AW110"/>
  <c r="BC110"/>
  <c r="BH110"/>
  <c r="AY111"/>
  <c r="BE111"/>
  <c r="AW112"/>
  <c r="BC112"/>
  <c r="BH112"/>
  <c r="AY113"/>
  <c r="BE113"/>
  <c r="AW114"/>
  <c r="BC114"/>
  <c r="BH114"/>
  <c r="AY115"/>
  <c r="BE115"/>
  <c r="AW116"/>
  <c r="BC116"/>
  <c r="BH116"/>
  <c r="AY117"/>
  <c r="BE117"/>
  <c r="AW118"/>
  <c r="BC118"/>
  <c r="BH118"/>
  <c r="AY119"/>
  <c r="BE119"/>
  <c r="AW120"/>
  <c r="BC120"/>
  <c r="BH120"/>
  <c r="AY121"/>
  <c r="BE121"/>
  <c r="AW122"/>
  <c r="BC122"/>
  <c r="BH122"/>
  <c r="AY123"/>
  <c r="BE123"/>
  <c r="AW124"/>
  <c r="BC124"/>
  <c r="BH124"/>
  <c r="AY125"/>
  <c r="BE125"/>
  <c r="AW126"/>
  <c r="BC126"/>
  <c r="AE126" s="1"/>
  <c r="BH126"/>
  <c r="AY127"/>
  <c r="BE127"/>
  <c r="AW128"/>
  <c r="BC128"/>
  <c r="BH128"/>
  <c r="AY129"/>
  <c r="BE129"/>
  <c r="AW130"/>
  <c r="BC130"/>
  <c r="BH130"/>
  <c r="AY131"/>
  <c r="BE131"/>
  <c r="AW132"/>
  <c r="BC132"/>
  <c r="BH132"/>
  <c r="AY133"/>
  <c r="BE133"/>
  <c r="AW134"/>
  <c r="BC134"/>
  <c r="BH134"/>
  <c r="AY135"/>
  <c r="BE135"/>
  <c r="AW136"/>
  <c r="BC136"/>
  <c r="BH136"/>
  <c r="AY137"/>
  <c r="BE137"/>
  <c r="AW138"/>
  <c r="BC138"/>
  <c r="AE138" s="1"/>
  <c r="BG138"/>
  <c r="AW139"/>
  <c r="BA139"/>
  <c r="BE139"/>
  <c r="AU140"/>
  <c r="AY140"/>
  <c r="BC140"/>
  <c r="AD140" s="1"/>
  <c r="BG140"/>
  <c r="AW141"/>
  <c r="BA141"/>
  <c r="BE141"/>
  <c r="AU142"/>
  <c r="AY142"/>
  <c r="BC142"/>
  <c r="BG142"/>
  <c r="AW143"/>
  <c r="BA143"/>
  <c r="BE143"/>
  <c r="AU144"/>
  <c r="AY144"/>
  <c r="BC144"/>
  <c r="BG144"/>
  <c r="AW145"/>
  <c r="BA145"/>
  <c r="BE145"/>
  <c r="AU146"/>
  <c r="AY146"/>
  <c r="BC146"/>
  <c r="BG146"/>
  <c r="AW147"/>
  <c r="BA147"/>
  <c r="BE147"/>
  <c r="AU148"/>
  <c r="AY148"/>
  <c r="BC148"/>
  <c r="BG148"/>
  <c r="AW149"/>
  <c r="BA149"/>
  <c r="BE149"/>
  <c r="AU150"/>
  <c r="AY150"/>
  <c r="BC150"/>
  <c r="BG150"/>
  <c r="AW151"/>
  <c r="BA151"/>
  <c r="BE151"/>
  <c r="AU152"/>
  <c r="AY152"/>
  <c r="BC152"/>
  <c r="BG152"/>
  <c r="AW153"/>
  <c r="BA153"/>
  <c r="BE153"/>
  <c r="AU154"/>
  <c r="AY154"/>
  <c r="BC154"/>
  <c r="BG154"/>
  <c r="AW155"/>
  <c r="BA155"/>
  <c r="BE155"/>
  <c r="AU156"/>
  <c r="AY156"/>
  <c r="BC156"/>
  <c r="BG156"/>
  <c r="AW157"/>
  <c r="BA157"/>
  <c r="BE157"/>
  <c r="AU158"/>
  <c r="AY158"/>
  <c r="BC158"/>
  <c r="BG158"/>
  <c r="AW159"/>
  <c r="BA159"/>
  <c r="BE159"/>
  <c r="AU160"/>
  <c r="AY160"/>
  <c r="BC160"/>
  <c r="BG160"/>
  <c r="AW161"/>
  <c r="BA161"/>
  <c r="BE161"/>
  <c r="AU162"/>
  <c r="AY162"/>
  <c r="BC162"/>
  <c r="BG162"/>
  <c r="AW163"/>
  <c r="BA163"/>
  <c r="BE163"/>
  <c r="AU164"/>
  <c r="AY164"/>
  <c r="BC164"/>
  <c r="BG164"/>
  <c r="AW165"/>
  <c r="BA165"/>
  <c r="BE165"/>
  <c r="AU166"/>
  <c r="AY166"/>
  <c r="BC166"/>
  <c r="BG166"/>
  <c r="AW167"/>
  <c r="BA167"/>
  <c r="BE167"/>
  <c r="AU168"/>
  <c r="AY168"/>
  <c r="BC168"/>
  <c r="BG168"/>
  <c r="AW169"/>
  <c r="BA169"/>
  <c r="BE169"/>
  <c r="AU170"/>
  <c r="AY170"/>
  <c r="BC170"/>
  <c r="BG170"/>
  <c r="AW171"/>
  <c r="BA171"/>
  <c r="BE171"/>
  <c r="AU172"/>
  <c r="AY172"/>
  <c r="BC172"/>
  <c r="AD172" s="1"/>
  <c r="BG172"/>
  <c r="AW173"/>
  <c r="BA173"/>
  <c r="BE173"/>
  <c r="AU174"/>
  <c r="AY174"/>
  <c r="BC174"/>
  <c r="BG174"/>
  <c r="AW175"/>
  <c r="BA175"/>
  <c r="BE175"/>
  <c r="AU176"/>
  <c r="AY176"/>
  <c r="BC176"/>
  <c r="AD176" s="1"/>
  <c r="BG176"/>
  <c r="AW177"/>
  <c r="BA177"/>
  <c r="BE177"/>
  <c r="AU178"/>
  <c r="AY178"/>
  <c r="BC178"/>
  <c r="BG178"/>
  <c r="AW179"/>
  <c r="BA179"/>
  <c r="BE179"/>
  <c r="AU180"/>
  <c r="AY180"/>
  <c r="BC180"/>
  <c r="AD180" s="1"/>
  <c r="BG180"/>
  <c r="AW181"/>
  <c r="BA181"/>
  <c r="BE181"/>
  <c r="AU182"/>
  <c r="AY182"/>
  <c r="BC182"/>
  <c r="BG182"/>
  <c r="AW183"/>
  <c r="BA183"/>
  <c r="BE183"/>
  <c r="AU184"/>
  <c r="AY184"/>
  <c r="BC184"/>
  <c r="AD184" s="1"/>
  <c r="BG184"/>
  <c r="AW185"/>
  <c r="BA185"/>
  <c r="BE185"/>
  <c r="AU186"/>
  <c r="AY186"/>
  <c r="BC186"/>
  <c r="BG186"/>
  <c r="AW187"/>
  <c r="BA187"/>
  <c r="BE187"/>
  <c r="AU188"/>
  <c r="AY188"/>
  <c r="BC188"/>
  <c r="AD188" s="1"/>
  <c r="BG188"/>
  <c r="AW189"/>
  <c r="BA189"/>
  <c r="BE189"/>
  <c r="AU190"/>
  <c r="AY190"/>
  <c r="BC190"/>
  <c r="BG190"/>
  <c r="AW191"/>
  <c r="BA191"/>
  <c r="BE191"/>
  <c r="AU192"/>
  <c r="AY192"/>
  <c r="BC192"/>
  <c r="BG192"/>
  <c r="AW193"/>
  <c r="BA193"/>
  <c r="BE193"/>
  <c r="AU194"/>
  <c r="AY194"/>
  <c r="BC194"/>
  <c r="BG194"/>
  <c r="AW195"/>
  <c r="BA195"/>
  <c r="BE195"/>
  <c r="AU196"/>
  <c r="AY196"/>
  <c r="BC196"/>
  <c r="AD196" s="1"/>
  <c r="BG196"/>
  <c r="AW197"/>
  <c r="BA197"/>
  <c r="BE197"/>
  <c r="AU198"/>
  <c r="AY198"/>
  <c r="BC198"/>
  <c r="BG198"/>
  <c r="AW199"/>
  <c r="BA199"/>
  <c r="BE199"/>
  <c r="AU200"/>
  <c r="AY200"/>
  <c r="BC200"/>
  <c r="BG200"/>
  <c r="AW201"/>
  <c r="BA201"/>
  <c r="BE201"/>
  <c r="AU202"/>
  <c r="AY202"/>
  <c r="BC202"/>
  <c r="AE202" s="1"/>
  <c r="BG202"/>
  <c r="AW203"/>
  <c r="BA203"/>
  <c r="BE203"/>
  <c r="AU204"/>
  <c r="AY204"/>
  <c r="BC204"/>
  <c r="BG204"/>
  <c r="AW205"/>
  <c r="BA205"/>
  <c r="BE205"/>
  <c r="AU206"/>
  <c r="AY206"/>
  <c r="BC206"/>
  <c r="BG206"/>
  <c r="AW207"/>
  <c r="BA207"/>
  <c r="BE207"/>
  <c r="AU208"/>
  <c r="AY208"/>
  <c r="BC208"/>
  <c r="BG208"/>
  <c r="AW209"/>
  <c r="BA209"/>
  <c r="BE209"/>
  <c r="AU210"/>
  <c r="AY210"/>
  <c r="BC210"/>
  <c r="BG210"/>
  <c r="AW211"/>
  <c r="BA211"/>
  <c r="BE211"/>
  <c r="AU212"/>
  <c r="AY212"/>
  <c r="BC212"/>
  <c r="BG212"/>
  <c r="AW213"/>
  <c r="BA213"/>
  <c r="BE213"/>
  <c r="AU214"/>
  <c r="AY214"/>
  <c r="BC214"/>
  <c r="BG214"/>
  <c r="AW215"/>
  <c r="BA215"/>
  <c r="BE215"/>
  <c r="AU216"/>
  <c r="AY216"/>
  <c r="BC216"/>
  <c r="BG216"/>
  <c r="AW217"/>
  <c r="BA217"/>
  <c r="BE217"/>
  <c r="AU218"/>
  <c r="AY218"/>
  <c r="BC218"/>
  <c r="BG218"/>
  <c r="AW219"/>
  <c r="BA219"/>
  <c r="BE219"/>
  <c r="AU220"/>
  <c r="AY220"/>
  <c r="BC220"/>
  <c r="BG220"/>
  <c r="AW221"/>
  <c r="BA221"/>
  <c r="BE221"/>
  <c r="AU222"/>
  <c r="AY222"/>
  <c r="BC222"/>
  <c r="BG222"/>
  <c r="AW223"/>
  <c r="BA223"/>
  <c r="BE223"/>
  <c r="BA18"/>
  <c r="AY19"/>
  <c r="BC20"/>
  <c r="BA21"/>
  <c r="BH22"/>
  <c r="BF23"/>
  <c r="BH24"/>
  <c r="BA26"/>
  <c r="AY27"/>
  <c r="BC28"/>
  <c r="BA29"/>
  <c r="BH30"/>
  <c r="BG31"/>
  <c r="AW33"/>
  <c r="AY34"/>
  <c r="BB35"/>
  <c r="BE36"/>
  <c r="BE37"/>
  <c r="BE38"/>
  <c r="BE39"/>
  <c r="BB40"/>
  <c r="BH41"/>
  <c r="BE42"/>
  <c r="BD43"/>
  <c r="AW44"/>
  <c r="AY45"/>
  <c r="AW46"/>
  <c r="AZ47"/>
  <c r="AY48"/>
  <c r="AZ49"/>
  <c r="BA50"/>
  <c r="BC51"/>
  <c r="BA52"/>
  <c r="AU53"/>
  <c r="BF53"/>
  <c r="BD54"/>
  <c r="BC55"/>
  <c r="BA56"/>
  <c r="AU57"/>
  <c r="BF57"/>
  <c r="BD58"/>
  <c r="BC59"/>
  <c r="AD59" s="1"/>
  <c r="BA60"/>
  <c r="AU61"/>
  <c r="BF61"/>
  <c r="BD62"/>
  <c r="BI62" s="1"/>
  <c r="BC63"/>
  <c r="BA64"/>
  <c r="AU65"/>
  <c r="BF65"/>
  <c r="BD66"/>
  <c r="BC67"/>
  <c r="BA68"/>
  <c r="AU69"/>
  <c r="BF69"/>
  <c r="BB70"/>
  <c r="AU71"/>
  <c r="BC71"/>
  <c r="AE71" s="1"/>
  <c r="BB72"/>
  <c r="BC73"/>
  <c r="AD73" s="1"/>
  <c r="BD74"/>
  <c r="AX75"/>
  <c r="BF75"/>
  <c r="AX76"/>
  <c r="BE76"/>
  <c r="AY77"/>
  <c r="BF77"/>
  <c r="BA78"/>
  <c r="BH78"/>
  <c r="AZ79"/>
  <c r="BH79"/>
  <c r="BA80"/>
  <c r="BH80"/>
  <c r="BB81"/>
  <c r="BH81"/>
  <c r="BA82"/>
  <c r="BB83"/>
  <c r="BH83"/>
  <c r="AY84"/>
  <c r="BD84"/>
  <c r="BA85"/>
  <c r="BF85"/>
  <c r="AX86"/>
  <c r="BC86"/>
  <c r="BH86"/>
  <c r="AZ87"/>
  <c r="BE87"/>
  <c r="BB88"/>
  <c r="BG88"/>
  <c r="AX89"/>
  <c r="BD89"/>
  <c r="AU90"/>
  <c r="AZ90"/>
  <c r="BF90"/>
  <c r="AW91"/>
  <c r="BB91"/>
  <c r="BH91"/>
  <c r="AY92"/>
  <c r="BD92"/>
  <c r="BA93"/>
  <c r="BF93"/>
  <c r="AX94"/>
  <c r="BC94"/>
  <c r="BH94"/>
  <c r="BA95"/>
  <c r="BF95"/>
  <c r="AY96"/>
  <c r="BD96"/>
  <c r="AU97"/>
  <c r="BA97"/>
  <c r="BF97"/>
  <c r="AY98"/>
  <c r="BD98"/>
  <c r="AU99"/>
  <c r="BA99"/>
  <c r="BF99"/>
  <c r="AY100"/>
  <c r="BD100"/>
  <c r="AU101"/>
  <c r="BA101"/>
  <c r="BF101"/>
  <c r="AY102"/>
  <c r="BD102"/>
  <c r="AU103"/>
  <c r="BA103"/>
  <c r="BF103"/>
  <c r="AY104"/>
  <c r="BD104"/>
  <c r="AU105"/>
  <c r="BA105"/>
  <c r="BF105"/>
  <c r="AY106"/>
  <c r="BD106"/>
  <c r="AU107"/>
  <c r="BA107"/>
  <c r="BF107"/>
  <c r="AY108"/>
  <c r="BD108"/>
  <c r="AU109"/>
  <c r="BA109"/>
  <c r="BF109"/>
  <c r="AY110"/>
  <c r="BD110"/>
  <c r="AU111"/>
  <c r="BA111"/>
  <c r="BF111"/>
  <c r="AY112"/>
  <c r="BD112"/>
  <c r="AU113"/>
  <c r="BA113"/>
  <c r="BF113"/>
  <c r="AY114"/>
  <c r="BD114"/>
  <c r="AU115"/>
  <c r="BA115"/>
  <c r="BF115"/>
  <c r="AY116"/>
  <c r="BD116"/>
  <c r="AU117"/>
  <c r="BA117"/>
  <c r="BF117"/>
  <c r="AY118"/>
  <c r="BD118"/>
  <c r="AU119"/>
  <c r="BA119"/>
  <c r="BF119"/>
  <c r="AY120"/>
  <c r="BD120"/>
  <c r="AU121"/>
  <c r="BA121"/>
  <c r="BF121"/>
  <c r="AY122"/>
  <c r="BD122"/>
  <c r="AU123"/>
  <c r="BA123"/>
  <c r="BF123"/>
  <c r="AY124"/>
  <c r="BD124"/>
  <c r="AU125"/>
  <c r="BA125"/>
  <c r="BF125"/>
  <c r="AY126"/>
  <c r="BD126"/>
  <c r="AU127"/>
  <c r="BA127"/>
  <c r="BF127"/>
  <c r="AY128"/>
  <c r="BD128"/>
  <c r="AU129"/>
  <c r="BA129"/>
  <c r="BF129"/>
  <c r="AY130"/>
  <c r="BD130"/>
  <c r="AU131"/>
  <c r="BA131"/>
  <c r="BF131"/>
  <c r="AY132"/>
  <c r="BD132"/>
  <c r="AU133"/>
  <c r="BA133"/>
  <c r="BF133"/>
  <c r="AY134"/>
  <c r="BD134"/>
  <c r="AU135"/>
  <c r="BA135"/>
  <c r="BF135"/>
  <c r="AY136"/>
  <c r="BD136"/>
  <c r="AU137"/>
  <c r="BA137"/>
  <c r="BF137"/>
  <c r="AY138"/>
  <c r="BD138"/>
  <c r="BH138"/>
  <c r="AX139"/>
  <c r="BB139"/>
  <c r="BF139"/>
  <c r="AZ140"/>
  <c r="BD140"/>
  <c r="BH140"/>
  <c r="AX141"/>
  <c r="BB141"/>
  <c r="BF141"/>
  <c r="AZ142"/>
  <c r="BD142"/>
  <c r="BH142"/>
  <c r="AX143"/>
  <c r="BB143"/>
  <c r="BF143"/>
  <c r="AZ144"/>
  <c r="BD144"/>
  <c r="BH144"/>
  <c r="AX145"/>
  <c r="BB145"/>
  <c r="BF145"/>
  <c r="AZ146"/>
  <c r="BD146"/>
  <c r="BH146"/>
  <c r="AX147"/>
  <c r="BB147"/>
  <c r="BF147"/>
  <c r="AZ148"/>
  <c r="BD148"/>
  <c r="BH148"/>
  <c r="AX149"/>
  <c r="BB149"/>
  <c r="BF149"/>
  <c r="AZ150"/>
  <c r="BD150"/>
  <c r="BH150"/>
  <c r="AX151"/>
  <c r="BB151"/>
  <c r="BF151"/>
  <c r="AZ152"/>
  <c r="BD152"/>
  <c r="BH152"/>
  <c r="AX153"/>
  <c r="BB153"/>
  <c r="BF153"/>
  <c r="AZ154"/>
  <c r="BD154"/>
  <c r="BH154"/>
  <c r="AX155"/>
  <c r="BB155"/>
  <c r="BF155"/>
  <c r="AZ156"/>
  <c r="BD156"/>
  <c r="BH156"/>
  <c r="AX157"/>
  <c r="BB157"/>
  <c r="BF157"/>
  <c r="AZ158"/>
  <c r="BD158"/>
  <c r="BH158"/>
  <c r="AX159"/>
  <c r="BB159"/>
  <c r="BF159"/>
  <c r="AZ160"/>
  <c r="BD160"/>
  <c r="BH160"/>
  <c r="AX161"/>
  <c r="BB161"/>
  <c r="BF161"/>
  <c r="AZ162"/>
  <c r="BD162"/>
  <c r="BH162"/>
  <c r="BD18"/>
  <c r="BI18" s="1"/>
  <c r="BD20"/>
  <c r="AY23"/>
  <c r="AW24"/>
  <c r="BE27"/>
  <c r="BC29"/>
  <c r="AY30"/>
  <c r="BF33"/>
  <c r="AZ34"/>
  <c r="BF36"/>
  <c r="AW37"/>
  <c r="BG38"/>
  <c r="AU39"/>
  <c r="BF40"/>
  <c r="AW41"/>
  <c r="AY43"/>
  <c r="AY44"/>
  <c r="BH47"/>
  <c r="BE50"/>
  <c r="BC52"/>
  <c r="BG54"/>
  <c r="AU55"/>
  <c r="BC56"/>
  <c r="BG58"/>
  <c r="AU59"/>
  <c r="BC60"/>
  <c r="BG62"/>
  <c r="AU63"/>
  <c r="BC64"/>
  <c r="AE64" s="1"/>
  <c r="BG66"/>
  <c r="AU67"/>
  <c r="BC68"/>
  <c r="BD70"/>
  <c r="BF71"/>
  <c r="AW72"/>
  <c r="AY73"/>
  <c r="BE74"/>
  <c r="BG75"/>
  <c r="BH76"/>
  <c r="BG77"/>
  <c r="AX79"/>
  <c r="BB80"/>
  <c r="BD81"/>
  <c r="AZ83"/>
  <c r="AZ84"/>
  <c r="AX85"/>
  <c r="AU86"/>
  <c r="BF86"/>
  <c r="BF87"/>
  <c r="BC88"/>
  <c r="AZ89"/>
  <c r="AX90"/>
  <c r="BH90"/>
  <c r="BE91"/>
  <c r="AU92"/>
  <c r="BF92"/>
  <c r="BD93"/>
  <c r="AZ94"/>
  <c r="BB95"/>
  <c r="AZ96"/>
  <c r="AX97"/>
  <c r="BG98"/>
  <c r="AW99"/>
  <c r="BG99"/>
  <c r="AU100"/>
  <c r="BE100"/>
  <c r="BC101"/>
  <c r="AD101" s="1"/>
  <c r="BA102"/>
  <c r="BB103"/>
  <c r="AZ104"/>
  <c r="AX105"/>
  <c r="BG106"/>
  <c r="AW107"/>
  <c r="BG107"/>
  <c r="AU108"/>
  <c r="BE108"/>
  <c r="BC109"/>
  <c r="AE109" s="1"/>
  <c r="BA110"/>
  <c r="BB111"/>
  <c r="AZ112"/>
  <c r="AX113"/>
  <c r="BG114"/>
  <c r="AW115"/>
  <c r="BG115"/>
  <c r="AU116"/>
  <c r="BE116"/>
  <c r="BC117"/>
  <c r="AD117" s="1"/>
  <c r="BA118"/>
  <c r="BB119"/>
  <c r="AZ120"/>
  <c r="AX121"/>
  <c r="BG122"/>
  <c r="AW123"/>
  <c r="BG123"/>
  <c r="AU124"/>
  <c r="BE124"/>
  <c r="BC125"/>
  <c r="BA126"/>
  <c r="BB127"/>
  <c r="AZ128"/>
  <c r="AX129"/>
  <c r="BG130"/>
  <c r="AW131"/>
  <c r="BG131"/>
  <c r="AU132"/>
  <c r="BE132"/>
  <c r="BC133"/>
  <c r="BA134"/>
  <c r="BB135"/>
  <c r="AZ136"/>
  <c r="AX137"/>
  <c r="BF138"/>
  <c r="AU139"/>
  <c r="BC139"/>
  <c r="AW140"/>
  <c r="BE140"/>
  <c r="AZ141"/>
  <c r="BH141"/>
  <c r="BB142"/>
  <c r="AY143"/>
  <c r="BG143"/>
  <c r="BA144"/>
  <c r="BD145"/>
  <c r="AX146"/>
  <c r="BF146"/>
  <c r="AU147"/>
  <c r="BC147"/>
  <c r="AW148"/>
  <c r="BE148"/>
  <c r="AZ149"/>
  <c r="BH149"/>
  <c r="BB150"/>
  <c r="AY151"/>
  <c r="BG151"/>
  <c r="BA152"/>
  <c r="BD153"/>
  <c r="AX154"/>
  <c r="BF154"/>
  <c r="AU155"/>
  <c r="BC155"/>
  <c r="AW156"/>
  <c r="BE156"/>
  <c r="AZ157"/>
  <c r="BH157"/>
  <c r="BB158"/>
  <c r="AY159"/>
  <c r="BG159"/>
  <c r="BA160"/>
  <c r="BD161"/>
  <c r="AX162"/>
  <c r="BF162"/>
  <c r="AU163"/>
  <c r="AZ163"/>
  <c r="BF163"/>
  <c r="AW164"/>
  <c r="BB164"/>
  <c r="BH164"/>
  <c r="AY165"/>
  <c r="BD165"/>
  <c r="BA166"/>
  <c r="BF166"/>
  <c r="AX167"/>
  <c r="BC167"/>
  <c r="AD167" s="1"/>
  <c r="BH167"/>
  <c r="AZ168"/>
  <c r="BE168"/>
  <c r="BB169"/>
  <c r="BG169"/>
  <c r="AX170"/>
  <c r="BD170"/>
  <c r="AU171"/>
  <c r="AZ171"/>
  <c r="BF171"/>
  <c r="AW172"/>
  <c r="BB172"/>
  <c r="BH172"/>
  <c r="AY173"/>
  <c r="BD173"/>
  <c r="BA174"/>
  <c r="BF174"/>
  <c r="AX175"/>
  <c r="BC175"/>
  <c r="AD175" s="1"/>
  <c r="BH175"/>
  <c r="AZ176"/>
  <c r="BE176"/>
  <c r="BB177"/>
  <c r="BG177"/>
  <c r="AX178"/>
  <c r="BD178"/>
  <c r="AU179"/>
  <c r="AZ179"/>
  <c r="BF179"/>
  <c r="AW180"/>
  <c r="BB180"/>
  <c r="BH180"/>
  <c r="AY181"/>
  <c r="BD181"/>
  <c r="BA182"/>
  <c r="BF182"/>
  <c r="AX183"/>
  <c r="BC183"/>
  <c r="BH183"/>
  <c r="AZ184"/>
  <c r="BE184"/>
  <c r="BB185"/>
  <c r="BG185"/>
  <c r="AX186"/>
  <c r="BD186"/>
  <c r="AU187"/>
  <c r="AZ187"/>
  <c r="BF187"/>
  <c r="AW188"/>
  <c r="BB188"/>
  <c r="BH188"/>
  <c r="AY189"/>
  <c r="BD189"/>
  <c r="BA190"/>
  <c r="BF190"/>
  <c r="AX191"/>
  <c r="BC191"/>
  <c r="BH191"/>
  <c r="AZ192"/>
  <c r="BE192"/>
  <c r="BB193"/>
  <c r="BG193"/>
  <c r="AX194"/>
  <c r="BD194"/>
  <c r="AU195"/>
  <c r="AZ195"/>
  <c r="BF195"/>
  <c r="AW196"/>
  <c r="BB196"/>
  <c r="BH196"/>
  <c r="AY197"/>
  <c r="BD197"/>
  <c r="BA198"/>
  <c r="BF198"/>
  <c r="AX199"/>
  <c r="BC199"/>
  <c r="AE199" s="1"/>
  <c r="BH199"/>
  <c r="AZ200"/>
  <c r="BE200"/>
  <c r="BB201"/>
  <c r="BG201"/>
  <c r="AX202"/>
  <c r="BD202"/>
  <c r="AU203"/>
  <c r="AZ203"/>
  <c r="BF203"/>
  <c r="AW204"/>
  <c r="BB204"/>
  <c r="BH204"/>
  <c r="AY205"/>
  <c r="BD205"/>
  <c r="BA206"/>
  <c r="BF206"/>
  <c r="AX207"/>
  <c r="BC207"/>
  <c r="AE207" s="1"/>
  <c r="BH207"/>
  <c r="AZ208"/>
  <c r="BE208"/>
  <c r="BB209"/>
  <c r="BG209"/>
  <c r="AX210"/>
  <c r="BD210"/>
  <c r="AU211"/>
  <c r="AZ211"/>
  <c r="BF211"/>
  <c r="AW212"/>
  <c r="BB212"/>
  <c r="BH212"/>
  <c r="AY213"/>
  <c r="BD213"/>
  <c r="BA214"/>
  <c r="BF214"/>
  <c r="AX215"/>
  <c r="BC215"/>
  <c r="BH215"/>
  <c r="AZ216"/>
  <c r="BE216"/>
  <c r="BB217"/>
  <c r="BG217"/>
  <c r="AX218"/>
  <c r="BD218"/>
  <c r="AU219"/>
  <c r="AZ219"/>
  <c r="BF219"/>
  <c r="AW220"/>
  <c r="BB220"/>
  <c r="BH220"/>
  <c r="AY221"/>
  <c r="BD221"/>
  <c r="BA222"/>
  <c r="BF222"/>
  <c r="AX223"/>
  <c r="BC223"/>
  <c r="AE223" s="1"/>
  <c r="BH223"/>
  <c r="AX224"/>
  <c r="BB224"/>
  <c r="BF224"/>
  <c r="AZ225"/>
  <c r="BD225"/>
  <c r="BH225"/>
  <c r="AX226"/>
  <c r="BB226"/>
  <c r="BF226"/>
  <c r="AZ227"/>
  <c r="BD227"/>
  <c r="BH227"/>
  <c r="AX228"/>
  <c r="BB228"/>
  <c r="BF228"/>
  <c r="AZ229"/>
  <c r="BD229"/>
  <c r="BH229"/>
  <c r="AX230"/>
  <c r="BB230"/>
  <c r="BF230"/>
  <c r="AZ231"/>
  <c r="BD231"/>
  <c r="BH231"/>
  <c r="AX232"/>
  <c r="BB232"/>
  <c r="BF232"/>
  <c r="AZ233"/>
  <c r="BD233"/>
  <c r="BH233"/>
  <c r="AX234"/>
  <c r="BB234"/>
  <c r="BF234"/>
  <c r="AZ235"/>
  <c r="BD235"/>
  <c r="BH235"/>
  <c r="AX236"/>
  <c r="BB236"/>
  <c r="BF236"/>
  <c r="AZ237"/>
  <c r="BD237"/>
  <c r="BH237"/>
  <c r="AX238"/>
  <c r="BB238"/>
  <c r="BF238"/>
  <c r="AZ239"/>
  <c r="BD239"/>
  <c r="BH239"/>
  <c r="AX240"/>
  <c r="BB240"/>
  <c r="BF240"/>
  <c r="AZ241"/>
  <c r="BD241"/>
  <c r="BH241"/>
  <c r="AX242"/>
  <c r="BB242"/>
  <c r="BF242"/>
  <c r="AZ243"/>
  <c r="BD243"/>
  <c r="BH243"/>
  <c r="AX244"/>
  <c r="BB244"/>
  <c r="BF244"/>
  <c r="AZ245"/>
  <c r="BD245"/>
  <c r="BH245"/>
  <c r="AX246"/>
  <c r="BB246"/>
  <c r="BF246"/>
  <c r="AZ247"/>
  <c r="BD247"/>
  <c r="BH247"/>
  <c r="AX248"/>
  <c r="BB248"/>
  <c r="BF248"/>
  <c r="AZ249"/>
  <c r="BD249"/>
  <c r="BH249"/>
  <c r="AX250"/>
  <c r="BB250"/>
  <c r="BF250"/>
  <c r="AZ251"/>
  <c r="BD251"/>
  <c r="BH251"/>
  <c r="AX252"/>
  <c r="BB252"/>
  <c r="BF252"/>
  <c r="AZ253"/>
  <c r="BD253"/>
  <c r="BH253"/>
  <c r="AX254"/>
  <c r="BB254"/>
  <c r="BF254"/>
  <c r="AZ255"/>
  <c r="BD255"/>
  <c r="BH255"/>
  <c r="AX256"/>
  <c r="BB256"/>
  <c r="BF256"/>
  <c r="AZ257"/>
  <c r="BD257"/>
  <c r="BH257"/>
  <c r="AX258"/>
  <c r="BB258"/>
  <c r="BF258"/>
  <c r="AZ259"/>
  <c r="BD259"/>
  <c r="BH259"/>
  <c r="AX260"/>
  <c r="BB260"/>
  <c r="BF260"/>
  <c r="AZ261"/>
  <c r="BD261"/>
  <c r="BH261"/>
  <c r="AX262"/>
  <c r="BB262"/>
  <c r="BF262"/>
  <c r="AZ263"/>
  <c r="BD263"/>
  <c r="BH263"/>
  <c r="AX264"/>
  <c r="BB264"/>
  <c r="BF264"/>
  <c r="AZ265"/>
  <c r="BD265"/>
  <c r="BH265"/>
  <c r="AX266"/>
  <c r="BB266"/>
  <c r="BF266"/>
  <c r="AZ267"/>
  <c r="BD267"/>
  <c r="BH267"/>
  <c r="AX268"/>
  <c r="BB268"/>
  <c r="BF268"/>
  <c r="AZ269"/>
  <c r="BD269"/>
  <c r="BH269"/>
  <c r="AX270"/>
  <c r="BB270"/>
  <c r="BF270"/>
  <c r="AZ271"/>
  <c r="BD271"/>
  <c r="BH271"/>
  <c r="AX272"/>
  <c r="BB272"/>
  <c r="BF272"/>
  <c r="AZ273"/>
  <c r="BD273"/>
  <c r="BH273"/>
  <c r="AX274"/>
  <c r="BB274"/>
  <c r="BF274"/>
  <c r="AZ275"/>
  <c r="BD275"/>
  <c r="BH275"/>
  <c r="AX276"/>
  <c r="BB276"/>
  <c r="BF276"/>
  <c r="AZ277"/>
  <c r="BD277"/>
  <c r="BH277"/>
  <c r="AX278"/>
  <c r="BB278"/>
  <c r="BF278"/>
  <c r="AZ279"/>
  <c r="BD279"/>
  <c r="BH279"/>
  <c r="AX280"/>
  <c r="BB280"/>
  <c r="BF280"/>
  <c r="AZ281"/>
  <c r="BD281"/>
  <c r="BH281"/>
  <c r="AX282"/>
  <c r="BB282"/>
  <c r="BF282"/>
  <c r="AZ283"/>
  <c r="BD283"/>
  <c r="BH283"/>
  <c r="AX284"/>
  <c r="BB284"/>
  <c r="BF284"/>
  <c r="AZ285"/>
  <c r="BD285"/>
  <c r="BH285"/>
  <c r="AX286"/>
  <c r="BB286"/>
  <c r="BF286"/>
  <c r="AZ287"/>
  <c r="BD287"/>
  <c r="BH287"/>
  <c r="AX288"/>
  <c r="BB288"/>
  <c r="BF288"/>
  <c r="AZ289"/>
  <c r="BD289"/>
  <c r="BH289"/>
  <c r="AX290"/>
  <c r="BB290"/>
  <c r="BF290"/>
  <c r="AZ291"/>
  <c r="BD291"/>
  <c r="BH291"/>
  <c r="AX292"/>
  <c r="BB292"/>
  <c r="BF292"/>
  <c r="AZ293"/>
  <c r="BD293"/>
  <c r="BH293"/>
  <c r="AX294"/>
  <c r="BB294"/>
  <c r="BF294"/>
  <c r="AZ295"/>
  <c r="BD295"/>
  <c r="BH295"/>
  <c r="AX296"/>
  <c r="BB296"/>
  <c r="BF296"/>
  <c r="AZ297"/>
  <c r="BD297"/>
  <c r="BH297"/>
  <c r="AX298"/>
  <c r="BB298"/>
  <c r="BF298"/>
  <c r="AZ299"/>
  <c r="BD299"/>
  <c r="BH299"/>
  <c r="AX300"/>
  <c r="BB300"/>
  <c r="BF300"/>
  <c r="AZ301"/>
  <c r="BD301"/>
  <c r="BH301"/>
  <c r="AX302"/>
  <c r="BB302"/>
  <c r="BF302"/>
  <c r="AZ303"/>
  <c r="BD303"/>
  <c r="BH303"/>
  <c r="AX304"/>
  <c r="BB304"/>
  <c r="BF304"/>
  <c r="AZ305"/>
  <c r="BD305"/>
  <c r="BH305"/>
  <c r="AX306"/>
  <c r="BB306"/>
  <c r="BF306"/>
  <c r="AZ307"/>
  <c r="BD307"/>
  <c r="BH307"/>
  <c r="BH18"/>
  <c r="BH20"/>
  <c r="BC24"/>
  <c r="AX25"/>
  <c r="BF27"/>
  <c r="BA30"/>
  <c r="AX31"/>
  <c r="BE34"/>
  <c r="AW35"/>
  <c r="AY37"/>
  <c r="AY39"/>
  <c r="AZ41"/>
  <c r="AU42"/>
  <c r="BB44"/>
  <c r="AZ45"/>
  <c r="BB48"/>
  <c r="BG50"/>
  <c r="AU51"/>
  <c r="BG52"/>
  <c r="AY53"/>
  <c r="AX55"/>
  <c r="BG56"/>
  <c r="AY57"/>
  <c r="AX59"/>
  <c r="BG60"/>
  <c r="AY61"/>
  <c r="AX63"/>
  <c r="BG64"/>
  <c r="AY65"/>
  <c r="AX67"/>
  <c r="BG68"/>
  <c r="AY69"/>
  <c r="BF70"/>
  <c r="AX71"/>
  <c r="AZ72"/>
  <c r="BD73"/>
  <c r="BF74"/>
  <c r="AU75"/>
  <c r="BH75"/>
  <c r="AU77"/>
  <c r="AW78"/>
  <c r="BC79"/>
  <c r="BE80"/>
  <c r="AX82"/>
  <c r="BD83"/>
  <c r="BB84"/>
  <c r="BB85"/>
  <c r="AY86"/>
  <c r="AW87"/>
  <c r="BH87"/>
  <c r="BD88"/>
  <c r="BA89"/>
  <c r="BB90"/>
  <c r="AX91"/>
  <c r="BG92"/>
  <c r="AW93"/>
  <c r="BH93"/>
  <c r="BD94"/>
  <c r="BC95"/>
  <c r="BA96"/>
  <c r="BB97"/>
  <c r="AZ98"/>
  <c r="AX99"/>
  <c r="BG100"/>
  <c r="AW101"/>
  <c r="BG101"/>
  <c r="AU102"/>
  <c r="BE102"/>
  <c r="BC103"/>
  <c r="AE103" s="1"/>
  <c r="BA104"/>
  <c r="BB105"/>
  <c r="AZ106"/>
  <c r="AX107"/>
  <c r="BG108"/>
  <c r="AW109"/>
  <c r="BG109"/>
  <c r="AU110"/>
  <c r="BE110"/>
  <c r="BC111"/>
  <c r="BA112"/>
  <c r="BB113"/>
  <c r="AZ114"/>
  <c r="AX115"/>
  <c r="BG116"/>
  <c r="AW117"/>
  <c r="BG117"/>
  <c r="AU118"/>
  <c r="BE118"/>
  <c r="BC119"/>
  <c r="BA120"/>
  <c r="BB121"/>
  <c r="AZ122"/>
  <c r="AX123"/>
  <c r="BG124"/>
  <c r="AW125"/>
  <c r="BG125"/>
  <c r="AU126"/>
  <c r="BE126"/>
  <c r="BC127"/>
  <c r="BA128"/>
  <c r="BB129"/>
  <c r="AZ130"/>
  <c r="AX131"/>
  <c r="BG132"/>
  <c r="AW133"/>
  <c r="BG133"/>
  <c r="AU134"/>
  <c r="BE134"/>
  <c r="BC135"/>
  <c r="BA136"/>
  <c r="BB137"/>
  <c r="AZ138"/>
  <c r="BD139"/>
  <c r="AX140"/>
  <c r="BF140"/>
  <c r="AU141"/>
  <c r="BC141"/>
  <c r="AW142"/>
  <c r="BE142"/>
  <c r="AZ143"/>
  <c r="BH143"/>
  <c r="BB144"/>
  <c r="AY145"/>
  <c r="BG145"/>
  <c r="BA146"/>
  <c r="BD147"/>
  <c r="AX148"/>
  <c r="BF148"/>
  <c r="AU149"/>
  <c r="BC149"/>
  <c r="AE149" s="1"/>
  <c r="AW150"/>
  <c r="BE150"/>
  <c r="AZ151"/>
  <c r="BH151"/>
  <c r="BB152"/>
  <c r="AY153"/>
  <c r="BG153"/>
  <c r="BA154"/>
  <c r="BD155"/>
  <c r="AX156"/>
  <c r="BF156"/>
  <c r="AU157"/>
  <c r="BC157"/>
  <c r="AE157" s="1"/>
  <c r="AW158"/>
  <c r="BE158"/>
  <c r="AZ159"/>
  <c r="BH159"/>
  <c r="BB160"/>
  <c r="AY161"/>
  <c r="BG161"/>
  <c r="BA162"/>
  <c r="BB163"/>
  <c r="BG163"/>
  <c r="AX164"/>
  <c r="BD164"/>
  <c r="AU165"/>
  <c r="AZ165"/>
  <c r="BF165"/>
  <c r="AW166"/>
  <c r="BB166"/>
  <c r="BH166"/>
  <c r="AY167"/>
  <c r="BD167"/>
  <c r="BA168"/>
  <c r="BF168"/>
  <c r="AX169"/>
  <c r="BC169"/>
  <c r="AE169" s="1"/>
  <c r="BH169"/>
  <c r="AZ170"/>
  <c r="BE170"/>
  <c r="BB171"/>
  <c r="BG171"/>
  <c r="AX172"/>
  <c r="BD172"/>
  <c r="AU173"/>
  <c r="AZ173"/>
  <c r="BF173"/>
  <c r="AW174"/>
  <c r="BB174"/>
  <c r="BH174"/>
  <c r="AY175"/>
  <c r="BD175"/>
  <c r="BA176"/>
  <c r="BF176"/>
  <c r="AX177"/>
  <c r="BC177"/>
  <c r="BH177"/>
  <c r="AZ178"/>
  <c r="BE178"/>
  <c r="BB179"/>
  <c r="BG179"/>
  <c r="AX180"/>
  <c r="BD180"/>
  <c r="BI180" s="1"/>
  <c r="AU181"/>
  <c r="AZ181"/>
  <c r="BF181"/>
  <c r="AW182"/>
  <c r="BB182"/>
  <c r="BH182"/>
  <c r="AY183"/>
  <c r="BD183"/>
  <c r="BA184"/>
  <c r="BF184"/>
  <c r="AX185"/>
  <c r="BC185"/>
  <c r="BH185"/>
  <c r="AZ186"/>
  <c r="BE186"/>
  <c r="BB187"/>
  <c r="BG187"/>
  <c r="AX188"/>
  <c r="BD188"/>
  <c r="AU189"/>
  <c r="AZ189"/>
  <c r="BF189"/>
  <c r="AW190"/>
  <c r="BB190"/>
  <c r="BH190"/>
  <c r="AY191"/>
  <c r="BD191"/>
  <c r="BA192"/>
  <c r="BF192"/>
  <c r="AX193"/>
  <c r="BC193"/>
  <c r="BH193"/>
  <c r="AZ194"/>
  <c r="BE194"/>
  <c r="BB195"/>
  <c r="BG195"/>
  <c r="AX196"/>
  <c r="BD196"/>
  <c r="AU197"/>
  <c r="AZ197"/>
  <c r="BF197"/>
  <c r="AW198"/>
  <c r="BB198"/>
  <c r="BH198"/>
  <c r="AY199"/>
  <c r="BD199"/>
  <c r="BA200"/>
  <c r="BF200"/>
  <c r="AX201"/>
  <c r="BC201"/>
  <c r="AD201" s="1"/>
  <c r="BH201"/>
  <c r="AZ202"/>
  <c r="BE202"/>
  <c r="BB203"/>
  <c r="BG203"/>
  <c r="AX204"/>
  <c r="BD204"/>
  <c r="AU205"/>
  <c r="AZ205"/>
  <c r="BF205"/>
  <c r="AW206"/>
  <c r="BB206"/>
  <c r="BH206"/>
  <c r="AY207"/>
  <c r="BD207"/>
  <c r="BA208"/>
  <c r="BF208"/>
  <c r="AX209"/>
  <c r="BC209"/>
  <c r="BH209"/>
  <c r="AZ210"/>
  <c r="BE210"/>
  <c r="BB211"/>
  <c r="BG211"/>
  <c r="AX212"/>
  <c r="BD212"/>
  <c r="BI212" s="1"/>
  <c r="AU213"/>
  <c r="AZ213"/>
  <c r="BF213"/>
  <c r="AW214"/>
  <c r="BB214"/>
  <c r="BH214"/>
  <c r="AY215"/>
  <c r="BD215"/>
  <c r="BA216"/>
  <c r="BF216"/>
  <c r="AX217"/>
  <c r="BC217"/>
  <c r="AD217" s="1"/>
  <c r="BH217"/>
  <c r="AZ218"/>
  <c r="BE218"/>
  <c r="BB219"/>
  <c r="BG219"/>
  <c r="AX220"/>
  <c r="BD220"/>
  <c r="AU221"/>
  <c r="AZ221"/>
  <c r="BF221"/>
  <c r="AW222"/>
  <c r="BB222"/>
  <c r="BH222"/>
  <c r="AY223"/>
  <c r="BD223"/>
  <c r="AU224"/>
  <c r="AY224"/>
  <c r="BC224"/>
  <c r="BG224"/>
  <c r="AW225"/>
  <c r="BA225"/>
  <c r="BE225"/>
  <c r="AU226"/>
  <c r="AY226"/>
  <c r="BC226"/>
  <c r="BG226"/>
  <c r="AW227"/>
  <c r="BA227"/>
  <c r="BE227"/>
  <c r="AU228"/>
  <c r="AY228"/>
  <c r="BC228"/>
  <c r="BG228"/>
  <c r="AW229"/>
  <c r="BA229"/>
  <c r="BE229"/>
  <c r="AU230"/>
  <c r="AY230"/>
  <c r="BC230"/>
  <c r="BG230"/>
  <c r="AW231"/>
  <c r="BA231"/>
  <c r="BE231"/>
  <c r="AU232"/>
  <c r="AY232"/>
  <c r="BC232"/>
  <c r="BG232"/>
  <c r="AW233"/>
  <c r="BA233"/>
  <c r="BE233"/>
  <c r="AU234"/>
  <c r="AY234"/>
  <c r="BC234"/>
  <c r="BG234"/>
  <c r="AW235"/>
  <c r="BA235"/>
  <c r="BE235"/>
  <c r="AU236"/>
  <c r="AY236"/>
  <c r="BC236"/>
  <c r="BG236"/>
  <c r="AW237"/>
  <c r="BA237"/>
  <c r="BE237"/>
  <c r="AU238"/>
  <c r="AY238"/>
  <c r="BC238"/>
  <c r="BG238"/>
  <c r="AW239"/>
  <c r="BA239"/>
  <c r="BE239"/>
  <c r="AU240"/>
  <c r="AY240"/>
  <c r="BC240"/>
  <c r="BG240"/>
  <c r="AW241"/>
  <c r="BA241"/>
  <c r="BE241"/>
  <c r="AU242"/>
  <c r="AY242"/>
  <c r="BC242"/>
  <c r="BG242"/>
  <c r="AW243"/>
  <c r="BA243"/>
  <c r="BE243"/>
  <c r="AU244"/>
  <c r="AY244"/>
  <c r="BC244"/>
  <c r="BG244"/>
  <c r="AW245"/>
  <c r="BA245"/>
  <c r="BE245"/>
  <c r="AU246"/>
  <c r="AY246"/>
  <c r="BC246"/>
  <c r="BG246"/>
  <c r="AW247"/>
  <c r="BA247"/>
  <c r="BE247"/>
  <c r="AU248"/>
  <c r="AY248"/>
  <c r="BC248"/>
  <c r="BG248"/>
  <c r="AW249"/>
  <c r="BA249"/>
  <c r="BE249"/>
  <c r="AU250"/>
  <c r="AY250"/>
  <c r="BC250"/>
  <c r="BG250"/>
  <c r="AW251"/>
  <c r="BA251"/>
  <c r="BE251"/>
  <c r="AU252"/>
  <c r="AY252"/>
  <c r="BC252"/>
  <c r="BG252"/>
  <c r="AW253"/>
  <c r="BA253"/>
  <c r="BE253"/>
  <c r="AU254"/>
  <c r="AY254"/>
  <c r="BC254"/>
  <c r="AD254" s="1"/>
  <c r="BG254"/>
  <c r="AW255"/>
  <c r="BA255"/>
  <c r="BE255"/>
  <c r="AU256"/>
  <c r="AY256"/>
  <c r="BC256"/>
  <c r="BG256"/>
  <c r="AW257"/>
  <c r="BA257"/>
  <c r="BE257"/>
  <c r="AU258"/>
  <c r="AY258"/>
  <c r="BC258"/>
  <c r="AD258" s="1"/>
  <c r="BG258"/>
  <c r="AW259"/>
  <c r="BA259"/>
  <c r="BE259"/>
  <c r="AU260"/>
  <c r="AY260"/>
  <c r="BC260"/>
  <c r="BG260"/>
  <c r="AW261"/>
  <c r="BA261"/>
  <c r="BE261"/>
  <c r="AU262"/>
  <c r="AY262"/>
  <c r="BC262"/>
  <c r="BG262"/>
  <c r="AW263"/>
  <c r="BA263"/>
  <c r="BE263"/>
  <c r="AU264"/>
  <c r="AY264"/>
  <c r="BC264"/>
  <c r="BG264"/>
  <c r="AW265"/>
  <c r="BA265"/>
  <c r="BE265"/>
  <c r="AU266"/>
  <c r="AY266"/>
  <c r="BC266"/>
  <c r="AE266" s="1"/>
  <c r="BG266"/>
  <c r="AW267"/>
  <c r="BA267"/>
  <c r="BE267"/>
  <c r="AU268"/>
  <c r="AY268"/>
  <c r="BC268"/>
  <c r="BG268"/>
  <c r="AW269"/>
  <c r="BA269"/>
  <c r="BE269"/>
  <c r="AU270"/>
  <c r="AY270"/>
  <c r="BC270"/>
  <c r="AE270" s="1"/>
  <c r="BG270"/>
  <c r="AW271"/>
  <c r="BA271"/>
  <c r="BE271"/>
  <c r="AU272"/>
  <c r="AY272"/>
  <c r="BC272"/>
  <c r="BG272"/>
  <c r="AW273"/>
  <c r="BA273"/>
  <c r="BE273"/>
  <c r="AU274"/>
  <c r="AY274"/>
  <c r="BC274"/>
  <c r="AD274" s="1"/>
  <c r="BG274"/>
  <c r="AW275"/>
  <c r="BA275"/>
  <c r="BE275"/>
  <c r="AU276"/>
  <c r="AY276"/>
  <c r="BC276"/>
  <c r="AE276" s="1"/>
  <c r="BG276"/>
  <c r="AW277"/>
  <c r="BA277"/>
  <c r="BE277"/>
  <c r="AU278"/>
  <c r="AY278"/>
  <c r="BC278"/>
  <c r="BG278"/>
  <c r="AW279"/>
  <c r="BA279"/>
  <c r="BE279"/>
  <c r="AU280"/>
  <c r="AY280"/>
  <c r="BC280"/>
  <c r="BG280"/>
  <c r="AW281"/>
  <c r="BA281"/>
  <c r="BE281"/>
  <c r="AU282"/>
  <c r="AY282"/>
  <c r="BC282"/>
  <c r="BG282"/>
  <c r="AW283"/>
  <c r="BA283"/>
  <c r="BE283"/>
  <c r="AU284"/>
  <c r="AY284"/>
  <c r="BC284"/>
  <c r="BG284"/>
  <c r="AW285"/>
  <c r="BA285"/>
  <c r="BE285"/>
  <c r="AU286"/>
  <c r="AY286"/>
  <c r="BC286"/>
  <c r="BG286"/>
  <c r="AW287"/>
  <c r="BA287"/>
  <c r="BE287"/>
  <c r="AU288"/>
  <c r="AY288"/>
  <c r="BC288"/>
  <c r="BG288"/>
  <c r="AW289"/>
  <c r="BA289"/>
  <c r="BE289"/>
  <c r="AU290"/>
  <c r="AY290"/>
  <c r="BC290"/>
  <c r="BG290"/>
  <c r="AW291"/>
  <c r="BA291"/>
  <c r="BE291"/>
  <c r="AU292"/>
  <c r="AY292"/>
  <c r="BC292"/>
  <c r="BG292"/>
  <c r="AW293"/>
  <c r="BA293"/>
  <c r="BE293"/>
  <c r="AU294"/>
  <c r="AY294"/>
  <c r="BC294"/>
  <c r="BG294"/>
  <c r="AW295"/>
  <c r="BA295"/>
  <c r="BE295"/>
  <c r="AU296"/>
  <c r="AY296"/>
  <c r="BC296"/>
  <c r="BG296"/>
  <c r="AW297"/>
  <c r="BA297"/>
  <c r="BE297"/>
  <c r="AU298"/>
  <c r="AY298"/>
  <c r="BC298"/>
  <c r="BG298"/>
  <c r="AW299"/>
  <c r="BA299"/>
  <c r="BE299"/>
  <c r="AU300"/>
  <c r="AY300"/>
  <c r="BC300"/>
  <c r="BG300"/>
  <c r="AW301"/>
  <c r="BA301"/>
  <c r="BE301"/>
  <c r="AU302"/>
  <c r="AY302"/>
  <c r="BC302"/>
  <c r="BG302"/>
  <c r="AW303"/>
  <c r="BA303"/>
  <c r="BE303"/>
  <c r="AU304"/>
  <c r="AY304"/>
  <c r="BC304"/>
  <c r="BG304"/>
  <c r="AW305"/>
  <c r="BA305"/>
  <c r="BE305"/>
  <c r="AU306"/>
  <c r="AY306"/>
  <c r="BC306"/>
  <c r="BG306"/>
  <c r="AW307"/>
  <c r="BA307"/>
  <c r="BE307"/>
  <c r="AU308"/>
  <c r="AY308"/>
  <c r="BC308"/>
  <c r="BG308"/>
  <c r="AW309"/>
  <c r="BA309"/>
  <c r="BE309"/>
  <c r="AU310"/>
  <c r="AY310"/>
  <c r="BF19"/>
  <c r="BC21"/>
  <c r="AY22"/>
  <c r="BA25"/>
  <c r="BD26"/>
  <c r="AU40"/>
  <c r="BG42"/>
  <c r="AU43"/>
  <c r="BE46"/>
  <c r="BC47"/>
  <c r="BF48"/>
  <c r="BC49"/>
  <c r="BF55"/>
  <c r="BA57"/>
  <c r="AW58"/>
  <c r="BF63"/>
  <c r="BA65"/>
  <c r="AW66"/>
  <c r="BD71"/>
  <c r="BE72"/>
  <c r="BB75"/>
  <c r="AZ76"/>
  <c r="BD79"/>
  <c r="BE83"/>
  <c r="AU84"/>
  <c r="BD85"/>
  <c r="BB87"/>
  <c r="AX88"/>
  <c r="BE89"/>
  <c r="BD91"/>
  <c r="AZ92"/>
  <c r="BF94"/>
  <c r="BE96"/>
  <c r="BA98"/>
  <c r="BB101"/>
  <c r="BG103"/>
  <c r="AU104"/>
  <c r="BC105"/>
  <c r="BC107"/>
  <c r="AD107" s="1"/>
  <c r="AZ108"/>
  <c r="BG110"/>
  <c r="AW111"/>
  <c r="BE112"/>
  <c r="BA114"/>
  <c r="BB117"/>
  <c r="BG119"/>
  <c r="AU120"/>
  <c r="BC121"/>
  <c r="BC123"/>
  <c r="AD123" s="1"/>
  <c r="AZ124"/>
  <c r="BG126"/>
  <c r="AW127"/>
  <c r="BE128"/>
  <c r="BA130"/>
  <c r="BB133"/>
  <c r="BG135"/>
  <c r="AU136"/>
  <c r="BC137"/>
  <c r="AE137" s="1"/>
  <c r="AZ139"/>
  <c r="BB140"/>
  <c r="BA142"/>
  <c r="BD143"/>
  <c r="AW144"/>
  <c r="AZ145"/>
  <c r="BB146"/>
  <c r="BH147"/>
  <c r="BD149"/>
  <c r="BE152"/>
  <c r="BH153"/>
  <c r="AZ155"/>
  <c r="BB156"/>
  <c r="BA158"/>
  <c r="BD159"/>
  <c r="AW160"/>
  <c r="AZ161"/>
  <c r="BB162"/>
  <c r="BD163"/>
  <c r="BA164"/>
  <c r="BB165"/>
  <c r="AX166"/>
  <c r="BG167"/>
  <c r="AW168"/>
  <c r="BH168"/>
  <c r="BD169"/>
  <c r="BB170"/>
  <c r="AY171"/>
  <c r="BF172"/>
  <c r="BG173"/>
  <c r="BD174"/>
  <c r="BB175"/>
  <c r="BB176"/>
  <c r="AY177"/>
  <c r="AW178"/>
  <c r="BH178"/>
  <c r="BD179"/>
  <c r="BI179" s="1"/>
  <c r="BA180"/>
  <c r="BB181"/>
  <c r="AX182"/>
  <c r="BG183"/>
  <c r="AW184"/>
  <c r="BH184"/>
  <c r="BD185"/>
  <c r="BB186"/>
  <c r="AY187"/>
  <c r="BF188"/>
  <c r="BG189"/>
  <c r="BD190"/>
  <c r="BB191"/>
  <c r="BB192"/>
  <c r="AY193"/>
  <c r="AW194"/>
  <c r="BH194"/>
  <c r="BD195"/>
  <c r="BI195" s="1"/>
  <c r="BA196"/>
  <c r="BB197"/>
  <c r="AX198"/>
  <c r="BG199"/>
  <c r="AW200"/>
  <c r="BH200"/>
  <c r="BD201"/>
  <c r="BB202"/>
  <c r="AY203"/>
  <c r="BF204"/>
  <c r="BG205"/>
  <c r="BD206"/>
  <c r="BB207"/>
  <c r="BB208"/>
  <c r="AY209"/>
  <c r="AW210"/>
  <c r="BH210"/>
  <c r="BD211"/>
  <c r="BI211" s="1"/>
  <c r="BA212"/>
  <c r="BB213"/>
  <c r="AX214"/>
  <c r="BG215"/>
  <c r="AW216"/>
  <c r="BH216"/>
  <c r="BD217"/>
  <c r="BB218"/>
  <c r="AY219"/>
  <c r="BF220"/>
  <c r="BG221"/>
  <c r="BD222"/>
  <c r="BB223"/>
  <c r="AZ224"/>
  <c r="BH224"/>
  <c r="BB225"/>
  <c r="AW226"/>
  <c r="BE226"/>
  <c r="AY227"/>
  <c r="BG227"/>
  <c r="BD228"/>
  <c r="AX229"/>
  <c r="BF229"/>
  <c r="BA230"/>
  <c r="AU231"/>
  <c r="BC231"/>
  <c r="AZ232"/>
  <c r="BH232"/>
  <c r="BB233"/>
  <c r="AW234"/>
  <c r="BE234"/>
  <c r="AY235"/>
  <c r="BG235"/>
  <c r="BD236"/>
  <c r="AX237"/>
  <c r="BF237"/>
  <c r="BA238"/>
  <c r="AU239"/>
  <c r="BC239"/>
  <c r="AD239" s="1"/>
  <c r="AZ240"/>
  <c r="BH240"/>
  <c r="BB241"/>
  <c r="AW242"/>
  <c r="BE242"/>
  <c r="AY243"/>
  <c r="BG243"/>
  <c r="BD244"/>
  <c r="AX245"/>
  <c r="BF245"/>
  <c r="BA246"/>
  <c r="AU247"/>
  <c r="BC247"/>
  <c r="AE247" s="1"/>
  <c r="AZ248"/>
  <c r="BH248"/>
  <c r="BB249"/>
  <c r="AW250"/>
  <c r="BE250"/>
  <c r="AY251"/>
  <c r="BG251"/>
  <c r="BD252"/>
  <c r="BI252" s="1"/>
  <c r="AX253"/>
  <c r="BF253"/>
  <c r="BA254"/>
  <c r="AU255"/>
  <c r="BC255"/>
  <c r="AZ256"/>
  <c r="BH256"/>
  <c r="BB257"/>
  <c r="AW258"/>
  <c r="BE258"/>
  <c r="AY259"/>
  <c r="BG259"/>
  <c r="BD260"/>
  <c r="AX261"/>
  <c r="BF261"/>
  <c r="BA262"/>
  <c r="AU263"/>
  <c r="BC263"/>
  <c r="AE263" s="1"/>
  <c r="AZ264"/>
  <c r="BH264"/>
  <c r="BB265"/>
  <c r="AW266"/>
  <c r="BE266"/>
  <c r="AY267"/>
  <c r="BG267"/>
  <c r="BD268"/>
  <c r="AX269"/>
  <c r="BF269"/>
  <c r="BA270"/>
  <c r="AU271"/>
  <c r="BC271"/>
  <c r="AE271" s="1"/>
  <c r="AZ272"/>
  <c r="BH272"/>
  <c r="BB273"/>
  <c r="AW274"/>
  <c r="BE274"/>
  <c r="AY275"/>
  <c r="BG275"/>
  <c r="BD276"/>
  <c r="AX277"/>
  <c r="BF277"/>
  <c r="BA278"/>
  <c r="AU279"/>
  <c r="BC279"/>
  <c r="AE279" s="1"/>
  <c r="AZ280"/>
  <c r="BH280"/>
  <c r="BB281"/>
  <c r="AW282"/>
  <c r="BE282"/>
  <c r="AY283"/>
  <c r="BG283"/>
  <c r="BD284"/>
  <c r="BI284" s="1"/>
  <c r="AX285"/>
  <c r="BF285"/>
  <c r="BA286"/>
  <c r="AU287"/>
  <c r="BC287"/>
  <c r="AD287" s="1"/>
  <c r="AZ288"/>
  <c r="BH288"/>
  <c r="BB289"/>
  <c r="AW290"/>
  <c r="BE290"/>
  <c r="AY291"/>
  <c r="BG291"/>
  <c r="BD292"/>
  <c r="AX293"/>
  <c r="BF293"/>
  <c r="BA294"/>
  <c r="AU295"/>
  <c r="BC295"/>
  <c r="AE295" s="1"/>
  <c r="AZ296"/>
  <c r="BH296"/>
  <c r="BB297"/>
  <c r="AW298"/>
  <c r="BE298"/>
  <c r="AY299"/>
  <c r="BG299"/>
  <c r="BD300"/>
  <c r="AX301"/>
  <c r="BF301"/>
  <c r="BA302"/>
  <c r="AU303"/>
  <c r="BC303"/>
  <c r="AE303" s="1"/>
  <c r="AZ304"/>
  <c r="BH304"/>
  <c r="BB305"/>
  <c r="AW306"/>
  <c r="BE306"/>
  <c r="AY307"/>
  <c r="BG307"/>
  <c r="BA308"/>
  <c r="BF308"/>
  <c r="AX309"/>
  <c r="BC309"/>
  <c r="AD309" s="1"/>
  <c r="BH309"/>
  <c r="AZ310"/>
  <c r="BD310"/>
  <c r="BH310"/>
  <c r="AX311"/>
  <c r="BB311"/>
  <c r="BF311"/>
  <c r="AZ312"/>
  <c r="BD312"/>
  <c r="BH312"/>
  <c r="AX313"/>
  <c r="BB313"/>
  <c r="BF313"/>
  <c r="AZ314"/>
  <c r="BD314"/>
  <c r="BH314"/>
  <c r="AX315"/>
  <c r="BB315"/>
  <c r="BF315"/>
  <c r="AZ316"/>
  <c r="BD316"/>
  <c r="BH316"/>
  <c r="AX317"/>
  <c r="BB317"/>
  <c r="BF317"/>
  <c r="AZ318"/>
  <c r="BD318"/>
  <c r="BH318"/>
  <c r="AX319"/>
  <c r="BB319"/>
  <c r="BF319"/>
  <c r="AZ320"/>
  <c r="BD320"/>
  <c r="BH320"/>
  <c r="AX321"/>
  <c r="BB321"/>
  <c r="BF321"/>
  <c r="AZ322"/>
  <c r="BD322"/>
  <c r="BH322"/>
  <c r="AX323"/>
  <c r="BB323"/>
  <c r="BF323"/>
  <c r="AZ324"/>
  <c r="BD324"/>
  <c r="BH324"/>
  <c r="AX325"/>
  <c r="BB325"/>
  <c r="BF325"/>
  <c r="AZ326"/>
  <c r="BD326"/>
  <c r="BH326"/>
  <c r="AX327"/>
  <c r="BB327"/>
  <c r="BF327"/>
  <c r="AZ328"/>
  <c r="BD328"/>
  <c r="BH328"/>
  <c r="AX329"/>
  <c r="BB329"/>
  <c r="BF329"/>
  <c r="AZ330"/>
  <c r="BD330"/>
  <c r="BH330"/>
  <c r="AX331"/>
  <c r="BB331"/>
  <c r="BF331"/>
  <c r="AZ332"/>
  <c r="BD332"/>
  <c r="BH332"/>
  <c r="AX333"/>
  <c r="BB333"/>
  <c r="BF333"/>
  <c r="AZ334"/>
  <c r="BD334"/>
  <c r="BH334"/>
  <c r="AX335"/>
  <c r="BB335"/>
  <c r="BF335"/>
  <c r="AZ336"/>
  <c r="BD336"/>
  <c r="BH336"/>
  <c r="AX337"/>
  <c r="BB337"/>
  <c r="BF337"/>
  <c r="AZ338"/>
  <c r="BD338"/>
  <c r="BH338"/>
  <c r="AX339"/>
  <c r="BB339"/>
  <c r="BF339"/>
  <c r="AZ340"/>
  <c r="BD340"/>
  <c r="BH340"/>
  <c r="AX341"/>
  <c r="BB341"/>
  <c r="BF341"/>
  <c r="AZ342"/>
  <c r="BD342"/>
  <c r="BH342"/>
  <c r="AX343"/>
  <c r="BB343"/>
  <c r="BF343"/>
  <c r="AZ344"/>
  <c r="BD344"/>
  <c r="BH344"/>
  <c r="AX345"/>
  <c r="BB345"/>
  <c r="BF345"/>
  <c r="AZ346"/>
  <c r="BD346"/>
  <c r="BH346"/>
  <c r="AX347"/>
  <c r="BB347"/>
  <c r="BF347"/>
  <c r="AZ348"/>
  <c r="BD348"/>
  <c r="BH348"/>
  <c r="AX349"/>
  <c r="BB349"/>
  <c r="BF349"/>
  <c r="AZ350"/>
  <c r="BD350"/>
  <c r="BH350"/>
  <c r="AX351"/>
  <c r="BB351"/>
  <c r="BF351"/>
  <c r="AZ352"/>
  <c r="BD352"/>
  <c r="BH352"/>
  <c r="AX353"/>
  <c r="BB353"/>
  <c r="BF353"/>
  <c r="AZ354"/>
  <c r="BD354"/>
  <c r="BH354"/>
  <c r="AX355"/>
  <c r="BB355"/>
  <c r="BF355"/>
  <c r="AZ356"/>
  <c r="BD356"/>
  <c r="BH356"/>
  <c r="AX357"/>
  <c r="BB357"/>
  <c r="BF357"/>
  <c r="AZ358"/>
  <c r="BD358"/>
  <c r="BH358"/>
  <c r="AX359"/>
  <c r="BB359"/>
  <c r="BF359"/>
  <c r="AZ360"/>
  <c r="BD360"/>
  <c r="BH360"/>
  <c r="AX361"/>
  <c r="BB361"/>
  <c r="BF361"/>
  <c r="AZ362"/>
  <c r="BD362"/>
  <c r="BH362"/>
  <c r="AX363"/>
  <c r="BB363"/>
  <c r="BF363"/>
  <c r="AZ364"/>
  <c r="BD364"/>
  <c r="BH364"/>
  <c r="AX365"/>
  <c r="BB365"/>
  <c r="BF365"/>
  <c r="AZ366"/>
  <c r="BD366"/>
  <c r="BH366"/>
  <c r="AX367"/>
  <c r="BB367"/>
  <c r="BF367"/>
  <c r="AZ368"/>
  <c r="BD368"/>
  <c r="BH368"/>
  <c r="AX369"/>
  <c r="BB369"/>
  <c r="BF369"/>
  <c r="AZ370"/>
  <c r="BD370"/>
  <c r="BH370"/>
  <c r="AX371"/>
  <c r="BB371"/>
  <c r="BF371"/>
  <c r="AZ372"/>
  <c r="BD372"/>
  <c r="BH372"/>
  <c r="AX373"/>
  <c r="BB373"/>
  <c r="BF373"/>
  <c r="AZ374"/>
  <c r="BD374"/>
  <c r="BH374"/>
  <c r="AX375"/>
  <c r="BB375"/>
  <c r="BF375"/>
  <c r="AZ376"/>
  <c r="BD376"/>
  <c r="BH376"/>
  <c r="AX377"/>
  <c r="BB377"/>
  <c r="BF377"/>
  <c r="AZ378"/>
  <c r="BD378"/>
  <c r="BH378"/>
  <c r="AX379"/>
  <c r="BB379"/>
  <c r="BF379"/>
  <c r="AZ380"/>
  <c r="BD380"/>
  <c r="BH380"/>
  <c r="AX381"/>
  <c r="BB381"/>
  <c r="BF381"/>
  <c r="BH28"/>
  <c r="BD33"/>
  <c r="AU52"/>
  <c r="AW62"/>
  <c r="AX74"/>
  <c r="BB78"/>
  <c r="BD82"/>
  <c r="BH88"/>
  <c r="AU94"/>
  <c r="AU96"/>
  <c r="AZ100"/>
  <c r="AW103"/>
  <c r="BC113"/>
  <c r="AE113" s="1"/>
  <c r="AZ116"/>
  <c r="AW119"/>
  <c r="AU128"/>
  <c r="BC131"/>
  <c r="BG134"/>
  <c r="BH139"/>
  <c r="BD141"/>
  <c r="BE144"/>
  <c r="BH145"/>
  <c r="AZ147"/>
  <c r="BB148"/>
  <c r="BA150"/>
  <c r="AW152"/>
  <c r="AZ153"/>
  <c r="BD157"/>
  <c r="AY169"/>
  <c r="BB173"/>
  <c r="BG175"/>
  <c r="AW176"/>
  <c r="BH176"/>
  <c r="BD177"/>
  <c r="BF180"/>
  <c r="AW186"/>
  <c r="BD187"/>
  <c r="BB189"/>
  <c r="BG191"/>
  <c r="AW192"/>
  <c r="BH192"/>
  <c r="BB194"/>
  <c r="BF196"/>
  <c r="BG197"/>
  <c r="BD198"/>
  <c r="BH202"/>
  <c r="BD203"/>
  <c r="BB205"/>
  <c r="BG207"/>
  <c r="AW208"/>
  <c r="BH208"/>
  <c r="BB210"/>
  <c r="BA22"/>
  <c r="AX23"/>
  <c r="BH26"/>
  <c r="BD28"/>
  <c r="AY31"/>
  <c r="AW32"/>
  <c r="BH35"/>
  <c r="BD49"/>
  <c r="AU50"/>
  <c r="BD51"/>
  <c r="AY58"/>
  <c r="BE59"/>
  <c r="AY66"/>
  <c r="BE67"/>
  <c r="BF72"/>
  <c r="AX73"/>
  <c r="BB76"/>
  <c r="AZ77"/>
  <c r="AW80"/>
  <c r="AX81"/>
  <c r="BH85"/>
  <c r="AY88"/>
  <c r="BF89"/>
  <c r="BB92"/>
  <c r="AX93"/>
  <c r="AW95"/>
  <c r="BG96"/>
  <c r="AW97"/>
  <c r="BE98"/>
  <c r="BB99"/>
  <c r="AZ102"/>
  <c r="BG105"/>
  <c r="AU106"/>
  <c r="BA108"/>
  <c r="AX109"/>
  <c r="AX111"/>
  <c r="BG112"/>
  <c r="AW113"/>
  <c r="BE114"/>
  <c r="BB115"/>
  <c r="AZ118"/>
  <c r="BG121"/>
  <c r="AU122"/>
  <c r="BA124"/>
  <c r="AX125"/>
  <c r="AX127"/>
  <c r="BG128"/>
  <c r="AW129"/>
  <c r="BE130"/>
  <c r="BB131"/>
  <c r="AZ134"/>
  <c r="BG137"/>
  <c r="AU138"/>
  <c r="BG139"/>
  <c r="AY141"/>
  <c r="BF142"/>
  <c r="AU143"/>
  <c r="AX144"/>
  <c r="BC145"/>
  <c r="BE146"/>
  <c r="AY147"/>
  <c r="BA148"/>
  <c r="BG149"/>
  <c r="AX150"/>
  <c r="BC151"/>
  <c r="AD151" s="1"/>
  <c r="BF152"/>
  <c r="AU153"/>
  <c r="AW154"/>
  <c r="BG155"/>
  <c r="AY157"/>
  <c r="BF158"/>
  <c r="AU159"/>
  <c r="AX160"/>
  <c r="BC161"/>
  <c r="AD161" s="1"/>
  <c r="BE162"/>
  <c r="AX163"/>
  <c r="BH163"/>
  <c r="BE164"/>
  <c r="BC165"/>
  <c r="AE165" s="1"/>
  <c r="AZ166"/>
  <c r="AZ167"/>
  <c r="AX168"/>
  <c r="AU169"/>
  <c r="BF169"/>
  <c r="BF170"/>
  <c r="BC171"/>
  <c r="AE171" s="1"/>
  <c r="AZ172"/>
  <c r="AX173"/>
  <c r="BH173"/>
  <c r="BE174"/>
  <c r="AU175"/>
  <c r="BF175"/>
  <c r="BD176"/>
  <c r="AZ177"/>
  <c r="BA178"/>
  <c r="AX179"/>
  <c r="BH179"/>
  <c r="BE180"/>
  <c r="BC181"/>
  <c r="AZ182"/>
  <c r="AZ183"/>
  <c r="AX184"/>
  <c r="AU185"/>
  <c r="BF185"/>
  <c r="BF186"/>
  <c r="BC187"/>
  <c r="AZ188"/>
  <c r="AX189"/>
  <c r="BH189"/>
  <c r="BE190"/>
  <c r="AU191"/>
  <c r="BF191"/>
  <c r="BD192"/>
  <c r="AZ193"/>
  <c r="BA194"/>
  <c r="AX195"/>
  <c r="BH195"/>
  <c r="BE196"/>
  <c r="BC197"/>
  <c r="AZ198"/>
  <c r="AZ199"/>
  <c r="AX200"/>
  <c r="AU201"/>
  <c r="BF201"/>
  <c r="BF202"/>
  <c r="BC203"/>
  <c r="AZ204"/>
  <c r="AX205"/>
  <c r="BH205"/>
  <c r="BE206"/>
  <c r="AU207"/>
  <c r="BF207"/>
  <c r="BD208"/>
  <c r="AZ209"/>
  <c r="BA210"/>
  <c r="AX211"/>
  <c r="BH211"/>
  <c r="BE212"/>
  <c r="BC213"/>
  <c r="AD213" s="1"/>
  <c r="AZ214"/>
  <c r="AZ215"/>
  <c r="AX216"/>
  <c r="AU217"/>
  <c r="BF217"/>
  <c r="BF218"/>
  <c r="BC219"/>
  <c r="AE219" s="1"/>
  <c r="AZ220"/>
  <c r="AX221"/>
  <c r="BH221"/>
  <c r="BE222"/>
  <c r="AU223"/>
  <c r="BF223"/>
  <c r="BA224"/>
  <c r="AU225"/>
  <c r="BC225"/>
  <c r="AZ226"/>
  <c r="BH226"/>
  <c r="BB227"/>
  <c r="AW228"/>
  <c r="BE228"/>
  <c r="AY229"/>
  <c r="BG229"/>
  <c r="BD230"/>
  <c r="BI230" s="1"/>
  <c r="AX231"/>
  <c r="BF231"/>
  <c r="BA232"/>
  <c r="AU233"/>
  <c r="BC233"/>
  <c r="AD233" s="1"/>
  <c r="AZ234"/>
  <c r="BH234"/>
  <c r="BB235"/>
  <c r="AW236"/>
  <c r="BE236"/>
  <c r="AY237"/>
  <c r="BG237"/>
  <c r="BD238"/>
  <c r="AX239"/>
  <c r="BF239"/>
  <c r="BA240"/>
  <c r="AU241"/>
  <c r="BC241"/>
  <c r="AZ242"/>
  <c r="BH242"/>
  <c r="BB243"/>
  <c r="AW244"/>
  <c r="BE244"/>
  <c r="AY245"/>
  <c r="BG245"/>
  <c r="BD246"/>
  <c r="AX247"/>
  <c r="BF247"/>
  <c r="BA248"/>
  <c r="AU249"/>
  <c r="BC249"/>
  <c r="AZ250"/>
  <c r="BH250"/>
  <c r="BB251"/>
  <c r="AW252"/>
  <c r="BE252"/>
  <c r="AY253"/>
  <c r="BG253"/>
  <c r="BD254"/>
  <c r="AX255"/>
  <c r="BF255"/>
  <c r="BA256"/>
  <c r="AU257"/>
  <c r="BC257"/>
  <c r="AZ258"/>
  <c r="BH258"/>
  <c r="BB259"/>
  <c r="AW260"/>
  <c r="BE260"/>
  <c r="AY261"/>
  <c r="BG261"/>
  <c r="BD262"/>
  <c r="BI262" s="1"/>
  <c r="AX263"/>
  <c r="BF263"/>
  <c r="BA264"/>
  <c r="AU265"/>
  <c r="BC265"/>
  <c r="AZ266"/>
  <c r="BH266"/>
  <c r="BB267"/>
  <c r="AW268"/>
  <c r="BE268"/>
  <c r="AY269"/>
  <c r="BG269"/>
  <c r="BD270"/>
  <c r="AX271"/>
  <c r="BF271"/>
  <c r="BA272"/>
  <c r="AU273"/>
  <c r="BC273"/>
  <c r="AE273" s="1"/>
  <c r="AZ274"/>
  <c r="BH274"/>
  <c r="BB275"/>
  <c r="AW276"/>
  <c r="BE276"/>
  <c r="AY277"/>
  <c r="BG277"/>
  <c r="BD278"/>
  <c r="AX279"/>
  <c r="BF279"/>
  <c r="BA280"/>
  <c r="AU281"/>
  <c r="BC281"/>
  <c r="AD281" s="1"/>
  <c r="AZ282"/>
  <c r="BH282"/>
  <c r="BB283"/>
  <c r="AW284"/>
  <c r="BE284"/>
  <c r="AY285"/>
  <c r="BG285"/>
  <c r="BD286"/>
  <c r="AX287"/>
  <c r="BF287"/>
  <c r="BA288"/>
  <c r="AU289"/>
  <c r="BC289"/>
  <c r="AZ290"/>
  <c r="BH290"/>
  <c r="BB291"/>
  <c r="AW292"/>
  <c r="BE292"/>
  <c r="AY293"/>
  <c r="BG293"/>
  <c r="BD294"/>
  <c r="BI294" s="1"/>
  <c r="AX295"/>
  <c r="BF295"/>
  <c r="BA296"/>
  <c r="AU297"/>
  <c r="BC297"/>
  <c r="AE297" s="1"/>
  <c r="AZ298"/>
  <c r="BH298"/>
  <c r="BB299"/>
  <c r="AW300"/>
  <c r="BE300"/>
  <c r="AY301"/>
  <c r="BG301"/>
  <c r="BD302"/>
  <c r="AX303"/>
  <c r="BF303"/>
  <c r="BA304"/>
  <c r="AU305"/>
  <c r="BC305"/>
  <c r="AZ306"/>
  <c r="BH306"/>
  <c r="BB307"/>
  <c r="AW308"/>
  <c r="BB308"/>
  <c r="BH308"/>
  <c r="AY309"/>
  <c r="BD309"/>
  <c r="BA310"/>
  <c r="BE310"/>
  <c r="AU311"/>
  <c r="AY311"/>
  <c r="BC311"/>
  <c r="AD311" s="1"/>
  <c r="BG311"/>
  <c r="AW312"/>
  <c r="BA312"/>
  <c r="BE312"/>
  <c r="AU313"/>
  <c r="AY313"/>
  <c r="BC313"/>
  <c r="BG313"/>
  <c r="AW314"/>
  <c r="BA314"/>
  <c r="BE314"/>
  <c r="AU315"/>
  <c r="AY315"/>
  <c r="BC315"/>
  <c r="AD315" s="1"/>
  <c r="BG315"/>
  <c r="AW316"/>
  <c r="BA316"/>
  <c r="BE316"/>
  <c r="AU317"/>
  <c r="AY317"/>
  <c r="BC317"/>
  <c r="BG317"/>
  <c r="AW318"/>
  <c r="BA318"/>
  <c r="BE318"/>
  <c r="AU319"/>
  <c r="AY319"/>
  <c r="BC319"/>
  <c r="AD319" s="1"/>
  <c r="BG319"/>
  <c r="AW320"/>
  <c r="BA320"/>
  <c r="BE320"/>
  <c r="AU321"/>
  <c r="AY321"/>
  <c r="BC321"/>
  <c r="BG321"/>
  <c r="AW322"/>
  <c r="BA322"/>
  <c r="BE322"/>
  <c r="AU323"/>
  <c r="AY323"/>
  <c r="BC323"/>
  <c r="AE323" s="1"/>
  <c r="BG323"/>
  <c r="AW324"/>
  <c r="BA324"/>
  <c r="BE324"/>
  <c r="AU325"/>
  <c r="AY325"/>
  <c r="BC325"/>
  <c r="BG325"/>
  <c r="AW326"/>
  <c r="BA326"/>
  <c r="BE326"/>
  <c r="AU327"/>
  <c r="AY327"/>
  <c r="BC327"/>
  <c r="AE327" s="1"/>
  <c r="BG327"/>
  <c r="AW328"/>
  <c r="BA328"/>
  <c r="BE328"/>
  <c r="AU329"/>
  <c r="AY329"/>
  <c r="BC329"/>
  <c r="BG329"/>
  <c r="AW330"/>
  <c r="BA330"/>
  <c r="BE330"/>
  <c r="AU331"/>
  <c r="AY331"/>
  <c r="BC331"/>
  <c r="BG331"/>
  <c r="AW332"/>
  <c r="BA332"/>
  <c r="BE332"/>
  <c r="AU333"/>
  <c r="AY333"/>
  <c r="BC333"/>
  <c r="AE333" s="1"/>
  <c r="BG333"/>
  <c r="AW334"/>
  <c r="BA334"/>
  <c r="BE334"/>
  <c r="AU335"/>
  <c r="AY335"/>
  <c r="BC335"/>
  <c r="AE335" s="1"/>
  <c r="BG335"/>
  <c r="AW336"/>
  <c r="BA336"/>
  <c r="BE336"/>
  <c r="AU337"/>
  <c r="AY337"/>
  <c r="BC337"/>
  <c r="AD337" s="1"/>
  <c r="BG337"/>
  <c r="AW338"/>
  <c r="BA338"/>
  <c r="BE338"/>
  <c r="AU339"/>
  <c r="AY339"/>
  <c r="BC339"/>
  <c r="AD339" s="1"/>
  <c r="BG339"/>
  <c r="AW340"/>
  <c r="BA340"/>
  <c r="BE340"/>
  <c r="AU341"/>
  <c r="AY341"/>
  <c r="BC341"/>
  <c r="AD341" s="1"/>
  <c r="BG341"/>
  <c r="AW342"/>
  <c r="BA342"/>
  <c r="BE342"/>
  <c r="AU343"/>
  <c r="AY343"/>
  <c r="BC343"/>
  <c r="BG343"/>
  <c r="AW344"/>
  <c r="BA344"/>
  <c r="BE344"/>
  <c r="AU345"/>
  <c r="AY345"/>
  <c r="BC345"/>
  <c r="AD345" s="1"/>
  <c r="BG345"/>
  <c r="AW346"/>
  <c r="BA346"/>
  <c r="BE346"/>
  <c r="AU347"/>
  <c r="AY347"/>
  <c r="BC347"/>
  <c r="AD347" s="1"/>
  <c r="BG347"/>
  <c r="AW348"/>
  <c r="BA348"/>
  <c r="BE348"/>
  <c r="AU349"/>
  <c r="AY349"/>
  <c r="BC349"/>
  <c r="BG349"/>
  <c r="AW350"/>
  <c r="BA350"/>
  <c r="BE350"/>
  <c r="AU351"/>
  <c r="AY351"/>
  <c r="BC351"/>
  <c r="AD351" s="1"/>
  <c r="BG351"/>
  <c r="AW352"/>
  <c r="BA352"/>
  <c r="BE352"/>
  <c r="AU353"/>
  <c r="AY353"/>
  <c r="BC353"/>
  <c r="BG353"/>
  <c r="AW354"/>
  <c r="BA354"/>
  <c r="BE354"/>
  <c r="AU355"/>
  <c r="AY355"/>
  <c r="BC355"/>
  <c r="BG355"/>
  <c r="AW356"/>
  <c r="BA356"/>
  <c r="BE356"/>
  <c r="AU357"/>
  <c r="AY357"/>
  <c r="BC357"/>
  <c r="AD357" s="1"/>
  <c r="BG357"/>
  <c r="AW358"/>
  <c r="BA358"/>
  <c r="BE358"/>
  <c r="AU359"/>
  <c r="AY359"/>
  <c r="BC359"/>
  <c r="AE359" s="1"/>
  <c r="BG359"/>
  <c r="AW360"/>
  <c r="BA360"/>
  <c r="BE360"/>
  <c r="AU361"/>
  <c r="AY361"/>
  <c r="BC361"/>
  <c r="AE361" s="1"/>
  <c r="BG361"/>
  <c r="AW362"/>
  <c r="BA362"/>
  <c r="BE362"/>
  <c r="AU363"/>
  <c r="AY363"/>
  <c r="BC363"/>
  <c r="BG363"/>
  <c r="AW364"/>
  <c r="BA364"/>
  <c r="BE364"/>
  <c r="AU365"/>
  <c r="AY365"/>
  <c r="BC365"/>
  <c r="BG365"/>
  <c r="AW366"/>
  <c r="BA366"/>
  <c r="BE366"/>
  <c r="AU367"/>
  <c r="AY367"/>
  <c r="BC367"/>
  <c r="BG367"/>
  <c r="AW368"/>
  <c r="BA368"/>
  <c r="BE368"/>
  <c r="AU369"/>
  <c r="AY369"/>
  <c r="BC369"/>
  <c r="AD369" s="1"/>
  <c r="BG369"/>
  <c r="AW370"/>
  <c r="BA370"/>
  <c r="BE370"/>
  <c r="AU371"/>
  <c r="AY371"/>
  <c r="BC371"/>
  <c r="AD371" s="1"/>
  <c r="BG371"/>
  <c r="AW372"/>
  <c r="BA372"/>
  <c r="BE372"/>
  <c r="AU373"/>
  <c r="AY373"/>
  <c r="BC373"/>
  <c r="BG373"/>
  <c r="AW374"/>
  <c r="BA374"/>
  <c r="BE374"/>
  <c r="AU375"/>
  <c r="AY375"/>
  <c r="BC375"/>
  <c r="BG375"/>
  <c r="AW376"/>
  <c r="BA376"/>
  <c r="BE376"/>
  <c r="AU377"/>
  <c r="AY377"/>
  <c r="BC377"/>
  <c r="AE377" s="1"/>
  <c r="BG377"/>
  <c r="AW378"/>
  <c r="BA378"/>
  <c r="BE378"/>
  <c r="AU379"/>
  <c r="AY379"/>
  <c r="BC379"/>
  <c r="BG379"/>
  <c r="AW380"/>
  <c r="BA380"/>
  <c r="BE380"/>
  <c r="AU381"/>
  <c r="AY381"/>
  <c r="BC381"/>
  <c r="BG381"/>
  <c r="BB32"/>
  <c r="BH37"/>
  <c r="BE51"/>
  <c r="BA53"/>
  <c r="AW54"/>
  <c r="BF59"/>
  <c r="BA61"/>
  <c r="BF67"/>
  <c r="BA69"/>
  <c r="AW70"/>
  <c r="BG73"/>
  <c r="BB77"/>
  <c r="BC81"/>
  <c r="AE81" s="1"/>
  <c r="BF84"/>
  <c r="AZ86"/>
  <c r="BC90"/>
  <c r="BB93"/>
  <c r="BG95"/>
  <c r="BC97"/>
  <c r="BC99"/>
  <c r="AD99" s="1"/>
  <c r="BG102"/>
  <c r="BE104"/>
  <c r="BA106"/>
  <c r="BB109"/>
  <c r="BG111"/>
  <c r="AU112"/>
  <c r="BC115"/>
  <c r="AD115" s="1"/>
  <c r="BG118"/>
  <c r="BE120"/>
  <c r="BA122"/>
  <c r="BB125"/>
  <c r="BG127"/>
  <c r="BC129"/>
  <c r="AZ132"/>
  <c r="AW135"/>
  <c r="BE136"/>
  <c r="BA138"/>
  <c r="BD151"/>
  <c r="BB154"/>
  <c r="BH155"/>
  <c r="BE160"/>
  <c r="BH161"/>
  <c r="AY163"/>
  <c r="BF164"/>
  <c r="BG165"/>
  <c r="BD166"/>
  <c r="BB167"/>
  <c r="BB168"/>
  <c r="AW170"/>
  <c r="BH170"/>
  <c r="BD171"/>
  <c r="BA172"/>
  <c r="AX174"/>
  <c r="BB178"/>
  <c r="AY179"/>
  <c r="BG181"/>
  <c r="BD182"/>
  <c r="BI182" s="1"/>
  <c r="BB183"/>
  <c r="BB184"/>
  <c r="AY185"/>
  <c r="BH186"/>
  <c r="BA188"/>
  <c r="AX190"/>
  <c r="BD193"/>
  <c r="AY195"/>
  <c r="BB199"/>
  <c r="BB200"/>
  <c r="AY201"/>
  <c r="AW202"/>
  <c r="BA204"/>
  <c r="AX206"/>
  <c r="BD209"/>
  <c r="BI209" s="1"/>
  <c r="BE19"/>
  <c r="AY54"/>
  <c r="BE55"/>
  <c r="AX70"/>
  <c r="AY71"/>
  <c r="BD78"/>
  <c r="AU79"/>
  <c r="AX103"/>
  <c r="BG104"/>
  <c r="AW105"/>
  <c r="BE106"/>
  <c r="BB107"/>
  <c r="BA116"/>
  <c r="AX117"/>
  <c r="BG129"/>
  <c r="AU130"/>
  <c r="BF167"/>
  <c r="BD168"/>
  <c r="AZ169"/>
  <c r="BA170"/>
  <c r="AX171"/>
  <c r="BF178"/>
  <c r="BC179"/>
  <c r="AZ180"/>
  <c r="AX181"/>
  <c r="BH187"/>
  <c r="BH197"/>
  <c r="BE204"/>
  <c r="BC205"/>
  <c r="AD205" s="1"/>
  <c r="AZ206"/>
  <c r="AZ207"/>
  <c r="AX208"/>
  <c r="AU209"/>
  <c r="AZ212"/>
  <c r="BH213"/>
  <c r="BF215"/>
  <c r="BB216"/>
  <c r="BH218"/>
  <c r="BA220"/>
  <c r="AZ223"/>
  <c r="BE224"/>
  <c r="AX225"/>
  <c r="BA226"/>
  <c r="BF227"/>
  <c r="AZ228"/>
  <c r="BB229"/>
  <c r="BH230"/>
  <c r="AW232"/>
  <c r="BF233"/>
  <c r="AX235"/>
  <c r="BH236"/>
  <c r="AZ238"/>
  <c r="BB239"/>
  <c r="BE240"/>
  <c r="AX241"/>
  <c r="BA242"/>
  <c r="BF243"/>
  <c r="AZ244"/>
  <c r="BB245"/>
  <c r="BH246"/>
  <c r="AW248"/>
  <c r="BF249"/>
  <c r="AX251"/>
  <c r="BH252"/>
  <c r="AZ254"/>
  <c r="BB255"/>
  <c r="BE256"/>
  <c r="AX257"/>
  <c r="BA258"/>
  <c r="BF259"/>
  <c r="AZ260"/>
  <c r="BB261"/>
  <c r="BH262"/>
  <c r="AW264"/>
  <c r="BF265"/>
  <c r="AX267"/>
  <c r="BH268"/>
  <c r="AZ270"/>
  <c r="BB271"/>
  <c r="BE272"/>
  <c r="AX273"/>
  <c r="BA274"/>
  <c r="BF275"/>
  <c r="AZ276"/>
  <c r="BB277"/>
  <c r="BH278"/>
  <c r="AW280"/>
  <c r="BF281"/>
  <c r="AX283"/>
  <c r="BH284"/>
  <c r="AZ286"/>
  <c r="BB287"/>
  <c r="BE288"/>
  <c r="AX289"/>
  <c r="BA290"/>
  <c r="BF291"/>
  <c r="AZ292"/>
  <c r="BB293"/>
  <c r="BH294"/>
  <c r="AW296"/>
  <c r="BF297"/>
  <c r="AX299"/>
  <c r="BH300"/>
  <c r="AZ302"/>
  <c r="BB303"/>
  <c r="BE304"/>
  <c r="AX305"/>
  <c r="BA306"/>
  <c r="BF307"/>
  <c r="AX308"/>
  <c r="BG309"/>
  <c r="AW310"/>
  <c r="BF310"/>
  <c r="BA311"/>
  <c r="AU312"/>
  <c r="BC312"/>
  <c r="AZ313"/>
  <c r="BH313"/>
  <c r="BB314"/>
  <c r="AW315"/>
  <c r="BE315"/>
  <c r="AY316"/>
  <c r="BG316"/>
  <c r="BD317"/>
  <c r="AX318"/>
  <c r="BF318"/>
  <c r="BA319"/>
  <c r="AU320"/>
  <c r="BC320"/>
  <c r="AZ321"/>
  <c r="BH321"/>
  <c r="BB322"/>
  <c r="AW323"/>
  <c r="BE323"/>
  <c r="AY324"/>
  <c r="BG324"/>
  <c r="BD325"/>
  <c r="AX326"/>
  <c r="BF326"/>
  <c r="BA327"/>
  <c r="AU328"/>
  <c r="BC328"/>
  <c r="AZ329"/>
  <c r="BH329"/>
  <c r="BB330"/>
  <c r="AW331"/>
  <c r="BE331"/>
  <c r="AY332"/>
  <c r="BG332"/>
  <c r="BD333"/>
  <c r="AX334"/>
  <c r="BF334"/>
  <c r="BA335"/>
  <c r="AU336"/>
  <c r="BC336"/>
  <c r="AZ337"/>
  <c r="BH337"/>
  <c r="BB338"/>
  <c r="AW339"/>
  <c r="BE339"/>
  <c r="AY340"/>
  <c r="BG340"/>
  <c r="BD341"/>
  <c r="AX342"/>
  <c r="BF342"/>
  <c r="BA343"/>
  <c r="AU344"/>
  <c r="BC344"/>
  <c r="AZ345"/>
  <c r="BH345"/>
  <c r="BB346"/>
  <c r="AW347"/>
  <c r="BE347"/>
  <c r="AY348"/>
  <c r="BG348"/>
  <c r="BD349"/>
  <c r="AX350"/>
  <c r="BF350"/>
  <c r="BA351"/>
  <c r="AU352"/>
  <c r="BC352"/>
  <c r="AZ353"/>
  <c r="BH353"/>
  <c r="BB354"/>
  <c r="AW355"/>
  <c r="BE355"/>
  <c r="AY356"/>
  <c r="BG356"/>
  <c r="BD357"/>
  <c r="AX358"/>
  <c r="BF358"/>
  <c r="BA359"/>
  <c r="AU360"/>
  <c r="BC360"/>
  <c r="AZ361"/>
  <c r="BH361"/>
  <c r="BB362"/>
  <c r="AW363"/>
  <c r="BE363"/>
  <c r="AY364"/>
  <c r="BG364"/>
  <c r="BD365"/>
  <c r="AX366"/>
  <c r="BF366"/>
  <c r="BA367"/>
  <c r="AU368"/>
  <c r="BC368"/>
  <c r="AZ369"/>
  <c r="BH369"/>
  <c r="BB370"/>
  <c r="AW371"/>
  <c r="BE371"/>
  <c r="AY372"/>
  <c r="BG372"/>
  <c r="BD373"/>
  <c r="AX374"/>
  <c r="BF374"/>
  <c r="BA375"/>
  <c r="AU376"/>
  <c r="BC376"/>
  <c r="AZ377"/>
  <c r="BH377"/>
  <c r="BB378"/>
  <c r="AW379"/>
  <c r="BE379"/>
  <c r="AY380"/>
  <c r="BG380"/>
  <c r="BD381"/>
  <c r="BA186"/>
  <c r="BE262"/>
  <c r="AY287"/>
  <c r="BC291"/>
  <c r="AD291" s="1"/>
  <c r="AU293"/>
  <c r="BE294"/>
  <c r="BG295"/>
  <c r="AY297"/>
  <c r="AU299"/>
  <c r="BA300"/>
  <c r="BC301"/>
  <c r="AE301" s="1"/>
  <c r="AY303"/>
  <c r="BD304"/>
  <c r="BI304" s="1"/>
  <c r="BG305"/>
  <c r="BC307"/>
  <c r="AU309"/>
  <c r="BC310"/>
  <c r="AZ311"/>
  <c r="BB312"/>
  <c r="AW313"/>
  <c r="BG314"/>
  <c r="AX316"/>
  <c r="BA317"/>
  <c r="AX324"/>
  <c r="BC326"/>
  <c r="AZ327"/>
  <c r="BB328"/>
  <c r="AW329"/>
  <c r="BG330"/>
  <c r="AX332"/>
  <c r="BA333"/>
  <c r="AU334"/>
  <c r="AZ335"/>
  <c r="BB336"/>
  <c r="AW337"/>
  <c r="AY338"/>
  <c r="BD339"/>
  <c r="BF340"/>
  <c r="BE345"/>
  <c r="AX348"/>
  <c r="BA349"/>
  <c r="AU350"/>
  <c r="BH351"/>
  <c r="AW353"/>
  <c r="BE353"/>
  <c r="AY354"/>
  <c r="BD355"/>
  <c r="AX356"/>
  <c r="AW361"/>
  <c r="BD363"/>
  <c r="AU366"/>
  <c r="AZ367"/>
  <c r="AW369"/>
  <c r="BE369"/>
  <c r="AY370"/>
  <c r="AX372"/>
  <c r="AX380"/>
  <c r="BA381"/>
  <c r="AW42"/>
  <c r="BG90"/>
  <c r="AZ91"/>
  <c r="BA100"/>
  <c r="AX101"/>
  <c r="BG113"/>
  <c r="AU114"/>
  <c r="AZ126"/>
  <c r="AY149"/>
  <c r="BF150"/>
  <c r="AU151"/>
  <c r="AX152"/>
  <c r="BC153"/>
  <c r="AE153" s="1"/>
  <c r="BE154"/>
  <c r="AY155"/>
  <c r="BA156"/>
  <c r="BG157"/>
  <c r="AX158"/>
  <c r="BC159"/>
  <c r="BF160"/>
  <c r="AU161"/>
  <c r="AW162"/>
  <c r="BC163"/>
  <c r="AZ164"/>
  <c r="AX165"/>
  <c r="BH171"/>
  <c r="BH181"/>
  <c r="BE188"/>
  <c r="BC189"/>
  <c r="AZ190"/>
  <c r="AZ191"/>
  <c r="AX192"/>
  <c r="AU193"/>
  <c r="BE198"/>
  <c r="AU199"/>
  <c r="BF209"/>
  <c r="BF212"/>
  <c r="BD214"/>
  <c r="BD216"/>
  <c r="AY217"/>
  <c r="AX219"/>
  <c r="BE220"/>
  <c r="BB221"/>
  <c r="BG223"/>
  <c r="AY225"/>
  <c r="BD226"/>
  <c r="AU227"/>
  <c r="BA228"/>
  <c r="BC229"/>
  <c r="AE229" s="1"/>
  <c r="AW230"/>
  <c r="AY231"/>
  <c r="BD232"/>
  <c r="BG233"/>
  <c r="BC235"/>
  <c r="AD235" s="1"/>
  <c r="AU237"/>
  <c r="BE238"/>
  <c r="BG239"/>
  <c r="AY241"/>
  <c r="BD242"/>
  <c r="AU243"/>
  <c r="BA244"/>
  <c r="BC245"/>
  <c r="AW246"/>
  <c r="AY247"/>
  <c r="BD248"/>
  <c r="BG249"/>
  <c r="BC251"/>
  <c r="AD251" s="1"/>
  <c r="AU253"/>
  <c r="BE254"/>
  <c r="BG255"/>
  <c r="AY257"/>
  <c r="BD258"/>
  <c r="AU259"/>
  <c r="BA260"/>
  <c r="BC261"/>
  <c r="AW262"/>
  <c r="AY263"/>
  <c r="BD264"/>
  <c r="BG265"/>
  <c r="BC267"/>
  <c r="AE267" s="1"/>
  <c r="AU269"/>
  <c r="BE270"/>
  <c r="BG271"/>
  <c r="AY273"/>
  <c r="BD274"/>
  <c r="BI274" s="1"/>
  <c r="AU275"/>
  <c r="BA276"/>
  <c r="BC277"/>
  <c r="AD277" s="1"/>
  <c r="AW278"/>
  <c r="AY279"/>
  <c r="BD280"/>
  <c r="BI280" s="1"/>
  <c r="BG281"/>
  <c r="BC283"/>
  <c r="AE283" s="1"/>
  <c r="AU285"/>
  <c r="BE286"/>
  <c r="BG287"/>
  <c r="AY289"/>
  <c r="BD290"/>
  <c r="AU291"/>
  <c r="BA292"/>
  <c r="BC293"/>
  <c r="AE293" s="1"/>
  <c r="AW294"/>
  <c r="AY295"/>
  <c r="BD296"/>
  <c r="BG297"/>
  <c r="BC299"/>
  <c r="AD299" s="1"/>
  <c r="AU301"/>
  <c r="BE302"/>
  <c r="BG303"/>
  <c r="AY305"/>
  <c r="BD306"/>
  <c r="AU307"/>
  <c r="AZ308"/>
  <c r="AZ309"/>
  <c r="AX310"/>
  <c r="BG310"/>
  <c r="BD311"/>
  <c r="AX312"/>
  <c r="BF312"/>
  <c r="BA313"/>
  <c r="AU314"/>
  <c r="BC314"/>
  <c r="AZ315"/>
  <c r="BH315"/>
  <c r="BB316"/>
  <c r="AW317"/>
  <c r="BE317"/>
  <c r="AY318"/>
  <c r="BG318"/>
  <c r="BD319"/>
  <c r="AX320"/>
  <c r="BF320"/>
  <c r="BA321"/>
  <c r="AU322"/>
  <c r="BC322"/>
  <c r="AZ323"/>
  <c r="BH323"/>
  <c r="BB324"/>
  <c r="AW325"/>
  <c r="BE325"/>
  <c r="AY326"/>
  <c r="BG326"/>
  <c r="BD327"/>
  <c r="AX328"/>
  <c r="BF328"/>
  <c r="BA329"/>
  <c r="AU330"/>
  <c r="BC330"/>
  <c r="AZ331"/>
  <c r="BH331"/>
  <c r="BB332"/>
  <c r="AW333"/>
  <c r="BE333"/>
  <c r="AY334"/>
  <c r="BG334"/>
  <c r="BD335"/>
  <c r="AX336"/>
  <c r="BF336"/>
  <c r="BA337"/>
  <c r="AU338"/>
  <c r="BC338"/>
  <c r="AZ339"/>
  <c r="BH339"/>
  <c r="BB340"/>
  <c r="AW341"/>
  <c r="BE341"/>
  <c r="AY342"/>
  <c r="BG342"/>
  <c r="BD343"/>
  <c r="AX344"/>
  <c r="BF344"/>
  <c r="BA345"/>
  <c r="AU346"/>
  <c r="BC346"/>
  <c r="AZ347"/>
  <c r="BH347"/>
  <c r="BB348"/>
  <c r="AW349"/>
  <c r="BE349"/>
  <c r="AY350"/>
  <c r="BG350"/>
  <c r="BD351"/>
  <c r="AX352"/>
  <c r="BF352"/>
  <c r="BA353"/>
  <c r="AU354"/>
  <c r="BC354"/>
  <c r="AZ355"/>
  <c r="BH355"/>
  <c r="BB356"/>
  <c r="AW357"/>
  <c r="BE357"/>
  <c r="AY358"/>
  <c r="BG358"/>
  <c r="BD359"/>
  <c r="AX360"/>
  <c r="BF360"/>
  <c r="BA361"/>
  <c r="AU362"/>
  <c r="BC362"/>
  <c r="AZ363"/>
  <c r="BH363"/>
  <c r="BB364"/>
  <c r="AW365"/>
  <c r="BE365"/>
  <c r="AY366"/>
  <c r="BG366"/>
  <c r="BD367"/>
  <c r="AX368"/>
  <c r="BF368"/>
  <c r="BA369"/>
  <c r="AU370"/>
  <c r="BC370"/>
  <c r="AZ371"/>
  <c r="BH371"/>
  <c r="BB372"/>
  <c r="AW373"/>
  <c r="BE373"/>
  <c r="AY374"/>
  <c r="BG374"/>
  <c r="BD375"/>
  <c r="AX376"/>
  <c r="BF376"/>
  <c r="BA377"/>
  <c r="AU378"/>
  <c r="BC378"/>
  <c r="AZ379"/>
  <c r="BH379"/>
  <c r="BB380"/>
  <c r="AW381"/>
  <c r="BE381"/>
  <c r="BE45"/>
  <c r="AY94"/>
  <c r="AX119"/>
  <c r="BG120"/>
  <c r="AW121"/>
  <c r="BE122"/>
  <c r="BA132"/>
  <c r="AU167"/>
  <c r="BC195"/>
  <c r="AD195" s="1"/>
  <c r="AX197"/>
  <c r="BC211"/>
  <c r="AD211" s="1"/>
  <c r="BG213"/>
  <c r="BB215"/>
  <c r="BA218"/>
  <c r="AZ222"/>
  <c r="BD224"/>
  <c r="BI224" s="1"/>
  <c r="AU229"/>
  <c r="BE230"/>
  <c r="BG231"/>
  <c r="AY233"/>
  <c r="BD234"/>
  <c r="BA236"/>
  <c r="AW238"/>
  <c r="AY239"/>
  <c r="BG241"/>
  <c r="AU245"/>
  <c r="BE246"/>
  <c r="BG247"/>
  <c r="AY249"/>
  <c r="BD250"/>
  <c r="BI250" s="1"/>
  <c r="BA252"/>
  <c r="AW254"/>
  <c r="BD256"/>
  <c r="AU261"/>
  <c r="BG263"/>
  <c r="AY265"/>
  <c r="BD266"/>
  <c r="AU267"/>
  <c r="BA268"/>
  <c r="BC269"/>
  <c r="AY271"/>
  <c r="BG273"/>
  <c r="BC275"/>
  <c r="BA284"/>
  <c r="AW286"/>
  <c r="BG289"/>
  <c r="BE308"/>
  <c r="BH311"/>
  <c r="BE313"/>
  <c r="BD315"/>
  <c r="BC318"/>
  <c r="BH319"/>
  <c r="BB320"/>
  <c r="BE321"/>
  <c r="BG322"/>
  <c r="BD323"/>
  <c r="BC334"/>
  <c r="BH335"/>
  <c r="BE337"/>
  <c r="BG338"/>
  <c r="AX340"/>
  <c r="BA341"/>
  <c r="BH343"/>
  <c r="BB344"/>
  <c r="BG346"/>
  <c r="BD347"/>
  <c r="BC350"/>
  <c r="AZ351"/>
  <c r="BB352"/>
  <c r="BG354"/>
  <c r="BF356"/>
  <c r="BA357"/>
  <c r="AU358"/>
  <c r="AZ359"/>
  <c r="BE361"/>
  <c r="BG362"/>
  <c r="AX364"/>
  <c r="BA365"/>
  <c r="BC366"/>
  <c r="BH367"/>
  <c r="BB368"/>
  <c r="BG370"/>
  <c r="BD371"/>
  <c r="BF372"/>
  <c r="BA373"/>
  <c r="BC374"/>
  <c r="BH375"/>
  <c r="BB376"/>
  <c r="BE377"/>
  <c r="BG378"/>
  <c r="BD379"/>
  <c r="AY38"/>
  <c r="BH39"/>
  <c r="AY62"/>
  <c r="BE63"/>
  <c r="AZ74"/>
  <c r="AZ75"/>
  <c r="BE82"/>
  <c r="AX83"/>
  <c r="BG84"/>
  <c r="AW85"/>
  <c r="BD86"/>
  <c r="BA87"/>
  <c r="BG97"/>
  <c r="AU98"/>
  <c r="AZ110"/>
  <c r="AX135"/>
  <c r="BG136"/>
  <c r="AW137"/>
  <c r="BE138"/>
  <c r="AY139"/>
  <c r="BA140"/>
  <c r="BG141"/>
  <c r="AX142"/>
  <c r="BC143"/>
  <c r="AE143" s="1"/>
  <c r="BF144"/>
  <c r="AU145"/>
  <c r="AW146"/>
  <c r="BG147"/>
  <c r="BH165"/>
  <c r="BE172"/>
  <c r="BC173"/>
  <c r="AZ174"/>
  <c r="AZ175"/>
  <c r="AX176"/>
  <c r="AU177"/>
  <c r="BE182"/>
  <c r="AU183"/>
  <c r="BF193"/>
  <c r="BF199"/>
  <c r="BD200"/>
  <c r="AZ201"/>
  <c r="BA202"/>
  <c r="AX203"/>
  <c r="BF210"/>
  <c r="AY211"/>
  <c r="AX213"/>
  <c r="BE214"/>
  <c r="AU215"/>
  <c r="AZ217"/>
  <c r="AW218"/>
  <c r="BD219"/>
  <c r="BC221"/>
  <c r="AX222"/>
  <c r="AW224"/>
  <c r="BF225"/>
  <c r="AX227"/>
  <c r="BH228"/>
  <c r="AZ230"/>
  <c r="BB231"/>
  <c r="BE232"/>
  <c r="AX233"/>
  <c r="BA234"/>
  <c r="BF235"/>
  <c r="AZ236"/>
  <c r="BB237"/>
  <c r="BH238"/>
  <c r="AW240"/>
  <c r="BF241"/>
  <c r="AX243"/>
  <c r="BH244"/>
  <c r="AZ246"/>
  <c r="BB247"/>
  <c r="BE248"/>
  <c r="AX249"/>
  <c r="BA250"/>
  <c r="BF251"/>
  <c r="AZ252"/>
  <c r="BB253"/>
  <c r="BH254"/>
  <c r="AW256"/>
  <c r="BF257"/>
  <c r="AX259"/>
  <c r="BH260"/>
  <c r="AZ262"/>
  <c r="BB263"/>
  <c r="BE264"/>
  <c r="AX265"/>
  <c r="BA266"/>
  <c r="BF267"/>
  <c r="AZ268"/>
  <c r="BB269"/>
  <c r="BH270"/>
  <c r="AW272"/>
  <c r="BF273"/>
  <c r="AX275"/>
  <c r="BH276"/>
  <c r="AZ278"/>
  <c r="BB279"/>
  <c r="BE280"/>
  <c r="AX281"/>
  <c r="BA282"/>
  <c r="BF283"/>
  <c r="AZ284"/>
  <c r="BB285"/>
  <c r="BH286"/>
  <c r="AW288"/>
  <c r="BF289"/>
  <c r="AX291"/>
  <c r="BH292"/>
  <c r="AZ294"/>
  <c r="BB295"/>
  <c r="BE296"/>
  <c r="AX297"/>
  <c r="BA298"/>
  <c r="BF299"/>
  <c r="AZ300"/>
  <c r="BB301"/>
  <c r="BH302"/>
  <c r="AW304"/>
  <c r="BF305"/>
  <c r="AX307"/>
  <c r="BD308"/>
  <c r="BI308" s="1"/>
  <c r="BB309"/>
  <c r="BB310"/>
  <c r="AW311"/>
  <c r="BE311"/>
  <c r="AY312"/>
  <c r="BG312"/>
  <c r="BD313"/>
  <c r="AX314"/>
  <c r="BF314"/>
  <c r="BA315"/>
  <c r="AU316"/>
  <c r="BC316"/>
  <c r="AZ317"/>
  <c r="BH317"/>
  <c r="BB318"/>
  <c r="AW319"/>
  <c r="BE319"/>
  <c r="AY320"/>
  <c r="BG320"/>
  <c r="BD321"/>
  <c r="AX322"/>
  <c r="BF322"/>
  <c r="BA323"/>
  <c r="AU324"/>
  <c r="BC324"/>
  <c r="AZ325"/>
  <c r="BH325"/>
  <c r="BB326"/>
  <c r="AW327"/>
  <c r="BE327"/>
  <c r="AY328"/>
  <c r="BG328"/>
  <c r="BD329"/>
  <c r="AX330"/>
  <c r="BF330"/>
  <c r="BA331"/>
  <c r="AU332"/>
  <c r="BC332"/>
  <c r="AZ333"/>
  <c r="BH333"/>
  <c r="BB334"/>
  <c r="AW335"/>
  <c r="BE335"/>
  <c r="AY336"/>
  <c r="BG336"/>
  <c r="BD337"/>
  <c r="AX338"/>
  <c r="BF338"/>
  <c r="BA339"/>
  <c r="AU340"/>
  <c r="BC340"/>
  <c r="AE340" s="1"/>
  <c r="AZ341"/>
  <c r="BH341"/>
  <c r="BB342"/>
  <c r="AW343"/>
  <c r="BE343"/>
  <c r="AY344"/>
  <c r="BG344"/>
  <c r="BD345"/>
  <c r="AX346"/>
  <c r="BF346"/>
  <c r="BA347"/>
  <c r="AU348"/>
  <c r="BC348"/>
  <c r="AZ349"/>
  <c r="BH349"/>
  <c r="BB350"/>
  <c r="AW351"/>
  <c r="BE351"/>
  <c r="AY352"/>
  <c r="BG352"/>
  <c r="BD353"/>
  <c r="AX354"/>
  <c r="BF354"/>
  <c r="BA355"/>
  <c r="AU356"/>
  <c r="BC356"/>
  <c r="AZ357"/>
  <c r="BH357"/>
  <c r="BB358"/>
  <c r="AW359"/>
  <c r="BE359"/>
  <c r="AY360"/>
  <c r="BG360"/>
  <c r="BD361"/>
  <c r="AX362"/>
  <c r="BF362"/>
  <c r="BA363"/>
  <c r="AU364"/>
  <c r="BC364"/>
  <c r="AZ365"/>
  <c r="BH365"/>
  <c r="BB366"/>
  <c r="AW367"/>
  <c r="BE367"/>
  <c r="AY368"/>
  <c r="BG368"/>
  <c r="BD369"/>
  <c r="AX370"/>
  <c r="BF370"/>
  <c r="BA371"/>
  <c r="AU372"/>
  <c r="BC372"/>
  <c r="AZ373"/>
  <c r="BH373"/>
  <c r="BB374"/>
  <c r="AW375"/>
  <c r="BE375"/>
  <c r="AY376"/>
  <c r="BG376"/>
  <c r="BD377"/>
  <c r="AX378"/>
  <c r="BF378"/>
  <c r="BA379"/>
  <c r="AU380"/>
  <c r="BC380"/>
  <c r="AZ381"/>
  <c r="BH381"/>
  <c r="BA46"/>
  <c r="BB123"/>
  <c r="AX133"/>
  <c r="BE166"/>
  <c r="BF177"/>
  <c r="BF183"/>
  <c r="BD184"/>
  <c r="AZ185"/>
  <c r="AX187"/>
  <c r="BF194"/>
  <c r="AZ196"/>
  <c r="BH203"/>
  <c r="BH219"/>
  <c r="BG225"/>
  <c r="BC227"/>
  <c r="AE227" s="1"/>
  <c r="AU235"/>
  <c r="BC237"/>
  <c r="AE237" s="1"/>
  <c r="BD240"/>
  <c r="BC243"/>
  <c r="AD243" s="1"/>
  <c r="AU251"/>
  <c r="BC253"/>
  <c r="AY255"/>
  <c r="BG257"/>
  <c r="BC259"/>
  <c r="AD259" s="1"/>
  <c r="AW270"/>
  <c r="BD272"/>
  <c r="AU277"/>
  <c r="BE278"/>
  <c r="BG279"/>
  <c r="AY281"/>
  <c r="BD282"/>
  <c r="BI282" s="1"/>
  <c r="AU283"/>
  <c r="BC285"/>
  <c r="AE285" s="1"/>
  <c r="BD288"/>
  <c r="BD298"/>
  <c r="BI298" s="1"/>
  <c r="AW302"/>
  <c r="BF309"/>
  <c r="AY314"/>
  <c r="BF316"/>
  <c r="AU318"/>
  <c r="AZ319"/>
  <c r="AW321"/>
  <c r="AY322"/>
  <c r="BF324"/>
  <c r="BA325"/>
  <c r="AU326"/>
  <c r="BH327"/>
  <c r="BE329"/>
  <c r="AY330"/>
  <c r="BD331"/>
  <c r="BF332"/>
  <c r="AU342"/>
  <c r="BC342"/>
  <c r="AZ343"/>
  <c r="AW345"/>
  <c r="AY346"/>
  <c r="BF348"/>
  <c r="BC358"/>
  <c r="BH359"/>
  <c r="BB360"/>
  <c r="AY362"/>
  <c r="BF364"/>
  <c r="AU374"/>
  <c r="AZ375"/>
  <c r="AW377"/>
  <c r="AY378"/>
  <c r="BF380"/>
  <c r="FO378" i="43"/>
  <c r="FO366"/>
  <c r="FO350"/>
  <c r="FO320"/>
  <c r="FO298"/>
  <c r="FO278"/>
  <c r="FO254"/>
  <c r="FO245"/>
  <c r="FO234"/>
  <c r="FO216"/>
  <c r="FO199"/>
  <c r="FO170"/>
  <c r="FO166"/>
  <c r="FO162"/>
  <c r="FO146"/>
  <c r="FO133"/>
  <c r="FO124"/>
  <c r="FO98"/>
  <c r="FO74"/>
  <c r="FO64"/>
  <c r="FO49"/>
  <c r="FO380"/>
  <c r="FO368"/>
  <c r="FO356"/>
  <c r="FO341"/>
  <c r="FO318"/>
  <c r="FO306"/>
  <c r="FO288"/>
  <c r="FO284"/>
  <c r="FO255"/>
  <c r="FO228"/>
  <c r="FO224"/>
  <c r="FO214"/>
  <c r="FO204"/>
  <c r="FO201"/>
  <c r="FO196"/>
  <c r="FO183"/>
  <c r="FO160"/>
  <c r="FO144"/>
  <c r="FO138"/>
  <c r="FO122"/>
  <c r="FO118"/>
  <c r="FO94"/>
  <c r="FO92"/>
  <c r="FO84"/>
  <c r="FO70"/>
  <c r="FO362"/>
  <c r="FO346"/>
  <c r="FO338"/>
  <c r="FO334"/>
  <c r="FO330"/>
  <c r="FO326"/>
  <c r="FO316"/>
  <c r="FO294"/>
  <c r="FO275"/>
  <c r="FO270"/>
  <c r="FO267"/>
  <c r="FO259"/>
  <c r="FO241"/>
  <c r="FO220"/>
  <c r="FO158"/>
  <c r="FO142"/>
  <c r="FO114"/>
  <c r="FO86"/>
  <c r="FO376"/>
  <c r="FO352"/>
  <c r="FO337"/>
  <c r="FO312"/>
  <c r="FO302"/>
  <c r="FO292"/>
  <c r="FO250"/>
  <c r="FO239"/>
  <c r="FO236"/>
  <c r="FO210"/>
  <c r="FO187"/>
  <c r="FO179"/>
  <c r="FO156"/>
  <c r="FO130"/>
  <c r="FO108"/>
  <c r="FO104"/>
  <c r="FO100"/>
  <c r="FO82"/>
  <c r="FO72"/>
  <c r="FO60"/>
  <c r="FO56"/>
  <c r="FO52"/>
  <c r="FO157"/>
  <c r="FO153"/>
  <c r="FO149"/>
  <c r="FO145"/>
  <c r="FO127"/>
  <c r="FO109"/>
  <c r="FO103"/>
  <c r="FO99"/>
  <c r="FO97"/>
  <c r="FO85"/>
  <c r="FO81"/>
  <c r="FO75"/>
  <c r="FO62"/>
  <c r="FO59"/>
  <c r="FO44"/>
  <c r="FO381"/>
  <c r="FO377"/>
  <c r="FO373"/>
  <c r="FO369"/>
  <c r="FO365"/>
  <c r="FO361"/>
  <c r="FO357"/>
  <c r="FO353"/>
  <c r="FO349"/>
  <c r="FO345"/>
  <c r="FO321"/>
  <c r="FO317"/>
  <c r="FO313"/>
  <c r="FO309"/>
  <c r="FO285"/>
  <c r="FO333"/>
  <c r="FO329"/>
  <c r="FO325"/>
  <c r="FO307"/>
  <c r="FO303"/>
  <c r="FO299"/>
  <c r="FO295"/>
  <c r="FO291"/>
  <c r="FO283"/>
  <c r="FO279"/>
  <c r="FO276"/>
  <c r="FO249"/>
  <c r="FO235"/>
  <c r="FO219"/>
  <c r="FO215"/>
  <c r="FO211"/>
  <c r="FO207"/>
  <c r="FO202"/>
  <c r="FO197"/>
  <c r="FO193"/>
  <c r="FO186"/>
  <c r="FO177"/>
  <c r="FO273"/>
  <c r="FO269"/>
  <c r="FO265"/>
  <c r="FO261"/>
  <c r="FO257"/>
  <c r="FO253"/>
  <c r="FO247"/>
  <c r="FO243"/>
  <c r="FO231"/>
  <c r="FO227"/>
  <c r="FO223"/>
  <c r="FO190"/>
  <c r="FO184"/>
  <c r="FO181"/>
  <c r="FO176"/>
  <c r="FO169"/>
  <c r="FO165"/>
  <c r="FO161"/>
  <c r="FO143"/>
  <c r="FO140"/>
  <c r="FO132"/>
  <c r="FO128"/>
  <c r="FO119"/>
  <c r="FO115"/>
  <c r="FO111"/>
  <c r="FO89"/>
  <c r="FO77"/>
  <c r="FO69"/>
  <c r="FO65"/>
  <c r="FO57"/>
  <c r="FO53"/>
  <c r="FO45"/>
  <c r="FO48"/>
  <c r="FO372"/>
  <c r="FO358"/>
  <c r="FO342"/>
  <c r="FO310"/>
  <c r="FO290"/>
  <c r="FO262"/>
  <c r="FO246"/>
  <c r="FO237"/>
  <c r="FO232"/>
  <c r="FO208"/>
  <c r="FO171"/>
  <c r="FO168"/>
  <c r="FO164"/>
  <c r="FO154"/>
  <c r="FO137"/>
  <c r="FO134"/>
  <c r="FO125"/>
  <c r="FO107"/>
  <c r="FO96"/>
  <c r="FO66"/>
  <c r="FO374"/>
  <c r="FO360"/>
  <c r="FO348"/>
  <c r="FO340"/>
  <c r="FO308"/>
  <c r="FO296"/>
  <c r="FO286"/>
  <c r="FO266"/>
  <c r="FO263"/>
  <c r="FO258"/>
  <c r="FO230"/>
  <c r="FO226"/>
  <c r="FO222"/>
  <c r="FO206"/>
  <c r="FO203"/>
  <c r="FO200"/>
  <c r="FO195"/>
  <c r="FO175"/>
  <c r="FO152"/>
  <c r="FO139"/>
  <c r="FO123"/>
  <c r="FO120"/>
  <c r="FO116"/>
  <c r="FO93"/>
  <c r="FO88"/>
  <c r="FO80"/>
  <c r="FO76"/>
  <c r="FO370"/>
  <c r="FO354"/>
  <c r="FO339"/>
  <c r="FO336"/>
  <c r="FO332"/>
  <c r="FO328"/>
  <c r="FO324"/>
  <c r="FO314"/>
  <c r="FO282"/>
  <c r="FO240"/>
  <c r="FO212"/>
  <c r="FO178"/>
  <c r="FO150"/>
  <c r="FO129"/>
  <c r="FO112"/>
  <c r="FO68"/>
  <c r="FO364"/>
  <c r="FO344"/>
  <c r="FO322"/>
  <c r="FO304"/>
  <c r="FO300"/>
  <c r="FO280"/>
  <c r="FO271"/>
  <c r="FO242"/>
  <c r="FO238"/>
  <c r="FO218"/>
  <c r="FO191"/>
  <c r="FO172"/>
  <c r="FO148"/>
  <c r="FO110"/>
  <c r="FO106"/>
  <c r="FO102"/>
  <c r="FO90"/>
  <c r="FO78"/>
  <c r="FO58"/>
  <c r="FO54"/>
  <c r="FO51"/>
  <c r="FO274"/>
  <c r="FO159"/>
  <c r="FO155"/>
  <c r="FO151"/>
  <c r="FO147"/>
  <c r="FO136"/>
  <c r="FO126"/>
  <c r="FO105"/>
  <c r="FO101"/>
  <c r="FO95"/>
  <c r="FO83"/>
  <c r="FO79"/>
  <c r="FO73"/>
  <c r="FO61"/>
  <c r="FO46"/>
  <c r="FO50"/>
  <c r="FO367"/>
  <c r="FO351"/>
  <c r="FO315"/>
  <c r="FO335"/>
  <c r="FO305"/>
  <c r="FO289"/>
  <c r="FO217"/>
  <c r="FO198"/>
  <c r="FO173"/>
  <c r="FO260"/>
  <c r="FO233"/>
  <c r="FO189"/>
  <c r="FO167"/>
  <c r="FO135"/>
  <c r="FO113"/>
  <c r="FO71"/>
  <c r="FO47"/>
  <c r="FO371"/>
  <c r="FO355"/>
  <c r="FO319"/>
  <c r="FO323"/>
  <c r="FO293"/>
  <c r="FO221"/>
  <c r="FO205"/>
  <c r="FO185"/>
  <c r="FO264"/>
  <c r="FO244"/>
  <c r="FO192"/>
  <c r="FO174"/>
  <c r="FO141"/>
  <c r="FO117"/>
  <c r="FO87"/>
  <c r="FO55"/>
  <c r="FO375"/>
  <c r="FO359"/>
  <c r="FO343"/>
  <c r="FO287"/>
  <c r="FO327"/>
  <c r="FO297"/>
  <c r="FO277"/>
  <c r="FO248"/>
  <c r="FO209"/>
  <c r="FO188"/>
  <c r="FO268"/>
  <c r="FO252"/>
  <c r="FO225"/>
  <c r="FO180"/>
  <c r="FO121"/>
  <c r="FO91"/>
  <c r="FO63"/>
  <c r="FO379"/>
  <c r="FO363"/>
  <c r="FO347"/>
  <c r="FO311"/>
  <c r="FO331"/>
  <c r="FO301"/>
  <c r="FO281"/>
  <c r="FO251"/>
  <c r="FO213"/>
  <c r="FO194"/>
  <c r="FO272"/>
  <c r="FO256"/>
  <c r="FO229"/>
  <c r="FO182"/>
  <c r="FO163"/>
  <c r="FO131"/>
  <c r="FO67"/>
  <c r="FO43"/>
  <c r="AZ11" i="24"/>
  <c r="BD11"/>
  <c r="BH11"/>
  <c r="AW12"/>
  <c r="BA12"/>
  <c r="BE12"/>
  <c r="AX13"/>
  <c r="BB13"/>
  <c r="BF13"/>
  <c r="AU14"/>
  <c r="AY14"/>
  <c r="BC14"/>
  <c r="BG14"/>
  <c r="AZ15"/>
  <c r="BD15"/>
  <c r="BH15"/>
  <c r="AW16"/>
  <c r="BA16"/>
  <c r="BE16"/>
  <c r="AX17"/>
  <c r="BB17"/>
  <c r="BF17"/>
  <c r="AU11"/>
  <c r="AW13"/>
  <c r="BE13"/>
  <c r="BB14"/>
  <c r="BC15"/>
  <c r="AZ16"/>
  <c r="BH16"/>
  <c r="AW11"/>
  <c r="BA11"/>
  <c r="BE11"/>
  <c r="AX12"/>
  <c r="BB12"/>
  <c r="BF12"/>
  <c r="AU13"/>
  <c r="AY13"/>
  <c r="BC13"/>
  <c r="BG13"/>
  <c r="AZ14"/>
  <c r="BD14"/>
  <c r="BH14"/>
  <c r="AW15"/>
  <c r="BA15"/>
  <c r="BE15"/>
  <c r="AX16"/>
  <c r="BB16"/>
  <c r="BF16"/>
  <c r="AU17"/>
  <c r="AY17"/>
  <c r="BC17"/>
  <c r="BG17"/>
  <c r="BC11"/>
  <c r="BH12"/>
  <c r="AX14"/>
  <c r="AU15"/>
  <c r="BA17"/>
  <c r="AX11"/>
  <c r="BB11"/>
  <c r="BF11"/>
  <c r="AU12"/>
  <c r="AY12"/>
  <c r="BC12"/>
  <c r="BG12"/>
  <c r="AZ13"/>
  <c r="BD13"/>
  <c r="BH13"/>
  <c r="AW14"/>
  <c r="BA14"/>
  <c r="BE14"/>
  <c r="AX15"/>
  <c r="BB15"/>
  <c r="BF15"/>
  <c r="AU16"/>
  <c r="AY16"/>
  <c r="BC16"/>
  <c r="BG16"/>
  <c r="AZ17"/>
  <c r="BD17"/>
  <c r="BH17"/>
  <c r="AY11"/>
  <c r="BG11"/>
  <c r="AZ12"/>
  <c r="BD12"/>
  <c r="BA13"/>
  <c r="BF14"/>
  <c r="AY15"/>
  <c r="BG15"/>
  <c r="BD16"/>
  <c r="AW17"/>
  <c r="BE17"/>
  <c r="FO35" i="43"/>
  <c r="FO32"/>
  <c r="FO26"/>
  <c r="FO21"/>
  <c r="FO18"/>
  <c r="FO41"/>
  <c r="FO37"/>
  <c r="FO30"/>
  <c r="FO28"/>
  <c r="FO38"/>
  <c r="FO42"/>
  <c r="FO20"/>
  <c r="FO39"/>
  <c r="FO34"/>
  <c r="FO31"/>
  <c r="FO25"/>
  <c r="FO19"/>
  <c r="FO40"/>
  <c r="FO36"/>
  <c r="FO29"/>
  <c r="FO23"/>
  <c r="FO22"/>
  <c r="FO24"/>
  <c r="FO33"/>
  <c r="FO27"/>
  <c r="FO14"/>
  <c r="FO17"/>
  <c r="FO13"/>
  <c r="FO11"/>
  <c r="FO9"/>
  <c r="FO15"/>
  <c r="FO16"/>
  <c r="FO12"/>
  <c r="FO10"/>
  <c r="FO8"/>
  <c r="AD149" i="24"/>
  <c r="U14" i="44"/>
  <c r="C9" i="30"/>
  <c r="M9" i="22"/>
  <c r="H9"/>
  <c r="G220" i="23"/>
  <c r="S18" i="44"/>
  <c r="DR375" i="43"/>
  <c r="G375" s="1"/>
  <c r="H375" s="1"/>
  <c r="DR373"/>
  <c r="G373" s="1"/>
  <c r="H373" s="1"/>
  <c r="DR367"/>
  <c r="G367" s="1"/>
  <c r="H367" s="1"/>
  <c r="DR83"/>
  <c r="G83" s="1"/>
  <c r="H83" s="1"/>
  <c r="DR121"/>
  <c r="G121" s="1"/>
  <c r="H121" s="1"/>
  <c r="DR363"/>
  <c r="G363" s="1"/>
  <c r="H363" s="1"/>
  <c r="DR365"/>
  <c r="G365" s="1"/>
  <c r="H365" s="1"/>
  <c r="DR359"/>
  <c r="G359" s="1"/>
  <c r="H359" s="1"/>
  <c r="DR79"/>
  <c r="G79" s="1"/>
  <c r="H79" s="1"/>
  <c r="DR117"/>
  <c r="G117" s="1"/>
  <c r="M117" s="1"/>
  <c r="DR379"/>
  <c r="G379" s="1"/>
  <c r="H379" s="1"/>
  <c r="DR119"/>
  <c r="G119" s="1"/>
  <c r="DR237"/>
  <c r="G237" s="1"/>
  <c r="DR130"/>
  <c r="G130" s="1"/>
  <c r="M130" s="1"/>
  <c r="DR253"/>
  <c r="G253" s="1"/>
  <c r="H253" s="1"/>
  <c r="DR297"/>
  <c r="G297" s="1"/>
  <c r="H297" s="1"/>
  <c r="DR113"/>
  <c r="G113" s="1"/>
  <c r="H113" s="1"/>
  <c r="DR109"/>
  <c r="G109" s="1"/>
  <c r="M109" s="1"/>
  <c r="DR347"/>
  <c r="G347" s="1"/>
  <c r="H347" s="1"/>
  <c r="DR329"/>
  <c r="G329" s="1"/>
  <c r="H329" s="1"/>
  <c r="DR191"/>
  <c r="G191" s="1"/>
  <c r="H191" s="1"/>
  <c r="DR204"/>
  <c r="G204" s="1"/>
  <c r="DR80"/>
  <c r="G80" s="1"/>
  <c r="H80" s="1"/>
  <c r="DR369"/>
  <c r="G369" s="1"/>
  <c r="H369" s="1"/>
  <c r="DR276"/>
  <c r="G276" s="1"/>
  <c r="DR179"/>
  <c r="G179" s="1"/>
  <c r="DR44"/>
  <c r="G44" s="1"/>
  <c r="H44" s="1"/>
  <c r="DR312"/>
  <c r="G312" s="1"/>
  <c r="H312" s="1"/>
  <c r="DR368"/>
  <c r="G368" s="1"/>
  <c r="H368" s="1"/>
  <c r="DR247"/>
  <c r="G247" s="1"/>
  <c r="M247" s="1"/>
  <c r="DR67"/>
  <c r="G67" s="1"/>
  <c r="H67" s="1"/>
  <c r="DR193"/>
  <c r="G193" s="1"/>
  <c r="H193" s="1"/>
  <c r="DR228"/>
  <c r="G228" s="1"/>
  <c r="H228" s="1"/>
  <c r="DR250"/>
  <c r="G250" s="1"/>
  <c r="M250" s="1"/>
  <c r="DR65"/>
  <c r="G65" s="1"/>
  <c r="DR306"/>
  <c r="G306" s="1"/>
  <c r="H306" s="1"/>
  <c r="DR169"/>
  <c r="G169" s="1"/>
  <c r="H169" s="1"/>
  <c r="DR46"/>
  <c r="DR300"/>
  <c r="G300" s="1"/>
  <c r="H300" s="1"/>
  <c r="DR308"/>
  <c r="G308" s="1"/>
  <c r="H308" s="1"/>
  <c r="DR358"/>
  <c r="G358" s="1"/>
  <c r="H358" s="1"/>
  <c r="DR88"/>
  <c r="G88" s="1"/>
  <c r="M88" s="1"/>
  <c r="DR123"/>
  <c r="G123" s="1"/>
  <c r="H123" s="1"/>
  <c r="DR227"/>
  <c r="G227" s="1"/>
  <c r="DR116"/>
  <c r="G116" s="1"/>
  <c r="H116" s="1"/>
  <c r="DR294"/>
  <c r="G294" s="1"/>
  <c r="H294" s="1"/>
  <c r="DR273"/>
  <c r="G273" s="1"/>
  <c r="DR189"/>
  <c r="G189" s="1"/>
  <c r="H189" s="1"/>
  <c r="DR146"/>
  <c r="G146" s="1"/>
  <c r="H146" s="1"/>
  <c r="DR314"/>
  <c r="G314" s="1"/>
  <c r="H314" s="1"/>
  <c r="DR234"/>
  <c r="G234" s="1"/>
  <c r="H234" s="1"/>
  <c r="DR279"/>
  <c r="G279" s="1"/>
  <c r="DR141"/>
  <c r="G141" s="1"/>
  <c r="H141" s="1"/>
  <c r="DR323"/>
  <c r="G323" s="1"/>
  <c r="H323" s="1"/>
  <c r="DR309"/>
  <c r="G309" s="1"/>
  <c r="H309" s="1"/>
  <c r="DR284"/>
  <c r="G284" s="1"/>
  <c r="DR230"/>
  <c r="G230" s="1"/>
  <c r="H230" s="1"/>
  <c r="DR184"/>
  <c r="G184" s="1"/>
  <c r="H184" s="1"/>
  <c r="DR356"/>
  <c r="G356" s="1"/>
  <c r="H356" s="1"/>
  <c r="DR140"/>
  <c r="G140" s="1"/>
  <c r="H140" s="1"/>
  <c r="DR90"/>
  <c r="G90" s="1"/>
  <c r="H90" s="1"/>
  <c r="DR229"/>
  <c r="G229" s="1"/>
  <c r="DR66"/>
  <c r="G66" s="1"/>
  <c r="DR378"/>
  <c r="G378" s="1"/>
  <c r="H378" s="1"/>
  <c r="DR268"/>
  <c r="G268" s="1"/>
  <c r="DR295"/>
  <c r="G295" s="1"/>
  <c r="H295" s="1"/>
  <c r="DR128"/>
  <c r="G128" s="1"/>
  <c r="H128" s="1"/>
  <c r="DR105"/>
  <c r="G105" s="1"/>
  <c r="DR345"/>
  <c r="G345" s="1"/>
  <c r="H345" s="1"/>
  <c r="DR335"/>
  <c r="G335" s="1"/>
  <c r="H335" s="1"/>
  <c r="DR212"/>
  <c r="G212" s="1"/>
  <c r="H212" s="1"/>
  <c r="DR77"/>
  <c r="G77" s="1"/>
  <c r="DR270"/>
  <c r="G270" s="1"/>
  <c r="DR162"/>
  <c r="G162" s="1"/>
  <c r="M162" s="1"/>
  <c r="DR326"/>
  <c r="G326" s="1"/>
  <c r="H326" s="1"/>
  <c r="DR334"/>
  <c r="G334" s="1"/>
  <c r="H334" s="1"/>
  <c r="DR211"/>
  <c r="G211" s="1"/>
  <c r="H211" s="1"/>
  <c r="DR150"/>
  <c r="G150" s="1"/>
  <c r="M150" s="1"/>
  <c r="DR318"/>
  <c r="G318" s="1"/>
  <c r="H318" s="1"/>
  <c r="DR362"/>
  <c r="G362" s="1"/>
  <c r="H362" s="1"/>
  <c r="DR263"/>
  <c r="G263" s="1"/>
  <c r="DR98"/>
  <c r="G98" s="1"/>
  <c r="M98" s="1"/>
  <c r="DR170"/>
  <c r="G170" s="1"/>
  <c r="H170" s="1"/>
  <c r="DR54"/>
  <c r="G54" s="1"/>
  <c r="M54" s="1"/>
  <c r="DR201"/>
  <c r="G201" s="1"/>
  <c r="H201" s="1"/>
  <c r="DR192"/>
  <c r="G192" s="1"/>
  <c r="DR124"/>
  <c r="G124" s="1"/>
  <c r="H124" s="1"/>
  <c r="DR210"/>
  <c r="G210" s="1"/>
  <c r="H210" s="1"/>
  <c r="DR197"/>
  <c r="G197" s="1"/>
  <c r="H197" s="1"/>
  <c r="DR131"/>
  <c r="G131" s="1"/>
  <c r="M131" s="1"/>
  <c r="DR293"/>
  <c r="G293" s="1"/>
  <c r="H293" s="1"/>
  <c r="DR339"/>
  <c r="G339" s="1"/>
  <c r="H339" s="1"/>
  <c r="DR327"/>
  <c r="G327" s="1"/>
  <c r="H327" s="1"/>
  <c r="DR81"/>
  <c r="G81" s="1"/>
  <c r="M81" s="1"/>
  <c r="DR75"/>
  <c r="G75" s="1"/>
  <c r="M75" s="1"/>
  <c r="DR205"/>
  <c r="G205" s="1"/>
  <c r="H205" s="1"/>
  <c r="DR272"/>
  <c r="G272" s="1"/>
  <c r="DR96"/>
  <c r="G96" s="1"/>
  <c r="M96" s="1"/>
  <c r="DR159"/>
  <c r="G159" s="1"/>
  <c r="H159" s="1"/>
  <c r="DR298"/>
  <c r="G298" s="1"/>
  <c r="H298" s="1"/>
  <c r="DR303"/>
  <c r="G303" s="1"/>
  <c r="H303" s="1"/>
  <c r="DR68"/>
  <c r="G68" s="1"/>
  <c r="M68" s="1"/>
  <c r="DR199"/>
  <c r="G199" s="1"/>
  <c r="H199" s="1"/>
  <c r="DR258"/>
  <c r="G258" s="1"/>
  <c r="DR55"/>
  <c r="G55" s="1"/>
  <c r="DR127"/>
  <c r="G127" s="1"/>
  <c r="M127" s="1"/>
  <c r="DR242"/>
  <c r="G242" s="1"/>
  <c r="H242" s="1"/>
  <c r="DR94"/>
  <c r="G94" s="1"/>
  <c r="M94" s="1"/>
  <c r="DR316"/>
  <c r="G316" s="1"/>
  <c r="H316" s="1"/>
  <c r="DR186"/>
  <c r="G186" s="1"/>
  <c r="DR255"/>
  <c r="DR277"/>
  <c r="G277" s="1"/>
  <c r="DR82"/>
  <c r="G82" s="1"/>
  <c r="H82" s="1"/>
  <c r="DR381"/>
  <c r="G381" s="1"/>
  <c r="H381" s="1"/>
  <c r="DR89"/>
  <c r="G89" s="1"/>
  <c r="H89" s="1"/>
  <c r="DR126"/>
  <c r="G126" s="1"/>
  <c r="H126" s="1"/>
  <c r="DR349"/>
  <c r="G349" s="1"/>
  <c r="H349" s="1"/>
  <c r="DR238"/>
  <c r="G238" s="1"/>
  <c r="M238" s="1"/>
  <c r="DR291"/>
  <c r="G291" s="1"/>
  <c r="H291" s="1"/>
  <c r="DR310"/>
  <c r="G310" s="1"/>
  <c r="H310" s="1"/>
  <c r="DR366"/>
  <c r="G366" s="1"/>
  <c r="H366" s="1"/>
  <c r="DR136"/>
  <c r="G136" s="1"/>
  <c r="M136" s="1"/>
  <c r="DR144"/>
  <c r="G144" s="1"/>
  <c r="H144" s="1"/>
  <c r="DR62"/>
  <c r="G62" s="1"/>
  <c r="H62" s="1"/>
  <c r="DR132"/>
  <c r="G132" s="1"/>
  <c r="DR372"/>
  <c r="G372" s="1"/>
  <c r="H372" s="1"/>
  <c r="DR280"/>
  <c r="G280" s="1"/>
  <c r="DR57"/>
  <c r="G57" s="1"/>
  <c r="DR72"/>
  <c r="G72" s="1"/>
  <c r="H72" s="1"/>
  <c r="DR380"/>
  <c r="G380" s="1"/>
  <c r="H380" s="1"/>
  <c r="DR122"/>
  <c r="G122" s="1"/>
  <c r="H122" s="1"/>
  <c r="DR53"/>
  <c r="G53" s="1"/>
  <c r="DR333"/>
  <c r="G333" s="1"/>
  <c r="H333" s="1"/>
  <c r="DR331"/>
  <c r="G331" s="1"/>
  <c r="H331" s="1"/>
  <c r="DR357"/>
  <c r="G357" s="1"/>
  <c r="H357" s="1"/>
  <c r="DR302"/>
  <c r="G302" s="1"/>
  <c r="H302" s="1"/>
  <c r="DR207"/>
  <c r="G207" s="1"/>
  <c r="H207" s="1"/>
  <c r="DR320"/>
  <c r="G320" s="1"/>
  <c r="H320" s="1"/>
  <c r="DR364"/>
  <c r="G364" s="1"/>
  <c r="H364" s="1"/>
  <c r="DR252"/>
  <c r="G252" s="1"/>
  <c r="H252" s="1"/>
  <c r="DR177"/>
  <c r="G177" s="1"/>
  <c r="H177" s="1"/>
  <c r="DR261"/>
  <c r="G261" s="1"/>
  <c r="DR185"/>
  <c r="G185" s="1"/>
  <c r="H185" s="1"/>
  <c r="DR172"/>
  <c r="G172" s="1"/>
  <c r="DR95"/>
  <c r="G95" s="1"/>
  <c r="DR86"/>
  <c r="G86" s="1"/>
  <c r="M86" s="1"/>
  <c r="DR48"/>
  <c r="G48" s="1"/>
  <c r="H48" s="1"/>
  <c r="DR155"/>
  <c r="G155" s="1"/>
  <c r="DR47"/>
  <c r="G47" s="1"/>
  <c r="DR108"/>
  <c r="G108" s="1"/>
  <c r="M108" s="1"/>
  <c r="DR361"/>
  <c r="G361" s="1"/>
  <c r="H361" s="1"/>
  <c r="DR137"/>
  <c r="G137" s="1"/>
  <c r="DR200"/>
  <c r="G200" s="1"/>
  <c r="H200" s="1"/>
  <c r="DR246"/>
  <c r="G246" s="1"/>
  <c r="M246" s="1"/>
  <c r="DR49"/>
  <c r="G49" s="1"/>
  <c r="H49" s="1"/>
  <c r="DR164"/>
  <c r="G164" s="1"/>
  <c r="M164" s="1"/>
  <c r="DR328"/>
  <c r="G328" s="1"/>
  <c r="H328" s="1"/>
  <c r="DR336"/>
  <c r="G336" s="1"/>
  <c r="H336" s="1"/>
  <c r="DR215"/>
  <c r="G215" s="1"/>
  <c r="H215" s="1"/>
  <c r="DR256"/>
  <c r="G256" s="1"/>
  <c r="DR344"/>
  <c r="G344" s="1"/>
  <c r="H344" s="1"/>
  <c r="DR52"/>
  <c r="G52" s="1"/>
  <c r="M52" s="1"/>
  <c r="DR287"/>
  <c r="G287" s="1"/>
  <c r="H287" s="1"/>
  <c r="DR114"/>
  <c r="G114" s="1"/>
  <c r="M114" s="1"/>
  <c r="DR181"/>
  <c r="G181" s="1"/>
  <c r="H181" s="1"/>
  <c r="DR93"/>
  <c r="G93" s="1"/>
  <c r="M93" s="1"/>
  <c r="DR286"/>
  <c r="G286" s="1"/>
  <c r="DR243"/>
  <c r="G243" s="1"/>
  <c r="DR342"/>
  <c r="G342" s="1"/>
  <c r="H342" s="1"/>
  <c r="DR218"/>
  <c r="G218" s="1"/>
  <c r="DR99"/>
  <c r="G99" s="1"/>
  <c r="H99" s="1"/>
  <c r="DR216"/>
  <c r="G216" s="1"/>
  <c r="DR107"/>
  <c r="G107" s="1"/>
  <c r="DR301"/>
  <c r="G301" s="1"/>
  <c r="H301" s="1"/>
  <c r="DR353"/>
  <c r="G353" s="1"/>
  <c r="H353" s="1"/>
  <c r="DR102"/>
  <c r="G102" s="1"/>
  <c r="M102" s="1"/>
  <c r="DR213"/>
  <c r="G213" s="1"/>
  <c r="H213" s="1"/>
  <c r="DR281"/>
  <c r="G281" s="1"/>
  <c r="DR376"/>
  <c r="G376" s="1"/>
  <c r="H376" s="1"/>
  <c r="DR91"/>
  <c r="G91" s="1"/>
  <c r="DR56"/>
  <c r="G56" s="1"/>
  <c r="DR351"/>
  <c r="G351" s="1"/>
  <c r="H351" s="1"/>
  <c r="DR85"/>
  <c r="G85" s="1"/>
  <c r="H85" s="1"/>
  <c r="DR50"/>
  <c r="G50" s="1"/>
  <c r="M50" s="1"/>
  <c r="DR74"/>
  <c r="G74" s="1"/>
  <c r="H74" s="1"/>
  <c r="DR158"/>
  <c r="G158" s="1"/>
  <c r="M158" s="1"/>
  <c r="DR254"/>
  <c r="G254" s="1"/>
  <c r="H254" s="1"/>
  <c r="DR110"/>
  <c r="G110" s="1"/>
  <c r="M110" s="1"/>
  <c r="DR129"/>
  <c r="G129" s="1"/>
  <c r="DR233"/>
  <c r="G233" s="1"/>
  <c r="M233" s="1"/>
  <c r="DR178"/>
  <c r="G178" s="1"/>
  <c r="DR352"/>
  <c r="G352" s="1"/>
  <c r="H352" s="1"/>
  <c r="DR240"/>
  <c r="G240" s="1"/>
  <c r="DR283"/>
  <c r="G283" s="1"/>
  <c r="DR289"/>
  <c r="G289" s="1"/>
  <c r="H289" s="1"/>
  <c r="DR292"/>
  <c r="G292" s="1"/>
  <c r="H292" s="1"/>
  <c r="DR156"/>
  <c r="G156" s="1"/>
  <c r="H156" s="1"/>
  <c r="DR100"/>
  <c r="G100" s="1"/>
  <c r="M100" s="1"/>
  <c r="DR249"/>
  <c r="G249" s="1"/>
  <c r="H249" s="1"/>
  <c r="DR377"/>
  <c r="G377" s="1"/>
  <c r="H377" s="1"/>
  <c r="DR341"/>
  <c r="G341" s="1"/>
  <c r="H341" s="1"/>
  <c r="DR58"/>
  <c r="G58" s="1"/>
  <c r="M58" s="1"/>
  <c r="DR285"/>
  <c r="G285" s="1"/>
  <c r="DR166"/>
  <c r="G166" s="1"/>
  <c r="DR51"/>
  <c r="G51" s="1"/>
  <c r="H51" s="1"/>
  <c r="DR198"/>
  <c r="G198" s="1"/>
  <c r="DR190"/>
  <c r="G190" s="1"/>
  <c r="H190" s="1"/>
  <c r="DR288"/>
  <c r="G288" s="1"/>
  <c r="H288" s="1"/>
  <c r="DR206"/>
  <c r="G206" s="1"/>
  <c r="H206" s="1"/>
  <c r="DR112"/>
  <c r="G112" s="1"/>
  <c r="M112" s="1"/>
  <c r="DR63"/>
  <c r="G63" s="1"/>
  <c r="H63" s="1"/>
  <c r="DR220"/>
  <c r="G220" s="1"/>
  <c r="DR147"/>
  <c r="G147" s="1"/>
  <c r="H147" s="1"/>
  <c r="DR307"/>
  <c r="G307" s="1"/>
  <c r="H307" s="1"/>
  <c r="DR104"/>
  <c r="G104" s="1"/>
  <c r="H104" s="1"/>
  <c r="DR76"/>
  <c r="G76" s="1"/>
  <c r="M76" s="1"/>
  <c r="DR70"/>
  <c r="G70" s="1"/>
  <c r="DR111"/>
  <c r="G111" s="1"/>
  <c r="M111" s="1"/>
  <c r="DR139"/>
  <c r="G139" s="1"/>
  <c r="M139" s="1"/>
  <c r="DR337"/>
  <c r="G337" s="1"/>
  <c r="H337" s="1"/>
  <c r="DR188"/>
  <c r="G188" s="1"/>
  <c r="H188" s="1"/>
  <c r="DR322"/>
  <c r="G322" s="1"/>
  <c r="H322" s="1"/>
  <c r="DR209"/>
  <c r="G209" s="1"/>
  <c r="H209" s="1"/>
  <c r="DR278"/>
  <c r="G278" s="1"/>
  <c r="DR245"/>
  <c r="G245" s="1"/>
  <c r="DR61"/>
  <c r="G61" s="1"/>
  <c r="M61" s="1"/>
  <c r="DR59"/>
  <c r="G59" s="1"/>
  <c r="H59" s="1"/>
  <c r="DR173"/>
  <c r="G173" s="1"/>
  <c r="M173" s="1"/>
  <c r="DR151"/>
  <c r="G151" s="1"/>
  <c r="H151" s="1"/>
  <c r="DR239"/>
  <c r="G239" s="1"/>
  <c r="M239" s="1"/>
  <c r="DR311"/>
  <c r="G311" s="1"/>
  <c r="H311" s="1"/>
  <c r="DR165"/>
  <c r="G165" s="1"/>
  <c r="DR60"/>
  <c r="G60" s="1"/>
  <c r="H60" s="1"/>
  <c r="DR92"/>
  <c r="G92" s="1"/>
  <c r="M92" s="1"/>
  <c r="DR195"/>
  <c r="G195" s="1"/>
  <c r="H195" s="1"/>
  <c r="DR262"/>
  <c r="G262" s="1"/>
  <c r="DR236"/>
  <c r="G236" s="1"/>
  <c r="DR304"/>
  <c r="G304" s="1"/>
  <c r="H304" s="1"/>
  <c r="DR330"/>
  <c r="G330" s="1"/>
  <c r="H330" s="1"/>
  <c r="DR338"/>
  <c r="G338" s="1"/>
  <c r="H338" s="1"/>
  <c r="DR219"/>
  <c r="G219" s="1"/>
  <c r="H219" s="1"/>
  <c r="DR343"/>
  <c r="G343" s="1"/>
  <c r="H343" s="1"/>
  <c r="DR346"/>
  <c r="G346" s="1"/>
  <c r="H346" s="1"/>
  <c r="DR142"/>
  <c r="G142" s="1"/>
  <c r="DR299"/>
  <c r="G299" s="1"/>
  <c r="H299" s="1"/>
  <c r="DR138"/>
  <c r="G138" s="1"/>
  <c r="M138" s="1"/>
  <c r="DR225"/>
  <c r="G225" s="1"/>
  <c r="DR120"/>
  <c r="G120" s="1"/>
  <c r="H120" s="1"/>
  <c r="DR71"/>
  <c r="G71" s="1"/>
  <c r="H71" s="1"/>
  <c r="DR257"/>
  <c r="G257" s="1"/>
  <c r="DR97"/>
  <c r="G97" s="1"/>
  <c r="DR78"/>
  <c r="G78" s="1"/>
  <c r="H78" s="1"/>
  <c r="DR125"/>
  <c r="G125" s="1"/>
  <c r="DR153"/>
  <c r="G153" s="1"/>
  <c r="M153" s="1"/>
  <c r="DR241"/>
  <c r="G241" s="1"/>
  <c r="H241" s="1"/>
  <c r="DR321"/>
  <c r="G321" s="1"/>
  <c r="H321" s="1"/>
  <c r="DR167"/>
  <c r="G167" s="1"/>
  <c r="H167" s="1"/>
  <c r="DR118"/>
  <c r="G118" s="1"/>
  <c r="M118" s="1"/>
  <c r="DR221"/>
  <c r="G221" s="1"/>
  <c r="H221" s="1"/>
  <c r="DR290"/>
  <c r="G290" s="1"/>
  <c r="H290" s="1"/>
  <c r="DR101"/>
  <c r="G101" s="1"/>
  <c r="DR271"/>
  <c r="G271" s="1"/>
  <c r="DR305"/>
  <c r="G305" s="1"/>
  <c r="H305" s="1"/>
  <c r="DR315"/>
  <c r="G315" s="1"/>
  <c r="H315" s="1"/>
  <c r="DR196"/>
  <c r="G196" s="1"/>
  <c r="H196" s="1"/>
  <c r="DR45"/>
  <c r="DR267"/>
  <c r="G267" s="1"/>
  <c r="DR187"/>
  <c r="G187" s="1"/>
  <c r="H187" s="1"/>
  <c r="DR133"/>
  <c r="G133" s="1"/>
  <c r="H133" s="1"/>
  <c r="DR175"/>
  <c r="G175" s="1"/>
  <c r="DR231"/>
  <c r="G231" s="1"/>
  <c r="M231" s="1"/>
  <c r="DR182"/>
  <c r="G182" s="1"/>
  <c r="H182" s="1"/>
  <c r="DR360"/>
  <c r="G360" s="1"/>
  <c r="H360" s="1"/>
  <c r="DR134"/>
  <c r="G134" s="1"/>
  <c r="M134" s="1"/>
  <c r="DR374"/>
  <c r="G374" s="1"/>
  <c r="H374" s="1"/>
  <c r="DR260"/>
  <c r="G260" s="1"/>
  <c r="DR224"/>
  <c r="G224" s="1"/>
  <c r="H224" s="1"/>
  <c r="DR64"/>
  <c r="G64" s="1"/>
  <c r="M64" s="1"/>
  <c r="DR265"/>
  <c r="G265" s="1"/>
  <c r="DR161"/>
  <c r="G161" s="1"/>
  <c r="DR269"/>
  <c r="G269" s="1"/>
  <c r="DR202"/>
  <c r="G202" s="1"/>
  <c r="DR350"/>
  <c r="G350" s="1"/>
  <c r="H350" s="1"/>
  <c r="DR232"/>
  <c r="G232" s="1"/>
  <c r="H232" s="1"/>
  <c r="DR106"/>
  <c r="G106" s="1"/>
  <c r="H106" s="1"/>
  <c r="DR223"/>
  <c r="G223" s="1"/>
  <c r="DR84"/>
  <c r="G84" s="1"/>
  <c r="H84" s="1"/>
  <c r="DR259"/>
  <c r="G259" s="1"/>
  <c r="DR203"/>
  <c r="G203" s="1"/>
  <c r="H203" s="1"/>
  <c r="DR248"/>
  <c r="G248" s="1"/>
  <c r="M248" s="1"/>
  <c r="DR214"/>
  <c r="G214" s="1"/>
  <c r="H214" s="1"/>
  <c r="DR103"/>
  <c r="G103" s="1"/>
  <c r="H103" s="1"/>
  <c r="DR208"/>
  <c r="G208" s="1"/>
  <c r="H208" s="1"/>
  <c r="DR145"/>
  <c r="G145" s="1"/>
  <c r="M145" s="1"/>
  <c r="DR115"/>
  <c r="G115" s="1"/>
  <c r="H115" s="1"/>
  <c r="DR355"/>
  <c r="G355" s="1"/>
  <c r="H355" s="1"/>
  <c r="DR163"/>
  <c r="G163" s="1"/>
  <c r="H163" s="1"/>
  <c r="DR371"/>
  <c r="G371" s="1"/>
  <c r="H371" s="1"/>
  <c r="DR222"/>
  <c r="G222" s="1"/>
  <c r="H222" s="1"/>
  <c r="DR143"/>
  <c r="G143" s="1"/>
  <c r="H143" s="1"/>
  <c r="DR180"/>
  <c r="G180" s="1"/>
  <c r="H180" s="1"/>
  <c r="DR348"/>
  <c r="G348" s="1"/>
  <c r="H348" s="1"/>
  <c r="DR160"/>
  <c r="G160" s="1"/>
  <c r="H160" s="1"/>
  <c r="DR69"/>
  <c r="G69" s="1"/>
  <c r="DR217"/>
  <c r="G217" s="1"/>
  <c r="H217" s="1"/>
  <c r="DR370"/>
  <c r="G370" s="1"/>
  <c r="H370" s="1"/>
  <c r="DR264"/>
  <c r="G264" s="1"/>
  <c r="DR282"/>
  <c r="G282" s="1"/>
  <c r="DR154"/>
  <c r="G154" s="1"/>
  <c r="H154" s="1"/>
  <c r="DR226"/>
  <c r="G226" s="1"/>
  <c r="DR176"/>
  <c r="G176" s="1"/>
  <c r="DR149"/>
  <c r="G149" s="1"/>
  <c r="M149" s="1"/>
  <c r="DR325"/>
  <c r="G325" s="1"/>
  <c r="H325" s="1"/>
  <c r="DR87"/>
  <c r="G87" s="1"/>
  <c r="M87" s="1"/>
  <c r="DR183"/>
  <c r="G183" s="1"/>
  <c r="H183" s="1"/>
  <c r="DR266"/>
  <c r="G266" s="1"/>
  <c r="DR274"/>
  <c r="G274" s="1"/>
  <c r="DR251"/>
  <c r="G251" s="1"/>
  <c r="M251" s="1"/>
  <c r="DR324"/>
  <c r="G324" s="1"/>
  <c r="H324" s="1"/>
  <c r="DR332"/>
  <c r="G332" s="1"/>
  <c r="H332" s="1"/>
  <c r="DR340"/>
  <c r="G340" s="1"/>
  <c r="H340" s="1"/>
  <c r="DR317"/>
  <c r="G317" s="1"/>
  <c r="H317" s="1"/>
  <c r="DR171"/>
  <c r="G171" s="1"/>
  <c r="H171" s="1"/>
  <c r="DR354"/>
  <c r="G354" s="1"/>
  <c r="H354" s="1"/>
  <c r="DR194"/>
  <c r="G194" s="1"/>
  <c r="H194" s="1"/>
  <c r="DR73"/>
  <c r="G73" s="1"/>
  <c r="M73" s="1"/>
  <c r="DR152"/>
  <c r="G152" s="1"/>
  <c r="H152" s="1"/>
  <c r="DR235"/>
  <c r="G235" s="1"/>
  <c r="DR174"/>
  <c r="G174" s="1"/>
  <c r="H174" s="1"/>
  <c r="DR148"/>
  <c r="G148" s="1"/>
  <c r="M148" s="1"/>
  <c r="DR275"/>
  <c r="G275" s="1"/>
  <c r="DR168"/>
  <c r="G168" s="1"/>
  <c r="DR135"/>
  <c r="G135" s="1"/>
  <c r="DR244"/>
  <c r="G244" s="1"/>
  <c r="M244" s="1"/>
  <c r="DR296"/>
  <c r="G296" s="1"/>
  <c r="H296" s="1"/>
  <c r="DR157"/>
  <c r="G157" s="1"/>
  <c r="H157" s="1"/>
  <c r="DR313"/>
  <c r="G313" s="1"/>
  <c r="H313" s="1"/>
  <c r="DR319"/>
  <c r="G319" s="1"/>
  <c r="H319" s="1"/>
  <c r="DR43"/>
  <c r="G43" s="1"/>
  <c r="M43" s="1"/>
  <c r="DR33"/>
  <c r="G33" s="1"/>
  <c r="DR30"/>
  <c r="G30" s="1"/>
  <c r="DR38"/>
  <c r="G38" s="1"/>
  <c r="M38" s="1"/>
  <c r="DR36"/>
  <c r="G36" s="1"/>
  <c r="H36" s="1"/>
  <c r="DR37"/>
  <c r="G37" s="1"/>
  <c r="H37" s="1"/>
  <c r="DR21"/>
  <c r="G21" s="1"/>
  <c r="M21" s="1"/>
  <c r="DR27"/>
  <c r="G27" s="1"/>
  <c r="M27" s="1"/>
  <c r="DR28"/>
  <c r="G28" s="1"/>
  <c r="H28" s="1"/>
  <c r="DR34"/>
  <c r="G34" s="1"/>
  <c r="M34" s="1"/>
  <c r="DR31"/>
  <c r="G31" s="1"/>
  <c r="DR24"/>
  <c r="G24" s="1"/>
  <c r="M24" s="1"/>
  <c r="DR41"/>
  <c r="G41" s="1"/>
  <c r="H41" s="1"/>
  <c r="DR23"/>
  <c r="G23" s="1"/>
  <c r="DR25"/>
  <c r="G25" s="1"/>
  <c r="DR42"/>
  <c r="G42" s="1"/>
  <c r="M42" s="1"/>
  <c r="DR19"/>
  <c r="G19" s="1"/>
  <c r="H19" s="1"/>
  <c r="DR32"/>
  <c r="G32" s="1"/>
  <c r="DR39"/>
  <c r="G39" s="1"/>
  <c r="H39" s="1"/>
  <c r="DR22"/>
  <c r="G22" s="1"/>
  <c r="M22" s="1"/>
  <c r="DR20"/>
  <c r="G20" s="1"/>
  <c r="H20" s="1"/>
  <c r="DR40"/>
  <c r="G40" s="1"/>
  <c r="M40" s="1"/>
  <c r="DR35"/>
  <c r="G35" s="1"/>
  <c r="DR26"/>
  <c r="G26" s="1"/>
  <c r="M26" s="1"/>
  <c r="DR29"/>
  <c r="G29" s="1"/>
  <c r="M29" s="1"/>
  <c r="P9" i="22"/>
  <c r="H9" i="24"/>
  <c r="H13"/>
  <c r="H17"/>
  <c r="H21"/>
  <c r="H25"/>
  <c r="H29"/>
  <c r="H33"/>
  <c r="H37"/>
  <c r="H41"/>
  <c r="H45"/>
  <c r="H49"/>
  <c r="H53"/>
  <c r="H57"/>
  <c r="H61"/>
  <c r="H65"/>
  <c r="H69"/>
  <c r="H73"/>
  <c r="H77"/>
  <c r="H81"/>
  <c r="H85"/>
  <c r="H89"/>
  <c r="H93"/>
  <c r="H97"/>
  <c r="H101"/>
  <c r="H105"/>
  <c r="H109"/>
  <c r="H113"/>
  <c r="H117"/>
  <c r="H121"/>
  <c r="H125"/>
  <c r="H129"/>
  <c r="H133"/>
  <c r="H137"/>
  <c r="H141"/>
  <c r="H145"/>
  <c r="H149"/>
  <c r="H153"/>
  <c r="H157"/>
  <c r="H161"/>
  <c r="H165"/>
  <c r="H169"/>
  <c r="H173"/>
  <c r="H177"/>
  <c r="H181"/>
  <c r="H185"/>
  <c r="H189"/>
  <c r="H193"/>
  <c r="H197"/>
  <c r="H201"/>
  <c r="H205"/>
  <c r="H209"/>
  <c r="H213"/>
  <c r="H217"/>
  <c r="H221"/>
  <c r="H225"/>
  <c r="H229"/>
  <c r="H233"/>
  <c r="H237"/>
  <c r="H241"/>
  <c r="H245"/>
  <c r="H249"/>
  <c r="H253"/>
  <c r="H257"/>
  <c r="H261"/>
  <c r="H265"/>
  <c r="H269"/>
  <c r="H273"/>
  <c r="H277"/>
  <c r="H281"/>
  <c r="H285"/>
  <c r="H289"/>
  <c r="H293"/>
  <c r="H297"/>
  <c r="H301"/>
  <c r="H305"/>
  <c r="H309"/>
  <c r="H313"/>
  <c r="H317"/>
  <c r="H321"/>
  <c r="H325"/>
  <c r="H329"/>
  <c r="H333"/>
  <c r="H337"/>
  <c r="H341"/>
  <c r="H345"/>
  <c r="H12"/>
  <c r="H18"/>
  <c r="H23"/>
  <c r="H28"/>
  <c r="H34"/>
  <c r="H39"/>
  <c r="H44"/>
  <c r="H50"/>
  <c r="H60"/>
  <c r="H66"/>
  <c r="H71"/>
  <c r="H76"/>
  <c r="H82"/>
  <c r="H87"/>
  <c r="H92"/>
  <c r="H98"/>
  <c r="H103"/>
  <c r="H108"/>
  <c r="H114"/>
  <c r="H119"/>
  <c r="H124"/>
  <c r="H130"/>
  <c r="H135"/>
  <c r="H140"/>
  <c r="H146"/>
  <c r="H151"/>
  <c r="H156"/>
  <c r="H162"/>
  <c r="H167"/>
  <c r="H172"/>
  <c r="H178"/>
  <c r="H183"/>
  <c r="H188"/>
  <c r="H194"/>
  <c r="H199"/>
  <c r="H204"/>
  <c r="H210"/>
  <c r="H215"/>
  <c r="H220"/>
  <c r="H226"/>
  <c r="H231"/>
  <c r="H236"/>
  <c r="H242"/>
  <c r="H247"/>
  <c r="H252"/>
  <c r="H258"/>
  <c r="H263"/>
  <c r="H268"/>
  <c r="H274"/>
  <c r="H279"/>
  <c r="H284"/>
  <c r="H290"/>
  <c r="H295"/>
  <c r="H300"/>
  <c r="H306"/>
  <c r="H311"/>
  <c r="H316"/>
  <c r="H322"/>
  <c r="H327"/>
  <c r="H332"/>
  <c r="H338"/>
  <c r="H343"/>
  <c r="H348"/>
  <c r="H352"/>
  <c r="H356"/>
  <c r="H360"/>
  <c r="H364"/>
  <c r="H368"/>
  <c r="H372"/>
  <c r="H376"/>
  <c r="H380"/>
  <c r="H11"/>
  <c r="H22"/>
  <c r="H32"/>
  <c r="H43"/>
  <c r="H54"/>
  <c r="H70"/>
  <c r="H80"/>
  <c r="H91"/>
  <c r="H107"/>
  <c r="H118"/>
  <c r="H128"/>
  <c r="H144"/>
  <c r="H155"/>
  <c r="H166"/>
  <c r="H182"/>
  <c r="H187"/>
  <c r="H203"/>
  <c r="H219"/>
  <c r="H224"/>
  <c r="H240"/>
  <c r="H256"/>
  <c r="H262"/>
  <c r="H14"/>
  <c r="H19"/>
  <c r="H24"/>
  <c r="H30"/>
  <c r="H35"/>
  <c r="H40"/>
  <c r="H46"/>
  <c r="H51"/>
  <c r="H56"/>
  <c r="H62"/>
  <c r="H67"/>
  <c r="H72"/>
  <c r="H78"/>
  <c r="H83"/>
  <c r="H88"/>
  <c r="H94"/>
  <c r="H99"/>
  <c r="H104"/>
  <c r="H110"/>
  <c r="H115"/>
  <c r="H120"/>
  <c r="H126"/>
  <c r="H131"/>
  <c r="H136"/>
  <c r="H142"/>
  <c r="H147"/>
  <c r="H152"/>
  <c r="H158"/>
  <c r="H163"/>
  <c r="H168"/>
  <c r="H174"/>
  <c r="H179"/>
  <c r="H184"/>
  <c r="H190"/>
  <c r="H195"/>
  <c r="H200"/>
  <c r="H206"/>
  <c r="H211"/>
  <c r="H216"/>
  <c r="H222"/>
  <c r="H227"/>
  <c r="H232"/>
  <c r="H238"/>
  <c r="H243"/>
  <c r="H248"/>
  <c r="H254"/>
  <c r="H259"/>
  <c r="H264"/>
  <c r="H270"/>
  <c r="H275"/>
  <c r="H280"/>
  <c r="H286"/>
  <c r="H291"/>
  <c r="H296"/>
  <c r="H302"/>
  <c r="H307"/>
  <c r="H312"/>
  <c r="H318"/>
  <c r="H323"/>
  <c r="H328"/>
  <c r="H334"/>
  <c r="H339"/>
  <c r="H344"/>
  <c r="H349"/>
  <c r="H353"/>
  <c r="H357"/>
  <c r="H361"/>
  <c r="H365"/>
  <c r="H369"/>
  <c r="H373"/>
  <c r="H377"/>
  <c r="H381"/>
  <c r="H27"/>
  <c r="H48"/>
  <c r="H64"/>
  <c r="H86"/>
  <c r="H102"/>
  <c r="H123"/>
  <c r="H139"/>
  <c r="H160"/>
  <c r="H176"/>
  <c r="H198"/>
  <c r="H214"/>
  <c r="H235"/>
  <c r="H251"/>
  <c r="H10"/>
  <c r="H15"/>
  <c r="H20"/>
  <c r="H26"/>
  <c r="H31"/>
  <c r="H36"/>
  <c r="H42"/>
  <c r="H47"/>
  <c r="H52"/>
  <c r="H58"/>
  <c r="H63"/>
  <c r="H68"/>
  <c r="H74"/>
  <c r="H79"/>
  <c r="H84"/>
  <c r="H90"/>
  <c r="H95"/>
  <c r="H100"/>
  <c r="H106"/>
  <c r="H111"/>
  <c r="H116"/>
  <c r="H122"/>
  <c r="H127"/>
  <c r="H132"/>
  <c r="H138"/>
  <c r="H143"/>
  <c r="H148"/>
  <c r="H154"/>
  <c r="H159"/>
  <c r="H164"/>
  <c r="H170"/>
  <c r="H175"/>
  <c r="H180"/>
  <c r="H186"/>
  <c r="H191"/>
  <c r="H196"/>
  <c r="H202"/>
  <c r="H207"/>
  <c r="H212"/>
  <c r="H218"/>
  <c r="H223"/>
  <c r="H228"/>
  <c r="H234"/>
  <c r="H239"/>
  <c r="H244"/>
  <c r="H250"/>
  <c r="H255"/>
  <c r="H260"/>
  <c r="H266"/>
  <c r="H271"/>
  <c r="H276"/>
  <c r="H282"/>
  <c r="H287"/>
  <c r="H292"/>
  <c r="H298"/>
  <c r="H303"/>
  <c r="H308"/>
  <c r="H314"/>
  <c r="H319"/>
  <c r="H324"/>
  <c r="H330"/>
  <c r="H335"/>
  <c r="H340"/>
  <c r="H346"/>
  <c r="H350"/>
  <c r="H354"/>
  <c r="H358"/>
  <c r="H362"/>
  <c r="H366"/>
  <c r="H370"/>
  <c r="H374"/>
  <c r="H378"/>
  <c r="H8"/>
  <c r="H16"/>
  <c r="H38"/>
  <c r="H59"/>
  <c r="H75"/>
  <c r="H96"/>
  <c r="H112"/>
  <c r="H134"/>
  <c r="H150"/>
  <c r="H171"/>
  <c r="H192"/>
  <c r="H208"/>
  <c r="H230"/>
  <c r="H246"/>
  <c r="H272"/>
  <c r="H294"/>
  <c r="H315"/>
  <c r="H336"/>
  <c r="H355"/>
  <c r="H371"/>
  <c r="H375"/>
  <c r="H347"/>
  <c r="H267"/>
  <c r="H310"/>
  <c r="H351"/>
  <c r="H278"/>
  <c r="H299"/>
  <c r="H320"/>
  <c r="H342"/>
  <c r="H359"/>
  <c r="H304"/>
  <c r="H379"/>
  <c r="H288"/>
  <c r="H331"/>
  <c r="H367"/>
  <c r="H283"/>
  <c r="H326"/>
  <c r="H363"/>
  <c r="C26" i="30"/>
  <c r="C17"/>
  <c r="K44" i="34"/>
  <c r="K45"/>
  <c r="K40"/>
  <c r="F8" i="42"/>
  <c r="L106" i="35"/>
  <c r="L98"/>
  <c r="L93"/>
  <c r="L84"/>
  <c r="L85"/>
  <c r="L78"/>
  <c r="L70"/>
  <c r="L68"/>
  <c r="L67"/>
  <c r="L65"/>
  <c r="L56"/>
  <c r="L52"/>
  <c r="L53"/>
  <c r="L50"/>
  <c r="L30"/>
  <c r="L32"/>
  <c r="L27"/>
  <c r="L28"/>
  <c r="L16"/>
  <c r="L18"/>
  <c r="L7"/>
  <c r="L8"/>
  <c r="M53" i="42"/>
  <c r="L11" i="44" s="1"/>
  <c r="N60" i="42"/>
  <c r="M62"/>
  <c r="M20" i="44" s="1"/>
  <c r="I8" i="42"/>
  <c r="AH9" i="45"/>
  <c r="DS281" i="43"/>
  <c r="DS285"/>
  <c r="DS289"/>
  <c r="DS293"/>
  <c r="DS297"/>
  <c r="DS301"/>
  <c r="DS305"/>
  <c r="DS309"/>
  <c r="DS313"/>
  <c r="DS317"/>
  <c r="DS321"/>
  <c r="DS325"/>
  <c r="DS329"/>
  <c r="DS333"/>
  <c r="DS337"/>
  <c r="DS341"/>
  <c r="DS345"/>
  <c r="DS349"/>
  <c r="DS353"/>
  <c r="DS357"/>
  <c r="DS361"/>
  <c r="DS365"/>
  <c r="DS369"/>
  <c r="DS373"/>
  <c r="DS377"/>
  <c r="DS381"/>
  <c r="DS11"/>
  <c r="DS15"/>
  <c r="DS19"/>
  <c r="DS23"/>
  <c r="DS27"/>
  <c r="DS31"/>
  <c r="DS35"/>
  <c r="DS39"/>
  <c r="DS43"/>
  <c r="DS47"/>
  <c r="DS51"/>
  <c r="DS55"/>
  <c r="DS59"/>
  <c r="DS63"/>
  <c r="DS67"/>
  <c r="DS71"/>
  <c r="DS75"/>
  <c r="DS79"/>
  <c r="DS83"/>
  <c r="DS87"/>
  <c r="DS91"/>
  <c r="DS95"/>
  <c r="DS99"/>
  <c r="DS103"/>
  <c r="DS107"/>
  <c r="DS111"/>
  <c r="DS115"/>
  <c r="DS119"/>
  <c r="DS123"/>
  <c r="DS127"/>
  <c r="DS131"/>
  <c r="DS135"/>
  <c r="DS139"/>
  <c r="DS143"/>
  <c r="DS147"/>
  <c r="DS151"/>
  <c r="DS155"/>
  <c r="DS159"/>
  <c r="DS163"/>
  <c r="DS167"/>
  <c r="DS171"/>
  <c r="DS175"/>
  <c r="DS179"/>
  <c r="DS183"/>
  <c r="DS187"/>
  <c r="DS191"/>
  <c r="DS195"/>
  <c r="DS199"/>
  <c r="DS203"/>
  <c r="DS207"/>
  <c r="DS211"/>
  <c r="DS215"/>
  <c r="DS219"/>
  <c r="DS223"/>
  <c r="DS227"/>
  <c r="DS231"/>
  <c r="DS235"/>
  <c r="DS239"/>
  <c r="DS243"/>
  <c r="DS247"/>
  <c r="DS251"/>
  <c r="DS255"/>
  <c r="DS259"/>
  <c r="DS263"/>
  <c r="DS267"/>
  <c r="DS271"/>
  <c r="DS275"/>
  <c r="DS279"/>
  <c r="DS284"/>
  <c r="DS288"/>
  <c r="DS292"/>
  <c r="DS296"/>
  <c r="DS300"/>
  <c r="DS304"/>
  <c r="DS308"/>
  <c r="DS312"/>
  <c r="DS316"/>
  <c r="DS320"/>
  <c r="DS324"/>
  <c r="DS328"/>
  <c r="DS332"/>
  <c r="DS336"/>
  <c r="DS340"/>
  <c r="DS344"/>
  <c r="DS348"/>
  <c r="DS352"/>
  <c r="DS356"/>
  <c r="DS360"/>
  <c r="DS364"/>
  <c r="DS368"/>
  <c r="DS372"/>
  <c r="DS376"/>
  <c r="DS380"/>
  <c r="DS10"/>
  <c r="DS14"/>
  <c r="DS18"/>
  <c r="DS22"/>
  <c r="DS26"/>
  <c r="DS30"/>
  <c r="DS34"/>
  <c r="DS38"/>
  <c r="DS42"/>
  <c r="DS46"/>
  <c r="DS50"/>
  <c r="DS54"/>
  <c r="DS58"/>
  <c r="DS62"/>
  <c r="DS66"/>
  <c r="DS70"/>
  <c r="DS74"/>
  <c r="DS78"/>
  <c r="DS82"/>
  <c r="DS86"/>
  <c r="DS90"/>
  <c r="DS94"/>
  <c r="DS98"/>
  <c r="DS102"/>
  <c r="DS106"/>
  <c r="DS110"/>
  <c r="DS114"/>
  <c r="DS118"/>
  <c r="DS122"/>
  <c r="DS126"/>
  <c r="DS130"/>
  <c r="DS134"/>
  <c r="DS138"/>
  <c r="DS142"/>
  <c r="DS146"/>
  <c r="DS150"/>
  <c r="DS154"/>
  <c r="DS158"/>
  <c r="DS162"/>
  <c r="DS166"/>
  <c r="DS170"/>
  <c r="DS174"/>
  <c r="DS178"/>
  <c r="DS182"/>
  <c r="DS186"/>
  <c r="DS190"/>
  <c r="DS194"/>
  <c r="DS198"/>
  <c r="DS202"/>
  <c r="DS206"/>
  <c r="DS210"/>
  <c r="DS214"/>
  <c r="DS218"/>
  <c r="DS222"/>
  <c r="DS226"/>
  <c r="DS230"/>
  <c r="DS234"/>
  <c r="DS238"/>
  <c r="DS242"/>
  <c r="DS246"/>
  <c r="DS250"/>
  <c r="DS254"/>
  <c r="DS258"/>
  <c r="DS262"/>
  <c r="DS266"/>
  <c r="DS270"/>
  <c r="DS274"/>
  <c r="DS278"/>
  <c r="DS283"/>
  <c r="DS287"/>
  <c r="DS291"/>
  <c r="DS295"/>
  <c r="DS299"/>
  <c r="DS303"/>
  <c r="DS307"/>
  <c r="DS311"/>
  <c r="DS315"/>
  <c r="DS319"/>
  <c r="DS323"/>
  <c r="DS327"/>
  <c r="DS331"/>
  <c r="DS335"/>
  <c r="DS339"/>
  <c r="DS343"/>
  <c r="DS347"/>
  <c r="DS351"/>
  <c r="DS355"/>
  <c r="DS359"/>
  <c r="DS363"/>
  <c r="DS367"/>
  <c r="DS371"/>
  <c r="DS375"/>
  <c r="DS379"/>
  <c r="DS9"/>
  <c r="DS13"/>
  <c r="DS17"/>
  <c r="DS21"/>
  <c r="DS25"/>
  <c r="DS29"/>
  <c r="DS33"/>
  <c r="DS37"/>
  <c r="DS41"/>
  <c r="DS45"/>
  <c r="DS49"/>
  <c r="DS53"/>
  <c r="DS57"/>
  <c r="DS61"/>
  <c r="DS65"/>
  <c r="DS69"/>
  <c r="DS73"/>
  <c r="DS77"/>
  <c r="DS81"/>
  <c r="DS85"/>
  <c r="DS89"/>
  <c r="DS93"/>
  <c r="DS97"/>
  <c r="DS101"/>
  <c r="DS105"/>
  <c r="DS109"/>
  <c r="DS113"/>
  <c r="DS117"/>
  <c r="DS121"/>
  <c r="DS125"/>
  <c r="DS129"/>
  <c r="DS133"/>
  <c r="DS137"/>
  <c r="DS141"/>
  <c r="DS145"/>
  <c r="DS149"/>
  <c r="DS153"/>
  <c r="DS157"/>
  <c r="DS161"/>
  <c r="DS165"/>
  <c r="DS169"/>
  <c r="DS173"/>
  <c r="DS177"/>
  <c r="DS181"/>
  <c r="DS185"/>
  <c r="DS189"/>
  <c r="DS193"/>
  <c r="DS197"/>
  <c r="DS201"/>
  <c r="DS205"/>
  <c r="DS209"/>
  <c r="DS213"/>
  <c r="DS217"/>
  <c r="DS221"/>
  <c r="DS225"/>
  <c r="DS229"/>
  <c r="DS233"/>
  <c r="DS237"/>
  <c r="DS241"/>
  <c r="DS245"/>
  <c r="DS249"/>
  <c r="DS253"/>
  <c r="DS257"/>
  <c r="DS261"/>
  <c r="DS265"/>
  <c r="DS269"/>
  <c r="DS273"/>
  <c r="DS277"/>
  <c r="DS282"/>
  <c r="DS286"/>
  <c r="DS290"/>
  <c r="DS294"/>
  <c r="DS298"/>
  <c r="DS302"/>
  <c r="DS306"/>
  <c r="DS310"/>
  <c r="DS314"/>
  <c r="DS318"/>
  <c r="DS322"/>
  <c r="DS326"/>
  <c r="DS330"/>
  <c r="DS334"/>
  <c r="DS338"/>
  <c r="DS342"/>
  <c r="DS346"/>
  <c r="DS350"/>
  <c r="DS354"/>
  <c r="DS358"/>
  <c r="DS362"/>
  <c r="DS366"/>
  <c r="DS370"/>
  <c r="DS374"/>
  <c r="DS378"/>
  <c r="DS280"/>
  <c r="DS12"/>
  <c r="DS16"/>
  <c r="DS20"/>
  <c r="DS24"/>
  <c r="DS28"/>
  <c r="DS32"/>
  <c r="DS36"/>
  <c r="DS40"/>
  <c r="DS44"/>
  <c r="DS48"/>
  <c r="DS52"/>
  <c r="DS56"/>
  <c r="DS60"/>
  <c r="DS64"/>
  <c r="DS68"/>
  <c r="DS72"/>
  <c r="DS76"/>
  <c r="DS80"/>
  <c r="DS84"/>
  <c r="DS88"/>
  <c r="DS92"/>
  <c r="DS96"/>
  <c r="DS100"/>
  <c r="DS104"/>
  <c r="DS108"/>
  <c r="DS112"/>
  <c r="DS116"/>
  <c r="DS120"/>
  <c r="DS124"/>
  <c r="DS128"/>
  <c r="DS132"/>
  <c r="DS136"/>
  <c r="DS140"/>
  <c r="DS144"/>
  <c r="DS148"/>
  <c r="DS152"/>
  <c r="DS156"/>
  <c r="DS160"/>
  <c r="DS164"/>
  <c r="DS168"/>
  <c r="DS172"/>
  <c r="DS176"/>
  <c r="DS180"/>
  <c r="DS184"/>
  <c r="DS188"/>
  <c r="DS192"/>
  <c r="DS196"/>
  <c r="DS200"/>
  <c r="DS204"/>
  <c r="DS208"/>
  <c r="DS212"/>
  <c r="DS216"/>
  <c r="DS220"/>
  <c r="DS224"/>
  <c r="DS228"/>
  <c r="DS232"/>
  <c r="DS236"/>
  <c r="DS240"/>
  <c r="DS244"/>
  <c r="DS248"/>
  <c r="DS252"/>
  <c r="DS256"/>
  <c r="DS260"/>
  <c r="DS264"/>
  <c r="DS268"/>
  <c r="DS272"/>
  <c r="DS276"/>
  <c r="B10" i="45"/>
  <c r="T15" i="44"/>
  <c r="U16"/>
  <c r="L17"/>
  <c r="M17"/>
  <c r="I17"/>
  <c r="D17"/>
  <c r="J17"/>
  <c r="E17"/>
  <c r="B17"/>
  <c r="H17"/>
  <c r="P17"/>
  <c r="I13"/>
  <c r="L13"/>
  <c r="J13"/>
  <c r="M13"/>
  <c r="D13"/>
  <c r="E13"/>
  <c r="B13"/>
  <c r="H13"/>
  <c r="P13"/>
  <c r="L12"/>
  <c r="M12"/>
  <c r="I12"/>
  <c r="D12"/>
  <c r="J12"/>
  <c r="E12"/>
  <c r="B12"/>
  <c r="H12"/>
  <c r="P12"/>
  <c r="R7" i="45"/>
  <c r="S7" s="1"/>
  <c r="T14" i="44"/>
  <c r="U15"/>
  <c r="T16"/>
  <c r="S13"/>
  <c r="U17"/>
  <c r="M10"/>
  <c r="L10"/>
  <c r="I10"/>
  <c r="D10"/>
  <c r="E10"/>
  <c r="J10"/>
  <c r="B10"/>
  <c r="H10"/>
  <c r="P10"/>
  <c r="R11" i="45"/>
  <c r="M9" i="44"/>
  <c r="L9"/>
  <c r="D9"/>
  <c r="E9"/>
  <c r="B9"/>
  <c r="H9"/>
  <c r="T13"/>
  <c r="U13"/>
  <c r="T18"/>
  <c r="T12"/>
  <c r="L18"/>
  <c r="M18"/>
  <c r="I18"/>
  <c r="D18"/>
  <c r="J18"/>
  <c r="E18"/>
  <c r="B18"/>
  <c r="H18"/>
  <c r="P18"/>
  <c r="L14"/>
  <c r="M14"/>
  <c r="E14"/>
  <c r="I14"/>
  <c r="D14"/>
  <c r="J14"/>
  <c r="B14"/>
  <c r="H14"/>
  <c r="P14"/>
  <c r="L19"/>
  <c r="M19"/>
  <c r="I19"/>
  <c r="D19"/>
  <c r="J19"/>
  <c r="E19"/>
  <c r="B19"/>
  <c r="H19"/>
  <c r="P19"/>
  <c r="I15"/>
  <c r="L15"/>
  <c r="J15"/>
  <c r="M15"/>
  <c r="D15"/>
  <c r="E15"/>
  <c r="B15"/>
  <c r="H15"/>
  <c r="P15"/>
  <c r="S10"/>
  <c r="P9"/>
  <c r="T19"/>
  <c r="T10"/>
  <c r="S12"/>
  <c r="T17"/>
  <c r="U19"/>
  <c r="L16"/>
  <c r="M16"/>
  <c r="I16"/>
  <c r="D16"/>
  <c r="J16"/>
  <c r="E16"/>
  <c r="B16"/>
  <c r="H16"/>
  <c r="P16"/>
  <c r="J9"/>
  <c r="U10"/>
  <c r="S15"/>
  <c r="S16"/>
  <c r="U18"/>
  <c r="S14"/>
  <c r="S17"/>
  <c r="U12"/>
  <c r="Q19"/>
  <c r="Q14"/>
  <c r="Q17"/>
  <c r="Q18"/>
  <c r="Q13"/>
  <c r="Q15"/>
  <c r="Q16"/>
  <c r="G20" i="24"/>
  <c r="T9" i="22"/>
  <c r="S9"/>
  <c r="L9"/>
  <c r="CA32" i="43"/>
  <c r="BJ32"/>
  <c r="CT32"/>
  <c r="BH32"/>
  <c r="BF25"/>
  <c r="B7" i="45"/>
  <c r="K73" i="34"/>
  <c r="K74"/>
  <c r="K72"/>
  <c r="K71"/>
  <c r="K69"/>
  <c r="K70"/>
  <c r="K65"/>
  <c r="K68"/>
  <c r="K63"/>
  <c r="K64"/>
  <c r="K56"/>
  <c r="K60"/>
  <c r="K53"/>
  <c r="K54"/>
  <c r="K51"/>
  <c r="K52"/>
  <c r="K48"/>
  <c r="K49"/>
  <c r="K34"/>
  <c r="K23"/>
  <c r="L90" i="35"/>
  <c r="L103"/>
  <c r="L62"/>
  <c r="L75"/>
  <c r="L11"/>
  <c r="L13"/>
  <c r="L6"/>
  <c r="L10"/>
  <c r="DT43" i="43"/>
  <c r="DV43"/>
  <c r="DT44"/>
  <c r="DV44"/>
  <c r="DT45"/>
  <c r="DV45"/>
  <c r="DT46"/>
  <c r="DV46"/>
  <c r="DU47"/>
  <c r="DU48"/>
  <c r="DT49"/>
  <c r="DV49"/>
  <c r="DT50"/>
  <c r="DV50"/>
  <c r="DT51"/>
  <c r="DV51"/>
  <c r="DU52"/>
  <c r="DU53"/>
  <c r="DU54"/>
  <c r="DU55"/>
  <c r="DU56"/>
  <c r="DU57"/>
  <c r="DU58"/>
  <c r="DT59"/>
  <c r="DV59"/>
  <c r="DT60"/>
  <c r="DV60"/>
  <c r="DT61"/>
  <c r="DV61"/>
  <c r="DU62"/>
  <c r="DU63"/>
  <c r="DU64"/>
  <c r="DU65"/>
  <c r="DU66"/>
  <c r="DT67"/>
  <c r="DV67"/>
  <c r="DT68"/>
  <c r="DV68"/>
  <c r="DU69"/>
  <c r="DU70"/>
  <c r="DU71"/>
  <c r="DT72"/>
  <c r="DV72"/>
  <c r="DT73"/>
  <c r="DV73"/>
  <c r="DT74"/>
  <c r="DV74"/>
  <c r="DT75"/>
  <c r="DV75"/>
  <c r="DT76"/>
  <c r="DV76"/>
  <c r="DU77"/>
  <c r="DT78"/>
  <c r="DV78"/>
  <c r="DT79"/>
  <c r="DV79"/>
  <c r="DT80"/>
  <c r="DV80"/>
  <c r="DU81"/>
  <c r="DT82"/>
  <c r="DV82"/>
  <c r="DT83"/>
  <c r="DV83"/>
  <c r="DT84"/>
  <c r="DV84"/>
  <c r="DU85"/>
  <c r="DU86"/>
  <c r="DU87"/>
  <c r="DU88"/>
  <c r="DT89"/>
  <c r="DV89"/>
  <c r="DU90"/>
  <c r="DU91"/>
  <c r="DT92"/>
  <c r="DV92"/>
  <c r="DT93"/>
  <c r="DV93"/>
  <c r="DT94"/>
  <c r="DV94"/>
  <c r="DT95"/>
  <c r="DV95"/>
  <c r="DT96"/>
  <c r="DV96"/>
  <c r="DT97"/>
  <c r="DV97"/>
  <c r="DU43"/>
  <c r="DU44"/>
  <c r="DU45"/>
  <c r="DU46"/>
  <c r="DT47"/>
  <c r="DV47"/>
  <c r="DT48"/>
  <c r="DV48"/>
  <c r="DU49"/>
  <c r="DU50"/>
  <c r="DU51"/>
  <c r="DT52"/>
  <c r="DV52"/>
  <c r="DT53"/>
  <c r="DV53"/>
  <c r="DT54"/>
  <c r="DV54"/>
  <c r="DT55"/>
  <c r="DV55"/>
  <c r="DT56"/>
  <c r="DV56"/>
  <c r="DT57"/>
  <c r="DV57"/>
  <c r="DT58"/>
  <c r="DV58"/>
  <c r="DU59"/>
  <c r="DU60"/>
  <c r="DU61"/>
  <c r="DT62"/>
  <c r="DV62"/>
  <c r="DT63"/>
  <c r="DV63"/>
  <c r="DT64"/>
  <c r="DV64"/>
  <c r="DT65"/>
  <c r="DV65"/>
  <c r="DT66"/>
  <c r="DV66"/>
  <c r="DU67"/>
  <c r="DU68"/>
  <c r="DT69"/>
  <c r="DV69"/>
  <c r="DT70"/>
  <c r="DV70"/>
  <c r="DT71"/>
  <c r="DV71"/>
  <c r="DU72"/>
  <c r="DU73"/>
  <c r="DU74"/>
  <c r="DU75"/>
  <c r="DU76"/>
  <c r="DT77"/>
  <c r="DV77"/>
  <c r="DU78"/>
  <c r="DU79"/>
  <c r="DU80"/>
  <c r="DT81"/>
  <c r="DV81"/>
  <c r="DU82"/>
  <c r="DU83"/>
  <c r="DU84"/>
  <c r="DT85"/>
  <c r="DV85"/>
  <c r="DT86"/>
  <c r="DV86"/>
  <c r="DT87"/>
  <c r="DV87"/>
  <c r="DT88"/>
  <c r="DV88"/>
  <c r="DU89"/>
  <c r="DT90"/>
  <c r="DV90"/>
  <c r="DT91"/>
  <c r="DV91"/>
  <c r="DU92"/>
  <c r="DU93"/>
  <c r="DU94"/>
  <c r="DU95"/>
  <c r="DU96"/>
  <c r="DU97"/>
  <c r="DU98"/>
  <c r="DU99"/>
  <c r="DU100"/>
  <c r="DU101"/>
  <c r="DU102"/>
  <c r="DU103"/>
  <c r="DU104"/>
  <c r="DU105"/>
  <c r="DT106"/>
  <c r="DV106"/>
  <c r="DU107"/>
  <c r="DT108"/>
  <c r="DV108"/>
  <c r="DU109"/>
  <c r="DU110"/>
  <c r="DT111"/>
  <c r="DV111"/>
  <c r="DT112"/>
  <c r="DV112"/>
  <c r="DT113"/>
  <c r="DV113"/>
  <c r="DT114"/>
  <c r="DV114"/>
  <c r="DT115"/>
  <c r="DV115"/>
  <c r="DT116"/>
  <c r="DV116"/>
  <c r="DT117"/>
  <c r="DV117"/>
  <c r="DT118"/>
  <c r="DV118"/>
  <c r="DT119"/>
  <c r="DV119"/>
  <c r="DT120"/>
  <c r="DV120"/>
  <c r="DT121"/>
  <c r="DV121"/>
  <c r="DT122"/>
  <c r="DV122"/>
  <c r="DU123"/>
  <c r="DU124"/>
  <c r="DU125"/>
  <c r="DU126"/>
  <c r="DT127"/>
  <c r="DV127"/>
  <c r="DT128"/>
  <c r="DV128"/>
  <c r="DT129"/>
  <c r="DV129"/>
  <c r="DT130"/>
  <c r="DV130"/>
  <c r="DU131"/>
  <c r="DT132"/>
  <c r="DV132"/>
  <c r="DU133"/>
  <c r="DT134"/>
  <c r="DV134"/>
  <c r="DU135"/>
  <c r="DU136"/>
  <c r="DU137"/>
  <c r="DU138"/>
  <c r="DT139"/>
  <c r="DV139"/>
  <c r="DT140"/>
  <c r="DV140"/>
  <c r="DT141"/>
  <c r="DV141"/>
  <c r="DU142"/>
  <c r="DT143"/>
  <c r="DV143"/>
  <c r="DU144"/>
  <c r="DU145"/>
  <c r="DU146"/>
  <c r="DU147"/>
  <c r="DU148"/>
  <c r="DU149"/>
  <c r="DU150"/>
  <c r="DU151"/>
  <c r="DU152"/>
  <c r="DU153"/>
  <c r="DU154"/>
  <c r="DU155"/>
  <c r="DU156"/>
  <c r="DU157"/>
  <c r="DU158"/>
  <c r="DU159"/>
  <c r="DT98"/>
  <c r="DV98"/>
  <c r="DT99"/>
  <c r="DV99"/>
  <c r="DT100"/>
  <c r="DV100"/>
  <c r="DT101"/>
  <c r="DV101"/>
  <c r="DT102"/>
  <c r="DV102"/>
  <c r="DT103"/>
  <c r="DV103"/>
  <c r="DT104"/>
  <c r="DV104"/>
  <c r="DT105"/>
  <c r="DV105"/>
  <c r="DU106"/>
  <c r="DT107"/>
  <c r="DV107"/>
  <c r="DU108"/>
  <c r="DT109"/>
  <c r="DV109"/>
  <c r="DT110"/>
  <c r="DV110"/>
  <c r="DU111"/>
  <c r="DU112"/>
  <c r="DU113"/>
  <c r="DU114"/>
  <c r="DU115"/>
  <c r="DU116"/>
  <c r="DU117"/>
  <c r="DU118"/>
  <c r="DU119"/>
  <c r="DU120"/>
  <c r="DU121"/>
  <c r="DU122"/>
  <c r="DT123"/>
  <c r="DV123"/>
  <c r="DT124"/>
  <c r="DV124"/>
  <c r="DT125"/>
  <c r="DV125"/>
  <c r="DT126"/>
  <c r="DV126"/>
  <c r="DU127"/>
  <c r="DU128"/>
  <c r="DU129"/>
  <c r="DU130"/>
  <c r="DT131"/>
  <c r="DV131"/>
  <c r="DU132"/>
  <c r="DT133"/>
  <c r="DV133"/>
  <c r="DU134"/>
  <c r="DT135"/>
  <c r="DV135"/>
  <c r="DT136"/>
  <c r="DV136"/>
  <c r="DT137"/>
  <c r="DV137"/>
  <c r="DT138"/>
  <c r="DV138"/>
  <c r="DU139"/>
  <c r="DU140"/>
  <c r="DU141"/>
  <c r="DT142"/>
  <c r="DV142"/>
  <c r="DU143"/>
  <c r="DT144"/>
  <c r="DV144"/>
  <c r="DT145"/>
  <c r="DV145"/>
  <c r="DT146"/>
  <c r="DV146"/>
  <c r="DT147"/>
  <c r="DV147"/>
  <c r="DT148"/>
  <c r="DV148"/>
  <c r="DT149"/>
  <c r="DV149"/>
  <c r="DT150"/>
  <c r="DV150"/>
  <c r="DT151"/>
  <c r="DV151"/>
  <c r="DT152"/>
  <c r="DV152"/>
  <c r="DT153"/>
  <c r="DV153"/>
  <c r="DT154"/>
  <c r="DV154"/>
  <c r="DT155"/>
  <c r="DV155"/>
  <c r="DT156"/>
  <c r="DV156"/>
  <c r="DT157"/>
  <c r="DV157"/>
  <c r="DT158"/>
  <c r="DV158"/>
  <c r="DT159"/>
  <c r="DV159"/>
  <c r="DU160"/>
  <c r="DU161"/>
  <c r="DU162"/>
  <c r="DU163"/>
  <c r="DU164"/>
  <c r="DU165"/>
  <c r="DU166"/>
  <c r="DU167"/>
  <c r="DU168"/>
  <c r="DU169"/>
  <c r="DU170"/>
  <c r="DT171"/>
  <c r="DV171"/>
  <c r="DU172"/>
  <c r="DU173"/>
  <c r="DU174"/>
  <c r="DU175"/>
  <c r="DT176"/>
  <c r="DV176"/>
  <c r="DU177"/>
  <c r="DT178"/>
  <c r="DV178"/>
  <c r="DT179"/>
  <c r="DV179"/>
  <c r="DT180"/>
  <c r="DV180"/>
  <c r="DT181"/>
  <c r="DV181"/>
  <c r="DT182"/>
  <c r="DV182"/>
  <c r="DT183"/>
  <c r="DV183"/>
  <c r="DU184"/>
  <c r="DU185"/>
  <c r="DU186"/>
  <c r="DU187"/>
  <c r="DT188"/>
  <c r="DV188"/>
  <c r="DT189"/>
  <c r="DV189"/>
  <c r="DT190"/>
  <c r="DV190"/>
  <c r="DT191"/>
  <c r="DV191"/>
  <c r="DU192"/>
  <c r="DU193"/>
  <c r="DU194"/>
  <c r="DT195"/>
  <c r="DV195"/>
  <c r="DU196"/>
  <c r="DU197"/>
  <c r="DT198"/>
  <c r="DV198"/>
  <c r="DU199"/>
  <c r="DU200"/>
  <c r="DU201"/>
  <c r="DT202"/>
  <c r="DV202"/>
  <c r="DU203"/>
  <c r="DT204"/>
  <c r="DV204"/>
  <c r="DT205"/>
  <c r="DV205"/>
  <c r="DU206"/>
  <c r="DT207"/>
  <c r="DV207"/>
  <c r="DU208"/>
  <c r="DT209"/>
  <c r="DV209"/>
  <c r="DU210"/>
  <c r="DT211"/>
  <c r="DV211"/>
  <c r="DU212"/>
  <c r="DT213"/>
  <c r="DV213"/>
  <c r="DU214"/>
  <c r="DT215"/>
  <c r="DV215"/>
  <c r="DU216"/>
  <c r="DT217"/>
  <c r="DV217"/>
  <c r="DU218"/>
  <c r="DT219"/>
  <c r="DV219"/>
  <c r="DU220"/>
  <c r="DT221"/>
  <c r="DV221"/>
  <c r="DT222"/>
  <c r="DV222"/>
  <c r="DU223"/>
  <c r="DT224"/>
  <c r="DV224"/>
  <c r="DU225"/>
  <c r="DT226"/>
  <c r="DV226"/>
  <c r="DU227"/>
  <c r="DT228"/>
  <c r="DV228"/>
  <c r="DU229"/>
  <c r="DT230"/>
  <c r="DV230"/>
  <c r="DU231"/>
  <c r="DT232"/>
  <c r="DV232"/>
  <c r="DU233"/>
  <c r="DU234"/>
  <c r="DT235"/>
  <c r="DV235"/>
  <c r="DU236"/>
  <c r="DU237"/>
  <c r="DU238"/>
  <c r="DU239"/>
  <c r="DT240"/>
  <c r="DV240"/>
  <c r="DU241"/>
  <c r="DT242"/>
  <c r="DV242"/>
  <c r="DT243"/>
  <c r="DV243"/>
  <c r="DT244"/>
  <c r="DV244"/>
  <c r="DU245"/>
  <c r="DU246"/>
  <c r="DU247"/>
  <c r="DU248"/>
  <c r="DT249"/>
  <c r="DV249"/>
  <c r="DU250"/>
  <c r="DT251"/>
  <c r="DV251"/>
  <c r="DT252"/>
  <c r="DV252"/>
  <c r="DU253"/>
  <c r="DT254"/>
  <c r="DV254"/>
  <c r="DT255"/>
  <c r="DV255"/>
  <c r="DT256"/>
  <c r="DV256"/>
  <c r="DT257"/>
  <c r="DV257"/>
  <c r="DU258"/>
  <c r="DT259"/>
  <c r="DV259"/>
  <c r="DT260"/>
  <c r="DV260"/>
  <c r="DT261"/>
  <c r="DV261"/>
  <c r="DU262"/>
  <c r="DT263"/>
  <c r="DV263"/>
  <c r="DT264"/>
  <c r="DV264"/>
  <c r="DU265"/>
  <c r="DT266"/>
  <c r="DV266"/>
  <c r="DT267"/>
  <c r="DV267"/>
  <c r="DT268"/>
  <c r="DV268"/>
  <c r="DU269"/>
  <c r="DT270"/>
  <c r="DV270"/>
  <c r="DT271"/>
  <c r="DV271"/>
  <c r="DT272"/>
  <c r="DV272"/>
  <c r="DU273"/>
  <c r="DT160"/>
  <c r="DV160"/>
  <c r="DT161"/>
  <c r="DV161"/>
  <c r="DT162"/>
  <c r="DV162"/>
  <c r="DT163"/>
  <c r="DV163"/>
  <c r="DT164"/>
  <c r="DV164"/>
  <c r="DT165"/>
  <c r="DV165"/>
  <c r="DT166"/>
  <c r="DV166"/>
  <c r="DT167"/>
  <c r="DV167"/>
  <c r="DT168"/>
  <c r="DV168"/>
  <c r="DT169"/>
  <c r="DV169"/>
  <c r="DT170"/>
  <c r="DV170"/>
  <c r="DU171"/>
  <c r="DT172"/>
  <c r="DV172"/>
  <c r="DT173"/>
  <c r="DV173"/>
  <c r="DT174"/>
  <c r="DV174"/>
  <c r="DT175"/>
  <c r="DV175"/>
  <c r="DU176"/>
  <c r="DT177"/>
  <c r="DV177"/>
  <c r="DU178"/>
  <c r="DU179"/>
  <c r="DU180"/>
  <c r="DU181"/>
  <c r="DU182"/>
  <c r="DU183"/>
  <c r="DT184"/>
  <c r="DV184"/>
  <c r="DT185"/>
  <c r="DV185"/>
  <c r="DT186"/>
  <c r="DV186"/>
  <c r="DT187"/>
  <c r="DV187"/>
  <c r="DU188"/>
  <c r="DU189"/>
  <c r="DU190"/>
  <c r="DU191"/>
  <c r="DT192"/>
  <c r="DV192"/>
  <c r="DT193"/>
  <c r="DV193"/>
  <c r="DT194"/>
  <c r="DV194"/>
  <c r="DU195"/>
  <c r="DT196"/>
  <c r="DV196"/>
  <c r="DT197"/>
  <c r="DV197"/>
  <c r="DU198"/>
  <c r="DT199"/>
  <c r="DV199"/>
  <c r="DT200"/>
  <c r="DV200"/>
  <c r="DT201"/>
  <c r="DV201"/>
  <c r="DU202"/>
  <c r="DT203"/>
  <c r="DV203"/>
  <c r="DU204"/>
  <c r="DU205"/>
  <c r="DT206"/>
  <c r="DV206"/>
  <c r="DU207"/>
  <c r="DT208"/>
  <c r="DV208"/>
  <c r="DU209"/>
  <c r="DT210"/>
  <c r="DV210"/>
  <c r="DU211"/>
  <c r="DT212"/>
  <c r="DV212"/>
  <c r="DU213"/>
  <c r="DT214"/>
  <c r="DV214"/>
  <c r="DU215"/>
  <c r="DT216"/>
  <c r="DV216"/>
  <c r="DU217"/>
  <c r="DT218"/>
  <c r="DV218"/>
  <c r="DU219"/>
  <c r="DT220"/>
  <c r="DV220"/>
  <c r="DU221"/>
  <c r="DU222"/>
  <c r="DT223"/>
  <c r="DV223"/>
  <c r="DU224"/>
  <c r="DT225"/>
  <c r="DV225"/>
  <c r="DU226"/>
  <c r="DT227"/>
  <c r="DV227"/>
  <c r="DU228"/>
  <c r="DT229"/>
  <c r="DV229"/>
  <c r="DU230"/>
  <c r="DT231"/>
  <c r="DV231"/>
  <c r="DU232"/>
  <c r="DT233"/>
  <c r="DV233"/>
  <c r="DT234"/>
  <c r="DV234"/>
  <c r="DU235"/>
  <c r="DT236"/>
  <c r="DV236"/>
  <c r="DT237"/>
  <c r="DV237"/>
  <c r="DT238"/>
  <c r="DV238"/>
  <c r="DT239"/>
  <c r="DV239"/>
  <c r="DU240"/>
  <c r="DT241"/>
  <c r="DV241"/>
  <c r="DU242"/>
  <c r="DU243"/>
  <c r="DU244"/>
  <c r="DT245"/>
  <c r="DV245"/>
  <c r="DT246"/>
  <c r="DV246"/>
  <c r="DT247"/>
  <c r="DV247"/>
  <c r="DT248"/>
  <c r="DV248"/>
  <c r="DU249"/>
  <c r="DT250"/>
  <c r="DV250"/>
  <c r="DU251"/>
  <c r="DU252"/>
  <c r="DT253"/>
  <c r="DV253"/>
  <c r="DU254"/>
  <c r="DU255"/>
  <c r="DU256"/>
  <c r="DU257"/>
  <c r="DT258"/>
  <c r="DV258"/>
  <c r="DU259"/>
  <c r="DU260"/>
  <c r="DU261"/>
  <c r="DT262"/>
  <c r="DV262"/>
  <c r="DU263"/>
  <c r="DU264"/>
  <c r="DT265"/>
  <c r="DV265"/>
  <c r="DU266"/>
  <c r="DU267"/>
  <c r="DU268"/>
  <c r="DT269"/>
  <c r="DV269"/>
  <c r="DU270"/>
  <c r="DU271"/>
  <c r="DU272"/>
  <c r="DT273"/>
  <c r="DV273"/>
  <c r="DT274"/>
  <c r="DV274"/>
  <c r="DT275"/>
  <c r="DV275"/>
  <c r="DU276"/>
  <c r="DT277"/>
  <c r="DV277"/>
  <c r="DU274"/>
  <c r="DT276"/>
  <c r="DT278"/>
  <c r="DV278"/>
  <c r="DU279"/>
  <c r="DT280"/>
  <c r="DV280"/>
  <c r="DU281"/>
  <c r="DT282"/>
  <c r="DV282"/>
  <c r="DU283"/>
  <c r="DU284"/>
  <c r="DT285"/>
  <c r="DV285"/>
  <c r="DU286"/>
  <c r="DT287"/>
  <c r="DV287"/>
  <c r="DT288"/>
  <c r="DV288"/>
  <c r="DU289"/>
  <c r="DT290"/>
  <c r="DV290"/>
  <c r="DU291"/>
  <c r="DT292"/>
  <c r="DV292"/>
  <c r="DU293"/>
  <c r="DT294"/>
  <c r="DV294"/>
  <c r="DU295"/>
  <c r="DT296"/>
  <c r="DV296"/>
  <c r="DU297"/>
  <c r="DT298"/>
  <c r="DV298"/>
  <c r="DU299"/>
  <c r="DU300"/>
  <c r="DU301"/>
  <c r="DU302"/>
  <c r="DU303"/>
  <c r="DU304"/>
  <c r="DU305"/>
  <c r="DU306"/>
  <c r="DU307"/>
  <c r="DT308"/>
  <c r="DV308"/>
  <c r="DT309"/>
  <c r="DV309"/>
  <c r="DT310"/>
  <c r="DV310"/>
  <c r="DT311"/>
  <c r="DV311"/>
  <c r="DT312"/>
  <c r="DV312"/>
  <c r="DT313"/>
  <c r="DV313"/>
  <c r="DT314"/>
  <c r="DV314"/>
  <c r="DT315"/>
  <c r="DV315"/>
  <c r="DT316"/>
  <c r="DV316"/>
  <c r="DT317"/>
  <c r="DV317"/>
  <c r="DT318"/>
  <c r="DV318"/>
  <c r="DT319"/>
  <c r="DV319"/>
  <c r="DT320"/>
  <c r="DV320"/>
  <c r="DT321"/>
  <c r="DV321"/>
  <c r="DU322"/>
  <c r="DU323"/>
  <c r="DU324"/>
  <c r="DU325"/>
  <c r="DU326"/>
  <c r="DU327"/>
  <c r="DU328"/>
  <c r="DU329"/>
  <c r="DU330"/>
  <c r="DU331"/>
  <c r="DU332"/>
  <c r="DU333"/>
  <c r="DU334"/>
  <c r="DU335"/>
  <c r="DT336"/>
  <c r="DV336"/>
  <c r="DU337"/>
  <c r="DT338"/>
  <c r="DV338"/>
  <c r="DU339"/>
  <c r="DT340"/>
  <c r="DV340"/>
  <c r="DU341"/>
  <c r="DT342"/>
  <c r="DV342"/>
  <c r="DT343"/>
  <c r="DV343"/>
  <c r="DT344"/>
  <c r="DV344"/>
  <c r="DT345"/>
  <c r="DV345"/>
  <c r="DT346"/>
  <c r="DV346"/>
  <c r="DT347"/>
  <c r="DV347"/>
  <c r="DT348"/>
  <c r="DV348"/>
  <c r="DT349"/>
  <c r="DV349"/>
  <c r="DT350"/>
  <c r="DV350"/>
  <c r="DT351"/>
  <c r="DV351"/>
  <c r="DT352"/>
  <c r="DV352"/>
  <c r="DT353"/>
  <c r="DV353"/>
  <c r="DT354"/>
  <c r="DV354"/>
  <c r="DT355"/>
  <c r="DV355"/>
  <c r="DT356"/>
  <c r="DV356"/>
  <c r="DT357"/>
  <c r="DV357"/>
  <c r="DT358"/>
  <c r="DV358"/>
  <c r="DT359"/>
  <c r="DV359"/>
  <c r="DT360"/>
  <c r="DV360"/>
  <c r="DT361"/>
  <c r="DV361"/>
  <c r="DT362"/>
  <c r="DV362"/>
  <c r="DT363"/>
  <c r="DV363"/>
  <c r="DT364"/>
  <c r="DV364"/>
  <c r="DT365"/>
  <c r="DV365"/>
  <c r="DT366"/>
  <c r="DV366"/>
  <c r="DT367"/>
  <c r="DV367"/>
  <c r="DT368"/>
  <c r="DV368"/>
  <c r="DT369"/>
  <c r="DV369"/>
  <c r="DT370"/>
  <c r="DV370"/>
  <c r="DT371"/>
  <c r="DV371"/>
  <c r="DT372"/>
  <c r="DV372"/>
  <c r="DT373"/>
  <c r="DV373"/>
  <c r="DT374"/>
  <c r="DV374"/>
  <c r="DT375"/>
  <c r="DV375"/>
  <c r="DT376"/>
  <c r="DV376"/>
  <c r="DT377"/>
  <c r="DV377"/>
  <c r="DT378"/>
  <c r="DV378"/>
  <c r="DT379"/>
  <c r="DV379"/>
  <c r="DT380"/>
  <c r="DV380"/>
  <c r="DT381"/>
  <c r="DV381"/>
  <c r="DU275"/>
  <c r="DV276"/>
  <c r="DU277"/>
  <c r="DU278"/>
  <c r="DT279"/>
  <c r="DV279"/>
  <c r="DU280"/>
  <c r="DT281"/>
  <c r="DV281"/>
  <c r="DU282"/>
  <c r="DT283"/>
  <c r="DV283"/>
  <c r="DT284"/>
  <c r="DV284"/>
  <c r="DU285"/>
  <c r="DT286"/>
  <c r="DV286"/>
  <c r="DU287"/>
  <c r="DU288"/>
  <c r="DT289"/>
  <c r="DV289"/>
  <c r="DU290"/>
  <c r="DT291"/>
  <c r="DV291"/>
  <c r="DU292"/>
  <c r="DT293"/>
  <c r="DV293"/>
  <c r="DU294"/>
  <c r="DT295"/>
  <c r="DV295"/>
  <c r="DU296"/>
  <c r="DT297"/>
  <c r="DV297"/>
  <c r="DU298"/>
  <c r="DT299"/>
  <c r="DV299"/>
  <c r="DT300"/>
  <c r="DV300"/>
  <c r="DT301"/>
  <c r="DV301"/>
  <c r="DT302"/>
  <c r="DV302"/>
  <c r="DT303"/>
  <c r="DV303"/>
  <c r="DT304"/>
  <c r="DV304"/>
  <c r="DT305"/>
  <c r="DV305"/>
  <c r="DT306"/>
  <c r="DV306"/>
  <c r="DT307"/>
  <c r="DV307"/>
  <c r="DU308"/>
  <c r="DU309"/>
  <c r="DU310"/>
  <c r="DU311"/>
  <c r="DU312"/>
  <c r="DU313"/>
  <c r="DU314"/>
  <c r="DU315"/>
  <c r="DU316"/>
  <c r="DU317"/>
  <c r="DU318"/>
  <c r="DU319"/>
  <c r="DU320"/>
  <c r="DU321"/>
  <c r="DT322"/>
  <c r="DV322"/>
  <c r="DT323"/>
  <c r="DV323"/>
  <c r="DT324"/>
  <c r="DV324"/>
  <c r="DT325"/>
  <c r="DV325"/>
  <c r="DT326"/>
  <c r="DV326"/>
  <c r="DT327"/>
  <c r="DV327"/>
  <c r="DT328"/>
  <c r="DV328"/>
  <c r="DT329"/>
  <c r="DV329"/>
  <c r="DT330"/>
  <c r="DV330"/>
  <c r="DT331"/>
  <c r="DV331"/>
  <c r="DT332"/>
  <c r="DV332"/>
  <c r="DT333"/>
  <c r="DV333"/>
  <c r="DT334"/>
  <c r="DV334"/>
  <c r="DT335"/>
  <c r="DV335"/>
  <c r="DU336"/>
  <c r="DT337"/>
  <c r="DV337"/>
  <c r="DU338"/>
  <c r="DT339"/>
  <c r="DV339"/>
  <c r="DU340"/>
  <c r="DT341"/>
  <c r="DV341"/>
  <c r="DU342"/>
  <c r="DU343"/>
  <c r="DU344"/>
  <c r="DU345"/>
  <c r="DU346"/>
  <c r="DU347"/>
  <c r="DU348"/>
  <c r="DU349"/>
  <c r="DU350"/>
  <c r="DU351"/>
  <c r="DU352"/>
  <c r="DU353"/>
  <c r="DU354"/>
  <c r="DU355"/>
  <c r="DU356"/>
  <c r="DU357"/>
  <c r="DU358"/>
  <c r="DU359"/>
  <c r="DU360"/>
  <c r="DU361"/>
  <c r="DU362"/>
  <c r="DU363"/>
  <c r="DU364"/>
  <c r="DU365"/>
  <c r="DU366"/>
  <c r="DU367"/>
  <c r="DU368"/>
  <c r="DU369"/>
  <c r="DU370"/>
  <c r="DU371"/>
  <c r="DU372"/>
  <c r="DU373"/>
  <c r="DU374"/>
  <c r="DU375"/>
  <c r="DU376"/>
  <c r="DU377"/>
  <c r="DU378"/>
  <c r="DU379"/>
  <c r="DU380"/>
  <c r="DU381"/>
  <c r="DU18"/>
  <c r="DT19"/>
  <c r="DV19"/>
  <c r="DU20"/>
  <c r="DU21"/>
  <c r="DT22"/>
  <c r="DV22"/>
  <c r="DU23"/>
  <c r="DU24"/>
  <c r="DU25"/>
  <c r="DT26"/>
  <c r="DV26"/>
  <c r="DT27"/>
  <c r="DV27"/>
  <c r="DU28"/>
  <c r="DT29"/>
  <c r="DV29"/>
  <c r="DU30"/>
  <c r="DT31"/>
  <c r="DV31"/>
  <c r="DT32"/>
  <c r="DV32"/>
  <c r="DT33"/>
  <c r="DV33"/>
  <c r="DT34"/>
  <c r="DV34"/>
  <c r="DT35"/>
  <c r="DV35"/>
  <c r="DU36"/>
  <c r="DT37"/>
  <c r="DV37"/>
  <c r="DU38"/>
  <c r="DT39"/>
  <c r="DV39"/>
  <c r="DU40"/>
  <c r="DT41"/>
  <c r="DV41"/>
  <c r="DT42"/>
  <c r="DV42"/>
  <c r="DT18"/>
  <c r="DV18"/>
  <c r="DU19"/>
  <c r="DT20"/>
  <c r="DV20"/>
  <c r="DT21"/>
  <c r="DV21"/>
  <c r="DU22"/>
  <c r="DT23"/>
  <c r="DV23"/>
  <c r="DT24"/>
  <c r="DV24"/>
  <c r="DT25"/>
  <c r="DV25"/>
  <c r="DU26"/>
  <c r="DU27"/>
  <c r="DT28"/>
  <c r="DV28"/>
  <c r="DU29"/>
  <c r="DT30"/>
  <c r="DV30"/>
  <c r="DU31"/>
  <c r="DU32"/>
  <c r="DU33"/>
  <c r="DU34"/>
  <c r="DU35"/>
  <c r="DT36"/>
  <c r="DV36"/>
  <c r="DU37"/>
  <c r="DT38"/>
  <c r="DV38"/>
  <c r="DU39"/>
  <c r="DT40"/>
  <c r="DV40"/>
  <c r="DU41"/>
  <c r="DU42"/>
  <c r="L44"/>
  <c r="L46"/>
  <c r="L50"/>
  <c r="L51"/>
  <c r="L52"/>
  <c r="L53"/>
  <c r="L54"/>
  <c r="L55"/>
  <c r="L56"/>
  <c r="L57"/>
  <c r="L60"/>
  <c r="L63"/>
  <c r="L64"/>
  <c r="L65"/>
  <c r="L66"/>
  <c r="L67"/>
  <c r="L68"/>
  <c r="L69"/>
  <c r="L70"/>
  <c r="L71"/>
  <c r="L77"/>
  <c r="L78"/>
  <c r="L82"/>
  <c r="L87"/>
  <c r="L88"/>
  <c r="L89"/>
  <c r="L91"/>
  <c r="L94"/>
  <c r="L98"/>
  <c r="L43"/>
  <c r="L45"/>
  <c r="L47"/>
  <c r="L48"/>
  <c r="L49"/>
  <c r="L58"/>
  <c r="L59"/>
  <c r="L61"/>
  <c r="L62"/>
  <c r="L72"/>
  <c r="L73"/>
  <c r="L74"/>
  <c r="L75"/>
  <c r="L76"/>
  <c r="L79"/>
  <c r="L80"/>
  <c r="L81"/>
  <c r="L83"/>
  <c r="L84"/>
  <c r="L85"/>
  <c r="L86"/>
  <c r="L90"/>
  <c r="L92"/>
  <c r="L93"/>
  <c r="L95"/>
  <c r="L96"/>
  <c r="L97"/>
  <c r="L99"/>
  <c r="L100"/>
  <c r="L101"/>
  <c r="L102"/>
  <c r="L103"/>
  <c r="L104"/>
  <c r="L105"/>
  <c r="L106"/>
  <c r="L107"/>
  <c r="L109"/>
  <c r="L114"/>
  <c r="L123"/>
  <c r="L124"/>
  <c r="L125"/>
  <c r="L126"/>
  <c r="L127"/>
  <c r="L133"/>
  <c r="L134"/>
  <c r="L136"/>
  <c r="L137"/>
  <c r="L138"/>
  <c r="L142"/>
  <c r="L145"/>
  <c r="L146"/>
  <c r="L147"/>
  <c r="L148"/>
  <c r="L149"/>
  <c r="L150"/>
  <c r="L151"/>
  <c r="L152"/>
  <c r="L153"/>
  <c r="L154"/>
  <c r="L155"/>
  <c r="L156"/>
  <c r="L157"/>
  <c r="L158"/>
  <c r="L159"/>
  <c r="L160"/>
  <c r="L108"/>
  <c r="L110"/>
  <c r="L111"/>
  <c r="L112"/>
  <c r="L113"/>
  <c r="L115"/>
  <c r="L116"/>
  <c r="L117"/>
  <c r="L118"/>
  <c r="L119"/>
  <c r="L120"/>
  <c r="L121"/>
  <c r="L122"/>
  <c r="L128"/>
  <c r="L129"/>
  <c r="L130"/>
  <c r="L131"/>
  <c r="L132"/>
  <c r="L135"/>
  <c r="L139"/>
  <c r="L140"/>
  <c r="L141"/>
  <c r="L143"/>
  <c r="L144"/>
  <c r="L161"/>
  <c r="L162"/>
  <c r="L163"/>
  <c r="L164"/>
  <c r="L165"/>
  <c r="L166"/>
  <c r="L167"/>
  <c r="L168"/>
  <c r="L169"/>
  <c r="L170"/>
  <c r="L172"/>
  <c r="L174"/>
  <c r="L175"/>
  <c r="L176"/>
  <c r="L180"/>
  <c r="L181"/>
  <c r="L182"/>
  <c r="L184"/>
  <c r="L187"/>
  <c r="L189"/>
  <c r="L190"/>
  <c r="L192"/>
  <c r="L196"/>
  <c r="L199"/>
  <c r="L201"/>
  <c r="L208"/>
  <c r="L210"/>
  <c r="L212"/>
  <c r="L214"/>
  <c r="L216"/>
  <c r="L218"/>
  <c r="L220"/>
  <c r="L223"/>
  <c r="L225"/>
  <c r="L227"/>
  <c r="L229"/>
  <c r="L230"/>
  <c r="L231"/>
  <c r="L233"/>
  <c r="L234"/>
  <c r="L236"/>
  <c r="L237"/>
  <c r="L238"/>
  <c r="L239"/>
  <c r="L240"/>
  <c r="L241"/>
  <c r="L243"/>
  <c r="L244"/>
  <c r="L246"/>
  <c r="L247"/>
  <c r="L250"/>
  <c r="L252"/>
  <c r="L253"/>
  <c r="L255"/>
  <c r="L171"/>
  <c r="L173"/>
  <c r="L177"/>
  <c r="L178"/>
  <c r="L179"/>
  <c r="L183"/>
  <c r="L185"/>
  <c r="L186"/>
  <c r="L188"/>
  <c r="L191"/>
  <c r="L193"/>
  <c r="L194"/>
  <c r="L195"/>
  <c r="L197"/>
  <c r="L198"/>
  <c r="L200"/>
  <c r="L202"/>
  <c r="L203"/>
  <c r="L204"/>
  <c r="L205"/>
  <c r="L206"/>
  <c r="L207"/>
  <c r="L209"/>
  <c r="L211"/>
  <c r="L213"/>
  <c r="L215"/>
  <c r="L217"/>
  <c r="L219"/>
  <c r="L221"/>
  <c r="L222"/>
  <c r="L224"/>
  <c r="L226"/>
  <c r="L228"/>
  <c r="L232"/>
  <c r="L235"/>
  <c r="L242"/>
  <c r="L245"/>
  <c r="L248"/>
  <c r="L249"/>
  <c r="L251"/>
  <c r="L254"/>
  <c r="FP381"/>
  <c r="M224"/>
  <c r="L18"/>
  <c r="L19"/>
  <c r="L21"/>
  <c r="L24"/>
  <c r="L25"/>
  <c r="L26"/>
  <c r="L31"/>
  <c r="L32"/>
  <c r="L33"/>
  <c r="L34"/>
  <c r="L35"/>
  <c r="L39"/>
  <c r="L42"/>
  <c r="L20"/>
  <c r="L22"/>
  <c r="L23"/>
  <c r="L27"/>
  <c r="L28"/>
  <c r="L29"/>
  <c r="L30"/>
  <c r="L36"/>
  <c r="L37"/>
  <c r="L38"/>
  <c r="L40"/>
  <c r="L41"/>
  <c r="M18"/>
  <c r="BY35"/>
  <c r="CC25"/>
  <c r="CX25"/>
  <c r="CV35"/>
  <c r="CA25"/>
  <c r="CT35"/>
  <c r="BF35"/>
  <c r="BY32"/>
  <c r="CX32"/>
  <c r="CC32"/>
  <c r="BH35"/>
  <c r="CX35"/>
  <c r="BJ35"/>
  <c r="BF32"/>
  <c r="CA35"/>
  <c r="ED26"/>
  <c r="CC39"/>
  <c r="CA39"/>
  <c r="CT39"/>
  <c r="BF39"/>
  <c r="BJ39"/>
  <c r="CV39"/>
  <c r="BY39"/>
  <c r="BH39"/>
  <c r="CX39"/>
  <c r="CT25"/>
  <c r="CV25"/>
  <c r="BY25"/>
  <c r="BH25"/>
  <c r="BJ30"/>
  <c r="CV30"/>
  <c r="CX30"/>
  <c r="BH30"/>
  <c r="BF30"/>
  <c r="CC30"/>
  <c r="CT30"/>
  <c r="CA30"/>
  <c r="BY30"/>
  <c r="CZ26"/>
  <c r="DF26" s="1"/>
  <c r="BL26"/>
  <c r="BR26" s="1"/>
  <c r="CF26"/>
  <c r="CM26" s="1"/>
  <c r="K31" i="34"/>
  <c r="G43" i="24"/>
  <c r="G51"/>
  <c r="G56"/>
  <c r="G57"/>
  <c r="G62"/>
  <c r="G66"/>
  <c r="G70"/>
  <c r="G74"/>
  <c r="G78"/>
  <c r="G79"/>
  <c r="G86"/>
  <c r="G87"/>
  <c r="G93"/>
  <c r="G94"/>
  <c r="G98"/>
  <c r="G102"/>
  <c r="G46"/>
  <c r="G48"/>
  <c r="G50"/>
  <c r="G58"/>
  <c r="G59"/>
  <c r="G61"/>
  <c r="G65"/>
  <c r="G69"/>
  <c r="G73"/>
  <c r="G77"/>
  <c r="G84"/>
  <c r="G85"/>
  <c r="G95"/>
  <c r="G99"/>
  <c r="G103"/>
  <c r="G18"/>
  <c r="G19"/>
  <c r="G52"/>
  <c r="G53"/>
  <c r="G60"/>
  <c r="G64"/>
  <c r="G68"/>
  <c r="G72"/>
  <c r="G76"/>
  <c r="G82"/>
  <c r="G83"/>
  <c r="G90"/>
  <c r="G96"/>
  <c r="G100"/>
  <c r="G21"/>
  <c r="G22"/>
  <c r="G23"/>
  <c r="G24"/>
  <c r="G25"/>
  <c r="G26"/>
  <c r="G27"/>
  <c r="G28"/>
  <c r="G29"/>
  <c r="G30"/>
  <c r="G31"/>
  <c r="G32"/>
  <c r="G33"/>
  <c r="G34"/>
  <c r="G35"/>
  <c r="G36"/>
  <c r="G37"/>
  <c r="G38"/>
  <c r="G39"/>
  <c r="G40"/>
  <c r="G41"/>
  <c r="G42"/>
  <c r="G44"/>
  <c r="G45"/>
  <c r="G47"/>
  <c r="G49"/>
  <c r="G54"/>
  <c r="G55"/>
  <c r="G63"/>
  <c r="G67"/>
  <c r="G71"/>
  <c r="G75"/>
  <c r="G80"/>
  <c r="G81"/>
  <c r="G88"/>
  <c r="G89"/>
  <c r="G91"/>
  <c r="G92"/>
  <c r="G97"/>
  <c r="G101"/>
  <c r="G105"/>
  <c r="G106"/>
  <c r="G110"/>
  <c r="G114"/>
  <c r="G137"/>
  <c r="G138"/>
  <c r="G145"/>
  <c r="G146"/>
  <c r="G153"/>
  <c r="G157"/>
  <c r="G161"/>
  <c r="G165"/>
  <c r="G169"/>
  <c r="G173"/>
  <c r="G177"/>
  <c r="G181"/>
  <c r="G185"/>
  <c r="G189"/>
  <c r="G194"/>
  <c r="G195"/>
  <c r="G107"/>
  <c r="G111"/>
  <c r="G116"/>
  <c r="G118"/>
  <c r="G120"/>
  <c r="G122"/>
  <c r="G124"/>
  <c r="G126"/>
  <c r="G128"/>
  <c r="G130"/>
  <c r="G132"/>
  <c r="G134"/>
  <c r="G139"/>
  <c r="G140"/>
  <c r="G147"/>
  <c r="G152"/>
  <c r="G156"/>
  <c r="G160"/>
  <c r="G164"/>
  <c r="G168"/>
  <c r="G172"/>
  <c r="G176"/>
  <c r="G180"/>
  <c r="G184"/>
  <c r="G188"/>
  <c r="G192"/>
  <c r="G193"/>
  <c r="G200"/>
  <c r="G201"/>
  <c r="G108"/>
  <c r="G112"/>
  <c r="G141"/>
  <c r="G142"/>
  <c r="G148"/>
  <c r="G151"/>
  <c r="G155"/>
  <c r="G159"/>
  <c r="G163"/>
  <c r="G167"/>
  <c r="G171"/>
  <c r="G175"/>
  <c r="G179"/>
  <c r="G183"/>
  <c r="G187"/>
  <c r="G191"/>
  <c r="G104"/>
  <c r="G109"/>
  <c r="G113"/>
  <c r="G115"/>
  <c r="G117"/>
  <c r="G119"/>
  <c r="G121"/>
  <c r="G123"/>
  <c r="G125"/>
  <c r="G127"/>
  <c r="G129"/>
  <c r="G131"/>
  <c r="G133"/>
  <c r="G135"/>
  <c r="G136"/>
  <c r="G143"/>
  <c r="G144"/>
  <c r="G149"/>
  <c r="G150"/>
  <c r="G154"/>
  <c r="G158"/>
  <c r="G162"/>
  <c r="G166"/>
  <c r="G170"/>
  <c r="G174"/>
  <c r="G178"/>
  <c r="G182"/>
  <c r="G186"/>
  <c r="G190"/>
  <c r="G196"/>
  <c r="G197"/>
  <c r="G204"/>
  <c r="G205"/>
  <c r="G206"/>
  <c r="G208"/>
  <c r="G212"/>
  <c r="G214"/>
  <c r="G220"/>
  <c r="G232"/>
  <c r="G239"/>
  <c r="G240"/>
  <c r="G241"/>
  <c r="G244"/>
  <c r="G247"/>
  <c r="G249"/>
  <c r="G251"/>
  <c r="G253"/>
  <c r="G257"/>
  <c r="G261"/>
  <c r="G265"/>
  <c r="G269"/>
  <c r="G273"/>
  <c r="G277"/>
  <c r="G281"/>
  <c r="G286"/>
  <c r="G290"/>
  <c r="G294"/>
  <c r="G298"/>
  <c r="G302"/>
  <c r="G306"/>
  <c r="G310"/>
  <c r="G314"/>
  <c r="G318"/>
  <c r="G202"/>
  <c r="G203"/>
  <c r="G210"/>
  <c r="G217"/>
  <c r="G221"/>
  <c r="G231"/>
  <c r="G235"/>
  <c r="G236"/>
  <c r="G237"/>
  <c r="G238"/>
  <c r="G245"/>
  <c r="G254"/>
  <c r="G258"/>
  <c r="G262"/>
  <c r="G266"/>
  <c r="G270"/>
  <c r="G274"/>
  <c r="G278"/>
  <c r="G282"/>
  <c r="G287"/>
  <c r="G291"/>
  <c r="G295"/>
  <c r="G299"/>
  <c r="G303"/>
  <c r="G307"/>
  <c r="G315"/>
  <c r="G319"/>
  <c r="G323"/>
  <c r="G326"/>
  <c r="G198"/>
  <c r="G199"/>
  <c r="G207"/>
  <c r="G211"/>
  <c r="G213"/>
  <c r="G215"/>
  <c r="G218"/>
  <c r="G222"/>
  <c r="G230"/>
  <c r="G234"/>
  <c r="G242"/>
  <c r="G246"/>
  <c r="G248"/>
  <c r="G250"/>
  <c r="G252"/>
  <c r="G255"/>
  <c r="G259"/>
  <c r="G263"/>
  <c r="G267"/>
  <c r="G271"/>
  <c r="G275"/>
  <c r="G279"/>
  <c r="G283"/>
  <c r="G284"/>
  <c r="G288"/>
  <c r="G292"/>
  <c r="G296"/>
  <c r="G300"/>
  <c r="G304"/>
  <c r="G308"/>
  <c r="G312"/>
  <c r="G316"/>
  <c r="G209"/>
  <c r="G216"/>
  <c r="G219"/>
  <c r="G223"/>
  <c r="G224"/>
  <c r="G225"/>
  <c r="G226"/>
  <c r="G227"/>
  <c r="G228"/>
  <c r="G229"/>
  <c r="G233"/>
  <c r="G243"/>
  <c r="G256"/>
  <c r="G260"/>
  <c r="G264"/>
  <c r="G268"/>
  <c r="G272"/>
  <c r="G276"/>
  <c r="G280"/>
  <c r="G285"/>
  <c r="G289"/>
  <c r="G293"/>
  <c r="G297"/>
  <c r="G301"/>
  <c r="G305"/>
  <c r="G309"/>
  <c r="G313"/>
  <c r="G317"/>
  <c r="G321"/>
  <c r="G328"/>
  <c r="G324"/>
  <c r="G325"/>
  <c r="G329"/>
  <c r="G333"/>
  <c r="G337"/>
  <c r="G341"/>
  <c r="G345"/>
  <c r="G349"/>
  <c r="G353"/>
  <c r="G357"/>
  <c r="G361"/>
  <c r="G365"/>
  <c r="G369"/>
  <c r="G373"/>
  <c r="G377"/>
  <c r="G381"/>
  <c r="G332"/>
  <c r="G336"/>
  <c r="G340"/>
  <c r="G344"/>
  <c r="G348"/>
  <c r="G352"/>
  <c r="G356"/>
  <c r="G360"/>
  <c r="G364"/>
  <c r="G368"/>
  <c r="G372"/>
  <c r="G376"/>
  <c r="G320"/>
  <c r="G331"/>
  <c r="G335"/>
  <c r="G339"/>
  <c r="G343"/>
  <c r="G347"/>
  <c r="G351"/>
  <c r="G355"/>
  <c r="G359"/>
  <c r="G363"/>
  <c r="G367"/>
  <c r="G371"/>
  <c r="G375"/>
  <c r="G379"/>
  <c r="G322"/>
  <c r="G327"/>
  <c r="G330"/>
  <c r="G334"/>
  <c r="G338"/>
  <c r="G342"/>
  <c r="G346"/>
  <c r="G350"/>
  <c r="G354"/>
  <c r="G358"/>
  <c r="G362"/>
  <c r="G366"/>
  <c r="G370"/>
  <c r="G374"/>
  <c r="G378"/>
  <c r="G380"/>
  <c r="G12"/>
  <c r="G13"/>
  <c r="G14"/>
  <c r="G15"/>
  <c r="G16"/>
  <c r="G17"/>
  <c r="N46"/>
  <c r="N48"/>
  <c r="N50"/>
  <c r="N58"/>
  <c r="N59"/>
  <c r="N61"/>
  <c r="N65"/>
  <c r="N69"/>
  <c r="N73"/>
  <c r="N77"/>
  <c r="N84"/>
  <c r="N85"/>
  <c r="N95"/>
  <c r="N99"/>
  <c r="N18"/>
  <c r="N19"/>
  <c r="N52"/>
  <c r="N53"/>
  <c r="N60"/>
  <c r="N64"/>
  <c r="N68"/>
  <c r="N72"/>
  <c r="N76"/>
  <c r="N82"/>
  <c r="N83"/>
  <c r="N90"/>
  <c r="N96"/>
  <c r="N100"/>
  <c r="N104"/>
  <c r="N107"/>
  <c r="N109"/>
  <c r="N111"/>
  <c r="N113"/>
  <c r="N21"/>
  <c r="N22"/>
  <c r="N23"/>
  <c r="N24"/>
  <c r="N25"/>
  <c r="N26"/>
  <c r="N27"/>
  <c r="N28"/>
  <c r="N29"/>
  <c r="N30"/>
  <c r="N31"/>
  <c r="N32"/>
  <c r="N33"/>
  <c r="N34"/>
  <c r="N35"/>
  <c r="N36"/>
  <c r="N37"/>
  <c r="N38"/>
  <c r="N39"/>
  <c r="N40"/>
  <c r="N41"/>
  <c r="N42"/>
  <c r="N44"/>
  <c r="N45"/>
  <c r="N47"/>
  <c r="N49"/>
  <c r="N54"/>
  <c r="N55"/>
  <c r="N63"/>
  <c r="N67"/>
  <c r="N71"/>
  <c r="N75"/>
  <c r="N80"/>
  <c r="N81"/>
  <c r="N88"/>
  <c r="N89"/>
  <c r="N91"/>
  <c r="N92"/>
  <c r="N97"/>
  <c r="N101"/>
  <c r="N43"/>
  <c r="N51"/>
  <c r="N56"/>
  <c r="N57"/>
  <c r="N62"/>
  <c r="N66"/>
  <c r="N70"/>
  <c r="N74"/>
  <c r="N78"/>
  <c r="N79"/>
  <c r="N86"/>
  <c r="N87"/>
  <c r="N93"/>
  <c r="N94"/>
  <c r="N98"/>
  <c r="N102"/>
  <c r="N106"/>
  <c r="N108"/>
  <c r="N110"/>
  <c r="N112"/>
  <c r="N114"/>
  <c r="N116"/>
  <c r="N118"/>
  <c r="N120"/>
  <c r="N122"/>
  <c r="N124"/>
  <c r="N126"/>
  <c r="N128"/>
  <c r="N130"/>
  <c r="N132"/>
  <c r="N134"/>
  <c r="N139"/>
  <c r="N140"/>
  <c r="N147"/>
  <c r="N152"/>
  <c r="N156"/>
  <c r="N160"/>
  <c r="N164"/>
  <c r="N168"/>
  <c r="N172"/>
  <c r="N176"/>
  <c r="N180"/>
  <c r="N184"/>
  <c r="N188"/>
  <c r="N192"/>
  <c r="N193"/>
  <c r="N103"/>
  <c r="N141"/>
  <c r="N142"/>
  <c r="N148"/>
  <c r="N151"/>
  <c r="N155"/>
  <c r="N159"/>
  <c r="N163"/>
  <c r="N167"/>
  <c r="N171"/>
  <c r="N175"/>
  <c r="N179"/>
  <c r="N183"/>
  <c r="N187"/>
  <c r="N191"/>
  <c r="N198"/>
  <c r="N199"/>
  <c r="N105"/>
  <c r="N115"/>
  <c r="N117"/>
  <c r="N119"/>
  <c r="N121"/>
  <c r="N123"/>
  <c r="N125"/>
  <c r="N127"/>
  <c r="N129"/>
  <c r="N131"/>
  <c r="N133"/>
  <c r="N135"/>
  <c r="N136"/>
  <c r="N143"/>
  <c r="N144"/>
  <c r="N149"/>
  <c r="N150"/>
  <c r="N154"/>
  <c r="N158"/>
  <c r="N162"/>
  <c r="N166"/>
  <c r="N170"/>
  <c r="N174"/>
  <c r="N178"/>
  <c r="N182"/>
  <c r="N186"/>
  <c r="N190"/>
  <c r="N196"/>
  <c r="N197"/>
  <c r="N137"/>
  <c r="N138"/>
  <c r="N145"/>
  <c r="N146"/>
  <c r="N153"/>
  <c r="N157"/>
  <c r="N161"/>
  <c r="N165"/>
  <c r="N169"/>
  <c r="N173"/>
  <c r="N177"/>
  <c r="N181"/>
  <c r="N185"/>
  <c r="N189"/>
  <c r="N194"/>
  <c r="N195"/>
  <c r="N202"/>
  <c r="N203"/>
  <c r="N200"/>
  <c r="N201"/>
  <c r="N210"/>
  <c r="N217"/>
  <c r="N221"/>
  <c r="N231"/>
  <c r="N235"/>
  <c r="N236"/>
  <c r="N237"/>
  <c r="N238"/>
  <c r="N245"/>
  <c r="N254"/>
  <c r="N258"/>
  <c r="N262"/>
  <c r="N266"/>
  <c r="N270"/>
  <c r="N274"/>
  <c r="N278"/>
  <c r="N282"/>
  <c r="N287"/>
  <c r="N291"/>
  <c r="N295"/>
  <c r="N299"/>
  <c r="N303"/>
  <c r="N307"/>
  <c r="N311"/>
  <c r="N315"/>
  <c r="N206"/>
  <c r="N207"/>
  <c r="N211"/>
  <c r="N213"/>
  <c r="N215"/>
  <c r="N218"/>
  <c r="N222"/>
  <c r="N230"/>
  <c r="N234"/>
  <c r="N242"/>
  <c r="N246"/>
  <c r="N248"/>
  <c r="N250"/>
  <c r="N252"/>
  <c r="N255"/>
  <c r="N259"/>
  <c r="N263"/>
  <c r="N267"/>
  <c r="N271"/>
  <c r="N275"/>
  <c r="N279"/>
  <c r="N283"/>
  <c r="N284"/>
  <c r="N288"/>
  <c r="N292"/>
  <c r="N296"/>
  <c r="N300"/>
  <c r="N304"/>
  <c r="N308"/>
  <c r="N312"/>
  <c r="N316"/>
  <c r="N320"/>
  <c r="N324"/>
  <c r="N325"/>
  <c r="N209"/>
  <c r="N216"/>
  <c r="N219"/>
  <c r="N223"/>
  <c r="N224"/>
  <c r="N225"/>
  <c r="N226"/>
  <c r="N227"/>
  <c r="N228"/>
  <c r="N229"/>
  <c r="N233"/>
  <c r="N243"/>
  <c r="N256"/>
  <c r="N260"/>
  <c r="N264"/>
  <c r="N268"/>
  <c r="N272"/>
  <c r="N276"/>
  <c r="N280"/>
  <c r="N285"/>
  <c r="N289"/>
  <c r="N293"/>
  <c r="N297"/>
  <c r="N301"/>
  <c r="N305"/>
  <c r="N309"/>
  <c r="N313"/>
  <c r="N317"/>
  <c r="N204"/>
  <c r="N205"/>
  <c r="N208"/>
  <c r="N212"/>
  <c r="N214"/>
  <c r="N220"/>
  <c r="N232"/>
  <c r="N239"/>
  <c r="N240"/>
  <c r="N241"/>
  <c r="N244"/>
  <c r="N247"/>
  <c r="N249"/>
  <c r="N251"/>
  <c r="N253"/>
  <c r="N257"/>
  <c r="N261"/>
  <c r="N265"/>
  <c r="N269"/>
  <c r="N273"/>
  <c r="N277"/>
  <c r="N281"/>
  <c r="N286"/>
  <c r="N290"/>
  <c r="N294"/>
  <c r="N298"/>
  <c r="N302"/>
  <c r="N306"/>
  <c r="N310"/>
  <c r="N314"/>
  <c r="N318"/>
  <c r="N322"/>
  <c r="N327"/>
  <c r="N319"/>
  <c r="N328"/>
  <c r="N332"/>
  <c r="N336"/>
  <c r="N340"/>
  <c r="N344"/>
  <c r="N348"/>
  <c r="N352"/>
  <c r="N356"/>
  <c r="N360"/>
  <c r="N364"/>
  <c r="N368"/>
  <c r="N372"/>
  <c r="N376"/>
  <c r="N380"/>
  <c r="N321"/>
  <c r="N331"/>
  <c r="N335"/>
  <c r="N339"/>
  <c r="N343"/>
  <c r="N347"/>
  <c r="N351"/>
  <c r="N355"/>
  <c r="N359"/>
  <c r="N363"/>
  <c r="N367"/>
  <c r="N371"/>
  <c r="N375"/>
  <c r="N379"/>
  <c r="N323"/>
  <c r="N326"/>
  <c r="N330"/>
  <c r="N334"/>
  <c r="N338"/>
  <c r="N342"/>
  <c r="N346"/>
  <c r="N350"/>
  <c r="N354"/>
  <c r="N358"/>
  <c r="N362"/>
  <c r="N366"/>
  <c r="N370"/>
  <c r="N374"/>
  <c r="N378"/>
  <c r="N329"/>
  <c r="N333"/>
  <c r="N337"/>
  <c r="N341"/>
  <c r="N345"/>
  <c r="N349"/>
  <c r="N353"/>
  <c r="N357"/>
  <c r="N361"/>
  <c r="N365"/>
  <c r="N369"/>
  <c r="N373"/>
  <c r="N377"/>
  <c r="N381"/>
  <c r="N13"/>
  <c r="N17"/>
  <c r="N14"/>
  <c r="N15"/>
  <c r="N12"/>
  <c r="N16"/>
  <c r="Y17" i="45"/>
  <c r="Y19"/>
  <c r="Y21"/>
  <c r="Y23"/>
  <c r="Y25"/>
  <c r="Y27"/>
  <c r="Y29"/>
  <c r="Y31"/>
  <c r="Y33"/>
  <c r="Y35"/>
  <c r="Y37"/>
  <c r="Y39"/>
  <c r="Y41"/>
  <c r="Y43"/>
  <c r="Y45"/>
  <c r="Y47"/>
  <c r="Y49"/>
  <c r="Y51"/>
  <c r="Y53"/>
  <c r="Y55"/>
  <c r="Y57"/>
  <c r="Y59"/>
  <c r="Y61"/>
  <c r="Y63"/>
  <c r="Y65"/>
  <c r="Y67"/>
  <c r="Y69"/>
  <c r="Y71"/>
  <c r="Y73"/>
  <c r="Y75"/>
  <c r="Y18"/>
  <c r="Y20"/>
  <c r="Y22"/>
  <c r="Y24"/>
  <c r="Y26"/>
  <c r="Y28"/>
  <c r="Y30"/>
  <c r="Y32"/>
  <c r="Y34"/>
  <c r="Y36"/>
  <c r="Y38"/>
  <c r="Y40"/>
  <c r="Y42"/>
  <c r="Y44"/>
  <c r="Y46"/>
  <c r="Y48"/>
  <c r="Y50"/>
  <c r="Y52"/>
  <c r="Y54"/>
  <c r="Y56"/>
  <c r="Y58"/>
  <c r="Y60"/>
  <c r="Y62"/>
  <c r="Y64"/>
  <c r="Y66"/>
  <c r="Y68"/>
  <c r="Y70"/>
  <c r="Y72"/>
  <c r="Y74"/>
  <c r="Y76"/>
  <c r="Y78"/>
  <c r="Y80"/>
  <c r="Y82"/>
  <c r="Y84"/>
  <c r="Y86"/>
  <c r="Y88"/>
  <c r="Y90"/>
  <c r="Y92"/>
  <c r="Y94"/>
  <c r="Y96"/>
  <c r="Y98"/>
  <c r="Y100"/>
  <c r="Y102"/>
  <c r="Y104"/>
  <c r="Y106"/>
  <c r="Y108"/>
  <c r="Y110"/>
  <c r="Y112"/>
  <c r="Y114"/>
  <c r="Y116"/>
  <c r="Y118"/>
  <c r="Y120"/>
  <c r="Y77"/>
  <c r="Y79"/>
  <c r="Y81"/>
  <c r="Y83"/>
  <c r="Y85"/>
  <c r="Y87"/>
  <c r="Y89"/>
  <c r="Y91"/>
  <c r="Y93"/>
  <c r="Y95"/>
  <c r="Y97"/>
  <c r="Y99"/>
  <c r="Y101"/>
  <c r="Y103"/>
  <c r="Y105"/>
  <c r="Y107"/>
  <c r="Y109"/>
  <c r="Y111"/>
  <c r="Y113"/>
  <c r="Y115"/>
  <c r="Y117"/>
  <c r="Y119"/>
  <c r="S6"/>
  <c r="Y12"/>
  <c r="Y14"/>
  <c r="Y16"/>
  <c r="Y13"/>
  <c r="Y15"/>
  <c r="S9"/>
  <c r="AH8"/>
  <c r="S10"/>
  <c r="AH7"/>
  <c r="AH11"/>
  <c r="CF40" i="43"/>
  <c r="CF34"/>
  <c r="CM34" s="1"/>
  <c r="CF23"/>
  <c r="CM23" s="1"/>
  <c r="CF18"/>
  <c r="CM18" s="1"/>
  <c r="CF38"/>
  <c r="CF20"/>
  <c r="CM20" s="1"/>
  <c r="CF29"/>
  <c r="CF22"/>
  <c r="CM22" s="1"/>
  <c r="CF36"/>
  <c r="CF28"/>
  <c r="CZ31"/>
  <c r="ED31"/>
  <c r="CZ29"/>
  <c r="ED29"/>
  <c r="BJ37"/>
  <c r="CC37"/>
  <c r="CV37"/>
  <c r="CA37"/>
  <c r="CX37"/>
  <c r="BF37"/>
  <c r="CT37"/>
  <c r="BH37"/>
  <c r="BY37"/>
  <c r="CZ40"/>
  <c r="ED40"/>
  <c r="BJ42"/>
  <c r="CC42"/>
  <c r="CV42"/>
  <c r="BF42"/>
  <c r="CX42"/>
  <c r="BH42"/>
  <c r="CT42"/>
  <c r="CA42"/>
  <c r="BY42"/>
  <c r="BL34"/>
  <c r="CZ28"/>
  <c r="ED28"/>
  <c r="CZ21"/>
  <c r="DF21" s="1"/>
  <c r="ED21"/>
  <c r="CF27"/>
  <c r="BL41"/>
  <c r="CZ23"/>
  <c r="ED23"/>
  <c r="ED18"/>
  <c r="CZ18"/>
  <c r="DF18" s="1"/>
  <c r="CZ24"/>
  <c r="ED24"/>
  <c r="BL20"/>
  <c r="BL28"/>
  <c r="CF31"/>
  <c r="CZ41"/>
  <c r="ED41"/>
  <c r="BL31"/>
  <c r="BL33"/>
  <c r="CZ33"/>
  <c r="ED33"/>
  <c r="BL38"/>
  <c r="CZ38"/>
  <c r="ED38"/>
  <c r="BL29"/>
  <c r="BL24"/>
  <c r="BL27"/>
  <c r="CF21"/>
  <c r="BL23"/>
  <c r="BL18"/>
  <c r="BL36"/>
  <c r="CZ36"/>
  <c r="ED36"/>
  <c r="BL40"/>
  <c r="ED34"/>
  <c r="CZ34"/>
  <c r="CZ20"/>
  <c r="DF20" s="1"/>
  <c r="ED20"/>
  <c r="BJ19"/>
  <c r="CC19"/>
  <c r="CV19"/>
  <c r="BH19"/>
  <c r="CT19"/>
  <c r="CA19"/>
  <c r="BY19"/>
  <c r="CX19"/>
  <c r="BF19"/>
  <c r="ED22"/>
  <c r="CZ22"/>
  <c r="DF22" s="1"/>
  <c r="BL22"/>
  <c r="CZ27"/>
  <c r="ED27"/>
  <c r="BL21"/>
  <c r="CF41"/>
  <c r="CF33"/>
  <c r="CF24"/>
  <c r="B8" i="45"/>
  <c r="A10" i="22"/>
  <c r="D9"/>
  <c r="AH387" i="45"/>
  <c r="AH6"/>
  <c r="AH5"/>
  <c r="N8" i="24"/>
  <c r="N10"/>
  <c r="N9"/>
  <c r="N11"/>
  <c r="L9" i="43"/>
  <c r="L13"/>
  <c r="L10"/>
  <c r="L12"/>
  <c r="L16"/>
  <c r="L17"/>
  <c r="L11"/>
  <c r="L8"/>
  <c r="L14"/>
  <c r="L15"/>
  <c r="DR14"/>
  <c r="G14" s="1"/>
  <c r="H14" s="1"/>
  <c r="DR15"/>
  <c r="G15" s="1"/>
  <c r="H15" s="1"/>
  <c r="AZ8" i="24"/>
  <c r="BD8"/>
  <c r="BH8"/>
  <c r="AU9"/>
  <c r="AY9"/>
  <c r="BC9"/>
  <c r="BG9"/>
  <c r="AX10"/>
  <c r="BB10"/>
  <c r="BF10"/>
  <c r="AW8"/>
  <c r="BA8"/>
  <c r="BE8"/>
  <c r="AZ9"/>
  <c r="BD9"/>
  <c r="BH9"/>
  <c r="AU10"/>
  <c r="AY10"/>
  <c r="BC10"/>
  <c r="BG10"/>
  <c r="AY8"/>
  <c r="BG8"/>
  <c r="AW9"/>
  <c r="BE9"/>
  <c r="BD10"/>
  <c r="BB8"/>
  <c r="AX9"/>
  <c r="BF9"/>
  <c r="AW10"/>
  <c r="BE10"/>
  <c r="AU8"/>
  <c r="BC8"/>
  <c r="BA9"/>
  <c r="AZ10"/>
  <c r="BH10"/>
  <c r="AX8"/>
  <c r="BF8"/>
  <c r="BB9"/>
  <c r="BA10"/>
  <c r="DU8" i="43"/>
  <c r="DT9"/>
  <c r="DT11"/>
  <c r="DU12"/>
  <c r="DU13"/>
  <c r="DU14"/>
  <c r="DV15"/>
  <c r="DV16"/>
  <c r="DV12"/>
  <c r="DV14"/>
  <c r="DT16"/>
  <c r="DT17"/>
  <c r="DV8"/>
  <c r="DU9"/>
  <c r="DT10"/>
  <c r="DU11"/>
  <c r="DV13"/>
  <c r="DS8"/>
  <c r="DV9"/>
  <c r="DU10"/>
  <c r="DT8"/>
  <c r="DV10"/>
  <c r="DT12"/>
  <c r="DT13"/>
  <c r="DT14"/>
  <c r="DU15"/>
  <c r="DU16"/>
  <c r="DU17"/>
  <c r="DV17"/>
  <c r="DV11"/>
  <c r="DT15"/>
  <c r="DR8"/>
  <c r="GG9"/>
  <c r="GG10" s="1"/>
  <c r="GG11" s="1"/>
  <c r="GG12" s="1"/>
  <c r="GG13" s="1"/>
  <c r="GG14" s="1"/>
  <c r="GG15" s="1"/>
  <c r="GG16" s="1"/>
  <c r="GG17" s="1"/>
  <c r="GG18" s="1"/>
  <c r="GG19" s="1"/>
  <c r="GG20" s="1"/>
  <c r="GG21" s="1"/>
  <c r="GG22" s="1"/>
  <c r="GG23" s="1"/>
  <c r="GG24" s="1"/>
  <c r="GG25" s="1"/>
  <c r="GG26" s="1"/>
  <c r="GG27" s="1"/>
  <c r="GG28" s="1"/>
  <c r="GG29" s="1"/>
  <c r="GG30" s="1"/>
  <c r="GG31" s="1"/>
  <c r="GG32" s="1"/>
  <c r="GG33" s="1"/>
  <c r="GG34" s="1"/>
  <c r="GG35" s="1"/>
  <c r="GG36" s="1"/>
  <c r="GG37" s="1"/>
  <c r="GG38" s="1"/>
  <c r="GG39" s="1"/>
  <c r="GG40" s="1"/>
  <c r="GG41" s="1"/>
  <c r="GG42" s="1"/>
  <c r="GG43" s="1"/>
  <c r="GG44" s="1"/>
  <c r="GG45" s="1"/>
  <c r="GG46" s="1"/>
  <c r="GG47" s="1"/>
  <c r="GG48" s="1"/>
  <c r="GG49" s="1"/>
  <c r="GG50" s="1"/>
  <c r="GG51" s="1"/>
  <c r="GG52" s="1"/>
  <c r="GG53" s="1"/>
  <c r="GG54" s="1"/>
  <c r="GG55" s="1"/>
  <c r="GG56" s="1"/>
  <c r="GG57" s="1"/>
  <c r="GG58" s="1"/>
  <c r="GG59" s="1"/>
  <c r="GG60" s="1"/>
  <c r="GG61" s="1"/>
  <c r="GG62" s="1"/>
  <c r="GG63" s="1"/>
  <c r="GG64" s="1"/>
  <c r="GG65" s="1"/>
  <c r="GG66" s="1"/>
  <c r="GG67" s="1"/>
  <c r="GG68" s="1"/>
  <c r="GG69" s="1"/>
  <c r="GG70" s="1"/>
  <c r="GG71" s="1"/>
  <c r="GG72" s="1"/>
  <c r="GG73" s="1"/>
  <c r="GG74" s="1"/>
  <c r="GG75" s="1"/>
  <c r="GG76" s="1"/>
  <c r="GG77" s="1"/>
  <c r="GG78" s="1"/>
  <c r="GG79" s="1"/>
  <c r="GG80" s="1"/>
  <c r="GG81" s="1"/>
  <c r="GG82" s="1"/>
  <c r="GG83" s="1"/>
  <c r="GG84" s="1"/>
  <c r="GG85" s="1"/>
  <c r="GG86" s="1"/>
  <c r="GG87" s="1"/>
  <c r="GG88" s="1"/>
  <c r="GG89" s="1"/>
  <c r="GG90" s="1"/>
  <c r="GG91" s="1"/>
  <c r="GG92" s="1"/>
  <c r="GG93" s="1"/>
  <c r="GG94" s="1"/>
  <c r="GG95" s="1"/>
  <c r="GG96" s="1"/>
  <c r="GG97" s="1"/>
  <c r="GG98" s="1"/>
  <c r="GG99" s="1"/>
  <c r="GG100" s="1"/>
  <c r="GG101" s="1"/>
  <c r="GG102" s="1"/>
  <c r="GG103" s="1"/>
  <c r="GG104" s="1"/>
  <c r="GG105" s="1"/>
  <c r="GG106" s="1"/>
  <c r="GG107" s="1"/>
  <c r="GG108" s="1"/>
  <c r="GG109" s="1"/>
  <c r="GG110" s="1"/>
  <c r="GG111" s="1"/>
  <c r="GG112" s="1"/>
  <c r="GG113" s="1"/>
  <c r="GG114" s="1"/>
  <c r="GG115" s="1"/>
  <c r="GG116" s="1"/>
  <c r="GG117" s="1"/>
  <c r="GG118" s="1"/>
  <c r="GG119" s="1"/>
  <c r="GG120" s="1"/>
  <c r="GG121" s="1"/>
  <c r="GG122" s="1"/>
  <c r="GG123" s="1"/>
  <c r="GG124" s="1"/>
  <c r="GG125" s="1"/>
  <c r="GG126" s="1"/>
  <c r="GG127" s="1"/>
  <c r="GG128" s="1"/>
  <c r="GG129" s="1"/>
  <c r="GG130" s="1"/>
  <c r="GG131" s="1"/>
  <c r="GG132" s="1"/>
  <c r="GG133" s="1"/>
  <c r="GG134" s="1"/>
  <c r="GG135" s="1"/>
  <c r="GG136" s="1"/>
  <c r="GG137" s="1"/>
  <c r="GG138" s="1"/>
  <c r="GG139" s="1"/>
  <c r="GG140" s="1"/>
  <c r="GG141" s="1"/>
  <c r="GG142" s="1"/>
  <c r="GG143" s="1"/>
  <c r="GG144" s="1"/>
  <c r="GG145" s="1"/>
  <c r="GG146" s="1"/>
  <c r="GG147" s="1"/>
  <c r="GG148" s="1"/>
  <c r="GG149" s="1"/>
  <c r="GG150" s="1"/>
  <c r="GG151" s="1"/>
  <c r="GG152" s="1"/>
  <c r="GG153" s="1"/>
  <c r="GG154" s="1"/>
  <c r="GG155" s="1"/>
  <c r="GG156" s="1"/>
  <c r="GG157" s="1"/>
  <c r="GG158" s="1"/>
  <c r="GG159" s="1"/>
  <c r="GG160" s="1"/>
  <c r="GG161" s="1"/>
  <c r="GG162" s="1"/>
  <c r="GG163" s="1"/>
  <c r="GG164" s="1"/>
  <c r="GG165" s="1"/>
  <c r="GG166" s="1"/>
  <c r="GG167" s="1"/>
  <c r="GG168" s="1"/>
  <c r="GG169" s="1"/>
  <c r="GG170" s="1"/>
  <c r="GG171" s="1"/>
  <c r="GG172" s="1"/>
  <c r="GG173" s="1"/>
  <c r="GG174" s="1"/>
  <c r="GG175" s="1"/>
  <c r="GG176" s="1"/>
  <c r="GG177" s="1"/>
  <c r="GG178" s="1"/>
  <c r="GG179" s="1"/>
  <c r="GG180" s="1"/>
  <c r="GG181" s="1"/>
  <c r="GG182" s="1"/>
  <c r="GG183" s="1"/>
  <c r="GG184" s="1"/>
  <c r="GG185" s="1"/>
  <c r="GG186" s="1"/>
  <c r="GG187" s="1"/>
  <c r="GG188" s="1"/>
  <c r="GG189" s="1"/>
  <c r="GG190" s="1"/>
  <c r="GG191" s="1"/>
  <c r="GG192" s="1"/>
  <c r="GG193" s="1"/>
  <c r="GG194" s="1"/>
  <c r="GG195" s="1"/>
  <c r="GG196" s="1"/>
  <c r="GG197" s="1"/>
  <c r="GG198" s="1"/>
  <c r="GG199" s="1"/>
  <c r="GG200" s="1"/>
  <c r="GG201" s="1"/>
  <c r="GG202" s="1"/>
  <c r="GG203" s="1"/>
  <c r="GG204" s="1"/>
  <c r="GG205" s="1"/>
  <c r="GG206" s="1"/>
  <c r="GG207" s="1"/>
  <c r="GG208" s="1"/>
  <c r="GG209" s="1"/>
  <c r="GG210" s="1"/>
  <c r="GG211" s="1"/>
  <c r="GG212" s="1"/>
  <c r="GG213" s="1"/>
  <c r="GG214" s="1"/>
  <c r="GG215" s="1"/>
  <c r="GG216" s="1"/>
  <c r="GG217" s="1"/>
  <c r="GG218" s="1"/>
  <c r="GG219" s="1"/>
  <c r="GG220" s="1"/>
  <c r="GG221" s="1"/>
  <c r="GG222" s="1"/>
  <c r="GG223" s="1"/>
  <c r="GG224" s="1"/>
  <c r="GG225" s="1"/>
  <c r="GG226" s="1"/>
  <c r="GG227" s="1"/>
  <c r="GG228" s="1"/>
  <c r="GG229" s="1"/>
  <c r="GG230" s="1"/>
  <c r="GG231" s="1"/>
  <c r="GG232" s="1"/>
  <c r="GG233" s="1"/>
  <c r="GG234" s="1"/>
  <c r="GG235" s="1"/>
  <c r="GG236" s="1"/>
  <c r="GG237" s="1"/>
  <c r="GG238" s="1"/>
  <c r="GG239" s="1"/>
  <c r="GG240" s="1"/>
  <c r="GG241" s="1"/>
  <c r="GG242" s="1"/>
  <c r="GG243" s="1"/>
  <c r="GG244" s="1"/>
  <c r="GG245" s="1"/>
  <c r="GG246" s="1"/>
  <c r="GG247" s="1"/>
  <c r="GG248" s="1"/>
  <c r="GG249" s="1"/>
  <c r="GG250" s="1"/>
  <c r="GG251" s="1"/>
  <c r="GG252" s="1"/>
  <c r="GG253" s="1"/>
  <c r="GG254" s="1"/>
  <c r="GG255" s="1"/>
  <c r="GG256" s="1"/>
  <c r="GG257" s="1"/>
  <c r="GG258" s="1"/>
  <c r="GG259" s="1"/>
  <c r="GG260" s="1"/>
  <c r="GG261" s="1"/>
  <c r="GG262" s="1"/>
  <c r="GG263" s="1"/>
  <c r="GG264" s="1"/>
  <c r="GG265" s="1"/>
  <c r="GG266" s="1"/>
  <c r="GG267" s="1"/>
  <c r="GG268" s="1"/>
  <c r="GG269" s="1"/>
  <c r="GG270" s="1"/>
  <c r="GG271" s="1"/>
  <c r="GG272" s="1"/>
  <c r="GG273" s="1"/>
  <c r="GG274" s="1"/>
  <c r="GG275" s="1"/>
  <c r="GG276" s="1"/>
  <c r="GG277" s="1"/>
  <c r="GG278" s="1"/>
  <c r="GG279" s="1"/>
  <c r="GG280" s="1"/>
  <c r="GG281" s="1"/>
  <c r="GG282" s="1"/>
  <c r="GG283" s="1"/>
  <c r="GG284" s="1"/>
  <c r="GG285" s="1"/>
  <c r="GG286" s="1"/>
  <c r="GG287" s="1"/>
  <c r="GG288" s="1"/>
  <c r="GG289" s="1"/>
  <c r="GG290" s="1"/>
  <c r="GG291" s="1"/>
  <c r="GG292" s="1"/>
  <c r="GG293" s="1"/>
  <c r="GG294" s="1"/>
  <c r="GG295" s="1"/>
  <c r="GG296" s="1"/>
  <c r="GG297" s="1"/>
  <c r="GG298" s="1"/>
  <c r="GG299" s="1"/>
  <c r="GG300" s="1"/>
  <c r="GG301" s="1"/>
  <c r="GG302" s="1"/>
  <c r="GG303" s="1"/>
  <c r="GG304" s="1"/>
  <c r="GG305" s="1"/>
  <c r="GG306" s="1"/>
  <c r="GG307" s="1"/>
  <c r="GG308" s="1"/>
  <c r="GG309" s="1"/>
  <c r="GG310" s="1"/>
  <c r="GG311" s="1"/>
  <c r="GG312" s="1"/>
  <c r="GG313" s="1"/>
  <c r="GG314" s="1"/>
  <c r="GG315" s="1"/>
  <c r="GG316" s="1"/>
  <c r="GG317" s="1"/>
  <c r="GG318" s="1"/>
  <c r="GG319" s="1"/>
  <c r="GG320" s="1"/>
  <c r="GG321" s="1"/>
  <c r="GG322" s="1"/>
  <c r="GG323" s="1"/>
  <c r="GG324" s="1"/>
  <c r="GG325" s="1"/>
  <c r="GG326" s="1"/>
  <c r="GG327" s="1"/>
  <c r="GG328" s="1"/>
  <c r="GG329" s="1"/>
  <c r="GG330" s="1"/>
  <c r="GG331" s="1"/>
  <c r="GG332" s="1"/>
  <c r="GG333" s="1"/>
  <c r="GG334" s="1"/>
  <c r="GG335" s="1"/>
  <c r="GG336" s="1"/>
  <c r="GG337" s="1"/>
  <c r="GG338" s="1"/>
  <c r="GG339" s="1"/>
  <c r="GG340" s="1"/>
  <c r="GG341" s="1"/>
  <c r="GG342" s="1"/>
  <c r="GG343" s="1"/>
  <c r="GG344" s="1"/>
  <c r="GG345" s="1"/>
  <c r="GG346" s="1"/>
  <c r="GG347" s="1"/>
  <c r="GG348" s="1"/>
  <c r="GG349" s="1"/>
  <c r="GG350" s="1"/>
  <c r="GG351" s="1"/>
  <c r="GG352" s="1"/>
  <c r="GG353" s="1"/>
  <c r="GG354" s="1"/>
  <c r="GG355" s="1"/>
  <c r="GG356" s="1"/>
  <c r="GG357" s="1"/>
  <c r="GG358" s="1"/>
  <c r="GG359" s="1"/>
  <c r="GG360" s="1"/>
  <c r="GG361" s="1"/>
  <c r="GG362" s="1"/>
  <c r="GG363" s="1"/>
  <c r="GG364" s="1"/>
  <c r="GG365" s="1"/>
  <c r="GG366" s="1"/>
  <c r="GG367" s="1"/>
  <c r="GG368" s="1"/>
  <c r="GG369" s="1"/>
  <c r="GG370" s="1"/>
  <c r="GG371" s="1"/>
  <c r="GG372" s="1"/>
  <c r="GG373" s="1"/>
  <c r="GG374" s="1"/>
  <c r="GG375" s="1"/>
  <c r="GG376" s="1"/>
  <c r="GG377" s="1"/>
  <c r="GG378" s="1"/>
  <c r="GG379" s="1"/>
  <c r="GG380" s="1"/>
  <c r="GG381" s="1"/>
  <c r="G8" i="24"/>
  <c r="G9"/>
  <c r="G10"/>
  <c r="G11"/>
  <c r="DR11" i="43"/>
  <c r="G11" s="1"/>
  <c r="H11" s="1"/>
  <c r="DR13"/>
  <c r="G13" s="1"/>
  <c r="H13" s="1"/>
  <c r="DR9"/>
  <c r="DR10"/>
  <c r="G10" s="1"/>
  <c r="H10" s="1"/>
  <c r="DR16"/>
  <c r="G16" s="1"/>
  <c r="H16" s="1"/>
  <c r="B9" i="22"/>
  <c r="E9"/>
  <c r="AH10" i="45"/>
  <c r="G222" i="23"/>
  <c r="DR17" i="43"/>
  <c r="G17" s="1"/>
  <c r="H17" s="1"/>
  <c r="DR12"/>
  <c r="G12" s="1"/>
  <c r="H12" s="1"/>
  <c r="Y6" i="45"/>
  <c r="Y10"/>
  <c r="Y5"/>
  <c r="Y9"/>
  <c r="Y8"/>
  <c r="Y387"/>
  <c r="Y7"/>
  <c r="Y11"/>
  <c r="L23" i="35"/>
  <c r="T389" i="45"/>
  <c r="X389" s="1"/>
  <c r="Y389"/>
  <c r="L82" i="35"/>
  <c r="L19"/>
  <c r="T387" i="45"/>
  <c r="X387" s="1"/>
  <c r="DM10" i="43"/>
  <c r="DM12"/>
  <c r="L107" i="35" s="1"/>
  <c r="K27" i="34"/>
  <c r="K25"/>
  <c r="DN11" i="43"/>
  <c r="DO11" s="1"/>
  <c r="AQ11" s="1"/>
  <c r="DN17"/>
  <c r="DO17" s="1"/>
  <c r="AQ17" s="1"/>
  <c r="DN15"/>
  <c r="DO15" s="1"/>
  <c r="AQ15" s="1"/>
  <c r="DN14"/>
  <c r="DO14" s="1"/>
  <c r="AQ14" s="1"/>
  <c r="DN8"/>
  <c r="DO8" s="1"/>
  <c r="AQ8" s="1"/>
  <c r="DN13"/>
  <c r="DO13" s="1"/>
  <c r="AQ13" s="1"/>
  <c r="DN9"/>
  <c r="DO9" s="1"/>
  <c r="AQ9" s="1"/>
  <c r="DN16"/>
  <c r="DO16" s="1"/>
  <c r="AQ16" s="1"/>
  <c r="B9" i="45"/>
  <c r="B5"/>
  <c r="AG6"/>
  <c r="J7" i="34"/>
  <c r="K28"/>
  <c r="L55" i="35"/>
  <c r="L42"/>
  <c r="K26" i="34"/>
  <c r="L48" i="35"/>
  <c r="L83"/>
  <c r="B6" i="45"/>
  <c r="B387"/>
  <c r="B11"/>
  <c r="K36" i="34"/>
  <c r="L96" i="35"/>
  <c r="L95"/>
  <c r="L69"/>
  <c r="L31"/>
  <c r="K35" i="34"/>
  <c r="K6"/>
  <c r="K38"/>
  <c r="K30"/>
  <c r="L97" i="35"/>
  <c r="L12"/>
  <c r="L15"/>
  <c r="L3"/>
  <c r="L29"/>
  <c r="K33" i="34"/>
  <c r="L46" i="35"/>
  <c r="L43"/>
  <c r="L80"/>
  <c r="L54"/>
  <c r="L44"/>
  <c r="K37" i="34"/>
  <c r="K29"/>
  <c r="K24"/>
  <c r="K32"/>
  <c r="K4" i="35"/>
  <c r="L45"/>
  <c r="L17"/>
  <c r="L47"/>
  <c r="L14"/>
  <c r="L81"/>
  <c r="AG9" i="45"/>
  <c r="O335" i="24" l="1"/>
  <c r="AD267"/>
  <c r="AE195"/>
  <c r="AD327"/>
  <c r="K296" i="43"/>
  <c r="W296" s="1"/>
  <c r="H275"/>
  <c r="K275" s="1"/>
  <c r="W275" s="1"/>
  <c r="K324"/>
  <c r="H264"/>
  <c r="K264" s="1"/>
  <c r="W264" s="1"/>
  <c r="K350"/>
  <c r="M265"/>
  <c r="N265" s="1"/>
  <c r="K374"/>
  <c r="H267"/>
  <c r="K267" s="1"/>
  <c r="W267" s="1"/>
  <c r="K305"/>
  <c r="W305" s="1"/>
  <c r="K346"/>
  <c r="M330"/>
  <c r="N330" s="1"/>
  <c r="K311"/>
  <c r="M285"/>
  <c r="N285" s="1"/>
  <c r="K289"/>
  <c r="K376"/>
  <c r="K353"/>
  <c r="H286"/>
  <c r="K286" s="1"/>
  <c r="M287"/>
  <c r="N287" s="1"/>
  <c r="K361"/>
  <c r="K364"/>
  <c r="K357"/>
  <c r="H280"/>
  <c r="K280" s="1"/>
  <c r="W280" s="1"/>
  <c r="K291"/>
  <c r="G255"/>
  <c r="M255" s="1"/>
  <c r="N255" s="1"/>
  <c r="FP255" s="1"/>
  <c r="K293"/>
  <c r="W293" s="1"/>
  <c r="K318"/>
  <c r="K326"/>
  <c r="K356"/>
  <c r="K309"/>
  <c r="M273"/>
  <c r="N273" s="1"/>
  <c r="K300"/>
  <c r="W300" s="1"/>
  <c r="M347"/>
  <c r="N347" s="1"/>
  <c r="K379"/>
  <c r="K365"/>
  <c r="K367"/>
  <c r="M332"/>
  <c r="N332" s="1"/>
  <c r="M282"/>
  <c r="N282" s="1"/>
  <c r="K337"/>
  <c r="K377"/>
  <c r="K352"/>
  <c r="M302"/>
  <c r="N302" s="1"/>
  <c r="K310"/>
  <c r="M298"/>
  <c r="N298" s="1"/>
  <c r="M339"/>
  <c r="N339" s="1"/>
  <c r="FP339" s="1"/>
  <c r="H284"/>
  <c r="K284" s="1"/>
  <c r="H279"/>
  <c r="K279" s="1"/>
  <c r="W279" s="1"/>
  <c r="M308"/>
  <c r="N308" s="1"/>
  <c r="FP308" s="1"/>
  <c r="K306"/>
  <c r="W306" s="1"/>
  <c r="K312"/>
  <c r="K359"/>
  <c r="K325"/>
  <c r="K299"/>
  <c r="W299" s="1"/>
  <c r="M341"/>
  <c r="N341" s="1"/>
  <c r="FP341" s="1"/>
  <c r="K342"/>
  <c r="K344"/>
  <c r="K328"/>
  <c r="K366"/>
  <c r="K349"/>
  <c r="K303"/>
  <c r="W303" s="1"/>
  <c r="M272"/>
  <c r="N272" s="1"/>
  <c r="FP272" s="1"/>
  <c r="K327"/>
  <c r="H270"/>
  <c r="K270" s="1"/>
  <c r="W270" s="1"/>
  <c r="H268"/>
  <c r="K268" s="1"/>
  <c r="W268" s="1"/>
  <c r="K358"/>
  <c r="H276"/>
  <c r="K276" s="1"/>
  <c r="W276" s="1"/>
  <c r="K375"/>
  <c r="M319"/>
  <c r="N319" s="1"/>
  <c r="M317"/>
  <c r="N317" s="1"/>
  <c r="M370"/>
  <c r="N370" s="1"/>
  <c r="FP370" s="1"/>
  <c r="M348"/>
  <c r="N348" s="1"/>
  <c r="M371"/>
  <c r="N371" s="1"/>
  <c r="FP371" s="1"/>
  <c r="M271"/>
  <c r="N271" s="1"/>
  <c r="M257"/>
  <c r="N257" s="1"/>
  <c r="M343"/>
  <c r="N343" s="1"/>
  <c r="M304"/>
  <c r="N304" s="1"/>
  <c r="M322"/>
  <c r="N322" s="1"/>
  <c r="M307"/>
  <c r="N307" s="1"/>
  <c r="M283"/>
  <c r="N283" s="1"/>
  <c r="M351"/>
  <c r="N351" s="1"/>
  <c r="M281"/>
  <c r="N281" s="1"/>
  <c r="M301"/>
  <c r="N301" s="1"/>
  <c r="M336"/>
  <c r="N336" s="1"/>
  <c r="M261"/>
  <c r="N261" s="1"/>
  <c r="M320"/>
  <c r="N320" s="1"/>
  <c r="FP320" s="1"/>
  <c r="M331"/>
  <c r="N331" s="1"/>
  <c r="M380"/>
  <c r="N380" s="1"/>
  <c r="FP380" s="1"/>
  <c r="M372"/>
  <c r="N372" s="1"/>
  <c r="FP372" s="1"/>
  <c r="M381"/>
  <c r="M335"/>
  <c r="N335" s="1"/>
  <c r="M295"/>
  <c r="N295" s="1"/>
  <c r="M323"/>
  <c r="N323" s="1"/>
  <c r="M314"/>
  <c r="N314" s="1"/>
  <c r="FP314" s="1"/>
  <c r="M294"/>
  <c r="N294" s="1"/>
  <c r="M363"/>
  <c r="N363" s="1"/>
  <c r="FP363" s="1"/>
  <c r="M373"/>
  <c r="N373" s="1"/>
  <c r="FP373" s="1"/>
  <c r="N233"/>
  <c r="FP233" s="1"/>
  <c r="M226"/>
  <c r="N226" s="1"/>
  <c r="H226"/>
  <c r="M223"/>
  <c r="N223" s="1"/>
  <c r="FP223" s="1"/>
  <c r="H223"/>
  <c r="M229"/>
  <c r="H229"/>
  <c r="M227"/>
  <c r="N227" s="1"/>
  <c r="H227"/>
  <c r="M225"/>
  <c r="N225" s="1"/>
  <c r="H225"/>
  <c r="M218"/>
  <c r="N218" s="1"/>
  <c r="H218"/>
  <c r="M220"/>
  <c r="N220" s="1"/>
  <c r="H220"/>
  <c r="M216"/>
  <c r="N216" s="1"/>
  <c r="H216"/>
  <c r="M202"/>
  <c r="N202" s="1"/>
  <c r="H202"/>
  <c r="M198"/>
  <c r="N198" s="1"/>
  <c r="H198"/>
  <c r="M186"/>
  <c r="N186" s="1"/>
  <c r="H186"/>
  <c r="M192"/>
  <c r="N192" s="1"/>
  <c r="H192"/>
  <c r="M184"/>
  <c r="M204"/>
  <c r="N204" s="1"/>
  <c r="H204"/>
  <c r="M176"/>
  <c r="N176" s="1"/>
  <c r="H176"/>
  <c r="M178"/>
  <c r="N178" s="1"/>
  <c r="H178"/>
  <c r="M175"/>
  <c r="N175" s="1"/>
  <c r="H175"/>
  <c r="M179"/>
  <c r="N179" s="1"/>
  <c r="H179"/>
  <c r="G45"/>
  <c r="M45" s="1"/>
  <c r="N45" s="1"/>
  <c r="FP45" s="1"/>
  <c r="G46"/>
  <c r="M46" s="1"/>
  <c r="N46" s="1"/>
  <c r="FP46" s="1"/>
  <c r="AE351" i="24"/>
  <c r="AD335"/>
  <c r="M379" i="43"/>
  <c r="N379" s="1"/>
  <c r="FP379" s="1"/>
  <c r="AE311" i="24"/>
  <c r="D6" i="30"/>
  <c r="D21"/>
  <c r="D20"/>
  <c r="D19"/>
  <c r="D23"/>
  <c r="D22"/>
  <c r="AD202" i="24"/>
  <c r="AD219"/>
  <c r="BI157"/>
  <c r="BI54"/>
  <c r="BI39"/>
  <c r="AD71"/>
  <c r="AD223"/>
  <c r="AE57"/>
  <c r="AD138"/>
  <c r="AD359"/>
  <c r="CZ32" i="43"/>
  <c r="DF32" s="1"/>
  <c r="U312"/>
  <c r="J18" i="34"/>
  <c r="J20"/>
  <c r="AD333" i="24"/>
  <c r="BI290"/>
  <c r="BI226"/>
  <c r="BI381"/>
  <c r="BI349"/>
  <c r="BI317"/>
  <c r="BI302"/>
  <c r="BI270"/>
  <c r="BI238"/>
  <c r="AE140"/>
  <c r="AD273"/>
  <c r="AE196"/>
  <c r="AE151"/>
  <c r="AE205"/>
  <c r="AE188"/>
  <c r="AD276"/>
  <c r="D17" i="30"/>
  <c r="AD143" i="24"/>
  <c r="D28" i="30"/>
  <c r="AE107" i="24"/>
  <c r="AD199"/>
  <c r="AD340"/>
  <c r="AE117"/>
  <c r="AD53"/>
  <c r="AE172"/>
  <c r="BI264"/>
  <c r="BI214"/>
  <c r="BI276"/>
  <c r="BI244"/>
  <c r="BI136"/>
  <c r="BI128"/>
  <c r="BI120"/>
  <c r="BI112"/>
  <c r="BI104"/>
  <c r="BI96"/>
  <c r="BI31"/>
  <c r="AD113"/>
  <c r="AD81"/>
  <c r="AE180"/>
  <c r="AD377"/>
  <c r="BI16"/>
  <c r="BI248"/>
  <c r="BI300"/>
  <c r="BI268"/>
  <c r="BI236"/>
  <c r="AD361"/>
  <c r="AD266"/>
  <c r="AE69"/>
  <c r="AE167"/>
  <c r="BI288"/>
  <c r="BI272"/>
  <c r="BI240"/>
  <c r="BI256"/>
  <c r="BI367"/>
  <c r="BI335"/>
  <c r="BI296"/>
  <c r="BI232"/>
  <c r="BI292"/>
  <c r="BI260"/>
  <c r="BI228"/>
  <c r="BI169"/>
  <c r="D27" i="30"/>
  <c r="AE309" i="24"/>
  <c r="AD61"/>
  <c r="M222" i="43"/>
  <c r="N222" s="1"/>
  <c r="M249"/>
  <c r="N249" s="1"/>
  <c r="AD153" i="24"/>
  <c r="M221" i="43"/>
  <c r="N221" s="1"/>
  <c r="M128"/>
  <c r="N128" s="1"/>
  <c r="M253"/>
  <c r="N253" s="1"/>
  <c r="FP253" s="1"/>
  <c r="AE243" i="24"/>
  <c r="AE213"/>
  <c r="J43" i="34"/>
  <c r="J16"/>
  <c r="J41"/>
  <c r="J42"/>
  <c r="AD297" i="24"/>
  <c r="M196" i="43"/>
  <c r="N196" s="1"/>
  <c r="AD137" i="24"/>
  <c r="AE319"/>
  <c r="BI66"/>
  <c r="AE233"/>
  <c r="M28" i="43"/>
  <c r="N28" s="1"/>
  <c r="FP28" s="1"/>
  <c r="M113"/>
  <c r="N113" s="1"/>
  <c r="M275"/>
  <c r="N275" s="1"/>
  <c r="AE73" i="24"/>
  <c r="I20" i="44"/>
  <c r="AE281" i="24"/>
  <c r="BI71"/>
  <c r="BI81"/>
  <c r="BI74"/>
  <c r="BI58"/>
  <c r="K13" i="34"/>
  <c r="AE239" i="24"/>
  <c r="M49" i="43"/>
  <c r="N49" s="1"/>
  <c r="FP49" s="1"/>
  <c r="M122"/>
  <c r="N122" s="1"/>
  <c r="M63"/>
  <c r="N63" s="1"/>
  <c r="AD303" i="24"/>
  <c r="BI73"/>
  <c r="BI60"/>
  <c r="E7" i="30"/>
  <c r="AE341" i="24"/>
  <c r="AE115"/>
  <c r="AD271"/>
  <c r="AD295"/>
  <c r="M36" i="43"/>
  <c r="N36" s="1"/>
  <c r="M254"/>
  <c r="N254" s="1"/>
  <c r="FP254" s="1"/>
  <c r="M89"/>
  <c r="N89" s="1"/>
  <c r="M183"/>
  <c r="N183" s="1"/>
  <c r="M144"/>
  <c r="N144" s="1"/>
  <c r="M209"/>
  <c r="N209" s="1"/>
  <c r="M324"/>
  <c r="N324" s="1"/>
  <c r="M305"/>
  <c r="N305" s="1"/>
  <c r="M364"/>
  <c r="M350"/>
  <c r="N350" s="1"/>
  <c r="M170"/>
  <c r="N170" s="1"/>
  <c r="M152"/>
  <c r="N152" s="1"/>
  <c r="M376"/>
  <c r="AE44" i="24"/>
  <c r="AD283"/>
  <c r="AE254"/>
  <c r="BI353"/>
  <c r="BI321"/>
  <c r="BI266"/>
  <c r="BI234"/>
  <c r="BI258"/>
  <c r="BI286"/>
  <c r="BI254"/>
  <c r="BI177"/>
  <c r="BI33"/>
  <c r="BI37"/>
  <c r="BI64"/>
  <c r="BI45"/>
  <c r="AE211"/>
  <c r="M242" i="43"/>
  <c r="N242" s="1"/>
  <c r="M99"/>
  <c r="N99" s="1"/>
  <c r="FP99" s="1"/>
  <c r="M190"/>
  <c r="N190" s="1"/>
  <c r="M361"/>
  <c r="M44"/>
  <c r="N44" s="1"/>
  <c r="FP44" s="1"/>
  <c r="M84"/>
  <c r="N84" s="1"/>
  <c r="D26" i="30"/>
  <c r="BI70" i="24"/>
  <c r="M41" i="43"/>
  <c r="N41" s="1"/>
  <c r="M85"/>
  <c r="N85" s="1"/>
  <c r="M123"/>
  <c r="N123" s="1"/>
  <c r="M214"/>
  <c r="N214" s="1"/>
  <c r="M159"/>
  <c r="N159" s="1"/>
  <c r="M374"/>
  <c r="N374" s="1"/>
  <c r="AD103" i="24"/>
  <c r="BI306"/>
  <c r="BI242"/>
  <c r="BI278"/>
  <c r="BI246"/>
  <c r="BI198"/>
  <c r="BI190"/>
  <c r="BI68"/>
  <c r="BI52"/>
  <c r="J11" i="34"/>
  <c r="J46"/>
  <c r="K10"/>
  <c r="M234" i="43"/>
  <c r="N234" s="1"/>
  <c r="S12" i="45"/>
  <c r="S387"/>
  <c r="U11" i="44"/>
  <c r="M11"/>
  <c r="M22" s="1"/>
  <c r="M24" s="1"/>
  <c r="B11"/>
  <c r="S11"/>
  <c r="E11"/>
  <c r="H11"/>
  <c r="I11"/>
  <c r="D11"/>
  <c r="P11"/>
  <c r="T11"/>
  <c r="AF32" i="45"/>
  <c r="H35" i="43"/>
  <c r="AF22" i="45"/>
  <c r="H25" i="43"/>
  <c r="AF28" i="45"/>
  <c r="H31" i="43"/>
  <c r="AF18" i="45"/>
  <c r="H21" i="43"/>
  <c r="AF27" i="45"/>
  <c r="H30" i="43"/>
  <c r="M30"/>
  <c r="N30" s="1"/>
  <c r="FP30" s="1"/>
  <c r="AF310" i="45"/>
  <c r="K313" i="43"/>
  <c r="M313"/>
  <c r="N313" s="1"/>
  <c r="AF132" i="45"/>
  <c r="H135" i="43"/>
  <c r="J11" i="44"/>
  <c r="AF337" i="45"/>
  <c r="K340" i="43"/>
  <c r="AF200" i="45"/>
  <c r="AF266"/>
  <c r="H269" i="43"/>
  <c r="K269" s="1"/>
  <c r="W269" s="1"/>
  <c r="AF98" i="45"/>
  <c r="H101" i="43"/>
  <c r="AF122" i="45"/>
  <c r="H125" i="43"/>
  <c r="AF233" i="45"/>
  <c r="H236" i="43"/>
  <c r="AF242" i="45"/>
  <c r="H245" i="43"/>
  <c r="AF67" i="45"/>
  <c r="H70" i="43"/>
  <c r="AF338" i="45"/>
  <c r="K341" i="43"/>
  <c r="AF237" i="45"/>
  <c r="H240" i="43"/>
  <c r="AF126" i="45"/>
  <c r="H129" i="43"/>
  <c r="AF53" i="45"/>
  <c r="H56" i="43"/>
  <c r="AF260" i="45"/>
  <c r="H263" i="43"/>
  <c r="K263" s="1"/>
  <c r="W263" s="1"/>
  <c r="AF342" i="45"/>
  <c r="K345" i="43"/>
  <c r="AF365" i="45"/>
  <c r="K368" i="43"/>
  <c r="AF234" i="45"/>
  <c r="H237" i="43"/>
  <c r="AE50" i="24"/>
  <c r="AD227"/>
  <c r="AE369"/>
  <c r="AD157"/>
  <c r="AF37" i="45"/>
  <c r="H40" i="43"/>
  <c r="AF20" i="45"/>
  <c r="H23" i="43"/>
  <c r="AF30" i="45"/>
  <c r="H33" i="43"/>
  <c r="AF165" i="45"/>
  <c r="H168" i="43"/>
  <c r="AF351" i="45"/>
  <c r="K354" i="43"/>
  <c r="AF263" i="45"/>
  <c r="H266" i="43"/>
  <c r="K266" s="1"/>
  <c r="W266" s="1"/>
  <c r="AF146" i="45"/>
  <c r="H149" i="43"/>
  <c r="AF66" i="45"/>
  <c r="H69" i="43"/>
  <c r="AF352" i="45"/>
  <c r="K355" i="43"/>
  <c r="AF256" i="45"/>
  <c r="H259" i="43"/>
  <c r="K259" s="1"/>
  <c r="W259" s="1"/>
  <c r="AF158" i="45"/>
  <c r="H161" i="43"/>
  <c r="AF184" i="45"/>
  <c r="AF312"/>
  <c r="K315" i="43"/>
  <c r="AF287" i="45"/>
  <c r="K290" i="43"/>
  <c r="AF318" i="45"/>
  <c r="K321" i="43"/>
  <c r="AF139" i="45"/>
  <c r="H142" i="43"/>
  <c r="AF335" i="45"/>
  <c r="K338" i="43"/>
  <c r="AF259" i="45"/>
  <c r="H262" i="43"/>
  <c r="K262" s="1"/>
  <c r="W262" s="1"/>
  <c r="AF162" i="45"/>
  <c r="H165" i="43"/>
  <c r="AF170" i="45"/>
  <c r="H173" i="43"/>
  <c r="AF275" i="45"/>
  <c r="H278" i="43"/>
  <c r="K278" s="1"/>
  <c r="W278" s="1"/>
  <c r="AF73" i="45"/>
  <c r="H76" i="43"/>
  <c r="AF285" i="45"/>
  <c r="K288" i="43"/>
  <c r="AF163" i="45"/>
  <c r="H166" i="43"/>
  <c r="AF289" i="45"/>
  <c r="K292" i="43"/>
  <c r="W292" s="1"/>
  <c r="AF107" i="45"/>
  <c r="H110" i="43"/>
  <c r="AF47" i="45"/>
  <c r="H50" i="43"/>
  <c r="AF88" i="45"/>
  <c r="H91" i="43"/>
  <c r="AF99" i="45"/>
  <c r="H102" i="43"/>
  <c r="AF240" i="45"/>
  <c r="H243" i="43"/>
  <c r="AF111" i="45"/>
  <c r="H114" i="43"/>
  <c r="AF253" i="45"/>
  <c r="H256" i="43"/>
  <c r="AF161" i="45"/>
  <c r="H164" i="43"/>
  <c r="AF134" i="45"/>
  <c r="H137" i="43"/>
  <c r="AF152" i="45"/>
  <c r="H155" i="43"/>
  <c r="AF169" i="45"/>
  <c r="H172" i="43"/>
  <c r="AF299" i="45"/>
  <c r="K302" i="43"/>
  <c r="W302" s="1"/>
  <c r="AF50" i="45"/>
  <c r="H53" i="43"/>
  <c r="AF54" i="45"/>
  <c r="H57" i="43"/>
  <c r="AF274" i="45"/>
  <c r="H277" i="43"/>
  <c r="K277" s="1"/>
  <c r="W277" s="1"/>
  <c r="AF91" i="45"/>
  <c r="H94" i="43"/>
  <c r="AF255" i="45"/>
  <c r="H258" i="43"/>
  <c r="K258" s="1"/>
  <c r="W258" s="1"/>
  <c r="AF295" i="45"/>
  <c r="K298" i="43"/>
  <c r="W298" s="1"/>
  <c r="AF202" i="45"/>
  <c r="AF336"/>
  <c r="K339" i="43"/>
  <c r="AF51" i="45"/>
  <c r="H54" i="43"/>
  <c r="AF359" i="45"/>
  <c r="K362" i="43"/>
  <c r="AF331" i="45"/>
  <c r="K334" i="43"/>
  <c r="AF74" i="45"/>
  <c r="H77" i="43"/>
  <c r="AF102" i="45"/>
  <c r="H105" i="43"/>
  <c r="AF375" i="45"/>
  <c r="K378" i="43"/>
  <c r="AF305" i="45"/>
  <c r="K308" i="43"/>
  <c r="AF190" i="45"/>
  <c r="AF366"/>
  <c r="K369" i="43"/>
  <c r="AF326" i="45"/>
  <c r="K329" i="43"/>
  <c r="AF294" i="45"/>
  <c r="K297" i="43"/>
  <c r="W297" s="1"/>
  <c r="AF116" i="45"/>
  <c r="H119" i="43"/>
  <c r="AD165" i="24"/>
  <c r="BI86"/>
  <c r="BI217"/>
  <c r="BI220"/>
  <c r="AD279"/>
  <c r="AE201"/>
  <c r="AD169"/>
  <c r="AE339"/>
  <c r="AE337"/>
  <c r="AD171"/>
  <c r="M266" i="43"/>
  <c r="M237"/>
  <c r="N237" s="1"/>
  <c r="FP237" s="1"/>
  <c r="M137"/>
  <c r="N137" s="1"/>
  <c r="M338"/>
  <c r="N338" s="1"/>
  <c r="M71"/>
  <c r="N71" s="1"/>
  <c r="M91"/>
  <c r="N91" s="1"/>
  <c r="M278"/>
  <c r="N278" s="1"/>
  <c r="M369"/>
  <c r="M197"/>
  <c r="N197" s="1"/>
  <c r="M53"/>
  <c r="N53" s="1"/>
  <c r="M161"/>
  <c r="N161" s="1"/>
  <c r="M277"/>
  <c r="N277" s="1"/>
  <c r="AD285" i="24"/>
  <c r="AE345"/>
  <c r="AD270"/>
  <c r="AF26" i="45"/>
  <c r="H29" i="43"/>
  <c r="AF40" i="45"/>
  <c r="H43" i="43"/>
  <c r="AF173" i="45"/>
  <c r="AF262"/>
  <c r="H265" i="43"/>
  <c r="K265" s="1"/>
  <c r="W265" s="1"/>
  <c r="AF94" i="45"/>
  <c r="H97" i="43"/>
  <c r="AF327" i="45"/>
  <c r="K330" i="43"/>
  <c r="AF136" i="45"/>
  <c r="H139" i="43"/>
  <c r="AF282" i="45"/>
  <c r="H285" i="43"/>
  <c r="K285" s="1"/>
  <c r="AF175" i="45"/>
  <c r="AF284"/>
  <c r="K287" i="43"/>
  <c r="AF72" i="45"/>
  <c r="H75" i="43"/>
  <c r="AF63" i="45"/>
  <c r="H66" i="43"/>
  <c r="AF270" i="45"/>
  <c r="H273" i="43"/>
  <c r="K273" s="1"/>
  <c r="W273" s="1"/>
  <c r="AF62" i="45"/>
  <c r="H65" i="43"/>
  <c r="AF344" i="45"/>
  <c r="K347" i="43"/>
  <c r="AE291" i="24"/>
  <c r="BI219"/>
  <c r="BI78"/>
  <c r="BI222"/>
  <c r="BI89"/>
  <c r="AF191" i="45"/>
  <c r="AF271"/>
  <c r="H274" i="43"/>
  <c r="K274" s="1"/>
  <c r="W274" s="1"/>
  <c r="AF177" i="45"/>
  <c r="AF357"/>
  <c r="K360" i="43"/>
  <c r="AF104" i="45"/>
  <c r="H107" i="43"/>
  <c r="AF178" i="45"/>
  <c r="AF44"/>
  <c r="H47" i="43"/>
  <c r="AF92" i="45"/>
  <c r="H95" i="43"/>
  <c r="M207"/>
  <c r="N207" s="1"/>
  <c r="AF330" i="45"/>
  <c r="K333" i="43"/>
  <c r="AF129" i="45"/>
  <c r="H132" i="43"/>
  <c r="AF313" i="45"/>
  <c r="K316" i="43"/>
  <c r="AF52" i="45"/>
  <c r="H55" i="43"/>
  <c r="AF269" i="45"/>
  <c r="H272" i="43"/>
  <c r="K272" s="1"/>
  <c r="W272" s="1"/>
  <c r="AF198" i="45"/>
  <c r="AF188"/>
  <c r="M270" i="43"/>
  <c r="N270" s="1"/>
  <c r="M107"/>
  <c r="N107" s="1"/>
  <c r="M333"/>
  <c r="N333" s="1"/>
  <c r="M366"/>
  <c r="AE299" i="24"/>
  <c r="AE91"/>
  <c r="AE235"/>
  <c r="AF29" i="45"/>
  <c r="H32" i="43"/>
  <c r="AF31" i="45"/>
  <c r="H34" i="43"/>
  <c r="AF232" i="45"/>
  <c r="H235" i="43"/>
  <c r="AF329" i="45"/>
  <c r="K332" i="43"/>
  <c r="AF279" i="45"/>
  <c r="H282" i="43"/>
  <c r="K282" s="1"/>
  <c r="AF257" i="45"/>
  <c r="H260" i="43"/>
  <c r="K260" s="1"/>
  <c r="W260" s="1"/>
  <c r="BI188" i="24"/>
  <c r="M37" i="43"/>
  <c r="N37" s="1"/>
  <c r="FP37" s="1"/>
  <c r="M32"/>
  <c r="N32" s="1"/>
  <c r="FP32" s="1"/>
  <c r="M262"/>
  <c r="N262" s="1"/>
  <c r="M77"/>
  <c r="N77" s="1"/>
  <c r="M133"/>
  <c r="N133" s="1"/>
  <c r="M83"/>
  <c r="N83" s="1"/>
  <c r="M119"/>
  <c r="N119" s="1"/>
  <c r="M165"/>
  <c r="N165" s="1"/>
  <c r="M142"/>
  <c r="N142" s="1"/>
  <c r="M235"/>
  <c r="N235" s="1"/>
  <c r="M256"/>
  <c r="N256" s="1"/>
  <c r="FP256" s="1"/>
  <c r="M344"/>
  <c r="N344" s="1"/>
  <c r="M57"/>
  <c r="N57" s="1"/>
  <c r="FP57" s="1"/>
  <c r="M125"/>
  <c r="N125" s="1"/>
  <c r="M166"/>
  <c r="N166" s="1"/>
  <c r="M193"/>
  <c r="N193" s="1"/>
  <c r="M211"/>
  <c r="N211" s="1"/>
  <c r="M290"/>
  <c r="N290" s="1"/>
  <c r="M321"/>
  <c r="N321" s="1"/>
  <c r="AD247" i="24"/>
  <c r="AF23" i="45"/>
  <c r="H26" i="43"/>
  <c r="AF19" i="45"/>
  <c r="H22" i="43"/>
  <c r="AF39" i="45"/>
  <c r="H42" i="43"/>
  <c r="AF21" i="45"/>
  <c r="H24" i="43"/>
  <c r="AF24" i="45"/>
  <c r="H27" i="43"/>
  <c r="AF35" i="45"/>
  <c r="H38" i="43"/>
  <c r="AF316" i="45"/>
  <c r="K319" i="43"/>
  <c r="AF241" i="45"/>
  <c r="H244" i="43"/>
  <c r="AF145" i="45"/>
  <c r="H148" i="43"/>
  <c r="AF70" i="45"/>
  <c r="H73" i="43"/>
  <c r="AF314" i="45"/>
  <c r="K317" i="43"/>
  <c r="AF248" i="45"/>
  <c r="H251" i="43"/>
  <c r="AF84" i="45"/>
  <c r="H87" i="43"/>
  <c r="AF367" i="45"/>
  <c r="K370" i="43"/>
  <c r="AF345" i="45"/>
  <c r="K348" i="43"/>
  <c r="AF368" i="45"/>
  <c r="K371" i="43"/>
  <c r="AF142" i="45"/>
  <c r="H145" i="43"/>
  <c r="AF245" i="45"/>
  <c r="H248" i="43"/>
  <c r="AF199" i="45"/>
  <c r="AF61"/>
  <c r="H64" i="43"/>
  <c r="AF131" i="45"/>
  <c r="H134" i="43"/>
  <c r="AF172" i="45"/>
  <c r="AF268"/>
  <c r="H271" i="43"/>
  <c r="K271" s="1"/>
  <c r="W271" s="1"/>
  <c r="AF115" i="45"/>
  <c r="H118" i="43"/>
  <c r="AF150" i="45"/>
  <c r="H153" i="43"/>
  <c r="AF254" i="45"/>
  <c r="H257" i="43"/>
  <c r="K257" s="1"/>
  <c r="W257" s="1"/>
  <c r="AF135" i="45"/>
  <c r="H138" i="43"/>
  <c r="AF340" i="45"/>
  <c r="K343" i="43"/>
  <c r="AF301" i="45"/>
  <c r="K304" i="43"/>
  <c r="W304" s="1"/>
  <c r="AF89" i="45"/>
  <c r="H92" i="43"/>
  <c r="AF236" i="45"/>
  <c r="H239" i="43"/>
  <c r="AF58" i="45"/>
  <c r="H61" i="43"/>
  <c r="AF319" i="45"/>
  <c r="K322" i="43"/>
  <c r="AF108" i="45"/>
  <c r="H111" i="43"/>
  <c r="AF304" i="45"/>
  <c r="K307" i="43"/>
  <c r="AF109" i="45"/>
  <c r="H112" i="43"/>
  <c r="AF195" i="45"/>
  <c r="AF55"/>
  <c r="H58" i="43"/>
  <c r="AF97" i="45"/>
  <c r="H100" i="43"/>
  <c r="AF280" i="45"/>
  <c r="H283" i="43"/>
  <c r="K283" s="1"/>
  <c r="AF155" i="45"/>
  <c r="H158" i="43"/>
  <c r="AF348" i="45"/>
  <c r="K351" i="43"/>
  <c r="AF278" i="45"/>
  <c r="H281" i="43"/>
  <c r="K281" s="1"/>
  <c r="W281" s="1"/>
  <c r="AF298" i="45"/>
  <c r="K301" i="43"/>
  <c r="W301" s="1"/>
  <c r="AF90" i="45"/>
  <c r="H93" i="43"/>
  <c r="AF49" i="45"/>
  <c r="H52" i="43"/>
  <c r="AF333" i="45"/>
  <c r="K336" i="43"/>
  <c r="AF243" i="45"/>
  <c r="H246" i="43"/>
  <c r="AF105" i="45"/>
  <c r="H108" i="43"/>
  <c r="AF83" i="45"/>
  <c r="H86" i="43"/>
  <c r="AF258" i="45"/>
  <c r="H261" i="43"/>
  <c r="K261" s="1"/>
  <c r="W261" s="1"/>
  <c r="AF317" i="45"/>
  <c r="K320" i="43"/>
  <c r="AF328" i="45"/>
  <c r="K331" i="43"/>
  <c r="AF377" i="45"/>
  <c r="K380" i="43"/>
  <c r="AF369" i="45"/>
  <c r="K372" i="43"/>
  <c r="AF133" i="45"/>
  <c r="H136" i="43"/>
  <c r="AF235" i="45"/>
  <c r="H238" i="43"/>
  <c r="AF378" i="45"/>
  <c r="K381" i="43"/>
  <c r="AF183" i="45"/>
  <c r="AF124"/>
  <c r="H127" i="43"/>
  <c r="AF65" i="45"/>
  <c r="H68" i="43"/>
  <c r="AF93" i="45"/>
  <c r="H96" i="43"/>
  <c r="AF78" i="45"/>
  <c r="H81" i="43"/>
  <c r="AF128" i="45"/>
  <c r="H131" i="43"/>
  <c r="AF189" i="45"/>
  <c r="AF95"/>
  <c r="H98" i="43"/>
  <c r="AF147" i="45"/>
  <c r="H150" i="43"/>
  <c r="AF159" i="45"/>
  <c r="H162" i="43"/>
  <c r="AF332" i="45"/>
  <c r="K335" i="43"/>
  <c r="AF292" i="45"/>
  <c r="K295" i="43"/>
  <c r="W295" s="1"/>
  <c r="AF181" i="45"/>
  <c r="AF320"/>
  <c r="K323" i="43"/>
  <c r="AF311" i="45"/>
  <c r="K314" i="43"/>
  <c r="AF291" i="45"/>
  <c r="K294" i="43"/>
  <c r="W294" s="1"/>
  <c r="AF85" i="45"/>
  <c r="H88" i="43"/>
  <c r="AF247" i="45"/>
  <c r="H250" i="43"/>
  <c r="AF244" i="45"/>
  <c r="H247" i="43"/>
  <c r="AF176" i="45"/>
  <c r="AF201"/>
  <c r="AF106"/>
  <c r="H109" i="43"/>
  <c r="AF127" i="45"/>
  <c r="H130" i="43"/>
  <c r="AF114" i="45"/>
  <c r="H117" i="43"/>
  <c r="AF360" i="45"/>
  <c r="K363" i="43"/>
  <c r="AF370" i="45"/>
  <c r="K373" i="43"/>
  <c r="BI82" i="24"/>
  <c r="BI185"/>
  <c r="BI79"/>
  <c r="BI83"/>
  <c r="AF230" i="45"/>
  <c r="H233" i="43"/>
  <c r="AF228" i="45"/>
  <c r="H231" i="43"/>
  <c r="AF226" i="45"/>
  <c r="AF224"/>
  <c r="AF223"/>
  <c r="AF222"/>
  <c r="AF221"/>
  <c r="AF220"/>
  <c r="AF217"/>
  <c r="AF215"/>
  <c r="AF213"/>
  <c r="M203" i="43"/>
  <c r="N203" s="1"/>
  <c r="J15" i="49"/>
  <c r="I14"/>
  <c r="J14"/>
  <c r="I15"/>
  <c r="O187" i="24"/>
  <c r="AD307"/>
  <c r="AE307"/>
  <c r="AE184"/>
  <c r="AD129"/>
  <c r="AE129"/>
  <c r="AE225"/>
  <c r="AD225"/>
  <c r="AD209"/>
  <c r="AE209"/>
  <c r="AE119"/>
  <c r="AD119"/>
  <c r="AD139"/>
  <c r="AE139"/>
  <c r="BK22"/>
  <c r="AE176"/>
  <c r="AF17" i="45"/>
  <c r="M20" i="43"/>
  <c r="N20" s="1"/>
  <c r="FP20" s="1"/>
  <c r="AF16" i="45"/>
  <c r="M19" i="43"/>
  <c r="N19" s="1"/>
  <c r="FP19" s="1"/>
  <c r="AF38" i="45"/>
  <c r="AF25"/>
  <c r="AF33"/>
  <c r="AF293"/>
  <c r="M296" i="43"/>
  <c r="N296" s="1"/>
  <c r="AF272" i="45"/>
  <c r="AF149"/>
  <c r="AF168"/>
  <c r="M171" i="43"/>
  <c r="N171" s="1"/>
  <c r="AF321" i="45"/>
  <c r="AF180"/>
  <c r="AF261"/>
  <c r="M264" i="43"/>
  <c r="N264" s="1"/>
  <c r="AF157" i="45"/>
  <c r="M160" i="43"/>
  <c r="N160" s="1"/>
  <c r="AF219" i="45"/>
  <c r="AF112"/>
  <c r="M115" i="43"/>
  <c r="N115" s="1"/>
  <c r="AF211" i="45"/>
  <c r="AF81"/>
  <c r="AF347"/>
  <c r="AF371"/>
  <c r="AF264"/>
  <c r="M267" i="43"/>
  <c r="N267" s="1"/>
  <c r="AF302" i="45"/>
  <c r="AF218"/>
  <c r="AF238"/>
  <c r="M241" i="43"/>
  <c r="AF343" i="45"/>
  <c r="M346" i="43"/>
  <c r="N346" s="1"/>
  <c r="AF192" i="45"/>
  <c r="M195" i="43"/>
  <c r="N195" s="1"/>
  <c r="AF308" i="45"/>
  <c r="M311" i="43"/>
  <c r="N311" s="1"/>
  <c r="AF56" i="45"/>
  <c r="M59" i="43"/>
  <c r="N59" s="1"/>
  <c r="AF206" i="45"/>
  <c r="AF101"/>
  <c r="M104" i="43"/>
  <c r="N104" s="1"/>
  <c r="AF60" i="45"/>
  <c r="AF187"/>
  <c r="AF246"/>
  <c r="AF286"/>
  <c r="M289" i="43"/>
  <c r="N289" s="1"/>
  <c r="AF251" i="45"/>
  <c r="AF82"/>
  <c r="AF373"/>
  <c r="AF350"/>
  <c r="M353" i="43"/>
  <c r="N353" s="1"/>
  <c r="AF96" i="45"/>
  <c r="AF283"/>
  <c r="M286" i="43"/>
  <c r="N286" s="1"/>
  <c r="AF212" i="45"/>
  <c r="M215" i="43"/>
  <c r="N215" s="1"/>
  <c r="AF46" i="45"/>
  <c r="AF358"/>
  <c r="AF45"/>
  <c r="M48" i="43"/>
  <c r="N48" s="1"/>
  <c r="FP48" s="1"/>
  <c r="AF182" i="45"/>
  <c r="M185" i="43"/>
  <c r="N185" s="1"/>
  <c r="AF361" i="45"/>
  <c r="AF354"/>
  <c r="M357" i="43"/>
  <c r="N357" s="1"/>
  <c r="AF119" i="45"/>
  <c r="AF277"/>
  <c r="M280" i="43"/>
  <c r="AF141" i="45"/>
  <c r="AF288"/>
  <c r="M291" i="43"/>
  <c r="N291" s="1"/>
  <c r="AF86" i="45"/>
  <c r="AF239"/>
  <c r="AF196"/>
  <c r="M199" i="43"/>
  <c r="N199" s="1"/>
  <c r="AF156" i="45"/>
  <c r="AF290"/>
  <c r="M293" i="43"/>
  <c r="N293" s="1"/>
  <c r="AF121" i="45"/>
  <c r="M124" i="43"/>
  <c r="N124" s="1"/>
  <c r="AF167" i="45"/>
  <c r="AF315"/>
  <c r="M318" i="43"/>
  <c r="N318" s="1"/>
  <c r="AF323" i="45"/>
  <c r="M326" i="43"/>
  <c r="N326" s="1"/>
  <c r="AF209" i="45"/>
  <c r="M212" i="43"/>
  <c r="N212" s="1"/>
  <c r="AF125" i="45"/>
  <c r="AF353"/>
  <c r="M356" i="43"/>
  <c r="N356" s="1"/>
  <c r="AF306" i="45"/>
  <c r="M309" i="43"/>
  <c r="N309" s="1"/>
  <c r="AF231" i="45"/>
  <c r="AF120"/>
  <c r="AF297"/>
  <c r="M300" i="43"/>
  <c r="N300" s="1"/>
  <c r="AF64" i="45"/>
  <c r="M67" i="43"/>
  <c r="N67" s="1"/>
  <c r="AF41" i="45"/>
  <c r="AF77"/>
  <c r="M80" i="43"/>
  <c r="N80" s="1"/>
  <c r="FP80" s="1"/>
  <c r="AF250" i="45"/>
  <c r="AF376"/>
  <c r="AF362"/>
  <c r="M365" i="43"/>
  <c r="AF364" i="45"/>
  <c r="M367" i="43"/>
  <c r="AE331" i="24"/>
  <c r="AD331"/>
  <c r="AD145"/>
  <c r="AE145"/>
  <c r="AE255"/>
  <c r="AD255"/>
  <c r="AE200"/>
  <c r="AD200"/>
  <c r="BK26"/>
  <c r="AE97"/>
  <c r="AD97"/>
  <c r="L61" i="35"/>
  <c r="T376" i="43"/>
  <c r="T367"/>
  <c r="T373"/>
  <c r="T370"/>
  <c r="T365"/>
  <c r="T363"/>
  <c r="T364"/>
  <c r="T361"/>
  <c r="T381"/>
  <c r="T374"/>
  <c r="T379"/>
  <c r="AF36" i="45"/>
  <c r="AF171"/>
  <c r="M174" i="43"/>
  <c r="N174" s="1"/>
  <c r="AF151" i="45"/>
  <c r="AF205"/>
  <c r="M208" i="43"/>
  <c r="N208" s="1"/>
  <c r="AF103" i="45"/>
  <c r="M106" i="43"/>
  <c r="N106" s="1"/>
  <c r="AF130" i="45"/>
  <c r="AF164"/>
  <c r="AF68"/>
  <c r="AF216"/>
  <c r="M219" i="43"/>
  <c r="N219" s="1"/>
  <c r="AF57" i="45"/>
  <c r="AF148"/>
  <c r="AF185"/>
  <c r="AF144"/>
  <c r="AF48"/>
  <c r="M51" i="43"/>
  <c r="N51" s="1"/>
  <c r="FP51" s="1"/>
  <c r="AF153" i="45"/>
  <c r="AF210"/>
  <c r="AF339"/>
  <c r="AF341"/>
  <c r="AF197"/>
  <c r="AF346"/>
  <c r="AF300"/>
  <c r="AF324"/>
  <c r="AF208"/>
  <c r="AF87"/>
  <c r="AF138"/>
  <c r="AF113"/>
  <c r="M116" i="43"/>
  <c r="AF166" i="45"/>
  <c r="M169" i="43"/>
  <c r="N169" s="1"/>
  <c r="AF273" i="45"/>
  <c r="AF110"/>
  <c r="AF76"/>
  <c r="AF372"/>
  <c r="M375" i="43"/>
  <c r="N375" s="1"/>
  <c r="AE221" i="24"/>
  <c r="AD221"/>
  <c r="AE192"/>
  <c r="AD192"/>
  <c r="C11" i="44"/>
  <c r="BK18" i="24"/>
  <c r="AD323"/>
  <c r="AE123"/>
  <c r="AD75"/>
  <c r="AE347"/>
  <c r="AD207"/>
  <c r="AD301"/>
  <c r="M25" i="43"/>
  <c r="N25" s="1"/>
  <c r="FP25" s="1"/>
  <c r="M35"/>
  <c r="N35" s="1"/>
  <c r="FP35" s="1"/>
  <c r="M129"/>
  <c r="N129" s="1"/>
  <c r="M60"/>
  <c r="N60" s="1"/>
  <c r="M70"/>
  <c r="N70" s="1"/>
  <c r="M90"/>
  <c r="N90" s="1"/>
  <c r="M147"/>
  <c r="N147" s="1"/>
  <c r="M167"/>
  <c r="N167" s="1"/>
  <c r="M180"/>
  <c r="N180" s="1"/>
  <c r="M201"/>
  <c r="N201" s="1"/>
  <c r="M360"/>
  <c r="M342"/>
  <c r="N342" s="1"/>
  <c r="M95"/>
  <c r="N95" s="1"/>
  <c r="M154"/>
  <c r="N154" s="1"/>
  <c r="M213"/>
  <c r="N213" s="1"/>
  <c r="M245"/>
  <c r="M327"/>
  <c r="AD64" i="24"/>
  <c r="T20" i="44"/>
  <c r="S20"/>
  <c r="AE101" i="24"/>
  <c r="AE175"/>
  <c r="AF34" i="45"/>
  <c r="AF154"/>
  <c r="M157" i="43"/>
  <c r="N157" s="1"/>
  <c r="AF140" i="45"/>
  <c r="AF100"/>
  <c r="M103" i="43"/>
  <c r="N103" s="1"/>
  <c r="AF229" i="45"/>
  <c r="M232" i="43"/>
  <c r="N232" s="1"/>
  <c r="AF179" i="45"/>
  <c r="M182" i="43"/>
  <c r="N182" s="1"/>
  <c r="AF75" i="45"/>
  <c r="M78" i="43"/>
  <c r="N78" s="1"/>
  <c r="AF117" i="45"/>
  <c r="M120" i="43"/>
  <c r="N120" s="1"/>
  <c r="AF334" i="45"/>
  <c r="M337" i="43"/>
  <c r="N337" s="1"/>
  <c r="FP337" s="1"/>
  <c r="AF374" i="45"/>
  <c r="AF349"/>
  <c r="M352" i="43"/>
  <c r="N352" s="1"/>
  <c r="AF249" i="45"/>
  <c r="M252" i="43"/>
  <c r="AF59" i="45"/>
  <c r="M62" i="43"/>
  <c r="N62" s="1"/>
  <c r="AF307" i="45"/>
  <c r="M310" i="43"/>
  <c r="N310" s="1"/>
  <c r="AF123" i="45"/>
  <c r="M126" i="43"/>
  <c r="N126" s="1"/>
  <c r="AF207" i="45"/>
  <c r="M210" i="43"/>
  <c r="N210" s="1"/>
  <c r="AF137" i="45"/>
  <c r="M140" i="43"/>
  <c r="N140" s="1"/>
  <c r="AF281" i="45"/>
  <c r="M284" i="43"/>
  <c r="N284" s="1"/>
  <c r="AF276" i="45"/>
  <c r="M279" i="43"/>
  <c r="N279" s="1"/>
  <c r="AF186" i="45"/>
  <c r="M189" i="43"/>
  <c r="N189" s="1"/>
  <c r="AF303" i="45"/>
  <c r="M306" i="43"/>
  <c r="N306" s="1"/>
  <c r="AF309" i="45"/>
  <c r="M312" i="43"/>
  <c r="N312" s="1"/>
  <c r="FP312" s="1"/>
  <c r="AF356" i="45"/>
  <c r="M359" i="43"/>
  <c r="AF80" i="45"/>
  <c r="AE287" i="24"/>
  <c r="EI12" i="43"/>
  <c r="BI184" i="24"/>
  <c r="BI166"/>
  <c r="BI151"/>
  <c r="BI49"/>
  <c r="BI143"/>
  <c r="BI196"/>
  <c r="BI164"/>
  <c r="BI139"/>
  <c r="BI145"/>
  <c r="BI43"/>
  <c r="BK34"/>
  <c r="AD85"/>
  <c r="D20" i="44"/>
  <c r="H20"/>
  <c r="L20"/>
  <c r="L22" s="1"/>
  <c r="L24" s="1"/>
  <c r="J20"/>
  <c r="P20"/>
  <c r="AF322" i="45"/>
  <c r="M325" i="43"/>
  <c r="N325" s="1"/>
  <c r="AF214" i="45"/>
  <c r="M217" i="43"/>
  <c r="N217" s="1"/>
  <c r="AF160" i="45"/>
  <c r="M163" i="43"/>
  <c r="N163" s="1"/>
  <c r="AF193" i="45"/>
  <c r="AF296"/>
  <c r="AF203"/>
  <c r="M206" i="43"/>
  <c r="N206" s="1"/>
  <c r="AF71" i="45"/>
  <c r="AF325"/>
  <c r="AF174"/>
  <c r="M177" i="43"/>
  <c r="N177" s="1"/>
  <c r="AF204" i="45"/>
  <c r="AF69"/>
  <c r="M72" i="43"/>
  <c r="N72" s="1"/>
  <c r="AF363" i="45"/>
  <c r="AF79"/>
  <c r="AF194"/>
  <c r="AF267"/>
  <c r="AF265"/>
  <c r="M268" i="43"/>
  <c r="N268" s="1"/>
  <c r="AF227" i="45"/>
  <c r="M230" i="43"/>
  <c r="N230" s="1"/>
  <c r="FP230" s="1"/>
  <c r="AF143" i="45"/>
  <c r="M146" i="43"/>
  <c r="N146" s="1"/>
  <c r="AF355" i="45"/>
  <c r="M358" i="43"/>
  <c r="N358" s="1"/>
  <c r="AF225" i="45"/>
  <c r="M228" i="43"/>
  <c r="N228" s="1"/>
  <c r="AF118" i="45"/>
  <c r="AE363" i="24"/>
  <c r="AD363"/>
  <c r="AD133"/>
  <c r="AE133"/>
  <c r="S11" i="45"/>
  <c r="AE66" i="24"/>
  <c r="AE48"/>
  <c r="AE371"/>
  <c r="M31" i="43"/>
  <c r="N31" s="1"/>
  <c r="FP31" s="1"/>
  <c r="M340"/>
  <c r="N340" s="1"/>
  <c r="M200"/>
  <c r="N200" s="1"/>
  <c r="M274"/>
  <c r="N274" s="1"/>
  <c r="M56"/>
  <c r="N56" s="1"/>
  <c r="M74"/>
  <c r="N74" s="1"/>
  <c r="M132"/>
  <c r="N132" s="1"/>
  <c r="M135"/>
  <c r="N135" s="1"/>
  <c r="M263"/>
  <c r="N263" s="1"/>
  <c r="M269"/>
  <c r="N269" s="1"/>
  <c r="M328"/>
  <c r="N328" s="1"/>
  <c r="M47"/>
  <c r="N47" s="1"/>
  <c r="M79"/>
  <c r="N79" s="1"/>
  <c r="FP79" s="1"/>
  <c r="M101"/>
  <c r="N101" s="1"/>
  <c r="M141"/>
  <c r="N141" s="1"/>
  <c r="FP141" s="1"/>
  <c r="M316"/>
  <c r="N316" s="1"/>
  <c r="M299"/>
  <c r="N299" s="1"/>
  <c r="M349"/>
  <c r="N349" s="1"/>
  <c r="Q20" i="44"/>
  <c r="U20"/>
  <c r="B20"/>
  <c r="AE251" i="24"/>
  <c r="S8" i="45"/>
  <c r="M39" i="43"/>
  <c r="N39" s="1"/>
  <c r="FP39" s="1"/>
  <c r="M236"/>
  <c r="N236" s="1"/>
  <c r="M191"/>
  <c r="N191" s="1"/>
  <c r="M276"/>
  <c r="N276" s="1"/>
  <c r="M82"/>
  <c r="N82" s="1"/>
  <c r="FP82" s="1"/>
  <c r="M121"/>
  <c r="N121" s="1"/>
  <c r="M151"/>
  <c r="N151" s="1"/>
  <c r="FP151" s="1"/>
  <c r="M181"/>
  <c r="N181" s="1"/>
  <c r="M194"/>
  <c r="N194" s="1"/>
  <c r="M303"/>
  <c r="N303" s="1"/>
  <c r="M345"/>
  <c r="N345" s="1"/>
  <c r="M240"/>
  <c r="N240" s="1"/>
  <c r="FP240" s="1"/>
  <c r="M55"/>
  <c r="N55" s="1"/>
  <c r="M156"/>
  <c r="M188"/>
  <c r="N188" s="1"/>
  <c r="M368"/>
  <c r="AE315" i="24"/>
  <c r="AE277"/>
  <c r="E20" i="44"/>
  <c r="BI193" i="24"/>
  <c r="BI159"/>
  <c r="BI91"/>
  <c r="BI94"/>
  <c r="BI41"/>
  <c r="BI34"/>
  <c r="AD111"/>
  <c r="D9" i="30"/>
  <c r="BI176" i="24"/>
  <c r="BI51"/>
  <c r="BI141"/>
  <c r="BI149"/>
  <c r="BI155"/>
  <c r="BI88"/>
  <c r="BI161"/>
  <c r="BI47"/>
  <c r="AE111"/>
  <c r="Q12" i="44"/>
  <c r="Q11"/>
  <c r="AE85" i="24"/>
  <c r="Q10" i="44"/>
  <c r="M97" i="43"/>
  <c r="N97" s="1"/>
  <c r="BI15" i="24"/>
  <c r="EI10" i="43"/>
  <c r="N22"/>
  <c r="FP22" s="1"/>
  <c r="BI11" i="24"/>
  <c r="BI216"/>
  <c r="BI197"/>
  <c r="BI142"/>
  <c r="BI17"/>
  <c r="BI14"/>
  <c r="BI191"/>
  <c r="EI9" i="43"/>
  <c r="T12" i="24"/>
  <c r="V12" s="1"/>
  <c r="BK36"/>
  <c r="BI208"/>
  <c r="BI378"/>
  <c r="BI376"/>
  <c r="BI374"/>
  <c r="BI372"/>
  <c r="BI370"/>
  <c r="BI368"/>
  <c r="BI364"/>
  <c r="BI360"/>
  <c r="BI358"/>
  <c r="BI356"/>
  <c r="BI354"/>
  <c r="BI352"/>
  <c r="BI350"/>
  <c r="BI346"/>
  <c r="BI344"/>
  <c r="BI342"/>
  <c r="BI340"/>
  <c r="BI338"/>
  <c r="BI336"/>
  <c r="BI332"/>
  <c r="BI328"/>
  <c r="BI326"/>
  <c r="BI324"/>
  <c r="BI322"/>
  <c r="BI320"/>
  <c r="BI318"/>
  <c r="BI314"/>
  <c r="BI312"/>
  <c r="BI310"/>
  <c r="BI207"/>
  <c r="BI194"/>
  <c r="BI173"/>
  <c r="BI137"/>
  <c r="BI135"/>
  <c r="BI133"/>
  <c r="BI131"/>
  <c r="BI129"/>
  <c r="BI125"/>
  <c r="BI123"/>
  <c r="BI121"/>
  <c r="BI119"/>
  <c r="BI111"/>
  <c r="BI107"/>
  <c r="BI105"/>
  <c r="BI103"/>
  <c r="BI101"/>
  <c r="BI99"/>
  <c r="BI97"/>
  <c r="BK29"/>
  <c r="BK21"/>
  <c r="BK33"/>
  <c r="BK31"/>
  <c r="BK27"/>
  <c r="BK28"/>
  <c r="BK24"/>
  <c r="BK20"/>
  <c r="BK41"/>
  <c r="BI29"/>
  <c r="BI27"/>
  <c r="BI25"/>
  <c r="BI23"/>
  <c r="BI21"/>
  <c r="BI19"/>
  <c r="M66" i="43"/>
  <c r="N66" s="1"/>
  <c r="M65"/>
  <c r="N65" s="1"/>
  <c r="T15" i="24"/>
  <c r="V15" s="1"/>
  <c r="EI15" i="43"/>
  <c r="EJ14"/>
  <c r="AC14" i="24"/>
  <c r="EJ342" i="43"/>
  <c r="AC342" i="24"/>
  <c r="AD342"/>
  <c r="AE342"/>
  <c r="EJ259" i="43"/>
  <c r="AC259" i="24"/>
  <c r="EJ237" i="43"/>
  <c r="AC237" i="24"/>
  <c r="EJ364" i="43"/>
  <c r="AC364" i="24"/>
  <c r="AD364"/>
  <c r="AE364"/>
  <c r="T358"/>
  <c r="V358" s="1"/>
  <c r="EI358" i="43"/>
  <c r="BK358" i="24"/>
  <c r="EJ332" i="43"/>
  <c r="AC332" i="24"/>
  <c r="AD332"/>
  <c r="AE332"/>
  <c r="T326"/>
  <c r="V326" s="1"/>
  <c r="EI326" i="43"/>
  <c r="BK326" i="24"/>
  <c r="T277"/>
  <c r="V277" s="1"/>
  <c r="BP277" s="1"/>
  <c r="EI277" i="43"/>
  <c r="BK277" i="24"/>
  <c r="T255"/>
  <c r="V255" s="1"/>
  <c r="BP255" s="1"/>
  <c r="EI255" i="43"/>
  <c r="BK255" i="24"/>
  <c r="T40"/>
  <c r="V40" s="1"/>
  <c r="EI40" i="43"/>
  <c r="EJ374"/>
  <c r="AC374" i="24"/>
  <c r="AE374"/>
  <c r="AD374"/>
  <c r="EI360" i="43"/>
  <c r="T360" i="24"/>
  <c r="V360" s="1"/>
  <c r="BK360"/>
  <c r="EJ350" i="43"/>
  <c r="AC350" i="24"/>
  <c r="AE350"/>
  <c r="AD350"/>
  <c r="AC318"/>
  <c r="EJ318" i="43"/>
  <c r="AD318" i="24"/>
  <c r="AE318"/>
  <c r="EJ275" i="43"/>
  <c r="AC275" i="24"/>
  <c r="AD275"/>
  <c r="AE275"/>
  <c r="EJ378" i="43"/>
  <c r="AC378" i="24"/>
  <c r="AD378"/>
  <c r="AE378"/>
  <c r="EI372" i="43"/>
  <c r="T372" i="24"/>
  <c r="V372" s="1"/>
  <c r="BK372"/>
  <c r="EJ346" i="43"/>
  <c r="AC346" i="24"/>
  <c r="AD346"/>
  <c r="AE346"/>
  <c r="T340"/>
  <c r="V340" s="1"/>
  <c r="EI340" i="43"/>
  <c r="BK340" i="24"/>
  <c r="AC314"/>
  <c r="EJ314" i="43"/>
  <c r="AD314" i="24"/>
  <c r="AE314"/>
  <c r="EJ293" i="43"/>
  <c r="AC293" i="24"/>
  <c r="EJ267" i="43"/>
  <c r="AC267" i="24"/>
  <c r="EJ229" i="43"/>
  <c r="AC229" i="24"/>
  <c r="EJ360" i="43"/>
  <c r="AC360" i="24"/>
  <c r="AD360"/>
  <c r="AE360"/>
  <c r="T354"/>
  <c r="V354" s="1"/>
  <c r="EI354" i="43"/>
  <c r="BK354" i="24"/>
  <c r="EJ328" i="43"/>
  <c r="AC328" i="24"/>
  <c r="AD328"/>
  <c r="AE328"/>
  <c r="T322"/>
  <c r="V322" s="1"/>
  <c r="EI322" i="43"/>
  <c r="BK322" i="24"/>
  <c r="T301"/>
  <c r="V301" s="1"/>
  <c r="EI301" i="43"/>
  <c r="BK301" i="24"/>
  <c r="T279"/>
  <c r="V279" s="1"/>
  <c r="BP279" s="1"/>
  <c r="EI279" i="43"/>
  <c r="BK279" i="24"/>
  <c r="T237"/>
  <c r="V237" s="1"/>
  <c r="EI237" i="43"/>
  <c r="BK237" i="24"/>
  <c r="T198"/>
  <c r="V198" s="1"/>
  <c r="EI198" i="43"/>
  <c r="BK198" i="24"/>
  <c r="EI187" i="43"/>
  <c r="T187" i="24"/>
  <c r="V187" s="1"/>
  <c r="BP187" s="1"/>
  <c r="BK187"/>
  <c r="EJ99" i="43"/>
  <c r="AC99" i="24"/>
  <c r="EJ90" i="43"/>
  <c r="AC90" i="24"/>
  <c r="AD90"/>
  <c r="AE90"/>
  <c r="EJ81" i="43"/>
  <c r="AC81" i="24"/>
  <c r="EJ381" i="43"/>
  <c r="AC381" i="24"/>
  <c r="AE381"/>
  <c r="AD381"/>
  <c r="EJ373" i="43"/>
  <c r="AC373" i="24"/>
  <c r="AE373"/>
  <c r="AD373"/>
  <c r="EJ365" i="43"/>
  <c r="AC365" i="24"/>
  <c r="AD365"/>
  <c r="AE365"/>
  <c r="EJ357" i="43"/>
  <c r="AC357" i="24"/>
  <c r="EJ349" i="43"/>
  <c r="AC349" i="24"/>
  <c r="AE349"/>
  <c r="EJ341" i="43"/>
  <c r="AC341" i="24"/>
  <c r="EJ333" i="43"/>
  <c r="AC333" i="24"/>
  <c r="EJ325" i="43"/>
  <c r="AC325" i="24"/>
  <c r="AD325"/>
  <c r="AE325"/>
  <c r="EJ317" i="43"/>
  <c r="AC317" i="24"/>
  <c r="AE317"/>
  <c r="AD317"/>
  <c r="EJ297" i="43"/>
  <c r="AC297" i="24"/>
  <c r="T291"/>
  <c r="V291" s="1"/>
  <c r="BP291" s="1"/>
  <c r="EI291" i="43"/>
  <c r="BK291" i="24"/>
  <c r="EJ265" i="43"/>
  <c r="AC265" i="24"/>
  <c r="AD265"/>
  <c r="AE265"/>
  <c r="T259"/>
  <c r="V259" s="1"/>
  <c r="BP259" s="1"/>
  <c r="EI259" i="43"/>
  <c r="BK259" i="24"/>
  <c r="EJ233" i="43"/>
  <c r="AC233" i="24"/>
  <c r="T227"/>
  <c r="V227" s="1"/>
  <c r="EI227" i="43"/>
  <c r="BK227" i="24"/>
  <c r="EI206" i="43"/>
  <c r="T206" i="24"/>
  <c r="V206" s="1"/>
  <c r="BK206"/>
  <c r="EJ203" i="43"/>
  <c r="AC203" i="24"/>
  <c r="AE203"/>
  <c r="AD203"/>
  <c r="AC197"/>
  <c r="EJ197" i="43"/>
  <c r="AE197" i="24"/>
  <c r="AD197"/>
  <c r="T164"/>
  <c r="V164" s="1"/>
  <c r="BP164" s="1"/>
  <c r="EI164" i="43"/>
  <c r="BK164" i="24"/>
  <c r="EJ161" i="43"/>
  <c r="AC161" i="24"/>
  <c r="T156"/>
  <c r="V156" s="1"/>
  <c r="BP156" s="1"/>
  <c r="EI156" i="43"/>
  <c r="BK156" i="24"/>
  <c r="T38"/>
  <c r="V38" s="1"/>
  <c r="EI38" i="43"/>
  <c r="BI380" i="24"/>
  <c r="BI366"/>
  <c r="BI362"/>
  <c r="BI348"/>
  <c r="BI334"/>
  <c r="BI330"/>
  <c r="BI316"/>
  <c r="EJ309" i="43"/>
  <c r="AC309" i="24"/>
  <c r="EJ295" i="43"/>
  <c r="AC295" i="24"/>
  <c r="T289"/>
  <c r="V289" s="1"/>
  <c r="BP289" s="1"/>
  <c r="EI289" i="43"/>
  <c r="BK289" i="24"/>
  <c r="EJ263" i="43"/>
  <c r="AC263" i="24"/>
  <c r="EI257" i="43"/>
  <c r="T257" i="24"/>
  <c r="V257" s="1"/>
  <c r="BP257" s="1"/>
  <c r="BK257"/>
  <c r="EJ231" i="43"/>
  <c r="AC231" i="24"/>
  <c r="T225"/>
  <c r="V225" s="1"/>
  <c r="EI225" i="43"/>
  <c r="BK225" i="24"/>
  <c r="T217"/>
  <c r="V217" s="1"/>
  <c r="EI217" i="43"/>
  <c r="BK217" i="24"/>
  <c r="T195"/>
  <c r="V195" s="1"/>
  <c r="EI195" i="43"/>
  <c r="BK195" i="24"/>
  <c r="EJ121" i="43"/>
  <c r="AC121" i="24"/>
  <c r="EJ47" i="43"/>
  <c r="AC47" i="24"/>
  <c r="AE47"/>
  <c r="AD47"/>
  <c r="AC21"/>
  <c r="EJ21" i="43"/>
  <c r="AC306" i="24"/>
  <c r="EJ306" i="43"/>
  <c r="AE306" i="24"/>
  <c r="AD306"/>
  <c r="AC298"/>
  <c r="EJ298" i="43"/>
  <c r="AD298" i="24"/>
  <c r="AE298"/>
  <c r="EJ290" i="43"/>
  <c r="AC290" i="24"/>
  <c r="AE290"/>
  <c r="AD290"/>
  <c r="EJ282" i="43"/>
  <c r="AC282" i="24"/>
  <c r="AD282"/>
  <c r="AE282"/>
  <c r="EJ274" i="43"/>
  <c r="AC274" i="24"/>
  <c r="EJ266" i="43"/>
  <c r="AC266" i="24"/>
  <c r="EJ258" i="43"/>
  <c r="AC258" i="24"/>
  <c r="EJ250" i="43"/>
  <c r="AC250" i="24"/>
  <c r="AD250"/>
  <c r="AE250"/>
  <c r="EJ242" i="43"/>
  <c r="AC242" i="24"/>
  <c r="AE242"/>
  <c r="AD242"/>
  <c r="EJ234" i="43"/>
  <c r="AC234" i="24"/>
  <c r="AE234"/>
  <c r="AD234"/>
  <c r="EJ226" i="43"/>
  <c r="AC226" i="24"/>
  <c r="AE226"/>
  <c r="AD226"/>
  <c r="T223"/>
  <c r="V223" s="1"/>
  <c r="EI223" i="43"/>
  <c r="BK223" i="24"/>
  <c r="AC217"/>
  <c r="EJ217" i="43"/>
  <c r="T202" i="24"/>
  <c r="V202" s="1"/>
  <c r="EI202" i="43"/>
  <c r="BK202" i="24"/>
  <c r="EI191" i="43"/>
  <c r="T191" i="24"/>
  <c r="V191" s="1"/>
  <c r="BK191"/>
  <c r="EJ185" i="43"/>
  <c r="AC185" i="24"/>
  <c r="AD185"/>
  <c r="AE185"/>
  <c r="BI175"/>
  <c r="T170"/>
  <c r="V170" s="1"/>
  <c r="EI170" i="43"/>
  <c r="BK170" i="24"/>
  <c r="T152"/>
  <c r="V152" s="1"/>
  <c r="EI152" i="43"/>
  <c r="BK152" i="24"/>
  <c r="AC141"/>
  <c r="EJ141" i="43"/>
  <c r="EJ127"/>
  <c r="AC127" i="24"/>
  <c r="AE127"/>
  <c r="AD127"/>
  <c r="EJ95" i="43"/>
  <c r="AC95" i="24"/>
  <c r="T76"/>
  <c r="V76" s="1"/>
  <c r="EI76" i="43"/>
  <c r="BK76" i="24"/>
  <c r="T221"/>
  <c r="V221" s="1"/>
  <c r="EI221" i="43"/>
  <c r="BK221" i="24"/>
  <c r="AC215"/>
  <c r="EJ215" i="43"/>
  <c r="BI205" i="24"/>
  <c r="T200"/>
  <c r="V200" s="1"/>
  <c r="BP200" s="1"/>
  <c r="EI200" i="43"/>
  <c r="BK200" i="24"/>
  <c r="EI189" i="43"/>
  <c r="T189" i="24"/>
  <c r="V189" s="1"/>
  <c r="BK189"/>
  <c r="EJ183" i="43"/>
  <c r="AC183" i="24"/>
  <c r="AD183"/>
  <c r="AE183"/>
  <c r="T168"/>
  <c r="V168" s="1"/>
  <c r="EI168" i="43"/>
  <c r="BK168" i="24"/>
  <c r="EI158" i="43"/>
  <c r="T158" i="24"/>
  <c r="V158" s="1"/>
  <c r="BK158"/>
  <c r="EJ147" i="43"/>
  <c r="AC147" i="24"/>
  <c r="AE147"/>
  <c r="AD147"/>
  <c r="EJ109" i="43"/>
  <c r="AC109" i="24"/>
  <c r="T77"/>
  <c r="V77" s="1"/>
  <c r="EI77" i="43"/>
  <c r="BK77" i="24"/>
  <c r="EJ68" i="43"/>
  <c r="AC68" i="24"/>
  <c r="AD68"/>
  <c r="AE68"/>
  <c r="AC52"/>
  <c r="EJ52" i="43"/>
  <c r="AD52" i="24"/>
  <c r="AE52"/>
  <c r="T95"/>
  <c r="V95" s="1"/>
  <c r="BP95" s="1"/>
  <c r="EI95" i="43"/>
  <c r="BK95" i="24"/>
  <c r="T84"/>
  <c r="V84" s="1"/>
  <c r="BP84" s="1"/>
  <c r="EI84" i="43"/>
  <c r="BK84" i="24"/>
  <c r="T81"/>
  <c r="V81" s="1"/>
  <c r="BP81" s="1"/>
  <c r="EI81" i="43"/>
  <c r="BK81" i="24"/>
  <c r="EJ67" i="43"/>
  <c r="AC67" i="24"/>
  <c r="AE67"/>
  <c r="AD67"/>
  <c r="AC59"/>
  <c r="EJ59" i="43"/>
  <c r="EJ51"/>
  <c r="AC51" i="24"/>
  <c r="AD51"/>
  <c r="AE51"/>
  <c r="T25"/>
  <c r="V25" s="1"/>
  <c r="BP25" s="1"/>
  <c r="EI25" i="43"/>
  <c r="T23" i="24"/>
  <c r="V23" s="1"/>
  <c r="BP23" s="1"/>
  <c r="EI23" i="43"/>
  <c r="BK23" i="24"/>
  <c r="EJ218" i="43"/>
  <c r="AC218" i="24"/>
  <c r="AD218"/>
  <c r="AE218"/>
  <c r="EJ210" i="43"/>
  <c r="AC210" i="24"/>
  <c r="AD210"/>
  <c r="AE210"/>
  <c r="EJ202" i="43"/>
  <c r="AC202" i="24"/>
  <c r="EJ194" i="43"/>
  <c r="AC194" i="24"/>
  <c r="AE194"/>
  <c r="AD194"/>
  <c r="EJ186" i="43"/>
  <c r="AC186" i="24"/>
  <c r="AD186"/>
  <c r="AE186"/>
  <c r="EJ178" i="43"/>
  <c r="AC178" i="24"/>
  <c r="AE178"/>
  <c r="AD178"/>
  <c r="EJ170" i="43"/>
  <c r="AC170" i="24"/>
  <c r="AD170"/>
  <c r="AE170"/>
  <c r="EJ162" i="43"/>
  <c r="AC162" i="24"/>
  <c r="AE162"/>
  <c r="AD162"/>
  <c r="EJ154" i="43"/>
  <c r="AC154" i="24"/>
  <c r="AD154"/>
  <c r="AE154"/>
  <c r="AC146"/>
  <c r="EJ146" i="43"/>
  <c r="AD146" i="24"/>
  <c r="AE146"/>
  <c r="AC138"/>
  <c r="EJ138" i="43"/>
  <c r="T137" i="24"/>
  <c r="V137" s="1"/>
  <c r="EI137" i="43"/>
  <c r="BK137" i="24"/>
  <c r="EJ134" i="43"/>
  <c r="AC134" i="24"/>
  <c r="T133"/>
  <c r="V133" s="1"/>
  <c r="EI133" i="43"/>
  <c r="BK133" i="24"/>
  <c r="EJ130" i="43"/>
  <c r="AC130" i="24"/>
  <c r="AD130"/>
  <c r="AE130"/>
  <c r="T129"/>
  <c r="V129" s="1"/>
  <c r="EI129" i="43"/>
  <c r="BK129" i="24"/>
  <c r="EJ126" i="43"/>
  <c r="AC126" i="24"/>
  <c r="T125"/>
  <c r="V125" s="1"/>
  <c r="EI125" i="43"/>
  <c r="BK125" i="24"/>
  <c r="EJ122" i="43"/>
  <c r="AC122" i="24"/>
  <c r="AD122"/>
  <c r="AE122"/>
  <c r="T121"/>
  <c r="V121" s="1"/>
  <c r="EI121" i="43"/>
  <c r="BK121" i="24"/>
  <c r="EJ118" i="43"/>
  <c r="AC118" i="24"/>
  <c r="AD118"/>
  <c r="AE118"/>
  <c r="T117"/>
  <c r="V117" s="1"/>
  <c r="EI117" i="43"/>
  <c r="BK117" i="24"/>
  <c r="EJ114" i="43"/>
  <c r="AC114" i="24"/>
  <c r="AD114"/>
  <c r="AE114"/>
  <c r="T113"/>
  <c r="V113" s="1"/>
  <c r="EI113" i="43"/>
  <c r="BK113" i="24"/>
  <c r="EJ110" i="43"/>
  <c r="AC110" i="24"/>
  <c r="AD110"/>
  <c r="AE110"/>
  <c r="T109"/>
  <c r="V109" s="1"/>
  <c r="EI109" i="43"/>
  <c r="BK109" i="24"/>
  <c r="EJ106" i="43"/>
  <c r="AC106" i="24"/>
  <c r="AE106"/>
  <c r="AD106"/>
  <c r="T105"/>
  <c r="V105" s="1"/>
  <c r="BP105" s="1"/>
  <c r="EI105" i="43"/>
  <c r="BK105" i="24"/>
  <c r="EJ102" i="43"/>
  <c r="AC102" i="24"/>
  <c r="AD102"/>
  <c r="AE102"/>
  <c r="T101"/>
  <c r="V101" s="1"/>
  <c r="BP101" s="1"/>
  <c r="EI101" i="43"/>
  <c r="BK101" i="24"/>
  <c r="EJ98" i="43"/>
  <c r="AC98" i="24"/>
  <c r="AD98"/>
  <c r="AE98"/>
  <c r="T97"/>
  <c r="V97" s="1"/>
  <c r="BP97" s="1"/>
  <c r="EI97" i="43"/>
  <c r="BK97" i="24"/>
  <c r="T90"/>
  <c r="V90" s="1"/>
  <c r="BP90" s="1"/>
  <c r="EI90" i="43"/>
  <c r="BK90" i="24"/>
  <c r="EJ84" i="43"/>
  <c r="AC84" i="24"/>
  <c r="AD84"/>
  <c r="AE84"/>
  <c r="T72"/>
  <c r="V72" s="1"/>
  <c r="EI72" i="43"/>
  <c r="BK72" i="24"/>
  <c r="EJ65" i="43"/>
  <c r="AC65" i="24"/>
  <c r="AC57"/>
  <c r="EJ57" i="43"/>
  <c r="AC25" i="24"/>
  <c r="EJ25" i="43"/>
  <c r="BI127" i="24"/>
  <c r="BI117"/>
  <c r="BI115"/>
  <c r="BI113"/>
  <c r="BI109"/>
  <c r="BI95"/>
  <c r="EJ87" i="43"/>
  <c r="AC87" i="24"/>
  <c r="AD87"/>
  <c r="AE87"/>
  <c r="T83"/>
  <c r="V83" s="1"/>
  <c r="BP83" s="1"/>
  <c r="EI83" i="43"/>
  <c r="BK83" i="24"/>
  <c r="EJ77" i="43"/>
  <c r="AC77" i="24"/>
  <c r="EJ76" i="43"/>
  <c r="AC76" i="24"/>
  <c r="AE76"/>
  <c r="AD76"/>
  <c r="AC46"/>
  <c r="EJ46" i="43"/>
  <c r="AC38" i="24"/>
  <c r="EJ38" i="43"/>
  <c r="AC33" i="24"/>
  <c r="EJ33" i="43"/>
  <c r="AC31" i="24"/>
  <c r="EJ31" i="43"/>
  <c r="EI8"/>
  <c r="AD263" i="24"/>
  <c r="AE217"/>
  <c r="AE77"/>
  <c r="AD126"/>
  <c r="AD237"/>
  <c r="AD229"/>
  <c r="AD46"/>
  <c r="M23" i="43"/>
  <c r="N23" s="1"/>
  <c r="M33"/>
  <c r="N33" s="1"/>
  <c r="M187"/>
  <c r="N187" s="1"/>
  <c r="M258"/>
  <c r="M105"/>
  <c r="N105" s="1"/>
  <c r="M155"/>
  <c r="N155" s="1"/>
  <c r="M260"/>
  <c r="N260" s="1"/>
  <c r="M288"/>
  <c r="N288" s="1"/>
  <c r="M315"/>
  <c r="N315" s="1"/>
  <c r="M292"/>
  <c r="N292" s="1"/>
  <c r="M377"/>
  <c r="M69"/>
  <c r="N69" s="1"/>
  <c r="M143"/>
  <c r="N143" s="1"/>
  <c r="M205"/>
  <c r="N205" s="1"/>
  <c r="M243"/>
  <c r="N243" s="1"/>
  <c r="M334"/>
  <c r="N334" s="1"/>
  <c r="M297"/>
  <c r="N297" s="1"/>
  <c r="M329"/>
  <c r="N329" s="1"/>
  <c r="M362"/>
  <c r="M378"/>
  <c r="M172"/>
  <c r="N172" s="1"/>
  <c r="FP172" s="1"/>
  <c r="AE141" i="24"/>
  <c r="AE121"/>
  <c r="AD109"/>
  <c r="AE134"/>
  <c r="C16" i="44"/>
  <c r="C19"/>
  <c r="C14"/>
  <c r="C12"/>
  <c r="C17"/>
  <c r="AE259" i="24"/>
  <c r="AD121"/>
  <c r="AD141"/>
  <c r="AE161"/>
  <c r="AD65"/>
  <c r="AD134"/>
  <c r="BI12"/>
  <c r="BI13"/>
  <c r="AC12"/>
  <c r="EJ12" i="43"/>
  <c r="EJ11"/>
  <c r="AC11" i="24"/>
  <c r="T16"/>
  <c r="V16" s="1"/>
  <c r="EI16" i="43"/>
  <c r="EI376"/>
  <c r="T376" i="24"/>
  <c r="V376" s="1"/>
  <c r="BK376"/>
  <c r="EJ358" i="43"/>
  <c r="AC358" i="24"/>
  <c r="AD358"/>
  <c r="AE358"/>
  <c r="T320"/>
  <c r="V320" s="1"/>
  <c r="EI320" i="43"/>
  <c r="BK320" i="24"/>
  <c r="AC243"/>
  <c r="EJ243" i="43"/>
  <c r="EJ372"/>
  <c r="AC372" i="24"/>
  <c r="AD372"/>
  <c r="AE372"/>
  <c r="T366"/>
  <c r="V366" s="1"/>
  <c r="EI366" i="43"/>
  <c r="BK366" i="24"/>
  <c r="BI361"/>
  <c r="EJ340" i="43"/>
  <c r="AC340" i="24"/>
  <c r="T334"/>
  <c r="V334" s="1"/>
  <c r="EI334" i="43"/>
  <c r="BK334" i="24"/>
  <c r="BI329"/>
  <c r="T293"/>
  <c r="V293" s="1"/>
  <c r="BP293" s="1"/>
  <c r="EI293" i="43"/>
  <c r="BK293" i="24"/>
  <c r="T271"/>
  <c r="V271" s="1"/>
  <c r="BP271" s="1"/>
  <c r="EI271" i="43"/>
  <c r="BK271" i="24"/>
  <c r="T229"/>
  <c r="V229" s="1"/>
  <c r="EI229" i="43"/>
  <c r="BK229" i="24"/>
  <c r="EJ173" i="43"/>
  <c r="AC173" i="24"/>
  <c r="AE173"/>
  <c r="AD173"/>
  <c r="AC143"/>
  <c r="EJ143" i="43"/>
  <c r="BI347" i="24"/>
  <c r="BI315"/>
  <c r="EJ195" i="43"/>
  <c r="AC195" i="24"/>
  <c r="EI380" i="43"/>
  <c r="T380" i="24"/>
  <c r="V380" s="1"/>
  <c r="BK380"/>
  <c r="BI375"/>
  <c r="EJ354" i="43"/>
  <c r="AC354" i="24"/>
  <c r="AE354"/>
  <c r="AD354"/>
  <c r="EI348" i="43"/>
  <c r="T348" i="24"/>
  <c r="V348" s="1"/>
  <c r="BK348"/>
  <c r="BI343"/>
  <c r="EJ322" i="43"/>
  <c r="AC322" i="24"/>
  <c r="AE322"/>
  <c r="AD322"/>
  <c r="EI316" i="43"/>
  <c r="T316" i="24"/>
  <c r="V316" s="1"/>
  <c r="BK316"/>
  <c r="BI311"/>
  <c r="EJ283" i="43"/>
  <c r="AC283" i="24"/>
  <c r="EJ245" i="43"/>
  <c r="AC245" i="24"/>
  <c r="AD245"/>
  <c r="AE245"/>
  <c r="T182"/>
  <c r="V182" s="1"/>
  <c r="BP182" s="1"/>
  <c r="EI182" i="43"/>
  <c r="BK182" i="24"/>
  <c r="EJ153" i="43"/>
  <c r="AC153" i="24"/>
  <c r="BI355"/>
  <c r="BI339"/>
  <c r="EJ326" i="43"/>
  <c r="AC326" i="24"/>
  <c r="AE326"/>
  <c r="AD326"/>
  <c r="AC310"/>
  <c r="EJ310" i="43"/>
  <c r="AE310" i="24"/>
  <c r="AD310"/>
  <c r="EJ368" i="43"/>
  <c r="AC368" i="24"/>
  <c r="AD368"/>
  <c r="AE368"/>
  <c r="T362"/>
  <c r="V362" s="1"/>
  <c r="EI362" i="43"/>
  <c r="BK362" i="24"/>
  <c r="BI357"/>
  <c r="EJ336" i="43"/>
  <c r="AC336" i="24"/>
  <c r="AD336"/>
  <c r="AE336"/>
  <c r="T330"/>
  <c r="V330" s="1"/>
  <c r="EI330" i="43"/>
  <c r="BK330" i="24"/>
  <c r="BI325"/>
  <c r="T295"/>
  <c r="V295" s="1"/>
  <c r="BP295" s="1"/>
  <c r="EI295" i="43"/>
  <c r="BK295" i="24"/>
  <c r="T253"/>
  <c r="V253" s="1"/>
  <c r="BP253" s="1"/>
  <c r="EI253" i="43"/>
  <c r="BK253" i="24"/>
  <c r="T231"/>
  <c r="V231" s="1"/>
  <c r="EI231" i="43"/>
  <c r="BK231" i="24"/>
  <c r="T203"/>
  <c r="V203" s="1"/>
  <c r="EI203" i="43"/>
  <c r="BK203" i="24"/>
  <c r="EJ115" i="43"/>
  <c r="AC115" i="24"/>
  <c r="EJ97" i="43"/>
  <c r="AC97" i="24"/>
  <c r="T89"/>
  <c r="V89" s="1"/>
  <c r="BP89" s="1"/>
  <c r="EI89" i="43"/>
  <c r="BK89" i="24"/>
  <c r="EJ375" i="43"/>
  <c r="AC375" i="24"/>
  <c r="AE375"/>
  <c r="AD375"/>
  <c r="EJ367" i="43"/>
  <c r="AC367" i="24"/>
  <c r="AD367"/>
  <c r="AE367"/>
  <c r="EJ359" i="43"/>
  <c r="AC359" i="24"/>
  <c r="EJ351" i="43"/>
  <c r="AC351" i="24"/>
  <c r="EJ343" i="43"/>
  <c r="AC343" i="24"/>
  <c r="AD343"/>
  <c r="AE343"/>
  <c r="EJ335" i="43"/>
  <c r="AC335" i="24"/>
  <c r="EJ327" i="43"/>
  <c r="AC327" i="24"/>
  <c r="EJ319" i="43"/>
  <c r="AC319" i="24"/>
  <c r="EJ311" i="43"/>
  <c r="AC311" i="24"/>
  <c r="T309"/>
  <c r="V309" s="1"/>
  <c r="EI309" i="43"/>
  <c r="BK309" i="24"/>
  <c r="EJ305" i="43"/>
  <c r="AC305" i="24"/>
  <c r="AE305"/>
  <c r="AD305"/>
  <c r="T299"/>
  <c r="V299" s="1"/>
  <c r="EI299" i="43"/>
  <c r="BK299" i="24"/>
  <c r="EJ273" i="43"/>
  <c r="AC273" i="24"/>
  <c r="T267"/>
  <c r="V267" s="1"/>
  <c r="BP267" s="1"/>
  <c r="EI267" i="43"/>
  <c r="BK267" i="24"/>
  <c r="EJ241" i="43"/>
  <c r="AC241" i="24"/>
  <c r="AE241"/>
  <c r="AD241"/>
  <c r="T235"/>
  <c r="V235" s="1"/>
  <c r="BP235" s="1"/>
  <c r="EI235" i="43"/>
  <c r="BK235" i="24"/>
  <c r="EI222" i="43"/>
  <c r="T222" i="24"/>
  <c r="V222" s="1"/>
  <c r="BK222"/>
  <c r="AC219"/>
  <c r="EJ219" i="43"/>
  <c r="AC213" i="24"/>
  <c r="EJ213" i="43"/>
  <c r="T180" i="24"/>
  <c r="V180" s="1"/>
  <c r="EI180" i="43"/>
  <c r="BK180" i="24"/>
  <c r="EJ151" i="43"/>
  <c r="AC151" i="24"/>
  <c r="T86"/>
  <c r="V86" s="1"/>
  <c r="BP86" s="1"/>
  <c r="EI86" i="43"/>
  <c r="BK86" i="24"/>
  <c r="T36"/>
  <c r="V36" s="1"/>
  <c r="EI36" i="43"/>
  <c r="BI28" i="24"/>
  <c r="BI203"/>
  <c r="BI187"/>
  <c r="EJ131" i="43"/>
  <c r="AC131" i="24"/>
  <c r="AD131"/>
  <c r="AE131"/>
  <c r="EJ303" i="43"/>
  <c r="AC303" i="24"/>
  <c r="T297"/>
  <c r="V297" s="1"/>
  <c r="EI297" i="43"/>
  <c r="BK297" i="24"/>
  <c r="EJ271" i="43"/>
  <c r="AC271" i="24"/>
  <c r="T265"/>
  <c r="EI265" i="43"/>
  <c r="BK265" i="24"/>
  <c r="EJ239" i="43"/>
  <c r="AC239" i="24"/>
  <c r="T233"/>
  <c r="V233" s="1"/>
  <c r="EI233" i="43"/>
  <c r="BK233" i="24"/>
  <c r="T211"/>
  <c r="V211" s="1"/>
  <c r="EI211" i="43"/>
  <c r="BK211" i="24"/>
  <c r="BI174"/>
  <c r="T169"/>
  <c r="V169" s="1"/>
  <c r="EI169" i="43"/>
  <c r="BK169" i="24"/>
  <c r="BI163"/>
  <c r="AC137"/>
  <c r="EJ137" i="43"/>
  <c r="BI85" i="24"/>
  <c r="BI26"/>
  <c r="AC308"/>
  <c r="EJ308" i="43"/>
  <c r="AE308" i="24"/>
  <c r="AD308"/>
  <c r="AC300"/>
  <c r="EJ300" i="43"/>
  <c r="AE300" i="24"/>
  <c r="AD300"/>
  <c r="EJ292" i="43"/>
  <c r="AC292" i="24"/>
  <c r="AE292"/>
  <c r="AD292"/>
  <c r="EJ284" i="43"/>
  <c r="AC284" i="24"/>
  <c r="AD284"/>
  <c r="AE284"/>
  <c r="EJ276" i="43"/>
  <c r="AC276" i="24"/>
  <c r="EJ268" i="43"/>
  <c r="AC268" i="24"/>
  <c r="AD268"/>
  <c r="AE268"/>
  <c r="EJ260" i="43"/>
  <c r="AC260" i="24"/>
  <c r="AD260"/>
  <c r="AE260"/>
  <c r="EJ252" i="43"/>
  <c r="AC252" i="24"/>
  <c r="AE252"/>
  <c r="AD252"/>
  <c r="EJ244" i="43"/>
  <c r="AC244" i="24"/>
  <c r="AD244"/>
  <c r="AE244"/>
  <c r="EJ236" i="43"/>
  <c r="AC236" i="24"/>
  <c r="AE236"/>
  <c r="AD236"/>
  <c r="EJ228" i="43"/>
  <c r="AC228" i="24"/>
  <c r="AE228"/>
  <c r="AD228"/>
  <c r="BI215"/>
  <c r="EI210" i="43"/>
  <c r="T210" i="24"/>
  <c r="V210" s="1"/>
  <c r="BK210"/>
  <c r="BI204"/>
  <c r="T199"/>
  <c r="V199" s="1"/>
  <c r="EI199" i="43"/>
  <c r="BK199" i="24"/>
  <c r="EJ193" i="43"/>
  <c r="AC193" i="24"/>
  <c r="AE193"/>
  <c r="AD193"/>
  <c r="BI183"/>
  <c r="T178"/>
  <c r="V178" s="1"/>
  <c r="EI178" i="43"/>
  <c r="BK178" i="24"/>
  <c r="BI172"/>
  <c r="T167"/>
  <c r="V167" s="1"/>
  <c r="EI167" i="43"/>
  <c r="BK167" i="24"/>
  <c r="T160"/>
  <c r="V160" s="1"/>
  <c r="EI160" i="43"/>
  <c r="BK160" i="24"/>
  <c r="EJ149" i="43"/>
  <c r="AC149" i="24"/>
  <c r="BI147"/>
  <c r="EJ135" i="43"/>
  <c r="AC135" i="24"/>
  <c r="AD135"/>
  <c r="AE135"/>
  <c r="EJ103" i="43"/>
  <c r="AC103" i="24"/>
  <c r="EJ79" i="43"/>
  <c r="AC79" i="24"/>
  <c r="AD79"/>
  <c r="AE79"/>
  <c r="T19"/>
  <c r="V19" s="1"/>
  <c r="EI19" i="43"/>
  <c r="BI307" i="24"/>
  <c r="BI305"/>
  <c r="BI303"/>
  <c r="BI301"/>
  <c r="BI299"/>
  <c r="BI297"/>
  <c r="BI295"/>
  <c r="BI293"/>
  <c r="BI291"/>
  <c r="BI289"/>
  <c r="BI287"/>
  <c r="BI285"/>
  <c r="BI283"/>
  <c r="BI281"/>
  <c r="BI279"/>
  <c r="BI277"/>
  <c r="BI275"/>
  <c r="BI273"/>
  <c r="BI271"/>
  <c r="BI269"/>
  <c r="BI267"/>
  <c r="BI265"/>
  <c r="BI263"/>
  <c r="BI261"/>
  <c r="BI259"/>
  <c r="BI257"/>
  <c r="BI255"/>
  <c r="BI253"/>
  <c r="BI251"/>
  <c r="BI249"/>
  <c r="BI247"/>
  <c r="BI245"/>
  <c r="BI243"/>
  <c r="BI241"/>
  <c r="BI239"/>
  <c r="BI237"/>
  <c r="BI235"/>
  <c r="BI233"/>
  <c r="BI231"/>
  <c r="BI229"/>
  <c r="BI227"/>
  <c r="BI225"/>
  <c r="EJ223" i="43"/>
  <c r="AC223" i="24"/>
  <c r="BI213"/>
  <c r="T208"/>
  <c r="V208" s="1"/>
  <c r="EI208" i="43"/>
  <c r="BK208" i="24"/>
  <c r="BI202"/>
  <c r="EI197" i="43"/>
  <c r="T197" i="24"/>
  <c r="V197" s="1"/>
  <c r="BK197"/>
  <c r="EJ191" i="43"/>
  <c r="AC191" i="24"/>
  <c r="AE191"/>
  <c r="AD191"/>
  <c r="BI181"/>
  <c r="T176"/>
  <c r="V176" s="1"/>
  <c r="BP176" s="1"/>
  <c r="EI176" i="43"/>
  <c r="BK176" i="24"/>
  <c r="BI170"/>
  <c r="T165"/>
  <c r="V165" s="1"/>
  <c r="EI165" i="43"/>
  <c r="BK165" i="24"/>
  <c r="EJ155" i="43"/>
  <c r="AC155" i="24"/>
  <c r="AE155"/>
  <c r="AD155"/>
  <c r="BI153"/>
  <c r="EJ117" i="43"/>
  <c r="AC117" i="24"/>
  <c r="AC56"/>
  <c r="EJ56" i="43"/>
  <c r="AD56" i="24"/>
  <c r="AE56"/>
  <c r="T163"/>
  <c r="V163" s="1"/>
  <c r="BP163" s="1"/>
  <c r="EI163" i="43"/>
  <c r="BK163" i="24"/>
  <c r="T161"/>
  <c r="V161" s="1"/>
  <c r="BP161" s="1"/>
  <c r="EI161" i="43"/>
  <c r="BK161" i="24"/>
  <c r="T159"/>
  <c r="V159" s="1"/>
  <c r="EI159" i="43"/>
  <c r="BK159" i="24"/>
  <c r="T157"/>
  <c r="V157" s="1"/>
  <c r="EI157" i="43"/>
  <c r="BK157" i="24"/>
  <c r="T155"/>
  <c r="V155" s="1"/>
  <c r="BP155" s="1"/>
  <c r="EI155" i="43"/>
  <c r="BK155" i="24"/>
  <c r="T153"/>
  <c r="V153" s="1"/>
  <c r="EI153" i="43"/>
  <c r="BK153" i="24"/>
  <c r="T151"/>
  <c r="V151" s="1"/>
  <c r="EI151" i="43"/>
  <c r="BK151" i="24"/>
  <c r="T149"/>
  <c r="V149" s="1"/>
  <c r="EI149" i="43"/>
  <c r="BK149" i="24"/>
  <c r="T147"/>
  <c r="V147" s="1"/>
  <c r="EI147" i="43"/>
  <c r="BK147" i="24"/>
  <c r="T145"/>
  <c r="V145" s="1"/>
  <c r="EI145" i="43"/>
  <c r="BK145" i="24"/>
  <c r="T143"/>
  <c r="V143" s="1"/>
  <c r="BP143" s="1"/>
  <c r="EI143" i="43"/>
  <c r="BK143" i="24"/>
  <c r="T141"/>
  <c r="V141" s="1"/>
  <c r="EI141" i="43"/>
  <c r="BK141" i="24"/>
  <c r="T139"/>
  <c r="V139" s="1"/>
  <c r="EI139" i="43"/>
  <c r="BK139" i="24"/>
  <c r="BI134"/>
  <c r="BI126"/>
  <c r="BI118"/>
  <c r="BI110"/>
  <c r="BI102"/>
  <c r="T92"/>
  <c r="V92" s="1"/>
  <c r="EI92" i="43"/>
  <c r="BK92" i="24"/>
  <c r="EJ86" i="43"/>
  <c r="AC86" i="24"/>
  <c r="AD86"/>
  <c r="AE86"/>
  <c r="T82"/>
  <c r="V82" s="1"/>
  <c r="BP82" s="1"/>
  <c r="EI82" i="43"/>
  <c r="BK82" i="24"/>
  <c r="EJ73" i="43"/>
  <c r="AC73" i="24"/>
  <c r="EJ71" i="43"/>
  <c r="AC71" i="24"/>
  <c r="AC28"/>
  <c r="EJ28" i="43"/>
  <c r="EJ220"/>
  <c r="AC220" i="24"/>
  <c r="AD220"/>
  <c r="AE220"/>
  <c r="EJ212" i="43"/>
  <c r="AC212" i="24"/>
  <c r="AE212"/>
  <c r="AD212"/>
  <c r="EJ204" i="43"/>
  <c r="AC204" i="24"/>
  <c r="AE204"/>
  <c r="AD204"/>
  <c r="EJ196" i="43"/>
  <c r="AC196" i="24"/>
  <c r="EJ188" i="43"/>
  <c r="AC188" i="24"/>
  <c r="EJ180" i="43"/>
  <c r="AC180" i="24"/>
  <c r="EJ172" i="43"/>
  <c r="AC172" i="24"/>
  <c r="EJ164" i="43"/>
  <c r="AC164" i="24"/>
  <c r="AD164"/>
  <c r="AE164"/>
  <c r="EJ156" i="43"/>
  <c r="AC156" i="24"/>
  <c r="AD156"/>
  <c r="AE156"/>
  <c r="AC148"/>
  <c r="EJ148" i="43"/>
  <c r="AD148" i="24"/>
  <c r="AE148"/>
  <c r="AC140"/>
  <c r="EJ140" i="43"/>
  <c r="EJ92"/>
  <c r="AC92" i="24"/>
  <c r="AE92"/>
  <c r="AD92"/>
  <c r="BI76"/>
  <c r="T73"/>
  <c r="V73" s="1"/>
  <c r="BP73" s="1"/>
  <c r="EI73" i="43"/>
  <c r="BK73" i="24"/>
  <c r="T65"/>
  <c r="V65" s="1"/>
  <c r="EI65" i="43"/>
  <c r="BK65" i="24"/>
  <c r="EJ62" i="43"/>
  <c r="AC62" i="24"/>
  <c r="AE62"/>
  <c r="AD62"/>
  <c r="T57"/>
  <c r="V57" s="1"/>
  <c r="EI57" i="43"/>
  <c r="BK57" i="24"/>
  <c r="AC54"/>
  <c r="EJ54" i="43"/>
  <c r="AD54" i="24"/>
  <c r="AE54"/>
  <c r="T46"/>
  <c r="V46" s="1"/>
  <c r="EI46" i="43"/>
  <c r="BK46" i="24"/>
  <c r="EJ43" i="43"/>
  <c r="AC43" i="24"/>
  <c r="AE43"/>
  <c r="AD43"/>
  <c r="BI24"/>
  <c r="EJ89" i="43"/>
  <c r="AC89" i="24"/>
  <c r="AE89"/>
  <c r="AD89"/>
  <c r="BI75"/>
  <c r="AC39"/>
  <c r="EJ39" i="43"/>
  <c r="EJ78"/>
  <c r="AC78" i="24"/>
  <c r="AD78"/>
  <c r="AE78"/>
  <c r="EJ70" i="43"/>
  <c r="AC70" i="24"/>
  <c r="AE70"/>
  <c r="AD70"/>
  <c r="T52"/>
  <c r="V52" s="1"/>
  <c r="BP52" s="1"/>
  <c r="EI52" i="43"/>
  <c r="BK52" i="24"/>
  <c r="AC30"/>
  <c r="EJ30" i="43"/>
  <c r="AC26" i="24"/>
  <c r="EJ26" i="43"/>
  <c r="AC22" i="24"/>
  <c r="EJ22" i="43"/>
  <c r="AC18" i="24"/>
  <c r="EJ18" i="43"/>
  <c r="BI69" i="24"/>
  <c r="BI67"/>
  <c r="BI65"/>
  <c r="BI63"/>
  <c r="BI61"/>
  <c r="BI59"/>
  <c r="BI57"/>
  <c r="BI55"/>
  <c r="BI53"/>
  <c r="EJ44" i="43"/>
  <c r="AC44" i="24"/>
  <c r="T35"/>
  <c r="V35" s="1"/>
  <c r="EI35" i="43"/>
  <c r="T32" i="24"/>
  <c r="V32" s="1"/>
  <c r="BP32" s="1"/>
  <c r="EI32" i="43"/>
  <c r="AC36" i="24"/>
  <c r="EJ36" i="43"/>
  <c r="T51" i="24"/>
  <c r="V51" s="1"/>
  <c r="EI51" i="43"/>
  <c r="BK51" i="24"/>
  <c r="EI49" i="43"/>
  <c r="T49" i="24"/>
  <c r="V49" s="1"/>
  <c r="BK49"/>
  <c r="T47"/>
  <c r="V47" s="1"/>
  <c r="EI47" i="43"/>
  <c r="BK47" i="24"/>
  <c r="EI45" i="43"/>
  <c r="T45" i="24"/>
  <c r="V45" s="1"/>
  <c r="BK45"/>
  <c r="T43"/>
  <c r="V43" s="1"/>
  <c r="EI43" i="43"/>
  <c r="BK43" i="24"/>
  <c r="T41"/>
  <c r="V41" s="1"/>
  <c r="BP41" s="1"/>
  <c r="EI41" i="43"/>
  <c r="T39" i="24"/>
  <c r="V39" s="1"/>
  <c r="EI39" i="43"/>
  <c r="T37" i="24"/>
  <c r="V37" s="1"/>
  <c r="EI37" i="43"/>
  <c r="BI32" i="24"/>
  <c r="M10" i="22"/>
  <c r="H10"/>
  <c r="P10"/>
  <c r="AD215" i="24"/>
  <c r="AE274"/>
  <c r="BK38"/>
  <c r="AD349"/>
  <c r="AE357"/>
  <c r="AE215"/>
  <c r="AD95"/>
  <c r="AE231"/>
  <c r="EJ16" i="43"/>
  <c r="AC16" i="24"/>
  <c r="EJ13" i="43"/>
  <c r="AC13" i="24"/>
  <c r="EJ15" i="43"/>
  <c r="AC15" i="24"/>
  <c r="T13"/>
  <c r="V13" s="1"/>
  <c r="EI13" i="43"/>
  <c r="EI344"/>
  <c r="T344" i="24"/>
  <c r="V344" s="1"/>
  <c r="BK344"/>
  <c r="EJ285" i="43"/>
  <c r="AC285" i="24"/>
  <c r="EJ227" i="43"/>
  <c r="AC227" i="24"/>
  <c r="EJ380" i="43"/>
  <c r="AC380" i="24"/>
  <c r="AE380"/>
  <c r="AD380"/>
  <c r="T374"/>
  <c r="V374" s="1"/>
  <c r="EI374" i="43"/>
  <c r="BK374" i="24"/>
  <c r="BI369"/>
  <c r="EJ348" i="43"/>
  <c r="AC348" i="24"/>
  <c r="AE348"/>
  <c r="AD348"/>
  <c r="T342"/>
  <c r="V342" s="1"/>
  <c r="EI342" i="43"/>
  <c r="BK342" i="24"/>
  <c r="BI337"/>
  <c r="AC316"/>
  <c r="EJ316" i="43"/>
  <c r="AD316" i="24"/>
  <c r="AE316"/>
  <c r="T287"/>
  <c r="V287" s="1"/>
  <c r="BP287" s="1"/>
  <c r="EI287" i="43"/>
  <c r="BK287" i="24"/>
  <c r="T245"/>
  <c r="V245" s="1"/>
  <c r="EI245" i="43"/>
  <c r="BK245" i="24"/>
  <c r="EJ334" i="43"/>
  <c r="AC334" i="24"/>
  <c r="AD334"/>
  <c r="AE334"/>
  <c r="T220"/>
  <c r="V220" s="1"/>
  <c r="EI220" i="43"/>
  <c r="BK220" i="24"/>
  <c r="AC211"/>
  <c r="EJ211" i="43"/>
  <c r="EJ362"/>
  <c r="AC362" i="24"/>
  <c r="AD362"/>
  <c r="AE362"/>
  <c r="T356"/>
  <c r="V356" s="1"/>
  <c r="EI356" i="43"/>
  <c r="BK356" i="24"/>
  <c r="BI351"/>
  <c r="EJ330" i="43"/>
  <c r="AC330" i="24"/>
  <c r="AE330"/>
  <c r="AD330"/>
  <c r="EI324" i="43"/>
  <c r="T324" i="24"/>
  <c r="V324" s="1"/>
  <c r="BK324"/>
  <c r="BI319"/>
  <c r="EJ299" i="43"/>
  <c r="AC299" i="24"/>
  <c r="EJ261" i="43"/>
  <c r="AC261" i="24"/>
  <c r="AD261"/>
  <c r="AE261"/>
  <c r="EJ235" i="43"/>
  <c r="AC235" i="24"/>
  <c r="BI363"/>
  <c r="T352"/>
  <c r="V352" s="1"/>
  <c r="EI352" i="43"/>
  <c r="BK352" i="24"/>
  <c r="T336"/>
  <c r="V336" s="1"/>
  <c r="EI336" i="43"/>
  <c r="BK336" i="24"/>
  <c r="EJ291" i="43"/>
  <c r="AC291" i="24"/>
  <c r="EJ376" i="43"/>
  <c r="AC376" i="24"/>
  <c r="AD376"/>
  <c r="AE376"/>
  <c r="T370"/>
  <c r="V370" s="1"/>
  <c r="EI370" i="43"/>
  <c r="BK370" i="24"/>
  <c r="BI365"/>
  <c r="EJ344" i="43"/>
  <c r="AC344" i="24"/>
  <c r="AE344"/>
  <c r="AD344"/>
  <c r="T338"/>
  <c r="V338" s="1"/>
  <c r="EI338" i="43"/>
  <c r="BK338" i="24"/>
  <c r="BI333"/>
  <c r="AC312"/>
  <c r="EJ312" i="43"/>
  <c r="AE312" i="24"/>
  <c r="AD312"/>
  <c r="T269"/>
  <c r="V269" s="1"/>
  <c r="EI269" i="43"/>
  <c r="BK269" i="24"/>
  <c r="T247"/>
  <c r="V247" s="1"/>
  <c r="BP247" s="1"/>
  <c r="EI247" i="43"/>
  <c r="BK247" i="24"/>
  <c r="EJ205" i="43"/>
  <c r="AC205" i="24"/>
  <c r="T188"/>
  <c r="V188" s="1"/>
  <c r="EI188" i="43"/>
  <c r="BK188" i="24"/>
  <c r="EJ179" i="43"/>
  <c r="AC179" i="24"/>
  <c r="AE179"/>
  <c r="AD179"/>
  <c r="BI171"/>
  <c r="EI162" i="43"/>
  <c r="T162" i="24"/>
  <c r="V162" s="1"/>
  <c r="BK162"/>
  <c r="EI140" i="43"/>
  <c r="T140" i="24"/>
  <c r="V140" s="1"/>
  <c r="BK140"/>
  <c r="T29"/>
  <c r="V29" s="1"/>
  <c r="BP29" s="1"/>
  <c r="EI29" i="43"/>
  <c r="EJ377"/>
  <c r="AC377" i="24"/>
  <c r="EJ369" i="43"/>
  <c r="AC369" i="24"/>
  <c r="EJ361" i="43"/>
  <c r="AC361" i="24"/>
  <c r="EJ353" i="43"/>
  <c r="AC353" i="24"/>
  <c r="AE353"/>
  <c r="AD353"/>
  <c r="EJ345" i="43"/>
  <c r="AC345" i="24"/>
  <c r="EJ337" i="43"/>
  <c r="AC337" i="24"/>
  <c r="EJ329" i="43"/>
  <c r="AC329" i="24"/>
  <c r="AE329"/>
  <c r="AD329"/>
  <c r="EJ321" i="43"/>
  <c r="AC321" i="24"/>
  <c r="AE321"/>
  <c r="AD321"/>
  <c r="EJ313" i="43"/>
  <c r="AC313" i="24"/>
  <c r="AE313"/>
  <c r="AD313"/>
  <c r="T307"/>
  <c r="V307" s="1"/>
  <c r="EI307" i="43"/>
  <c r="BK307" i="24"/>
  <c r="EJ281" i="43"/>
  <c r="AC281" i="24"/>
  <c r="EI275" i="43"/>
  <c r="T275" i="24"/>
  <c r="V275" s="1"/>
  <c r="BP275" s="1"/>
  <c r="BK275"/>
  <c r="EJ249" i="43"/>
  <c r="AC249" i="24"/>
  <c r="AE249"/>
  <c r="AD249"/>
  <c r="T243"/>
  <c r="V243" s="1"/>
  <c r="EI243" i="43"/>
  <c r="BK243" i="24"/>
  <c r="T196"/>
  <c r="V196" s="1"/>
  <c r="BP196" s="1"/>
  <c r="EI196" i="43"/>
  <c r="BK196" i="24"/>
  <c r="T174"/>
  <c r="V174" s="1"/>
  <c r="EI174" i="43"/>
  <c r="BK174" i="24"/>
  <c r="EJ171" i="43"/>
  <c r="AC171" i="24"/>
  <c r="EJ165" i="43"/>
  <c r="AC165" i="24"/>
  <c r="T27"/>
  <c r="V27" s="1"/>
  <c r="BP27" s="1"/>
  <c r="EI27" i="43"/>
  <c r="EI146"/>
  <c r="T146" i="24"/>
  <c r="V146" s="1"/>
  <c r="BK146"/>
  <c r="EJ113" i="43"/>
  <c r="AC113" i="24"/>
  <c r="T381"/>
  <c r="V381" s="1"/>
  <c r="EI381" i="43"/>
  <c r="BK381" i="24"/>
  <c r="T379"/>
  <c r="V379" s="1"/>
  <c r="EI379" i="43"/>
  <c r="BK379" i="24"/>
  <c r="T377"/>
  <c r="V377" s="1"/>
  <c r="EI377" i="43"/>
  <c r="BK377" i="24"/>
  <c r="T375"/>
  <c r="V375" s="1"/>
  <c r="EI375" i="43"/>
  <c r="BK375" i="24"/>
  <c r="T373"/>
  <c r="V373" s="1"/>
  <c r="EI373" i="43"/>
  <c r="BK373" i="24"/>
  <c r="T371"/>
  <c r="V371" s="1"/>
  <c r="EI371" i="43"/>
  <c r="BK371" i="24"/>
  <c r="T369"/>
  <c r="V369" s="1"/>
  <c r="EI369" i="43"/>
  <c r="BK369" i="24"/>
  <c r="T367"/>
  <c r="V367" s="1"/>
  <c r="EI367" i="43"/>
  <c r="BK367" i="24"/>
  <c r="T365"/>
  <c r="V365" s="1"/>
  <c r="EI365" i="43"/>
  <c r="BK365" i="24"/>
  <c r="T363"/>
  <c r="V363" s="1"/>
  <c r="EI363" i="43"/>
  <c r="BK363" i="24"/>
  <c r="T361"/>
  <c r="V361" s="1"/>
  <c r="EI361" i="43"/>
  <c r="BK361" i="24"/>
  <c r="T359"/>
  <c r="V359" s="1"/>
  <c r="EI359" i="43"/>
  <c r="BK359" i="24"/>
  <c r="T357"/>
  <c r="V357" s="1"/>
  <c r="EI357" i="43"/>
  <c r="BK357" i="24"/>
  <c r="T355"/>
  <c r="V355" s="1"/>
  <c r="EI355" i="43"/>
  <c r="BK355" i="24"/>
  <c r="T353"/>
  <c r="V353" s="1"/>
  <c r="EI353" i="43"/>
  <c r="BK353" i="24"/>
  <c r="T351"/>
  <c r="V351" s="1"/>
  <c r="EI351" i="43"/>
  <c r="BK351" i="24"/>
  <c r="T349"/>
  <c r="V349" s="1"/>
  <c r="EI349" i="43"/>
  <c r="BK349" i="24"/>
  <c r="T347"/>
  <c r="V347" s="1"/>
  <c r="EI347" i="43"/>
  <c r="BK347" i="24"/>
  <c r="T345"/>
  <c r="V345" s="1"/>
  <c r="EI345" i="43"/>
  <c r="BK345" i="24"/>
  <c r="T343"/>
  <c r="V343" s="1"/>
  <c r="EI343" i="43"/>
  <c r="BK343" i="24"/>
  <c r="T341"/>
  <c r="V341" s="1"/>
  <c r="EI341" i="43"/>
  <c r="BK341" i="24"/>
  <c r="T339"/>
  <c r="V339" s="1"/>
  <c r="EI339" i="43"/>
  <c r="BK339" i="24"/>
  <c r="T337"/>
  <c r="V337" s="1"/>
  <c r="EI337" i="43"/>
  <c r="BK337" i="24"/>
  <c r="T335"/>
  <c r="V335" s="1"/>
  <c r="EI335" i="43"/>
  <c r="BK335" i="24"/>
  <c r="T333"/>
  <c r="V333" s="1"/>
  <c r="EI333" i="43"/>
  <c r="BK333" i="24"/>
  <c r="T331"/>
  <c r="V331" s="1"/>
  <c r="EI331" i="43"/>
  <c r="BK331" i="24"/>
  <c r="T329"/>
  <c r="V329" s="1"/>
  <c r="EI329" i="43"/>
  <c r="BK329" i="24"/>
  <c r="T327"/>
  <c r="V327" s="1"/>
  <c r="EI327" i="43"/>
  <c r="BK327" i="24"/>
  <c r="T325"/>
  <c r="V325" s="1"/>
  <c r="EI325" i="43"/>
  <c r="BK325" i="24"/>
  <c r="T323"/>
  <c r="V323" s="1"/>
  <c r="EI323" i="43"/>
  <c r="BK323" i="24"/>
  <c r="T321"/>
  <c r="V321" s="1"/>
  <c r="BP321" s="1"/>
  <c r="EI321" i="43"/>
  <c r="BK321" i="24"/>
  <c r="T319"/>
  <c r="V319" s="1"/>
  <c r="EI319" i="43"/>
  <c r="BK319" i="24"/>
  <c r="T317"/>
  <c r="V317" s="1"/>
  <c r="EI317" i="43"/>
  <c r="BK317" i="24"/>
  <c r="T315"/>
  <c r="V315" s="1"/>
  <c r="BP315" s="1"/>
  <c r="EI315" i="43"/>
  <c r="BK315" i="24"/>
  <c r="T313"/>
  <c r="V313" s="1"/>
  <c r="EI313" i="43"/>
  <c r="BK313" i="24"/>
  <c r="T311"/>
  <c r="V311" s="1"/>
  <c r="EI311" i="43"/>
  <c r="BK311" i="24"/>
  <c r="T310"/>
  <c r="V310" s="1"/>
  <c r="EI310" i="43"/>
  <c r="BK310" i="24"/>
  <c r="T305"/>
  <c r="V305" s="1"/>
  <c r="EI305" i="43"/>
  <c r="BK305" i="24"/>
  <c r="EJ279" i="43"/>
  <c r="AC279" i="24"/>
  <c r="T273"/>
  <c r="V273" s="1"/>
  <c r="BP273" s="1"/>
  <c r="EI273" i="43"/>
  <c r="BK273" i="24"/>
  <c r="EJ247" i="43"/>
  <c r="AC247" i="24"/>
  <c r="EI241" i="43"/>
  <c r="T241" i="24"/>
  <c r="V241" s="1"/>
  <c r="BK241"/>
  <c r="BI201"/>
  <c r="EI185" i="43"/>
  <c r="T185" i="24"/>
  <c r="V185" s="1"/>
  <c r="BK185"/>
  <c r="EI154" i="43"/>
  <c r="T154" i="24"/>
  <c r="V154" s="1"/>
  <c r="BK154"/>
  <c r="EJ107" i="43"/>
  <c r="AC107" i="24"/>
  <c r="EJ49" i="43"/>
  <c r="AC49" i="24"/>
  <c r="AE49"/>
  <c r="AD49"/>
  <c r="AC302"/>
  <c r="EJ302" i="43"/>
  <c r="AE302" i="24"/>
  <c r="AD302"/>
  <c r="EJ294" i="43"/>
  <c r="AC294" i="24"/>
  <c r="AE294"/>
  <c r="AD294"/>
  <c r="EJ286" i="43"/>
  <c r="AC286" i="24"/>
  <c r="AE286"/>
  <c r="AD286"/>
  <c r="EJ278" i="43"/>
  <c r="AC278" i="24"/>
  <c r="AE278"/>
  <c r="AD278"/>
  <c r="EJ270" i="43"/>
  <c r="AC270" i="24"/>
  <c r="EJ262" i="43"/>
  <c r="AC262" i="24"/>
  <c r="AD262"/>
  <c r="AE262"/>
  <c r="EJ254" i="43"/>
  <c r="AC254" i="24"/>
  <c r="EJ246" i="43"/>
  <c r="AC246" i="24"/>
  <c r="AE246"/>
  <c r="AD246"/>
  <c r="EJ238" i="43"/>
  <c r="AC238" i="24"/>
  <c r="AE238"/>
  <c r="AD238"/>
  <c r="EJ230" i="43"/>
  <c r="AC230" i="24"/>
  <c r="AE230"/>
  <c r="AD230"/>
  <c r="BI223"/>
  <c r="EI218" i="43"/>
  <c r="T218" i="24"/>
  <c r="V218" s="1"/>
  <c r="BK218"/>
  <c r="T207"/>
  <c r="V207" s="1"/>
  <c r="EI207" i="43"/>
  <c r="BK207" i="24"/>
  <c r="EJ201" i="43"/>
  <c r="AC201" i="24"/>
  <c r="T186"/>
  <c r="V186" s="1"/>
  <c r="EI186" i="43"/>
  <c r="BK186" i="24"/>
  <c r="T175"/>
  <c r="V175" s="1"/>
  <c r="EI175" i="43"/>
  <c r="BK175" i="24"/>
  <c r="EJ169" i="43"/>
  <c r="AC169" i="24"/>
  <c r="EJ157" i="43"/>
  <c r="AC157" i="24"/>
  <c r="EJ111" i="43"/>
  <c r="AC111" i="24"/>
  <c r="T94"/>
  <c r="V94" s="1"/>
  <c r="BP94" s="1"/>
  <c r="EI94" i="43"/>
  <c r="BK94" i="24"/>
  <c r="AC24"/>
  <c r="EJ24" i="43"/>
  <c r="BI221" i="24"/>
  <c r="T216"/>
  <c r="V216" s="1"/>
  <c r="EI216" i="43"/>
  <c r="BK216" i="24"/>
  <c r="BI210"/>
  <c r="T205"/>
  <c r="V205" s="1"/>
  <c r="EI205" i="43"/>
  <c r="BK205" i="24"/>
  <c r="EJ199" i="43"/>
  <c r="AC199" i="24"/>
  <c r="BI189"/>
  <c r="T184"/>
  <c r="V184" s="1"/>
  <c r="EI184" i="43"/>
  <c r="BK184" i="24"/>
  <c r="BI178"/>
  <c r="EI173" i="43"/>
  <c r="T173" i="24"/>
  <c r="V173" s="1"/>
  <c r="BK173"/>
  <c r="EJ167" i="43"/>
  <c r="AC167" i="24"/>
  <c r="EI142" i="43"/>
  <c r="T142" i="24"/>
  <c r="V142" s="1"/>
  <c r="BP142" s="1"/>
  <c r="BK142"/>
  <c r="EJ125" i="43"/>
  <c r="AC125" i="24"/>
  <c r="AD125"/>
  <c r="AE125"/>
  <c r="BI93"/>
  <c r="T91"/>
  <c r="V91" s="1"/>
  <c r="EI91" i="43"/>
  <c r="BK91" i="24"/>
  <c r="EJ88" i="43"/>
  <c r="AC88" i="24"/>
  <c r="AD88"/>
  <c r="AE88"/>
  <c r="AC60"/>
  <c r="EJ60" i="43"/>
  <c r="AD60" i="24"/>
  <c r="AE60"/>
  <c r="T48"/>
  <c r="V48" s="1"/>
  <c r="EI48" i="43"/>
  <c r="BK48" i="24"/>
  <c r="BI132"/>
  <c r="BI124"/>
  <c r="BI116"/>
  <c r="BI108"/>
  <c r="BI100"/>
  <c r="EJ94" i="43"/>
  <c r="AC94" i="24"/>
  <c r="AE94"/>
  <c r="AD94"/>
  <c r="BI84"/>
  <c r="T79"/>
  <c r="V79" s="1"/>
  <c r="EI79" i="43"/>
  <c r="BK79" i="24"/>
  <c r="EJ63" i="43"/>
  <c r="AC63" i="24"/>
  <c r="AE63"/>
  <c r="AD63"/>
  <c r="AC55"/>
  <c r="EJ55" i="43"/>
  <c r="AD55" i="24"/>
  <c r="AE55"/>
  <c r="T42"/>
  <c r="V42" s="1"/>
  <c r="BP42" s="1"/>
  <c r="EI42" i="43"/>
  <c r="T31" i="24"/>
  <c r="V31" s="1"/>
  <c r="BP31" s="1"/>
  <c r="EI31" i="43"/>
  <c r="EJ222"/>
  <c r="AC222" i="24"/>
  <c r="AD222"/>
  <c r="AE222"/>
  <c r="EJ214" i="43"/>
  <c r="AC214" i="24"/>
  <c r="AD214"/>
  <c r="AE214"/>
  <c r="EJ206" i="43"/>
  <c r="AC206" i="24"/>
  <c r="AD206"/>
  <c r="AE206"/>
  <c r="EJ198" i="43"/>
  <c r="AC198" i="24"/>
  <c r="AD198"/>
  <c r="AE198"/>
  <c r="EJ190" i="43"/>
  <c r="AC190" i="24"/>
  <c r="AE190"/>
  <c r="AD190"/>
  <c r="EJ182" i="43"/>
  <c r="AC182" i="24"/>
  <c r="AE182"/>
  <c r="AD182"/>
  <c r="EJ174" i="43"/>
  <c r="AC174" i="24"/>
  <c r="AE174"/>
  <c r="AD174"/>
  <c r="EJ166" i="43"/>
  <c r="AC166" i="24"/>
  <c r="AE166"/>
  <c r="AD166"/>
  <c r="EJ158" i="43"/>
  <c r="AC158" i="24"/>
  <c r="AE158"/>
  <c r="AD158"/>
  <c r="EJ150" i="43"/>
  <c r="AC150" i="24"/>
  <c r="AD150"/>
  <c r="AE150"/>
  <c r="AC142"/>
  <c r="EJ142" i="43"/>
  <c r="AD142" i="24"/>
  <c r="AE142"/>
  <c r="AC136"/>
  <c r="EJ136" i="43"/>
  <c r="AE136" i="24"/>
  <c r="AD136"/>
  <c r="T135"/>
  <c r="V135" s="1"/>
  <c r="BP135" s="1"/>
  <c r="EI135" i="43"/>
  <c r="BK135" i="24"/>
  <c r="EJ132" i="43"/>
  <c r="AC132" i="24"/>
  <c r="AD132"/>
  <c r="AE132"/>
  <c r="T131"/>
  <c r="V131" s="1"/>
  <c r="EI131" i="43"/>
  <c r="BK131" i="24"/>
  <c r="EJ128" i="43"/>
  <c r="AC128" i="24"/>
  <c r="AD128"/>
  <c r="AE128"/>
  <c r="T127"/>
  <c r="V127" s="1"/>
  <c r="EI127" i="43"/>
  <c r="BK127" i="24"/>
  <c r="EJ124" i="43"/>
  <c r="AC124" i="24"/>
  <c r="AD124"/>
  <c r="AE124"/>
  <c r="T123"/>
  <c r="V123" s="1"/>
  <c r="EI123" i="43"/>
  <c r="BK123" i="24"/>
  <c r="EJ120" i="43"/>
  <c r="AC120" i="24"/>
  <c r="AD120"/>
  <c r="AE120"/>
  <c r="T119"/>
  <c r="V119" s="1"/>
  <c r="EI119" i="43"/>
  <c r="BK119" i="24"/>
  <c r="EJ116" i="43"/>
  <c r="AC116" i="24"/>
  <c r="AD116"/>
  <c r="AE116"/>
  <c r="T115"/>
  <c r="V115" s="1"/>
  <c r="EI115" i="43"/>
  <c r="BK115" i="24"/>
  <c r="EJ112" i="43"/>
  <c r="AC112" i="24"/>
  <c r="AD112"/>
  <c r="AE112"/>
  <c r="T111"/>
  <c r="V111" s="1"/>
  <c r="EI111" i="43"/>
  <c r="BK111" i="24"/>
  <c r="EJ108" i="43"/>
  <c r="AC108" i="24"/>
  <c r="AD108"/>
  <c r="AE108"/>
  <c r="T107"/>
  <c r="V107" s="1"/>
  <c r="EI107" i="43"/>
  <c r="BK107" i="24"/>
  <c r="EJ104" i="43"/>
  <c r="AC104" i="24"/>
  <c r="AD104"/>
  <c r="AE104"/>
  <c r="T103"/>
  <c r="V103" s="1"/>
  <c r="BP103" s="1"/>
  <c r="EI103" i="43"/>
  <c r="BK103" i="24"/>
  <c r="EJ100" i="43"/>
  <c r="AC100" i="24"/>
  <c r="AD100"/>
  <c r="AE100"/>
  <c r="T99"/>
  <c r="V99" s="1"/>
  <c r="EI99" i="43"/>
  <c r="BK99" i="24"/>
  <c r="EJ96" i="43"/>
  <c r="AC96" i="24"/>
  <c r="AD96"/>
  <c r="AE96"/>
  <c r="BI90"/>
  <c r="T85"/>
  <c r="V85" s="1"/>
  <c r="EI85" i="43"/>
  <c r="BK85" i="24"/>
  <c r="EI74" i="43"/>
  <c r="T74" i="24"/>
  <c r="V74" s="1"/>
  <c r="BK74"/>
  <c r="EJ69" i="43"/>
  <c r="AC69" i="24"/>
  <c r="EJ61" i="43"/>
  <c r="AC61" i="24"/>
  <c r="AC53"/>
  <c r="EJ53" i="43"/>
  <c r="T34" i="24"/>
  <c r="V34" s="1"/>
  <c r="EI34" i="43"/>
  <c r="T138" i="24"/>
  <c r="V138" s="1"/>
  <c r="BP138" s="1"/>
  <c r="EI138" i="43"/>
  <c r="BK138" i="24"/>
  <c r="EI136" i="43"/>
  <c r="T136" i="24"/>
  <c r="V136" s="1"/>
  <c r="BP136" s="1"/>
  <c r="BK136"/>
  <c r="T134"/>
  <c r="V134" s="1"/>
  <c r="BP134" s="1"/>
  <c r="EI134" i="43"/>
  <c r="BK134" i="24"/>
  <c r="T132"/>
  <c r="V132" s="1"/>
  <c r="EI132" i="43"/>
  <c r="BK132" i="24"/>
  <c r="T130"/>
  <c r="V130" s="1"/>
  <c r="BP130" s="1"/>
  <c r="EI130" i="43"/>
  <c r="BK130" i="24"/>
  <c r="T128"/>
  <c r="V128" s="1"/>
  <c r="BP128" s="1"/>
  <c r="EI128" i="43"/>
  <c r="BK128" i="24"/>
  <c r="T126"/>
  <c r="V126" s="1"/>
  <c r="BP126" s="1"/>
  <c r="EI126" i="43"/>
  <c r="BK126" i="24"/>
  <c r="T124"/>
  <c r="V124" s="1"/>
  <c r="BP124" s="1"/>
  <c r="EI124" i="43"/>
  <c r="BK124" i="24"/>
  <c r="T122"/>
  <c r="V122" s="1"/>
  <c r="BP122" s="1"/>
  <c r="EI122" i="43"/>
  <c r="BK122" i="24"/>
  <c r="T120"/>
  <c r="V120" s="1"/>
  <c r="BP120" s="1"/>
  <c r="EI120" i="43"/>
  <c r="BK120" i="24"/>
  <c r="EI118" i="43"/>
  <c r="T118" i="24"/>
  <c r="V118" s="1"/>
  <c r="BK118"/>
  <c r="T116"/>
  <c r="V116" s="1"/>
  <c r="BP116" s="1"/>
  <c r="EI116" i="43"/>
  <c r="BK116" i="24"/>
  <c r="EI114" i="43"/>
  <c r="T114" i="24"/>
  <c r="V114" s="1"/>
  <c r="BP114" s="1"/>
  <c r="BK114"/>
  <c r="T112"/>
  <c r="V112" s="1"/>
  <c r="BP112" s="1"/>
  <c r="EI112" i="43"/>
  <c r="BK112" i="24"/>
  <c r="EI110" i="43"/>
  <c r="T110" i="24"/>
  <c r="V110" s="1"/>
  <c r="BP110" s="1"/>
  <c r="BK110"/>
  <c r="T108"/>
  <c r="V108" s="1"/>
  <c r="EI108" i="43"/>
  <c r="BK108" i="24"/>
  <c r="T106"/>
  <c r="V106" s="1"/>
  <c r="BP106" s="1"/>
  <c r="EI106" i="43"/>
  <c r="BK106" i="24"/>
  <c r="EI104" i="43"/>
  <c r="T104" i="24"/>
  <c r="V104" s="1"/>
  <c r="BP104" s="1"/>
  <c r="BK104"/>
  <c r="T102"/>
  <c r="V102" s="1"/>
  <c r="EI102" i="43"/>
  <c r="BK102" i="24"/>
  <c r="EI100" i="43"/>
  <c r="T100" i="24"/>
  <c r="V100" s="1"/>
  <c r="BP100" s="1"/>
  <c r="BK100"/>
  <c r="T98"/>
  <c r="V98" s="1"/>
  <c r="BP98" s="1"/>
  <c r="EI98" i="43"/>
  <c r="BK98" i="24"/>
  <c r="EI96" i="43"/>
  <c r="T96" i="24"/>
  <c r="V96" s="1"/>
  <c r="BP96" s="1"/>
  <c r="BK96"/>
  <c r="AC91"/>
  <c r="EJ91" i="43"/>
  <c r="EJ83"/>
  <c r="AC83" i="24"/>
  <c r="AE83"/>
  <c r="AD83"/>
  <c r="T78"/>
  <c r="V78" s="1"/>
  <c r="BP78" s="1"/>
  <c r="EI78" i="43"/>
  <c r="BK78" i="24"/>
  <c r="BI72"/>
  <c r="T67"/>
  <c r="V67" s="1"/>
  <c r="BP67" s="1"/>
  <c r="EI67" i="43"/>
  <c r="BK67" i="24"/>
  <c r="T63"/>
  <c r="V63" s="1"/>
  <c r="BP63" s="1"/>
  <c r="EI63" i="43"/>
  <c r="BK63" i="24"/>
  <c r="T59"/>
  <c r="V59" s="1"/>
  <c r="EI59" i="43"/>
  <c r="BK59" i="24"/>
  <c r="T55"/>
  <c r="V55" s="1"/>
  <c r="EI55" i="43"/>
  <c r="BK55" i="24"/>
  <c r="BI35"/>
  <c r="EJ80" i="43"/>
  <c r="AC80" i="24"/>
  <c r="AD80"/>
  <c r="AE80"/>
  <c r="EJ72" i="43"/>
  <c r="AC72" i="24"/>
  <c r="AD72"/>
  <c r="AE72"/>
  <c r="EJ45" i="43"/>
  <c r="AC45" i="24"/>
  <c r="AE45"/>
  <c r="AD45"/>
  <c r="T44"/>
  <c r="V44" s="1"/>
  <c r="BP44" s="1"/>
  <c r="EI44" i="43"/>
  <c r="BK44" i="24"/>
  <c r="AC50"/>
  <c r="EJ50" i="43"/>
  <c r="AC42" i="24"/>
  <c r="EJ42" i="43"/>
  <c r="AC32" i="24"/>
  <c r="EJ32" i="43"/>
  <c r="T30" i="24"/>
  <c r="V30" s="1"/>
  <c r="BP30" s="1"/>
  <c r="EI30" i="43"/>
  <c r="T28" i="24"/>
  <c r="V28" s="1"/>
  <c r="BP28" s="1"/>
  <c r="EI28" i="43"/>
  <c r="T26" i="24"/>
  <c r="V26" s="1"/>
  <c r="BP26" s="1"/>
  <c r="EI26" i="43"/>
  <c r="T24" i="24"/>
  <c r="V24" s="1"/>
  <c r="BP24" s="1"/>
  <c r="EI24" i="43"/>
  <c r="T22" i="24"/>
  <c r="V22" s="1"/>
  <c r="BP22" s="1"/>
  <c r="EI22" i="43"/>
  <c r="T20" i="24"/>
  <c r="V20" s="1"/>
  <c r="BP20" s="1"/>
  <c r="EI20" i="43"/>
  <c r="T18" i="24"/>
  <c r="V18" s="1"/>
  <c r="EI18" i="43"/>
  <c r="M168"/>
  <c r="N168" s="1"/>
  <c r="M259"/>
  <c r="N259" s="1"/>
  <c r="M355"/>
  <c r="M354"/>
  <c r="N354" s="1"/>
  <c r="C15" i="44"/>
  <c r="C18"/>
  <c r="C9"/>
  <c r="C10"/>
  <c r="C20"/>
  <c r="C13"/>
  <c r="AD231" i="24"/>
  <c r="AE95"/>
  <c r="BK40"/>
  <c r="AE59"/>
  <c r="AD293"/>
  <c r="AE258"/>
  <c r="AE99"/>
  <c r="T14"/>
  <c r="V14" s="1"/>
  <c r="EI14" i="43"/>
  <c r="T11" i="24"/>
  <c r="V11" s="1"/>
  <c r="EI11" i="43"/>
  <c r="EJ17"/>
  <c r="AC17" i="24"/>
  <c r="T17"/>
  <c r="V17" s="1"/>
  <c r="EI17" i="43"/>
  <c r="BI331" i="24"/>
  <c r="EI312" i="43"/>
  <c r="T312" i="24"/>
  <c r="V312" s="1"/>
  <c r="BP312" s="1"/>
  <c r="BK312"/>
  <c r="EJ253" i="43"/>
  <c r="AC253" i="24"/>
  <c r="AE253"/>
  <c r="AD253"/>
  <c r="BI377"/>
  <c r="EJ356" i="43"/>
  <c r="AC356" i="24"/>
  <c r="AE356"/>
  <c r="AD356"/>
  <c r="T350"/>
  <c r="V350" s="1"/>
  <c r="EI350" i="43"/>
  <c r="BK350" i="24"/>
  <c r="BI345"/>
  <c r="EJ324" i="43"/>
  <c r="AC324" i="24"/>
  <c r="AD324"/>
  <c r="AE324"/>
  <c r="T318"/>
  <c r="V318" s="1"/>
  <c r="EI318" i="43"/>
  <c r="BK318" i="24"/>
  <c r="BI313"/>
  <c r="T303"/>
  <c r="V303" s="1"/>
  <c r="EI303" i="43"/>
  <c r="BK303" i="24"/>
  <c r="EI261" i="43"/>
  <c r="T261" i="24"/>
  <c r="V261" s="1"/>
  <c r="BK261"/>
  <c r="T239"/>
  <c r="V239" s="1"/>
  <c r="BP239" s="1"/>
  <c r="EI239" i="43"/>
  <c r="BK239" i="24"/>
  <c r="AC221"/>
  <c r="EJ221" i="43"/>
  <c r="BI200" i="24"/>
  <c r="EI166" i="43"/>
  <c r="T166" i="24"/>
  <c r="V166" s="1"/>
  <c r="BK166"/>
  <c r="BI379"/>
  <c r="BI371"/>
  <c r="EJ366" i="43"/>
  <c r="AC366" i="24"/>
  <c r="AE366"/>
  <c r="AD366"/>
  <c r="BI323"/>
  <c r="EJ269" i="43"/>
  <c r="AC269" i="24"/>
  <c r="AD269"/>
  <c r="AE269"/>
  <c r="T204"/>
  <c r="V204" s="1"/>
  <c r="BP204" s="1"/>
  <c r="EI204" i="43"/>
  <c r="BK204" i="24"/>
  <c r="EJ370" i="43"/>
  <c r="AC370" i="24"/>
  <c r="AD370"/>
  <c r="AE370"/>
  <c r="EI364" i="43"/>
  <c r="T364" i="24"/>
  <c r="V364" s="1"/>
  <c r="BK364"/>
  <c r="BI359"/>
  <c r="EJ338" i="43"/>
  <c r="AC338" i="24"/>
  <c r="AE338"/>
  <c r="AD338"/>
  <c r="EI332" i="43"/>
  <c r="T332" i="24"/>
  <c r="V332" s="1"/>
  <c r="BK332"/>
  <c r="BI327"/>
  <c r="EJ277" i="43"/>
  <c r="AC277" i="24"/>
  <c r="EJ251" i="43"/>
  <c r="AC251" i="24"/>
  <c r="EJ189" i="43"/>
  <c r="AC189" i="24"/>
  <c r="AE189"/>
  <c r="AD189"/>
  <c r="T172"/>
  <c r="V172" s="1"/>
  <c r="EI172" i="43"/>
  <c r="BK172" i="24"/>
  <c r="EJ163" i="43"/>
  <c r="AC163" i="24"/>
  <c r="AD163"/>
  <c r="AE163"/>
  <c r="EJ159" i="43"/>
  <c r="AC159" i="24"/>
  <c r="AE159"/>
  <c r="AD159"/>
  <c r="T368"/>
  <c r="V368" s="1"/>
  <c r="EI368" i="43"/>
  <c r="BK368" i="24"/>
  <c r="T328"/>
  <c r="V328" s="1"/>
  <c r="EI328" i="43"/>
  <c r="BK328" i="24"/>
  <c r="EJ307" i="43"/>
  <c r="AC307" i="24"/>
  <c r="EJ301" i="43"/>
  <c r="AC301" i="24"/>
  <c r="T378"/>
  <c r="V378" s="1"/>
  <c r="EI378" i="43"/>
  <c r="BK378" i="24"/>
  <c r="BI373"/>
  <c r="EJ352" i="43"/>
  <c r="AC352" i="24"/>
  <c r="AD352"/>
  <c r="AE352"/>
  <c r="T346"/>
  <c r="V346" s="1"/>
  <c r="EI346" i="43"/>
  <c r="BK346" i="24"/>
  <c r="BI341"/>
  <c r="EJ320" i="43"/>
  <c r="AC320" i="24"/>
  <c r="AD320"/>
  <c r="AE320"/>
  <c r="T314"/>
  <c r="V314" s="1"/>
  <c r="EI314" i="43"/>
  <c r="BK314" i="24"/>
  <c r="T285"/>
  <c r="V285" s="1"/>
  <c r="BP285" s="1"/>
  <c r="EI285" i="43"/>
  <c r="BK285" i="24"/>
  <c r="T263"/>
  <c r="V263" s="1"/>
  <c r="BP263" s="1"/>
  <c r="EI263" i="43"/>
  <c r="BK263" i="24"/>
  <c r="T219"/>
  <c r="V219" s="1"/>
  <c r="EI219" i="43"/>
  <c r="BK219" i="24"/>
  <c r="EI214" i="43"/>
  <c r="T214" i="24"/>
  <c r="V214" s="1"/>
  <c r="BK214"/>
  <c r="BI168"/>
  <c r="EI177" i="43"/>
  <c r="T177" i="24"/>
  <c r="V177" s="1"/>
  <c r="BK177"/>
  <c r="T171"/>
  <c r="V171" s="1"/>
  <c r="BP171" s="1"/>
  <c r="EI171" i="43"/>
  <c r="BK171" i="24"/>
  <c r="EJ129" i="43"/>
  <c r="AC129" i="24"/>
  <c r="EJ379" i="43"/>
  <c r="AC379" i="24"/>
  <c r="AD379"/>
  <c r="AE379"/>
  <c r="EJ371" i="43"/>
  <c r="AC371" i="24"/>
  <c r="EJ363" i="43"/>
  <c r="AC363" i="24"/>
  <c r="EJ355" i="43"/>
  <c r="AC355" i="24"/>
  <c r="AE355"/>
  <c r="AD355"/>
  <c r="EJ347" i="43"/>
  <c r="AC347" i="24"/>
  <c r="EJ339" i="43"/>
  <c r="AC339" i="24"/>
  <c r="EJ331" i="43"/>
  <c r="AC331" i="24"/>
  <c r="EJ323" i="43"/>
  <c r="AC323" i="24"/>
  <c r="EJ315" i="43"/>
  <c r="AC315" i="24"/>
  <c r="BI309"/>
  <c r="EJ289" i="43"/>
  <c r="AC289" i="24"/>
  <c r="AD289"/>
  <c r="AE289"/>
  <c r="T283"/>
  <c r="V283" s="1"/>
  <c r="BP283" s="1"/>
  <c r="EI283" i="43"/>
  <c r="BK283" i="24"/>
  <c r="EJ257" i="43"/>
  <c r="AC257" i="24"/>
  <c r="AD257"/>
  <c r="AE257"/>
  <c r="T251"/>
  <c r="V251" s="1"/>
  <c r="BP251" s="1"/>
  <c r="EI251" i="43"/>
  <c r="BK251" i="24"/>
  <c r="EJ225" i="43"/>
  <c r="AC225" i="24"/>
  <c r="T212"/>
  <c r="V212" s="1"/>
  <c r="EI212" i="43"/>
  <c r="BK212" i="24"/>
  <c r="BI192"/>
  <c r="T190"/>
  <c r="V190" s="1"/>
  <c r="EI190" i="43"/>
  <c r="BK190" i="24"/>
  <c r="EJ187" i="43"/>
  <c r="AC187" i="24"/>
  <c r="AD187"/>
  <c r="AE187"/>
  <c r="EJ181" i="43"/>
  <c r="AC181" i="24"/>
  <c r="AD181"/>
  <c r="AE181"/>
  <c r="AC145"/>
  <c r="EJ145" i="43"/>
  <c r="T209" i="24"/>
  <c r="V209" s="1"/>
  <c r="EI209" i="43"/>
  <c r="BK209" i="24"/>
  <c r="EI193" i="43"/>
  <c r="T193" i="24"/>
  <c r="V193" s="1"/>
  <c r="BK193"/>
  <c r="EJ287" i="43"/>
  <c r="AC287" i="24"/>
  <c r="T281"/>
  <c r="V281" s="1"/>
  <c r="BP281" s="1"/>
  <c r="EI281" i="43"/>
  <c r="BK281" i="24"/>
  <c r="EJ255" i="43"/>
  <c r="AC255" i="24"/>
  <c r="T249"/>
  <c r="V249" s="1"/>
  <c r="BP249" s="1"/>
  <c r="EI249" i="43"/>
  <c r="BK249" i="24"/>
  <c r="BI206"/>
  <c r="T201"/>
  <c r="V201" s="1"/>
  <c r="EI201" i="43"/>
  <c r="BK201" i="24"/>
  <c r="T179"/>
  <c r="V179" s="1"/>
  <c r="BP179" s="1"/>
  <c r="EI179" i="43"/>
  <c r="BK179" i="24"/>
  <c r="T148"/>
  <c r="V148" s="1"/>
  <c r="EI148" i="43"/>
  <c r="BK148" i="24"/>
  <c r="EJ123" i="43"/>
  <c r="AC123" i="24"/>
  <c r="EJ105" i="43"/>
  <c r="AC105" i="24"/>
  <c r="AD105"/>
  <c r="AE105"/>
  <c r="AC304"/>
  <c r="EJ304" i="43"/>
  <c r="AD304" i="24"/>
  <c r="AE304"/>
  <c r="EJ296" i="43"/>
  <c r="AC296" i="24"/>
  <c r="AE296"/>
  <c r="AD296"/>
  <c r="EJ288" i="43"/>
  <c r="AC288" i="24"/>
  <c r="AE288"/>
  <c r="AD288"/>
  <c r="EJ280" i="43"/>
  <c r="AC280" i="24"/>
  <c r="AD280"/>
  <c r="AE280"/>
  <c r="EJ272" i="43"/>
  <c r="AC272" i="24"/>
  <c r="AD272"/>
  <c r="AE272"/>
  <c r="EJ264" i="43"/>
  <c r="AC264" i="24"/>
  <c r="AD264"/>
  <c r="AE264"/>
  <c r="EJ256" i="43"/>
  <c r="AC256" i="24"/>
  <c r="AE256"/>
  <c r="AD256"/>
  <c r="EJ248" i="43"/>
  <c r="AC248" i="24"/>
  <c r="AE248"/>
  <c r="AD248"/>
  <c r="EJ240" i="43"/>
  <c r="AC240" i="24"/>
  <c r="AD240"/>
  <c r="AE240"/>
  <c r="EJ232" i="43"/>
  <c r="AC232" i="24"/>
  <c r="AD232"/>
  <c r="AE232"/>
  <c r="EJ224" i="43"/>
  <c r="AC224" i="24"/>
  <c r="AD224"/>
  <c r="AE224"/>
  <c r="T215"/>
  <c r="V215" s="1"/>
  <c r="EI215" i="43"/>
  <c r="BK215" i="24"/>
  <c r="AC209"/>
  <c r="EJ209" i="43"/>
  <c r="BI199" i="24"/>
  <c r="T194"/>
  <c r="V194" s="1"/>
  <c r="EI194" i="43"/>
  <c r="BK194" i="24"/>
  <c r="EI183" i="43"/>
  <c r="T183" i="24"/>
  <c r="V183" s="1"/>
  <c r="BK183"/>
  <c r="EJ177" i="43"/>
  <c r="AC177" i="24"/>
  <c r="AE177"/>
  <c r="AD177"/>
  <c r="BI167"/>
  <c r="T144"/>
  <c r="V144" s="1"/>
  <c r="EI144" i="43"/>
  <c r="BK144" i="24"/>
  <c r="EJ119" i="43"/>
  <c r="AC119" i="24"/>
  <c r="T88"/>
  <c r="V88" s="1"/>
  <c r="BP88" s="1"/>
  <c r="EI88" i="43"/>
  <c r="BK88" i="24"/>
  <c r="T21"/>
  <c r="V21" s="1"/>
  <c r="BP21" s="1"/>
  <c r="EI21" i="43"/>
  <c r="EI308"/>
  <c r="T308" i="24"/>
  <c r="V308" s="1"/>
  <c r="BK308"/>
  <c r="T306"/>
  <c r="V306" s="1"/>
  <c r="EI306" i="43"/>
  <c r="BK306" i="24"/>
  <c r="T304"/>
  <c r="V304" s="1"/>
  <c r="BP304" s="1"/>
  <c r="EI304" i="43"/>
  <c r="BK304" i="24"/>
  <c r="T302"/>
  <c r="V302" s="1"/>
  <c r="EI302" i="43"/>
  <c r="BK302" i="24"/>
  <c r="EI300" i="43"/>
  <c r="T300" i="24"/>
  <c r="V300" s="1"/>
  <c r="BK300"/>
  <c r="T298"/>
  <c r="V298" s="1"/>
  <c r="EI298" i="43"/>
  <c r="BK298" i="24"/>
  <c r="EI296" i="43"/>
  <c r="T296" i="24"/>
  <c r="V296" s="1"/>
  <c r="BK296"/>
  <c r="T294"/>
  <c r="V294" s="1"/>
  <c r="BP294" s="1"/>
  <c r="EI294" i="43"/>
  <c r="BK294" i="24"/>
  <c r="EI292" i="43"/>
  <c r="T292" i="24"/>
  <c r="V292" s="1"/>
  <c r="BP292" s="1"/>
  <c r="BK292"/>
  <c r="T290"/>
  <c r="V290" s="1"/>
  <c r="EI290" i="43"/>
  <c r="BK290" i="24"/>
  <c r="EI288" i="43"/>
  <c r="T288" i="24"/>
  <c r="V288" s="1"/>
  <c r="BP288" s="1"/>
  <c r="BK288"/>
  <c r="T286"/>
  <c r="V286" s="1"/>
  <c r="EI286" i="43"/>
  <c r="BK286" i="24"/>
  <c r="EI284" i="43"/>
  <c r="T284" i="24"/>
  <c r="V284" s="1"/>
  <c r="BP284" s="1"/>
  <c r="BK284"/>
  <c r="T282"/>
  <c r="V282" s="1"/>
  <c r="BP282" s="1"/>
  <c r="EI282" i="43"/>
  <c r="BK282" i="24"/>
  <c r="EI280" i="43"/>
  <c r="T280" i="24"/>
  <c r="V280" s="1"/>
  <c r="BP280" s="1"/>
  <c r="BK280"/>
  <c r="T278"/>
  <c r="V278" s="1"/>
  <c r="BP278" s="1"/>
  <c r="EI278" i="43"/>
  <c r="BK278" i="24"/>
  <c r="T276"/>
  <c r="V276" s="1"/>
  <c r="BP276" s="1"/>
  <c r="EI276" i="43"/>
  <c r="BK276" i="24"/>
  <c r="T274"/>
  <c r="V274" s="1"/>
  <c r="BP274" s="1"/>
  <c r="EI274" i="43"/>
  <c r="BK274" i="24"/>
  <c r="EI272" i="43"/>
  <c r="T272" i="24"/>
  <c r="V272" s="1"/>
  <c r="BP272" s="1"/>
  <c r="BK272"/>
  <c r="T270"/>
  <c r="V270" s="1"/>
  <c r="BP270" s="1"/>
  <c r="EI270" i="43"/>
  <c r="BK270" i="24"/>
  <c r="T268"/>
  <c r="V268" s="1"/>
  <c r="BP268" s="1"/>
  <c r="EI268" i="43"/>
  <c r="BK268" i="24"/>
  <c r="T266"/>
  <c r="V266" s="1"/>
  <c r="BP266" s="1"/>
  <c r="EI266" i="43"/>
  <c r="BK266" i="24"/>
  <c r="T264"/>
  <c r="V264" s="1"/>
  <c r="BP264" s="1"/>
  <c r="EI264" i="43"/>
  <c r="BK264" i="24"/>
  <c r="T262"/>
  <c r="V262" s="1"/>
  <c r="BP262" s="1"/>
  <c r="EI262" i="43"/>
  <c r="BK262" i="24"/>
  <c r="T260"/>
  <c r="V260" s="1"/>
  <c r="BP260" s="1"/>
  <c r="EI260" i="43"/>
  <c r="BK260" i="24"/>
  <c r="T258"/>
  <c r="V258" s="1"/>
  <c r="BP258" s="1"/>
  <c r="EI258" i="43"/>
  <c r="BK258" i="24"/>
  <c r="T256"/>
  <c r="V256" s="1"/>
  <c r="EI256" i="43"/>
  <c r="BK256" i="24"/>
  <c r="T254"/>
  <c r="V254" s="1"/>
  <c r="BP254" s="1"/>
  <c r="EI254" i="43"/>
  <c r="BK254" i="24"/>
  <c r="T252"/>
  <c r="V252" s="1"/>
  <c r="EI252" i="43"/>
  <c r="BK252" i="24"/>
  <c r="T250"/>
  <c r="V250" s="1"/>
  <c r="EI250" i="43"/>
  <c r="BK250" i="24"/>
  <c r="T248"/>
  <c r="V248" s="1"/>
  <c r="EI248" i="43"/>
  <c r="BK248" i="24"/>
  <c r="T246"/>
  <c r="V246" s="1"/>
  <c r="EI246" i="43"/>
  <c r="BK246" i="24"/>
  <c r="EI244" i="43"/>
  <c r="T244" i="24"/>
  <c r="V244" s="1"/>
  <c r="BK244"/>
  <c r="T242"/>
  <c r="V242" s="1"/>
  <c r="EI242" i="43"/>
  <c r="BK242" i="24"/>
  <c r="T240"/>
  <c r="V240" s="1"/>
  <c r="BP240" s="1"/>
  <c r="EI240" i="43"/>
  <c r="BK240" i="24"/>
  <c r="T238"/>
  <c r="V238" s="1"/>
  <c r="EI238" i="43"/>
  <c r="BK238" i="24"/>
  <c r="T236"/>
  <c r="V236" s="1"/>
  <c r="BP236" s="1"/>
  <c r="EI236" i="43"/>
  <c r="BK236" i="24"/>
  <c r="EI234" i="43"/>
  <c r="T234" i="24"/>
  <c r="V234" s="1"/>
  <c r="BK234"/>
  <c r="T232"/>
  <c r="V232" s="1"/>
  <c r="EI232" i="43"/>
  <c r="BK232" i="24"/>
  <c r="T230"/>
  <c r="V230" s="1"/>
  <c r="EI230" i="43"/>
  <c r="BK230" i="24"/>
  <c r="T228"/>
  <c r="V228" s="1"/>
  <c r="EI228" i="43"/>
  <c r="BK228" i="24"/>
  <c r="EI226" i="43"/>
  <c r="T226" i="24"/>
  <c r="V226" s="1"/>
  <c r="BK226"/>
  <c r="T224"/>
  <c r="V224" s="1"/>
  <c r="EI224" i="43"/>
  <c r="BK224" i="24"/>
  <c r="BI218"/>
  <c r="T213"/>
  <c r="V213" s="1"/>
  <c r="EI213" i="43"/>
  <c r="BK213" i="24"/>
  <c r="AC207"/>
  <c r="EJ207" i="43"/>
  <c r="T192" i="24"/>
  <c r="V192" s="1"/>
  <c r="BP192" s="1"/>
  <c r="EI192" i="43"/>
  <c r="BK192" i="24"/>
  <c r="BI186"/>
  <c r="EI181" i="43"/>
  <c r="T181" i="24"/>
  <c r="V181" s="1"/>
  <c r="BK181"/>
  <c r="EJ175" i="43"/>
  <c r="AC175" i="24"/>
  <c r="BI165"/>
  <c r="EI150" i="43"/>
  <c r="T150" i="24"/>
  <c r="V150" s="1"/>
  <c r="BK150"/>
  <c r="AC139"/>
  <c r="EJ139" i="43"/>
  <c r="EJ133"/>
  <c r="AC133" i="24"/>
  <c r="EJ101" i="43"/>
  <c r="AC101" i="24"/>
  <c r="EJ64" i="43"/>
  <c r="AC64" i="24"/>
  <c r="AC29"/>
  <c r="EJ29" i="43"/>
  <c r="BI20" i="24"/>
  <c r="BI162"/>
  <c r="BI160"/>
  <c r="BI158"/>
  <c r="BI156"/>
  <c r="BI154"/>
  <c r="BI152"/>
  <c r="BI150"/>
  <c r="BI148"/>
  <c r="BI146"/>
  <c r="BI144"/>
  <c r="BI140"/>
  <c r="BI138"/>
  <c r="BI130"/>
  <c r="BI122"/>
  <c r="BI114"/>
  <c r="BI106"/>
  <c r="BI98"/>
  <c r="BI92"/>
  <c r="T87"/>
  <c r="V87" s="1"/>
  <c r="BP87" s="1"/>
  <c r="EI87" i="43"/>
  <c r="BK87" i="24"/>
  <c r="T80"/>
  <c r="V80" s="1"/>
  <c r="EI80" i="43"/>
  <c r="BK80" i="24"/>
  <c r="AC20"/>
  <c r="EJ20" i="43"/>
  <c r="EJ216"/>
  <c r="AC216" i="24"/>
  <c r="AD216"/>
  <c r="AE216"/>
  <c r="EJ208" i="43"/>
  <c r="AC208" i="24"/>
  <c r="AD208"/>
  <c r="AE208"/>
  <c r="EJ200" i="43"/>
  <c r="AC200" i="24"/>
  <c r="EJ192" i="43"/>
  <c r="AC192" i="24"/>
  <c r="EJ184" i="43"/>
  <c r="AC184" i="24"/>
  <c r="EJ176" i="43"/>
  <c r="AC176" i="24"/>
  <c r="EJ168" i="43"/>
  <c r="AC168" i="24"/>
  <c r="AE168"/>
  <c r="AD168"/>
  <c r="EJ160" i="43"/>
  <c r="AC160" i="24"/>
  <c r="AE160"/>
  <c r="AD160"/>
  <c r="EJ152" i="43"/>
  <c r="AC152" i="24"/>
  <c r="AE152"/>
  <c r="AD152"/>
  <c r="AC144"/>
  <c r="EJ144" i="43"/>
  <c r="AE144" i="24"/>
  <c r="AD144"/>
  <c r="T93"/>
  <c r="V93" s="1"/>
  <c r="EI93" i="43"/>
  <c r="BK93" i="24"/>
  <c r="BI87"/>
  <c r="BI77"/>
  <c r="EJ75" i="43"/>
  <c r="AC75" i="24"/>
  <c r="T71"/>
  <c r="V71" s="1"/>
  <c r="BP71" s="1"/>
  <c r="EI71" i="43"/>
  <c r="BK71" i="24"/>
  <c r="T69"/>
  <c r="V69" s="1"/>
  <c r="BP69" s="1"/>
  <c r="EI69" i="43"/>
  <c r="BK69" i="24"/>
  <c r="EJ66" i="43"/>
  <c r="AC66" i="24"/>
  <c r="T61"/>
  <c r="V61" s="1"/>
  <c r="BP61" s="1"/>
  <c r="EI61" i="43"/>
  <c r="BK61" i="24"/>
  <c r="AC58"/>
  <c r="EJ58" i="43"/>
  <c r="AD58" i="24"/>
  <c r="AE58"/>
  <c r="T53"/>
  <c r="V53" s="1"/>
  <c r="EI53" i="43"/>
  <c r="BK53" i="24"/>
  <c r="AC41"/>
  <c r="EJ41" i="43"/>
  <c r="BI30" i="24"/>
  <c r="BI22"/>
  <c r="AC93"/>
  <c r="EJ93" i="43"/>
  <c r="AD93" i="24"/>
  <c r="AE93"/>
  <c r="EJ85" i="43"/>
  <c r="AC85" i="24"/>
  <c r="BI80"/>
  <c r="T75"/>
  <c r="V75" s="1"/>
  <c r="BP75" s="1"/>
  <c r="EI75" i="43"/>
  <c r="BK75" i="24"/>
  <c r="T50"/>
  <c r="V50" s="1"/>
  <c r="EI50" i="43"/>
  <c r="BK50" i="24"/>
  <c r="EJ82" i="43"/>
  <c r="AC82" i="24"/>
  <c r="AD82"/>
  <c r="AE82"/>
  <c r="EJ74" i="43"/>
  <c r="AC74" i="24"/>
  <c r="AE74"/>
  <c r="AD74"/>
  <c r="AC37"/>
  <c r="EJ37" i="43"/>
  <c r="AC27" i="24"/>
  <c r="EJ27" i="43"/>
  <c r="AC23" i="24"/>
  <c r="EJ23" i="43"/>
  <c r="AC19" i="24"/>
  <c r="EJ19" i="43"/>
  <c r="EI70"/>
  <c r="T70" i="24"/>
  <c r="V70" s="1"/>
  <c r="BK70"/>
  <c r="T68"/>
  <c r="V68" s="1"/>
  <c r="EI68" i="43"/>
  <c r="BK68" i="24"/>
  <c r="T66"/>
  <c r="V66" s="1"/>
  <c r="EI66" i="43"/>
  <c r="BK66" i="24"/>
  <c r="T64"/>
  <c r="V64" s="1"/>
  <c r="BP64" s="1"/>
  <c r="EI64" i="43"/>
  <c r="BK64" i="24"/>
  <c r="T62"/>
  <c r="V62" s="1"/>
  <c r="EI62" i="43"/>
  <c r="BK62" i="24"/>
  <c r="T60"/>
  <c r="V60" s="1"/>
  <c r="BP60" s="1"/>
  <c r="EI60" i="43"/>
  <c r="BK60" i="24"/>
  <c r="EI58" i="43"/>
  <c r="T58" i="24"/>
  <c r="V58" s="1"/>
  <c r="BK58"/>
  <c r="T56"/>
  <c r="V56" s="1"/>
  <c r="EI56" i="43"/>
  <c r="BK56" i="24"/>
  <c r="T54"/>
  <c r="V54" s="1"/>
  <c r="EI54" i="43"/>
  <c r="BK54" i="24"/>
  <c r="AC48"/>
  <c r="EJ48" i="43"/>
  <c r="AC40" i="24"/>
  <c r="EJ40" i="43"/>
  <c r="AC35" i="24"/>
  <c r="EJ35" i="43"/>
  <c r="BI50" i="24"/>
  <c r="BI48"/>
  <c r="BI46"/>
  <c r="BI44"/>
  <c r="BI42"/>
  <c r="BI40"/>
  <c r="BI38"/>
  <c r="BI36"/>
  <c r="T33"/>
  <c r="V33" s="1"/>
  <c r="BP33" s="1"/>
  <c r="EI33" i="43"/>
  <c r="AC34" i="24"/>
  <c r="EJ34" i="43"/>
  <c r="J44" i="34"/>
  <c r="J45"/>
  <c r="J40"/>
  <c r="L9" i="35"/>
  <c r="BK19" i="24"/>
  <c r="BK42"/>
  <c r="BK37"/>
  <c r="BK25"/>
  <c r="BK39"/>
  <c r="BK32"/>
  <c r="BK35"/>
  <c r="L74" i="35"/>
  <c r="L89"/>
  <c r="L102"/>
  <c r="K106"/>
  <c r="K107"/>
  <c r="K102"/>
  <c r="K98"/>
  <c r="K93"/>
  <c r="K89"/>
  <c r="K84"/>
  <c r="K85"/>
  <c r="K78"/>
  <c r="K74"/>
  <c r="K70"/>
  <c r="K68"/>
  <c r="K67"/>
  <c r="K65"/>
  <c r="K61"/>
  <c r="K56"/>
  <c r="K52"/>
  <c r="K53"/>
  <c r="K50"/>
  <c r="K30"/>
  <c r="K32"/>
  <c r="K27"/>
  <c r="K28"/>
  <c r="K18"/>
  <c r="K8"/>
  <c r="K16"/>
  <c r="K103"/>
  <c r="K7"/>
  <c r="N50" i="43"/>
  <c r="FP50" s="1"/>
  <c r="N27"/>
  <c r="N42"/>
  <c r="FP42" s="1"/>
  <c r="M14"/>
  <c r="N14" s="1"/>
  <c r="AF12" i="45"/>
  <c r="N38" i="43"/>
  <c r="AF14" i="45"/>
  <c r="M12" i="43"/>
  <c r="N12" s="1"/>
  <c r="G9"/>
  <c r="H9" s="1"/>
  <c r="DW113"/>
  <c r="DX113" s="1"/>
  <c r="DW241"/>
  <c r="DX241" s="1"/>
  <c r="DW274"/>
  <c r="DX274" s="1"/>
  <c r="DW171"/>
  <c r="DX171" s="1"/>
  <c r="DW269"/>
  <c r="DX269" s="1"/>
  <c r="DW253"/>
  <c r="DX253" s="1"/>
  <c r="O310" i="24"/>
  <c r="O309"/>
  <c r="W389" i="45"/>
  <c r="DW143" i="43"/>
  <c r="DX143" s="1"/>
  <c r="DW139"/>
  <c r="DX139" s="1"/>
  <c r="DW273"/>
  <c r="DX273" s="1"/>
  <c r="DW215"/>
  <c r="DX215" s="1"/>
  <c r="DW131"/>
  <c r="DX131" s="1"/>
  <c r="DW125"/>
  <c r="DX125" s="1"/>
  <c r="DW265"/>
  <c r="DX265" s="1"/>
  <c r="DW245"/>
  <c r="DX245" s="1"/>
  <c r="DW219"/>
  <c r="DX219" s="1"/>
  <c r="DW137"/>
  <c r="DX137" s="1"/>
  <c r="DW135"/>
  <c r="DX135" s="1"/>
  <c r="N43"/>
  <c r="FP43" s="1"/>
  <c r="N246"/>
  <c r="FP246" s="1"/>
  <c r="N245"/>
  <c r="FP245" s="1"/>
  <c r="N18"/>
  <c r="N252"/>
  <c r="N251"/>
  <c r="N250"/>
  <c r="N248"/>
  <c r="N247"/>
  <c r="N244"/>
  <c r="N241"/>
  <c r="N239"/>
  <c r="N238"/>
  <c r="N231"/>
  <c r="N229"/>
  <c r="FP229" s="1"/>
  <c r="N156"/>
  <c r="FP156" s="1"/>
  <c r="DW213"/>
  <c r="DX213" s="1"/>
  <c r="DW211"/>
  <c r="DX211" s="1"/>
  <c r="DW209"/>
  <c r="DX209" s="1"/>
  <c r="DW207"/>
  <c r="DX207" s="1"/>
  <c r="DW95"/>
  <c r="DX95" s="1"/>
  <c r="DW91"/>
  <c r="DX91" s="1"/>
  <c r="DW87"/>
  <c r="DX87" s="1"/>
  <c r="DW73"/>
  <c r="DX73" s="1"/>
  <c r="DW217"/>
  <c r="DX217" s="1"/>
  <c r="N224"/>
  <c r="FP224" s="1"/>
  <c r="N184"/>
  <c r="N173"/>
  <c r="N164"/>
  <c r="N162"/>
  <c r="N158"/>
  <c r="N153"/>
  <c r="N150"/>
  <c r="N149"/>
  <c r="N148"/>
  <c r="N145"/>
  <c r="N139"/>
  <c r="N138"/>
  <c r="N136"/>
  <c r="N134"/>
  <c r="N131"/>
  <c r="N130"/>
  <c r="N127"/>
  <c r="N118"/>
  <c r="N117"/>
  <c r="N116"/>
  <c r="N114"/>
  <c r="N112"/>
  <c r="AD383" i="45"/>
  <c r="AD363"/>
  <c r="N111" i="43"/>
  <c r="N110"/>
  <c r="N109"/>
  <c r="N108"/>
  <c r="O20" i="24"/>
  <c r="DW63" i="43"/>
  <c r="DX63" s="1"/>
  <c r="DW158"/>
  <c r="DX158" s="1"/>
  <c r="DW156"/>
  <c r="DX156" s="1"/>
  <c r="DW154"/>
  <c r="DX154" s="1"/>
  <c r="DW152"/>
  <c r="DX152" s="1"/>
  <c r="DW150"/>
  <c r="DX150" s="1"/>
  <c r="DW148"/>
  <c r="DX148" s="1"/>
  <c r="DW146"/>
  <c r="DX146" s="1"/>
  <c r="DW144"/>
  <c r="DX144" s="1"/>
  <c r="DW142"/>
  <c r="DX142" s="1"/>
  <c r="DW138"/>
  <c r="DX138" s="1"/>
  <c r="DW126"/>
  <c r="DX126" s="1"/>
  <c r="DW122"/>
  <c r="DX122" s="1"/>
  <c r="DW110"/>
  <c r="DX110" s="1"/>
  <c r="DW108"/>
  <c r="DX108" s="1"/>
  <c r="DW104"/>
  <c r="DX104" s="1"/>
  <c r="DW102"/>
  <c r="DX102" s="1"/>
  <c r="DW100"/>
  <c r="DX100" s="1"/>
  <c r="DW98"/>
  <c r="DX98" s="1"/>
  <c r="N21"/>
  <c r="N40"/>
  <c r="N102"/>
  <c r="DW240"/>
  <c r="DX240" s="1"/>
  <c r="DW174"/>
  <c r="DX174" s="1"/>
  <c r="AF8" i="45"/>
  <c r="N100" i="43"/>
  <c r="N98"/>
  <c r="N96"/>
  <c r="N94"/>
  <c r="N58"/>
  <c r="FP58" s="1"/>
  <c r="N73"/>
  <c r="FP73" s="1"/>
  <c r="AF7" i="45"/>
  <c r="N81" i="43"/>
  <c r="N75"/>
  <c r="DW34"/>
  <c r="DX34" s="1"/>
  <c r="N93"/>
  <c r="N92"/>
  <c r="N88"/>
  <c r="N87"/>
  <c r="N86"/>
  <c r="N76"/>
  <c r="CZ35"/>
  <c r="DF35" s="1"/>
  <c r="N68"/>
  <c r="BL32"/>
  <c r="BR32" s="1"/>
  <c r="CF35"/>
  <c r="CM35" s="1"/>
  <c r="N64"/>
  <c r="FP64" s="1"/>
  <c r="CF30"/>
  <c r="CM30" s="1"/>
  <c r="CF32"/>
  <c r="CM32" s="1"/>
  <c r="BL25"/>
  <c r="BR25" s="1"/>
  <c r="N61"/>
  <c r="N52"/>
  <c r="N54"/>
  <c r="BI10" i="24"/>
  <c r="DW381" i="43"/>
  <c r="DX381" s="1"/>
  <c r="DW379"/>
  <c r="DX379" s="1"/>
  <c r="DW377"/>
  <c r="DX377" s="1"/>
  <c r="DW375"/>
  <c r="DX375" s="1"/>
  <c r="DW373"/>
  <c r="DX373" s="1"/>
  <c r="DW371"/>
  <c r="DX371" s="1"/>
  <c r="DW369"/>
  <c r="DX369" s="1"/>
  <c r="DW367"/>
  <c r="DX367" s="1"/>
  <c r="DW365"/>
  <c r="DX365" s="1"/>
  <c r="DW363"/>
  <c r="DX363" s="1"/>
  <c r="DW361"/>
  <c r="DX361" s="1"/>
  <c r="DW359"/>
  <c r="DX359" s="1"/>
  <c r="DW357"/>
  <c r="DX357" s="1"/>
  <c r="DW355"/>
  <c r="DX355" s="1"/>
  <c r="DW353"/>
  <c r="DX353" s="1"/>
  <c r="DW351"/>
  <c r="DX351" s="1"/>
  <c r="DW349"/>
  <c r="DX349" s="1"/>
  <c r="DW347"/>
  <c r="DX347" s="1"/>
  <c r="DW345"/>
  <c r="DX345" s="1"/>
  <c r="DW343"/>
  <c r="DX343" s="1"/>
  <c r="DW321"/>
  <c r="DX321" s="1"/>
  <c r="DW319"/>
  <c r="DX319" s="1"/>
  <c r="DW317"/>
  <c r="DX317" s="1"/>
  <c r="DW315"/>
  <c r="DX315" s="1"/>
  <c r="DW313"/>
  <c r="DX313" s="1"/>
  <c r="DW311"/>
  <c r="DX311" s="1"/>
  <c r="DW309"/>
  <c r="DX309" s="1"/>
  <c r="DW285"/>
  <c r="DX285" s="1"/>
  <c r="N29"/>
  <c r="DW277"/>
  <c r="DX277" s="1"/>
  <c r="J73" i="34"/>
  <c r="J74"/>
  <c r="J72"/>
  <c r="J71"/>
  <c r="J69"/>
  <c r="J70"/>
  <c r="J65"/>
  <c r="J68"/>
  <c r="J63"/>
  <c r="J64"/>
  <c r="J56"/>
  <c r="J60"/>
  <c r="J53"/>
  <c r="J54"/>
  <c r="J51"/>
  <c r="J52"/>
  <c r="J48"/>
  <c r="J49"/>
  <c r="J34"/>
  <c r="J23"/>
  <c r="K75" i="35"/>
  <c r="K90"/>
  <c r="K13"/>
  <c r="K62"/>
  <c r="K10"/>
  <c r="K11"/>
  <c r="K80"/>
  <c r="K6"/>
  <c r="AF13" i="45"/>
  <c r="DW32" i="43"/>
  <c r="DX32" s="1"/>
  <c r="DW26"/>
  <c r="DX26" s="1"/>
  <c r="DW24"/>
  <c r="DX24" s="1"/>
  <c r="DW23"/>
  <c r="DX23" s="1"/>
  <c r="DW20"/>
  <c r="DX20" s="1"/>
  <c r="DW18"/>
  <c r="DX18" s="1"/>
  <c r="DW33"/>
  <c r="DX33" s="1"/>
  <c r="DW31"/>
  <c r="DX31" s="1"/>
  <c r="DW29"/>
  <c r="DX29" s="1"/>
  <c r="DW28"/>
  <c r="DX28" s="1"/>
  <c r="DW27"/>
  <c r="DX27" s="1"/>
  <c r="DW22"/>
  <c r="DX22" s="1"/>
  <c r="DW59"/>
  <c r="DX59" s="1"/>
  <c r="DW58"/>
  <c r="DX58" s="1"/>
  <c r="DW56"/>
  <c r="DX56" s="1"/>
  <c r="DW54"/>
  <c r="DX54" s="1"/>
  <c r="DW52"/>
  <c r="DX52" s="1"/>
  <c r="DW51"/>
  <c r="DX51" s="1"/>
  <c r="DW50"/>
  <c r="DX50" s="1"/>
  <c r="DW47"/>
  <c r="DX47" s="1"/>
  <c r="DW44"/>
  <c r="DX44" s="1"/>
  <c r="DW60"/>
  <c r="DX60" s="1"/>
  <c r="DW57"/>
  <c r="DX57" s="1"/>
  <c r="DW53"/>
  <c r="DX53" s="1"/>
  <c r="DW49"/>
  <c r="DX49" s="1"/>
  <c r="DW48"/>
  <c r="DX48" s="1"/>
  <c r="DW45"/>
  <c r="DX45" s="1"/>
  <c r="DW43"/>
  <c r="DX43" s="1"/>
  <c r="N24"/>
  <c r="N26"/>
  <c r="N34"/>
  <c r="DW38"/>
  <c r="DX38" s="1"/>
  <c r="DW42"/>
  <c r="DX42" s="1"/>
  <c r="DW41"/>
  <c r="DX41" s="1"/>
  <c r="DW40"/>
  <c r="DX40" s="1"/>
  <c r="DW37"/>
  <c r="DX37" s="1"/>
  <c r="DW36"/>
  <c r="DX36" s="1"/>
  <c r="DW338"/>
  <c r="DX338" s="1"/>
  <c r="DW334"/>
  <c r="DX334" s="1"/>
  <c r="DW332"/>
  <c r="DX332" s="1"/>
  <c r="DW330"/>
  <c r="DX330" s="1"/>
  <c r="DW328"/>
  <c r="DX328" s="1"/>
  <c r="DW326"/>
  <c r="DX326" s="1"/>
  <c r="DW324"/>
  <c r="DX324" s="1"/>
  <c r="DW322"/>
  <c r="DX322" s="1"/>
  <c r="DW306"/>
  <c r="DX306" s="1"/>
  <c r="DW304"/>
  <c r="DX304" s="1"/>
  <c r="DW302"/>
  <c r="DX302" s="1"/>
  <c r="DW300"/>
  <c r="DX300" s="1"/>
  <c r="DW287"/>
  <c r="DX287" s="1"/>
  <c r="DW286"/>
  <c r="DX286" s="1"/>
  <c r="DW284"/>
  <c r="DX284" s="1"/>
  <c r="DW341"/>
  <c r="DX341" s="1"/>
  <c r="DW339"/>
  <c r="DX339" s="1"/>
  <c r="DW337"/>
  <c r="DX337" s="1"/>
  <c r="DW335"/>
  <c r="DX335" s="1"/>
  <c r="DW333"/>
  <c r="DX333" s="1"/>
  <c r="DW331"/>
  <c r="DX331" s="1"/>
  <c r="DW329"/>
  <c r="DX329" s="1"/>
  <c r="DW327"/>
  <c r="DX327" s="1"/>
  <c r="DW325"/>
  <c r="DX325" s="1"/>
  <c r="DW323"/>
  <c r="DX323" s="1"/>
  <c r="DW305"/>
  <c r="DX305" s="1"/>
  <c r="DW303"/>
  <c r="DX303" s="1"/>
  <c r="DW301"/>
  <c r="DX301" s="1"/>
  <c r="DW297"/>
  <c r="DX297" s="1"/>
  <c r="DW295"/>
  <c r="DX295" s="1"/>
  <c r="DW293"/>
  <c r="DX293" s="1"/>
  <c r="DW291"/>
  <c r="DX291" s="1"/>
  <c r="DW289"/>
  <c r="DX289" s="1"/>
  <c r="DW281"/>
  <c r="DX281" s="1"/>
  <c r="DW275"/>
  <c r="DX275" s="1"/>
  <c r="DW250"/>
  <c r="DX250" s="1"/>
  <c r="DW248"/>
  <c r="DX248" s="1"/>
  <c r="DW247"/>
  <c r="DX247" s="1"/>
  <c r="DW246"/>
  <c r="DX246" s="1"/>
  <c r="DW235"/>
  <c r="DX235" s="1"/>
  <c r="DW234"/>
  <c r="DX234" s="1"/>
  <c r="DW221"/>
  <c r="DX221" s="1"/>
  <c r="DW220"/>
  <c r="DX220" s="1"/>
  <c r="DW218"/>
  <c r="DX218" s="1"/>
  <c r="DW216"/>
  <c r="DX216" s="1"/>
  <c r="DW214"/>
  <c r="DX214" s="1"/>
  <c r="DW212"/>
  <c r="DX212" s="1"/>
  <c r="DW210"/>
  <c r="DX210" s="1"/>
  <c r="DW208"/>
  <c r="DX208" s="1"/>
  <c r="DW206"/>
  <c r="DX206" s="1"/>
  <c r="DW205"/>
  <c r="DX205" s="1"/>
  <c r="DW199"/>
  <c r="DX199" s="1"/>
  <c r="DW198"/>
  <c r="DX198" s="1"/>
  <c r="DW193"/>
  <c r="DX193" s="1"/>
  <c r="DW192"/>
  <c r="DX192" s="1"/>
  <c r="DW190"/>
  <c r="DX190" s="1"/>
  <c r="DW187"/>
  <c r="DX187" s="1"/>
  <c r="DW185"/>
  <c r="DX185" s="1"/>
  <c r="DW184"/>
  <c r="DX184" s="1"/>
  <c r="DW182"/>
  <c r="DX182" s="1"/>
  <c r="DW178"/>
  <c r="DX178" s="1"/>
  <c r="DW177"/>
  <c r="DX177" s="1"/>
  <c r="DW175"/>
  <c r="DX175" s="1"/>
  <c r="DW173"/>
  <c r="DX173" s="1"/>
  <c r="DW172"/>
  <c r="DX172" s="1"/>
  <c r="DW168"/>
  <c r="DX168" s="1"/>
  <c r="DW166"/>
  <c r="DX166" s="1"/>
  <c r="DW164"/>
  <c r="DX164" s="1"/>
  <c r="DW162"/>
  <c r="DX162" s="1"/>
  <c r="DW160"/>
  <c r="DX160" s="1"/>
  <c r="DW272"/>
  <c r="DX272" s="1"/>
  <c r="DW271"/>
  <c r="DX271" s="1"/>
  <c r="DW270"/>
  <c r="DX270" s="1"/>
  <c r="DW268"/>
  <c r="DX268" s="1"/>
  <c r="DW267"/>
  <c r="DX267" s="1"/>
  <c r="DW266"/>
  <c r="DX266" s="1"/>
  <c r="DW264"/>
  <c r="DX264" s="1"/>
  <c r="DW263"/>
  <c r="DX263" s="1"/>
  <c r="DW262"/>
  <c r="DX262" s="1"/>
  <c r="DW260"/>
  <c r="DX260" s="1"/>
  <c r="DW259"/>
  <c r="DX259" s="1"/>
  <c r="DW258"/>
  <c r="DX258" s="1"/>
  <c r="DW256"/>
  <c r="DX256" s="1"/>
  <c r="DW255"/>
  <c r="DX255" s="1"/>
  <c r="DW254"/>
  <c r="DX254" s="1"/>
  <c r="DW252"/>
  <c r="DX252" s="1"/>
  <c r="DW251"/>
  <c r="DX251" s="1"/>
  <c r="DW244"/>
  <c r="DX244" s="1"/>
  <c r="DW243"/>
  <c r="DX243" s="1"/>
  <c r="DW242"/>
  <c r="DX242" s="1"/>
  <c r="DW238"/>
  <c r="DX238" s="1"/>
  <c r="DW236"/>
  <c r="DX236" s="1"/>
  <c r="DW233"/>
  <c r="DX233" s="1"/>
  <c r="DW232"/>
  <c r="DX232" s="1"/>
  <c r="DW230"/>
  <c r="DX230" s="1"/>
  <c r="DW229"/>
  <c r="DX229" s="1"/>
  <c r="DW228"/>
  <c r="DX228" s="1"/>
  <c r="DW226"/>
  <c r="DX226" s="1"/>
  <c r="DW224"/>
  <c r="DX224" s="1"/>
  <c r="DW222"/>
  <c r="DX222" s="1"/>
  <c r="DW204"/>
  <c r="DX204" s="1"/>
  <c r="DW203"/>
  <c r="DX203" s="1"/>
  <c r="DW201"/>
  <c r="DX201" s="1"/>
  <c r="DW200"/>
  <c r="DX200" s="1"/>
  <c r="DW197"/>
  <c r="DX197" s="1"/>
  <c r="DW196"/>
  <c r="DX196" s="1"/>
  <c r="DW195"/>
  <c r="DX195" s="1"/>
  <c r="DW194"/>
  <c r="DX194" s="1"/>
  <c r="DW191"/>
  <c r="DX191" s="1"/>
  <c r="DW189"/>
  <c r="DX189" s="1"/>
  <c r="DW188"/>
  <c r="DX188" s="1"/>
  <c r="DW186"/>
  <c r="DX186" s="1"/>
  <c r="DW183"/>
  <c r="DX183" s="1"/>
  <c r="DW181"/>
  <c r="DX181" s="1"/>
  <c r="DW180"/>
  <c r="DX180" s="1"/>
  <c r="DW179"/>
  <c r="DX179" s="1"/>
  <c r="DW176"/>
  <c r="DX176" s="1"/>
  <c r="DW170"/>
  <c r="DX170" s="1"/>
  <c r="DW169"/>
  <c r="DX169" s="1"/>
  <c r="DW141"/>
  <c r="DX141" s="1"/>
  <c r="DW136"/>
  <c r="DX136" s="1"/>
  <c r="DW124"/>
  <c r="DX124" s="1"/>
  <c r="DW121"/>
  <c r="DX121" s="1"/>
  <c r="DW119"/>
  <c r="DX119" s="1"/>
  <c r="DW117"/>
  <c r="DX117" s="1"/>
  <c r="DW115"/>
  <c r="DX115" s="1"/>
  <c r="DW111"/>
  <c r="DX111" s="1"/>
  <c r="DW140"/>
  <c r="DX140" s="1"/>
  <c r="DW134"/>
  <c r="DX134" s="1"/>
  <c r="DW133"/>
  <c r="DX133" s="1"/>
  <c r="DW130"/>
  <c r="DX130" s="1"/>
  <c r="DW129"/>
  <c r="DX129" s="1"/>
  <c r="DW127"/>
  <c r="DX127" s="1"/>
  <c r="DW123"/>
  <c r="DX123" s="1"/>
  <c r="DW120"/>
  <c r="DX120" s="1"/>
  <c r="DW118"/>
  <c r="DX118" s="1"/>
  <c r="DW116"/>
  <c r="DX116" s="1"/>
  <c r="DW114"/>
  <c r="DX114" s="1"/>
  <c r="DW112"/>
  <c r="DX112" s="1"/>
  <c r="DW109"/>
  <c r="DX109" s="1"/>
  <c r="DW106"/>
  <c r="DX106" s="1"/>
  <c r="DW97"/>
  <c r="DX97" s="1"/>
  <c r="DW93"/>
  <c r="DX93" s="1"/>
  <c r="DW92"/>
  <c r="DX92" s="1"/>
  <c r="DW90"/>
  <c r="DX90" s="1"/>
  <c r="DW88"/>
  <c r="DX88" s="1"/>
  <c r="DW86"/>
  <c r="DX86" s="1"/>
  <c r="DW85"/>
  <c r="DX85" s="1"/>
  <c r="DW81"/>
  <c r="DX81" s="1"/>
  <c r="DW77"/>
  <c r="DX77" s="1"/>
  <c r="DW75"/>
  <c r="DX75" s="1"/>
  <c r="DW70"/>
  <c r="DX70" s="1"/>
  <c r="DW67"/>
  <c r="DX67" s="1"/>
  <c r="DW65"/>
  <c r="DX65" s="1"/>
  <c r="DW64"/>
  <c r="DX64" s="1"/>
  <c r="DW62"/>
  <c r="DX62" s="1"/>
  <c r="DW96"/>
  <c r="DX96" s="1"/>
  <c r="DW94"/>
  <c r="DX94" s="1"/>
  <c r="DW89"/>
  <c r="DX89" s="1"/>
  <c r="DW84"/>
  <c r="DX84" s="1"/>
  <c r="DW82"/>
  <c r="DX82" s="1"/>
  <c r="DW80"/>
  <c r="DX80" s="1"/>
  <c r="DW78"/>
  <c r="DX78" s="1"/>
  <c r="DW76"/>
  <c r="DX76" s="1"/>
  <c r="DW74"/>
  <c r="DX74" s="1"/>
  <c r="DW72"/>
  <c r="DX72" s="1"/>
  <c r="DW71"/>
  <c r="DX71" s="1"/>
  <c r="DW68"/>
  <c r="DX68" s="1"/>
  <c r="DW66"/>
  <c r="DX66" s="1"/>
  <c r="DW61"/>
  <c r="DX61" s="1"/>
  <c r="DW21"/>
  <c r="DX21" s="1"/>
  <c r="DW19"/>
  <c r="DX19" s="1"/>
  <c r="DW30"/>
  <c r="DX30" s="1"/>
  <c r="DW25"/>
  <c r="DX25" s="1"/>
  <c r="DW46"/>
  <c r="DX46" s="1"/>
  <c r="DW55"/>
  <c r="DX55" s="1"/>
  <c r="DW39"/>
  <c r="DX39" s="1"/>
  <c r="DW35"/>
  <c r="DX35" s="1"/>
  <c r="DW380"/>
  <c r="DX380" s="1"/>
  <c r="DW378"/>
  <c r="DX378" s="1"/>
  <c r="DW376"/>
  <c r="DX376" s="1"/>
  <c r="DW374"/>
  <c r="DX374" s="1"/>
  <c r="DW372"/>
  <c r="DX372" s="1"/>
  <c r="DW370"/>
  <c r="DX370" s="1"/>
  <c r="DW368"/>
  <c r="DX368" s="1"/>
  <c r="DW366"/>
  <c r="DX366" s="1"/>
  <c r="DW364"/>
  <c r="DX364" s="1"/>
  <c r="DW362"/>
  <c r="DX362" s="1"/>
  <c r="DW360"/>
  <c r="DX360" s="1"/>
  <c r="DW358"/>
  <c r="DX358" s="1"/>
  <c r="DW356"/>
  <c r="DX356" s="1"/>
  <c r="DW354"/>
  <c r="DX354" s="1"/>
  <c r="DW352"/>
  <c r="DX352" s="1"/>
  <c r="DW350"/>
  <c r="DX350" s="1"/>
  <c r="DW348"/>
  <c r="DX348" s="1"/>
  <c r="DW346"/>
  <c r="DX346" s="1"/>
  <c r="DW344"/>
  <c r="DX344" s="1"/>
  <c r="DW342"/>
  <c r="DX342" s="1"/>
  <c r="DW340"/>
  <c r="DX340" s="1"/>
  <c r="DW336"/>
  <c r="DX336" s="1"/>
  <c r="DW320"/>
  <c r="DX320" s="1"/>
  <c r="DW318"/>
  <c r="DX318" s="1"/>
  <c r="DW316"/>
  <c r="DX316" s="1"/>
  <c r="DW314"/>
  <c r="DX314" s="1"/>
  <c r="DW312"/>
  <c r="DX312" s="1"/>
  <c r="DW310"/>
  <c r="DX310" s="1"/>
  <c r="DW308"/>
  <c r="DX308" s="1"/>
  <c r="DW307"/>
  <c r="DX307" s="1"/>
  <c r="DW299"/>
  <c r="DX299" s="1"/>
  <c r="DW298"/>
  <c r="DX298" s="1"/>
  <c r="DW296"/>
  <c r="DX296" s="1"/>
  <c r="DW294"/>
  <c r="DX294" s="1"/>
  <c r="DW292"/>
  <c r="DX292" s="1"/>
  <c r="DW290"/>
  <c r="DX290" s="1"/>
  <c r="DW288"/>
  <c r="DX288" s="1"/>
  <c r="DW283"/>
  <c r="DX283" s="1"/>
  <c r="DW282"/>
  <c r="DX282" s="1"/>
  <c r="DW280"/>
  <c r="DX280" s="1"/>
  <c r="DW279"/>
  <c r="DX279" s="1"/>
  <c r="DW278"/>
  <c r="DX278" s="1"/>
  <c r="DW276"/>
  <c r="DX276" s="1"/>
  <c r="DW261"/>
  <c r="DX261" s="1"/>
  <c r="DW257"/>
  <c r="DX257" s="1"/>
  <c r="DW249"/>
  <c r="DX249" s="1"/>
  <c r="DW239"/>
  <c r="DX239" s="1"/>
  <c r="DW237"/>
  <c r="DX237" s="1"/>
  <c r="DW231"/>
  <c r="DX231" s="1"/>
  <c r="DW227"/>
  <c r="DX227" s="1"/>
  <c r="DW225"/>
  <c r="DX225" s="1"/>
  <c r="DW223"/>
  <c r="DX223" s="1"/>
  <c r="DW202"/>
  <c r="DX202" s="1"/>
  <c r="DW167"/>
  <c r="DX167" s="1"/>
  <c r="DW165"/>
  <c r="DX165" s="1"/>
  <c r="DW163"/>
  <c r="DX163" s="1"/>
  <c r="DW161"/>
  <c r="DX161" s="1"/>
  <c r="DW159"/>
  <c r="DX159" s="1"/>
  <c r="DW157"/>
  <c r="DX157" s="1"/>
  <c r="DW155"/>
  <c r="DX155" s="1"/>
  <c r="DW153"/>
  <c r="DX153" s="1"/>
  <c r="DW151"/>
  <c r="DX151" s="1"/>
  <c r="DW149"/>
  <c r="DX149" s="1"/>
  <c r="DW147"/>
  <c r="DX147" s="1"/>
  <c r="DW145"/>
  <c r="DX145" s="1"/>
  <c r="DW132"/>
  <c r="DX132" s="1"/>
  <c r="DW128"/>
  <c r="DX128" s="1"/>
  <c r="DW107"/>
  <c r="DX107" s="1"/>
  <c r="DW105"/>
  <c r="DX105" s="1"/>
  <c r="DW103"/>
  <c r="DX103" s="1"/>
  <c r="DW101"/>
  <c r="DX101" s="1"/>
  <c r="DW99"/>
  <c r="DX99" s="1"/>
  <c r="DW83"/>
  <c r="DX83" s="1"/>
  <c r="DW79"/>
  <c r="DX79" s="1"/>
  <c r="DW69"/>
  <c r="DX69" s="1"/>
  <c r="AD360" i="45"/>
  <c r="AD374"/>
  <c r="AD358"/>
  <c r="BL30" i="43"/>
  <c r="BR30" s="1"/>
  <c r="CZ25"/>
  <c r="DF25" s="1"/>
  <c r="CF39"/>
  <c r="CM39" s="1"/>
  <c r="ED32"/>
  <c r="BL35"/>
  <c r="BR35" s="1"/>
  <c r="AD370" i="45"/>
  <c r="AD376"/>
  <c r="AD382"/>
  <c r="AD366"/>
  <c r="BL39" i="43"/>
  <c r="BR39" s="1"/>
  <c r="ED30"/>
  <c r="ED35"/>
  <c r="AD368" i="45"/>
  <c r="AD378"/>
  <c r="AD362"/>
  <c r="AD375"/>
  <c r="AD381"/>
  <c r="AD365"/>
  <c r="AD359"/>
  <c r="AD364"/>
  <c r="AD369"/>
  <c r="AD371"/>
  <c r="AD372"/>
  <c r="AD373"/>
  <c r="AD384"/>
  <c r="AD367"/>
  <c r="AD379"/>
  <c r="AD380"/>
  <c r="AD377"/>
  <c r="AD361"/>
  <c r="ED25" i="43"/>
  <c r="CZ30"/>
  <c r="DF30" s="1"/>
  <c r="CZ39"/>
  <c r="DF39" s="1"/>
  <c r="CF25"/>
  <c r="CM25" s="1"/>
  <c r="ED39"/>
  <c r="BK30" i="24"/>
  <c r="DJ26" i="43"/>
  <c r="CM40"/>
  <c r="CM28"/>
  <c r="CM29"/>
  <c r="CM38"/>
  <c r="CM36"/>
  <c r="O367" i="24"/>
  <c r="P367" s="1"/>
  <c r="O351"/>
  <c r="AI351" s="1"/>
  <c r="O14"/>
  <c r="P14" s="1"/>
  <c r="AG14" s="1"/>
  <c r="O322"/>
  <c r="O15"/>
  <c r="P15" s="1"/>
  <c r="O380"/>
  <c r="O366"/>
  <c r="O350"/>
  <c r="O334"/>
  <c r="O371"/>
  <c r="O355"/>
  <c r="O339"/>
  <c r="O320"/>
  <c r="O364"/>
  <c r="O348"/>
  <c r="O332"/>
  <c r="O381"/>
  <c r="O365"/>
  <c r="O349"/>
  <c r="O333"/>
  <c r="O328"/>
  <c r="O317"/>
  <c r="O301"/>
  <c r="O285"/>
  <c r="O268"/>
  <c r="O229"/>
  <c r="O225"/>
  <c r="O316"/>
  <c r="O300"/>
  <c r="O284"/>
  <c r="O279"/>
  <c r="O263"/>
  <c r="O252"/>
  <c r="O248"/>
  <c r="O230"/>
  <c r="O222"/>
  <c r="O207"/>
  <c r="O198"/>
  <c r="O323"/>
  <c r="O307"/>
  <c r="O291"/>
  <c r="O270"/>
  <c r="O254"/>
  <c r="O238"/>
  <c r="O221"/>
  <c r="O210"/>
  <c r="O294"/>
  <c r="O273"/>
  <c r="O257"/>
  <c r="O244"/>
  <c r="O239"/>
  <c r="O208"/>
  <c r="O196"/>
  <c r="O186"/>
  <c r="O170"/>
  <c r="O154"/>
  <c r="O149"/>
  <c r="O144"/>
  <c r="O179"/>
  <c r="O163"/>
  <c r="O148"/>
  <c r="O108"/>
  <c r="O192"/>
  <c r="O176"/>
  <c r="O160"/>
  <c r="O140"/>
  <c r="O134"/>
  <c r="O130"/>
  <c r="O126"/>
  <c r="O122"/>
  <c r="O118"/>
  <c r="O195"/>
  <c r="O185"/>
  <c r="O169"/>
  <c r="O153"/>
  <c r="O137"/>
  <c r="O97"/>
  <c r="O92"/>
  <c r="O81"/>
  <c r="O71"/>
  <c r="O42"/>
  <c r="O38"/>
  <c r="O34"/>
  <c r="O30"/>
  <c r="O26"/>
  <c r="O22"/>
  <c r="O100"/>
  <c r="O90"/>
  <c r="O64"/>
  <c r="O53"/>
  <c r="O95"/>
  <c r="O77"/>
  <c r="O61"/>
  <c r="O50"/>
  <c r="O46"/>
  <c r="O87"/>
  <c r="O66"/>
  <c r="O57"/>
  <c r="O51"/>
  <c r="O43"/>
  <c r="O16"/>
  <c r="P16" s="1"/>
  <c r="O12"/>
  <c r="O378"/>
  <c r="O362"/>
  <c r="O346"/>
  <c r="O330"/>
  <c r="O376"/>
  <c r="O360"/>
  <c r="O344"/>
  <c r="O377"/>
  <c r="O361"/>
  <c r="O345"/>
  <c r="O329"/>
  <c r="O313"/>
  <c r="O297"/>
  <c r="O280"/>
  <c r="O264"/>
  <c r="O226"/>
  <c r="O216"/>
  <c r="O209"/>
  <c r="O312"/>
  <c r="O296"/>
  <c r="O275"/>
  <c r="O259"/>
  <c r="O218"/>
  <c r="O213"/>
  <c r="O199"/>
  <c r="O319"/>
  <c r="O303"/>
  <c r="O287"/>
  <c r="O282"/>
  <c r="O266"/>
  <c r="O235"/>
  <c r="O217"/>
  <c r="O306"/>
  <c r="O290"/>
  <c r="O269"/>
  <c r="O253"/>
  <c r="O249"/>
  <c r="O240"/>
  <c r="O220"/>
  <c r="O214"/>
  <c r="O197"/>
  <c r="O182"/>
  <c r="O166"/>
  <c r="O150"/>
  <c r="O135"/>
  <c r="O131"/>
  <c r="O127"/>
  <c r="O123"/>
  <c r="O119"/>
  <c r="O115"/>
  <c r="O109"/>
  <c r="O191"/>
  <c r="O175"/>
  <c r="O159"/>
  <c r="O193"/>
  <c r="O188"/>
  <c r="O172"/>
  <c r="O156"/>
  <c r="O147"/>
  <c r="O107"/>
  <c r="O181"/>
  <c r="O165"/>
  <c r="O138"/>
  <c r="O114"/>
  <c r="O106"/>
  <c r="O88"/>
  <c r="O67"/>
  <c r="O47"/>
  <c r="O39"/>
  <c r="O35"/>
  <c r="O31"/>
  <c r="O27"/>
  <c r="O23"/>
  <c r="O96"/>
  <c r="O76"/>
  <c r="O60"/>
  <c r="O18"/>
  <c r="O84"/>
  <c r="O73"/>
  <c r="O58"/>
  <c r="O102"/>
  <c r="O78"/>
  <c r="O62"/>
  <c r="O17"/>
  <c r="O13"/>
  <c r="P13" s="1"/>
  <c r="O374"/>
  <c r="O358"/>
  <c r="O342"/>
  <c r="O327"/>
  <c r="O379"/>
  <c r="O363"/>
  <c r="O347"/>
  <c r="O331"/>
  <c r="O372"/>
  <c r="O356"/>
  <c r="O340"/>
  <c r="O373"/>
  <c r="O357"/>
  <c r="O341"/>
  <c r="O324"/>
  <c r="O293"/>
  <c r="O276"/>
  <c r="O260"/>
  <c r="O227"/>
  <c r="O223"/>
  <c r="O308"/>
  <c r="O292"/>
  <c r="O271"/>
  <c r="O255"/>
  <c r="O250"/>
  <c r="O246"/>
  <c r="O315"/>
  <c r="O299"/>
  <c r="O278"/>
  <c r="O262"/>
  <c r="O236"/>
  <c r="O231"/>
  <c r="O202"/>
  <c r="O318"/>
  <c r="O302"/>
  <c r="O286"/>
  <c r="O281"/>
  <c r="O265"/>
  <c r="O241"/>
  <c r="O232"/>
  <c r="O206"/>
  <c r="O204"/>
  <c r="O178"/>
  <c r="O162"/>
  <c r="O136"/>
  <c r="O171"/>
  <c r="O155"/>
  <c r="O141"/>
  <c r="O112"/>
  <c r="O200"/>
  <c r="O184"/>
  <c r="O168"/>
  <c r="O152"/>
  <c r="O132"/>
  <c r="O128"/>
  <c r="O124"/>
  <c r="O120"/>
  <c r="O116"/>
  <c r="O177"/>
  <c r="O161"/>
  <c r="O145"/>
  <c r="O105"/>
  <c r="O89"/>
  <c r="O63"/>
  <c r="O54"/>
  <c r="O44"/>
  <c r="O40"/>
  <c r="O36"/>
  <c r="O32"/>
  <c r="O28"/>
  <c r="O24"/>
  <c r="O82"/>
  <c r="O72"/>
  <c r="O19"/>
  <c r="O103"/>
  <c r="O85"/>
  <c r="O69"/>
  <c r="O59"/>
  <c r="O48"/>
  <c r="O98"/>
  <c r="O93"/>
  <c r="O79"/>
  <c r="O74"/>
  <c r="O370"/>
  <c r="O354"/>
  <c r="O338"/>
  <c r="O375"/>
  <c r="O359"/>
  <c r="O343"/>
  <c r="O368"/>
  <c r="O352"/>
  <c r="O336"/>
  <c r="O369"/>
  <c r="O353"/>
  <c r="O337"/>
  <c r="O325"/>
  <c r="O321"/>
  <c r="O305"/>
  <c r="O289"/>
  <c r="O272"/>
  <c r="O256"/>
  <c r="O243"/>
  <c r="O233"/>
  <c r="O228"/>
  <c r="O224"/>
  <c r="O219"/>
  <c r="O304"/>
  <c r="O288"/>
  <c r="O283"/>
  <c r="O267"/>
  <c r="O242"/>
  <c r="O234"/>
  <c r="O215"/>
  <c r="O211"/>
  <c r="O326"/>
  <c r="O311"/>
  <c r="O295"/>
  <c r="O274"/>
  <c r="O258"/>
  <c r="O245"/>
  <c r="O237"/>
  <c r="O203"/>
  <c r="O314"/>
  <c r="O298"/>
  <c r="O277"/>
  <c r="O261"/>
  <c r="O251"/>
  <c r="O247"/>
  <c r="O212"/>
  <c r="O205"/>
  <c r="O190"/>
  <c r="O174"/>
  <c r="O158"/>
  <c r="O143"/>
  <c r="O133"/>
  <c r="O129"/>
  <c r="O125"/>
  <c r="O121"/>
  <c r="O117"/>
  <c r="O113"/>
  <c r="O104"/>
  <c r="O183"/>
  <c r="O167"/>
  <c r="O151"/>
  <c r="O142"/>
  <c r="O201"/>
  <c r="O180"/>
  <c r="O164"/>
  <c r="O139"/>
  <c r="O111"/>
  <c r="O194"/>
  <c r="O189"/>
  <c r="O173"/>
  <c r="O157"/>
  <c r="O146"/>
  <c r="O110"/>
  <c r="O101"/>
  <c r="O91"/>
  <c r="O80"/>
  <c r="O75"/>
  <c r="O55"/>
  <c r="O49"/>
  <c r="O45"/>
  <c r="O41"/>
  <c r="O37"/>
  <c r="O33"/>
  <c r="O29"/>
  <c r="O25"/>
  <c r="O21"/>
  <c r="O83"/>
  <c r="O68"/>
  <c r="O52"/>
  <c r="O99"/>
  <c r="O65"/>
  <c r="O94"/>
  <c r="O86"/>
  <c r="O70"/>
  <c r="O56"/>
  <c r="CF19" i="43"/>
  <c r="CM19" s="1"/>
  <c r="CM41"/>
  <c r="DJ22"/>
  <c r="BR22"/>
  <c r="DJ40"/>
  <c r="BR40"/>
  <c r="DJ33"/>
  <c r="BR33"/>
  <c r="DF24"/>
  <c r="DJ41"/>
  <c r="BR41"/>
  <c r="DF28"/>
  <c r="DF40"/>
  <c r="CZ37"/>
  <c r="ED37"/>
  <c r="DF29"/>
  <c r="CM33"/>
  <c r="DF36"/>
  <c r="DJ23"/>
  <c r="BR23"/>
  <c r="DJ29"/>
  <c r="BR29"/>
  <c r="CM31"/>
  <c r="CZ42"/>
  <c r="ED42"/>
  <c r="CM24"/>
  <c r="DJ21"/>
  <c r="BR21"/>
  <c r="BL19"/>
  <c r="CZ19"/>
  <c r="DF19" s="1"/>
  <c r="ED19"/>
  <c r="DJ24"/>
  <c r="BR24"/>
  <c r="DJ31"/>
  <c r="BR31"/>
  <c r="DF41"/>
  <c r="DJ28"/>
  <c r="BR28"/>
  <c r="CM27"/>
  <c r="BL42"/>
  <c r="DF31"/>
  <c r="CF37"/>
  <c r="DF27"/>
  <c r="DF34"/>
  <c r="DJ36"/>
  <c r="BR36"/>
  <c r="DJ18"/>
  <c r="BR18"/>
  <c r="CM21"/>
  <c r="DJ27"/>
  <c r="BR27"/>
  <c r="DF38"/>
  <c r="DJ38"/>
  <c r="BR38"/>
  <c r="DF33"/>
  <c r="DJ20"/>
  <c r="BR20"/>
  <c r="DF23"/>
  <c r="DJ34"/>
  <c r="BR34"/>
  <c r="BL37"/>
  <c r="CF42"/>
  <c r="K61" i="34"/>
  <c r="K12"/>
  <c r="K19"/>
  <c r="K58"/>
  <c r="K14"/>
  <c r="K57"/>
  <c r="S10" i="22"/>
  <c r="A11"/>
  <c r="B10"/>
  <c r="L10"/>
  <c r="T10"/>
  <c r="D10"/>
  <c r="E10"/>
  <c r="M16" i="43"/>
  <c r="N16" s="1"/>
  <c r="DW8"/>
  <c r="DX8" s="1"/>
  <c r="DW12"/>
  <c r="DW16"/>
  <c r="DX16" s="1"/>
  <c r="O11" i="24"/>
  <c r="O8"/>
  <c r="O9"/>
  <c r="P9" s="1"/>
  <c r="O10"/>
  <c r="P10" s="1"/>
  <c r="AF10" i="45"/>
  <c r="AF5"/>
  <c r="DW11" i="43"/>
  <c r="DX11" s="1"/>
  <c r="DW15"/>
  <c r="DX15" s="1"/>
  <c r="AC9" i="24"/>
  <c r="EJ9" i="43"/>
  <c r="BI8" i="24"/>
  <c r="C9" i="22"/>
  <c r="G9" s="1"/>
  <c r="AF9" i="45"/>
  <c r="M10" i="43"/>
  <c r="N10" s="1"/>
  <c r="DW10"/>
  <c r="DX10" s="1"/>
  <c r="AF11" i="45"/>
  <c r="M13" i="43"/>
  <c r="N13" s="1"/>
  <c r="AF389" i="45"/>
  <c r="DW14" i="43"/>
  <c r="DX14" s="1"/>
  <c r="DW9"/>
  <c r="DX9" s="1"/>
  <c r="T8" i="24"/>
  <c r="V8" s="1"/>
  <c r="BP8" s="1"/>
  <c r="AC10"/>
  <c r="EJ10" i="43"/>
  <c r="BI9" i="24"/>
  <c r="T10"/>
  <c r="V10" s="1"/>
  <c r="BP10" s="1"/>
  <c r="AF387" i="45"/>
  <c r="M11" i="43"/>
  <c r="N11" s="1"/>
  <c r="M15"/>
  <c r="N15" s="1"/>
  <c r="M8"/>
  <c r="N8" s="1"/>
  <c r="DW13"/>
  <c r="DX13" s="1"/>
  <c r="DW17"/>
  <c r="DX17" s="1"/>
  <c r="T9" i="24"/>
  <c r="V9" s="1"/>
  <c r="BP9" s="1"/>
  <c r="AC8"/>
  <c r="EJ8" i="43"/>
  <c r="C10" i="22"/>
  <c r="M17" i="43"/>
  <c r="N17" s="1"/>
  <c r="DN12"/>
  <c r="K108" i="35" s="1"/>
  <c r="DN10" i="43"/>
  <c r="DO10" s="1"/>
  <c r="AQ10" s="1"/>
  <c r="J29" i="34"/>
  <c r="J38"/>
  <c r="J31"/>
  <c r="CV8" i="43"/>
  <c r="BH8"/>
  <c r="CT8"/>
  <c r="BJ8"/>
  <c r="CX8"/>
  <c r="CA8"/>
  <c r="BF8"/>
  <c r="CC8"/>
  <c r="BY8"/>
  <c r="CC17"/>
  <c r="BF17"/>
  <c r="CV17"/>
  <c r="BY17"/>
  <c r="CX17"/>
  <c r="CT17"/>
  <c r="BH17"/>
  <c r="CA17"/>
  <c r="BJ17"/>
  <c r="CV13"/>
  <c r="D16" i="30" s="1"/>
  <c r="BH13" i="43"/>
  <c r="D14" i="30" s="1"/>
  <c r="BJ13" i="43"/>
  <c r="BF13"/>
  <c r="CA13"/>
  <c r="D15" i="30" s="1"/>
  <c r="CC13" i="43"/>
  <c r="CX13"/>
  <c r="BY13"/>
  <c r="CT13"/>
  <c r="BY11"/>
  <c r="BH11"/>
  <c r="BJ11"/>
  <c r="CX11"/>
  <c r="CT11"/>
  <c r="CA11"/>
  <c r="CC11"/>
  <c r="BF11"/>
  <c r="CV11"/>
  <c r="BF14"/>
  <c r="CX14"/>
  <c r="BY14"/>
  <c r="CC14"/>
  <c r="BH14"/>
  <c r="BJ14"/>
  <c r="CV14"/>
  <c r="CT14"/>
  <c r="CA14"/>
  <c r="BH15"/>
  <c r="CV15"/>
  <c r="CX15"/>
  <c r="BY15"/>
  <c r="CA15"/>
  <c r="BJ15"/>
  <c r="BF15"/>
  <c r="CT15"/>
  <c r="CC15"/>
  <c r="BJ16"/>
  <c r="CX16"/>
  <c r="CA16"/>
  <c r="BF16"/>
  <c r="CC16"/>
  <c r="CV16"/>
  <c r="BH16"/>
  <c r="CT16"/>
  <c r="BY16"/>
  <c r="CT9"/>
  <c r="BH9"/>
  <c r="BJ9"/>
  <c r="CA9"/>
  <c r="CC9"/>
  <c r="BF9"/>
  <c r="CV9"/>
  <c r="BY9"/>
  <c r="CX9"/>
  <c r="J25" i="34"/>
  <c r="J35"/>
  <c r="J19"/>
  <c r="I7"/>
  <c r="J36"/>
  <c r="J6"/>
  <c r="J37"/>
  <c r="J32"/>
  <c r="J14"/>
  <c r="J61"/>
  <c r="J27"/>
  <c r="J12"/>
  <c r="J33"/>
  <c r="J26"/>
  <c r="J10"/>
  <c r="J28"/>
  <c r="J58"/>
  <c r="J30"/>
  <c r="J13"/>
  <c r="J24"/>
  <c r="J57"/>
  <c r="K81" i="35"/>
  <c r="J4"/>
  <c r="K96"/>
  <c r="K69"/>
  <c r="K47"/>
  <c r="K48"/>
  <c r="K55"/>
  <c r="K23"/>
  <c r="K46"/>
  <c r="K3"/>
  <c r="K9"/>
  <c r="K95"/>
  <c r="K14"/>
  <c r="K43"/>
  <c r="K12"/>
  <c r="K83"/>
  <c r="K31"/>
  <c r="K42"/>
  <c r="K82"/>
  <c r="K29"/>
  <c r="K19"/>
  <c r="K97"/>
  <c r="K15"/>
  <c r="K44"/>
  <c r="K17"/>
  <c r="K54"/>
  <c r="K45"/>
  <c r="FP374" i="43" l="1"/>
  <c r="FP375"/>
  <c r="N378"/>
  <c r="FP378" s="1"/>
  <c r="N377"/>
  <c r="FP377" s="1"/>
  <c r="N376"/>
  <c r="FP376" s="1"/>
  <c r="AF252" i="45"/>
  <c r="N369" i="43"/>
  <c r="FP369" s="1"/>
  <c r="N368"/>
  <c r="FP368" s="1"/>
  <c r="N367"/>
  <c r="FP367" s="1"/>
  <c r="N366"/>
  <c r="FP366" s="1"/>
  <c r="N365"/>
  <c r="FP365" s="1"/>
  <c r="N364"/>
  <c r="FP364" s="1"/>
  <c r="N362"/>
  <c r="FP362" s="1"/>
  <c r="N360"/>
  <c r="FP360" s="1"/>
  <c r="N361"/>
  <c r="FP361" s="1"/>
  <c r="N359"/>
  <c r="FP359" s="1"/>
  <c r="N355"/>
  <c r="FP355" s="1"/>
  <c r="N327"/>
  <c r="FP327" s="1"/>
  <c r="W316"/>
  <c r="CI316"/>
  <c r="W308"/>
  <c r="CI308"/>
  <c r="W310"/>
  <c r="CI310"/>
  <c r="W315"/>
  <c r="CI315"/>
  <c r="W313"/>
  <c r="CI313"/>
  <c r="W312"/>
  <c r="CI312"/>
  <c r="W309"/>
  <c r="CI309"/>
  <c r="W314"/>
  <c r="CI314"/>
  <c r="W307"/>
  <c r="CI307"/>
  <c r="W311"/>
  <c r="CI311"/>
  <c r="FP300"/>
  <c r="W335"/>
  <c r="CI335"/>
  <c r="W381"/>
  <c r="CI381"/>
  <c r="W380"/>
  <c r="CI380"/>
  <c r="W320"/>
  <c r="CI320"/>
  <c r="W351"/>
  <c r="CI351"/>
  <c r="W347"/>
  <c r="CI347"/>
  <c r="W369"/>
  <c r="CI369"/>
  <c r="W338"/>
  <c r="CI338"/>
  <c r="W321"/>
  <c r="CI321"/>
  <c r="W327"/>
  <c r="CI327"/>
  <c r="W366"/>
  <c r="CI366"/>
  <c r="W379"/>
  <c r="CI379"/>
  <c r="W357"/>
  <c r="CI357"/>
  <c r="W350"/>
  <c r="CI350"/>
  <c r="W373"/>
  <c r="CI373"/>
  <c r="W322"/>
  <c r="CI322"/>
  <c r="W371"/>
  <c r="CI371"/>
  <c r="W370"/>
  <c r="CI370"/>
  <c r="W360"/>
  <c r="CI360"/>
  <c r="W378"/>
  <c r="CI378"/>
  <c r="W362"/>
  <c r="CI362"/>
  <c r="W339"/>
  <c r="CI339"/>
  <c r="W345"/>
  <c r="CI345"/>
  <c r="W358"/>
  <c r="CI358"/>
  <c r="W328"/>
  <c r="CI328"/>
  <c r="W352"/>
  <c r="CI352"/>
  <c r="W356"/>
  <c r="CI356"/>
  <c r="W364"/>
  <c r="CI364"/>
  <c r="W353"/>
  <c r="CI353"/>
  <c r="W372"/>
  <c r="CI372"/>
  <c r="W331"/>
  <c r="CI331"/>
  <c r="W336"/>
  <c r="CI336"/>
  <c r="W332"/>
  <c r="CI332"/>
  <c r="W330"/>
  <c r="CI330"/>
  <c r="W329"/>
  <c r="CI329"/>
  <c r="W340"/>
  <c r="CI340"/>
  <c r="W344"/>
  <c r="CI344"/>
  <c r="W325"/>
  <c r="CI325"/>
  <c r="W377"/>
  <c r="CI377"/>
  <c r="W367"/>
  <c r="CI367"/>
  <c r="W326"/>
  <c r="CI326"/>
  <c r="W361"/>
  <c r="CI361"/>
  <c r="W376"/>
  <c r="CI376"/>
  <c r="W374"/>
  <c r="CI374"/>
  <c r="W324"/>
  <c r="CI324"/>
  <c r="W363"/>
  <c r="CI363"/>
  <c r="W323"/>
  <c r="CI323"/>
  <c r="W343"/>
  <c r="CI343"/>
  <c r="W348"/>
  <c r="CI348"/>
  <c r="W317"/>
  <c r="CI317"/>
  <c r="W319"/>
  <c r="CI319"/>
  <c r="W333"/>
  <c r="CI333"/>
  <c r="W334"/>
  <c r="CI334"/>
  <c r="W355"/>
  <c r="CI355"/>
  <c r="W354"/>
  <c r="CI354"/>
  <c r="W368"/>
  <c r="CI368"/>
  <c r="W341"/>
  <c r="CI341"/>
  <c r="W375"/>
  <c r="CI375"/>
  <c r="W349"/>
  <c r="CI349"/>
  <c r="W342"/>
  <c r="CI342"/>
  <c r="W359"/>
  <c r="CI359"/>
  <c r="W337"/>
  <c r="CI337"/>
  <c r="W365"/>
  <c r="CI365"/>
  <c r="W318"/>
  <c r="CI318"/>
  <c r="W346"/>
  <c r="CI346"/>
  <c r="W284"/>
  <c r="DB284"/>
  <c r="CI284"/>
  <c r="W286"/>
  <c r="DB286"/>
  <c r="CI286"/>
  <c r="W285"/>
  <c r="DB285"/>
  <c r="CI285"/>
  <c r="W291"/>
  <c r="CI291"/>
  <c r="W283"/>
  <c r="DB283"/>
  <c r="CI283"/>
  <c r="W282"/>
  <c r="DB282"/>
  <c r="CI282"/>
  <c r="W290"/>
  <c r="CI290"/>
  <c r="W289"/>
  <c r="DB289"/>
  <c r="CI289"/>
  <c r="W288"/>
  <c r="DB288"/>
  <c r="CI288"/>
  <c r="W287"/>
  <c r="DB287"/>
  <c r="CI287"/>
  <c r="N280"/>
  <c r="FP280" s="1"/>
  <c r="H46"/>
  <c r="H255"/>
  <c r="N266"/>
  <c r="FP266" s="1"/>
  <c r="N258"/>
  <c r="FP258" s="1"/>
  <c r="H45"/>
  <c r="AF42" i="45"/>
  <c r="AF43"/>
  <c r="E9" i="30"/>
  <c r="E22"/>
  <c r="E21"/>
  <c r="E20"/>
  <c r="E19"/>
  <c r="E23"/>
  <c r="U313" i="43"/>
  <c r="I18" i="34"/>
  <c r="I20"/>
  <c r="K37" i="35"/>
  <c r="E17" i="30"/>
  <c r="D22" i="44"/>
  <c r="D24" s="1"/>
  <c r="V265" i="24"/>
  <c r="BP265" s="1"/>
  <c r="V9" i="44" s="1"/>
  <c r="K16" i="34"/>
  <c r="I43"/>
  <c r="I16"/>
  <c r="I41"/>
  <c r="I42"/>
  <c r="B22" i="44"/>
  <c r="B24" s="1"/>
  <c r="E16" i="30"/>
  <c r="E27"/>
  <c r="J66" i="34"/>
  <c r="F7" i="30"/>
  <c r="E26"/>
  <c r="Y20" i="24"/>
  <c r="Z20" s="1"/>
  <c r="E15" i="30"/>
  <c r="E14"/>
  <c r="E6"/>
  <c r="E28"/>
  <c r="E22" i="44"/>
  <c r="E24" s="1"/>
  <c r="S379" i="43"/>
  <c r="X379" s="1"/>
  <c r="S381"/>
  <c r="X381" s="1"/>
  <c r="K15" i="34"/>
  <c r="K21" s="1"/>
  <c r="J15"/>
  <c r="I11"/>
  <c r="I15"/>
  <c r="I46"/>
  <c r="Y381" i="43"/>
  <c r="Y322" i="24"/>
  <c r="Z322" s="1"/>
  <c r="Y379" i="43"/>
  <c r="G10" i="22"/>
  <c r="T369" i="43"/>
  <c r="T378"/>
  <c r="T372"/>
  <c r="T362"/>
  <c r="T366"/>
  <c r="T368"/>
  <c r="T377"/>
  <c r="T375"/>
  <c r="T359"/>
  <c r="T371"/>
  <c r="S380"/>
  <c r="T380"/>
  <c r="T360"/>
  <c r="Y380"/>
  <c r="AF6" i="45"/>
  <c r="G19" i="44"/>
  <c r="F20"/>
  <c r="F11"/>
  <c r="F12"/>
  <c r="F14"/>
  <c r="F17"/>
  <c r="F18"/>
  <c r="F15"/>
  <c r="F19"/>
  <c r="F10"/>
  <c r="F16"/>
  <c r="F13"/>
  <c r="G16"/>
  <c r="G17"/>
  <c r="G13"/>
  <c r="G10"/>
  <c r="G15"/>
  <c r="M11" i="22"/>
  <c r="H11"/>
  <c r="P11"/>
  <c r="G14" i="44"/>
  <c r="G18"/>
  <c r="G11"/>
  <c r="G28"/>
  <c r="F28" s="1"/>
  <c r="G9"/>
  <c r="G29"/>
  <c r="F29" s="1"/>
  <c r="G12"/>
  <c r="G20"/>
  <c r="AD26" i="24"/>
  <c r="P8"/>
  <c r="AH8" s="1"/>
  <c r="BK9"/>
  <c r="BK8"/>
  <c r="D10" i="30"/>
  <c r="E10"/>
  <c r="I44" i="34"/>
  <c r="I45"/>
  <c r="I40"/>
  <c r="FP310" i="43"/>
  <c r="FP334"/>
  <c r="FP349"/>
  <c r="FP344"/>
  <c r="DX12"/>
  <c r="L37" i="35" s="1"/>
  <c r="L38"/>
  <c r="K38"/>
  <c r="DO12" i="43"/>
  <c r="L108" i="35"/>
  <c r="J108"/>
  <c r="J106"/>
  <c r="J107"/>
  <c r="J102"/>
  <c r="J98"/>
  <c r="J93"/>
  <c r="J89"/>
  <c r="J84"/>
  <c r="J85"/>
  <c r="J78"/>
  <c r="J74"/>
  <c r="J70"/>
  <c r="J68"/>
  <c r="J67"/>
  <c r="J65"/>
  <c r="J61"/>
  <c r="J56"/>
  <c r="J52"/>
  <c r="J53"/>
  <c r="J50"/>
  <c r="J37"/>
  <c r="J38"/>
  <c r="J30"/>
  <c r="J32"/>
  <c r="J27"/>
  <c r="J28"/>
  <c r="J16"/>
  <c r="J18"/>
  <c r="J7"/>
  <c r="J8"/>
  <c r="V18" i="44"/>
  <c r="V20"/>
  <c r="V19"/>
  <c r="FP261" i="43"/>
  <c r="FP215"/>
  <c r="FP257"/>
  <c r="FP27"/>
  <c r="M9"/>
  <c r="N9" s="1"/>
  <c r="FP9" s="1"/>
  <c r="FP38"/>
  <c r="FP220"/>
  <c r="FP286"/>
  <c r="FP291"/>
  <c r="FP268"/>
  <c r="FP353"/>
  <c r="FP357"/>
  <c r="FP358"/>
  <c r="FP356"/>
  <c r="FP354"/>
  <c r="FP352"/>
  <c r="FP351"/>
  <c r="FP350"/>
  <c r="FP348"/>
  <c r="FP347"/>
  <c r="FP346"/>
  <c r="FP345"/>
  <c r="FP343"/>
  <c r="FP342"/>
  <c r="FP340"/>
  <c r="FP338"/>
  <c r="FP336"/>
  <c r="FP335"/>
  <c r="FP333"/>
  <c r="FP332"/>
  <c r="FP331"/>
  <c r="FP330"/>
  <c r="FP329"/>
  <c r="FP328"/>
  <c r="FP326"/>
  <c r="FP325"/>
  <c r="FP324"/>
  <c r="FP323"/>
  <c r="FP322"/>
  <c r="FP321"/>
  <c r="FP319"/>
  <c r="FP318"/>
  <c r="FP317"/>
  <c r="FP316"/>
  <c r="FP315"/>
  <c r="FP313"/>
  <c r="FP311"/>
  <c r="FP309"/>
  <c r="AA389" i="45"/>
  <c r="AB389" s="1"/>
  <c r="Z389"/>
  <c r="FP307" i="43"/>
  <c r="FP306"/>
  <c r="FP305"/>
  <c r="FP304"/>
  <c r="FP303"/>
  <c r="FP302"/>
  <c r="FP301"/>
  <c r="FP299"/>
  <c r="FP298"/>
  <c r="FP297"/>
  <c r="FP296"/>
  <c r="FP295"/>
  <c r="FP294"/>
  <c r="FP293"/>
  <c r="FP292"/>
  <c r="FP290"/>
  <c r="FP289"/>
  <c r="FP288"/>
  <c r="FP287"/>
  <c r="FP271"/>
  <c r="FP275"/>
  <c r="FP285"/>
  <c r="FP284"/>
  <c r="FP283"/>
  <c r="FP18"/>
  <c r="FP75"/>
  <c r="FP125"/>
  <c r="FP228"/>
  <c r="FP282"/>
  <c r="FP281"/>
  <c r="FP67"/>
  <c r="FP69"/>
  <c r="FP81"/>
  <c r="FP205"/>
  <c r="FP279"/>
  <c r="FP278"/>
  <c r="FP277"/>
  <c r="FP276"/>
  <c r="FP274"/>
  <c r="FP273"/>
  <c r="FP270"/>
  <c r="FP269"/>
  <c r="FP267"/>
  <c r="FP265"/>
  <c r="FP264"/>
  <c r="FP263"/>
  <c r="FP262"/>
  <c r="FP260"/>
  <c r="FP259"/>
  <c r="FP252"/>
  <c r="FP251"/>
  <c r="FP250"/>
  <c r="FP249"/>
  <c r="FP248"/>
  <c r="FP247"/>
  <c r="FP244"/>
  <c r="FP243"/>
  <c r="FP242"/>
  <c r="FP241"/>
  <c r="FP239"/>
  <c r="FP238"/>
  <c r="FP236"/>
  <c r="FP235"/>
  <c r="FP234"/>
  <c r="FP232"/>
  <c r="FP231"/>
  <c r="FP63"/>
  <c r="FP66"/>
  <c r="FP198"/>
  <c r="FP227"/>
  <c r="FP226"/>
  <c r="FP225"/>
  <c r="FP222"/>
  <c r="FP221"/>
  <c r="FP219"/>
  <c r="FP218"/>
  <c r="FP217"/>
  <c r="FP216"/>
  <c r="FP214"/>
  <c r="FP213"/>
  <c r="FP212"/>
  <c r="FP211"/>
  <c r="FP210"/>
  <c r="FP209"/>
  <c r="FP208"/>
  <c r="FP207"/>
  <c r="FP206"/>
  <c r="FP204"/>
  <c r="FP203"/>
  <c r="FP202"/>
  <c r="FP201"/>
  <c r="FP200"/>
  <c r="FP199"/>
  <c r="FP197"/>
  <c r="FP196"/>
  <c r="FP195"/>
  <c r="FP194"/>
  <c r="FP193"/>
  <c r="FP192"/>
  <c r="FP191"/>
  <c r="FP190"/>
  <c r="FP189"/>
  <c r="FP188"/>
  <c r="FP187"/>
  <c r="FP186"/>
  <c r="FP185"/>
  <c r="FP184"/>
  <c r="FP183"/>
  <c r="FP182"/>
  <c r="FP181"/>
  <c r="FP180"/>
  <c r="FP179"/>
  <c r="FP178"/>
  <c r="FP177"/>
  <c r="FP176"/>
  <c r="FP175"/>
  <c r="FP174"/>
  <c r="FP173"/>
  <c r="FP171"/>
  <c r="FP170"/>
  <c r="FP169"/>
  <c r="FP168"/>
  <c r="FP167"/>
  <c r="FP166"/>
  <c r="FP165"/>
  <c r="FP164"/>
  <c r="FP163"/>
  <c r="FP162"/>
  <c r="FP161"/>
  <c r="FP160"/>
  <c r="FP159"/>
  <c r="FP158"/>
  <c r="FP157"/>
  <c r="FP155"/>
  <c r="FP154"/>
  <c r="FP153"/>
  <c r="FP152"/>
  <c r="FP150"/>
  <c r="FP149"/>
  <c r="FP148"/>
  <c r="FP147"/>
  <c r="FP146"/>
  <c r="FP145"/>
  <c r="FP144"/>
  <c r="FP143"/>
  <c r="FP142"/>
  <c r="FP140"/>
  <c r="FP139"/>
  <c r="FP138"/>
  <c r="FP137"/>
  <c r="FP136"/>
  <c r="FP135"/>
  <c r="FP134"/>
  <c r="FP133"/>
  <c r="FP132"/>
  <c r="FP131"/>
  <c r="FP130"/>
  <c r="FP129"/>
  <c r="FP128"/>
  <c r="FP127"/>
  <c r="FP126"/>
  <c r="FP124"/>
  <c r="FP123"/>
  <c r="FP122"/>
  <c r="FP121"/>
  <c r="FP120"/>
  <c r="FP119"/>
  <c r="FP118"/>
  <c r="FP115"/>
  <c r="FP117"/>
  <c r="FP116"/>
  <c r="FP114"/>
  <c r="FP113"/>
  <c r="FP112"/>
  <c r="FP111"/>
  <c r="FP110"/>
  <c r="AI20" i="24"/>
  <c r="FP109" i="43"/>
  <c r="FP108"/>
  <c r="FP107"/>
  <c r="FP106"/>
  <c r="FP105"/>
  <c r="FP104"/>
  <c r="P20" i="24"/>
  <c r="AH20" s="1"/>
  <c r="FP102" i="43"/>
  <c r="FP21"/>
  <c r="FP40"/>
  <c r="FP33"/>
  <c r="I9" i="44"/>
  <c r="P12" i="24"/>
  <c r="FP103" i="43"/>
  <c r="FP101"/>
  <c r="FP100"/>
  <c r="FP98"/>
  <c r="FP97"/>
  <c r="FP96"/>
  <c r="FP95"/>
  <c r="FP94"/>
  <c r="FP41"/>
  <c r="FP36"/>
  <c r="DJ32"/>
  <c r="FP93"/>
  <c r="FP92"/>
  <c r="FP91"/>
  <c r="FP90"/>
  <c r="FP89"/>
  <c r="FP88"/>
  <c r="FP87"/>
  <c r="FP86"/>
  <c r="FP85"/>
  <c r="FP84"/>
  <c r="FP83"/>
  <c r="FP78"/>
  <c r="FP77"/>
  <c r="FP76"/>
  <c r="FP74"/>
  <c r="FP72"/>
  <c r="FP71"/>
  <c r="FP70"/>
  <c r="FP68"/>
  <c r="FP65"/>
  <c r="FP59"/>
  <c r="FP61"/>
  <c r="FP62"/>
  <c r="FP60"/>
  <c r="DJ35"/>
  <c r="DJ25"/>
  <c r="FP56"/>
  <c r="FP53"/>
  <c r="FP54"/>
  <c r="FP52"/>
  <c r="FP55"/>
  <c r="FP29"/>
  <c r="I73" i="34"/>
  <c r="I74"/>
  <c r="I72"/>
  <c r="I71"/>
  <c r="I69"/>
  <c r="I70"/>
  <c r="I65"/>
  <c r="I68"/>
  <c r="I63"/>
  <c r="I64"/>
  <c r="I56"/>
  <c r="I60"/>
  <c r="I53"/>
  <c r="I54"/>
  <c r="I51"/>
  <c r="I52"/>
  <c r="I48"/>
  <c r="I49"/>
  <c r="I34"/>
  <c r="I23"/>
  <c r="J90" i="35"/>
  <c r="J103"/>
  <c r="J62"/>
  <c r="J75"/>
  <c r="J11"/>
  <c r="J13"/>
  <c r="J6"/>
  <c r="J10"/>
  <c r="DJ39" i="43"/>
  <c r="DJ30"/>
  <c r="FP34"/>
  <c r="FP26"/>
  <c r="FP23"/>
  <c r="U379" i="45"/>
  <c r="FP47" i="43"/>
  <c r="FP24"/>
  <c r="AE26" i="24"/>
  <c r="Y16"/>
  <c r="Z16" s="1"/>
  <c r="Y15"/>
  <c r="Z15" s="1"/>
  <c r="Y13"/>
  <c r="Z13" s="1"/>
  <c r="AI322"/>
  <c r="P322"/>
  <c r="AF322" s="1"/>
  <c r="P351"/>
  <c r="AH351" s="1"/>
  <c r="Y351"/>
  <c r="Z351" s="1"/>
  <c r="Y14"/>
  <c r="Z14" s="1"/>
  <c r="Y12"/>
  <c r="Z12" s="1"/>
  <c r="AH14"/>
  <c r="Y367"/>
  <c r="AA367" s="1"/>
  <c r="AI367"/>
  <c r="AE34"/>
  <c r="AD34"/>
  <c r="AE27"/>
  <c r="AD27"/>
  <c r="AD18"/>
  <c r="AE18"/>
  <c r="AD23"/>
  <c r="AE23"/>
  <c r="AD22"/>
  <c r="AE22"/>
  <c r="AE28"/>
  <c r="AD28"/>
  <c r="AD31"/>
  <c r="AE31"/>
  <c r="AD21"/>
  <c r="AE21"/>
  <c r="AD29"/>
  <c r="AE29"/>
  <c r="AD40"/>
  <c r="AE40"/>
  <c r="AD20"/>
  <c r="AE20"/>
  <c r="AD36"/>
  <c r="AE36"/>
  <c r="AD41"/>
  <c r="AE41"/>
  <c r="AD33"/>
  <c r="AE33"/>
  <c r="AD38"/>
  <c r="AE38"/>
  <c r="AD24"/>
  <c r="AE24"/>
  <c r="P70"/>
  <c r="Y70"/>
  <c r="AI70"/>
  <c r="P99"/>
  <c r="Y99"/>
  <c r="AI99"/>
  <c r="P21"/>
  <c r="Y21"/>
  <c r="AI21"/>
  <c r="P37"/>
  <c r="Y37"/>
  <c r="Y55"/>
  <c r="P55"/>
  <c r="AI55"/>
  <c r="P101"/>
  <c r="Y101"/>
  <c r="AI101"/>
  <c r="P173"/>
  <c r="Y173"/>
  <c r="AI173"/>
  <c r="AI139"/>
  <c r="Y139"/>
  <c r="P139"/>
  <c r="Y142"/>
  <c r="P142"/>
  <c r="AI142"/>
  <c r="P104"/>
  <c r="Y104"/>
  <c r="AI104"/>
  <c r="P125"/>
  <c r="AI125"/>
  <c r="Y125"/>
  <c r="P158"/>
  <c r="Y158"/>
  <c r="AI158"/>
  <c r="Y212"/>
  <c r="P212"/>
  <c r="AI212"/>
  <c r="Y277"/>
  <c r="AI277"/>
  <c r="P277"/>
  <c r="P237"/>
  <c r="Y237"/>
  <c r="AI237"/>
  <c r="P295"/>
  <c r="Y295"/>
  <c r="AI295"/>
  <c r="AI215"/>
  <c r="Y215"/>
  <c r="P215"/>
  <c r="Y283"/>
  <c r="AI283"/>
  <c r="P283"/>
  <c r="P224"/>
  <c r="Y224"/>
  <c r="AI224"/>
  <c r="P256"/>
  <c r="Y256"/>
  <c r="AI256"/>
  <c r="AI321"/>
  <c r="Y321"/>
  <c r="P321"/>
  <c r="P369"/>
  <c r="Y369"/>
  <c r="AI369"/>
  <c r="P368"/>
  <c r="AI368"/>
  <c r="Y368"/>
  <c r="P338"/>
  <c r="Y338"/>
  <c r="AI338"/>
  <c r="P98"/>
  <c r="Y98"/>
  <c r="AI98"/>
  <c r="AI85"/>
  <c r="P85"/>
  <c r="Y85"/>
  <c r="Y82"/>
  <c r="AI82"/>
  <c r="P82"/>
  <c r="Y36"/>
  <c r="AI36"/>
  <c r="P36"/>
  <c r="Y63"/>
  <c r="AI63"/>
  <c r="P63"/>
  <c r="P161"/>
  <c r="Y161"/>
  <c r="AI161"/>
  <c r="P124"/>
  <c r="Y124"/>
  <c r="AI124"/>
  <c r="P168"/>
  <c r="Y168"/>
  <c r="AI168"/>
  <c r="AI141"/>
  <c r="Y141"/>
  <c r="P141"/>
  <c r="P136"/>
  <c r="AI136"/>
  <c r="Y136"/>
  <c r="AI206"/>
  <c r="P206"/>
  <c r="Y206"/>
  <c r="P281"/>
  <c r="Y281"/>
  <c r="AI281"/>
  <c r="AI202"/>
  <c r="P202"/>
  <c r="Y202"/>
  <c r="AI278"/>
  <c r="P278"/>
  <c r="Y278"/>
  <c r="P250"/>
  <c r="Y250"/>
  <c r="AI250"/>
  <c r="Y308"/>
  <c r="AI308"/>
  <c r="P308"/>
  <c r="Y276"/>
  <c r="AI276"/>
  <c r="P276"/>
  <c r="P341"/>
  <c r="Y341"/>
  <c r="AI341"/>
  <c r="P356"/>
  <c r="Y356"/>
  <c r="AI356"/>
  <c r="P363"/>
  <c r="Y363"/>
  <c r="AI363"/>
  <c r="P358"/>
  <c r="Y358"/>
  <c r="AI358"/>
  <c r="Y102"/>
  <c r="P102"/>
  <c r="AI102"/>
  <c r="P18"/>
  <c r="Y18"/>
  <c r="AI18"/>
  <c r="P23"/>
  <c r="AI23"/>
  <c r="Y23"/>
  <c r="P39"/>
  <c r="Y39"/>
  <c r="P106"/>
  <c r="Y106"/>
  <c r="AI106"/>
  <c r="Y181"/>
  <c r="P181"/>
  <c r="AI181"/>
  <c r="Y172"/>
  <c r="P172"/>
  <c r="AI172"/>
  <c r="Y175"/>
  <c r="P175"/>
  <c r="AI175"/>
  <c r="P119"/>
  <c r="Y119"/>
  <c r="AI119"/>
  <c r="AI135"/>
  <c r="P135"/>
  <c r="Y135"/>
  <c r="Y197"/>
  <c r="AI197"/>
  <c r="P197"/>
  <c r="AI249"/>
  <c r="P249"/>
  <c r="Y249"/>
  <c r="P306"/>
  <c r="Y306"/>
  <c r="AI306"/>
  <c r="Y282"/>
  <c r="AI282"/>
  <c r="P282"/>
  <c r="AI199"/>
  <c r="P199"/>
  <c r="Y199"/>
  <c r="Y275"/>
  <c r="AI275"/>
  <c r="P275"/>
  <c r="Y216"/>
  <c r="AI216"/>
  <c r="P216"/>
  <c r="AI297"/>
  <c r="Y297"/>
  <c r="P297"/>
  <c r="P361"/>
  <c r="Y361"/>
  <c r="AI361"/>
  <c r="P360"/>
  <c r="Y360"/>
  <c r="AI360"/>
  <c r="P346"/>
  <c r="Y346"/>
  <c r="AI346"/>
  <c r="AI57"/>
  <c r="Y57"/>
  <c r="P57"/>
  <c r="AI50"/>
  <c r="Y50"/>
  <c r="P50"/>
  <c r="Y53"/>
  <c r="P53"/>
  <c r="AI53"/>
  <c r="Y22"/>
  <c r="P22"/>
  <c r="AI22"/>
  <c r="P38"/>
  <c r="AI38"/>
  <c r="Y38"/>
  <c r="Y92"/>
  <c r="P92"/>
  <c r="AI92"/>
  <c r="AI169"/>
  <c r="P169"/>
  <c r="Y169"/>
  <c r="P122"/>
  <c r="Y122"/>
  <c r="AI122"/>
  <c r="AI140"/>
  <c r="Y140"/>
  <c r="P140"/>
  <c r="P108"/>
  <c r="Y108"/>
  <c r="AI108"/>
  <c r="Y144"/>
  <c r="P144"/>
  <c r="AI144"/>
  <c r="P186"/>
  <c r="AI186"/>
  <c r="Y186"/>
  <c r="AI244"/>
  <c r="Y244"/>
  <c r="P244"/>
  <c r="P310"/>
  <c r="Y310"/>
  <c r="AI310"/>
  <c r="P254"/>
  <c r="Y254"/>
  <c r="AI254"/>
  <c r="AI323"/>
  <c r="Y323"/>
  <c r="P323"/>
  <c r="P230"/>
  <c r="Y230"/>
  <c r="AI230"/>
  <c r="P279"/>
  <c r="Y279"/>
  <c r="AI279"/>
  <c r="Y225"/>
  <c r="P225"/>
  <c r="AI225"/>
  <c r="Y301"/>
  <c r="P301"/>
  <c r="AI301"/>
  <c r="P349"/>
  <c r="Y349"/>
  <c r="AI349"/>
  <c r="P348"/>
  <c r="Y348"/>
  <c r="AI348"/>
  <c r="P355"/>
  <c r="Y355"/>
  <c r="AI355"/>
  <c r="Y366"/>
  <c r="P366"/>
  <c r="AI366"/>
  <c r="Y56"/>
  <c r="P56"/>
  <c r="AI56"/>
  <c r="AI65"/>
  <c r="P65"/>
  <c r="Y65"/>
  <c r="Y83"/>
  <c r="AI83"/>
  <c r="P83"/>
  <c r="Y33"/>
  <c r="P33"/>
  <c r="AI33"/>
  <c r="Y49"/>
  <c r="P49"/>
  <c r="AI49"/>
  <c r="P91"/>
  <c r="AI91"/>
  <c r="Y91"/>
  <c r="P157"/>
  <c r="Y157"/>
  <c r="AI157"/>
  <c r="P111"/>
  <c r="Y111"/>
  <c r="AI111"/>
  <c r="P201"/>
  <c r="Y201"/>
  <c r="AI201"/>
  <c r="P183"/>
  <c r="Y183"/>
  <c r="AI183"/>
  <c r="P121"/>
  <c r="Y121"/>
  <c r="AI121"/>
  <c r="P143"/>
  <c r="AI143"/>
  <c r="Y143"/>
  <c r="AI205"/>
  <c r="P205"/>
  <c r="Y205"/>
  <c r="P261"/>
  <c r="Y261"/>
  <c r="AI261"/>
  <c r="Y203"/>
  <c r="AI203"/>
  <c r="P203"/>
  <c r="Y274"/>
  <c r="AI274"/>
  <c r="P274"/>
  <c r="Y211"/>
  <c r="P211"/>
  <c r="AI211"/>
  <c r="Y267"/>
  <c r="AI267"/>
  <c r="P267"/>
  <c r="AI219"/>
  <c r="Y219"/>
  <c r="P219"/>
  <c r="Y243"/>
  <c r="P243"/>
  <c r="AI243"/>
  <c r="P305"/>
  <c r="AI305"/>
  <c r="Y305"/>
  <c r="P353"/>
  <c r="Y353"/>
  <c r="AI353"/>
  <c r="P352"/>
  <c r="Y352"/>
  <c r="AI352"/>
  <c r="P375"/>
  <c r="Y375"/>
  <c r="AI375"/>
  <c r="Y93"/>
  <c r="P93"/>
  <c r="AI93"/>
  <c r="P69"/>
  <c r="Y69"/>
  <c r="AI69"/>
  <c r="P72"/>
  <c r="Y72"/>
  <c r="AI72"/>
  <c r="Y32"/>
  <c r="P32"/>
  <c r="P54"/>
  <c r="AI54"/>
  <c r="Y54"/>
  <c r="Y145"/>
  <c r="P145"/>
  <c r="AI145"/>
  <c r="P120"/>
  <c r="Y120"/>
  <c r="AI120"/>
  <c r="P152"/>
  <c r="Y152"/>
  <c r="AI152"/>
  <c r="P112"/>
  <c r="Y112"/>
  <c r="AI112"/>
  <c r="Y187"/>
  <c r="AI187"/>
  <c r="P187"/>
  <c r="AI204"/>
  <c r="P204"/>
  <c r="Y204"/>
  <c r="P265"/>
  <c r="Y265"/>
  <c r="AI318"/>
  <c r="Y318"/>
  <c r="P318"/>
  <c r="P262"/>
  <c r="Y262"/>
  <c r="AI262"/>
  <c r="Y246"/>
  <c r="P246"/>
  <c r="AI246"/>
  <c r="P292"/>
  <c r="Y292"/>
  <c r="AI292"/>
  <c r="Y260"/>
  <c r="P260"/>
  <c r="AI260"/>
  <c r="Y324"/>
  <c r="P324"/>
  <c r="AI324"/>
  <c r="P340"/>
  <c r="Y340"/>
  <c r="AI340"/>
  <c r="P347"/>
  <c r="Y347"/>
  <c r="AI347"/>
  <c r="P342"/>
  <c r="Y342"/>
  <c r="AI342"/>
  <c r="P17"/>
  <c r="AG17" s="1"/>
  <c r="Y17"/>
  <c r="Z17" s="1"/>
  <c r="Y78"/>
  <c r="AI78"/>
  <c r="P78"/>
  <c r="Y84"/>
  <c r="AI84"/>
  <c r="P84"/>
  <c r="P96"/>
  <c r="Y96"/>
  <c r="AI96"/>
  <c r="Y35"/>
  <c r="P35"/>
  <c r="P88"/>
  <c r="Y88"/>
  <c r="AI88"/>
  <c r="Y165"/>
  <c r="P165"/>
  <c r="AI165"/>
  <c r="Y156"/>
  <c r="P156"/>
  <c r="AI156"/>
  <c r="Y159"/>
  <c r="P159"/>
  <c r="AI159"/>
  <c r="Y115"/>
  <c r="P115"/>
  <c r="AI115"/>
  <c r="P131"/>
  <c r="Y131"/>
  <c r="AI131"/>
  <c r="AI182"/>
  <c r="P182"/>
  <c r="Y182"/>
  <c r="AI240"/>
  <c r="P240"/>
  <c r="Y240"/>
  <c r="P290"/>
  <c r="Y290"/>
  <c r="AI290"/>
  <c r="Y266"/>
  <c r="AI266"/>
  <c r="P266"/>
  <c r="AI319"/>
  <c r="Y319"/>
  <c r="P319"/>
  <c r="Y259"/>
  <c r="AI259"/>
  <c r="P259"/>
  <c r="P209"/>
  <c r="Y209"/>
  <c r="AI209"/>
  <c r="AI280"/>
  <c r="P280"/>
  <c r="Y280"/>
  <c r="P345"/>
  <c r="Y345"/>
  <c r="AI345"/>
  <c r="P344"/>
  <c r="Y344"/>
  <c r="AI344"/>
  <c r="P330"/>
  <c r="Y330"/>
  <c r="AI330"/>
  <c r="Y51"/>
  <c r="P51"/>
  <c r="AI51"/>
  <c r="Y46"/>
  <c r="P46"/>
  <c r="AI46"/>
  <c r="Y95"/>
  <c r="P95"/>
  <c r="AI95"/>
  <c r="Y100"/>
  <c r="P100"/>
  <c r="AI100"/>
  <c r="Y34"/>
  <c r="P34"/>
  <c r="AI34"/>
  <c r="AI81"/>
  <c r="P81"/>
  <c r="Y81"/>
  <c r="Y153"/>
  <c r="AI153"/>
  <c r="P153"/>
  <c r="P118"/>
  <c r="Y118"/>
  <c r="AI118"/>
  <c r="P134"/>
  <c r="Y134"/>
  <c r="AI134"/>
  <c r="AI192"/>
  <c r="P192"/>
  <c r="Y192"/>
  <c r="Y179"/>
  <c r="AI179"/>
  <c r="P179"/>
  <c r="P170"/>
  <c r="AI170"/>
  <c r="Y170"/>
  <c r="AI239"/>
  <c r="P239"/>
  <c r="Y239"/>
  <c r="AI294"/>
  <c r="P294"/>
  <c r="Y294"/>
  <c r="AI238"/>
  <c r="P238"/>
  <c r="Y238"/>
  <c r="P307"/>
  <c r="AI307"/>
  <c r="Y307"/>
  <c r="Y222"/>
  <c r="P222"/>
  <c r="AI222"/>
  <c r="AI263"/>
  <c r="P263"/>
  <c r="Y263"/>
  <c r="Y316"/>
  <c r="P316"/>
  <c r="AI316"/>
  <c r="Y285"/>
  <c r="AI285"/>
  <c r="P285"/>
  <c r="Y333"/>
  <c r="P333"/>
  <c r="AI333"/>
  <c r="P332"/>
  <c r="Y332"/>
  <c r="AI332"/>
  <c r="P339"/>
  <c r="Y339"/>
  <c r="AI339"/>
  <c r="P350"/>
  <c r="Y350"/>
  <c r="AI350"/>
  <c r="Y94"/>
  <c r="P94"/>
  <c r="AI94"/>
  <c r="P68"/>
  <c r="Y68"/>
  <c r="AI68"/>
  <c r="AI29"/>
  <c r="Y29"/>
  <c r="P29"/>
  <c r="AI45"/>
  <c r="P45"/>
  <c r="Y45"/>
  <c r="AI80"/>
  <c r="P80"/>
  <c r="Y80"/>
  <c r="Y146"/>
  <c r="P146"/>
  <c r="AI146"/>
  <c r="AI194"/>
  <c r="P194"/>
  <c r="Y194"/>
  <c r="Y180"/>
  <c r="AI180"/>
  <c r="P180"/>
  <c r="P167"/>
  <c r="Y167"/>
  <c r="AI167"/>
  <c r="P117"/>
  <c r="AI117"/>
  <c r="Y117"/>
  <c r="P133"/>
  <c r="Y133"/>
  <c r="AI133"/>
  <c r="P190"/>
  <c r="Y190"/>
  <c r="AI190"/>
  <c r="Y251"/>
  <c r="P251"/>
  <c r="AI251"/>
  <c r="P314"/>
  <c r="AI314"/>
  <c r="Y314"/>
  <c r="Y258"/>
  <c r="P258"/>
  <c r="AI258"/>
  <c r="P326"/>
  <c r="Y326"/>
  <c r="AI326"/>
  <c r="AI242"/>
  <c r="Y242"/>
  <c r="P242"/>
  <c r="Y304"/>
  <c r="P304"/>
  <c r="AI304"/>
  <c r="P233"/>
  <c r="AI233"/>
  <c r="Y233"/>
  <c r="AI289"/>
  <c r="P289"/>
  <c r="Y289"/>
  <c r="P337"/>
  <c r="Y337"/>
  <c r="AI337"/>
  <c r="P336"/>
  <c r="AI336"/>
  <c r="Y336"/>
  <c r="P359"/>
  <c r="Y359"/>
  <c r="AI359"/>
  <c r="P370"/>
  <c r="Y370"/>
  <c r="AI370"/>
  <c r="AI79"/>
  <c r="P79"/>
  <c r="Y79"/>
  <c r="P59"/>
  <c r="AI59"/>
  <c r="Y59"/>
  <c r="P19"/>
  <c r="Y19"/>
  <c r="P28"/>
  <c r="Y28"/>
  <c r="AI28"/>
  <c r="P44"/>
  <c r="AI44"/>
  <c r="Y44"/>
  <c r="P105"/>
  <c r="Y105"/>
  <c r="AI105"/>
  <c r="P116"/>
  <c r="Y116"/>
  <c r="AI116"/>
  <c r="P132"/>
  <c r="Y132"/>
  <c r="AI132"/>
  <c r="P200"/>
  <c r="Y200"/>
  <c r="AI200"/>
  <c r="AI171"/>
  <c r="P171"/>
  <c r="Y171"/>
  <c r="P178"/>
  <c r="Y178"/>
  <c r="AI178"/>
  <c r="P241"/>
  <c r="Y241"/>
  <c r="AI241"/>
  <c r="P302"/>
  <c r="Y302"/>
  <c r="AI302"/>
  <c r="AI236"/>
  <c r="P236"/>
  <c r="Y236"/>
  <c r="Y315"/>
  <c r="P315"/>
  <c r="AI315"/>
  <c r="P271"/>
  <c r="Y271"/>
  <c r="AI271"/>
  <c r="P227"/>
  <c r="Y227"/>
  <c r="AI227"/>
  <c r="P309"/>
  <c r="AI309"/>
  <c r="Y309"/>
  <c r="Y373"/>
  <c r="P373"/>
  <c r="AI373"/>
  <c r="P331"/>
  <c r="Y331"/>
  <c r="AI331"/>
  <c r="P327"/>
  <c r="Y327"/>
  <c r="AI327"/>
  <c r="P62"/>
  <c r="AI62"/>
  <c r="Y62"/>
  <c r="Y73"/>
  <c r="AI73"/>
  <c r="P73"/>
  <c r="P76"/>
  <c r="Y76"/>
  <c r="AI76"/>
  <c r="AI31"/>
  <c r="P31"/>
  <c r="Y31"/>
  <c r="AI67"/>
  <c r="P67"/>
  <c r="Y67"/>
  <c r="Y138"/>
  <c r="P138"/>
  <c r="AI138"/>
  <c r="AI147"/>
  <c r="Y147"/>
  <c r="P147"/>
  <c r="AI193"/>
  <c r="P193"/>
  <c r="Y193"/>
  <c r="P109"/>
  <c r="AI109"/>
  <c r="Y109"/>
  <c r="P127"/>
  <c r="Y127"/>
  <c r="AI127"/>
  <c r="Y166"/>
  <c r="AI166"/>
  <c r="P166"/>
  <c r="P220"/>
  <c r="AI220"/>
  <c r="Y220"/>
  <c r="P269"/>
  <c r="AI269"/>
  <c r="Y269"/>
  <c r="AI235"/>
  <c r="P235"/>
  <c r="Y235"/>
  <c r="AI303"/>
  <c r="Y303"/>
  <c r="P303"/>
  <c r="P218"/>
  <c r="AI218"/>
  <c r="Y218"/>
  <c r="AI312"/>
  <c r="Y312"/>
  <c r="P312"/>
  <c r="P264"/>
  <c r="Y264"/>
  <c r="AI264"/>
  <c r="P329"/>
  <c r="Y329"/>
  <c r="AI329"/>
  <c r="P335"/>
  <c r="Y335"/>
  <c r="AI335"/>
  <c r="P378"/>
  <c r="Y378"/>
  <c r="AI378"/>
  <c r="AF367"/>
  <c r="AH367"/>
  <c r="AG367"/>
  <c r="AI43"/>
  <c r="P43"/>
  <c r="Y43"/>
  <c r="AI87"/>
  <c r="P87"/>
  <c r="Y87"/>
  <c r="P77"/>
  <c r="Y77"/>
  <c r="AI77"/>
  <c r="AI90"/>
  <c r="P90"/>
  <c r="Y90"/>
  <c r="P30"/>
  <c r="Y30"/>
  <c r="P71"/>
  <c r="Y71"/>
  <c r="AI71"/>
  <c r="Y137"/>
  <c r="P137"/>
  <c r="AI137"/>
  <c r="P195"/>
  <c r="Y195"/>
  <c r="AI195"/>
  <c r="P130"/>
  <c r="Y130"/>
  <c r="AI130"/>
  <c r="Y176"/>
  <c r="P176"/>
  <c r="AI176"/>
  <c r="AI163"/>
  <c r="P163"/>
  <c r="Y163"/>
  <c r="P154"/>
  <c r="Y154"/>
  <c r="AI154"/>
  <c r="AI208"/>
  <c r="P208"/>
  <c r="Y208"/>
  <c r="P273"/>
  <c r="Y273"/>
  <c r="AI273"/>
  <c r="P221"/>
  <c r="AI221"/>
  <c r="Y221"/>
  <c r="Y291"/>
  <c r="P291"/>
  <c r="AI291"/>
  <c r="AI207"/>
  <c r="P207"/>
  <c r="Y207"/>
  <c r="P252"/>
  <c r="AI252"/>
  <c r="Y252"/>
  <c r="AI300"/>
  <c r="Y300"/>
  <c r="P300"/>
  <c r="Y268"/>
  <c r="AI268"/>
  <c r="P268"/>
  <c r="P328"/>
  <c r="Y328"/>
  <c r="AI328"/>
  <c r="Y381"/>
  <c r="P381"/>
  <c r="AI381"/>
  <c r="AI320"/>
  <c r="Y320"/>
  <c r="P320"/>
  <c r="Y334"/>
  <c r="P334"/>
  <c r="AI334"/>
  <c r="P380"/>
  <c r="Y380"/>
  <c r="AI380"/>
  <c r="P86"/>
  <c r="Y86"/>
  <c r="AI86"/>
  <c r="AI52"/>
  <c r="Y52"/>
  <c r="P52"/>
  <c r="Y25"/>
  <c r="P25"/>
  <c r="P41"/>
  <c r="Y41"/>
  <c r="AI41"/>
  <c r="Y75"/>
  <c r="P75"/>
  <c r="AI75"/>
  <c r="P110"/>
  <c r="Y110"/>
  <c r="AI110"/>
  <c r="P189"/>
  <c r="Y189"/>
  <c r="AI189"/>
  <c r="Y164"/>
  <c r="AI164"/>
  <c r="P164"/>
  <c r="P151"/>
  <c r="Y151"/>
  <c r="AI151"/>
  <c r="P113"/>
  <c r="Y113"/>
  <c r="AI113"/>
  <c r="P129"/>
  <c r="Y129"/>
  <c r="AI129"/>
  <c r="P174"/>
  <c r="AI174"/>
  <c r="Y174"/>
  <c r="Y247"/>
  <c r="AI247"/>
  <c r="P247"/>
  <c r="P298"/>
  <c r="Y298"/>
  <c r="AI298"/>
  <c r="Y245"/>
  <c r="P245"/>
  <c r="AI245"/>
  <c r="AI311"/>
  <c r="Y311"/>
  <c r="P311"/>
  <c r="P234"/>
  <c r="Y234"/>
  <c r="AI234"/>
  <c r="Y288"/>
  <c r="AI288"/>
  <c r="P288"/>
  <c r="P228"/>
  <c r="Y228"/>
  <c r="AI228"/>
  <c r="AI272"/>
  <c r="P272"/>
  <c r="Y272"/>
  <c r="P325"/>
  <c r="Y325"/>
  <c r="AI325"/>
  <c r="P343"/>
  <c r="Y343"/>
  <c r="AI343"/>
  <c r="P354"/>
  <c r="Y354"/>
  <c r="AI354"/>
  <c r="P74"/>
  <c r="Y74"/>
  <c r="AI74"/>
  <c r="P48"/>
  <c r="AI48"/>
  <c r="Y48"/>
  <c r="P103"/>
  <c r="Y103"/>
  <c r="AI103"/>
  <c r="AI24"/>
  <c r="Y24"/>
  <c r="P24"/>
  <c r="Y40"/>
  <c r="P40"/>
  <c r="AI40"/>
  <c r="AI89"/>
  <c r="P89"/>
  <c r="Y89"/>
  <c r="P177"/>
  <c r="Y177"/>
  <c r="AI177"/>
  <c r="P128"/>
  <c r="Y128"/>
  <c r="AI128"/>
  <c r="P184"/>
  <c r="Y184"/>
  <c r="AI184"/>
  <c r="P155"/>
  <c r="Y155"/>
  <c r="AI155"/>
  <c r="P162"/>
  <c r="Y162"/>
  <c r="AI162"/>
  <c r="P232"/>
  <c r="Y232"/>
  <c r="AI232"/>
  <c r="P286"/>
  <c r="Y286"/>
  <c r="AI286"/>
  <c r="AI231"/>
  <c r="P231"/>
  <c r="Y231"/>
  <c r="AI299"/>
  <c r="Y299"/>
  <c r="P299"/>
  <c r="P255"/>
  <c r="Y255"/>
  <c r="AI255"/>
  <c r="P223"/>
  <c r="Y223"/>
  <c r="AI223"/>
  <c r="Y293"/>
  <c r="AI293"/>
  <c r="P293"/>
  <c r="P357"/>
  <c r="Y357"/>
  <c r="AI357"/>
  <c r="P372"/>
  <c r="Y372"/>
  <c r="AI372"/>
  <c r="P379"/>
  <c r="Y379"/>
  <c r="AI379"/>
  <c r="P374"/>
  <c r="Y374"/>
  <c r="AI374"/>
  <c r="AI58"/>
  <c r="Y58"/>
  <c r="P58"/>
  <c r="AI60"/>
  <c r="Y60"/>
  <c r="P60"/>
  <c r="AI27"/>
  <c r="Y27"/>
  <c r="P27"/>
  <c r="P47"/>
  <c r="AI47"/>
  <c r="Y47"/>
  <c r="P114"/>
  <c r="Y114"/>
  <c r="AI114"/>
  <c r="P107"/>
  <c r="Y107"/>
  <c r="AI107"/>
  <c r="Y188"/>
  <c r="P188"/>
  <c r="AI188"/>
  <c r="Y191"/>
  <c r="AI191"/>
  <c r="P191"/>
  <c r="P123"/>
  <c r="Y123"/>
  <c r="AI123"/>
  <c r="Y150"/>
  <c r="P150"/>
  <c r="AI150"/>
  <c r="AI214"/>
  <c r="Y214"/>
  <c r="P214"/>
  <c r="P253"/>
  <c r="Y253"/>
  <c r="AI253"/>
  <c r="AI217"/>
  <c r="Y217"/>
  <c r="P217"/>
  <c r="AI287"/>
  <c r="P287"/>
  <c r="Y287"/>
  <c r="P213"/>
  <c r="Y213"/>
  <c r="AI213"/>
  <c r="Y296"/>
  <c r="P296"/>
  <c r="AI296"/>
  <c r="P226"/>
  <c r="Y226"/>
  <c r="AI226"/>
  <c r="AI313"/>
  <c r="P313"/>
  <c r="Y313"/>
  <c r="P377"/>
  <c r="Y377"/>
  <c r="AI377"/>
  <c r="P376"/>
  <c r="Y376"/>
  <c r="AI376"/>
  <c r="P362"/>
  <c r="Y362"/>
  <c r="AI362"/>
  <c r="P66"/>
  <c r="Y66"/>
  <c r="AI66"/>
  <c r="Y61"/>
  <c r="AI61"/>
  <c r="P61"/>
  <c r="P64"/>
  <c r="Y64"/>
  <c r="AI64"/>
  <c r="P26"/>
  <c r="AI26"/>
  <c r="Y26"/>
  <c r="P42"/>
  <c r="Y42"/>
  <c r="P97"/>
  <c r="Y97"/>
  <c r="AI97"/>
  <c r="AI185"/>
  <c r="P185"/>
  <c r="Y185"/>
  <c r="P126"/>
  <c r="Y126"/>
  <c r="AI126"/>
  <c r="Y160"/>
  <c r="P160"/>
  <c r="AI160"/>
  <c r="Y148"/>
  <c r="P148"/>
  <c r="AI148"/>
  <c r="AI149"/>
  <c r="Y149"/>
  <c r="P149"/>
  <c r="Y196"/>
  <c r="AI196"/>
  <c r="P196"/>
  <c r="Y257"/>
  <c r="AI257"/>
  <c r="P257"/>
  <c r="AI210"/>
  <c r="Y210"/>
  <c r="P210"/>
  <c r="P270"/>
  <c r="Y270"/>
  <c r="AI270"/>
  <c r="P198"/>
  <c r="Y198"/>
  <c r="AI198"/>
  <c r="P248"/>
  <c r="Y248"/>
  <c r="AI248"/>
  <c r="P284"/>
  <c r="Y284"/>
  <c r="AI284"/>
  <c r="P229"/>
  <c r="Y229"/>
  <c r="AI229"/>
  <c r="AI317"/>
  <c r="Y317"/>
  <c r="P317"/>
  <c r="P365"/>
  <c r="Y365"/>
  <c r="AI365"/>
  <c r="P364"/>
  <c r="Y364"/>
  <c r="AI364"/>
  <c r="P371"/>
  <c r="Y371"/>
  <c r="AI371"/>
  <c r="CM42" i="43"/>
  <c r="DJ19"/>
  <c r="BR19"/>
  <c r="DJ37"/>
  <c r="BR37"/>
  <c r="CM37"/>
  <c r="DJ42"/>
  <c r="BR42"/>
  <c r="DF42"/>
  <c r="DF37"/>
  <c r="FP15"/>
  <c r="BK15" i="24"/>
  <c r="FP11" i="43"/>
  <c r="BK11" i="24"/>
  <c r="FP17" i="43"/>
  <c r="BK17" i="24"/>
  <c r="BK16"/>
  <c r="FP16" i="43"/>
  <c r="FP14"/>
  <c r="BK14" i="24"/>
  <c r="FP13" i="43"/>
  <c r="BK13" i="24"/>
  <c r="AG16"/>
  <c r="AH16"/>
  <c r="AH13"/>
  <c r="AG13"/>
  <c r="AH15"/>
  <c r="AG15"/>
  <c r="Y11"/>
  <c r="P11"/>
  <c r="CV10" i="43"/>
  <c r="BH10"/>
  <c r="BJ10"/>
  <c r="CA10"/>
  <c r="CX10"/>
  <c r="BF10"/>
  <c r="CT10"/>
  <c r="BY10"/>
  <c r="CC10"/>
  <c r="AH9" i="24"/>
  <c r="I10" i="22"/>
  <c r="K10"/>
  <c r="K11"/>
  <c r="S11"/>
  <c r="E11"/>
  <c r="L11"/>
  <c r="A12"/>
  <c r="T11"/>
  <c r="B11"/>
  <c r="C11"/>
  <c r="D11"/>
  <c r="K66" i="34"/>
  <c r="Y10" i="24"/>
  <c r="Z10" s="1"/>
  <c r="C22" i="44"/>
  <c r="C24" s="1"/>
  <c r="I9" i="22"/>
  <c r="I11"/>
  <c r="AG9" i="24"/>
  <c r="Y8"/>
  <c r="Z8" s="1"/>
  <c r="AG10"/>
  <c r="AH10"/>
  <c r="Y9"/>
  <c r="Z9" s="1"/>
  <c r="J81" i="35"/>
  <c r="J69"/>
  <c r="I33" i="34"/>
  <c r="H7"/>
  <c r="I13"/>
  <c r="I27"/>
  <c r="I28"/>
  <c r="I37"/>
  <c r="I31"/>
  <c r="I66"/>
  <c r="I58"/>
  <c r="I30"/>
  <c r="I14"/>
  <c r="I29"/>
  <c r="I57"/>
  <c r="I38"/>
  <c r="I35"/>
  <c r="I10"/>
  <c r="I12"/>
  <c r="I25"/>
  <c r="I36"/>
  <c r="I6"/>
  <c r="I24"/>
  <c r="I26"/>
  <c r="I32"/>
  <c r="I19"/>
  <c r="I61"/>
  <c r="CF15" i="43"/>
  <c r="CF14"/>
  <c r="CM14" s="1"/>
  <c r="E12" i="30" s="1"/>
  <c r="CF13" i="43"/>
  <c r="CM13" s="1"/>
  <c r="D12" i="30" s="1"/>
  <c r="CF11" i="43"/>
  <c r="CZ16"/>
  <c r="ED16"/>
  <c r="CZ13"/>
  <c r="ED13"/>
  <c r="CF17"/>
  <c r="BL15"/>
  <c r="BL11"/>
  <c r="BL8"/>
  <c r="CZ8"/>
  <c r="ED8"/>
  <c r="CF9"/>
  <c r="CF16"/>
  <c r="CZ9"/>
  <c r="ED9"/>
  <c r="CZ15"/>
  <c r="ED15"/>
  <c r="CZ11"/>
  <c r="ED11"/>
  <c r="CZ17"/>
  <c r="ED17"/>
  <c r="BL17"/>
  <c r="FP8"/>
  <c r="BL9"/>
  <c r="BL16"/>
  <c r="CZ14"/>
  <c r="ED14"/>
  <c r="BL14"/>
  <c r="BL13"/>
  <c r="CF8"/>
  <c r="J96" i="35"/>
  <c r="I4"/>
  <c r="J54"/>
  <c r="J48"/>
  <c r="J83"/>
  <c r="J43"/>
  <c r="J23"/>
  <c r="J3"/>
  <c r="J82"/>
  <c r="J47"/>
  <c r="J12"/>
  <c r="J31"/>
  <c r="J97"/>
  <c r="J80"/>
  <c r="J55"/>
  <c r="J9"/>
  <c r="J19"/>
  <c r="J15"/>
  <c r="J46"/>
  <c r="J21"/>
  <c r="J44"/>
  <c r="J14"/>
  <c r="J29"/>
  <c r="J42"/>
  <c r="J17"/>
  <c r="J45"/>
  <c r="J95"/>
  <c r="H22" i="44"/>
  <c r="H24" s="1"/>
  <c r="P22"/>
  <c r="P24" s="1"/>
  <c r="L21" i="35" l="1"/>
  <c r="K21"/>
  <c r="V13" i="44"/>
  <c r="K66" i="35"/>
  <c r="J66"/>
  <c r="L66"/>
  <c r="I66"/>
  <c r="F16" i="30"/>
  <c r="F23"/>
  <c r="F22"/>
  <c r="F21"/>
  <c r="F20"/>
  <c r="F19"/>
  <c r="U314" i="43"/>
  <c r="BH12"/>
  <c r="C14" i="30" s="1"/>
  <c r="AQ12" i="43"/>
  <c r="FP12" s="1"/>
  <c r="H18" i="34"/>
  <c r="H20"/>
  <c r="V16" i="44"/>
  <c r="AI265" i="24"/>
  <c r="V11" i="44"/>
  <c r="V12"/>
  <c r="V17"/>
  <c r="V14"/>
  <c r="V15"/>
  <c r="V10"/>
  <c r="F10" i="30"/>
  <c r="F17"/>
  <c r="F26"/>
  <c r="H43" i="34"/>
  <c r="H16"/>
  <c r="H41"/>
  <c r="H42"/>
  <c r="F15" i="30"/>
  <c r="F27"/>
  <c r="F9"/>
  <c r="F6"/>
  <c r="G7"/>
  <c r="F28"/>
  <c r="F14"/>
  <c r="AA20" i="24"/>
  <c r="AA322"/>
  <c r="H11" i="34"/>
  <c r="H15"/>
  <c r="H46"/>
  <c r="X380" i="43"/>
  <c r="M12" i="22"/>
  <c r="H12"/>
  <c r="P12"/>
  <c r="CV12" i="43"/>
  <c r="C16" i="30" s="1"/>
  <c r="BF12" i="43"/>
  <c r="AI42" i="24"/>
  <c r="AD39"/>
  <c r="AE25"/>
  <c r="AD30"/>
  <c r="AD32"/>
  <c r="AD35"/>
  <c r="AG8"/>
  <c r="BK10"/>
  <c r="CT12" i="43"/>
  <c r="H44" i="34"/>
  <c r="H45"/>
  <c r="H40"/>
  <c r="BY12" i="43"/>
  <c r="CC12"/>
  <c r="CX12"/>
  <c r="J109" i="35"/>
  <c r="BJ12" i="43"/>
  <c r="CA12"/>
  <c r="C15" i="30" s="1"/>
  <c r="K51" i="35"/>
  <c r="K109"/>
  <c r="I21" i="34"/>
  <c r="L51" i="35"/>
  <c r="I109"/>
  <c r="K12" i="22"/>
  <c r="I107" i="35"/>
  <c r="I108"/>
  <c r="I106"/>
  <c r="I102"/>
  <c r="I98"/>
  <c r="I93"/>
  <c r="I89"/>
  <c r="I84"/>
  <c r="I85"/>
  <c r="I78"/>
  <c r="I74"/>
  <c r="I70"/>
  <c r="I68"/>
  <c r="I67"/>
  <c r="I65"/>
  <c r="I61"/>
  <c r="I56"/>
  <c r="I52"/>
  <c r="I53"/>
  <c r="I50"/>
  <c r="I51"/>
  <c r="I37"/>
  <c r="I38"/>
  <c r="I30"/>
  <c r="I32"/>
  <c r="I27"/>
  <c r="I28"/>
  <c r="I16"/>
  <c r="I18"/>
  <c r="I7"/>
  <c r="I8"/>
  <c r="V374" i="45"/>
  <c r="BA377" i="43"/>
  <c r="V369" i="45"/>
  <c r="BA372" i="43"/>
  <c r="V375" i="45"/>
  <c r="V372"/>
  <c r="BA375" i="43"/>
  <c r="BA359"/>
  <c r="V356" i="45"/>
  <c r="V358"/>
  <c r="BA361" i="43"/>
  <c r="V368" i="45"/>
  <c r="BA371" i="43"/>
  <c r="V359" i="45"/>
  <c r="BA362" i="43"/>
  <c r="BA369"/>
  <c r="V366" i="45"/>
  <c r="V376"/>
  <c r="BA379" i="43"/>
  <c r="V377" i="45"/>
  <c r="BA380" i="43"/>
  <c r="BA373"/>
  <c r="V370" i="45"/>
  <c r="BA365" i="43"/>
  <c r="V362" i="45"/>
  <c r="BA363" i="43"/>
  <c r="V360" i="45"/>
  <c r="V361"/>
  <c r="BA364" i="43"/>
  <c r="V367" i="45"/>
  <c r="BA370" i="43"/>
  <c r="BA367"/>
  <c r="V364" i="45"/>
  <c r="V373"/>
  <c r="BA376" i="43"/>
  <c r="V378" i="45"/>
  <c r="BA381" i="43"/>
  <c r="K9" i="44"/>
  <c r="AG12" i="24"/>
  <c r="AI35"/>
  <c r="AH12"/>
  <c r="AE35"/>
  <c r="AE32"/>
  <c r="AI32"/>
  <c r="AI25"/>
  <c r="AF20"/>
  <c r="K18" i="44"/>
  <c r="K15"/>
  <c r="K16"/>
  <c r="K12"/>
  <c r="K14"/>
  <c r="K10"/>
  <c r="K20"/>
  <c r="K19"/>
  <c r="K13"/>
  <c r="K11"/>
  <c r="K17"/>
  <c r="AG20" i="24"/>
  <c r="AD25"/>
  <c r="AI39"/>
  <c r="I12" i="22"/>
  <c r="AE39" i="24"/>
  <c r="AE30"/>
  <c r="AI30"/>
  <c r="H73" i="34"/>
  <c r="H74"/>
  <c r="H72"/>
  <c r="H71"/>
  <c r="H69"/>
  <c r="H70"/>
  <c r="H65"/>
  <c r="H68"/>
  <c r="H63"/>
  <c r="H64"/>
  <c r="H56"/>
  <c r="H60"/>
  <c r="H53"/>
  <c r="H54"/>
  <c r="H51"/>
  <c r="H52"/>
  <c r="H48"/>
  <c r="H49"/>
  <c r="H34"/>
  <c r="H23"/>
  <c r="I90" i="35"/>
  <c r="I103"/>
  <c r="I62"/>
  <c r="I75"/>
  <c r="I11"/>
  <c r="I13"/>
  <c r="I6"/>
  <c r="I10"/>
  <c r="AH322" i="24"/>
  <c r="AG322"/>
  <c r="AG351"/>
  <c r="AF351"/>
  <c r="Z367"/>
  <c r="AA351"/>
  <c r="FP10" i="43"/>
  <c r="AH17" i="24"/>
  <c r="H19" i="34"/>
  <c r="AD37" i="24"/>
  <c r="AE37"/>
  <c r="AD19"/>
  <c r="AE19"/>
  <c r="AI37"/>
  <c r="AD42"/>
  <c r="AE42"/>
  <c r="AI19"/>
  <c r="AH371"/>
  <c r="AF371"/>
  <c r="AG371"/>
  <c r="Z317"/>
  <c r="AA317"/>
  <c r="AH229"/>
  <c r="AG229"/>
  <c r="AF229"/>
  <c r="Z198"/>
  <c r="AA198"/>
  <c r="AF270"/>
  <c r="AG270"/>
  <c r="AH270"/>
  <c r="AF257"/>
  <c r="AH257"/>
  <c r="AG257"/>
  <c r="Z126"/>
  <c r="AA126"/>
  <c r="Z42"/>
  <c r="AA42"/>
  <c r="AH64"/>
  <c r="AG64"/>
  <c r="AF64"/>
  <c r="Z376"/>
  <c r="AA376"/>
  <c r="AF377"/>
  <c r="AG377"/>
  <c r="AH377"/>
  <c r="AH296"/>
  <c r="AF296"/>
  <c r="AG296"/>
  <c r="AH213"/>
  <c r="AG213"/>
  <c r="AF213"/>
  <c r="AH217"/>
  <c r="AG217"/>
  <c r="AF217"/>
  <c r="Z253"/>
  <c r="AA253"/>
  <c r="Z188"/>
  <c r="AA188"/>
  <c r="AH58"/>
  <c r="AG58"/>
  <c r="AF58"/>
  <c r="Z374"/>
  <c r="AA374"/>
  <c r="AH379"/>
  <c r="AF379"/>
  <c r="AG379"/>
  <c r="AF223"/>
  <c r="AG223"/>
  <c r="AH223"/>
  <c r="AG299"/>
  <c r="AH299"/>
  <c r="AF299"/>
  <c r="AH231"/>
  <c r="AG231"/>
  <c r="AF231"/>
  <c r="AG286"/>
  <c r="AH286"/>
  <c r="AF286"/>
  <c r="Z155"/>
  <c r="AA155"/>
  <c r="AF184"/>
  <c r="AG184"/>
  <c r="AH184"/>
  <c r="AH89"/>
  <c r="AG89"/>
  <c r="AF89"/>
  <c r="Z40"/>
  <c r="AA40"/>
  <c r="AF74"/>
  <c r="AG74"/>
  <c r="AH74"/>
  <c r="AF325"/>
  <c r="AG325"/>
  <c r="AH325"/>
  <c r="AH234"/>
  <c r="AF234"/>
  <c r="AG234"/>
  <c r="Z298"/>
  <c r="AA298"/>
  <c r="AA247"/>
  <c r="Z247"/>
  <c r="Z113"/>
  <c r="AA113"/>
  <c r="AF151"/>
  <c r="AG151"/>
  <c r="AH151"/>
  <c r="Z110"/>
  <c r="AA110"/>
  <c r="Z75"/>
  <c r="AA75"/>
  <c r="AG25"/>
  <c r="AF25"/>
  <c r="AH25"/>
  <c r="Z52"/>
  <c r="AA52"/>
  <c r="AF86"/>
  <c r="AH86"/>
  <c r="AG86"/>
  <c r="Z320"/>
  <c r="AA320"/>
  <c r="Z381"/>
  <c r="AA381"/>
  <c r="AF268"/>
  <c r="AG268"/>
  <c r="AH268"/>
  <c r="Z300"/>
  <c r="AA300"/>
  <c r="AF252"/>
  <c r="AG252"/>
  <c r="AH252"/>
  <c r="AF273"/>
  <c r="AH273"/>
  <c r="AG273"/>
  <c r="AH163"/>
  <c r="AF163"/>
  <c r="AG163"/>
  <c r="AA176"/>
  <c r="Z176"/>
  <c r="AG137"/>
  <c r="AF137"/>
  <c r="AH137"/>
  <c r="AG71"/>
  <c r="AH71"/>
  <c r="AF71"/>
  <c r="Z90"/>
  <c r="AA90"/>
  <c r="Z77"/>
  <c r="AA77"/>
  <c r="AF329"/>
  <c r="AG329"/>
  <c r="AH329"/>
  <c r="AF312"/>
  <c r="AG312"/>
  <c r="AH312"/>
  <c r="Z269"/>
  <c r="AA269"/>
  <c r="AA166"/>
  <c r="Z166"/>
  <c r="Z109"/>
  <c r="AA109"/>
  <c r="AF193"/>
  <c r="AH193"/>
  <c r="AG193"/>
  <c r="Z67"/>
  <c r="AA67"/>
  <c r="AH31"/>
  <c r="AG31"/>
  <c r="AF31"/>
  <c r="AF76"/>
  <c r="AG76"/>
  <c r="AH76"/>
  <c r="Z62"/>
  <c r="AA62"/>
  <c r="Z327"/>
  <c r="AA327"/>
  <c r="AH331"/>
  <c r="AF331"/>
  <c r="AG331"/>
  <c r="Z309"/>
  <c r="AA309"/>
  <c r="Z227"/>
  <c r="AA227"/>
  <c r="AF271"/>
  <c r="AG271"/>
  <c r="AH271"/>
  <c r="Z236"/>
  <c r="AA236"/>
  <c r="AA302"/>
  <c r="Z302"/>
  <c r="AH241"/>
  <c r="AF241"/>
  <c r="AG241"/>
  <c r="Z171"/>
  <c r="AA171"/>
  <c r="Z200"/>
  <c r="AA200"/>
  <c r="AF132"/>
  <c r="AG132"/>
  <c r="AH132"/>
  <c r="AG28"/>
  <c r="AF28"/>
  <c r="AH28"/>
  <c r="Z59"/>
  <c r="AA59"/>
  <c r="AF79"/>
  <c r="AH79"/>
  <c r="AG79"/>
  <c r="AF337"/>
  <c r="AH337"/>
  <c r="AG337"/>
  <c r="AA233"/>
  <c r="Z233"/>
  <c r="AG304"/>
  <c r="AH304"/>
  <c r="AF304"/>
  <c r="Z251"/>
  <c r="AA251"/>
  <c r="AF167"/>
  <c r="AG167"/>
  <c r="AH167"/>
  <c r="Z194"/>
  <c r="AA194"/>
  <c r="AF146"/>
  <c r="AH146"/>
  <c r="AG146"/>
  <c r="AF29"/>
  <c r="AH29"/>
  <c r="AG29"/>
  <c r="Z68"/>
  <c r="AA68"/>
  <c r="AA94"/>
  <c r="Z94"/>
  <c r="Z339"/>
  <c r="AA339"/>
  <c r="AF332"/>
  <c r="AH332"/>
  <c r="AG332"/>
  <c r="AF285"/>
  <c r="AG285"/>
  <c r="AH285"/>
  <c r="AH316"/>
  <c r="AG316"/>
  <c r="AF316"/>
  <c r="Z307"/>
  <c r="AA307"/>
  <c r="AH238"/>
  <c r="AG238"/>
  <c r="AF238"/>
  <c r="Z170"/>
  <c r="AA170"/>
  <c r="AF95"/>
  <c r="AH95"/>
  <c r="AG95"/>
  <c r="Z46"/>
  <c r="AA46"/>
  <c r="Z330"/>
  <c r="AA330"/>
  <c r="AF344"/>
  <c r="AG344"/>
  <c r="AH344"/>
  <c r="Z280"/>
  <c r="AA280"/>
  <c r="Z209"/>
  <c r="AA209"/>
  <c r="Z259"/>
  <c r="AA259"/>
  <c r="AF266"/>
  <c r="AH266"/>
  <c r="AG266"/>
  <c r="AA290"/>
  <c r="Z290"/>
  <c r="AF115"/>
  <c r="AG115"/>
  <c r="AH115"/>
  <c r="Z159"/>
  <c r="AA159"/>
  <c r="AA88"/>
  <c r="Z88"/>
  <c r="AH84"/>
  <c r="AG84"/>
  <c r="AF84"/>
  <c r="Z347"/>
  <c r="AA347"/>
  <c r="AF340"/>
  <c r="AG340"/>
  <c r="AH340"/>
  <c r="AA292"/>
  <c r="Z292"/>
  <c r="AA246"/>
  <c r="Z246"/>
  <c r="AH318"/>
  <c r="AG318"/>
  <c r="AF318"/>
  <c r="AF265"/>
  <c r="AG265"/>
  <c r="AH265"/>
  <c r="AA152"/>
  <c r="Z152"/>
  <c r="AF120"/>
  <c r="AH120"/>
  <c r="AG120"/>
  <c r="Z54"/>
  <c r="AA54"/>
  <c r="AF32"/>
  <c r="AH32"/>
  <c r="AG32"/>
  <c r="AF72"/>
  <c r="AG72"/>
  <c r="AH72"/>
  <c r="AH375"/>
  <c r="AF375"/>
  <c r="AG375"/>
  <c r="Z243"/>
  <c r="AA243"/>
  <c r="AF267"/>
  <c r="AG267"/>
  <c r="AH267"/>
  <c r="AH211"/>
  <c r="AF211"/>
  <c r="AG211"/>
  <c r="Z274"/>
  <c r="AA274"/>
  <c r="AG205"/>
  <c r="AF205"/>
  <c r="AH205"/>
  <c r="AF143"/>
  <c r="AH143"/>
  <c r="AG143"/>
  <c r="Z201"/>
  <c r="AA201"/>
  <c r="AF111"/>
  <c r="AH111"/>
  <c r="AG111"/>
  <c r="Z91"/>
  <c r="AA91"/>
  <c r="AG49"/>
  <c r="AF49"/>
  <c r="AH49"/>
  <c r="Z33"/>
  <c r="AA33"/>
  <c r="AA65"/>
  <c r="Z65"/>
  <c r="AG56"/>
  <c r="AF56"/>
  <c r="AH56"/>
  <c r="AH366"/>
  <c r="AF366"/>
  <c r="AG366"/>
  <c r="AH355"/>
  <c r="AF355"/>
  <c r="AG355"/>
  <c r="AF301"/>
  <c r="AG301"/>
  <c r="AH301"/>
  <c r="Z225"/>
  <c r="AA225"/>
  <c r="Z323"/>
  <c r="AA323"/>
  <c r="AF254"/>
  <c r="AG254"/>
  <c r="AH254"/>
  <c r="AH244"/>
  <c r="AG244"/>
  <c r="AF244"/>
  <c r="Z144"/>
  <c r="AA144"/>
  <c r="AF140"/>
  <c r="AH140"/>
  <c r="AG140"/>
  <c r="AA122"/>
  <c r="Z122"/>
  <c r="Z38"/>
  <c r="AA38"/>
  <c r="AF22"/>
  <c r="AH22"/>
  <c r="AG22"/>
  <c r="AA53"/>
  <c r="Z53"/>
  <c r="AG57"/>
  <c r="AF57"/>
  <c r="AH57"/>
  <c r="Z361"/>
  <c r="AA361"/>
  <c r="AF275"/>
  <c r="AG275"/>
  <c r="AH275"/>
  <c r="AH199"/>
  <c r="AG199"/>
  <c r="AF199"/>
  <c r="AA282"/>
  <c r="Z282"/>
  <c r="Z249"/>
  <c r="AA249"/>
  <c r="AG172"/>
  <c r="AH172"/>
  <c r="AF172"/>
  <c r="AA181"/>
  <c r="Z181"/>
  <c r="AH18"/>
  <c r="AG18"/>
  <c r="AF18"/>
  <c r="Z363"/>
  <c r="AA363"/>
  <c r="AF356"/>
  <c r="AG356"/>
  <c r="AH356"/>
  <c r="AF276"/>
  <c r="AG276"/>
  <c r="AH276"/>
  <c r="AF250"/>
  <c r="AG250"/>
  <c r="AH250"/>
  <c r="Z202"/>
  <c r="AA202"/>
  <c r="Z281"/>
  <c r="AA281"/>
  <c r="AF141"/>
  <c r="AH141"/>
  <c r="AG141"/>
  <c r="Z168"/>
  <c r="AA168"/>
  <c r="AF124"/>
  <c r="AG124"/>
  <c r="AH124"/>
  <c r="AH63"/>
  <c r="AF63"/>
  <c r="AG63"/>
  <c r="Z82"/>
  <c r="AA82"/>
  <c r="Z368"/>
  <c r="AA368"/>
  <c r="Z369"/>
  <c r="AA369"/>
  <c r="AA212"/>
  <c r="Z212"/>
  <c r="Z125"/>
  <c r="AA125"/>
  <c r="Z104"/>
  <c r="AA104"/>
  <c r="AA142"/>
  <c r="Z142"/>
  <c r="Z101"/>
  <c r="AA101"/>
  <c r="AA55"/>
  <c r="Z55"/>
  <c r="Z99"/>
  <c r="AA99"/>
  <c r="AH70"/>
  <c r="AF70"/>
  <c r="AG70"/>
  <c r="Z371"/>
  <c r="AA371"/>
  <c r="AF364"/>
  <c r="AG364"/>
  <c r="AH364"/>
  <c r="AG317"/>
  <c r="AF317"/>
  <c r="AH317"/>
  <c r="Z229"/>
  <c r="AA229"/>
  <c r="AF284"/>
  <c r="AH284"/>
  <c r="AG284"/>
  <c r="Z270"/>
  <c r="AA270"/>
  <c r="AH196"/>
  <c r="AG196"/>
  <c r="AF196"/>
  <c r="Z149"/>
  <c r="AA149"/>
  <c r="Z148"/>
  <c r="AA148"/>
  <c r="AH185"/>
  <c r="AF185"/>
  <c r="AG185"/>
  <c r="AF97"/>
  <c r="AH97"/>
  <c r="AG97"/>
  <c r="Z26"/>
  <c r="AA26"/>
  <c r="AA64"/>
  <c r="Z64"/>
  <c r="Z61"/>
  <c r="AA61"/>
  <c r="Z377"/>
  <c r="AA377"/>
  <c r="AA213"/>
  <c r="Z213"/>
  <c r="Z214"/>
  <c r="AA214"/>
  <c r="AA150"/>
  <c r="Z150"/>
  <c r="AH191"/>
  <c r="AG191"/>
  <c r="AF191"/>
  <c r="AG188"/>
  <c r="AH188"/>
  <c r="AF188"/>
  <c r="AF107"/>
  <c r="AG107"/>
  <c r="AH107"/>
  <c r="Z47"/>
  <c r="AA47"/>
  <c r="Z27"/>
  <c r="AA27"/>
  <c r="Z379"/>
  <c r="AA379"/>
  <c r="AF372"/>
  <c r="AG372"/>
  <c r="AH372"/>
  <c r="AF293"/>
  <c r="AG293"/>
  <c r="AH293"/>
  <c r="Z223"/>
  <c r="AA223"/>
  <c r="AF255"/>
  <c r="AG255"/>
  <c r="AH255"/>
  <c r="AA231"/>
  <c r="Z231"/>
  <c r="Z286"/>
  <c r="AA286"/>
  <c r="AF232"/>
  <c r="AG232"/>
  <c r="AH232"/>
  <c r="Z184"/>
  <c r="AA184"/>
  <c r="AF128"/>
  <c r="AG128"/>
  <c r="AH128"/>
  <c r="AA89"/>
  <c r="Z89"/>
  <c r="AF40"/>
  <c r="AH40"/>
  <c r="AG40"/>
  <c r="Z48"/>
  <c r="AA48"/>
  <c r="Z74"/>
  <c r="AA74"/>
  <c r="AF354"/>
  <c r="AG354"/>
  <c r="AH354"/>
  <c r="Z325"/>
  <c r="AA325"/>
  <c r="AF288"/>
  <c r="AG288"/>
  <c r="AH288"/>
  <c r="Z234"/>
  <c r="AA234"/>
  <c r="AH174"/>
  <c r="AF174"/>
  <c r="AG174"/>
  <c r="Z151"/>
  <c r="AA151"/>
  <c r="Z164"/>
  <c r="AA164"/>
  <c r="AG75"/>
  <c r="AH75"/>
  <c r="AF75"/>
  <c r="AH41"/>
  <c r="AG41"/>
  <c r="AF41"/>
  <c r="AH52"/>
  <c r="AG52"/>
  <c r="AF52"/>
  <c r="Z86"/>
  <c r="AA86"/>
  <c r="AF380"/>
  <c r="AH380"/>
  <c r="AG380"/>
  <c r="AG320"/>
  <c r="AF320"/>
  <c r="AH320"/>
  <c r="AF381"/>
  <c r="AG381"/>
  <c r="AH381"/>
  <c r="AF328"/>
  <c r="AH328"/>
  <c r="AG328"/>
  <c r="AG300"/>
  <c r="AH300"/>
  <c r="AF300"/>
  <c r="AA221"/>
  <c r="Z221"/>
  <c r="AA273"/>
  <c r="Z273"/>
  <c r="Z163"/>
  <c r="AA163"/>
  <c r="AF176"/>
  <c r="AH176"/>
  <c r="AG176"/>
  <c r="AF130"/>
  <c r="AG130"/>
  <c r="AH130"/>
  <c r="Z71"/>
  <c r="AA71"/>
  <c r="AH30"/>
  <c r="AG30"/>
  <c r="AF30"/>
  <c r="AF87"/>
  <c r="AH87"/>
  <c r="AG87"/>
  <c r="AF378"/>
  <c r="AG378"/>
  <c r="AH378"/>
  <c r="Z329"/>
  <c r="AA329"/>
  <c r="AF264"/>
  <c r="AG264"/>
  <c r="AH264"/>
  <c r="Z218"/>
  <c r="AA218"/>
  <c r="AA303"/>
  <c r="Z303"/>
  <c r="Z220"/>
  <c r="AA220"/>
  <c r="AF127"/>
  <c r="AH127"/>
  <c r="AG127"/>
  <c r="Z193"/>
  <c r="AA193"/>
  <c r="AA147"/>
  <c r="Z147"/>
  <c r="Z138"/>
  <c r="AA138"/>
  <c r="Z31"/>
  <c r="AA31"/>
  <c r="Z76"/>
  <c r="AA76"/>
  <c r="Z73"/>
  <c r="AA73"/>
  <c r="Z331"/>
  <c r="AA331"/>
  <c r="Z373"/>
  <c r="AA373"/>
  <c r="Z271"/>
  <c r="AA271"/>
  <c r="Z315"/>
  <c r="AA315"/>
  <c r="AA241"/>
  <c r="Z241"/>
  <c r="AH178"/>
  <c r="AF178"/>
  <c r="AG178"/>
  <c r="AA132"/>
  <c r="Z132"/>
  <c r="AF116"/>
  <c r="AG116"/>
  <c r="AH116"/>
  <c r="Z44"/>
  <c r="AA44"/>
  <c r="Z28"/>
  <c r="AA28"/>
  <c r="AG19"/>
  <c r="AF19"/>
  <c r="AH19"/>
  <c r="Z79"/>
  <c r="AA79"/>
  <c r="AF370"/>
  <c r="AH370"/>
  <c r="AG370"/>
  <c r="Z336"/>
  <c r="AA336"/>
  <c r="Z337"/>
  <c r="AA337"/>
  <c r="Z242"/>
  <c r="AA242"/>
  <c r="AF326"/>
  <c r="AH326"/>
  <c r="AG326"/>
  <c r="Z314"/>
  <c r="AA314"/>
  <c r="AF251"/>
  <c r="AH251"/>
  <c r="AG251"/>
  <c r="AF190"/>
  <c r="AH190"/>
  <c r="AG190"/>
  <c r="Z117"/>
  <c r="AA117"/>
  <c r="Z167"/>
  <c r="AA167"/>
  <c r="Z180"/>
  <c r="AA180"/>
  <c r="AH80"/>
  <c r="AG80"/>
  <c r="AF80"/>
  <c r="AF94"/>
  <c r="AG94"/>
  <c r="AH94"/>
  <c r="Z332"/>
  <c r="AA332"/>
  <c r="Z333"/>
  <c r="AA333"/>
  <c r="AF263"/>
  <c r="AG263"/>
  <c r="AH263"/>
  <c r="AA222"/>
  <c r="Z222"/>
  <c r="AA238"/>
  <c r="Z238"/>
  <c r="AH294"/>
  <c r="AF294"/>
  <c r="AG294"/>
  <c r="AH179"/>
  <c r="AF179"/>
  <c r="AG179"/>
  <c r="AG192"/>
  <c r="AF192"/>
  <c r="AH192"/>
  <c r="AF134"/>
  <c r="AG134"/>
  <c r="AH134"/>
  <c r="AH153"/>
  <c r="AF153"/>
  <c r="AG153"/>
  <c r="AH81"/>
  <c r="AG81"/>
  <c r="AF81"/>
  <c r="Z34"/>
  <c r="AA34"/>
  <c r="AG46"/>
  <c r="AF46"/>
  <c r="AH46"/>
  <c r="Z51"/>
  <c r="AA51"/>
  <c r="Z344"/>
  <c r="AA344"/>
  <c r="AF345"/>
  <c r="AG345"/>
  <c r="AH345"/>
  <c r="AH240"/>
  <c r="AG240"/>
  <c r="AF240"/>
  <c r="AF159"/>
  <c r="AG159"/>
  <c r="AH159"/>
  <c r="Z156"/>
  <c r="AA156"/>
  <c r="Z35"/>
  <c r="AA35"/>
  <c r="AF96"/>
  <c r="AG96"/>
  <c r="AH96"/>
  <c r="AF78"/>
  <c r="AH78"/>
  <c r="AG78"/>
  <c r="Z340"/>
  <c r="AA340"/>
  <c r="Z324"/>
  <c r="AA324"/>
  <c r="AF246"/>
  <c r="AG246"/>
  <c r="AH246"/>
  <c r="AF262"/>
  <c r="AH262"/>
  <c r="AG262"/>
  <c r="Z265"/>
  <c r="AA265"/>
  <c r="AG204"/>
  <c r="AF204"/>
  <c r="AH204"/>
  <c r="Z187"/>
  <c r="AA187"/>
  <c r="Z120"/>
  <c r="AA120"/>
  <c r="Z145"/>
  <c r="AA145"/>
  <c r="AA72"/>
  <c r="Z72"/>
  <c r="AH69"/>
  <c r="AF69"/>
  <c r="AG69"/>
  <c r="Z375"/>
  <c r="AA375"/>
  <c r="AF352"/>
  <c r="AH352"/>
  <c r="AG352"/>
  <c r="AA305"/>
  <c r="Z305"/>
  <c r="AG243"/>
  <c r="AH243"/>
  <c r="AF243"/>
  <c r="AA203"/>
  <c r="Z203"/>
  <c r="AA205"/>
  <c r="Z205"/>
  <c r="AF121"/>
  <c r="AG121"/>
  <c r="AH121"/>
  <c r="Z111"/>
  <c r="AA111"/>
  <c r="AF157"/>
  <c r="AG157"/>
  <c r="AH157"/>
  <c r="AH33"/>
  <c r="AG33"/>
  <c r="AF33"/>
  <c r="Z83"/>
  <c r="AA83"/>
  <c r="Z355"/>
  <c r="AA355"/>
  <c r="AF348"/>
  <c r="AG348"/>
  <c r="AH348"/>
  <c r="AH225"/>
  <c r="AF225"/>
  <c r="AG225"/>
  <c r="AH279"/>
  <c r="AG279"/>
  <c r="AF279"/>
  <c r="AH323"/>
  <c r="AG323"/>
  <c r="AF323"/>
  <c r="Z254"/>
  <c r="AA254"/>
  <c r="AH310"/>
  <c r="AF310"/>
  <c r="AG310"/>
  <c r="Z186"/>
  <c r="AA186"/>
  <c r="AH144"/>
  <c r="AG144"/>
  <c r="AF144"/>
  <c r="AF108"/>
  <c r="AG108"/>
  <c r="AH108"/>
  <c r="AH169"/>
  <c r="AF169"/>
  <c r="AG169"/>
  <c r="Z92"/>
  <c r="AA92"/>
  <c r="AH53"/>
  <c r="AG53"/>
  <c r="AF53"/>
  <c r="AF346"/>
  <c r="AG346"/>
  <c r="AH346"/>
  <c r="Z297"/>
  <c r="AA297"/>
  <c r="AA216"/>
  <c r="Z216"/>
  <c r="Z199"/>
  <c r="AA199"/>
  <c r="AG306"/>
  <c r="AH306"/>
  <c r="AF306"/>
  <c r="AH197"/>
  <c r="AG197"/>
  <c r="AF197"/>
  <c r="AH135"/>
  <c r="AG135"/>
  <c r="AF135"/>
  <c r="AF119"/>
  <c r="AH119"/>
  <c r="AG119"/>
  <c r="AF181"/>
  <c r="AG181"/>
  <c r="AH181"/>
  <c r="AF106"/>
  <c r="AH106"/>
  <c r="AG106"/>
  <c r="Z23"/>
  <c r="AA23"/>
  <c r="Z18"/>
  <c r="AA18"/>
  <c r="Z102"/>
  <c r="AA102"/>
  <c r="Z356"/>
  <c r="AA356"/>
  <c r="AH341"/>
  <c r="AF341"/>
  <c r="AG341"/>
  <c r="AH308"/>
  <c r="AF308"/>
  <c r="AG308"/>
  <c r="Z250"/>
  <c r="AA250"/>
  <c r="AF206"/>
  <c r="AH206"/>
  <c r="AG206"/>
  <c r="AG136"/>
  <c r="AF136"/>
  <c r="AH136"/>
  <c r="AA124"/>
  <c r="Z124"/>
  <c r="AH161"/>
  <c r="AF161"/>
  <c r="AG161"/>
  <c r="AF36"/>
  <c r="AH36"/>
  <c r="AG36"/>
  <c r="AF338"/>
  <c r="AH338"/>
  <c r="AG338"/>
  <c r="Z321"/>
  <c r="AA321"/>
  <c r="AF256"/>
  <c r="AG256"/>
  <c r="AH256"/>
  <c r="AH283"/>
  <c r="AF283"/>
  <c r="AG283"/>
  <c r="Z215"/>
  <c r="AA215"/>
  <c r="AF295"/>
  <c r="AG295"/>
  <c r="AH295"/>
  <c r="AF277"/>
  <c r="AH277"/>
  <c r="AG277"/>
  <c r="AH212"/>
  <c r="AG212"/>
  <c r="AF212"/>
  <c r="AH158"/>
  <c r="AF158"/>
  <c r="AG158"/>
  <c r="AH142"/>
  <c r="AG142"/>
  <c r="AF142"/>
  <c r="AH55"/>
  <c r="AG55"/>
  <c r="AF55"/>
  <c r="AH37"/>
  <c r="AG37"/>
  <c r="AF37"/>
  <c r="Z70"/>
  <c r="AA70"/>
  <c r="Z364"/>
  <c r="AA364"/>
  <c r="AH365"/>
  <c r="AF365"/>
  <c r="AG365"/>
  <c r="Z284"/>
  <c r="AA284"/>
  <c r="AF248"/>
  <c r="AG248"/>
  <c r="AH248"/>
  <c r="Z210"/>
  <c r="AA210"/>
  <c r="AA257"/>
  <c r="Z257"/>
  <c r="AG149"/>
  <c r="AF149"/>
  <c r="AH149"/>
  <c r="AH148"/>
  <c r="AG148"/>
  <c r="AF148"/>
  <c r="AA160"/>
  <c r="Z160"/>
  <c r="Z185"/>
  <c r="AA185"/>
  <c r="Z97"/>
  <c r="AA97"/>
  <c r="AG42"/>
  <c r="AF42"/>
  <c r="AH42"/>
  <c r="AF66"/>
  <c r="AH66"/>
  <c r="AG66"/>
  <c r="AF362"/>
  <c r="AG362"/>
  <c r="AH362"/>
  <c r="AH313"/>
  <c r="AF313"/>
  <c r="AG313"/>
  <c r="AF226"/>
  <c r="AG226"/>
  <c r="AH226"/>
  <c r="AH287"/>
  <c r="AG287"/>
  <c r="AF287"/>
  <c r="AH214"/>
  <c r="AG214"/>
  <c r="AF214"/>
  <c r="AH150"/>
  <c r="AF150"/>
  <c r="AG150"/>
  <c r="AF123"/>
  <c r="AG123"/>
  <c r="AH123"/>
  <c r="Z107"/>
  <c r="AA107"/>
  <c r="AF114"/>
  <c r="AG114"/>
  <c r="AH114"/>
  <c r="AG27"/>
  <c r="AF27"/>
  <c r="AH27"/>
  <c r="AA60"/>
  <c r="Z60"/>
  <c r="Z372"/>
  <c r="AA372"/>
  <c r="AF357"/>
  <c r="AG357"/>
  <c r="AH357"/>
  <c r="Z255"/>
  <c r="AA255"/>
  <c r="Z232"/>
  <c r="AA232"/>
  <c r="AH162"/>
  <c r="AF162"/>
  <c r="AG162"/>
  <c r="Z128"/>
  <c r="AA128"/>
  <c r="AH177"/>
  <c r="AF177"/>
  <c r="AG177"/>
  <c r="Z24"/>
  <c r="AA24"/>
  <c r="AF103"/>
  <c r="AG103"/>
  <c r="AH103"/>
  <c r="Z354"/>
  <c r="AA354"/>
  <c r="AH343"/>
  <c r="AF343"/>
  <c r="AG343"/>
  <c r="AF272"/>
  <c r="AG272"/>
  <c r="AH272"/>
  <c r="AH228"/>
  <c r="AG228"/>
  <c r="AF228"/>
  <c r="AA311"/>
  <c r="Z311"/>
  <c r="AA245"/>
  <c r="Z245"/>
  <c r="AF247"/>
  <c r="AH247"/>
  <c r="AG247"/>
  <c r="AF129"/>
  <c r="AG129"/>
  <c r="AH129"/>
  <c r="AF189"/>
  <c r="AG189"/>
  <c r="AH189"/>
  <c r="Z41"/>
  <c r="AA41"/>
  <c r="Z25"/>
  <c r="AA25"/>
  <c r="AA380"/>
  <c r="Z380"/>
  <c r="Z334"/>
  <c r="AA334"/>
  <c r="Z328"/>
  <c r="AA328"/>
  <c r="Z268"/>
  <c r="AA268"/>
  <c r="Z252"/>
  <c r="AA252"/>
  <c r="AF207"/>
  <c r="AH207"/>
  <c r="AG207"/>
  <c r="Z291"/>
  <c r="AA291"/>
  <c r="AG208"/>
  <c r="AF208"/>
  <c r="AH208"/>
  <c r="AF154"/>
  <c r="AH154"/>
  <c r="AG154"/>
  <c r="AA130"/>
  <c r="Z130"/>
  <c r="AF195"/>
  <c r="AH195"/>
  <c r="AG195"/>
  <c r="Z87"/>
  <c r="AA87"/>
  <c r="AH43"/>
  <c r="AG43"/>
  <c r="AF43"/>
  <c r="Z378"/>
  <c r="AA378"/>
  <c r="AF335"/>
  <c r="AG335"/>
  <c r="AH335"/>
  <c r="Z264"/>
  <c r="AA264"/>
  <c r="AG303"/>
  <c r="AH303"/>
  <c r="AF303"/>
  <c r="AH235"/>
  <c r="AG235"/>
  <c r="AF235"/>
  <c r="AF269"/>
  <c r="AH269"/>
  <c r="AG269"/>
  <c r="AH166"/>
  <c r="AF166"/>
  <c r="AG166"/>
  <c r="Z127"/>
  <c r="AA127"/>
  <c r="AF109"/>
  <c r="AG109"/>
  <c r="AH109"/>
  <c r="AH147"/>
  <c r="AG147"/>
  <c r="AF147"/>
  <c r="AH138"/>
  <c r="AG138"/>
  <c r="AF138"/>
  <c r="AG62"/>
  <c r="AH62"/>
  <c r="AF62"/>
  <c r="AF373"/>
  <c r="AH373"/>
  <c r="AG373"/>
  <c r="AG309"/>
  <c r="AH309"/>
  <c r="AF309"/>
  <c r="AH315"/>
  <c r="AG315"/>
  <c r="AF315"/>
  <c r="Z178"/>
  <c r="AA178"/>
  <c r="AA116"/>
  <c r="Z116"/>
  <c r="AF105"/>
  <c r="AG105"/>
  <c r="AH105"/>
  <c r="AH59"/>
  <c r="AG59"/>
  <c r="AF59"/>
  <c r="AA370"/>
  <c r="Z370"/>
  <c r="AF359"/>
  <c r="AH359"/>
  <c r="AG359"/>
  <c r="AF289"/>
  <c r="AH289"/>
  <c r="AG289"/>
  <c r="AF233"/>
  <c r="AH233"/>
  <c r="AG233"/>
  <c r="AH242"/>
  <c r="AG242"/>
  <c r="AF242"/>
  <c r="Z326"/>
  <c r="AA326"/>
  <c r="Z258"/>
  <c r="AA258"/>
  <c r="Z190"/>
  <c r="AA190"/>
  <c r="AF133"/>
  <c r="AH133"/>
  <c r="AG133"/>
  <c r="Z80"/>
  <c r="AA80"/>
  <c r="AG45"/>
  <c r="AH45"/>
  <c r="AF45"/>
  <c r="AF350"/>
  <c r="AG350"/>
  <c r="AH350"/>
  <c r="AH333"/>
  <c r="AF333"/>
  <c r="AG333"/>
  <c r="Z285"/>
  <c r="AA285"/>
  <c r="AA263"/>
  <c r="Z263"/>
  <c r="AH222"/>
  <c r="AG222"/>
  <c r="AF222"/>
  <c r="AG307"/>
  <c r="AH307"/>
  <c r="AF307"/>
  <c r="Z294"/>
  <c r="AA294"/>
  <c r="AG239"/>
  <c r="AF239"/>
  <c r="AH239"/>
  <c r="AH170"/>
  <c r="AF170"/>
  <c r="AG170"/>
  <c r="Z192"/>
  <c r="AA192"/>
  <c r="AA134"/>
  <c r="Z134"/>
  <c r="AF118"/>
  <c r="AG118"/>
  <c r="AH118"/>
  <c r="Z81"/>
  <c r="AA81"/>
  <c r="AG34"/>
  <c r="AF34"/>
  <c r="AH34"/>
  <c r="Z100"/>
  <c r="AA100"/>
  <c r="AH51"/>
  <c r="AG51"/>
  <c r="AF51"/>
  <c r="Z345"/>
  <c r="AA345"/>
  <c r="AH259"/>
  <c r="AF259"/>
  <c r="AG259"/>
  <c r="Z319"/>
  <c r="AA319"/>
  <c r="AA266"/>
  <c r="Z266"/>
  <c r="AA240"/>
  <c r="Z240"/>
  <c r="AH182"/>
  <c r="AF182"/>
  <c r="AG182"/>
  <c r="AF131"/>
  <c r="AG131"/>
  <c r="AH131"/>
  <c r="AG156"/>
  <c r="AH156"/>
  <c r="AF156"/>
  <c r="AA165"/>
  <c r="Z165"/>
  <c r="AH35"/>
  <c r="AG35"/>
  <c r="AF35"/>
  <c r="AA96"/>
  <c r="Z96"/>
  <c r="Z84"/>
  <c r="AA84"/>
  <c r="AF342"/>
  <c r="AH342"/>
  <c r="AG342"/>
  <c r="AF324"/>
  <c r="AH324"/>
  <c r="AG324"/>
  <c r="Z260"/>
  <c r="AA260"/>
  <c r="Z262"/>
  <c r="AA262"/>
  <c r="Z204"/>
  <c r="AA204"/>
  <c r="AF112"/>
  <c r="AG112"/>
  <c r="AH112"/>
  <c r="AH145"/>
  <c r="AG145"/>
  <c r="AF145"/>
  <c r="AG54"/>
  <c r="AF54"/>
  <c r="AH54"/>
  <c r="Z69"/>
  <c r="AA69"/>
  <c r="AA93"/>
  <c r="Z93"/>
  <c r="Z352"/>
  <c r="AA352"/>
  <c r="AF353"/>
  <c r="AH353"/>
  <c r="AG353"/>
  <c r="Z219"/>
  <c r="AA219"/>
  <c r="AA267"/>
  <c r="Z267"/>
  <c r="AF274"/>
  <c r="AG274"/>
  <c r="AH274"/>
  <c r="AF261"/>
  <c r="AH261"/>
  <c r="AG261"/>
  <c r="Z143"/>
  <c r="AA143"/>
  <c r="AA121"/>
  <c r="Z121"/>
  <c r="AF183"/>
  <c r="AG183"/>
  <c r="AH183"/>
  <c r="AA157"/>
  <c r="Z157"/>
  <c r="AH91"/>
  <c r="AG91"/>
  <c r="AF91"/>
  <c r="AA348"/>
  <c r="Z348"/>
  <c r="AF349"/>
  <c r="AG349"/>
  <c r="AH349"/>
  <c r="AA279"/>
  <c r="Z279"/>
  <c r="AH230"/>
  <c r="AG230"/>
  <c r="AF230"/>
  <c r="AA310"/>
  <c r="Z310"/>
  <c r="AA108"/>
  <c r="Z108"/>
  <c r="Z169"/>
  <c r="AA169"/>
  <c r="AH92"/>
  <c r="AG92"/>
  <c r="AF92"/>
  <c r="AG38"/>
  <c r="AF38"/>
  <c r="AH38"/>
  <c r="Z50"/>
  <c r="AA50"/>
  <c r="Z346"/>
  <c r="AA346"/>
  <c r="AH360"/>
  <c r="AF360"/>
  <c r="AG360"/>
  <c r="AG297"/>
  <c r="AH297"/>
  <c r="AF297"/>
  <c r="Z275"/>
  <c r="AA275"/>
  <c r="AH282"/>
  <c r="AF282"/>
  <c r="AG282"/>
  <c r="Z306"/>
  <c r="AA306"/>
  <c r="Z135"/>
  <c r="AA135"/>
  <c r="Z119"/>
  <c r="AA119"/>
  <c r="Z175"/>
  <c r="AA175"/>
  <c r="Z106"/>
  <c r="AA106"/>
  <c r="AH39"/>
  <c r="AG39"/>
  <c r="AF39"/>
  <c r="AF102"/>
  <c r="AG102"/>
  <c r="AH102"/>
  <c r="AF358"/>
  <c r="AH358"/>
  <c r="AG358"/>
  <c r="AA341"/>
  <c r="Z341"/>
  <c r="Z276"/>
  <c r="AA276"/>
  <c r="AF278"/>
  <c r="AG278"/>
  <c r="AH278"/>
  <c r="Z206"/>
  <c r="AA206"/>
  <c r="AA161"/>
  <c r="Z161"/>
  <c r="Z63"/>
  <c r="AA63"/>
  <c r="AG82"/>
  <c r="AF82"/>
  <c r="AH82"/>
  <c r="AF85"/>
  <c r="AH85"/>
  <c r="AG85"/>
  <c r="AF98"/>
  <c r="AG98"/>
  <c r="AH98"/>
  <c r="AA338"/>
  <c r="Z338"/>
  <c r="AF368"/>
  <c r="AG368"/>
  <c r="AH368"/>
  <c r="AH321"/>
  <c r="AG321"/>
  <c r="AF321"/>
  <c r="Z256"/>
  <c r="AA256"/>
  <c r="AH224"/>
  <c r="AG224"/>
  <c r="AF224"/>
  <c r="AG215"/>
  <c r="AF215"/>
  <c r="AH215"/>
  <c r="Z295"/>
  <c r="AA295"/>
  <c r="AH237"/>
  <c r="AG237"/>
  <c r="AF237"/>
  <c r="Z158"/>
  <c r="AA158"/>
  <c r="AF125"/>
  <c r="AG125"/>
  <c r="AH125"/>
  <c r="Z139"/>
  <c r="AA139"/>
  <c r="AF173"/>
  <c r="AG173"/>
  <c r="AH173"/>
  <c r="AA37"/>
  <c r="Z37"/>
  <c r="AH21"/>
  <c r="AG21"/>
  <c r="AF21"/>
  <c r="AA17"/>
  <c r="Z365"/>
  <c r="AA365"/>
  <c r="AA248"/>
  <c r="Z248"/>
  <c r="AH198"/>
  <c r="AG198"/>
  <c r="AF198"/>
  <c r="AF210"/>
  <c r="AH210"/>
  <c r="AG210"/>
  <c r="Z196"/>
  <c r="AA196"/>
  <c r="AF160"/>
  <c r="AG160"/>
  <c r="AH160"/>
  <c r="AF126"/>
  <c r="AG126"/>
  <c r="AH126"/>
  <c r="AF26"/>
  <c r="AH26"/>
  <c r="AG26"/>
  <c r="AH61"/>
  <c r="AF61"/>
  <c r="AG61"/>
  <c r="Z66"/>
  <c r="AA66"/>
  <c r="AA362"/>
  <c r="Z362"/>
  <c r="AH376"/>
  <c r="AF376"/>
  <c r="AG376"/>
  <c r="Z313"/>
  <c r="AA313"/>
  <c r="Z226"/>
  <c r="AA226"/>
  <c r="AA296"/>
  <c r="Z296"/>
  <c r="Z287"/>
  <c r="AA287"/>
  <c r="Z217"/>
  <c r="AA217"/>
  <c r="AF253"/>
  <c r="AH253"/>
  <c r="AG253"/>
  <c r="Z123"/>
  <c r="AA123"/>
  <c r="Z191"/>
  <c r="AA191"/>
  <c r="AA114"/>
  <c r="Z114"/>
  <c r="AG47"/>
  <c r="AH47"/>
  <c r="AF47"/>
  <c r="AF60"/>
  <c r="AH60"/>
  <c r="AG60"/>
  <c r="Z58"/>
  <c r="AA58"/>
  <c r="AF374"/>
  <c r="AH374"/>
  <c r="AG374"/>
  <c r="Z357"/>
  <c r="AA357"/>
  <c r="Z293"/>
  <c r="AA293"/>
  <c r="Z299"/>
  <c r="AA299"/>
  <c r="Z162"/>
  <c r="AA162"/>
  <c r="AH155"/>
  <c r="AF155"/>
  <c r="AG155"/>
  <c r="Z177"/>
  <c r="AA177"/>
  <c r="AG24"/>
  <c r="AF24"/>
  <c r="AH24"/>
  <c r="AA103"/>
  <c r="Z103"/>
  <c r="AG48"/>
  <c r="AF48"/>
  <c r="AH48"/>
  <c r="Z343"/>
  <c r="AA343"/>
  <c r="Z272"/>
  <c r="AA272"/>
  <c r="Z228"/>
  <c r="AA228"/>
  <c r="Z288"/>
  <c r="AA288"/>
  <c r="AG311"/>
  <c r="AH311"/>
  <c r="AF311"/>
  <c r="AG245"/>
  <c r="AH245"/>
  <c r="AF245"/>
  <c r="AF298"/>
  <c r="AG298"/>
  <c r="AH298"/>
  <c r="Z174"/>
  <c r="AA174"/>
  <c r="Z129"/>
  <c r="AA129"/>
  <c r="AF113"/>
  <c r="AG113"/>
  <c r="AH113"/>
  <c r="AF164"/>
  <c r="AH164"/>
  <c r="AG164"/>
  <c r="Z189"/>
  <c r="AA189"/>
  <c r="AF110"/>
  <c r="AG110"/>
  <c r="AH110"/>
  <c r="AH334"/>
  <c r="AF334"/>
  <c r="AG334"/>
  <c r="AA207"/>
  <c r="Z207"/>
  <c r="AF291"/>
  <c r="AG291"/>
  <c r="AH291"/>
  <c r="AH221"/>
  <c r="AG221"/>
  <c r="AF221"/>
  <c r="AA208"/>
  <c r="Z208"/>
  <c r="Z154"/>
  <c r="AA154"/>
  <c r="AA195"/>
  <c r="Z195"/>
  <c r="Z137"/>
  <c r="AA137"/>
  <c r="Z30"/>
  <c r="AA30"/>
  <c r="AG90"/>
  <c r="AH90"/>
  <c r="AF90"/>
  <c r="AF77"/>
  <c r="AG77"/>
  <c r="AH77"/>
  <c r="Z43"/>
  <c r="AA43"/>
  <c r="Z335"/>
  <c r="AA335"/>
  <c r="AA312"/>
  <c r="Z312"/>
  <c r="AF218"/>
  <c r="AH218"/>
  <c r="AG218"/>
  <c r="AA235"/>
  <c r="Z235"/>
  <c r="AG220"/>
  <c r="AF220"/>
  <c r="AH220"/>
  <c r="AF67"/>
  <c r="AH67"/>
  <c r="AG67"/>
  <c r="AH73"/>
  <c r="AF73"/>
  <c r="AG73"/>
  <c r="AH327"/>
  <c r="AF327"/>
  <c r="AG327"/>
  <c r="AH227"/>
  <c r="AF227"/>
  <c r="AG227"/>
  <c r="AF236"/>
  <c r="AH236"/>
  <c r="AG236"/>
  <c r="AG302"/>
  <c r="AH302"/>
  <c r="AF302"/>
  <c r="AH171"/>
  <c r="AF171"/>
  <c r="AG171"/>
  <c r="AG200"/>
  <c r="AF200"/>
  <c r="AH200"/>
  <c r="AA105"/>
  <c r="Z105"/>
  <c r="AF44"/>
  <c r="AH44"/>
  <c r="AG44"/>
  <c r="Z19"/>
  <c r="AA19"/>
  <c r="Z359"/>
  <c r="AA359"/>
  <c r="AH336"/>
  <c r="AF336"/>
  <c r="AG336"/>
  <c r="Z289"/>
  <c r="AA289"/>
  <c r="AA304"/>
  <c r="Z304"/>
  <c r="AF258"/>
  <c r="AG258"/>
  <c r="AH258"/>
  <c r="AF314"/>
  <c r="AH314"/>
  <c r="AG314"/>
  <c r="Z133"/>
  <c r="AA133"/>
  <c r="AF117"/>
  <c r="AG117"/>
  <c r="AH117"/>
  <c r="AF180"/>
  <c r="AH180"/>
  <c r="AG180"/>
  <c r="AF194"/>
  <c r="AH194"/>
  <c r="AG194"/>
  <c r="Z146"/>
  <c r="AA146"/>
  <c r="Z45"/>
  <c r="AA45"/>
  <c r="Z29"/>
  <c r="AA29"/>
  <c r="AF68"/>
  <c r="AH68"/>
  <c r="AG68"/>
  <c r="Z350"/>
  <c r="AA350"/>
  <c r="AH339"/>
  <c r="AF339"/>
  <c r="AG339"/>
  <c r="Z316"/>
  <c r="AA316"/>
  <c r="AA239"/>
  <c r="Z239"/>
  <c r="Z179"/>
  <c r="AA179"/>
  <c r="Z118"/>
  <c r="AA118"/>
  <c r="Z153"/>
  <c r="AA153"/>
  <c r="AF100"/>
  <c r="AG100"/>
  <c r="AH100"/>
  <c r="Z95"/>
  <c r="AA95"/>
  <c r="AF330"/>
  <c r="AG330"/>
  <c r="AH330"/>
  <c r="AH280"/>
  <c r="AF280"/>
  <c r="AG280"/>
  <c r="AH209"/>
  <c r="AG209"/>
  <c r="AF209"/>
  <c r="AG319"/>
  <c r="AF319"/>
  <c r="AH319"/>
  <c r="AF290"/>
  <c r="AG290"/>
  <c r="AH290"/>
  <c r="AA182"/>
  <c r="Z182"/>
  <c r="Z131"/>
  <c r="AA131"/>
  <c r="Z115"/>
  <c r="AA115"/>
  <c r="AG165"/>
  <c r="AH165"/>
  <c r="AF165"/>
  <c r="AG88"/>
  <c r="AF88"/>
  <c r="AH88"/>
  <c r="Z78"/>
  <c r="AA78"/>
  <c r="AA342"/>
  <c r="Z342"/>
  <c r="AH347"/>
  <c r="AF347"/>
  <c r="AG347"/>
  <c r="AF260"/>
  <c r="AG260"/>
  <c r="AH260"/>
  <c r="AF292"/>
  <c r="AH292"/>
  <c r="AG292"/>
  <c r="Z318"/>
  <c r="AA318"/>
  <c r="AH187"/>
  <c r="AF187"/>
  <c r="AG187"/>
  <c r="Z112"/>
  <c r="AA112"/>
  <c r="AF152"/>
  <c r="AG152"/>
  <c r="AH152"/>
  <c r="Z32"/>
  <c r="AA32"/>
  <c r="AH93"/>
  <c r="AG93"/>
  <c r="AF93"/>
  <c r="AA353"/>
  <c r="Z353"/>
  <c r="AG305"/>
  <c r="AH305"/>
  <c r="AF305"/>
  <c r="AH219"/>
  <c r="AG219"/>
  <c r="AF219"/>
  <c r="Z211"/>
  <c r="AA211"/>
  <c r="AG203"/>
  <c r="AF203"/>
  <c r="AH203"/>
  <c r="Z261"/>
  <c r="AA261"/>
  <c r="Z183"/>
  <c r="AA183"/>
  <c r="AF201"/>
  <c r="AH201"/>
  <c r="AG201"/>
  <c r="Z49"/>
  <c r="AA49"/>
  <c r="AH83"/>
  <c r="AG83"/>
  <c r="AF83"/>
  <c r="AH65"/>
  <c r="AG65"/>
  <c r="AF65"/>
  <c r="Z56"/>
  <c r="AA56"/>
  <c r="Z366"/>
  <c r="AA366"/>
  <c r="Z349"/>
  <c r="AA349"/>
  <c r="Z301"/>
  <c r="AA301"/>
  <c r="Z230"/>
  <c r="AA230"/>
  <c r="Z244"/>
  <c r="AA244"/>
  <c r="AH186"/>
  <c r="AF186"/>
  <c r="AG186"/>
  <c r="Z140"/>
  <c r="AA140"/>
  <c r="AF122"/>
  <c r="AH122"/>
  <c r="AG122"/>
  <c r="Z22"/>
  <c r="AA22"/>
  <c r="AH50"/>
  <c r="AG50"/>
  <c r="AF50"/>
  <c r="Z57"/>
  <c r="AA57"/>
  <c r="Z360"/>
  <c r="AA360"/>
  <c r="AF361"/>
  <c r="AG361"/>
  <c r="AH361"/>
  <c r="AH216"/>
  <c r="AG216"/>
  <c r="AF216"/>
  <c r="AF249"/>
  <c r="AG249"/>
  <c r="AH249"/>
  <c r="Z197"/>
  <c r="AA197"/>
  <c r="AF175"/>
  <c r="AH175"/>
  <c r="AG175"/>
  <c r="Z172"/>
  <c r="AA172"/>
  <c r="Z39"/>
  <c r="AA39"/>
  <c r="AF23"/>
  <c r="AH23"/>
  <c r="AG23"/>
  <c r="Z358"/>
  <c r="AA358"/>
  <c r="AH363"/>
  <c r="AF363"/>
  <c r="AG363"/>
  <c r="Z308"/>
  <c r="AA308"/>
  <c r="Z278"/>
  <c r="AA278"/>
  <c r="AH202"/>
  <c r="AG202"/>
  <c r="AF202"/>
  <c r="AH281"/>
  <c r="AF281"/>
  <c r="AG281"/>
  <c r="AA136"/>
  <c r="Z136"/>
  <c r="AA141"/>
  <c r="Z141"/>
  <c r="AF168"/>
  <c r="AH168"/>
  <c r="AG168"/>
  <c r="AA36"/>
  <c r="Z36"/>
  <c r="AA85"/>
  <c r="Z85"/>
  <c r="Z98"/>
  <c r="AA98"/>
  <c r="AF369"/>
  <c r="AG369"/>
  <c r="AH369"/>
  <c r="AA224"/>
  <c r="Z224"/>
  <c r="AA283"/>
  <c r="Z283"/>
  <c r="Z237"/>
  <c r="AA237"/>
  <c r="Z277"/>
  <c r="AA277"/>
  <c r="AF104"/>
  <c r="AH104"/>
  <c r="AG104"/>
  <c r="AH139"/>
  <c r="AG139"/>
  <c r="AF139"/>
  <c r="Z173"/>
  <c r="AA173"/>
  <c r="AF101"/>
  <c r="AG101"/>
  <c r="AH101"/>
  <c r="Z21"/>
  <c r="AA21"/>
  <c r="AF99"/>
  <c r="AH99"/>
  <c r="AG99"/>
  <c r="CF10" i="43"/>
  <c r="ED10"/>
  <c r="CZ10"/>
  <c r="I94" i="35" s="1"/>
  <c r="BL10" i="43"/>
  <c r="BR10" s="1"/>
  <c r="Z11" i="24"/>
  <c r="AH11"/>
  <c r="AG11"/>
  <c r="K9" i="22"/>
  <c r="D12"/>
  <c r="A13"/>
  <c r="L12"/>
  <c r="S12"/>
  <c r="B12"/>
  <c r="C12"/>
  <c r="E12"/>
  <c r="T12"/>
  <c r="G11"/>
  <c r="J22" i="44"/>
  <c r="J24" s="1"/>
  <c r="I22"/>
  <c r="I24" s="1"/>
  <c r="G22"/>
  <c r="G24" s="1"/>
  <c r="CM11" i="43"/>
  <c r="H36" i="34"/>
  <c r="H13"/>
  <c r="H28"/>
  <c r="G7"/>
  <c r="H35"/>
  <c r="H58"/>
  <c r="H32"/>
  <c r="H10"/>
  <c r="H57"/>
  <c r="H33"/>
  <c r="H37"/>
  <c r="CM15" i="43"/>
  <c r="F12" i="30" s="1"/>
  <c r="H61" i="34"/>
  <c r="H25"/>
  <c r="H29"/>
  <c r="H14"/>
  <c r="H31"/>
  <c r="H12"/>
  <c r="H26"/>
  <c r="H38"/>
  <c r="H6"/>
  <c r="H30"/>
  <c r="H24"/>
  <c r="H27"/>
  <c r="H66"/>
  <c r="CM8" i="43"/>
  <c r="DJ13"/>
  <c r="Q10" i="22" s="1"/>
  <c r="BR13" i="43"/>
  <c r="D11" i="30" s="1"/>
  <c r="DJ16" i="43"/>
  <c r="BR16"/>
  <c r="DF11"/>
  <c r="DF9"/>
  <c r="DF8"/>
  <c r="DJ8"/>
  <c r="AI8" i="24" s="1"/>
  <c r="BR8" i="43"/>
  <c r="DJ14"/>
  <c r="BR14"/>
  <c r="E11" i="30" s="1"/>
  <c r="DJ9" i="43"/>
  <c r="AI9" i="24" s="1"/>
  <c r="BR9" i="43"/>
  <c r="DF15"/>
  <c r="F13" i="30" s="1"/>
  <c r="CM9" i="43"/>
  <c r="CM17"/>
  <c r="DF13"/>
  <c r="D13" i="30" s="1"/>
  <c r="DJ11" i="43"/>
  <c r="AF11" i="24" s="1"/>
  <c r="BR11" i="43"/>
  <c r="DF14"/>
  <c r="E13" i="30" s="1"/>
  <c r="DJ17" i="43"/>
  <c r="BR17"/>
  <c r="DF17"/>
  <c r="CM16"/>
  <c r="DJ15"/>
  <c r="Q12" i="22" s="1"/>
  <c r="BR15" i="43"/>
  <c r="F11" i="30" s="1"/>
  <c r="DF16" i="43"/>
  <c r="I97" i="35"/>
  <c r="I29"/>
  <c r="I81"/>
  <c r="H4"/>
  <c r="I48"/>
  <c r="I14"/>
  <c r="I47"/>
  <c r="I95"/>
  <c r="I83"/>
  <c r="I21"/>
  <c r="I96"/>
  <c r="I80"/>
  <c r="I43"/>
  <c r="I55"/>
  <c r="I19"/>
  <c r="I9"/>
  <c r="I12"/>
  <c r="I17"/>
  <c r="I3"/>
  <c r="I46"/>
  <c r="I42"/>
  <c r="I54"/>
  <c r="I69"/>
  <c r="I31"/>
  <c r="I82"/>
  <c r="I45"/>
  <c r="I23"/>
  <c r="I44"/>
  <c r="I15"/>
  <c r="G14" i="30" l="1"/>
  <c r="G20"/>
  <c r="G23"/>
  <c r="G19"/>
  <c r="G22"/>
  <c r="G21"/>
  <c r="U315" i="43"/>
  <c r="G18" i="34"/>
  <c r="G20"/>
  <c r="G26" i="30"/>
  <c r="G12"/>
  <c r="G11"/>
  <c r="G9"/>
  <c r="H7"/>
  <c r="I7" s="1"/>
  <c r="G16"/>
  <c r="G13"/>
  <c r="G10"/>
  <c r="G17"/>
  <c r="H21" i="34"/>
  <c r="G28" i="30"/>
  <c r="G15"/>
  <c r="G6"/>
  <c r="G27"/>
  <c r="G43" i="34"/>
  <c r="G16"/>
  <c r="G41"/>
  <c r="G42"/>
  <c r="G11"/>
  <c r="G15"/>
  <c r="G46"/>
  <c r="V371" i="45"/>
  <c r="F12" i="22"/>
  <c r="V357" i="45"/>
  <c r="V365"/>
  <c r="BA366" i="43"/>
  <c r="BK12" i="24"/>
  <c r="CZ12" i="43"/>
  <c r="L94" i="35" s="1"/>
  <c r="Q13" i="22"/>
  <c r="M13"/>
  <c r="H13"/>
  <c r="P13"/>
  <c r="BL12" i="43"/>
  <c r="BR12" s="1"/>
  <c r="C11" i="30" s="1"/>
  <c r="AI14" i="24"/>
  <c r="Q11" i="22"/>
  <c r="ED12" i="43"/>
  <c r="J21" i="34"/>
  <c r="C10" i="30"/>
  <c r="G44" i="34"/>
  <c r="G45"/>
  <c r="G40"/>
  <c r="J51" i="35"/>
  <c r="CF12" i="43"/>
  <c r="L79" i="35" s="1"/>
  <c r="K79"/>
  <c r="K94"/>
  <c r="H109"/>
  <c r="DF10" i="43"/>
  <c r="J94" i="35"/>
  <c r="CM10" i="43"/>
  <c r="J79" i="35"/>
  <c r="H107"/>
  <c r="H108"/>
  <c r="H106"/>
  <c r="H102"/>
  <c r="H98"/>
  <c r="H93"/>
  <c r="H94"/>
  <c r="H89"/>
  <c r="H84"/>
  <c r="H85"/>
  <c r="H78"/>
  <c r="H74"/>
  <c r="H70"/>
  <c r="H68"/>
  <c r="H67"/>
  <c r="H65"/>
  <c r="H61"/>
  <c r="H56"/>
  <c r="H52"/>
  <c r="H53"/>
  <c r="H50"/>
  <c r="H51"/>
  <c r="H37"/>
  <c r="H38"/>
  <c r="H30"/>
  <c r="H32"/>
  <c r="H27"/>
  <c r="H28"/>
  <c r="H18"/>
  <c r="H8"/>
  <c r="H16"/>
  <c r="H103"/>
  <c r="H7"/>
  <c r="N20" i="44"/>
  <c r="N9"/>
  <c r="O34" a="1"/>
  <c r="O34" s="1"/>
  <c r="N34" s="1"/>
  <c r="O9"/>
  <c r="O15"/>
  <c r="O17"/>
  <c r="N16"/>
  <c r="N19"/>
  <c r="N11"/>
  <c r="N18"/>
  <c r="O33" a="1"/>
  <c r="O33" s="1"/>
  <c r="N33" s="1"/>
  <c r="N15"/>
  <c r="O14"/>
  <c r="O12"/>
  <c r="O11"/>
  <c r="O18"/>
  <c r="N12"/>
  <c r="O20"/>
  <c r="N14"/>
  <c r="O13"/>
  <c r="O10"/>
  <c r="O16"/>
  <c r="O19"/>
  <c r="N13"/>
  <c r="N10"/>
  <c r="N17"/>
  <c r="G73" i="34"/>
  <c r="G74"/>
  <c r="G72"/>
  <c r="G71"/>
  <c r="G69"/>
  <c r="G70"/>
  <c r="G65"/>
  <c r="G68"/>
  <c r="G63"/>
  <c r="G64"/>
  <c r="G56"/>
  <c r="G60"/>
  <c r="G53"/>
  <c r="G54"/>
  <c r="G51"/>
  <c r="G52"/>
  <c r="G48"/>
  <c r="G49"/>
  <c r="G23"/>
  <c r="G34"/>
  <c r="H75" i="35"/>
  <c r="H90"/>
  <c r="H13"/>
  <c r="H62"/>
  <c r="H10"/>
  <c r="H11"/>
  <c r="H6"/>
  <c r="DJ10" i="43"/>
  <c r="AI10" i="24" s="1"/>
  <c r="AF13"/>
  <c r="AD13"/>
  <c r="AE13"/>
  <c r="AA12"/>
  <c r="AI13"/>
  <c r="AD11"/>
  <c r="AE11"/>
  <c r="AI11"/>
  <c r="AE15"/>
  <c r="AF15"/>
  <c r="AD15"/>
  <c r="AA14"/>
  <c r="AI15"/>
  <c r="AF17"/>
  <c r="AE17"/>
  <c r="AD17"/>
  <c r="AI17"/>
  <c r="AA16"/>
  <c r="AE14"/>
  <c r="AD14"/>
  <c r="AF14"/>
  <c r="AA13"/>
  <c r="AD16"/>
  <c r="AE16"/>
  <c r="AF16"/>
  <c r="AA15"/>
  <c r="AI16"/>
  <c r="G12" i="22"/>
  <c r="L13"/>
  <c r="A14"/>
  <c r="B13"/>
  <c r="S13"/>
  <c r="D13"/>
  <c r="E13"/>
  <c r="T13"/>
  <c r="K13"/>
  <c r="C13"/>
  <c r="I13"/>
  <c r="K22" i="44"/>
  <c r="K24" s="1"/>
  <c r="V22"/>
  <c r="V24" s="1"/>
  <c r="G33" i="34"/>
  <c r="G24"/>
  <c r="G66"/>
  <c r="G32"/>
  <c r="G12"/>
  <c r="G10"/>
  <c r="G29"/>
  <c r="G61"/>
  <c r="G6"/>
  <c r="G26"/>
  <c r="G28"/>
  <c r="G38"/>
  <c r="G36"/>
  <c r="G27"/>
  <c r="G57"/>
  <c r="G35"/>
  <c r="G25"/>
  <c r="F7"/>
  <c r="G13"/>
  <c r="G14"/>
  <c r="G30"/>
  <c r="G31"/>
  <c r="G58"/>
  <c r="G19"/>
  <c r="G37"/>
  <c r="H14" i="35"/>
  <c r="H19"/>
  <c r="AA10" i="24"/>
  <c r="AE9"/>
  <c r="AD9"/>
  <c r="AA8"/>
  <c r="AF9"/>
  <c r="AD8"/>
  <c r="AF8"/>
  <c r="AE8"/>
  <c r="H9" i="35"/>
  <c r="H55"/>
  <c r="H97"/>
  <c r="H45"/>
  <c r="H96"/>
  <c r="H54"/>
  <c r="H69"/>
  <c r="H15"/>
  <c r="H3"/>
  <c r="H21"/>
  <c r="H80"/>
  <c r="H46"/>
  <c r="H29"/>
  <c r="H47"/>
  <c r="H95"/>
  <c r="H12"/>
  <c r="H42"/>
  <c r="H83"/>
  <c r="H48"/>
  <c r="H44"/>
  <c r="H43"/>
  <c r="G4"/>
  <c r="G66" s="1"/>
  <c r="H31"/>
  <c r="H17"/>
  <c r="H81"/>
  <c r="H82"/>
  <c r="H23"/>
  <c r="H66" l="1"/>
  <c r="I22" i="30"/>
  <c r="I21"/>
  <c r="I19"/>
  <c r="I20"/>
  <c r="I23"/>
  <c r="H26"/>
  <c r="H21"/>
  <c r="H20"/>
  <c r="H23"/>
  <c r="H19"/>
  <c r="H22"/>
  <c r="U316" i="43"/>
  <c r="F18" i="34"/>
  <c r="F20"/>
  <c r="H6" i="30"/>
  <c r="H15"/>
  <c r="H27"/>
  <c r="H9"/>
  <c r="H16"/>
  <c r="H17"/>
  <c r="H10"/>
  <c r="H28"/>
  <c r="H13"/>
  <c r="H12"/>
  <c r="H11"/>
  <c r="H14"/>
  <c r="G21" i="34"/>
  <c r="DF12" i="43"/>
  <c r="C13" i="30" s="1"/>
  <c r="F16" i="34"/>
  <c r="F42"/>
  <c r="F43"/>
  <c r="F15"/>
  <c r="F41"/>
  <c r="F11"/>
  <c r="F46"/>
  <c r="DJ12" i="43"/>
  <c r="Q9" i="22" s="1"/>
  <c r="T9" i="44"/>
  <c r="U9"/>
  <c r="I9" i="30"/>
  <c r="I26"/>
  <c r="I17"/>
  <c r="I28"/>
  <c r="I27"/>
  <c r="I15"/>
  <c r="I10"/>
  <c r="I16"/>
  <c r="I14"/>
  <c r="I13"/>
  <c r="I12"/>
  <c r="I11"/>
  <c r="M14" i="22"/>
  <c r="H14"/>
  <c r="P14"/>
  <c r="Q14"/>
  <c r="S9" i="44"/>
  <c r="F44" i="34"/>
  <c r="F45"/>
  <c r="F40"/>
  <c r="CM12" i="43"/>
  <c r="C12" i="30" s="1"/>
  <c r="H79" i="35"/>
  <c r="I79"/>
  <c r="G109"/>
  <c r="G107"/>
  <c r="G108"/>
  <c r="G106"/>
  <c r="G102"/>
  <c r="G98"/>
  <c r="G93"/>
  <c r="G94"/>
  <c r="G89"/>
  <c r="G84"/>
  <c r="G85"/>
  <c r="G78"/>
  <c r="G79"/>
  <c r="G74"/>
  <c r="G70"/>
  <c r="G68"/>
  <c r="G67"/>
  <c r="G65"/>
  <c r="G61"/>
  <c r="G56"/>
  <c r="G52"/>
  <c r="G53"/>
  <c r="G50"/>
  <c r="G51"/>
  <c r="G37"/>
  <c r="G38"/>
  <c r="G30"/>
  <c r="G32"/>
  <c r="G27"/>
  <c r="G28"/>
  <c r="G18"/>
  <c r="G8"/>
  <c r="G16"/>
  <c r="G103"/>
  <c r="G7"/>
  <c r="F73" i="34"/>
  <c r="F74"/>
  <c r="F72"/>
  <c r="F71"/>
  <c r="F69"/>
  <c r="F70"/>
  <c r="F65"/>
  <c r="F68"/>
  <c r="F63"/>
  <c r="F64"/>
  <c r="F56"/>
  <c r="F60"/>
  <c r="F53"/>
  <c r="F54"/>
  <c r="F51"/>
  <c r="F52"/>
  <c r="F48"/>
  <c r="F49"/>
  <c r="F23"/>
  <c r="F34"/>
  <c r="G75" i="35"/>
  <c r="G90"/>
  <c r="G13"/>
  <c r="G62"/>
  <c r="G10"/>
  <c r="G11"/>
  <c r="G69"/>
  <c r="G6"/>
  <c r="AF10" i="24"/>
  <c r="AD10"/>
  <c r="AA9"/>
  <c r="AE10"/>
  <c r="G13" i="22"/>
  <c r="J7" i="30"/>
  <c r="I6"/>
  <c r="K14" i="22"/>
  <c r="I14"/>
  <c r="A15"/>
  <c r="E14"/>
  <c r="S14"/>
  <c r="L14"/>
  <c r="T14"/>
  <c r="C14"/>
  <c r="D14"/>
  <c r="B14"/>
  <c r="O22" i="44"/>
  <c r="O24" s="1"/>
  <c r="N22"/>
  <c r="N24" s="1"/>
  <c r="F28" i="34"/>
  <c r="F58"/>
  <c r="F37"/>
  <c r="F26"/>
  <c r="F19"/>
  <c r="F61"/>
  <c r="F25"/>
  <c r="F24"/>
  <c r="E7"/>
  <c r="F35"/>
  <c r="F32"/>
  <c r="F12"/>
  <c r="F14"/>
  <c r="F13"/>
  <c r="F31"/>
  <c r="F33"/>
  <c r="F6"/>
  <c r="F10"/>
  <c r="F36"/>
  <c r="F29"/>
  <c r="F66"/>
  <c r="F38"/>
  <c r="F57"/>
  <c r="F30"/>
  <c r="F27"/>
  <c r="G45" i="35"/>
  <c r="G95"/>
  <c r="G96"/>
  <c r="G83"/>
  <c r="G14"/>
  <c r="G54"/>
  <c r="G47"/>
  <c r="G29"/>
  <c r="G48"/>
  <c r="G42"/>
  <c r="G43"/>
  <c r="G21"/>
  <c r="G97"/>
  <c r="G81"/>
  <c r="G44"/>
  <c r="G31"/>
  <c r="F4"/>
  <c r="F66" s="1"/>
  <c r="G3"/>
  <c r="G15"/>
  <c r="G12"/>
  <c r="G82"/>
  <c r="G19"/>
  <c r="G55"/>
  <c r="G17"/>
  <c r="G23"/>
  <c r="G9"/>
  <c r="G46"/>
  <c r="G80"/>
  <c r="J23" i="30" l="1"/>
  <c r="J19"/>
  <c r="J22"/>
  <c r="J21"/>
  <c r="J20"/>
  <c r="U317" i="43"/>
  <c r="E18" i="34"/>
  <c r="E20"/>
  <c r="F21"/>
  <c r="E43"/>
  <c r="E16"/>
  <c r="E41"/>
  <c r="E42"/>
  <c r="E11"/>
  <c r="E15"/>
  <c r="E46"/>
  <c r="AF12" i="24"/>
  <c r="AI12"/>
  <c r="R9" i="44" s="1"/>
  <c r="Q9"/>
  <c r="AD12" i="24"/>
  <c r="AE12"/>
  <c r="F9" i="44" s="1"/>
  <c r="AA11" i="24"/>
  <c r="J9" i="30"/>
  <c r="J28"/>
  <c r="J26"/>
  <c r="J27"/>
  <c r="J17"/>
  <c r="J16"/>
  <c r="J10"/>
  <c r="J14"/>
  <c r="J15"/>
  <c r="J12"/>
  <c r="J13"/>
  <c r="J11"/>
  <c r="M15" i="22"/>
  <c r="H15"/>
  <c r="P15"/>
  <c r="Q15"/>
  <c r="E44" i="34"/>
  <c r="E45"/>
  <c r="E40"/>
  <c r="F109" i="35"/>
  <c r="F107"/>
  <c r="F108"/>
  <c r="F106"/>
  <c r="F102"/>
  <c r="F98"/>
  <c r="F93"/>
  <c r="F94"/>
  <c r="F89"/>
  <c r="F84"/>
  <c r="F85"/>
  <c r="F78"/>
  <c r="F79"/>
  <c r="F74"/>
  <c r="F70"/>
  <c r="F68"/>
  <c r="F67"/>
  <c r="F65"/>
  <c r="F61"/>
  <c r="F56"/>
  <c r="F52"/>
  <c r="F53"/>
  <c r="F50"/>
  <c r="F51"/>
  <c r="F37"/>
  <c r="F38"/>
  <c r="F30"/>
  <c r="F32"/>
  <c r="F27"/>
  <c r="F28"/>
  <c r="F18"/>
  <c r="F8"/>
  <c r="F16"/>
  <c r="F103"/>
  <c r="F7"/>
  <c r="R16" i="44"/>
  <c r="R17"/>
  <c r="R11"/>
  <c r="R13"/>
  <c r="R12"/>
  <c r="R15"/>
  <c r="R14"/>
  <c r="R18"/>
  <c r="R19"/>
  <c r="R10"/>
  <c r="R20"/>
  <c r="E73" i="34"/>
  <c r="E74"/>
  <c r="E72"/>
  <c r="E71"/>
  <c r="E69"/>
  <c r="E70"/>
  <c r="E65"/>
  <c r="E68"/>
  <c r="E63"/>
  <c r="E64"/>
  <c r="E56"/>
  <c r="E60"/>
  <c r="E53"/>
  <c r="E54"/>
  <c r="E51"/>
  <c r="E52"/>
  <c r="E48"/>
  <c r="E49"/>
  <c r="E23"/>
  <c r="E34"/>
  <c r="F75" i="35"/>
  <c r="F90"/>
  <c r="F13"/>
  <c r="F62"/>
  <c r="F10"/>
  <c r="F11"/>
  <c r="F54"/>
  <c r="F6"/>
  <c r="G14" i="22"/>
  <c r="J6" i="30"/>
  <c r="K7"/>
  <c r="D15" i="22"/>
  <c r="E15"/>
  <c r="L15"/>
  <c r="I15"/>
  <c r="T15"/>
  <c r="A16"/>
  <c r="S15"/>
  <c r="B15"/>
  <c r="K15"/>
  <c r="C15"/>
  <c r="E58" i="34"/>
  <c r="E35"/>
  <c r="E31"/>
  <c r="E32"/>
  <c r="E24"/>
  <c r="E19"/>
  <c r="D7"/>
  <c r="E27"/>
  <c r="E6"/>
  <c r="E30"/>
  <c r="E37"/>
  <c r="E61"/>
  <c r="E25"/>
  <c r="E29"/>
  <c r="E36"/>
  <c r="E33"/>
  <c r="E66"/>
  <c r="E10"/>
  <c r="E13"/>
  <c r="E26"/>
  <c r="E12"/>
  <c r="E28"/>
  <c r="E38"/>
  <c r="E14"/>
  <c r="E57"/>
  <c r="F12" i="35"/>
  <c r="F47"/>
  <c r="F43"/>
  <c r="F81"/>
  <c r="F23"/>
  <c r="F95"/>
  <c r="F42"/>
  <c r="F80"/>
  <c r="F82"/>
  <c r="F9"/>
  <c r="E4"/>
  <c r="F15"/>
  <c r="F45"/>
  <c r="F19"/>
  <c r="F29"/>
  <c r="F17"/>
  <c r="F48"/>
  <c r="F69"/>
  <c r="F14"/>
  <c r="F3"/>
  <c r="F21"/>
  <c r="F31"/>
  <c r="F46"/>
  <c r="F83"/>
  <c r="F44"/>
  <c r="F97"/>
  <c r="F96"/>
  <c r="F55"/>
  <c r="K20" i="30" l="1"/>
  <c r="K23"/>
  <c r="K19"/>
  <c r="K22"/>
  <c r="K21"/>
  <c r="U318" i="43"/>
  <c r="D18" i="34"/>
  <c r="D20"/>
  <c r="E21"/>
  <c r="R28" i="44"/>
  <c r="Q28" s="1"/>
  <c r="D43" i="34"/>
  <c r="D16"/>
  <c r="D41"/>
  <c r="D42"/>
  <c r="E70" i="35"/>
  <c r="E66"/>
  <c r="F33" i="44" a="1"/>
  <c r="F33" s="1"/>
  <c r="E33" s="1"/>
  <c r="D11" i="34"/>
  <c r="D15"/>
  <c r="D46"/>
  <c r="R29" i="44"/>
  <c r="Q29" s="1"/>
  <c r="F34" a="1"/>
  <c r="F34" s="1"/>
  <c r="E34" s="1"/>
  <c r="K9" i="30"/>
  <c r="K26"/>
  <c r="K27"/>
  <c r="K28"/>
  <c r="K17"/>
  <c r="K15"/>
  <c r="K14"/>
  <c r="K16"/>
  <c r="K10"/>
  <c r="K13"/>
  <c r="K12"/>
  <c r="K11"/>
  <c r="M16" i="22"/>
  <c r="H16"/>
  <c r="P16"/>
  <c r="Q16"/>
  <c r="D44" i="34"/>
  <c r="D45"/>
  <c r="D40"/>
  <c r="E109" i="35"/>
  <c r="E107"/>
  <c r="E108"/>
  <c r="E106"/>
  <c r="E102"/>
  <c r="E98"/>
  <c r="E93"/>
  <c r="E94"/>
  <c r="E89"/>
  <c r="E84"/>
  <c r="E85"/>
  <c r="E78"/>
  <c r="E79"/>
  <c r="E74"/>
  <c r="E68"/>
  <c r="E67"/>
  <c r="E65"/>
  <c r="E61"/>
  <c r="E56"/>
  <c r="E52"/>
  <c r="E53"/>
  <c r="E50"/>
  <c r="E51"/>
  <c r="E37"/>
  <c r="E38"/>
  <c r="E30"/>
  <c r="E32"/>
  <c r="E27"/>
  <c r="E28"/>
  <c r="E18"/>
  <c r="E8"/>
  <c r="E16"/>
  <c r="E103"/>
  <c r="E7"/>
  <c r="D73" i="34"/>
  <c r="D74"/>
  <c r="D72"/>
  <c r="D71"/>
  <c r="D69"/>
  <c r="D70"/>
  <c r="D65"/>
  <c r="D68"/>
  <c r="D63"/>
  <c r="D64"/>
  <c r="D56"/>
  <c r="D60"/>
  <c r="D53"/>
  <c r="D54"/>
  <c r="D51"/>
  <c r="D52"/>
  <c r="D48"/>
  <c r="D49"/>
  <c r="D23"/>
  <c r="D34"/>
  <c r="D28"/>
  <c r="E75" i="35"/>
  <c r="E90"/>
  <c r="E13"/>
  <c r="E62"/>
  <c r="E10"/>
  <c r="E11"/>
  <c r="E6"/>
  <c r="G15" i="22"/>
  <c r="D16"/>
  <c r="S16"/>
  <c r="L16"/>
  <c r="K16"/>
  <c r="B16"/>
  <c r="C16"/>
  <c r="I16"/>
  <c r="T16"/>
  <c r="E16"/>
  <c r="A17"/>
  <c r="L7" i="30"/>
  <c r="K6"/>
  <c r="D24" i="34"/>
  <c r="D33"/>
  <c r="D29"/>
  <c r="D14"/>
  <c r="D13"/>
  <c r="D26"/>
  <c r="D35"/>
  <c r="D57"/>
  <c r="D30"/>
  <c r="D61"/>
  <c r="D36"/>
  <c r="D37"/>
  <c r="D32"/>
  <c r="D19"/>
  <c r="C7"/>
  <c r="D38"/>
  <c r="D27"/>
  <c r="D58"/>
  <c r="D6"/>
  <c r="D10"/>
  <c r="D25"/>
  <c r="D66"/>
  <c r="D12"/>
  <c r="D31"/>
  <c r="E48" i="35"/>
  <c r="E55"/>
  <c r="E97"/>
  <c r="D4"/>
  <c r="D70" s="1"/>
  <c r="E19"/>
  <c r="E95"/>
  <c r="E96"/>
  <c r="E46"/>
  <c r="E42"/>
  <c r="E15"/>
  <c r="E47"/>
  <c r="E82"/>
  <c r="E9"/>
  <c r="E69"/>
  <c r="E80"/>
  <c r="E44"/>
  <c r="E29"/>
  <c r="E45"/>
  <c r="E21"/>
  <c r="E3"/>
  <c r="E14"/>
  <c r="E31"/>
  <c r="E43"/>
  <c r="E81"/>
  <c r="E83"/>
  <c r="E12"/>
  <c r="E17"/>
  <c r="E54"/>
  <c r="E23"/>
  <c r="L21" i="30" l="1"/>
  <c r="L20"/>
  <c r="L23"/>
  <c r="L19"/>
  <c r="L22"/>
  <c r="U319" i="43"/>
  <c r="C18" i="34"/>
  <c r="C20"/>
  <c r="D21"/>
  <c r="C16"/>
  <c r="C42"/>
  <c r="C43"/>
  <c r="C41"/>
  <c r="C11"/>
  <c r="C15"/>
  <c r="C46"/>
  <c r="M17" i="22"/>
  <c r="H17"/>
  <c r="P17"/>
  <c r="Q17"/>
  <c r="L9" i="30"/>
  <c r="L28"/>
  <c r="L27"/>
  <c r="L26"/>
  <c r="L17"/>
  <c r="L14"/>
  <c r="L10"/>
  <c r="L16"/>
  <c r="L15"/>
  <c r="L13"/>
  <c r="L12"/>
  <c r="L11"/>
  <c r="C44" i="34"/>
  <c r="C45"/>
  <c r="C40"/>
  <c r="D109" i="35"/>
  <c r="D107"/>
  <c r="D108"/>
  <c r="D106"/>
  <c r="D102"/>
  <c r="D98"/>
  <c r="D93"/>
  <c r="D94"/>
  <c r="D89"/>
  <c r="D85"/>
  <c r="D84"/>
  <c r="D79"/>
  <c r="D78"/>
  <c r="D74"/>
  <c r="D68"/>
  <c r="D67"/>
  <c r="D65"/>
  <c r="D66"/>
  <c r="D61"/>
  <c r="D56"/>
  <c r="D52"/>
  <c r="D53"/>
  <c r="D50"/>
  <c r="D51"/>
  <c r="D37"/>
  <c r="D38"/>
  <c r="D30"/>
  <c r="D32"/>
  <c r="D27"/>
  <c r="D28"/>
  <c r="D18"/>
  <c r="D8"/>
  <c r="D16"/>
  <c r="D103"/>
  <c r="D7"/>
  <c r="C73" i="34"/>
  <c r="C74"/>
  <c r="C72"/>
  <c r="C71"/>
  <c r="C69"/>
  <c r="C70"/>
  <c r="C65"/>
  <c r="C68"/>
  <c r="C63"/>
  <c r="C64"/>
  <c r="C56"/>
  <c r="C60"/>
  <c r="C53"/>
  <c r="C54"/>
  <c r="C51"/>
  <c r="C52"/>
  <c r="C48"/>
  <c r="C49"/>
  <c r="C23"/>
  <c r="C34"/>
  <c r="D75" i="35"/>
  <c r="D90"/>
  <c r="D13"/>
  <c r="D62"/>
  <c r="D10"/>
  <c r="D11"/>
  <c r="D6"/>
  <c r="L6" i="30"/>
  <c r="M7"/>
  <c r="G16" i="22"/>
  <c r="L17"/>
  <c r="D17"/>
  <c r="C17"/>
  <c r="T17"/>
  <c r="S17"/>
  <c r="B17"/>
  <c r="I17"/>
  <c r="A18"/>
  <c r="E17"/>
  <c r="K17"/>
  <c r="C57" i="34"/>
  <c r="C27"/>
  <c r="C31"/>
  <c r="C10"/>
  <c r="C25"/>
  <c r="C26"/>
  <c r="C36"/>
  <c r="C30"/>
  <c r="C61"/>
  <c r="C12"/>
  <c r="C37"/>
  <c r="C13"/>
  <c r="C66"/>
  <c r="C32"/>
  <c r="C28"/>
  <c r="C24"/>
  <c r="C33"/>
  <c r="C58"/>
  <c r="C35"/>
  <c r="C29"/>
  <c r="C38"/>
  <c r="C6"/>
  <c r="C14"/>
  <c r="C19"/>
  <c r="D17" i="35"/>
  <c r="D15"/>
  <c r="D96"/>
  <c r="D95"/>
  <c r="D14"/>
  <c r="D43"/>
  <c r="D97"/>
  <c r="D83"/>
  <c r="D3"/>
  <c r="D21"/>
  <c r="D29"/>
  <c r="D69"/>
  <c r="D45"/>
  <c r="D44"/>
  <c r="D48"/>
  <c r="D55"/>
  <c r="D80"/>
  <c r="D19"/>
  <c r="D81"/>
  <c r="D12"/>
  <c r="D54"/>
  <c r="D46"/>
  <c r="D31"/>
  <c r="D47"/>
  <c r="D82"/>
  <c r="D9"/>
  <c r="D23"/>
  <c r="D42"/>
  <c r="U22" i="44"/>
  <c r="U24" s="1"/>
  <c r="S22"/>
  <c r="S24" s="1"/>
  <c r="T22"/>
  <c r="T24" s="1"/>
  <c r="M22" i="30" l="1"/>
  <c r="M21"/>
  <c r="M20"/>
  <c r="M23"/>
  <c r="M19"/>
  <c r="U320" i="43"/>
  <c r="C21" i="34"/>
  <c r="M18" i="22"/>
  <c r="H18"/>
  <c r="P18"/>
  <c r="Q18"/>
  <c r="M9" i="30"/>
  <c r="M26"/>
  <c r="M17"/>
  <c r="M28"/>
  <c r="M27"/>
  <c r="M14"/>
  <c r="M16"/>
  <c r="M15"/>
  <c r="M10"/>
  <c r="M13"/>
  <c r="M12"/>
  <c r="M11"/>
  <c r="K18" i="22"/>
  <c r="C18"/>
  <c r="A19"/>
  <c r="E18"/>
  <c r="T18"/>
  <c r="B18"/>
  <c r="D18"/>
  <c r="L18"/>
  <c r="S18"/>
  <c r="I18"/>
  <c r="M6" i="30"/>
  <c r="N7"/>
  <c r="G17" i="22"/>
  <c r="Q22" i="44"/>
  <c r="Q24" s="1"/>
  <c r="N23" i="30" l="1"/>
  <c r="N19"/>
  <c r="N22"/>
  <c r="N21"/>
  <c r="N20"/>
  <c r="U321" i="43"/>
  <c r="N9" i="30"/>
  <c r="N27"/>
  <c r="N28"/>
  <c r="N26"/>
  <c r="N17"/>
  <c r="N10"/>
  <c r="N14"/>
  <c r="N16"/>
  <c r="N15"/>
  <c r="N12"/>
  <c r="N11"/>
  <c r="N13"/>
  <c r="M19" i="22"/>
  <c r="H19"/>
  <c r="P19"/>
  <c r="Q19"/>
  <c r="N6" i="30"/>
  <c r="O7"/>
  <c r="G18" i="22"/>
  <c r="I19"/>
  <c r="L19"/>
  <c r="C19"/>
  <c r="T19"/>
  <c r="K19"/>
  <c r="D19"/>
  <c r="S19"/>
  <c r="E19"/>
  <c r="A20"/>
  <c r="B19"/>
  <c r="F22" i="44"/>
  <c r="F24" s="1"/>
  <c r="R22"/>
  <c r="R24" s="1"/>
  <c r="O20" i="30" l="1"/>
  <c r="O23"/>
  <c r="O19"/>
  <c r="O22"/>
  <c r="O21"/>
  <c r="U322" i="43"/>
  <c r="M20" i="22"/>
  <c r="H20"/>
  <c r="P20"/>
  <c r="Q20"/>
  <c r="O9" i="30"/>
  <c r="O26"/>
  <c r="O17"/>
  <c r="O28"/>
  <c r="O27"/>
  <c r="O15"/>
  <c r="O14"/>
  <c r="O10"/>
  <c r="O16"/>
  <c r="O12"/>
  <c r="O13"/>
  <c r="O11"/>
  <c r="G19" i="22"/>
  <c r="O6" i="30"/>
  <c r="P7"/>
  <c r="L20" i="22"/>
  <c r="D20"/>
  <c r="E20"/>
  <c r="C20"/>
  <c r="K20"/>
  <c r="T20"/>
  <c r="B20"/>
  <c r="A21"/>
  <c r="S20"/>
  <c r="I20"/>
  <c r="P21" i="30" l="1"/>
  <c r="P20"/>
  <c r="P23"/>
  <c r="P19"/>
  <c r="P22"/>
  <c r="U323" i="43"/>
  <c r="M21" i="22"/>
  <c r="H21"/>
  <c r="P21"/>
  <c r="Q21"/>
  <c r="P9" i="30"/>
  <c r="P28"/>
  <c r="P27"/>
  <c r="P26"/>
  <c r="P17"/>
  <c r="P16"/>
  <c r="P15"/>
  <c r="P10"/>
  <c r="P14"/>
  <c r="P12"/>
  <c r="P13"/>
  <c r="P11"/>
  <c r="I21" i="22"/>
  <c r="K21"/>
  <c r="E21"/>
  <c r="T21"/>
  <c r="B21"/>
  <c r="A22"/>
  <c r="L21"/>
  <c r="D21"/>
  <c r="S21"/>
  <c r="C21"/>
  <c r="G20"/>
  <c r="P6" i="30"/>
  <c r="Q7"/>
  <c r="Q22" l="1"/>
  <c r="Q21"/>
  <c r="Q19"/>
  <c r="Q20"/>
  <c r="Q23"/>
  <c r="U324" i="43"/>
  <c r="Q9" i="30"/>
  <c r="Q17"/>
  <c r="Q26"/>
  <c r="Q28"/>
  <c r="Q27"/>
  <c r="Q10"/>
  <c r="Q14"/>
  <c r="Q16"/>
  <c r="Q15"/>
  <c r="Q12"/>
  <c r="Q13"/>
  <c r="Q11"/>
  <c r="M22" i="22"/>
  <c r="H22"/>
  <c r="P22"/>
  <c r="Q22"/>
  <c r="K22"/>
  <c r="C22"/>
  <c r="S22"/>
  <c r="B22"/>
  <c r="E22"/>
  <c r="T22"/>
  <c r="A23"/>
  <c r="L22"/>
  <c r="D22"/>
  <c r="I22"/>
  <c r="G21"/>
  <c r="R7" i="30"/>
  <c r="Q6"/>
  <c r="R23" l="1"/>
  <c r="R19"/>
  <c r="R22"/>
  <c r="R21"/>
  <c r="R20"/>
  <c r="U325" i="43"/>
  <c r="M23" i="22"/>
  <c r="H23"/>
  <c r="P23"/>
  <c r="Q23"/>
  <c r="R9" i="30"/>
  <c r="R26"/>
  <c r="R27"/>
  <c r="R17"/>
  <c r="R28"/>
  <c r="R16"/>
  <c r="R15"/>
  <c r="R14"/>
  <c r="R10"/>
  <c r="R11"/>
  <c r="R12"/>
  <c r="R13"/>
  <c r="R6"/>
  <c r="S7"/>
  <c r="A24" i="22"/>
  <c r="I23"/>
  <c r="C23"/>
  <c r="D23"/>
  <c r="T23"/>
  <c r="S23"/>
  <c r="L23"/>
  <c r="E23"/>
  <c r="K23"/>
  <c r="B23"/>
  <c r="G22"/>
  <c r="S20" i="30" l="1"/>
  <c r="S23"/>
  <c r="S19"/>
  <c r="S22"/>
  <c r="S21"/>
  <c r="U326" i="43"/>
  <c r="M24" i="22"/>
  <c r="H24"/>
  <c r="P24"/>
  <c r="Q24"/>
  <c r="S9" i="30"/>
  <c r="S27"/>
  <c r="S28"/>
  <c r="S17"/>
  <c r="S26"/>
  <c r="S14"/>
  <c r="S15"/>
  <c r="S16"/>
  <c r="S10"/>
  <c r="S13"/>
  <c r="S12"/>
  <c r="S11"/>
  <c r="G23" i="22"/>
  <c r="T7" i="30"/>
  <c r="S6"/>
  <c r="E24" i="22"/>
  <c r="T24"/>
  <c r="B24"/>
  <c r="A25"/>
  <c r="L24"/>
  <c r="C24"/>
  <c r="K24"/>
  <c r="I24"/>
  <c r="S24"/>
  <c r="D24"/>
  <c r="T21" i="30" l="1"/>
  <c r="T20"/>
  <c r="T23"/>
  <c r="T19"/>
  <c r="T22"/>
  <c r="U327" i="43"/>
  <c r="M25" i="22"/>
  <c r="H25"/>
  <c r="P25"/>
  <c r="Q25"/>
  <c r="T9" i="30"/>
  <c r="T26"/>
  <c r="T27"/>
  <c r="T17"/>
  <c r="T28"/>
  <c r="T15"/>
  <c r="T14"/>
  <c r="T16"/>
  <c r="T10"/>
  <c r="T11"/>
  <c r="T12"/>
  <c r="T13"/>
  <c r="G24" i="22"/>
  <c r="T6" i="30"/>
  <c r="U7"/>
  <c r="K25" i="22"/>
  <c r="T25"/>
  <c r="C25"/>
  <c r="I25"/>
  <c r="E25"/>
  <c r="L25"/>
  <c r="D25"/>
  <c r="A26"/>
  <c r="S25"/>
  <c r="B25"/>
  <c r="U22" i="30" l="1"/>
  <c r="U21"/>
  <c r="U20"/>
  <c r="U23"/>
  <c r="U19"/>
  <c r="U328" i="43"/>
  <c r="U9" i="30"/>
  <c r="U26"/>
  <c r="U28"/>
  <c r="U27"/>
  <c r="U17"/>
  <c r="U14"/>
  <c r="U10"/>
  <c r="U15"/>
  <c r="U16"/>
  <c r="U12"/>
  <c r="U11"/>
  <c r="U13"/>
  <c r="M26" i="22"/>
  <c r="H26"/>
  <c r="P26"/>
  <c r="Q26"/>
  <c r="E26"/>
  <c r="T26"/>
  <c r="S26"/>
  <c r="K26"/>
  <c r="I26"/>
  <c r="D26"/>
  <c r="B26"/>
  <c r="L26"/>
  <c r="C26"/>
  <c r="A27"/>
  <c r="G25"/>
  <c r="U6" i="30"/>
  <c r="V7"/>
  <c r="V23" l="1"/>
  <c r="V19"/>
  <c r="V22"/>
  <c r="V21"/>
  <c r="V20"/>
  <c r="U329" i="43"/>
  <c r="M27" i="22"/>
  <c r="H27"/>
  <c r="P27"/>
  <c r="Q27"/>
  <c r="V9" i="30"/>
  <c r="V26"/>
  <c r="V27"/>
  <c r="V17"/>
  <c r="V28"/>
  <c r="V14"/>
  <c r="V10"/>
  <c r="V15"/>
  <c r="V16"/>
  <c r="V11"/>
  <c r="V13"/>
  <c r="V12"/>
  <c r="G26" i="22"/>
  <c r="L27"/>
  <c r="K27"/>
  <c r="D27"/>
  <c r="C27"/>
  <c r="T27"/>
  <c r="A28"/>
  <c r="I27"/>
  <c r="S27"/>
  <c r="E27"/>
  <c r="B27"/>
  <c r="W7" i="30"/>
  <c r="V6"/>
  <c r="W20" l="1"/>
  <c r="W23"/>
  <c r="W19"/>
  <c r="W22"/>
  <c r="W21"/>
  <c r="U330" i="43"/>
  <c r="M28" i="22"/>
  <c r="H28"/>
  <c r="P28"/>
  <c r="Q28"/>
  <c r="W9" i="30"/>
  <c r="W26"/>
  <c r="W28"/>
  <c r="W17"/>
  <c r="W27"/>
  <c r="W16"/>
  <c r="W14"/>
  <c r="W15"/>
  <c r="W10"/>
  <c r="W13"/>
  <c r="W12"/>
  <c r="W11"/>
  <c r="X7"/>
  <c r="W6"/>
  <c r="G27" i="22"/>
  <c r="E28"/>
  <c r="T28"/>
  <c r="B28"/>
  <c r="C28"/>
  <c r="A29"/>
  <c r="S28"/>
  <c r="K28"/>
  <c r="D28"/>
  <c r="I28"/>
  <c r="L28"/>
  <c r="X21" i="30" l="1"/>
  <c r="X20"/>
  <c r="X23"/>
  <c r="X19"/>
  <c r="X22"/>
  <c r="U331" i="43"/>
  <c r="X9" i="30"/>
  <c r="X28"/>
  <c r="X26"/>
  <c r="X17"/>
  <c r="X27"/>
  <c r="X15"/>
  <c r="X14"/>
  <c r="X16"/>
  <c r="X10"/>
  <c r="X11"/>
  <c r="X12"/>
  <c r="X13"/>
  <c r="M29" i="22"/>
  <c r="H29"/>
  <c r="P29"/>
  <c r="Q29"/>
  <c r="G28"/>
  <c r="C29"/>
  <c r="E29"/>
  <c r="I29"/>
  <c r="A30"/>
  <c r="S29"/>
  <c r="D29"/>
  <c r="K29"/>
  <c r="B29"/>
  <c r="L29"/>
  <c r="X6" i="30"/>
  <c r="Y7"/>
  <c r="Y22" l="1"/>
  <c r="Y19"/>
  <c r="Y21"/>
  <c r="Y20"/>
  <c r="Y23"/>
  <c r="U332" i="43"/>
  <c r="Y9" i="30"/>
  <c r="Y17"/>
  <c r="Y28"/>
  <c r="Y26"/>
  <c r="Y27"/>
  <c r="Y15"/>
  <c r="Y10"/>
  <c r="Y14"/>
  <c r="Y16"/>
  <c r="Y12"/>
  <c r="Y11"/>
  <c r="Y13"/>
  <c r="M30" i="22"/>
  <c r="H30"/>
  <c r="P30"/>
  <c r="Q30"/>
  <c r="Y6" i="30"/>
  <c r="Z7"/>
  <c r="C30" i="22"/>
  <c r="T30"/>
  <c r="K30"/>
  <c r="D30"/>
  <c r="A31"/>
  <c r="E30"/>
  <c r="I30"/>
  <c r="S30"/>
  <c r="B30"/>
  <c r="L30"/>
  <c r="G29"/>
  <c r="Z23" i="30" l="1"/>
  <c r="Z19"/>
  <c r="Z22"/>
  <c r="Z21"/>
  <c r="Z20"/>
  <c r="G30" i="22"/>
  <c r="U333" i="43"/>
  <c r="M31" i="22"/>
  <c r="H31"/>
  <c r="P31"/>
  <c r="Q31"/>
  <c r="Z9" i="30"/>
  <c r="Z28"/>
  <c r="Z27"/>
  <c r="Z26"/>
  <c r="Z17"/>
  <c r="Z10"/>
  <c r="Z16"/>
  <c r="Z15"/>
  <c r="Z14"/>
  <c r="Z12"/>
  <c r="Z11"/>
  <c r="Z13"/>
  <c r="T31" i="22"/>
  <c r="C31"/>
  <c r="D31"/>
  <c r="I31"/>
  <c r="E31"/>
  <c r="L31"/>
  <c r="K31"/>
  <c r="B31"/>
  <c r="A32"/>
  <c r="S31"/>
  <c r="AA7" i="30"/>
  <c r="Z6"/>
  <c r="AA20" l="1"/>
  <c r="AA23"/>
  <c r="AA19"/>
  <c r="AA22"/>
  <c r="AA21"/>
  <c r="U334" i="43"/>
  <c r="AA9" i="30"/>
  <c r="AA27"/>
  <c r="AA28"/>
  <c r="AA17"/>
  <c r="AA26"/>
  <c r="AA15"/>
  <c r="AA16"/>
  <c r="AA10"/>
  <c r="AA14"/>
  <c r="AA11"/>
  <c r="AA13"/>
  <c r="AA12"/>
  <c r="H32" i="22"/>
  <c r="P32"/>
  <c r="Q32"/>
  <c r="M32"/>
  <c r="I32"/>
  <c r="AA6" i="30"/>
  <c r="AB7"/>
  <c r="T32" i="22"/>
  <c r="K32"/>
  <c r="C32"/>
  <c r="D32"/>
  <c r="E32"/>
  <c r="L32"/>
  <c r="S32"/>
  <c r="A33"/>
  <c r="B32"/>
  <c r="G31"/>
  <c r="AB21" i="30" l="1"/>
  <c r="AB20"/>
  <c r="AB23"/>
  <c r="AB19"/>
  <c r="AB22"/>
  <c r="F32" i="22"/>
  <c r="U335" i="43"/>
  <c r="M33" i="22"/>
  <c r="H33"/>
  <c r="P33"/>
  <c r="Q33"/>
  <c r="AB9" i="30"/>
  <c r="AB26"/>
  <c r="AB27"/>
  <c r="AB28"/>
  <c r="AB17"/>
  <c r="AB14"/>
  <c r="AB10"/>
  <c r="AB15"/>
  <c r="AB16"/>
  <c r="AB13"/>
  <c r="AB11"/>
  <c r="AB12"/>
  <c r="D33" i="22"/>
  <c r="B33"/>
  <c r="C33"/>
  <c r="I33"/>
  <c r="L33"/>
  <c r="K33"/>
  <c r="S33"/>
  <c r="A34"/>
  <c r="E33"/>
  <c r="T33"/>
  <c r="G32"/>
  <c r="AB6" i="30"/>
  <c r="AC7"/>
  <c r="AC22" l="1"/>
  <c r="AC21"/>
  <c r="AC20"/>
  <c r="AC23"/>
  <c r="AC19"/>
  <c r="U336" i="43"/>
  <c r="AC9" i="30"/>
  <c r="AC28"/>
  <c r="AC27"/>
  <c r="AC26"/>
  <c r="AC17"/>
  <c r="AC15"/>
  <c r="AC14"/>
  <c r="AC10"/>
  <c r="AC16"/>
  <c r="AC11"/>
  <c r="AC12"/>
  <c r="AC13"/>
  <c r="M34" i="22"/>
  <c r="H34"/>
  <c r="P34"/>
  <c r="Q34"/>
  <c r="AC6" i="30"/>
  <c r="AD7"/>
  <c r="G33" i="22"/>
  <c r="T34"/>
  <c r="D34"/>
  <c r="L34"/>
  <c r="C34"/>
  <c r="E34"/>
  <c r="B34"/>
  <c r="A35"/>
  <c r="I34"/>
  <c r="S34"/>
  <c r="K34"/>
  <c r="AD23" i="30" l="1"/>
  <c r="AD19"/>
  <c r="AD22"/>
  <c r="AD21"/>
  <c r="AD20"/>
  <c r="U337" i="43"/>
  <c r="M35" i="22"/>
  <c r="H35"/>
  <c r="P35"/>
  <c r="Q35"/>
  <c r="AD9" i="30"/>
  <c r="AD27"/>
  <c r="AD28"/>
  <c r="AD17"/>
  <c r="AD26"/>
  <c r="AD15"/>
  <c r="AD10"/>
  <c r="AD14"/>
  <c r="AD16"/>
  <c r="AD13"/>
  <c r="AD11"/>
  <c r="AD12"/>
  <c r="D35" i="22"/>
  <c r="A36"/>
  <c r="E35"/>
  <c r="B35"/>
  <c r="K35"/>
  <c r="S35"/>
  <c r="T35"/>
  <c r="C35"/>
  <c r="I35"/>
  <c r="L35"/>
  <c r="G34"/>
  <c r="AE7" i="30"/>
  <c r="AD6"/>
  <c r="AE20" l="1"/>
  <c r="AE23"/>
  <c r="AE19"/>
  <c r="AE22"/>
  <c r="AE21"/>
  <c r="U338" i="43"/>
  <c r="M36" i="22"/>
  <c r="H36"/>
  <c r="P36"/>
  <c r="Q36"/>
  <c r="AE9" i="30"/>
  <c r="AE28"/>
  <c r="AE27"/>
  <c r="AE17"/>
  <c r="AE26"/>
  <c r="AE16"/>
  <c r="AE10"/>
  <c r="AE15"/>
  <c r="AE14"/>
  <c r="AE11"/>
  <c r="AE13"/>
  <c r="AE12"/>
  <c r="AF7"/>
  <c r="AE6"/>
  <c r="C36" i="22"/>
  <c r="B36"/>
  <c r="T36"/>
  <c r="A37"/>
  <c r="H37" s="1"/>
  <c r="E36"/>
  <c r="K36"/>
  <c r="I36"/>
  <c r="L36"/>
  <c r="D36"/>
  <c r="S36"/>
  <c r="G35"/>
  <c r="AF21" i="30" l="1"/>
  <c r="AF20"/>
  <c r="AF23"/>
  <c r="AF19"/>
  <c r="AF22"/>
  <c r="U339" i="43"/>
  <c r="M37" i="22"/>
  <c r="P37"/>
  <c r="Q37"/>
  <c r="AF9" i="30"/>
  <c r="AF26"/>
  <c r="AF27"/>
  <c r="AF28"/>
  <c r="AF17"/>
  <c r="AF14"/>
  <c r="AF16"/>
  <c r="AF15"/>
  <c r="AF10"/>
  <c r="AF13"/>
  <c r="AF12"/>
  <c r="AF11"/>
  <c r="AF6"/>
  <c r="AG7"/>
  <c r="G36" i="22"/>
  <c r="B37"/>
  <c r="C37"/>
  <c r="T37"/>
  <c r="L37"/>
  <c r="A38"/>
  <c r="H38" s="1"/>
  <c r="S37"/>
  <c r="E37"/>
  <c r="D37"/>
  <c r="K37"/>
  <c r="I37"/>
  <c r="AG22" i="30" l="1"/>
  <c r="AG21"/>
  <c r="AG20"/>
  <c r="AG23"/>
  <c r="AG19"/>
  <c r="F37" i="22"/>
  <c r="U340" i="43"/>
  <c r="M38" i="22"/>
  <c r="P38"/>
  <c r="Q38"/>
  <c r="AG9" i="30"/>
  <c r="AG27"/>
  <c r="AG17"/>
  <c r="AG26"/>
  <c r="AG28"/>
  <c r="AG16"/>
  <c r="AG14"/>
  <c r="AG15"/>
  <c r="AG10"/>
  <c r="AG12"/>
  <c r="AG11"/>
  <c r="AG13"/>
  <c r="AG6"/>
  <c r="K38" i="22"/>
  <c r="C38"/>
  <c r="D38"/>
  <c r="L38"/>
  <c r="A39"/>
  <c r="H39" s="1"/>
  <c r="B38"/>
  <c r="E38"/>
  <c r="S38"/>
  <c r="I38"/>
  <c r="G37"/>
  <c r="F38" l="1"/>
  <c r="U341" i="43"/>
  <c r="M39" i="22"/>
  <c r="M41" s="1"/>
  <c r="P39"/>
  <c r="Q39"/>
  <c r="G38"/>
  <c r="L39"/>
  <c r="L41" s="1"/>
  <c r="I39"/>
  <c r="I41" s="1"/>
  <c r="S39"/>
  <c r="S41" s="1"/>
  <c r="C39"/>
  <c r="K39"/>
  <c r="K41" s="1"/>
  <c r="B39"/>
  <c r="B41" s="1"/>
  <c r="D39"/>
  <c r="D41" s="1"/>
  <c r="E39"/>
  <c r="E41" s="1"/>
  <c r="U342" i="43" l="1"/>
  <c r="S43" i="22"/>
  <c r="C41"/>
  <c r="G39"/>
  <c r="F48" s="1"/>
  <c r="J39"/>
  <c r="U343" i="43" l="1"/>
  <c r="N39" i="22"/>
  <c r="O39" s="1"/>
  <c r="K43"/>
  <c r="B43"/>
  <c r="F47"/>
  <c r="G48"/>
  <c r="G47"/>
  <c r="R39"/>
  <c r="I43"/>
  <c r="E43"/>
  <c r="L43"/>
  <c r="C43"/>
  <c r="D43"/>
  <c r="G41"/>
  <c r="M43"/>
  <c r="G43"/>
  <c r="U344" i="43" l="1"/>
  <c r="BO8"/>
  <c r="GX8" s="1"/>
  <c r="GW8" s="1"/>
  <c r="CJ8"/>
  <c r="HE8" s="1"/>
  <c r="HD8" s="1"/>
  <c r="AV8"/>
  <c r="GQ8" s="1"/>
  <c r="GP8" s="1"/>
  <c r="DC8"/>
  <c r="HL8" s="1"/>
  <c r="HK8" s="1"/>
  <c r="U345" l="1"/>
  <c r="GS8"/>
  <c r="GZ8"/>
  <c r="GL8"/>
  <c r="HG8"/>
  <c r="AK8"/>
  <c r="U346" l="1"/>
  <c r="GJ8"/>
  <c r="HA8" s="1"/>
  <c r="HC8" s="1"/>
  <c r="CP8" s="1"/>
  <c r="CR8" s="1"/>
  <c r="U347" l="1"/>
  <c r="HE9"/>
  <c r="HD9" s="1"/>
  <c r="GZ9" s="1"/>
  <c r="GT8"/>
  <c r="GV8" s="1"/>
  <c r="BU8" s="1"/>
  <c r="BW8" s="1"/>
  <c r="HH8"/>
  <c r="HJ8" s="1"/>
  <c r="DI8" s="1"/>
  <c r="DK8" s="1"/>
  <c r="GM8"/>
  <c r="GO8" s="1"/>
  <c r="BB8" s="1"/>
  <c r="HL9"/>
  <c r="HK9" s="1"/>
  <c r="GX9"/>
  <c r="GW9" s="1"/>
  <c r="C5" i="45"/>
  <c r="U348" i="43" l="1"/>
  <c r="GK8"/>
  <c r="GN8" s="1"/>
  <c r="BD8"/>
  <c r="AN8"/>
  <c r="GQ9"/>
  <c r="GP9" s="1"/>
  <c r="HG9"/>
  <c r="GS9"/>
  <c r="AI8"/>
  <c r="EN8"/>
  <c r="U349" l="1"/>
  <c r="HB8"/>
  <c r="GU8"/>
  <c r="HI8"/>
  <c r="AO8"/>
  <c r="DY8"/>
  <c r="DZ8" s="1"/>
  <c r="GL9"/>
  <c r="GJ9" s="1"/>
  <c r="D5" i="45"/>
  <c r="U5" s="1"/>
  <c r="EO8" i="43"/>
  <c r="U350" l="1"/>
  <c r="HA9"/>
  <c r="HC9" s="1"/>
  <c r="CP9" s="1"/>
  <c r="GT9"/>
  <c r="GV9" s="1"/>
  <c r="BU9" s="1"/>
  <c r="HH9"/>
  <c r="HJ9" s="1"/>
  <c r="DI9" s="1"/>
  <c r="GM9"/>
  <c r="U351" l="1"/>
  <c r="CR9"/>
  <c r="HE10"/>
  <c r="HD10" s="1"/>
  <c r="BW9"/>
  <c r="GX10"/>
  <c r="GW10" s="1"/>
  <c r="DK9"/>
  <c r="HL10"/>
  <c r="HK10" s="1"/>
  <c r="GK9"/>
  <c r="GO9"/>
  <c r="BB9" s="1"/>
  <c r="U352" l="1"/>
  <c r="GZ10"/>
  <c r="HG10"/>
  <c r="HI9"/>
  <c r="GU9"/>
  <c r="HB9"/>
  <c r="GN9"/>
  <c r="BD9"/>
  <c r="GQ10"/>
  <c r="GP10" s="1"/>
  <c r="AN9"/>
  <c r="GS10"/>
  <c r="U353" l="1"/>
  <c r="GL10"/>
  <c r="GJ10" s="1"/>
  <c r="AO9"/>
  <c r="DY9"/>
  <c r="DZ9" s="1"/>
  <c r="U354" l="1"/>
  <c r="HH10"/>
  <c r="HJ10" s="1"/>
  <c r="DI10" s="1"/>
  <c r="GT10"/>
  <c r="GV10" s="1"/>
  <c r="BU10" s="1"/>
  <c r="HA10"/>
  <c r="HC10" s="1"/>
  <c r="CP10" s="1"/>
  <c r="GM10"/>
  <c r="U355" l="1"/>
  <c r="DK10"/>
  <c r="HL11"/>
  <c r="HK11" s="1"/>
  <c r="BW10"/>
  <c r="GX11"/>
  <c r="GW11" s="1"/>
  <c r="CR10"/>
  <c r="HE11"/>
  <c r="HD11" s="1"/>
  <c r="GK10"/>
  <c r="GO10"/>
  <c r="BB10" s="1"/>
  <c r="U356" l="1"/>
  <c r="GZ11"/>
  <c r="HG11"/>
  <c r="HB10"/>
  <c r="HI10"/>
  <c r="GN10"/>
  <c r="GU10"/>
  <c r="BD10"/>
  <c r="GQ11"/>
  <c r="GP11" s="1"/>
  <c r="AN10"/>
  <c r="GS11"/>
  <c r="U357" l="1"/>
  <c r="DY10"/>
  <c r="DZ10" s="1"/>
  <c r="AO10"/>
  <c r="GL11"/>
  <c r="GJ11" s="1"/>
  <c r="U358" l="1"/>
  <c r="HH11"/>
  <c r="HJ11" s="1"/>
  <c r="DI11" s="1"/>
  <c r="HA11"/>
  <c r="HC11" s="1"/>
  <c r="CP11" s="1"/>
  <c r="GT11"/>
  <c r="GV11" s="1"/>
  <c r="BU11" s="1"/>
  <c r="GM11"/>
  <c r="U359" l="1"/>
  <c r="HL12"/>
  <c r="HK12" s="1"/>
  <c r="DK11"/>
  <c r="CR11"/>
  <c r="HE12"/>
  <c r="HD12" s="1"/>
  <c r="BW11"/>
  <c r="GX12"/>
  <c r="GW12" s="1"/>
  <c r="GK11"/>
  <c r="GO11"/>
  <c r="BB11" s="1"/>
  <c r="U360" l="1"/>
  <c r="HG12"/>
  <c r="GS12"/>
  <c r="HI11"/>
  <c r="GU11"/>
  <c r="GN11"/>
  <c r="HB11"/>
  <c r="BD11"/>
  <c r="GQ12"/>
  <c r="GP12" s="1"/>
  <c r="AN11"/>
  <c r="GZ12"/>
  <c r="U361" l="1"/>
  <c r="GL12"/>
  <c r="GJ12" s="1"/>
  <c r="AO11"/>
  <c r="DY11"/>
  <c r="DZ11" s="1"/>
  <c r="U362" l="1"/>
  <c r="GT12"/>
  <c r="GV12" s="1"/>
  <c r="BU12" s="1"/>
  <c r="HH12"/>
  <c r="HJ12" s="1"/>
  <c r="DI12" s="1"/>
  <c r="HA12"/>
  <c r="HC12" s="1"/>
  <c r="CP12" s="1"/>
  <c r="GM12"/>
  <c r="U363" l="1"/>
  <c r="BW12"/>
  <c r="GX13"/>
  <c r="GW13" s="1"/>
  <c r="HL13"/>
  <c r="HK13" s="1"/>
  <c r="DK12"/>
  <c r="CR12"/>
  <c r="HE13"/>
  <c r="HD13" s="1"/>
  <c r="GK12"/>
  <c r="GO12"/>
  <c r="BB12" s="1"/>
  <c r="FF8"/>
  <c r="U364" l="1"/>
  <c r="GZ13"/>
  <c r="GS13"/>
  <c r="HG13"/>
  <c r="HB12"/>
  <c r="GN12"/>
  <c r="HI12"/>
  <c r="GU12"/>
  <c r="GQ13"/>
  <c r="GP13" s="1"/>
  <c r="AP9" i="45"/>
  <c r="BD12" i="43"/>
  <c r="AN12"/>
  <c r="FE9"/>
  <c r="FF9" s="1"/>
  <c r="AD5" i="45"/>
  <c r="U365" i="43" l="1"/>
  <c r="AO12"/>
  <c r="DY12"/>
  <c r="DZ12" s="1"/>
  <c r="GL13"/>
  <c r="GJ13" s="1"/>
  <c r="FE10"/>
  <c r="FF10" s="1"/>
  <c r="AD6" i="45"/>
  <c r="Z8"/>
  <c r="Z7"/>
  <c r="Z6"/>
  <c r="Z5"/>
  <c r="U366" i="43" l="1"/>
  <c r="Z9" i="45"/>
  <c r="GT13" i="43"/>
  <c r="GV13" s="1"/>
  <c r="BU13" s="1"/>
  <c r="HA13"/>
  <c r="HC13" s="1"/>
  <c r="CP13" s="1"/>
  <c r="HH13"/>
  <c r="HJ13" s="1"/>
  <c r="DI13" s="1"/>
  <c r="GM13"/>
  <c r="FE11"/>
  <c r="FF11" s="1"/>
  <c r="AD7" i="45"/>
  <c r="U367" i="43" l="1"/>
  <c r="BW13"/>
  <c r="GX14"/>
  <c r="GW14" s="1"/>
  <c r="HE14"/>
  <c r="HD14" s="1"/>
  <c r="CR13"/>
  <c r="HL14"/>
  <c r="HK14" s="1"/>
  <c r="DK13"/>
  <c r="GK13"/>
  <c r="GO13"/>
  <c r="BB13" s="1"/>
  <c r="FE12"/>
  <c r="FF12" s="1"/>
  <c r="AD8" i="45"/>
  <c r="U368" i="43" l="1"/>
  <c r="HG14"/>
  <c r="GS14"/>
  <c r="GZ14"/>
  <c r="GU13"/>
  <c r="HB13"/>
  <c r="GN13"/>
  <c r="HI13"/>
  <c r="AN13"/>
  <c r="GQ14"/>
  <c r="GP14" s="1"/>
  <c r="AP10" i="45"/>
  <c r="BD13" i="43"/>
  <c r="FE13"/>
  <c r="AD9" i="45"/>
  <c r="U369" i="43" l="1"/>
  <c r="DY13"/>
  <c r="DZ13" s="1"/>
  <c r="AO13"/>
  <c r="GL14"/>
  <c r="GJ14" s="1"/>
  <c r="GM14" s="1"/>
  <c r="FE14"/>
  <c r="AD10" i="45"/>
  <c r="U370" i="43" l="1"/>
  <c r="Z10" i="45"/>
  <c r="GO14" i="43"/>
  <c r="BB14" s="1"/>
  <c r="FF13"/>
  <c r="GT14"/>
  <c r="GV14" s="1"/>
  <c r="BU14" s="1"/>
  <c r="HH14"/>
  <c r="HJ14" s="1"/>
  <c r="DI14" s="1"/>
  <c r="HA14"/>
  <c r="HC14" s="1"/>
  <c r="CP14" s="1"/>
  <c r="FE15"/>
  <c r="U371" l="1"/>
  <c r="GX15"/>
  <c r="GW15" s="1"/>
  <c r="BW14"/>
  <c r="GK14"/>
  <c r="HL15"/>
  <c r="HK15" s="1"/>
  <c r="DK14"/>
  <c r="AN14"/>
  <c r="GQ15"/>
  <c r="GP15" s="1"/>
  <c r="BD14"/>
  <c r="AP11" i="45"/>
  <c r="HE15" i="43"/>
  <c r="HD15" s="1"/>
  <c r="CR14"/>
  <c r="FE16"/>
  <c r="AD12" i="45"/>
  <c r="AD387"/>
  <c r="AD11"/>
  <c r="U372" i="43" l="1"/>
  <c r="GS15"/>
  <c r="AO14"/>
  <c r="DY14"/>
  <c r="DZ14" s="1"/>
  <c r="GZ15"/>
  <c r="GL15"/>
  <c r="GN14"/>
  <c r="HI14"/>
  <c r="HB14"/>
  <c r="GU14"/>
  <c r="HG15"/>
  <c r="FE17"/>
  <c r="U373" l="1"/>
  <c r="GJ15"/>
  <c r="GM15" s="1"/>
  <c r="GO15" s="1"/>
  <c r="BB15" s="1"/>
  <c r="FF14"/>
  <c r="FE18"/>
  <c r="AD13" i="45"/>
  <c r="U374" i="43" l="1"/>
  <c r="Z11" i="45"/>
  <c r="W387"/>
  <c r="GT15" i="43"/>
  <c r="GV15" s="1"/>
  <c r="BU15" s="1"/>
  <c r="BW15" s="1"/>
  <c r="HH15"/>
  <c r="HJ15" s="1"/>
  <c r="DI15" s="1"/>
  <c r="DK15" s="1"/>
  <c r="HA15"/>
  <c r="HC15" s="1"/>
  <c r="CP15" s="1"/>
  <c r="CR15" s="1"/>
  <c r="GX16"/>
  <c r="GW16" s="1"/>
  <c r="AN15"/>
  <c r="GQ16"/>
  <c r="GP16" s="1"/>
  <c r="AP12" i="45"/>
  <c r="BD15" i="43"/>
  <c r="HL16"/>
  <c r="HK16" s="1"/>
  <c r="HE16"/>
  <c r="HD16" s="1"/>
  <c r="FE19"/>
  <c r="U375" l="1"/>
  <c r="X388" i="45"/>
  <c r="AN388" s="1"/>
  <c r="Z387"/>
  <c r="AA387"/>
  <c r="AB387" s="1"/>
  <c r="GK15" i="43"/>
  <c r="GN15" s="1"/>
  <c r="GL16"/>
  <c r="GZ16"/>
  <c r="GS16"/>
  <c r="HG16"/>
  <c r="AO15"/>
  <c r="DY15"/>
  <c r="DZ15" s="1"/>
  <c r="FE20"/>
  <c r="U376" l="1"/>
  <c r="AO388" i="45"/>
  <c r="AN390"/>
  <c r="AN391" s="1"/>
  <c r="AO392" s="1"/>
  <c r="HI15" i="43"/>
  <c r="GU15"/>
  <c r="HB15"/>
  <c r="GJ16"/>
  <c r="FF15"/>
  <c r="FE21"/>
  <c r="U377" l="1"/>
  <c r="AP388" i="45"/>
  <c r="AQ388" s="1"/>
  <c r="AR388" s="1"/>
  <c r="AS388" s="1"/>
  <c r="AT388" s="1"/>
  <c r="AU388" s="1"/>
  <c r="AO390"/>
  <c r="AO391" s="1"/>
  <c r="Z12"/>
  <c r="HA16" i="43"/>
  <c r="HC16" s="1"/>
  <c r="CP16" s="1"/>
  <c r="HH16"/>
  <c r="HJ16" s="1"/>
  <c r="DI16" s="1"/>
  <c r="GM16"/>
  <c r="GT16"/>
  <c r="GV16" s="1"/>
  <c r="BU16" s="1"/>
  <c r="FE22"/>
  <c r="U378" l="1"/>
  <c r="AU390" i="45"/>
  <c r="AU391" s="1"/>
  <c r="AV388"/>
  <c r="HE17" i="43"/>
  <c r="HD17" s="1"/>
  <c r="CR16"/>
  <c r="HL17"/>
  <c r="HK17" s="1"/>
  <c r="DK16"/>
  <c r="GK16"/>
  <c r="GO16"/>
  <c r="BB16" s="1"/>
  <c r="GX17"/>
  <c r="GW17" s="1"/>
  <c r="BW16"/>
  <c r="FE23"/>
  <c r="U379" l="1"/>
  <c r="CK379"/>
  <c r="DB379"/>
  <c r="DD379" s="1"/>
  <c r="EB379"/>
  <c r="BN379"/>
  <c r="BP379" s="1"/>
  <c r="Q379"/>
  <c r="AW388" i="45"/>
  <c r="AV390"/>
  <c r="AV391" s="1"/>
  <c r="AW394" s="1"/>
  <c r="HB16" i="43"/>
  <c r="GN16"/>
  <c r="HI16"/>
  <c r="GU16"/>
  <c r="GZ17"/>
  <c r="BD16"/>
  <c r="AN16"/>
  <c r="GQ17"/>
  <c r="GP17" s="1"/>
  <c r="AP13" i="45"/>
  <c r="HG17" i="43"/>
  <c r="GS17"/>
  <c r="FE24"/>
  <c r="AY379" l="1"/>
  <c r="AA379"/>
  <c r="AB379" s="1"/>
  <c r="AU379"/>
  <c r="EH379"/>
  <c r="U380"/>
  <c r="CK380"/>
  <c r="DB380"/>
  <c r="DD380" s="1"/>
  <c r="BN380"/>
  <c r="BP380" s="1"/>
  <c r="EB380"/>
  <c r="Q380"/>
  <c r="AX388" i="45"/>
  <c r="AW390"/>
  <c r="AW391" s="1"/>
  <c r="GL17" i="43"/>
  <c r="GJ17" s="1"/>
  <c r="AO16"/>
  <c r="DY16"/>
  <c r="DZ16" s="1"/>
  <c r="FE25"/>
  <c r="AH379" l="1"/>
  <c r="AI379" s="1"/>
  <c r="D376" i="45" s="1"/>
  <c r="U376" s="1"/>
  <c r="U381" i="43"/>
  <c r="EB381"/>
  <c r="CK381"/>
  <c r="BN381"/>
  <c r="BP381" s="1"/>
  <c r="DB381"/>
  <c r="DD381" s="1"/>
  <c r="Q381"/>
  <c r="AU380"/>
  <c r="EH380"/>
  <c r="AY380"/>
  <c r="AA380"/>
  <c r="AB380" s="1"/>
  <c r="AY388" i="45"/>
  <c r="AX390"/>
  <c r="AX391" s="1"/>
  <c r="AY395" s="1"/>
  <c r="HH17" i="43"/>
  <c r="HJ17" s="1"/>
  <c r="DI17" s="1"/>
  <c r="HA17"/>
  <c r="HC17" s="1"/>
  <c r="CP17" s="1"/>
  <c r="GT17"/>
  <c r="GV17" s="1"/>
  <c r="BU17" s="1"/>
  <c r="GM17"/>
  <c r="FF16"/>
  <c r="FE26"/>
  <c r="AH380" l="1"/>
  <c r="AI380" s="1"/>
  <c r="D377" i="45" s="1"/>
  <c r="U377" s="1"/>
  <c r="AY381" i="43"/>
  <c r="AA381"/>
  <c r="AB381" s="1"/>
  <c r="AU381"/>
  <c r="EH381"/>
  <c r="Z13" i="45"/>
  <c r="AY390"/>
  <c r="AY391" s="1"/>
  <c r="AZ388"/>
  <c r="HL18" i="43"/>
  <c r="HK18" s="1"/>
  <c r="DK17"/>
  <c r="HE18"/>
  <c r="HD18" s="1"/>
  <c r="CR17"/>
  <c r="BW17"/>
  <c r="GX18"/>
  <c r="GW18" s="1"/>
  <c r="GO17"/>
  <c r="BB17" s="1"/>
  <c r="GK17"/>
  <c r="FE27"/>
  <c r="AH381" l="1"/>
  <c r="AI381" s="1"/>
  <c r="D378" i="45" s="1"/>
  <c r="U378" s="1"/>
  <c r="BA388"/>
  <c r="BA390" s="1"/>
  <c r="BA391" s="1"/>
  <c r="AZ390"/>
  <c r="AZ391" s="1"/>
  <c r="BA396" s="1"/>
  <c r="HG18" i="43"/>
  <c r="GS18"/>
  <c r="GZ18"/>
  <c r="AP14" i="45"/>
  <c r="BD17" i="43"/>
  <c r="AN17"/>
  <c r="GQ18"/>
  <c r="GP18" s="1"/>
  <c r="GU17"/>
  <c r="HB17"/>
  <c r="HI17"/>
  <c r="GN17"/>
  <c r="FE28"/>
  <c r="AO17" l="1"/>
  <c r="DY17"/>
  <c r="DZ17" s="1"/>
  <c r="GL18"/>
  <c r="GJ18" s="1"/>
  <c r="FE29"/>
  <c r="T14" i="45" l="1"/>
  <c r="AA14" s="1"/>
  <c r="FF17" i="43"/>
  <c r="AD14" i="45" s="1"/>
  <c r="GT18" i="43"/>
  <c r="GV18" s="1"/>
  <c r="BU18" s="1"/>
  <c r="HH18"/>
  <c r="HJ18" s="1"/>
  <c r="DI18" s="1"/>
  <c r="HA18"/>
  <c r="HC18" s="1"/>
  <c r="CP18" s="1"/>
  <c r="GM18"/>
  <c r="FE30"/>
  <c r="AB14" i="45" l="1"/>
  <c r="Z14"/>
  <c r="CR18" i="43"/>
  <c r="HE19"/>
  <c r="HD19" s="1"/>
  <c r="GK18"/>
  <c r="GO18"/>
  <c r="BB18" s="1"/>
  <c r="GX19"/>
  <c r="GW19" s="1"/>
  <c r="BW18"/>
  <c r="DK18"/>
  <c r="HL19"/>
  <c r="HK19" s="1"/>
  <c r="FE31"/>
  <c r="GS19" l="1"/>
  <c r="GZ19"/>
  <c r="HI18"/>
  <c r="HB18"/>
  <c r="GN18"/>
  <c r="GU18"/>
  <c r="HG19"/>
  <c r="BD18"/>
  <c r="AP15" i="45"/>
  <c r="AN18" i="43"/>
  <c r="GQ19"/>
  <c r="GP19" s="1"/>
  <c r="FE32"/>
  <c r="DY18" l="1"/>
  <c r="DZ18" s="1"/>
  <c r="AO18"/>
  <c r="GL19"/>
  <c r="GJ19" s="1"/>
  <c r="FE33"/>
  <c r="T15" i="45" l="1"/>
  <c r="AA15" s="1"/>
  <c r="FF18" i="43"/>
  <c r="AD15" i="45" s="1"/>
  <c r="HA19" i="43"/>
  <c r="HC19" s="1"/>
  <c r="CP19" s="1"/>
  <c r="GT19"/>
  <c r="GV19" s="1"/>
  <c r="BU19" s="1"/>
  <c r="HH19"/>
  <c r="HJ19" s="1"/>
  <c r="DI19" s="1"/>
  <c r="GM19"/>
  <c r="FE34"/>
  <c r="AB15" i="45" l="1"/>
  <c r="Z15"/>
  <c r="HL20" i="43"/>
  <c r="HK20" s="1"/>
  <c r="DK19"/>
  <c r="GK19"/>
  <c r="GO19"/>
  <c r="BB19" s="1"/>
  <c r="HE20"/>
  <c r="HD20" s="1"/>
  <c r="CR19"/>
  <c r="GX20"/>
  <c r="GW20" s="1"/>
  <c r="BW19"/>
  <c r="FE35"/>
  <c r="GZ20" l="1"/>
  <c r="HG20"/>
  <c r="GS20"/>
  <c r="HB19"/>
  <c r="GN19"/>
  <c r="GU19"/>
  <c r="HI19"/>
  <c r="AN19"/>
  <c r="GQ20"/>
  <c r="GP20" s="1"/>
  <c r="BD19"/>
  <c r="AP16" i="45"/>
  <c r="FE36" i="43"/>
  <c r="AO19" l="1"/>
  <c r="DY19"/>
  <c r="DZ19" s="1"/>
  <c r="GL20"/>
  <c r="GJ20" s="1"/>
  <c r="FE37"/>
  <c r="AT390" i="45"/>
  <c r="AT391" s="1"/>
  <c r="AU393" s="1"/>
  <c r="FF19" i="43" l="1"/>
  <c r="AD16" i="45" s="1"/>
  <c r="T16"/>
  <c r="AA16" s="1"/>
  <c r="HH20" i="43"/>
  <c r="HJ20" s="1"/>
  <c r="DI20" s="1"/>
  <c r="HA20"/>
  <c r="HC20" s="1"/>
  <c r="CP20" s="1"/>
  <c r="GT20"/>
  <c r="GV20" s="1"/>
  <c r="BU20" s="1"/>
  <c r="GM20"/>
  <c r="FE38"/>
  <c r="AB16" i="45" l="1"/>
  <c r="Z16"/>
  <c r="BW20" i="43"/>
  <c r="GX21"/>
  <c r="GW21" s="1"/>
  <c r="GO20"/>
  <c r="BB20" s="1"/>
  <c r="GK20"/>
  <c r="HL21"/>
  <c r="HK21" s="1"/>
  <c r="DK20"/>
  <c r="HE21"/>
  <c r="HD21" s="1"/>
  <c r="CR20"/>
  <c r="FE39"/>
  <c r="HG21" l="1"/>
  <c r="GS21"/>
  <c r="AN20"/>
  <c r="GQ21"/>
  <c r="GP21" s="1"/>
  <c r="BD20"/>
  <c r="AP17" i="45"/>
  <c r="GZ21" i="43"/>
  <c r="HB20"/>
  <c r="GU20"/>
  <c r="GN20"/>
  <c r="HI20"/>
  <c r="FE40"/>
  <c r="DY20" l="1"/>
  <c r="DZ20" s="1"/>
  <c r="AO20"/>
  <c r="GL21"/>
  <c r="GJ21" s="1"/>
  <c r="FE41"/>
  <c r="FF20" l="1"/>
  <c r="AD17" i="45" s="1"/>
  <c r="T17"/>
  <c r="AA17" s="1"/>
  <c r="GT21" i="43"/>
  <c r="GV21" s="1"/>
  <c r="BU21" s="1"/>
  <c r="HH21"/>
  <c r="HJ21" s="1"/>
  <c r="DI21" s="1"/>
  <c r="HA21"/>
  <c r="HC21" s="1"/>
  <c r="CP21" s="1"/>
  <c r="GM21"/>
  <c r="FE42"/>
  <c r="AB17" i="45" l="1"/>
  <c r="Z17"/>
  <c r="GK21" i="43"/>
  <c r="GO21"/>
  <c r="BB21" s="1"/>
  <c r="CR21"/>
  <c r="HE22"/>
  <c r="HD22" s="1"/>
  <c r="GX22"/>
  <c r="GW22" s="1"/>
  <c r="BW21"/>
  <c r="HL22"/>
  <c r="HK22" s="1"/>
  <c r="DK21"/>
  <c r="FE43"/>
  <c r="GS22" l="1"/>
  <c r="HI21"/>
  <c r="HB21"/>
  <c r="GN21"/>
  <c r="GU21"/>
  <c r="BD21"/>
  <c r="AP18" i="45"/>
  <c r="AN21" i="43"/>
  <c r="GQ22"/>
  <c r="GP22" s="1"/>
  <c r="HG22"/>
  <c r="GZ22"/>
  <c r="FE44"/>
  <c r="AO21" l="1"/>
  <c r="DY21"/>
  <c r="DZ21" s="1"/>
  <c r="GL22"/>
  <c r="GJ22" s="1"/>
  <c r="GM22" s="1"/>
  <c r="FE45"/>
  <c r="GO22" l="1"/>
  <c r="BB22" s="1"/>
  <c r="FF21"/>
  <c r="AD18" i="45" s="1"/>
  <c r="T18"/>
  <c r="AA18" s="1"/>
  <c r="HH22" i="43"/>
  <c r="HJ22" s="1"/>
  <c r="DI22" s="1"/>
  <c r="HA22"/>
  <c r="HC22" s="1"/>
  <c r="CP22" s="1"/>
  <c r="GT22"/>
  <c r="GV22" s="1"/>
  <c r="BU22" s="1"/>
  <c r="FE46"/>
  <c r="AB18" i="45" l="1"/>
  <c r="Z18"/>
  <c r="HL23" i="43"/>
  <c r="HK23" s="1"/>
  <c r="DK22"/>
  <c r="AP19" i="45"/>
  <c r="GQ23" i="43"/>
  <c r="GP23" s="1"/>
  <c r="AN22"/>
  <c r="BD22"/>
  <c r="HE23"/>
  <c r="HD23" s="1"/>
  <c r="GZ23" s="1"/>
  <c r="CR22"/>
  <c r="GK22"/>
  <c r="BW22"/>
  <c r="GX23"/>
  <c r="GW23" s="1"/>
  <c r="FE47"/>
  <c r="GN22" l="1"/>
  <c r="HB22"/>
  <c r="HI22"/>
  <c r="GU22"/>
  <c r="HG23"/>
  <c r="AO22"/>
  <c r="DY22"/>
  <c r="DZ22" s="1"/>
  <c r="GS23"/>
  <c r="GL23"/>
  <c r="FE48"/>
  <c r="GJ23" l="1"/>
  <c r="HA23" s="1"/>
  <c r="HC23" s="1"/>
  <c r="CP23" s="1"/>
  <c r="CR23" s="1"/>
  <c r="FF22"/>
  <c r="AD19" i="45" s="1"/>
  <c r="T19"/>
  <c r="AA19" s="1"/>
  <c r="HE24" i="43"/>
  <c r="HD24" s="1"/>
  <c r="FE49"/>
  <c r="AB19" i="45" l="1"/>
  <c r="Z19"/>
  <c r="GT23" i="43"/>
  <c r="GV23" s="1"/>
  <c r="BU23" s="1"/>
  <c r="BW23" s="1"/>
  <c r="HH23"/>
  <c r="HJ23" s="1"/>
  <c r="DI23" s="1"/>
  <c r="DK23" s="1"/>
  <c r="GM23"/>
  <c r="GO23" s="1"/>
  <c r="BB23" s="1"/>
  <c r="GZ24"/>
  <c r="GX24"/>
  <c r="GW24" s="1"/>
  <c r="HL24"/>
  <c r="HK24" s="1"/>
  <c r="FE50"/>
  <c r="GK23" l="1"/>
  <c r="GU23" s="1"/>
  <c r="HG24"/>
  <c r="GS24"/>
  <c r="GQ24"/>
  <c r="GP24" s="1"/>
  <c r="AP20" i="45"/>
  <c r="AN23" i="43"/>
  <c r="BD23"/>
  <c r="FE51"/>
  <c r="HB23" l="1"/>
  <c r="HI23"/>
  <c r="GN23"/>
  <c r="GL24"/>
  <c r="GJ24" s="1"/>
  <c r="AO23"/>
  <c r="DY23"/>
  <c r="DZ23" s="1"/>
  <c r="FE52"/>
  <c r="HA24" l="1"/>
  <c r="HC24" s="1"/>
  <c r="CP24" s="1"/>
  <c r="GT24"/>
  <c r="GV24" s="1"/>
  <c r="BU24" s="1"/>
  <c r="HH24"/>
  <c r="HJ24" s="1"/>
  <c r="DI24" s="1"/>
  <c r="GM24"/>
  <c r="FF23"/>
  <c r="AD20" i="45" s="1"/>
  <c r="T20"/>
  <c r="AA20" s="1"/>
  <c r="FE53" i="43"/>
  <c r="AB20" i="45" l="1"/>
  <c r="Z20"/>
  <c r="HE25" i="43"/>
  <c r="HD25" s="1"/>
  <c r="CR24"/>
  <c r="GX25"/>
  <c r="GW25" s="1"/>
  <c r="BW24"/>
  <c r="HL25"/>
  <c r="HK25" s="1"/>
  <c r="DK24"/>
  <c r="GK24"/>
  <c r="GO24"/>
  <c r="BB24" s="1"/>
  <c r="FE54"/>
  <c r="HG25" l="1"/>
  <c r="GZ25"/>
  <c r="GS25"/>
  <c r="HB24"/>
  <c r="HI24"/>
  <c r="GU24"/>
  <c r="GN24"/>
  <c r="GQ25"/>
  <c r="GP25" s="1"/>
  <c r="AP21" i="45"/>
  <c r="AN24" i="43"/>
  <c r="BD24"/>
  <c r="FE55"/>
  <c r="DY24" l="1"/>
  <c r="DZ24" s="1"/>
  <c r="AO24"/>
  <c r="GL25"/>
  <c r="GJ25" s="1"/>
  <c r="FE56"/>
  <c r="FF24" l="1"/>
  <c r="AD21" i="45" s="1"/>
  <c r="T21"/>
  <c r="AA21" s="1"/>
  <c r="HA25" i="43"/>
  <c r="HC25" s="1"/>
  <c r="CP25" s="1"/>
  <c r="HH25"/>
  <c r="HJ25" s="1"/>
  <c r="DI25" s="1"/>
  <c r="GT25"/>
  <c r="GV25" s="1"/>
  <c r="BU25" s="1"/>
  <c r="GM25"/>
  <c r="FE57"/>
  <c r="AB21" i="45" l="1"/>
  <c r="Z21"/>
  <c r="GK25" i="43"/>
  <c r="GO25"/>
  <c r="BB25" s="1"/>
  <c r="HE26"/>
  <c r="HD26" s="1"/>
  <c r="CR25"/>
  <c r="GX26"/>
  <c r="GW26" s="1"/>
  <c r="BW25"/>
  <c r="HL26"/>
  <c r="HK26" s="1"/>
  <c r="DK25"/>
  <c r="FE58"/>
  <c r="GS26" l="1"/>
  <c r="GN25"/>
  <c r="HI25"/>
  <c r="HB25"/>
  <c r="GU25"/>
  <c r="BD25"/>
  <c r="AN25"/>
  <c r="GQ26"/>
  <c r="GP26" s="1"/>
  <c r="AP22" i="45"/>
  <c r="GZ26" i="43"/>
  <c r="HG26"/>
  <c r="FE59"/>
  <c r="GL26" l="1"/>
  <c r="GJ26" s="1"/>
  <c r="DY25"/>
  <c r="DZ25" s="1"/>
  <c r="AO25"/>
  <c r="FE60"/>
  <c r="HA26" l="1"/>
  <c r="HC26" s="1"/>
  <c r="CP26" s="1"/>
  <c r="GT26"/>
  <c r="GV26" s="1"/>
  <c r="BU26" s="1"/>
  <c r="HH26"/>
  <c r="HJ26" s="1"/>
  <c r="DI26" s="1"/>
  <c r="GM26"/>
  <c r="FF25"/>
  <c r="AD22" i="45" s="1"/>
  <c r="T22"/>
  <c r="AA22" s="1"/>
  <c r="FE61" i="43"/>
  <c r="AB22" i="45" l="1"/>
  <c r="Z22"/>
  <c r="HE27" i="43"/>
  <c r="HD27" s="1"/>
  <c r="CR26"/>
  <c r="BW26"/>
  <c r="GX27"/>
  <c r="GW27" s="1"/>
  <c r="DK26"/>
  <c r="HL27"/>
  <c r="HK27" s="1"/>
  <c r="GO26"/>
  <c r="BB26" s="1"/>
  <c r="GK26"/>
  <c r="FE62"/>
  <c r="GZ27" l="1"/>
  <c r="HG27"/>
  <c r="AN26"/>
  <c r="GQ27"/>
  <c r="GP27" s="1"/>
  <c r="AP23" i="45"/>
  <c r="BD26" i="43"/>
  <c r="HI26"/>
  <c r="GU26"/>
  <c r="HB26"/>
  <c r="GN26"/>
  <c r="GS27"/>
  <c r="FE63"/>
  <c r="AO26" l="1"/>
  <c r="DY26"/>
  <c r="DZ26" s="1"/>
  <c r="GL27"/>
  <c r="GJ27" s="1"/>
  <c r="FE64"/>
  <c r="T23" i="45" l="1"/>
  <c r="AA23" s="1"/>
  <c r="FF26" i="43"/>
  <c r="AD23" i="45" s="1"/>
  <c r="HH27" i="43"/>
  <c r="HJ27" s="1"/>
  <c r="DI27" s="1"/>
  <c r="GT27"/>
  <c r="GV27" s="1"/>
  <c r="BU27" s="1"/>
  <c r="HA27"/>
  <c r="HC27" s="1"/>
  <c r="CP27" s="1"/>
  <c r="GM27"/>
  <c r="FE65"/>
  <c r="AB23" i="45" l="1"/>
  <c r="Z23"/>
  <c r="HE28" i="43"/>
  <c r="HD28" s="1"/>
  <c r="CR27"/>
  <c r="GK27"/>
  <c r="GO27"/>
  <c r="BB27" s="1"/>
  <c r="DK27"/>
  <c r="HL28"/>
  <c r="HK28" s="1"/>
  <c r="GX28"/>
  <c r="GW28" s="1"/>
  <c r="BW27"/>
  <c r="FE66"/>
  <c r="GZ28" l="1"/>
  <c r="HG28"/>
  <c r="GS28"/>
  <c r="GN27"/>
  <c r="HI27"/>
  <c r="GU27"/>
  <c r="HB27"/>
  <c r="AN27"/>
  <c r="GQ28"/>
  <c r="GP28" s="1"/>
  <c r="BD27"/>
  <c r="AP24" i="45"/>
  <c r="FE67" i="43"/>
  <c r="AO27" l="1"/>
  <c r="DY27"/>
  <c r="DZ27" s="1"/>
  <c r="GL28"/>
  <c r="GJ28" s="1"/>
  <c r="FE68"/>
  <c r="FF27" l="1"/>
  <c r="AD24" i="45" s="1"/>
  <c r="T24"/>
  <c r="AA24" s="1"/>
  <c r="HH28" i="43"/>
  <c r="HJ28" s="1"/>
  <c r="DI28" s="1"/>
  <c r="HA28"/>
  <c r="HC28" s="1"/>
  <c r="CP28" s="1"/>
  <c r="GT28"/>
  <c r="GV28" s="1"/>
  <c r="BU28" s="1"/>
  <c r="GM28"/>
  <c r="FE69"/>
  <c r="AB24" i="45" l="1"/>
  <c r="Z24"/>
  <c r="GK28" i="43"/>
  <c r="GO28"/>
  <c r="BB28" s="1"/>
  <c r="HL29"/>
  <c r="HK29" s="1"/>
  <c r="DK28"/>
  <c r="GX29"/>
  <c r="GW29" s="1"/>
  <c r="BW28"/>
  <c r="HE29"/>
  <c r="HD29" s="1"/>
  <c r="CR28"/>
  <c r="FE70"/>
  <c r="GS29" l="1"/>
  <c r="GN28"/>
  <c r="HB28"/>
  <c r="GU28"/>
  <c r="HI28"/>
  <c r="AN28"/>
  <c r="GQ29"/>
  <c r="GP29" s="1"/>
  <c r="AP25" i="45"/>
  <c r="BD28" i="43"/>
  <c r="HG29"/>
  <c r="GZ29"/>
  <c r="FE71"/>
  <c r="AO28" l="1"/>
  <c r="DY28"/>
  <c r="DZ28" s="1"/>
  <c r="GL29"/>
  <c r="GJ29" s="1"/>
  <c r="FE72"/>
  <c r="FF28" l="1"/>
  <c r="AD25" i="45" s="1"/>
  <c r="T25"/>
  <c r="AA25" s="1"/>
  <c r="HH29" i="43"/>
  <c r="HJ29" s="1"/>
  <c r="DI29" s="1"/>
  <c r="GT29"/>
  <c r="GV29" s="1"/>
  <c r="BU29" s="1"/>
  <c r="HA29"/>
  <c r="HC29" s="1"/>
  <c r="CP29" s="1"/>
  <c r="GM29"/>
  <c r="FE73"/>
  <c r="AB25" i="45" l="1"/>
  <c r="Z25"/>
  <c r="GO29" i="43"/>
  <c r="BB29" s="1"/>
  <c r="GK29"/>
  <c r="HE30"/>
  <c r="HD30" s="1"/>
  <c r="CR29"/>
  <c r="HL30"/>
  <c r="HK30" s="1"/>
  <c r="DK29"/>
  <c r="BW29"/>
  <c r="GX30"/>
  <c r="GW30" s="1"/>
  <c r="FE74"/>
  <c r="HG30" l="1"/>
  <c r="AN29"/>
  <c r="BD29"/>
  <c r="GQ30"/>
  <c r="GP30" s="1"/>
  <c r="AP26" i="45"/>
  <c r="GU29" i="43"/>
  <c r="GN29"/>
  <c r="HB29"/>
  <c r="HI29"/>
  <c r="GZ30"/>
  <c r="GS30"/>
  <c r="FE75"/>
  <c r="GL30" l="1"/>
  <c r="GJ30" s="1"/>
  <c r="DY29"/>
  <c r="DZ29" s="1"/>
  <c r="AO29"/>
  <c r="FE76"/>
  <c r="HA30" l="1"/>
  <c r="HC30" s="1"/>
  <c r="CP30" s="1"/>
  <c r="HH30"/>
  <c r="HJ30" s="1"/>
  <c r="DI30" s="1"/>
  <c r="GT30"/>
  <c r="GV30" s="1"/>
  <c r="BU30" s="1"/>
  <c r="GM30"/>
  <c r="FF29"/>
  <c r="AD26" i="45" s="1"/>
  <c r="T26"/>
  <c r="AA26" s="1"/>
  <c r="FE77" i="43"/>
  <c r="AB26" i="45" l="1"/>
  <c r="Z26"/>
  <c r="HE31" i="43"/>
  <c r="HD31" s="1"/>
  <c r="CR30"/>
  <c r="HL31"/>
  <c r="HK31" s="1"/>
  <c r="DK30"/>
  <c r="GX31"/>
  <c r="GW31" s="1"/>
  <c r="BW30"/>
  <c r="GO30"/>
  <c r="BB30" s="1"/>
  <c r="GK30"/>
  <c r="FE78"/>
  <c r="GS31" l="1"/>
  <c r="GZ31"/>
  <c r="BD30"/>
  <c r="AP27" i="45"/>
  <c r="AN30" i="43"/>
  <c r="GQ31"/>
  <c r="GP31" s="1"/>
  <c r="HG31"/>
  <c r="GN30"/>
  <c r="GU30"/>
  <c r="HB30"/>
  <c r="HI30"/>
  <c r="FE79"/>
  <c r="AO30" l="1"/>
  <c r="DY30"/>
  <c r="DZ30" s="1"/>
  <c r="GL31"/>
  <c r="GJ31" s="1"/>
  <c r="FE80"/>
  <c r="T27" i="45" l="1"/>
  <c r="AA27" s="1"/>
  <c r="FF30" i="43"/>
  <c r="AD27" i="45" s="1"/>
  <c r="HA31" i="43"/>
  <c r="HC31" s="1"/>
  <c r="CP31" s="1"/>
  <c r="GT31"/>
  <c r="GV31" s="1"/>
  <c r="BU31" s="1"/>
  <c r="HH31"/>
  <c r="HJ31" s="1"/>
  <c r="DI31" s="1"/>
  <c r="GM31"/>
  <c r="FE81"/>
  <c r="AB27" i="45" l="1"/>
  <c r="Z27"/>
  <c r="HL32" i="43"/>
  <c r="HK32" s="1"/>
  <c r="DK31"/>
  <c r="HE32"/>
  <c r="HD32" s="1"/>
  <c r="CR31"/>
  <c r="GK31"/>
  <c r="GO31"/>
  <c r="BB31" s="1"/>
  <c r="GX32"/>
  <c r="GW32" s="1"/>
  <c r="BW31"/>
  <c r="FE82"/>
  <c r="FE83" s="1"/>
  <c r="FE84" s="1"/>
  <c r="FE85" s="1"/>
  <c r="FE86" s="1"/>
  <c r="FE87" s="1"/>
  <c r="FE88" s="1"/>
  <c r="FE89" s="1"/>
  <c r="FE90" s="1"/>
  <c r="FE91" s="1"/>
  <c r="GU31" l="1"/>
  <c r="GN31"/>
  <c r="HI31"/>
  <c r="HB31"/>
  <c r="HG32"/>
  <c r="AN31"/>
  <c r="GQ32"/>
  <c r="GP32" s="1"/>
  <c r="BD31"/>
  <c r="AP28" i="45"/>
  <c r="GZ32" i="43"/>
  <c r="GS32"/>
  <c r="FE92"/>
  <c r="AO31" l="1"/>
  <c r="DY31"/>
  <c r="DZ31" s="1"/>
  <c r="GL32"/>
  <c r="GJ32" s="1"/>
  <c r="FE93"/>
  <c r="FF31" l="1"/>
  <c r="AD28" i="45" s="1"/>
  <c r="T28"/>
  <c r="AA28" s="1"/>
  <c r="HA32" i="43"/>
  <c r="HC32" s="1"/>
  <c r="CP32" s="1"/>
  <c r="HH32"/>
  <c r="HJ32" s="1"/>
  <c r="DI32" s="1"/>
  <c r="GT32"/>
  <c r="GV32" s="1"/>
  <c r="BU32" s="1"/>
  <c r="GM32"/>
  <c r="FE94"/>
  <c r="AB28" i="45" l="1"/>
  <c r="Z28"/>
  <c r="GK32" i="43"/>
  <c r="GO32"/>
  <c r="BB32" s="1"/>
  <c r="BW32"/>
  <c r="GX33"/>
  <c r="GW33" s="1"/>
  <c r="HE33"/>
  <c r="HD33" s="1"/>
  <c r="CR32"/>
  <c r="HL33"/>
  <c r="HK33" s="1"/>
  <c r="DK32"/>
  <c r="FE95"/>
  <c r="GZ33" l="1"/>
  <c r="GN32"/>
  <c r="HI32"/>
  <c r="HB32"/>
  <c r="GU32"/>
  <c r="AN32"/>
  <c r="GQ33"/>
  <c r="GP33" s="1"/>
  <c r="BD32"/>
  <c r="AP29" i="45"/>
  <c r="HG33" i="43"/>
  <c r="GS33"/>
  <c r="FE96"/>
  <c r="AO32" l="1"/>
  <c r="DY32"/>
  <c r="DZ32" s="1"/>
  <c r="GL33"/>
  <c r="GJ33" s="1"/>
  <c r="FE97"/>
  <c r="FF32" l="1"/>
  <c r="AD29" i="45" s="1"/>
  <c r="T29"/>
  <c r="AA29" s="1"/>
  <c r="HH33" i="43"/>
  <c r="HJ33" s="1"/>
  <c r="DI33" s="1"/>
  <c r="HA33"/>
  <c r="HC33" s="1"/>
  <c r="CP33" s="1"/>
  <c r="GT33"/>
  <c r="GV33" s="1"/>
  <c r="BU33" s="1"/>
  <c r="GM33"/>
  <c r="FE98"/>
  <c r="AB29" i="45" l="1"/>
  <c r="Z29"/>
  <c r="GO33" i="43"/>
  <c r="BB33" s="1"/>
  <c r="GK33"/>
  <c r="HL34"/>
  <c r="HK34" s="1"/>
  <c r="DK33"/>
  <c r="GX34"/>
  <c r="GW34" s="1"/>
  <c r="BW33"/>
  <c r="HE34"/>
  <c r="HD34" s="1"/>
  <c r="CR33"/>
  <c r="FE99"/>
  <c r="GS34" l="1"/>
  <c r="AN33"/>
  <c r="BD33"/>
  <c r="GQ34"/>
  <c r="GP34" s="1"/>
  <c r="AP30" i="45"/>
  <c r="HB33" i="43"/>
  <c r="GN33"/>
  <c r="HI33"/>
  <c r="GU33"/>
  <c r="HG34"/>
  <c r="GZ34"/>
  <c r="FE100"/>
  <c r="GL34" l="1"/>
  <c r="GJ34" s="1"/>
  <c r="AO33"/>
  <c r="DY33"/>
  <c r="DZ33" s="1"/>
  <c r="FE101"/>
  <c r="HH34" l="1"/>
  <c r="HJ34" s="1"/>
  <c r="DI34" s="1"/>
  <c r="HA34"/>
  <c r="HC34" s="1"/>
  <c r="CP34" s="1"/>
  <c r="GT34"/>
  <c r="GV34" s="1"/>
  <c r="BU34" s="1"/>
  <c r="GM34"/>
  <c r="FF33"/>
  <c r="AD30" i="45" s="1"/>
  <c r="T30"/>
  <c r="AA30" s="1"/>
  <c r="FE102" i="43"/>
  <c r="AB30" i="45" l="1"/>
  <c r="Z30"/>
  <c r="HL35" i="43"/>
  <c r="HK35" s="1"/>
  <c r="DK34"/>
  <c r="HE35"/>
  <c r="HD35" s="1"/>
  <c r="CR34"/>
  <c r="GX35"/>
  <c r="GW35" s="1"/>
  <c r="BW34"/>
  <c r="GK34"/>
  <c r="GO34"/>
  <c r="BB34" s="1"/>
  <c r="FE103"/>
  <c r="GS35" l="1"/>
  <c r="HG35"/>
  <c r="GZ35"/>
  <c r="HB34"/>
  <c r="GU34"/>
  <c r="HI34"/>
  <c r="GN34"/>
  <c r="AN34"/>
  <c r="GQ35"/>
  <c r="GP35" s="1"/>
  <c r="AP31" i="45"/>
  <c r="BD34" i="43"/>
  <c r="FE104"/>
  <c r="DY34" l="1"/>
  <c r="DZ34" s="1"/>
  <c r="AO34"/>
  <c r="GL35"/>
  <c r="GJ35" s="1"/>
  <c r="FE105"/>
  <c r="FF34" l="1"/>
  <c r="AD31" i="45" s="1"/>
  <c r="T31"/>
  <c r="AA31" s="1"/>
  <c r="HH35" i="43"/>
  <c r="HJ35" s="1"/>
  <c r="DI35" s="1"/>
  <c r="GT35"/>
  <c r="GV35" s="1"/>
  <c r="BU35" s="1"/>
  <c r="HA35"/>
  <c r="HC35" s="1"/>
  <c r="CP35" s="1"/>
  <c r="GM35"/>
  <c r="FE106"/>
  <c r="AB31" i="45" l="1"/>
  <c r="Z31"/>
  <c r="GK35" i="43"/>
  <c r="GO35"/>
  <c r="BB35" s="1"/>
  <c r="HL36"/>
  <c r="HK36" s="1"/>
  <c r="DK35"/>
  <c r="HE36"/>
  <c r="HD36" s="1"/>
  <c r="CR35"/>
  <c r="BW35"/>
  <c r="GX36"/>
  <c r="GW36" s="1"/>
  <c r="FE107"/>
  <c r="GZ36" l="1"/>
  <c r="HB35"/>
  <c r="GN35"/>
  <c r="HI35"/>
  <c r="GU35"/>
  <c r="AN35"/>
  <c r="GQ36"/>
  <c r="GP36" s="1"/>
  <c r="BD35"/>
  <c r="AP32" i="45"/>
  <c r="HG36" i="43"/>
  <c r="GS36"/>
  <c r="FE108"/>
  <c r="AO35" l="1"/>
  <c r="DY35"/>
  <c r="DZ35" s="1"/>
  <c r="GL36"/>
  <c r="GJ36" s="1"/>
  <c r="FE109"/>
  <c r="FF35" l="1"/>
  <c r="AD32" i="45" s="1"/>
  <c r="T32"/>
  <c r="AA32" s="1"/>
  <c r="HH36" i="43"/>
  <c r="HJ36" s="1"/>
  <c r="DI36" s="1"/>
  <c r="HA36"/>
  <c r="HC36" s="1"/>
  <c r="CP36" s="1"/>
  <c r="GT36"/>
  <c r="GV36" s="1"/>
  <c r="BU36" s="1"/>
  <c r="GM36"/>
  <c r="FE110"/>
  <c r="AB32" i="45" l="1"/>
  <c r="Z32"/>
  <c r="BW36" i="43"/>
  <c r="GX37"/>
  <c r="GW37" s="1"/>
  <c r="GK36"/>
  <c r="GO36"/>
  <c r="BB36" s="1"/>
  <c r="HL37"/>
  <c r="HK37" s="1"/>
  <c r="DK36"/>
  <c r="HE37"/>
  <c r="HD37" s="1"/>
  <c r="CR36"/>
  <c r="FE111"/>
  <c r="HG37" l="1"/>
  <c r="GS37"/>
  <c r="GN36"/>
  <c r="HI36"/>
  <c r="GU36"/>
  <c r="HB36"/>
  <c r="GZ37"/>
  <c r="BD36"/>
  <c r="AN36"/>
  <c r="GQ37"/>
  <c r="GP37" s="1"/>
  <c r="AP33" i="45"/>
  <c r="FE112" i="43"/>
  <c r="GL37" l="1"/>
  <c r="GJ37" s="1"/>
  <c r="DY36"/>
  <c r="DZ36" s="1"/>
  <c r="AO36"/>
  <c r="FE113"/>
  <c r="GT37" l="1"/>
  <c r="GV37" s="1"/>
  <c r="BU37" s="1"/>
  <c r="HH37"/>
  <c r="HJ37" s="1"/>
  <c r="DI37" s="1"/>
  <c r="HA37"/>
  <c r="HC37" s="1"/>
  <c r="CP37" s="1"/>
  <c r="GM37"/>
  <c r="FF36"/>
  <c r="AD33" i="45" s="1"/>
  <c r="T33"/>
  <c r="AA33" s="1"/>
  <c r="FE114" i="43"/>
  <c r="AB33" i="45" l="1"/>
  <c r="Z33"/>
  <c r="GX38" i="43"/>
  <c r="GW38" s="1"/>
  <c r="BW37"/>
  <c r="HL38"/>
  <c r="HK38" s="1"/>
  <c r="DK37"/>
  <c r="HE38"/>
  <c r="HD38" s="1"/>
  <c r="CR37"/>
  <c r="GK37"/>
  <c r="GO37"/>
  <c r="BB37" s="1"/>
  <c r="FE115"/>
  <c r="GS38" l="1"/>
  <c r="HG38"/>
  <c r="GZ38"/>
  <c r="GN37"/>
  <c r="HI37"/>
  <c r="HB37"/>
  <c r="GU37"/>
  <c r="AN37"/>
  <c r="GQ38"/>
  <c r="GP38" s="1"/>
  <c r="BD37"/>
  <c r="AP34" i="45"/>
  <c r="FE116" i="43"/>
  <c r="DY37" l="1"/>
  <c r="DZ37" s="1"/>
  <c r="AO37"/>
  <c r="GL38"/>
  <c r="GJ38" s="1"/>
  <c r="FE117"/>
  <c r="FF37" l="1"/>
  <c r="AD34" i="45" s="1"/>
  <c r="T34"/>
  <c r="AA34" s="1"/>
  <c r="HH38" i="43"/>
  <c r="HJ38" s="1"/>
  <c r="DI38" s="1"/>
  <c r="GT38"/>
  <c r="GV38" s="1"/>
  <c r="BU38" s="1"/>
  <c r="HA38"/>
  <c r="HC38" s="1"/>
  <c r="CP38" s="1"/>
  <c r="GM38"/>
  <c r="FE118"/>
  <c r="AB34" i="45" l="1"/>
  <c r="Z34"/>
  <c r="GK38" i="43"/>
  <c r="GO38"/>
  <c r="BB38" s="1"/>
  <c r="HL39"/>
  <c r="HK39" s="1"/>
  <c r="DK38"/>
  <c r="HE39"/>
  <c r="HD39" s="1"/>
  <c r="CR38"/>
  <c r="BW38"/>
  <c r="GX39"/>
  <c r="GW39" s="1"/>
  <c r="FE119"/>
  <c r="GZ39" l="1"/>
  <c r="GN38"/>
  <c r="GU38"/>
  <c r="HB38"/>
  <c r="HI38"/>
  <c r="AN38"/>
  <c r="GQ39"/>
  <c r="GP39" s="1"/>
  <c r="BD38"/>
  <c r="AP35" i="45"/>
  <c r="HG39" i="43"/>
  <c r="GS39"/>
  <c r="FE120"/>
  <c r="DY38" l="1"/>
  <c r="DZ38" s="1"/>
  <c r="AO38"/>
  <c r="GL39"/>
  <c r="GJ39" s="1"/>
  <c r="GM39" s="1"/>
  <c r="FE121"/>
  <c r="FF38" l="1"/>
  <c r="AD35" i="45" s="1"/>
  <c r="T35"/>
  <c r="AA35" s="1"/>
  <c r="GO39" i="43"/>
  <c r="BB39" s="1"/>
  <c r="HH39"/>
  <c r="HJ39" s="1"/>
  <c r="DI39" s="1"/>
  <c r="HA39"/>
  <c r="HC39" s="1"/>
  <c r="CP39" s="1"/>
  <c r="GT39"/>
  <c r="GV39" s="1"/>
  <c r="BU39" s="1"/>
  <c r="FE122"/>
  <c r="AB35" i="45" l="1"/>
  <c r="Z35"/>
  <c r="HE40" i="43"/>
  <c r="HD40" s="1"/>
  <c r="CR39"/>
  <c r="BW39"/>
  <c r="GX40"/>
  <c r="GW40" s="1"/>
  <c r="AP36" i="45"/>
  <c r="BD39" i="43"/>
  <c r="AN39"/>
  <c r="GQ40"/>
  <c r="GP40" s="1"/>
  <c r="HL40"/>
  <c r="HK40" s="1"/>
  <c r="DK39"/>
  <c r="GK39"/>
  <c r="FE123"/>
  <c r="GZ40" l="1"/>
  <c r="HG40"/>
  <c r="HI39"/>
  <c r="GN39"/>
  <c r="HB39"/>
  <c r="GU39"/>
  <c r="DY39"/>
  <c r="DZ39" s="1"/>
  <c r="AO39"/>
  <c r="GL40"/>
  <c r="GS40"/>
  <c r="FE124"/>
  <c r="T36" i="45" l="1"/>
  <c r="AA36" s="1"/>
  <c r="FF39" i="43"/>
  <c r="AD36" i="45" s="1"/>
  <c r="GJ40" i="43"/>
  <c r="FE125"/>
  <c r="AB36" i="45" l="1"/>
  <c r="Z36"/>
  <c r="HH40" i="43"/>
  <c r="HJ40" s="1"/>
  <c r="DI40" s="1"/>
  <c r="GM40"/>
  <c r="GT40"/>
  <c r="GV40" s="1"/>
  <c r="BU40" s="1"/>
  <c r="HA40"/>
  <c r="HC40" s="1"/>
  <c r="CP40" s="1"/>
  <c r="FE126"/>
  <c r="HL41" l="1"/>
  <c r="HK41" s="1"/>
  <c r="DK40"/>
  <c r="GK40"/>
  <c r="GO40"/>
  <c r="BB40" s="1"/>
  <c r="BW40"/>
  <c r="GX41"/>
  <c r="GW41" s="1"/>
  <c r="HE41"/>
  <c r="HD41" s="1"/>
  <c r="CR40"/>
  <c r="FE127"/>
  <c r="HG41" l="1"/>
  <c r="GS41"/>
  <c r="GZ41"/>
  <c r="GN40"/>
  <c r="HI40"/>
  <c r="GU40"/>
  <c r="HB40"/>
  <c r="BD40"/>
  <c r="AP37" i="45"/>
  <c r="AN40" i="43"/>
  <c r="GQ41"/>
  <c r="GP41" s="1"/>
  <c r="FE128"/>
  <c r="AO40" l="1"/>
  <c r="DY40"/>
  <c r="DZ40" s="1"/>
  <c r="GL41"/>
  <c r="GJ41" s="1"/>
  <c r="FE129"/>
  <c r="T37" i="45" l="1"/>
  <c r="AA37" s="1"/>
  <c r="FF40" i="43"/>
  <c r="AD37" i="45" s="1"/>
  <c r="GT41" i="43"/>
  <c r="GV41" s="1"/>
  <c r="BU41" s="1"/>
  <c r="HH41"/>
  <c r="HJ41" s="1"/>
  <c r="DI41" s="1"/>
  <c r="HA41"/>
  <c r="HC41" s="1"/>
  <c r="CP41" s="1"/>
  <c r="GM41"/>
  <c r="FE130"/>
  <c r="AB37" i="45" l="1"/>
  <c r="Z37"/>
  <c r="CR41" i="43"/>
  <c r="HE42"/>
  <c r="HD42" s="1"/>
  <c r="GK41"/>
  <c r="GO41"/>
  <c r="BB41" s="1"/>
  <c r="GX42"/>
  <c r="GW42" s="1"/>
  <c r="BW41"/>
  <c r="HL42"/>
  <c r="HK42" s="1"/>
  <c r="DK41"/>
  <c r="FE131"/>
  <c r="GS42" l="1"/>
  <c r="GZ42"/>
  <c r="HG42"/>
  <c r="GU41"/>
  <c r="GN41"/>
  <c r="HB41"/>
  <c r="HI41"/>
  <c r="BD41"/>
  <c r="AN41"/>
  <c r="GQ42"/>
  <c r="GP42" s="1"/>
  <c r="AP38" i="45"/>
  <c r="FE132" i="43"/>
  <c r="GL42" l="1"/>
  <c r="GJ42" s="1"/>
  <c r="AO41"/>
  <c r="DY41"/>
  <c r="DZ41" s="1"/>
  <c r="FE133"/>
  <c r="HA42" l="1"/>
  <c r="HC42" s="1"/>
  <c r="CP42" s="1"/>
  <c r="GT42"/>
  <c r="GV42" s="1"/>
  <c r="BU42" s="1"/>
  <c r="HH42"/>
  <c r="HJ42" s="1"/>
  <c r="DI42" s="1"/>
  <c r="GM42"/>
  <c r="FF41"/>
  <c r="AD38" i="45" s="1"/>
  <c r="T38"/>
  <c r="AA38" s="1"/>
  <c r="FE134" i="43"/>
  <c r="AB38" i="45" l="1"/>
  <c r="Z38"/>
  <c r="HE43" i="43"/>
  <c r="HD43" s="1"/>
  <c r="CR42"/>
  <c r="GX43"/>
  <c r="GW43" s="1"/>
  <c r="BW42"/>
  <c r="DK42"/>
  <c r="HL43"/>
  <c r="HK43" s="1"/>
  <c r="GK42"/>
  <c r="GO42"/>
  <c r="BB42" s="1"/>
  <c r="FE135"/>
  <c r="GZ43" l="1"/>
  <c r="HG43"/>
  <c r="GS43"/>
  <c r="HI42"/>
  <c r="HB42"/>
  <c r="GN42"/>
  <c r="GU42"/>
  <c r="AP39" i="45"/>
  <c r="BD42" i="43"/>
  <c r="AN42"/>
  <c r="GQ43"/>
  <c r="GP43" s="1"/>
  <c r="FE136"/>
  <c r="AO42" l="1"/>
  <c r="DY42"/>
  <c r="DZ42" s="1"/>
  <c r="GL43"/>
  <c r="GJ43" s="1"/>
  <c r="FE137"/>
  <c r="T39" i="45" l="1"/>
  <c r="AA39" s="1"/>
  <c r="FF42" i="43"/>
  <c r="AD39" i="45" s="1"/>
  <c r="HH43" i="43"/>
  <c r="HJ43" s="1"/>
  <c r="DI43" s="1"/>
  <c r="HA43"/>
  <c r="HC43" s="1"/>
  <c r="CP43" s="1"/>
  <c r="GT43"/>
  <c r="GV43" s="1"/>
  <c r="BU43" s="1"/>
  <c r="GM43"/>
  <c r="FE138"/>
  <c r="AB39" i="45" l="1"/>
  <c r="Z39"/>
  <c r="BW43" i="43"/>
  <c r="GX44"/>
  <c r="GW44" s="1"/>
  <c r="HL44"/>
  <c r="HK44" s="1"/>
  <c r="DK43"/>
  <c r="GK43"/>
  <c r="GO43"/>
  <c r="BB43" s="1"/>
  <c r="HE44"/>
  <c r="HD44" s="1"/>
  <c r="CR43"/>
  <c r="FE139"/>
  <c r="GN43" l="1"/>
  <c r="HI43"/>
  <c r="GU43"/>
  <c r="HB43"/>
  <c r="AN43"/>
  <c r="GQ44"/>
  <c r="GP44" s="1"/>
  <c r="BD43"/>
  <c r="AP40" i="45"/>
  <c r="GS44" i="43"/>
  <c r="HG44"/>
  <c r="GZ44"/>
  <c r="FE140"/>
  <c r="DY43" l="1"/>
  <c r="DZ43" s="1"/>
  <c r="AO43"/>
  <c r="GL44"/>
  <c r="GJ44" s="1"/>
  <c r="FE141"/>
  <c r="FF43" l="1"/>
  <c r="AD40" i="45" s="1"/>
  <c r="T40"/>
  <c r="AA40" s="1"/>
  <c r="HH44" i="43"/>
  <c r="HJ44" s="1"/>
  <c r="DI44" s="1"/>
  <c r="GT44"/>
  <c r="GV44" s="1"/>
  <c r="BU44" s="1"/>
  <c r="HA44"/>
  <c r="HC44" s="1"/>
  <c r="CP44" s="1"/>
  <c r="GM44"/>
  <c r="FE142"/>
  <c r="AB40" i="45" l="1"/>
  <c r="Z40"/>
  <c r="GK44" i="43"/>
  <c r="GO44"/>
  <c r="BB44" s="1"/>
  <c r="HL45"/>
  <c r="HK45" s="1"/>
  <c r="DK44"/>
  <c r="HE45"/>
  <c r="HD45" s="1"/>
  <c r="CR44"/>
  <c r="BW44"/>
  <c r="GX45"/>
  <c r="GW45" s="1"/>
  <c r="FE143"/>
  <c r="GZ45" l="1"/>
  <c r="GU44"/>
  <c r="HB44"/>
  <c r="HI44"/>
  <c r="GN44"/>
  <c r="GQ45"/>
  <c r="GP45" s="1"/>
  <c r="AP41" i="45"/>
  <c r="BD44" i="43"/>
  <c r="AN44"/>
  <c r="HG45"/>
  <c r="GS45"/>
  <c r="FE144"/>
  <c r="DY44" l="1"/>
  <c r="DZ44" s="1"/>
  <c r="AO44"/>
  <c r="GL45"/>
  <c r="GJ45" s="1"/>
  <c r="FE145"/>
  <c r="T41" i="45" l="1"/>
  <c r="AA41" s="1"/>
  <c r="FF44" i="43"/>
  <c r="AD41" i="45" s="1"/>
  <c r="HH45" i="43"/>
  <c r="HJ45" s="1"/>
  <c r="DI45" s="1"/>
  <c r="GT45"/>
  <c r="GV45" s="1"/>
  <c r="BU45" s="1"/>
  <c r="HA45"/>
  <c r="HC45" s="1"/>
  <c r="CP45" s="1"/>
  <c r="GM45"/>
  <c r="FE146"/>
  <c r="AB41" i="45" l="1"/>
  <c r="Z41"/>
  <c r="HE46" i="43"/>
  <c r="HD46" s="1"/>
  <c r="CR45"/>
  <c r="HL46"/>
  <c r="HK46" s="1"/>
  <c r="DK45"/>
  <c r="GK45"/>
  <c r="GO45"/>
  <c r="BB45" s="1"/>
  <c r="GX46"/>
  <c r="GW46" s="1"/>
  <c r="BW45"/>
  <c r="FE147"/>
  <c r="GN45" l="1"/>
  <c r="GU45"/>
  <c r="HI45"/>
  <c r="HB45"/>
  <c r="GZ46"/>
  <c r="AN45"/>
  <c r="GQ46"/>
  <c r="GP46" s="1"/>
  <c r="AP42" i="45"/>
  <c r="BD45" i="43"/>
  <c r="HG46"/>
  <c r="GS46"/>
  <c r="FE148"/>
  <c r="AO45" l="1"/>
  <c r="DY45"/>
  <c r="DZ45" s="1"/>
  <c r="GL46"/>
  <c r="GJ46" s="1"/>
  <c r="FE149"/>
  <c r="FF45" l="1"/>
  <c r="AD42" i="45" s="1"/>
  <c r="T42"/>
  <c r="AA42" s="1"/>
  <c r="HH46" i="43"/>
  <c r="HJ46" s="1"/>
  <c r="DI46" s="1"/>
  <c r="HA46"/>
  <c r="HC46" s="1"/>
  <c r="CP46" s="1"/>
  <c r="GT46"/>
  <c r="GV46" s="1"/>
  <c r="BU46" s="1"/>
  <c r="GM46"/>
  <c r="FE150"/>
  <c r="AB42" i="45" l="1"/>
  <c r="Z42"/>
  <c r="BW46" i="43"/>
  <c r="GX47"/>
  <c r="GW47" s="1"/>
  <c r="GK46"/>
  <c r="GO46"/>
  <c r="BB46" s="1"/>
  <c r="HL47"/>
  <c r="HK47" s="1"/>
  <c r="DK46"/>
  <c r="HE47"/>
  <c r="HD47" s="1"/>
  <c r="CR46"/>
  <c r="FE151"/>
  <c r="HG47" l="1"/>
  <c r="GS47"/>
  <c r="GZ47"/>
  <c r="GN46"/>
  <c r="HI46"/>
  <c r="HB46"/>
  <c r="GU46"/>
  <c r="AN46"/>
  <c r="AP43" i="45"/>
  <c r="BD46" i="43"/>
  <c r="GQ47"/>
  <c r="GP47" s="1"/>
  <c r="FE152"/>
  <c r="GL47" l="1"/>
  <c r="GJ47" s="1"/>
  <c r="AO46"/>
  <c r="DY46"/>
  <c r="DZ46" s="1"/>
  <c r="FE153"/>
  <c r="GT47" l="1"/>
  <c r="GV47" s="1"/>
  <c r="BU47" s="1"/>
  <c r="HH47"/>
  <c r="HJ47" s="1"/>
  <c r="DI47" s="1"/>
  <c r="HA47"/>
  <c r="HC47" s="1"/>
  <c r="CP47" s="1"/>
  <c r="GM47"/>
  <c r="T43" i="45"/>
  <c r="AA43" s="1"/>
  <c r="FF46" i="43"/>
  <c r="AD43" i="45" s="1"/>
  <c r="FE154" i="43"/>
  <c r="AB43" i="45" l="1"/>
  <c r="Z43"/>
  <c r="BW47" i="43"/>
  <c r="GX48"/>
  <c r="GW48" s="1"/>
  <c r="HL48"/>
  <c r="HK48" s="1"/>
  <c r="DK47"/>
  <c r="HE48"/>
  <c r="HD48" s="1"/>
  <c r="CR47"/>
  <c r="GK47"/>
  <c r="GO47"/>
  <c r="BB47" s="1"/>
  <c r="FE155"/>
  <c r="GZ48" l="1"/>
  <c r="GS48"/>
  <c r="HG48"/>
  <c r="HI47"/>
  <c r="HB47"/>
  <c r="GN47"/>
  <c r="GU47"/>
  <c r="AN47"/>
  <c r="GQ48"/>
  <c r="GP48" s="1"/>
  <c r="AP44" i="45"/>
  <c r="BD47" i="43"/>
  <c r="FE156"/>
  <c r="AO47" l="1"/>
  <c r="DY47"/>
  <c r="DZ47" s="1"/>
  <c r="GL48"/>
  <c r="GJ48" s="1"/>
  <c r="FE157"/>
  <c r="FF47" l="1"/>
  <c r="AD44" i="45" s="1"/>
  <c r="T44"/>
  <c r="AA44" s="1"/>
  <c r="GT48" i="43"/>
  <c r="GV48" s="1"/>
  <c r="BU48" s="1"/>
  <c r="HA48"/>
  <c r="HC48" s="1"/>
  <c r="CP48" s="1"/>
  <c r="HH48"/>
  <c r="HJ48" s="1"/>
  <c r="DI48" s="1"/>
  <c r="GM48"/>
  <c r="FE158"/>
  <c r="AB44" i="45" l="1"/>
  <c r="Z44"/>
  <c r="HL49" i="43"/>
  <c r="HK49" s="1"/>
  <c r="DK48"/>
  <c r="GK48"/>
  <c r="GO48"/>
  <c r="BB48" s="1"/>
  <c r="BW48"/>
  <c r="GX49"/>
  <c r="GW49" s="1"/>
  <c r="HE49"/>
  <c r="HD49" s="1"/>
  <c r="CR48"/>
  <c r="FE159"/>
  <c r="HG49" l="1"/>
  <c r="GS49"/>
  <c r="GZ49"/>
  <c r="HI48"/>
  <c r="GU48"/>
  <c r="HB48"/>
  <c r="GN48"/>
  <c r="AN48"/>
  <c r="GQ49"/>
  <c r="GP49" s="1"/>
  <c r="AP45" i="45"/>
  <c r="BD48" i="43"/>
  <c r="FE160"/>
  <c r="DY48" l="1"/>
  <c r="DZ48" s="1"/>
  <c r="AO48"/>
  <c r="GL49"/>
  <c r="GJ49" s="1"/>
  <c r="FE161"/>
  <c r="FF48" l="1"/>
  <c r="AD45" i="45" s="1"/>
  <c r="T45"/>
  <c r="AA45" s="1"/>
  <c r="GT49" i="43"/>
  <c r="GV49" s="1"/>
  <c r="BU49" s="1"/>
  <c r="HH49"/>
  <c r="HJ49" s="1"/>
  <c r="DI49" s="1"/>
  <c r="HA49"/>
  <c r="HC49" s="1"/>
  <c r="CP49" s="1"/>
  <c r="GM49"/>
  <c r="FE162"/>
  <c r="AB45" i="45" l="1"/>
  <c r="Z45"/>
  <c r="HE50" i="43"/>
  <c r="HD50" s="1"/>
  <c r="CR49"/>
  <c r="GO49"/>
  <c r="BB49" s="1"/>
  <c r="GK49"/>
  <c r="BW49"/>
  <c r="GX50"/>
  <c r="GW50" s="1"/>
  <c r="HL50"/>
  <c r="HK50" s="1"/>
  <c r="DK49"/>
  <c r="FE163"/>
  <c r="GZ50" l="1"/>
  <c r="GS50"/>
  <c r="HG50"/>
  <c r="AN49"/>
  <c r="GQ50"/>
  <c r="GP50" s="1"/>
  <c r="AP46" i="45"/>
  <c r="BD49" i="43"/>
  <c r="GN49"/>
  <c r="HI49"/>
  <c r="GU49"/>
  <c r="HB49"/>
  <c r="FE164"/>
  <c r="AO49" l="1"/>
  <c r="DY49"/>
  <c r="DZ49" s="1"/>
  <c r="GL50"/>
  <c r="GJ50" s="1"/>
  <c r="FE165"/>
  <c r="T46" i="45" l="1"/>
  <c r="AA46" s="1"/>
  <c r="FF49" i="43"/>
  <c r="AD46" i="45" s="1"/>
  <c r="GT50" i="43"/>
  <c r="GV50" s="1"/>
  <c r="BU50" s="1"/>
  <c r="HA50"/>
  <c r="HC50" s="1"/>
  <c r="CP50" s="1"/>
  <c r="HH50"/>
  <c r="HJ50" s="1"/>
  <c r="DI50" s="1"/>
  <c r="GM50"/>
  <c r="FE166"/>
  <c r="AB46" i="45" l="1"/>
  <c r="Z46"/>
  <c r="HL51" i="43"/>
  <c r="HK51" s="1"/>
  <c r="DK50"/>
  <c r="GK50"/>
  <c r="GO50"/>
  <c r="BB50" s="1"/>
  <c r="GX51"/>
  <c r="GW51" s="1"/>
  <c r="BW50"/>
  <c r="HE51"/>
  <c r="HD51" s="1"/>
  <c r="CR50"/>
  <c r="FE167"/>
  <c r="GS51" l="1"/>
  <c r="HG51"/>
  <c r="GZ51"/>
  <c r="GU50"/>
  <c r="GN50"/>
  <c r="HI50"/>
  <c r="HB50"/>
  <c r="AN50"/>
  <c r="GQ51"/>
  <c r="GP51" s="1"/>
  <c r="AP47" i="45"/>
  <c r="BD50" i="43"/>
  <c r="FE168"/>
  <c r="AO50" l="1"/>
  <c r="DY50"/>
  <c r="DZ50" s="1"/>
  <c r="GL51"/>
  <c r="GJ51" s="1"/>
  <c r="FE169"/>
  <c r="FF50" l="1"/>
  <c r="AD47" i="45" s="1"/>
  <c r="T47"/>
  <c r="AA47" s="1"/>
  <c r="HH51" i="43"/>
  <c r="HJ51" s="1"/>
  <c r="DI51" s="1"/>
  <c r="GT51"/>
  <c r="GV51" s="1"/>
  <c r="BU51" s="1"/>
  <c r="HA51"/>
  <c r="HC51" s="1"/>
  <c r="CP51" s="1"/>
  <c r="GM51"/>
  <c r="FE170"/>
  <c r="AB47" i="45" l="1"/>
  <c r="Z47"/>
  <c r="HE52" i="43"/>
  <c r="HD52" s="1"/>
  <c r="CR51"/>
  <c r="GK51"/>
  <c r="GO51"/>
  <c r="BB51" s="1"/>
  <c r="HL52"/>
  <c r="HK52" s="1"/>
  <c r="DK51"/>
  <c r="BW51"/>
  <c r="GX52"/>
  <c r="GW52" s="1"/>
  <c r="FE171"/>
  <c r="HG52" l="1"/>
  <c r="GZ52"/>
  <c r="GN51"/>
  <c r="HI51"/>
  <c r="GU51"/>
  <c r="HB51"/>
  <c r="GS52"/>
  <c r="AN51"/>
  <c r="GQ52"/>
  <c r="GP52" s="1"/>
  <c r="BD51"/>
  <c r="AP48" i="45"/>
  <c r="FE172" i="43"/>
  <c r="AO51" l="1"/>
  <c r="DY51"/>
  <c r="DZ51" s="1"/>
  <c r="GL52"/>
  <c r="GJ52" s="1"/>
  <c r="FE173"/>
  <c r="T48" i="45" l="1"/>
  <c r="AA48" s="1"/>
  <c r="FF51" i="43"/>
  <c r="AD48" i="45" s="1"/>
  <c r="HA52" i="43"/>
  <c r="HC52" s="1"/>
  <c r="CP52" s="1"/>
  <c r="HH52"/>
  <c r="HJ52" s="1"/>
  <c r="DI52" s="1"/>
  <c r="GT52"/>
  <c r="GV52" s="1"/>
  <c r="BU52" s="1"/>
  <c r="GM52"/>
  <c r="FE174"/>
  <c r="AB48" i="45" l="1"/>
  <c r="Z48"/>
  <c r="GX53" i="43"/>
  <c r="GW53" s="1"/>
  <c r="BW52"/>
  <c r="GK52"/>
  <c r="GO52"/>
  <c r="BB52" s="1"/>
  <c r="CR52"/>
  <c r="HE53"/>
  <c r="HD53" s="1"/>
  <c r="HL53"/>
  <c r="HK53" s="1"/>
  <c r="DK52"/>
  <c r="FE175"/>
  <c r="GS53" l="1"/>
  <c r="GZ53"/>
  <c r="HG53"/>
  <c r="HI52"/>
  <c r="GU52"/>
  <c r="GN52"/>
  <c r="HB52"/>
  <c r="AN52"/>
  <c r="GQ53"/>
  <c r="GP53" s="1"/>
  <c r="BD52"/>
  <c r="AP49" i="45"/>
  <c r="FE176" i="43"/>
  <c r="DY52" l="1"/>
  <c r="DZ52" s="1"/>
  <c r="AO52"/>
  <c r="GL53"/>
  <c r="GJ53" s="1"/>
  <c r="FE177"/>
  <c r="FF52" l="1"/>
  <c r="AD49" i="45" s="1"/>
  <c r="T49"/>
  <c r="AA49" s="1"/>
  <c r="HA53" i="43"/>
  <c r="HC53" s="1"/>
  <c r="CP53" s="1"/>
  <c r="GT53"/>
  <c r="GV53" s="1"/>
  <c r="BU53" s="1"/>
  <c r="HH53"/>
  <c r="HJ53" s="1"/>
  <c r="DI53" s="1"/>
  <c r="GM53"/>
  <c r="FE178"/>
  <c r="AB49" i="45" l="1"/>
  <c r="Z49"/>
  <c r="HL54" i="43"/>
  <c r="HK54" s="1"/>
  <c r="DK53"/>
  <c r="GK53"/>
  <c r="GO53"/>
  <c r="BB53" s="1"/>
  <c r="HE54"/>
  <c r="HD54" s="1"/>
  <c r="CR53"/>
  <c r="GX54"/>
  <c r="GW54" s="1"/>
  <c r="BW53"/>
  <c r="FE179"/>
  <c r="GZ54" l="1"/>
  <c r="HG54"/>
  <c r="GS54"/>
  <c r="HB53"/>
  <c r="GN53"/>
  <c r="HI53"/>
  <c r="GU53"/>
  <c r="AN53"/>
  <c r="GQ54"/>
  <c r="GP54" s="1"/>
  <c r="BD53"/>
  <c r="AP50" i="45"/>
  <c r="FE180" i="43"/>
  <c r="AO53" l="1"/>
  <c r="DY53"/>
  <c r="DZ53" s="1"/>
  <c r="GL54"/>
  <c r="GJ54" s="1"/>
  <c r="FE181"/>
  <c r="FF53" l="1"/>
  <c r="AD50" i="45" s="1"/>
  <c r="T50"/>
  <c r="AA50" s="1"/>
  <c r="HH54" i="43"/>
  <c r="HJ54" s="1"/>
  <c r="DI54" s="1"/>
  <c r="HA54"/>
  <c r="HC54" s="1"/>
  <c r="CP54" s="1"/>
  <c r="GT54"/>
  <c r="GV54" s="1"/>
  <c r="BU54" s="1"/>
  <c r="GM54"/>
  <c r="FE182"/>
  <c r="AB50" i="45" l="1"/>
  <c r="Z50"/>
  <c r="GX55" i="43"/>
  <c r="GW55" s="1"/>
  <c r="BW54"/>
  <c r="GO54"/>
  <c r="BB54" s="1"/>
  <c r="GK54"/>
  <c r="HL55"/>
  <c r="HK55" s="1"/>
  <c r="DK54"/>
  <c r="HE55"/>
  <c r="HD55" s="1"/>
  <c r="CR54"/>
  <c r="FE183"/>
  <c r="GN54" l="1"/>
  <c r="HI54"/>
  <c r="GU54"/>
  <c r="HB54"/>
  <c r="GZ55"/>
  <c r="HG55"/>
  <c r="GS55"/>
  <c r="BD54"/>
  <c r="AP51" i="45"/>
  <c r="AN54" i="43"/>
  <c r="GQ55"/>
  <c r="GP55" s="1"/>
  <c r="FE184"/>
  <c r="AO54" l="1"/>
  <c r="DY54"/>
  <c r="DZ54" s="1"/>
  <c r="GL55"/>
  <c r="GJ55" s="1"/>
  <c r="GM55" s="1"/>
  <c r="FE185"/>
  <c r="FF54" l="1"/>
  <c r="AD51" i="45" s="1"/>
  <c r="T51"/>
  <c r="AA51" s="1"/>
  <c r="GO55" i="43"/>
  <c r="BB55" s="1"/>
  <c r="HH55"/>
  <c r="HJ55" s="1"/>
  <c r="DI55" s="1"/>
  <c r="HA55"/>
  <c r="HC55" s="1"/>
  <c r="CP55" s="1"/>
  <c r="GT55"/>
  <c r="GV55" s="1"/>
  <c r="BU55" s="1"/>
  <c r="FE186"/>
  <c r="AB51" i="45" l="1"/>
  <c r="Z51"/>
  <c r="GK55" i="43"/>
  <c r="HB55" s="1"/>
  <c r="HL56"/>
  <c r="HK56" s="1"/>
  <c r="DK55"/>
  <c r="HE56"/>
  <c r="HD56" s="1"/>
  <c r="CR55"/>
  <c r="GX56"/>
  <c r="GW56" s="1"/>
  <c r="BW55"/>
  <c r="GQ56"/>
  <c r="GP56" s="1"/>
  <c r="BD55"/>
  <c r="AP52" i="45"/>
  <c r="AN55" i="43"/>
  <c r="FE187"/>
  <c r="GU55" l="1"/>
  <c r="GN55"/>
  <c r="HI55"/>
  <c r="GZ56"/>
  <c r="HG56"/>
  <c r="DY55"/>
  <c r="DZ55" s="1"/>
  <c r="AO55"/>
  <c r="GL56"/>
  <c r="GS56"/>
  <c r="FE188"/>
  <c r="FF55" l="1"/>
  <c r="AD52" i="45" s="1"/>
  <c r="T52"/>
  <c r="AA52" s="1"/>
  <c r="GJ56" i="43"/>
  <c r="FE189"/>
  <c r="AB52" i="45" l="1"/>
  <c r="Z52"/>
  <c r="HH56" i="43"/>
  <c r="HJ56" s="1"/>
  <c r="DI56" s="1"/>
  <c r="GM56"/>
  <c r="GT56"/>
  <c r="GV56" s="1"/>
  <c r="BU56" s="1"/>
  <c r="HA56"/>
  <c r="HC56" s="1"/>
  <c r="CP56" s="1"/>
  <c r="FE190"/>
  <c r="DK56" l="1"/>
  <c r="GO56"/>
  <c r="BB56" s="1"/>
  <c r="GK56"/>
  <c r="BW56"/>
  <c r="CR56"/>
  <c r="FE191"/>
  <c r="HB56" l="1"/>
  <c r="HI56"/>
  <c r="GN56"/>
  <c r="GU56"/>
  <c r="AN56"/>
  <c r="BD56"/>
  <c r="AP53" i="45"/>
  <c r="FE192" i="43"/>
  <c r="DY56" l="1"/>
  <c r="DZ56" s="1"/>
  <c r="AO56"/>
  <c r="FE193"/>
  <c r="FF56" l="1"/>
  <c r="AD53" i="45" s="1"/>
  <c r="T53"/>
  <c r="AA53" s="1"/>
  <c r="FE194" i="43"/>
  <c r="AB53" i="45" l="1"/>
  <c r="Z53"/>
  <c r="FE195" i="43"/>
  <c r="FE196" l="1"/>
  <c r="FE197" l="1"/>
  <c r="FE198" l="1"/>
  <c r="Z54" i="45" l="1"/>
  <c r="FE199" i="43"/>
  <c r="FE200" l="1"/>
  <c r="FE201" l="1"/>
  <c r="Z55" i="45" l="1"/>
  <c r="FE202" i="43"/>
  <c r="FE203" l="1"/>
  <c r="FE204" l="1"/>
  <c r="FE205" l="1"/>
  <c r="Z56" i="45" l="1"/>
  <c r="FE206" i="43"/>
  <c r="FE207" l="1"/>
  <c r="FE208" l="1"/>
  <c r="Z57" i="45" l="1"/>
  <c r="FE209" i="43"/>
  <c r="FE210" l="1"/>
  <c r="FE211" l="1"/>
  <c r="FE212" l="1"/>
  <c r="Z58" i="45" l="1"/>
  <c r="FE213" i="43"/>
  <c r="FE214" l="1"/>
  <c r="FE215" l="1"/>
  <c r="FE216" l="1"/>
  <c r="FE217" l="1"/>
  <c r="FE218" l="1"/>
  <c r="FE219" l="1"/>
  <c r="FE220" l="1"/>
  <c r="FE221" l="1"/>
  <c r="FE222" l="1"/>
  <c r="FE223" l="1"/>
  <c r="FE224" l="1"/>
  <c r="FE225" l="1"/>
  <c r="FE226" l="1"/>
  <c r="FE227" l="1"/>
  <c r="FE228" l="1"/>
  <c r="FE229" s="1"/>
  <c r="FE230" s="1"/>
  <c r="FE231" s="1"/>
  <c r="FE232" s="1"/>
  <c r="FE233" s="1"/>
  <c r="FE234" s="1"/>
  <c r="FE235" s="1"/>
  <c r="FE236" s="1"/>
  <c r="FE237" s="1"/>
  <c r="FE238" s="1"/>
  <c r="FE239" s="1"/>
  <c r="FE240" s="1"/>
  <c r="FE241" s="1"/>
  <c r="FE242" s="1"/>
  <c r="FE243" s="1"/>
  <c r="FE244" s="1"/>
  <c r="FE245" s="1"/>
  <c r="FE246" s="1"/>
  <c r="FE247" s="1"/>
  <c r="FE248" s="1"/>
  <c r="FE249" s="1"/>
  <c r="FE250" s="1"/>
  <c r="FE251" s="1"/>
  <c r="FE252" s="1"/>
  <c r="FE253" s="1"/>
  <c r="FE254" s="1"/>
  <c r="FE255" s="1"/>
  <c r="FE256" s="1"/>
  <c r="FE257" s="1"/>
  <c r="FE258" s="1"/>
  <c r="FE259" s="1"/>
  <c r="FE260" s="1"/>
  <c r="FE261" s="1"/>
  <c r="FE262" s="1"/>
  <c r="FE263" s="1"/>
  <c r="FE264" s="1"/>
  <c r="FE265" s="1"/>
  <c r="FE266" s="1"/>
  <c r="FE267" s="1"/>
  <c r="FE268" s="1"/>
  <c r="FE269" s="1"/>
  <c r="FE270" s="1"/>
  <c r="FE271" s="1"/>
  <c r="FE272" s="1"/>
  <c r="FE273" s="1"/>
  <c r="FE274" s="1"/>
  <c r="FE275" s="1"/>
  <c r="FE276" s="1"/>
  <c r="FE277" s="1"/>
  <c r="FE278" s="1"/>
  <c r="FE279" s="1"/>
  <c r="FE280" s="1"/>
  <c r="FE281" s="1"/>
  <c r="FE282" s="1"/>
  <c r="FE283" s="1"/>
  <c r="FE284" s="1"/>
  <c r="FE285" s="1"/>
  <c r="FE286" s="1"/>
  <c r="FE287" s="1"/>
  <c r="FE288" s="1"/>
  <c r="FE289" s="1"/>
  <c r="FE290" s="1"/>
  <c r="FE291" s="1"/>
  <c r="FE292" s="1"/>
  <c r="FE293" s="1"/>
  <c r="FE294" s="1"/>
  <c r="FE295" s="1"/>
  <c r="FE296" s="1"/>
  <c r="FE297" s="1"/>
  <c r="FE298" s="1"/>
  <c r="FE299" s="1"/>
  <c r="FE300" s="1"/>
  <c r="FE301" s="1"/>
  <c r="FE302" s="1"/>
  <c r="FE303" s="1"/>
  <c r="FE304" s="1"/>
  <c r="FE305" s="1"/>
  <c r="FE306" s="1"/>
  <c r="FE307" s="1"/>
  <c r="FE308" s="1"/>
  <c r="FE309" s="1"/>
  <c r="FE310" s="1"/>
  <c r="FE311" s="1"/>
  <c r="FE312" s="1"/>
  <c r="FE313" s="1"/>
  <c r="FE314" s="1"/>
  <c r="FE315" s="1"/>
  <c r="FE316" s="1"/>
  <c r="FE317" s="1"/>
  <c r="FE318" s="1"/>
  <c r="FE319" s="1"/>
  <c r="FE320" s="1"/>
  <c r="FE321" s="1"/>
  <c r="FE322" s="1"/>
  <c r="FE323" s="1"/>
  <c r="FE324" s="1"/>
  <c r="FE325" s="1"/>
  <c r="FE326" s="1"/>
  <c r="FE327" s="1"/>
  <c r="FE328" s="1"/>
  <c r="FE329" s="1"/>
  <c r="FE330" s="1"/>
  <c r="FE331" s="1"/>
  <c r="FE332" s="1"/>
  <c r="FE333" s="1"/>
  <c r="FE334" s="1"/>
  <c r="FE335" s="1"/>
  <c r="FE336" s="1"/>
  <c r="FE337" s="1"/>
  <c r="FE338" s="1"/>
  <c r="FE339" s="1"/>
  <c r="FE340" s="1"/>
  <c r="FE341" s="1"/>
  <c r="FE342" s="1"/>
  <c r="FE343" s="1"/>
  <c r="FE344" s="1"/>
  <c r="FE345" s="1"/>
  <c r="FE346" s="1"/>
  <c r="FE347" s="1"/>
  <c r="FE348" s="1"/>
  <c r="FE349" s="1"/>
  <c r="FE350" s="1"/>
  <c r="FE351" s="1"/>
  <c r="FE352" s="1"/>
  <c r="FE353" s="1"/>
  <c r="FE354" s="1"/>
  <c r="FE355" s="1"/>
  <c r="FE356" s="1"/>
  <c r="FE357" s="1"/>
  <c r="FE358" s="1"/>
  <c r="FE359" s="1"/>
  <c r="FE360" s="1"/>
  <c r="FE361" s="1"/>
  <c r="FE362" s="1"/>
  <c r="FE363" s="1"/>
  <c r="FE364" s="1"/>
  <c r="FE365" s="1"/>
  <c r="FE366" s="1"/>
  <c r="FE367" s="1"/>
  <c r="FE368" s="1"/>
  <c r="FE369" s="1"/>
  <c r="FE370" s="1"/>
  <c r="FE371" s="1"/>
  <c r="FE372" s="1"/>
  <c r="FE373" s="1"/>
  <c r="FE374" s="1"/>
  <c r="FE375" s="1"/>
  <c r="FE376" s="1"/>
  <c r="FE377" s="1"/>
  <c r="FE378" s="1"/>
  <c r="FE379" s="1"/>
  <c r="FE380" s="1"/>
  <c r="FE381" s="1"/>
  <c r="R379" l="1"/>
  <c r="R380" l="1"/>
  <c r="R381" l="1"/>
  <c r="CJ359" l="1"/>
  <c r="BO359"/>
  <c r="AV359"/>
  <c r="AJ359"/>
  <c r="DC359"/>
  <c r="Y359" l="1"/>
  <c r="Q359" s="1"/>
  <c r="S359"/>
  <c r="X359" s="1"/>
  <c r="DB359"/>
  <c r="DD359" s="1"/>
  <c r="CK359"/>
  <c r="EB359"/>
  <c r="BN359"/>
  <c r="BP359" s="1"/>
  <c r="AK359"/>
  <c r="CJ360"/>
  <c r="AJ360"/>
  <c r="BO360"/>
  <c r="AV360"/>
  <c r="DC360"/>
  <c r="Y360" l="1"/>
  <c r="Q360" s="1"/>
  <c r="S360"/>
  <c r="X360" s="1"/>
  <c r="CK360"/>
  <c r="DB360"/>
  <c r="DD360" s="1"/>
  <c r="BN360"/>
  <c r="BP360" s="1"/>
  <c r="EB360"/>
  <c r="EH359"/>
  <c r="AU359"/>
  <c r="AH359" s="1"/>
  <c r="AI359" s="1"/>
  <c r="R359"/>
  <c r="AA359"/>
  <c r="AB359" s="1"/>
  <c r="AY359"/>
  <c r="DC361"/>
  <c r="AV361"/>
  <c r="CJ361"/>
  <c r="AJ361"/>
  <c r="BO361"/>
  <c r="AK360"/>
  <c r="C356" i="45"/>
  <c r="Y361" i="43" l="1"/>
  <c r="Q361" s="1"/>
  <c r="S361"/>
  <c r="X361" s="1"/>
  <c r="CK361"/>
  <c r="DB361"/>
  <c r="DD361" s="1"/>
  <c r="BN361"/>
  <c r="BP361" s="1"/>
  <c r="EB361"/>
  <c r="AY360"/>
  <c r="BA360" s="1"/>
  <c r="AA360"/>
  <c r="AB360" s="1"/>
  <c r="EN359"/>
  <c r="EH360"/>
  <c r="AU360"/>
  <c r="AH360" s="1"/>
  <c r="AI360" s="1"/>
  <c r="R360"/>
  <c r="DC362"/>
  <c r="AV362"/>
  <c r="AJ362"/>
  <c r="BO362"/>
  <c r="CJ362"/>
  <c r="AK361"/>
  <c r="C357" i="45"/>
  <c r="Y362" i="43" l="1"/>
  <c r="Q362" s="1"/>
  <c r="S362"/>
  <c r="X362" s="1"/>
  <c r="BN362"/>
  <c r="BP362" s="1"/>
  <c r="EB362"/>
  <c r="DB362"/>
  <c r="DD362" s="1"/>
  <c r="CK362"/>
  <c r="AA361"/>
  <c r="AB361" s="1"/>
  <c r="AY361"/>
  <c r="EH361"/>
  <c r="AU361"/>
  <c r="AH361" s="1"/>
  <c r="AI361" s="1"/>
  <c r="R361"/>
  <c r="EN360"/>
  <c r="D356" i="45"/>
  <c r="U356" s="1"/>
  <c r="EO359" i="43"/>
  <c r="C358" i="45"/>
  <c r="AK362" i="43"/>
  <c r="BO363"/>
  <c r="AV363"/>
  <c r="AJ363"/>
  <c r="DC363"/>
  <c r="CJ363"/>
  <c r="AY362" l="1"/>
  <c r="AA362"/>
  <c r="AB362" s="1"/>
  <c r="S363"/>
  <c r="X363" s="1"/>
  <c r="Y363"/>
  <c r="Q363" s="1"/>
  <c r="EB363"/>
  <c r="CK363"/>
  <c r="DB363"/>
  <c r="DD363" s="1"/>
  <c r="BN363"/>
  <c r="BP363" s="1"/>
  <c r="EH362"/>
  <c r="AU362"/>
  <c r="AH362" s="1"/>
  <c r="AI362" s="1"/>
  <c r="R362"/>
  <c r="EN361"/>
  <c r="D357" i="45"/>
  <c r="U357" s="1"/>
  <c r="EO360" i="43"/>
  <c r="BO364"/>
  <c r="AV364"/>
  <c r="AJ364"/>
  <c r="DC364"/>
  <c r="CJ364"/>
  <c r="AK363"/>
  <c r="C359" i="45"/>
  <c r="Y364" i="43" l="1"/>
  <c r="Q364" s="1"/>
  <c r="S364"/>
  <c r="X364" s="1"/>
  <c r="EB364"/>
  <c r="DB364"/>
  <c r="DD364" s="1"/>
  <c r="BN364"/>
  <c r="BP364" s="1"/>
  <c r="CK364"/>
  <c r="AY363"/>
  <c r="AA363"/>
  <c r="AB363" s="1"/>
  <c r="EN362"/>
  <c r="AU363"/>
  <c r="AH363" s="1"/>
  <c r="AI363" s="1"/>
  <c r="EH363"/>
  <c r="R363"/>
  <c r="D358" i="45"/>
  <c r="U358" s="1"/>
  <c r="EO361" i="43"/>
  <c r="AK364"/>
  <c r="C360" i="45"/>
  <c r="DC365" i="43"/>
  <c r="CJ365"/>
  <c r="AV365"/>
  <c r="AJ365"/>
  <c r="BO365"/>
  <c r="S365" l="1"/>
  <c r="X365" s="1"/>
  <c r="Y365"/>
  <c r="Q365" s="1"/>
  <c r="DB365"/>
  <c r="DD365" s="1"/>
  <c r="BN365"/>
  <c r="BP365" s="1"/>
  <c r="CK365"/>
  <c r="EB365"/>
  <c r="AU364"/>
  <c r="AH364" s="1"/>
  <c r="AI364" s="1"/>
  <c r="EH364"/>
  <c r="R364"/>
  <c r="AY364"/>
  <c r="AA364"/>
  <c r="AB364" s="1"/>
  <c r="D359" i="45"/>
  <c r="U359" s="1"/>
  <c r="EO362" i="43"/>
  <c r="EN363"/>
  <c r="C361" i="45"/>
  <c r="AV366" i="43"/>
  <c r="AJ366"/>
  <c r="BO366"/>
  <c r="DC366"/>
  <c r="CJ366"/>
  <c r="AK365"/>
  <c r="AU365" l="1"/>
  <c r="AH365" s="1"/>
  <c r="AI365" s="1"/>
  <c r="EH365"/>
  <c r="R365"/>
  <c r="AA365"/>
  <c r="AB365" s="1"/>
  <c r="AY365"/>
  <c r="S366"/>
  <c r="X366" s="1"/>
  <c r="Y366"/>
  <c r="Q366" s="1"/>
  <c r="CK366"/>
  <c r="DB366"/>
  <c r="DD366" s="1"/>
  <c r="BN366"/>
  <c r="BP366" s="1"/>
  <c r="EB366"/>
  <c r="EN364"/>
  <c r="D360" i="45"/>
  <c r="U360" s="1"/>
  <c r="EO363" i="43"/>
  <c r="C362" i="45"/>
  <c r="AJ367" i="43"/>
  <c r="DC367"/>
  <c r="CJ367"/>
  <c r="BO367"/>
  <c r="AV367"/>
  <c r="AK366"/>
  <c r="AA366" l="1"/>
  <c r="AB366" s="1"/>
  <c r="AY366"/>
  <c r="V363" i="45" s="1"/>
  <c r="S367" i="43"/>
  <c r="X367" s="1"/>
  <c r="Y367"/>
  <c r="Q367" s="1"/>
  <c r="BN367"/>
  <c r="BP367" s="1"/>
  <c r="EB367"/>
  <c r="CK367"/>
  <c r="DB367"/>
  <c r="DD367" s="1"/>
  <c r="AU366"/>
  <c r="AH366" s="1"/>
  <c r="AI366" s="1"/>
  <c r="EH366"/>
  <c r="R366"/>
  <c r="EN365"/>
  <c r="D361" i="45"/>
  <c r="U361" s="1"/>
  <c r="EO364" i="43"/>
  <c r="BO368"/>
  <c r="AV368"/>
  <c r="DC368"/>
  <c r="AJ368"/>
  <c r="CJ368"/>
  <c r="C363" i="45"/>
  <c r="AK367" i="43"/>
  <c r="S368" l="1"/>
  <c r="X368" s="1"/>
  <c r="Y368"/>
  <c r="Q368" s="1"/>
  <c r="DB368"/>
  <c r="DD368" s="1"/>
  <c r="EB368"/>
  <c r="BN368"/>
  <c r="BP368" s="1"/>
  <c r="CK368"/>
  <c r="AA367"/>
  <c r="AB367" s="1"/>
  <c r="AY367"/>
  <c r="AU367"/>
  <c r="AH367" s="1"/>
  <c r="AI367" s="1"/>
  <c r="EH367"/>
  <c r="R367"/>
  <c r="EN366"/>
  <c r="D362" i="45"/>
  <c r="U362" s="1"/>
  <c r="EO365" i="43"/>
  <c r="C364" i="45"/>
  <c r="AK368" i="43"/>
  <c r="CJ369"/>
  <c r="AJ369"/>
  <c r="AV369"/>
  <c r="DC369"/>
  <c r="BO369"/>
  <c r="AA368" l="1"/>
  <c r="AB368" s="1"/>
  <c r="AY368"/>
  <c r="BA368" s="1"/>
  <c r="S369"/>
  <c r="X369" s="1"/>
  <c r="Y369"/>
  <c r="Q369" s="1"/>
  <c r="CK369"/>
  <c r="EB369"/>
  <c r="DB369"/>
  <c r="DD369" s="1"/>
  <c r="BN369"/>
  <c r="BP369" s="1"/>
  <c r="AU368"/>
  <c r="AH368" s="1"/>
  <c r="AI368" s="1"/>
  <c r="EH368"/>
  <c r="R368"/>
  <c r="EN367"/>
  <c r="D363" i="45"/>
  <c r="U363" s="1"/>
  <c r="EO366" i="43"/>
  <c r="AK369"/>
  <c r="DC370"/>
  <c r="CJ370"/>
  <c r="AV370"/>
  <c r="AJ370"/>
  <c r="BO370"/>
  <c r="C365" i="45"/>
  <c r="Y370" i="43" l="1"/>
  <c r="Q370" s="1"/>
  <c r="S370"/>
  <c r="X370" s="1"/>
  <c r="BN370"/>
  <c r="BP370" s="1"/>
  <c r="DB370"/>
  <c r="DD370" s="1"/>
  <c r="EB370"/>
  <c r="CK370"/>
  <c r="EH369"/>
  <c r="AU369"/>
  <c r="AH369" s="1"/>
  <c r="AI369" s="1"/>
  <c r="R369"/>
  <c r="EN368"/>
  <c r="AA369"/>
  <c r="AB369" s="1"/>
  <c r="AY369"/>
  <c r="D364" i="45"/>
  <c r="U364" s="1"/>
  <c r="EO367" i="43"/>
  <c r="AK370"/>
  <c r="BO371"/>
  <c r="AV371"/>
  <c r="AJ371"/>
  <c r="DC371"/>
  <c r="CJ371"/>
  <c r="C366" i="45"/>
  <c r="S371" i="43" l="1"/>
  <c r="X371" s="1"/>
  <c r="Y371"/>
  <c r="Q371" s="1"/>
  <c r="EB371"/>
  <c r="BN371"/>
  <c r="BP371" s="1"/>
  <c r="DB371"/>
  <c r="DD371" s="1"/>
  <c r="CK371"/>
  <c r="EN369"/>
  <c r="D365" i="45"/>
  <c r="U365" s="1"/>
  <c r="EO368" i="43"/>
  <c r="AU370"/>
  <c r="AH370" s="1"/>
  <c r="AI370" s="1"/>
  <c r="EH370"/>
  <c r="R370"/>
  <c r="AY370"/>
  <c r="AA370"/>
  <c r="AB370" s="1"/>
  <c r="DC372"/>
  <c r="CJ372"/>
  <c r="BO372"/>
  <c r="AV372"/>
  <c r="AJ372"/>
  <c r="C367" i="45"/>
  <c r="AK371" i="43"/>
  <c r="Y372" l="1"/>
  <c r="Q372" s="1"/>
  <c r="S372"/>
  <c r="X372" s="1"/>
  <c r="BN372"/>
  <c r="BP372" s="1"/>
  <c r="EB372"/>
  <c r="CK372"/>
  <c r="DB372"/>
  <c r="DD372" s="1"/>
  <c r="AU371"/>
  <c r="AH371" s="1"/>
  <c r="AI371" s="1"/>
  <c r="EH371"/>
  <c r="R371"/>
  <c r="AY371"/>
  <c r="AA371"/>
  <c r="AB371" s="1"/>
  <c r="EN370"/>
  <c r="D366" i="45"/>
  <c r="U366" s="1"/>
  <c r="EO369" i="43"/>
  <c r="C368" i="45"/>
  <c r="AK372" i="43"/>
  <c r="DC373"/>
  <c r="AV373"/>
  <c r="CJ373"/>
  <c r="AJ373"/>
  <c r="BO373"/>
  <c r="S373" l="1"/>
  <c r="X373" s="1"/>
  <c r="Y373"/>
  <c r="Q373" s="1"/>
  <c r="CK373"/>
  <c r="EB373"/>
  <c r="BN373"/>
  <c r="BP373" s="1"/>
  <c r="DB373"/>
  <c r="DD373" s="1"/>
  <c r="EH372"/>
  <c r="AU372"/>
  <c r="AH372" s="1"/>
  <c r="AI372" s="1"/>
  <c r="R372"/>
  <c r="AY372"/>
  <c r="AA372"/>
  <c r="AB372" s="1"/>
  <c r="EN371"/>
  <c r="D367" i="45"/>
  <c r="U367" s="1"/>
  <c r="EO370" i="43"/>
  <c r="C369" i="45"/>
  <c r="CJ374" i="43"/>
  <c r="AV374"/>
  <c r="AJ374"/>
  <c r="BO374"/>
  <c r="DC374"/>
  <c r="AK373"/>
  <c r="Y374" l="1"/>
  <c r="Q374" s="1"/>
  <c r="S374"/>
  <c r="X374" s="1"/>
  <c r="BN374"/>
  <c r="BP374" s="1"/>
  <c r="DB374"/>
  <c r="DD374" s="1"/>
  <c r="CK374"/>
  <c r="EB374"/>
  <c r="AA373"/>
  <c r="AB373" s="1"/>
  <c r="AY373"/>
  <c r="EN372"/>
  <c r="EH373"/>
  <c r="AU373"/>
  <c r="AH373" s="1"/>
  <c r="AI373" s="1"/>
  <c r="R373"/>
  <c r="D368" i="45"/>
  <c r="U368" s="1"/>
  <c r="EO371" i="43"/>
  <c r="AK374"/>
  <c r="CJ375"/>
  <c r="AV375"/>
  <c r="AJ375"/>
  <c r="BO375"/>
  <c r="DC375"/>
  <c r="C370" i="45"/>
  <c r="S375" i="43" l="1"/>
  <c r="X375" s="1"/>
  <c r="Y375"/>
  <c r="Q375" s="1"/>
  <c r="CK375"/>
  <c r="EB375"/>
  <c r="DB375"/>
  <c r="DD375" s="1"/>
  <c r="BN375"/>
  <c r="BP375" s="1"/>
  <c r="AU374"/>
  <c r="AH374" s="1"/>
  <c r="AI374" s="1"/>
  <c r="EH374"/>
  <c r="R374"/>
  <c r="D369" i="45"/>
  <c r="U369" s="1"/>
  <c r="EO372" i="43"/>
  <c r="EN373"/>
  <c r="AY374"/>
  <c r="BA374" s="1"/>
  <c r="AA374"/>
  <c r="AB374" s="1"/>
  <c r="C371" i="45"/>
  <c r="AK375" i="43"/>
  <c r="CJ376"/>
  <c r="AJ376"/>
  <c r="DC376"/>
  <c r="BO376"/>
  <c r="AV376"/>
  <c r="AY375" l="1"/>
  <c r="AA375"/>
  <c r="AB375" s="1"/>
  <c r="Y376"/>
  <c r="Q376" s="1"/>
  <c r="S376"/>
  <c r="X376" s="1"/>
  <c r="CK376"/>
  <c r="EB376"/>
  <c r="DB376"/>
  <c r="DD376" s="1"/>
  <c r="BN376"/>
  <c r="BP376" s="1"/>
  <c r="EH375"/>
  <c r="AU375"/>
  <c r="AH375" s="1"/>
  <c r="AI375" s="1"/>
  <c r="R375"/>
  <c r="D370" i="45"/>
  <c r="U370" s="1"/>
  <c r="EO373" i="43"/>
  <c r="EN374"/>
  <c r="AK376"/>
  <c r="C372" i="45"/>
  <c r="AJ377" i="43"/>
  <c r="BO377"/>
  <c r="DC377"/>
  <c r="CJ377"/>
  <c r="AV377"/>
  <c r="Y377" l="1"/>
  <c r="Q377" s="1"/>
  <c r="S377"/>
  <c r="X377" s="1"/>
  <c r="EB377"/>
  <c r="CK377"/>
  <c r="DB377"/>
  <c r="DD377" s="1"/>
  <c r="BN377"/>
  <c r="BP377" s="1"/>
  <c r="EN375"/>
  <c r="AU376"/>
  <c r="AH376" s="1"/>
  <c r="AI376" s="1"/>
  <c r="EH376"/>
  <c r="R376"/>
  <c r="AA376"/>
  <c r="AB376" s="1"/>
  <c r="AY376"/>
  <c r="D371" i="45"/>
  <c r="U371" s="1"/>
  <c r="EO374" i="43"/>
  <c r="AJ378"/>
  <c r="BO378"/>
  <c r="DC378"/>
  <c r="CJ378"/>
  <c r="AV378"/>
  <c r="AK377"/>
  <c r="C373" i="45"/>
  <c r="Y378" i="43" l="1"/>
  <c r="Q378" s="1"/>
  <c r="S378"/>
  <c r="X378" s="1"/>
  <c r="BN378"/>
  <c r="BP378" s="1"/>
  <c r="DB378"/>
  <c r="DD378" s="1"/>
  <c r="CK378"/>
  <c r="EB378"/>
  <c r="AU377"/>
  <c r="AH377" s="1"/>
  <c r="AI377" s="1"/>
  <c r="EH377"/>
  <c r="R377"/>
  <c r="EN376"/>
  <c r="AY377"/>
  <c r="AA377"/>
  <c r="AB377" s="1"/>
  <c r="D372" i="45"/>
  <c r="U372" s="1"/>
  <c r="EO375" i="43"/>
  <c r="BO379"/>
  <c r="AV379"/>
  <c r="AJ379"/>
  <c r="DC379"/>
  <c r="CJ379"/>
  <c r="AK378"/>
  <c r="C374" i="45"/>
  <c r="EN377" i="43" l="1"/>
  <c r="D373" i="45"/>
  <c r="U373" s="1"/>
  <c r="EO376" i="43"/>
  <c r="AU378"/>
  <c r="AH378" s="1"/>
  <c r="AI378" s="1"/>
  <c r="EH378"/>
  <c r="R378"/>
  <c r="AA378"/>
  <c r="AB378" s="1"/>
  <c r="AY378"/>
  <c r="BA378" s="1"/>
  <c r="AK379"/>
  <c r="EN379"/>
  <c r="C375" i="45"/>
  <c r="BO380" i="43"/>
  <c r="AV380"/>
  <c r="AJ380"/>
  <c r="DC380"/>
  <c r="CJ380"/>
  <c r="EN378" l="1"/>
  <c r="D374" i="45"/>
  <c r="U374" s="1"/>
  <c r="EO377" i="43"/>
  <c r="C376" i="45"/>
  <c r="EO379" i="43"/>
  <c r="AK380"/>
  <c r="EN380"/>
  <c r="DC381"/>
  <c r="CJ381"/>
  <c r="AV381"/>
  <c r="AJ381"/>
  <c r="BO381"/>
  <c r="D375" i="45" l="1"/>
  <c r="U375" s="1"/>
  <c r="EO378" i="43"/>
  <c r="C377" i="45"/>
  <c r="EO380" i="43"/>
  <c r="AK381"/>
  <c r="EN381"/>
  <c r="C378" i="45" l="1"/>
  <c r="EO381" i="43"/>
  <c r="C379" i="45" l="1"/>
  <c r="AD324" l="1"/>
  <c r="AD325"/>
  <c r="AD328" l="1"/>
  <c r="AD329"/>
  <c r="AD318" l="1"/>
  <c r="AD319"/>
  <c r="AD320" l="1"/>
  <c r="AD321"/>
  <c r="AD332" l="1"/>
  <c r="AD333"/>
  <c r="AD336" l="1"/>
  <c r="AD337"/>
  <c r="AD340" l="1"/>
  <c r="AD341"/>
  <c r="Q41" i="22" l="1"/>
  <c r="Q43"/>
  <c r="AD344" i="45" l="1"/>
  <c r="AD345"/>
  <c r="T5" l="1"/>
  <c r="AA5" s="1"/>
  <c r="AB5" l="1"/>
  <c r="T6" l="1"/>
  <c r="AA6" s="1"/>
  <c r="AB6" l="1"/>
  <c r="AD348"/>
  <c r="AD349"/>
  <c r="T8" l="1"/>
  <c r="AA8" s="1"/>
  <c r="AB8" l="1"/>
  <c r="T9" l="1"/>
  <c r="AA9" s="1"/>
  <c r="AB9" l="1"/>
  <c r="AD352"/>
  <c r="AD353"/>
  <c r="T10" l="1"/>
  <c r="AA10" s="1"/>
  <c r="AB10" l="1"/>
  <c r="T12" l="1"/>
  <c r="AA12" s="1"/>
  <c r="AB12" l="1"/>
  <c r="AD357" l="1"/>
  <c r="AD356"/>
  <c r="T13" l="1"/>
  <c r="AA13" s="1"/>
  <c r="AB13" l="1"/>
  <c r="T7" l="1"/>
  <c r="AA7" s="1"/>
  <c r="AB7" l="1"/>
  <c r="T11" l="1"/>
  <c r="AA11" s="1"/>
  <c r="AB11" l="1"/>
  <c r="J9" i="22" l="1"/>
  <c r="N9" s="1"/>
  <c r="J17"/>
  <c r="J16"/>
  <c r="N16" s="1"/>
  <c r="O16" s="1"/>
  <c r="J14"/>
  <c r="J12"/>
  <c r="J10"/>
  <c r="N10" s="1"/>
  <c r="O10" s="1"/>
  <c r="J38"/>
  <c r="J37"/>
  <c r="R37" s="1"/>
  <c r="J35"/>
  <c r="R35" s="1"/>
  <c r="J36"/>
  <c r="R36" s="1"/>
  <c r="J34"/>
  <c r="R34" s="1"/>
  <c r="J32"/>
  <c r="R32" s="1"/>
  <c r="J33"/>
  <c r="R33" s="1"/>
  <c r="J31"/>
  <c r="R31" s="1"/>
  <c r="J30"/>
  <c r="R30" s="1"/>
  <c r="J29"/>
  <c r="R29" s="1"/>
  <c r="J28"/>
  <c r="R28" s="1"/>
  <c r="J27"/>
  <c r="N27" s="1"/>
  <c r="O27" s="1"/>
  <c r="J26"/>
  <c r="R26" s="1"/>
  <c r="J25"/>
  <c r="N25" s="1"/>
  <c r="O25" s="1"/>
  <c r="J24"/>
  <c r="J23"/>
  <c r="N23" s="1"/>
  <c r="O23" s="1"/>
  <c r="J22"/>
  <c r="N22" s="1"/>
  <c r="O22" s="1"/>
  <c r="J21"/>
  <c r="N21" s="1"/>
  <c r="O21" s="1"/>
  <c r="J20"/>
  <c r="J19"/>
  <c r="N19" s="1"/>
  <c r="O19" s="1"/>
  <c r="J15"/>
  <c r="N15" s="1"/>
  <c r="O15" s="1"/>
  <c r="J18"/>
  <c r="J13"/>
  <c r="N13" s="1"/>
  <c r="O13" s="1"/>
  <c r="J11"/>
  <c r="N11" s="1"/>
  <c r="O11" s="1"/>
  <c r="J59" i="43"/>
  <c r="I59"/>
  <c r="J29"/>
  <c r="I34"/>
  <c r="I48"/>
  <c r="J77"/>
  <c r="I77"/>
  <c r="J166"/>
  <c r="I166"/>
  <c r="J81"/>
  <c r="I81"/>
  <c r="J35"/>
  <c r="J72"/>
  <c r="I72"/>
  <c r="I21"/>
  <c r="I40"/>
  <c r="J66"/>
  <c r="I66"/>
  <c r="J32"/>
  <c r="I32"/>
  <c r="N17" i="22" l="1"/>
  <c r="O17" s="1"/>
  <c r="R17"/>
  <c r="N14"/>
  <c r="O14" s="1"/>
  <c r="N12"/>
  <c r="O12" s="1"/>
  <c r="K182" i="43"/>
  <c r="S182" s="1"/>
  <c r="K186"/>
  <c r="S186" s="1"/>
  <c r="T202"/>
  <c r="CJ202"/>
  <c r="DC202"/>
  <c r="BO202"/>
  <c r="AV202"/>
  <c r="T205"/>
  <c r="AV205"/>
  <c r="CJ205"/>
  <c r="DC205"/>
  <c r="BO205"/>
  <c r="T209"/>
  <c r="BO209"/>
  <c r="DC209"/>
  <c r="AV209"/>
  <c r="CJ209"/>
  <c r="T211"/>
  <c r="AV211"/>
  <c r="CJ211"/>
  <c r="BO211"/>
  <c r="DC211"/>
  <c r="T218"/>
  <c r="BO218"/>
  <c r="DC218"/>
  <c r="CJ218"/>
  <c r="AV218"/>
  <c r="T222"/>
  <c r="CJ222"/>
  <c r="BO222"/>
  <c r="DC222"/>
  <c r="AJ222"/>
  <c r="AK222" s="1"/>
  <c r="C219" i="45" s="1"/>
  <c r="AV222" i="43"/>
  <c r="T224"/>
  <c r="BO224"/>
  <c r="CJ224"/>
  <c r="DC224"/>
  <c r="AV224"/>
  <c r="T234"/>
  <c r="AV234"/>
  <c r="BO234"/>
  <c r="CJ234"/>
  <c r="DC234"/>
  <c r="AJ234"/>
  <c r="AK234" s="1"/>
  <c r="C231" i="45" s="1"/>
  <c r="T238" i="43"/>
  <c r="CJ238"/>
  <c r="DC238"/>
  <c r="BO238"/>
  <c r="AV238"/>
  <c r="T241"/>
  <c r="BO241"/>
  <c r="CJ241"/>
  <c r="DC241"/>
  <c r="AJ241"/>
  <c r="AK241" s="1"/>
  <c r="C238" i="45" s="1"/>
  <c r="AV241" i="43"/>
  <c r="T246"/>
  <c r="CJ246"/>
  <c r="BO246"/>
  <c r="AV246"/>
  <c r="DC246"/>
  <c r="T250"/>
  <c r="BO250"/>
  <c r="DC250"/>
  <c r="AV250"/>
  <c r="CJ250"/>
  <c r="AJ250"/>
  <c r="AK250" s="1"/>
  <c r="C247" i="45" s="1"/>
  <c r="T252" i="43"/>
  <c r="BO252"/>
  <c r="AV252"/>
  <c r="CJ252"/>
  <c r="DC252"/>
  <c r="T256"/>
  <c r="CJ256"/>
  <c r="DC256"/>
  <c r="AV256"/>
  <c r="BO256"/>
  <c r="AJ256"/>
  <c r="AK256" s="1"/>
  <c r="C253" i="45" s="1"/>
  <c r="T259" i="43"/>
  <c r="BO259"/>
  <c r="AV259"/>
  <c r="AJ259"/>
  <c r="AK259" s="1"/>
  <c r="C256" i="45" s="1"/>
  <c r="CJ259" i="43"/>
  <c r="DC259"/>
  <c r="T262"/>
  <c r="DC262"/>
  <c r="CJ262"/>
  <c r="BO262"/>
  <c r="AV262"/>
  <c r="T268"/>
  <c r="AV268"/>
  <c r="BO268"/>
  <c r="DC268"/>
  <c r="CJ268"/>
  <c r="AJ268"/>
  <c r="AK268" s="1"/>
  <c r="C265" i="45" s="1"/>
  <c r="T274" i="43"/>
  <c r="AV274"/>
  <c r="DC274"/>
  <c r="CJ274"/>
  <c r="BO274"/>
  <c r="T278"/>
  <c r="AV278"/>
  <c r="CJ278"/>
  <c r="BO278"/>
  <c r="DC278"/>
  <c r="AJ278"/>
  <c r="AK278" s="1"/>
  <c r="C275" i="45" s="1"/>
  <c r="T282" i="43"/>
  <c r="X282" s="1"/>
  <c r="CJ282"/>
  <c r="AV282"/>
  <c r="DC282"/>
  <c r="BO282"/>
  <c r="T286"/>
  <c r="CJ286"/>
  <c r="DC286"/>
  <c r="BO286"/>
  <c r="AJ286"/>
  <c r="AK286" s="1"/>
  <c r="C283" i="45" s="1"/>
  <c r="AV286" i="43"/>
  <c r="T290"/>
  <c r="X290" s="1"/>
  <c r="BO290"/>
  <c r="DC290"/>
  <c r="AV290"/>
  <c r="CJ290"/>
  <c r="T294"/>
  <c r="BO294"/>
  <c r="DC294"/>
  <c r="AJ294"/>
  <c r="AK294" s="1"/>
  <c r="C291" i="45" s="1"/>
  <c r="AV294" i="43"/>
  <c r="CJ294"/>
  <c r="T296"/>
  <c r="AV296"/>
  <c r="BO296"/>
  <c r="DC296"/>
  <c r="CJ296"/>
  <c r="T299"/>
  <c r="BO299"/>
  <c r="DC299"/>
  <c r="AV299"/>
  <c r="CJ299"/>
  <c r="T302"/>
  <c r="BO302"/>
  <c r="AV302"/>
  <c r="CJ302"/>
  <c r="DC302"/>
  <c r="T305"/>
  <c r="DC305"/>
  <c r="AV305"/>
  <c r="CJ305"/>
  <c r="BO305"/>
  <c r="T308"/>
  <c r="AV308"/>
  <c r="BO308"/>
  <c r="DC308"/>
  <c r="CJ308"/>
  <c r="T311"/>
  <c r="DC311"/>
  <c r="BO311"/>
  <c r="AJ311"/>
  <c r="AK311" s="1"/>
  <c r="C308" i="45" s="1"/>
  <c r="AV311" i="43"/>
  <c r="CJ311"/>
  <c r="T314"/>
  <c r="DC314"/>
  <c r="AV314"/>
  <c r="CJ314"/>
  <c r="BO314"/>
  <c r="T316"/>
  <c r="CJ316"/>
  <c r="AV316"/>
  <c r="DC316"/>
  <c r="BO316"/>
  <c r="T321"/>
  <c r="BO321"/>
  <c r="AV321"/>
  <c r="CJ321"/>
  <c r="DC321"/>
  <c r="T323"/>
  <c r="AV323"/>
  <c r="DC323"/>
  <c r="BO323"/>
  <c r="CJ323"/>
  <c r="T326"/>
  <c r="BO326"/>
  <c r="AV326"/>
  <c r="DC326"/>
  <c r="CJ326"/>
  <c r="T344"/>
  <c r="AV344"/>
  <c r="BO344"/>
  <c r="DC344"/>
  <c r="CJ344"/>
  <c r="T347"/>
  <c r="AV347"/>
  <c r="BO347"/>
  <c r="CJ347"/>
  <c r="DC347"/>
  <c r="T351"/>
  <c r="AV351"/>
  <c r="CJ351"/>
  <c r="DC351"/>
  <c r="BO351"/>
  <c r="T355"/>
  <c r="AV355"/>
  <c r="CJ355"/>
  <c r="DC355"/>
  <c r="BO355"/>
  <c r="T204"/>
  <c r="CJ204"/>
  <c r="DC204"/>
  <c r="BO204"/>
  <c r="AV204"/>
  <c r="T208"/>
  <c r="CJ208"/>
  <c r="BO208"/>
  <c r="AV208"/>
  <c r="DC208"/>
  <c r="T213"/>
  <c r="BO213"/>
  <c r="AV213"/>
  <c r="CJ213"/>
  <c r="DC213"/>
  <c r="T214"/>
  <c r="CJ214"/>
  <c r="DC214"/>
  <c r="AV214"/>
  <c r="BO214"/>
  <c r="T217"/>
  <c r="BO217"/>
  <c r="DC217"/>
  <c r="CJ217"/>
  <c r="T221"/>
  <c r="BO221"/>
  <c r="AJ221"/>
  <c r="AK221" s="1"/>
  <c r="C218" i="45" s="1"/>
  <c r="AV221" i="43"/>
  <c r="CJ221"/>
  <c r="DC221"/>
  <c r="T225"/>
  <c r="DC225"/>
  <c r="AV225"/>
  <c r="BO225"/>
  <c r="CJ225"/>
  <c r="T228"/>
  <c r="AV228"/>
  <c r="DC228"/>
  <c r="BO228"/>
  <c r="CJ228"/>
  <c r="T230"/>
  <c r="DC230"/>
  <c r="AV230"/>
  <c r="BO230"/>
  <c r="CJ230"/>
  <c r="T232"/>
  <c r="AV232"/>
  <c r="DC232"/>
  <c r="CJ232"/>
  <c r="BO232"/>
  <c r="T237"/>
  <c r="AV237"/>
  <c r="CJ237"/>
  <c r="DC237"/>
  <c r="AJ237"/>
  <c r="AK237" s="1"/>
  <c r="C234" i="45" s="1"/>
  <c r="BO237" i="43"/>
  <c r="T243"/>
  <c r="DC243"/>
  <c r="BO243"/>
  <c r="CJ243"/>
  <c r="AV243"/>
  <c r="T245"/>
  <c r="CJ245"/>
  <c r="AJ245"/>
  <c r="AK245" s="1"/>
  <c r="C242" i="45" s="1"/>
  <c r="AV245" i="43"/>
  <c r="DC245"/>
  <c r="BO245"/>
  <c r="T248"/>
  <c r="AV248"/>
  <c r="CJ248"/>
  <c r="DC248"/>
  <c r="BO248"/>
  <c r="AJ248"/>
  <c r="AK248" s="1"/>
  <c r="C245" i="45" s="1"/>
  <c r="T255" i="43"/>
  <c r="AJ255"/>
  <c r="AK255" s="1"/>
  <c r="C252" i="45" s="1"/>
  <c r="AV255" i="43"/>
  <c r="CJ255"/>
  <c r="DC255"/>
  <c r="BO255"/>
  <c r="T258"/>
  <c r="CJ258"/>
  <c r="BO258"/>
  <c r="AV258"/>
  <c r="DC258"/>
  <c r="T261"/>
  <c r="DC261"/>
  <c r="AJ261"/>
  <c r="AK261" s="1"/>
  <c r="C258" i="45" s="1"/>
  <c r="AV261" i="43"/>
  <c r="BO261"/>
  <c r="CJ261"/>
  <c r="T264"/>
  <c r="DC264"/>
  <c r="AV264"/>
  <c r="BO264"/>
  <c r="CJ264"/>
  <c r="T267"/>
  <c r="AV267"/>
  <c r="BO267"/>
  <c r="AJ267"/>
  <c r="AK267" s="1"/>
  <c r="C264" i="45" s="1"/>
  <c r="CJ267" i="43"/>
  <c r="DC267"/>
  <c r="T271"/>
  <c r="AV271"/>
  <c r="CJ271"/>
  <c r="DC271"/>
  <c r="BO271"/>
  <c r="T277"/>
  <c r="DC277"/>
  <c r="AV277"/>
  <c r="BO277"/>
  <c r="AJ277"/>
  <c r="AK277" s="1"/>
  <c r="C274" i="45" s="1"/>
  <c r="CJ277" i="43"/>
  <c r="T281"/>
  <c r="AV281"/>
  <c r="DC281"/>
  <c r="BO281"/>
  <c r="CJ281"/>
  <c r="T285"/>
  <c r="AV285"/>
  <c r="BO285"/>
  <c r="CJ285"/>
  <c r="DC285"/>
  <c r="T289"/>
  <c r="X289" s="1"/>
  <c r="AJ289"/>
  <c r="AK289" s="1"/>
  <c r="C286" i="45" s="1"/>
  <c r="AV289" i="43"/>
  <c r="CJ289"/>
  <c r="DC289"/>
  <c r="BO289"/>
  <c r="T298"/>
  <c r="X298" s="1"/>
  <c r="DC298"/>
  <c r="CJ298"/>
  <c r="BO298"/>
  <c r="AJ298"/>
  <c r="AK298" s="1"/>
  <c r="C295" i="45" s="1"/>
  <c r="AV298" i="43"/>
  <c r="T306"/>
  <c r="DC306"/>
  <c r="BO306"/>
  <c r="AV306"/>
  <c r="CJ306"/>
  <c r="T310"/>
  <c r="AV310"/>
  <c r="BO310"/>
  <c r="CJ310"/>
  <c r="DC310"/>
  <c r="AJ310"/>
  <c r="AK310" s="1"/>
  <c r="C307" i="45" s="1"/>
  <c r="T317" i="43"/>
  <c r="AV317"/>
  <c r="BO317"/>
  <c r="DC317"/>
  <c r="CJ317"/>
  <c r="T320"/>
  <c r="DC320"/>
  <c r="BO320"/>
  <c r="AV320"/>
  <c r="CJ320"/>
  <c r="T324"/>
  <c r="BO324"/>
  <c r="CJ324"/>
  <c r="DC324"/>
  <c r="AV324"/>
  <c r="T327"/>
  <c r="CJ327"/>
  <c r="DC327"/>
  <c r="AV327"/>
  <c r="BO327"/>
  <c r="T329"/>
  <c r="AV329"/>
  <c r="CJ329"/>
  <c r="BO329"/>
  <c r="DC329"/>
  <c r="T331"/>
  <c r="DC331"/>
  <c r="BO331"/>
  <c r="AV331"/>
  <c r="CJ331"/>
  <c r="T333"/>
  <c r="AV333"/>
  <c r="BO333"/>
  <c r="CJ333"/>
  <c r="DC333"/>
  <c r="T335"/>
  <c r="DC335"/>
  <c r="BO335"/>
  <c r="CJ335"/>
  <c r="AV335"/>
  <c r="T337"/>
  <c r="AV337"/>
  <c r="CJ337"/>
  <c r="BO337"/>
  <c r="DC337"/>
  <c r="T339"/>
  <c r="AV339"/>
  <c r="CJ339"/>
  <c r="DC339"/>
  <c r="BO339"/>
  <c r="T340"/>
  <c r="CJ340"/>
  <c r="AV340"/>
  <c r="DC340"/>
  <c r="BO340"/>
  <c r="T346"/>
  <c r="DC346"/>
  <c r="AV346"/>
  <c r="CJ346"/>
  <c r="BO346"/>
  <c r="T348"/>
  <c r="AV348"/>
  <c r="CJ348"/>
  <c r="DC348"/>
  <c r="BO348"/>
  <c r="T352"/>
  <c r="AV352"/>
  <c r="BO352"/>
  <c r="DC352"/>
  <c r="CJ352"/>
  <c r="T354"/>
  <c r="DC354"/>
  <c r="AV354"/>
  <c r="CJ354"/>
  <c r="BO354"/>
  <c r="T358"/>
  <c r="CJ358"/>
  <c r="DC358"/>
  <c r="BO358"/>
  <c r="AV358"/>
  <c r="T203"/>
  <c r="CJ203"/>
  <c r="AV203"/>
  <c r="BO203"/>
  <c r="DC203"/>
  <c r="T206"/>
  <c r="BO206"/>
  <c r="CJ206"/>
  <c r="DC206"/>
  <c r="AV206"/>
  <c r="T216"/>
  <c r="BO216"/>
  <c r="AV216"/>
  <c r="AJ216"/>
  <c r="AK216" s="1"/>
  <c r="C213" i="45" s="1"/>
  <c r="DC216" i="43"/>
  <c r="CJ216"/>
  <c r="T220"/>
  <c r="BO220"/>
  <c r="CJ220"/>
  <c r="DC220"/>
  <c r="AV220"/>
  <c r="T227"/>
  <c r="DC227"/>
  <c r="CJ227"/>
  <c r="AV227"/>
  <c r="BO227"/>
  <c r="T229"/>
  <c r="BO229"/>
  <c r="AJ229"/>
  <c r="AK229" s="1"/>
  <c r="C226" i="45" s="1"/>
  <c r="AV229" i="43"/>
  <c r="CJ229"/>
  <c r="DC229"/>
  <c r="T233"/>
  <c r="CJ233"/>
  <c r="DC233"/>
  <c r="BO233"/>
  <c r="AV233"/>
  <c r="T236"/>
  <c r="AV236"/>
  <c r="BO236"/>
  <c r="CJ236"/>
  <c r="DC236"/>
  <c r="T240"/>
  <c r="BO240"/>
  <c r="CJ240"/>
  <c r="AJ240"/>
  <c r="AK240" s="1"/>
  <c r="C237" i="45" s="1"/>
  <c r="AV240" i="43"/>
  <c r="DC240"/>
  <c r="T244"/>
  <c r="CJ244"/>
  <c r="DC244"/>
  <c r="BO244"/>
  <c r="AV244"/>
  <c r="T247"/>
  <c r="AJ247"/>
  <c r="AK247" s="1"/>
  <c r="C244" i="45" s="1"/>
  <c r="CJ247" i="43"/>
  <c r="DC247"/>
  <c r="AV247"/>
  <c r="BO247"/>
  <c r="T251"/>
  <c r="CJ251"/>
  <c r="DC251"/>
  <c r="BO251"/>
  <c r="AJ251"/>
  <c r="AK251" s="1"/>
  <c r="C248" i="45" s="1"/>
  <c r="AV251" i="43"/>
  <c r="T254"/>
  <c r="AJ254"/>
  <c r="AK254" s="1"/>
  <c r="C251" i="45" s="1"/>
  <c r="AV254" i="43"/>
  <c r="CJ254"/>
  <c r="DC254"/>
  <c r="BO254"/>
  <c r="T266"/>
  <c r="CJ266"/>
  <c r="BO266"/>
  <c r="AV266"/>
  <c r="DC266"/>
  <c r="T270"/>
  <c r="DC270"/>
  <c r="BO270"/>
  <c r="CJ270"/>
  <c r="AV270"/>
  <c r="T273"/>
  <c r="CJ273"/>
  <c r="DC273"/>
  <c r="BO273"/>
  <c r="AJ273"/>
  <c r="AK273" s="1"/>
  <c r="C270" i="45" s="1"/>
  <c r="AV273" i="43"/>
  <c r="T276"/>
  <c r="BO276"/>
  <c r="CJ276"/>
  <c r="AV276"/>
  <c r="DC276"/>
  <c r="T280"/>
  <c r="DC280"/>
  <c r="AV280"/>
  <c r="BO280"/>
  <c r="CJ280"/>
  <c r="T284"/>
  <c r="X284" s="1"/>
  <c r="DC284"/>
  <c r="AV284"/>
  <c r="BO284"/>
  <c r="CJ284"/>
  <c r="T287"/>
  <c r="X287" s="1"/>
  <c r="CJ287"/>
  <c r="BO287"/>
  <c r="DC287"/>
  <c r="AV287"/>
  <c r="T291"/>
  <c r="DC291"/>
  <c r="AV291"/>
  <c r="BO291"/>
  <c r="CJ291"/>
  <c r="T295"/>
  <c r="X295" s="1"/>
  <c r="AV295"/>
  <c r="CJ295"/>
  <c r="DC295"/>
  <c r="BO295"/>
  <c r="T297"/>
  <c r="X297" s="1"/>
  <c r="BO297"/>
  <c r="CJ297"/>
  <c r="DC297"/>
  <c r="AV297"/>
  <c r="T301"/>
  <c r="CJ301"/>
  <c r="AJ301"/>
  <c r="AK301" s="1"/>
  <c r="C298" i="45" s="1"/>
  <c r="AV301" i="43"/>
  <c r="DC301"/>
  <c r="BO301"/>
  <c r="T304"/>
  <c r="CJ304"/>
  <c r="DC304"/>
  <c r="AV304"/>
  <c r="BO304"/>
  <c r="T313"/>
  <c r="CJ313"/>
  <c r="AV313"/>
  <c r="BO313"/>
  <c r="DC313"/>
  <c r="T319"/>
  <c r="AV319"/>
  <c r="BO319"/>
  <c r="CJ319"/>
  <c r="DC319"/>
  <c r="T325"/>
  <c r="DC325"/>
  <c r="BO325"/>
  <c r="AV325"/>
  <c r="CJ325"/>
  <c r="T342"/>
  <c r="CJ342"/>
  <c r="BO342"/>
  <c r="AV342"/>
  <c r="DC342"/>
  <c r="T343"/>
  <c r="DC343"/>
  <c r="AV343"/>
  <c r="BO343"/>
  <c r="CJ343"/>
  <c r="T349"/>
  <c r="AV349"/>
  <c r="CJ349"/>
  <c r="DC349"/>
  <c r="BO349"/>
  <c r="T353"/>
  <c r="AV353"/>
  <c r="DC353"/>
  <c r="CJ353"/>
  <c r="BO353"/>
  <c r="T357"/>
  <c r="CJ357"/>
  <c r="BO357"/>
  <c r="DC357"/>
  <c r="AV357"/>
  <c r="T207"/>
  <c r="DC207"/>
  <c r="BO207"/>
  <c r="CJ207"/>
  <c r="AV207"/>
  <c r="T210"/>
  <c r="AV210"/>
  <c r="BO210"/>
  <c r="CJ210"/>
  <c r="DC210"/>
  <c r="T212"/>
  <c r="AJ212"/>
  <c r="AK212" s="1"/>
  <c r="C209" i="45" s="1"/>
  <c r="AV212" i="43"/>
  <c r="DC212"/>
  <c r="CJ212"/>
  <c r="BO212"/>
  <c r="T215"/>
  <c r="BO215"/>
  <c r="DC215"/>
  <c r="CJ215"/>
  <c r="AV215"/>
  <c r="T219"/>
  <c r="DC219"/>
  <c r="AV219"/>
  <c r="CJ219"/>
  <c r="BO219"/>
  <c r="T223"/>
  <c r="AJ223"/>
  <c r="AK223" s="1"/>
  <c r="C220" i="45" s="1"/>
  <c r="BO223" i="43"/>
  <c r="CJ223"/>
  <c r="DC223"/>
  <c r="AV223"/>
  <c r="T226"/>
  <c r="CJ226"/>
  <c r="AJ226"/>
  <c r="AK226" s="1"/>
  <c r="C223" i="45" s="1"/>
  <c r="BO226" i="43"/>
  <c r="DC226"/>
  <c r="AV226"/>
  <c r="T231"/>
  <c r="AV231"/>
  <c r="BO231"/>
  <c r="CJ231"/>
  <c r="DC231"/>
  <c r="T235"/>
  <c r="DC235"/>
  <c r="AV235"/>
  <c r="CJ235"/>
  <c r="BO235"/>
  <c r="T239"/>
  <c r="CJ239"/>
  <c r="BO239"/>
  <c r="AJ239"/>
  <c r="AK239" s="1"/>
  <c r="C236" i="45" s="1"/>
  <c r="AV239" i="43"/>
  <c r="DC239"/>
  <c r="T242"/>
  <c r="AV242"/>
  <c r="CJ242"/>
  <c r="DC242"/>
  <c r="AJ242"/>
  <c r="AK242" s="1"/>
  <c r="C239" i="45" s="1"/>
  <c r="BO242" i="43"/>
  <c r="T249"/>
  <c r="BO249"/>
  <c r="DC249"/>
  <c r="AV249"/>
  <c r="CJ249"/>
  <c r="T253"/>
  <c r="CJ253"/>
  <c r="AV253"/>
  <c r="DC253"/>
  <c r="AJ253"/>
  <c r="AK253" s="1"/>
  <c r="C250" i="45" s="1"/>
  <c r="BO253" i="43"/>
  <c r="T257"/>
  <c r="AV257"/>
  <c r="BO257"/>
  <c r="CJ257"/>
  <c r="DC257"/>
  <c r="T260"/>
  <c r="CJ260"/>
  <c r="AV260"/>
  <c r="DC260"/>
  <c r="AJ260"/>
  <c r="AK260" s="1"/>
  <c r="C257" i="45" s="1"/>
  <c r="BO260" i="43"/>
  <c r="T263"/>
  <c r="CJ263"/>
  <c r="DC263"/>
  <c r="BO263"/>
  <c r="AV263"/>
  <c r="T265"/>
  <c r="DC265"/>
  <c r="AV265"/>
  <c r="CJ265"/>
  <c r="BO265"/>
  <c r="T269"/>
  <c r="AV269"/>
  <c r="BO269"/>
  <c r="CJ269"/>
  <c r="DC269"/>
  <c r="AJ269"/>
  <c r="AK269" s="1"/>
  <c r="C266" i="45" s="1"/>
  <c r="T272" i="43"/>
  <c r="AV272"/>
  <c r="DC272"/>
  <c r="CJ272"/>
  <c r="BO272"/>
  <c r="T275"/>
  <c r="CJ275"/>
  <c r="DC275"/>
  <c r="BO275"/>
  <c r="AV275"/>
  <c r="T279"/>
  <c r="DC279"/>
  <c r="BO279"/>
  <c r="AV279"/>
  <c r="CJ279"/>
  <c r="T283"/>
  <c r="AV283"/>
  <c r="BO283"/>
  <c r="CJ283"/>
  <c r="DC283"/>
  <c r="T288"/>
  <c r="X288" s="1"/>
  <c r="CJ288"/>
  <c r="DC288"/>
  <c r="AV288"/>
  <c r="BO288"/>
  <c r="T292"/>
  <c r="BO292"/>
  <c r="CJ292"/>
  <c r="DC292"/>
  <c r="AV292"/>
  <c r="T293"/>
  <c r="X293" s="1"/>
  <c r="BO293"/>
  <c r="CJ293"/>
  <c r="DC293"/>
  <c r="AV293"/>
  <c r="T300"/>
  <c r="AV300"/>
  <c r="CJ300"/>
  <c r="BO300"/>
  <c r="DC300"/>
  <c r="T303"/>
  <c r="AV303"/>
  <c r="BO303"/>
  <c r="CJ303"/>
  <c r="DC303"/>
  <c r="T307"/>
  <c r="CJ307"/>
  <c r="AV307"/>
  <c r="DC307"/>
  <c r="BO307"/>
  <c r="T309"/>
  <c r="CJ309"/>
  <c r="AV309"/>
  <c r="DC309"/>
  <c r="BO309"/>
  <c r="T312"/>
  <c r="DC312"/>
  <c r="AV312"/>
  <c r="BO312"/>
  <c r="CJ312"/>
  <c r="T315"/>
  <c r="CJ315"/>
  <c r="DC315"/>
  <c r="BO315"/>
  <c r="AV315"/>
  <c r="T318"/>
  <c r="CJ318"/>
  <c r="AV318"/>
  <c r="DC318"/>
  <c r="BO318"/>
  <c r="T322"/>
  <c r="CJ322"/>
  <c r="DC322"/>
  <c r="BO322"/>
  <c r="AV322"/>
  <c r="T328"/>
  <c r="AV328"/>
  <c r="DC328"/>
  <c r="BO328"/>
  <c r="CJ328"/>
  <c r="T330"/>
  <c r="CJ330"/>
  <c r="AV330"/>
  <c r="DC330"/>
  <c r="BO330"/>
  <c r="T332"/>
  <c r="BO332"/>
  <c r="AV332"/>
  <c r="DC332"/>
  <c r="CJ332"/>
  <c r="T334"/>
  <c r="BO334"/>
  <c r="AV334"/>
  <c r="CJ334"/>
  <c r="DC334"/>
  <c r="T336"/>
  <c r="AV336"/>
  <c r="BO336"/>
  <c r="CJ336"/>
  <c r="DC336"/>
  <c r="T338"/>
  <c r="BO338"/>
  <c r="DC338"/>
  <c r="AV338"/>
  <c r="CJ338"/>
  <c r="T341"/>
  <c r="BO341"/>
  <c r="DC341"/>
  <c r="AV341"/>
  <c r="CJ341"/>
  <c r="T345"/>
  <c r="CJ345"/>
  <c r="AV345"/>
  <c r="BO345"/>
  <c r="DC345"/>
  <c r="T350"/>
  <c r="AV350"/>
  <c r="CJ350"/>
  <c r="DC350"/>
  <c r="BO350"/>
  <c r="T356"/>
  <c r="DC356"/>
  <c r="AV356"/>
  <c r="BO356"/>
  <c r="CJ356"/>
  <c r="K166"/>
  <c r="S166" s="1"/>
  <c r="T185"/>
  <c r="T188"/>
  <c r="T191"/>
  <c r="T195"/>
  <c r="T183"/>
  <c r="T187"/>
  <c r="T192"/>
  <c r="T197"/>
  <c r="T184"/>
  <c r="T190"/>
  <c r="T194"/>
  <c r="T198"/>
  <c r="T201"/>
  <c r="T193"/>
  <c r="T196"/>
  <c r="T200"/>
  <c r="T186"/>
  <c r="K81"/>
  <c r="T182"/>
  <c r="T189"/>
  <c r="K77"/>
  <c r="K59"/>
  <c r="T199"/>
  <c r="K72"/>
  <c r="K66"/>
  <c r="BO59"/>
  <c r="DC59"/>
  <c r="AV183"/>
  <c r="BO183"/>
  <c r="DC183"/>
  <c r="CJ183"/>
  <c r="AV193"/>
  <c r="BO193"/>
  <c r="CJ193"/>
  <c r="DC193"/>
  <c r="BO195"/>
  <c r="DC195"/>
  <c r="AV195"/>
  <c r="CJ195"/>
  <c r="BO201"/>
  <c r="CJ201"/>
  <c r="DC201"/>
  <c r="K32"/>
  <c r="S32" s="1"/>
  <c r="AV181"/>
  <c r="CJ184"/>
  <c r="DC184"/>
  <c r="BO184"/>
  <c r="AV184"/>
  <c r="BO187"/>
  <c r="AV187"/>
  <c r="DC187"/>
  <c r="CJ187"/>
  <c r="BO190"/>
  <c r="AV190"/>
  <c r="DC190"/>
  <c r="CJ190"/>
  <c r="BO197"/>
  <c r="AV197"/>
  <c r="CJ197"/>
  <c r="DC197"/>
  <c r="BO200"/>
  <c r="AV200"/>
  <c r="DC200"/>
  <c r="CJ200"/>
  <c r="DC182"/>
  <c r="AV182"/>
  <c r="CJ182"/>
  <c r="BO182"/>
  <c r="BO185"/>
  <c r="DC185"/>
  <c r="CJ185"/>
  <c r="AV185"/>
  <c r="BO186"/>
  <c r="CJ186"/>
  <c r="AV186"/>
  <c r="DC186"/>
  <c r="DC189"/>
  <c r="CJ189"/>
  <c r="AV189"/>
  <c r="BO189"/>
  <c r="BO191"/>
  <c r="AV191"/>
  <c r="CJ191"/>
  <c r="DC191"/>
  <c r="DC198"/>
  <c r="BO198"/>
  <c r="AV198"/>
  <c r="CJ198"/>
  <c r="CJ199"/>
  <c r="DC199"/>
  <c r="BO199"/>
  <c r="AV199"/>
  <c r="AV188"/>
  <c r="BO188"/>
  <c r="DC188"/>
  <c r="CJ188"/>
  <c r="BO192"/>
  <c r="CJ192"/>
  <c r="AV192"/>
  <c r="DC192"/>
  <c r="AV194"/>
  <c r="DC194"/>
  <c r="BO194"/>
  <c r="CJ194"/>
  <c r="BO196"/>
  <c r="CJ196"/>
  <c r="AV196"/>
  <c r="DC196"/>
  <c r="DD282"/>
  <c r="N38" i="22"/>
  <c r="O38" s="1"/>
  <c r="R38"/>
  <c r="N37"/>
  <c r="O37" s="1"/>
  <c r="N36"/>
  <c r="O36" s="1"/>
  <c r="N35"/>
  <c r="O35" s="1"/>
  <c r="N34"/>
  <c r="O34" s="1"/>
  <c r="N32"/>
  <c r="O32" s="1"/>
  <c r="N33"/>
  <c r="O33" s="1"/>
  <c r="N31"/>
  <c r="O31" s="1"/>
  <c r="N30"/>
  <c r="O30" s="1"/>
  <c r="N29"/>
  <c r="O29" s="1"/>
  <c r="N28"/>
  <c r="O28" s="1"/>
  <c r="R27"/>
  <c r="N26"/>
  <c r="O26" s="1"/>
  <c r="J43"/>
  <c r="H43"/>
  <c r="N24"/>
  <c r="O24" s="1"/>
  <c r="N20"/>
  <c r="O20" s="1"/>
  <c r="H41"/>
  <c r="N18"/>
  <c r="O18" s="1"/>
  <c r="CK282" i="43"/>
  <c r="CK283"/>
  <c r="I24"/>
  <c r="DD283"/>
  <c r="CK302"/>
  <c r="DD302"/>
  <c r="DD284"/>
  <c r="CK284"/>
  <c r="J41" i="22"/>
  <c r="DD301" i="43"/>
  <c r="DC166" l="1"/>
  <c r="BO166"/>
  <c r="S59"/>
  <c r="T59"/>
  <c r="AV59"/>
  <c r="CJ59"/>
  <c r="T77"/>
  <c r="S77"/>
  <c r="T72"/>
  <c r="S72"/>
  <c r="T66"/>
  <c r="S66"/>
  <c r="BN81"/>
  <c r="BP81" s="1"/>
  <c r="S81"/>
  <c r="W182"/>
  <c r="EB182"/>
  <c r="AJ182" s="1"/>
  <c r="AK182" s="1"/>
  <c r="C179" i="45" s="1"/>
  <c r="CI182" i="43"/>
  <c r="CK182" s="1"/>
  <c r="BN182"/>
  <c r="BP182" s="1"/>
  <c r="DB32"/>
  <c r="DD32" s="1"/>
  <c r="Y182"/>
  <c r="Q182" s="1"/>
  <c r="AA182" s="1"/>
  <c r="AB182" s="1"/>
  <c r="EB186"/>
  <c r="R186" s="1"/>
  <c r="DB182"/>
  <c r="DD182" s="1"/>
  <c r="AJ218"/>
  <c r="AK218" s="1"/>
  <c r="C215" i="45" s="1"/>
  <c r="X182" i="43"/>
  <c r="CI186"/>
  <c r="CK186" s="1"/>
  <c r="DB186"/>
  <c r="DD186" s="1"/>
  <c r="BN186"/>
  <c r="BP186" s="1"/>
  <c r="W186"/>
  <c r="EB32"/>
  <c r="AU32" s="1"/>
  <c r="CI32"/>
  <c r="CK32" s="1"/>
  <c r="W32"/>
  <c r="Y186"/>
  <c r="Q186" s="1"/>
  <c r="AA186" s="1"/>
  <c r="AB186" s="1"/>
  <c r="BO77"/>
  <c r="W59"/>
  <c r="BO72"/>
  <c r="BN32"/>
  <c r="BP32" s="1"/>
  <c r="AJ350"/>
  <c r="AK350" s="1"/>
  <c r="C347" i="45" s="1"/>
  <c r="AJ330" i="43"/>
  <c r="AK330" s="1"/>
  <c r="C327" i="45" s="1"/>
  <c r="AJ318" i="43"/>
  <c r="AK318" s="1"/>
  <c r="C315" i="45" s="1"/>
  <c r="AJ292" i="43"/>
  <c r="AK292" s="1"/>
  <c r="C289" i="45" s="1"/>
  <c r="AJ288" i="43"/>
  <c r="AK288" s="1"/>
  <c r="C285" i="45" s="1"/>
  <c r="AJ231" i="43"/>
  <c r="AK231" s="1"/>
  <c r="C228" i="45" s="1"/>
  <c r="AJ219" i="43"/>
  <c r="AK219" s="1"/>
  <c r="C216" i="45" s="1"/>
  <c r="AJ210" i="43"/>
  <c r="AK210" s="1"/>
  <c r="C207" i="45" s="1"/>
  <c r="AJ220" i="43"/>
  <c r="AK220" s="1"/>
  <c r="C217" i="45" s="1"/>
  <c r="AJ206" i="43"/>
  <c r="AK206" s="1"/>
  <c r="C203" i="45" s="1"/>
  <c r="AJ348" i="43"/>
  <c r="AK348" s="1"/>
  <c r="C345" i="45" s="1"/>
  <c r="AJ339" i="43"/>
  <c r="AK339" s="1"/>
  <c r="C336" i="45" s="1"/>
  <c r="AJ320" i="43"/>
  <c r="AK320" s="1"/>
  <c r="C317" i="45" s="1"/>
  <c r="AJ264" i="43"/>
  <c r="AK264" s="1"/>
  <c r="C261" i="45" s="1"/>
  <c r="AJ225" i="43"/>
  <c r="AK225" s="1"/>
  <c r="C222" i="45" s="1"/>
  <c r="AJ217" i="43"/>
  <c r="AK217" s="1"/>
  <c r="C214" i="45" s="1"/>
  <c r="AJ214" i="43"/>
  <c r="AK214" s="1"/>
  <c r="C211" i="45" s="1"/>
  <c r="AJ355" i="43"/>
  <c r="AK355" s="1"/>
  <c r="C352" i="45" s="1"/>
  <c r="AJ246" i="43"/>
  <c r="AK246" s="1"/>
  <c r="C243" i="45" s="1"/>
  <c r="AJ224" i="43"/>
  <c r="AK224" s="1"/>
  <c r="C221" i="45" s="1"/>
  <c r="AJ345" i="43"/>
  <c r="AK345" s="1"/>
  <c r="C342" i="45" s="1"/>
  <c r="AJ341" i="43"/>
  <c r="AK341" s="1"/>
  <c r="C338" i="45" s="1"/>
  <c r="AJ307" i="43"/>
  <c r="AK307" s="1"/>
  <c r="C304" i="45" s="1"/>
  <c r="AJ283" i="43"/>
  <c r="AK283" s="1"/>
  <c r="C280" i="45" s="1"/>
  <c r="AJ207" i="43"/>
  <c r="AK207" s="1"/>
  <c r="C204" i="45" s="1"/>
  <c r="AJ319" i="43"/>
  <c r="AK319" s="1"/>
  <c r="C316" i="45" s="1"/>
  <c r="AJ236" i="43"/>
  <c r="AK236" s="1"/>
  <c r="C233" i="45" s="1"/>
  <c r="AJ335" i="43"/>
  <c r="AK335" s="1"/>
  <c r="C332" i="45" s="1"/>
  <c r="AJ329" i="43"/>
  <c r="AK329" s="1"/>
  <c r="C326" i="45" s="1"/>
  <c r="AJ317" i="43"/>
  <c r="AK317" s="1"/>
  <c r="C314" i="45" s="1"/>
  <c r="AJ228" i="43"/>
  <c r="AK228" s="1"/>
  <c r="C225" i="45" s="1"/>
  <c r="AJ213" i="43"/>
  <c r="AK213" s="1"/>
  <c r="C210" i="45" s="1"/>
  <c r="AJ351" i="43"/>
  <c r="AK351" s="1"/>
  <c r="C348" i="45" s="1"/>
  <c r="AJ314" i="43"/>
  <c r="AK314" s="1"/>
  <c r="C311" i="45" s="1"/>
  <c r="AJ302" i="43"/>
  <c r="AK302" s="1"/>
  <c r="C299" i="45" s="1"/>
  <c r="AJ274" i="43"/>
  <c r="AK274" s="1"/>
  <c r="C271" i="45" s="1"/>
  <c r="AJ238" i="43"/>
  <c r="AK238" s="1"/>
  <c r="C235" i="45" s="1"/>
  <c r="Y32" i="43"/>
  <c r="Q32" s="1"/>
  <c r="AY32" s="1"/>
  <c r="V29" i="45" s="1"/>
  <c r="W66" i="43"/>
  <c r="AJ356"/>
  <c r="AK356" s="1"/>
  <c r="C353" i="45" s="1"/>
  <c r="AJ332" i="43"/>
  <c r="AK332" s="1"/>
  <c r="C329" i="45" s="1"/>
  <c r="AJ272" i="43"/>
  <c r="AK272" s="1"/>
  <c r="C269" i="45" s="1"/>
  <c r="AJ343" i="43"/>
  <c r="AK343" s="1"/>
  <c r="C340" i="45" s="1"/>
  <c r="AJ313" i="43"/>
  <c r="AK313" s="1"/>
  <c r="C310" i="45" s="1"/>
  <c r="AJ266" i="43"/>
  <c r="AK266" s="1"/>
  <c r="C263" i="45" s="1"/>
  <c r="AJ331" i="43"/>
  <c r="AK331" s="1"/>
  <c r="C328" i="45" s="1"/>
  <c r="AJ324" i="43"/>
  <c r="AK324" s="1"/>
  <c r="C321" i="45" s="1"/>
  <c r="AJ271" i="43"/>
  <c r="AK271" s="1"/>
  <c r="C268" i="45" s="1"/>
  <c r="AJ232" i="43"/>
  <c r="AK232" s="1"/>
  <c r="C229" i="45" s="1"/>
  <c r="AJ344" i="43"/>
  <c r="AK344" s="1"/>
  <c r="C341" i="45" s="1"/>
  <c r="AJ326" i="43"/>
  <c r="AK326" s="1"/>
  <c r="C323" i="45" s="1"/>
  <c r="AJ262" i="43"/>
  <c r="AK262" s="1"/>
  <c r="C259" i="45" s="1"/>
  <c r="AJ336" i="43"/>
  <c r="AK336" s="1"/>
  <c r="C333" i="45" s="1"/>
  <c r="AJ312" i="43"/>
  <c r="AK312" s="1"/>
  <c r="C309" i="45" s="1"/>
  <c r="AJ309" i="43"/>
  <c r="AK309" s="1"/>
  <c r="C306" i="45" s="1"/>
  <c r="AJ215" i="43"/>
  <c r="AK215" s="1"/>
  <c r="C212" i="45" s="1"/>
  <c r="AJ304" i="43"/>
  <c r="AK304" s="1"/>
  <c r="C301" i="45" s="1"/>
  <c r="AJ280" i="43"/>
  <c r="AK280" s="1"/>
  <c r="C277" i="45" s="1"/>
  <c r="AJ354" i="43"/>
  <c r="AK354" s="1"/>
  <c r="C351" i="45" s="1"/>
  <c r="AJ346" i="43"/>
  <c r="AK346" s="1"/>
  <c r="C343" i="45" s="1"/>
  <c r="AJ340" i="43"/>
  <c r="AK340" s="1"/>
  <c r="C337" i="45" s="1"/>
  <c r="AJ337" i="43"/>
  <c r="AK337" s="1"/>
  <c r="C334" i="45" s="1"/>
  <c r="AJ333" i="43"/>
  <c r="AK333" s="1"/>
  <c r="C330" i="45" s="1"/>
  <c r="AJ327" i="43"/>
  <c r="AK327" s="1"/>
  <c r="C324" i="45" s="1"/>
  <c r="AJ323" i="43"/>
  <c r="AK323" s="1"/>
  <c r="C320" i="45" s="1"/>
  <c r="AJ296" i="43"/>
  <c r="AK296" s="1"/>
  <c r="C293" i="45" s="1"/>
  <c r="AJ282" i="43"/>
  <c r="AK282" s="1"/>
  <c r="C279" i="45" s="1"/>
  <c r="AJ211" i="43"/>
  <c r="AK211" s="1"/>
  <c r="C208" i="45" s="1"/>
  <c r="T166" i="43"/>
  <c r="X166" s="1"/>
  <c r="AV66"/>
  <c r="CI166"/>
  <c r="CK166" s="1"/>
  <c r="EB81"/>
  <c r="AU81" s="1"/>
  <c r="BO81"/>
  <c r="W81"/>
  <c r="W166"/>
  <c r="BN166"/>
  <c r="BP166" s="1"/>
  <c r="CJ81"/>
  <c r="EB59"/>
  <c r="AU59" s="1"/>
  <c r="EB166"/>
  <c r="AJ166" s="1"/>
  <c r="AK166" s="1"/>
  <c r="C163" i="45" s="1"/>
  <c r="BN59" i="43"/>
  <c r="BP59" s="1"/>
  <c r="DB59"/>
  <c r="DD59" s="1"/>
  <c r="AV166"/>
  <c r="CI59"/>
  <c r="CK59" s="1"/>
  <c r="EB66"/>
  <c r="AU66" s="1"/>
  <c r="DB77"/>
  <c r="DD77" s="1"/>
  <c r="DB166"/>
  <c r="DD166" s="1"/>
  <c r="Y59"/>
  <c r="Q59" s="1"/>
  <c r="CJ166"/>
  <c r="Y166"/>
  <c r="Q166" s="1"/>
  <c r="AA166" s="1"/>
  <c r="AB166" s="1"/>
  <c r="EB72"/>
  <c r="AJ72" s="1"/>
  <c r="AK72" s="1"/>
  <c r="C69" i="45" s="1"/>
  <c r="Y72" i="43"/>
  <c r="EB77"/>
  <c r="AJ77" s="1"/>
  <c r="AK77" s="1"/>
  <c r="C74" i="45" s="1"/>
  <c r="W72" i="43"/>
  <c r="Y77"/>
  <c r="DB72"/>
  <c r="DD72" s="1"/>
  <c r="CI77"/>
  <c r="CK77" s="1"/>
  <c r="BN77"/>
  <c r="BP77" s="1"/>
  <c r="BN72"/>
  <c r="BP72" s="1"/>
  <c r="DB81"/>
  <c r="DD81" s="1"/>
  <c r="CI66"/>
  <c r="CK66" s="1"/>
  <c r="DB66"/>
  <c r="DD66" s="1"/>
  <c r="AV77"/>
  <c r="DC66"/>
  <c r="AV81"/>
  <c r="W77"/>
  <c r="CJ77"/>
  <c r="BO66"/>
  <c r="CI72"/>
  <c r="CK72" s="1"/>
  <c r="Y66"/>
  <c r="DC77"/>
  <c r="CJ66"/>
  <c r="BN66"/>
  <c r="BP66" s="1"/>
  <c r="DC81"/>
  <c r="CI81"/>
  <c r="CK81" s="1"/>
  <c r="AJ198"/>
  <c r="AK198" s="1"/>
  <c r="C195" i="45" s="1"/>
  <c r="CJ72" i="43"/>
  <c r="AV72"/>
  <c r="Y81"/>
  <c r="Q81" s="1"/>
  <c r="T81"/>
  <c r="DC72"/>
  <c r="X186"/>
  <c r="V342" i="45"/>
  <c r="BA306" i="43"/>
  <c r="AJ187"/>
  <c r="AK187" s="1"/>
  <c r="C184" i="45" s="1"/>
  <c r="AJ194" i="43"/>
  <c r="AK194" s="1"/>
  <c r="C191" i="45" s="1"/>
  <c r="AJ190" i="43"/>
  <c r="AK190" s="1"/>
  <c r="C187" i="45" s="1"/>
  <c r="X32" i="43"/>
  <c r="BO32"/>
  <c r="DC32"/>
  <c r="AJ32"/>
  <c r="AK32" s="1"/>
  <c r="C29" i="45" s="1"/>
  <c r="AV32" i="43"/>
  <c r="CJ32"/>
  <c r="AJ186"/>
  <c r="AK186" s="1"/>
  <c r="C183" i="45" s="1"/>
  <c r="AJ59" i="43"/>
  <c r="AJ197"/>
  <c r="AK197" s="1"/>
  <c r="C194" i="45" s="1"/>
  <c r="BA344" i="43"/>
  <c r="BA325"/>
  <c r="BA295"/>
  <c r="BA292"/>
  <c r="V288" i="45"/>
  <c r="J58" i="43"/>
  <c r="I58"/>
  <c r="X296"/>
  <c r="J255"/>
  <c r="I255"/>
  <c r="J247"/>
  <c r="I247"/>
  <c r="I214"/>
  <c r="J214"/>
  <c r="I205"/>
  <c r="J205"/>
  <c r="I202"/>
  <c r="J202"/>
  <c r="I200"/>
  <c r="I96"/>
  <c r="J96"/>
  <c r="I160"/>
  <c r="J160"/>
  <c r="I109"/>
  <c r="J109"/>
  <c r="J107"/>
  <c r="I107"/>
  <c r="I161"/>
  <c r="J161"/>
  <c r="I75"/>
  <c r="J75"/>
  <c r="J56"/>
  <c r="I56"/>
  <c r="J62"/>
  <c r="I62"/>
  <c r="I49"/>
  <c r="J49"/>
  <c r="I251"/>
  <c r="J251"/>
  <c r="I250"/>
  <c r="J250"/>
  <c r="K181"/>
  <c r="DB181" s="1"/>
  <c r="J173"/>
  <c r="I173"/>
  <c r="J171"/>
  <c r="I171"/>
  <c r="I149"/>
  <c r="K149" s="1"/>
  <c r="S149" s="1"/>
  <c r="J114"/>
  <c r="I114"/>
  <c r="I246"/>
  <c r="J246"/>
  <c r="I221"/>
  <c r="J221"/>
  <c r="I158"/>
  <c r="J158"/>
  <c r="I145"/>
  <c r="J145"/>
  <c r="I112"/>
  <c r="J112"/>
  <c r="J41"/>
  <c r="I41"/>
  <c r="I252"/>
  <c r="J252"/>
  <c r="I242"/>
  <c r="J242"/>
  <c r="J227"/>
  <c r="I227"/>
  <c r="I224"/>
  <c r="J224"/>
  <c r="I217"/>
  <c r="J217"/>
  <c r="J211"/>
  <c r="I211"/>
  <c r="J203"/>
  <c r="I203"/>
  <c r="J118"/>
  <c r="I118"/>
  <c r="I99"/>
  <c r="J99"/>
  <c r="J90"/>
  <c r="I90"/>
  <c r="I86"/>
  <c r="J86"/>
  <c r="I79"/>
  <c r="J79"/>
  <c r="J68"/>
  <c r="I68"/>
  <c r="I65"/>
  <c r="J65"/>
  <c r="I63"/>
  <c r="J63"/>
  <c r="I234"/>
  <c r="J234"/>
  <c r="I213"/>
  <c r="J213"/>
  <c r="I218"/>
  <c r="J218"/>
  <c r="J84"/>
  <c r="I84"/>
  <c r="J232"/>
  <c r="I232"/>
  <c r="J165"/>
  <c r="I165"/>
  <c r="J142"/>
  <c r="I142"/>
  <c r="J45"/>
  <c r="I45"/>
  <c r="I113"/>
  <c r="J113"/>
  <c r="I76"/>
  <c r="J76"/>
  <c r="I64"/>
  <c r="J64"/>
  <c r="I43"/>
  <c r="J43"/>
  <c r="J245"/>
  <c r="I245"/>
  <c r="J236"/>
  <c r="I236"/>
  <c r="J233"/>
  <c r="I233"/>
  <c r="I210"/>
  <c r="J210"/>
  <c r="J155"/>
  <c r="I155"/>
  <c r="I147"/>
  <c r="J147"/>
  <c r="I132"/>
  <c r="J132"/>
  <c r="I108"/>
  <c r="J108"/>
  <c r="J104"/>
  <c r="I104"/>
  <c r="I89"/>
  <c r="J89"/>
  <c r="I85"/>
  <c r="J85"/>
  <c r="X286"/>
  <c r="I172"/>
  <c r="J172"/>
  <c r="J143"/>
  <c r="I143"/>
  <c r="I124"/>
  <c r="J124"/>
  <c r="J50"/>
  <c r="I50"/>
  <c r="I39"/>
  <c r="J39"/>
  <c r="J98"/>
  <c r="I98"/>
  <c r="I38"/>
  <c r="J38"/>
  <c r="J53"/>
  <c r="I53"/>
  <c r="J46"/>
  <c r="I46"/>
  <c r="J212"/>
  <c r="I212"/>
  <c r="I222"/>
  <c r="J222"/>
  <c r="I131"/>
  <c r="J131"/>
  <c r="J122"/>
  <c r="I122"/>
  <c r="I119"/>
  <c r="J119"/>
  <c r="J115"/>
  <c r="I115"/>
  <c r="I102"/>
  <c r="J102"/>
  <c r="J87"/>
  <c r="I87"/>
  <c r="I67"/>
  <c r="J67"/>
  <c r="J47"/>
  <c r="I47"/>
  <c r="I237"/>
  <c r="J237"/>
  <c r="J248"/>
  <c r="I248"/>
  <c r="I138"/>
  <c r="J138"/>
  <c r="J95"/>
  <c r="I95"/>
  <c r="I151"/>
  <c r="J151"/>
  <c r="I141"/>
  <c r="J141"/>
  <c r="I74"/>
  <c r="J74"/>
  <c r="J216"/>
  <c r="I216"/>
  <c r="I249"/>
  <c r="J249"/>
  <c r="J241"/>
  <c r="I241"/>
  <c r="J208"/>
  <c r="I208"/>
  <c r="I168"/>
  <c r="J168"/>
  <c r="I150"/>
  <c r="K150" s="1"/>
  <c r="S150" s="1"/>
  <c r="I127"/>
  <c r="J127"/>
  <c r="J70"/>
  <c r="I70"/>
  <c r="J36"/>
  <c r="I36"/>
  <c r="J97"/>
  <c r="I97"/>
  <c r="I80"/>
  <c r="J80"/>
  <c r="I254"/>
  <c r="J254"/>
  <c r="I244"/>
  <c r="J244"/>
  <c r="J239"/>
  <c r="I239"/>
  <c r="I226"/>
  <c r="J226"/>
  <c r="I220"/>
  <c r="J220"/>
  <c r="J215"/>
  <c r="I215"/>
  <c r="I207"/>
  <c r="J207"/>
  <c r="I169"/>
  <c r="J169"/>
  <c r="J110"/>
  <c r="I110"/>
  <c r="I93"/>
  <c r="J93"/>
  <c r="I88"/>
  <c r="J88"/>
  <c r="I83"/>
  <c r="J83"/>
  <c r="J71"/>
  <c r="I71"/>
  <c r="J61"/>
  <c r="I61"/>
  <c r="I231"/>
  <c r="J231"/>
  <c r="J54"/>
  <c r="I54"/>
  <c r="I253"/>
  <c r="J253"/>
  <c r="I240"/>
  <c r="J240"/>
  <c r="J229"/>
  <c r="I229"/>
  <c r="I204"/>
  <c r="J204"/>
  <c r="J201"/>
  <c r="I201"/>
  <c r="J159"/>
  <c r="I159"/>
  <c r="J129"/>
  <c r="I129"/>
  <c r="I157"/>
  <c r="J157"/>
  <c r="J137"/>
  <c r="I137"/>
  <c r="I130"/>
  <c r="J130"/>
  <c r="I128"/>
  <c r="J128"/>
  <c r="I123"/>
  <c r="J123"/>
  <c r="I73"/>
  <c r="J73"/>
  <c r="J52"/>
  <c r="I52"/>
  <c r="I42"/>
  <c r="J42"/>
  <c r="I228"/>
  <c r="J228"/>
  <c r="J140"/>
  <c r="I140"/>
  <c r="I125"/>
  <c r="J125"/>
  <c r="I51"/>
  <c r="J51"/>
  <c r="I136"/>
  <c r="J136"/>
  <c r="I92"/>
  <c r="J92"/>
  <c r="I243"/>
  <c r="J243"/>
  <c r="I235"/>
  <c r="J235"/>
  <c r="I223"/>
  <c r="J223"/>
  <c r="I206"/>
  <c r="J206"/>
  <c r="I163"/>
  <c r="J163"/>
  <c r="I152"/>
  <c r="J152"/>
  <c r="I144"/>
  <c r="J144"/>
  <c r="I111"/>
  <c r="J111"/>
  <c r="J106"/>
  <c r="I106"/>
  <c r="J101"/>
  <c r="I101"/>
  <c r="I82"/>
  <c r="J82"/>
  <c r="I167"/>
  <c r="J167"/>
  <c r="I135"/>
  <c r="J135"/>
  <c r="J69"/>
  <c r="I69"/>
  <c r="J55"/>
  <c r="I55"/>
  <c r="J44"/>
  <c r="I44"/>
  <c r="I57"/>
  <c r="J57"/>
  <c r="I37"/>
  <c r="J37"/>
  <c r="J30"/>
  <c r="I30"/>
  <c r="I23"/>
  <c r="J23"/>
  <c r="I33"/>
  <c r="J33"/>
  <c r="I31"/>
  <c r="J31"/>
  <c r="I27"/>
  <c r="J27"/>
  <c r="I22"/>
  <c r="J22"/>
  <c r="I26"/>
  <c r="J26"/>
  <c r="J28"/>
  <c r="I28"/>
  <c r="I25"/>
  <c r="J25"/>
  <c r="X294"/>
  <c r="X292"/>
  <c r="X291"/>
  <c r="N41" i="22"/>
  <c r="O9"/>
  <c r="N43"/>
  <c r="X285" i="43"/>
  <c r="DC181" l="1"/>
  <c r="T181"/>
  <c r="BO181"/>
  <c r="CJ181"/>
  <c r="K159"/>
  <c r="Q77"/>
  <c r="AA77" s="1"/>
  <c r="AB77" s="1"/>
  <c r="Q66"/>
  <c r="AA66" s="1"/>
  <c r="AB66" s="1"/>
  <c r="Q72"/>
  <c r="AY72" s="1"/>
  <c r="X59"/>
  <c r="X81"/>
  <c r="X72"/>
  <c r="X77"/>
  <c r="X66"/>
  <c r="CK356"/>
  <c r="EB355"/>
  <c r="Y355"/>
  <c r="DB355"/>
  <c r="DD355" s="1"/>
  <c r="BN355"/>
  <c r="BP355" s="1"/>
  <c r="S355"/>
  <c r="X355" s="1"/>
  <c r="CK355"/>
  <c r="S351"/>
  <c r="X351" s="1"/>
  <c r="S352"/>
  <c r="X352" s="1"/>
  <c r="Y349"/>
  <c r="DB325"/>
  <c r="DD325" s="1"/>
  <c r="BN342"/>
  <c r="BP342" s="1"/>
  <c r="Y350"/>
  <c r="EB343"/>
  <c r="EB339"/>
  <c r="R339" s="1"/>
  <c r="EB338"/>
  <c r="S339"/>
  <c r="X339" s="1"/>
  <c r="Y323"/>
  <c r="Q323" s="1"/>
  <c r="S334"/>
  <c r="X334" s="1"/>
  <c r="Y332"/>
  <c r="Q332" s="1"/>
  <c r="S330"/>
  <c r="X330" s="1"/>
  <c r="S329"/>
  <c r="X329" s="1"/>
  <c r="Y317"/>
  <c r="Q317" s="1"/>
  <c r="DB324"/>
  <c r="DD324" s="1"/>
  <c r="S326"/>
  <c r="X326" s="1"/>
  <c r="S319"/>
  <c r="X319" s="1"/>
  <c r="S318"/>
  <c r="X318" s="1"/>
  <c r="R182"/>
  <c r="AU182"/>
  <c r="AH182" s="1"/>
  <c r="EN182" s="1"/>
  <c r="EB288"/>
  <c r="AU186"/>
  <c r="AH186" s="1"/>
  <c r="AI186" s="1"/>
  <c r="D183" i="45" s="1"/>
  <c r="U183" s="1"/>
  <c r="CK291" i="43"/>
  <c r="DD291"/>
  <c r="CK290"/>
  <c r="BN287"/>
  <c r="BP287" s="1"/>
  <c r="K253"/>
  <c r="BN290"/>
  <c r="BP290" s="1"/>
  <c r="EH182"/>
  <c r="K245"/>
  <c r="K251"/>
  <c r="K252"/>
  <c r="K246"/>
  <c r="K250"/>
  <c r="K254"/>
  <c r="K255"/>
  <c r="K249"/>
  <c r="K240"/>
  <c r="K231"/>
  <c r="K244"/>
  <c r="K124"/>
  <c r="K242"/>
  <c r="K197"/>
  <c r="EB197" s="1"/>
  <c r="K160"/>
  <c r="K233"/>
  <c r="K247"/>
  <c r="K248"/>
  <c r="K239"/>
  <c r="K241"/>
  <c r="K237"/>
  <c r="K190"/>
  <c r="BN190" s="1"/>
  <c r="BP190" s="1"/>
  <c r="K236"/>
  <c r="K165"/>
  <c r="S165" s="1"/>
  <c r="K243"/>
  <c r="K235"/>
  <c r="K234"/>
  <c r="K199"/>
  <c r="K188"/>
  <c r="Y188" s="1"/>
  <c r="K232"/>
  <c r="R32"/>
  <c r="AY182"/>
  <c r="V179" i="45" s="1"/>
  <c r="R59" i="43"/>
  <c r="EH186"/>
  <c r="BA249"/>
  <c r="AV201"/>
  <c r="AY186"/>
  <c r="V183" i="45" s="1"/>
  <c r="EH32" i="43"/>
  <c r="BA243"/>
  <c r="R81"/>
  <c r="AA32"/>
  <c r="AB32" s="1"/>
  <c r="K183"/>
  <c r="CI183" s="1"/>
  <c r="CK183" s="1"/>
  <c r="K185"/>
  <c r="S185" s="1"/>
  <c r="X185" s="1"/>
  <c r="K194"/>
  <c r="K195"/>
  <c r="CI195" s="1"/>
  <c r="CK195" s="1"/>
  <c r="V305" i="45"/>
  <c r="K193" i="43"/>
  <c r="EB193" s="1"/>
  <c r="AU166"/>
  <c r="AH166" s="1"/>
  <c r="EN166" s="1"/>
  <c r="K184"/>
  <c r="CI184" s="1"/>
  <c r="CK184" s="1"/>
  <c r="K196"/>
  <c r="BN196" s="1"/>
  <c r="BP196" s="1"/>
  <c r="K147"/>
  <c r="K192"/>
  <c r="BN192" s="1"/>
  <c r="BP192" s="1"/>
  <c r="K114"/>
  <c r="CI196"/>
  <c r="CK196" s="1"/>
  <c r="R66"/>
  <c r="BA276"/>
  <c r="AU72"/>
  <c r="AH72" s="1"/>
  <c r="EN72" s="1"/>
  <c r="R72"/>
  <c r="DD193"/>
  <c r="K189"/>
  <c r="AH32"/>
  <c r="AI32" s="1"/>
  <c r="S181"/>
  <c r="BN181"/>
  <c r="BP181" s="1"/>
  <c r="CI181"/>
  <c r="CK181" s="1"/>
  <c r="W181"/>
  <c r="EB181"/>
  <c r="DD181"/>
  <c r="Y181"/>
  <c r="AJ81"/>
  <c r="AK81" s="1"/>
  <c r="C78" i="45" s="1"/>
  <c r="K179" i="43"/>
  <c r="K177"/>
  <c r="K176"/>
  <c r="Y176" s="1"/>
  <c r="EH72"/>
  <c r="EH59"/>
  <c r="EH166"/>
  <c r="AH66"/>
  <c r="AI66" s="1"/>
  <c r="D63" i="45" s="1"/>
  <c r="U63" s="1"/>
  <c r="AH59" i="43"/>
  <c r="AI59" s="1"/>
  <c r="D56" i="45" s="1"/>
  <c r="U56" s="1"/>
  <c r="BA252" i="43"/>
  <c r="BA342"/>
  <c r="AJ66"/>
  <c r="AK66" s="1"/>
  <c r="C63" i="45" s="1"/>
  <c r="EH81" i="43"/>
  <c r="EH66"/>
  <c r="K76"/>
  <c r="R166"/>
  <c r="K41"/>
  <c r="S41" s="1"/>
  <c r="X41" s="1"/>
  <c r="V315" i="45"/>
  <c r="AY166" i="43"/>
  <c r="BA166" s="1"/>
  <c r="K173"/>
  <c r="Y173" s="1"/>
  <c r="K137"/>
  <c r="K122"/>
  <c r="R77"/>
  <c r="V261" i="45"/>
  <c r="K175" i="43"/>
  <c r="BN175" s="1"/>
  <c r="BP175" s="1"/>
  <c r="K169"/>
  <c r="K115"/>
  <c r="K172"/>
  <c r="BN172" s="1"/>
  <c r="BP172" s="1"/>
  <c r="K132"/>
  <c r="K174"/>
  <c r="K171"/>
  <c r="AH81"/>
  <c r="AI81" s="1"/>
  <c r="AU77"/>
  <c r="AH77" s="1"/>
  <c r="EN77" s="1"/>
  <c r="K123"/>
  <c r="K138"/>
  <c r="K158"/>
  <c r="EH77"/>
  <c r="BA286"/>
  <c r="S172"/>
  <c r="V310" i="45"/>
  <c r="V238"/>
  <c r="V309"/>
  <c r="V282"/>
  <c r="K168" i="43"/>
  <c r="S168" s="1"/>
  <c r="K142"/>
  <c r="K68"/>
  <c r="K130"/>
  <c r="K157"/>
  <c r="K155"/>
  <c r="K167"/>
  <c r="S167" s="1"/>
  <c r="K111"/>
  <c r="K152"/>
  <c r="K136"/>
  <c r="K141"/>
  <c r="K131"/>
  <c r="K89"/>
  <c r="K112"/>
  <c r="K161"/>
  <c r="K140"/>
  <c r="K135"/>
  <c r="K82"/>
  <c r="K144"/>
  <c r="K163"/>
  <c r="DC163" s="1"/>
  <c r="K92"/>
  <c r="K125"/>
  <c r="K129"/>
  <c r="K71"/>
  <c r="K110"/>
  <c r="K127"/>
  <c r="K151"/>
  <c r="K119"/>
  <c r="K143"/>
  <c r="K145"/>
  <c r="K128"/>
  <c r="K113"/>
  <c r="K107"/>
  <c r="BA246"/>
  <c r="BA333"/>
  <c r="T150"/>
  <c r="X150" s="1"/>
  <c r="CI150"/>
  <c r="CK150" s="1"/>
  <c r="EB150"/>
  <c r="AJ150" s="1"/>
  <c r="AV150"/>
  <c r="DC150"/>
  <c r="W150"/>
  <c r="DB150"/>
  <c r="DD150" s="1"/>
  <c r="BO150"/>
  <c r="CJ150"/>
  <c r="Y150"/>
  <c r="Q150" s="1"/>
  <c r="BN150"/>
  <c r="BP150" s="1"/>
  <c r="T149"/>
  <c r="X149" s="1"/>
  <c r="CI149"/>
  <c r="CK149" s="1"/>
  <c r="BO149"/>
  <c r="AV149"/>
  <c r="W149"/>
  <c r="EB149"/>
  <c r="AJ149" s="1"/>
  <c r="AK149" s="1"/>
  <c r="C146" i="45" s="1"/>
  <c r="BN149" i="43"/>
  <c r="BP149" s="1"/>
  <c r="CJ149"/>
  <c r="DC149"/>
  <c r="DB149"/>
  <c r="DD149" s="1"/>
  <c r="Y149"/>
  <c r="Q149" s="1"/>
  <c r="BA32"/>
  <c r="V332" i="45"/>
  <c r="BA303" i="43"/>
  <c r="V255" i="45"/>
  <c r="V242"/>
  <c r="V304"/>
  <c r="BA254" i="43"/>
  <c r="BA296"/>
  <c r="BA283"/>
  <c r="V348" i="45"/>
  <c r="V241"/>
  <c r="K118" i="43"/>
  <c r="V316" i="45"/>
  <c r="K84" i="43"/>
  <c r="K109"/>
  <c r="K96"/>
  <c r="K101"/>
  <c r="K83"/>
  <c r="K93"/>
  <c r="K70"/>
  <c r="K98"/>
  <c r="K50"/>
  <c r="S50" s="1"/>
  <c r="K104"/>
  <c r="K108"/>
  <c r="K106"/>
  <c r="S106" s="1"/>
  <c r="K88"/>
  <c r="S88" s="1"/>
  <c r="K102"/>
  <c r="K85"/>
  <c r="K86"/>
  <c r="K99"/>
  <c r="K62"/>
  <c r="CI62" s="1"/>
  <c r="CK62" s="1"/>
  <c r="K57"/>
  <c r="AV57" s="1"/>
  <c r="K97"/>
  <c r="K95"/>
  <c r="K87"/>
  <c r="K90"/>
  <c r="BA271"/>
  <c r="V345" i="45"/>
  <c r="AY59" i="43"/>
  <c r="AA59"/>
  <c r="AB59" s="1"/>
  <c r="AY81"/>
  <c r="AA81"/>
  <c r="AB81" s="1"/>
  <c r="K61"/>
  <c r="K80"/>
  <c r="K75"/>
  <c r="K74"/>
  <c r="K67"/>
  <c r="K64"/>
  <c r="K63"/>
  <c r="K65"/>
  <c r="K55"/>
  <c r="S55" s="1"/>
  <c r="X55" s="1"/>
  <c r="K56"/>
  <c r="S56" s="1"/>
  <c r="K58"/>
  <c r="K73"/>
  <c r="K79"/>
  <c r="BA330"/>
  <c r="K69"/>
  <c r="BA341"/>
  <c r="V344" i="45"/>
  <c r="K28" i="43"/>
  <c r="S28" s="1"/>
  <c r="K53"/>
  <c r="S53" s="1"/>
  <c r="BO28"/>
  <c r="DC28"/>
  <c r="CJ28"/>
  <c r="AV28"/>
  <c r="DC57"/>
  <c r="CJ57"/>
  <c r="BO57"/>
  <c r="BO53"/>
  <c r="CJ53"/>
  <c r="DC53"/>
  <c r="AV53"/>
  <c r="AV41"/>
  <c r="BO41"/>
  <c r="CJ41"/>
  <c r="DC41"/>
  <c r="AV56"/>
  <c r="DC56"/>
  <c r="AJ56"/>
  <c r="CJ56"/>
  <c r="BO56"/>
  <c r="AK59"/>
  <c r="AV55"/>
  <c r="CJ55"/>
  <c r="BO55"/>
  <c r="DC55"/>
  <c r="K33"/>
  <c r="S33" s="1"/>
  <c r="K23"/>
  <c r="S23" s="1"/>
  <c r="K52"/>
  <c r="S52" s="1"/>
  <c r="K54"/>
  <c r="S54" s="1"/>
  <c r="K36"/>
  <c r="S36" s="1"/>
  <c r="CJ61"/>
  <c r="DC61"/>
  <c r="AV61"/>
  <c r="BO61"/>
  <c r="DC50"/>
  <c r="BO50"/>
  <c r="CJ50"/>
  <c r="AV50"/>
  <c r="DC58"/>
  <c r="BO58"/>
  <c r="AV58"/>
  <c r="CJ58"/>
  <c r="K44"/>
  <c r="S44" s="1"/>
  <c r="K47"/>
  <c r="S47" s="1"/>
  <c r="K45"/>
  <c r="S45" s="1"/>
  <c r="V354" i="45"/>
  <c r="BA357" i="43"/>
  <c r="BA274"/>
  <c r="V271" i="45"/>
  <c r="BA354" i="43"/>
  <c r="V351" i="45"/>
  <c r="K26" i="43"/>
  <c r="S26" s="1"/>
  <c r="K27"/>
  <c r="S27" s="1"/>
  <c r="K30"/>
  <c r="S30" s="1"/>
  <c r="K37"/>
  <c r="S37" s="1"/>
  <c r="K43"/>
  <c r="S43" s="1"/>
  <c r="BA339"/>
  <c r="V336" i="45"/>
  <c r="K49" i="43"/>
  <c r="S49" s="1"/>
  <c r="K25"/>
  <c r="S25" s="1"/>
  <c r="K22"/>
  <c r="S22" s="1"/>
  <c r="K31"/>
  <c r="S31" s="1"/>
  <c r="K51"/>
  <c r="S51" s="1"/>
  <c r="K46"/>
  <c r="S46" s="1"/>
  <c r="K38"/>
  <c r="S38" s="1"/>
  <c r="K39"/>
  <c r="S39" s="1"/>
  <c r="BA262"/>
  <c r="V302" i="45"/>
  <c r="BA305" i="43"/>
  <c r="V347" i="45"/>
  <c r="K42" i="43"/>
  <c r="DB42" s="1"/>
  <c r="DD42" s="1"/>
  <c r="V334" i="45"/>
  <c r="BA337" i="43"/>
  <c r="BA355"/>
  <c r="V352" i="45"/>
  <c r="BA356" i="43"/>
  <c r="V353" i="45"/>
  <c r="BA326" i="43"/>
  <c r="V323" i="45"/>
  <c r="V326"/>
  <c r="BA329" i="43"/>
  <c r="V294" i="45"/>
  <c r="BA297" i="43"/>
  <c r="V346" i="45"/>
  <c r="BA349" i="43"/>
  <c r="V350" i="45"/>
  <c r="BA353" i="43"/>
  <c r="I209"/>
  <c r="J209"/>
  <c r="I156"/>
  <c r="J156"/>
  <c r="V306" i="45"/>
  <c r="BA309" i="43"/>
  <c r="J230"/>
  <c r="I230"/>
  <c r="I116"/>
  <c r="J116"/>
  <c r="I153"/>
  <c r="J153"/>
  <c r="BA280"/>
  <c r="V277" i="45"/>
  <c r="I94" i="43"/>
  <c r="J94"/>
  <c r="J162"/>
  <c r="I162"/>
  <c r="BA281"/>
  <c r="V278" i="45"/>
  <c r="I170" i="43"/>
  <c r="J170"/>
  <c r="I133"/>
  <c r="J133"/>
  <c r="BA260"/>
  <c r="BA320"/>
  <c r="V317" i="45"/>
  <c r="V279"/>
  <c r="BA282" i="43"/>
  <c r="V313" i="45"/>
  <c r="BA316" i="43"/>
  <c r="I100"/>
  <c r="J100"/>
  <c r="J219"/>
  <c r="I219"/>
  <c r="I238"/>
  <c r="J238"/>
  <c r="I120"/>
  <c r="J120"/>
  <c r="J78"/>
  <c r="I78"/>
  <c r="I134"/>
  <c r="J134"/>
  <c r="I105"/>
  <c r="J105"/>
  <c r="V324" i="45"/>
  <c r="BA327" i="43"/>
  <c r="BA272"/>
  <c r="V269" i="45"/>
  <c r="I139" i="43"/>
  <c r="J139"/>
  <c r="BA256"/>
  <c r="V253" i="45"/>
  <c r="BA261" i="43"/>
  <c r="I154"/>
  <c r="J154"/>
  <c r="V301" i="45"/>
  <c r="BA304" i="43"/>
  <c r="J91"/>
  <c r="I91"/>
  <c r="J146"/>
  <c r="I146"/>
  <c r="I117"/>
  <c r="J117"/>
  <c r="BA293"/>
  <c r="V290" i="45"/>
  <c r="I103" i="43"/>
  <c r="J103"/>
  <c r="J225"/>
  <c r="I225"/>
  <c r="BA294"/>
  <c r="V291" i="45"/>
  <c r="I164" i="43"/>
  <c r="J164"/>
  <c r="J256"/>
  <c r="I256"/>
  <c r="J60"/>
  <c r="I60"/>
  <c r="BA298"/>
  <c r="V295" i="45"/>
  <c r="J148" i="43"/>
  <c r="I148"/>
  <c r="V297" i="45"/>
  <c r="BA300" i="43"/>
  <c r="V343" i="45"/>
  <c r="BA346" i="43"/>
  <c r="I121"/>
  <c r="J121"/>
  <c r="J126"/>
  <c r="I126"/>
  <c r="BA289"/>
  <c r="V286" i="45"/>
  <c r="BA290" i="43"/>
  <c r="V287" i="45"/>
  <c r="V329"/>
  <c r="BA332" i="43"/>
  <c r="BA336"/>
  <c r="V333" i="45"/>
  <c r="V245"/>
  <c r="BA248" i="43"/>
  <c r="BA314"/>
  <c r="V311" i="45"/>
  <c r="V340"/>
  <c r="BA343" i="43"/>
  <c r="V325" i="45"/>
  <c r="BA328" i="43"/>
  <c r="BA331"/>
  <c r="V328" i="45"/>
  <c r="F30" i="22"/>
  <c r="BA278" i="43"/>
  <c r="V275" i="45"/>
  <c r="V247"/>
  <c r="BA250" i="43"/>
  <c r="BA299"/>
  <c r="V296" i="45"/>
  <c r="V349"/>
  <c r="BA352" i="43"/>
  <c r="V299" i="45"/>
  <c r="BA302" i="43"/>
  <c r="BA270"/>
  <c r="V267" i="45"/>
  <c r="F34" i="22"/>
  <c r="V307" i="45"/>
  <c r="BA310" i="43"/>
  <c r="V320" i="45"/>
  <c r="BA323" i="43"/>
  <c r="V263" i="45"/>
  <c r="BA266" i="43"/>
  <c r="V331" i="45"/>
  <c r="BA334" i="43"/>
  <c r="V248" i="45"/>
  <c r="BA251" i="43"/>
  <c r="BA340"/>
  <c r="V337" i="45"/>
  <c r="V314"/>
  <c r="BA317" i="43"/>
  <c r="BA267"/>
  <c r="V264" i="45"/>
  <c r="V256"/>
  <c r="BA259" i="43"/>
  <c r="V312" i="45"/>
  <c r="BA315" i="43"/>
  <c r="V335" i="45"/>
  <c r="BA338" i="43"/>
  <c r="F28" i="22"/>
  <c r="BA288" i="43"/>
  <c r="V285" i="45"/>
  <c r="V355"/>
  <c r="BA358" i="43"/>
  <c r="V308" i="45"/>
  <c r="BA311" i="43"/>
  <c r="V252" i="45"/>
  <c r="BA255" i="43"/>
  <c r="BA287"/>
  <c r="V284" i="45"/>
  <c r="BA265" i="43"/>
  <c r="V262" i="45"/>
  <c r="V276"/>
  <c r="BA279" i="43"/>
  <c r="BA253"/>
  <c r="V250" i="45"/>
  <c r="BA263" i="43"/>
  <c r="V321" i="45"/>
  <c r="BA324" i="43"/>
  <c r="V298" i="45"/>
  <c r="BA301" i="43"/>
  <c r="V318" i="45"/>
  <c r="BA321" i="43"/>
  <c r="V266" i="45"/>
  <c r="BA269" i="43"/>
  <c r="V272" i="45"/>
  <c r="BA275" i="43"/>
  <c r="BA273"/>
  <c r="V270" i="45"/>
  <c r="V244"/>
  <c r="BA247" i="43"/>
  <c r="O53" i="22"/>
  <c r="N52"/>
  <c r="O41"/>
  <c r="O52"/>
  <c r="N53"/>
  <c r="O43"/>
  <c r="V254" i="45"/>
  <c r="BA257" i="43"/>
  <c r="V265" i="45"/>
  <c r="BA268" i="43"/>
  <c r="V281" i="45"/>
  <c r="BA284" i="43"/>
  <c r="V274" i="45"/>
  <c r="BA277" i="43"/>
  <c r="V319" i="45"/>
  <c r="BA322" i="43"/>
  <c r="Q355" l="1"/>
  <c r="AA355" s="1"/>
  <c r="AB355" s="1"/>
  <c r="K256"/>
  <c r="W256" s="1"/>
  <c r="K230"/>
  <c r="DC167"/>
  <c r="DC165"/>
  <c r="BN197"/>
  <c r="BP197" s="1"/>
  <c r="CI197"/>
  <c r="CK197" s="1"/>
  <c r="EB195"/>
  <c r="AU195" s="1"/>
  <c r="BN195"/>
  <c r="BP195" s="1"/>
  <c r="DB195"/>
  <c r="DD195" s="1"/>
  <c r="EB196"/>
  <c r="R196" s="1"/>
  <c r="AY66"/>
  <c r="V63" i="45" s="1"/>
  <c r="X181" i="43"/>
  <c r="BO165"/>
  <c r="AV165"/>
  <c r="T165"/>
  <c r="X165" s="1"/>
  <c r="CJ165"/>
  <c r="EB173"/>
  <c r="AU173" s="1"/>
  <c r="T168"/>
  <c r="X168" s="1"/>
  <c r="AV168"/>
  <c r="AY77"/>
  <c r="T167"/>
  <c r="X167" s="1"/>
  <c r="BO167"/>
  <c r="CJ168"/>
  <c r="CJ167"/>
  <c r="AV163"/>
  <c r="AA72"/>
  <c r="AB72" s="1"/>
  <c r="DC62"/>
  <c r="BO62"/>
  <c r="AV62"/>
  <c r="CJ62"/>
  <c r="S61"/>
  <c r="T61"/>
  <c r="S58"/>
  <c r="T58"/>
  <c r="S57"/>
  <c r="T57"/>
  <c r="Y356"/>
  <c r="Q356" s="1"/>
  <c r="AY356" s="1"/>
  <c r="DB351"/>
  <c r="DD351" s="1"/>
  <c r="EB356"/>
  <c r="R356" s="1"/>
  <c r="CK323"/>
  <c r="BN317"/>
  <c r="BP317" s="1"/>
  <c r="Y352"/>
  <c r="Q352" s="1"/>
  <c r="AY352" s="1"/>
  <c r="BN356"/>
  <c r="BP356" s="1"/>
  <c r="CK352"/>
  <c r="S349"/>
  <c r="X349" s="1"/>
  <c r="EB291"/>
  <c r="AU291" s="1"/>
  <c r="BN349"/>
  <c r="BP349" s="1"/>
  <c r="EB352"/>
  <c r="R352" s="1"/>
  <c r="DB356"/>
  <c r="DD356" s="1"/>
  <c r="BN291"/>
  <c r="BP291" s="1"/>
  <c r="DB317"/>
  <c r="DD317" s="1"/>
  <c r="DB349"/>
  <c r="DD349" s="1"/>
  <c r="Y338"/>
  <c r="EB284"/>
  <c r="AU284" s="1"/>
  <c r="BN284"/>
  <c r="BP284" s="1"/>
  <c r="S307"/>
  <c r="X307" s="1"/>
  <c r="EB307"/>
  <c r="AU307" s="1"/>
  <c r="CK307"/>
  <c r="BN307"/>
  <c r="BP307" s="1"/>
  <c r="DB307"/>
  <c r="DD307" s="1"/>
  <c r="S305"/>
  <c r="X305" s="1"/>
  <c r="EB305"/>
  <c r="AU305" s="1"/>
  <c r="CK305"/>
  <c r="BN305"/>
  <c r="BP305" s="1"/>
  <c r="DB305"/>
  <c r="DD305" s="1"/>
  <c r="BN313"/>
  <c r="BP313" s="1"/>
  <c r="CK313"/>
  <c r="EB313"/>
  <c r="AU313" s="1"/>
  <c r="DB313"/>
  <c r="DD313" s="1"/>
  <c r="S315"/>
  <c r="X315" s="1"/>
  <c r="CK315"/>
  <c r="EB315"/>
  <c r="AU315" s="1"/>
  <c r="DB315"/>
  <c r="DD315" s="1"/>
  <c r="BN315"/>
  <c r="BP315" s="1"/>
  <c r="S314"/>
  <c r="X314" s="1"/>
  <c r="BN314"/>
  <c r="BP314" s="1"/>
  <c r="CK314"/>
  <c r="DB314"/>
  <c r="DD314" s="1"/>
  <c r="EB314"/>
  <c r="AU314" s="1"/>
  <c r="BN303"/>
  <c r="BP303" s="1"/>
  <c r="CK303"/>
  <c r="EB303"/>
  <c r="AU303" s="1"/>
  <c r="DB303"/>
  <c r="DD303" s="1"/>
  <c r="BN283"/>
  <c r="BP283" s="1"/>
  <c r="EB283"/>
  <c r="AU283" s="1"/>
  <c r="X302"/>
  <c r="BN302"/>
  <c r="BP302" s="1"/>
  <c r="EB302"/>
  <c r="AU302" s="1"/>
  <c r="S308"/>
  <c r="X308" s="1"/>
  <c r="BN308"/>
  <c r="BP308" s="1"/>
  <c r="EB308"/>
  <c r="AU308" s="1"/>
  <c r="CK308"/>
  <c r="DB308"/>
  <c r="DD308" s="1"/>
  <c r="DB306"/>
  <c r="DD306" s="1"/>
  <c r="CK306"/>
  <c r="EB306"/>
  <c r="AU306" s="1"/>
  <c r="BN306"/>
  <c r="BP306" s="1"/>
  <c r="CK311"/>
  <c r="BN311"/>
  <c r="BP311" s="1"/>
  <c r="EB311"/>
  <c r="AU311" s="1"/>
  <c r="DB311"/>
  <c r="DD311" s="1"/>
  <c r="EB349"/>
  <c r="R349" s="1"/>
  <c r="S350"/>
  <c r="X350" s="1"/>
  <c r="DB352"/>
  <c r="DD352" s="1"/>
  <c r="BN352"/>
  <c r="BP352" s="1"/>
  <c r="S356"/>
  <c r="X356" s="1"/>
  <c r="S310"/>
  <c r="X310" s="1"/>
  <c r="BN310"/>
  <c r="BP310" s="1"/>
  <c r="DB310"/>
  <c r="DD310" s="1"/>
  <c r="EB310"/>
  <c r="R310" s="1"/>
  <c r="S312"/>
  <c r="X312" s="1"/>
  <c r="BN312"/>
  <c r="BP312" s="1"/>
  <c r="DB312"/>
  <c r="DD312" s="1"/>
  <c r="EB312"/>
  <c r="AU312" s="1"/>
  <c r="CK312"/>
  <c r="EB323"/>
  <c r="R323" s="1"/>
  <c r="DB350"/>
  <c r="DD350" s="1"/>
  <c r="Y351"/>
  <c r="Q351" s="1"/>
  <c r="AY351" s="1"/>
  <c r="BA351" s="1"/>
  <c r="EB350"/>
  <c r="AU350" s="1"/>
  <c r="CK339"/>
  <c r="CK349"/>
  <c r="BN350"/>
  <c r="BP350" s="1"/>
  <c r="T64"/>
  <c r="S64"/>
  <c r="T80"/>
  <c r="S80"/>
  <c r="BO87"/>
  <c r="S87"/>
  <c r="BO102"/>
  <c r="S102"/>
  <c r="Y104"/>
  <c r="S104"/>
  <c r="CJ93"/>
  <c r="S93"/>
  <c r="T109"/>
  <c r="S109"/>
  <c r="CJ113"/>
  <c r="S113"/>
  <c r="T119"/>
  <c r="S119"/>
  <c r="T71"/>
  <c r="S71"/>
  <c r="AV140"/>
  <c r="S140"/>
  <c r="BN89"/>
  <c r="BP89" s="1"/>
  <c r="S89"/>
  <c r="DC152"/>
  <c r="S152"/>
  <c r="CI157"/>
  <c r="CK157" s="1"/>
  <c r="S157"/>
  <c r="T132"/>
  <c r="S132"/>
  <c r="BO159"/>
  <c r="S159"/>
  <c r="T76"/>
  <c r="S76"/>
  <c r="W194"/>
  <c r="S194"/>
  <c r="W211"/>
  <c r="DB211"/>
  <c r="DD211" s="1"/>
  <c r="EB211"/>
  <c r="R211" s="1"/>
  <c r="CI211"/>
  <c r="CK211" s="1"/>
  <c r="S211"/>
  <c r="X211" s="1"/>
  <c r="BN211"/>
  <c r="BP211" s="1"/>
  <c r="Y228"/>
  <c r="S228"/>
  <c r="X228" s="1"/>
  <c r="CI228"/>
  <c r="CK228" s="1"/>
  <c r="BN228"/>
  <c r="BP228" s="1"/>
  <c r="DB228"/>
  <c r="DD228" s="1"/>
  <c r="EB228"/>
  <c r="AU228" s="1"/>
  <c r="Y232"/>
  <c r="S232"/>
  <c r="X232" s="1"/>
  <c r="CI232"/>
  <c r="CK232" s="1"/>
  <c r="EB232"/>
  <c r="AU232" s="1"/>
  <c r="DB232"/>
  <c r="DD232" s="1"/>
  <c r="BN232"/>
  <c r="BP232" s="1"/>
  <c r="S223"/>
  <c r="X223" s="1"/>
  <c r="EB223"/>
  <c r="BN223"/>
  <c r="BP223" s="1"/>
  <c r="DB223"/>
  <c r="DD223" s="1"/>
  <c r="CI223"/>
  <c r="CK223" s="1"/>
  <c r="W214"/>
  <c r="S214"/>
  <c r="X214" s="1"/>
  <c r="DB214"/>
  <c r="DD214" s="1"/>
  <c r="BN214"/>
  <c r="BP214" s="1"/>
  <c r="CI214"/>
  <c r="CK214" s="1"/>
  <c r="EB214"/>
  <c r="AU214" s="1"/>
  <c r="S215"/>
  <c r="X215" s="1"/>
  <c r="DB215"/>
  <c r="DD215" s="1"/>
  <c r="BN215"/>
  <c r="BP215" s="1"/>
  <c r="CI215"/>
  <c r="CK215" s="1"/>
  <c r="EB215"/>
  <c r="R215" s="1"/>
  <c r="S203"/>
  <c r="X203" s="1"/>
  <c r="EB203"/>
  <c r="AU203" s="1"/>
  <c r="DB203"/>
  <c r="DD203" s="1"/>
  <c r="BN203"/>
  <c r="BP203" s="1"/>
  <c r="CI203"/>
  <c r="CK203" s="1"/>
  <c r="S239"/>
  <c r="X239" s="1"/>
  <c r="CI239"/>
  <c r="CK239" s="1"/>
  <c r="DB239"/>
  <c r="DD239" s="1"/>
  <c r="BN239"/>
  <c r="BP239" s="1"/>
  <c r="EB239"/>
  <c r="AU239" s="1"/>
  <c r="Y160"/>
  <c r="S160"/>
  <c r="W210"/>
  <c r="S210"/>
  <c r="X210" s="1"/>
  <c r="EB210"/>
  <c r="AU210" s="1"/>
  <c r="DB210"/>
  <c r="DD210" s="1"/>
  <c r="BN210"/>
  <c r="BP210" s="1"/>
  <c r="CI210"/>
  <c r="CK210" s="1"/>
  <c r="S220"/>
  <c r="X220" s="1"/>
  <c r="EB220"/>
  <c r="AU220" s="1"/>
  <c r="BN220"/>
  <c r="BP220" s="1"/>
  <c r="DB220"/>
  <c r="DD220" s="1"/>
  <c r="CI220"/>
  <c r="CK220" s="1"/>
  <c r="S204"/>
  <c r="X204" s="1"/>
  <c r="CI204"/>
  <c r="CK204" s="1"/>
  <c r="DB204"/>
  <c r="DD204" s="1"/>
  <c r="EB204"/>
  <c r="BN204"/>
  <c r="BP204" s="1"/>
  <c r="S268"/>
  <c r="X268" s="1"/>
  <c r="BN268"/>
  <c r="BP268" s="1"/>
  <c r="CI268"/>
  <c r="CK268" s="1"/>
  <c r="DB268"/>
  <c r="DD268" s="1"/>
  <c r="EB268"/>
  <c r="AU268" s="1"/>
  <c r="S262"/>
  <c r="X262" s="1"/>
  <c r="CI262"/>
  <c r="CK262" s="1"/>
  <c r="EB262"/>
  <c r="DB262"/>
  <c r="DD262" s="1"/>
  <c r="BN262"/>
  <c r="BP262" s="1"/>
  <c r="Y264"/>
  <c r="S264"/>
  <c r="X264" s="1"/>
  <c r="DB264"/>
  <c r="DD264" s="1"/>
  <c r="BN264"/>
  <c r="BP264" s="1"/>
  <c r="EB264"/>
  <c r="AU264" s="1"/>
  <c r="CI264"/>
  <c r="CK264" s="1"/>
  <c r="S250"/>
  <c r="X250" s="1"/>
  <c r="EB250"/>
  <c r="AU250" s="1"/>
  <c r="DB250"/>
  <c r="DD250" s="1"/>
  <c r="BN250"/>
  <c r="BP250" s="1"/>
  <c r="CI250"/>
  <c r="CK250" s="1"/>
  <c r="S277"/>
  <c r="X277" s="1"/>
  <c r="CI277"/>
  <c r="CK277" s="1"/>
  <c r="EB277"/>
  <c r="DB277"/>
  <c r="DD277" s="1"/>
  <c r="BN277"/>
  <c r="BP277" s="1"/>
  <c r="S251"/>
  <c r="X251" s="1"/>
  <c r="BN251"/>
  <c r="BP251" s="1"/>
  <c r="CI251"/>
  <c r="CK251" s="1"/>
  <c r="EB251"/>
  <c r="DB251"/>
  <c r="DD251" s="1"/>
  <c r="S259"/>
  <c r="X259" s="1"/>
  <c r="EB259"/>
  <c r="AU259" s="1"/>
  <c r="BN259"/>
  <c r="BP259" s="1"/>
  <c r="CI259"/>
  <c r="CK259" s="1"/>
  <c r="DB259"/>
  <c r="DD259" s="1"/>
  <c r="Y253"/>
  <c r="S253"/>
  <c r="X253" s="1"/>
  <c r="EB253"/>
  <c r="AU253" s="1"/>
  <c r="BN253"/>
  <c r="BP253" s="1"/>
  <c r="DB253"/>
  <c r="DD253" s="1"/>
  <c r="CI253"/>
  <c r="CK253" s="1"/>
  <c r="S306"/>
  <c r="X306" s="1"/>
  <c r="DB63"/>
  <c r="DD63" s="1"/>
  <c r="S63"/>
  <c r="T75"/>
  <c r="S75"/>
  <c r="DC90"/>
  <c r="S90"/>
  <c r="AV85"/>
  <c r="S85"/>
  <c r="BO108"/>
  <c r="S108"/>
  <c r="T70"/>
  <c r="S70"/>
  <c r="T96"/>
  <c r="S96"/>
  <c r="W118"/>
  <c r="S118"/>
  <c r="BO107"/>
  <c r="S107"/>
  <c r="CI143"/>
  <c r="CK143" s="1"/>
  <c r="S143"/>
  <c r="AV110"/>
  <c r="S110"/>
  <c r="DB92"/>
  <c r="DD92" s="1"/>
  <c r="S92"/>
  <c r="T135"/>
  <c r="S135"/>
  <c r="BO112"/>
  <c r="S112"/>
  <c r="BO136"/>
  <c r="S136"/>
  <c r="T155"/>
  <c r="S155"/>
  <c r="T142"/>
  <c r="S142"/>
  <c r="BO123"/>
  <c r="S123"/>
  <c r="Y122"/>
  <c r="S122"/>
  <c r="AV114"/>
  <c r="S114"/>
  <c r="Y195"/>
  <c r="S195"/>
  <c r="X195" s="1"/>
  <c r="S222"/>
  <c r="X222" s="1"/>
  <c r="CI222"/>
  <c r="CK222" s="1"/>
  <c r="DB222"/>
  <c r="DD222" s="1"/>
  <c r="BN222"/>
  <c r="BP222" s="1"/>
  <c r="EB222"/>
  <c r="AU222" s="1"/>
  <c r="S221"/>
  <c r="X221" s="1"/>
  <c r="CI221"/>
  <c r="CK221" s="1"/>
  <c r="EB221"/>
  <c r="AU221" s="1"/>
  <c r="DB221"/>
  <c r="DD221" s="1"/>
  <c r="BN221"/>
  <c r="BP221" s="1"/>
  <c r="W218"/>
  <c r="S218"/>
  <c r="X218" s="1"/>
  <c r="DB218"/>
  <c r="DD218" s="1"/>
  <c r="BN218"/>
  <c r="BP218" s="1"/>
  <c r="CI218"/>
  <c r="CK218" s="1"/>
  <c r="EB218"/>
  <c r="AU218" s="1"/>
  <c r="S199"/>
  <c r="DB199"/>
  <c r="DD199" s="1"/>
  <c r="BN199"/>
  <c r="BP199" s="1"/>
  <c r="EB199"/>
  <c r="AU199" s="1"/>
  <c r="CI199"/>
  <c r="CK199" s="1"/>
  <c r="S243"/>
  <c r="X243" s="1"/>
  <c r="BN243"/>
  <c r="BP243" s="1"/>
  <c r="DB243"/>
  <c r="DD243" s="1"/>
  <c r="EB243"/>
  <c r="CI243"/>
  <c r="CK243" s="1"/>
  <c r="Y236"/>
  <c r="S236"/>
  <c r="X236" s="1"/>
  <c r="DB236"/>
  <c r="DD236" s="1"/>
  <c r="BN236"/>
  <c r="BP236" s="1"/>
  <c r="EB236"/>
  <c r="AU236" s="1"/>
  <c r="CI236"/>
  <c r="CK236" s="1"/>
  <c r="S227"/>
  <c r="X227" s="1"/>
  <c r="EB227"/>
  <c r="AU227" s="1"/>
  <c r="DB227"/>
  <c r="DD227" s="1"/>
  <c r="CI227"/>
  <c r="CK227" s="1"/>
  <c r="BN227"/>
  <c r="BP227" s="1"/>
  <c r="S241"/>
  <c r="X241" s="1"/>
  <c r="CI241"/>
  <c r="CK241" s="1"/>
  <c r="DB241"/>
  <c r="DD241" s="1"/>
  <c r="EB241"/>
  <c r="AU241" s="1"/>
  <c r="BN241"/>
  <c r="BP241" s="1"/>
  <c r="S233"/>
  <c r="X233" s="1"/>
  <c r="EB233"/>
  <c r="AU233" s="1"/>
  <c r="BN233"/>
  <c r="BP233" s="1"/>
  <c r="DB233"/>
  <c r="DD233" s="1"/>
  <c r="CI233"/>
  <c r="CK233" s="1"/>
  <c r="S224"/>
  <c r="X224" s="1"/>
  <c r="DB224"/>
  <c r="DD224" s="1"/>
  <c r="EB224"/>
  <c r="CI224"/>
  <c r="CK224" s="1"/>
  <c r="BN224"/>
  <c r="BP224" s="1"/>
  <c r="S244"/>
  <c r="X244" s="1"/>
  <c r="CI244"/>
  <c r="CK244" s="1"/>
  <c r="EB244"/>
  <c r="AU244" s="1"/>
  <c r="DB244"/>
  <c r="DD244" s="1"/>
  <c r="BN244"/>
  <c r="BP244" s="1"/>
  <c r="Y240"/>
  <c r="S240"/>
  <c r="X240" s="1"/>
  <c r="EB240"/>
  <c r="AU240" s="1"/>
  <c r="BN240"/>
  <c r="BP240" s="1"/>
  <c r="CI240"/>
  <c r="CK240" s="1"/>
  <c r="DB240"/>
  <c r="DD240" s="1"/>
  <c r="S269"/>
  <c r="X269" s="1"/>
  <c r="BN269"/>
  <c r="BP269" s="1"/>
  <c r="EB269"/>
  <c r="AU269" s="1"/>
  <c r="DB269"/>
  <c r="DD269" s="1"/>
  <c r="CI269"/>
  <c r="CK269" s="1"/>
  <c r="S276"/>
  <c r="X276" s="1"/>
  <c r="DB276"/>
  <c r="DD276" s="1"/>
  <c r="EB276"/>
  <c r="BN276"/>
  <c r="BP276" s="1"/>
  <c r="CI276"/>
  <c r="CK276" s="1"/>
  <c r="Y255"/>
  <c r="S255"/>
  <c r="X255" s="1"/>
  <c r="CI255"/>
  <c r="CK255" s="1"/>
  <c r="EB255"/>
  <c r="AU255" s="1"/>
  <c r="DB255"/>
  <c r="DD255" s="1"/>
  <c r="BN255"/>
  <c r="BP255" s="1"/>
  <c r="Y274"/>
  <c r="S274"/>
  <c r="X274" s="1"/>
  <c r="CI274"/>
  <c r="CK274" s="1"/>
  <c r="EB274"/>
  <c r="AU274" s="1"/>
  <c r="DB274"/>
  <c r="DD274" s="1"/>
  <c r="BN274"/>
  <c r="BP274" s="1"/>
  <c r="S263"/>
  <c r="X263" s="1"/>
  <c r="CI263"/>
  <c r="CK263" s="1"/>
  <c r="EB263"/>
  <c r="AU263" s="1"/>
  <c r="DB263"/>
  <c r="DD263" s="1"/>
  <c r="BN263"/>
  <c r="BP263" s="1"/>
  <c r="S266"/>
  <c r="X266" s="1"/>
  <c r="CI266"/>
  <c r="CK266" s="1"/>
  <c r="EB266"/>
  <c r="AU266" s="1"/>
  <c r="BN266"/>
  <c r="BP266" s="1"/>
  <c r="DB266"/>
  <c r="DD266" s="1"/>
  <c r="S258"/>
  <c r="X258" s="1"/>
  <c r="CI258"/>
  <c r="CK258" s="1"/>
  <c r="BN258"/>
  <c r="BP258" s="1"/>
  <c r="EB258"/>
  <c r="AU258" s="1"/>
  <c r="DB258"/>
  <c r="DD258" s="1"/>
  <c r="S313"/>
  <c r="X313" s="1"/>
  <c r="CK321"/>
  <c r="S321"/>
  <c r="X321" s="1"/>
  <c r="EB317"/>
  <c r="AU317" s="1"/>
  <c r="S317"/>
  <c r="X317" s="1"/>
  <c r="BN69"/>
  <c r="BP69" s="1"/>
  <c r="S69"/>
  <c r="T73"/>
  <c r="S73"/>
  <c r="T65"/>
  <c r="S65"/>
  <c r="T74"/>
  <c r="S74"/>
  <c r="BO97"/>
  <c r="S97"/>
  <c r="AV86"/>
  <c r="S86"/>
  <c r="T98"/>
  <c r="S98"/>
  <c r="EB101"/>
  <c r="R101" s="1"/>
  <c r="S101"/>
  <c r="CJ145"/>
  <c r="S145"/>
  <c r="BO127"/>
  <c r="S127"/>
  <c r="AV125"/>
  <c r="S125"/>
  <c r="T82"/>
  <c r="S82"/>
  <c r="CI161"/>
  <c r="CK161" s="1"/>
  <c r="S161"/>
  <c r="BO141"/>
  <c r="S141"/>
  <c r="T68"/>
  <c r="S68"/>
  <c r="T138"/>
  <c r="S138"/>
  <c r="BO115"/>
  <c r="S115"/>
  <c r="Y196"/>
  <c r="S196"/>
  <c r="X196" s="1"/>
  <c r="CI205"/>
  <c r="CK205" s="1"/>
  <c r="DB205"/>
  <c r="DD205" s="1"/>
  <c r="EB205"/>
  <c r="AU205" s="1"/>
  <c r="S205"/>
  <c r="X205" s="1"/>
  <c r="BN205"/>
  <c r="BP205" s="1"/>
  <c r="S216"/>
  <c r="X216" s="1"/>
  <c r="BN216"/>
  <c r="BP216" s="1"/>
  <c r="DB216"/>
  <c r="DD216" s="1"/>
  <c r="CI216"/>
  <c r="CK216" s="1"/>
  <c r="EB216"/>
  <c r="R216" s="1"/>
  <c r="CI202"/>
  <c r="CK202" s="1"/>
  <c r="S202"/>
  <c r="X202" s="1"/>
  <c r="DB202"/>
  <c r="DD202" s="1"/>
  <c r="EB202"/>
  <c r="AU202" s="1"/>
  <c r="BN202"/>
  <c r="BP202" s="1"/>
  <c r="S213"/>
  <c r="X213" s="1"/>
  <c r="BN213"/>
  <c r="BP213" s="1"/>
  <c r="DB213"/>
  <c r="DD213" s="1"/>
  <c r="CI213"/>
  <c r="CK213" s="1"/>
  <c r="EB213"/>
  <c r="R213" s="1"/>
  <c r="S226"/>
  <c r="X226" s="1"/>
  <c r="DB226"/>
  <c r="DD226" s="1"/>
  <c r="CI226"/>
  <c r="CK226" s="1"/>
  <c r="EB226"/>
  <c r="R226" s="1"/>
  <c r="BN226"/>
  <c r="BP226" s="1"/>
  <c r="S235"/>
  <c r="X235" s="1"/>
  <c r="EB235"/>
  <c r="AU235" s="1"/>
  <c r="CI235"/>
  <c r="CK235" s="1"/>
  <c r="DB235"/>
  <c r="DD235" s="1"/>
  <c r="BN235"/>
  <c r="BP235" s="1"/>
  <c r="CI201"/>
  <c r="CK201" s="1"/>
  <c r="EB201"/>
  <c r="AU201" s="1"/>
  <c r="BN201"/>
  <c r="BP201" s="1"/>
  <c r="DB201"/>
  <c r="DD201" s="1"/>
  <c r="S201"/>
  <c r="X201" s="1"/>
  <c r="Y237"/>
  <c r="S237"/>
  <c r="X237" s="1"/>
  <c r="CI237"/>
  <c r="CK237" s="1"/>
  <c r="BN237"/>
  <c r="BP237" s="1"/>
  <c r="DB237"/>
  <c r="DD237" s="1"/>
  <c r="EB237"/>
  <c r="AU237" s="1"/>
  <c r="Y247"/>
  <c r="S247"/>
  <c r="X247" s="1"/>
  <c r="CI247"/>
  <c r="CK247" s="1"/>
  <c r="EB247"/>
  <c r="AU247" s="1"/>
  <c r="BN247"/>
  <c r="BP247" s="1"/>
  <c r="DB247"/>
  <c r="DD247" s="1"/>
  <c r="S242"/>
  <c r="X242" s="1"/>
  <c r="EB242"/>
  <c r="AU242" s="1"/>
  <c r="CI242"/>
  <c r="CK242" s="1"/>
  <c r="DB242"/>
  <c r="DD242" s="1"/>
  <c r="BN242"/>
  <c r="BP242" s="1"/>
  <c r="Y212"/>
  <c r="S212"/>
  <c r="X212" s="1"/>
  <c r="DB212"/>
  <c r="DD212" s="1"/>
  <c r="CI212"/>
  <c r="CK212" s="1"/>
  <c r="EB212"/>
  <c r="AU212" s="1"/>
  <c r="BN212"/>
  <c r="BP212" s="1"/>
  <c r="S231"/>
  <c r="X231" s="1"/>
  <c r="CI231"/>
  <c r="CK231" s="1"/>
  <c r="DB231"/>
  <c r="DD231" s="1"/>
  <c r="BN231"/>
  <c r="BP231" s="1"/>
  <c r="EB231"/>
  <c r="AU231" s="1"/>
  <c r="S249"/>
  <c r="X249" s="1"/>
  <c r="BN249"/>
  <c r="BP249" s="1"/>
  <c r="CI249"/>
  <c r="CK249" s="1"/>
  <c r="DB249"/>
  <c r="DD249" s="1"/>
  <c r="EB249"/>
  <c r="AU249" s="1"/>
  <c r="S275"/>
  <c r="X275" s="1"/>
  <c r="CI275"/>
  <c r="CK275" s="1"/>
  <c r="BN275"/>
  <c r="BP275" s="1"/>
  <c r="EB275"/>
  <c r="AU275" s="1"/>
  <c r="DB275"/>
  <c r="DD275" s="1"/>
  <c r="S270"/>
  <c r="X270" s="1"/>
  <c r="DB270"/>
  <c r="DD270" s="1"/>
  <c r="CI270"/>
  <c r="CK270" s="1"/>
  <c r="EB270"/>
  <c r="AU270" s="1"/>
  <c r="BN270"/>
  <c r="BP270" s="1"/>
  <c r="S271"/>
  <c r="X271" s="1"/>
  <c r="BN271"/>
  <c r="BP271" s="1"/>
  <c r="DB271"/>
  <c r="DD271" s="1"/>
  <c r="CI271"/>
  <c r="CK271" s="1"/>
  <c r="EB271"/>
  <c r="AU271" s="1"/>
  <c r="S252"/>
  <c r="X252" s="1"/>
  <c r="DB252"/>
  <c r="DD252" s="1"/>
  <c r="CI252"/>
  <c r="CK252" s="1"/>
  <c r="EB252"/>
  <c r="BN252"/>
  <c r="BP252" s="1"/>
  <c r="S257"/>
  <c r="X257" s="1"/>
  <c r="EB257"/>
  <c r="AU257" s="1"/>
  <c r="BN257"/>
  <c r="BP257" s="1"/>
  <c r="DB257"/>
  <c r="DD257" s="1"/>
  <c r="CI257"/>
  <c r="CK257" s="1"/>
  <c r="S245"/>
  <c r="X245" s="1"/>
  <c r="DB245"/>
  <c r="DD245" s="1"/>
  <c r="BN245"/>
  <c r="BP245" s="1"/>
  <c r="EB245"/>
  <c r="CI245"/>
  <c r="CK245" s="1"/>
  <c r="S267"/>
  <c r="X267" s="1"/>
  <c r="CI267"/>
  <c r="CK267" s="1"/>
  <c r="BN267"/>
  <c r="BP267" s="1"/>
  <c r="DB267"/>
  <c r="DD267" s="1"/>
  <c r="EB267"/>
  <c r="AU267" s="1"/>
  <c r="CK322"/>
  <c r="S322"/>
  <c r="X322" s="1"/>
  <c r="CK324"/>
  <c r="S324"/>
  <c r="X324" s="1"/>
  <c r="BN323"/>
  <c r="BP323" s="1"/>
  <c r="S323"/>
  <c r="X323" s="1"/>
  <c r="T79"/>
  <c r="S79"/>
  <c r="T67"/>
  <c r="S67"/>
  <c r="AV95"/>
  <c r="S95"/>
  <c r="T99"/>
  <c r="S99"/>
  <c r="CI83"/>
  <c r="CK83" s="1"/>
  <c r="S83"/>
  <c r="T84"/>
  <c r="S84"/>
  <c r="BN128"/>
  <c r="BP128" s="1"/>
  <c r="S128"/>
  <c r="DC151"/>
  <c r="S151"/>
  <c r="DC129"/>
  <c r="S129"/>
  <c r="AV144"/>
  <c r="S144"/>
  <c r="T131"/>
  <c r="S131"/>
  <c r="Y111"/>
  <c r="S111"/>
  <c r="T130"/>
  <c r="S130"/>
  <c r="W158"/>
  <c r="S158"/>
  <c r="AV137"/>
  <c r="S137"/>
  <c r="W147"/>
  <c r="S147"/>
  <c r="BN208"/>
  <c r="BP208" s="1"/>
  <c r="CI208"/>
  <c r="CK208" s="1"/>
  <c r="S208"/>
  <c r="X208" s="1"/>
  <c r="DB208"/>
  <c r="DD208" s="1"/>
  <c r="EB208"/>
  <c r="AU208" s="1"/>
  <c r="W217"/>
  <c r="S217"/>
  <c r="X217" s="1"/>
  <c r="BN217"/>
  <c r="BP217" s="1"/>
  <c r="DB217"/>
  <c r="DD217" s="1"/>
  <c r="CI217"/>
  <c r="CK217" s="1"/>
  <c r="EB217"/>
  <c r="R217" s="1"/>
  <c r="W234"/>
  <c r="S234"/>
  <c r="X234" s="1"/>
  <c r="EB234"/>
  <c r="AU234" s="1"/>
  <c r="BN234"/>
  <c r="BP234" s="1"/>
  <c r="DB234"/>
  <c r="DD234" s="1"/>
  <c r="CI234"/>
  <c r="CK234" s="1"/>
  <c r="S200"/>
  <c r="X200" s="1"/>
  <c r="DB200"/>
  <c r="DD200" s="1"/>
  <c r="BN200"/>
  <c r="BP200" s="1"/>
  <c r="CI200"/>
  <c r="CK200" s="1"/>
  <c r="EB200"/>
  <c r="S229"/>
  <c r="X229" s="1"/>
  <c r="CI229"/>
  <c r="CK229" s="1"/>
  <c r="BN229"/>
  <c r="BP229" s="1"/>
  <c r="EB229"/>
  <c r="DB229"/>
  <c r="DD229" s="1"/>
  <c r="S248"/>
  <c r="X248" s="1"/>
  <c r="EB248"/>
  <c r="AU248" s="1"/>
  <c r="CI248"/>
  <c r="CK248" s="1"/>
  <c r="BN248"/>
  <c r="BP248" s="1"/>
  <c r="DB248"/>
  <c r="DD248" s="1"/>
  <c r="W197"/>
  <c r="S197"/>
  <c r="X197" s="1"/>
  <c r="DB197"/>
  <c r="DD197" s="1"/>
  <c r="CJ124"/>
  <c r="S124"/>
  <c r="CI207"/>
  <c r="CK207" s="1"/>
  <c r="BN207"/>
  <c r="BP207" s="1"/>
  <c r="S207"/>
  <c r="X207" s="1"/>
  <c r="EB207"/>
  <c r="AU207" s="1"/>
  <c r="DB207"/>
  <c r="DD207" s="1"/>
  <c r="CI206"/>
  <c r="CK206" s="1"/>
  <c r="S206"/>
  <c r="X206" s="1"/>
  <c r="BN206"/>
  <c r="BP206" s="1"/>
  <c r="EB206"/>
  <c r="DB206"/>
  <c r="DD206" s="1"/>
  <c r="S273"/>
  <c r="X273" s="1"/>
  <c r="EB273"/>
  <c r="AU273" s="1"/>
  <c r="DB273"/>
  <c r="DD273" s="1"/>
  <c r="CI273"/>
  <c r="CK273" s="1"/>
  <c r="BN273"/>
  <c r="BP273" s="1"/>
  <c r="S265"/>
  <c r="X265" s="1"/>
  <c r="DB265"/>
  <c r="DD265" s="1"/>
  <c r="CI265"/>
  <c r="CK265" s="1"/>
  <c r="BN265"/>
  <c r="BP265" s="1"/>
  <c r="EB265"/>
  <c r="AU265" s="1"/>
  <c r="Y254"/>
  <c r="S254"/>
  <c r="X254" s="1"/>
  <c r="DB254"/>
  <c r="DD254" s="1"/>
  <c r="EB254"/>
  <c r="AU254" s="1"/>
  <c r="BN254"/>
  <c r="BP254" s="1"/>
  <c r="CI254"/>
  <c r="CK254" s="1"/>
  <c r="S246"/>
  <c r="X246" s="1"/>
  <c r="BN246"/>
  <c r="BP246" s="1"/>
  <c r="EB246"/>
  <c r="AU246" s="1"/>
  <c r="DB246"/>
  <c r="DD246" s="1"/>
  <c r="CI246"/>
  <c r="CK246" s="1"/>
  <c r="Y278"/>
  <c r="S278"/>
  <c r="X278" s="1"/>
  <c r="CI278"/>
  <c r="CK278" s="1"/>
  <c r="EB278"/>
  <c r="AU278" s="1"/>
  <c r="BN278"/>
  <c r="BP278" s="1"/>
  <c r="DB278"/>
  <c r="DD278" s="1"/>
  <c r="S279"/>
  <c r="X279" s="1"/>
  <c r="DB279"/>
  <c r="DD279" s="1"/>
  <c r="CI279"/>
  <c r="CK279" s="1"/>
  <c r="EB279"/>
  <c r="BN279"/>
  <c r="BP279" s="1"/>
  <c r="X303"/>
  <c r="S311"/>
  <c r="X311" s="1"/>
  <c r="BN328"/>
  <c r="BP328" s="1"/>
  <c r="S328"/>
  <c r="X328" s="1"/>
  <c r="EB325"/>
  <c r="R325" s="1"/>
  <c r="S325"/>
  <c r="X325" s="1"/>
  <c r="DB196"/>
  <c r="DD196" s="1"/>
  <c r="CK317"/>
  <c r="BN334"/>
  <c r="BP334" s="1"/>
  <c r="BN339"/>
  <c r="BP339" s="1"/>
  <c r="CK350"/>
  <c r="DB323"/>
  <c r="DD323" s="1"/>
  <c r="EB328"/>
  <c r="AU328" s="1"/>
  <c r="BN332"/>
  <c r="BP332" s="1"/>
  <c r="DB328"/>
  <c r="DD328" s="1"/>
  <c r="CK342"/>
  <c r="CK351"/>
  <c r="EB351"/>
  <c r="AU351" s="1"/>
  <c r="Y313"/>
  <c r="Q313" s="1"/>
  <c r="AY313" s="1"/>
  <c r="BA313" s="1"/>
  <c r="EB332"/>
  <c r="R332" s="1"/>
  <c r="EB342"/>
  <c r="R342" s="1"/>
  <c r="EB324"/>
  <c r="AU324" s="1"/>
  <c r="CK332"/>
  <c r="Y342"/>
  <c r="BN351"/>
  <c r="BP351" s="1"/>
  <c r="S332"/>
  <c r="X332" s="1"/>
  <c r="BN325"/>
  <c r="BP325" s="1"/>
  <c r="CK325"/>
  <c r="Y325"/>
  <c r="Q325" s="1"/>
  <c r="AY325" s="1"/>
  <c r="V322" i="45" s="1"/>
  <c r="EB334" i="43"/>
  <c r="R334" s="1"/>
  <c r="S338"/>
  <c r="X338" s="1"/>
  <c r="Y311"/>
  <c r="Q311" s="1"/>
  <c r="AY311" s="1"/>
  <c r="BN324"/>
  <c r="BP324" s="1"/>
  <c r="DB321"/>
  <c r="DD321" s="1"/>
  <c r="CK328"/>
  <c r="DB332"/>
  <c r="DD332" s="1"/>
  <c r="DB334"/>
  <c r="DD334" s="1"/>
  <c r="DB338"/>
  <c r="DD338" s="1"/>
  <c r="CK334"/>
  <c r="S358"/>
  <c r="X358" s="1"/>
  <c r="DB358"/>
  <c r="DD358" s="1"/>
  <c r="Y358"/>
  <c r="Q358" s="1"/>
  <c r="EB358"/>
  <c r="BN358"/>
  <c r="BP358" s="1"/>
  <c r="CK358"/>
  <c r="BN357"/>
  <c r="BP357" s="1"/>
  <c r="Y357"/>
  <c r="Q357" s="1"/>
  <c r="CK357"/>
  <c r="EB357"/>
  <c r="S357"/>
  <c r="X357" s="1"/>
  <c r="DB357"/>
  <c r="DD357" s="1"/>
  <c r="R355"/>
  <c r="EH355"/>
  <c r="AU355"/>
  <c r="AH355" s="1"/>
  <c r="AI355" s="1"/>
  <c r="DB339"/>
  <c r="DD339" s="1"/>
  <c r="Y339"/>
  <c r="Q339" s="1"/>
  <c r="AA339" s="1"/>
  <c r="AB339" s="1"/>
  <c r="CK343"/>
  <c r="S354"/>
  <c r="X354" s="1"/>
  <c r="EB354"/>
  <c r="CK354"/>
  <c r="Y354"/>
  <c r="Q354" s="1"/>
  <c r="BN354"/>
  <c r="BP354" s="1"/>
  <c r="DB354"/>
  <c r="DD354" s="1"/>
  <c r="BN353"/>
  <c r="BP353" s="1"/>
  <c r="DB353"/>
  <c r="DD353" s="1"/>
  <c r="Y353"/>
  <c r="EB353"/>
  <c r="S353"/>
  <c r="X353" s="1"/>
  <c r="CK353"/>
  <c r="Y324"/>
  <c r="Q324" s="1"/>
  <c r="AY324" s="1"/>
  <c r="Y328"/>
  <c r="Q328" s="1"/>
  <c r="AY328" s="1"/>
  <c r="BN338"/>
  <c r="BP338" s="1"/>
  <c r="CK338"/>
  <c r="DB342"/>
  <c r="DD342" s="1"/>
  <c r="S342"/>
  <c r="X342" s="1"/>
  <c r="DB343"/>
  <c r="DD343" s="1"/>
  <c r="S343"/>
  <c r="X343" s="1"/>
  <c r="AJ352"/>
  <c r="Y334"/>
  <c r="Q334" s="1"/>
  <c r="AY334" s="1"/>
  <c r="Y343"/>
  <c r="Q343" s="1"/>
  <c r="AY343" s="1"/>
  <c r="AJ349"/>
  <c r="BN343"/>
  <c r="BP343" s="1"/>
  <c r="S348"/>
  <c r="X348" s="1"/>
  <c r="Y348"/>
  <c r="Q348" s="1"/>
  <c r="BN348"/>
  <c r="BP348" s="1"/>
  <c r="EB348"/>
  <c r="DB348"/>
  <c r="DD348" s="1"/>
  <c r="CK348"/>
  <c r="CK347"/>
  <c r="Y347"/>
  <c r="Q347" s="1"/>
  <c r="EB347"/>
  <c r="S347"/>
  <c r="X347" s="1"/>
  <c r="BN347"/>
  <c r="BP347" s="1"/>
  <c r="DB347"/>
  <c r="DD347" s="1"/>
  <c r="Y345"/>
  <c r="Q345" s="1"/>
  <c r="EB345"/>
  <c r="DB345"/>
  <c r="DD345" s="1"/>
  <c r="S345"/>
  <c r="X345" s="1"/>
  <c r="CK345"/>
  <c r="BN345"/>
  <c r="BP345" s="1"/>
  <c r="AJ342"/>
  <c r="Y344"/>
  <c r="Q344" s="1"/>
  <c r="EB344"/>
  <c r="CK344"/>
  <c r="BN344"/>
  <c r="BP344" s="1"/>
  <c r="DB344"/>
  <c r="DD344" s="1"/>
  <c r="S344"/>
  <c r="X344" s="1"/>
  <c r="AU343"/>
  <c r="R343"/>
  <c r="AU339"/>
  <c r="BN321"/>
  <c r="BP321" s="1"/>
  <c r="S340"/>
  <c r="X340" s="1"/>
  <c r="Y340"/>
  <c r="Q340" s="1"/>
  <c r="CK340"/>
  <c r="BN340"/>
  <c r="BP340" s="1"/>
  <c r="DB340"/>
  <c r="DD340" s="1"/>
  <c r="EB340"/>
  <c r="Y291"/>
  <c r="Q291" s="1"/>
  <c r="AA291" s="1"/>
  <c r="AB291" s="1"/>
  <c r="Y341"/>
  <c r="BN341"/>
  <c r="BP341" s="1"/>
  <c r="DB341"/>
  <c r="DD341" s="1"/>
  <c r="EB341"/>
  <c r="CK341"/>
  <c r="S341"/>
  <c r="X341" s="1"/>
  <c r="Y321"/>
  <c r="Q321" s="1"/>
  <c r="AY321" s="1"/>
  <c r="AJ338"/>
  <c r="AU338"/>
  <c r="R338"/>
  <c r="S337"/>
  <c r="X337" s="1"/>
  <c r="EB337"/>
  <c r="BN337"/>
  <c r="BP337" s="1"/>
  <c r="Y337"/>
  <c r="Q337" s="1"/>
  <c r="DB337"/>
  <c r="DD337" s="1"/>
  <c r="CK337"/>
  <c r="BN336"/>
  <c r="BP336" s="1"/>
  <c r="EB336"/>
  <c r="Y336"/>
  <c r="S336"/>
  <c r="X336" s="1"/>
  <c r="CK336"/>
  <c r="DB336"/>
  <c r="DD336" s="1"/>
  <c r="CK327"/>
  <c r="EB321"/>
  <c r="R321" s="1"/>
  <c r="BN322"/>
  <c r="BP322" s="1"/>
  <c r="EB322"/>
  <c r="AU322" s="1"/>
  <c r="EB335"/>
  <c r="S335"/>
  <c r="X335" s="1"/>
  <c r="Y335"/>
  <c r="Q335" s="1"/>
  <c r="CK335"/>
  <c r="BN335"/>
  <c r="BP335" s="1"/>
  <c r="DB335"/>
  <c r="DD335" s="1"/>
  <c r="AJ334"/>
  <c r="AK334" s="1"/>
  <c r="C331" i="45" s="1"/>
  <c r="BN333" i="43"/>
  <c r="BP333" s="1"/>
  <c r="Y333"/>
  <c r="Q333" s="1"/>
  <c r="CK333"/>
  <c r="S333"/>
  <c r="X333" s="1"/>
  <c r="EB333"/>
  <c r="DB333"/>
  <c r="DD333" s="1"/>
  <c r="S331"/>
  <c r="X331" s="1"/>
  <c r="CK331"/>
  <c r="BN331"/>
  <c r="BP331" s="1"/>
  <c r="Y331"/>
  <c r="Q331" s="1"/>
  <c r="EB331"/>
  <c r="DB331"/>
  <c r="DD331" s="1"/>
  <c r="AY332"/>
  <c r="CK330"/>
  <c r="EB330"/>
  <c r="DB330"/>
  <c r="DD330" s="1"/>
  <c r="BN330"/>
  <c r="BP330" s="1"/>
  <c r="Y330"/>
  <c r="Q330" s="1"/>
  <c r="EB329"/>
  <c r="DB329"/>
  <c r="DD329" s="1"/>
  <c r="Y329"/>
  <c r="Q329" s="1"/>
  <c r="CK329"/>
  <c r="BN329"/>
  <c r="BP329" s="1"/>
  <c r="AJ328"/>
  <c r="AJ325"/>
  <c r="CK326"/>
  <c r="DB326"/>
  <c r="DD326" s="1"/>
  <c r="EB326"/>
  <c r="BN326"/>
  <c r="BP326" s="1"/>
  <c r="Y326"/>
  <c r="Q326" s="1"/>
  <c r="AY323"/>
  <c r="Y306"/>
  <c r="DB322"/>
  <c r="DD322" s="1"/>
  <c r="Y322"/>
  <c r="Q322" s="1"/>
  <c r="Y303"/>
  <c r="AY303" s="1"/>
  <c r="V300" i="45" s="1"/>
  <c r="AJ322" i="43"/>
  <c r="AJ321"/>
  <c r="S320"/>
  <c r="X320" s="1"/>
  <c r="CK319"/>
  <c r="Y319"/>
  <c r="Q319" s="1"/>
  <c r="DB319"/>
  <c r="DD319" s="1"/>
  <c r="EB319"/>
  <c r="BN319"/>
  <c r="BP319" s="1"/>
  <c r="AY317"/>
  <c r="CK318"/>
  <c r="EB318"/>
  <c r="Y318"/>
  <c r="Q318" s="1"/>
  <c r="BN318"/>
  <c r="BP318" s="1"/>
  <c r="DB318"/>
  <c r="DD318" s="1"/>
  <c r="Y302"/>
  <c r="Y307"/>
  <c r="Q307" s="1"/>
  <c r="Y308"/>
  <c r="Q308" s="1"/>
  <c r="Y305"/>
  <c r="Y315"/>
  <c r="Q315" s="1"/>
  <c r="CK310"/>
  <c r="Y310"/>
  <c r="Q310" s="1"/>
  <c r="Y314"/>
  <c r="Q314" s="1"/>
  <c r="Y312"/>
  <c r="Q312" s="1"/>
  <c r="DD292"/>
  <c r="X300"/>
  <c r="BN292"/>
  <c r="BP292" s="1"/>
  <c r="CK292"/>
  <c r="X301"/>
  <c r="Y301"/>
  <c r="Q301" s="1"/>
  <c r="CK301"/>
  <c r="BN301"/>
  <c r="BP301" s="1"/>
  <c r="EB301"/>
  <c r="CK300"/>
  <c r="DD300"/>
  <c r="EB290"/>
  <c r="R290" s="1"/>
  <c r="BN288"/>
  <c r="BP288" s="1"/>
  <c r="DD290"/>
  <c r="CI185"/>
  <c r="CK185" s="1"/>
  <c r="Y290"/>
  <c r="Q290" s="1"/>
  <c r="AA290" s="1"/>
  <c r="AB290" s="1"/>
  <c r="Y231"/>
  <c r="Y258"/>
  <c r="Q258" s="1"/>
  <c r="CK288"/>
  <c r="X299"/>
  <c r="BN299"/>
  <c r="BP299" s="1"/>
  <c r="DD299"/>
  <c r="EB299"/>
  <c r="CK299"/>
  <c r="Y299"/>
  <c r="Y262"/>
  <c r="DD288"/>
  <c r="DB188"/>
  <c r="DD188" s="1"/>
  <c r="BN124"/>
  <c r="BP124" s="1"/>
  <c r="DB185"/>
  <c r="DD185" s="1"/>
  <c r="Y270"/>
  <c r="Y288"/>
  <c r="Q288" s="1"/>
  <c r="AA288" s="1"/>
  <c r="AB288" s="1"/>
  <c r="Y252"/>
  <c r="Y271"/>
  <c r="Q271" s="1"/>
  <c r="CK296"/>
  <c r="DD296"/>
  <c r="EB296"/>
  <c r="Y296"/>
  <c r="Q296" s="1"/>
  <c r="BN296"/>
  <c r="BP296" s="1"/>
  <c r="EB295"/>
  <c r="DD295"/>
  <c r="Y295"/>
  <c r="Q295" s="1"/>
  <c r="CK295"/>
  <c r="BN295"/>
  <c r="BP295" s="1"/>
  <c r="AI182"/>
  <c r="EO182" s="1"/>
  <c r="W245"/>
  <c r="W252"/>
  <c r="CK297"/>
  <c r="EB297"/>
  <c r="Y297"/>
  <c r="Q297" s="1"/>
  <c r="DD297"/>
  <c r="BN297"/>
  <c r="BP297" s="1"/>
  <c r="EB124"/>
  <c r="AJ124" s="1"/>
  <c r="AK124" s="1"/>
  <c r="C121" i="45" s="1"/>
  <c r="W124" i="43"/>
  <c r="Y259"/>
  <c r="Y292"/>
  <c r="Q292" s="1"/>
  <c r="AY292" s="1"/>
  <c r="V289" i="45" s="1"/>
  <c r="DB124" i="43"/>
  <c r="DD124" s="1"/>
  <c r="Y197"/>
  <c r="Y124"/>
  <c r="EB292"/>
  <c r="R292" s="1"/>
  <c r="W185"/>
  <c r="BN193"/>
  <c r="BP193" s="1"/>
  <c r="CK293"/>
  <c r="DD293"/>
  <c r="W236"/>
  <c r="BO68"/>
  <c r="DB160"/>
  <c r="DD160" s="1"/>
  <c r="Y242"/>
  <c r="W253"/>
  <c r="EB287"/>
  <c r="R287" s="1"/>
  <c r="Y287"/>
  <c r="Q287" s="1"/>
  <c r="AA287" s="1"/>
  <c r="AB287" s="1"/>
  <c r="BN114"/>
  <c r="BP114" s="1"/>
  <c r="Y185"/>
  <c r="Q185" s="1"/>
  <c r="AY185" s="1"/>
  <c r="DD287"/>
  <c r="DB41"/>
  <c r="DD41" s="1"/>
  <c r="Y190"/>
  <c r="CK287"/>
  <c r="AJ291"/>
  <c r="W233"/>
  <c r="CI138"/>
  <c r="CK138" s="1"/>
  <c r="Y203"/>
  <c r="Y267"/>
  <c r="Q267" s="1"/>
  <c r="EB188"/>
  <c r="AU188" s="1"/>
  <c r="Y214"/>
  <c r="Q214" s="1"/>
  <c r="W240"/>
  <c r="W255"/>
  <c r="Y266"/>
  <c r="Y289"/>
  <c r="Q289" s="1"/>
  <c r="DD289"/>
  <c r="CK289"/>
  <c r="BN289"/>
  <c r="BP289" s="1"/>
  <c r="EB289"/>
  <c r="R288"/>
  <c r="AU288"/>
  <c r="CI188"/>
  <c r="CK188" s="1"/>
  <c r="AJ290"/>
  <c r="DB127"/>
  <c r="DD127" s="1"/>
  <c r="Y141"/>
  <c r="EB161"/>
  <c r="AU161" s="1"/>
  <c r="BN158"/>
  <c r="BP158" s="1"/>
  <c r="EB185"/>
  <c r="AU185" s="1"/>
  <c r="S188"/>
  <c r="X188" s="1"/>
  <c r="Y279"/>
  <c r="Q279" s="1"/>
  <c r="AV160"/>
  <c r="CI190"/>
  <c r="CK190" s="1"/>
  <c r="Y277"/>
  <c r="Y204"/>
  <c r="Y284"/>
  <c r="Q284" s="1"/>
  <c r="AA284" s="1"/>
  <c r="AB284" s="1"/>
  <c r="AJ287"/>
  <c r="CJ160"/>
  <c r="S193"/>
  <c r="X193" s="1"/>
  <c r="W220"/>
  <c r="CJ158"/>
  <c r="W231"/>
  <c r="W246"/>
  <c r="W249"/>
  <c r="Y224"/>
  <c r="Y244"/>
  <c r="W254"/>
  <c r="DD286"/>
  <c r="BN286"/>
  <c r="BP286" s="1"/>
  <c r="CK286"/>
  <c r="EB286"/>
  <c r="Y286"/>
  <c r="Q286" s="1"/>
  <c r="EB138"/>
  <c r="R138" s="1"/>
  <c r="BO158"/>
  <c r="Y211"/>
  <c r="Y229"/>
  <c r="Y227"/>
  <c r="Y245"/>
  <c r="T114"/>
  <c r="EB183"/>
  <c r="R183" s="1"/>
  <c r="BN185"/>
  <c r="BP185" s="1"/>
  <c r="Y193"/>
  <c r="CI193"/>
  <c r="CK193" s="1"/>
  <c r="Y202"/>
  <c r="Y215"/>
  <c r="Y217"/>
  <c r="Y239"/>
  <c r="Q239" s="1"/>
  <c r="Y257"/>
  <c r="Q257" s="1"/>
  <c r="AY257" s="1"/>
  <c r="EB125"/>
  <c r="AU125" s="1"/>
  <c r="BN184"/>
  <c r="BP184" s="1"/>
  <c r="W206"/>
  <c r="W212"/>
  <c r="Y251"/>
  <c r="DB82"/>
  <c r="DD82" s="1"/>
  <c r="Y221"/>
  <c r="W251"/>
  <c r="Y263"/>
  <c r="CK285"/>
  <c r="EB285"/>
  <c r="BN285"/>
  <c r="BP285" s="1"/>
  <c r="DD285"/>
  <c r="X283"/>
  <c r="Y283"/>
  <c r="W208"/>
  <c r="W228"/>
  <c r="W200"/>
  <c r="Y285"/>
  <c r="Q285" s="1"/>
  <c r="Y57"/>
  <c r="Q57" s="1"/>
  <c r="Y172"/>
  <c r="Q172" s="1"/>
  <c r="AA172" s="1"/>
  <c r="AB172" s="1"/>
  <c r="W190"/>
  <c r="EB190"/>
  <c r="AU190" s="1"/>
  <c r="Y200"/>
  <c r="W227"/>
  <c r="W242"/>
  <c r="AV147"/>
  <c r="S190"/>
  <c r="X190" s="1"/>
  <c r="W247"/>
  <c r="DB190"/>
  <c r="DD190" s="1"/>
  <c r="W204"/>
  <c r="Y220"/>
  <c r="Q220" s="1"/>
  <c r="AY220" s="1"/>
  <c r="V217" i="45" s="1"/>
  <c r="W223" i="43"/>
  <c r="W229"/>
  <c r="Y246"/>
  <c r="Y249"/>
  <c r="Y265"/>
  <c r="Y250"/>
  <c r="W250"/>
  <c r="Y276"/>
  <c r="Y275"/>
  <c r="Y273"/>
  <c r="Y268"/>
  <c r="Y269"/>
  <c r="T129"/>
  <c r="CJ138"/>
  <c r="Y114"/>
  <c r="BO124"/>
  <c r="AV124"/>
  <c r="T124"/>
  <c r="BN188"/>
  <c r="BP188" s="1"/>
  <c r="Y206"/>
  <c r="Q206" s="1"/>
  <c r="W215"/>
  <c r="W237"/>
  <c r="W244"/>
  <c r="DB85"/>
  <c r="DD85" s="1"/>
  <c r="Y41"/>
  <c r="Q41" s="1"/>
  <c r="AA41" s="1"/>
  <c r="AB41" s="1"/>
  <c r="W57"/>
  <c r="AV76"/>
  <c r="CI124"/>
  <c r="CK124" s="1"/>
  <c r="DC124"/>
  <c r="DB183"/>
  <c r="DD183" s="1"/>
  <c r="W188"/>
  <c r="W203"/>
  <c r="Y218"/>
  <c r="W221"/>
  <c r="W224"/>
  <c r="Y233"/>
  <c r="W239"/>
  <c r="DC76"/>
  <c r="EB130"/>
  <c r="AJ130" s="1"/>
  <c r="T144"/>
  <c r="EB160"/>
  <c r="AU160" s="1"/>
  <c r="DC160"/>
  <c r="T160"/>
  <c r="CI165"/>
  <c r="CK165" s="1"/>
  <c r="BN165"/>
  <c r="BP165" s="1"/>
  <c r="W195"/>
  <c r="W201"/>
  <c r="W202"/>
  <c r="Y210"/>
  <c r="Y223"/>
  <c r="CJ130"/>
  <c r="W159"/>
  <c r="BO160"/>
  <c r="BN160"/>
  <c r="BP160" s="1"/>
  <c r="Y165"/>
  <c r="Q165" s="1"/>
  <c r="AY165" s="1"/>
  <c r="W192"/>
  <c r="Y201"/>
  <c r="W128"/>
  <c r="CJ135"/>
  <c r="BN145"/>
  <c r="BP145" s="1"/>
  <c r="BN159"/>
  <c r="BP159" s="1"/>
  <c r="W160"/>
  <c r="CI160"/>
  <c r="CK160" s="1"/>
  <c r="EB165"/>
  <c r="AJ165" s="1"/>
  <c r="AK165" s="1"/>
  <c r="C162" i="45" s="1"/>
  <c r="DB165" i="43"/>
  <c r="DD165" s="1"/>
  <c r="W165"/>
  <c r="EB192"/>
  <c r="R192" s="1"/>
  <c r="W193"/>
  <c r="Y248"/>
  <c r="W248"/>
  <c r="K238"/>
  <c r="CI53"/>
  <c r="CK53" s="1"/>
  <c r="Y84"/>
  <c r="Y241"/>
  <c r="W241"/>
  <c r="DC84"/>
  <c r="W196"/>
  <c r="W243"/>
  <c r="Y243"/>
  <c r="BA186"/>
  <c r="Y235"/>
  <c r="W235"/>
  <c r="Y234"/>
  <c r="W232"/>
  <c r="W199"/>
  <c r="Y199"/>
  <c r="K198"/>
  <c r="BN198" s="1"/>
  <c r="BP198" s="1"/>
  <c r="Y55"/>
  <c r="Q55" s="1"/>
  <c r="AA55" s="1"/>
  <c r="AB55" s="1"/>
  <c r="EB57"/>
  <c r="AU57" s="1"/>
  <c r="GQ57" s="1"/>
  <c r="GP57" s="1"/>
  <c r="CI85"/>
  <c r="CK85" s="1"/>
  <c r="EB122"/>
  <c r="AU122" s="1"/>
  <c r="BO114"/>
  <c r="W114"/>
  <c r="S176"/>
  <c r="Q176" s="1"/>
  <c r="AY176" s="1"/>
  <c r="W183"/>
  <c r="EB184"/>
  <c r="R184" s="1"/>
  <c r="S184"/>
  <c r="X184" s="1"/>
  <c r="Y208"/>
  <c r="W90"/>
  <c r="Y102"/>
  <c r="BO122"/>
  <c r="EB132"/>
  <c r="R132" s="1"/>
  <c r="CI114"/>
  <c r="CK114" s="1"/>
  <c r="EB114"/>
  <c r="R114" s="1"/>
  <c r="DB114"/>
  <c r="DD114" s="1"/>
  <c r="BN183"/>
  <c r="BP183" s="1"/>
  <c r="S183"/>
  <c r="X183" s="1"/>
  <c r="W184"/>
  <c r="DB184"/>
  <c r="DD184" s="1"/>
  <c r="BN62"/>
  <c r="BP62" s="1"/>
  <c r="BN87"/>
  <c r="BP87" s="1"/>
  <c r="W93"/>
  <c r="AV122"/>
  <c r="CI132"/>
  <c r="CK132" s="1"/>
  <c r="DC114"/>
  <c r="CJ114"/>
  <c r="Y183"/>
  <c r="Y184"/>
  <c r="W213"/>
  <c r="Y213"/>
  <c r="Y226"/>
  <c r="W226"/>
  <c r="EO186"/>
  <c r="EN186"/>
  <c r="BA182"/>
  <c r="Y222"/>
  <c r="W222"/>
  <c r="W216"/>
  <c r="Y216"/>
  <c r="EN32"/>
  <c r="W207"/>
  <c r="Y207"/>
  <c r="Y205"/>
  <c r="W205"/>
  <c r="V200" i="45"/>
  <c r="AU197" i="43"/>
  <c r="R197"/>
  <c r="DB194"/>
  <c r="DD194" s="1"/>
  <c r="BO119"/>
  <c r="EB147"/>
  <c r="AU147" s="1"/>
  <c r="Y194"/>
  <c r="BN194"/>
  <c r="BP194" s="1"/>
  <c r="DC68"/>
  <c r="BN147"/>
  <c r="BP147" s="1"/>
  <c r="CI194"/>
  <c r="CK194" s="1"/>
  <c r="W85"/>
  <c r="EB194"/>
  <c r="W68"/>
  <c r="CI68"/>
  <c r="CK68" s="1"/>
  <c r="Y68"/>
  <c r="Y71"/>
  <c r="DC89"/>
  <c r="EB119"/>
  <c r="AJ119" s="1"/>
  <c r="T140"/>
  <c r="CI147"/>
  <c r="CK147" s="1"/>
  <c r="DB147"/>
  <c r="DD147" s="1"/>
  <c r="CJ147"/>
  <c r="DC179"/>
  <c r="S179"/>
  <c r="K187"/>
  <c r="EB187" s="1"/>
  <c r="EB68"/>
  <c r="AJ68" s="1"/>
  <c r="AK68" s="1"/>
  <c r="C65" i="45" s="1"/>
  <c r="CJ68" i="43"/>
  <c r="BN71"/>
  <c r="BP71" s="1"/>
  <c r="AV119"/>
  <c r="W140"/>
  <c r="CJ152"/>
  <c r="Y147"/>
  <c r="BO147"/>
  <c r="T147"/>
  <c r="DB53"/>
  <c r="DD53" s="1"/>
  <c r="BN55"/>
  <c r="BP55" s="1"/>
  <c r="BN68"/>
  <c r="BP68" s="1"/>
  <c r="AV68"/>
  <c r="DB68"/>
  <c r="DD68" s="1"/>
  <c r="DC71"/>
  <c r="EB85"/>
  <c r="R85" s="1"/>
  <c r="AV89"/>
  <c r="EB140"/>
  <c r="AJ140" s="1"/>
  <c r="AK140" s="1"/>
  <c r="C137" i="45" s="1"/>
  <c r="Y152" i="43"/>
  <c r="DC147"/>
  <c r="CJ177"/>
  <c r="S177"/>
  <c r="K121"/>
  <c r="DB62"/>
  <c r="DD62" s="1"/>
  <c r="DC83"/>
  <c r="W87"/>
  <c r="CI128"/>
  <c r="CK128" s="1"/>
  <c r="DB129"/>
  <c r="DD129" s="1"/>
  <c r="CJ131"/>
  <c r="BN144"/>
  <c r="BP144" s="1"/>
  <c r="CI151"/>
  <c r="CK151" s="1"/>
  <c r="DD192"/>
  <c r="CI192"/>
  <c r="CK192" s="1"/>
  <c r="Y192"/>
  <c r="S192"/>
  <c r="X192" s="1"/>
  <c r="W62"/>
  <c r="Y62"/>
  <c r="T87"/>
  <c r="DB93"/>
  <c r="DD93" s="1"/>
  <c r="DC102"/>
  <c r="T128"/>
  <c r="K191"/>
  <c r="EB191" s="1"/>
  <c r="W50"/>
  <c r="Y54"/>
  <c r="Q54" s="1"/>
  <c r="EB62"/>
  <c r="AJ62" s="1"/>
  <c r="AK62" s="1"/>
  <c r="DB83"/>
  <c r="DD83" s="1"/>
  <c r="BN90"/>
  <c r="BP90" s="1"/>
  <c r="DC104"/>
  <c r="BN111"/>
  <c r="BP111" s="1"/>
  <c r="W129"/>
  <c r="Y144"/>
  <c r="W173"/>
  <c r="AJ196"/>
  <c r="AJ195"/>
  <c r="AJ193"/>
  <c r="R193"/>
  <c r="AU193"/>
  <c r="AJ192"/>
  <c r="S189"/>
  <c r="X189" s="1"/>
  <c r="CI189"/>
  <c r="CK189" s="1"/>
  <c r="BN189"/>
  <c r="BP189" s="1"/>
  <c r="EB189"/>
  <c r="Y189"/>
  <c r="W189"/>
  <c r="DB189"/>
  <c r="DD189" s="1"/>
  <c r="AJ188"/>
  <c r="AI72"/>
  <c r="EO72" s="1"/>
  <c r="AI166"/>
  <c r="D163" i="45" s="1"/>
  <c r="U163" s="1"/>
  <c r="X163" s="1"/>
  <c r="AJ185" i="43"/>
  <c r="AJ184"/>
  <c r="AJ183"/>
  <c r="Q181"/>
  <c r="AY181" s="1"/>
  <c r="AJ181"/>
  <c r="EH181"/>
  <c r="R181"/>
  <c r="AU181"/>
  <c r="AH181" s="1"/>
  <c r="AI181" s="1"/>
  <c r="D178" i="45" s="1"/>
  <c r="U178" s="1"/>
  <c r="DC87" i="43"/>
  <c r="EB93"/>
  <c r="AJ93" s="1"/>
  <c r="BN104"/>
  <c r="BP104" s="1"/>
  <c r="Y87"/>
  <c r="AV87"/>
  <c r="BO93"/>
  <c r="AV102"/>
  <c r="BO179"/>
  <c r="DB112"/>
  <c r="DD112" s="1"/>
  <c r="CI130"/>
  <c r="CK130" s="1"/>
  <c r="DC130"/>
  <c r="EB136"/>
  <c r="AJ136" s="1"/>
  <c r="AK136" s="1"/>
  <c r="C133" i="45" s="1"/>
  <c r="V163"/>
  <c r="DB159" i="43"/>
  <c r="DD159" s="1"/>
  <c r="CJ159"/>
  <c r="AV159"/>
  <c r="BO138"/>
  <c r="DB138"/>
  <c r="DD138" s="1"/>
  <c r="DC138"/>
  <c r="EB172"/>
  <c r="R172" s="1"/>
  <c r="EN59"/>
  <c r="W55"/>
  <c r="CI70"/>
  <c r="CK70" s="1"/>
  <c r="EN81"/>
  <c r="T93"/>
  <c r="W95"/>
  <c r="BO104"/>
  <c r="CI107"/>
  <c r="CK107" s="1"/>
  <c r="DB110"/>
  <c r="DD110" s="1"/>
  <c r="W130"/>
  <c r="BO130"/>
  <c r="DB143"/>
  <c r="DD143" s="1"/>
  <c r="CI159"/>
  <c r="CK159" s="1"/>
  <c r="EB159"/>
  <c r="AU159" s="1"/>
  <c r="T159"/>
  <c r="W138"/>
  <c r="AV138"/>
  <c r="W172"/>
  <c r="EO81"/>
  <c r="CI55"/>
  <c r="CK55" s="1"/>
  <c r="DB56"/>
  <c r="DD56" s="1"/>
  <c r="BN93"/>
  <c r="BP93" s="1"/>
  <c r="Y93"/>
  <c r="DB104"/>
  <c r="DD104" s="1"/>
  <c r="CJ107"/>
  <c r="W112"/>
  <c r="AV130"/>
  <c r="BN130"/>
  <c r="BP130" s="1"/>
  <c r="Y159"/>
  <c r="DC159"/>
  <c r="BN138"/>
  <c r="BP138" s="1"/>
  <c r="Y138"/>
  <c r="DB172"/>
  <c r="DD172" s="1"/>
  <c r="CJ179"/>
  <c r="T179"/>
  <c r="EB179"/>
  <c r="AJ179" s="1"/>
  <c r="DB179"/>
  <c r="DD179" s="1"/>
  <c r="W179"/>
  <c r="BN179"/>
  <c r="BP179" s="1"/>
  <c r="BN97"/>
  <c r="BP97" s="1"/>
  <c r="AV179"/>
  <c r="DB177"/>
  <c r="DD177" s="1"/>
  <c r="Y179"/>
  <c r="K180"/>
  <c r="BN180" s="1"/>
  <c r="BP180" s="1"/>
  <c r="CI179"/>
  <c r="CK179" s="1"/>
  <c r="EB90"/>
  <c r="AJ90" s="1"/>
  <c r="AK90" s="1"/>
  <c r="C87" i="45" s="1"/>
  <c r="Y96" i="43"/>
  <c r="T90"/>
  <c r="DB95"/>
  <c r="DD95" s="1"/>
  <c r="BO99"/>
  <c r="CI172"/>
  <c r="CK172" s="1"/>
  <c r="BN176"/>
  <c r="BP176" s="1"/>
  <c r="EB177"/>
  <c r="AU177" s="1"/>
  <c r="W177"/>
  <c r="Y177"/>
  <c r="BO177"/>
  <c r="T177"/>
  <c r="CI177"/>
  <c r="CK177" s="1"/>
  <c r="AV177"/>
  <c r="DC177"/>
  <c r="BN177"/>
  <c r="BP177" s="1"/>
  <c r="K178"/>
  <c r="BO178" s="1"/>
  <c r="DB28"/>
  <c r="DD28" s="1"/>
  <c r="CI54"/>
  <c r="CK54" s="1"/>
  <c r="EB95"/>
  <c r="R95" s="1"/>
  <c r="BN95"/>
  <c r="BP95" s="1"/>
  <c r="EB175"/>
  <c r="AJ175" s="1"/>
  <c r="EB176"/>
  <c r="AJ176" s="1"/>
  <c r="AK176" s="1"/>
  <c r="C173" i="45" s="1"/>
  <c r="CI95" i="43"/>
  <c r="CK95" s="1"/>
  <c r="BN99"/>
  <c r="BP99" s="1"/>
  <c r="W102"/>
  <c r="CI102"/>
  <c r="CK102" s="1"/>
  <c r="T113"/>
  <c r="T136"/>
  <c r="CI176"/>
  <c r="CK176" s="1"/>
  <c r="DB176"/>
  <c r="DD176" s="1"/>
  <c r="CI45"/>
  <c r="CK45" s="1"/>
  <c r="EB55"/>
  <c r="AJ55" s="1"/>
  <c r="AK55" s="1"/>
  <c r="CJ63"/>
  <c r="W84"/>
  <c r="Y85"/>
  <c r="T85"/>
  <c r="CI87"/>
  <c r="CK87" s="1"/>
  <c r="DB87"/>
  <c r="DD87" s="1"/>
  <c r="Y90"/>
  <c r="CJ92"/>
  <c r="CI93"/>
  <c r="CK93" s="1"/>
  <c r="AV93"/>
  <c r="CJ95"/>
  <c r="T95"/>
  <c r="W99"/>
  <c r="DB102"/>
  <c r="DD102" s="1"/>
  <c r="CI104"/>
  <c r="CK104" s="1"/>
  <c r="T104"/>
  <c r="EB109"/>
  <c r="R109" s="1"/>
  <c r="BN110"/>
  <c r="BP110" s="1"/>
  <c r="CI112"/>
  <c r="CK112" s="1"/>
  <c r="Y130"/>
  <c r="DB130"/>
  <c r="DD130" s="1"/>
  <c r="CI136"/>
  <c r="CK136" s="1"/>
  <c r="BN143"/>
  <c r="BP143" s="1"/>
  <c r="W151"/>
  <c r="W176"/>
  <c r="DC176"/>
  <c r="T176"/>
  <c r="CJ176"/>
  <c r="AV176"/>
  <c r="BO176"/>
  <c r="W41"/>
  <c r="BN41"/>
  <c r="BP41" s="1"/>
  <c r="W28"/>
  <c r="W52"/>
  <c r="DB55"/>
  <c r="DD55" s="1"/>
  <c r="DB69"/>
  <c r="DD69" s="1"/>
  <c r="BO82"/>
  <c r="EB87"/>
  <c r="AJ87" s="1"/>
  <c r="CJ87"/>
  <c r="DC93"/>
  <c r="Y95"/>
  <c r="BO95"/>
  <c r="DC95"/>
  <c r="DB99"/>
  <c r="DD99" s="1"/>
  <c r="DC99"/>
  <c r="CI101"/>
  <c r="CK101" s="1"/>
  <c r="CJ102"/>
  <c r="T102"/>
  <c r="CJ104"/>
  <c r="BN109"/>
  <c r="BP109" s="1"/>
  <c r="CI122"/>
  <c r="CK122" s="1"/>
  <c r="BN122"/>
  <c r="BP122" s="1"/>
  <c r="CJ122"/>
  <c r="BN125"/>
  <c r="BP125" s="1"/>
  <c r="EB127"/>
  <c r="AJ127" s="1"/>
  <c r="AK127" s="1"/>
  <c r="C124" i="45" s="1"/>
  <c r="BN141" i="43"/>
  <c r="BP141" s="1"/>
  <c r="DC141"/>
  <c r="EB145"/>
  <c r="AJ145" s="1"/>
  <c r="W157"/>
  <c r="AV161"/>
  <c r="Y167"/>
  <c r="Q167" s="1"/>
  <c r="AY167" s="1"/>
  <c r="W132"/>
  <c r="Y132"/>
  <c r="AV132"/>
  <c r="CI158"/>
  <c r="CK158" s="1"/>
  <c r="DC158"/>
  <c r="T158"/>
  <c r="S173"/>
  <c r="Q173" s="1"/>
  <c r="W175"/>
  <c r="DB175"/>
  <c r="DD175" s="1"/>
  <c r="EB41"/>
  <c r="AJ41" s="1"/>
  <c r="AK41" s="1"/>
  <c r="C38" i="45" s="1"/>
  <c r="BN28" i="43"/>
  <c r="BP28" s="1"/>
  <c r="Y28"/>
  <c r="Q28" s="1"/>
  <c r="AY28" s="1"/>
  <c r="EB52"/>
  <c r="R52" s="1"/>
  <c r="W113"/>
  <c r="W122"/>
  <c r="DB122"/>
  <c r="DD122" s="1"/>
  <c r="T122"/>
  <c r="BO125"/>
  <c r="DC127"/>
  <c r="EB141"/>
  <c r="R141" s="1"/>
  <c r="CI141"/>
  <c r="CK141" s="1"/>
  <c r="T145"/>
  <c r="Y157"/>
  <c r="W161"/>
  <c r="T161"/>
  <c r="DB132"/>
  <c r="DD132" s="1"/>
  <c r="BO132"/>
  <c r="CJ132"/>
  <c r="DB158"/>
  <c r="DD158" s="1"/>
  <c r="Y158"/>
  <c r="CI173"/>
  <c r="CK173" s="1"/>
  <c r="DB173"/>
  <c r="DD173" s="1"/>
  <c r="Y175"/>
  <c r="CI41"/>
  <c r="CK41" s="1"/>
  <c r="EB28"/>
  <c r="AJ28" s="1"/>
  <c r="AK28" s="1"/>
  <c r="C25" i="45" s="1"/>
  <c r="CI28" i="43"/>
  <c r="CK28" s="1"/>
  <c r="BN52"/>
  <c r="BP52" s="1"/>
  <c r="EB82"/>
  <c r="AU82" s="1"/>
  <c r="Y113"/>
  <c r="DC122"/>
  <c r="CJ141"/>
  <c r="CJ161"/>
  <c r="DC132"/>
  <c r="BN132"/>
  <c r="BP132" s="1"/>
  <c r="EB158"/>
  <c r="AJ158" s="1"/>
  <c r="AK158" s="1"/>
  <c r="C155" i="45" s="1"/>
  <c r="AV158" i="43"/>
  <c r="BN173"/>
  <c r="BP173" s="1"/>
  <c r="EO66"/>
  <c r="AV171"/>
  <c r="BO171"/>
  <c r="T171"/>
  <c r="CJ171"/>
  <c r="DC171"/>
  <c r="CI76"/>
  <c r="CK76" s="1"/>
  <c r="AV82"/>
  <c r="W82"/>
  <c r="EB98"/>
  <c r="AJ98" s="1"/>
  <c r="AK98" s="1"/>
  <c r="C95" i="45" s="1"/>
  <c r="DC101" i="43"/>
  <c r="DB125"/>
  <c r="DD125" s="1"/>
  <c r="T125"/>
  <c r="CI127"/>
  <c r="CK127" s="1"/>
  <c r="DC128"/>
  <c r="BO131"/>
  <c r="DC145"/>
  <c r="W145"/>
  <c r="BA66"/>
  <c r="CI174"/>
  <c r="CK174" s="1"/>
  <c r="T174"/>
  <c r="AV174"/>
  <c r="DC174"/>
  <c r="BO174"/>
  <c r="CJ174"/>
  <c r="AI77"/>
  <c r="D74" i="45" s="1"/>
  <c r="U74" s="1"/>
  <c r="DB44" i="43"/>
  <c r="DD44" s="1"/>
  <c r="W53"/>
  <c r="Y53"/>
  <c r="Q53" s="1"/>
  <c r="AA53" s="1"/>
  <c r="AB53" s="1"/>
  <c r="W47"/>
  <c r="Y58"/>
  <c r="Q58" s="1"/>
  <c r="BN57"/>
  <c r="BP57" s="1"/>
  <c r="DC70"/>
  <c r="EB76"/>
  <c r="R76" s="1"/>
  <c r="CJ76"/>
  <c r="W76"/>
  <c r="CJ82"/>
  <c r="CI82"/>
  <c r="CK82" s="1"/>
  <c r="BO85"/>
  <c r="CJ85"/>
  <c r="CI90"/>
  <c r="CK90" s="1"/>
  <c r="BO90"/>
  <c r="AV90"/>
  <c r="Y92"/>
  <c r="W96"/>
  <c r="CI98"/>
  <c r="CK98" s="1"/>
  <c r="CI110"/>
  <c r="CK110" s="1"/>
  <c r="CJ125"/>
  <c r="W125"/>
  <c r="CJ127"/>
  <c r="Y127"/>
  <c r="EB128"/>
  <c r="R128" s="1"/>
  <c r="BO128"/>
  <c r="AV128"/>
  <c r="DB135"/>
  <c r="DD135" s="1"/>
  <c r="DB141"/>
  <c r="DD141" s="1"/>
  <c r="W141"/>
  <c r="T141"/>
  <c r="DC143"/>
  <c r="CI145"/>
  <c r="CK145" s="1"/>
  <c r="AV145"/>
  <c r="BO145"/>
  <c r="CJ157"/>
  <c r="BN161"/>
  <c r="BP161" s="1"/>
  <c r="BO161"/>
  <c r="DC161"/>
  <c r="CI167"/>
  <c r="CK167" s="1"/>
  <c r="W167"/>
  <c r="AV167"/>
  <c r="BO168"/>
  <c r="DB123"/>
  <c r="DD123" s="1"/>
  <c r="EB174"/>
  <c r="R174" s="1"/>
  <c r="CI175"/>
  <c r="CK175" s="1"/>
  <c r="DC175"/>
  <c r="AV175"/>
  <c r="T175"/>
  <c r="BO175"/>
  <c r="CJ175"/>
  <c r="AV173"/>
  <c r="BO173"/>
  <c r="T173"/>
  <c r="CJ173"/>
  <c r="DC173"/>
  <c r="BN76"/>
  <c r="BP76" s="1"/>
  <c r="AV111"/>
  <c r="CI125"/>
  <c r="CK125" s="1"/>
  <c r="AV127"/>
  <c r="T127"/>
  <c r="CJ128"/>
  <c r="AV169"/>
  <c r="BO169"/>
  <c r="T169"/>
  <c r="DC169"/>
  <c r="CJ169"/>
  <c r="EB53"/>
  <c r="AJ53" s="1"/>
  <c r="AK53" s="1"/>
  <c r="C50" i="45" s="1"/>
  <c r="BN53" i="43"/>
  <c r="BP53" s="1"/>
  <c r="W23"/>
  <c r="CI57"/>
  <c r="CK57" s="1"/>
  <c r="DB57"/>
  <c r="DD57" s="1"/>
  <c r="BO63"/>
  <c r="EN66"/>
  <c r="DB70"/>
  <c r="DD70" s="1"/>
  <c r="EB79"/>
  <c r="AJ79" s="1"/>
  <c r="Y76"/>
  <c r="DB76"/>
  <c r="DD76" s="1"/>
  <c r="BO76"/>
  <c r="BN82"/>
  <c r="BP82" s="1"/>
  <c r="Y82"/>
  <c r="DC82"/>
  <c r="BN85"/>
  <c r="BP85" s="1"/>
  <c r="DC85"/>
  <c r="DB90"/>
  <c r="DD90" s="1"/>
  <c r="CJ90"/>
  <c r="BO92"/>
  <c r="CJ96"/>
  <c r="BO98"/>
  <c r="CJ111"/>
  <c r="Y125"/>
  <c r="DC125"/>
  <c r="W127"/>
  <c r="BN127"/>
  <c r="BP127" s="1"/>
  <c r="Y128"/>
  <c r="DB128"/>
  <c r="DD128" s="1"/>
  <c r="Y131"/>
  <c r="EB135"/>
  <c r="R135" s="1"/>
  <c r="AV141"/>
  <c r="CJ142"/>
  <c r="DB145"/>
  <c r="DD145" s="1"/>
  <c r="Y145"/>
  <c r="AV155"/>
  <c r="DB161"/>
  <c r="DD161" s="1"/>
  <c r="Y161"/>
  <c r="EB167"/>
  <c r="AJ167" s="1"/>
  <c r="AK167" s="1"/>
  <c r="C164" i="45" s="1"/>
  <c r="DB167" i="43"/>
  <c r="DD167" s="1"/>
  <c r="BN167"/>
  <c r="BP167" s="1"/>
  <c r="DC168"/>
  <c r="T172"/>
  <c r="X172" s="1"/>
  <c r="DC172"/>
  <c r="CJ172"/>
  <c r="BO172"/>
  <c r="AV172"/>
  <c r="W44"/>
  <c r="Y44"/>
  <c r="Q44" s="1"/>
  <c r="AY44" s="1"/>
  <c r="CI50"/>
  <c r="CK50" s="1"/>
  <c r="BN50"/>
  <c r="BP50" s="1"/>
  <c r="DB23"/>
  <c r="DD23" s="1"/>
  <c r="CI58"/>
  <c r="CK58" s="1"/>
  <c r="CI63"/>
  <c r="CK63" s="1"/>
  <c r="EB63"/>
  <c r="AJ63" s="1"/>
  <c r="AK63" s="1"/>
  <c r="C60" i="45" s="1"/>
  <c r="AV83" i="43"/>
  <c r="EB83"/>
  <c r="AJ83" s="1"/>
  <c r="AK83" s="1"/>
  <c r="C80" i="45" s="1"/>
  <c r="T83" i="43"/>
  <c r="AV84"/>
  <c r="BO84"/>
  <c r="EB112"/>
  <c r="AU112" s="1"/>
  <c r="T112"/>
  <c r="AV112"/>
  <c r="BN113"/>
  <c r="BP113" s="1"/>
  <c r="DC113"/>
  <c r="EB113"/>
  <c r="AU113" s="1"/>
  <c r="CI129"/>
  <c r="CK129" s="1"/>
  <c r="Y129"/>
  <c r="BN129"/>
  <c r="BP129" s="1"/>
  <c r="BN136"/>
  <c r="BP136" s="1"/>
  <c r="DC136"/>
  <c r="CJ136"/>
  <c r="T137"/>
  <c r="W142"/>
  <c r="EB144"/>
  <c r="DC144"/>
  <c r="CJ144"/>
  <c r="DB151"/>
  <c r="DD151" s="1"/>
  <c r="BN151"/>
  <c r="BP151" s="1"/>
  <c r="T151"/>
  <c r="W155"/>
  <c r="AV123"/>
  <c r="AV115"/>
  <c r="K170"/>
  <c r="CI170" s="1"/>
  <c r="CK170" s="1"/>
  <c r="BN44"/>
  <c r="BP44" s="1"/>
  <c r="EB50"/>
  <c r="AJ50" s="1"/>
  <c r="AK50" s="1"/>
  <c r="C47" i="45" s="1"/>
  <c r="CI23" i="43"/>
  <c r="CK23" s="1"/>
  <c r="Y23"/>
  <c r="Q23" s="1"/>
  <c r="AA23" s="1"/>
  <c r="AB23" s="1"/>
  <c r="EB58"/>
  <c r="AU58" s="1"/>
  <c r="W58"/>
  <c r="W63"/>
  <c r="BN63"/>
  <c r="BP63" s="1"/>
  <c r="W83"/>
  <c r="BN83"/>
  <c r="BP83" s="1"/>
  <c r="CJ83"/>
  <c r="DB84"/>
  <c r="DD84" s="1"/>
  <c r="EB84"/>
  <c r="AU84" s="1"/>
  <c r="CI84"/>
  <c r="CK84" s="1"/>
  <c r="CJ112"/>
  <c r="BN112"/>
  <c r="BP112" s="1"/>
  <c r="Y112"/>
  <c r="CI113"/>
  <c r="CK113" s="1"/>
  <c r="AV113"/>
  <c r="CJ129"/>
  <c r="AV129"/>
  <c r="DB136"/>
  <c r="DD136" s="1"/>
  <c r="Y136"/>
  <c r="BO137"/>
  <c r="BO142"/>
  <c r="DB144"/>
  <c r="DD144" s="1"/>
  <c r="W144"/>
  <c r="Y151"/>
  <c r="CJ151"/>
  <c r="AV151"/>
  <c r="K146"/>
  <c r="EB44"/>
  <c r="AU44" s="1"/>
  <c r="CI44"/>
  <c r="CK44" s="1"/>
  <c r="DB50"/>
  <c r="DD50" s="1"/>
  <c r="Y50"/>
  <c r="Q50" s="1"/>
  <c r="AA50" s="1"/>
  <c r="AB50" s="1"/>
  <c r="BN23"/>
  <c r="BP23" s="1"/>
  <c r="EB23"/>
  <c r="R23" s="1"/>
  <c r="BN58"/>
  <c r="BP58" s="1"/>
  <c r="DB58"/>
  <c r="DD58" s="1"/>
  <c r="DC63"/>
  <c r="BO79"/>
  <c r="BO83"/>
  <c r="Y83"/>
  <c r="CJ84"/>
  <c r="BN84"/>
  <c r="BP84" s="1"/>
  <c r="AV109"/>
  <c r="DC112"/>
  <c r="DB113"/>
  <c r="DD113" s="1"/>
  <c r="BO113"/>
  <c r="EB129"/>
  <c r="AU129" s="1"/>
  <c r="BO129"/>
  <c r="W136"/>
  <c r="AV136"/>
  <c r="W137"/>
  <c r="CI144"/>
  <c r="CK144" s="1"/>
  <c r="BO144"/>
  <c r="EB151"/>
  <c r="AJ151" s="1"/>
  <c r="BO151"/>
  <c r="CI155"/>
  <c r="CK155" s="1"/>
  <c r="W115"/>
  <c r="K126"/>
  <c r="Y33"/>
  <c r="Q33" s="1"/>
  <c r="AA33" s="1"/>
  <c r="AB33" s="1"/>
  <c r="W45"/>
  <c r="EB61"/>
  <c r="AJ61" s="1"/>
  <c r="AK61" s="1"/>
  <c r="EB70"/>
  <c r="AJ70" s="1"/>
  <c r="W70"/>
  <c r="CI89"/>
  <c r="CK89" s="1"/>
  <c r="EB89"/>
  <c r="AU89" s="1"/>
  <c r="T89"/>
  <c r="AV92"/>
  <c r="EB92"/>
  <c r="AJ92" s="1"/>
  <c r="AK92" s="1"/>
  <c r="C89" i="45" s="1"/>
  <c r="DC92" i="43"/>
  <c r="BN96"/>
  <c r="BP96" s="1"/>
  <c r="AV96"/>
  <c r="DB97"/>
  <c r="DD97" s="1"/>
  <c r="DB108"/>
  <c r="DD108" s="1"/>
  <c r="Y110"/>
  <c r="EB110"/>
  <c r="AJ110" s="1"/>
  <c r="AK110" s="1"/>
  <c r="C107" i="45" s="1"/>
  <c r="BO110" i="43"/>
  <c r="BO118"/>
  <c r="DC135"/>
  <c r="BO135"/>
  <c r="DC137"/>
  <c r="CI137"/>
  <c r="CK137" s="1"/>
  <c r="BN137"/>
  <c r="BP137" s="1"/>
  <c r="DB140"/>
  <c r="DD140" s="1"/>
  <c r="BN140"/>
  <c r="BP140" s="1"/>
  <c r="CI140"/>
  <c r="CK140" s="1"/>
  <c r="CI142"/>
  <c r="CK142" s="1"/>
  <c r="AV142"/>
  <c r="EB143"/>
  <c r="R143" s="1"/>
  <c r="BO143"/>
  <c r="CJ143"/>
  <c r="DB152"/>
  <c r="DD152" s="1"/>
  <c r="W152"/>
  <c r="T152"/>
  <c r="BN155"/>
  <c r="BP155" s="1"/>
  <c r="DB155"/>
  <c r="DD155" s="1"/>
  <c r="CI123"/>
  <c r="CK123" s="1"/>
  <c r="EB123"/>
  <c r="AU123" s="1"/>
  <c r="T123"/>
  <c r="CJ115"/>
  <c r="DB115"/>
  <c r="DD115" s="1"/>
  <c r="T115"/>
  <c r="Y45"/>
  <c r="Q45" s="1"/>
  <c r="AA45" s="1"/>
  <c r="AB45" s="1"/>
  <c r="DB45"/>
  <c r="DD45" s="1"/>
  <c r="DB36"/>
  <c r="DD36" s="1"/>
  <c r="Y56"/>
  <c r="Q56" s="1"/>
  <c r="AA56" s="1"/>
  <c r="AB56" s="1"/>
  <c r="BN70"/>
  <c r="BP70" s="1"/>
  <c r="Y70"/>
  <c r="CJ70"/>
  <c r="BO86"/>
  <c r="W89"/>
  <c r="CJ89"/>
  <c r="BO89"/>
  <c r="BN92"/>
  <c r="BP92" s="1"/>
  <c r="CI92"/>
  <c r="CK92" s="1"/>
  <c r="T92"/>
  <c r="EB96"/>
  <c r="R96" s="1"/>
  <c r="DB96"/>
  <c r="DD96" s="1"/>
  <c r="BO96"/>
  <c r="DC110"/>
  <c r="W110"/>
  <c r="T110"/>
  <c r="CI118"/>
  <c r="CK118" s="1"/>
  <c r="CI135"/>
  <c r="CK135" s="1"/>
  <c r="W135"/>
  <c r="BN135"/>
  <c r="BP135" s="1"/>
  <c r="EB137"/>
  <c r="AJ137" s="1"/>
  <c r="CJ137"/>
  <c r="CJ140"/>
  <c r="BO140"/>
  <c r="Y142"/>
  <c r="DC142"/>
  <c r="BN142"/>
  <c r="BP142" s="1"/>
  <c r="W143"/>
  <c r="Y143"/>
  <c r="T143"/>
  <c r="CI152"/>
  <c r="CK152" s="1"/>
  <c r="BO152"/>
  <c r="AV152"/>
  <c r="DC155"/>
  <c r="Y155"/>
  <c r="CJ155"/>
  <c r="BN163"/>
  <c r="BP163" s="1"/>
  <c r="S163"/>
  <c r="Y123"/>
  <c r="W123"/>
  <c r="BN123"/>
  <c r="BP123" s="1"/>
  <c r="Y115"/>
  <c r="DC115"/>
  <c r="EB115"/>
  <c r="R115" s="1"/>
  <c r="EB45"/>
  <c r="R45" s="1"/>
  <c r="BN45"/>
  <c r="BP45" s="1"/>
  <c r="BO70"/>
  <c r="AV70"/>
  <c r="EB86"/>
  <c r="AJ86" s="1"/>
  <c r="AK86" s="1"/>
  <c r="C83" i="45" s="1"/>
  <c r="DB89" i="43"/>
  <c r="DD89" s="1"/>
  <c r="Y89"/>
  <c r="W92"/>
  <c r="DC96"/>
  <c r="CI96"/>
  <c r="CK96" s="1"/>
  <c r="AV99"/>
  <c r="EB99"/>
  <c r="AJ99" s="1"/>
  <c r="AK99" s="1"/>
  <c r="C96" i="45" s="1"/>
  <c r="W104" i="43"/>
  <c r="EB104"/>
  <c r="R104" s="1"/>
  <c r="DC109"/>
  <c r="CJ110"/>
  <c r="DB118"/>
  <c r="DD118" s="1"/>
  <c r="AV135"/>
  <c r="Y135"/>
  <c r="DB137"/>
  <c r="DD137" s="1"/>
  <c r="Y137"/>
  <c r="Y140"/>
  <c r="DC140"/>
  <c r="EB142"/>
  <c r="AJ142" s="1"/>
  <c r="AK142" s="1"/>
  <c r="C139" i="45" s="1"/>
  <c r="DB142" i="43"/>
  <c r="DD142" s="1"/>
  <c r="AV143"/>
  <c r="EB152"/>
  <c r="R152" s="1"/>
  <c r="BN152"/>
  <c r="BP152" s="1"/>
  <c r="BO155"/>
  <c r="EB155"/>
  <c r="AJ155" s="1"/>
  <c r="AK155" s="1"/>
  <c r="C152" i="45" s="1"/>
  <c r="CJ123" i="43"/>
  <c r="DC123"/>
  <c r="CI115"/>
  <c r="CK115" s="1"/>
  <c r="BN115"/>
  <c r="BP115" s="1"/>
  <c r="S175"/>
  <c r="W33"/>
  <c r="BN33"/>
  <c r="BP33" s="1"/>
  <c r="BN47"/>
  <c r="BP47" s="1"/>
  <c r="EB36"/>
  <c r="R36" s="1"/>
  <c r="CI36"/>
  <c r="CK36" s="1"/>
  <c r="W61"/>
  <c r="CI61"/>
  <c r="CK61" s="1"/>
  <c r="CI56"/>
  <c r="CK56" s="1"/>
  <c r="EB71"/>
  <c r="AU71" s="1"/>
  <c r="DB71"/>
  <c r="DD71" s="1"/>
  <c r="DC86"/>
  <c r="BN86"/>
  <c r="BP86" s="1"/>
  <c r="T86"/>
  <c r="Y97"/>
  <c r="CI97"/>
  <c r="CK97" s="1"/>
  <c r="T97"/>
  <c r="CJ98"/>
  <c r="BN98"/>
  <c r="BP98" s="1"/>
  <c r="Y101"/>
  <c r="DB101"/>
  <c r="DD101" s="1"/>
  <c r="T101"/>
  <c r="DC107"/>
  <c r="Y107"/>
  <c r="T107"/>
  <c r="CI111"/>
  <c r="CK111" s="1"/>
  <c r="DB111"/>
  <c r="DD111" s="1"/>
  <c r="DC111"/>
  <c r="CI119"/>
  <c r="CK119" s="1"/>
  <c r="DB119"/>
  <c r="DD119" s="1"/>
  <c r="W131"/>
  <c r="DC131"/>
  <c r="DB157"/>
  <c r="DD157" s="1"/>
  <c r="BN157"/>
  <c r="BP157" s="1"/>
  <c r="DC157"/>
  <c r="W163"/>
  <c r="DB163"/>
  <c r="DD163" s="1"/>
  <c r="T163"/>
  <c r="CI168"/>
  <c r="CK168" s="1"/>
  <c r="Y174"/>
  <c r="S174"/>
  <c r="S171"/>
  <c r="W171"/>
  <c r="EB171"/>
  <c r="AJ171" s="1"/>
  <c r="AK171" s="1"/>
  <c r="C168" i="45" s="1"/>
  <c r="DB171" i="43"/>
  <c r="DD171" s="1"/>
  <c r="BN171"/>
  <c r="BP171" s="1"/>
  <c r="CI171"/>
  <c r="CK171" s="1"/>
  <c r="Y171"/>
  <c r="DB33"/>
  <c r="DD33" s="1"/>
  <c r="DB47"/>
  <c r="DD47" s="1"/>
  <c r="Y47"/>
  <c r="Q47" s="1"/>
  <c r="AA47" s="1"/>
  <c r="AB47" s="1"/>
  <c r="W36"/>
  <c r="Y61"/>
  <c r="Q61" s="1"/>
  <c r="BN56"/>
  <c r="BP56" s="1"/>
  <c r="CI71"/>
  <c r="CK71" s="1"/>
  <c r="W71"/>
  <c r="BO71"/>
  <c r="Y86"/>
  <c r="CI86"/>
  <c r="CK86" s="1"/>
  <c r="CJ86"/>
  <c r="W97"/>
  <c r="DC97"/>
  <c r="AV97"/>
  <c r="Y98"/>
  <c r="W98"/>
  <c r="DC98"/>
  <c r="CJ101"/>
  <c r="W101"/>
  <c r="AV101"/>
  <c r="EB107"/>
  <c r="AJ107" s="1"/>
  <c r="BN107"/>
  <c r="BP107" s="1"/>
  <c r="AV107"/>
  <c r="BO111"/>
  <c r="W111"/>
  <c r="T111"/>
  <c r="Y119"/>
  <c r="DC119"/>
  <c r="CJ119"/>
  <c r="BN131"/>
  <c r="BP131" s="1"/>
  <c r="AV131"/>
  <c r="EB131"/>
  <c r="AJ131" s="1"/>
  <c r="AK131" s="1"/>
  <c r="C128" i="45" s="1"/>
  <c r="BO157" i="43"/>
  <c r="EB157"/>
  <c r="AJ157" s="1"/>
  <c r="T157"/>
  <c r="EB163"/>
  <c r="AJ163" s="1"/>
  <c r="BO163"/>
  <c r="CJ163"/>
  <c r="Y168"/>
  <c r="Q168" s="1"/>
  <c r="AA168" s="1"/>
  <c r="AB168" s="1"/>
  <c r="EB168"/>
  <c r="AJ168" s="1"/>
  <c r="AK168" s="1"/>
  <c r="C165" i="45" s="1"/>
  <c r="BN174" i="43"/>
  <c r="BP174" s="1"/>
  <c r="W174"/>
  <c r="S169"/>
  <c r="EB169"/>
  <c r="AJ169" s="1"/>
  <c r="AK169" s="1"/>
  <c r="C166" i="45" s="1"/>
  <c r="BN169" i="43"/>
  <c r="BP169" s="1"/>
  <c r="W169"/>
  <c r="Y169"/>
  <c r="CI169"/>
  <c r="CK169" s="1"/>
  <c r="DB169"/>
  <c r="DD169" s="1"/>
  <c r="K148"/>
  <c r="K91"/>
  <c r="K120"/>
  <c r="EB33"/>
  <c r="AU33" s="1"/>
  <c r="CI33"/>
  <c r="CK33" s="1"/>
  <c r="EB47"/>
  <c r="R47" s="1"/>
  <c r="CI47"/>
  <c r="CK47" s="1"/>
  <c r="BN36"/>
  <c r="BP36" s="1"/>
  <c r="Y36"/>
  <c r="Q36" s="1"/>
  <c r="EB54"/>
  <c r="R54" s="1"/>
  <c r="DB61"/>
  <c r="DD61" s="1"/>
  <c r="BN61"/>
  <c r="BP61" s="1"/>
  <c r="W56"/>
  <c r="EB56"/>
  <c r="R56" s="1"/>
  <c r="CJ71"/>
  <c r="AV71"/>
  <c r="DB86"/>
  <c r="DD86" s="1"/>
  <c r="W86"/>
  <c r="EB97"/>
  <c r="AJ97" s="1"/>
  <c r="CJ97"/>
  <c r="AV98"/>
  <c r="DB98"/>
  <c r="DD98" s="1"/>
  <c r="BO101"/>
  <c r="BN101"/>
  <c r="BP101" s="1"/>
  <c r="W107"/>
  <c r="DB107"/>
  <c r="DD107" s="1"/>
  <c r="EB111"/>
  <c r="R111" s="1"/>
  <c r="AV118"/>
  <c r="EB118"/>
  <c r="AJ118" s="1"/>
  <c r="AK118" s="1"/>
  <c r="C115" i="45" s="1"/>
  <c r="W119" i="43"/>
  <c r="BN119"/>
  <c r="BP119" s="1"/>
  <c r="CI131"/>
  <c r="CK131" s="1"/>
  <c r="DB131"/>
  <c r="DD131" s="1"/>
  <c r="AV157"/>
  <c r="CI163"/>
  <c r="CK163" s="1"/>
  <c r="Y163"/>
  <c r="BN168"/>
  <c r="BP168" s="1"/>
  <c r="DB168"/>
  <c r="DD168" s="1"/>
  <c r="W168"/>
  <c r="DB174"/>
  <c r="DD174" s="1"/>
  <c r="BN42"/>
  <c r="BP42" s="1"/>
  <c r="W54"/>
  <c r="Y52"/>
  <c r="Q52" s="1"/>
  <c r="AA52" s="1"/>
  <c r="AB52" s="1"/>
  <c r="DB52"/>
  <c r="DD52" s="1"/>
  <c r="CI99"/>
  <c r="CK99" s="1"/>
  <c r="Y99"/>
  <c r="CJ99"/>
  <c r="AV104"/>
  <c r="BN108"/>
  <c r="BP108" s="1"/>
  <c r="CJ109"/>
  <c r="BO109"/>
  <c r="DB54"/>
  <c r="DD54" s="1"/>
  <c r="BN54"/>
  <c r="BP54" s="1"/>
  <c r="CI52"/>
  <c r="CK52" s="1"/>
  <c r="Y108"/>
  <c r="Y109"/>
  <c r="W109"/>
  <c r="K156"/>
  <c r="K164"/>
  <c r="S164" s="1"/>
  <c r="K139"/>
  <c r="K105"/>
  <c r="K134"/>
  <c r="K133"/>
  <c r="K153"/>
  <c r="CI153" s="1"/>
  <c r="K116"/>
  <c r="EB102"/>
  <c r="BN102"/>
  <c r="BP102" s="1"/>
  <c r="EB108"/>
  <c r="AJ108" s="1"/>
  <c r="AK108" s="1"/>
  <c r="C105" i="45" s="1"/>
  <c r="DC108" i="43"/>
  <c r="CI109"/>
  <c r="CK109" s="1"/>
  <c r="DB109"/>
  <c r="DD109" s="1"/>
  <c r="DC118"/>
  <c r="K117"/>
  <c r="K154"/>
  <c r="K162"/>
  <c r="AK150"/>
  <c r="AA150"/>
  <c r="AB150" s="1"/>
  <c r="AY150"/>
  <c r="AU150"/>
  <c r="AH150" s="1"/>
  <c r="AI150" s="1"/>
  <c r="D147" i="45" s="1"/>
  <c r="U147" s="1"/>
  <c r="R150" i="43"/>
  <c r="EH150"/>
  <c r="AA149"/>
  <c r="AB149" s="1"/>
  <c r="AY149"/>
  <c r="AU149"/>
  <c r="AH149" s="1"/>
  <c r="EH149"/>
  <c r="R149"/>
  <c r="D78" i="45"/>
  <c r="U78" s="1"/>
  <c r="T118" i="43"/>
  <c r="CJ118"/>
  <c r="Y118"/>
  <c r="BN118"/>
  <c r="BP118" s="1"/>
  <c r="T62"/>
  <c r="S62"/>
  <c r="K78"/>
  <c r="T108"/>
  <c r="AV108"/>
  <c r="CI108"/>
  <c r="CK108" s="1"/>
  <c r="W108"/>
  <c r="CJ108"/>
  <c r="T106"/>
  <c r="X106" s="1"/>
  <c r="BN106"/>
  <c r="BP106" s="1"/>
  <c r="AV106"/>
  <c r="DC106"/>
  <c r="Y106"/>
  <c r="Q106" s="1"/>
  <c r="DB106"/>
  <c r="DD106" s="1"/>
  <c r="CJ106"/>
  <c r="BO106"/>
  <c r="CI106"/>
  <c r="CK106" s="1"/>
  <c r="EB106"/>
  <c r="W106"/>
  <c r="AV63"/>
  <c r="T63"/>
  <c r="T88"/>
  <c r="X88" s="1"/>
  <c r="DC88"/>
  <c r="EB88"/>
  <c r="AJ88" s="1"/>
  <c r="CI88"/>
  <c r="CK88" s="1"/>
  <c r="BO88"/>
  <c r="Y88"/>
  <c r="Q88" s="1"/>
  <c r="BN88"/>
  <c r="BP88" s="1"/>
  <c r="AV88"/>
  <c r="W88"/>
  <c r="CJ88"/>
  <c r="DB88"/>
  <c r="DD88" s="1"/>
  <c r="K100"/>
  <c r="CI42"/>
  <c r="CK42" s="1"/>
  <c r="S42"/>
  <c r="X42" s="1"/>
  <c r="AV69"/>
  <c r="T69"/>
  <c r="K103"/>
  <c r="K94"/>
  <c r="V78" i="45"/>
  <c r="BA81" i="43"/>
  <c r="V56" i="45"/>
  <c r="BA59" i="43"/>
  <c r="BA72"/>
  <c r="V69" i="45"/>
  <c r="Y63" i="43"/>
  <c r="K60"/>
  <c r="DC60" s="1"/>
  <c r="CI64"/>
  <c r="CK64" s="1"/>
  <c r="CJ64"/>
  <c r="Y64"/>
  <c r="W64"/>
  <c r="AV64"/>
  <c r="DC64"/>
  <c r="EB64"/>
  <c r="BO64"/>
  <c r="BN64"/>
  <c r="BP64" s="1"/>
  <c r="DB64"/>
  <c r="DD64" s="1"/>
  <c r="EB73"/>
  <c r="AJ73" s="1"/>
  <c r="W73"/>
  <c r="CJ73"/>
  <c r="AV73"/>
  <c r="BN73"/>
  <c r="BP73" s="1"/>
  <c r="BO73"/>
  <c r="DB73"/>
  <c r="DD73" s="1"/>
  <c r="CI73"/>
  <c r="CK73" s="1"/>
  <c r="DC73"/>
  <c r="Y73"/>
  <c r="AV80"/>
  <c r="DC80"/>
  <c r="Y80"/>
  <c r="W80"/>
  <c r="EB80"/>
  <c r="CI80"/>
  <c r="CK80" s="1"/>
  <c r="CJ80"/>
  <c r="BO80"/>
  <c r="DB80"/>
  <c r="DD80" s="1"/>
  <c r="BN80"/>
  <c r="BP80" s="1"/>
  <c r="CJ65"/>
  <c r="EB65"/>
  <c r="AJ65" s="1"/>
  <c r="BN65"/>
  <c r="BP65" s="1"/>
  <c r="AV65"/>
  <c r="BO65"/>
  <c r="CI65"/>
  <c r="CK65" s="1"/>
  <c r="Y65"/>
  <c r="DB65"/>
  <c r="DD65" s="1"/>
  <c r="W65"/>
  <c r="DC65"/>
  <c r="BO74"/>
  <c r="DC74"/>
  <c r="W74"/>
  <c r="EB74"/>
  <c r="AJ74" s="1"/>
  <c r="CJ74"/>
  <c r="BN74"/>
  <c r="BP74" s="1"/>
  <c r="DB74"/>
  <c r="DD74" s="1"/>
  <c r="Y74"/>
  <c r="AV74"/>
  <c r="CI74"/>
  <c r="CK74" s="1"/>
  <c r="BN75"/>
  <c r="BP75" s="1"/>
  <c r="CJ75"/>
  <c r="DB75"/>
  <c r="DD75" s="1"/>
  <c r="DC75"/>
  <c r="EB75"/>
  <c r="AJ75" s="1"/>
  <c r="W75"/>
  <c r="BO75"/>
  <c r="CI75"/>
  <c r="CK75" s="1"/>
  <c r="Y75"/>
  <c r="AV75"/>
  <c r="CJ67"/>
  <c r="DB67"/>
  <c r="DD67" s="1"/>
  <c r="EB67"/>
  <c r="DC67"/>
  <c r="CI67"/>
  <c r="CK67" s="1"/>
  <c r="Y67"/>
  <c r="BO67"/>
  <c r="AV67"/>
  <c r="W67"/>
  <c r="BN67"/>
  <c r="BP67" s="1"/>
  <c r="AV79"/>
  <c r="Y79"/>
  <c r="CJ79"/>
  <c r="CI79"/>
  <c r="CK79" s="1"/>
  <c r="W79"/>
  <c r="DC79"/>
  <c r="BN79"/>
  <c r="BP79" s="1"/>
  <c r="DB79"/>
  <c r="DD79" s="1"/>
  <c r="V74" i="45"/>
  <c r="BA77" i="43"/>
  <c r="X28"/>
  <c r="EB69"/>
  <c r="AJ69" s="1"/>
  <c r="Y69"/>
  <c r="DC69"/>
  <c r="CJ69"/>
  <c r="BO69"/>
  <c r="W69"/>
  <c r="CI69"/>
  <c r="CK69" s="1"/>
  <c r="X53"/>
  <c r="X50"/>
  <c r="X56"/>
  <c r="EB42"/>
  <c r="R42" s="1"/>
  <c r="BO60"/>
  <c r="AV60"/>
  <c r="CJ51"/>
  <c r="DC51"/>
  <c r="BO51"/>
  <c r="AV51"/>
  <c r="BO37"/>
  <c r="DC37"/>
  <c r="CJ37"/>
  <c r="AV37"/>
  <c r="X23"/>
  <c r="AJ23"/>
  <c r="AK23" s="1"/>
  <c r="C20" i="45" s="1"/>
  <c r="CJ23" i="43"/>
  <c r="DC23"/>
  <c r="BO23"/>
  <c r="AV23"/>
  <c r="AJ58"/>
  <c r="DC46"/>
  <c r="BO46"/>
  <c r="CJ46"/>
  <c r="AV46"/>
  <c r="CJ25"/>
  <c r="BO25"/>
  <c r="DC25"/>
  <c r="AV25"/>
  <c r="AV26"/>
  <c r="CJ26"/>
  <c r="DC26"/>
  <c r="BO26"/>
  <c r="X44"/>
  <c r="AJ44"/>
  <c r="AK44" s="1"/>
  <c r="C41" i="45" s="1"/>
  <c r="DC44" i="43"/>
  <c r="CJ44"/>
  <c r="AV44"/>
  <c r="BO44"/>
  <c r="X52"/>
  <c r="AJ52"/>
  <c r="AK52" s="1"/>
  <c r="C49" i="45" s="1"/>
  <c r="DC52" i="43"/>
  <c r="CJ52"/>
  <c r="AV52"/>
  <c r="BO52"/>
  <c r="C56" i="45"/>
  <c r="EO59" i="43"/>
  <c r="DC38"/>
  <c r="CJ38"/>
  <c r="AV38"/>
  <c r="BO38"/>
  <c r="DC22"/>
  <c r="AV22"/>
  <c r="CJ22"/>
  <c r="BO22"/>
  <c r="AV49"/>
  <c r="DC49"/>
  <c r="CJ49"/>
  <c r="BO49"/>
  <c r="AV43"/>
  <c r="BO43"/>
  <c r="DC43"/>
  <c r="CJ43"/>
  <c r="AV27"/>
  <c r="BO27"/>
  <c r="DC27"/>
  <c r="CJ27"/>
  <c r="X47"/>
  <c r="AJ47"/>
  <c r="AK47" s="1"/>
  <c r="C44" i="45" s="1"/>
  <c r="DC47" i="43"/>
  <c r="CJ47"/>
  <c r="BO47"/>
  <c r="AV47"/>
  <c r="X54"/>
  <c r="AJ54"/>
  <c r="CJ54"/>
  <c r="AV54"/>
  <c r="DC54"/>
  <c r="BO54"/>
  <c r="Y42"/>
  <c r="Q42" s="1"/>
  <c r="CJ42"/>
  <c r="AV42"/>
  <c r="BO42"/>
  <c r="DC42"/>
  <c r="AJ42"/>
  <c r="AK42" s="1"/>
  <c r="C39" i="45" s="1"/>
  <c r="DC39" i="43"/>
  <c r="BO39"/>
  <c r="AV39"/>
  <c r="CJ39"/>
  <c r="CJ31"/>
  <c r="DC31"/>
  <c r="BO31"/>
  <c r="AV31"/>
  <c r="CJ30"/>
  <c r="DC30"/>
  <c r="BO30"/>
  <c r="AV30"/>
  <c r="X45"/>
  <c r="AJ45"/>
  <c r="AK45" s="1"/>
  <c r="C42" i="45" s="1"/>
  <c r="AV45" i="43"/>
  <c r="DC45"/>
  <c r="CJ45"/>
  <c r="BO45"/>
  <c r="X36"/>
  <c r="AV36"/>
  <c r="BO36"/>
  <c r="DC36"/>
  <c r="CJ36"/>
  <c r="AJ36"/>
  <c r="AK36" s="1"/>
  <c r="C33" i="45" s="1"/>
  <c r="X33" i="43"/>
  <c r="AJ33"/>
  <c r="AK33" s="1"/>
  <c r="C30" i="45" s="1"/>
  <c r="AV33" i="43"/>
  <c r="CJ33"/>
  <c r="BO33"/>
  <c r="DC33"/>
  <c r="AK56"/>
  <c r="AJ57"/>
  <c r="EB39"/>
  <c r="AJ39" s="1"/>
  <c r="AK39" s="1"/>
  <c r="C36" i="45" s="1"/>
  <c r="Y39" i="43"/>
  <c r="Q39" s="1"/>
  <c r="AA39" s="1"/>
  <c r="AB39" s="1"/>
  <c r="W39"/>
  <c r="DB39"/>
  <c r="DD39" s="1"/>
  <c r="CI39"/>
  <c r="CK39" s="1"/>
  <c r="BN39"/>
  <c r="BP39" s="1"/>
  <c r="EB38"/>
  <c r="AJ38" s="1"/>
  <c r="AK38" s="1"/>
  <c r="C35" i="45" s="1"/>
  <c r="Y38" i="43"/>
  <c r="W38"/>
  <c r="CI38"/>
  <c r="CK38" s="1"/>
  <c r="BN38"/>
  <c r="BP38" s="1"/>
  <c r="X38"/>
  <c r="DB38"/>
  <c r="DD38" s="1"/>
  <c r="EB22"/>
  <c r="AJ22" s="1"/>
  <c r="AK22" s="1"/>
  <c r="C19" i="45" s="1"/>
  <c r="W22" i="43"/>
  <c r="Y22"/>
  <c r="DB22"/>
  <c r="DD22" s="1"/>
  <c r="BN22"/>
  <c r="BP22" s="1"/>
  <c r="CI22"/>
  <c r="CK22" s="1"/>
  <c r="DB49"/>
  <c r="DD49" s="1"/>
  <c r="CI49"/>
  <c r="CK49" s="1"/>
  <c r="W49"/>
  <c r="EB49"/>
  <c r="AJ49" s="1"/>
  <c r="AK49" s="1"/>
  <c r="C46" i="45" s="1"/>
  <c r="Y49" i="43"/>
  <c r="BN49"/>
  <c r="BP49" s="1"/>
  <c r="BN43"/>
  <c r="BP43" s="1"/>
  <c r="Y43"/>
  <c r="Q43" s="1"/>
  <c r="AA43" s="1"/>
  <c r="AB43" s="1"/>
  <c r="W43"/>
  <c r="DB43"/>
  <c r="DD43" s="1"/>
  <c r="CI43"/>
  <c r="CK43" s="1"/>
  <c r="EB43"/>
  <c r="AJ43" s="1"/>
  <c r="AK43" s="1"/>
  <c r="C40" i="45" s="1"/>
  <c r="EB27" i="43"/>
  <c r="AJ27" s="1"/>
  <c r="AK27" s="1"/>
  <c r="C24" i="45" s="1"/>
  <c r="W27" i="43"/>
  <c r="Y27"/>
  <c r="Q27" s="1"/>
  <c r="AA27" s="1"/>
  <c r="AB27" s="1"/>
  <c r="X27"/>
  <c r="DB27"/>
  <c r="DD27" s="1"/>
  <c r="BN27"/>
  <c r="BP27" s="1"/>
  <c r="CI27"/>
  <c r="CK27" s="1"/>
  <c r="Y46"/>
  <c r="Q46" s="1"/>
  <c r="AA46" s="1"/>
  <c r="AB46" s="1"/>
  <c r="BN46"/>
  <c r="BP46" s="1"/>
  <c r="DB46"/>
  <c r="DD46" s="1"/>
  <c r="W46"/>
  <c r="EB46"/>
  <c r="AJ46" s="1"/>
  <c r="AK46" s="1"/>
  <c r="C43" i="45" s="1"/>
  <c r="CI46" i="43"/>
  <c r="CK46" s="1"/>
  <c r="EB25"/>
  <c r="AJ25" s="1"/>
  <c r="AK25" s="1"/>
  <c r="C22" i="45" s="1"/>
  <c r="Y25" i="43"/>
  <c r="Q25" s="1"/>
  <c r="AA25" s="1"/>
  <c r="AB25" s="1"/>
  <c r="W25"/>
  <c r="CI25"/>
  <c r="CK25" s="1"/>
  <c r="DB25"/>
  <c r="DD25" s="1"/>
  <c r="BN25"/>
  <c r="BP25" s="1"/>
  <c r="BN26"/>
  <c r="BP26" s="1"/>
  <c r="W26"/>
  <c r="Y26"/>
  <c r="CI26"/>
  <c r="CK26" s="1"/>
  <c r="DB26"/>
  <c r="DD26" s="1"/>
  <c r="EB26"/>
  <c r="AJ26" s="1"/>
  <c r="AK26" s="1"/>
  <c r="C23" i="45" s="1"/>
  <c r="BN31" i="43"/>
  <c r="BP31" s="1"/>
  <c r="W31"/>
  <c r="Y31"/>
  <c r="Q31" s="1"/>
  <c r="AA31" s="1"/>
  <c r="AB31" s="1"/>
  <c r="CI31"/>
  <c r="CK31" s="1"/>
  <c r="DB31"/>
  <c r="DD31" s="1"/>
  <c r="EB31"/>
  <c r="AJ31" s="1"/>
  <c r="AK31" s="1"/>
  <c r="C28" i="45" s="1"/>
  <c r="EB30" i="43"/>
  <c r="AJ30" s="1"/>
  <c r="AK30" s="1"/>
  <c r="C27" i="45" s="1"/>
  <c r="W30" i="43"/>
  <c r="Y30"/>
  <c r="DB30"/>
  <c r="DD30" s="1"/>
  <c r="CI30"/>
  <c r="CK30" s="1"/>
  <c r="BN30"/>
  <c r="BP30" s="1"/>
  <c r="W42"/>
  <c r="CI51"/>
  <c r="CK51" s="1"/>
  <c r="EB51"/>
  <c r="AJ51" s="1"/>
  <c r="AK51" s="1"/>
  <c r="C48" i="45" s="1"/>
  <c r="DB51" i="43"/>
  <c r="DD51" s="1"/>
  <c r="W51"/>
  <c r="Y51"/>
  <c r="BN51"/>
  <c r="BP51" s="1"/>
  <c r="EB37"/>
  <c r="AJ37" s="1"/>
  <c r="AK37" s="1"/>
  <c r="C34" i="45" s="1"/>
  <c r="Y37" i="43"/>
  <c r="Q37" s="1"/>
  <c r="AA37" s="1"/>
  <c r="AB37" s="1"/>
  <c r="W37"/>
  <c r="CI37"/>
  <c r="CK37" s="1"/>
  <c r="DB37"/>
  <c r="DD37" s="1"/>
  <c r="BN37"/>
  <c r="BP37" s="1"/>
  <c r="F25" i="22"/>
  <c r="R25"/>
  <c r="F24"/>
  <c r="R24"/>
  <c r="F21"/>
  <c r="R21"/>
  <c r="F18"/>
  <c r="R18"/>
  <c r="F33"/>
  <c r="F35"/>
  <c r="F29"/>
  <c r="D29" i="45"/>
  <c r="U29" s="1"/>
  <c r="EO32" i="43"/>
  <c r="F31" i="22"/>
  <c r="F27"/>
  <c r="F26"/>
  <c r="F39"/>
  <c r="F36"/>
  <c r="I8" i="43"/>
  <c r="K8" s="1"/>
  <c r="S8" s="1"/>
  <c r="AY355" l="1"/>
  <c r="Q350"/>
  <c r="AY350" s="1"/>
  <c r="BA350" s="1"/>
  <c r="Q353"/>
  <c r="Q265"/>
  <c r="AA265" s="1"/>
  <c r="AB265" s="1"/>
  <c r="Q215"/>
  <c r="AY215" s="1"/>
  <c r="Q349"/>
  <c r="AY349" s="1"/>
  <c r="Q341"/>
  <c r="Q342"/>
  <c r="AY342" s="1"/>
  <c r="V339" i="45" s="1"/>
  <c r="Q336" i="43"/>
  <c r="AY336" s="1"/>
  <c r="Q338"/>
  <c r="AY338" s="1"/>
  <c r="Q306"/>
  <c r="AA306" s="1"/>
  <c r="AB306" s="1"/>
  <c r="Q305"/>
  <c r="AY305" s="1"/>
  <c r="Q277"/>
  <c r="AA277" s="1"/>
  <c r="AB277" s="1"/>
  <c r="Q262"/>
  <c r="AY262" s="1"/>
  <c r="Q276"/>
  <c r="AY276" s="1"/>
  <c r="V273" i="45" s="1"/>
  <c r="Q275" i="43"/>
  <c r="AA275" s="1"/>
  <c r="AB275" s="1"/>
  <c r="Q278"/>
  <c r="AY278" s="1"/>
  <c r="Q274"/>
  <c r="AY274" s="1"/>
  <c r="Q263"/>
  <c r="AY263" s="1"/>
  <c r="Q268"/>
  <c r="AY268" s="1"/>
  <c r="Q273"/>
  <c r="AY273" s="1"/>
  <c r="Q266"/>
  <c r="Q270"/>
  <c r="AY270" s="1"/>
  <c r="Q269"/>
  <c r="AY269" s="1"/>
  <c r="Q264"/>
  <c r="AY264" s="1"/>
  <c r="BA264" s="1"/>
  <c r="Q259"/>
  <c r="AA259" s="1"/>
  <c r="AB259" s="1"/>
  <c r="Q201"/>
  <c r="AY201" s="1"/>
  <c r="V198" i="45" s="1"/>
  <c r="Q218" i="43"/>
  <c r="AA218" s="1"/>
  <c r="AB218" s="1"/>
  <c r="Q224"/>
  <c r="AY224" s="1"/>
  <c r="V221" i="45" s="1"/>
  <c r="Q226" i="43"/>
  <c r="AA226" s="1"/>
  <c r="AB226" s="1"/>
  <c r="Q251"/>
  <c r="AY251" s="1"/>
  <c r="Q246"/>
  <c r="AY246" s="1"/>
  <c r="V243" i="45" s="1"/>
  <c r="Q211" i="43"/>
  <c r="AY211" s="1"/>
  <c r="AH343"/>
  <c r="AI343" s="1"/>
  <c r="Q227"/>
  <c r="AA227" s="1"/>
  <c r="AB227" s="1"/>
  <c r="Q252"/>
  <c r="AY252" s="1"/>
  <c r="V249" i="45" s="1"/>
  <c r="Q229" i="43"/>
  <c r="AA229" s="1"/>
  <c r="AB229" s="1"/>
  <c r="Q217"/>
  <c r="AA217" s="1"/>
  <c r="AB217" s="1"/>
  <c r="Q245"/>
  <c r="AY245" s="1"/>
  <c r="BA245" s="1"/>
  <c r="Q244"/>
  <c r="AY244" s="1"/>
  <c r="BA244" s="1"/>
  <c r="Q141"/>
  <c r="AA141" s="1"/>
  <c r="AB141" s="1"/>
  <c r="AH288"/>
  <c r="AI288" s="1"/>
  <c r="AH338"/>
  <c r="AI338" s="1"/>
  <c r="D335" i="45" s="1"/>
  <c r="U335" s="1"/>
  <c r="EH196" i="43"/>
  <c r="AH339"/>
  <c r="AI339" s="1"/>
  <c r="AH266"/>
  <c r="AI266" s="1"/>
  <c r="EO266" s="1"/>
  <c r="AH312"/>
  <c r="AI312" s="1"/>
  <c r="AH303"/>
  <c r="AI303" s="1"/>
  <c r="D300" i="45" s="1"/>
  <c r="U300" s="1"/>
  <c r="AH284" i="43"/>
  <c r="AI284" s="1"/>
  <c r="D281" i="45" s="1"/>
  <c r="U281" s="1"/>
  <c r="AH305" i="43"/>
  <c r="AI305" s="1"/>
  <c r="AH275"/>
  <c r="AI275" s="1"/>
  <c r="AH324"/>
  <c r="AI324" s="1"/>
  <c r="AH351"/>
  <c r="AI351" s="1"/>
  <c r="AH265"/>
  <c r="AI265" s="1"/>
  <c r="D262" i="45" s="1"/>
  <c r="U262" s="1"/>
  <c r="AH273" i="43"/>
  <c r="AI273" s="1"/>
  <c r="AH257"/>
  <c r="AI257" s="1"/>
  <c r="AH311"/>
  <c r="AI311" s="1"/>
  <c r="AH306"/>
  <c r="AI306" s="1"/>
  <c r="D303" i="45" s="1"/>
  <c r="U303" s="1"/>
  <c r="AH302" i="43"/>
  <c r="AI302" s="1"/>
  <c r="AH291"/>
  <c r="AI291" s="1"/>
  <c r="D288" i="45" s="1"/>
  <c r="U288" s="1"/>
  <c r="AH322" i="43"/>
  <c r="AI322" s="1"/>
  <c r="D319" i="45" s="1"/>
  <c r="U319" s="1"/>
  <c r="AH328" i="43"/>
  <c r="AI328" s="1"/>
  <c r="D325" i="45" s="1"/>
  <c r="U325" s="1"/>
  <c r="AH278" i="43"/>
  <c r="AI278" s="1"/>
  <c r="AH270"/>
  <c r="AI270" s="1"/>
  <c r="D267" i="45" s="1"/>
  <c r="U267" s="1"/>
  <c r="AH269" i="43"/>
  <c r="AI269" s="1"/>
  <c r="AH264"/>
  <c r="AI264" s="1"/>
  <c r="D261" i="45" s="1"/>
  <c r="U261" s="1"/>
  <c r="AH350" i="43"/>
  <c r="AI350" s="1"/>
  <c r="AH308"/>
  <c r="AI308" s="1"/>
  <c r="AH314"/>
  <c r="AI314" s="1"/>
  <c r="AH258"/>
  <c r="AI258" s="1"/>
  <c r="D255" i="45" s="1"/>
  <c r="U255" s="1"/>
  <c r="AH274" i="43"/>
  <c r="AI274" s="1"/>
  <c r="D271" i="45" s="1"/>
  <c r="U271" s="1"/>
  <c r="AH315" i="43"/>
  <c r="AI315" s="1"/>
  <c r="AH313"/>
  <c r="AI313" s="1"/>
  <c r="AH267"/>
  <c r="AI267" s="1"/>
  <c r="AH271"/>
  <c r="AI271" s="1"/>
  <c r="AH317"/>
  <c r="AI317" s="1"/>
  <c r="AH263"/>
  <c r="AI263" s="1"/>
  <c r="D260" i="45" s="1"/>
  <c r="U260" s="1"/>
  <c r="AH259" i="43"/>
  <c r="AI259" s="1"/>
  <c r="AH268"/>
  <c r="AI268" s="1"/>
  <c r="AH283"/>
  <c r="AI283" s="1"/>
  <c r="AH307"/>
  <c r="AI307" s="1"/>
  <c r="Q255"/>
  <c r="AY255" s="1"/>
  <c r="Q254"/>
  <c r="AY254" s="1"/>
  <c r="V251" i="45" s="1"/>
  <c r="Q253" i="43"/>
  <c r="AA253" s="1"/>
  <c r="AB253" s="1"/>
  <c r="Q250"/>
  <c r="AA250" s="1"/>
  <c r="AB250" s="1"/>
  <c r="Q235"/>
  <c r="AY235" s="1"/>
  <c r="Q248"/>
  <c r="AY248" s="1"/>
  <c r="Q249"/>
  <c r="AY249" s="1"/>
  <c r="V246" i="45" s="1"/>
  <c r="Q221" i="43"/>
  <c r="AY221" s="1"/>
  <c r="V218" i="45" s="1"/>
  <c r="Q231" i="43"/>
  <c r="AY231" s="1"/>
  <c r="Q234"/>
  <c r="AA234" s="1"/>
  <c r="AB234" s="1"/>
  <c r="Q243"/>
  <c r="AY243" s="1"/>
  <c r="V240" i="45" s="1"/>
  <c r="Q203" i="43"/>
  <c r="AY203" s="1"/>
  <c r="Q241"/>
  <c r="AA241" s="1"/>
  <c r="AB241" s="1"/>
  <c r="Q223"/>
  <c r="AA223" s="1"/>
  <c r="AB223" s="1"/>
  <c r="Q247"/>
  <c r="AY247" s="1"/>
  <c r="Q233"/>
  <c r="AY233" s="1"/>
  <c r="Q242"/>
  <c r="AY242" s="1"/>
  <c r="Q240"/>
  <c r="AY240" s="1"/>
  <c r="Q237"/>
  <c r="AY237" s="1"/>
  <c r="Q236"/>
  <c r="AY236" s="1"/>
  <c r="Q232"/>
  <c r="AY232" s="1"/>
  <c r="Q222"/>
  <c r="AY222" s="1"/>
  <c r="V219" i="45" s="1"/>
  <c r="Q204" i="43"/>
  <c r="AY204" s="1"/>
  <c r="V201" i="45" s="1"/>
  <c r="Q207" i="43"/>
  <c r="AY207" s="1"/>
  <c r="V204" i="45" s="1"/>
  <c r="Q216" i="43"/>
  <c r="AY216" s="1"/>
  <c r="Q228"/>
  <c r="AY228" s="1"/>
  <c r="V225" i="45" s="1"/>
  <c r="Q210" i="43"/>
  <c r="AY210" s="1"/>
  <c r="V207" i="45" s="1"/>
  <c r="Q205" i="43"/>
  <c r="AY205" s="1"/>
  <c r="V202" i="45" s="1"/>
  <c r="Q212" i="43"/>
  <c r="AY212" s="1"/>
  <c r="Q208"/>
  <c r="AY208" s="1"/>
  <c r="V205" i="45" s="1"/>
  <c r="Q189" i="43"/>
  <c r="AA189" s="1"/>
  <c r="AB189" s="1"/>
  <c r="EB198"/>
  <c r="R198" s="1"/>
  <c r="CI198"/>
  <c r="CK198" s="1"/>
  <c r="EH195"/>
  <c r="Q202"/>
  <c r="AY202" s="1"/>
  <c r="V199" i="45" s="1"/>
  <c r="AU196" i="43"/>
  <c r="AH196" s="1"/>
  <c r="AI196" s="1"/>
  <c r="D193" i="45" s="1"/>
  <c r="U193" s="1"/>
  <c r="Q197" i="43"/>
  <c r="AY197" s="1"/>
  <c r="V194" i="45" s="1"/>
  <c r="Q113" i="43"/>
  <c r="AY113" s="1"/>
  <c r="Q157"/>
  <c r="AA157" s="1"/>
  <c r="AB157" s="1"/>
  <c r="Q200"/>
  <c r="AA200" s="1"/>
  <c r="AB200" s="1"/>
  <c r="EH197"/>
  <c r="AH195"/>
  <c r="AI195" s="1"/>
  <c r="D192" i="45" s="1"/>
  <c r="U192" s="1"/>
  <c r="R195" i="43"/>
  <c r="X199"/>
  <c r="Q199"/>
  <c r="AY199" s="1"/>
  <c r="Q195"/>
  <c r="AA195" s="1"/>
  <c r="AB195" s="1"/>
  <c r="Q196"/>
  <c r="AY196" s="1"/>
  <c r="V193" i="45" s="1"/>
  <c r="Q74" i="43"/>
  <c r="AA74" s="1"/>
  <c r="AB74" s="1"/>
  <c r="Q73"/>
  <c r="AY73" s="1"/>
  <c r="Q89"/>
  <c r="AA89" s="1"/>
  <c r="AB89" s="1"/>
  <c r="X194"/>
  <c r="Q194"/>
  <c r="AJ173"/>
  <c r="AK173" s="1"/>
  <c r="R173"/>
  <c r="Q123"/>
  <c r="AY123" s="1"/>
  <c r="Q155"/>
  <c r="AA155" s="1"/>
  <c r="AB155" s="1"/>
  <c r="Q114"/>
  <c r="AY114" s="1"/>
  <c r="Q151"/>
  <c r="AY151" s="1"/>
  <c r="V148" i="45" s="1"/>
  <c r="Q125" i="43"/>
  <c r="AA125" s="1"/>
  <c r="AB125" s="1"/>
  <c r="Q79"/>
  <c r="AY79" s="1"/>
  <c r="BA79" s="1"/>
  <c r="Q131"/>
  <c r="AY131" s="1"/>
  <c r="Q129"/>
  <c r="AA129" s="1"/>
  <c r="AB129" s="1"/>
  <c r="Q128"/>
  <c r="AA128" s="1"/>
  <c r="AB128" s="1"/>
  <c r="Q96"/>
  <c r="AA96" s="1"/>
  <c r="AB96" s="1"/>
  <c r="AA266"/>
  <c r="AB266" s="1"/>
  <c r="AA214"/>
  <c r="AB214" s="1"/>
  <c r="Q142"/>
  <c r="AA142" s="1"/>
  <c r="AB142" s="1"/>
  <c r="Q110"/>
  <c r="AA110" s="1"/>
  <c r="AB110" s="1"/>
  <c r="Q119"/>
  <c r="AA119" s="1"/>
  <c r="AB119" s="1"/>
  <c r="Q145"/>
  <c r="AY145" s="1"/>
  <c r="Q87"/>
  <c r="AY87" s="1"/>
  <c r="Q140"/>
  <c r="AY140" s="1"/>
  <c r="Q115"/>
  <c r="AA115" s="1"/>
  <c r="AB115" s="1"/>
  <c r="Q161"/>
  <c r="AY161" s="1"/>
  <c r="Q76"/>
  <c r="AA76" s="1"/>
  <c r="AB76" s="1"/>
  <c r="Q158"/>
  <c r="AY158" s="1"/>
  <c r="BA158" s="1"/>
  <c r="Q132"/>
  <c r="AY132" s="1"/>
  <c r="Q152"/>
  <c r="AY152" s="1"/>
  <c r="AJ172"/>
  <c r="AK172" s="1"/>
  <c r="Q83"/>
  <c r="AY83" s="1"/>
  <c r="BA83" s="1"/>
  <c r="Q138"/>
  <c r="AY138" s="1"/>
  <c r="V135" i="45" s="1"/>
  <c r="Q159" i="43"/>
  <c r="AY159" s="1"/>
  <c r="Q127"/>
  <c r="AY127" s="1"/>
  <c r="Q130"/>
  <c r="AY130" s="1"/>
  <c r="V127" i="45" s="1"/>
  <c r="Q71" i="43"/>
  <c r="AA71" s="1"/>
  <c r="AB71" s="1"/>
  <c r="Q143"/>
  <c r="AY143" s="1"/>
  <c r="Q63"/>
  <c r="AA63" s="1"/>
  <c r="AB63" s="1"/>
  <c r="DC164"/>
  <c r="T164"/>
  <c r="X164" s="1"/>
  <c r="Q147"/>
  <c r="AY147" s="1"/>
  <c r="Q160"/>
  <c r="AY160" s="1"/>
  <c r="Q144"/>
  <c r="AA144" s="1"/>
  <c r="AB144" s="1"/>
  <c r="Q137"/>
  <c r="AY137" s="1"/>
  <c r="X57"/>
  <c r="Q135"/>
  <c r="AY135" s="1"/>
  <c r="BA135" s="1"/>
  <c r="Q136"/>
  <c r="AA136" s="1"/>
  <c r="AB136" s="1"/>
  <c r="Q90"/>
  <c r="AA90" s="1"/>
  <c r="AB90" s="1"/>
  <c r="Q107"/>
  <c r="AY107" s="1"/>
  <c r="AA57"/>
  <c r="AB57" s="1"/>
  <c r="Q108"/>
  <c r="AY108" s="1"/>
  <c r="AA61"/>
  <c r="AB61" s="1"/>
  <c r="X110"/>
  <c r="X136"/>
  <c r="Q124"/>
  <c r="AA124" s="1"/>
  <c r="AB124" s="1"/>
  <c r="Q122"/>
  <c r="AY122" s="1"/>
  <c r="Q118"/>
  <c r="AY118" s="1"/>
  <c r="Q112"/>
  <c r="AY112" s="1"/>
  <c r="X61"/>
  <c r="Q65"/>
  <c r="AA65" s="1"/>
  <c r="AB65" s="1"/>
  <c r="Q99"/>
  <c r="AY99" s="1"/>
  <c r="Q98"/>
  <c r="AY98" s="1"/>
  <c r="Q69"/>
  <c r="AA69" s="1"/>
  <c r="AB69" s="1"/>
  <c r="Q64"/>
  <c r="AA64" s="1"/>
  <c r="AB64" s="1"/>
  <c r="Q109"/>
  <c r="AY109" s="1"/>
  <c r="Q97"/>
  <c r="AY97" s="1"/>
  <c r="Q67"/>
  <c r="AY67" s="1"/>
  <c r="Q111"/>
  <c r="AY111" s="1"/>
  <c r="X108"/>
  <c r="Q92"/>
  <c r="AA92" s="1"/>
  <c r="AB92" s="1"/>
  <c r="Q68"/>
  <c r="AY68" s="1"/>
  <c r="Q80"/>
  <c r="AA80" s="1"/>
  <c r="AB80" s="1"/>
  <c r="Q101"/>
  <c r="AA101" s="1"/>
  <c r="AB101" s="1"/>
  <c r="Q82"/>
  <c r="AA82" s="1"/>
  <c r="AB82" s="1"/>
  <c r="Q95"/>
  <c r="AY95" s="1"/>
  <c r="Q93"/>
  <c r="AA93" s="1"/>
  <c r="AB93" s="1"/>
  <c r="Q102"/>
  <c r="AA102" s="1"/>
  <c r="AB102" s="1"/>
  <c r="Q86"/>
  <c r="AY86" s="1"/>
  <c r="Q104"/>
  <c r="AY104" s="1"/>
  <c r="Q84"/>
  <c r="AA84" s="1"/>
  <c r="AB84" s="1"/>
  <c r="Q85"/>
  <c r="AY85" s="1"/>
  <c r="Q75"/>
  <c r="AA75" s="1"/>
  <c r="AB75" s="1"/>
  <c r="X143"/>
  <c r="X92"/>
  <c r="Q70"/>
  <c r="AA70" s="1"/>
  <c r="AB70" s="1"/>
  <c r="X112"/>
  <c r="AU217"/>
  <c r="AH217" s="1"/>
  <c r="AI217" s="1"/>
  <c r="D214" i="45" s="1"/>
  <c r="U214" s="1"/>
  <c r="AU352" i="43"/>
  <c r="AA58"/>
  <c r="AB58" s="1"/>
  <c r="AU211"/>
  <c r="AH211" s="1"/>
  <c r="EN211" s="1"/>
  <c r="X58"/>
  <c r="GL57"/>
  <c r="CJ60"/>
  <c r="HL57"/>
  <c r="HK57" s="1"/>
  <c r="Q62"/>
  <c r="AY62" s="1"/>
  <c r="HE57"/>
  <c r="HD57" s="1"/>
  <c r="GX57"/>
  <c r="GW57" s="1"/>
  <c r="S60"/>
  <c r="T60"/>
  <c r="X101"/>
  <c r="X86"/>
  <c r="X141"/>
  <c r="X95"/>
  <c r="X75"/>
  <c r="AU323"/>
  <c r="AH323" s="1"/>
  <c r="AI323" s="1"/>
  <c r="EH352"/>
  <c r="X111"/>
  <c r="X87"/>
  <c r="X140"/>
  <c r="X69"/>
  <c r="X152"/>
  <c r="X104"/>
  <c r="X160"/>
  <c r="AY291"/>
  <c r="BA291" s="1"/>
  <c r="X63"/>
  <c r="X137"/>
  <c r="X128"/>
  <c r="AU213"/>
  <c r="AH213" s="1"/>
  <c r="AI213" s="1"/>
  <c r="AA317"/>
  <c r="AB317" s="1"/>
  <c r="R350"/>
  <c r="X107"/>
  <c r="X122"/>
  <c r="AU226"/>
  <c r="AH226" s="1"/>
  <c r="AI226" s="1"/>
  <c r="AU325"/>
  <c r="AU356"/>
  <c r="X83"/>
  <c r="X127"/>
  <c r="X90"/>
  <c r="AH241"/>
  <c r="EN241" s="1"/>
  <c r="X129"/>
  <c r="AA267"/>
  <c r="AB267" s="1"/>
  <c r="AA271"/>
  <c r="AB271" s="1"/>
  <c r="R291"/>
  <c r="AJ101"/>
  <c r="AK101" s="1"/>
  <c r="C98" i="45" s="1"/>
  <c r="X80" i="43"/>
  <c r="X67"/>
  <c r="X65"/>
  <c r="AH205"/>
  <c r="AI205" s="1"/>
  <c r="X74"/>
  <c r="X73"/>
  <c r="EH317"/>
  <c r="X64"/>
  <c r="AU101"/>
  <c r="AH101" s="1"/>
  <c r="AI101" s="1"/>
  <c r="D98" i="45" s="1"/>
  <c r="U98" s="1"/>
  <c r="X124" i="43"/>
  <c r="R317"/>
  <c r="R328"/>
  <c r="AH228"/>
  <c r="EN228" s="1"/>
  <c r="EH356"/>
  <c r="X118"/>
  <c r="X115"/>
  <c r="X151"/>
  <c r="X145"/>
  <c r="X158"/>
  <c r="X85"/>
  <c r="X147"/>
  <c r="AH214"/>
  <c r="AI214" s="1"/>
  <c r="EO214" s="1"/>
  <c r="AH250"/>
  <c r="EN250" s="1"/>
  <c r="AA322"/>
  <c r="AB322" s="1"/>
  <c r="AA351"/>
  <c r="AB351" s="1"/>
  <c r="X157"/>
  <c r="X97"/>
  <c r="X125"/>
  <c r="X161"/>
  <c r="X113"/>
  <c r="X93"/>
  <c r="AH199"/>
  <c r="AI199" s="1"/>
  <c r="AH234"/>
  <c r="AI234" s="1"/>
  <c r="D231" i="45" s="1"/>
  <c r="U231" s="1"/>
  <c r="AA206" i="43"/>
  <c r="AB206" s="1"/>
  <c r="AH247"/>
  <c r="AI247" s="1"/>
  <c r="AA239"/>
  <c r="AB239" s="1"/>
  <c r="AU310"/>
  <c r="AH310" s="1"/>
  <c r="AI310" s="1"/>
  <c r="EH350"/>
  <c r="X123"/>
  <c r="X89"/>
  <c r="X102"/>
  <c r="X159"/>
  <c r="AU216"/>
  <c r="AH216" s="1"/>
  <c r="AI216" s="1"/>
  <c r="X144"/>
  <c r="EH291"/>
  <c r="AA258"/>
  <c r="AB258" s="1"/>
  <c r="AA323"/>
  <c r="AB323" s="1"/>
  <c r="R351"/>
  <c r="AU342"/>
  <c r="AH212"/>
  <c r="EN212" s="1"/>
  <c r="AH237"/>
  <c r="EN237" s="1"/>
  <c r="AH255"/>
  <c r="EN255" s="1"/>
  <c r="AH232"/>
  <c r="EN232" s="1"/>
  <c r="EH323"/>
  <c r="EH349"/>
  <c r="X114"/>
  <c r="AH240"/>
  <c r="EN240" s="1"/>
  <c r="AH210"/>
  <c r="AI210" s="1"/>
  <c r="D207" i="45" s="1"/>
  <c r="U207" s="1"/>
  <c r="AU349" i="43"/>
  <c r="AH197"/>
  <c r="AI197" s="1"/>
  <c r="AH207"/>
  <c r="EN207" s="1"/>
  <c r="AH218"/>
  <c r="AI218" s="1"/>
  <c r="EO218" s="1"/>
  <c r="AH248"/>
  <c r="EN248" s="1"/>
  <c r="AH254"/>
  <c r="AI254" s="1"/>
  <c r="AH236"/>
  <c r="EN236" s="1"/>
  <c r="AA279"/>
  <c r="AB279" s="1"/>
  <c r="EH310"/>
  <c r="AA313"/>
  <c r="AB313" s="1"/>
  <c r="AA352"/>
  <c r="AB352" s="1"/>
  <c r="AA356"/>
  <c r="AB356" s="1"/>
  <c r="AH222"/>
  <c r="EN222" s="1"/>
  <c r="AH253"/>
  <c r="AI253" s="1"/>
  <c r="EO253" s="1"/>
  <c r="Y293"/>
  <c r="Q293" s="1"/>
  <c r="AA293" s="1"/>
  <c r="AB293" s="1"/>
  <c r="AY339"/>
  <c r="EH339"/>
  <c r="DB327"/>
  <c r="DD327" s="1"/>
  <c r="EB300"/>
  <c r="AA292"/>
  <c r="AB292" s="1"/>
  <c r="EB293"/>
  <c r="AU293" s="1"/>
  <c r="BN293"/>
  <c r="BP293" s="1"/>
  <c r="R311"/>
  <c r="EH311"/>
  <c r="EH283"/>
  <c r="R283"/>
  <c r="EH307"/>
  <c r="R307"/>
  <c r="EB282"/>
  <c r="BN282"/>
  <c r="BP282" s="1"/>
  <c r="S316"/>
  <c r="X316" s="1"/>
  <c r="CK316"/>
  <c r="BN316"/>
  <c r="BP316" s="1"/>
  <c r="EB316"/>
  <c r="AU316" s="1"/>
  <c r="DB316"/>
  <c r="DD316" s="1"/>
  <c r="AJ303"/>
  <c r="EH303"/>
  <c r="R303"/>
  <c r="AJ305"/>
  <c r="AK305" s="1"/>
  <c r="C302" i="45" s="1"/>
  <c r="EH305" i="43"/>
  <c r="R305"/>
  <c r="AJ284"/>
  <c r="AK284" s="1"/>
  <c r="C281" i="45" s="1"/>
  <c r="EH284" i="43"/>
  <c r="R284"/>
  <c r="BN300"/>
  <c r="BP300" s="1"/>
  <c r="EH217"/>
  <c r="AH208"/>
  <c r="AI208" s="1"/>
  <c r="D205" i="45" s="1"/>
  <c r="U205" s="1"/>
  <c r="X304" i="43"/>
  <c r="EB304"/>
  <c r="AU304" s="1"/>
  <c r="CK304"/>
  <c r="BN304"/>
  <c r="BP304" s="1"/>
  <c r="DB304"/>
  <c r="DD304" s="1"/>
  <c r="S309"/>
  <c r="X309" s="1"/>
  <c r="CK309"/>
  <c r="EB309"/>
  <c r="AU309" s="1"/>
  <c r="BN309"/>
  <c r="BP309" s="1"/>
  <c r="DB309"/>
  <c r="DD309" s="1"/>
  <c r="EH312"/>
  <c r="R312"/>
  <c r="AJ308"/>
  <c r="AK308" s="1"/>
  <c r="C305" i="45" s="1"/>
  <c r="R308" i="43"/>
  <c r="EH308"/>
  <c r="EH314"/>
  <c r="R314"/>
  <c r="AH249"/>
  <c r="AI249" s="1"/>
  <c r="D246" i="45" s="1"/>
  <c r="U246" s="1"/>
  <c r="AH201" i="43"/>
  <c r="AI201" s="1"/>
  <c r="AJ306"/>
  <c r="AK306" s="1"/>
  <c r="C303" i="45" s="1"/>
  <c r="EH306" i="43"/>
  <c r="R306"/>
  <c r="EH302"/>
  <c r="R302"/>
  <c r="AJ315"/>
  <c r="AK315" s="1"/>
  <c r="C312" i="45" s="1"/>
  <c r="R315" i="43"/>
  <c r="EH315"/>
  <c r="R313"/>
  <c r="EH313"/>
  <c r="EH226"/>
  <c r="X138"/>
  <c r="X82"/>
  <c r="X96"/>
  <c r="AH233"/>
  <c r="AI233" s="1"/>
  <c r="D230" i="45" s="1"/>
  <c r="U230" s="1"/>
  <c r="AU215" i="43"/>
  <c r="AH215" s="1"/>
  <c r="AU292"/>
  <c r="AH292" s="1"/>
  <c r="AI292" s="1"/>
  <c r="X71"/>
  <c r="AH220"/>
  <c r="AI220" s="1"/>
  <c r="AH203"/>
  <c r="AI203" s="1"/>
  <c r="T94"/>
  <c r="S94"/>
  <c r="Y154"/>
  <c r="S154"/>
  <c r="T153"/>
  <c r="S153"/>
  <c r="CJ139"/>
  <c r="S139"/>
  <c r="CJ126"/>
  <c r="S126"/>
  <c r="S230"/>
  <c r="X230" s="1"/>
  <c r="BN230"/>
  <c r="BP230" s="1"/>
  <c r="DB230"/>
  <c r="DD230" s="1"/>
  <c r="EB230"/>
  <c r="AU230" s="1"/>
  <c r="CI230"/>
  <c r="CK230" s="1"/>
  <c r="Y198"/>
  <c r="S198"/>
  <c r="X198" s="1"/>
  <c r="DB198"/>
  <c r="DD198" s="1"/>
  <c r="Y209"/>
  <c r="DB209"/>
  <c r="DD209" s="1"/>
  <c r="S209"/>
  <c r="X209" s="1"/>
  <c r="EB209"/>
  <c r="AU209" s="1"/>
  <c r="BN209"/>
  <c r="BP209" s="1"/>
  <c r="CI209"/>
  <c r="CK209" s="1"/>
  <c r="S256"/>
  <c r="X256" s="1"/>
  <c r="DB256"/>
  <c r="DD256" s="1"/>
  <c r="CI256"/>
  <c r="CK256" s="1"/>
  <c r="EB256"/>
  <c r="BN256"/>
  <c r="BP256" s="1"/>
  <c r="S280"/>
  <c r="X280" s="1"/>
  <c r="CI280"/>
  <c r="CK280" s="1"/>
  <c r="EB280"/>
  <c r="AU280" s="1"/>
  <c r="DB280"/>
  <c r="DD280" s="1"/>
  <c r="BN280"/>
  <c r="BP280" s="1"/>
  <c r="S327"/>
  <c r="X327" s="1"/>
  <c r="R246"/>
  <c r="EH246"/>
  <c r="EH207"/>
  <c r="R207"/>
  <c r="R248"/>
  <c r="EH248"/>
  <c r="AJ200"/>
  <c r="AK200" s="1"/>
  <c r="C197" i="45" s="1"/>
  <c r="EH200" i="43"/>
  <c r="R200"/>
  <c r="R212"/>
  <c r="EH212"/>
  <c r="R242"/>
  <c r="EH242"/>
  <c r="AJ235"/>
  <c r="R235"/>
  <c r="EH235"/>
  <c r="AJ258"/>
  <c r="AK258" s="1"/>
  <c r="C255" i="45" s="1"/>
  <c r="EH258" i="43"/>
  <c r="R258"/>
  <c r="EH240"/>
  <c r="R240"/>
  <c r="R264"/>
  <c r="EH264"/>
  <c r="EH210"/>
  <c r="R210"/>
  <c r="R223"/>
  <c r="EH223"/>
  <c r="EH328"/>
  <c r="X68"/>
  <c r="X98"/>
  <c r="AH244"/>
  <c r="AI244" s="1"/>
  <c r="D241" i="45" s="1"/>
  <c r="U241" s="1"/>
  <c r="AH221" i="43"/>
  <c r="EH215"/>
  <c r="X76"/>
  <c r="X132"/>
  <c r="X119"/>
  <c r="X109"/>
  <c r="W100"/>
  <c r="S100"/>
  <c r="T162"/>
  <c r="S162"/>
  <c r="W116"/>
  <c r="S116"/>
  <c r="BO105"/>
  <c r="S105"/>
  <c r="BO148"/>
  <c r="S148"/>
  <c r="DC121"/>
  <c r="S121"/>
  <c r="W219"/>
  <c r="S219"/>
  <c r="X219" s="1"/>
  <c r="DB219"/>
  <c r="DD219" s="1"/>
  <c r="BN219"/>
  <c r="BP219" s="1"/>
  <c r="CI219"/>
  <c r="CK219" s="1"/>
  <c r="EB219"/>
  <c r="AU219" s="1"/>
  <c r="S281"/>
  <c r="X281" s="1"/>
  <c r="DB281"/>
  <c r="DD281" s="1"/>
  <c r="BN281"/>
  <c r="BP281" s="1"/>
  <c r="CI281"/>
  <c r="CK281" s="1"/>
  <c r="EB281"/>
  <c r="AU281" s="1"/>
  <c r="AJ279"/>
  <c r="EH279"/>
  <c r="R279"/>
  <c r="R273"/>
  <c r="EH273"/>
  <c r="R229"/>
  <c r="EH229"/>
  <c r="AJ275"/>
  <c r="AK275" s="1"/>
  <c r="C272" i="45" s="1"/>
  <c r="R275" i="43"/>
  <c r="EH275"/>
  <c r="AJ249"/>
  <c r="EH249"/>
  <c r="R249"/>
  <c r="R266"/>
  <c r="EH266"/>
  <c r="R274"/>
  <c r="EH274"/>
  <c r="AJ276"/>
  <c r="EH276"/>
  <c r="R276"/>
  <c r="R224"/>
  <c r="EH224"/>
  <c r="AJ243"/>
  <c r="AK243" s="1"/>
  <c r="C240" i="45" s="1"/>
  <c r="EH243" i="43"/>
  <c r="R243"/>
  <c r="EH259"/>
  <c r="R259"/>
  <c r="R251"/>
  <c r="EH251"/>
  <c r="R262"/>
  <c r="EH262"/>
  <c r="R268"/>
  <c r="EH268"/>
  <c r="R214"/>
  <c r="EH214"/>
  <c r="AU279"/>
  <c r="AH246"/>
  <c r="AU229"/>
  <c r="AH229" s="1"/>
  <c r="X130"/>
  <c r="X131"/>
  <c r="X79"/>
  <c r="AH227"/>
  <c r="AU243"/>
  <c r="AH243" s="1"/>
  <c r="X142"/>
  <c r="X135"/>
  <c r="AU251"/>
  <c r="AH251" s="1"/>
  <c r="EH211"/>
  <c r="AV103"/>
  <c r="S103"/>
  <c r="BO134"/>
  <c r="S134"/>
  <c r="DC156"/>
  <c r="S156"/>
  <c r="DB91"/>
  <c r="DD91" s="1"/>
  <c r="S91"/>
  <c r="W146"/>
  <c r="S146"/>
  <c r="S261"/>
  <c r="X261" s="1"/>
  <c r="EB261"/>
  <c r="AU261" s="1"/>
  <c r="BN261"/>
  <c r="BP261" s="1"/>
  <c r="CI261"/>
  <c r="CK261" s="1"/>
  <c r="DB261"/>
  <c r="DD261" s="1"/>
  <c r="R278"/>
  <c r="EH278"/>
  <c r="R254"/>
  <c r="EH254"/>
  <c r="AJ265"/>
  <c r="EH265"/>
  <c r="R265"/>
  <c r="R206"/>
  <c r="EH206"/>
  <c r="AJ208"/>
  <c r="AK208" s="1"/>
  <c r="C205" i="45" s="1"/>
  <c r="R208" i="43"/>
  <c r="EH208"/>
  <c r="R267"/>
  <c r="EH267"/>
  <c r="R271"/>
  <c r="EH271"/>
  <c r="AJ201"/>
  <c r="AK201" s="1"/>
  <c r="C198" i="45" s="1"/>
  <c r="R201" i="43"/>
  <c r="EH201"/>
  <c r="AJ202"/>
  <c r="AK202" s="1"/>
  <c r="C199" i="45" s="1"/>
  <c r="EH202" i="43"/>
  <c r="R202"/>
  <c r="AJ205"/>
  <c r="AK205" s="1"/>
  <c r="C202" i="45" s="1"/>
  <c r="R205" i="43"/>
  <c r="EH205"/>
  <c r="AJ233"/>
  <c r="EH233"/>
  <c r="R233"/>
  <c r="R241"/>
  <c r="EH241"/>
  <c r="R277"/>
  <c r="EH277"/>
  <c r="AJ204"/>
  <c r="R204"/>
  <c r="EH204"/>
  <c r="R220"/>
  <c r="EH220"/>
  <c r="AJ203"/>
  <c r="AK203" s="1"/>
  <c r="C200" i="45" s="1"/>
  <c r="R203" i="43"/>
  <c r="EH203"/>
  <c r="AU206"/>
  <c r="AH206" s="1"/>
  <c r="AH231"/>
  <c r="AH242"/>
  <c r="AH235"/>
  <c r="AI235" s="1"/>
  <c r="D232" i="45" s="1"/>
  <c r="U232" s="1"/>
  <c r="EH213" i="43"/>
  <c r="AH202"/>
  <c r="AU276"/>
  <c r="AU224"/>
  <c r="AH224" s="1"/>
  <c r="AU262"/>
  <c r="AH262" s="1"/>
  <c r="AI262" s="1"/>
  <c r="AU204"/>
  <c r="AH204" s="1"/>
  <c r="AI204" s="1"/>
  <c r="D201" i="45" s="1"/>
  <c r="U201" s="1"/>
  <c r="AH239" i="43"/>
  <c r="AU223"/>
  <c r="AH223" s="1"/>
  <c r="T78"/>
  <c r="S78"/>
  <c r="T117"/>
  <c r="S117"/>
  <c r="CJ133"/>
  <c r="S133"/>
  <c r="DB120"/>
  <c r="DD120" s="1"/>
  <c r="S120"/>
  <c r="W225"/>
  <c r="S225"/>
  <c r="X225" s="1"/>
  <c r="CI225"/>
  <c r="CK225" s="1"/>
  <c r="DB225"/>
  <c r="DD225" s="1"/>
  <c r="EB225"/>
  <c r="AU225" s="1"/>
  <c r="BN225"/>
  <c r="BP225" s="1"/>
  <c r="S238"/>
  <c r="X238" s="1"/>
  <c r="DB238"/>
  <c r="DD238" s="1"/>
  <c r="CI238"/>
  <c r="CK238" s="1"/>
  <c r="BN238"/>
  <c r="BP238" s="1"/>
  <c r="EB238"/>
  <c r="Y272"/>
  <c r="S272"/>
  <c r="X272" s="1"/>
  <c r="DB272"/>
  <c r="DD272" s="1"/>
  <c r="EB272"/>
  <c r="AU272" s="1"/>
  <c r="CI272"/>
  <c r="CK272" s="1"/>
  <c r="BN272"/>
  <c r="BP272" s="1"/>
  <c r="Y260"/>
  <c r="S260"/>
  <c r="X260" s="1"/>
  <c r="EB260"/>
  <c r="AU260" s="1"/>
  <c r="BN260"/>
  <c r="BP260" s="1"/>
  <c r="DB260"/>
  <c r="DD260" s="1"/>
  <c r="CI260"/>
  <c r="CK260" s="1"/>
  <c r="R234"/>
  <c r="EH234"/>
  <c r="R245"/>
  <c r="EH245"/>
  <c r="AJ257"/>
  <c r="AK257" s="1"/>
  <c r="C254" i="45" s="1"/>
  <c r="R257" i="43"/>
  <c r="EH257"/>
  <c r="AJ252"/>
  <c r="AK252" s="1"/>
  <c r="C249" i="45" s="1"/>
  <c r="R252" i="43"/>
  <c r="EH252"/>
  <c r="AJ270"/>
  <c r="AK270" s="1"/>
  <c r="C267" i="45" s="1"/>
  <c r="R270" i="43"/>
  <c r="EH270"/>
  <c r="R231"/>
  <c r="EH231"/>
  <c r="R247"/>
  <c r="EH247"/>
  <c r="R237"/>
  <c r="EH237"/>
  <c r="AJ263"/>
  <c r="R263"/>
  <c r="EH263"/>
  <c r="R255"/>
  <c r="EH255"/>
  <c r="EH269"/>
  <c r="R269"/>
  <c r="AJ244"/>
  <c r="EH244"/>
  <c r="R244"/>
  <c r="AJ227"/>
  <c r="AK227" s="1"/>
  <c r="C224" i="45" s="1"/>
  <c r="R227" i="43"/>
  <c r="EH227"/>
  <c r="R236"/>
  <c r="EH236"/>
  <c r="AJ199"/>
  <c r="AK199" s="1"/>
  <c r="C196" i="45" s="1"/>
  <c r="EH199" i="43"/>
  <c r="R199"/>
  <c r="R218"/>
  <c r="EH218"/>
  <c r="R221"/>
  <c r="EH221"/>
  <c r="EH222"/>
  <c r="R222"/>
  <c r="R253"/>
  <c r="EH253"/>
  <c r="R250"/>
  <c r="EH250"/>
  <c r="EH239"/>
  <c r="R239"/>
  <c r="R232"/>
  <c r="EH232"/>
  <c r="R228"/>
  <c r="EH228"/>
  <c r="Y309"/>
  <c r="Q309" s="1"/>
  <c r="AY309" s="1"/>
  <c r="AU200"/>
  <c r="AH200" s="1"/>
  <c r="X84"/>
  <c r="X99"/>
  <c r="AU245"/>
  <c r="AH245" s="1"/>
  <c r="AU252"/>
  <c r="AH252" s="1"/>
  <c r="EH216"/>
  <c r="X155"/>
  <c r="X70"/>
  <c r="AU277"/>
  <c r="AH277" s="1"/>
  <c r="AI277" s="1"/>
  <c r="R324"/>
  <c r="AA338"/>
  <c r="AB338" s="1"/>
  <c r="EH342"/>
  <c r="EH324"/>
  <c r="AA328"/>
  <c r="AB328" s="1"/>
  <c r="AU332"/>
  <c r="AH332" s="1"/>
  <c r="AI332" s="1"/>
  <c r="EH351"/>
  <c r="AU334"/>
  <c r="EH332"/>
  <c r="AA332"/>
  <c r="AB332" s="1"/>
  <c r="BN327"/>
  <c r="BP327" s="1"/>
  <c r="EB327"/>
  <c r="AU327" s="1"/>
  <c r="Y327"/>
  <c r="Q327" s="1"/>
  <c r="AY327" s="1"/>
  <c r="EH334"/>
  <c r="EH325"/>
  <c r="AA311"/>
  <c r="AB311" s="1"/>
  <c r="AA325"/>
  <c r="AB325" s="1"/>
  <c r="AY287"/>
  <c r="AA358"/>
  <c r="AB358" s="1"/>
  <c r="AY358"/>
  <c r="AJ358"/>
  <c r="R358"/>
  <c r="AU358"/>
  <c r="EH358"/>
  <c r="EH338"/>
  <c r="AJ357"/>
  <c r="AU357"/>
  <c r="EH357"/>
  <c r="R357"/>
  <c r="AA357"/>
  <c r="AB357" s="1"/>
  <c r="AY357"/>
  <c r="AA324"/>
  <c r="AB324" s="1"/>
  <c r="AA334"/>
  <c r="AB334" s="1"/>
  <c r="AA343"/>
  <c r="AB343" s="1"/>
  <c r="EH343"/>
  <c r="EN355"/>
  <c r="AA354"/>
  <c r="AB354" s="1"/>
  <c r="AY354"/>
  <c r="AU354"/>
  <c r="AH354" s="1"/>
  <c r="AI354" s="1"/>
  <c r="R354"/>
  <c r="EH354"/>
  <c r="AK352"/>
  <c r="AJ353"/>
  <c r="AU353"/>
  <c r="R353"/>
  <c r="EH353"/>
  <c r="AY353"/>
  <c r="AA353"/>
  <c r="AB353" s="1"/>
  <c r="AA321"/>
  <c r="AB321" s="1"/>
  <c r="AK349"/>
  <c r="AA348"/>
  <c r="AB348" s="1"/>
  <c r="AY348"/>
  <c r="BA348" s="1"/>
  <c r="AU348"/>
  <c r="AH348" s="1"/>
  <c r="AI348" s="1"/>
  <c r="R348"/>
  <c r="EH348"/>
  <c r="AY306"/>
  <c r="V303" i="45" s="1"/>
  <c r="AU321" i="43"/>
  <c r="AA347"/>
  <c r="AB347" s="1"/>
  <c r="AY347"/>
  <c r="BA347" s="1"/>
  <c r="AJ347"/>
  <c r="R347"/>
  <c r="EH347"/>
  <c r="AU347"/>
  <c r="EB346"/>
  <c r="BN346"/>
  <c r="BP346" s="1"/>
  <c r="CK346"/>
  <c r="S346"/>
  <c r="X346" s="1"/>
  <c r="Y346"/>
  <c r="Q346" s="1"/>
  <c r="DB346"/>
  <c r="DD346" s="1"/>
  <c r="AK342"/>
  <c r="AU344"/>
  <c r="AH344" s="1"/>
  <c r="AI344" s="1"/>
  <c r="EH344"/>
  <c r="R344"/>
  <c r="AY344"/>
  <c r="V341" i="45" s="1"/>
  <c r="AA344" i="43"/>
  <c r="AB344" s="1"/>
  <c r="R345"/>
  <c r="EH345"/>
  <c r="AU345"/>
  <c r="AH345" s="1"/>
  <c r="AI345" s="1"/>
  <c r="AY345"/>
  <c r="BA345" s="1"/>
  <c r="AA345"/>
  <c r="AB345" s="1"/>
  <c r="R322"/>
  <c r="EH321"/>
  <c r="EH322"/>
  <c r="R341"/>
  <c r="AU341"/>
  <c r="AH341" s="1"/>
  <c r="AI341" s="1"/>
  <c r="EH341"/>
  <c r="AA341"/>
  <c r="AB341" s="1"/>
  <c r="AY341"/>
  <c r="V338" i="45" s="1"/>
  <c r="AA340" i="43"/>
  <c r="AB340" s="1"/>
  <c r="AY340"/>
  <c r="AU340"/>
  <c r="AH340" s="1"/>
  <c r="AI340" s="1"/>
  <c r="R340"/>
  <c r="EH340"/>
  <c r="AA337"/>
  <c r="AB337" s="1"/>
  <c r="AY337"/>
  <c r="R337"/>
  <c r="AU337"/>
  <c r="AH337" s="1"/>
  <c r="AI337" s="1"/>
  <c r="EH337"/>
  <c r="AK338"/>
  <c r="Y300"/>
  <c r="Q300" s="1"/>
  <c r="AA300" s="1"/>
  <c r="AB300" s="1"/>
  <c r="AU336"/>
  <c r="AH336" s="1"/>
  <c r="AI336" s="1"/>
  <c r="EH336"/>
  <c r="R336"/>
  <c r="AY335"/>
  <c r="BA335" s="1"/>
  <c r="AA335"/>
  <c r="AB335" s="1"/>
  <c r="R335"/>
  <c r="EH335"/>
  <c r="AU335"/>
  <c r="AH335" s="1"/>
  <c r="AI335" s="1"/>
  <c r="AA303"/>
  <c r="AB303" s="1"/>
  <c r="AU333"/>
  <c r="AH333" s="1"/>
  <c r="AI333" s="1"/>
  <c r="R333"/>
  <c r="EH333"/>
  <c r="AA333"/>
  <c r="AB333" s="1"/>
  <c r="AY333"/>
  <c r="V330" i="45" s="1"/>
  <c r="R188" i="43"/>
  <c r="D179" i="45"/>
  <c r="U179" s="1"/>
  <c r="X179" s="1"/>
  <c r="AJ161" i="43"/>
  <c r="AK161" s="1"/>
  <c r="AA330"/>
  <c r="AB330" s="1"/>
  <c r="AY330"/>
  <c r="V327" i="45" s="1"/>
  <c r="AU330" i="43"/>
  <c r="AH330" s="1"/>
  <c r="AI330" s="1"/>
  <c r="EH330"/>
  <c r="R330"/>
  <c r="AU331"/>
  <c r="AH331" s="1"/>
  <c r="AI331" s="1"/>
  <c r="R331"/>
  <c r="EH331"/>
  <c r="AA331"/>
  <c r="AB331" s="1"/>
  <c r="AY331"/>
  <c r="AA329"/>
  <c r="AB329" s="1"/>
  <c r="AY329"/>
  <c r="AU329"/>
  <c r="AH329" s="1"/>
  <c r="AI329" s="1"/>
  <c r="R329"/>
  <c r="EH329"/>
  <c r="AK328"/>
  <c r="AU326"/>
  <c r="AH326" s="1"/>
  <c r="AI326" s="1"/>
  <c r="R326"/>
  <c r="EH326"/>
  <c r="AK325"/>
  <c r="AA326"/>
  <c r="AB326" s="1"/>
  <c r="AY326"/>
  <c r="AY322"/>
  <c r="AK321"/>
  <c r="AK322"/>
  <c r="DB320"/>
  <c r="DD320" s="1"/>
  <c r="CK320"/>
  <c r="Y320"/>
  <c r="Q320" s="1"/>
  <c r="EB320"/>
  <c r="BN320"/>
  <c r="BP320" s="1"/>
  <c r="AU319"/>
  <c r="AH319" s="1"/>
  <c r="AI319" s="1"/>
  <c r="EH319"/>
  <c r="R319"/>
  <c r="AA319"/>
  <c r="AB319" s="1"/>
  <c r="AY319"/>
  <c r="BA319" s="1"/>
  <c r="AU318"/>
  <c r="AH318" s="1"/>
  <c r="AI318" s="1"/>
  <c r="EH318"/>
  <c r="R318"/>
  <c r="AA318"/>
  <c r="AB318" s="1"/>
  <c r="AY318"/>
  <c r="BA318" s="1"/>
  <c r="Y316"/>
  <c r="Q316" s="1"/>
  <c r="AA310"/>
  <c r="AB310" s="1"/>
  <c r="AY310"/>
  <c r="AA315"/>
  <c r="AB315" s="1"/>
  <c r="AY315"/>
  <c r="AA308"/>
  <c r="AB308" s="1"/>
  <c r="AY308"/>
  <c r="BA308" s="1"/>
  <c r="AA302"/>
  <c r="AB302" s="1"/>
  <c r="AY302"/>
  <c r="AY312"/>
  <c r="BA312" s="1"/>
  <c r="AA312"/>
  <c r="AB312" s="1"/>
  <c r="AA314"/>
  <c r="AB314" s="1"/>
  <c r="AY314"/>
  <c r="AY307"/>
  <c r="BA307" s="1"/>
  <c r="AA307"/>
  <c r="AB307" s="1"/>
  <c r="Y304"/>
  <c r="Q283"/>
  <c r="AY283" s="1"/>
  <c r="V280" i="45" s="1"/>
  <c r="AY267" i="43"/>
  <c r="AY290"/>
  <c r="AU301"/>
  <c r="AH301" s="1"/>
  <c r="AI301" s="1"/>
  <c r="R301"/>
  <c r="EH301"/>
  <c r="AA301"/>
  <c r="AB301" s="1"/>
  <c r="AY301"/>
  <c r="AU124"/>
  <c r="AH124" s="1"/>
  <c r="AI124" s="1"/>
  <c r="AU287"/>
  <c r="AU290"/>
  <c r="AH290" s="1"/>
  <c r="EH290"/>
  <c r="AJ300"/>
  <c r="AK300" s="1"/>
  <c r="C297" i="45" s="1"/>
  <c r="Y225" i="43"/>
  <c r="EH288"/>
  <c r="R161"/>
  <c r="Q299"/>
  <c r="AY258"/>
  <c r="BA258" s="1"/>
  <c r="AY284"/>
  <c r="AY288"/>
  <c r="AJ299"/>
  <c r="R299"/>
  <c r="AU299"/>
  <c r="AH299" s="1"/>
  <c r="AI299" s="1"/>
  <c r="EH299"/>
  <c r="AH193"/>
  <c r="AI193" s="1"/>
  <c r="D190" i="45" s="1"/>
  <c r="U190" s="1"/>
  <c r="Y256" i="43"/>
  <c r="AY271"/>
  <c r="V268" i="45" s="1"/>
  <c r="EB298" i="43"/>
  <c r="DD298"/>
  <c r="Y298"/>
  <c r="Q298" s="1"/>
  <c r="BN298"/>
  <c r="BP298" s="1"/>
  <c r="CK298"/>
  <c r="AY239"/>
  <c r="AY266"/>
  <c r="EH287"/>
  <c r="R124"/>
  <c r="AY214"/>
  <c r="AU296"/>
  <c r="AH296" s="1"/>
  <c r="AI296" s="1"/>
  <c r="R296"/>
  <c r="EH296"/>
  <c r="AJ295"/>
  <c r="R295"/>
  <c r="EH295"/>
  <c r="AU295"/>
  <c r="AY279"/>
  <c r="AA297"/>
  <c r="AB297" s="1"/>
  <c r="AY297"/>
  <c r="AJ297"/>
  <c r="R297"/>
  <c r="AU297"/>
  <c r="EH297"/>
  <c r="AA295"/>
  <c r="AB295" s="1"/>
  <c r="AY295"/>
  <c r="V292" i="45" s="1"/>
  <c r="AA296" i="43"/>
  <c r="AB296" s="1"/>
  <c r="AY296"/>
  <c r="V293" i="45" s="1"/>
  <c r="EH193" i="43"/>
  <c r="EH292"/>
  <c r="BO120"/>
  <c r="Y282"/>
  <c r="Q282" s="1"/>
  <c r="AY282" s="1"/>
  <c r="CK294"/>
  <c r="DD294"/>
  <c r="EB294"/>
  <c r="Y294"/>
  <c r="Q294" s="1"/>
  <c r="BN294"/>
  <c r="BP294" s="1"/>
  <c r="Q188"/>
  <c r="AA188" s="1"/>
  <c r="AB188" s="1"/>
  <c r="W209"/>
  <c r="EH124"/>
  <c r="AJ293"/>
  <c r="W238"/>
  <c r="AH185"/>
  <c r="AI185" s="1"/>
  <c r="D182" i="45" s="1"/>
  <c r="U182" s="1"/>
  <c r="R185" i="43"/>
  <c r="EH188"/>
  <c r="AJ138"/>
  <c r="AK138" s="1"/>
  <c r="R165"/>
  <c r="Y219"/>
  <c r="AK291"/>
  <c r="EH185"/>
  <c r="Q193"/>
  <c r="AY193" s="1"/>
  <c r="AA257"/>
  <c r="AB257" s="1"/>
  <c r="AJ125"/>
  <c r="AK125" s="1"/>
  <c r="Y187"/>
  <c r="AU128"/>
  <c r="AH128" s="1"/>
  <c r="AI128" s="1"/>
  <c r="D125" i="45" s="1"/>
  <c r="U125" s="1"/>
  <c r="S187" i="43"/>
  <c r="X187" s="1"/>
  <c r="AU289"/>
  <c r="AH289" s="1"/>
  <c r="AI289" s="1"/>
  <c r="EH289"/>
  <c r="R289"/>
  <c r="AK290"/>
  <c r="AA289"/>
  <c r="AB289" s="1"/>
  <c r="AY289"/>
  <c r="AK287"/>
  <c r="BN187"/>
  <c r="BP187" s="1"/>
  <c r="CI187"/>
  <c r="CK187" s="1"/>
  <c r="W198"/>
  <c r="AU138"/>
  <c r="AH138" s="1"/>
  <c r="AI138" s="1"/>
  <c r="D135" i="45" s="1"/>
  <c r="U135" s="1"/>
  <c r="AU183" i="43"/>
  <c r="AH183" s="1"/>
  <c r="AI183" s="1"/>
  <c r="D180" i="45" s="1"/>
  <c r="U180" s="1"/>
  <c r="X180" s="1"/>
  <c r="W187" i="43"/>
  <c r="DB187"/>
  <c r="DD187" s="1"/>
  <c r="AA286"/>
  <c r="AB286" s="1"/>
  <c r="AY286"/>
  <c r="V283" i="45" s="1"/>
  <c r="R286" i="43"/>
  <c r="AU286"/>
  <c r="AH286" s="1"/>
  <c r="AI286" s="1"/>
  <c r="EH286"/>
  <c r="BO154"/>
  <c r="AJ285"/>
  <c r="AK285" s="1"/>
  <c r="C282" i="45" s="1"/>
  <c r="R285" i="43"/>
  <c r="EH285"/>
  <c r="R125"/>
  <c r="R190"/>
  <c r="DB170"/>
  <c r="DD170" s="1"/>
  <c r="S170"/>
  <c r="AU285"/>
  <c r="AH285" s="1"/>
  <c r="AI285" s="1"/>
  <c r="AJ114"/>
  <c r="AK114" s="1"/>
  <c r="AH188"/>
  <c r="AI188" s="1"/>
  <c r="D185" i="45" s="1"/>
  <c r="U185" s="1"/>
  <c r="AA220" i="43"/>
  <c r="AB220" s="1"/>
  <c r="AY285"/>
  <c r="BA285" s="1"/>
  <c r="AA285"/>
  <c r="AB285" s="1"/>
  <c r="Y281"/>
  <c r="Y280"/>
  <c r="Q183"/>
  <c r="AA183" s="1"/>
  <c r="AB183" s="1"/>
  <c r="AU93"/>
  <c r="AH93" s="1"/>
  <c r="AI93" s="1"/>
  <c r="D90" i="45" s="1"/>
  <c r="U90" s="1"/>
  <c r="Q190" i="43"/>
  <c r="AA190" s="1"/>
  <c r="AB190" s="1"/>
  <c r="EH190"/>
  <c r="X176"/>
  <c r="AY265"/>
  <c r="AU130"/>
  <c r="AH130" s="1"/>
  <c r="AI130" s="1"/>
  <c r="D127" i="45" s="1"/>
  <c r="U127" s="1"/>
  <c r="DB121" i="43"/>
  <c r="DD121" s="1"/>
  <c r="AH190"/>
  <c r="AI190" s="1"/>
  <c r="T121"/>
  <c r="Y261"/>
  <c r="AA276"/>
  <c r="AB276" s="1"/>
  <c r="R57"/>
  <c r="AJ109"/>
  <c r="AK109" s="1"/>
  <c r="AA165"/>
  <c r="AB165" s="1"/>
  <c r="AY41"/>
  <c r="AJ85"/>
  <c r="AK85" s="1"/>
  <c r="AU50"/>
  <c r="AH50" s="1"/>
  <c r="AI50" s="1"/>
  <c r="R160"/>
  <c r="AU85"/>
  <c r="AH85" s="1"/>
  <c r="AI85" s="1"/>
  <c r="D82" i="45" s="1"/>
  <c r="U82" s="1"/>
  <c r="AU192" i="43"/>
  <c r="AH192" s="1"/>
  <c r="AI192" s="1"/>
  <c r="D189" i="45" s="1"/>
  <c r="U189" s="1"/>
  <c r="AJ160" i="43"/>
  <c r="AK160" s="1"/>
  <c r="EH183"/>
  <c r="EH85"/>
  <c r="AH160"/>
  <c r="AI160" s="1"/>
  <c r="D157" i="45" s="1"/>
  <c r="U157" s="1"/>
  <c r="X157" s="1"/>
  <c r="R44" i="43"/>
  <c r="AU109"/>
  <c r="AH109" s="1"/>
  <c r="AI109" s="1"/>
  <c r="D106" i="45" s="1"/>
  <c r="U106" s="1"/>
  <c r="AU114" i="43"/>
  <c r="AH114" s="1"/>
  <c r="AI114" s="1"/>
  <c r="D111" i="45" s="1"/>
  <c r="U111" s="1"/>
  <c r="AU175" i="43"/>
  <c r="AH175" s="1"/>
  <c r="AI175" s="1"/>
  <c r="D172" i="45" s="1"/>
  <c r="U172" s="1"/>
  <c r="X172" s="1"/>
  <c r="AY206" i="43"/>
  <c r="V203" i="45" s="1"/>
  <c r="AA185" i="43"/>
  <c r="AB185" s="1"/>
  <c r="DC105"/>
  <c r="R136"/>
  <c r="R159"/>
  <c r="CI120"/>
  <c r="CK120" s="1"/>
  <c r="R147"/>
  <c r="Q184"/>
  <c r="AA184" s="1"/>
  <c r="AB184" s="1"/>
  <c r="Y238"/>
  <c r="DB116"/>
  <c r="DD116" s="1"/>
  <c r="CJ121"/>
  <c r="AU165"/>
  <c r="AH165" s="1"/>
  <c r="EN165" s="1"/>
  <c r="EH165"/>
  <c r="EH160"/>
  <c r="AV105"/>
  <c r="EB116"/>
  <c r="R116" s="1"/>
  <c r="AJ122"/>
  <c r="AK122" s="1"/>
  <c r="R130"/>
  <c r="Y139"/>
  <c r="AU158"/>
  <c r="AH158" s="1"/>
  <c r="EN158" s="1"/>
  <c r="AJ132"/>
  <c r="AK132" s="1"/>
  <c r="AV120"/>
  <c r="R82"/>
  <c r="R129"/>
  <c r="DC120"/>
  <c r="BA242"/>
  <c r="V239" i="45"/>
  <c r="BA240" i="43"/>
  <c r="V237" i="45"/>
  <c r="V236"/>
  <c r="BA239" i="43"/>
  <c r="V234" i="45"/>
  <c r="BA237" i="43"/>
  <c r="BA236"/>
  <c r="V233" i="45"/>
  <c r="AJ159" i="43"/>
  <c r="AK159" s="1"/>
  <c r="R93"/>
  <c r="R122"/>
  <c r="AU132"/>
  <c r="AH132" s="1"/>
  <c r="AI132" s="1"/>
  <c r="D129" i="45" s="1"/>
  <c r="U129" s="1"/>
  <c r="AU119" i="43"/>
  <c r="AH119" s="1"/>
  <c r="AI119" s="1"/>
  <c r="D116" i="45" s="1"/>
  <c r="U116" s="1"/>
  <c r="V232"/>
  <c r="BA235" i="43"/>
  <c r="EH114"/>
  <c r="BA233"/>
  <c r="V230" i="45"/>
  <c r="Q213" i="43"/>
  <c r="AY213" s="1"/>
  <c r="V197" i="45"/>
  <c r="BA200" i="43"/>
  <c r="D69" i="45"/>
  <c r="U69" s="1"/>
  <c r="EB120" i="43"/>
  <c r="AJ120" s="1"/>
  <c r="AK120" s="1"/>
  <c r="EH184"/>
  <c r="BN191"/>
  <c r="BP191" s="1"/>
  <c r="Y230"/>
  <c r="W230"/>
  <c r="DB154"/>
  <c r="DD154" s="1"/>
  <c r="EB180"/>
  <c r="AJ180" s="1"/>
  <c r="AK180" s="1"/>
  <c r="AU184"/>
  <c r="AH184" s="1"/>
  <c r="AI184" s="1"/>
  <c r="D181" i="45" s="1"/>
  <c r="U181" s="1"/>
  <c r="V224"/>
  <c r="BA227" i="43"/>
  <c r="BA212"/>
  <c r="V229" i="45"/>
  <c r="BA232" i="43"/>
  <c r="V228" i="45"/>
  <c r="BA231" i="43"/>
  <c r="EH93"/>
  <c r="AU41"/>
  <c r="AH41" s="1"/>
  <c r="EN41" s="1"/>
  <c r="AU76"/>
  <c r="AH76" s="1"/>
  <c r="AI76" s="1"/>
  <c r="D73" i="45" s="1"/>
  <c r="U73" s="1"/>
  <c r="R113" i="43"/>
  <c r="R155"/>
  <c r="AJ147"/>
  <c r="AK147" s="1"/>
  <c r="EH147"/>
  <c r="Q169"/>
  <c r="AY169" s="1"/>
  <c r="EO166"/>
  <c r="EH55"/>
  <c r="AU136"/>
  <c r="AH136" s="1"/>
  <c r="AI136" s="1"/>
  <c r="AU172"/>
  <c r="AH172" s="1"/>
  <c r="AU104"/>
  <c r="AH104" s="1"/>
  <c r="AI104" s="1"/>
  <c r="D101" i="45" s="1"/>
  <c r="U101" s="1"/>
  <c r="AU127" i="43"/>
  <c r="AH127" s="1"/>
  <c r="AI127" s="1"/>
  <c r="BA229"/>
  <c r="BA228"/>
  <c r="BA224"/>
  <c r="BA223"/>
  <c r="BA221"/>
  <c r="BA220"/>
  <c r="BA218"/>
  <c r="BA217"/>
  <c r="EH194"/>
  <c r="EH138"/>
  <c r="AU111"/>
  <c r="AH111" s="1"/>
  <c r="AI111" s="1"/>
  <c r="D108" i="45" s="1"/>
  <c r="U108" s="1"/>
  <c r="AU194" i="43"/>
  <c r="AH194" s="1"/>
  <c r="R194"/>
  <c r="BA215"/>
  <c r="R97"/>
  <c r="AJ111"/>
  <c r="AK111" s="1"/>
  <c r="BA214"/>
  <c r="BA211"/>
  <c r="AU62"/>
  <c r="AH62" s="1"/>
  <c r="EN62" s="1"/>
  <c r="AU68"/>
  <c r="AH68" s="1"/>
  <c r="R119"/>
  <c r="EH62"/>
  <c r="R68"/>
  <c r="AA44"/>
  <c r="AB44" s="1"/>
  <c r="R62"/>
  <c r="R84"/>
  <c r="BA210"/>
  <c r="AU90"/>
  <c r="AH90" s="1"/>
  <c r="EN90" s="1"/>
  <c r="R99"/>
  <c r="AA28"/>
  <c r="AB28" s="1"/>
  <c r="R90"/>
  <c r="R108"/>
  <c r="AU174"/>
  <c r="AH174" s="1"/>
  <c r="AI174" s="1"/>
  <c r="D171" i="45" s="1"/>
  <c r="U171" s="1"/>
  <c r="R107" i="43"/>
  <c r="AJ128"/>
  <c r="AK128" s="1"/>
  <c r="AU141"/>
  <c r="AH141" s="1"/>
  <c r="AI141" s="1"/>
  <c r="D138" i="45" s="1"/>
  <c r="U138" s="1"/>
  <c r="AA167" i="43"/>
  <c r="AB167" s="1"/>
  <c r="R123"/>
  <c r="EH130"/>
  <c r="BA208"/>
  <c r="BA206"/>
  <c r="BA204"/>
  <c r="BA203"/>
  <c r="BA202"/>
  <c r="EH68"/>
  <c r="BA201"/>
  <c r="EH82"/>
  <c r="R53"/>
  <c r="AU87"/>
  <c r="AH87" s="1"/>
  <c r="AI87" s="1"/>
  <c r="D84" i="45" s="1"/>
  <c r="U84" s="1"/>
  <c r="BN126" i="43"/>
  <c r="BP126" s="1"/>
  <c r="R137"/>
  <c r="R140"/>
  <c r="EH176"/>
  <c r="Y180"/>
  <c r="EH192"/>
  <c r="EH53"/>
  <c r="AU52"/>
  <c r="AH52" s="1"/>
  <c r="AI52" s="1"/>
  <c r="AU53"/>
  <c r="AH53" s="1"/>
  <c r="R79"/>
  <c r="EH83"/>
  <c r="AJ112"/>
  <c r="AK112" s="1"/>
  <c r="T116"/>
  <c r="EB126"/>
  <c r="AU126" s="1"/>
  <c r="EB133"/>
  <c r="AU133" s="1"/>
  <c r="AU140"/>
  <c r="AH140" s="1"/>
  <c r="EN140" s="1"/>
  <c r="R157"/>
  <c r="Q177"/>
  <c r="AA177" s="1"/>
  <c r="AB177" s="1"/>
  <c r="Y191"/>
  <c r="Y126"/>
  <c r="AU151"/>
  <c r="AH151" s="1"/>
  <c r="AI151" s="1"/>
  <c r="D148" i="45" s="1"/>
  <c r="U148" s="1"/>
  <c r="X177" i="43"/>
  <c r="AV178"/>
  <c r="S178"/>
  <c r="BN105"/>
  <c r="BP105" s="1"/>
  <c r="T105"/>
  <c r="Y116"/>
  <c r="CI116"/>
  <c r="CK116" s="1"/>
  <c r="CJ117"/>
  <c r="AH122"/>
  <c r="AI122" s="1"/>
  <c r="D119" i="45" s="1"/>
  <c r="U119" s="1"/>
  <c r="DC133" i="43"/>
  <c r="AV121"/>
  <c r="BN121"/>
  <c r="BP121" s="1"/>
  <c r="AH147"/>
  <c r="AI147" s="1"/>
  <c r="D144" i="45" s="1"/>
  <c r="U144" s="1"/>
  <c r="X144" s="1"/>
  <c r="EH136" i="43"/>
  <c r="AH113"/>
  <c r="AI113" s="1"/>
  <c r="D110" i="45" s="1"/>
  <c r="U110" s="1"/>
  <c r="EH90" i="43"/>
  <c r="Y178"/>
  <c r="BO180"/>
  <c r="S180"/>
  <c r="Q192"/>
  <c r="DB105"/>
  <c r="DD105" s="1"/>
  <c r="Y105"/>
  <c r="BO116"/>
  <c r="DC116"/>
  <c r="W121"/>
  <c r="EB121"/>
  <c r="AU121" s="1"/>
  <c r="CI121"/>
  <c r="CK121" s="1"/>
  <c r="Q179"/>
  <c r="AY179" s="1"/>
  <c r="V176" i="45" s="1"/>
  <c r="X179" i="43"/>
  <c r="AU95"/>
  <c r="AH95" s="1"/>
  <c r="AI95" s="1"/>
  <c r="D92" i="45" s="1"/>
  <c r="U92" s="1"/>
  <c r="CJ105" i="43"/>
  <c r="EB105"/>
  <c r="AJ105" s="1"/>
  <c r="AK105" s="1"/>
  <c r="BN116"/>
  <c r="BP116" s="1"/>
  <c r="AV116"/>
  <c r="BO121"/>
  <c r="Y121"/>
  <c r="EH145"/>
  <c r="EB178"/>
  <c r="AJ178" s="1"/>
  <c r="AK178" s="1"/>
  <c r="R41"/>
  <c r="AY33"/>
  <c r="V30" i="45" s="1"/>
  <c r="BN60" i="43"/>
  <c r="BP60" s="1"/>
  <c r="AJ82"/>
  <c r="AK82" s="1"/>
  <c r="AJ95"/>
  <c r="AK95" s="1"/>
  <c r="AU97"/>
  <c r="AH97" s="1"/>
  <c r="AI97" s="1"/>
  <c r="D94" i="45" s="1"/>
  <c r="U94" s="1"/>
  <c r="AJ104" i="43"/>
  <c r="AK104" s="1"/>
  <c r="AU107"/>
  <c r="AH107" s="1"/>
  <c r="AI107" s="1"/>
  <c r="D104" i="45" s="1"/>
  <c r="U104" s="1"/>
  <c r="AU110" i="43"/>
  <c r="AH110" s="1"/>
  <c r="EN110" s="1"/>
  <c r="AJ113"/>
  <c r="AK113" s="1"/>
  <c r="R127"/>
  <c r="AJ129"/>
  <c r="AK129" s="1"/>
  <c r="AJ141"/>
  <c r="AK141" s="1"/>
  <c r="AV153"/>
  <c r="AU155"/>
  <c r="AH155" s="1"/>
  <c r="EN155" s="1"/>
  <c r="AH161"/>
  <c r="AI161" s="1"/>
  <c r="D158" i="45" s="1"/>
  <c r="U158" s="1"/>
  <c r="BO164" i="43"/>
  <c r="Y120"/>
  <c r="CJ120"/>
  <c r="T120"/>
  <c r="Q163"/>
  <c r="W178"/>
  <c r="BN178"/>
  <c r="BP178" s="1"/>
  <c r="CJ178"/>
  <c r="DB191"/>
  <c r="DD191" s="1"/>
  <c r="CI191"/>
  <c r="CK191" s="1"/>
  <c r="R110"/>
  <c r="DC178"/>
  <c r="T178"/>
  <c r="S191"/>
  <c r="X191" s="1"/>
  <c r="R50"/>
  <c r="AJ89"/>
  <c r="AK89" s="1"/>
  <c r="AV117"/>
  <c r="AU115"/>
  <c r="AH115" s="1"/>
  <c r="AI115" s="1"/>
  <c r="D112" i="45" s="1"/>
  <c r="U112" s="1"/>
  <c r="R158" i="43"/>
  <c r="W120"/>
  <c r="BN120"/>
  <c r="BP120" s="1"/>
  <c r="AJ174"/>
  <c r="AK174" s="1"/>
  <c r="EH98"/>
  <c r="X163"/>
  <c r="X175"/>
  <c r="EH127"/>
  <c r="DB178"/>
  <c r="DD178" s="1"/>
  <c r="CI178"/>
  <c r="CK178" s="1"/>
  <c r="W191"/>
  <c r="AK196"/>
  <c r="BA196"/>
  <c r="AK195"/>
  <c r="AK193"/>
  <c r="V190" i="45"/>
  <c r="BA193" i="43"/>
  <c r="AK192"/>
  <c r="AJ191"/>
  <c r="AU191"/>
  <c r="R191"/>
  <c r="AJ189"/>
  <c r="EH189"/>
  <c r="R189"/>
  <c r="AU189"/>
  <c r="AH189" s="1"/>
  <c r="AI189" s="1"/>
  <c r="D186" i="45" s="1"/>
  <c r="U186" s="1"/>
  <c r="AK188" i="43"/>
  <c r="AU187"/>
  <c r="R187"/>
  <c r="EH104"/>
  <c r="AU47"/>
  <c r="AH47" s="1"/>
  <c r="R55"/>
  <c r="EH28"/>
  <c r="AA176"/>
  <c r="AB176" s="1"/>
  <c r="AU55"/>
  <c r="AH55" s="1"/>
  <c r="AI55" s="1"/>
  <c r="D52" i="45" s="1"/>
  <c r="U52" s="1"/>
  <c r="AU131" i="43"/>
  <c r="AH131" s="1"/>
  <c r="EN131" s="1"/>
  <c r="AK185"/>
  <c r="V182" i="45"/>
  <c r="BA185" i="43"/>
  <c r="AK184"/>
  <c r="AK183"/>
  <c r="AA181"/>
  <c r="AB181" s="1"/>
  <c r="AU179"/>
  <c r="AH179" s="1"/>
  <c r="R179"/>
  <c r="AK181"/>
  <c r="EN181"/>
  <c r="BA181"/>
  <c r="V178" i="45"/>
  <c r="EH132" i="43"/>
  <c r="CJ180"/>
  <c r="T180"/>
  <c r="EH179"/>
  <c r="EH159"/>
  <c r="DC180"/>
  <c r="DB180"/>
  <c r="DD180" s="1"/>
  <c r="EH95"/>
  <c r="EH172"/>
  <c r="W180"/>
  <c r="CI180"/>
  <c r="CK180" s="1"/>
  <c r="AV180"/>
  <c r="EH173"/>
  <c r="EH122"/>
  <c r="EH41"/>
  <c r="AU54"/>
  <c r="AH54" s="1"/>
  <c r="EN54" s="1"/>
  <c r="AU28"/>
  <c r="AH28" s="1"/>
  <c r="EN28" s="1"/>
  <c r="AV91"/>
  <c r="AU167"/>
  <c r="AH167" s="1"/>
  <c r="AH173"/>
  <c r="AI173" s="1"/>
  <c r="D170" i="45" s="1"/>
  <c r="U170" s="1"/>
  <c r="X170" s="1"/>
  <c r="R175" i="43"/>
  <c r="DC91"/>
  <c r="AU92"/>
  <c r="AH92" s="1"/>
  <c r="EB100"/>
  <c r="AJ100" s="1"/>
  <c r="AK100" s="1"/>
  <c r="AU135"/>
  <c r="AH135" s="1"/>
  <c r="BO146"/>
  <c r="EH152"/>
  <c r="AH159"/>
  <c r="AI159" s="1"/>
  <c r="D156" i="45" s="1"/>
  <c r="U156" s="1"/>
  <c r="EH161" i="43"/>
  <c r="EH128"/>
  <c r="X173"/>
  <c r="EH175"/>
  <c r="AU176"/>
  <c r="AH176" s="1"/>
  <c r="AI176" s="1"/>
  <c r="AJ177"/>
  <c r="AK177" s="1"/>
  <c r="R28"/>
  <c r="CI91"/>
  <c r="CK91" s="1"/>
  <c r="AJ96"/>
  <c r="AK96" s="1"/>
  <c r="AV164"/>
  <c r="R176"/>
  <c r="R177"/>
  <c r="EH177"/>
  <c r="AK179"/>
  <c r="AH177"/>
  <c r="AI177" s="1"/>
  <c r="D174" i="45" s="1"/>
  <c r="U174" s="1"/>
  <c r="X174" s="1"/>
  <c r="BO100" i="43"/>
  <c r="EH71"/>
  <c r="Q171"/>
  <c r="AA171" s="1"/>
  <c r="AB171" s="1"/>
  <c r="EH45"/>
  <c r="BA176"/>
  <c r="V173" i="45"/>
  <c r="EH111" i="43"/>
  <c r="EH97"/>
  <c r="EH23"/>
  <c r="AH84"/>
  <c r="AI84" s="1"/>
  <c r="D81" i="45" s="1"/>
  <c r="U81" s="1"/>
  <c r="EH158" i="43"/>
  <c r="EH141"/>
  <c r="EH125"/>
  <c r="AU23"/>
  <c r="AH23" s="1"/>
  <c r="AU45"/>
  <c r="AH45" s="1"/>
  <c r="AI45" s="1"/>
  <c r="R69"/>
  <c r="AU70"/>
  <c r="AH70" s="1"/>
  <c r="AI70" s="1"/>
  <c r="D67" i="45" s="1"/>
  <c r="U67" s="1"/>
  <c r="AU79" i="43"/>
  <c r="AH79" s="1"/>
  <c r="AI79" s="1"/>
  <c r="D76" i="45" s="1"/>
  <c r="U76" s="1"/>
  <c r="R83" i="43"/>
  <c r="AJ84"/>
  <c r="AK84" s="1"/>
  <c r="AU86"/>
  <c r="AH86" s="1"/>
  <c r="AI86" s="1"/>
  <c r="EH87"/>
  <c r="W105"/>
  <c r="CI105"/>
  <c r="CK105" s="1"/>
  <c r="R112"/>
  <c r="CJ116"/>
  <c r="DB117"/>
  <c r="DD117" s="1"/>
  <c r="W117"/>
  <c r="BO117"/>
  <c r="W126"/>
  <c r="CI126"/>
  <c r="CK126" s="1"/>
  <c r="T126"/>
  <c r="AU137"/>
  <c r="AH137" s="1"/>
  <c r="AI137" s="1"/>
  <c r="D134" i="45" s="1"/>
  <c r="U134" s="1"/>
  <c r="T139" i="43"/>
  <c r="R145"/>
  <c r="EH151"/>
  <c r="DB153"/>
  <c r="DD153" s="1"/>
  <c r="AU157"/>
  <c r="AH157" s="1"/>
  <c r="AI157" s="1"/>
  <c r="D154" i="45" s="1"/>
  <c r="U154" s="1"/>
  <c r="X154" s="1"/>
  <c r="R168" i="43"/>
  <c r="EH137"/>
  <c r="AH44"/>
  <c r="EN44" s="1"/>
  <c r="EH84"/>
  <c r="EH113"/>
  <c r="EH70"/>
  <c r="EH57"/>
  <c r="R33"/>
  <c r="R58"/>
  <c r="R70"/>
  <c r="AU83"/>
  <c r="AH83" s="1"/>
  <c r="AI83" s="1"/>
  <c r="R86"/>
  <c r="R87"/>
  <c r="EH112"/>
  <c r="Y117"/>
  <c r="EB117"/>
  <c r="AJ117" s="1"/>
  <c r="AK117" s="1"/>
  <c r="CI117"/>
  <c r="CK117" s="1"/>
  <c r="AH125"/>
  <c r="AI125" s="1"/>
  <c r="D122" i="45" s="1"/>
  <c r="U122" s="1"/>
  <c r="BO126" i="43"/>
  <c r="AV126"/>
  <c r="AU145"/>
  <c r="AH145" s="1"/>
  <c r="AI145" s="1"/>
  <c r="D142" i="45" s="1"/>
  <c r="U142" s="1"/>
  <c r="X142" s="1"/>
  <c r="R151" i="43"/>
  <c r="EH107"/>
  <c r="X174"/>
  <c r="AH71"/>
  <c r="AI71" s="1"/>
  <c r="D68" i="45" s="1"/>
  <c r="U68" s="1"/>
  <c r="EH155" i="43"/>
  <c r="EH58"/>
  <c r="EH129"/>
  <c r="EH50"/>
  <c r="EH135"/>
  <c r="EH110"/>
  <c r="DC117"/>
  <c r="BN117"/>
  <c r="BP117" s="1"/>
  <c r="DB126"/>
  <c r="DD126" s="1"/>
  <c r="DC126"/>
  <c r="AH129"/>
  <c r="AI129" s="1"/>
  <c r="D126" i="45" s="1"/>
  <c r="U126" s="1"/>
  <c r="DC139" i="43"/>
  <c r="AV162"/>
  <c r="EH101"/>
  <c r="EH76"/>
  <c r="EH47"/>
  <c r="AU56"/>
  <c r="AH56" s="1"/>
  <c r="AI56" s="1"/>
  <c r="W78"/>
  <c r="R71"/>
  <c r="EB91"/>
  <c r="AJ91" s="1"/>
  <c r="AK91" s="1"/>
  <c r="AU99"/>
  <c r="AH99" s="1"/>
  <c r="BN103"/>
  <c r="BP103" s="1"/>
  <c r="AU108"/>
  <c r="AH108" s="1"/>
  <c r="EN108" s="1"/>
  <c r="AV139"/>
  <c r="BN153"/>
  <c r="BP153" s="1"/>
  <c r="R163"/>
  <c r="AJ115"/>
  <c r="AK115" s="1"/>
  <c r="Q174"/>
  <c r="AA174" s="1"/>
  <c r="AB174" s="1"/>
  <c r="EH157"/>
  <c r="W170"/>
  <c r="Y170"/>
  <c r="EH115"/>
  <c r="EH144"/>
  <c r="EO77"/>
  <c r="EH44"/>
  <c r="AY56"/>
  <c r="BA56" s="1"/>
  <c r="AU61"/>
  <c r="AH61" s="1"/>
  <c r="EN61" s="1"/>
  <c r="CJ78"/>
  <c r="AJ71"/>
  <c r="AJ76"/>
  <c r="AK76" s="1"/>
  <c r="AH82"/>
  <c r="AI82" s="1"/>
  <c r="D79" i="45" s="1"/>
  <c r="U79" s="1"/>
  <c r="R89" i="43"/>
  <c r="W91"/>
  <c r="Y91"/>
  <c r="T91"/>
  <c r="R98"/>
  <c r="Y100"/>
  <c r="AJ135"/>
  <c r="AK135" s="1"/>
  <c r="DB139"/>
  <c r="DD139" s="1"/>
  <c r="CI139"/>
  <c r="CK139" s="1"/>
  <c r="BO139"/>
  <c r="AU142"/>
  <c r="AH142" s="1"/>
  <c r="EN142" s="1"/>
  <c r="EB146"/>
  <c r="R146" s="1"/>
  <c r="CK153"/>
  <c r="W153"/>
  <c r="CJ153"/>
  <c r="DC154"/>
  <c r="AU163"/>
  <c r="AH163" s="1"/>
  <c r="AI163" s="1"/>
  <c r="D160" i="45" s="1"/>
  <c r="U160" s="1"/>
  <c r="X160" s="1"/>
  <c r="CI164" i="43"/>
  <c r="CK164" s="1"/>
  <c r="EH167"/>
  <c r="AJ123"/>
  <c r="AK123" s="1"/>
  <c r="EB170"/>
  <c r="AJ170" s="1"/>
  <c r="CJ170"/>
  <c r="T170"/>
  <c r="BO170"/>
  <c r="AV170"/>
  <c r="DC170"/>
  <c r="AY23"/>
  <c r="V20" i="45" s="1"/>
  <c r="EH61" i="43"/>
  <c r="BN91"/>
  <c r="BP91" s="1"/>
  <c r="BO91"/>
  <c r="AH112"/>
  <c r="AI112" s="1"/>
  <c r="D109" i="45" s="1"/>
  <c r="U109" s="1"/>
  <c r="EB139" i="43"/>
  <c r="AU139" s="1"/>
  <c r="R142"/>
  <c r="Y153"/>
  <c r="BO153"/>
  <c r="EH168"/>
  <c r="EH131"/>
  <c r="EH33"/>
  <c r="X169"/>
  <c r="EH163"/>
  <c r="EH119"/>
  <c r="EH56"/>
  <c r="EH142"/>
  <c r="EH123"/>
  <c r="EH140"/>
  <c r="EH89"/>
  <c r="R61"/>
  <c r="AH57"/>
  <c r="AI57" s="1"/>
  <c r="D54" i="45" s="1"/>
  <c r="U54" s="1"/>
  <c r="AU63" i="43"/>
  <c r="AH63" s="1"/>
  <c r="AI63" s="1"/>
  <c r="CI78"/>
  <c r="CK78" s="1"/>
  <c r="CJ91"/>
  <c r="AU98"/>
  <c r="AH98" s="1"/>
  <c r="AI98" s="1"/>
  <c r="DB100"/>
  <c r="DD100" s="1"/>
  <c r="R131"/>
  <c r="CI133"/>
  <c r="CK133" s="1"/>
  <c r="W139"/>
  <c r="BN139"/>
  <c r="BP139" s="1"/>
  <c r="R144"/>
  <c r="CJ146"/>
  <c r="DC153"/>
  <c r="EB153"/>
  <c r="AJ153" s="1"/>
  <c r="AK153" s="1"/>
  <c r="C150" i="45" s="1"/>
  <c r="CJ164" i="43"/>
  <c r="R167"/>
  <c r="AU168"/>
  <c r="AH168" s="1"/>
  <c r="AI168" s="1"/>
  <c r="EH54"/>
  <c r="EH99"/>
  <c r="X171"/>
  <c r="BN170"/>
  <c r="BP170" s="1"/>
  <c r="Y94"/>
  <c r="CI100"/>
  <c r="CK100" s="1"/>
  <c r="DB133"/>
  <c r="DD133" s="1"/>
  <c r="Y133"/>
  <c r="T133"/>
  <c r="AU144"/>
  <c r="AH144" s="1"/>
  <c r="AI144" s="1"/>
  <c r="D141" i="45" s="1"/>
  <c r="U141" s="1"/>
  <c r="X141" s="1"/>
  <c r="CI146" i="43"/>
  <c r="CK146" s="1"/>
  <c r="BN146"/>
  <c r="BP146" s="1"/>
  <c r="DC146"/>
  <c r="AJ152"/>
  <c r="AK152" s="1"/>
  <c r="BN154"/>
  <c r="BP154" s="1"/>
  <c r="W154"/>
  <c r="AV154"/>
  <c r="W164"/>
  <c r="EH109"/>
  <c r="EH102"/>
  <c r="EH52"/>
  <c r="EH174"/>
  <c r="EH63"/>
  <c r="AH89"/>
  <c r="AI89" s="1"/>
  <c r="D86" i="45" s="1"/>
  <c r="U86" s="1"/>
  <c r="AU118" i="43"/>
  <c r="AH118" s="1"/>
  <c r="EN118" s="1"/>
  <c r="AV133"/>
  <c r="BN133"/>
  <c r="BP133" s="1"/>
  <c r="AJ144"/>
  <c r="AK144" s="1"/>
  <c r="DB146"/>
  <c r="DD146" s="1"/>
  <c r="Y146"/>
  <c r="T146"/>
  <c r="CI154"/>
  <c r="CK154" s="1"/>
  <c r="EB154"/>
  <c r="AJ154" s="1"/>
  <c r="T154"/>
  <c r="DB164"/>
  <c r="DD164" s="1"/>
  <c r="Y164"/>
  <c r="Q164" s="1"/>
  <c r="AY164" s="1"/>
  <c r="AH58"/>
  <c r="AI58" s="1"/>
  <c r="D55" i="45" s="1"/>
  <c r="U55" s="1"/>
  <c r="R63" i="43"/>
  <c r="W133"/>
  <c r="BO133"/>
  <c r="EH143"/>
  <c r="AV146"/>
  <c r="CJ148"/>
  <c r="CJ154"/>
  <c r="EB164"/>
  <c r="AJ164" s="1"/>
  <c r="AK164" s="1"/>
  <c r="BN164"/>
  <c r="BP164" s="1"/>
  <c r="EH36"/>
  <c r="Y60"/>
  <c r="Q60" s="1"/>
  <c r="EB78"/>
  <c r="AU78" s="1"/>
  <c r="DC78"/>
  <c r="AV78"/>
  <c r="EH92"/>
  <c r="AU96"/>
  <c r="AH96" s="1"/>
  <c r="AI96" s="1"/>
  <c r="D93" i="45" s="1"/>
  <c r="U93" s="1"/>
  <c r="CJ134" i="43"/>
  <c r="AJ143"/>
  <c r="AU143"/>
  <c r="AH143" s="1"/>
  <c r="AI143" s="1"/>
  <c r="D140" i="45" s="1"/>
  <c r="U140" s="1"/>
  <c r="X140" s="1"/>
  <c r="AU152" i="43"/>
  <c r="AH152" s="1"/>
  <c r="AI152" s="1"/>
  <c r="D149" i="45" s="1"/>
  <c r="U149" s="1"/>
  <c r="BO156" i="43"/>
  <c r="AH123"/>
  <c r="AI123" s="1"/>
  <c r="D120" i="45" s="1"/>
  <c r="U120" s="1"/>
  <c r="EH86" i="43"/>
  <c r="EB60"/>
  <c r="AU60" s="1"/>
  <c r="DB60"/>
  <c r="DD60" s="1"/>
  <c r="Y78"/>
  <c r="BN78"/>
  <c r="BP78" s="1"/>
  <c r="EH96"/>
  <c r="CI134"/>
  <c r="CK134" s="1"/>
  <c r="W148"/>
  <c r="Y156"/>
  <c r="W60"/>
  <c r="BO78"/>
  <c r="DB78"/>
  <c r="DD78" s="1"/>
  <c r="R92"/>
  <c r="DB94"/>
  <c r="DD94" s="1"/>
  <c r="AU102"/>
  <c r="AH102" s="1"/>
  <c r="AI102" s="1"/>
  <c r="D99" i="45" s="1"/>
  <c r="U99" s="1"/>
  <c r="EB103" i="43"/>
  <c r="AJ103" s="1"/>
  <c r="AK103" s="1"/>
  <c r="DC134"/>
  <c r="EB148"/>
  <c r="AJ148" s="1"/>
  <c r="AK148" s="1"/>
  <c r="W156"/>
  <c r="CI162"/>
  <c r="CK162" s="1"/>
  <c r="Q175"/>
  <c r="CJ94"/>
  <c r="DC94"/>
  <c r="AJ102"/>
  <c r="DB103"/>
  <c r="DD103" s="1"/>
  <c r="T103"/>
  <c r="EH118"/>
  <c r="Y134"/>
  <c r="DB134"/>
  <c r="DD134" s="1"/>
  <c r="EB134"/>
  <c r="AJ134" s="1"/>
  <c r="DB148"/>
  <c r="DD148" s="1"/>
  <c r="CI148"/>
  <c r="CK148" s="1"/>
  <c r="T148"/>
  <c r="CJ156"/>
  <c r="DB156"/>
  <c r="DD156" s="1"/>
  <c r="EB156"/>
  <c r="AJ156" s="1"/>
  <c r="AK156" s="1"/>
  <c r="DB162"/>
  <c r="DD162" s="1"/>
  <c r="CJ162"/>
  <c r="DC162"/>
  <c r="AY168"/>
  <c r="V165" i="45" s="1"/>
  <c r="R171" i="43"/>
  <c r="EH171"/>
  <c r="AU171"/>
  <c r="AH171" s="1"/>
  <c r="BN94"/>
  <c r="BP94" s="1"/>
  <c r="R102"/>
  <c r="BO103"/>
  <c r="BN134"/>
  <c r="BP134" s="1"/>
  <c r="W134"/>
  <c r="T134"/>
  <c r="BN148"/>
  <c r="BP148" s="1"/>
  <c r="DC148"/>
  <c r="AV156"/>
  <c r="BN156"/>
  <c r="BP156" s="1"/>
  <c r="T156"/>
  <c r="EB162"/>
  <c r="R162" s="1"/>
  <c r="W162"/>
  <c r="BN162"/>
  <c r="BP162" s="1"/>
  <c r="AU36"/>
  <c r="AH36" s="1"/>
  <c r="EN36" s="1"/>
  <c r="AH33"/>
  <c r="EN33" s="1"/>
  <c r="CI60"/>
  <c r="CK60" s="1"/>
  <c r="W94"/>
  <c r="EB94"/>
  <c r="AJ94" s="1"/>
  <c r="CJ100"/>
  <c r="AV100"/>
  <c r="CI103"/>
  <c r="CK103" s="1"/>
  <c r="R118"/>
  <c r="AV134"/>
  <c r="AV148"/>
  <c r="Y148"/>
  <c r="CI156"/>
  <c r="CK156" s="1"/>
  <c r="BO162"/>
  <c r="Y162"/>
  <c r="R169"/>
  <c r="AU169"/>
  <c r="AH169" s="1"/>
  <c r="EH169"/>
  <c r="AK175"/>
  <c r="AA173"/>
  <c r="AB173" s="1"/>
  <c r="AY173"/>
  <c r="AY172"/>
  <c r="BA172" s="1"/>
  <c r="EH108"/>
  <c r="BN100"/>
  <c r="BP100" s="1"/>
  <c r="T100"/>
  <c r="W103"/>
  <c r="CJ103"/>
  <c r="DC100"/>
  <c r="Y103"/>
  <c r="DC103"/>
  <c r="V162" i="45"/>
  <c r="BA165" i="43"/>
  <c r="V157" i="45"/>
  <c r="BA160" i="43"/>
  <c r="V111" i="45"/>
  <c r="BA114" i="43"/>
  <c r="V120" i="45"/>
  <c r="BA123" i="43"/>
  <c r="BA124"/>
  <c r="V121" i="45"/>
  <c r="BA115" i="43"/>
  <c r="V112" i="45"/>
  <c r="V144"/>
  <c r="BA147" i="43"/>
  <c r="BA132"/>
  <c r="V129" i="45"/>
  <c r="V164"/>
  <c r="BA167" i="43"/>
  <c r="AK163"/>
  <c r="V158" i="45"/>
  <c r="BA161" i="43"/>
  <c r="V156" i="45"/>
  <c r="BA159" i="43"/>
  <c r="AK157"/>
  <c r="AA42"/>
  <c r="AB42" s="1"/>
  <c r="V149" i="45"/>
  <c r="BA152" i="43"/>
  <c r="AK151"/>
  <c r="C147" i="45"/>
  <c r="EO150" i="43"/>
  <c r="BA150"/>
  <c r="V147" i="45"/>
  <c r="EN150" i="43"/>
  <c r="AI149"/>
  <c r="EN149"/>
  <c r="BA149"/>
  <c r="V146" i="45"/>
  <c r="EH42" i="43"/>
  <c r="AK145"/>
  <c r="V142" i="45"/>
  <c r="BA145" i="43"/>
  <c r="V141" i="45"/>
  <c r="BA144" i="43"/>
  <c r="V140" i="45"/>
  <c r="BA143" i="43"/>
  <c r="BA142"/>
  <c r="V139" i="45"/>
  <c r="BA141" i="43"/>
  <c r="V138" i="45"/>
  <c r="BA140" i="43"/>
  <c r="V137" i="45"/>
  <c r="AK137" i="43"/>
  <c r="BA137"/>
  <c r="V134" i="45"/>
  <c r="BA131" i="43"/>
  <c r="V128" i="45"/>
  <c r="AK130" i="43"/>
  <c r="BA130"/>
  <c r="V124" i="45"/>
  <c r="BA127" i="43"/>
  <c r="V119" i="45"/>
  <c r="BA122" i="43"/>
  <c r="X62"/>
  <c r="AK119"/>
  <c r="BA118"/>
  <c r="V115" i="45"/>
  <c r="BA113" i="43"/>
  <c r="V110" i="45"/>
  <c r="V109"/>
  <c r="BA112" i="43"/>
  <c r="BA111"/>
  <c r="V108" i="45"/>
  <c r="V106"/>
  <c r="BA109" i="43"/>
  <c r="V105" i="45"/>
  <c r="BA108" i="43"/>
  <c r="AK107"/>
  <c r="V104" i="45"/>
  <c r="BA107" i="43"/>
  <c r="AA106"/>
  <c r="AB106" s="1"/>
  <c r="AY106"/>
  <c r="AJ106"/>
  <c r="EH106"/>
  <c r="R106"/>
  <c r="AU106"/>
  <c r="AH106" s="1"/>
  <c r="AI106" s="1"/>
  <c r="D103" i="45" s="1"/>
  <c r="U103" s="1"/>
  <c r="AU88" i="43"/>
  <c r="AH88" s="1"/>
  <c r="AI88" s="1"/>
  <c r="D85" i="45" s="1"/>
  <c r="U85" s="1"/>
  <c r="R88" i="43"/>
  <c r="EH88"/>
  <c r="AK88"/>
  <c r="AA88"/>
  <c r="AB88" s="1"/>
  <c r="AY88"/>
  <c r="V101" i="45"/>
  <c r="BA104" i="43"/>
  <c r="V99" i="45"/>
  <c r="BA102" i="43"/>
  <c r="V98" i="45"/>
  <c r="BA99" i="43"/>
  <c r="V96" i="45"/>
  <c r="V95"/>
  <c r="BA98" i="43"/>
  <c r="AK97"/>
  <c r="V94" i="45"/>
  <c r="BA97" i="43"/>
  <c r="BA95"/>
  <c r="V92" i="45"/>
  <c r="BO94" i="43"/>
  <c r="CI94"/>
  <c r="CK94" s="1"/>
  <c r="AV94"/>
  <c r="V90" i="45"/>
  <c r="BA93" i="43"/>
  <c r="AK93"/>
  <c r="C90" i="45" s="1"/>
  <c r="BA92" i="43"/>
  <c r="V89" i="45"/>
  <c r="V87"/>
  <c r="AK87" i="43"/>
  <c r="V84" i="45"/>
  <c r="BA87" i="43"/>
  <c r="AY47"/>
  <c r="V44" i="45" s="1"/>
  <c r="AY50" i="43"/>
  <c r="V47" i="45" s="1"/>
  <c r="BA86" i="43"/>
  <c r="V83" i="45"/>
  <c r="BA85" i="43"/>
  <c r="V82" i="45"/>
  <c r="V81"/>
  <c r="BA84" i="43"/>
  <c r="AY36"/>
  <c r="BA36" s="1"/>
  <c r="AA36"/>
  <c r="AB36" s="1"/>
  <c r="AY54"/>
  <c r="V51" i="45" s="1"/>
  <c r="AA54" i="43"/>
  <c r="AB54" s="1"/>
  <c r="V79" i="45"/>
  <c r="AK75" i="43"/>
  <c r="AK65"/>
  <c r="AK74"/>
  <c r="AU74"/>
  <c r="AH74" s="1"/>
  <c r="AI74" s="1"/>
  <c r="D71" i="45" s="1"/>
  <c r="U71" s="1"/>
  <c r="R74" i="43"/>
  <c r="EH74"/>
  <c r="AU75"/>
  <c r="AH75" s="1"/>
  <c r="AI75" s="1"/>
  <c r="D72" i="45" s="1"/>
  <c r="U72" s="1"/>
  <c r="EH75" i="43"/>
  <c r="R75"/>
  <c r="AK73"/>
  <c r="AJ80"/>
  <c r="AK80" s="1"/>
  <c r="C77" i="45" s="1"/>
  <c r="EH80" i="43"/>
  <c r="R80"/>
  <c r="AU80"/>
  <c r="AH80" s="1"/>
  <c r="AJ64"/>
  <c r="AU64"/>
  <c r="AH64" s="1"/>
  <c r="AI64" s="1"/>
  <c r="D61" i="45" s="1"/>
  <c r="U61" s="1"/>
  <c r="R64" i="43"/>
  <c r="EH64"/>
  <c r="AJ67"/>
  <c r="AU67"/>
  <c r="AH67" s="1"/>
  <c r="AI67" s="1"/>
  <c r="D64" i="45" s="1"/>
  <c r="U64" s="1"/>
  <c r="R67" i="43"/>
  <c r="EH67"/>
  <c r="R65"/>
  <c r="EH65"/>
  <c r="AU65"/>
  <c r="AH65" s="1"/>
  <c r="AI65" s="1"/>
  <c r="D62" i="45" s="1"/>
  <c r="U62" s="1"/>
  <c r="AU73" i="43"/>
  <c r="AH73" s="1"/>
  <c r="AI73" s="1"/>
  <c r="D70" i="45" s="1"/>
  <c r="U70" s="1"/>
  <c r="EH73" i="43"/>
  <c r="R73"/>
  <c r="EH79"/>
  <c r="AK79"/>
  <c r="AU69"/>
  <c r="AH69" s="1"/>
  <c r="EH69"/>
  <c r="AK70"/>
  <c r="X30"/>
  <c r="X26"/>
  <c r="V65" i="45"/>
  <c r="BA68" i="43"/>
  <c r="AK69"/>
  <c r="X37"/>
  <c r="X31"/>
  <c r="X25"/>
  <c r="AY53"/>
  <c r="V50" i="45" s="1"/>
  <c r="X49" i="43"/>
  <c r="AU42"/>
  <c r="AH42" s="1"/>
  <c r="AI42" s="1"/>
  <c r="X51"/>
  <c r="X46"/>
  <c r="X39"/>
  <c r="AY45"/>
  <c r="V42" i="45" s="1"/>
  <c r="X43" i="43"/>
  <c r="AY52"/>
  <c r="BA52" s="1"/>
  <c r="X22"/>
  <c r="C53" i="45"/>
  <c r="AY57" i="43"/>
  <c r="AY61"/>
  <c r="Q30"/>
  <c r="Q38"/>
  <c r="AA38" s="1"/>
  <c r="AB38" s="1"/>
  <c r="BA62"/>
  <c r="V59" i="45"/>
  <c r="AY58" i="43"/>
  <c r="C58" i="45"/>
  <c r="Q49" i="43"/>
  <c r="Q22"/>
  <c r="AA22" s="1"/>
  <c r="AB22" s="1"/>
  <c r="AJ60"/>
  <c r="AK58"/>
  <c r="C59" i="45"/>
  <c r="Q51" i="43"/>
  <c r="AA51" s="1"/>
  <c r="AB51" s="1"/>
  <c r="Q26"/>
  <c r="AA26" s="1"/>
  <c r="AB26" s="1"/>
  <c r="AK57"/>
  <c r="AY55"/>
  <c r="AK54"/>
  <c r="C52" i="45"/>
  <c r="EH26" i="43"/>
  <c r="BA41"/>
  <c r="V38" i="45"/>
  <c r="AU31" i="43"/>
  <c r="AH31" s="1"/>
  <c r="R31"/>
  <c r="EH31"/>
  <c r="AU27"/>
  <c r="AH27" s="1"/>
  <c r="R27"/>
  <c r="EH27"/>
  <c r="AY37"/>
  <c r="AY25"/>
  <c r="AY46"/>
  <c r="AU43"/>
  <c r="AH43" s="1"/>
  <c r="R43"/>
  <c r="EH43"/>
  <c r="AY43"/>
  <c r="R49"/>
  <c r="AU49"/>
  <c r="AH49" s="1"/>
  <c r="BA33"/>
  <c r="AY31"/>
  <c r="R46"/>
  <c r="EH46"/>
  <c r="AU46"/>
  <c r="AH46" s="1"/>
  <c r="AU37"/>
  <c r="AH37" s="1"/>
  <c r="R37"/>
  <c r="EH37"/>
  <c r="AU51"/>
  <c r="AH51" s="1"/>
  <c r="R51"/>
  <c r="EH51"/>
  <c r="AU25"/>
  <c r="AH25" s="1"/>
  <c r="R25"/>
  <c r="EH25"/>
  <c r="AY27"/>
  <c r="AU38"/>
  <c r="AH38" s="1"/>
  <c r="R38"/>
  <c r="EH38"/>
  <c r="AY39"/>
  <c r="AU30"/>
  <c r="AH30" s="1"/>
  <c r="R30"/>
  <c r="EH30"/>
  <c r="R26"/>
  <c r="AU26"/>
  <c r="AH26" s="1"/>
  <c r="V25" i="45"/>
  <c r="BA28" i="43"/>
  <c r="EH49"/>
  <c r="V41" i="45"/>
  <c r="BA44" i="43"/>
  <c r="R22"/>
  <c r="AU22"/>
  <c r="AH22" s="1"/>
  <c r="EH22"/>
  <c r="AU39"/>
  <c r="AH39" s="1"/>
  <c r="R39"/>
  <c r="EH39"/>
  <c r="AY42"/>
  <c r="F23" i="22"/>
  <c r="R23"/>
  <c r="F22"/>
  <c r="R22"/>
  <c r="F20"/>
  <c r="R20"/>
  <c r="F19"/>
  <c r="R19"/>
  <c r="EB8" i="43"/>
  <c r="W8"/>
  <c r="Y8"/>
  <c r="Q8" s="1"/>
  <c r="BN8"/>
  <c r="BP8" s="1"/>
  <c r="CI8"/>
  <c r="CK8" s="1"/>
  <c r="X8"/>
  <c r="DB8"/>
  <c r="DD8" s="1"/>
  <c r="AA350" l="1"/>
  <c r="AB350" s="1"/>
  <c r="Q280"/>
  <c r="AA215"/>
  <c r="AB215" s="1"/>
  <c r="AA342"/>
  <c r="AB342" s="1"/>
  <c r="AA349"/>
  <c r="AB349" s="1"/>
  <c r="AA262"/>
  <c r="AB262" s="1"/>
  <c r="AA274"/>
  <c r="AB274" s="1"/>
  <c r="AY226"/>
  <c r="AA336"/>
  <c r="AB336" s="1"/>
  <c r="AY277"/>
  <c r="AA273"/>
  <c r="AB273" s="1"/>
  <c r="AA211"/>
  <c r="AB211" s="1"/>
  <c r="Q261"/>
  <c r="AY261" s="1"/>
  <c r="AA305"/>
  <c r="AB305" s="1"/>
  <c r="Q281"/>
  <c r="AA281" s="1"/>
  <c r="AB281" s="1"/>
  <c r="AY250"/>
  <c r="AY218"/>
  <c r="AY275"/>
  <c r="AA268"/>
  <c r="AB268" s="1"/>
  <c r="AA270"/>
  <c r="AB270" s="1"/>
  <c r="AA263"/>
  <c r="AB263" s="1"/>
  <c r="AY141"/>
  <c r="AY229"/>
  <c r="V226" i="45" s="1"/>
  <c r="AA278" i="43"/>
  <c r="AB278" s="1"/>
  <c r="EN307"/>
  <c r="AA232"/>
  <c r="AB232" s="1"/>
  <c r="AY217"/>
  <c r="AY259"/>
  <c r="AA231"/>
  <c r="AB231" s="1"/>
  <c r="AA269"/>
  <c r="AB269" s="1"/>
  <c r="AA224"/>
  <c r="AB224" s="1"/>
  <c r="EN339"/>
  <c r="AA264"/>
  <c r="AB264" s="1"/>
  <c r="EN351"/>
  <c r="Q272"/>
  <c r="AY272" s="1"/>
  <c r="EN343"/>
  <c r="AA255"/>
  <c r="AB255" s="1"/>
  <c r="AA235"/>
  <c r="AB235" s="1"/>
  <c r="AY241"/>
  <c r="BA241" s="1"/>
  <c r="AA242"/>
  <c r="AB242" s="1"/>
  <c r="AA216"/>
  <c r="AB216" s="1"/>
  <c r="EN288"/>
  <c r="Q256"/>
  <c r="AA256" s="1"/>
  <c r="AB256" s="1"/>
  <c r="EN267"/>
  <c r="EN292"/>
  <c r="AY234"/>
  <c r="BA234" s="1"/>
  <c r="AA201"/>
  <c r="AB201" s="1"/>
  <c r="AA251"/>
  <c r="AB251" s="1"/>
  <c r="EN350"/>
  <c r="AA248"/>
  <c r="AB248" s="1"/>
  <c r="AY227"/>
  <c r="EN268"/>
  <c r="AA222"/>
  <c r="AB222" s="1"/>
  <c r="AY223"/>
  <c r="V220" i="45" s="1"/>
  <c r="AA245" i="43"/>
  <c r="AB245" s="1"/>
  <c r="EN278"/>
  <c r="EN273"/>
  <c r="EN312"/>
  <c r="AA254"/>
  <c r="AB254" s="1"/>
  <c r="Q260"/>
  <c r="AY260" s="1"/>
  <c r="AY76"/>
  <c r="V73" i="45" s="1"/>
  <c r="AA123" i="43"/>
  <c r="AB123" s="1"/>
  <c r="AA246"/>
  <c r="AB246" s="1"/>
  <c r="AY253"/>
  <c r="AA249"/>
  <c r="AB249" s="1"/>
  <c r="AA244"/>
  <c r="AB244" s="1"/>
  <c r="AA252"/>
  <c r="AB252" s="1"/>
  <c r="EN291"/>
  <c r="EN324"/>
  <c r="EN283"/>
  <c r="AA247"/>
  <c r="AB247" s="1"/>
  <c r="EN259"/>
  <c r="EN302"/>
  <c r="AH304"/>
  <c r="AI304" s="1"/>
  <c r="AH316"/>
  <c r="AI316" s="1"/>
  <c r="AH297"/>
  <c r="AI297" s="1"/>
  <c r="D294" i="45" s="1"/>
  <c r="U294" s="1"/>
  <c r="AH287" i="43"/>
  <c r="AI287" s="1"/>
  <c r="D284" i="45" s="1"/>
  <c r="U284" s="1"/>
  <c r="AH276" i="43"/>
  <c r="AI276" s="1"/>
  <c r="D273" i="45" s="1"/>
  <c r="U273" s="1"/>
  <c r="AH293" i="43"/>
  <c r="AI293" s="1"/>
  <c r="D290" i="45" s="1"/>
  <c r="U290" s="1"/>
  <c r="AH342" i="43"/>
  <c r="AI342" s="1"/>
  <c r="D339" i="45" s="1"/>
  <c r="U339" s="1"/>
  <c r="AH356" i="43"/>
  <c r="AI356" s="1"/>
  <c r="EO356" s="1"/>
  <c r="AH327"/>
  <c r="AI327" s="1"/>
  <c r="AH272"/>
  <c r="AI272" s="1"/>
  <c r="AH347"/>
  <c r="AI347" s="1"/>
  <c r="D344" i="45" s="1"/>
  <c r="U344" s="1"/>
  <c r="AH353" i="43"/>
  <c r="AI353" s="1"/>
  <c r="D350" i="45" s="1"/>
  <c r="U350" s="1"/>
  <c r="AH260" i="43"/>
  <c r="AI260" s="1"/>
  <c r="AH295"/>
  <c r="AI295" s="1"/>
  <c r="D292" i="45" s="1"/>
  <c r="U292" s="1"/>
  <c r="AH357" i="43"/>
  <c r="AI357" s="1"/>
  <c r="D354" i="45" s="1"/>
  <c r="U354" s="1"/>
  <c r="AH358" i="43"/>
  <c r="AI358" s="1"/>
  <c r="D355" i="45" s="1"/>
  <c r="U355" s="1"/>
  <c r="AH261" i="43"/>
  <c r="AI261" s="1"/>
  <c r="AH321"/>
  <c r="AI321" s="1"/>
  <c r="D318" i="45" s="1"/>
  <c r="U318" s="1"/>
  <c r="AH334" i="43"/>
  <c r="AI334" s="1"/>
  <c r="EO334" s="1"/>
  <c r="AH279"/>
  <c r="AI279" s="1"/>
  <c r="D276" i="45" s="1"/>
  <c r="U276" s="1"/>
  <c r="AH349" i="43"/>
  <c r="AI349" s="1"/>
  <c r="D346" i="45" s="1"/>
  <c r="U346" s="1"/>
  <c r="AH325" i="43"/>
  <c r="AI325" s="1"/>
  <c r="D322" i="45" s="1"/>
  <c r="U322" s="1"/>
  <c r="AH352" i="43"/>
  <c r="AI352" s="1"/>
  <c r="D349" i="45" s="1"/>
  <c r="U349" s="1"/>
  <c r="D299"/>
  <c r="U299" s="1"/>
  <c r="EO302" i="43"/>
  <c r="AH281"/>
  <c r="AI281" s="1"/>
  <c r="AH280"/>
  <c r="AI280" s="1"/>
  <c r="AH309"/>
  <c r="AI309" s="1"/>
  <c r="AA221"/>
  <c r="AB221" s="1"/>
  <c r="AA207"/>
  <c r="AB207" s="1"/>
  <c r="Q238"/>
  <c r="AY238" s="1"/>
  <c r="AA203"/>
  <c r="AB203" s="1"/>
  <c r="AA240"/>
  <c r="AB240" s="1"/>
  <c r="AA228"/>
  <c r="AB228" s="1"/>
  <c r="AY189"/>
  <c r="AA237"/>
  <c r="AB237" s="1"/>
  <c r="AY157"/>
  <c r="BA157" s="1"/>
  <c r="AA210"/>
  <c r="AB210" s="1"/>
  <c r="AA202"/>
  <c r="AB202" s="1"/>
  <c r="AA204"/>
  <c r="AB204" s="1"/>
  <c r="AA196"/>
  <c r="AB196" s="1"/>
  <c r="AA243"/>
  <c r="AB243" s="1"/>
  <c r="AU198"/>
  <c r="AH198" s="1"/>
  <c r="AI198" s="1"/>
  <c r="AA236"/>
  <c r="AB236" s="1"/>
  <c r="AY74"/>
  <c r="AY155"/>
  <c r="V152" i="45" s="1"/>
  <c r="AA205" i="43"/>
  <c r="AB205" s="1"/>
  <c r="AA233"/>
  <c r="AB233" s="1"/>
  <c r="AA143"/>
  <c r="AB143" s="1"/>
  <c r="AY200"/>
  <c r="Q230"/>
  <c r="AA230" s="1"/>
  <c r="AB230" s="1"/>
  <c r="Q225"/>
  <c r="AA225" s="1"/>
  <c r="AB225" s="1"/>
  <c r="AA212"/>
  <c r="AB212" s="1"/>
  <c r="Q219"/>
  <c r="AY219" s="1"/>
  <c r="V216" i="45" s="1"/>
  <c r="AY195" i="43"/>
  <c r="V192" i="45" s="1"/>
  <c r="AA208" i="43"/>
  <c r="AB208" s="1"/>
  <c r="Q209"/>
  <c r="AY209" s="1"/>
  <c r="V206" i="45" s="1"/>
  <c r="EH198" i="43"/>
  <c r="AA113"/>
  <c r="AB113" s="1"/>
  <c r="EN195"/>
  <c r="AY89"/>
  <c r="V86" i="45" s="1"/>
  <c r="AA197" i="43"/>
  <c r="AB197" s="1"/>
  <c r="AA73"/>
  <c r="AB73" s="1"/>
  <c r="AA79"/>
  <c r="AB79" s="1"/>
  <c r="AY110"/>
  <c r="BA110" s="1"/>
  <c r="Q198"/>
  <c r="AY198" s="1"/>
  <c r="V195" i="45" s="1"/>
  <c r="AY96" i="43"/>
  <c r="BA96" s="1"/>
  <c r="AA114"/>
  <c r="AB114" s="1"/>
  <c r="AA151"/>
  <c r="AB151" s="1"/>
  <c r="AA127"/>
  <c r="AB127" s="1"/>
  <c r="AA87"/>
  <c r="AB87" s="1"/>
  <c r="AY125"/>
  <c r="V122" i="45" s="1"/>
  <c r="AY128" i="43"/>
  <c r="BA128" s="1"/>
  <c r="AY142"/>
  <c r="AA130"/>
  <c r="AB130" s="1"/>
  <c r="AA145"/>
  <c r="AB145" s="1"/>
  <c r="AA152"/>
  <c r="AB152" s="1"/>
  <c r="AY129"/>
  <c r="BA129" s="1"/>
  <c r="AY119"/>
  <c r="V116" i="45" s="1"/>
  <c r="AA131" i="43"/>
  <c r="AB131" s="1"/>
  <c r="AA97"/>
  <c r="AB97" s="1"/>
  <c r="AA132"/>
  <c r="AB132" s="1"/>
  <c r="AY71"/>
  <c r="V68" i="45" s="1"/>
  <c r="AA138" i="43"/>
  <c r="AB138" s="1"/>
  <c r="AA112"/>
  <c r="AB112" s="1"/>
  <c r="AY115"/>
  <c r="Q162"/>
  <c r="AY162" s="1"/>
  <c r="V159" i="45" s="1"/>
  <c r="AY144" i="43"/>
  <c r="AY90"/>
  <c r="BA90" s="1"/>
  <c r="AA161"/>
  <c r="AB161" s="1"/>
  <c r="AA159"/>
  <c r="AB159" s="1"/>
  <c r="AA118"/>
  <c r="AB118" s="1"/>
  <c r="Q94"/>
  <c r="AA94" s="1"/>
  <c r="AB94" s="1"/>
  <c r="Q153"/>
  <c r="AY153" s="1"/>
  <c r="AA140"/>
  <c r="AB140" s="1"/>
  <c r="AY84"/>
  <c r="AA158"/>
  <c r="AB158" s="1"/>
  <c r="AA160"/>
  <c r="AB160" s="1"/>
  <c r="AA83"/>
  <c r="AB83" s="1"/>
  <c r="AY63"/>
  <c r="BA63" s="1"/>
  <c r="Q91"/>
  <c r="AY91" s="1"/>
  <c r="AY80"/>
  <c r="Q134"/>
  <c r="AA134" s="1"/>
  <c r="AB134" s="1"/>
  <c r="AA99"/>
  <c r="AB99" s="1"/>
  <c r="Q126"/>
  <c r="AY126" s="1"/>
  <c r="EN264"/>
  <c r="EO264"/>
  <c r="AY75"/>
  <c r="Q146"/>
  <c r="AA146" s="1"/>
  <c r="AB146" s="1"/>
  <c r="AA137"/>
  <c r="AB137" s="1"/>
  <c r="AI255"/>
  <c r="D252" i="45" s="1"/>
  <c r="U252" s="1"/>
  <c r="AY124" i="43"/>
  <c r="AA62"/>
  <c r="AB62" s="1"/>
  <c r="Q156"/>
  <c r="AY156" s="1"/>
  <c r="AA107"/>
  <c r="AB107" s="1"/>
  <c r="AA95"/>
  <c r="AB95" s="1"/>
  <c r="AY64"/>
  <c r="AA147"/>
  <c r="AB147" s="1"/>
  <c r="AY65"/>
  <c r="Q148"/>
  <c r="AY148" s="1"/>
  <c r="V145" i="45" s="1"/>
  <c r="Q116" i="43"/>
  <c r="AA116" s="1"/>
  <c r="AB116" s="1"/>
  <c r="Q139"/>
  <c r="AY139" s="1"/>
  <c r="F26" i="35"/>
  <c r="AY70" i="43"/>
  <c r="V67" i="45" s="1"/>
  <c r="AA108" i="43"/>
  <c r="AB108" s="1"/>
  <c r="AY293"/>
  <c r="Q154"/>
  <c r="AY154" s="1"/>
  <c r="AA104"/>
  <c r="AB104" s="1"/>
  <c r="AA122"/>
  <c r="AB122" s="1"/>
  <c r="K26" i="35"/>
  <c r="AY93" i="43"/>
  <c r="AA135"/>
  <c r="AB135" s="1"/>
  <c r="AA109"/>
  <c r="AB109" s="1"/>
  <c r="AY136"/>
  <c r="BA136" s="1"/>
  <c r="Q133"/>
  <c r="AY133" s="1"/>
  <c r="BA133" s="1"/>
  <c r="I26" i="35"/>
  <c r="AA98" i="43"/>
  <c r="AB98" s="1"/>
  <c r="Q120"/>
  <c r="AA120" s="1"/>
  <c r="AB120" s="1"/>
  <c r="Q100"/>
  <c r="AY100" s="1"/>
  <c r="Q117"/>
  <c r="AY117" s="1"/>
  <c r="Q105"/>
  <c r="AA105" s="1"/>
  <c r="AB105" s="1"/>
  <c r="Q121"/>
  <c r="AA121" s="1"/>
  <c r="AB121" s="1"/>
  <c r="AY92"/>
  <c r="AA67"/>
  <c r="AB67" s="1"/>
  <c r="EN196"/>
  <c r="AA86"/>
  <c r="AB86" s="1"/>
  <c r="AY82"/>
  <c r="BA82" s="1"/>
  <c r="AA68"/>
  <c r="AB68" s="1"/>
  <c r="AY69"/>
  <c r="BA69" s="1"/>
  <c r="Q103"/>
  <c r="AA103" s="1"/>
  <c r="AB103" s="1"/>
  <c r="AA238"/>
  <c r="AB238" s="1"/>
  <c r="AA111"/>
  <c r="AB111" s="1"/>
  <c r="H26" i="35"/>
  <c r="AY102" i="43"/>
  <c r="AY101"/>
  <c r="BA101" s="1"/>
  <c r="AA85"/>
  <c r="AB85" s="1"/>
  <c r="L26" i="35"/>
  <c r="J26"/>
  <c r="D26"/>
  <c r="D309" i="45"/>
  <c r="U309" s="1"/>
  <c r="AI241" i="43"/>
  <c r="EO241" s="1"/>
  <c r="EO217"/>
  <c r="AA133"/>
  <c r="AB133" s="1"/>
  <c r="Q78"/>
  <c r="AY78" s="1"/>
  <c r="V75" i="45" s="1"/>
  <c r="D280"/>
  <c r="U280" s="1"/>
  <c r="EN217" i="43"/>
  <c r="AI240"/>
  <c r="EO240" s="1"/>
  <c r="EN199"/>
  <c r="EN314"/>
  <c r="AA60"/>
  <c r="AB60" s="1"/>
  <c r="D270" i="45"/>
  <c r="U270" s="1"/>
  <c r="EO307" i="43"/>
  <c r="X133"/>
  <c r="D275" i="45"/>
  <c r="U275" s="1"/>
  <c r="X148" i="43"/>
  <c r="EN254"/>
  <c r="D250" i="45"/>
  <c r="U250" s="1"/>
  <c r="EN274" i="43"/>
  <c r="EN315"/>
  <c r="GZ57"/>
  <c r="GS57"/>
  <c r="HG57"/>
  <c r="X60"/>
  <c r="X156"/>
  <c r="EN197"/>
  <c r="EN218"/>
  <c r="EN205"/>
  <c r="D215" i="45"/>
  <c r="U215" s="1"/>
  <c r="R293" i="43"/>
  <c r="X103"/>
  <c r="X146"/>
  <c r="EN216"/>
  <c r="X134"/>
  <c r="X91"/>
  <c r="EN247"/>
  <c r="AI248"/>
  <c r="D245" i="45" s="1"/>
  <c r="U245" s="1"/>
  <c r="EN214" i="43"/>
  <c r="X126"/>
  <c r="EN234"/>
  <c r="AI237"/>
  <c r="EO237" s="1"/>
  <c r="EO210"/>
  <c r="EH293"/>
  <c r="X94"/>
  <c r="D320" i="45"/>
  <c r="U320" s="1"/>
  <c r="EN323" i="43"/>
  <c r="EO284"/>
  <c r="EN253"/>
  <c r="X100"/>
  <c r="AI207"/>
  <c r="EO207" s="1"/>
  <c r="AI228"/>
  <c r="EO228" s="1"/>
  <c r="EN317"/>
  <c r="X116"/>
  <c r="D211" i="45"/>
  <c r="U211" s="1"/>
  <c r="EO234" i="43"/>
  <c r="EO259"/>
  <c r="EN210"/>
  <c r="AI212"/>
  <c r="EO212" s="1"/>
  <c r="X120"/>
  <c r="AI211"/>
  <c r="D208" i="45" s="1"/>
  <c r="U208" s="1"/>
  <c r="EN213" i="43"/>
  <c r="EO268"/>
  <c r="EO274"/>
  <c r="D340" i="45"/>
  <c r="U340" s="1"/>
  <c r="AH225" i="43"/>
  <c r="AI225" s="1"/>
  <c r="D222" i="45" s="1"/>
  <c r="U222" s="1"/>
  <c r="EN275" i="43"/>
  <c r="EN308"/>
  <c r="D198" i="45"/>
  <c r="U198" s="1"/>
  <c r="EO201" i="43"/>
  <c r="EN226"/>
  <c r="AI250"/>
  <c r="EO250" s="1"/>
  <c r="D263" i="45"/>
  <c r="U263" s="1"/>
  <c r="AH219" i="43"/>
  <c r="EN219" s="1"/>
  <c r="EN266"/>
  <c r="EH300"/>
  <c r="EN332"/>
  <c r="R327"/>
  <c r="X154"/>
  <c r="X139"/>
  <c r="AI222"/>
  <c r="EO222" s="1"/>
  <c r="AH230"/>
  <c r="AI230" s="1"/>
  <c r="AI232"/>
  <c r="EO232" s="1"/>
  <c r="AA272"/>
  <c r="AB272" s="1"/>
  <c r="AI236"/>
  <c r="EO236" s="1"/>
  <c r="AU300"/>
  <c r="AH300" s="1"/>
  <c r="AI300" s="1"/>
  <c r="EN305"/>
  <c r="AA327"/>
  <c r="AB327" s="1"/>
  <c r="X105"/>
  <c r="EN258"/>
  <c r="R300"/>
  <c r="EN270"/>
  <c r="AA309"/>
  <c r="AB309" s="1"/>
  <c r="EO324"/>
  <c r="X121"/>
  <c r="AH209"/>
  <c r="AI209" s="1"/>
  <c r="D206" i="45" s="1"/>
  <c r="U206" s="1"/>
  <c r="EO258" i="43"/>
  <c r="EO351"/>
  <c r="EN311"/>
  <c r="EN313"/>
  <c r="D200" i="45"/>
  <c r="U200" s="1"/>
  <c r="EO203" i="43"/>
  <c r="R309"/>
  <c r="EH309"/>
  <c r="EH282"/>
  <c r="R282"/>
  <c r="EN271"/>
  <c r="EN306"/>
  <c r="EN284"/>
  <c r="AJ316"/>
  <c r="AK316" s="1"/>
  <c r="C313" i="45" s="1"/>
  <c r="R316" i="43"/>
  <c r="EH316"/>
  <c r="R304"/>
  <c r="EH304"/>
  <c r="AK303"/>
  <c r="EN303"/>
  <c r="EO306"/>
  <c r="AU282"/>
  <c r="AH282" s="1"/>
  <c r="AI282" s="1"/>
  <c r="X78"/>
  <c r="EO220"/>
  <c r="D217" i="45"/>
  <c r="U217" s="1"/>
  <c r="EN220" i="43"/>
  <c r="AK263"/>
  <c r="EN263"/>
  <c r="EH272"/>
  <c r="R272"/>
  <c r="R238"/>
  <c r="EH238"/>
  <c r="EN223"/>
  <c r="AI223"/>
  <c r="EN262"/>
  <c r="AI206"/>
  <c r="EN206"/>
  <c r="AK233"/>
  <c r="EN233"/>
  <c r="EN246"/>
  <c r="AI246"/>
  <c r="AK279"/>
  <c r="R280"/>
  <c r="EH280"/>
  <c r="R256"/>
  <c r="EH256"/>
  <c r="D268" i="45"/>
  <c r="U268" s="1"/>
  <c r="EO271" i="43"/>
  <c r="AU256"/>
  <c r="AH256" s="1"/>
  <c r="AI256" s="1"/>
  <c r="X153"/>
  <c r="EN201"/>
  <c r="R260"/>
  <c r="EH260"/>
  <c r="R225"/>
  <c r="EH225"/>
  <c r="EN202"/>
  <c r="AI202"/>
  <c r="EN231"/>
  <c r="AI231"/>
  <c r="EN257"/>
  <c r="EN229"/>
  <c r="AI229"/>
  <c r="AK276"/>
  <c r="EN269"/>
  <c r="AJ209"/>
  <c r="AK209" s="1"/>
  <c r="C206" i="45" s="1"/>
  <c r="R209" i="43"/>
  <c r="EH209"/>
  <c r="AJ230"/>
  <c r="AK230" s="1"/>
  <c r="C227" i="45" s="1"/>
  <c r="R230" i="43"/>
  <c r="EN245"/>
  <c r="AI245"/>
  <c r="EN239"/>
  <c r="AI239"/>
  <c r="EN242"/>
  <c r="AI242"/>
  <c r="AI251"/>
  <c r="EN251"/>
  <c r="EN227"/>
  <c r="AI227"/>
  <c r="AK249"/>
  <c r="EN249"/>
  <c r="EH219"/>
  <c r="R219"/>
  <c r="AK235"/>
  <c r="EN235"/>
  <c r="EN208"/>
  <c r="EN203"/>
  <c r="EN277"/>
  <c r="EN252"/>
  <c r="AI252"/>
  <c r="EN200"/>
  <c r="AI200"/>
  <c r="AK244"/>
  <c r="EN244"/>
  <c r="AI215"/>
  <c r="EN215"/>
  <c r="AI224"/>
  <c r="EN224"/>
  <c r="AK204"/>
  <c r="EN204"/>
  <c r="AK265"/>
  <c r="EN265"/>
  <c r="R261"/>
  <c r="EH261"/>
  <c r="EN243"/>
  <c r="AI243"/>
  <c r="AJ281"/>
  <c r="AK281" s="1"/>
  <c r="C278" i="45" s="1"/>
  <c r="EH281" i="43"/>
  <c r="R281"/>
  <c r="EN221"/>
  <c r="AI221"/>
  <c r="AU238"/>
  <c r="AH238" s="1"/>
  <c r="X117"/>
  <c r="EO270"/>
  <c r="X162"/>
  <c r="EH230"/>
  <c r="EO208"/>
  <c r="EH327"/>
  <c r="EN328"/>
  <c r="AK358"/>
  <c r="EN338"/>
  <c r="D336" i="45"/>
  <c r="U336" s="1"/>
  <c r="AK357" i="43"/>
  <c r="D352" i="45"/>
  <c r="U352" s="1"/>
  <c r="EO355" i="43"/>
  <c r="EN354"/>
  <c r="AK353"/>
  <c r="C349" i="45"/>
  <c r="EO352" i="43"/>
  <c r="D347" i="45"/>
  <c r="U347" s="1"/>
  <c r="EO350" i="43"/>
  <c r="C346" i="45"/>
  <c r="EN348" i="43"/>
  <c r="AK347"/>
  <c r="EN344"/>
  <c r="C339" i="45"/>
  <c r="AY346" i="43"/>
  <c r="AA346"/>
  <c r="AB346" s="1"/>
  <c r="EN345"/>
  <c r="R346"/>
  <c r="AU346"/>
  <c r="AH346" s="1"/>
  <c r="AI346" s="1"/>
  <c r="EH346"/>
  <c r="AA283"/>
  <c r="AB283" s="1"/>
  <c r="AY300"/>
  <c r="EN341"/>
  <c r="EN340"/>
  <c r="C335" i="45"/>
  <c r="EO338" i="43"/>
  <c r="EN337"/>
  <c r="EN336"/>
  <c r="EN335"/>
  <c r="EN333"/>
  <c r="EO332"/>
  <c r="D329" i="45"/>
  <c r="U329" s="1"/>
  <c r="EN331" i="43"/>
  <c r="EN330"/>
  <c r="EN329"/>
  <c r="C325" i="45"/>
  <c r="EO328" i="43"/>
  <c r="C322" i="45"/>
  <c r="EN326" i="43"/>
  <c r="EN322"/>
  <c r="C319" i="45"/>
  <c r="EO322" i="43"/>
  <c r="C318" i="45"/>
  <c r="AU320" i="43"/>
  <c r="AH320" s="1"/>
  <c r="AI320" s="1"/>
  <c r="R320"/>
  <c r="EH320"/>
  <c r="AA320"/>
  <c r="AB320" s="1"/>
  <c r="AY320"/>
  <c r="EN185"/>
  <c r="EN319"/>
  <c r="EO317"/>
  <c r="D314" i="45"/>
  <c r="U314" s="1"/>
  <c r="AA316" i="43"/>
  <c r="AB316" s="1"/>
  <c r="AY316"/>
  <c r="EN318"/>
  <c r="EO305"/>
  <c r="D302" i="45"/>
  <c r="U302" s="1"/>
  <c r="EO308" i="43"/>
  <c r="D305" i="45"/>
  <c r="U305" s="1"/>
  <c r="AA304" i="43"/>
  <c r="AB304" s="1"/>
  <c r="AY304"/>
  <c r="EO315"/>
  <c r="D312" i="45"/>
  <c r="U312" s="1"/>
  <c r="EN310" i="43"/>
  <c r="EO314"/>
  <c r="D311" i="45"/>
  <c r="U311" s="1"/>
  <c r="EN193" i="43"/>
  <c r="EN301"/>
  <c r="D296" i="45"/>
  <c r="U296" s="1"/>
  <c r="AA299" i="43"/>
  <c r="AB299" s="1"/>
  <c r="AY299"/>
  <c r="AK299"/>
  <c r="EN299"/>
  <c r="AY188"/>
  <c r="BA188" s="1"/>
  <c r="AA298"/>
  <c r="AB298" s="1"/>
  <c r="AY298"/>
  <c r="AU298"/>
  <c r="AH298" s="1"/>
  <c r="AI298" s="1"/>
  <c r="R298"/>
  <c r="EH298"/>
  <c r="AA282"/>
  <c r="AB282" s="1"/>
  <c r="AK297"/>
  <c r="AK295"/>
  <c r="EN296"/>
  <c r="AA294"/>
  <c r="AB294" s="1"/>
  <c r="AY294"/>
  <c r="AY183"/>
  <c r="V180" i="45" s="1"/>
  <c r="R294" i="43"/>
  <c r="AU294"/>
  <c r="AH294" s="1"/>
  <c r="AI294" s="1"/>
  <c r="EH294"/>
  <c r="AK293"/>
  <c r="EO292"/>
  <c r="D289" i="45"/>
  <c r="U289" s="1"/>
  <c r="AA193" i="43"/>
  <c r="AB193" s="1"/>
  <c r="C288" i="45"/>
  <c r="EO291" i="43"/>
  <c r="AA169"/>
  <c r="AB169" s="1"/>
  <c r="Q187"/>
  <c r="EH187"/>
  <c r="C287" i="45"/>
  <c r="EN289" i="43"/>
  <c r="EO288"/>
  <c r="D285" i="45"/>
  <c r="U285" s="1"/>
  <c r="EN285" i="43"/>
  <c r="AA199"/>
  <c r="AB199" s="1"/>
  <c r="AH187"/>
  <c r="AI187" s="1"/>
  <c r="C284" i="45"/>
  <c r="EN286" i="43"/>
  <c r="Q170"/>
  <c r="AA170" s="1"/>
  <c r="AB170" s="1"/>
  <c r="EN190"/>
  <c r="AY190"/>
  <c r="BA190" s="1"/>
  <c r="EN188"/>
  <c r="EN124"/>
  <c r="AA280"/>
  <c r="AB280" s="1"/>
  <c r="AY280"/>
  <c r="D282" i="45"/>
  <c r="U282" s="1"/>
  <c r="EO285" i="43"/>
  <c r="AI165"/>
  <c r="EO165" s="1"/>
  <c r="D244" i="45"/>
  <c r="U244" s="1"/>
  <c r="EO247" i="43"/>
  <c r="D251" i="45"/>
  <c r="U251" s="1"/>
  <c r="EO254" i="43"/>
  <c r="EO275"/>
  <c r="D272" i="45"/>
  <c r="U272" s="1"/>
  <c r="EN160" i="43"/>
  <c r="EN138"/>
  <c r="AY184"/>
  <c r="V181" i="45" s="1"/>
  <c r="AJ133" i="43"/>
  <c r="AK133" s="1"/>
  <c r="C130" i="45" s="1"/>
  <c r="EN114" i="43"/>
  <c r="AJ116"/>
  <c r="AK116" s="1"/>
  <c r="AU116"/>
  <c r="AH116" s="1"/>
  <c r="AI116" s="1"/>
  <c r="D113" i="45" s="1"/>
  <c r="U113" s="1"/>
  <c r="AJ121" i="43"/>
  <c r="AK121" s="1"/>
  <c r="R133"/>
  <c r="EH116"/>
  <c r="AU120"/>
  <c r="AH120" s="1"/>
  <c r="AI120" s="1"/>
  <c r="D117" i="45" s="1"/>
  <c r="U117" s="1"/>
  <c r="BA238" i="43"/>
  <c r="V235" i="45"/>
  <c r="EN130" i="43"/>
  <c r="V155" i="45"/>
  <c r="AU105" i="43"/>
  <c r="AH105" s="1"/>
  <c r="AI105" s="1"/>
  <c r="D102" i="45" s="1"/>
  <c r="U102" s="1"/>
  <c r="EN183" i="43"/>
  <c r="V80" i="45"/>
  <c r="EN173" i="43"/>
  <c r="EN184"/>
  <c r="V231" i="45"/>
  <c r="BA71" i="43"/>
  <c r="EN136"/>
  <c r="Q180"/>
  <c r="AA180" s="1"/>
  <c r="AB180" s="1"/>
  <c r="EO199"/>
  <c r="D196" i="45"/>
  <c r="U196" s="1"/>
  <c r="EO226" i="43"/>
  <c r="D223" i="45"/>
  <c r="U223" s="1"/>
  <c r="AI62" i="43"/>
  <c r="D59" i="45" s="1"/>
  <c r="U59" s="1"/>
  <c r="BA138" i="43"/>
  <c r="R120"/>
  <c r="R180"/>
  <c r="EO213"/>
  <c r="D210" i="45"/>
  <c r="U210" s="1"/>
  <c r="BA213" i="43"/>
  <c r="EH120"/>
  <c r="AU180"/>
  <c r="AH180" s="1"/>
  <c r="EH180"/>
  <c r="V196" i="45"/>
  <c r="BA199" i="43"/>
  <c r="V223" i="45"/>
  <c r="BA226" i="43"/>
  <c r="AA213"/>
  <c r="AB213" s="1"/>
  <c r="AI172"/>
  <c r="D169" i="45" s="1"/>
  <c r="U169" s="1"/>
  <c r="X169" s="1"/>
  <c r="EN172" i="43"/>
  <c r="EN98"/>
  <c r="R126"/>
  <c r="V154" i="45"/>
  <c r="EN50" i="43"/>
  <c r="AY177"/>
  <c r="BA177" s="1"/>
  <c r="EN194"/>
  <c r="AI194"/>
  <c r="D191" i="45" s="1"/>
  <c r="U191" s="1"/>
  <c r="BA225" i="43"/>
  <c r="V107" i="45"/>
  <c r="AA179" i="43"/>
  <c r="AB179" s="1"/>
  <c r="AI28"/>
  <c r="EO28" s="1"/>
  <c r="EN147"/>
  <c r="BA179"/>
  <c r="R105"/>
  <c r="BA222"/>
  <c r="BA219"/>
  <c r="D213" i="45"/>
  <c r="U213" s="1"/>
  <c r="EO216" i="43"/>
  <c r="BA216"/>
  <c r="AI68"/>
  <c r="D65" i="45" s="1"/>
  <c r="U65" s="1"/>
  <c r="EN68" i="43"/>
  <c r="EN83"/>
  <c r="EN95"/>
  <c r="BA70"/>
  <c r="BA151"/>
  <c r="AI44"/>
  <c r="EO44" s="1"/>
  <c r="BA209"/>
  <c r="BA207"/>
  <c r="EH191"/>
  <c r="BA205"/>
  <c r="D202" i="45"/>
  <c r="U202" s="1"/>
  <c r="EO205" i="43"/>
  <c r="EH105"/>
  <c r="BA89"/>
  <c r="AJ126"/>
  <c r="AK126" s="1"/>
  <c r="AY171"/>
  <c r="V168" i="45" s="1"/>
  <c r="X178" i="43"/>
  <c r="V125" i="45"/>
  <c r="BA198" i="43"/>
  <c r="BA197"/>
  <c r="EO197"/>
  <c r="D194" i="45"/>
  <c r="U194" s="1"/>
  <c r="BA119" i="43"/>
  <c r="EN113"/>
  <c r="Q178"/>
  <c r="AI53"/>
  <c r="D50" i="45" s="1"/>
  <c r="U50" s="1"/>
  <c r="EN53" i="43"/>
  <c r="EN93"/>
  <c r="EN122"/>
  <c r="EN161"/>
  <c r="R178"/>
  <c r="EH178"/>
  <c r="AI41"/>
  <c r="EO41" s="1"/>
  <c r="EN57"/>
  <c r="AU170"/>
  <c r="AH170" s="1"/>
  <c r="AI170" s="1"/>
  <c r="D167" i="45" s="1"/>
  <c r="U167" s="1"/>
  <c r="X167" s="1"/>
  <c r="AY194" i="43"/>
  <c r="AA194"/>
  <c r="AB194" s="1"/>
  <c r="EN87"/>
  <c r="EN128"/>
  <c r="R153"/>
  <c r="AU178"/>
  <c r="AH178" s="1"/>
  <c r="AI178" s="1"/>
  <c r="D175" i="45" s="1"/>
  <c r="U175" s="1"/>
  <c r="X175" s="1"/>
  <c r="AH121" i="43"/>
  <c r="AI121" s="1"/>
  <c r="D118" i="45" s="1"/>
  <c r="U118" s="1"/>
  <c r="EH121" i="43"/>
  <c r="AH191"/>
  <c r="AI191" s="1"/>
  <c r="D188" i="45" s="1"/>
  <c r="U188" s="1"/>
  <c r="AY192" i="43"/>
  <c r="AA192"/>
  <c r="AB192" s="1"/>
  <c r="BA76"/>
  <c r="EN76"/>
  <c r="R121"/>
  <c r="V53" i="45"/>
  <c r="X180" i="43"/>
  <c r="AJ146"/>
  <c r="AK146" s="1"/>
  <c r="V93" i="45"/>
  <c r="Q191" i="43"/>
  <c r="AA191" s="1"/>
  <c r="AB191" s="1"/>
  <c r="EN192"/>
  <c r="AA163"/>
  <c r="AB163" s="1"/>
  <c r="AY163"/>
  <c r="C193" i="45"/>
  <c r="EO196" i="43"/>
  <c r="BA195"/>
  <c r="C192" i="45"/>
  <c r="EO195" i="43"/>
  <c r="AI155"/>
  <c r="D152" i="45" s="1"/>
  <c r="U152" s="1"/>
  <c r="X152" s="1"/>
  <c r="EH139" i="43"/>
  <c r="AI90"/>
  <c r="EO90" s="1"/>
  <c r="AU117"/>
  <c r="AH117" s="1"/>
  <c r="AI117" s="1"/>
  <c r="AI158"/>
  <c r="EO158" s="1"/>
  <c r="EN55"/>
  <c r="EN101"/>
  <c r="EO55"/>
  <c r="BA125"/>
  <c r="EN129"/>
  <c r="C190" i="45"/>
  <c r="EO193" i="43"/>
  <c r="C189" i="45"/>
  <c r="EO192" i="43"/>
  <c r="V187" i="45"/>
  <c r="AK191" i="43"/>
  <c r="D187" i="45"/>
  <c r="U187" s="1"/>
  <c r="EO190" i="43"/>
  <c r="AK189"/>
  <c r="EN189"/>
  <c r="BA189"/>
  <c r="V186" i="45"/>
  <c r="V185"/>
  <c r="C185"/>
  <c r="EO188" i="43"/>
  <c r="AI61"/>
  <c r="D58" i="45" s="1"/>
  <c r="U58" s="1"/>
  <c r="EN82" i="43"/>
  <c r="V184" i="45"/>
  <c r="BA187" i="43"/>
  <c r="AI47"/>
  <c r="D44" i="45" s="1"/>
  <c r="U44" s="1"/>
  <c r="EN47" i="43"/>
  <c r="R100"/>
  <c r="AI110"/>
  <c r="D107" i="45" s="1"/>
  <c r="U107" s="1"/>
  <c r="AU100" i="43"/>
  <c r="AH100" s="1"/>
  <c r="AI100" s="1"/>
  <c r="D97" i="45" s="1"/>
  <c r="U97" s="1"/>
  <c r="EN159" i="43"/>
  <c r="EN175"/>
  <c r="BA184"/>
  <c r="C182" i="45"/>
  <c r="EO185" i="43"/>
  <c r="C181" i="45"/>
  <c r="EO184" i="43"/>
  <c r="BA183"/>
  <c r="C180" i="45"/>
  <c r="EO183" i="43"/>
  <c r="AI135"/>
  <c r="D132" i="45" s="1"/>
  <c r="U132" s="1"/>
  <c r="EN135" i="43"/>
  <c r="EN167"/>
  <c r="AI167"/>
  <c r="D164" i="45" s="1"/>
  <c r="U164" s="1"/>
  <c r="AI179" i="43"/>
  <c r="D176" i="45" s="1"/>
  <c r="U176" s="1"/>
  <c r="X176" s="1"/>
  <c r="EN179" i="43"/>
  <c r="R103"/>
  <c r="AA164"/>
  <c r="AB164" s="1"/>
  <c r="EN176"/>
  <c r="R154"/>
  <c r="AU156"/>
  <c r="AH156" s="1"/>
  <c r="AI156" s="1"/>
  <c r="D153" i="45" s="1"/>
  <c r="U153" s="1"/>
  <c r="X153" s="1"/>
  <c r="C178"/>
  <c r="EO181" i="43"/>
  <c r="EH117"/>
  <c r="AI92"/>
  <c r="EO92" s="1"/>
  <c r="EN92"/>
  <c r="EN177"/>
  <c r="R60"/>
  <c r="EN104"/>
  <c r="EH164"/>
  <c r="X170"/>
  <c r="BA23"/>
  <c r="EN109"/>
  <c r="C177" i="45"/>
  <c r="C176"/>
  <c r="EH133" i="43"/>
  <c r="C175" i="45"/>
  <c r="C174"/>
  <c r="EO177" i="43"/>
  <c r="G26" i="35"/>
  <c r="E26"/>
  <c r="EO176" i="43"/>
  <c r="D173" i="45"/>
  <c r="U173" s="1"/>
  <c r="X173" s="1"/>
  <c r="EN102" i="43"/>
  <c r="EH126"/>
  <c r="EN23"/>
  <c r="AI23"/>
  <c r="D20" i="45" s="1"/>
  <c r="U20" s="1"/>
  <c r="EN45" i="43"/>
  <c r="AI36"/>
  <c r="EO36" s="1"/>
  <c r="AJ78"/>
  <c r="AK78" s="1"/>
  <c r="EN84"/>
  <c r="EN85"/>
  <c r="R91"/>
  <c r="EN107"/>
  <c r="EN111"/>
  <c r="R117"/>
  <c r="AU134"/>
  <c r="AH134" s="1"/>
  <c r="AI134" s="1"/>
  <c r="D131" i="45" s="1"/>
  <c r="U131" s="1"/>
  <c r="EN137" i="43"/>
  <c r="R139"/>
  <c r="EN145"/>
  <c r="AU164"/>
  <c r="AH164" s="1"/>
  <c r="R164"/>
  <c r="R170"/>
  <c r="AY174"/>
  <c r="V171" i="45" s="1"/>
  <c r="EN71" i="43"/>
  <c r="AK71"/>
  <c r="EO71" s="1"/>
  <c r="AU91"/>
  <c r="AH91" s="1"/>
  <c r="AI91" s="1"/>
  <c r="D88" i="45" s="1"/>
  <c r="U88" s="1"/>
  <c r="AH126" i="43"/>
  <c r="AI126" s="1"/>
  <c r="D123" i="45" s="1"/>
  <c r="U123" s="1"/>
  <c r="AU146" i="43"/>
  <c r="AH146" s="1"/>
  <c r="AI146" s="1"/>
  <c r="D143" i="45" s="1"/>
  <c r="U143" s="1"/>
  <c r="X143" s="1"/>
  <c r="EH103" i="43"/>
  <c r="EH154"/>
  <c r="AH139"/>
  <c r="AI139" s="1"/>
  <c r="D136" i="45" s="1"/>
  <c r="U136" s="1"/>
  <c r="EN97" i="43"/>
  <c r="AU103"/>
  <c r="AH103" s="1"/>
  <c r="EN141"/>
  <c r="EN151"/>
  <c r="AU154"/>
  <c r="AH154" s="1"/>
  <c r="AI154" s="1"/>
  <c r="D151" i="45" s="1"/>
  <c r="U151" s="1"/>
  <c r="X151" s="1"/>
  <c r="EN157" i="43"/>
  <c r="EN123"/>
  <c r="EN143"/>
  <c r="EN112"/>
  <c r="AI118"/>
  <c r="D115" i="45" s="1"/>
  <c r="U115" s="1"/>
  <c r="EN125" i="43"/>
  <c r="AI131"/>
  <c r="EO131" s="1"/>
  <c r="EN144"/>
  <c r="EN132"/>
  <c r="EH78"/>
  <c r="EH91"/>
  <c r="EN115"/>
  <c r="AJ139"/>
  <c r="AK139" s="1"/>
  <c r="C136" i="45" s="1"/>
  <c r="AI99" i="43"/>
  <c r="D96" i="45" s="1"/>
  <c r="U96" s="1"/>
  <c r="EN99" i="43"/>
  <c r="EN63"/>
  <c r="EH94"/>
  <c r="AI142"/>
  <c r="D139" i="45" s="1"/>
  <c r="U139" s="1"/>
  <c r="EN163" i="43"/>
  <c r="EH146"/>
  <c r="EN127"/>
  <c r="V126" i="45"/>
  <c r="V132"/>
  <c r="V133"/>
  <c r="AU153" i="43"/>
  <c r="AH153" s="1"/>
  <c r="AI153" s="1"/>
  <c r="D150" i="45" s="1"/>
  <c r="U150" s="1"/>
  <c r="X150" s="1"/>
  <c r="BA155" i="43"/>
  <c r="EH170"/>
  <c r="EN89"/>
  <c r="EN56"/>
  <c r="EN70"/>
  <c r="EH153"/>
  <c r="EH100"/>
  <c r="AU94"/>
  <c r="AH94" s="1"/>
  <c r="AI94" s="1"/>
  <c r="D91" i="45" s="1"/>
  <c r="U91" s="1"/>
  <c r="R156" i="43"/>
  <c r="EH162"/>
  <c r="R94"/>
  <c r="BA168"/>
  <c r="AH60"/>
  <c r="AI60" s="1"/>
  <c r="D57" i="45" s="1"/>
  <c r="U57" s="1"/>
  <c r="AH78" i="43"/>
  <c r="AI78" s="1"/>
  <c r="D75" i="45" s="1"/>
  <c r="U75" s="1"/>
  <c r="AI33" i="43"/>
  <c r="EO33" s="1"/>
  <c r="EN58"/>
  <c r="AH133"/>
  <c r="AI133" s="1"/>
  <c r="D130" i="45" s="1"/>
  <c r="U130" s="1"/>
  <c r="EN152" i="43"/>
  <c r="EN52"/>
  <c r="R78"/>
  <c r="EN96"/>
  <c r="AK102"/>
  <c r="EO102" s="1"/>
  <c r="AK143"/>
  <c r="EO143" s="1"/>
  <c r="AU148"/>
  <c r="AH148" s="1"/>
  <c r="AI148" s="1"/>
  <c r="D145" i="45" s="1"/>
  <c r="U145" s="1"/>
  <c r="EN168" i="43"/>
  <c r="EH134"/>
  <c r="EH156"/>
  <c r="EH148"/>
  <c r="EN86"/>
  <c r="R134"/>
  <c r="AI140"/>
  <c r="EO140" s="1"/>
  <c r="EH60"/>
  <c r="R148"/>
  <c r="AY175"/>
  <c r="AA175"/>
  <c r="AB175" s="1"/>
  <c r="AU162"/>
  <c r="AH162" s="1"/>
  <c r="AI162" s="1"/>
  <c r="D159" i="45" s="1"/>
  <c r="U159" s="1"/>
  <c r="EN169" i="43"/>
  <c r="AI169"/>
  <c r="EN119"/>
  <c r="AJ162"/>
  <c r="AK162" s="1"/>
  <c r="EN174"/>
  <c r="V166" i="45"/>
  <c r="BA169" i="43"/>
  <c r="D165" i="45"/>
  <c r="U165" s="1"/>
  <c r="EO168" i="43"/>
  <c r="AI171"/>
  <c r="EN171"/>
  <c r="AK170"/>
  <c r="C172" i="45"/>
  <c r="EO175" i="43"/>
  <c r="AI54"/>
  <c r="EO54" s="1"/>
  <c r="C171" i="45"/>
  <c r="EO174" i="43"/>
  <c r="C170" i="45"/>
  <c r="EO173" i="43"/>
  <c r="BA173"/>
  <c r="V170" i="45"/>
  <c r="EN88" i="43"/>
  <c r="V169" i="45"/>
  <c r="C169"/>
  <c r="C111"/>
  <c r="EO114" i="43"/>
  <c r="C157" i="45"/>
  <c r="EO160" i="43"/>
  <c r="C135" i="45"/>
  <c r="EO138" i="43"/>
  <c r="C112" i="45"/>
  <c r="EO115" i="43"/>
  <c r="D121" i="45"/>
  <c r="U121" s="1"/>
  <c r="EO124" i="43"/>
  <c r="C144" i="45"/>
  <c r="EO147" i="43"/>
  <c r="C129" i="45"/>
  <c r="EO132" i="43"/>
  <c r="C117" i="45"/>
  <c r="C120"/>
  <c r="EO123" i="43"/>
  <c r="V117" i="45"/>
  <c r="BA120" i="43"/>
  <c r="C161" i="45"/>
  <c r="V161"/>
  <c r="BA164" i="43"/>
  <c r="C160" i="45"/>
  <c r="EO163" i="43"/>
  <c r="C158" i="45"/>
  <c r="EO161" i="43"/>
  <c r="C156" i="45"/>
  <c r="EO159" i="43"/>
  <c r="C154" i="45"/>
  <c r="EO157" i="43"/>
  <c r="C153" i="45"/>
  <c r="V153"/>
  <c r="BA156" i="43"/>
  <c r="AK154"/>
  <c r="V151" i="45"/>
  <c r="BA154" i="43"/>
  <c r="V150" i="45"/>
  <c r="BA153" i="43"/>
  <c r="C149" i="45"/>
  <c r="EO152" i="43"/>
  <c r="C148" i="45"/>
  <c r="EO151" i="43"/>
  <c r="D146" i="45"/>
  <c r="U146" s="1"/>
  <c r="EO149" i="43"/>
  <c r="C145" i="45"/>
  <c r="C142"/>
  <c r="EO145" i="43"/>
  <c r="C141" i="45"/>
  <c r="EO144" i="43"/>
  <c r="C138" i="45"/>
  <c r="EO141" i="43"/>
  <c r="BA139"/>
  <c r="V136" i="45"/>
  <c r="C134"/>
  <c r="EO137" i="43"/>
  <c r="D133" i="45"/>
  <c r="U133" s="1"/>
  <c r="EO136" i="43"/>
  <c r="C132" i="45"/>
  <c r="AK134" i="43"/>
  <c r="C127" i="45"/>
  <c r="EO130" i="43"/>
  <c r="C126" i="45"/>
  <c r="EO129" i="43"/>
  <c r="C125" i="45"/>
  <c r="EO128" i="43"/>
  <c r="D124" i="45"/>
  <c r="U124" s="1"/>
  <c r="EO127" i="43"/>
  <c r="BA126"/>
  <c r="V123" i="45"/>
  <c r="C122"/>
  <c r="EO125" i="43"/>
  <c r="C119" i="45"/>
  <c r="EO122" i="43"/>
  <c r="C116" i="45"/>
  <c r="EO119" i="43"/>
  <c r="C114" i="45"/>
  <c r="BA117" i="43"/>
  <c r="V114" i="45"/>
  <c r="BA116" i="43"/>
  <c r="V113" i="45"/>
  <c r="C110"/>
  <c r="EO113" i="43"/>
  <c r="BA47"/>
  <c r="C109" i="45"/>
  <c r="EO112" i="43"/>
  <c r="C108" i="45"/>
  <c r="EO111" i="43"/>
  <c r="BA50"/>
  <c r="C106" i="45"/>
  <c r="EO109" i="43"/>
  <c r="AI108"/>
  <c r="D105" i="45" s="1"/>
  <c r="U105" s="1"/>
  <c r="C104"/>
  <c r="EO107" i="43"/>
  <c r="AK106"/>
  <c r="EN106"/>
  <c r="V103" i="45"/>
  <c r="BA106" i="43"/>
  <c r="C102" i="45"/>
  <c r="V102"/>
  <c r="BA105" i="43"/>
  <c r="BA88"/>
  <c r="V85" i="45"/>
  <c r="C85"/>
  <c r="EO88" i="43"/>
  <c r="C101" i="45"/>
  <c r="EO104" i="43"/>
  <c r="C100" i="45"/>
  <c r="EO101" i="43"/>
  <c r="C97" i="45"/>
  <c r="V97"/>
  <c r="BA100" i="43"/>
  <c r="BA54"/>
  <c r="EO98"/>
  <c r="D95" i="45"/>
  <c r="U95" s="1"/>
  <c r="C94"/>
  <c r="EO97" i="43"/>
  <c r="C93" i="45"/>
  <c r="EO96" i="43"/>
  <c r="V60" i="45"/>
  <c r="C92"/>
  <c r="EO95" i="43"/>
  <c r="EO93"/>
  <c r="AK94"/>
  <c r="C88" i="45"/>
  <c r="BA91" i="43"/>
  <c r="V88" i="45"/>
  <c r="EN79" i="43"/>
  <c r="C86" i="45"/>
  <c r="EO89" i="43"/>
  <c r="C84" i="45"/>
  <c r="EO87" i="43"/>
  <c r="V33" i="45"/>
  <c r="AY51" i="43"/>
  <c r="BA51" s="1"/>
  <c r="EO86"/>
  <c r="D83" i="45"/>
  <c r="U83" s="1"/>
  <c r="C82"/>
  <c r="EO85" i="43"/>
  <c r="C81" i="45"/>
  <c r="EO84" i="43"/>
  <c r="EO83"/>
  <c r="D80" i="45"/>
  <c r="U80" s="1"/>
  <c r="AY49" i="43"/>
  <c r="V46" i="45" s="1"/>
  <c r="AA49" i="43"/>
  <c r="AB49" s="1"/>
  <c r="AY30"/>
  <c r="V27" i="45" s="1"/>
  <c r="AA30" i="43"/>
  <c r="AB30" s="1"/>
  <c r="C79" i="45"/>
  <c r="EO82" i="43"/>
  <c r="V61" i="45"/>
  <c r="BA64" i="43"/>
  <c r="C71" i="45"/>
  <c r="EO74" i="43"/>
  <c r="C72" i="45"/>
  <c r="EO75" i="43"/>
  <c r="V76" i="45"/>
  <c r="EN73" i="43"/>
  <c r="AK67"/>
  <c r="EN67"/>
  <c r="AK64"/>
  <c r="EN64"/>
  <c r="C73" i="45"/>
  <c r="EO76" i="43"/>
  <c r="V72" i="45"/>
  <c r="BA75" i="43"/>
  <c r="BA65"/>
  <c r="V62" i="45"/>
  <c r="EN74" i="43"/>
  <c r="EN75"/>
  <c r="EN80"/>
  <c r="AI80"/>
  <c r="BA67"/>
  <c r="V64" i="45"/>
  <c r="V71"/>
  <c r="BA74" i="43"/>
  <c r="BA73"/>
  <c r="V70" i="45"/>
  <c r="C62"/>
  <c r="EO65" i="43"/>
  <c r="C70" i="45"/>
  <c r="EO73" i="43"/>
  <c r="V77" i="45"/>
  <c r="BA80" i="43"/>
  <c r="EN65"/>
  <c r="C76" i="45"/>
  <c r="EO79" i="43"/>
  <c r="BA45"/>
  <c r="AY22"/>
  <c r="V19" i="45" s="1"/>
  <c r="BA53" i="43"/>
  <c r="AI69"/>
  <c r="D66" i="45" s="1"/>
  <c r="U66" s="1"/>
  <c r="EN69" i="43"/>
  <c r="V49" i="45"/>
  <c r="AY38" i="43"/>
  <c r="V35" i="45" s="1"/>
  <c r="V66"/>
  <c r="C67"/>
  <c r="EO70" i="43"/>
  <c r="C66" i="45"/>
  <c r="EN42" i="43"/>
  <c r="AY26"/>
  <c r="V23" i="45" s="1"/>
  <c r="EO63" i="43"/>
  <c r="D60" i="45"/>
  <c r="U60" s="1"/>
  <c r="C51"/>
  <c r="EO56" i="43"/>
  <c r="D53" i="45"/>
  <c r="U53" s="1"/>
  <c r="AY60" i="43"/>
  <c r="AK60"/>
  <c r="BA58"/>
  <c r="V55" i="45"/>
  <c r="BA55" i="43"/>
  <c r="V52" i="45"/>
  <c r="C54"/>
  <c r="C55"/>
  <c r="EO58" i="43"/>
  <c r="V58" i="45"/>
  <c r="BA61" i="43"/>
  <c r="V54" i="45"/>
  <c r="BA57" i="43"/>
  <c r="EO57"/>
  <c r="V36" i="45"/>
  <c r="BA39" i="43"/>
  <c r="EN26"/>
  <c r="AI26"/>
  <c r="AI30"/>
  <c r="EN30"/>
  <c r="EN25"/>
  <c r="AI25"/>
  <c r="AI37"/>
  <c r="EN37"/>
  <c r="EO52"/>
  <c r="D49" i="45"/>
  <c r="U49" s="1"/>
  <c r="BA43" i="43"/>
  <c r="V40" i="45"/>
  <c r="AI43" i="43"/>
  <c r="EN43"/>
  <c r="BA46"/>
  <c r="V43" i="45"/>
  <c r="AI31" i="43"/>
  <c r="EN31"/>
  <c r="AI38"/>
  <c r="EN38"/>
  <c r="AI46"/>
  <c r="EN46"/>
  <c r="AI22"/>
  <c r="EN22"/>
  <c r="D42" i="45"/>
  <c r="U42" s="1"/>
  <c r="EO45" i="43"/>
  <c r="EN51"/>
  <c r="AI51"/>
  <c r="V22" i="45"/>
  <c r="BA25" i="43"/>
  <c r="D47" i="45"/>
  <c r="U47" s="1"/>
  <c r="EO50" i="43"/>
  <c r="V34" i="45"/>
  <c r="BA37" i="43"/>
  <c r="EN27"/>
  <c r="AI27"/>
  <c r="V24" i="45"/>
  <c r="BA27" i="43"/>
  <c r="AI39"/>
  <c r="EN39"/>
  <c r="BA31"/>
  <c r="V28" i="45"/>
  <c r="EN49" i="43"/>
  <c r="AI49"/>
  <c r="D39" i="45"/>
  <c r="U39" s="1"/>
  <c r="EO42" i="43"/>
  <c r="BA42"/>
  <c r="V39" i="45"/>
  <c r="AU8" i="43"/>
  <c r="EH8"/>
  <c r="AY8"/>
  <c r="AA8"/>
  <c r="AB8" s="1"/>
  <c r="AY281" l="1"/>
  <c r="AA261"/>
  <c r="AB261" s="1"/>
  <c r="EO287"/>
  <c r="EN347"/>
  <c r="EN357"/>
  <c r="EN287"/>
  <c r="EN352"/>
  <c r="EO325"/>
  <c r="EN353"/>
  <c r="EN297"/>
  <c r="EN321"/>
  <c r="EN295"/>
  <c r="EO342"/>
  <c r="AA260"/>
  <c r="AB260" s="1"/>
  <c r="EO321"/>
  <c r="EN342"/>
  <c r="EN325"/>
  <c r="EN304"/>
  <c r="EN309"/>
  <c r="AY256"/>
  <c r="EN272"/>
  <c r="EN349"/>
  <c r="EN293"/>
  <c r="EO349"/>
  <c r="EN260"/>
  <c r="EN300"/>
  <c r="AY225"/>
  <c r="V222" i="45" s="1"/>
  <c r="EN276" i="43"/>
  <c r="EN358"/>
  <c r="EN327"/>
  <c r="EN279"/>
  <c r="EN334"/>
  <c r="EN356"/>
  <c r="AI290"/>
  <c r="EN290"/>
  <c r="AY230"/>
  <c r="AA209"/>
  <c r="AB209" s="1"/>
  <c r="AA153"/>
  <c r="AB153" s="1"/>
  <c r="AA219"/>
  <c r="AB219" s="1"/>
  <c r="AY103"/>
  <c r="BA103" s="1"/>
  <c r="AA198"/>
  <c r="AB198" s="1"/>
  <c r="AA156"/>
  <c r="AB156" s="1"/>
  <c r="AY94"/>
  <c r="BA94" s="1"/>
  <c r="AY116"/>
  <c r="AA162"/>
  <c r="AB162" s="1"/>
  <c r="AY146"/>
  <c r="BA146" s="1"/>
  <c r="AA91"/>
  <c r="AB91" s="1"/>
  <c r="AA100"/>
  <c r="AB100" s="1"/>
  <c r="AA126"/>
  <c r="AB126" s="1"/>
  <c r="AY134"/>
  <c r="V131" i="45" s="1"/>
  <c r="EO255" i="43"/>
  <c r="AA154"/>
  <c r="AB154" s="1"/>
  <c r="AA148"/>
  <c r="AB148" s="1"/>
  <c r="AY120"/>
  <c r="AA139"/>
  <c r="AB139" s="1"/>
  <c r="AY121"/>
  <c r="BA121" s="1"/>
  <c r="D353" i="45"/>
  <c r="U353" s="1"/>
  <c r="D238"/>
  <c r="U238" s="1"/>
  <c r="AY105" i="43"/>
  <c r="D304" i="45"/>
  <c r="U304" s="1"/>
  <c r="EO312" i="43"/>
  <c r="AA78"/>
  <c r="AB78" s="1"/>
  <c r="AA117"/>
  <c r="AB117" s="1"/>
  <c r="EO273"/>
  <c r="D237" i="45"/>
  <c r="U237" s="1"/>
  <c r="EO283" i="43"/>
  <c r="EO278"/>
  <c r="EO248"/>
  <c r="EO225"/>
  <c r="GJ57"/>
  <c r="HH57" s="1"/>
  <c r="HJ57" s="1"/>
  <c r="DI57" s="1"/>
  <c r="EO323"/>
  <c r="EO260"/>
  <c r="EN316"/>
  <c r="D247" i="45"/>
  <c r="U247" s="1"/>
  <c r="D209"/>
  <c r="U209" s="1"/>
  <c r="EO343" i="43"/>
  <c r="D225" i="45"/>
  <c r="U225" s="1"/>
  <c r="D265"/>
  <c r="U265" s="1"/>
  <c r="EN198" i="43"/>
  <c r="D256" i="45"/>
  <c r="U256" s="1"/>
  <c r="EN225" i="43"/>
  <c r="EN281"/>
  <c r="D234" i="45"/>
  <c r="U234" s="1"/>
  <c r="EN261" i="43"/>
  <c r="D204" i="45"/>
  <c r="U204" s="1"/>
  <c r="D229"/>
  <c r="U229" s="1"/>
  <c r="EO211" i="43"/>
  <c r="EO327"/>
  <c r="D219" i="45"/>
  <c r="U219" s="1"/>
  <c r="D321"/>
  <c r="U321" s="1"/>
  <c r="D331"/>
  <c r="U331" s="1"/>
  <c r="EO209" i="43"/>
  <c r="EN280"/>
  <c r="AI219"/>
  <c r="D216" i="45" s="1"/>
  <c r="U216" s="1"/>
  <c r="D269"/>
  <c r="U269" s="1"/>
  <c r="D233"/>
  <c r="U233" s="1"/>
  <c r="EO304" i="43"/>
  <c r="D348" i="45"/>
  <c r="U348" s="1"/>
  <c r="EN230" i="43"/>
  <c r="EO311"/>
  <c r="D308" i="45"/>
  <c r="U308" s="1"/>
  <c r="EO313" i="43"/>
  <c r="D310" i="45"/>
  <c r="U310" s="1"/>
  <c r="EN209" i="43"/>
  <c r="EO339"/>
  <c r="EN282"/>
  <c r="EO267"/>
  <c r="D264" i="45"/>
  <c r="U264" s="1"/>
  <c r="C300"/>
  <c r="EO303" i="43"/>
  <c r="C262" i="45"/>
  <c r="EO265" i="43"/>
  <c r="D221" i="45"/>
  <c r="U221" s="1"/>
  <c r="EO224" i="43"/>
  <c r="C241" i="45"/>
  <c r="EO244" i="43"/>
  <c r="EO257"/>
  <c r="D254" i="45"/>
  <c r="U254" s="1"/>
  <c r="EO202" i="43"/>
  <c r="D199" i="45"/>
  <c r="U199" s="1"/>
  <c r="EN256" i="43"/>
  <c r="C276" i="45"/>
  <c r="EO279" i="43"/>
  <c r="C230" i="45"/>
  <c r="EO233" i="43"/>
  <c r="D259" i="45"/>
  <c r="U259" s="1"/>
  <c r="EO262" i="43"/>
  <c r="C260" i="45"/>
  <c r="EO263" i="43"/>
  <c r="D240" i="45"/>
  <c r="U240" s="1"/>
  <c r="EO243" i="43"/>
  <c r="EO252"/>
  <c r="D249" i="45"/>
  <c r="U249" s="1"/>
  <c r="EO227" i="43"/>
  <c r="D224" i="45"/>
  <c r="U224" s="1"/>
  <c r="EO242" i="43"/>
  <c r="D239" i="45"/>
  <c r="U239" s="1"/>
  <c r="EO245" i="43"/>
  <c r="D242" i="45"/>
  <c r="U242" s="1"/>
  <c r="EO269" i="43"/>
  <c r="D266" i="45"/>
  <c r="U266" s="1"/>
  <c r="D218"/>
  <c r="U218" s="1"/>
  <c r="EO221" i="43"/>
  <c r="C201" i="45"/>
  <c r="EO204" i="43"/>
  <c r="D212" i="45"/>
  <c r="U212" s="1"/>
  <c r="EO215" i="43"/>
  <c r="C232" i="45"/>
  <c r="EO235" i="43"/>
  <c r="C246" i="45"/>
  <c r="EO249" i="43"/>
  <c r="D248" i="45"/>
  <c r="U248" s="1"/>
  <c r="EO251" i="43"/>
  <c r="EO229"/>
  <c r="D226" i="45"/>
  <c r="U226" s="1"/>
  <c r="D228"/>
  <c r="U228" s="1"/>
  <c r="EO231" i="43"/>
  <c r="EO206"/>
  <c r="D203" i="45"/>
  <c r="U203" s="1"/>
  <c r="EN238" i="43"/>
  <c r="AI238"/>
  <c r="EO200"/>
  <c r="D197" i="45"/>
  <c r="U197" s="1"/>
  <c r="D274"/>
  <c r="U274" s="1"/>
  <c r="EO277" i="43"/>
  <c r="D236" i="45"/>
  <c r="U236" s="1"/>
  <c r="EO239" i="43"/>
  <c r="C273" i="45"/>
  <c r="EO276" i="43"/>
  <c r="EO246"/>
  <c r="D243" i="45"/>
  <c r="U243" s="1"/>
  <c r="D220"/>
  <c r="U220" s="1"/>
  <c r="EO223" i="43"/>
  <c r="C355" i="45"/>
  <c r="EO358" i="43"/>
  <c r="C354" i="45"/>
  <c r="EO357" i="43"/>
  <c r="D351" i="45"/>
  <c r="U351" s="1"/>
  <c r="EO354" i="43"/>
  <c r="C350" i="45"/>
  <c r="EO353" i="43"/>
  <c r="EO348"/>
  <c r="D345" i="45"/>
  <c r="U345" s="1"/>
  <c r="C344"/>
  <c r="EO347" i="43"/>
  <c r="EN346"/>
  <c r="EO345"/>
  <c r="D342" i="45"/>
  <c r="U342" s="1"/>
  <c r="EO344" i="43"/>
  <c r="D341" i="45"/>
  <c r="U341" s="1"/>
  <c r="D338"/>
  <c r="U338" s="1"/>
  <c r="EO341" i="43"/>
  <c r="D337" i="45"/>
  <c r="U337" s="1"/>
  <c r="EO340" i="43"/>
  <c r="D334" i="45"/>
  <c r="U334" s="1"/>
  <c r="EO337" i="43"/>
  <c r="EO336"/>
  <c r="D333" i="45"/>
  <c r="U333" s="1"/>
  <c r="D332"/>
  <c r="U332" s="1"/>
  <c r="EO335" i="43"/>
  <c r="D330" i="45"/>
  <c r="U330" s="1"/>
  <c r="EO333" i="43"/>
  <c r="D327" i="45"/>
  <c r="U327" s="1"/>
  <c r="EO330" i="43"/>
  <c r="EO331"/>
  <c r="D328" i="45"/>
  <c r="U328" s="1"/>
  <c r="EO329" i="43"/>
  <c r="D326" i="45"/>
  <c r="U326" s="1"/>
  <c r="D324"/>
  <c r="U324" s="1"/>
  <c r="EO326" i="43"/>
  <c r="D323" i="45"/>
  <c r="U323" s="1"/>
  <c r="EN320" i="43"/>
  <c r="D316" i="45"/>
  <c r="U316" s="1"/>
  <c r="EO319" i="43"/>
  <c r="D315" i="45"/>
  <c r="U315" s="1"/>
  <c r="EO318" i="43"/>
  <c r="D313" i="45"/>
  <c r="U313" s="1"/>
  <c r="EO316" i="43"/>
  <c r="D307" i="45"/>
  <c r="U307" s="1"/>
  <c r="EO310" i="43"/>
  <c r="D298" i="45"/>
  <c r="U298" s="1"/>
  <c r="EO301" i="43"/>
  <c r="EO300"/>
  <c r="D297" i="45"/>
  <c r="U297" s="1"/>
  <c r="C296"/>
  <c r="EO299" i="43"/>
  <c r="EN298"/>
  <c r="C292" i="45"/>
  <c r="EO295" i="43"/>
  <c r="EO296"/>
  <c r="D293" i="45"/>
  <c r="U293" s="1"/>
  <c r="C294"/>
  <c r="EO297" i="43"/>
  <c r="EN294"/>
  <c r="C290" i="45"/>
  <c r="EO293" i="43"/>
  <c r="AA187"/>
  <c r="AB187" s="1"/>
  <c r="AY187"/>
  <c r="EN187"/>
  <c r="EO289"/>
  <c r="D286" i="45"/>
  <c r="U286" s="1"/>
  <c r="AY170" i="43"/>
  <c r="V167" i="45" s="1"/>
  <c r="EO286" i="43"/>
  <c r="D283" i="45"/>
  <c r="U283" s="1"/>
  <c r="EO53" i="43"/>
  <c r="D41" i="45"/>
  <c r="U41" s="1"/>
  <c r="D278"/>
  <c r="U278" s="1"/>
  <c r="EO281" i="43"/>
  <c r="D162" i="45"/>
  <c r="U162" s="1"/>
  <c r="X162" s="1"/>
  <c r="D277"/>
  <c r="U277" s="1"/>
  <c r="EO280" i="43"/>
  <c r="EO261"/>
  <c r="D258" i="45"/>
  <c r="U258" s="1"/>
  <c r="D25"/>
  <c r="U25" s="1"/>
  <c r="EO62" i="43"/>
  <c r="AY180"/>
  <c r="BA180" s="1"/>
  <c r="BA230"/>
  <c r="V227" i="45"/>
  <c r="D38"/>
  <c r="U38" s="1"/>
  <c r="EO172" i="43"/>
  <c r="V174" i="45"/>
  <c r="EO230" i="43"/>
  <c r="D227" i="45"/>
  <c r="U227" s="1"/>
  <c r="EO194" i="43"/>
  <c r="EO68"/>
  <c r="V143" i="45"/>
  <c r="V118"/>
  <c r="EO61" i="43"/>
  <c r="EN91"/>
  <c r="D128" i="45"/>
  <c r="U128" s="1"/>
  <c r="EN120" i="43"/>
  <c r="BA171"/>
  <c r="BA134"/>
  <c r="D155" i="45"/>
  <c r="U155" s="1"/>
  <c r="X155" s="1"/>
  <c r="V130"/>
  <c r="EO135" i="43"/>
  <c r="EN121"/>
  <c r="D195" i="45"/>
  <c r="U195" s="1"/>
  <c r="EO198" i="43"/>
  <c r="AY178"/>
  <c r="AA178"/>
  <c r="AB178" s="1"/>
  <c r="D33" i="45"/>
  <c r="U33" s="1"/>
  <c r="D87"/>
  <c r="U87" s="1"/>
  <c r="BA170" i="43"/>
  <c r="EN116"/>
  <c r="EN178"/>
  <c r="BA194"/>
  <c r="V191" i="45"/>
  <c r="EO120" i="43"/>
  <c r="EO178"/>
  <c r="D114" i="45"/>
  <c r="U114" s="1"/>
  <c r="EO117" i="43"/>
  <c r="AY191"/>
  <c r="BA191" s="1"/>
  <c r="V91" i="45"/>
  <c r="EN191" i="43"/>
  <c r="BA192"/>
  <c r="V189" i="45"/>
  <c r="EO47" i="43"/>
  <c r="EO142"/>
  <c r="EO155"/>
  <c r="D89" i="45"/>
  <c r="U89" s="1"/>
  <c r="EO105" i="43"/>
  <c r="EN105"/>
  <c r="V160" i="45"/>
  <c r="BA163" i="43"/>
  <c r="EO91"/>
  <c r="EO110"/>
  <c r="EN117"/>
  <c r="EN154"/>
  <c r="BA174"/>
  <c r="EN126"/>
  <c r="C188" i="45"/>
  <c r="EO191" i="43"/>
  <c r="C99" i="45"/>
  <c r="C186"/>
  <c r="EO189" i="43"/>
  <c r="EO179"/>
  <c r="EO187"/>
  <c r="D184" i="45"/>
  <c r="U184" s="1"/>
  <c r="AI103" i="43"/>
  <c r="D100" i="45" s="1"/>
  <c r="U100" s="1"/>
  <c r="EN103" i="43"/>
  <c r="C68" i="45"/>
  <c r="EO167" i="43"/>
  <c r="D30" i="45"/>
  <c r="U30" s="1"/>
  <c r="EO99" i="43"/>
  <c r="BA162"/>
  <c r="EO23"/>
  <c r="AI180"/>
  <c r="EN180"/>
  <c r="AI164"/>
  <c r="D161" i="45" s="1"/>
  <c r="U161" s="1"/>
  <c r="X161" s="1"/>
  <c r="EN164" i="43"/>
  <c r="EN78"/>
  <c r="EN134"/>
  <c r="C140" i="45"/>
  <c r="EN170" i="43"/>
  <c r="EO139"/>
  <c r="EN60"/>
  <c r="EO118"/>
  <c r="EN133"/>
  <c r="EN139"/>
  <c r="EN146"/>
  <c r="BA78"/>
  <c r="BA148"/>
  <c r="EO153"/>
  <c r="EN156"/>
  <c r="EN153"/>
  <c r="D137" i="45"/>
  <c r="U137" s="1"/>
  <c r="EO156" i="43"/>
  <c r="EO148"/>
  <c r="EN162"/>
  <c r="EN148"/>
  <c r="BA175"/>
  <c r="V172" i="45"/>
  <c r="C167"/>
  <c r="EO170" i="43"/>
  <c r="D51" i="45"/>
  <c r="U51" s="1"/>
  <c r="EO169" i="43"/>
  <c r="D166" i="45"/>
  <c r="U166" s="1"/>
  <c r="D168"/>
  <c r="U168" s="1"/>
  <c r="EO171" i="43"/>
  <c r="EO100"/>
  <c r="V100" i="45"/>
  <c r="EN100" i="43"/>
  <c r="C118" i="45"/>
  <c r="EO121" i="43"/>
  <c r="C159" i="45"/>
  <c r="EO162" i="43"/>
  <c r="BA26"/>
  <c r="C151" i="45"/>
  <c r="EO154" i="43"/>
  <c r="C143" i="45"/>
  <c r="EO146" i="43"/>
  <c r="BA49"/>
  <c r="C131" i="45"/>
  <c r="EO134" i="43"/>
  <c r="EO133"/>
  <c r="C123" i="45"/>
  <c r="EO126" i="43"/>
  <c r="C113" i="45"/>
  <c r="EO116" i="43"/>
  <c r="EO108"/>
  <c r="EN94"/>
  <c r="C103" i="45"/>
  <c r="EO106" i="43"/>
  <c r="V48" i="45"/>
  <c r="C91"/>
  <c r="EO94" i="43"/>
  <c r="BA30"/>
  <c r="BA22"/>
  <c r="C64" i="45"/>
  <c r="EO67" i="43"/>
  <c r="EO80"/>
  <c r="D77" i="45"/>
  <c r="U77" s="1"/>
  <c r="C61"/>
  <c r="EO64" i="43"/>
  <c r="C75" i="45"/>
  <c r="EO78" i="43"/>
  <c r="EO69"/>
  <c r="BA38"/>
  <c r="C57" i="45"/>
  <c r="EO60" i="43"/>
  <c r="V57" i="45"/>
  <c r="BA60" i="43"/>
  <c r="EO27"/>
  <c r="D24" i="45"/>
  <c r="U24" s="1"/>
  <c r="EO22" i="43"/>
  <c r="D19" i="45"/>
  <c r="U19" s="1"/>
  <c r="D35"/>
  <c r="U35" s="1"/>
  <c r="EO38" i="43"/>
  <c r="EO31"/>
  <c r="D28" i="45"/>
  <c r="U28" s="1"/>
  <c r="D34"/>
  <c r="U34" s="1"/>
  <c r="EO37" i="43"/>
  <c r="EO30"/>
  <c r="D27" i="45"/>
  <c r="U27" s="1"/>
  <c r="D46"/>
  <c r="U46" s="1"/>
  <c r="EO49" i="43"/>
  <c r="EO51"/>
  <c r="D48" i="45"/>
  <c r="U48" s="1"/>
  <c r="EO25" i="43"/>
  <c r="D22" i="45"/>
  <c r="U22" s="1"/>
  <c r="EO26" i="43"/>
  <c r="D23" i="45"/>
  <c r="U23" s="1"/>
  <c r="D36"/>
  <c r="U36" s="1"/>
  <c r="EO39" i="43"/>
  <c r="EO46"/>
  <c r="D43" i="45"/>
  <c r="U43" s="1"/>
  <c r="D40"/>
  <c r="U40" s="1"/>
  <c r="EO43" i="43"/>
  <c r="V5" i="45"/>
  <c r="BA8" i="43"/>
  <c r="J10"/>
  <c r="J14"/>
  <c r="F57" i="35"/>
  <c r="J12" i="43"/>
  <c r="D57" i="35"/>
  <c r="J9" i="43"/>
  <c r="J11"/>
  <c r="J13"/>
  <c r="E57" i="35"/>
  <c r="J15" i="43"/>
  <c r="G57" i="35"/>
  <c r="I14" i="43"/>
  <c r="I15"/>
  <c r="I12"/>
  <c r="I9"/>
  <c r="I10"/>
  <c r="I11"/>
  <c r="I13"/>
  <c r="EO290" l="1"/>
  <c r="D287" i="45"/>
  <c r="U287" s="1"/>
  <c r="HA57" i="43"/>
  <c r="HC57" s="1"/>
  <c r="CP57" s="1"/>
  <c r="CR57" s="1"/>
  <c r="D257" i="45"/>
  <c r="U257" s="1"/>
  <c r="GM57" i="43"/>
  <c r="GO57" s="1"/>
  <c r="BB57" s="1"/>
  <c r="BD57" s="1"/>
  <c r="GT57"/>
  <c r="GV57" s="1"/>
  <c r="BU57" s="1"/>
  <c r="BW57" s="1"/>
  <c r="GX58"/>
  <c r="GW58" s="1"/>
  <c r="GS58" s="1"/>
  <c r="HL58"/>
  <c r="HK58" s="1"/>
  <c r="DK57"/>
  <c r="HE58"/>
  <c r="HD58" s="1"/>
  <c r="GQ58"/>
  <c r="GP58" s="1"/>
  <c r="GL58" s="1"/>
  <c r="AN57"/>
  <c r="EO309"/>
  <c r="D306" i="45"/>
  <c r="U306" s="1"/>
  <c r="EO272" i="43"/>
  <c r="EO219"/>
  <c r="D301" i="45"/>
  <c r="U301" s="1"/>
  <c r="EO282" i="43"/>
  <c r="D279" i="45"/>
  <c r="U279" s="1"/>
  <c r="D235"/>
  <c r="U235" s="1"/>
  <c r="EO238" i="43"/>
  <c r="D253" i="45"/>
  <c r="U253" s="1"/>
  <c r="EO256" i="43"/>
  <c r="EO346"/>
  <c r="D343" i="45"/>
  <c r="U343" s="1"/>
  <c r="D317"/>
  <c r="U317" s="1"/>
  <c r="EO320" i="43"/>
  <c r="EO298"/>
  <c r="D295" i="45"/>
  <c r="U295" s="1"/>
  <c r="EO294" i="43"/>
  <c r="D291" i="45"/>
  <c r="U291" s="1"/>
  <c r="V177"/>
  <c r="BA178" i="43"/>
  <c r="V175" i="45"/>
  <c r="V188"/>
  <c r="EO103" i="43"/>
  <c r="D177" i="45"/>
  <c r="U177" s="1"/>
  <c r="X177" s="1"/>
  <c r="EO180" i="43"/>
  <c r="EO164"/>
  <c r="K11"/>
  <c r="S11" s="1"/>
  <c r="K14"/>
  <c r="S14" s="1"/>
  <c r="K15"/>
  <c r="S15" s="1"/>
  <c r="K10"/>
  <c r="S10" s="1"/>
  <c r="K9"/>
  <c r="S9" s="1"/>
  <c r="CJ10"/>
  <c r="DC10"/>
  <c r="AV10"/>
  <c r="BO10"/>
  <c r="DC14"/>
  <c r="AV14"/>
  <c r="CJ14"/>
  <c r="BO14"/>
  <c r="DC11"/>
  <c r="CJ11"/>
  <c r="AV11"/>
  <c r="BO11"/>
  <c r="AV15"/>
  <c r="CJ15"/>
  <c r="DC15"/>
  <c r="BO15"/>
  <c r="CJ9"/>
  <c r="BO9"/>
  <c r="AV9"/>
  <c r="DC9"/>
  <c r="K12"/>
  <c r="W12" s="1"/>
  <c r="K13"/>
  <c r="S13" s="1"/>
  <c r="AP54" i="45" l="1"/>
  <c r="GK57" i="43"/>
  <c r="HB57" s="1"/>
  <c r="DB10"/>
  <c r="DD10" s="1"/>
  <c r="DY57"/>
  <c r="DZ57" s="1"/>
  <c r="AO57"/>
  <c r="HG58"/>
  <c r="GZ58"/>
  <c r="EB11"/>
  <c r="AJ11" s="1"/>
  <c r="BN14"/>
  <c r="BP14" s="1"/>
  <c r="Y15"/>
  <c r="Q15" s="1"/>
  <c r="AA15" s="1"/>
  <c r="AB15" s="1"/>
  <c r="BN11"/>
  <c r="BP11" s="1"/>
  <c r="CI11"/>
  <c r="CK11" s="1"/>
  <c r="DB11"/>
  <c r="DD11" s="1"/>
  <c r="EB10"/>
  <c r="AJ10" s="1"/>
  <c r="CI14"/>
  <c r="CK14" s="1"/>
  <c r="Y10"/>
  <c r="Q10" s="1"/>
  <c r="AA10" s="1"/>
  <c r="AB10" s="1"/>
  <c r="EB14"/>
  <c r="AJ14" s="1"/>
  <c r="AK14" s="1"/>
  <c r="C11" i="45" s="1"/>
  <c r="W14" i="43"/>
  <c r="CI10"/>
  <c r="CK10" s="1"/>
  <c r="W10"/>
  <c r="BN10"/>
  <c r="BP10" s="1"/>
  <c r="DB14"/>
  <c r="DD14" s="1"/>
  <c r="Y14"/>
  <c r="Q14" s="1"/>
  <c r="AA14" s="1"/>
  <c r="AB14" s="1"/>
  <c r="W11"/>
  <c r="Y11"/>
  <c r="Q11" s="1"/>
  <c r="AA11" s="1"/>
  <c r="AB11" s="1"/>
  <c r="BN15"/>
  <c r="BP15" s="1"/>
  <c r="W15"/>
  <c r="CI15"/>
  <c r="CK15" s="1"/>
  <c r="EB15"/>
  <c r="AJ15" s="1"/>
  <c r="AK15" s="1"/>
  <c r="C387" i="45" s="1"/>
  <c r="DB15" i="43"/>
  <c r="DD15" s="1"/>
  <c r="EB12"/>
  <c r="AU12" s="1"/>
  <c r="DB9"/>
  <c r="DD9" s="1"/>
  <c r="EB9"/>
  <c r="AJ9" s="1"/>
  <c r="EB13"/>
  <c r="AU13" s="1"/>
  <c r="BN9"/>
  <c r="BP9" s="1"/>
  <c r="DB13"/>
  <c r="DD13" s="1"/>
  <c r="BN13"/>
  <c r="BP13" s="1"/>
  <c r="CI9"/>
  <c r="CK9" s="1"/>
  <c r="CI13"/>
  <c r="CK13" s="1"/>
  <c r="Y13"/>
  <c r="Q13" s="1"/>
  <c r="AA13" s="1"/>
  <c r="AB13" s="1"/>
  <c r="W9"/>
  <c r="Y9"/>
  <c r="Q9" s="1"/>
  <c r="Y12"/>
  <c r="Q12" s="1"/>
  <c r="AY12" s="1"/>
  <c r="CI12"/>
  <c r="CK12" s="1"/>
  <c r="DB12"/>
  <c r="DD12" s="1"/>
  <c r="S12"/>
  <c r="BN12"/>
  <c r="BP12" s="1"/>
  <c r="X14"/>
  <c r="X9"/>
  <c r="X10"/>
  <c r="X11"/>
  <c r="DC12"/>
  <c r="CJ12"/>
  <c r="BO12"/>
  <c r="AV12"/>
  <c r="AJ12"/>
  <c r="W13"/>
  <c r="DC13"/>
  <c r="AJ13"/>
  <c r="AK13" s="1"/>
  <c r="C10" i="45" s="1"/>
  <c r="CJ13" i="43"/>
  <c r="BO13"/>
  <c r="AV13"/>
  <c r="X15"/>
  <c r="X13"/>
  <c r="HI57" l="1"/>
  <c r="GU57"/>
  <c r="GN57"/>
  <c r="GJ58"/>
  <c r="HH58" s="1"/>
  <c r="HJ58" s="1"/>
  <c r="DI58" s="1"/>
  <c r="FF57"/>
  <c r="AD54" i="45" s="1"/>
  <c r="T54"/>
  <c r="AA54" s="1"/>
  <c r="AB54" s="1"/>
  <c r="AK11" i="43"/>
  <c r="AK9"/>
  <c r="AK12"/>
  <c r="AK10"/>
  <c r="AU11"/>
  <c r="AH11" s="1"/>
  <c r="AI11" s="1"/>
  <c r="R11"/>
  <c r="EH11"/>
  <c r="AY15"/>
  <c r="V12" i="45" s="1"/>
  <c r="AY10" i="43"/>
  <c r="BA10" s="1"/>
  <c r="R10"/>
  <c r="AU10"/>
  <c r="AH10" s="1"/>
  <c r="AI10" s="1"/>
  <c r="R13"/>
  <c r="AU14"/>
  <c r="AH14" s="1"/>
  <c r="C12" i="45"/>
  <c r="AY14" i="43"/>
  <c r="V11" i="45" s="1"/>
  <c r="R12" i="43"/>
  <c r="EH10"/>
  <c r="R14"/>
  <c r="AY11"/>
  <c r="BA11" s="1"/>
  <c r="AU15"/>
  <c r="AH15" s="1"/>
  <c r="AU9"/>
  <c r="AH9" s="1"/>
  <c r="EN9" s="1"/>
  <c r="R9"/>
  <c r="R15"/>
  <c r="EH9"/>
  <c r="AY13"/>
  <c r="V10" i="45" s="1"/>
  <c r="AA12" i="43"/>
  <c r="AB12" s="1"/>
  <c r="X12"/>
  <c r="AY9"/>
  <c r="V6" i="45" s="1"/>
  <c r="AA9" i="43"/>
  <c r="AB9" s="1"/>
  <c r="EH12"/>
  <c r="AH12"/>
  <c r="V8" i="45"/>
  <c r="V7"/>
  <c r="BA15" i="43"/>
  <c r="V387" i="45"/>
  <c r="EH13" i="43"/>
  <c r="EH14"/>
  <c r="V9" i="45"/>
  <c r="BA12" i="43"/>
  <c r="AH13"/>
  <c r="EH15"/>
  <c r="HA58" l="1"/>
  <c r="HC58" s="1"/>
  <c r="CP58" s="1"/>
  <c r="CR58" s="1"/>
  <c r="GM58"/>
  <c r="GT58"/>
  <c r="GV58" s="1"/>
  <c r="BU58" s="1"/>
  <c r="BW58" s="1"/>
  <c r="GX59"/>
  <c r="GW59" s="1"/>
  <c r="HL59"/>
  <c r="HK59" s="1"/>
  <c r="DK58"/>
  <c r="HE59"/>
  <c r="HD59" s="1"/>
  <c r="C9" i="45"/>
  <c r="C8"/>
  <c r="C7"/>
  <c r="C6"/>
  <c r="EN11" i="43"/>
  <c r="EN10"/>
  <c r="BA14"/>
  <c r="AI9"/>
  <c r="D6" i="45" s="1"/>
  <c r="U6" s="1"/>
  <c r="BA13" i="43"/>
  <c r="BA9"/>
  <c r="EO11"/>
  <c r="D8" i="45"/>
  <c r="U8" s="1"/>
  <c r="EN13" i="43"/>
  <c r="AI13"/>
  <c r="EN12"/>
  <c r="AI12"/>
  <c r="D7" i="45"/>
  <c r="U7" s="1"/>
  <c r="EO10" i="43"/>
  <c r="EN15"/>
  <c r="AI15"/>
  <c r="EN14"/>
  <c r="AI14"/>
  <c r="GK58" l="1"/>
  <c r="GU58" s="1"/>
  <c r="GO58"/>
  <c r="BB58" s="1"/>
  <c r="AN58" s="1"/>
  <c r="HG59"/>
  <c r="GQ59"/>
  <c r="GP59" s="1"/>
  <c r="GL59" s="1"/>
  <c r="GZ59"/>
  <c r="GS59"/>
  <c r="Z59" i="45"/>
  <c r="EO9" i="43"/>
  <c r="EO12"/>
  <c r="D9" i="45"/>
  <c r="U9" s="1"/>
  <c r="EO14" i="43"/>
  <c r="D11" i="45"/>
  <c r="U11" s="1"/>
  <c r="D10"/>
  <c r="U10" s="1"/>
  <c r="EO13" i="43"/>
  <c r="EO15"/>
  <c r="D387" i="45"/>
  <c r="U387" s="1"/>
  <c r="D12"/>
  <c r="U12" s="1"/>
  <c r="AP55" l="1"/>
  <c r="HI58" i="43"/>
  <c r="GN58"/>
  <c r="HB58"/>
  <c r="BD58"/>
  <c r="AO58"/>
  <c r="DY58"/>
  <c r="DZ58" s="1"/>
  <c r="GJ59"/>
  <c r="R12" i="22"/>
  <c r="F9"/>
  <c r="R9"/>
  <c r="F10"/>
  <c r="R10"/>
  <c r="F11"/>
  <c r="R11"/>
  <c r="FF58" i="43" l="1"/>
  <c r="AD55" i="45" s="1"/>
  <c r="T55"/>
  <c r="AA55" s="1"/>
  <c r="AB55" s="1"/>
  <c r="GM59" i="43"/>
  <c r="HA59"/>
  <c r="HC59" s="1"/>
  <c r="CP59" s="1"/>
  <c r="HH59"/>
  <c r="HJ59" s="1"/>
  <c r="DI59" s="1"/>
  <c r="GT59"/>
  <c r="GV59" s="1"/>
  <c r="BU59" s="1"/>
  <c r="J19"/>
  <c r="K57" i="35"/>
  <c r="J16" i="43"/>
  <c r="H57" i="35"/>
  <c r="J20" i="43"/>
  <c r="L57" i="35"/>
  <c r="I57"/>
  <c r="J17" i="43"/>
  <c r="J18"/>
  <c r="J57" i="35"/>
  <c r="I16" i="43"/>
  <c r="I18"/>
  <c r="I19"/>
  <c r="K19" s="1"/>
  <c r="S19" s="1"/>
  <c r="I17"/>
  <c r="I20"/>
  <c r="HL60" l="1"/>
  <c r="HK60" s="1"/>
  <c r="DK59"/>
  <c r="GX60"/>
  <c r="GW60" s="1"/>
  <c r="BW59"/>
  <c r="GO59"/>
  <c r="BB59" s="1"/>
  <c r="GK59"/>
  <c r="HE60"/>
  <c r="HD60" s="1"/>
  <c r="CR59"/>
  <c r="Z60" i="45"/>
  <c r="K16" i="43"/>
  <c r="K20"/>
  <c r="S20" s="1"/>
  <c r="K18"/>
  <c r="S18" s="1"/>
  <c r="DC19"/>
  <c r="CJ19"/>
  <c r="AV19"/>
  <c r="BO19"/>
  <c r="AV16"/>
  <c r="DC16"/>
  <c r="BO16"/>
  <c r="CJ16"/>
  <c r="BO20"/>
  <c r="DC20"/>
  <c r="CJ20"/>
  <c r="AV20"/>
  <c r="DC18"/>
  <c r="CJ18"/>
  <c r="BO18"/>
  <c r="AV18"/>
  <c r="K17"/>
  <c r="EB16"/>
  <c r="AJ16" s="1"/>
  <c r="W19"/>
  <c r="EB19"/>
  <c r="AJ19" s="1"/>
  <c r="AK19" s="1"/>
  <c r="C16" i="45" s="1"/>
  <c r="BN19" i="43"/>
  <c r="Y19"/>
  <c r="Q19" s="1"/>
  <c r="AA19" s="1"/>
  <c r="AB19" s="1"/>
  <c r="DB19"/>
  <c r="CI19"/>
  <c r="AP56" i="45" l="1"/>
  <c r="BD59" i="43"/>
  <c r="GQ60"/>
  <c r="GP60" s="1"/>
  <c r="GL60" s="1"/>
  <c r="AN59"/>
  <c r="HG60"/>
  <c r="GU59"/>
  <c r="HI59"/>
  <c r="HB59"/>
  <c r="GN59"/>
  <c r="GZ60"/>
  <c r="GS60"/>
  <c r="S17"/>
  <c r="X17" s="1"/>
  <c r="S16"/>
  <c r="X16" s="1"/>
  <c r="AK16"/>
  <c r="EB18"/>
  <c r="AJ18" s="1"/>
  <c r="AK18" s="1"/>
  <c r="C15" i="45" s="1"/>
  <c r="CI18" i="43"/>
  <c r="CK18" s="1"/>
  <c r="Y18"/>
  <c r="Q18" s="1"/>
  <c r="AY18" s="1"/>
  <c r="DB16"/>
  <c r="DD16" s="1"/>
  <c r="BN16"/>
  <c r="BP16" s="1"/>
  <c r="W16"/>
  <c r="CI16"/>
  <c r="CK16" s="1"/>
  <c r="Y16"/>
  <c r="Q16" s="1"/>
  <c r="AY16" s="1"/>
  <c r="EB20"/>
  <c r="AJ20" s="1"/>
  <c r="AK20" s="1"/>
  <c r="C17" i="45" s="1"/>
  <c r="BN20" i="43"/>
  <c r="BP20" s="1"/>
  <c r="DB20"/>
  <c r="DD20" s="1"/>
  <c r="W20"/>
  <c r="Y20"/>
  <c r="Q20" s="1"/>
  <c r="AY20" s="1"/>
  <c r="CI20"/>
  <c r="CK20" s="1"/>
  <c r="BN18"/>
  <c r="BP18" s="1"/>
  <c r="DB18"/>
  <c r="DD18" s="1"/>
  <c r="W18"/>
  <c r="EB17"/>
  <c r="R17" s="1"/>
  <c r="DB17"/>
  <c r="DD17" s="1"/>
  <c r="W17"/>
  <c r="CI17"/>
  <c r="CK17" s="1"/>
  <c r="Y17"/>
  <c r="Q17" s="1"/>
  <c r="BN17"/>
  <c r="BP17" s="1"/>
  <c r="BO17"/>
  <c r="AJ17"/>
  <c r="AK17" s="1"/>
  <c r="AV17"/>
  <c r="CJ17"/>
  <c r="DC17"/>
  <c r="X19"/>
  <c r="R19"/>
  <c r="AU19"/>
  <c r="R16"/>
  <c r="AU16"/>
  <c r="AY19"/>
  <c r="DD19"/>
  <c r="BP19"/>
  <c r="X20"/>
  <c r="CK19"/>
  <c r="X18"/>
  <c r="AA18" l="1"/>
  <c r="AB18" s="1"/>
  <c r="GJ60"/>
  <c r="AO59"/>
  <c r="DY59"/>
  <c r="DZ59" s="1"/>
  <c r="AA17"/>
  <c r="AB17" s="1"/>
  <c r="C13" i="45"/>
  <c r="R18" i="43"/>
  <c r="AU18"/>
  <c r="AH18" s="1"/>
  <c r="AU20"/>
  <c r="AH20" s="1"/>
  <c r="R20"/>
  <c r="AU17"/>
  <c r="AH17" s="1"/>
  <c r="AA16"/>
  <c r="AB16" s="1"/>
  <c r="AA20"/>
  <c r="AB20" s="1"/>
  <c r="AY17"/>
  <c r="V389" i="45" s="1"/>
  <c r="C389"/>
  <c r="C14"/>
  <c r="EH20" i="43"/>
  <c r="EH18"/>
  <c r="V16" i="45"/>
  <c r="BA19" i="43"/>
  <c r="AH19"/>
  <c r="V15" i="45"/>
  <c r="BA18" i="43"/>
  <c r="EH17"/>
  <c r="EH16"/>
  <c r="AH16"/>
  <c r="V13" i="45"/>
  <c r="BA16" i="43"/>
  <c r="BA20"/>
  <c r="V17" i="45"/>
  <c r="EH19" i="43"/>
  <c r="GM60" l="1"/>
  <c r="HA60"/>
  <c r="HC60" s="1"/>
  <c r="CP60" s="1"/>
  <c r="HH60"/>
  <c r="HJ60" s="1"/>
  <c r="DI60" s="1"/>
  <c r="GT60"/>
  <c r="GV60" s="1"/>
  <c r="BU60" s="1"/>
  <c r="T56" i="45"/>
  <c r="AA56" s="1"/>
  <c r="AB56" s="1"/>
  <c r="FF59" i="43"/>
  <c r="AD56" i="45" s="1"/>
  <c r="BA17" i="43"/>
  <c r="V14" i="45"/>
  <c r="AI18" i="43"/>
  <c r="EN18"/>
  <c r="EN19"/>
  <c r="AI19"/>
  <c r="AI20"/>
  <c r="EN20"/>
  <c r="AI16"/>
  <c r="EN16"/>
  <c r="EN17"/>
  <c r="AI17"/>
  <c r="GO60" l="1"/>
  <c r="BB60" s="1"/>
  <c r="GK60"/>
  <c r="CR60"/>
  <c r="HE61"/>
  <c r="HD61" s="1"/>
  <c r="HL61"/>
  <c r="HK61" s="1"/>
  <c r="HG61" s="1"/>
  <c r="DK60"/>
  <c r="GX61"/>
  <c r="GW61" s="1"/>
  <c r="BW60"/>
  <c r="EO18"/>
  <c r="D15" i="45"/>
  <c r="U15" s="1"/>
  <c r="EO16" i="43"/>
  <c r="D13" i="45"/>
  <c r="U13" s="1"/>
  <c r="EO20" i="43"/>
  <c r="D17" i="45"/>
  <c r="U17" s="1"/>
  <c r="D16"/>
  <c r="U16" s="1"/>
  <c r="EO19" i="43"/>
  <c r="D389" i="45"/>
  <c r="U389" s="1"/>
  <c r="D14"/>
  <c r="U14" s="1"/>
  <c r="EO17" i="43"/>
  <c r="AP57" i="45" l="1"/>
  <c r="AN60" i="43"/>
  <c r="GQ61"/>
  <c r="GP61" s="1"/>
  <c r="BD60"/>
  <c r="HB60"/>
  <c r="GU60"/>
  <c r="HI60"/>
  <c r="GN60"/>
  <c r="GS61"/>
  <c r="GZ61"/>
  <c r="Z61" i="45"/>
  <c r="R14" i="22"/>
  <c r="F14"/>
  <c r="F17"/>
  <c r="F16"/>
  <c r="R16"/>
  <c r="F15"/>
  <c r="R15"/>
  <c r="R13"/>
  <c r="P41"/>
  <c r="F13"/>
  <c r="P43"/>
  <c r="AO60" i="43" l="1"/>
  <c r="DY60"/>
  <c r="DZ60" s="1"/>
  <c r="GL61"/>
  <c r="GJ61" s="1"/>
  <c r="R41" i="22"/>
  <c r="R43"/>
  <c r="R48"/>
  <c r="Q47"/>
  <c r="R47"/>
  <c r="Q48"/>
  <c r="E53"/>
  <c r="E52"/>
  <c r="F53"/>
  <c r="F41"/>
  <c r="F52"/>
  <c r="F43"/>
  <c r="T57" i="45" l="1"/>
  <c r="AA57" s="1"/>
  <c r="AB57" s="1"/>
  <c r="FF60" i="43"/>
  <c r="AD57" i="45" s="1"/>
  <c r="HH61" i="43"/>
  <c r="HJ61" s="1"/>
  <c r="DI61" s="1"/>
  <c r="HA61"/>
  <c r="HC61" s="1"/>
  <c r="CP61" s="1"/>
  <c r="GT61"/>
  <c r="GV61" s="1"/>
  <c r="BU61" s="1"/>
  <c r="GM61"/>
  <c r="J48"/>
  <c r="K48" s="1"/>
  <c r="S48" s="1"/>
  <c r="I35"/>
  <c r="K35" s="1"/>
  <c r="S35" s="1"/>
  <c r="J40"/>
  <c r="K40" s="1"/>
  <c r="S40" s="1"/>
  <c r="I29"/>
  <c r="K29" s="1"/>
  <c r="S29" s="1"/>
  <c r="J34"/>
  <c r="K34" s="1"/>
  <c r="S34" s="1"/>
  <c r="J21"/>
  <c r="K21" s="1"/>
  <c r="F20" i="35" s="1"/>
  <c r="J24" i="43"/>
  <c r="K24" s="1"/>
  <c r="BW61" l="1"/>
  <c r="GX62"/>
  <c r="GW62" s="1"/>
  <c r="GO61"/>
  <c r="BB61" s="1"/>
  <c r="GK61"/>
  <c r="DK61"/>
  <c r="HL62"/>
  <c r="HK62" s="1"/>
  <c r="CR61"/>
  <c r="HE62"/>
  <c r="HD62" s="1"/>
  <c r="E20" i="35"/>
  <c r="D20"/>
  <c r="H20"/>
  <c r="G20"/>
  <c r="S24" i="43"/>
  <c r="X24" s="1"/>
  <c r="K20" i="35"/>
  <c r="J20"/>
  <c r="I20"/>
  <c r="S21" i="43"/>
  <c r="D25" i="35" s="1"/>
  <c r="L20"/>
  <c r="Z62" i="45"/>
  <c r="CI35" i="43"/>
  <c r="CK35" s="1"/>
  <c r="EB35"/>
  <c r="AU35" s="1"/>
  <c r="Y35"/>
  <c r="Q35" s="1"/>
  <c r="W35"/>
  <c r="DB35"/>
  <c r="DD35" s="1"/>
  <c r="BN35"/>
  <c r="BP35" s="1"/>
  <c r="DB29"/>
  <c r="DD29" s="1"/>
  <c r="Y29"/>
  <c r="Q29" s="1"/>
  <c r="AA29" s="1"/>
  <c r="AB29" s="1"/>
  <c r="W29"/>
  <c r="W24"/>
  <c r="BN34"/>
  <c r="BP34" s="1"/>
  <c r="W34"/>
  <c r="DB34"/>
  <c r="DD34" s="1"/>
  <c r="Y34"/>
  <c r="Q34" s="1"/>
  <c r="CI34"/>
  <c r="CK34" s="1"/>
  <c r="Y21"/>
  <c r="Q21" s="1"/>
  <c r="W21"/>
  <c r="DB21"/>
  <c r="DB24"/>
  <c r="DD24" s="1"/>
  <c r="Y24"/>
  <c r="Q24" s="1"/>
  <c r="AV40"/>
  <c r="BO40"/>
  <c r="DC40"/>
  <c r="CJ40"/>
  <c r="BN40"/>
  <c r="BP40" s="1"/>
  <c r="EB40"/>
  <c r="DB40"/>
  <c r="DD40" s="1"/>
  <c r="Y40"/>
  <c r="W40"/>
  <c r="CI40"/>
  <c r="CK40" s="1"/>
  <c r="DC48"/>
  <c r="AV48"/>
  <c r="BO48"/>
  <c r="CJ48"/>
  <c r="EB48"/>
  <c r="W48"/>
  <c r="Y48"/>
  <c r="DB48"/>
  <c r="BN48"/>
  <c r="CI48"/>
  <c r="CJ24"/>
  <c r="AV24"/>
  <c r="D60" i="35" s="1"/>
  <c r="BO24" i="43"/>
  <c r="DC24"/>
  <c r="DC21"/>
  <c r="BO21"/>
  <c r="CJ21"/>
  <c r="AV21"/>
  <c r="X29"/>
  <c r="AV29"/>
  <c r="DC29"/>
  <c r="CJ29"/>
  <c r="BO29"/>
  <c r="EB24"/>
  <c r="EB21"/>
  <c r="AU21" s="1"/>
  <c r="EB29"/>
  <c r="AJ29" s="1"/>
  <c r="AK29" s="1"/>
  <c r="C26" i="45" s="1"/>
  <c r="X34" i="43"/>
  <c r="BO34"/>
  <c r="AV34"/>
  <c r="CJ34"/>
  <c r="DC34"/>
  <c r="BN24"/>
  <c r="BP24" s="1"/>
  <c r="BN21"/>
  <c r="BN29"/>
  <c r="BP29" s="1"/>
  <c r="X35"/>
  <c r="BO35"/>
  <c r="AV35"/>
  <c r="CJ35"/>
  <c r="DC35"/>
  <c r="AJ35"/>
  <c r="AK35" s="1"/>
  <c r="C32" i="45" s="1"/>
  <c r="CI24" i="43"/>
  <c r="CK24" s="1"/>
  <c r="CI21"/>
  <c r="EB34"/>
  <c r="AU34" s="1"/>
  <c r="CI29"/>
  <c r="CK29" s="1"/>
  <c r="E72" i="35"/>
  <c r="D72"/>
  <c r="E100"/>
  <c r="X21" i="43" l="1"/>
  <c r="HG62"/>
  <c r="GS62"/>
  <c r="AN61"/>
  <c r="AP58" i="45"/>
  <c r="BD61" i="43"/>
  <c r="GQ62"/>
  <c r="GP62" s="1"/>
  <c r="GZ62"/>
  <c r="GN61"/>
  <c r="GU61"/>
  <c r="HI61"/>
  <c r="HB61"/>
  <c r="D100" i="35"/>
  <c r="D101"/>
  <c r="D87"/>
  <c r="G60"/>
  <c r="D88"/>
  <c r="K60"/>
  <c r="E60"/>
  <c r="F72"/>
  <c r="F87"/>
  <c r="F100"/>
  <c r="E73"/>
  <c r="D73"/>
  <c r="F25"/>
  <c r="E25"/>
  <c r="F88"/>
  <c r="E88"/>
  <c r="E87"/>
  <c r="F101"/>
  <c r="E101"/>
  <c r="G73"/>
  <c r="F73"/>
  <c r="F60"/>
  <c r="H87"/>
  <c r="G87"/>
  <c r="H25"/>
  <c r="G25"/>
  <c r="H72"/>
  <c r="G72"/>
  <c r="H88"/>
  <c r="G88"/>
  <c r="H101"/>
  <c r="G101"/>
  <c r="H100"/>
  <c r="G100"/>
  <c r="L73"/>
  <c r="H73"/>
  <c r="I60"/>
  <c r="H60"/>
  <c r="I88"/>
  <c r="J25"/>
  <c r="I25"/>
  <c r="L88"/>
  <c r="I73"/>
  <c r="I87"/>
  <c r="L101"/>
  <c r="I72"/>
  <c r="I101"/>
  <c r="L60"/>
  <c r="J60"/>
  <c r="L25"/>
  <c r="K25"/>
  <c r="BP21" i="43"/>
  <c r="L72" i="35"/>
  <c r="DD21" i="43"/>
  <c r="L100" i="35"/>
  <c r="CK21" i="43"/>
  <c r="L87" i="35"/>
  <c r="R35" i="43"/>
  <c r="CK48"/>
  <c r="BP48"/>
  <c r="J71" i="35" s="1"/>
  <c r="EH35" i="43"/>
  <c r="EH40"/>
  <c r="AY29"/>
  <c r="AH35"/>
  <c r="AI35" s="1"/>
  <c r="D32" i="45" s="1"/>
  <c r="U32" s="1"/>
  <c r="AY24" i="43"/>
  <c r="AA24"/>
  <c r="AB24" s="1"/>
  <c r="AY21"/>
  <c r="AA21"/>
  <c r="AB21" s="1"/>
  <c r="AY34"/>
  <c r="AA34"/>
  <c r="AB34" s="1"/>
  <c r="AY35"/>
  <c r="AA35"/>
  <c r="AB35" s="1"/>
  <c r="J100" i="35"/>
  <c r="I100"/>
  <c r="K87"/>
  <c r="J87"/>
  <c r="K73"/>
  <c r="J73"/>
  <c r="K88"/>
  <c r="J88"/>
  <c r="K86"/>
  <c r="J86"/>
  <c r="K72"/>
  <c r="J72"/>
  <c r="K101"/>
  <c r="J101"/>
  <c r="D71"/>
  <c r="K71"/>
  <c r="DD48" i="43"/>
  <c r="K100" i="35"/>
  <c r="EH29" i="43"/>
  <c r="R21"/>
  <c r="AH34"/>
  <c r="AI34" s="1"/>
  <c r="D31" i="45" s="1"/>
  <c r="U31" s="1"/>
  <c r="EH24" i="43"/>
  <c r="X40"/>
  <c r="R34"/>
  <c r="X48"/>
  <c r="EH34"/>
  <c r="AH21"/>
  <c r="AU24"/>
  <c r="R24"/>
  <c r="AJ34"/>
  <c r="AK34" s="1"/>
  <c r="C31" i="45" s="1"/>
  <c r="AJ21" i="43"/>
  <c r="AU48"/>
  <c r="R48"/>
  <c r="AU40"/>
  <c r="AH40" s="1"/>
  <c r="R40"/>
  <c r="AU29"/>
  <c r="AH29" s="1"/>
  <c r="EN29" s="1"/>
  <c r="R29"/>
  <c r="AJ24"/>
  <c r="Q48"/>
  <c r="AJ48"/>
  <c r="Q40"/>
  <c r="D24" i="35" s="1"/>
  <c r="AJ40" i="43"/>
  <c r="AK40" s="1"/>
  <c r="C37" i="45" s="1"/>
  <c r="D86" i="35"/>
  <c r="DY61" i="43" l="1"/>
  <c r="DZ61" s="1"/>
  <c r="AO61"/>
  <c r="GL62"/>
  <c r="GJ62" s="1"/>
  <c r="E86" i="35"/>
  <c r="E71"/>
  <c r="I71"/>
  <c r="D35"/>
  <c r="L24"/>
  <c r="E24"/>
  <c r="F24"/>
  <c r="G24"/>
  <c r="H24"/>
  <c r="I58"/>
  <c r="AH24" i="43"/>
  <c r="EN24" s="1"/>
  <c r="E58" i="35"/>
  <c r="F58"/>
  <c r="E99"/>
  <c r="D99"/>
  <c r="G58"/>
  <c r="F35"/>
  <c r="E35"/>
  <c r="H58"/>
  <c r="G99"/>
  <c r="F99"/>
  <c r="G86"/>
  <c r="F86"/>
  <c r="G71"/>
  <c r="F71"/>
  <c r="H35"/>
  <c r="G35"/>
  <c r="L86"/>
  <c r="H86"/>
  <c r="L71"/>
  <c r="H71"/>
  <c r="L99"/>
  <c r="H99"/>
  <c r="I99"/>
  <c r="L58"/>
  <c r="I86"/>
  <c r="EH21" i="43"/>
  <c r="EN21"/>
  <c r="AK21"/>
  <c r="L35" i="35"/>
  <c r="AI21" i="43"/>
  <c r="D18" i="45" s="1"/>
  <c r="U18" s="1"/>
  <c r="EO35" i="43"/>
  <c r="EN35"/>
  <c r="BA29"/>
  <c r="V26" i="45"/>
  <c r="EH48" i="43"/>
  <c r="V31" i="45"/>
  <c r="BA34" i="43"/>
  <c r="V21" i="45"/>
  <c r="BA24" i="43"/>
  <c r="I24" i="35"/>
  <c r="AA48" i="43"/>
  <c r="AB48" s="1"/>
  <c r="BA35"/>
  <c r="V32" i="45"/>
  <c r="BA21" i="43"/>
  <c r="V18" i="45"/>
  <c r="AY40" i="43"/>
  <c r="V37" i="45" s="1"/>
  <c r="AA40" i="43"/>
  <c r="AB40" s="1"/>
  <c r="EN34"/>
  <c r="J35" i="35"/>
  <c r="I35"/>
  <c r="K24"/>
  <c r="J24"/>
  <c r="K58"/>
  <c r="J58"/>
  <c r="K99"/>
  <c r="J99"/>
  <c r="AK48" i="43"/>
  <c r="K35" i="35"/>
  <c r="EO34" i="43"/>
  <c r="AI29"/>
  <c r="EO29" s="1"/>
  <c r="AY48"/>
  <c r="D58" i="35"/>
  <c r="AH48" i="43"/>
  <c r="L33" i="35" s="1"/>
  <c r="AK24" i="43"/>
  <c r="EN40"/>
  <c r="AI40"/>
  <c r="T58" i="45" l="1"/>
  <c r="AA58" s="1"/>
  <c r="AB58" s="1"/>
  <c r="FF61" i="43"/>
  <c r="AD58" i="45" s="1"/>
  <c r="GT62" i="43"/>
  <c r="GV62" s="1"/>
  <c r="BU62" s="1"/>
  <c r="HH62"/>
  <c r="HJ62" s="1"/>
  <c r="DI62" s="1"/>
  <c r="HA62"/>
  <c r="HC62" s="1"/>
  <c r="CP62" s="1"/>
  <c r="GM62"/>
  <c r="F33" i="35"/>
  <c r="G33"/>
  <c r="H33"/>
  <c r="K33"/>
  <c r="D36"/>
  <c r="AI24" i="43"/>
  <c r="D21" i="45" s="1"/>
  <c r="U21" s="1"/>
  <c r="D33" i="35"/>
  <c r="E33"/>
  <c r="F36"/>
  <c r="E36"/>
  <c r="G59"/>
  <c r="H36"/>
  <c r="G36"/>
  <c r="EO21" i="43"/>
  <c r="C18" i="45"/>
  <c r="L36" i="35"/>
  <c r="Z63" i="45"/>
  <c r="BA40" i="43"/>
  <c r="D26" i="45"/>
  <c r="U26" s="1"/>
  <c r="J36" i="35"/>
  <c r="I36"/>
  <c r="I33"/>
  <c r="J33"/>
  <c r="C45" i="45"/>
  <c r="K36" i="35"/>
  <c r="AI48" i="43"/>
  <c r="I34" i="35" s="1"/>
  <c r="EN48" i="43"/>
  <c r="EO40"/>
  <c r="D37" i="45"/>
  <c r="U37" s="1"/>
  <c r="V45"/>
  <c r="BA48" i="43"/>
  <c r="I59" i="35" s="1"/>
  <c r="C21" i="45"/>
  <c r="HE63" i="43" l="1"/>
  <c r="HD63" s="1"/>
  <c r="CR62"/>
  <c r="GK62"/>
  <c r="GO62"/>
  <c r="BB62" s="1"/>
  <c r="BW62"/>
  <c r="GX63"/>
  <c r="GW63" s="1"/>
  <c r="HL63"/>
  <c r="HK63" s="1"/>
  <c r="DK62"/>
  <c r="E34" i="35"/>
  <c r="F34"/>
  <c r="F59"/>
  <c r="G34"/>
  <c r="H59"/>
  <c r="H34"/>
  <c r="L59"/>
  <c r="L34"/>
  <c r="D59"/>
  <c r="E59"/>
  <c r="EO24" i="43"/>
  <c r="K34" i="35"/>
  <c r="J34"/>
  <c r="K59"/>
  <c r="J59"/>
  <c r="D34"/>
  <c r="EO48" i="43"/>
  <c r="D45" i="45"/>
  <c r="U45" s="1"/>
  <c r="GZ63" i="43" l="1"/>
  <c r="GS63"/>
  <c r="HG63"/>
  <c r="HB62"/>
  <c r="GN62"/>
  <c r="HI62"/>
  <c r="GU62"/>
  <c r="BD62"/>
  <c r="AP59" i="45"/>
  <c r="AN62" i="43"/>
  <c r="GQ63"/>
  <c r="GP63" s="1"/>
  <c r="GL63" s="1"/>
  <c r="GJ63" l="1"/>
  <c r="GM63" s="1"/>
  <c r="GO63" s="1"/>
  <c r="BB63" s="1"/>
  <c r="AO62"/>
  <c r="DY62"/>
  <c r="DZ62" s="1"/>
  <c r="GT63" l="1"/>
  <c r="GV63" s="1"/>
  <c r="BU63" s="1"/>
  <c r="HH63"/>
  <c r="HJ63" s="1"/>
  <c r="DI63" s="1"/>
  <c r="DK63" s="1"/>
  <c r="HA63"/>
  <c r="HC63" s="1"/>
  <c r="CP63" s="1"/>
  <c r="CR63" s="1"/>
  <c r="FF62"/>
  <c r="AD59" i="45" s="1"/>
  <c r="T59"/>
  <c r="AA59" s="1"/>
  <c r="AB59" s="1"/>
  <c r="AP60"/>
  <c r="BD63" i="43"/>
  <c r="GQ64"/>
  <c r="GP64" s="1"/>
  <c r="Z64" i="45"/>
  <c r="HL64" i="43" l="1"/>
  <c r="HK64" s="1"/>
  <c r="HG64" s="1"/>
  <c r="HE64"/>
  <c r="HD64" s="1"/>
  <c r="GZ64" s="1"/>
  <c r="AN63"/>
  <c r="AO63" s="1"/>
  <c r="GK63"/>
  <c r="GU63" s="1"/>
  <c r="BW63"/>
  <c r="GX64"/>
  <c r="GW64" s="1"/>
  <c r="GS64" s="1"/>
  <c r="GL64"/>
  <c r="DY63" l="1"/>
  <c r="DZ63" s="1"/>
  <c r="HI63"/>
  <c r="HB63"/>
  <c r="GN63"/>
  <c r="GJ64"/>
  <c r="FF63"/>
  <c r="AD60" i="45" s="1"/>
  <c r="T60"/>
  <c r="AA60" s="1"/>
  <c r="AB60" s="1"/>
  <c r="HH64" i="43" l="1"/>
  <c r="HJ64" s="1"/>
  <c r="DI64" s="1"/>
  <c r="GT64"/>
  <c r="GV64" s="1"/>
  <c r="BU64" s="1"/>
  <c r="GM64"/>
  <c r="HA64"/>
  <c r="HC64" s="1"/>
  <c r="CP64" s="1"/>
  <c r="DK64" l="1"/>
  <c r="HL65"/>
  <c r="HK65" s="1"/>
  <c r="GX65"/>
  <c r="GW65" s="1"/>
  <c r="BW64"/>
  <c r="GO64"/>
  <c r="BB64" s="1"/>
  <c r="GK64"/>
  <c r="CR64"/>
  <c r="HE65"/>
  <c r="HD65" s="1"/>
  <c r="GZ65" s="1"/>
  <c r="Z65" i="45"/>
  <c r="AP61" l="1"/>
  <c r="AN64" i="43"/>
  <c r="BD64"/>
  <c r="GQ65"/>
  <c r="GP65" s="1"/>
  <c r="GN64"/>
  <c r="HI64"/>
  <c r="GU64"/>
  <c r="HB64"/>
  <c r="HG65"/>
  <c r="GS65"/>
  <c r="AO64" l="1"/>
  <c r="DY64"/>
  <c r="DZ64" s="1"/>
  <c r="GL65"/>
  <c r="GJ65" s="1"/>
  <c r="GM65" s="1"/>
  <c r="T61" i="45" l="1"/>
  <c r="AA61" s="1"/>
  <c r="AB61" s="1"/>
  <c r="FF64" i="43"/>
  <c r="AD61" i="45" s="1"/>
  <c r="HA65" i="43"/>
  <c r="HC65" s="1"/>
  <c r="CP65" s="1"/>
  <c r="GT65"/>
  <c r="GV65" s="1"/>
  <c r="BU65" s="1"/>
  <c r="HH65"/>
  <c r="HJ65" s="1"/>
  <c r="DI65" s="1"/>
  <c r="GO65"/>
  <c r="BB65" s="1"/>
  <c r="Z66" i="45"/>
  <c r="AP62" l="1"/>
  <c r="AN65" i="43"/>
  <c r="BD65"/>
  <c r="GQ66"/>
  <c r="GP66" s="1"/>
  <c r="DK65"/>
  <c r="HL66"/>
  <c r="HK66" s="1"/>
  <c r="CR65"/>
  <c r="HE66"/>
  <c r="HD66" s="1"/>
  <c r="GK65"/>
  <c r="BW65"/>
  <c r="GX66"/>
  <c r="GW66" s="1"/>
  <c r="GU65" l="1"/>
  <c r="GN65"/>
  <c r="HB65"/>
  <c r="HI65"/>
  <c r="HG66"/>
  <c r="DY65"/>
  <c r="DZ65" s="1"/>
  <c r="AO65"/>
  <c r="GS66"/>
  <c r="GZ66"/>
  <c r="GL66"/>
  <c r="GJ66" l="1"/>
  <c r="HA66" s="1"/>
  <c r="HC66" s="1"/>
  <c r="CP66" s="1"/>
  <c r="CR66" s="1"/>
  <c r="T62" i="45"/>
  <c r="AA62" s="1"/>
  <c r="AB62" s="1"/>
  <c r="FF65" i="43"/>
  <c r="AD62" i="45" s="1"/>
  <c r="GT66" i="43" l="1"/>
  <c r="GV66" s="1"/>
  <c r="BU66" s="1"/>
  <c r="GX67" s="1"/>
  <c r="GW67" s="1"/>
  <c r="HH66"/>
  <c r="HJ66" s="1"/>
  <c r="DI66" s="1"/>
  <c r="DK66" s="1"/>
  <c r="GM66"/>
  <c r="GO66" s="1"/>
  <c r="BB66" s="1"/>
  <c r="HE67"/>
  <c r="HD67" s="1"/>
  <c r="GZ67" s="1"/>
  <c r="Z67" i="45"/>
  <c r="HL67" i="43" l="1"/>
  <c r="HK67" s="1"/>
  <c r="HG67" s="1"/>
  <c r="BW66"/>
  <c r="GK66"/>
  <c r="HB66" s="1"/>
  <c r="AP63" i="45"/>
  <c r="BD66" i="43"/>
  <c r="AN66"/>
  <c r="GQ67"/>
  <c r="GP67" s="1"/>
  <c r="GS67"/>
  <c r="GU66" l="1"/>
  <c r="HI66"/>
  <c r="GN66"/>
  <c r="AO66"/>
  <c r="DY66"/>
  <c r="DZ66" s="1"/>
  <c r="GL67"/>
  <c r="GJ67" s="1"/>
  <c r="T63" i="45" l="1"/>
  <c r="AA63" s="1"/>
  <c r="AB63" s="1"/>
  <c r="FF66" i="43"/>
  <c r="AD63" i="45" s="1"/>
  <c r="HA67" i="43"/>
  <c r="HC67" s="1"/>
  <c r="CP67" s="1"/>
  <c r="GT67"/>
  <c r="GV67" s="1"/>
  <c r="BU67" s="1"/>
  <c r="HH67"/>
  <c r="HJ67" s="1"/>
  <c r="DI67" s="1"/>
  <c r="GM67"/>
  <c r="HE68" l="1"/>
  <c r="HD68" s="1"/>
  <c r="GZ68" s="1"/>
  <c r="CR67"/>
  <c r="GX68"/>
  <c r="GW68" s="1"/>
  <c r="GS68" s="1"/>
  <c r="BW67"/>
  <c r="HL68"/>
  <c r="HK68" s="1"/>
  <c r="HG68" s="1"/>
  <c r="DK67"/>
  <c r="GK67"/>
  <c r="GO67"/>
  <c r="BB67" s="1"/>
  <c r="BD67" s="1"/>
  <c r="Z68" i="45"/>
  <c r="GN67" i="43" l="1"/>
  <c r="HI67"/>
  <c r="GU67"/>
  <c r="HB67"/>
  <c r="AP64" i="45"/>
  <c r="AN67" i="43"/>
  <c r="GQ68"/>
  <c r="GP68" s="1"/>
  <c r="DY67" l="1"/>
  <c r="DZ67" s="1"/>
  <c r="AO67"/>
  <c r="GL68"/>
  <c r="GJ68" s="1"/>
  <c r="FF67" l="1"/>
  <c r="AD64" i="45" s="1"/>
  <c r="T64"/>
  <c r="AA64" s="1"/>
  <c r="AB64" s="1"/>
  <c r="GT68" i="43"/>
  <c r="GV68" s="1"/>
  <c r="BU68" s="1"/>
  <c r="HH68"/>
  <c r="HJ68" s="1"/>
  <c r="DI68" s="1"/>
  <c r="HA68"/>
  <c r="HC68" s="1"/>
  <c r="CP68" s="1"/>
  <c r="GM68"/>
  <c r="Z69" i="45"/>
  <c r="HL69" i="43" l="1"/>
  <c r="HK69" s="1"/>
  <c r="HG69" s="1"/>
  <c r="DK68"/>
  <c r="GX69"/>
  <c r="GW69" s="1"/>
  <c r="GS69" s="1"/>
  <c r="BW68"/>
  <c r="HE69"/>
  <c r="HD69" s="1"/>
  <c r="GZ69" s="1"/>
  <c r="CR68"/>
  <c r="GK68"/>
  <c r="GO68"/>
  <c r="BB68" s="1"/>
  <c r="BD68" s="1"/>
  <c r="HI68" l="1"/>
  <c r="HB68"/>
  <c r="GN68"/>
  <c r="GU68"/>
  <c r="GQ69"/>
  <c r="GP69" s="1"/>
  <c r="GL69" s="1"/>
  <c r="GJ69" s="1"/>
  <c r="AP65" i="45"/>
  <c r="AN68" i="43"/>
  <c r="GM69" l="1"/>
  <c r="HH69"/>
  <c r="HJ69" s="1"/>
  <c r="DI69" s="1"/>
  <c r="GT69"/>
  <c r="GV69" s="1"/>
  <c r="BU69" s="1"/>
  <c r="HA69"/>
  <c r="HC69" s="1"/>
  <c r="CP69" s="1"/>
  <c r="DY68"/>
  <c r="DZ68" s="1"/>
  <c r="AO68"/>
  <c r="HE70" l="1"/>
  <c r="HD70" s="1"/>
  <c r="GZ70" s="1"/>
  <c r="CR69"/>
  <c r="GX70"/>
  <c r="GW70" s="1"/>
  <c r="GS70" s="1"/>
  <c r="BW69"/>
  <c r="HL70"/>
  <c r="HK70" s="1"/>
  <c r="HG70" s="1"/>
  <c r="DK69"/>
  <c r="FF68"/>
  <c r="AD65" i="45" s="1"/>
  <c r="T65"/>
  <c r="AA65" s="1"/>
  <c r="AB65" s="1"/>
  <c r="GO69" i="43"/>
  <c r="BB69" s="1"/>
  <c r="BD69" s="1"/>
  <c r="GK69"/>
  <c r="Z70" i="45"/>
  <c r="AN69" i="43" l="1"/>
  <c r="GQ70"/>
  <c r="GP70" s="1"/>
  <c r="AP66" i="45"/>
  <c r="HB69" i="43"/>
  <c r="HI69"/>
  <c r="GU69"/>
  <c r="GN69"/>
  <c r="DY69" l="1"/>
  <c r="DZ69" s="1"/>
  <c r="AO69"/>
  <c r="GL70"/>
  <c r="GJ70" s="1"/>
  <c r="GM70" s="1"/>
  <c r="FF69" l="1"/>
  <c r="AD66" i="45" s="1"/>
  <c r="T66"/>
  <c r="AA66" s="1"/>
  <c r="AB66" s="1"/>
  <c r="GO70" i="43"/>
  <c r="BB70" s="1"/>
  <c r="BD70" s="1"/>
  <c r="HH70"/>
  <c r="HJ70" s="1"/>
  <c r="DI70" s="1"/>
  <c r="HA70"/>
  <c r="HC70" s="1"/>
  <c r="CP70" s="1"/>
  <c r="GT70"/>
  <c r="GV70" s="1"/>
  <c r="BU70" s="1"/>
  <c r="HL71" l="1"/>
  <c r="HK71" s="1"/>
  <c r="HG71" s="1"/>
  <c r="DK70"/>
  <c r="GX71"/>
  <c r="GW71" s="1"/>
  <c r="GS71" s="1"/>
  <c r="BW70"/>
  <c r="HE71"/>
  <c r="HD71" s="1"/>
  <c r="GZ71" s="1"/>
  <c r="CR70"/>
  <c r="GK70"/>
  <c r="AP67" i="45"/>
  <c r="AN70" i="43"/>
  <c r="GQ71"/>
  <c r="GP71" s="1"/>
  <c r="Z71" i="45"/>
  <c r="AO70" i="43" l="1"/>
  <c r="DY70"/>
  <c r="DZ70" s="1"/>
  <c r="GL71"/>
  <c r="GJ71" s="1"/>
  <c r="GU70"/>
  <c r="HI70"/>
  <c r="HB70"/>
  <c r="GN70"/>
  <c r="FF70" l="1"/>
  <c r="AD67" i="45" s="1"/>
  <c r="T67"/>
  <c r="AA67" s="1"/>
  <c r="AB67" s="1"/>
  <c r="HH71" i="43"/>
  <c r="HJ71" s="1"/>
  <c r="DI71" s="1"/>
  <c r="HA71"/>
  <c r="HC71" s="1"/>
  <c r="CP71" s="1"/>
  <c r="GT71"/>
  <c r="GV71" s="1"/>
  <c r="BU71" s="1"/>
  <c r="GM71"/>
  <c r="HE72" l="1"/>
  <c r="HD72" s="1"/>
  <c r="GZ72" s="1"/>
  <c r="CR71"/>
  <c r="HL72"/>
  <c r="HK72" s="1"/>
  <c r="HG72" s="1"/>
  <c r="DK71"/>
  <c r="GX72"/>
  <c r="GW72" s="1"/>
  <c r="GS72" s="1"/>
  <c r="BW71"/>
  <c r="GO71"/>
  <c r="BB71" s="1"/>
  <c r="BD71" s="1"/>
  <c r="GK71"/>
  <c r="AP68" i="45" l="1"/>
  <c r="GQ72" i="43"/>
  <c r="GP72" s="1"/>
  <c r="GL72" s="1"/>
  <c r="GJ72" s="1"/>
  <c r="AN71"/>
  <c r="HB71"/>
  <c r="GN71"/>
  <c r="HI71"/>
  <c r="GU71"/>
  <c r="Z72" i="45"/>
  <c r="GM72" i="43" l="1"/>
  <c r="HA72"/>
  <c r="HC72" s="1"/>
  <c r="CP72" s="1"/>
  <c r="HH72"/>
  <c r="HJ72" s="1"/>
  <c r="DI72" s="1"/>
  <c r="GT72"/>
  <c r="GV72" s="1"/>
  <c r="BU72" s="1"/>
  <c r="AO71"/>
  <c r="DY71"/>
  <c r="DZ71" s="1"/>
  <c r="GX73" l="1"/>
  <c r="GW73" s="1"/>
  <c r="GS73" s="1"/>
  <c r="BW72"/>
  <c r="HL73"/>
  <c r="HK73" s="1"/>
  <c r="HG73" s="1"/>
  <c r="DK72"/>
  <c r="HE73"/>
  <c r="HD73" s="1"/>
  <c r="GZ73" s="1"/>
  <c r="CR72"/>
  <c r="FF71"/>
  <c r="AD68" i="45" s="1"/>
  <c r="T68"/>
  <c r="AA68" s="1"/>
  <c r="AB68" s="1"/>
  <c r="GO72" i="43"/>
  <c r="BB72" s="1"/>
  <c r="BD72" s="1"/>
  <c r="GK72"/>
  <c r="AN72" l="1"/>
  <c r="GQ73"/>
  <c r="GP73" s="1"/>
  <c r="HI72"/>
  <c r="GU72"/>
  <c r="HB72"/>
  <c r="GN72"/>
  <c r="DY72" l="1"/>
  <c r="DZ72" s="1"/>
  <c r="AO72"/>
  <c r="GL73"/>
  <c r="GJ73" s="1"/>
  <c r="Z73" i="45"/>
  <c r="FF72" i="43" l="1"/>
  <c r="AD69" i="45" s="1"/>
  <c r="T69"/>
  <c r="AA69" s="1"/>
  <c r="AB69" s="1"/>
  <c r="HA73" i="43"/>
  <c r="HC73" s="1"/>
  <c r="CP73" s="1"/>
  <c r="GT73"/>
  <c r="GV73" s="1"/>
  <c r="BU73" s="1"/>
  <c r="HH73"/>
  <c r="HJ73" s="1"/>
  <c r="DI73" s="1"/>
  <c r="GM73"/>
  <c r="GX74" l="1"/>
  <c r="GW74" s="1"/>
  <c r="GS74" s="1"/>
  <c r="BW73"/>
  <c r="HE74"/>
  <c r="HD74" s="1"/>
  <c r="GZ74" s="1"/>
  <c r="CR73"/>
  <c r="HL74"/>
  <c r="HK74" s="1"/>
  <c r="HG74" s="1"/>
  <c r="DK73"/>
  <c r="GO73"/>
  <c r="BB73" s="1"/>
  <c r="BD73" s="1"/>
  <c r="GK73"/>
  <c r="AN73" l="1"/>
  <c r="GQ74"/>
  <c r="GP74" s="1"/>
  <c r="HB73"/>
  <c r="GN73"/>
  <c r="HI73"/>
  <c r="GU73"/>
  <c r="Z74" i="45"/>
  <c r="DY73" i="43" l="1"/>
  <c r="DZ73" s="1"/>
  <c r="AO73"/>
  <c r="GL74"/>
  <c r="GJ74" s="1"/>
  <c r="FF73" l="1"/>
  <c r="AD70" i="45" s="1"/>
  <c r="T70"/>
  <c r="AA70" s="1"/>
  <c r="AB70" s="1"/>
  <c r="GT74" i="43"/>
  <c r="GV74" s="1"/>
  <c r="BU74" s="1"/>
  <c r="HA74"/>
  <c r="HC74" s="1"/>
  <c r="CP74" s="1"/>
  <c r="HH74"/>
  <c r="HJ74" s="1"/>
  <c r="DI74" s="1"/>
  <c r="GM74"/>
  <c r="HE75" l="1"/>
  <c r="HD75" s="1"/>
  <c r="GZ75" s="1"/>
  <c r="CR74"/>
  <c r="GX75"/>
  <c r="GW75" s="1"/>
  <c r="GS75" s="1"/>
  <c r="BW74"/>
  <c r="HL75"/>
  <c r="HK75" s="1"/>
  <c r="HG75" s="1"/>
  <c r="DK74"/>
  <c r="GK74"/>
  <c r="GO74"/>
  <c r="BB74" s="1"/>
  <c r="BD74" s="1"/>
  <c r="HI74" l="1"/>
  <c r="GU74"/>
  <c r="HB74"/>
  <c r="GN74"/>
  <c r="AN74"/>
  <c r="GQ75"/>
  <c r="GP75" s="1"/>
  <c r="Z75" i="45"/>
  <c r="AO74" i="43" l="1"/>
  <c r="DY74"/>
  <c r="DZ74" s="1"/>
  <c r="GL75"/>
  <c r="GJ75" s="1"/>
  <c r="GM75" s="1"/>
  <c r="FF74" l="1"/>
  <c r="AD71" i="45" s="1"/>
  <c r="T71"/>
  <c r="AA71" s="1"/>
  <c r="AB71" s="1"/>
  <c r="HA75" i="43"/>
  <c r="HC75" s="1"/>
  <c r="CP75" s="1"/>
  <c r="GT75"/>
  <c r="GV75" s="1"/>
  <c r="BU75" s="1"/>
  <c r="HH75"/>
  <c r="HJ75" s="1"/>
  <c r="DI75" s="1"/>
  <c r="GO75"/>
  <c r="BB75" s="1"/>
  <c r="BD75" s="1"/>
  <c r="GX76" l="1"/>
  <c r="GW76" s="1"/>
  <c r="GS76" s="1"/>
  <c r="BW75"/>
  <c r="HE76"/>
  <c r="HD76" s="1"/>
  <c r="GZ76" s="1"/>
  <c r="CR75"/>
  <c r="HL76"/>
  <c r="HK76" s="1"/>
  <c r="HG76" s="1"/>
  <c r="DK75"/>
  <c r="AN75"/>
  <c r="GQ76"/>
  <c r="GP76" s="1"/>
  <c r="GK75"/>
  <c r="GU75" l="1"/>
  <c r="HB75"/>
  <c r="GN75"/>
  <c r="HI75"/>
  <c r="AO75"/>
  <c r="DY75"/>
  <c r="DZ75" s="1"/>
  <c r="GL76"/>
  <c r="GJ76" s="1"/>
  <c r="FF75" l="1"/>
  <c r="AD72" i="45" s="1"/>
  <c r="T72"/>
  <c r="AA72" s="1"/>
  <c r="AB72" s="1"/>
  <c r="GT76" i="43"/>
  <c r="GV76" s="1"/>
  <c r="BU76" s="1"/>
  <c r="HA76"/>
  <c r="HC76" s="1"/>
  <c r="CP76" s="1"/>
  <c r="HH76"/>
  <c r="HJ76" s="1"/>
  <c r="DI76" s="1"/>
  <c r="GM76"/>
  <c r="Z76" i="45"/>
  <c r="HE77" i="43" l="1"/>
  <c r="HD77" s="1"/>
  <c r="GZ77" s="1"/>
  <c r="CR76"/>
  <c r="GX77"/>
  <c r="GW77" s="1"/>
  <c r="GS77" s="1"/>
  <c r="BW76"/>
  <c r="HL77"/>
  <c r="HK77" s="1"/>
  <c r="HG77" s="1"/>
  <c r="DK76"/>
  <c r="GO76"/>
  <c r="BB76" s="1"/>
  <c r="BD76" s="1"/>
  <c r="GK76"/>
  <c r="GQ77" l="1"/>
  <c r="GP77" s="1"/>
  <c r="GL77" s="1"/>
  <c r="GJ77" s="1"/>
  <c r="AN76"/>
  <c r="GU76"/>
  <c r="GN76"/>
  <c r="HB76"/>
  <c r="HI76"/>
  <c r="GM77" l="1"/>
  <c r="HA77"/>
  <c r="HC77" s="1"/>
  <c r="CP77" s="1"/>
  <c r="GT77"/>
  <c r="GV77" s="1"/>
  <c r="BU77" s="1"/>
  <c r="HH77"/>
  <c r="HJ77" s="1"/>
  <c r="DI77" s="1"/>
  <c r="AO76"/>
  <c r="DY76"/>
  <c r="DZ76" s="1"/>
  <c r="Z77" i="45"/>
  <c r="HL78" i="43" l="1"/>
  <c r="HK78" s="1"/>
  <c r="HG78" s="1"/>
  <c r="DK77"/>
  <c r="HE78"/>
  <c r="HD78" s="1"/>
  <c r="GZ78" s="1"/>
  <c r="CR77"/>
  <c r="GX78"/>
  <c r="GW78" s="1"/>
  <c r="GS78" s="1"/>
  <c r="BW77"/>
  <c r="FF76"/>
  <c r="AD73" i="45" s="1"/>
  <c r="T73"/>
  <c r="AA73" s="1"/>
  <c r="AB73" s="1"/>
  <c r="GO77" i="43"/>
  <c r="BB77" s="1"/>
  <c r="BD77" s="1"/>
  <c r="GK77"/>
  <c r="GQ78" l="1"/>
  <c r="GP78" s="1"/>
  <c r="AN77"/>
  <c r="GU77"/>
  <c r="HB77"/>
  <c r="HI77"/>
  <c r="GN77"/>
  <c r="GL78" l="1"/>
  <c r="GJ78" s="1"/>
  <c r="AO77"/>
  <c r="DY77"/>
  <c r="DZ77" s="1"/>
  <c r="Z78" i="45"/>
  <c r="FF77" i="43" l="1"/>
  <c r="AD74" i="45" s="1"/>
  <c r="T74"/>
  <c r="AA74" s="1"/>
  <c r="AB74" s="1"/>
  <c r="HA78" i="43"/>
  <c r="HC78" s="1"/>
  <c r="CP78" s="1"/>
  <c r="HH78"/>
  <c r="HJ78" s="1"/>
  <c r="DI78" s="1"/>
  <c r="GT78"/>
  <c r="GV78" s="1"/>
  <c r="BU78" s="1"/>
  <c r="GM78"/>
  <c r="HL79" l="1"/>
  <c r="HK79" s="1"/>
  <c r="HG79" s="1"/>
  <c r="DK78"/>
  <c r="HE79"/>
  <c r="HD79" s="1"/>
  <c r="GZ79" s="1"/>
  <c r="CR78"/>
  <c r="GX79"/>
  <c r="GW79" s="1"/>
  <c r="GS79" s="1"/>
  <c r="BW78"/>
  <c r="GO78"/>
  <c r="BB78" s="1"/>
  <c r="BD78" s="1"/>
  <c r="GK78"/>
  <c r="GQ79" l="1"/>
  <c r="GP79" s="1"/>
  <c r="AN78"/>
  <c r="GN78"/>
  <c r="GU78"/>
  <c r="HI78"/>
  <c r="HB78"/>
  <c r="GL79" l="1"/>
  <c r="GJ79" s="1"/>
  <c r="AO78"/>
  <c r="DY78"/>
  <c r="DZ78" s="1"/>
  <c r="Z79" i="45"/>
  <c r="FF78" i="43" l="1"/>
  <c r="AD75" i="45" s="1"/>
  <c r="T75"/>
  <c r="AA75" s="1"/>
  <c r="AB75" s="1"/>
  <c r="HH79" i="43"/>
  <c r="HJ79" s="1"/>
  <c r="DI79" s="1"/>
  <c r="HA79"/>
  <c r="HC79" s="1"/>
  <c r="CP79" s="1"/>
  <c r="GT79"/>
  <c r="GV79" s="1"/>
  <c r="BU79" s="1"/>
  <c r="GM79"/>
  <c r="HE80" l="1"/>
  <c r="HD80" s="1"/>
  <c r="GZ80" s="1"/>
  <c r="CR79"/>
  <c r="HL80"/>
  <c r="HK80" s="1"/>
  <c r="HG80" s="1"/>
  <c r="DK79"/>
  <c r="GX80"/>
  <c r="GW80" s="1"/>
  <c r="GS80" s="1"/>
  <c r="BW79"/>
  <c r="GO79"/>
  <c r="BB79" s="1"/>
  <c r="BD79" s="1"/>
  <c r="GK79"/>
  <c r="GQ80" l="1"/>
  <c r="GP80" s="1"/>
  <c r="AN79"/>
  <c r="GU79"/>
  <c r="HI79"/>
  <c r="HB79"/>
  <c r="GN79"/>
  <c r="GL80" l="1"/>
  <c r="GJ80" s="1"/>
  <c r="DY79"/>
  <c r="DZ79" s="1"/>
  <c r="AO79"/>
  <c r="Z80" i="45"/>
  <c r="FF79" i="43" l="1"/>
  <c r="AD76" i="45" s="1"/>
  <c r="T76"/>
  <c r="AA76" s="1"/>
  <c r="AB76" s="1"/>
  <c r="HA80" i="43"/>
  <c r="HC80" s="1"/>
  <c r="CP80" s="1"/>
  <c r="HH80"/>
  <c r="HJ80" s="1"/>
  <c r="DI80" s="1"/>
  <c r="GT80"/>
  <c r="GV80" s="1"/>
  <c r="BU80" s="1"/>
  <c r="GM80"/>
  <c r="HL81" l="1"/>
  <c r="HK81" s="1"/>
  <c r="HG81" s="1"/>
  <c r="DK80"/>
  <c r="HE81"/>
  <c r="HD81" s="1"/>
  <c r="GZ81" s="1"/>
  <c r="CR80"/>
  <c r="GX81"/>
  <c r="GW81" s="1"/>
  <c r="GS81" s="1"/>
  <c r="BW80"/>
  <c r="GK80"/>
  <c r="GO80"/>
  <c r="BB80" s="1"/>
  <c r="BD80" s="1"/>
  <c r="HI80" l="1"/>
  <c r="GU80"/>
  <c r="GN80"/>
  <c r="HB80"/>
  <c r="AN80"/>
  <c r="GQ81"/>
  <c r="GP81" s="1"/>
  <c r="GL81" s="1"/>
  <c r="GJ81" s="1"/>
  <c r="AO80" l="1"/>
  <c r="DY80"/>
  <c r="DZ80" s="1"/>
  <c r="GM81"/>
  <c r="HH81"/>
  <c r="HJ81" s="1"/>
  <c r="DI81" s="1"/>
  <c r="HA81"/>
  <c r="HC81" s="1"/>
  <c r="CP81" s="1"/>
  <c r="GT81"/>
  <c r="GV81" s="1"/>
  <c r="BU81" s="1"/>
  <c r="Z81" i="45"/>
  <c r="HL82" i="43" l="1"/>
  <c r="HK82" s="1"/>
  <c r="HG82" s="1"/>
  <c r="DK81"/>
  <c r="GX82"/>
  <c r="GW82" s="1"/>
  <c r="GS82" s="1"/>
  <c r="BW81"/>
  <c r="HE82"/>
  <c r="HD82" s="1"/>
  <c r="GZ82" s="1"/>
  <c r="CR81"/>
  <c r="FF80"/>
  <c r="AD77" i="45" s="1"/>
  <c r="T77"/>
  <c r="AA77" s="1"/>
  <c r="AB77" s="1"/>
  <c r="GO81" i="43"/>
  <c r="BB81" s="1"/>
  <c r="BD81" s="1"/>
  <c r="GK81"/>
  <c r="GQ82" l="1"/>
  <c r="GP82" s="1"/>
  <c r="AN81"/>
  <c r="GU81"/>
  <c r="GN81"/>
  <c r="HI81"/>
  <c r="HB81"/>
  <c r="GL82" l="1"/>
  <c r="GJ82" s="1"/>
  <c r="AO81"/>
  <c r="DY81"/>
  <c r="DZ81" s="1"/>
  <c r="Z82" i="45"/>
  <c r="FF81" i="43" l="1"/>
  <c r="AD78" i="45" s="1"/>
  <c r="T78"/>
  <c r="AA78" s="1"/>
  <c r="AB78" s="1"/>
  <c r="GT82" i="43"/>
  <c r="GV82" s="1"/>
  <c r="BU82" s="1"/>
  <c r="HH82"/>
  <c r="HJ82" s="1"/>
  <c r="DI82" s="1"/>
  <c r="HA82"/>
  <c r="HC82" s="1"/>
  <c r="CP82" s="1"/>
  <c r="GM82"/>
  <c r="HL83" l="1"/>
  <c r="HK83" s="1"/>
  <c r="HG83" s="1"/>
  <c r="DK82"/>
  <c r="GX83"/>
  <c r="GW83" s="1"/>
  <c r="GS83" s="1"/>
  <c r="BW82"/>
  <c r="HE83"/>
  <c r="HD83" s="1"/>
  <c r="GZ83" s="1"/>
  <c r="CR82"/>
  <c r="GO82"/>
  <c r="BB82" s="1"/>
  <c r="BD82" s="1"/>
  <c r="GK82"/>
  <c r="GN82" l="1"/>
  <c r="HI82"/>
  <c r="GU82"/>
  <c r="HB82"/>
  <c r="AN82"/>
  <c r="GQ83"/>
  <c r="GP83" s="1"/>
  <c r="AO82" l="1"/>
  <c r="DY82"/>
  <c r="DZ82" s="1"/>
  <c r="GL83"/>
  <c r="GJ83" s="1"/>
  <c r="Z83" i="45"/>
  <c r="FF82" i="43" l="1"/>
  <c r="AD79" i="45" s="1"/>
  <c r="T79"/>
  <c r="AA79" s="1"/>
  <c r="AB79" s="1"/>
  <c r="HH83" i="43"/>
  <c r="HJ83" s="1"/>
  <c r="DI83" s="1"/>
  <c r="GT83"/>
  <c r="GV83" s="1"/>
  <c r="BU83" s="1"/>
  <c r="HA83"/>
  <c r="HC83" s="1"/>
  <c r="CP83" s="1"/>
  <c r="GM83"/>
  <c r="GX84" l="1"/>
  <c r="GW84" s="1"/>
  <c r="GS84" s="1"/>
  <c r="BW83"/>
  <c r="HL84"/>
  <c r="HK84" s="1"/>
  <c r="HG84" s="1"/>
  <c r="DK83"/>
  <c r="HE84"/>
  <c r="HD84" s="1"/>
  <c r="GZ84" s="1"/>
  <c r="CR83"/>
  <c r="GO83"/>
  <c r="BB83" s="1"/>
  <c r="BD83" s="1"/>
  <c r="GK83"/>
  <c r="AN83" l="1"/>
  <c r="GQ84"/>
  <c r="GP84" s="1"/>
  <c r="HB83"/>
  <c r="GN83"/>
  <c r="HI83"/>
  <c r="GU83"/>
  <c r="AO83" l="1"/>
  <c r="DY83"/>
  <c r="DZ83" s="1"/>
  <c r="GL84"/>
  <c r="GJ84" s="1"/>
  <c r="Z84" i="45"/>
  <c r="FF83" i="43" l="1"/>
  <c r="AD80" i="45" s="1"/>
  <c r="T80"/>
  <c r="AA80" s="1"/>
  <c r="AB80" s="1"/>
  <c r="GT84" i="43"/>
  <c r="GV84" s="1"/>
  <c r="BU84" s="1"/>
  <c r="HH84"/>
  <c r="HJ84" s="1"/>
  <c r="DI84" s="1"/>
  <c r="HA84"/>
  <c r="HC84" s="1"/>
  <c r="CP84" s="1"/>
  <c r="GM84"/>
  <c r="HL85" l="1"/>
  <c r="HK85" s="1"/>
  <c r="HG85" s="1"/>
  <c r="DK84"/>
  <c r="GX85"/>
  <c r="GW85" s="1"/>
  <c r="GS85" s="1"/>
  <c r="BW84"/>
  <c r="HE85"/>
  <c r="HD85" s="1"/>
  <c r="GZ85" s="1"/>
  <c r="CR84"/>
  <c r="GO84"/>
  <c r="BB84" s="1"/>
  <c r="BD84" s="1"/>
  <c r="GK84"/>
  <c r="GQ85" l="1"/>
  <c r="GP85" s="1"/>
  <c r="GL85" s="1"/>
  <c r="GJ85" s="1"/>
  <c r="AN84"/>
  <c r="GU84"/>
  <c r="HI84"/>
  <c r="GN84"/>
  <c r="HB84"/>
  <c r="GM85" l="1"/>
  <c r="HH85"/>
  <c r="HJ85" s="1"/>
  <c r="DI85" s="1"/>
  <c r="HA85"/>
  <c r="HC85" s="1"/>
  <c r="CP85" s="1"/>
  <c r="GT85"/>
  <c r="GV85" s="1"/>
  <c r="BU85" s="1"/>
  <c r="DY84"/>
  <c r="DZ84" s="1"/>
  <c r="AO84"/>
  <c r="Z85" i="45"/>
  <c r="GX86" i="43" l="1"/>
  <c r="GW86" s="1"/>
  <c r="GS86" s="1"/>
  <c r="BW85"/>
  <c r="HE86"/>
  <c r="HD86" s="1"/>
  <c r="GZ86" s="1"/>
  <c r="CR85"/>
  <c r="HL86"/>
  <c r="HK86" s="1"/>
  <c r="HG86" s="1"/>
  <c r="DK85"/>
  <c r="FF84"/>
  <c r="AD81" i="45" s="1"/>
  <c r="T81"/>
  <c r="AA81" s="1"/>
  <c r="AB81" s="1"/>
  <c r="GO85" i="43"/>
  <c r="BB85" s="1"/>
  <c r="BD85" s="1"/>
  <c r="GK85"/>
  <c r="GQ86" l="1"/>
  <c r="GP86" s="1"/>
  <c r="AN85"/>
  <c r="HB85"/>
  <c r="GN85"/>
  <c r="GU85"/>
  <c r="HI85"/>
  <c r="GL86" l="1"/>
  <c r="GJ86" s="1"/>
  <c r="AO85"/>
  <c r="DY85"/>
  <c r="DZ85" s="1"/>
  <c r="Z86" i="45"/>
  <c r="FF85" i="43" l="1"/>
  <c r="AD82" i="45" s="1"/>
  <c r="T82"/>
  <c r="AA82" s="1"/>
  <c r="AB82" s="1"/>
  <c r="HH86" i="43"/>
  <c r="HJ86" s="1"/>
  <c r="DI86" s="1"/>
  <c r="GT86"/>
  <c r="GV86" s="1"/>
  <c r="BU86" s="1"/>
  <c r="HA86"/>
  <c r="HC86" s="1"/>
  <c r="CP86" s="1"/>
  <c r="GM86"/>
  <c r="GX87" l="1"/>
  <c r="GW87" s="1"/>
  <c r="GS87" s="1"/>
  <c r="BW86"/>
  <c r="HL87"/>
  <c r="HK87" s="1"/>
  <c r="HG87" s="1"/>
  <c r="DK86"/>
  <c r="HE87"/>
  <c r="HD87" s="1"/>
  <c r="GZ87" s="1"/>
  <c r="CR86"/>
  <c r="GO86"/>
  <c r="BB86" s="1"/>
  <c r="BD86" s="1"/>
  <c r="GK86"/>
  <c r="AN86" l="1"/>
  <c r="GQ87"/>
  <c r="GP87" s="1"/>
  <c r="HB86"/>
  <c r="HI86"/>
  <c r="GU86"/>
  <c r="GN86"/>
  <c r="DY86" l="1"/>
  <c r="DZ86" s="1"/>
  <c r="AO86"/>
  <c r="GL87"/>
  <c r="GJ87" s="1"/>
  <c r="Z87" i="45"/>
  <c r="FF86" i="43" l="1"/>
  <c r="AD83" i="45" s="1"/>
  <c r="T83"/>
  <c r="AA83" s="1"/>
  <c r="AB83" s="1"/>
  <c r="GT87" i="43"/>
  <c r="GV87" s="1"/>
  <c r="BU87" s="1"/>
  <c r="HA87"/>
  <c r="HC87" s="1"/>
  <c r="CP87" s="1"/>
  <c r="HH87"/>
  <c r="HJ87" s="1"/>
  <c r="DI87" s="1"/>
  <c r="GM87"/>
  <c r="HE88" l="1"/>
  <c r="HD88" s="1"/>
  <c r="GZ88" s="1"/>
  <c r="CR87"/>
  <c r="GX88"/>
  <c r="GW88" s="1"/>
  <c r="GS88" s="1"/>
  <c r="BW87"/>
  <c r="HL88"/>
  <c r="HK88" s="1"/>
  <c r="HG88" s="1"/>
  <c r="DK87"/>
  <c r="GK87"/>
  <c r="GO87"/>
  <c r="BB87" s="1"/>
  <c r="BD87" s="1"/>
  <c r="HI87" l="1"/>
  <c r="HB87"/>
  <c r="GN87"/>
  <c r="GU87"/>
  <c r="AN87"/>
  <c r="GQ88"/>
  <c r="GP88" s="1"/>
  <c r="DY87" l="1"/>
  <c r="DZ87" s="1"/>
  <c r="AO87"/>
  <c r="GL88"/>
  <c r="GJ88" s="1"/>
  <c r="Z88" i="45"/>
  <c r="FF87" i="43" l="1"/>
  <c r="AD84" i="45" s="1"/>
  <c r="T84"/>
  <c r="AA84" s="1"/>
  <c r="AB84" s="1"/>
  <c r="HA88" i="43"/>
  <c r="HC88" s="1"/>
  <c r="CP88" s="1"/>
  <c r="HH88"/>
  <c r="HJ88" s="1"/>
  <c r="DI88" s="1"/>
  <c r="GT88"/>
  <c r="GV88" s="1"/>
  <c r="BU88" s="1"/>
  <c r="GM88"/>
  <c r="GX89" l="1"/>
  <c r="GW89" s="1"/>
  <c r="GS89" s="1"/>
  <c r="BW88"/>
  <c r="HL89"/>
  <c r="HK89" s="1"/>
  <c r="HG89" s="1"/>
  <c r="DK88"/>
  <c r="HE89"/>
  <c r="HD89" s="1"/>
  <c r="GZ89" s="1"/>
  <c r="CR88"/>
  <c r="GK88"/>
  <c r="GO88"/>
  <c r="BB88" s="1"/>
  <c r="BD88" s="1"/>
  <c r="GU88" l="1"/>
  <c r="GN88"/>
  <c r="HI88"/>
  <c r="HB88"/>
  <c r="AN88"/>
  <c r="GQ89"/>
  <c r="GP89" s="1"/>
  <c r="GL89" s="1"/>
  <c r="GJ89" s="1"/>
  <c r="GM89" l="1"/>
  <c r="HH89"/>
  <c r="HJ89" s="1"/>
  <c r="DI89" s="1"/>
  <c r="GT89"/>
  <c r="GV89" s="1"/>
  <c r="BU89" s="1"/>
  <c r="HA89"/>
  <c r="HC89" s="1"/>
  <c r="CP89" s="1"/>
  <c r="DY88"/>
  <c r="DZ88" s="1"/>
  <c r="AO88"/>
  <c r="Z89" i="45"/>
  <c r="HE90" i="43" l="1"/>
  <c r="HD90" s="1"/>
  <c r="GZ90" s="1"/>
  <c r="CR89"/>
  <c r="GX90"/>
  <c r="GW90" s="1"/>
  <c r="GS90" s="1"/>
  <c r="BW89"/>
  <c r="HL90"/>
  <c r="HK90" s="1"/>
  <c r="HG90" s="1"/>
  <c r="DK89"/>
  <c r="FF88"/>
  <c r="AD85" i="45" s="1"/>
  <c r="T85"/>
  <c r="AA85" s="1"/>
  <c r="AB85" s="1"/>
  <c r="GO89" i="43"/>
  <c r="BB89" s="1"/>
  <c r="BD89" s="1"/>
  <c r="GK89"/>
  <c r="GQ90" l="1"/>
  <c r="GP90" s="1"/>
  <c r="AN89"/>
  <c r="GU89"/>
  <c r="GN89"/>
  <c r="HB89"/>
  <c r="HI89"/>
  <c r="AO89" l="1"/>
  <c r="DY89"/>
  <c r="DZ89" s="1"/>
  <c r="GL90"/>
  <c r="GJ90" s="1"/>
  <c r="FF89" l="1"/>
  <c r="AD86" i="45" s="1"/>
  <c r="T86"/>
  <c r="AA86" s="1"/>
  <c r="AB86" s="1"/>
  <c r="HH90" i="43"/>
  <c r="HJ90" s="1"/>
  <c r="DI90" s="1"/>
  <c r="HA90"/>
  <c r="HC90" s="1"/>
  <c r="CP90" s="1"/>
  <c r="GT90"/>
  <c r="GV90" s="1"/>
  <c r="BU90" s="1"/>
  <c r="GM90"/>
  <c r="Z90" i="45"/>
  <c r="HE91" i="43" l="1"/>
  <c r="HD91" s="1"/>
  <c r="GZ91" s="1"/>
  <c r="CR90"/>
  <c r="HL91"/>
  <c r="HK91" s="1"/>
  <c r="HG91" s="1"/>
  <c r="DK90"/>
  <c r="GX91"/>
  <c r="GW91" s="1"/>
  <c r="GS91" s="1"/>
  <c r="BW90"/>
  <c r="GK90"/>
  <c r="GO90"/>
  <c r="BB90" s="1"/>
  <c r="BD90" s="1"/>
  <c r="GN90" l="1"/>
  <c r="HI90"/>
  <c r="GU90"/>
  <c r="HB90"/>
  <c r="AN90"/>
  <c r="GQ91"/>
  <c r="GP91" s="1"/>
  <c r="GL91" l="1"/>
  <c r="GJ91" s="1"/>
  <c r="GM91" s="1"/>
  <c r="DY90"/>
  <c r="DZ90" s="1"/>
  <c r="AO90"/>
  <c r="FF90" l="1"/>
  <c r="AD87" i="45" s="1"/>
  <c r="T87"/>
  <c r="AA87" s="1"/>
  <c r="AB87" s="1"/>
  <c r="GO91" i="43"/>
  <c r="BB91" s="1"/>
  <c r="BD91" s="1"/>
  <c r="HH91"/>
  <c r="HJ91" s="1"/>
  <c r="DI91" s="1"/>
  <c r="HA91"/>
  <c r="HC91" s="1"/>
  <c r="CP91" s="1"/>
  <c r="GT91"/>
  <c r="GV91" s="1"/>
  <c r="BU91" s="1"/>
  <c r="Z91" i="45"/>
  <c r="HL92" i="43" l="1"/>
  <c r="HK92" s="1"/>
  <c r="HG92" s="1"/>
  <c r="DK91"/>
  <c r="GX92"/>
  <c r="GW92" s="1"/>
  <c r="GS92" s="1"/>
  <c r="BW91"/>
  <c r="HE92"/>
  <c r="HD92" s="1"/>
  <c r="GZ92" s="1"/>
  <c r="CR91"/>
  <c r="AN91"/>
  <c r="GQ92"/>
  <c r="GP92" s="1"/>
  <c r="GK91"/>
  <c r="GU91" l="1"/>
  <c r="HI91"/>
  <c r="GN91"/>
  <c r="HB91"/>
  <c r="DY91"/>
  <c r="DZ91" s="1"/>
  <c r="AO91"/>
  <c r="GL92"/>
  <c r="GJ92" s="1"/>
  <c r="FF91" l="1"/>
  <c r="AD88" i="45" s="1"/>
  <c r="T88"/>
  <c r="AA88" s="1"/>
  <c r="AB88" s="1"/>
  <c r="HH92" i="43"/>
  <c r="HJ92" s="1"/>
  <c r="DI92" s="1"/>
  <c r="GT92"/>
  <c r="GV92" s="1"/>
  <c r="BU92" s="1"/>
  <c r="HA92"/>
  <c r="HC92" s="1"/>
  <c r="CP92" s="1"/>
  <c r="GM92"/>
  <c r="GX93" l="1"/>
  <c r="GW93" s="1"/>
  <c r="GS93" s="1"/>
  <c r="BW92"/>
  <c r="HL93"/>
  <c r="HK93" s="1"/>
  <c r="HG93" s="1"/>
  <c r="DK92"/>
  <c r="HE93"/>
  <c r="HD93" s="1"/>
  <c r="GZ93" s="1"/>
  <c r="CR92"/>
  <c r="GK92"/>
  <c r="GO92"/>
  <c r="BB92" s="1"/>
  <c r="BD92" s="1"/>
  <c r="Z92" i="45"/>
  <c r="GU92" i="43" l="1"/>
  <c r="HI92"/>
  <c r="HB92"/>
  <c r="GN92"/>
  <c r="AN92"/>
  <c r="GQ93"/>
  <c r="GP93" s="1"/>
  <c r="AO92" l="1"/>
  <c r="DY92"/>
  <c r="DZ92" s="1"/>
  <c r="GL93"/>
  <c r="GJ93" s="1"/>
  <c r="FF92" l="1"/>
  <c r="AD89" i="45" s="1"/>
  <c r="T89"/>
  <c r="AA89" s="1"/>
  <c r="AB89" s="1"/>
  <c r="HA93" i="43"/>
  <c r="HC93" s="1"/>
  <c r="CP93" s="1"/>
  <c r="GT93"/>
  <c r="GV93" s="1"/>
  <c r="BU93" s="1"/>
  <c r="HH93"/>
  <c r="HJ93" s="1"/>
  <c r="DI93" s="1"/>
  <c r="GM93"/>
  <c r="GX94" l="1"/>
  <c r="GW94" s="1"/>
  <c r="GS94" s="1"/>
  <c r="BW93"/>
  <c r="HE94"/>
  <c r="HD94" s="1"/>
  <c r="GZ94" s="1"/>
  <c r="CR93"/>
  <c r="HL94"/>
  <c r="HK94" s="1"/>
  <c r="HG94" s="1"/>
  <c r="DK93"/>
  <c r="GO93"/>
  <c r="BB93" s="1"/>
  <c r="BD93" s="1"/>
  <c r="GK93"/>
  <c r="Z93" i="45"/>
  <c r="GQ94" i="43" l="1"/>
  <c r="GP94" s="1"/>
  <c r="AN93"/>
  <c r="HI93"/>
  <c r="GU93"/>
  <c r="HB93"/>
  <c r="GN93"/>
  <c r="GL94" l="1"/>
  <c r="GJ94" s="1"/>
  <c r="DY93"/>
  <c r="DZ93" s="1"/>
  <c r="AO93"/>
  <c r="FF93" l="1"/>
  <c r="AD90" i="45" s="1"/>
  <c r="T90"/>
  <c r="AA90" s="1"/>
  <c r="AB90" s="1"/>
  <c r="HH94" i="43"/>
  <c r="HJ94" s="1"/>
  <c r="DI94" s="1"/>
  <c r="HA94"/>
  <c r="HC94" s="1"/>
  <c r="CP94" s="1"/>
  <c r="GT94"/>
  <c r="GV94" s="1"/>
  <c r="BU94" s="1"/>
  <c r="GM94"/>
  <c r="HE95" l="1"/>
  <c r="HD95" s="1"/>
  <c r="GZ95" s="1"/>
  <c r="CR94"/>
  <c r="HL95"/>
  <c r="HK95" s="1"/>
  <c r="HG95" s="1"/>
  <c r="DK94"/>
  <c r="GX95"/>
  <c r="GW95" s="1"/>
  <c r="GS95" s="1"/>
  <c r="BW94"/>
  <c r="GO94"/>
  <c r="BB94" s="1"/>
  <c r="BD94" s="1"/>
  <c r="GK94"/>
  <c r="Z94" i="45"/>
  <c r="GQ95" i="43" l="1"/>
  <c r="GP95" s="1"/>
  <c r="AN94"/>
  <c r="HI94"/>
  <c r="HB94"/>
  <c r="GN94"/>
  <c r="GU94"/>
  <c r="GL95" l="1"/>
  <c r="GJ95" s="1"/>
  <c r="GM95" s="1"/>
  <c r="DY94"/>
  <c r="DZ94" s="1"/>
  <c r="AO94"/>
  <c r="FF94" l="1"/>
  <c r="AD91" i="45" s="1"/>
  <c r="T91"/>
  <c r="AA91" s="1"/>
  <c r="AB91" s="1"/>
  <c r="GO95" i="43"/>
  <c r="BB95" s="1"/>
  <c r="BD95" s="1"/>
  <c r="HA95"/>
  <c r="HC95" s="1"/>
  <c r="CP95" s="1"/>
  <c r="HH95"/>
  <c r="HJ95" s="1"/>
  <c r="DI95" s="1"/>
  <c r="GT95"/>
  <c r="GV95" s="1"/>
  <c r="BU95" s="1"/>
  <c r="HE96" l="1"/>
  <c r="HD96" s="1"/>
  <c r="GZ96" s="1"/>
  <c r="CR95"/>
  <c r="GX96"/>
  <c r="GW96" s="1"/>
  <c r="GS96" s="1"/>
  <c r="BW95"/>
  <c r="HL96"/>
  <c r="HK96" s="1"/>
  <c r="HG96" s="1"/>
  <c r="DK95"/>
  <c r="GK95"/>
  <c r="AN95"/>
  <c r="GQ96"/>
  <c r="GP96" s="1"/>
  <c r="Z95" i="45"/>
  <c r="GL96" i="43" l="1"/>
  <c r="GJ96" s="1"/>
  <c r="HB95"/>
  <c r="GU95"/>
  <c r="GN95"/>
  <c r="HI95"/>
  <c r="DY95"/>
  <c r="DZ95" s="1"/>
  <c r="AO95"/>
  <c r="FF95" l="1"/>
  <c r="AD92" i="45" s="1"/>
  <c r="T92"/>
  <c r="AA92" s="1"/>
  <c r="AB92" s="1"/>
  <c r="GT96" i="43"/>
  <c r="GV96" s="1"/>
  <c r="BU96" s="1"/>
  <c r="HA96"/>
  <c r="HC96" s="1"/>
  <c r="CP96" s="1"/>
  <c r="HH96"/>
  <c r="HJ96" s="1"/>
  <c r="DI96" s="1"/>
  <c r="GM96"/>
  <c r="HE97" l="1"/>
  <c r="HD97" s="1"/>
  <c r="GZ97" s="1"/>
  <c r="CR96"/>
  <c r="GX97"/>
  <c r="GW97" s="1"/>
  <c r="GS97" s="1"/>
  <c r="BW96"/>
  <c r="HL97"/>
  <c r="HK97" s="1"/>
  <c r="HG97" s="1"/>
  <c r="DK96"/>
  <c r="GO96"/>
  <c r="BB96" s="1"/>
  <c r="BD96" s="1"/>
  <c r="GK96"/>
  <c r="Z96" i="45"/>
  <c r="GQ97" i="43" l="1"/>
  <c r="GP97" s="1"/>
  <c r="AN96"/>
  <c r="GU96"/>
  <c r="HB96"/>
  <c r="GN96"/>
  <c r="HI96"/>
  <c r="GL97" l="1"/>
  <c r="GJ97" s="1"/>
  <c r="GM97" s="1"/>
  <c r="AO96"/>
  <c r="DY96"/>
  <c r="DZ96" s="1"/>
  <c r="FF96" l="1"/>
  <c r="AD93" i="45" s="1"/>
  <c r="T93"/>
  <c r="AA93" s="1"/>
  <c r="AB93" s="1"/>
  <c r="GO97" i="43"/>
  <c r="BB97" s="1"/>
  <c r="BD97" s="1"/>
  <c r="HA97"/>
  <c r="HC97" s="1"/>
  <c r="CP97" s="1"/>
  <c r="GT97"/>
  <c r="GV97" s="1"/>
  <c r="BU97" s="1"/>
  <c r="HH97"/>
  <c r="HJ97" s="1"/>
  <c r="DI97" s="1"/>
  <c r="HE98" l="1"/>
  <c r="HD98" s="1"/>
  <c r="GZ98" s="1"/>
  <c r="CR97"/>
  <c r="HL98"/>
  <c r="HK98" s="1"/>
  <c r="HG98" s="1"/>
  <c r="DK97"/>
  <c r="GX98"/>
  <c r="GW98" s="1"/>
  <c r="GS98" s="1"/>
  <c r="BW97"/>
  <c r="AN97"/>
  <c r="GQ98"/>
  <c r="GP98" s="1"/>
  <c r="GK97"/>
  <c r="Z97" i="45"/>
  <c r="GU97" i="43" l="1"/>
  <c r="GN97"/>
  <c r="HB97"/>
  <c r="HI97"/>
  <c r="DY97"/>
  <c r="DZ97" s="1"/>
  <c r="AO97"/>
  <c r="GL98"/>
  <c r="GJ98" s="1"/>
  <c r="FF97" l="1"/>
  <c r="AD94" i="45" s="1"/>
  <c r="T94"/>
  <c r="AA94" s="1"/>
  <c r="AB94" s="1"/>
  <c r="HA98" i="43"/>
  <c r="HC98" s="1"/>
  <c r="CP98" s="1"/>
  <c r="HH98"/>
  <c r="HJ98" s="1"/>
  <c r="DI98" s="1"/>
  <c r="GT98"/>
  <c r="GV98" s="1"/>
  <c r="BU98" s="1"/>
  <c r="GM98"/>
  <c r="HL99" l="1"/>
  <c r="HK99" s="1"/>
  <c r="HG99" s="1"/>
  <c r="DK98"/>
  <c r="HE99"/>
  <c r="HD99" s="1"/>
  <c r="GZ99" s="1"/>
  <c r="CR98"/>
  <c r="GX99"/>
  <c r="GW99" s="1"/>
  <c r="GS99" s="1"/>
  <c r="BW98"/>
  <c r="GO98"/>
  <c r="BB98" s="1"/>
  <c r="BD98" s="1"/>
  <c r="GK98"/>
  <c r="GQ99" l="1"/>
  <c r="GP99" s="1"/>
  <c r="GL99" s="1"/>
  <c r="GJ99" s="1"/>
  <c r="AN98"/>
  <c r="HI98"/>
  <c r="HB98"/>
  <c r="GN98"/>
  <c r="GU98"/>
  <c r="Z98" i="45"/>
  <c r="GM99" i="43" l="1"/>
  <c r="HH99"/>
  <c r="HJ99" s="1"/>
  <c r="DI99" s="1"/>
  <c r="HA99"/>
  <c r="HC99" s="1"/>
  <c r="CP99" s="1"/>
  <c r="GT99"/>
  <c r="GV99" s="1"/>
  <c r="BU99" s="1"/>
  <c r="AO98"/>
  <c r="DY98"/>
  <c r="DZ98" s="1"/>
  <c r="GX100" l="1"/>
  <c r="GW100" s="1"/>
  <c r="GS100" s="1"/>
  <c r="BW99"/>
  <c r="HE100"/>
  <c r="HD100" s="1"/>
  <c r="GZ100" s="1"/>
  <c r="CR99"/>
  <c r="HL100"/>
  <c r="HK100" s="1"/>
  <c r="HG100" s="1"/>
  <c r="DK99"/>
  <c r="FF98"/>
  <c r="AD95" i="45" s="1"/>
  <c r="T95"/>
  <c r="AA95" s="1"/>
  <c r="AB95" s="1"/>
  <c r="GO99" i="43"/>
  <c r="BB99" s="1"/>
  <c r="BD99" s="1"/>
  <c r="GK99"/>
  <c r="GQ100" l="1"/>
  <c r="GP100" s="1"/>
  <c r="AN99"/>
  <c r="HI99"/>
  <c r="GN99"/>
  <c r="HB99"/>
  <c r="GU99"/>
  <c r="GL100" l="1"/>
  <c r="GJ100" s="1"/>
  <c r="AO99"/>
  <c r="DY99"/>
  <c r="DZ99" s="1"/>
  <c r="Z99" i="45"/>
  <c r="FF99" i="43" l="1"/>
  <c r="AD96" i="45" s="1"/>
  <c r="T96"/>
  <c r="AA96" s="1"/>
  <c r="AB96" s="1"/>
  <c r="HH100" i="43"/>
  <c r="HJ100" s="1"/>
  <c r="DI100" s="1"/>
  <c r="GT100"/>
  <c r="GV100" s="1"/>
  <c r="BU100" s="1"/>
  <c r="HA100"/>
  <c r="HC100" s="1"/>
  <c r="CP100" s="1"/>
  <c r="GM100"/>
  <c r="GX101" l="1"/>
  <c r="GW101" s="1"/>
  <c r="GS101" s="1"/>
  <c r="BW100"/>
  <c r="HL101"/>
  <c r="HK101" s="1"/>
  <c r="HG101" s="1"/>
  <c r="DK100"/>
  <c r="HE101"/>
  <c r="HD101" s="1"/>
  <c r="GZ101" s="1"/>
  <c r="CR100"/>
  <c r="GK100"/>
  <c r="GO100"/>
  <c r="BB100" s="1"/>
  <c r="BD100" s="1"/>
  <c r="HB100" l="1"/>
  <c r="HI100"/>
  <c r="GU100"/>
  <c r="GN100"/>
  <c r="GQ101"/>
  <c r="GP101" s="1"/>
  <c r="AN100"/>
  <c r="Z100" i="45"/>
  <c r="GL101" i="43" l="1"/>
  <c r="GJ101" s="1"/>
  <c r="DY100"/>
  <c r="DZ100" s="1"/>
  <c r="AO100"/>
  <c r="FF100" l="1"/>
  <c r="AD97" i="45" s="1"/>
  <c r="T97"/>
  <c r="AA97" s="1"/>
  <c r="AB97" s="1"/>
  <c r="GT101" i="43"/>
  <c r="GV101" s="1"/>
  <c r="BU101" s="1"/>
  <c r="HH101"/>
  <c r="HJ101" s="1"/>
  <c r="DI101" s="1"/>
  <c r="HA101"/>
  <c r="HC101" s="1"/>
  <c r="CP101" s="1"/>
  <c r="GM101"/>
  <c r="HL102" l="1"/>
  <c r="HK102" s="1"/>
  <c r="HG102" s="1"/>
  <c r="DK101"/>
  <c r="GX102"/>
  <c r="GW102" s="1"/>
  <c r="GS102" s="1"/>
  <c r="BW101"/>
  <c r="HE102"/>
  <c r="HD102" s="1"/>
  <c r="GZ102" s="1"/>
  <c r="CR101"/>
  <c r="GK101"/>
  <c r="GO101"/>
  <c r="BB101" s="1"/>
  <c r="BD101" s="1"/>
  <c r="HB101" l="1"/>
  <c r="GN101"/>
  <c r="HI101"/>
  <c r="GU101"/>
  <c r="GQ102"/>
  <c r="GP102" s="1"/>
  <c r="AN101"/>
  <c r="Z101" i="45"/>
  <c r="GL102" i="43" l="1"/>
  <c r="GJ102" s="1"/>
  <c r="AO101"/>
  <c r="DY101"/>
  <c r="DZ101" s="1"/>
  <c r="FF101" l="1"/>
  <c r="AD98" i="45" s="1"/>
  <c r="T98"/>
  <c r="AA98" s="1"/>
  <c r="AB98" s="1"/>
  <c r="HH102" i="43"/>
  <c r="HJ102" s="1"/>
  <c r="DI102" s="1"/>
  <c r="GT102"/>
  <c r="GV102" s="1"/>
  <c r="BU102" s="1"/>
  <c r="HA102"/>
  <c r="HC102" s="1"/>
  <c r="CP102" s="1"/>
  <c r="GM102"/>
  <c r="GX103" l="1"/>
  <c r="GW103" s="1"/>
  <c r="GS103" s="1"/>
  <c r="BW102"/>
  <c r="HL103"/>
  <c r="HK103" s="1"/>
  <c r="HG103" s="1"/>
  <c r="DK102"/>
  <c r="HE103"/>
  <c r="HD103" s="1"/>
  <c r="GZ103" s="1"/>
  <c r="CR102"/>
  <c r="GO102"/>
  <c r="BB102" s="1"/>
  <c r="BD102" s="1"/>
  <c r="GK102"/>
  <c r="GQ103" l="1"/>
  <c r="GP103" s="1"/>
  <c r="GL103" s="1"/>
  <c r="GJ103" s="1"/>
  <c r="AN102"/>
  <c r="HB102"/>
  <c r="GN102"/>
  <c r="GU102"/>
  <c r="HI102"/>
  <c r="Z102" i="45"/>
  <c r="GM103" i="43" l="1"/>
  <c r="GT103"/>
  <c r="GV103" s="1"/>
  <c r="BU103" s="1"/>
  <c r="HH103"/>
  <c r="HJ103" s="1"/>
  <c r="DI103" s="1"/>
  <c r="HA103"/>
  <c r="HC103" s="1"/>
  <c r="CP103" s="1"/>
  <c r="DY102"/>
  <c r="DZ102" s="1"/>
  <c r="AO102"/>
  <c r="HE104" l="1"/>
  <c r="HD104" s="1"/>
  <c r="GZ104" s="1"/>
  <c r="CR103"/>
  <c r="HL104"/>
  <c r="HK104" s="1"/>
  <c r="HG104" s="1"/>
  <c r="DK103"/>
  <c r="GX104"/>
  <c r="GW104" s="1"/>
  <c r="GS104" s="1"/>
  <c r="BW103"/>
  <c r="FF102"/>
  <c r="AD99" i="45" s="1"/>
  <c r="T99"/>
  <c r="AA99" s="1"/>
  <c r="AB99" s="1"/>
  <c r="GO103" i="43"/>
  <c r="BB103" s="1"/>
  <c r="BD103" s="1"/>
  <c r="GK103"/>
  <c r="AN103" l="1"/>
  <c r="GQ104"/>
  <c r="GP104" s="1"/>
  <c r="HB103"/>
  <c r="HI103"/>
  <c r="GN103"/>
  <c r="GU103"/>
  <c r="Z103" i="45"/>
  <c r="DY103" i="43" l="1"/>
  <c r="DZ103" s="1"/>
  <c r="AO103"/>
  <c r="GL104"/>
  <c r="GJ104" s="1"/>
  <c r="FF103" l="1"/>
  <c r="AD100" i="45" s="1"/>
  <c r="T100"/>
  <c r="AA100" s="1"/>
  <c r="AB100" s="1"/>
  <c r="GT104" i="43"/>
  <c r="GV104" s="1"/>
  <c r="BU104" s="1"/>
  <c r="HA104"/>
  <c r="HC104" s="1"/>
  <c r="CP104" s="1"/>
  <c r="HH104"/>
  <c r="HJ104" s="1"/>
  <c r="DI104" s="1"/>
  <c r="GM104"/>
  <c r="GX105" l="1"/>
  <c r="GW105" s="1"/>
  <c r="GS105" s="1"/>
  <c r="BW104"/>
  <c r="HE105"/>
  <c r="HD105" s="1"/>
  <c r="GZ105" s="1"/>
  <c r="CR104"/>
  <c r="HL105"/>
  <c r="HK105" s="1"/>
  <c r="HG105" s="1"/>
  <c r="DK104"/>
  <c r="GK104"/>
  <c r="GO104"/>
  <c r="BB104" s="1"/>
  <c r="BD104" s="1"/>
  <c r="Z104" i="45"/>
  <c r="GN104" i="43" l="1"/>
  <c r="HI104"/>
  <c r="GU104"/>
  <c r="HB104"/>
  <c r="AN104"/>
  <c r="GQ105"/>
  <c r="GP105" s="1"/>
  <c r="DY104" l="1"/>
  <c r="DZ104" s="1"/>
  <c r="AO104"/>
  <c r="GL105"/>
  <c r="GJ105" s="1"/>
  <c r="FF104" l="1"/>
  <c r="AD101" i="45" s="1"/>
  <c r="T101"/>
  <c r="AA101" s="1"/>
  <c r="AB101" s="1"/>
  <c r="HA105" i="43"/>
  <c r="HC105" s="1"/>
  <c r="CP105" s="1"/>
  <c r="GT105"/>
  <c r="GV105" s="1"/>
  <c r="BU105" s="1"/>
  <c r="HH105"/>
  <c r="HJ105" s="1"/>
  <c r="DI105" s="1"/>
  <c r="GM105"/>
  <c r="GX106" l="1"/>
  <c r="GW106" s="1"/>
  <c r="GS106" s="1"/>
  <c r="BW105"/>
  <c r="HE106"/>
  <c r="HD106" s="1"/>
  <c r="GZ106" s="1"/>
  <c r="CR105"/>
  <c r="HL106"/>
  <c r="HK106" s="1"/>
  <c r="HG106" s="1"/>
  <c r="DK105"/>
  <c r="GO105"/>
  <c r="BB105" s="1"/>
  <c r="BD105" s="1"/>
  <c r="GK105"/>
  <c r="Z105" i="45"/>
  <c r="GQ106" i="43" l="1"/>
  <c r="GP106" s="1"/>
  <c r="GL106" s="1"/>
  <c r="GJ106" s="1"/>
  <c r="AN105"/>
  <c r="GU105"/>
  <c r="HB105"/>
  <c r="HI105"/>
  <c r="GN105"/>
  <c r="GM106" l="1"/>
  <c r="GT106"/>
  <c r="GV106" s="1"/>
  <c r="BU106" s="1"/>
  <c r="HA106"/>
  <c r="HC106" s="1"/>
  <c r="CP106" s="1"/>
  <c r="HH106"/>
  <c r="HJ106" s="1"/>
  <c r="DI106" s="1"/>
  <c r="AO105"/>
  <c r="DY105"/>
  <c r="DZ105" s="1"/>
  <c r="HE107" l="1"/>
  <c r="HD107" s="1"/>
  <c r="GZ107" s="1"/>
  <c r="CR106"/>
  <c r="GX107"/>
  <c r="GW107" s="1"/>
  <c r="GS107" s="1"/>
  <c r="BW106"/>
  <c r="HL107"/>
  <c r="HK107" s="1"/>
  <c r="HG107" s="1"/>
  <c r="DK106"/>
  <c r="FF105"/>
  <c r="AD102" i="45" s="1"/>
  <c r="T102"/>
  <c r="AA102" s="1"/>
  <c r="AB102" s="1"/>
  <c r="GO106" i="43"/>
  <c r="BB106" s="1"/>
  <c r="BD106" s="1"/>
  <c r="GK106"/>
  <c r="Z106" i="45"/>
  <c r="GQ107" i="43" l="1"/>
  <c r="GP107" s="1"/>
  <c r="GL107" s="1"/>
  <c r="GJ107" s="1"/>
  <c r="AN106"/>
  <c r="GN106"/>
  <c r="HI106"/>
  <c r="HB106"/>
  <c r="GU106"/>
  <c r="GM107" l="1"/>
  <c r="GT107"/>
  <c r="GV107" s="1"/>
  <c r="BU107" s="1"/>
  <c r="HH107"/>
  <c r="HJ107" s="1"/>
  <c r="DI107" s="1"/>
  <c r="HA107"/>
  <c r="HC107" s="1"/>
  <c r="CP107" s="1"/>
  <c r="AO106"/>
  <c r="DY106"/>
  <c r="DZ106" s="1"/>
  <c r="HL108" l="1"/>
  <c r="HK108" s="1"/>
  <c r="HG108" s="1"/>
  <c r="DK107"/>
  <c r="HE108"/>
  <c r="HD108" s="1"/>
  <c r="GZ108" s="1"/>
  <c r="CR107"/>
  <c r="GX108"/>
  <c r="GW108" s="1"/>
  <c r="GS108" s="1"/>
  <c r="BW107"/>
  <c r="FF106"/>
  <c r="AD103" i="45" s="1"/>
  <c r="T103"/>
  <c r="AA103" s="1"/>
  <c r="AB103" s="1"/>
  <c r="GO107" i="43"/>
  <c r="BB107" s="1"/>
  <c r="BD107" s="1"/>
  <c r="GK107"/>
  <c r="GQ108" l="1"/>
  <c r="GP108" s="1"/>
  <c r="AN107"/>
  <c r="HB107"/>
  <c r="GU107"/>
  <c r="GN107"/>
  <c r="HI107"/>
  <c r="Z107" i="45"/>
  <c r="GL108" i="43" l="1"/>
  <c r="GJ108" s="1"/>
  <c r="DY107"/>
  <c r="DZ107" s="1"/>
  <c r="AO107"/>
  <c r="FF107" l="1"/>
  <c r="AD104" i="45" s="1"/>
  <c r="T104"/>
  <c r="AA104" s="1"/>
  <c r="AB104" s="1"/>
  <c r="GT108" i="43"/>
  <c r="GV108" s="1"/>
  <c r="BU108" s="1"/>
  <c r="HA108"/>
  <c r="HC108" s="1"/>
  <c r="CP108" s="1"/>
  <c r="HH108"/>
  <c r="HJ108" s="1"/>
  <c r="DI108" s="1"/>
  <c r="GM108"/>
  <c r="HE109" l="1"/>
  <c r="HD109" s="1"/>
  <c r="GZ109" s="1"/>
  <c r="CR108"/>
  <c r="GX109"/>
  <c r="GW109" s="1"/>
  <c r="GS109" s="1"/>
  <c r="BW108"/>
  <c r="HL109"/>
  <c r="HK109" s="1"/>
  <c r="HG109" s="1"/>
  <c r="DK108"/>
  <c r="GK108"/>
  <c r="GO108"/>
  <c r="BB108" s="1"/>
  <c r="BD108" s="1"/>
  <c r="GU108" l="1"/>
  <c r="GN108"/>
  <c r="HI108"/>
  <c r="HB108"/>
  <c r="GQ109"/>
  <c r="GP109" s="1"/>
  <c r="GL109" s="1"/>
  <c r="GJ109" s="1"/>
  <c r="AN108"/>
  <c r="Z108" i="45"/>
  <c r="GM109" i="43" l="1"/>
  <c r="HA109"/>
  <c r="HC109" s="1"/>
  <c r="CP109" s="1"/>
  <c r="GT109"/>
  <c r="GV109" s="1"/>
  <c r="BU109" s="1"/>
  <c r="HH109"/>
  <c r="HJ109" s="1"/>
  <c r="DI109" s="1"/>
  <c r="AO108"/>
  <c r="DY108"/>
  <c r="DZ108" s="1"/>
  <c r="HL110" l="1"/>
  <c r="HK110" s="1"/>
  <c r="HG110" s="1"/>
  <c r="DK109"/>
  <c r="HE110"/>
  <c r="HD110" s="1"/>
  <c r="GZ110" s="1"/>
  <c r="CR109"/>
  <c r="GX110"/>
  <c r="GW110" s="1"/>
  <c r="GS110" s="1"/>
  <c r="BW109"/>
  <c r="FF108"/>
  <c r="AD105" i="45" s="1"/>
  <c r="T105"/>
  <c r="AA105" s="1"/>
  <c r="AB105" s="1"/>
  <c r="GO109" i="43"/>
  <c r="BB109" s="1"/>
  <c r="BD109" s="1"/>
  <c r="GK109"/>
  <c r="AN109" l="1"/>
  <c r="GQ110"/>
  <c r="GP110" s="1"/>
  <c r="GU109"/>
  <c r="HB109"/>
  <c r="HI109"/>
  <c r="GN109"/>
  <c r="DY109" l="1"/>
  <c r="DZ109" s="1"/>
  <c r="AO109"/>
  <c r="GL110"/>
  <c r="GJ110" s="1"/>
  <c r="Z109" i="45"/>
  <c r="FF109" i="43" l="1"/>
  <c r="AD106" i="45" s="1"/>
  <c r="T106"/>
  <c r="AA106" s="1"/>
  <c r="AB106" s="1"/>
  <c r="HA110" i="43"/>
  <c r="HC110" s="1"/>
  <c r="CP110" s="1"/>
  <c r="HH110"/>
  <c r="HJ110" s="1"/>
  <c r="DI110" s="1"/>
  <c r="GT110"/>
  <c r="GV110" s="1"/>
  <c r="BU110" s="1"/>
  <c r="GM110"/>
  <c r="HL111" l="1"/>
  <c r="HK111" s="1"/>
  <c r="HG111" s="1"/>
  <c r="DK110"/>
  <c r="HE111"/>
  <c r="HD111" s="1"/>
  <c r="GZ111" s="1"/>
  <c r="CR110"/>
  <c r="GX111"/>
  <c r="GW111" s="1"/>
  <c r="GS111" s="1"/>
  <c r="BW110"/>
  <c r="GK110"/>
  <c r="GO110"/>
  <c r="BB110" s="1"/>
  <c r="BD110" s="1"/>
  <c r="GN110" l="1"/>
  <c r="HB110"/>
  <c r="GU110"/>
  <c r="HI110"/>
  <c r="GQ111"/>
  <c r="GP111" s="1"/>
  <c r="AN110"/>
  <c r="GL111" l="1"/>
  <c r="GJ111" s="1"/>
  <c r="AO110"/>
  <c r="DY110"/>
  <c r="DZ110" s="1"/>
  <c r="Z110" i="45"/>
  <c r="FF110" i="43" l="1"/>
  <c r="AD107" i="45" s="1"/>
  <c r="T107"/>
  <c r="AA107" s="1"/>
  <c r="AB107" s="1"/>
  <c r="HH111" i="43"/>
  <c r="HJ111" s="1"/>
  <c r="DI111" s="1"/>
  <c r="HA111"/>
  <c r="HC111" s="1"/>
  <c r="CP111" s="1"/>
  <c r="GT111"/>
  <c r="GV111" s="1"/>
  <c r="BU111" s="1"/>
  <c r="GM111"/>
  <c r="HE112" l="1"/>
  <c r="HD112" s="1"/>
  <c r="GZ112" s="1"/>
  <c r="CR111"/>
  <c r="HL112"/>
  <c r="HK112" s="1"/>
  <c r="HG112" s="1"/>
  <c r="DK111"/>
  <c r="GX112"/>
  <c r="GW112" s="1"/>
  <c r="GS112" s="1"/>
  <c r="BW111"/>
  <c r="GO111"/>
  <c r="BB111" s="1"/>
  <c r="BD111" s="1"/>
  <c r="GK111"/>
  <c r="GQ112" l="1"/>
  <c r="GP112" s="1"/>
  <c r="AN111"/>
  <c r="HB111"/>
  <c r="GU111"/>
  <c r="GN111"/>
  <c r="HI111"/>
  <c r="GL112" l="1"/>
  <c r="GJ112" s="1"/>
  <c r="DY111"/>
  <c r="DZ111" s="1"/>
  <c r="AO111"/>
  <c r="Z111" i="45"/>
  <c r="FF111" i="43" l="1"/>
  <c r="AD108" i="45" s="1"/>
  <c r="T108"/>
  <c r="AA108" s="1"/>
  <c r="AB108" s="1"/>
  <c r="HA112" i="43"/>
  <c r="HC112" s="1"/>
  <c r="CP112" s="1"/>
  <c r="HH112"/>
  <c r="HJ112" s="1"/>
  <c r="DI112" s="1"/>
  <c r="GT112"/>
  <c r="GV112" s="1"/>
  <c r="BU112" s="1"/>
  <c r="GM112"/>
  <c r="HL113" l="1"/>
  <c r="HK113" s="1"/>
  <c r="HG113" s="1"/>
  <c r="DK112"/>
  <c r="HE113"/>
  <c r="HD113" s="1"/>
  <c r="GZ113" s="1"/>
  <c r="CR112"/>
  <c r="GX113"/>
  <c r="GW113" s="1"/>
  <c r="GS113" s="1"/>
  <c r="BW112"/>
  <c r="GK112"/>
  <c r="GO112"/>
  <c r="BB112" s="1"/>
  <c r="BD112" s="1"/>
  <c r="GN112" l="1"/>
  <c r="HB112"/>
  <c r="HI112"/>
  <c r="GU112"/>
  <c r="GQ113"/>
  <c r="GP113" s="1"/>
  <c r="AN112"/>
  <c r="GL113" l="1"/>
  <c r="GJ113" s="1"/>
  <c r="DY112"/>
  <c r="DZ112" s="1"/>
  <c r="AO112"/>
  <c r="Z112" i="45"/>
  <c r="FF112" i="43" l="1"/>
  <c r="AD109" i="45" s="1"/>
  <c r="T109"/>
  <c r="AA109" s="1"/>
  <c r="AB109" s="1"/>
  <c r="HH113" i="43"/>
  <c r="HJ113" s="1"/>
  <c r="DI113" s="1"/>
  <c r="HA113"/>
  <c r="HC113" s="1"/>
  <c r="CP113" s="1"/>
  <c r="GT113"/>
  <c r="GV113" s="1"/>
  <c r="BU113" s="1"/>
  <c r="GM113"/>
  <c r="HE114" l="1"/>
  <c r="HD114" s="1"/>
  <c r="GZ114" s="1"/>
  <c r="CR113"/>
  <c r="HL114"/>
  <c r="HK114" s="1"/>
  <c r="HG114" s="1"/>
  <c r="DK113"/>
  <c r="GX114"/>
  <c r="GW114" s="1"/>
  <c r="GS114" s="1"/>
  <c r="BW113"/>
  <c r="GK113"/>
  <c r="GO113"/>
  <c r="BB113" s="1"/>
  <c r="BD113" s="1"/>
  <c r="GU113" l="1"/>
  <c r="GN113"/>
  <c r="HI113"/>
  <c r="HB113"/>
  <c r="AN113"/>
  <c r="GQ114"/>
  <c r="GP114" s="1"/>
  <c r="DY113" l="1"/>
  <c r="DZ113" s="1"/>
  <c r="AO113"/>
  <c r="GL114"/>
  <c r="GJ114" s="1"/>
  <c r="Z113" i="45"/>
  <c r="FF113" i="43" l="1"/>
  <c r="AD110" i="45" s="1"/>
  <c r="T110"/>
  <c r="AA110" s="1"/>
  <c r="AB110" s="1"/>
  <c r="HA114" i="43"/>
  <c r="HC114" s="1"/>
  <c r="CP114" s="1"/>
  <c r="HH114"/>
  <c r="HJ114" s="1"/>
  <c r="DI114" s="1"/>
  <c r="GT114"/>
  <c r="GV114" s="1"/>
  <c r="BU114" s="1"/>
  <c r="GM114"/>
  <c r="GX115" l="1"/>
  <c r="GW115" s="1"/>
  <c r="GS115" s="1"/>
  <c r="BW114"/>
  <c r="HL115"/>
  <c r="HK115" s="1"/>
  <c r="HG115" s="1"/>
  <c r="DK114"/>
  <c r="HE115"/>
  <c r="HD115" s="1"/>
  <c r="GZ115" s="1"/>
  <c r="CR114"/>
  <c r="GK114"/>
  <c r="GO114"/>
  <c r="BB114" s="1"/>
  <c r="BD114" s="1"/>
  <c r="GN114" l="1"/>
  <c r="GU114"/>
  <c r="HB114"/>
  <c r="HI114"/>
  <c r="GQ115"/>
  <c r="GP115" s="1"/>
  <c r="AN114"/>
  <c r="GL115" l="1"/>
  <c r="GJ115" s="1"/>
  <c r="AO114"/>
  <c r="DY114"/>
  <c r="DZ114" s="1"/>
  <c r="Z114" i="45"/>
  <c r="FF114" i="43" l="1"/>
  <c r="AD111" i="45" s="1"/>
  <c r="T111"/>
  <c r="AA111" s="1"/>
  <c r="AB111" s="1"/>
  <c r="HH115" i="43"/>
  <c r="HJ115" s="1"/>
  <c r="DI115" s="1"/>
  <c r="GT115"/>
  <c r="GV115" s="1"/>
  <c r="BU115" s="1"/>
  <c r="HA115"/>
  <c r="HC115" s="1"/>
  <c r="CP115" s="1"/>
  <c r="GM115"/>
  <c r="GX116" l="1"/>
  <c r="GW116" s="1"/>
  <c r="GS116" s="1"/>
  <c r="BW115"/>
  <c r="HL116"/>
  <c r="HK116" s="1"/>
  <c r="HG116" s="1"/>
  <c r="DK115"/>
  <c r="HE116"/>
  <c r="HD116" s="1"/>
  <c r="GZ116" s="1"/>
  <c r="CR115"/>
  <c r="GO115"/>
  <c r="BB115" s="1"/>
  <c r="BD115" s="1"/>
  <c r="GK115"/>
  <c r="AN115" l="1"/>
  <c r="GQ116"/>
  <c r="GP116" s="1"/>
  <c r="HI115"/>
  <c r="GU115"/>
  <c r="GN115"/>
  <c r="HB115"/>
  <c r="DY115" l="1"/>
  <c r="DZ115" s="1"/>
  <c r="AO115"/>
  <c r="GL116"/>
  <c r="GJ116" s="1"/>
  <c r="Z115" i="45"/>
  <c r="FF115" i="43" l="1"/>
  <c r="AD112" i="45" s="1"/>
  <c r="T112"/>
  <c r="AA112" s="1"/>
  <c r="AB112" s="1"/>
  <c r="GT116" i="43"/>
  <c r="GV116" s="1"/>
  <c r="BU116" s="1"/>
  <c r="HH116"/>
  <c r="HJ116" s="1"/>
  <c r="DI116" s="1"/>
  <c r="HA116"/>
  <c r="HC116" s="1"/>
  <c r="CP116" s="1"/>
  <c r="GM116"/>
  <c r="HL117" l="1"/>
  <c r="HK117" s="1"/>
  <c r="HG117" s="1"/>
  <c r="DK116"/>
  <c r="GX117"/>
  <c r="GW117" s="1"/>
  <c r="GS117" s="1"/>
  <c r="BW116"/>
  <c r="HE117"/>
  <c r="HD117" s="1"/>
  <c r="GZ117" s="1"/>
  <c r="CR116"/>
  <c r="GK116"/>
  <c r="GO116"/>
  <c r="BB116" s="1"/>
  <c r="BD116" s="1"/>
  <c r="GU116" l="1"/>
  <c r="HI116"/>
  <c r="HB116"/>
  <c r="GN116"/>
  <c r="AN116"/>
  <c r="GQ117"/>
  <c r="GP117" s="1"/>
  <c r="AO116" l="1"/>
  <c r="DY116"/>
  <c r="DZ116" s="1"/>
  <c r="GL117"/>
  <c r="GJ117" s="1"/>
  <c r="Z116" i="45"/>
  <c r="FF116" i="43" l="1"/>
  <c r="AD113" i="45" s="1"/>
  <c r="T113"/>
  <c r="AA113" s="1"/>
  <c r="AB113" s="1"/>
  <c r="HH117" i="43"/>
  <c r="HJ117" s="1"/>
  <c r="DI117" s="1"/>
  <c r="GT117"/>
  <c r="GV117" s="1"/>
  <c r="BU117" s="1"/>
  <c r="HA117"/>
  <c r="HC117" s="1"/>
  <c r="CP117" s="1"/>
  <c r="GM117"/>
  <c r="GX118" l="1"/>
  <c r="GW118" s="1"/>
  <c r="GS118" s="1"/>
  <c r="BW117"/>
  <c r="HL118"/>
  <c r="HK118" s="1"/>
  <c r="HG118" s="1"/>
  <c r="DK117"/>
  <c r="HE118"/>
  <c r="HD118" s="1"/>
  <c r="GZ118" s="1"/>
  <c r="CR117"/>
  <c r="GK117"/>
  <c r="GO117"/>
  <c r="BB117" s="1"/>
  <c r="BD117" s="1"/>
  <c r="GU117" l="1"/>
  <c r="GN117"/>
  <c r="HB117"/>
  <c r="HI117"/>
  <c r="AN117"/>
  <c r="GQ118"/>
  <c r="GP118" s="1"/>
  <c r="AO117" l="1"/>
  <c r="DY117"/>
  <c r="DZ117" s="1"/>
  <c r="GL118"/>
  <c r="GJ118" s="1"/>
  <c r="Z117" i="45"/>
  <c r="FF117" i="43" l="1"/>
  <c r="AD114" i="45" s="1"/>
  <c r="T114"/>
  <c r="AA114" s="1"/>
  <c r="AB114" s="1"/>
  <c r="GT118" i="43"/>
  <c r="GV118" s="1"/>
  <c r="BU118" s="1"/>
  <c r="HH118"/>
  <c r="HJ118" s="1"/>
  <c r="DI118" s="1"/>
  <c r="HA118"/>
  <c r="HC118" s="1"/>
  <c r="CP118" s="1"/>
  <c r="GM118"/>
  <c r="HL119" l="1"/>
  <c r="HK119" s="1"/>
  <c r="HG119" s="1"/>
  <c r="DK118"/>
  <c r="GX119"/>
  <c r="GW119" s="1"/>
  <c r="GS119" s="1"/>
  <c r="BW118"/>
  <c r="HE119"/>
  <c r="HD119" s="1"/>
  <c r="GZ119" s="1"/>
  <c r="CR118"/>
  <c r="GO118"/>
  <c r="BB118" s="1"/>
  <c r="BD118" s="1"/>
  <c r="GK118"/>
  <c r="AN118" l="1"/>
  <c r="GQ119"/>
  <c r="GP119" s="1"/>
  <c r="HB118"/>
  <c r="HI118"/>
  <c r="GU118"/>
  <c r="GN118"/>
  <c r="AO118" l="1"/>
  <c r="DY118"/>
  <c r="DZ118" s="1"/>
  <c r="GL119"/>
  <c r="GJ119" s="1"/>
  <c r="Z118" i="45"/>
  <c r="FF118" i="43" l="1"/>
  <c r="AD115" i="45" s="1"/>
  <c r="T115"/>
  <c r="AA115" s="1"/>
  <c r="AB115" s="1"/>
  <c r="HH119" i="43"/>
  <c r="HJ119" s="1"/>
  <c r="DI119" s="1"/>
  <c r="GT119"/>
  <c r="GV119" s="1"/>
  <c r="BU119" s="1"/>
  <c r="HA119"/>
  <c r="HC119" s="1"/>
  <c r="CP119" s="1"/>
  <c r="GM119"/>
  <c r="GX120" l="1"/>
  <c r="GW120" s="1"/>
  <c r="GS120" s="1"/>
  <c r="BW119"/>
  <c r="HE120"/>
  <c r="HD120" s="1"/>
  <c r="GZ120" s="1"/>
  <c r="CR119"/>
  <c r="HL120"/>
  <c r="HK120" s="1"/>
  <c r="HG120" s="1"/>
  <c r="DK119"/>
  <c r="GO119"/>
  <c r="BB119" s="1"/>
  <c r="BD119" s="1"/>
  <c r="GK119"/>
  <c r="AN119" l="1"/>
  <c r="GQ120"/>
  <c r="GP120" s="1"/>
  <c r="HB119"/>
  <c r="GN119"/>
  <c r="HI119"/>
  <c r="GU119"/>
  <c r="DY119" l="1"/>
  <c r="DZ119" s="1"/>
  <c r="AO119"/>
  <c r="GL120"/>
  <c r="GJ120" s="1"/>
  <c r="Z119" i="45"/>
  <c r="FF119" i="43" l="1"/>
  <c r="AD116" i="45" s="1"/>
  <c r="T116"/>
  <c r="AA116" s="1"/>
  <c r="AB116" s="1"/>
  <c r="GT120" i="43"/>
  <c r="GV120" s="1"/>
  <c r="BU120" s="1"/>
  <c r="HA120"/>
  <c r="HC120" s="1"/>
  <c r="CP120" s="1"/>
  <c r="HH120"/>
  <c r="HJ120" s="1"/>
  <c r="DI120" s="1"/>
  <c r="GM120"/>
  <c r="GX121" l="1"/>
  <c r="GW121" s="1"/>
  <c r="GS121" s="1"/>
  <c r="BW120"/>
  <c r="HE121"/>
  <c r="HD121" s="1"/>
  <c r="GZ121" s="1"/>
  <c r="CR120"/>
  <c r="HL121"/>
  <c r="HK121" s="1"/>
  <c r="HG121" s="1"/>
  <c r="DK120"/>
  <c r="GK120"/>
  <c r="GO120"/>
  <c r="BB120" s="1"/>
  <c r="BD120" s="1"/>
  <c r="GU120" l="1"/>
  <c r="HI120"/>
  <c r="GN120"/>
  <c r="HB120"/>
  <c r="AN120"/>
  <c r="GQ121"/>
  <c r="GP121" s="1"/>
  <c r="DY120" l="1"/>
  <c r="DZ120" s="1"/>
  <c r="AO120"/>
  <c r="GL121"/>
  <c r="GJ121" s="1"/>
  <c r="FF120" l="1"/>
  <c r="AD117" i="45" s="1"/>
  <c r="T117"/>
  <c r="AA117" s="1"/>
  <c r="AB117" s="1"/>
  <c r="HA121" i="43"/>
  <c r="HC121" s="1"/>
  <c r="CP121" s="1"/>
  <c r="GT121"/>
  <c r="GV121" s="1"/>
  <c r="BU121" s="1"/>
  <c r="HH121"/>
  <c r="HJ121" s="1"/>
  <c r="DI121" s="1"/>
  <c r="GM121"/>
  <c r="GX122" l="1"/>
  <c r="GW122" s="1"/>
  <c r="GS122" s="1"/>
  <c r="BW121"/>
  <c r="HE122"/>
  <c r="HD122" s="1"/>
  <c r="GZ122" s="1"/>
  <c r="CR121"/>
  <c r="HL122"/>
  <c r="HK122" s="1"/>
  <c r="HG122" s="1"/>
  <c r="DK121"/>
  <c r="GO121"/>
  <c r="BB121" s="1"/>
  <c r="BD121" s="1"/>
  <c r="GK121"/>
  <c r="AN121" l="1"/>
  <c r="GQ122"/>
  <c r="GP122" s="1"/>
  <c r="HB121"/>
  <c r="GU121"/>
  <c r="HI121"/>
  <c r="GN121"/>
  <c r="AO121" l="1"/>
  <c r="DY121"/>
  <c r="DZ121" s="1"/>
  <c r="GL122"/>
  <c r="GJ122" s="1"/>
  <c r="FF121" l="1"/>
  <c r="AD118" i="45" s="1"/>
  <c r="T118"/>
  <c r="AA118" s="1"/>
  <c r="AB118" s="1"/>
  <c r="GT122" i="43"/>
  <c r="GV122" s="1"/>
  <c r="BU122" s="1"/>
  <c r="HA122"/>
  <c r="HC122" s="1"/>
  <c r="CP122" s="1"/>
  <c r="HH122"/>
  <c r="HJ122" s="1"/>
  <c r="DI122" s="1"/>
  <c r="GM122"/>
  <c r="GX123" l="1"/>
  <c r="GW123" s="1"/>
  <c r="GS123" s="1"/>
  <c r="BW122"/>
  <c r="HE123"/>
  <c r="HD123" s="1"/>
  <c r="GZ123" s="1"/>
  <c r="CR122"/>
  <c r="HL123"/>
  <c r="HK123" s="1"/>
  <c r="HG123" s="1"/>
  <c r="DK122"/>
  <c r="GO122"/>
  <c r="BB122" s="1"/>
  <c r="BD122" s="1"/>
  <c r="GK122"/>
  <c r="AN122" l="1"/>
  <c r="GQ123"/>
  <c r="GP123" s="1"/>
  <c r="GU122"/>
  <c r="HB122"/>
  <c r="HI122"/>
  <c r="GN122"/>
  <c r="AO122" l="1"/>
  <c r="DY122"/>
  <c r="DZ122" s="1"/>
  <c r="GL123"/>
  <c r="GJ123" s="1"/>
  <c r="FF122" l="1"/>
  <c r="AD119" i="45" s="1"/>
  <c r="T119"/>
  <c r="AA119" s="1"/>
  <c r="AB119" s="1"/>
  <c r="HA123" i="43"/>
  <c r="HC123" s="1"/>
  <c r="CP123" s="1"/>
  <c r="GT123"/>
  <c r="GV123" s="1"/>
  <c r="BU123" s="1"/>
  <c r="HH123"/>
  <c r="HJ123" s="1"/>
  <c r="DI123" s="1"/>
  <c r="GM123"/>
  <c r="GX124" l="1"/>
  <c r="GW124" s="1"/>
  <c r="GS124" s="1"/>
  <c r="BW123"/>
  <c r="HE124"/>
  <c r="HD124" s="1"/>
  <c r="GZ124" s="1"/>
  <c r="CR123"/>
  <c r="HL124"/>
  <c r="HK124" s="1"/>
  <c r="HG124" s="1"/>
  <c r="DK123"/>
  <c r="GK123"/>
  <c r="GO123"/>
  <c r="BB123" s="1"/>
  <c r="BD123" s="1"/>
  <c r="HI123" l="1"/>
  <c r="GN123"/>
  <c r="GU123"/>
  <c r="HB123"/>
  <c r="AN123"/>
  <c r="GQ124"/>
  <c r="GP124" s="1"/>
  <c r="GL124" s="1"/>
  <c r="GJ124" s="1"/>
  <c r="DY123" l="1"/>
  <c r="DZ123" s="1"/>
  <c r="AO123"/>
  <c r="GM124"/>
  <c r="GT124"/>
  <c r="GV124" s="1"/>
  <c r="BU124" s="1"/>
  <c r="HA124"/>
  <c r="HC124" s="1"/>
  <c r="CP124" s="1"/>
  <c r="HH124"/>
  <c r="HJ124" s="1"/>
  <c r="DI124" s="1"/>
  <c r="GX125" l="1"/>
  <c r="GW125" s="1"/>
  <c r="GS125" s="1"/>
  <c r="BW124"/>
  <c r="HL125"/>
  <c r="HK125" s="1"/>
  <c r="HG125" s="1"/>
  <c r="DK124"/>
  <c r="HE125"/>
  <c r="HD125" s="1"/>
  <c r="GZ125" s="1"/>
  <c r="CR124"/>
  <c r="FF123"/>
  <c r="AD120" i="45" s="1"/>
  <c r="T120"/>
  <c r="GO124" i="43"/>
  <c r="BB124" s="1"/>
  <c r="BD124" s="1"/>
  <c r="GK124"/>
  <c r="W120" i="45" l="1"/>
  <c r="AN124" i="43"/>
  <c r="GQ125"/>
  <c r="GP125" s="1"/>
  <c r="HI124"/>
  <c r="GU124"/>
  <c r="HB124"/>
  <c r="GN124"/>
  <c r="Z120" i="45" l="1"/>
  <c r="AA120"/>
  <c r="AB120" s="1"/>
  <c r="AO124" i="43"/>
  <c r="DY124"/>
  <c r="DZ124" s="1"/>
  <c r="GL125"/>
  <c r="GJ125" s="1"/>
  <c r="FF124" l="1"/>
  <c r="AD121" i="45" s="1"/>
  <c r="T121"/>
  <c r="HH125" i="43"/>
  <c r="HJ125" s="1"/>
  <c r="DI125" s="1"/>
  <c r="GT125"/>
  <c r="GV125" s="1"/>
  <c r="BU125" s="1"/>
  <c r="HA125"/>
  <c r="HC125" s="1"/>
  <c r="CP125" s="1"/>
  <c r="GM125"/>
  <c r="W121" i="45" l="1"/>
  <c r="GX126" i="43"/>
  <c r="GW126" s="1"/>
  <c r="GS126" s="1"/>
  <c r="BW125"/>
  <c r="HL126"/>
  <c r="HK126" s="1"/>
  <c r="HG126" s="1"/>
  <c r="DK125"/>
  <c r="HE126"/>
  <c r="HD126" s="1"/>
  <c r="GZ126" s="1"/>
  <c r="CR125"/>
  <c r="GK125"/>
  <c r="GO125"/>
  <c r="BB125" s="1"/>
  <c r="BD125" s="1"/>
  <c r="Y121" i="45" l="1"/>
  <c r="Z121" s="1"/>
  <c r="AA121"/>
  <c r="AB121" s="1"/>
  <c r="HI125" i="43"/>
  <c r="GU125"/>
  <c r="GN125"/>
  <c r="HB125"/>
  <c r="AN125"/>
  <c r="GQ126"/>
  <c r="GP126" s="1"/>
  <c r="AO125" l="1"/>
  <c r="DY125"/>
  <c r="DZ125" s="1"/>
  <c r="GL126"/>
  <c r="GJ126" s="1"/>
  <c r="FF125" l="1"/>
  <c r="AD122" i="45" s="1"/>
  <c r="T122"/>
  <c r="GT126" i="43"/>
  <c r="GV126" s="1"/>
  <c r="BU126" s="1"/>
  <c r="HH126"/>
  <c r="HJ126" s="1"/>
  <c r="DI126" s="1"/>
  <c r="HA126"/>
  <c r="HC126" s="1"/>
  <c r="CP126" s="1"/>
  <c r="GM126"/>
  <c r="W122" i="45" l="1"/>
  <c r="HL127" i="43"/>
  <c r="HK127" s="1"/>
  <c r="HG127" s="1"/>
  <c r="DK126"/>
  <c r="GX127"/>
  <c r="GW127" s="1"/>
  <c r="GS127" s="1"/>
  <c r="BW126"/>
  <c r="HE127"/>
  <c r="HD127" s="1"/>
  <c r="GZ127" s="1"/>
  <c r="CR126"/>
  <c r="GK126"/>
  <c r="GO126"/>
  <c r="BB126" s="1"/>
  <c r="BD126" s="1"/>
  <c r="Y122" i="45" l="1"/>
  <c r="Z122" s="1"/>
  <c r="AA122"/>
  <c r="AB122" s="1"/>
  <c r="HB126" i="43"/>
  <c r="HI126"/>
  <c r="GU126"/>
  <c r="GN126"/>
  <c r="AN126"/>
  <c r="GQ127"/>
  <c r="GP127" s="1"/>
  <c r="DY126" l="1"/>
  <c r="DZ126" s="1"/>
  <c r="AO126"/>
  <c r="GL127"/>
  <c r="GJ127" s="1"/>
  <c r="FF126" l="1"/>
  <c r="AD123" i="45" s="1"/>
  <c r="T123"/>
  <c r="HH127" i="43"/>
  <c r="HJ127" s="1"/>
  <c r="DI127" s="1"/>
  <c r="GT127"/>
  <c r="GV127" s="1"/>
  <c r="BU127" s="1"/>
  <c r="HA127"/>
  <c r="HC127" s="1"/>
  <c r="CP127" s="1"/>
  <c r="GM127"/>
  <c r="W123" i="45" l="1"/>
  <c r="GX128" i="43"/>
  <c r="GW128" s="1"/>
  <c r="GS128" s="1"/>
  <c r="BW127"/>
  <c r="HL128"/>
  <c r="HK128" s="1"/>
  <c r="HG128" s="1"/>
  <c r="DK127"/>
  <c r="HE128"/>
  <c r="HD128" s="1"/>
  <c r="GZ128" s="1"/>
  <c r="CR127"/>
  <c r="GK127"/>
  <c r="GO127"/>
  <c r="BB127" s="1"/>
  <c r="BD127" s="1"/>
  <c r="Y123" i="45" l="1"/>
  <c r="Z123" s="1"/>
  <c r="AA123"/>
  <c r="AB123" s="1"/>
  <c r="HI127" i="43"/>
  <c r="HB127"/>
  <c r="GN127"/>
  <c r="GU127"/>
  <c r="AN127"/>
  <c r="GQ128"/>
  <c r="GP128" s="1"/>
  <c r="AO127" l="1"/>
  <c r="DY127"/>
  <c r="DZ127" s="1"/>
  <c r="GL128"/>
  <c r="GJ128" s="1"/>
  <c r="FF127" l="1"/>
  <c r="AD124" i="45" s="1"/>
  <c r="T124"/>
  <c r="GT128" i="43"/>
  <c r="GV128" s="1"/>
  <c r="BU128" s="1"/>
  <c r="HH128"/>
  <c r="HJ128" s="1"/>
  <c r="DI128" s="1"/>
  <c r="HA128"/>
  <c r="HC128" s="1"/>
  <c r="CP128" s="1"/>
  <c r="GM128"/>
  <c r="W124" i="45" l="1"/>
  <c r="HL129" i="43"/>
  <c r="HK129" s="1"/>
  <c r="HG129" s="1"/>
  <c r="DK128"/>
  <c r="GX129"/>
  <c r="GW129" s="1"/>
  <c r="GS129" s="1"/>
  <c r="BW128"/>
  <c r="HE129"/>
  <c r="HD129" s="1"/>
  <c r="GZ129" s="1"/>
  <c r="CR128"/>
  <c r="GO128"/>
  <c r="BB128" s="1"/>
  <c r="BD128" s="1"/>
  <c r="GK128"/>
  <c r="Y124" i="45" l="1"/>
  <c r="Z124" s="1"/>
  <c r="AA124"/>
  <c r="AB124" s="1"/>
  <c r="AN128" i="43"/>
  <c r="GQ129"/>
  <c r="GP129" s="1"/>
  <c r="GN128"/>
  <c r="GU128"/>
  <c r="HI128"/>
  <c r="HB128"/>
  <c r="DY128" l="1"/>
  <c r="DZ128" s="1"/>
  <c r="AO128"/>
  <c r="GL129"/>
  <c r="GJ129" s="1"/>
  <c r="FF128" l="1"/>
  <c r="AD125" i="45" s="1"/>
  <c r="T125"/>
  <c r="HH129" i="43"/>
  <c r="HJ129" s="1"/>
  <c r="DI129" s="1"/>
  <c r="GT129"/>
  <c r="GV129" s="1"/>
  <c r="BU129" s="1"/>
  <c r="HA129"/>
  <c r="HC129" s="1"/>
  <c r="CP129" s="1"/>
  <c r="GM129"/>
  <c r="W125" i="45" l="1"/>
  <c r="GX130" i="43"/>
  <c r="GW130" s="1"/>
  <c r="GS130" s="1"/>
  <c r="BW129"/>
  <c r="HL130"/>
  <c r="HK130" s="1"/>
  <c r="HG130" s="1"/>
  <c r="DK129"/>
  <c r="HE130"/>
  <c r="HD130" s="1"/>
  <c r="GZ130" s="1"/>
  <c r="CR129"/>
  <c r="GO129"/>
  <c r="BB129" s="1"/>
  <c r="BD129" s="1"/>
  <c r="GK129"/>
  <c r="Y125" i="45" l="1"/>
  <c r="Z125" s="1"/>
  <c r="AA125"/>
  <c r="AB125" s="1"/>
  <c r="AN129" i="43"/>
  <c r="GQ130"/>
  <c r="GP130" s="1"/>
  <c r="HI129"/>
  <c r="GU129"/>
  <c r="GN129"/>
  <c r="HB129"/>
  <c r="AO129" l="1"/>
  <c r="DY129"/>
  <c r="DZ129" s="1"/>
  <c r="GL130"/>
  <c r="GJ130" s="1"/>
  <c r="FF129" l="1"/>
  <c r="AD126" i="45" s="1"/>
  <c r="T126"/>
  <c r="GT130" i="43"/>
  <c r="GV130" s="1"/>
  <c r="BU130" s="1"/>
  <c r="HA130"/>
  <c r="HC130" s="1"/>
  <c r="CP130" s="1"/>
  <c r="HH130"/>
  <c r="HJ130" s="1"/>
  <c r="DI130" s="1"/>
  <c r="GM130"/>
  <c r="W126" i="45" l="1"/>
  <c r="HE131" i="43"/>
  <c r="HD131" s="1"/>
  <c r="GZ131" s="1"/>
  <c r="CR130"/>
  <c r="GX131"/>
  <c r="GW131" s="1"/>
  <c r="GS131" s="1"/>
  <c r="BW130"/>
  <c r="HL131"/>
  <c r="HK131" s="1"/>
  <c r="HG131" s="1"/>
  <c r="DK130"/>
  <c r="GK130"/>
  <c r="GO130"/>
  <c r="BB130" s="1"/>
  <c r="BD130" s="1"/>
  <c r="Y126" i="45" l="1"/>
  <c r="Z126" s="1"/>
  <c r="AA126"/>
  <c r="AB126" s="1"/>
  <c r="GU130" i="43"/>
  <c r="GN130"/>
  <c r="HB130"/>
  <c r="HI130"/>
  <c r="AN130"/>
  <c r="GQ131"/>
  <c r="GP131" s="1"/>
  <c r="GL131" l="1"/>
  <c r="GJ131" s="1"/>
  <c r="AO130"/>
  <c r="DY130"/>
  <c r="DZ130" s="1"/>
  <c r="FF130" l="1"/>
  <c r="AD127" i="45" s="1"/>
  <c r="T127"/>
  <c r="HA131" i="43"/>
  <c r="HC131" s="1"/>
  <c r="CP131" s="1"/>
  <c r="GT131"/>
  <c r="GV131" s="1"/>
  <c r="BU131" s="1"/>
  <c r="HH131"/>
  <c r="HJ131" s="1"/>
  <c r="DI131" s="1"/>
  <c r="GM131"/>
  <c r="W127" i="45" l="1"/>
  <c r="GX132" i="43"/>
  <c r="GW132" s="1"/>
  <c r="GS132" s="1"/>
  <c r="BW131"/>
  <c r="HE132"/>
  <c r="HD132" s="1"/>
  <c r="GZ132" s="1"/>
  <c r="CR131"/>
  <c r="HL132"/>
  <c r="HK132" s="1"/>
  <c r="HG132" s="1"/>
  <c r="DK131"/>
  <c r="GO131"/>
  <c r="BB131" s="1"/>
  <c r="BD131" s="1"/>
  <c r="GK131"/>
  <c r="Y127" i="45" l="1"/>
  <c r="Z127" s="1"/>
  <c r="AA127"/>
  <c r="AB127" s="1"/>
  <c r="AN131" i="43"/>
  <c r="GQ132"/>
  <c r="GP132" s="1"/>
  <c r="HB131"/>
  <c r="HI131"/>
  <c r="GU131"/>
  <c r="GN131"/>
  <c r="AO131" l="1"/>
  <c r="DY131"/>
  <c r="DZ131" s="1"/>
  <c r="GL132"/>
  <c r="GJ132" s="1"/>
  <c r="FF131" l="1"/>
  <c r="AD128" i="45" s="1"/>
  <c r="T128"/>
  <c r="GT132" i="43"/>
  <c r="GV132" s="1"/>
  <c r="BU132" s="1"/>
  <c r="HA132"/>
  <c r="HC132" s="1"/>
  <c r="CP132" s="1"/>
  <c r="HH132"/>
  <c r="HJ132" s="1"/>
  <c r="DI132" s="1"/>
  <c r="GM132"/>
  <c r="W128" i="45" l="1"/>
  <c r="HL133" i="43"/>
  <c r="HK133" s="1"/>
  <c r="HG133" s="1"/>
  <c r="DK132"/>
  <c r="HE133"/>
  <c r="HD133" s="1"/>
  <c r="GZ133" s="1"/>
  <c r="CR132"/>
  <c r="GX133"/>
  <c r="GW133" s="1"/>
  <c r="GS133" s="1"/>
  <c r="BW132"/>
  <c r="GK132"/>
  <c r="GO132"/>
  <c r="BB132" s="1"/>
  <c r="BD132" s="1"/>
  <c r="Y128" i="45" l="1"/>
  <c r="Z128" s="1"/>
  <c r="AA128"/>
  <c r="AB128" s="1"/>
  <c r="HB132" i="43"/>
  <c r="GN132"/>
  <c r="GU132"/>
  <c r="HI132"/>
  <c r="AN132"/>
  <c r="GQ133"/>
  <c r="GP133" s="1"/>
  <c r="AO132" l="1"/>
  <c r="DY132"/>
  <c r="DZ132" s="1"/>
  <c r="GL133"/>
  <c r="GJ133" s="1"/>
  <c r="FF132" l="1"/>
  <c r="AD129" i="45" s="1"/>
  <c r="T129"/>
  <c r="HA133" i="43"/>
  <c r="HC133" s="1"/>
  <c r="CP133" s="1"/>
  <c r="GT133"/>
  <c r="GV133" s="1"/>
  <c r="BU133" s="1"/>
  <c r="HH133"/>
  <c r="HJ133" s="1"/>
  <c r="DI133" s="1"/>
  <c r="GM133"/>
  <c r="W129" i="45" l="1"/>
  <c r="GX134" i="43"/>
  <c r="GW134" s="1"/>
  <c r="GS134" s="1"/>
  <c r="BW133"/>
  <c r="HE134"/>
  <c r="HD134" s="1"/>
  <c r="GZ134" s="1"/>
  <c r="CR133"/>
  <c r="HL134"/>
  <c r="HK134" s="1"/>
  <c r="HG134" s="1"/>
  <c r="DK133"/>
  <c r="GK133"/>
  <c r="GO133"/>
  <c r="BB133" s="1"/>
  <c r="BD133" s="1"/>
  <c r="Y129" i="45" l="1"/>
  <c r="Z129" s="1"/>
  <c r="AA129"/>
  <c r="AB129" s="1"/>
  <c r="GN133" i="43"/>
  <c r="HB133"/>
  <c r="HI133"/>
  <c r="GU133"/>
  <c r="AN133"/>
  <c r="GQ134"/>
  <c r="GP134" s="1"/>
  <c r="AO133" l="1"/>
  <c r="DY133"/>
  <c r="DZ133" s="1"/>
  <c r="GL134"/>
  <c r="GJ134" s="1"/>
  <c r="FF133" l="1"/>
  <c r="AD130" i="45" s="1"/>
  <c r="T130"/>
  <c r="GT134" i="43"/>
  <c r="GV134" s="1"/>
  <c r="BU134" s="1"/>
  <c r="HA134"/>
  <c r="HC134" s="1"/>
  <c r="CP134" s="1"/>
  <c r="HH134"/>
  <c r="HJ134" s="1"/>
  <c r="DI134" s="1"/>
  <c r="GM134"/>
  <c r="W130" i="45" l="1"/>
  <c r="HE135" i="43"/>
  <c r="HD135" s="1"/>
  <c r="GZ135" s="1"/>
  <c r="CR134"/>
  <c r="GX135"/>
  <c r="GW135" s="1"/>
  <c r="GS135" s="1"/>
  <c r="BW134"/>
  <c r="HL135"/>
  <c r="HK135" s="1"/>
  <c r="HG135" s="1"/>
  <c r="DK134"/>
  <c r="GK134"/>
  <c r="GO134"/>
  <c r="BB134" s="1"/>
  <c r="BD134" s="1"/>
  <c r="Y130" i="45" l="1"/>
  <c r="Z130" s="1"/>
  <c r="AA130"/>
  <c r="AB130" s="1"/>
  <c r="HI134" i="43"/>
  <c r="HB134"/>
  <c r="GN134"/>
  <c r="GU134"/>
  <c r="AN134"/>
  <c r="GQ135"/>
  <c r="GP135" s="1"/>
  <c r="GL135" s="1"/>
  <c r="GJ135" s="1"/>
  <c r="DY134" l="1"/>
  <c r="DZ134" s="1"/>
  <c r="AO134"/>
  <c r="GM135"/>
  <c r="HA135"/>
  <c r="HC135" s="1"/>
  <c r="CP135" s="1"/>
  <c r="GT135"/>
  <c r="GV135" s="1"/>
  <c r="BU135" s="1"/>
  <c r="HH135"/>
  <c r="HJ135" s="1"/>
  <c r="DI135" s="1"/>
  <c r="HE136" l="1"/>
  <c r="HD136" s="1"/>
  <c r="GZ136" s="1"/>
  <c r="CR135"/>
  <c r="HL136"/>
  <c r="HK136" s="1"/>
  <c r="HG136" s="1"/>
  <c r="DK135"/>
  <c r="GX136"/>
  <c r="GW136" s="1"/>
  <c r="GS136" s="1"/>
  <c r="BW135"/>
  <c r="FF134"/>
  <c r="AD131" i="45" s="1"/>
  <c r="T131"/>
  <c r="GO135" i="43"/>
  <c r="BB135" s="1"/>
  <c r="BD135" s="1"/>
  <c r="GK135"/>
  <c r="W131" i="45" l="1"/>
  <c r="GU135" i="43"/>
  <c r="HI135"/>
  <c r="GN135"/>
  <c r="HB135"/>
  <c r="AN135"/>
  <c r="GQ136"/>
  <c r="GP136" s="1"/>
  <c r="Y131" i="45" l="1"/>
  <c r="Z131" s="1"/>
  <c r="AA131"/>
  <c r="AB131" s="1"/>
  <c r="DY135" i="43"/>
  <c r="DZ135" s="1"/>
  <c r="AO135"/>
  <c r="GL136"/>
  <c r="GJ136" s="1"/>
  <c r="FF135" l="1"/>
  <c r="AD132" i="45" s="1"/>
  <c r="T132"/>
  <c r="HH136" i="43"/>
  <c r="HJ136" s="1"/>
  <c r="DI136" s="1"/>
  <c r="HA136"/>
  <c r="HC136" s="1"/>
  <c r="CP136" s="1"/>
  <c r="GT136"/>
  <c r="GV136" s="1"/>
  <c r="BU136" s="1"/>
  <c r="GM136"/>
  <c r="W132" i="45" l="1"/>
  <c r="HE137" i="43"/>
  <c r="HD137" s="1"/>
  <c r="GZ137" s="1"/>
  <c r="CR136"/>
  <c r="HL137"/>
  <c r="HK137" s="1"/>
  <c r="HG137" s="1"/>
  <c r="DK136"/>
  <c r="GX137"/>
  <c r="GW137" s="1"/>
  <c r="GS137" s="1"/>
  <c r="BW136"/>
  <c r="GK136"/>
  <c r="GO136"/>
  <c r="BB136" s="1"/>
  <c r="BD136" s="1"/>
  <c r="Y132" i="45" l="1"/>
  <c r="Z132" s="1"/>
  <c r="AA132"/>
  <c r="AB132" s="1"/>
  <c r="GN136" i="43"/>
  <c r="HB136"/>
  <c r="GU136"/>
  <c r="HI136"/>
  <c r="AN136"/>
  <c r="GQ137"/>
  <c r="GP137" s="1"/>
  <c r="DY136" l="1"/>
  <c r="DZ136" s="1"/>
  <c r="AO136"/>
  <c r="GL137"/>
  <c r="GJ137" s="1"/>
  <c r="FF136" l="1"/>
  <c r="AD133" i="45" s="1"/>
  <c r="T133"/>
  <c r="HA137" i="43"/>
  <c r="HC137" s="1"/>
  <c r="CP137" s="1"/>
  <c r="GT137"/>
  <c r="GV137" s="1"/>
  <c r="BU137" s="1"/>
  <c r="HH137"/>
  <c r="HJ137" s="1"/>
  <c r="DI137" s="1"/>
  <c r="GM137"/>
  <c r="W133" i="45" l="1"/>
  <c r="GX138" i="43"/>
  <c r="GW138" s="1"/>
  <c r="GS138" s="1"/>
  <c r="BW137"/>
  <c r="HE138"/>
  <c r="HD138" s="1"/>
  <c r="GZ138" s="1"/>
  <c r="CR137"/>
  <c r="HL138"/>
  <c r="HK138" s="1"/>
  <c r="HG138" s="1"/>
  <c r="DK137"/>
  <c r="GO137"/>
  <c r="BB137" s="1"/>
  <c r="BD137" s="1"/>
  <c r="GK137"/>
  <c r="Y133" i="45" l="1"/>
  <c r="Z133" s="1"/>
  <c r="AA133"/>
  <c r="AB133" s="1"/>
  <c r="AN137" i="43"/>
  <c r="GQ138"/>
  <c r="GP138" s="1"/>
  <c r="GL138" s="1"/>
  <c r="GJ138" s="1"/>
  <c r="HB137"/>
  <c r="GN137"/>
  <c r="HI137"/>
  <c r="GU137"/>
  <c r="AO137" l="1"/>
  <c r="DY137"/>
  <c r="DZ137" s="1"/>
  <c r="GM138"/>
  <c r="GT138"/>
  <c r="GV138" s="1"/>
  <c r="BU138" s="1"/>
  <c r="HA138"/>
  <c r="HC138" s="1"/>
  <c r="CP138" s="1"/>
  <c r="HH138"/>
  <c r="HJ138" s="1"/>
  <c r="DI138" s="1"/>
  <c r="GX139" l="1"/>
  <c r="GW139" s="1"/>
  <c r="GS139" s="1"/>
  <c r="BW138"/>
  <c r="HL139"/>
  <c r="HK139" s="1"/>
  <c r="HG139" s="1"/>
  <c r="DK138"/>
  <c r="HE139"/>
  <c r="HD139" s="1"/>
  <c r="GZ139" s="1"/>
  <c r="CR138"/>
  <c r="FF137"/>
  <c r="AD134" i="45" s="1"/>
  <c r="T134"/>
  <c r="GO138" i="43"/>
  <c r="BB138" s="1"/>
  <c r="BD138" s="1"/>
  <c r="GK138"/>
  <c r="W134" i="45" l="1"/>
  <c r="GQ139" i="43"/>
  <c r="GP139" s="1"/>
  <c r="AN138"/>
  <c r="GU138"/>
  <c r="HI138"/>
  <c r="GN138"/>
  <c r="HB138"/>
  <c r="AA134" i="45" l="1"/>
  <c r="AB134" s="1"/>
  <c r="Y134"/>
  <c r="Z134" s="1"/>
  <c r="GL139" i="43"/>
  <c r="GJ139" s="1"/>
  <c r="AO138"/>
  <c r="DY138"/>
  <c r="DZ138" s="1"/>
  <c r="FF138" l="1"/>
  <c r="AD135" i="45" s="1"/>
  <c r="T135"/>
  <c r="HA139" i="43"/>
  <c r="HC139" s="1"/>
  <c r="CP139" s="1"/>
  <c r="GT139"/>
  <c r="GV139" s="1"/>
  <c r="BU139" s="1"/>
  <c r="HH139"/>
  <c r="HJ139" s="1"/>
  <c r="DI139" s="1"/>
  <c r="GM139"/>
  <c r="W135" i="45" l="1"/>
  <c r="HL140" i="43"/>
  <c r="HK140" s="1"/>
  <c r="HG140" s="1"/>
  <c r="DK139"/>
  <c r="GX140"/>
  <c r="GW140" s="1"/>
  <c r="GS140" s="1"/>
  <c r="BW139"/>
  <c r="HE140"/>
  <c r="HD140" s="1"/>
  <c r="GZ140" s="1"/>
  <c r="CR139"/>
  <c r="GK139"/>
  <c r="GO139"/>
  <c r="BB139" s="1"/>
  <c r="BD139" s="1"/>
  <c r="AA135" i="45" l="1"/>
  <c r="AB135" s="1"/>
  <c r="Y135"/>
  <c r="Z135" s="1"/>
  <c r="HB139" i="43"/>
  <c r="HI139"/>
  <c r="GU139"/>
  <c r="GN139"/>
  <c r="GQ140"/>
  <c r="GP140" s="1"/>
  <c r="GL140" s="1"/>
  <c r="GJ140" s="1"/>
  <c r="AN139"/>
  <c r="GM140" l="1"/>
  <c r="GT140"/>
  <c r="GV140" s="1"/>
  <c r="BU140" s="1"/>
  <c r="HA140"/>
  <c r="HC140" s="1"/>
  <c r="CP140" s="1"/>
  <c r="HH140"/>
  <c r="HJ140" s="1"/>
  <c r="DI140" s="1"/>
  <c r="DY139"/>
  <c r="DZ139" s="1"/>
  <c r="AO139"/>
  <c r="GX141" l="1"/>
  <c r="GW141" s="1"/>
  <c r="GS141" s="1"/>
  <c r="BW140"/>
  <c r="HE141"/>
  <c r="HD141" s="1"/>
  <c r="GZ141" s="1"/>
  <c r="CR140"/>
  <c r="HL141"/>
  <c r="HK141" s="1"/>
  <c r="HG141" s="1"/>
  <c r="DK140"/>
  <c r="FF139"/>
  <c r="AD136" i="45" s="1"/>
  <c r="T136"/>
  <c r="GO140" i="43"/>
  <c r="BB140" s="1"/>
  <c r="BD140" s="1"/>
  <c r="GK140"/>
  <c r="W136" i="45" l="1"/>
  <c r="AN140" i="43"/>
  <c r="GQ141"/>
  <c r="GP141" s="1"/>
  <c r="GL141" s="1"/>
  <c r="GJ141" s="1"/>
  <c r="HB140"/>
  <c r="HI140"/>
  <c r="GU140"/>
  <c r="GN140"/>
  <c r="AA136" i="45" l="1"/>
  <c r="AB136" s="1"/>
  <c r="Y136"/>
  <c r="Z136" s="1"/>
  <c r="DY140" i="43"/>
  <c r="DZ140" s="1"/>
  <c r="AO140"/>
  <c r="GM141"/>
  <c r="GT141"/>
  <c r="GV141" s="1"/>
  <c r="BU141" s="1"/>
  <c r="HH141"/>
  <c r="HJ141" s="1"/>
  <c r="DI141" s="1"/>
  <c r="HA141"/>
  <c r="HC141" s="1"/>
  <c r="CP141" s="1"/>
  <c r="HL142" l="1"/>
  <c r="HK142" s="1"/>
  <c r="HG142" s="1"/>
  <c r="DK141"/>
  <c r="GX142"/>
  <c r="GW142" s="1"/>
  <c r="GS142" s="1"/>
  <c r="BW141"/>
  <c r="HE142"/>
  <c r="HD142" s="1"/>
  <c r="GZ142" s="1"/>
  <c r="CR141"/>
  <c r="FF140"/>
  <c r="AD137" i="45" s="1"/>
  <c r="T137"/>
  <c r="GO141" i="43"/>
  <c r="BB141" s="1"/>
  <c r="BD141" s="1"/>
  <c r="GK141"/>
  <c r="W137" i="45" l="1"/>
  <c r="AN141" i="43"/>
  <c r="GQ142"/>
  <c r="GP142" s="1"/>
  <c r="GL142" s="1"/>
  <c r="GJ142" s="1"/>
  <c r="GU141"/>
  <c r="HB141"/>
  <c r="GN141"/>
  <c r="HI141"/>
  <c r="Y137" i="45" l="1"/>
  <c r="Z137" s="1"/>
  <c r="AA137"/>
  <c r="AB137" s="1"/>
  <c r="AO141" i="43"/>
  <c r="DY141"/>
  <c r="DZ141" s="1"/>
  <c r="GM142"/>
  <c r="HA142"/>
  <c r="HC142" s="1"/>
  <c r="CP142" s="1"/>
  <c r="GT142"/>
  <c r="GV142" s="1"/>
  <c r="BU142" s="1"/>
  <c r="HH142"/>
  <c r="HJ142" s="1"/>
  <c r="DI142" s="1"/>
  <c r="HE143" l="1"/>
  <c r="HD143" s="1"/>
  <c r="GZ143" s="1"/>
  <c r="CR142"/>
  <c r="HL143"/>
  <c r="HK143" s="1"/>
  <c r="HG143" s="1"/>
  <c r="DK142"/>
  <c r="GX143"/>
  <c r="GW143" s="1"/>
  <c r="GS143" s="1"/>
  <c r="BW142"/>
  <c r="FF141"/>
  <c r="AD138" i="45" s="1"/>
  <c r="T138"/>
  <c r="W138" s="1"/>
  <c r="Y138" s="1"/>
  <c r="GO142" i="43"/>
  <c r="BB142" s="1"/>
  <c r="BD142" s="1"/>
  <c r="GK142"/>
  <c r="Z138" i="45" l="1"/>
  <c r="AN142" i="43"/>
  <c r="GQ143"/>
  <c r="GP143" s="1"/>
  <c r="GL143" s="1"/>
  <c r="GJ143" s="1"/>
  <c r="GN142"/>
  <c r="HI142"/>
  <c r="HB142"/>
  <c r="GU142"/>
  <c r="AA138" i="45" l="1"/>
  <c r="AB138" s="1"/>
  <c r="DY142" i="43"/>
  <c r="DZ142" s="1"/>
  <c r="AO142"/>
  <c r="GM143"/>
  <c r="HH143"/>
  <c r="HJ143" s="1"/>
  <c r="DI143" s="1"/>
  <c r="HA143"/>
  <c r="HC143" s="1"/>
  <c r="CP143" s="1"/>
  <c r="GT143"/>
  <c r="GV143" s="1"/>
  <c r="BU143" s="1"/>
  <c r="HL144" l="1"/>
  <c r="HK144" s="1"/>
  <c r="HG144" s="1"/>
  <c r="DK143"/>
  <c r="GX144"/>
  <c r="GW144" s="1"/>
  <c r="GS144" s="1"/>
  <c r="BW143"/>
  <c r="HE144"/>
  <c r="HD144" s="1"/>
  <c r="GZ144" s="1"/>
  <c r="CR143"/>
  <c r="FF142"/>
  <c r="AD139" i="45" s="1"/>
  <c r="T139"/>
  <c r="W139" s="1"/>
  <c r="Y139" s="1"/>
  <c r="GO143" i="43"/>
  <c r="BB143" s="1"/>
  <c r="BD143" s="1"/>
  <c r="GK143"/>
  <c r="AA139" i="45" l="1"/>
  <c r="AB139" s="1"/>
  <c r="GQ144" i="43"/>
  <c r="GP144" s="1"/>
  <c r="GL144" s="1"/>
  <c r="GJ144" s="1"/>
  <c r="AN143"/>
  <c r="GU143"/>
  <c r="GN143"/>
  <c r="HB143"/>
  <c r="HI143"/>
  <c r="Z139" i="45" l="1"/>
  <c r="GM144" i="43"/>
  <c r="GT144"/>
  <c r="GV144" s="1"/>
  <c r="BU144" s="1"/>
  <c r="HH144"/>
  <c r="HJ144" s="1"/>
  <c r="DI144" s="1"/>
  <c r="HA144"/>
  <c r="HC144" s="1"/>
  <c r="CP144" s="1"/>
  <c r="DY143"/>
  <c r="DZ143" s="1"/>
  <c r="AO143"/>
  <c r="GX145" l="1"/>
  <c r="GW145" s="1"/>
  <c r="GS145" s="1"/>
  <c r="BW144"/>
  <c r="HE145"/>
  <c r="HD145" s="1"/>
  <c r="GZ145" s="1"/>
  <c r="CR144"/>
  <c r="HL145"/>
  <c r="HK145" s="1"/>
  <c r="HG145" s="1"/>
  <c r="DK144"/>
  <c r="FF143"/>
  <c r="AD140" i="45" s="1"/>
  <c r="T140"/>
  <c r="W140" s="1"/>
  <c r="Y140" s="1"/>
  <c r="GO144" i="43"/>
  <c r="BB144" s="1"/>
  <c r="BD144" s="1"/>
  <c r="GK144"/>
  <c r="Z140" i="45" l="1"/>
  <c r="AN144" i="43"/>
  <c r="GQ145"/>
  <c r="GP145" s="1"/>
  <c r="GL145" s="1"/>
  <c r="GJ145" s="1"/>
  <c r="HB144"/>
  <c r="GU144"/>
  <c r="GN144"/>
  <c r="HI144"/>
  <c r="AA140" i="45" l="1"/>
  <c r="AB140" s="1"/>
  <c r="AO144" i="43"/>
  <c r="DY144"/>
  <c r="DZ144" s="1"/>
  <c r="GM145"/>
  <c r="GT145"/>
  <c r="GV145" s="1"/>
  <c r="BU145" s="1"/>
  <c r="HA145"/>
  <c r="HC145" s="1"/>
  <c r="CP145" s="1"/>
  <c r="HH145"/>
  <c r="HJ145" s="1"/>
  <c r="DI145" s="1"/>
  <c r="GX146" l="1"/>
  <c r="GW146" s="1"/>
  <c r="GS146" s="1"/>
  <c r="BW145"/>
  <c r="HL146"/>
  <c r="HK146" s="1"/>
  <c r="HG146" s="1"/>
  <c r="DK145"/>
  <c r="HE146"/>
  <c r="HD146" s="1"/>
  <c r="GZ146" s="1"/>
  <c r="CR145"/>
  <c r="FF144"/>
  <c r="AD141" i="45" s="1"/>
  <c r="T141"/>
  <c r="W141" s="1"/>
  <c r="Y141" s="1"/>
  <c r="GO145" i="43"/>
  <c r="BB145" s="1"/>
  <c r="BD145" s="1"/>
  <c r="GK145"/>
  <c r="AA141" i="45" l="1"/>
  <c r="AB141" s="1"/>
  <c r="GQ146" i="43"/>
  <c r="GP146" s="1"/>
  <c r="AN145"/>
  <c r="GU145"/>
  <c r="HB145"/>
  <c r="GN145"/>
  <c r="HI145"/>
  <c r="Z141" i="45" l="1"/>
  <c r="GL146" i="43"/>
  <c r="GJ146" s="1"/>
  <c r="AO145"/>
  <c r="DY145"/>
  <c r="DZ145" s="1"/>
  <c r="FF145" l="1"/>
  <c r="AD142" i="45" s="1"/>
  <c r="T142"/>
  <c r="HA146" i="43"/>
  <c r="HC146" s="1"/>
  <c r="CP146" s="1"/>
  <c r="GT146"/>
  <c r="GV146" s="1"/>
  <c r="BU146" s="1"/>
  <c r="HH146"/>
  <c r="HJ146" s="1"/>
  <c r="DI146" s="1"/>
  <c r="GM146"/>
  <c r="W142" i="45" l="1"/>
  <c r="Y142" s="1"/>
  <c r="HL147" i="43"/>
  <c r="HK147" s="1"/>
  <c r="HG147" s="1"/>
  <c r="DK146"/>
  <c r="GX147"/>
  <c r="GW147" s="1"/>
  <c r="GS147" s="1"/>
  <c r="BW146"/>
  <c r="HE147"/>
  <c r="HD147" s="1"/>
  <c r="GZ147" s="1"/>
  <c r="CR146"/>
  <c r="GO146"/>
  <c r="BB146" s="1"/>
  <c r="BD146" s="1"/>
  <c r="GK146"/>
  <c r="AA142" i="45" l="1"/>
  <c r="AB142" s="1"/>
  <c r="Z142"/>
  <c r="AN146" i="43"/>
  <c r="GQ147"/>
  <c r="GP147" s="1"/>
  <c r="GL147" s="1"/>
  <c r="GJ147" s="1"/>
  <c r="GU146"/>
  <c r="HB146"/>
  <c r="GN146"/>
  <c r="HI146"/>
  <c r="DY146" l="1"/>
  <c r="DZ146" s="1"/>
  <c r="AO146"/>
  <c r="GM147"/>
  <c r="GT147"/>
  <c r="GV147" s="1"/>
  <c r="BU147" s="1"/>
  <c r="HA147"/>
  <c r="HC147" s="1"/>
  <c r="CP147" s="1"/>
  <c r="HH147"/>
  <c r="HJ147" s="1"/>
  <c r="DI147" s="1"/>
  <c r="GX148" l="1"/>
  <c r="GW148" s="1"/>
  <c r="GS148" s="1"/>
  <c r="BW147"/>
  <c r="HL148"/>
  <c r="HK148" s="1"/>
  <c r="HG148" s="1"/>
  <c r="DK147"/>
  <c r="HE148"/>
  <c r="HD148" s="1"/>
  <c r="GZ148" s="1"/>
  <c r="CR147"/>
  <c r="FF146"/>
  <c r="AD143" i="45" s="1"/>
  <c r="T143"/>
  <c r="GO147" i="43"/>
  <c r="BB147" s="1"/>
  <c r="BD147" s="1"/>
  <c r="GK147"/>
  <c r="W143" i="45" l="1"/>
  <c r="AA143" s="1"/>
  <c r="AN147" i="43"/>
  <c r="GQ148"/>
  <c r="GP148" s="1"/>
  <c r="HB147"/>
  <c r="GN147"/>
  <c r="HI147"/>
  <c r="GU147"/>
  <c r="Y143" i="45" l="1"/>
  <c r="Z143" s="1"/>
  <c r="AB143"/>
  <c r="AO147" i="43"/>
  <c r="DY147"/>
  <c r="DZ147" s="1"/>
  <c r="GL148"/>
  <c r="GJ148" s="1"/>
  <c r="FF147" l="1"/>
  <c r="AD144" i="45" s="1"/>
  <c r="T144"/>
  <c r="HH148" i="43"/>
  <c r="HJ148" s="1"/>
  <c r="DI148" s="1"/>
  <c r="GT148"/>
  <c r="GV148" s="1"/>
  <c r="BU148" s="1"/>
  <c r="HA148"/>
  <c r="HC148" s="1"/>
  <c r="CP148" s="1"/>
  <c r="GM148"/>
  <c r="W144" i="45" l="1"/>
  <c r="Y144" s="1"/>
  <c r="Z144" s="1"/>
  <c r="GX149" i="43"/>
  <c r="GW149" s="1"/>
  <c r="GS149" s="1"/>
  <c r="BW148"/>
  <c r="HL149"/>
  <c r="HK149" s="1"/>
  <c r="HG149" s="1"/>
  <c r="DK148"/>
  <c r="HE149"/>
  <c r="HD149" s="1"/>
  <c r="GZ149" s="1"/>
  <c r="CR148"/>
  <c r="GK148"/>
  <c r="GO148"/>
  <c r="BB148" s="1"/>
  <c r="BD148" s="1"/>
  <c r="AA144" i="45" l="1"/>
  <c r="AB144" s="1"/>
  <c r="GU148" i="43"/>
  <c r="GN148"/>
  <c r="HI148"/>
  <c r="HB148"/>
  <c r="AN148"/>
  <c r="GQ149"/>
  <c r="GP149" s="1"/>
  <c r="AO148" l="1"/>
  <c r="DY148"/>
  <c r="DZ148" s="1"/>
  <c r="GL149"/>
  <c r="GJ149" s="1"/>
  <c r="FF148" l="1"/>
  <c r="AD145" i="45" s="1"/>
  <c r="T145"/>
  <c r="GT149" i="43"/>
  <c r="GV149" s="1"/>
  <c r="BU149" s="1"/>
  <c r="HA149"/>
  <c r="HC149" s="1"/>
  <c r="CP149" s="1"/>
  <c r="HH149"/>
  <c r="HJ149" s="1"/>
  <c r="DI149" s="1"/>
  <c r="GM149"/>
  <c r="W145" i="45" l="1"/>
  <c r="AA145" s="1"/>
  <c r="HE150" i="43"/>
  <c r="HD150" s="1"/>
  <c r="GZ150" s="1"/>
  <c r="CR149"/>
  <c r="GX150"/>
  <c r="GW150" s="1"/>
  <c r="GS150" s="1"/>
  <c r="BW149"/>
  <c r="HL150"/>
  <c r="HK150" s="1"/>
  <c r="HG150" s="1"/>
  <c r="DK149"/>
  <c r="GO149"/>
  <c r="BB149" s="1"/>
  <c r="BD149" s="1"/>
  <c r="GK149"/>
  <c r="GQ150" l="1"/>
  <c r="GP150" s="1"/>
  <c r="AN149"/>
  <c r="GU149"/>
  <c r="GN149"/>
  <c r="HI149"/>
  <c r="HB149"/>
  <c r="GL150" l="1"/>
  <c r="GJ150" s="1"/>
  <c r="AO149"/>
  <c r="DY149"/>
  <c r="DZ149" s="1"/>
  <c r="FF149" l="1"/>
  <c r="AD146" i="45" s="1"/>
  <c r="T146"/>
  <c r="HA150" i="43"/>
  <c r="HC150" s="1"/>
  <c r="CP150" s="1"/>
  <c r="HH150"/>
  <c r="HJ150" s="1"/>
  <c r="DI150" s="1"/>
  <c r="GT150"/>
  <c r="GV150" s="1"/>
  <c r="BU150" s="1"/>
  <c r="GM150"/>
  <c r="HL151" l="1"/>
  <c r="HK151" s="1"/>
  <c r="HG151" s="1"/>
  <c r="DK150"/>
  <c r="HE151"/>
  <c r="HD151" s="1"/>
  <c r="GZ151" s="1"/>
  <c r="CR150"/>
  <c r="GX151"/>
  <c r="GW151" s="1"/>
  <c r="GS151" s="1"/>
  <c r="BW150"/>
  <c r="GK150"/>
  <c r="GO150"/>
  <c r="BB150" s="1"/>
  <c r="BD150" s="1"/>
  <c r="GN150" l="1"/>
  <c r="GU150"/>
  <c r="HB150"/>
  <c r="HI150"/>
  <c r="GQ151"/>
  <c r="GP151" s="1"/>
  <c r="GL151" s="1"/>
  <c r="GJ151" s="1"/>
  <c r="AN150"/>
  <c r="GM151" l="1"/>
  <c r="HH151"/>
  <c r="HJ151" s="1"/>
  <c r="DI151" s="1"/>
  <c r="GT151"/>
  <c r="GV151" s="1"/>
  <c r="BU151" s="1"/>
  <c r="HA151"/>
  <c r="HC151" s="1"/>
  <c r="CP151" s="1"/>
  <c r="DY150"/>
  <c r="DZ150" s="1"/>
  <c r="AO150"/>
  <c r="GX152" l="1"/>
  <c r="GW152" s="1"/>
  <c r="GS152" s="1"/>
  <c r="BW151"/>
  <c r="HL152"/>
  <c r="HK152" s="1"/>
  <c r="HG152" s="1"/>
  <c r="DK151"/>
  <c r="HE152"/>
  <c r="HD152" s="1"/>
  <c r="GZ152" s="1"/>
  <c r="CR151"/>
  <c r="FF150"/>
  <c r="AD147" i="45" s="1"/>
  <c r="T147"/>
  <c r="GO151" i="43"/>
  <c r="BB151" s="1"/>
  <c r="BD151" s="1"/>
  <c r="GK151"/>
  <c r="GQ152" l="1"/>
  <c r="GP152" s="1"/>
  <c r="AN151"/>
  <c r="HB151"/>
  <c r="HI151"/>
  <c r="GU151"/>
  <c r="GN151"/>
  <c r="GL152" l="1"/>
  <c r="GJ152" s="1"/>
  <c r="DY151"/>
  <c r="DZ151" s="1"/>
  <c r="AO151"/>
  <c r="FF151" l="1"/>
  <c r="AD148" i="45" s="1"/>
  <c r="T148"/>
  <c r="HH152" i="43"/>
  <c r="HJ152" s="1"/>
  <c r="DI152" s="1"/>
  <c r="HA152"/>
  <c r="HC152" s="1"/>
  <c r="CP152" s="1"/>
  <c r="GT152"/>
  <c r="GV152" s="1"/>
  <c r="BU152" s="1"/>
  <c r="GM152"/>
  <c r="HE153" l="1"/>
  <c r="HD153" s="1"/>
  <c r="GZ153" s="1"/>
  <c r="CR152"/>
  <c r="HL153"/>
  <c r="HK153" s="1"/>
  <c r="HG153" s="1"/>
  <c r="DK152"/>
  <c r="GX153"/>
  <c r="GW153" s="1"/>
  <c r="GS153" s="1"/>
  <c r="BW152"/>
  <c r="GO152"/>
  <c r="BB152" s="1"/>
  <c r="BD152" s="1"/>
  <c r="GK152"/>
  <c r="GQ153" l="1"/>
  <c r="GP153" s="1"/>
  <c r="AN152"/>
  <c r="GN152"/>
  <c r="HI152"/>
  <c r="GU152"/>
  <c r="HB152"/>
  <c r="GL153" l="1"/>
  <c r="GJ153" s="1"/>
  <c r="AO152"/>
  <c r="DY152"/>
  <c r="DZ152" s="1"/>
  <c r="FF152" l="1"/>
  <c r="AD149" i="45" s="1"/>
  <c r="T149"/>
  <c r="HA153" i="43"/>
  <c r="HC153" s="1"/>
  <c r="CP153" s="1"/>
  <c r="HH153"/>
  <c r="HJ153" s="1"/>
  <c r="DI153" s="1"/>
  <c r="GT153"/>
  <c r="GV153" s="1"/>
  <c r="BU153" s="1"/>
  <c r="GM153"/>
  <c r="HE154" l="1"/>
  <c r="HD154" s="1"/>
  <c r="GZ154" s="1"/>
  <c r="CR153"/>
  <c r="HL154"/>
  <c r="HK154" s="1"/>
  <c r="HG154" s="1"/>
  <c r="DK153"/>
  <c r="GX154"/>
  <c r="GW154" s="1"/>
  <c r="GS154" s="1"/>
  <c r="BW153"/>
  <c r="GK153"/>
  <c r="GO153"/>
  <c r="BB153" s="1"/>
  <c r="BD153" s="1"/>
  <c r="GU153" l="1"/>
  <c r="HI153"/>
  <c r="HB153"/>
  <c r="GN153"/>
  <c r="GQ154"/>
  <c r="GP154" s="1"/>
  <c r="AN153"/>
  <c r="GL154" l="1"/>
  <c r="GJ154" s="1"/>
  <c r="DY153"/>
  <c r="DZ153" s="1"/>
  <c r="AO153"/>
  <c r="FF153" l="1"/>
  <c r="AD150" i="45" s="1"/>
  <c r="T150"/>
  <c r="HH154" i="43"/>
  <c r="HJ154" s="1"/>
  <c r="DI154" s="1"/>
  <c r="GT154"/>
  <c r="GV154" s="1"/>
  <c r="BU154" s="1"/>
  <c r="HA154"/>
  <c r="HC154" s="1"/>
  <c r="CP154" s="1"/>
  <c r="GM154"/>
  <c r="HL155" l="1"/>
  <c r="HK155" s="1"/>
  <c r="HG155" s="1"/>
  <c r="DK154"/>
  <c r="GX155"/>
  <c r="GW155" s="1"/>
  <c r="GS155" s="1"/>
  <c r="BW154"/>
  <c r="HE155"/>
  <c r="HD155" s="1"/>
  <c r="GZ155" s="1"/>
  <c r="CR154"/>
  <c r="GO154"/>
  <c r="BB154" s="1"/>
  <c r="BD154" s="1"/>
  <c r="GK154"/>
  <c r="AN154" l="1"/>
  <c r="GQ155"/>
  <c r="GP155" s="1"/>
  <c r="GN154"/>
  <c r="HI154"/>
  <c r="HB154"/>
  <c r="GU154"/>
  <c r="DY154" l="1"/>
  <c r="DZ154" s="1"/>
  <c r="AO154"/>
  <c r="GL155"/>
  <c r="GJ155" s="1"/>
  <c r="FF154" l="1"/>
  <c r="AD151" i="45" s="1"/>
  <c r="T151"/>
  <c r="GT155" i="43"/>
  <c r="GV155" s="1"/>
  <c r="BU155" s="1"/>
  <c r="HH155"/>
  <c r="HJ155" s="1"/>
  <c r="DI155" s="1"/>
  <c r="HA155"/>
  <c r="HC155" s="1"/>
  <c r="CP155" s="1"/>
  <c r="GM155"/>
  <c r="W151" i="45" l="1"/>
  <c r="Y151" s="1"/>
  <c r="HL156" i="43"/>
  <c r="HK156" s="1"/>
  <c r="HG156" s="1"/>
  <c r="DK155"/>
  <c r="GX156"/>
  <c r="GW156" s="1"/>
  <c r="GS156" s="1"/>
  <c r="BW155"/>
  <c r="HE156"/>
  <c r="HD156" s="1"/>
  <c r="GZ156" s="1"/>
  <c r="CR155"/>
  <c r="GK155"/>
  <c r="GO155"/>
  <c r="BB155" s="1"/>
  <c r="BD155" s="1"/>
  <c r="Z151" i="45" l="1"/>
  <c r="AA151"/>
  <c r="AB151" s="1"/>
  <c r="GN155" i="43"/>
  <c r="GU155"/>
  <c r="HB155"/>
  <c r="HI155"/>
  <c r="GQ156"/>
  <c r="GP156" s="1"/>
  <c r="AN155"/>
  <c r="GL156" l="1"/>
  <c r="GJ156" s="1"/>
  <c r="AO155"/>
  <c r="DY155"/>
  <c r="DZ155" s="1"/>
  <c r="FF155" l="1"/>
  <c r="AD152" i="45" s="1"/>
  <c r="T152"/>
  <c r="HH156" i="43"/>
  <c r="HJ156" s="1"/>
  <c r="DI156" s="1"/>
  <c r="GT156"/>
  <c r="GV156" s="1"/>
  <c r="BU156" s="1"/>
  <c r="HA156"/>
  <c r="HC156" s="1"/>
  <c r="CP156" s="1"/>
  <c r="GM156"/>
  <c r="W152" i="45" l="1"/>
  <c r="GX157" i="43"/>
  <c r="GW157" s="1"/>
  <c r="GS157" s="1"/>
  <c r="BW156"/>
  <c r="HL157"/>
  <c r="HK157" s="1"/>
  <c r="HG157" s="1"/>
  <c r="DK156"/>
  <c r="HE157"/>
  <c r="HD157" s="1"/>
  <c r="GZ157" s="1"/>
  <c r="CR156"/>
  <c r="GO156"/>
  <c r="BB156" s="1"/>
  <c r="BD156" s="1"/>
  <c r="GK156"/>
  <c r="Y152" i="45" l="1"/>
  <c r="Z152" s="1"/>
  <c r="AA152"/>
  <c r="AB152" s="1"/>
  <c r="GQ157" i="43"/>
  <c r="GP157" s="1"/>
  <c r="AN156"/>
  <c r="HI156"/>
  <c r="HB156"/>
  <c r="GU156"/>
  <c r="GN156"/>
  <c r="GL157" l="1"/>
  <c r="GJ157" s="1"/>
  <c r="DY156"/>
  <c r="DZ156" s="1"/>
  <c r="AO156"/>
  <c r="FF156" l="1"/>
  <c r="AD153" i="45" s="1"/>
  <c r="T153"/>
  <c r="GT157" i="43"/>
  <c r="GV157" s="1"/>
  <c r="BU157" s="1"/>
  <c r="HH157"/>
  <c r="HJ157" s="1"/>
  <c r="DI157" s="1"/>
  <c r="HA157"/>
  <c r="HC157" s="1"/>
  <c r="CP157" s="1"/>
  <c r="GM157"/>
  <c r="W153" i="45" l="1"/>
  <c r="HL158" i="43"/>
  <c r="HK158" s="1"/>
  <c r="HG158" s="1"/>
  <c r="DK157"/>
  <c r="GX158"/>
  <c r="GW158" s="1"/>
  <c r="GS158" s="1"/>
  <c r="BW157"/>
  <c r="HE158"/>
  <c r="HD158" s="1"/>
  <c r="GZ158" s="1"/>
  <c r="CR157"/>
  <c r="GO157"/>
  <c r="BB157" s="1"/>
  <c r="BD157" s="1"/>
  <c r="GK157"/>
  <c r="Y153" i="45" l="1"/>
  <c r="Z153" s="1"/>
  <c r="AA153"/>
  <c r="AB153" s="1"/>
  <c r="GQ158" i="43"/>
  <c r="GP158" s="1"/>
  <c r="AN157"/>
  <c r="HI157"/>
  <c r="GU157"/>
  <c r="HB157"/>
  <c r="GN157"/>
  <c r="GL158" l="1"/>
  <c r="GJ158" s="1"/>
  <c r="AO157"/>
  <c r="DY157"/>
  <c r="DZ157" s="1"/>
  <c r="FF157" l="1"/>
  <c r="AD154" i="45" s="1"/>
  <c r="T154"/>
  <c r="HH158" i="43"/>
  <c r="GT158"/>
  <c r="HA158"/>
  <c r="GM158"/>
  <c r="W154" i="45" l="1"/>
  <c r="GK158" i="43"/>
  <c r="Y154" i="45" l="1"/>
  <c r="Z154" s="1"/>
  <c r="AA154"/>
  <c r="AB154" s="1"/>
  <c r="HB158" i="43"/>
  <c r="HC158" s="1"/>
  <c r="CP158" s="1"/>
  <c r="GN158"/>
  <c r="GO158" s="1"/>
  <c r="BB158" s="1"/>
  <c r="BD158" s="1"/>
  <c r="GU158"/>
  <c r="GV158" s="1"/>
  <c r="BU158" s="1"/>
  <c r="HI158"/>
  <c r="HJ158" s="1"/>
  <c r="DI158" s="1"/>
  <c r="HE159" l="1"/>
  <c r="HD159" s="1"/>
  <c r="GZ159" s="1"/>
  <c r="CR158"/>
  <c r="BW158"/>
  <c r="GX159"/>
  <c r="GW159" s="1"/>
  <c r="GS159" s="1"/>
  <c r="GQ159"/>
  <c r="GP159" s="1"/>
  <c r="GL159" s="1"/>
  <c r="DK158"/>
  <c r="HL159"/>
  <c r="HK159" s="1"/>
  <c r="HG159" s="1"/>
  <c r="AN158"/>
  <c r="DY158" s="1"/>
  <c r="DZ158" s="1"/>
  <c r="AO158" l="1"/>
  <c r="T155" i="45" s="1"/>
  <c r="GJ159" i="43" l="1"/>
  <c r="HH159" s="1"/>
  <c r="FF158"/>
  <c r="AD155" i="45" s="1"/>
  <c r="W155"/>
  <c r="Y155" s="1"/>
  <c r="Z155" s="1"/>
  <c r="HA159" i="43" l="1"/>
  <c r="GT159"/>
  <c r="GM159"/>
  <c r="AA155" i="45"/>
  <c r="AB155" s="1"/>
  <c r="GK159" i="43" l="1"/>
  <c r="HB159" l="1"/>
  <c r="HC159" s="1"/>
  <c r="CP159" s="1"/>
  <c r="HI159"/>
  <c r="HJ159" s="1"/>
  <c r="DI159" s="1"/>
  <c r="GU159"/>
  <c r="GV159" s="1"/>
  <c r="BU159" s="1"/>
  <c r="GN159"/>
  <c r="GO159" s="1"/>
  <c r="BB159" s="1"/>
  <c r="HE160" l="1"/>
  <c r="HD160" s="1"/>
  <c r="GZ160" s="1"/>
  <c r="CR159"/>
  <c r="DK159"/>
  <c r="HL160"/>
  <c r="HK160" s="1"/>
  <c r="HG160" s="1"/>
  <c r="BW159"/>
  <c r="GX160"/>
  <c r="GW160" s="1"/>
  <c r="GS160" s="1"/>
  <c r="BD159"/>
  <c r="GQ160"/>
  <c r="GP160" s="1"/>
  <c r="GL160" s="1"/>
  <c r="AN159"/>
  <c r="DY159" l="1"/>
  <c r="DZ159" s="1"/>
  <c r="AO159"/>
  <c r="T156" i="45" s="1"/>
  <c r="W156" s="1"/>
  <c r="Y156" s="1"/>
  <c r="AA156" l="1"/>
  <c r="FF159" i="43"/>
  <c r="AD156" i="45" s="1"/>
  <c r="GJ160" i="43"/>
  <c r="HH160" l="1"/>
  <c r="HA160"/>
  <c r="GM160"/>
  <c r="GT160"/>
  <c r="GV160" s="1"/>
  <c r="BU160" s="1"/>
  <c r="GK160" l="1"/>
  <c r="GO160"/>
  <c r="BB160" s="1"/>
  <c r="BW160"/>
  <c r="GX161"/>
  <c r="GW161" s="1"/>
  <c r="GS161" s="1"/>
  <c r="GU160" l="1"/>
  <c r="HI160"/>
  <c r="HJ160" s="1"/>
  <c r="DI160" s="1"/>
  <c r="GN160"/>
  <c r="HB160"/>
  <c r="HC160" s="1"/>
  <c r="CP160" s="1"/>
  <c r="BD160"/>
  <c r="GQ161"/>
  <c r="GP161" s="1"/>
  <c r="GL161" s="1"/>
  <c r="AN160" l="1"/>
  <c r="AO160" s="1"/>
  <c r="T157" i="45" s="1"/>
  <c r="DK160" i="43"/>
  <c r="HL161"/>
  <c r="HK161" s="1"/>
  <c r="HG161" s="1"/>
  <c r="CR160"/>
  <c r="HE161"/>
  <c r="HD161" s="1"/>
  <c r="GZ161" s="1"/>
  <c r="DY160" l="1"/>
  <c r="DZ160" s="1"/>
  <c r="GJ161"/>
  <c r="HA161" s="1"/>
  <c r="HC161" s="1"/>
  <c r="CP161" s="1"/>
  <c r="FF160"/>
  <c r="AD157" i="45" s="1"/>
  <c r="HE162" i="43" l="1"/>
  <c r="HD162" s="1"/>
  <c r="GZ162" s="1"/>
  <c r="CR161"/>
  <c r="GM161"/>
  <c r="GT161"/>
  <c r="GV161" s="1"/>
  <c r="BU161" s="1"/>
  <c r="HH161"/>
  <c r="GO161" l="1"/>
  <c r="BB161" s="1"/>
  <c r="GK161"/>
  <c r="BW161"/>
  <c r="GX162"/>
  <c r="GW162" s="1"/>
  <c r="GS162" s="1"/>
  <c r="GQ162" l="1"/>
  <c r="GP162" s="1"/>
  <c r="GL162" s="1"/>
  <c r="BD161"/>
  <c r="GU161"/>
  <c r="HB161"/>
  <c r="HI161"/>
  <c r="HJ161" s="1"/>
  <c r="DI161" s="1"/>
  <c r="GN161"/>
  <c r="HL162" l="1"/>
  <c r="HK162" s="1"/>
  <c r="HG162" s="1"/>
  <c r="DK161"/>
  <c r="AN161"/>
  <c r="AO161" l="1"/>
  <c r="T158" i="45" s="1"/>
  <c r="DY161" i="43"/>
  <c r="DZ161" s="1"/>
  <c r="FF161" l="1"/>
  <c r="AD158" i="45" s="1"/>
  <c r="GJ162" i="43"/>
  <c r="W158" i="45" l="1"/>
  <c r="Y158" s="1"/>
  <c r="HH162" i="43"/>
  <c r="GM162"/>
  <c r="GT162"/>
  <c r="HA162"/>
  <c r="AA158" i="45" l="1"/>
  <c r="GK162" i="43"/>
  <c r="HI162" l="1"/>
  <c r="HJ162" s="1"/>
  <c r="DI162" s="1"/>
  <c r="HB162"/>
  <c r="HC162" s="1"/>
  <c r="CP162" s="1"/>
  <c r="GN162"/>
  <c r="GO162" s="1"/>
  <c r="BB162" s="1"/>
  <c r="GU162"/>
  <c r="GV162" s="1"/>
  <c r="BU162" s="1"/>
  <c r="DK162" l="1"/>
  <c r="HL163"/>
  <c r="HK163" s="1"/>
  <c r="HG163" s="1"/>
  <c r="HE163"/>
  <c r="HD163" s="1"/>
  <c r="GZ163" s="1"/>
  <c r="CR162"/>
  <c r="GQ163"/>
  <c r="GP163" s="1"/>
  <c r="GL163" s="1"/>
  <c r="AN162"/>
  <c r="BD162"/>
  <c r="GX163"/>
  <c r="GW163" s="1"/>
  <c r="GS163" s="1"/>
  <c r="BW162"/>
  <c r="DY162" l="1"/>
  <c r="DZ162" s="1"/>
  <c r="AO162"/>
  <c r="FF162" l="1"/>
  <c r="AD159" i="45" s="1"/>
  <c r="GJ163" i="43"/>
  <c r="T159" i="45"/>
  <c r="HA163" i="43" l="1"/>
  <c r="HH163"/>
  <c r="GM163"/>
  <c r="GT163"/>
  <c r="GK163" l="1"/>
  <c r="GN163" l="1"/>
  <c r="GO163" s="1"/>
  <c r="BB163" s="1"/>
  <c r="HI163"/>
  <c r="HJ163" s="1"/>
  <c r="DI163" s="1"/>
  <c r="GU163"/>
  <c r="GV163" s="1"/>
  <c r="BU163" s="1"/>
  <c r="HB163"/>
  <c r="HC163" s="1"/>
  <c r="CP163" s="1"/>
  <c r="BD163" l="1"/>
  <c r="GQ164"/>
  <c r="GP164" s="1"/>
  <c r="GL164" s="1"/>
  <c r="AN163"/>
  <c r="DK163"/>
  <c r="HL164"/>
  <c r="HK164" s="1"/>
  <c r="HG164" s="1"/>
  <c r="BW163"/>
  <c r="GX164"/>
  <c r="GW164" s="1"/>
  <c r="GS164" s="1"/>
  <c r="HE164"/>
  <c r="HD164" s="1"/>
  <c r="GZ164" s="1"/>
  <c r="CR163"/>
  <c r="DY163" l="1"/>
  <c r="DZ163" s="1"/>
  <c r="AO163"/>
  <c r="GJ164" l="1"/>
  <c r="FF163"/>
  <c r="AD160" i="45" s="1"/>
  <c r="T160"/>
  <c r="HH164" i="43" l="1"/>
  <c r="GM164"/>
  <c r="GT164"/>
  <c r="HA164"/>
  <c r="GK164" l="1"/>
  <c r="GN164" s="1"/>
  <c r="GO164" s="1"/>
  <c r="BB164" s="1"/>
  <c r="GQ165" s="1"/>
  <c r="GP165" s="1"/>
  <c r="GL165" s="1"/>
  <c r="GU164" l="1"/>
  <c r="GV164" s="1"/>
  <c r="BU164" s="1"/>
  <c r="BW164" s="1"/>
  <c r="BD164"/>
  <c r="HI164"/>
  <c r="HJ164" s="1"/>
  <c r="DI164" s="1"/>
  <c r="DK164" s="1"/>
  <c r="HB164"/>
  <c r="HC164" s="1"/>
  <c r="CP164" s="1"/>
  <c r="CR164" s="1"/>
  <c r="GX165" l="1"/>
  <c r="GW165" s="1"/>
  <c r="GS165" s="1"/>
  <c r="HE165"/>
  <c r="HD165" s="1"/>
  <c r="GZ165" s="1"/>
  <c r="AN164"/>
  <c r="DY164" s="1"/>
  <c r="DZ164" s="1"/>
  <c r="HL165"/>
  <c r="HK165" s="1"/>
  <c r="HG165" s="1"/>
  <c r="GJ165" l="1"/>
  <c r="HA165" s="1"/>
  <c r="AO164"/>
  <c r="GM165" l="1"/>
  <c r="GT165"/>
  <c r="HH165"/>
  <c r="FF164"/>
  <c r="AD161" i="45" s="1"/>
  <c r="T161"/>
  <c r="W161" s="1"/>
  <c r="GK165" i="43" l="1"/>
  <c r="HI165" s="1"/>
  <c r="HJ165" s="1"/>
  <c r="DI165" s="1"/>
  <c r="AA161" i="45"/>
  <c r="AB161" s="1"/>
  <c r="Y161"/>
  <c r="Z161" s="1"/>
  <c r="GU165" i="43" l="1"/>
  <c r="GV165" s="1"/>
  <c r="BU165" s="1"/>
  <c r="BW165" s="1"/>
  <c r="HB165"/>
  <c r="HC165" s="1"/>
  <c r="CP165" s="1"/>
  <c r="CR165" s="1"/>
  <c r="GN165"/>
  <c r="GO165" s="1"/>
  <c r="BB165" s="1"/>
  <c r="BD165" s="1"/>
  <c r="HL166"/>
  <c r="HK166" s="1"/>
  <c r="HG166" s="1"/>
  <c r="DK165"/>
  <c r="GX166" l="1"/>
  <c r="GW166" s="1"/>
  <c r="GS166" s="1"/>
  <c r="GQ166"/>
  <c r="GP166" s="1"/>
  <c r="GL166" s="1"/>
  <c r="AN165"/>
  <c r="AO165" s="1"/>
  <c r="HE166"/>
  <c r="HD166" s="1"/>
  <c r="GZ166" s="1"/>
  <c r="DY165" l="1"/>
  <c r="DZ165" s="1"/>
  <c r="FF165"/>
  <c r="AD162" i="45" s="1"/>
  <c r="T162"/>
  <c r="W162" s="1"/>
  <c r="Y162" s="1"/>
  <c r="GJ166" i="43"/>
  <c r="AA162" i="45" l="1"/>
  <c r="AB162" s="1"/>
  <c r="Z162"/>
  <c r="GT166" i="43"/>
  <c r="GM166"/>
  <c r="HA166"/>
  <c r="HH166"/>
  <c r="GK166" l="1"/>
  <c r="HI166" l="1"/>
  <c r="HJ166" s="1"/>
  <c r="DI166" s="1"/>
  <c r="GN166"/>
  <c r="GO166" s="1"/>
  <c r="BB166" s="1"/>
  <c r="GU166"/>
  <c r="GV166" s="1"/>
  <c r="BU166" s="1"/>
  <c r="HB166"/>
  <c r="HC166" s="1"/>
  <c r="CP166" s="1"/>
  <c r="CR166" l="1"/>
  <c r="HE167"/>
  <c r="HD167" s="1"/>
  <c r="GZ167" s="1"/>
  <c r="GX167"/>
  <c r="GW167" s="1"/>
  <c r="GS167" s="1"/>
  <c r="BW166"/>
  <c r="GQ167"/>
  <c r="GP167" s="1"/>
  <c r="GL167" s="1"/>
  <c r="BD166"/>
  <c r="AN166"/>
  <c r="HL167"/>
  <c r="HK167" s="1"/>
  <c r="HG167" s="1"/>
  <c r="DK166"/>
  <c r="DY166" l="1"/>
  <c r="DZ166" s="1"/>
  <c r="AO166"/>
  <c r="T163" i="45" l="1"/>
  <c r="W163" s="1"/>
  <c r="Y163" s="1"/>
  <c r="GJ167" i="43"/>
  <c r="FF166"/>
  <c r="AD163" i="45" s="1"/>
  <c r="AA163" l="1"/>
  <c r="AB163" s="1"/>
  <c r="Z163"/>
  <c r="GM167" i="43"/>
  <c r="HA167"/>
  <c r="HH167"/>
  <c r="GT167"/>
  <c r="GK167" l="1"/>
  <c r="GU167" l="1"/>
  <c r="GV167" s="1"/>
  <c r="BU167" s="1"/>
  <c r="HB167"/>
  <c r="HC167" s="1"/>
  <c r="CP167" s="1"/>
  <c r="GN167"/>
  <c r="GO167" s="1"/>
  <c r="BB167" s="1"/>
  <c r="HI167"/>
  <c r="HJ167" s="1"/>
  <c r="DI167" s="1"/>
  <c r="HL168" l="1"/>
  <c r="HK168" s="1"/>
  <c r="HG168" s="1"/>
  <c r="DK167"/>
  <c r="BD167"/>
  <c r="GQ168"/>
  <c r="GP168" s="1"/>
  <c r="GL168" s="1"/>
  <c r="AN167"/>
  <c r="HE168"/>
  <c r="HD168" s="1"/>
  <c r="GZ168" s="1"/>
  <c r="CR167"/>
  <c r="GX168"/>
  <c r="GW168" s="1"/>
  <c r="GS168" s="1"/>
  <c r="BW167"/>
  <c r="DY167" l="1"/>
  <c r="DZ167" s="1"/>
  <c r="AO167"/>
  <c r="T164" i="45" l="1"/>
  <c r="GJ168" i="43"/>
  <c r="FF167"/>
  <c r="AD164" i="45" s="1"/>
  <c r="HA168" i="43" l="1"/>
  <c r="HH168"/>
  <c r="GM168"/>
  <c r="GT168"/>
  <c r="GK168" l="1"/>
  <c r="GU168" l="1"/>
  <c r="GV168" s="1"/>
  <c r="BU168" s="1"/>
  <c r="HI168"/>
  <c r="HJ168" s="1"/>
  <c r="DI168" s="1"/>
  <c r="HB168"/>
  <c r="HC168" s="1"/>
  <c r="CP168" s="1"/>
  <c r="GN168"/>
  <c r="GO168" s="1"/>
  <c r="BB168" s="1"/>
  <c r="BD168" s="1"/>
  <c r="HE169" l="1"/>
  <c r="HD169" s="1"/>
  <c r="GZ169" s="1"/>
  <c r="CR168"/>
  <c r="HL169"/>
  <c r="HK169" s="1"/>
  <c r="HG169" s="1"/>
  <c r="DK168"/>
  <c r="GX169"/>
  <c r="GW169" s="1"/>
  <c r="GS169" s="1"/>
  <c r="BW168"/>
  <c r="AN168"/>
  <c r="GQ169"/>
  <c r="GP169" s="1"/>
  <c r="AO168" l="1"/>
  <c r="T165" i="45" s="1"/>
  <c r="DY168" i="43"/>
  <c r="DZ168" s="1"/>
  <c r="GL169"/>
  <c r="FF168" l="1"/>
  <c r="AD165" i="45" s="1"/>
  <c r="GJ169" i="43"/>
  <c r="GT169" l="1"/>
  <c r="HA169"/>
  <c r="HH169"/>
  <c r="GM169"/>
  <c r="GK169" l="1"/>
  <c r="GU169" s="1"/>
  <c r="GV169" s="1"/>
  <c r="BU169" s="1"/>
  <c r="GX170" l="1"/>
  <c r="GW170" s="1"/>
  <c r="GS170" s="1"/>
  <c r="BW169"/>
  <c r="GN169"/>
  <c r="GO169" s="1"/>
  <c r="BB169" s="1"/>
  <c r="HI169"/>
  <c r="HJ169" s="1"/>
  <c r="DI169" s="1"/>
  <c r="HB169"/>
  <c r="HC169" s="1"/>
  <c r="CP169" s="1"/>
  <c r="HL170" l="1"/>
  <c r="HK170" s="1"/>
  <c r="HG170" s="1"/>
  <c r="DK169"/>
  <c r="GQ170"/>
  <c r="GP170" s="1"/>
  <c r="GL170" s="1"/>
  <c r="BD169"/>
  <c r="HE170"/>
  <c r="HD170" s="1"/>
  <c r="GZ170" s="1"/>
  <c r="CR169"/>
  <c r="AN169"/>
  <c r="DY169" s="1"/>
  <c r="DZ169" s="1"/>
  <c r="AO169" l="1"/>
  <c r="GJ170" l="1"/>
  <c r="HH170" s="1"/>
  <c r="T166" i="45"/>
  <c r="FF169" i="43"/>
  <c r="AD166" i="45" s="1"/>
  <c r="GM170" i="43" l="1"/>
  <c r="GT170"/>
  <c r="HA170"/>
  <c r="GK170" l="1"/>
  <c r="HB170" s="1"/>
  <c r="HC170" s="1"/>
  <c r="CP170" s="1"/>
  <c r="CR170" s="1"/>
  <c r="HE171" l="1"/>
  <c r="HD171" s="1"/>
  <c r="GZ171" s="1"/>
  <c r="GN170"/>
  <c r="GO170" s="1"/>
  <c r="BB170" s="1"/>
  <c r="BD170" s="1"/>
  <c r="GU170"/>
  <c r="GV170" s="1"/>
  <c r="BU170" s="1"/>
  <c r="GX171" s="1"/>
  <c r="GW171" s="1"/>
  <c r="GS171" s="1"/>
  <c r="HI170"/>
  <c r="HJ170" s="1"/>
  <c r="DI170" s="1"/>
  <c r="HL171" s="1"/>
  <c r="HK171" s="1"/>
  <c r="HG171" s="1"/>
  <c r="DK170" l="1"/>
  <c r="GQ171"/>
  <c r="GP171" s="1"/>
  <c r="GL171" s="1"/>
  <c r="GJ171" s="1"/>
  <c r="AN170"/>
  <c r="AO170" s="1"/>
  <c r="T167" i="45" s="1"/>
  <c r="BW170" i="43"/>
  <c r="FF170" l="1"/>
  <c r="AD167" i="45" s="1"/>
  <c r="DY170" i="43"/>
  <c r="DZ170" s="1"/>
  <c r="HH171"/>
  <c r="GT171"/>
  <c r="HA171"/>
  <c r="GM171"/>
  <c r="GK171" l="1"/>
  <c r="GU171" s="1"/>
  <c r="GV171" s="1"/>
  <c r="BU171" s="1"/>
  <c r="GX172" l="1"/>
  <c r="GW172" s="1"/>
  <c r="GS172" s="1"/>
  <c r="BW171"/>
  <c r="HB171"/>
  <c r="HC171" s="1"/>
  <c r="CP171" s="1"/>
  <c r="HI171"/>
  <c r="HJ171" s="1"/>
  <c r="DI171" s="1"/>
  <c r="GN171"/>
  <c r="GO171" s="1"/>
  <c r="BB171" s="1"/>
  <c r="BD171" s="1"/>
  <c r="HL172" l="1"/>
  <c r="HK172" s="1"/>
  <c r="HG172" s="1"/>
  <c r="DK171"/>
  <c r="HE172"/>
  <c r="HD172" s="1"/>
  <c r="GZ172" s="1"/>
  <c r="CR171"/>
  <c r="AN171"/>
  <c r="AO171" s="1"/>
  <c r="T168" i="45" s="1"/>
  <c r="GQ172" i="43"/>
  <c r="GP172" s="1"/>
  <c r="GL172" s="1"/>
  <c r="DY171" l="1"/>
  <c r="DZ171" s="1"/>
  <c r="FF171"/>
  <c r="AD168" i="45" s="1"/>
  <c r="GJ172" i="43"/>
  <c r="GT172" l="1"/>
  <c r="HH172"/>
  <c r="GM172"/>
  <c r="HA172"/>
  <c r="GK172" l="1"/>
  <c r="HI172" s="1"/>
  <c r="HJ172" s="1"/>
  <c r="DI172" s="1"/>
  <c r="HL173" l="1"/>
  <c r="HK173" s="1"/>
  <c r="HG173" s="1"/>
  <c r="DK172"/>
  <c r="HB172"/>
  <c r="HC172" s="1"/>
  <c r="CP172" s="1"/>
  <c r="GU172"/>
  <c r="GV172" s="1"/>
  <c r="BU172" s="1"/>
  <c r="GN172"/>
  <c r="GO172" s="1"/>
  <c r="BB172" s="1"/>
  <c r="BD172" s="1"/>
  <c r="GX173" l="1"/>
  <c r="GW173" s="1"/>
  <c r="GS173" s="1"/>
  <c r="BW172"/>
  <c r="HE173"/>
  <c r="HD173" s="1"/>
  <c r="GZ173" s="1"/>
  <c r="CR172"/>
  <c r="AN172"/>
  <c r="GQ173"/>
  <c r="GP173" s="1"/>
  <c r="GL173" s="1"/>
  <c r="DY172" l="1"/>
  <c r="DZ172" s="1"/>
  <c r="AO172"/>
  <c r="T169" i="45" s="1"/>
  <c r="GJ173" i="43" l="1"/>
  <c r="FF172"/>
  <c r="AD169" i="45" s="1"/>
  <c r="HH173" i="43" l="1"/>
  <c r="GT173"/>
  <c r="GM173"/>
  <c r="HA173"/>
  <c r="GO173" l="1"/>
  <c r="BB173" s="1"/>
  <c r="GK173"/>
  <c r="GQ174" l="1"/>
  <c r="GP174" s="1"/>
  <c r="GL174" s="1"/>
  <c r="BD173"/>
  <c r="GU173"/>
  <c r="GV173" s="1"/>
  <c r="BU173" s="1"/>
  <c r="GN173"/>
  <c r="HI173"/>
  <c r="HJ173" s="1"/>
  <c r="DI173" s="1"/>
  <c r="HB173"/>
  <c r="HC173" s="1"/>
  <c r="CP173" s="1"/>
  <c r="GX174" l="1"/>
  <c r="GW174" s="1"/>
  <c r="GS174" s="1"/>
  <c r="BW173"/>
  <c r="HE174"/>
  <c r="HD174" s="1"/>
  <c r="GZ174" s="1"/>
  <c r="CR173"/>
  <c r="HL174"/>
  <c r="HK174" s="1"/>
  <c r="HG174" s="1"/>
  <c r="DK173"/>
  <c r="AN173"/>
  <c r="DY173" s="1"/>
  <c r="DZ173" s="1"/>
  <c r="AO173" l="1"/>
  <c r="GJ174"/>
  <c r="GM174" s="1"/>
  <c r="FF173" l="1"/>
  <c r="AD170" i="45" s="1"/>
  <c r="T170"/>
  <c r="HA174" i="43"/>
  <c r="HH174"/>
  <c r="GT174"/>
  <c r="GO174"/>
  <c r="BB174" s="1"/>
  <c r="GK174" l="1"/>
  <c r="GU174" s="1"/>
  <c r="GV174" s="1"/>
  <c r="BU174" s="1"/>
  <c r="BD174"/>
  <c r="GQ175"/>
  <c r="GP175" s="1"/>
  <c r="GX175" l="1"/>
  <c r="GW175" s="1"/>
  <c r="GS175" s="1"/>
  <c r="BW174"/>
  <c r="GN174"/>
  <c r="HI174"/>
  <c r="HJ174" s="1"/>
  <c r="DI174" s="1"/>
  <c r="HB174"/>
  <c r="HC174" s="1"/>
  <c r="CP174" s="1"/>
  <c r="GL175"/>
  <c r="HL175" l="1"/>
  <c r="HK175" s="1"/>
  <c r="HG175" s="1"/>
  <c r="DK174"/>
  <c r="HE175"/>
  <c r="HD175" s="1"/>
  <c r="GZ175" s="1"/>
  <c r="CR174"/>
  <c r="AN174"/>
  <c r="AO174" s="1"/>
  <c r="T171" i="45" s="1"/>
  <c r="DY174" i="43" l="1"/>
  <c r="DZ174" s="1"/>
  <c r="GJ175"/>
  <c r="FF174"/>
  <c r="AD171" i="45" s="1"/>
  <c r="GT175" i="43" l="1"/>
  <c r="HA175"/>
  <c r="HH175"/>
  <c r="GM175"/>
  <c r="GK175" l="1"/>
  <c r="GO175"/>
  <c r="BB175" s="1"/>
  <c r="GN175" l="1"/>
  <c r="GU175"/>
  <c r="GV175" s="1"/>
  <c r="BU175" s="1"/>
  <c r="HI175"/>
  <c r="HJ175" s="1"/>
  <c r="DI175" s="1"/>
  <c r="HB175"/>
  <c r="HC175" s="1"/>
  <c r="CP175" s="1"/>
  <c r="BD175"/>
  <c r="GQ176"/>
  <c r="GP176" s="1"/>
  <c r="HE176" l="1"/>
  <c r="HD176" s="1"/>
  <c r="GZ176" s="1"/>
  <c r="CR175"/>
  <c r="HL176"/>
  <c r="HK176" s="1"/>
  <c r="HG176" s="1"/>
  <c r="DK175"/>
  <c r="GX176"/>
  <c r="GW176" s="1"/>
  <c r="GS176" s="1"/>
  <c r="BW175"/>
  <c r="AN175"/>
  <c r="DY175" s="1"/>
  <c r="DZ175" s="1"/>
  <c r="GL176"/>
  <c r="AO175" l="1"/>
  <c r="FF175" l="1"/>
  <c r="AD172" i="45" s="1"/>
  <c r="T172"/>
  <c r="GJ176" i="43"/>
  <c r="HA176" s="1"/>
  <c r="HH176" l="1"/>
  <c r="GM176"/>
  <c r="GO176" s="1"/>
  <c r="BB176" s="1"/>
  <c r="GT176"/>
  <c r="GK176" l="1"/>
  <c r="GU176" s="1"/>
  <c r="GV176" s="1"/>
  <c r="BU176" s="1"/>
  <c r="BD176"/>
  <c r="GQ177"/>
  <c r="GP177" s="1"/>
  <c r="GX177" l="1"/>
  <c r="GW177" s="1"/>
  <c r="GS177" s="1"/>
  <c r="BW176"/>
  <c r="GN176"/>
  <c r="HB176"/>
  <c r="HC176" s="1"/>
  <c r="CP176" s="1"/>
  <c r="HI176"/>
  <c r="HJ176" s="1"/>
  <c r="DI176" s="1"/>
  <c r="GL177"/>
  <c r="HE177" l="1"/>
  <c r="HD177" s="1"/>
  <c r="GZ177" s="1"/>
  <c r="CR176"/>
  <c r="HL177"/>
  <c r="HK177" s="1"/>
  <c r="HG177" s="1"/>
  <c r="DK176"/>
  <c r="AN176"/>
  <c r="DY176" s="1"/>
  <c r="DZ176" s="1"/>
  <c r="AO176" l="1"/>
  <c r="GJ177" l="1"/>
  <c r="GT177" s="1"/>
  <c r="GV177" s="1"/>
  <c r="BU177" s="1"/>
  <c r="GX178" s="1"/>
  <c r="GW178" s="1"/>
  <c r="GS178" s="1"/>
  <c r="T173" i="45"/>
  <c r="FF176" i="43"/>
  <c r="AD173" i="45" s="1"/>
  <c r="BW177" i="43" l="1"/>
  <c r="HH177"/>
  <c r="HA177"/>
  <c r="GM177"/>
  <c r="GO177" s="1"/>
  <c r="BB177" s="1"/>
  <c r="BD177" s="1"/>
  <c r="GQ178" l="1"/>
  <c r="GP178" s="1"/>
  <c r="GL178" s="1"/>
  <c r="GK177"/>
  <c r="HI177" s="1"/>
  <c r="HJ177" s="1"/>
  <c r="DI177" s="1"/>
  <c r="HL178" l="1"/>
  <c r="HK178" s="1"/>
  <c r="HG178" s="1"/>
  <c r="DK177"/>
  <c r="GN177"/>
  <c r="HB177"/>
  <c r="HC177" s="1"/>
  <c r="CP177" s="1"/>
  <c r="AN177" s="1"/>
  <c r="GU177"/>
  <c r="HE178" l="1"/>
  <c r="HD178" s="1"/>
  <c r="GZ178" s="1"/>
  <c r="CR177"/>
  <c r="AO177"/>
  <c r="T174" i="45" s="1"/>
  <c r="DY177" i="43"/>
  <c r="DZ177" s="1"/>
  <c r="GJ178" l="1"/>
  <c r="FF177"/>
  <c r="AD174" i="45" s="1"/>
  <c r="GM178" i="43" l="1"/>
  <c r="GT178"/>
  <c r="HH178"/>
  <c r="HA178"/>
  <c r="GK178" l="1"/>
  <c r="HB178" s="1"/>
  <c r="HC178" s="1"/>
  <c r="CP178" s="1"/>
  <c r="HE179" l="1"/>
  <c r="HD179" s="1"/>
  <c r="GZ179" s="1"/>
  <c r="CR178"/>
  <c r="GU178"/>
  <c r="GV178" s="1"/>
  <c r="BU178" s="1"/>
  <c r="HI178"/>
  <c r="HJ178" s="1"/>
  <c r="DI178" s="1"/>
  <c r="GN178"/>
  <c r="GO178" s="1"/>
  <c r="BB178" s="1"/>
  <c r="GQ179" l="1"/>
  <c r="GP179" s="1"/>
  <c r="GL179" s="1"/>
  <c r="BD178"/>
  <c r="HL179"/>
  <c r="HK179" s="1"/>
  <c r="HG179" s="1"/>
  <c r="DK178"/>
  <c r="GX179"/>
  <c r="GW179" s="1"/>
  <c r="GS179" s="1"/>
  <c r="BW178"/>
  <c r="AN178"/>
  <c r="DY178" l="1"/>
  <c r="DZ178" s="1"/>
  <c r="AO178"/>
  <c r="T175" i="45" s="1"/>
  <c r="FF178" i="43" l="1"/>
  <c r="AD175" i="45" s="1"/>
  <c r="GJ179" i="43"/>
  <c r="HA179" l="1"/>
  <c r="GM179"/>
  <c r="GT179"/>
  <c r="HH179"/>
  <c r="GO179" l="1"/>
  <c r="BB179" s="1"/>
  <c r="GK179"/>
  <c r="GQ180" l="1"/>
  <c r="GP180" s="1"/>
  <c r="GL180" s="1"/>
  <c r="BD179"/>
  <c r="HB179"/>
  <c r="HC179" s="1"/>
  <c r="CP179" s="1"/>
  <c r="HI179"/>
  <c r="HJ179" s="1"/>
  <c r="DI179" s="1"/>
  <c r="GU179"/>
  <c r="GV179" s="1"/>
  <c r="BU179" s="1"/>
  <c r="BW179" s="1"/>
  <c r="GN179"/>
  <c r="HE180" l="1"/>
  <c r="HD180" s="1"/>
  <c r="GZ180" s="1"/>
  <c r="CR179"/>
  <c r="HL180"/>
  <c r="HK180" s="1"/>
  <c r="HG180" s="1"/>
  <c r="DK179"/>
  <c r="GX180"/>
  <c r="GW180" s="1"/>
  <c r="GS180" s="1"/>
  <c r="AN179"/>
  <c r="DY179" l="1"/>
  <c r="DZ179" s="1"/>
  <c r="AO179"/>
  <c r="T176" i="45" s="1"/>
  <c r="GJ180" i="43" l="1"/>
  <c r="FF179"/>
  <c r="AD176" i="45" s="1"/>
  <c r="HA180" i="43" l="1"/>
  <c r="GM180"/>
  <c r="HH180"/>
  <c r="GT180"/>
  <c r="GK180" l="1"/>
  <c r="GO180"/>
  <c r="BB180" s="1"/>
  <c r="GQ181" l="1"/>
  <c r="GP181" s="1"/>
  <c r="GL181" s="1"/>
  <c r="BD180"/>
  <c r="GN180"/>
  <c r="HB180"/>
  <c r="HC180" s="1"/>
  <c r="CP180" s="1"/>
  <c r="GU180"/>
  <c r="GV180" s="1"/>
  <c r="BU180" s="1"/>
  <c r="HI180"/>
  <c r="HJ180" s="1"/>
  <c r="DI180" s="1"/>
  <c r="DK180" l="1"/>
  <c r="HL181"/>
  <c r="HK181" s="1"/>
  <c r="BW180"/>
  <c r="GX181"/>
  <c r="GW181" s="1"/>
  <c r="CR180"/>
  <c r="HE181"/>
  <c r="HD181" s="1"/>
  <c r="AN180"/>
  <c r="GS181" l="1"/>
  <c r="HG181"/>
  <c r="GZ181"/>
  <c r="AO180"/>
  <c r="DY180"/>
  <c r="DZ180" s="1"/>
  <c r="FF180" l="1"/>
  <c r="AD177" i="45" s="1"/>
  <c r="T177"/>
  <c r="GJ181" i="43"/>
  <c r="GM181" s="1"/>
  <c r="GO181" s="1"/>
  <c r="BB181" s="1"/>
  <c r="BD181" s="1"/>
  <c r="HH181" l="1"/>
  <c r="GT181"/>
  <c r="HA181"/>
  <c r="GQ182"/>
  <c r="GP182" s="1"/>
  <c r="GK181" l="1"/>
  <c r="GL182"/>
  <c r="GU181" l="1"/>
  <c r="GV181" s="1"/>
  <c r="BU181" s="1"/>
  <c r="BW181" s="1"/>
  <c r="HI181"/>
  <c r="HJ181" s="1"/>
  <c r="DI181" s="1"/>
  <c r="HB181"/>
  <c r="HC181" s="1"/>
  <c r="CP181" s="1"/>
  <c r="GN181"/>
  <c r="HE182" l="1"/>
  <c r="HD182" s="1"/>
  <c r="GZ182" s="1"/>
  <c r="CR181"/>
  <c r="HL182"/>
  <c r="HK182" s="1"/>
  <c r="HG182" s="1"/>
  <c r="DK181"/>
  <c r="GX182"/>
  <c r="GW182" s="1"/>
  <c r="GS182" s="1"/>
  <c r="AN181"/>
  <c r="AO181" l="1"/>
  <c r="T178" i="45" s="1"/>
  <c r="DY181" i="43"/>
  <c r="DZ181" s="1"/>
  <c r="FF181" l="1"/>
  <c r="AD178" i="45" s="1"/>
  <c r="GJ182" i="43"/>
  <c r="GM182" s="1"/>
  <c r="GO182" s="1"/>
  <c r="BB182" s="1"/>
  <c r="GQ183" l="1"/>
  <c r="GP183" s="1"/>
  <c r="GL183" s="1"/>
  <c r="BD182"/>
  <c r="GT182"/>
  <c r="GV182" s="1"/>
  <c r="BU182" s="1"/>
  <c r="HA182"/>
  <c r="HH182"/>
  <c r="GX183" l="1"/>
  <c r="GW183" s="1"/>
  <c r="GS183" s="1"/>
  <c r="BW182"/>
  <c r="GK182"/>
  <c r="GN182" s="1"/>
  <c r="GU182" l="1"/>
  <c r="HI182"/>
  <c r="HJ182" s="1"/>
  <c r="DI182" s="1"/>
  <c r="HB182"/>
  <c r="HC182" s="1"/>
  <c r="CP182" s="1"/>
  <c r="HE183" l="1"/>
  <c r="HD183" s="1"/>
  <c r="GZ183" s="1"/>
  <c r="CR182"/>
  <c r="HL183"/>
  <c r="HK183" s="1"/>
  <c r="HG183" s="1"/>
  <c r="DK182"/>
  <c r="AN182"/>
  <c r="AO182" s="1"/>
  <c r="GJ183" l="1"/>
  <c r="GM183" s="1"/>
  <c r="T179" i="45"/>
  <c r="FF182" i="43"/>
  <c r="AD179" i="45" s="1"/>
  <c r="DY182" i="43"/>
  <c r="DZ182" s="1"/>
  <c r="HH183" l="1"/>
  <c r="GT183"/>
  <c r="GV183" s="1"/>
  <c r="BU183" s="1"/>
  <c r="HA183"/>
  <c r="GO183"/>
  <c r="GX184" l="1"/>
  <c r="GW184" s="1"/>
  <c r="GS184" s="1"/>
  <c r="BW183"/>
  <c r="GK183"/>
  <c r="GN183" s="1"/>
  <c r="BB183" s="1"/>
  <c r="BD183" s="1"/>
  <c r="HB183" l="1"/>
  <c r="HC183" s="1"/>
  <c r="CP183" s="1"/>
  <c r="HI183"/>
  <c r="HJ183" s="1"/>
  <c r="DI183" s="1"/>
  <c r="GU183"/>
  <c r="GQ184"/>
  <c r="GP184" s="1"/>
  <c r="GL184" s="1"/>
  <c r="HL184" l="1"/>
  <c r="HK184" s="1"/>
  <c r="HG184" s="1"/>
  <c r="DK183"/>
  <c r="HE184"/>
  <c r="HD184" s="1"/>
  <c r="GZ184" s="1"/>
  <c r="CR183"/>
  <c r="AN183"/>
  <c r="DY183" s="1"/>
  <c r="DZ183" s="1"/>
  <c r="AO183" l="1"/>
  <c r="GJ184"/>
  <c r="FF183" l="1"/>
  <c r="AD180" i="45" s="1"/>
  <c r="T180"/>
  <c r="HA184" i="43"/>
  <c r="HH184"/>
  <c r="GT184"/>
  <c r="GV184" s="1"/>
  <c r="BU184" s="1"/>
  <c r="GM184"/>
  <c r="GX185" l="1"/>
  <c r="GW185" s="1"/>
  <c r="GS185" s="1"/>
  <c r="BW184"/>
  <c r="GO184"/>
  <c r="GK184"/>
  <c r="GN184" l="1"/>
  <c r="BB184" s="1"/>
  <c r="BD184" s="1"/>
  <c r="HI184"/>
  <c r="HJ184" s="1"/>
  <c r="DI184" s="1"/>
  <c r="GU184"/>
  <c r="HB184"/>
  <c r="HC184" s="1"/>
  <c r="CP184" s="1"/>
  <c r="HE185" l="1"/>
  <c r="HD185" s="1"/>
  <c r="GZ185" s="1"/>
  <c r="CR184"/>
  <c r="HL185"/>
  <c r="HK185" s="1"/>
  <c r="HG185" s="1"/>
  <c r="DK184"/>
  <c r="GQ185"/>
  <c r="GP185" s="1"/>
  <c r="GL185" s="1"/>
  <c r="AN184"/>
  <c r="DY184" l="1"/>
  <c r="DZ184" s="1"/>
  <c r="AO184"/>
  <c r="T181" i="45" s="1"/>
  <c r="FF184" i="43" l="1"/>
  <c r="AD181" i="45" s="1"/>
  <c r="GJ185" i="43"/>
  <c r="HH185" l="1"/>
  <c r="GT185"/>
  <c r="GV185" s="1"/>
  <c r="BU185" s="1"/>
  <c r="HA185"/>
  <c r="GM185"/>
  <c r="GO185" s="1"/>
  <c r="GX186" l="1"/>
  <c r="GW186" s="1"/>
  <c r="GS186" s="1"/>
  <c r="BW185"/>
  <c r="GK185"/>
  <c r="GU185" l="1"/>
  <c r="HI185"/>
  <c r="HJ185" s="1"/>
  <c r="DI185" s="1"/>
  <c r="HB185"/>
  <c r="HC185" s="1"/>
  <c r="CP185" s="1"/>
  <c r="GN185"/>
  <c r="BB185" s="1"/>
  <c r="BD185" s="1"/>
  <c r="HE186" l="1"/>
  <c r="HD186" s="1"/>
  <c r="GZ186" s="1"/>
  <c r="CR185"/>
  <c r="HL186"/>
  <c r="HK186" s="1"/>
  <c r="HG186" s="1"/>
  <c r="DK185"/>
  <c r="GQ186"/>
  <c r="GP186" s="1"/>
  <c r="AN185"/>
  <c r="GL186" l="1"/>
  <c r="DY185"/>
  <c r="DZ185" s="1"/>
  <c r="AO185"/>
  <c r="T182" i="45" s="1"/>
  <c r="FF185" i="43" l="1"/>
  <c r="AD182" i="45" s="1"/>
  <c r="GJ186" i="43"/>
  <c r="HH186" l="1"/>
  <c r="GT186"/>
  <c r="GV186" s="1"/>
  <c r="BU186" s="1"/>
  <c r="HA186"/>
  <c r="GM186"/>
  <c r="GX187" l="1"/>
  <c r="GW187" s="1"/>
  <c r="GS187" s="1"/>
  <c r="BW186"/>
  <c r="GO186"/>
  <c r="GK186"/>
  <c r="GU186" l="1"/>
  <c r="GN186"/>
  <c r="BB186" s="1"/>
  <c r="BD186" s="1"/>
  <c r="HI186"/>
  <c r="HJ186" s="1"/>
  <c r="DI186" s="1"/>
  <c r="HB186"/>
  <c r="HC186" s="1"/>
  <c r="CP186" s="1"/>
  <c r="HL187" l="1"/>
  <c r="HK187" s="1"/>
  <c r="HG187" s="1"/>
  <c r="DK186"/>
  <c r="HE187"/>
  <c r="HD187" s="1"/>
  <c r="GZ187" s="1"/>
  <c r="CR186"/>
  <c r="GQ187"/>
  <c r="GP187" s="1"/>
  <c r="AN186"/>
  <c r="GL187" l="1"/>
  <c r="DY186"/>
  <c r="DZ186" s="1"/>
  <c r="AO186"/>
  <c r="T183" i="45" s="1"/>
  <c r="FF186" i="43" l="1"/>
  <c r="AD183" i="45" s="1"/>
  <c r="GJ187" i="43"/>
  <c r="GT187" l="1"/>
  <c r="GV187" s="1"/>
  <c r="BU187" s="1"/>
  <c r="HH187"/>
  <c r="HA187"/>
  <c r="HC187" s="1"/>
  <c r="CP187" s="1"/>
  <c r="GM187"/>
  <c r="HE188" l="1"/>
  <c r="HD188" s="1"/>
  <c r="GZ188" s="1"/>
  <c r="CR187"/>
  <c r="GX188"/>
  <c r="GW188" s="1"/>
  <c r="GS188" s="1"/>
  <c r="BW187"/>
  <c r="GK187"/>
  <c r="GO187"/>
  <c r="BB187" s="1"/>
  <c r="BD187" s="1"/>
  <c r="GU187" l="1"/>
  <c r="GN187"/>
  <c r="HB187"/>
  <c r="HI187"/>
  <c r="HJ187" s="1"/>
  <c r="DI187" s="1"/>
  <c r="GQ188"/>
  <c r="GP188" s="1"/>
  <c r="HL188" l="1"/>
  <c r="HK188" s="1"/>
  <c r="HG188" s="1"/>
  <c r="DK187"/>
  <c r="AN187"/>
  <c r="DY187" s="1"/>
  <c r="DZ187" s="1"/>
  <c r="GL188"/>
  <c r="AO187" l="1"/>
  <c r="FF187" l="1"/>
  <c r="AD184" i="45" s="1"/>
  <c r="T184"/>
  <c r="GJ188" i="43"/>
  <c r="GM188" s="1"/>
  <c r="GT188" l="1"/>
  <c r="GV188" s="1"/>
  <c r="BU188" s="1"/>
  <c r="HH188"/>
  <c r="HA188"/>
  <c r="HC188" s="1"/>
  <c r="CP188" s="1"/>
  <c r="GO188"/>
  <c r="BB188" s="1"/>
  <c r="BD188" s="1"/>
  <c r="HE189" l="1"/>
  <c r="HD189" s="1"/>
  <c r="GZ189" s="1"/>
  <c r="CR188"/>
  <c r="GX189"/>
  <c r="GW189" s="1"/>
  <c r="GS189" s="1"/>
  <c r="BW188"/>
  <c r="GK188"/>
  <c r="HI188" s="1"/>
  <c r="HJ188" s="1"/>
  <c r="DI188" s="1"/>
  <c r="GQ189"/>
  <c r="GP189" s="1"/>
  <c r="HL189" l="1"/>
  <c r="HK189" s="1"/>
  <c r="HG189" s="1"/>
  <c r="DK188"/>
  <c r="HB188"/>
  <c r="GU188"/>
  <c r="GN188"/>
  <c r="AN188"/>
  <c r="DY188" s="1"/>
  <c r="DZ188" s="1"/>
  <c r="GL189"/>
  <c r="AO188" l="1"/>
  <c r="GJ189" l="1"/>
  <c r="HA189" s="1"/>
  <c r="HC189" s="1"/>
  <c r="CP189" s="1"/>
  <c r="T185" i="45"/>
  <c r="FF188" i="43"/>
  <c r="AD185" i="45" s="1"/>
  <c r="HE190" i="43" l="1"/>
  <c r="HD190" s="1"/>
  <c r="GZ190" s="1"/>
  <c r="CR189"/>
  <c r="HH189"/>
  <c r="GM189"/>
  <c r="GO189" s="1"/>
  <c r="BB189" s="1"/>
  <c r="BD189" s="1"/>
  <c r="GT189"/>
  <c r="GV189" s="1"/>
  <c r="BU189" s="1"/>
  <c r="GX190" l="1"/>
  <c r="GW190" s="1"/>
  <c r="GS190" s="1"/>
  <c r="BW189"/>
  <c r="GK189"/>
  <c r="HI189" s="1"/>
  <c r="HJ189" s="1"/>
  <c r="DI189" s="1"/>
  <c r="GQ190"/>
  <c r="GP190" s="1"/>
  <c r="HL190" l="1"/>
  <c r="HK190" s="1"/>
  <c r="HG190" s="1"/>
  <c r="DK189"/>
  <c r="GN189"/>
  <c r="GU189"/>
  <c r="HB189"/>
  <c r="AN189"/>
  <c r="DY189" s="1"/>
  <c r="DZ189" s="1"/>
  <c r="GL190"/>
  <c r="AO189" l="1"/>
  <c r="FF189" l="1"/>
  <c r="AD186" i="45" s="1"/>
  <c r="T186"/>
  <c r="GJ190" i="43"/>
  <c r="GM190" s="1"/>
  <c r="HH190" l="1"/>
  <c r="GT190"/>
  <c r="GV190" s="1"/>
  <c r="BU190" s="1"/>
  <c r="HA190"/>
  <c r="HC190" s="1"/>
  <c r="CP190" s="1"/>
  <c r="GO190"/>
  <c r="BB190" s="1"/>
  <c r="BD190" s="1"/>
  <c r="HE191" l="1"/>
  <c r="HD191" s="1"/>
  <c r="GZ191" s="1"/>
  <c r="CR190"/>
  <c r="GX191"/>
  <c r="GW191" s="1"/>
  <c r="GS191" s="1"/>
  <c r="BW190"/>
  <c r="GK190"/>
  <c r="HI190" s="1"/>
  <c r="HJ190" s="1"/>
  <c r="DI190" s="1"/>
  <c r="GQ191"/>
  <c r="GP191" s="1"/>
  <c r="GL191" s="1"/>
  <c r="HL191" l="1"/>
  <c r="HK191" s="1"/>
  <c r="HG191" s="1"/>
  <c r="DK190"/>
  <c r="GN190"/>
  <c r="HB190"/>
  <c r="GU190"/>
  <c r="AN190"/>
  <c r="DY190" s="1"/>
  <c r="DZ190" s="1"/>
  <c r="AO190" l="1"/>
  <c r="GJ191"/>
  <c r="FF190" l="1"/>
  <c r="AD187" i="45" s="1"/>
  <c r="T187"/>
  <c r="HA191" i="43"/>
  <c r="HC191" s="1"/>
  <c r="CP191" s="1"/>
  <c r="GT191"/>
  <c r="GV191" s="1"/>
  <c r="BU191" s="1"/>
  <c r="HH191"/>
  <c r="HJ191" s="1"/>
  <c r="DI191" s="1"/>
  <c r="GM191"/>
  <c r="HE192" l="1"/>
  <c r="HD192" s="1"/>
  <c r="GZ192" s="1"/>
  <c r="CR191"/>
  <c r="GX192"/>
  <c r="GW192" s="1"/>
  <c r="GS192" s="1"/>
  <c r="BW191"/>
  <c r="HL192"/>
  <c r="HK192" s="1"/>
  <c r="HG192" s="1"/>
  <c r="DK191"/>
  <c r="GO191"/>
  <c r="BB191" s="1"/>
  <c r="BD191" s="1"/>
  <c r="GK191"/>
  <c r="AN191" l="1"/>
  <c r="DY191" s="1"/>
  <c r="DZ191" s="1"/>
  <c r="GQ192"/>
  <c r="GP192" s="1"/>
  <c r="GL192" s="1"/>
  <c r="GJ192" s="1"/>
  <c r="GT192" s="1"/>
  <c r="GV192" s="1"/>
  <c r="BU192" s="1"/>
  <c r="GN191"/>
  <c r="HB191"/>
  <c r="HI191"/>
  <c r="GU191"/>
  <c r="GX193" l="1"/>
  <c r="GW193" s="1"/>
  <c r="GS193" s="1"/>
  <c r="BW192"/>
  <c r="HA192"/>
  <c r="HC192" s="1"/>
  <c r="CP192" s="1"/>
  <c r="HH192"/>
  <c r="HJ192" s="1"/>
  <c r="DI192" s="1"/>
  <c r="AO191"/>
  <c r="GM192"/>
  <c r="GO192" s="1"/>
  <c r="BB192" s="1"/>
  <c r="BD192" s="1"/>
  <c r="HL193" l="1"/>
  <c r="HK193" s="1"/>
  <c r="HG193" s="1"/>
  <c r="DK192"/>
  <c r="HE193"/>
  <c r="HD193" s="1"/>
  <c r="GZ193" s="1"/>
  <c r="CR192"/>
  <c r="FF191"/>
  <c r="AD188" i="45" s="1"/>
  <c r="T188"/>
  <c r="GQ193" i="43"/>
  <c r="GP193" s="1"/>
  <c r="GL193" s="1"/>
  <c r="AN192"/>
  <c r="GK192"/>
  <c r="GU192" s="1"/>
  <c r="GJ193" l="1"/>
  <c r="GT193" s="1"/>
  <c r="GV193" s="1"/>
  <c r="BU193" s="1"/>
  <c r="GN192"/>
  <c r="DY192"/>
  <c r="DZ192" s="1"/>
  <c r="AO192"/>
  <c r="HI192"/>
  <c r="HB192"/>
  <c r="GX194" l="1"/>
  <c r="GW194" s="1"/>
  <c r="GS194" s="1"/>
  <c r="BW193"/>
  <c r="GM193"/>
  <c r="GO193" s="1"/>
  <c r="BB193" s="1"/>
  <c r="HA193"/>
  <c r="HC193" s="1"/>
  <c r="CP193" s="1"/>
  <c r="HH193"/>
  <c r="HJ193" s="1"/>
  <c r="DI193" s="1"/>
  <c r="FF192"/>
  <c r="AD189" i="45" s="1"/>
  <c r="T189"/>
  <c r="HE194" i="43" l="1"/>
  <c r="HD194" s="1"/>
  <c r="GZ194" s="1"/>
  <c r="CR193"/>
  <c r="GQ194"/>
  <c r="GP194" s="1"/>
  <c r="GL194" s="1"/>
  <c r="BD193"/>
  <c r="HL194"/>
  <c r="HK194" s="1"/>
  <c r="HG194" s="1"/>
  <c r="DK193"/>
  <c r="GK193"/>
  <c r="HI193" s="1"/>
  <c r="AN193"/>
  <c r="AO193" s="1"/>
  <c r="GJ194" l="1"/>
  <c r="GT194" s="1"/>
  <c r="GV194" s="1"/>
  <c r="BU194" s="1"/>
  <c r="BW194" s="1"/>
  <c r="FF193"/>
  <c r="AD190" i="45" s="1"/>
  <c r="T190"/>
  <c r="HB193" i="43"/>
  <c r="GN193"/>
  <c r="GU193"/>
  <c r="DY193"/>
  <c r="DZ193" s="1"/>
  <c r="GX195" l="1"/>
  <c r="GW195" s="1"/>
  <c r="GS195" s="1"/>
  <c r="GM194"/>
  <c r="GO194" s="1"/>
  <c r="BB194" s="1"/>
  <c r="BD194" s="1"/>
  <c r="HA194"/>
  <c r="HC194" s="1"/>
  <c r="CP194" s="1"/>
  <c r="HH194"/>
  <c r="HJ194" s="1"/>
  <c r="DI194" s="1"/>
  <c r="HE195" l="1"/>
  <c r="HD195" s="1"/>
  <c r="GZ195" s="1"/>
  <c r="CR194"/>
  <c r="HL195"/>
  <c r="HK195" s="1"/>
  <c r="HG195" s="1"/>
  <c r="DK194"/>
  <c r="GK194"/>
  <c r="HI194" s="1"/>
  <c r="AN194"/>
  <c r="GQ195"/>
  <c r="GP195" s="1"/>
  <c r="GU194" l="1"/>
  <c r="HB194"/>
  <c r="GN194"/>
  <c r="DY194"/>
  <c r="DZ194" s="1"/>
  <c r="AO194"/>
  <c r="GL195"/>
  <c r="GJ195" s="1"/>
  <c r="GM195" s="1"/>
  <c r="FF194" l="1"/>
  <c r="AD191" i="45" s="1"/>
  <c r="T191"/>
  <c r="HH195" i="43"/>
  <c r="HJ195" s="1"/>
  <c r="DI195" s="1"/>
  <c r="GT195"/>
  <c r="GV195" s="1"/>
  <c r="BU195" s="1"/>
  <c r="HA195"/>
  <c r="HC195" s="1"/>
  <c r="CP195" s="1"/>
  <c r="GO195"/>
  <c r="BB195" s="1"/>
  <c r="BD195" s="1"/>
  <c r="GX196" l="1"/>
  <c r="GW196" s="1"/>
  <c r="GS196" s="1"/>
  <c r="BW195"/>
  <c r="HL196"/>
  <c r="HK196" s="1"/>
  <c r="HG196" s="1"/>
  <c r="DK195"/>
  <c r="HE196"/>
  <c r="HD196" s="1"/>
  <c r="GZ196" s="1"/>
  <c r="CR195"/>
  <c r="GK195"/>
  <c r="GN195" s="1"/>
  <c r="GQ196"/>
  <c r="GP196" s="1"/>
  <c r="AN195"/>
  <c r="HI195" l="1"/>
  <c r="HB195"/>
  <c r="GU195"/>
  <c r="GL196"/>
  <c r="GJ196" s="1"/>
  <c r="AO195"/>
  <c r="DY195"/>
  <c r="DZ195" s="1"/>
  <c r="FF195" l="1"/>
  <c r="AD192" i="45" s="1"/>
  <c r="T192"/>
  <c r="GT196" i="43"/>
  <c r="GV196" s="1"/>
  <c r="BU196" s="1"/>
  <c r="HH196"/>
  <c r="HJ196" s="1"/>
  <c r="DI196" s="1"/>
  <c r="HA196"/>
  <c r="HC196" s="1"/>
  <c r="CP196" s="1"/>
  <c r="GM196"/>
  <c r="GX197" l="1"/>
  <c r="GW197" s="1"/>
  <c r="GS197" s="1"/>
  <c r="BW196"/>
  <c r="HL197"/>
  <c r="HK197" s="1"/>
  <c r="HG197" s="1"/>
  <c r="DK196"/>
  <c r="HE197"/>
  <c r="HD197" s="1"/>
  <c r="GZ197" s="1"/>
  <c r="CR196"/>
  <c r="GK196"/>
  <c r="GO196"/>
  <c r="BB196" s="1"/>
  <c r="BD196" s="1"/>
  <c r="HI196" l="1"/>
  <c r="GU196"/>
  <c r="GN196"/>
  <c r="HB196"/>
  <c r="AN196"/>
  <c r="GQ197"/>
  <c r="GP197" s="1"/>
  <c r="AO196" l="1"/>
  <c r="DY196"/>
  <c r="DZ196" s="1"/>
  <c r="GL197"/>
  <c r="GJ197" s="1"/>
  <c r="FF196" l="1"/>
  <c r="AD193" i="45" s="1"/>
  <c r="T193"/>
  <c r="HA197" i="43"/>
  <c r="HC197" s="1"/>
  <c r="CP197" s="1"/>
  <c r="HH197"/>
  <c r="HJ197" s="1"/>
  <c r="DI197" s="1"/>
  <c r="GT197"/>
  <c r="GV197" s="1"/>
  <c r="BU197" s="1"/>
  <c r="GM197"/>
  <c r="HL198" l="1"/>
  <c r="HK198" s="1"/>
  <c r="HG198" s="1"/>
  <c r="DK197"/>
  <c r="HE198"/>
  <c r="HD198" s="1"/>
  <c r="GZ198" s="1"/>
  <c r="CR197"/>
  <c r="GX198"/>
  <c r="GW198" s="1"/>
  <c r="GS198" s="1"/>
  <c r="BW197"/>
  <c r="GK197"/>
  <c r="GO197"/>
  <c r="BB197" s="1"/>
  <c r="BD197" s="1"/>
  <c r="HB197" l="1"/>
  <c r="HI197"/>
  <c r="GN197"/>
  <c r="GU197"/>
  <c r="AN197"/>
  <c r="GQ198"/>
  <c r="GP198" s="1"/>
  <c r="AO197" l="1"/>
  <c r="DY197"/>
  <c r="DZ197" s="1"/>
  <c r="GL198"/>
  <c r="GJ198" s="1"/>
  <c r="FF197" l="1"/>
  <c r="AD194" i="45" s="1"/>
  <c r="T194"/>
  <c r="HH198" i="43"/>
  <c r="HJ198" s="1"/>
  <c r="DI198" s="1"/>
  <c r="HA198"/>
  <c r="HC198" s="1"/>
  <c r="CP198" s="1"/>
  <c r="GT198"/>
  <c r="GV198" s="1"/>
  <c r="BU198" s="1"/>
  <c r="GM198"/>
  <c r="HE199" l="1"/>
  <c r="HD199" s="1"/>
  <c r="GZ199" s="1"/>
  <c r="CR198"/>
  <c r="HL199"/>
  <c r="HK199" s="1"/>
  <c r="HG199" s="1"/>
  <c r="DK198"/>
  <c r="GX199"/>
  <c r="GW199" s="1"/>
  <c r="GS199" s="1"/>
  <c r="BW198"/>
  <c r="GK198"/>
  <c r="GO198"/>
  <c r="BB198" s="1"/>
  <c r="BD198" s="1"/>
  <c r="GU198" l="1"/>
  <c r="HB198"/>
  <c r="HI198"/>
  <c r="GN198"/>
  <c r="AN198"/>
  <c r="GQ199"/>
  <c r="GP199" s="1"/>
  <c r="AO198" l="1"/>
  <c r="DY198"/>
  <c r="DZ198" s="1"/>
  <c r="GL199"/>
  <c r="GJ199" s="1"/>
  <c r="FF198" l="1"/>
  <c r="AD195" i="45" s="1"/>
  <c r="T195"/>
  <c r="HA199" i="43"/>
  <c r="HC199" s="1"/>
  <c r="CP199" s="1"/>
  <c r="HH199"/>
  <c r="HJ199" s="1"/>
  <c r="DI199" s="1"/>
  <c r="GT199"/>
  <c r="GV199" s="1"/>
  <c r="BU199" s="1"/>
  <c r="GM199"/>
  <c r="HE200" l="1"/>
  <c r="HD200" s="1"/>
  <c r="GZ200" s="1"/>
  <c r="CR199"/>
  <c r="HL200"/>
  <c r="HK200" s="1"/>
  <c r="HG200" s="1"/>
  <c r="DK199"/>
  <c r="GX200"/>
  <c r="GW200" s="1"/>
  <c r="GS200" s="1"/>
  <c r="BW199"/>
  <c r="GK199"/>
  <c r="GO199"/>
  <c r="BB199" s="1"/>
  <c r="BD199" s="1"/>
  <c r="GN199" l="1"/>
  <c r="GU199"/>
  <c r="HB199"/>
  <c r="HI199"/>
  <c r="AN199"/>
  <c r="GQ200"/>
  <c r="GP200" s="1"/>
  <c r="AO199" l="1"/>
  <c r="DY199"/>
  <c r="DZ199" s="1"/>
  <c r="GL200"/>
  <c r="GJ200" s="1"/>
  <c r="FF199" l="1"/>
  <c r="AD196" i="45" s="1"/>
  <c r="T196"/>
  <c r="GT200" i="43"/>
  <c r="GV200" s="1"/>
  <c r="BU200" s="1"/>
  <c r="HA200"/>
  <c r="HC200" s="1"/>
  <c r="CP200" s="1"/>
  <c r="HH200"/>
  <c r="HJ200" s="1"/>
  <c r="DI200" s="1"/>
  <c r="GM200"/>
  <c r="HE201" l="1"/>
  <c r="HD201" s="1"/>
  <c r="GZ201" s="1"/>
  <c r="CR200"/>
  <c r="GX201"/>
  <c r="GW201" s="1"/>
  <c r="GS201" s="1"/>
  <c r="BW200"/>
  <c r="HL201"/>
  <c r="HK201" s="1"/>
  <c r="HG201" s="1"/>
  <c r="DK200"/>
  <c r="GK200"/>
  <c r="GO200"/>
  <c r="BB200" s="1"/>
  <c r="BD200" s="1"/>
  <c r="GN200" l="1"/>
  <c r="GU200"/>
  <c r="HB200"/>
  <c r="HI200"/>
  <c r="AN200"/>
  <c r="GQ201"/>
  <c r="GP201" s="1"/>
  <c r="AO200" l="1"/>
  <c r="DY200"/>
  <c r="DZ200" s="1"/>
  <c r="GL201"/>
  <c r="GJ201" s="1"/>
  <c r="FF200" l="1"/>
  <c r="AD197" i="45" s="1"/>
  <c r="T197"/>
  <c r="HA201" i="43"/>
  <c r="HC201" s="1"/>
  <c r="CP201" s="1"/>
  <c r="HH201"/>
  <c r="HJ201" s="1"/>
  <c r="DI201" s="1"/>
  <c r="GT201"/>
  <c r="GV201" s="1"/>
  <c r="BU201" s="1"/>
  <c r="GM201"/>
  <c r="HL202" l="1"/>
  <c r="HK202" s="1"/>
  <c r="HG202" s="1"/>
  <c r="DK201"/>
  <c r="HE202"/>
  <c r="HD202" s="1"/>
  <c r="GZ202" s="1"/>
  <c r="CR201"/>
  <c r="GX202"/>
  <c r="GW202" s="1"/>
  <c r="GS202" s="1"/>
  <c r="BW201"/>
  <c r="GK201"/>
  <c r="GO201"/>
  <c r="BB201" s="1"/>
  <c r="BD201" s="1"/>
  <c r="HI201" l="1"/>
  <c r="GN201"/>
  <c r="GU201"/>
  <c r="HB201"/>
  <c r="GQ202"/>
  <c r="GP202" s="1"/>
  <c r="AN201"/>
  <c r="GL202" l="1"/>
  <c r="GJ202" s="1"/>
  <c r="AO201"/>
  <c r="DY201"/>
  <c r="DZ201" s="1"/>
  <c r="FF201" l="1"/>
  <c r="AD198" i="45" s="1"/>
  <c r="T198"/>
  <c r="GT202" i="43"/>
  <c r="GV202" s="1"/>
  <c r="BU202" s="1"/>
  <c r="HA202"/>
  <c r="HC202" s="1"/>
  <c r="CP202" s="1"/>
  <c r="HH202"/>
  <c r="HJ202" s="1"/>
  <c r="DI202" s="1"/>
  <c r="GM202"/>
  <c r="HE203" l="1"/>
  <c r="HD203" s="1"/>
  <c r="GZ203" s="1"/>
  <c r="CR202"/>
  <c r="GX203"/>
  <c r="GW203" s="1"/>
  <c r="GS203" s="1"/>
  <c r="BW202"/>
  <c r="HL203"/>
  <c r="HK203" s="1"/>
  <c r="HG203" s="1"/>
  <c r="DK202"/>
  <c r="GO202"/>
  <c r="BB202" s="1"/>
  <c r="BD202" s="1"/>
  <c r="GK202"/>
  <c r="GQ203" l="1"/>
  <c r="GP203" s="1"/>
  <c r="AN202"/>
  <c r="GU202"/>
  <c r="HB202"/>
  <c r="GN202"/>
  <c r="HI202"/>
  <c r="GL203" l="1"/>
  <c r="GJ203" s="1"/>
  <c r="DY202"/>
  <c r="DZ202" s="1"/>
  <c r="AO202"/>
  <c r="FF202" l="1"/>
  <c r="AD199" i="45" s="1"/>
  <c r="T199"/>
  <c r="HH203" i="43"/>
  <c r="HJ203" s="1"/>
  <c r="DI203" s="1"/>
  <c r="HA203"/>
  <c r="HC203" s="1"/>
  <c r="CP203" s="1"/>
  <c r="GT203"/>
  <c r="GV203" s="1"/>
  <c r="BU203" s="1"/>
  <c r="GM203"/>
  <c r="HE204" l="1"/>
  <c r="HD204" s="1"/>
  <c r="GZ204" s="1"/>
  <c r="CR203"/>
  <c r="HL204"/>
  <c r="HK204" s="1"/>
  <c r="HG204" s="1"/>
  <c r="DK203"/>
  <c r="GX204"/>
  <c r="GW204" s="1"/>
  <c r="GS204" s="1"/>
  <c r="BW203"/>
  <c r="GO203"/>
  <c r="BB203" s="1"/>
  <c r="BD203" s="1"/>
  <c r="GK203"/>
  <c r="AN203" l="1"/>
  <c r="GQ204"/>
  <c r="GP204" s="1"/>
  <c r="HB203"/>
  <c r="GN203"/>
  <c r="HI203"/>
  <c r="GU203"/>
  <c r="DY203" l="1"/>
  <c r="DZ203" s="1"/>
  <c r="AO203"/>
  <c r="GL204"/>
  <c r="GJ204" s="1"/>
  <c r="FF203" l="1"/>
  <c r="AD200" i="45" s="1"/>
  <c r="T200"/>
  <c r="GT204" i="43"/>
  <c r="GV204" s="1"/>
  <c r="BU204" s="1"/>
  <c r="HH204"/>
  <c r="HJ204" s="1"/>
  <c r="DI204" s="1"/>
  <c r="HA204"/>
  <c r="HC204" s="1"/>
  <c r="CP204" s="1"/>
  <c r="GM204"/>
  <c r="HL205" l="1"/>
  <c r="HK205" s="1"/>
  <c r="HG205" s="1"/>
  <c r="DK204"/>
  <c r="GX205"/>
  <c r="GW205" s="1"/>
  <c r="GS205" s="1"/>
  <c r="BW204"/>
  <c r="HE205"/>
  <c r="HD205" s="1"/>
  <c r="GZ205" s="1"/>
  <c r="CR204"/>
  <c r="GK204"/>
  <c r="GO204"/>
  <c r="BB204" s="1"/>
  <c r="BD204" s="1"/>
  <c r="GN204" l="1"/>
  <c r="HB204"/>
  <c r="GU204"/>
  <c r="HI204"/>
  <c r="GQ205"/>
  <c r="GP205" s="1"/>
  <c r="AN204"/>
  <c r="GL205" l="1"/>
  <c r="GJ205" s="1"/>
  <c r="AO204"/>
  <c r="DY204"/>
  <c r="DZ204" s="1"/>
  <c r="FF204" l="1"/>
  <c r="AD201" i="45" s="1"/>
  <c r="T201"/>
  <c r="HA205" i="43"/>
  <c r="HC205" s="1"/>
  <c r="CP205" s="1"/>
  <c r="GT205"/>
  <c r="GV205" s="1"/>
  <c r="BU205" s="1"/>
  <c r="HH205"/>
  <c r="HJ205" s="1"/>
  <c r="DI205" s="1"/>
  <c r="GM205"/>
  <c r="GX206" l="1"/>
  <c r="GW206" s="1"/>
  <c r="GS206" s="1"/>
  <c r="BW205"/>
  <c r="HE206"/>
  <c r="HD206" s="1"/>
  <c r="GZ206" s="1"/>
  <c r="CR205"/>
  <c r="HL206"/>
  <c r="HK206" s="1"/>
  <c r="HG206" s="1"/>
  <c r="DK205"/>
  <c r="GK205"/>
  <c r="GO205"/>
  <c r="BB205" s="1"/>
  <c r="BD205" s="1"/>
  <c r="GN205" l="1"/>
  <c r="HB205"/>
  <c r="GU205"/>
  <c r="HI205"/>
  <c r="GQ206"/>
  <c r="GP206" s="1"/>
  <c r="AN205"/>
  <c r="GL206" l="1"/>
  <c r="GJ206" s="1"/>
  <c r="DY205"/>
  <c r="DZ205" s="1"/>
  <c r="AO205"/>
  <c r="FF205" l="1"/>
  <c r="AD202" i="45" s="1"/>
  <c r="T202"/>
  <c r="GT206" i="43"/>
  <c r="GV206" s="1"/>
  <c r="BU206" s="1"/>
  <c r="HH206"/>
  <c r="HJ206" s="1"/>
  <c r="DI206" s="1"/>
  <c r="HA206"/>
  <c r="HC206" s="1"/>
  <c r="CP206" s="1"/>
  <c r="GM206"/>
  <c r="HL207" l="1"/>
  <c r="HK207" s="1"/>
  <c r="HG207" s="1"/>
  <c r="DK206"/>
  <c r="GX207"/>
  <c r="GW207" s="1"/>
  <c r="GS207" s="1"/>
  <c r="BW206"/>
  <c r="HE207"/>
  <c r="HD207" s="1"/>
  <c r="GZ207" s="1"/>
  <c r="CR206"/>
  <c r="GO206"/>
  <c r="BB206" s="1"/>
  <c r="BD206" s="1"/>
  <c r="GK206"/>
  <c r="GQ207" l="1"/>
  <c r="GP207" s="1"/>
  <c r="AN206"/>
  <c r="HI206"/>
  <c r="GU206"/>
  <c r="HB206"/>
  <c r="GN206"/>
  <c r="GL207" l="1"/>
  <c r="GJ207" s="1"/>
  <c r="DY206"/>
  <c r="DZ206" s="1"/>
  <c r="AO206"/>
  <c r="FF206" l="1"/>
  <c r="AD203" i="45" s="1"/>
  <c r="T203"/>
  <c r="HA207" i="43"/>
  <c r="HC207" s="1"/>
  <c r="CP207" s="1"/>
  <c r="HH207"/>
  <c r="HJ207" s="1"/>
  <c r="DI207" s="1"/>
  <c r="GT207"/>
  <c r="GV207" s="1"/>
  <c r="BU207" s="1"/>
  <c r="GM207"/>
  <c r="HL208" l="1"/>
  <c r="HK208" s="1"/>
  <c r="HG208" s="1"/>
  <c r="DK207"/>
  <c r="HE208"/>
  <c r="HD208" s="1"/>
  <c r="GZ208" s="1"/>
  <c r="CR207"/>
  <c r="GX208"/>
  <c r="GW208" s="1"/>
  <c r="GS208" s="1"/>
  <c r="BW207"/>
  <c r="GK207"/>
  <c r="GO207"/>
  <c r="BB207" s="1"/>
  <c r="BD207" s="1"/>
  <c r="AD206" i="45"/>
  <c r="HB207" i="43" l="1"/>
  <c r="HI207"/>
  <c r="GU207"/>
  <c r="GN207"/>
  <c r="AN207"/>
  <c r="GQ208"/>
  <c r="GP208" s="1"/>
  <c r="AO207" l="1"/>
  <c r="DY207"/>
  <c r="DZ207" s="1"/>
  <c r="GL208"/>
  <c r="GJ208" s="1"/>
  <c r="FF207" l="1"/>
  <c r="AD204" i="45" s="1"/>
  <c r="T204"/>
  <c r="HH208" i="43"/>
  <c r="HJ208" s="1"/>
  <c r="DI208" s="1"/>
  <c r="HA208"/>
  <c r="HC208" s="1"/>
  <c r="CP208" s="1"/>
  <c r="GT208"/>
  <c r="GV208" s="1"/>
  <c r="BU208" s="1"/>
  <c r="GM208"/>
  <c r="HE209" l="1"/>
  <c r="HD209" s="1"/>
  <c r="GZ209" s="1"/>
  <c r="CR208"/>
  <c r="HL209"/>
  <c r="HK209" s="1"/>
  <c r="HG209" s="1"/>
  <c r="DK208"/>
  <c r="GX209"/>
  <c r="GW209" s="1"/>
  <c r="GS209" s="1"/>
  <c r="BW208"/>
  <c r="GK208"/>
  <c r="GO208"/>
  <c r="BB208" s="1"/>
  <c r="BD208" s="1"/>
  <c r="AD207" i="45"/>
  <c r="HB208" i="43" l="1"/>
  <c r="HI208"/>
  <c r="GN208"/>
  <c r="GU208"/>
  <c r="GQ209"/>
  <c r="GP209" s="1"/>
  <c r="AN208"/>
  <c r="GL209" l="1"/>
  <c r="GJ209" s="1"/>
  <c r="AO208"/>
  <c r="DY208"/>
  <c r="DZ208" s="1"/>
  <c r="FF208" l="1"/>
  <c r="AD205" i="45" s="1"/>
  <c r="T205"/>
  <c r="GT209" i="43"/>
  <c r="GV209" s="1"/>
  <c r="BU209" s="1"/>
  <c r="HH209"/>
  <c r="HJ209" s="1"/>
  <c r="DI209" s="1"/>
  <c r="HA209"/>
  <c r="HC209" s="1"/>
  <c r="CP209" s="1"/>
  <c r="GM209"/>
  <c r="HL210" l="1"/>
  <c r="HK210" s="1"/>
  <c r="HG210" s="1"/>
  <c r="DK209"/>
  <c r="HE210"/>
  <c r="HD210" s="1"/>
  <c r="GZ210" s="1"/>
  <c r="CR209"/>
  <c r="GX210"/>
  <c r="GW210" s="1"/>
  <c r="GS210" s="1"/>
  <c r="BW209"/>
  <c r="GK209"/>
  <c r="GO209"/>
  <c r="BB209" s="1"/>
  <c r="BD209" s="1"/>
  <c r="AD208" i="45"/>
  <c r="HI209" i="43" l="1"/>
  <c r="GN209"/>
  <c r="HB209"/>
  <c r="GU209"/>
  <c r="GQ210"/>
  <c r="GP210" s="1"/>
  <c r="AN209"/>
  <c r="GL210" l="1"/>
  <c r="GJ210" s="1"/>
  <c r="AO209"/>
  <c r="DY209"/>
  <c r="DZ209" s="1"/>
  <c r="FF209" l="1"/>
  <c r="T206" i="45"/>
  <c r="HA210" i="43"/>
  <c r="HC210" s="1"/>
  <c r="CP210" s="1"/>
  <c r="GT210"/>
  <c r="GV210" s="1"/>
  <c r="BU210" s="1"/>
  <c r="HH210"/>
  <c r="HJ210" s="1"/>
  <c r="DI210" s="1"/>
  <c r="GM210"/>
  <c r="GX211" l="1"/>
  <c r="GW211" s="1"/>
  <c r="GS211" s="1"/>
  <c r="BW210"/>
  <c r="HE211"/>
  <c r="HD211" s="1"/>
  <c r="GZ211" s="1"/>
  <c r="CR210"/>
  <c r="HL211"/>
  <c r="HK211" s="1"/>
  <c r="HG211" s="1"/>
  <c r="DK210"/>
  <c r="GO210"/>
  <c r="BB210" s="1"/>
  <c r="BD210" s="1"/>
  <c r="GK210"/>
  <c r="AD209" i="45"/>
  <c r="GQ211" i="43" l="1"/>
  <c r="GP211" s="1"/>
  <c r="AN210"/>
  <c r="GN210"/>
  <c r="HI210"/>
  <c r="GU210"/>
  <c r="HB210"/>
  <c r="GL211" l="1"/>
  <c r="GJ211" s="1"/>
  <c r="DY210"/>
  <c r="DZ210" s="1"/>
  <c r="AO210"/>
  <c r="FF210" l="1"/>
  <c r="T207" i="45"/>
  <c r="HH211" i="43"/>
  <c r="HJ211" s="1"/>
  <c r="DI211" s="1"/>
  <c r="HA211"/>
  <c r="HC211" s="1"/>
  <c r="CP211" s="1"/>
  <c r="GT211"/>
  <c r="GV211" s="1"/>
  <c r="BU211" s="1"/>
  <c r="GM211"/>
  <c r="HE212" l="1"/>
  <c r="HD212" s="1"/>
  <c r="GZ212" s="1"/>
  <c r="CR211"/>
  <c r="HL212"/>
  <c r="HK212" s="1"/>
  <c r="HG212" s="1"/>
  <c r="DK211"/>
  <c r="GX212"/>
  <c r="GW212" s="1"/>
  <c r="GS212" s="1"/>
  <c r="BW211"/>
  <c r="GO211"/>
  <c r="BB211" s="1"/>
  <c r="BD211" s="1"/>
  <c r="GK211"/>
  <c r="AD210" i="45"/>
  <c r="GQ212" i="43" l="1"/>
  <c r="GP212" s="1"/>
  <c r="AN211"/>
  <c r="GU211"/>
  <c r="GN211"/>
  <c r="HI211"/>
  <c r="HB211"/>
  <c r="GL212" l="1"/>
  <c r="GJ212" s="1"/>
  <c r="AO211"/>
  <c r="DY211"/>
  <c r="DZ211" s="1"/>
  <c r="FF211" l="1"/>
  <c r="T208" i="45"/>
  <c r="GT212" i="43"/>
  <c r="GV212" s="1"/>
  <c r="BU212" s="1"/>
  <c r="HH212"/>
  <c r="HJ212" s="1"/>
  <c r="DI212" s="1"/>
  <c r="HA212"/>
  <c r="HC212" s="1"/>
  <c r="CP212" s="1"/>
  <c r="GM212"/>
  <c r="HL213" l="1"/>
  <c r="HK213" s="1"/>
  <c r="HG213" s="1"/>
  <c r="DK212"/>
  <c r="GX213"/>
  <c r="GW213" s="1"/>
  <c r="GS213" s="1"/>
  <c r="BW212"/>
  <c r="HE213"/>
  <c r="HD213" s="1"/>
  <c r="GZ213" s="1"/>
  <c r="CR212"/>
  <c r="GO212"/>
  <c r="BB212" s="1"/>
  <c r="BD212" s="1"/>
  <c r="GK212"/>
  <c r="AD211" i="45"/>
  <c r="AN212" i="43" l="1"/>
  <c r="GQ213"/>
  <c r="GP213" s="1"/>
  <c r="GU212"/>
  <c r="GN212"/>
  <c r="HB212"/>
  <c r="HI212"/>
  <c r="AO212" l="1"/>
  <c r="DY212"/>
  <c r="DZ212" s="1"/>
  <c r="GL213"/>
  <c r="GJ213" s="1"/>
  <c r="FF212" l="1"/>
  <c r="T209" i="45"/>
  <c r="HA213" i="43"/>
  <c r="HC213" s="1"/>
  <c r="CP213" s="1"/>
  <c r="GT213"/>
  <c r="GV213" s="1"/>
  <c r="BU213" s="1"/>
  <c r="HH213"/>
  <c r="HJ213" s="1"/>
  <c r="DI213" s="1"/>
  <c r="GM213"/>
  <c r="GX214" l="1"/>
  <c r="GW214" s="1"/>
  <c r="GS214" s="1"/>
  <c r="BW213"/>
  <c r="HE214"/>
  <c r="HD214" s="1"/>
  <c r="GZ214" s="1"/>
  <c r="CR213"/>
  <c r="HL214"/>
  <c r="HK214" s="1"/>
  <c r="HG214" s="1"/>
  <c r="DK213"/>
  <c r="GK213"/>
  <c r="GO213"/>
  <c r="BB213" s="1"/>
  <c r="BD213" s="1"/>
  <c r="AD212" i="45"/>
  <c r="GU213" i="43" l="1"/>
  <c r="HB213"/>
  <c r="HI213"/>
  <c r="GN213"/>
  <c r="AN213"/>
  <c r="GQ214"/>
  <c r="GP214" s="1"/>
  <c r="AO213" l="1"/>
  <c r="DY213"/>
  <c r="DZ213" s="1"/>
  <c r="GL214"/>
  <c r="GJ214" s="1"/>
  <c r="FF213" l="1"/>
  <c r="T210" i="45"/>
  <c r="GT214" i="43"/>
  <c r="GV214" s="1"/>
  <c r="BU214" s="1"/>
  <c r="HA214"/>
  <c r="HC214" s="1"/>
  <c r="CP214" s="1"/>
  <c r="HH214"/>
  <c r="HJ214" s="1"/>
  <c r="DI214" s="1"/>
  <c r="GM214"/>
  <c r="HE215" l="1"/>
  <c r="HD215" s="1"/>
  <c r="GZ215" s="1"/>
  <c r="CR214"/>
  <c r="GX215"/>
  <c r="GW215" s="1"/>
  <c r="GS215" s="1"/>
  <c r="BW214"/>
  <c r="HL215"/>
  <c r="HK215" s="1"/>
  <c r="HG215" s="1"/>
  <c r="DK214"/>
  <c r="GK214"/>
  <c r="GO214"/>
  <c r="BB214" s="1"/>
  <c r="BD214" s="1"/>
  <c r="AD213" i="45"/>
  <c r="GN214" i="43" l="1"/>
  <c r="HB214"/>
  <c r="HI214"/>
  <c r="GU214"/>
  <c r="GQ215"/>
  <c r="GP215" s="1"/>
  <c r="AN214"/>
  <c r="GL215" l="1"/>
  <c r="GJ215" s="1"/>
  <c r="DY214"/>
  <c r="DZ214" s="1"/>
  <c r="AO214"/>
  <c r="FF214" l="1"/>
  <c r="T211" i="45"/>
  <c r="HA215" i="43"/>
  <c r="HC215" s="1"/>
  <c r="CP215" s="1"/>
  <c r="GT215"/>
  <c r="GV215" s="1"/>
  <c r="BU215" s="1"/>
  <c r="HH215"/>
  <c r="HJ215" s="1"/>
  <c r="DI215" s="1"/>
  <c r="GM215"/>
  <c r="GX216" l="1"/>
  <c r="GW216" s="1"/>
  <c r="GS216" s="1"/>
  <c r="BW215"/>
  <c r="HE216"/>
  <c r="HD216" s="1"/>
  <c r="GZ216" s="1"/>
  <c r="CR215"/>
  <c r="HL216"/>
  <c r="HK216" s="1"/>
  <c r="HG216" s="1"/>
  <c r="DK215"/>
  <c r="GO215"/>
  <c r="BB215" s="1"/>
  <c r="BD215" s="1"/>
  <c r="GK215"/>
  <c r="AD214" i="45"/>
  <c r="GQ216" i="43" l="1"/>
  <c r="GP216" s="1"/>
  <c r="AN215"/>
  <c r="GU215"/>
  <c r="GN215"/>
  <c r="HI215"/>
  <c r="HB215"/>
  <c r="GL216" l="1"/>
  <c r="GJ216" s="1"/>
  <c r="AO215"/>
  <c r="DY215"/>
  <c r="DZ215" s="1"/>
  <c r="FF215" l="1"/>
  <c r="T212" i="45"/>
  <c r="HH216" i="43"/>
  <c r="HJ216" s="1"/>
  <c r="DI216" s="1"/>
  <c r="HA216"/>
  <c r="HC216" s="1"/>
  <c r="CP216" s="1"/>
  <c r="GT216"/>
  <c r="GV216" s="1"/>
  <c r="BU216" s="1"/>
  <c r="GM216"/>
  <c r="AD215" i="45"/>
  <c r="HE217" i="43" l="1"/>
  <c r="HD217" s="1"/>
  <c r="GZ217" s="1"/>
  <c r="CR216"/>
  <c r="HL217"/>
  <c r="HK217" s="1"/>
  <c r="HG217" s="1"/>
  <c r="DK216"/>
  <c r="GX217"/>
  <c r="GW217" s="1"/>
  <c r="GS217" s="1"/>
  <c r="BW216"/>
  <c r="GK216"/>
  <c r="GO216"/>
  <c r="BB216" s="1"/>
  <c r="BD216" s="1"/>
  <c r="HI216" l="1"/>
  <c r="HB216"/>
  <c r="GN216"/>
  <c r="GU216"/>
  <c r="GQ217"/>
  <c r="GP217" s="1"/>
  <c r="AN216"/>
  <c r="GL217" l="1"/>
  <c r="GJ217" s="1"/>
  <c r="DY216"/>
  <c r="DZ216" s="1"/>
  <c r="AO216"/>
  <c r="FF216" l="1"/>
  <c r="T213" i="45"/>
  <c r="HA217" i="43"/>
  <c r="HC217" s="1"/>
  <c r="CP217" s="1"/>
  <c r="HH217"/>
  <c r="HJ217" s="1"/>
  <c r="DI217" s="1"/>
  <c r="GT217"/>
  <c r="GV217" s="1"/>
  <c r="BU217" s="1"/>
  <c r="GM217"/>
  <c r="AD216" i="45"/>
  <c r="HL218" i="43" l="1"/>
  <c r="HK218" s="1"/>
  <c r="HG218" s="1"/>
  <c r="DK217"/>
  <c r="HE218"/>
  <c r="HD218" s="1"/>
  <c r="GZ218" s="1"/>
  <c r="CR217"/>
  <c r="GX218"/>
  <c r="GW218" s="1"/>
  <c r="GS218" s="1"/>
  <c r="BW217"/>
  <c r="GO217"/>
  <c r="BB217" s="1"/>
  <c r="BD217" s="1"/>
  <c r="GK217"/>
  <c r="AN217" l="1"/>
  <c r="GQ218"/>
  <c r="GP218" s="1"/>
  <c r="GN217"/>
  <c r="HI217"/>
  <c r="HB217"/>
  <c r="GU217"/>
  <c r="DY217" l="1"/>
  <c r="DZ217" s="1"/>
  <c r="AO217"/>
  <c r="GL218"/>
  <c r="GJ218" s="1"/>
  <c r="FF217" l="1"/>
  <c r="T214" i="45"/>
  <c r="HH218" i="43"/>
  <c r="HJ218" s="1"/>
  <c r="DI218" s="1"/>
  <c r="HA218"/>
  <c r="HC218" s="1"/>
  <c r="CP218" s="1"/>
  <c r="GT218"/>
  <c r="GV218" s="1"/>
  <c r="BU218" s="1"/>
  <c r="GM218"/>
  <c r="AD217" i="45"/>
  <c r="HL219" i="43" l="1"/>
  <c r="HK219" s="1"/>
  <c r="HG219" s="1"/>
  <c r="DK218"/>
  <c r="HE219"/>
  <c r="HD219" s="1"/>
  <c r="GZ219" s="1"/>
  <c r="CR218"/>
  <c r="GX219"/>
  <c r="GW219" s="1"/>
  <c r="GS219" s="1"/>
  <c r="BW218"/>
  <c r="GK218"/>
  <c r="GO218"/>
  <c r="BB218" s="1"/>
  <c r="BD218" s="1"/>
  <c r="GU218" l="1"/>
  <c r="GN218"/>
  <c r="HI218"/>
  <c r="HB218"/>
  <c r="GQ219"/>
  <c r="GP219" s="1"/>
  <c r="AN218"/>
  <c r="GL219" l="1"/>
  <c r="GJ219" s="1"/>
  <c r="DY218"/>
  <c r="DZ218" s="1"/>
  <c r="AO218"/>
  <c r="FF218" l="1"/>
  <c r="T215" i="45"/>
  <c r="HA219" i="43"/>
  <c r="HC219" s="1"/>
  <c r="CP219" s="1"/>
  <c r="HH219"/>
  <c r="HJ219" s="1"/>
  <c r="DI219" s="1"/>
  <c r="GT219"/>
  <c r="GV219" s="1"/>
  <c r="BU219" s="1"/>
  <c r="GM219"/>
  <c r="AD218" i="45"/>
  <c r="HE220" i="43" l="1"/>
  <c r="HD220" s="1"/>
  <c r="GZ220" s="1"/>
  <c r="CR219"/>
  <c r="HL220"/>
  <c r="HK220" s="1"/>
  <c r="HG220" s="1"/>
  <c r="DK219"/>
  <c r="GX220"/>
  <c r="GW220" s="1"/>
  <c r="GS220" s="1"/>
  <c r="BW219"/>
  <c r="GK219"/>
  <c r="GO219"/>
  <c r="BB219" s="1"/>
  <c r="BD219" s="1"/>
  <c r="GN219" l="1"/>
  <c r="HB219"/>
  <c r="HI219"/>
  <c r="GU219"/>
  <c r="AN219"/>
  <c r="GQ220"/>
  <c r="GP220" s="1"/>
  <c r="AO219" l="1"/>
  <c r="DY219"/>
  <c r="DZ219" s="1"/>
  <c r="GL220"/>
  <c r="GJ220" s="1"/>
  <c r="FF219" l="1"/>
  <c r="T216" i="45"/>
  <c r="HH220" i="43"/>
  <c r="HJ220" s="1"/>
  <c r="DI220" s="1"/>
  <c r="HA220"/>
  <c r="HC220" s="1"/>
  <c r="CP220" s="1"/>
  <c r="GT220"/>
  <c r="GV220" s="1"/>
  <c r="BU220" s="1"/>
  <c r="GM220"/>
  <c r="AD219" i="45"/>
  <c r="HE221" i="43" l="1"/>
  <c r="HD221" s="1"/>
  <c r="GZ221" s="1"/>
  <c r="CR220"/>
  <c r="HL221"/>
  <c r="HK221" s="1"/>
  <c r="HG221" s="1"/>
  <c r="DK220"/>
  <c r="GX221"/>
  <c r="GW221" s="1"/>
  <c r="GS221" s="1"/>
  <c r="BW220"/>
  <c r="GK220"/>
  <c r="GO220"/>
  <c r="BB220" s="1"/>
  <c r="BD220" s="1"/>
  <c r="HI220" l="1"/>
  <c r="GU220"/>
  <c r="GN220"/>
  <c r="HB220"/>
  <c r="GQ221"/>
  <c r="GP221" s="1"/>
  <c r="AN220"/>
  <c r="GL221" l="1"/>
  <c r="GJ221" s="1"/>
  <c r="AO220"/>
  <c r="DY220"/>
  <c r="DZ220" s="1"/>
  <c r="FF220" l="1"/>
  <c r="T217" i="45"/>
  <c r="HA221" i="43"/>
  <c r="HC221" s="1"/>
  <c r="CP221" s="1"/>
  <c r="HH221"/>
  <c r="HJ221" s="1"/>
  <c r="DI221" s="1"/>
  <c r="GT221"/>
  <c r="GV221" s="1"/>
  <c r="BU221" s="1"/>
  <c r="GM221"/>
  <c r="AD220" i="45"/>
  <c r="HL222" i="43" l="1"/>
  <c r="HK222" s="1"/>
  <c r="HG222" s="1"/>
  <c r="DK221"/>
  <c r="HE222"/>
  <c r="HD222" s="1"/>
  <c r="GZ222" s="1"/>
  <c r="CR221"/>
  <c r="GX222"/>
  <c r="GW222" s="1"/>
  <c r="GS222" s="1"/>
  <c r="BW221"/>
  <c r="GK221"/>
  <c r="GO221"/>
  <c r="BB221" s="1"/>
  <c r="BD221" s="1"/>
  <c r="GU221" l="1"/>
  <c r="HI221"/>
  <c r="HB221"/>
  <c r="GN221"/>
  <c r="GQ222"/>
  <c r="GP222" s="1"/>
  <c r="AN221"/>
  <c r="GL222" l="1"/>
  <c r="GJ222" s="1"/>
  <c r="DY221"/>
  <c r="DZ221" s="1"/>
  <c r="AO221"/>
  <c r="FF221" l="1"/>
  <c r="T218" i="45"/>
  <c r="HH222" i="43"/>
  <c r="HJ222" s="1"/>
  <c r="DI222" s="1"/>
  <c r="HA222"/>
  <c r="HC222" s="1"/>
  <c r="CP222" s="1"/>
  <c r="GT222"/>
  <c r="GV222" s="1"/>
  <c r="BU222" s="1"/>
  <c r="GM222"/>
  <c r="AD221" i="45"/>
  <c r="HE223" i="43" l="1"/>
  <c r="HD223" s="1"/>
  <c r="GZ223" s="1"/>
  <c r="CR222"/>
  <c r="HL223"/>
  <c r="HK223" s="1"/>
  <c r="HG223" s="1"/>
  <c r="DK222"/>
  <c r="GX223"/>
  <c r="GW223" s="1"/>
  <c r="GS223" s="1"/>
  <c r="BW222"/>
  <c r="GK222"/>
  <c r="GO222"/>
  <c r="BB222" s="1"/>
  <c r="BD222" s="1"/>
  <c r="GU222" l="1"/>
  <c r="GN222"/>
  <c r="HB222"/>
  <c r="HI222"/>
  <c r="AN222"/>
  <c r="GQ223"/>
  <c r="GP223" s="1"/>
  <c r="AO222" l="1"/>
  <c r="DY222"/>
  <c r="DZ222" s="1"/>
  <c r="GL223"/>
  <c r="GJ223" s="1"/>
  <c r="FF222" l="1"/>
  <c r="T219" i="45"/>
  <c r="HA223" i="43"/>
  <c r="HC223" s="1"/>
  <c r="CP223" s="1"/>
  <c r="HH223"/>
  <c r="HJ223" s="1"/>
  <c r="DI223" s="1"/>
  <c r="GT223"/>
  <c r="GV223" s="1"/>
  <c r="BU223" s="1"/>
  <c r="GM223"/>
  <c r="AD222" i="45"/>
  <c r="HL224" i="43" l="1"/>
  <c r="HK224" s="1"/>
  <c r="HG224" s="1"/>
  <c r="DK223"/>
  <c r="HE224"/>
  <c r="HD224" s="1"/>
  <c r="GZ224" s="1"/>
  <c r="CR223"/>
  <c r="GX224"/>
  <c r="GW224" s="1"/>
  <c r="GS224" s="1"/>
  <c r="BW223"/>
  <c r="GO223"/>
  <c r="BB223" s="1"/>
  <c r="BD223" s="1"/>
  <c r="GK223"/>
  <c r="GQ224" l="1"/>
  <c r="GP224" s="1"/>
  <c r="AN223"/>
  <c r="HI223"/>
  <c r="GU223"/>
  <c r="GN223"/>
  <c r="HB223"/>
  <c r="GL224" l="1"/>
  <c r="GJ224" s="1"/>
  <c r="AO223"/>
  <c r="DY223"/>
  <c r="DZ223" s="1"/>
  <c r="FF223" l="1"/>
  <c r="T220" i="45"/>
  <c r="HH224" i="43"/>
  <c r="HJ224" s="1"/>
  <c r="DI224" s="1"/>
  <c r="HA224"/>
  <c r="HC224" s="1"/>
  <c r="CP224" s="1"/>
  <c r="GT224"/>
  <c r="GV224" s="1"/>
  <c r="BU224" s="1"/>
  <c r="GM224"/>
  <c r="AD223" i="45"/>
  <c r="HL225" i="43" l="1"/>
  <c r="HK225" s="1"/>
  <c r="HG225" s="1"/>
  <c r="DK224"/>
  <c r="HE225"/>
  <c r="HD225" s="1"/>
  <c r="GZ225" s="1"/>
  <c r="CR224"/>
  <c r="GX225"/>
  <c r="GW225" s="1"/>
  <c r="GS225" s="1"/>
  <c r="BW224"/>
  <c r="GK224"/>
  <c r="GO224"/>
  <c r="BB224" s="1"/>
  <c r="BD224" s="1"/>
  <c r="GU224" l="1"/>
  <c r="HI224"/>
  <c r="GN224"/>
  <c r="HB224"/>
  <c r="AN224"/>
  <c r="GQ225"/>
  <c r="GP225" s="1"/>
  <c r="AO224" l="1"/>
  <c r="DY224"/>
  <c r="DZ224" s="1"/>
  <c r="GL225"/>
  <c r="GJ225" s="1"/>
  <c r="FF224" l="1"/>
  <c r="T221" i="45"/>
  <c r="HA225" i="43"/>
  <c r="HC225" s="1"/>
  <c r="CP225" s="1"/>
  <c r="HH225"/>
  <c r="HJ225" s="1"/>
  <c r="DI225" s="1"/>
  <c r="GT225"/>
  <c r="GV225" s="1"/>
  <c r="BU225" s="1"/>
  <c r="GM225"/>
  <c r="HL226" l="1"/>
  <c r="HK226" s="1"/>
  <c r="HG226" s="1"/>
  <c r="DK225"/>
  <c r="HE226"/>
  <c r="HD226" s="1"/>
  <c r="GZ226" s="1"/>
  <c r="CR225"/>
  <c r="GX226"/>
  <c r="GW226" s="1"/>
  <c r="GS226" s="1"/>
  <c r="BW225"/>
  <c r="GO225"/>
  <c r="BB225" s="1"/>
  <c r="BD225" s="1"/>
  <c r="GK225"/>
  <c r="AN225" l="1"/>
  <c r="GQ226"/>
  <c r="GP226" s="1"/>
  <c r="GU225"/>
  <c r="HB225"/>
  <c r="HI225"/>
  <c r="GN225"/>
  <c r="DY225" l="1"/>
  <c r="DZ225" s="1"/>
  <c r="AO225"/>
  <c r="GL226"/>
  <c r="GJ226" s="1"/>
  <c r="FF225" l="1"/>
  <c r="T222" i="45"/>
  <c r="HH226" i="43"/>
  <c r="HJ226" s="1"/>
  <c r="DI226" s="1"/>
  <c r="HA226"/>
  <c r="HC226" s="1"/>
  <c r="CP226" s="1"/>
  <c r="GT226"/>
  <c r="GV226" s="1"/>
  <c r="BU226" s="1"/>
  <c r="GM226"/>
  <c r="HE227" l="1"/>
  <c r="HD227" s="1"/>
  <c r="GZ227" s="1"/>
  <c r="CR226"/>
  <c r="HL227"/>
  <c r="HK227" s="1"/>
  <c r="HG227" s="1"/>
  <c r="DK226"/>
  <c r="GX227"/>
  <c r="GW227" s="1"/>
  <c r="GS227" s="1"/>
  <c r="BW226"/>
  <c r="GK226"/>
  <c r="GO226"/>
  <c r="BB226" s="1"/>
  <c r="BD226" s="1"/>
  <c r="GN226" l="1"/>
  <c r="HB226"/>
  <c r="HI226"/>
  <c r="GU226"/>
  <c r="AN226"/>
  <c r="GQ227"/>
  <c r="GP227" s="1"/>
  <c r="DY226" l="1"/>
  <c r="DZ226" s="1"/>
  <c r="AO226"/>
  <c r="GL227"/>
  <c r="GJ227" s="1"/>
  <c r="FF226" l="1"/>
  <c r="T223" i="45"/>
  <c r="HA227" i="43"/>
  <c r="HC227" s="1"/>
  <c r="CP227" s="1"/>
  <c r="HH227"/>
  <c r="HJ227" s="1"/>
  <c r="DI227" s="1"/>
  <c r="GT227"/>
  <c r="GV227" s="1"/>
  <c r="BU227" s="1"/>
  <c r="GM227"/>
  <c r="HE228" l="1"/>
  <c r="HD228" s="1"/>
  <c r="GZ228" s="1"/>
  <c r="CR227"/>
  <c r="HL228"/>
  <c r="HK228" s="1"/>
  <c r="HG228" s="1"/>
  <c r="DK227"/>
  <c r="GX228"/>
  <c r="GW228" s="1"/>
  <c r="GS228" s="1"/>
  <c r="BW227"/>
  <c r="GO227"/>
  <c r="BB227" s="1"/>
  <c r="BD227" s="1"/>
  <c r="GK227"/>
  <c r="GQ228" l="1"/>
  <c r="GP228" s="1"/>
  <c r="AN227"/>
  <c r="HI227"/>
  <c r="GN227"/>
  <c r="GU227"/>
  <c r="HB227"/>
  <c r="GL228" l="1"/>
  <c r="GJ228" s="1"/>
  <c r="DY227"/>
  <c r="DZ227" s="1"/>
  <c r="AO227"/>
  <c r="FF227" l="1"/>
  <c r="AD224" i="45" s="1"/>
  <c r="T224"/>
  <c r="HH228" i="43"/>
  <c r="HJ228" s="1"/>
  <c r="DI228" s="1"/>
  <c r="HA228"/>
  <c r="HC228" s="1"/>
  <c r="CP228" s="1"/>
  <c r="GT228"/>
  <c r="GV228" s="1"/>
  <c r="BU228" s="1"/>
  <c r="GM228"/>
  <c r="HE229" l="1"/>
  <c r="HD229" s="1"/>
  <c r="GZ229" s="1"/>
  <c r="CR228"/>
  <c r="HL229"/>
  <c r="HK229" s="1"/>
  <c r="HG229" s="1"/>
  <c r="DK228"/>
  <c r="GX229"/>
  <c r="GW229" s="1"/>
  <c r="GS229" s="1"/>
  <c r="BW228"/>
  <c r="GO228"/>
  <c r="BB228" s="1"/>
  <c r="BD228" s="1"/>
  <c r="GK228"/>
  <c r="GQ229" l="1"/>
  <c r="GP229" s="1"/>
  <c r="AN228"/>
  <c r="HI228"/>
  <c r="GU228"/>
  <c r="HB228"/>
  <c r="GN228"/>
  <c r="GL229" l="1"/>
  <c r="GJ229" s="1"/>
  <c r="DY228"/>
  <c r="DZ228" s="1"/>
  <c r="AO228"/>
  <c r="FF228" l="1"/>
  <c r="AD225" i="45" s="1"/>
  <c r="T225"/>
  <c r="HA229" i="43"/>
  <c r="HC229" s="1"/>
  <c r="CP229" s="1"/>
  <c r="HH229"/>
  <c r="HJ229" s="1"/>
  <c r="DI229" s="1"/>
  <c r="GT229"/>
  <c r="GV229" s="1"/>
  <c r="BU229" s="1"/>
  <c r="GM229"/>
  <c r="HL230" l="1"/>
  <c r="HK230" s="1"/>
  <c r="HG230" s="1"/>
  <c r="DK229"/>
  <c r="HE230"/>
  <c r="HD230" s="1"/>
  <c r="GZ230" s="1"/>
  <c r="CR229"/>
  <c r="GX230"/>
  <c r="GW230" s="1"/>
  <c r="GS230" s="1"/>
  <c r="BW229"/>
  <c r="GK229"/>
  <c r="GO229"/>
  <c r="BB229" s="1"/>
  <c r="BD229" s="1"/>
  <c r="HI229" l="1"/>
  <c r="HB229"/>
  <c r="GU229"/>
  <c r="GN229"/>
  <c r="GQ230"/>
  <c r="GP230" s="1"/>
  <c r="AN229"/>
  <c r="GL230" l="1"/>
  <c r="GJ230" s="1"/>
  <c r="DY229"/>
  <c r="DZ229" s="1"/>
  <c r="AO229"/>
  <c r="FF229" l="1"/>
  <c r="AD226" i="45" s="1"/>
  <c r="T226"/>
  <c r="HH230" i="43"/>
  <c r="HJ230" s="1"/>
  <c r="DI230" s="1"/>
  <c r="HA230"/>
  <c r="HC230" s="1"/>
  <c r="CP230" s="1"/>
  <c r="GT230"/>
  <c r="GV230" s="1"/>
  <c r="BU230" s="1"/>
  <c r="GM230"/>
  <c r="HE231" l="1"/>
  <c r="HD231" s="1"/>
  <c r="GZ231" s="1"/>
  <c r="CR230"/>
  <c r="HL231"/>
  <c r="HK231" s="1"/>
  <c r="HG231" s="1"/>
  <c r="DK230"/>
  <c r="GX231"/>
  <c r="GW231" s="1"/>
  <c r="GS231" s="1"/>
  <c r="BW230"/>
  <c r="GK230"/>
  <c r="GO230"/>
  <c r="BB230" s="1"/>
  <c r="BD230" s="1"/>
  <c r="GU230" l="1"/>
  <c r="HB230"/>
  <c r="GN230"/>
  <c r="HI230"/>
  <c r="GQ231"/>
  <c r="GP231" s="1"/>
  <c r="AN230"/>
  <c r="GL231" l="1"/>
  <c r="GJ231" s="1"/>
  <c r="AO230"/>
  <c r="DY230"/>
  <c r="DZ230" s="1"/>
  <c r="FF230" l="1"/>
  <c r="AD227" i="45" s="1"/>
  <c r="T227"/>
  <c r="HA231" i="43"/>
  <c r="HC231" s="1"/>
  <c r="CP231" s="1"/>
  <c r="HH231"/>
  <c r="HJ231" s="1"/>
  <c r="DI231" s="1"/>
  <c r="GT231"/>
  <c r="GV231" s="1"/>
  <c r="BU231" s="1"/>
  <c r="GM231"/>
  <c r="HL232" l="1"/>
  <c r="HK232" s="1"/>
  <c r="HG232" s="1"/>
  <c r="DK231"/>
  <c r="HE232"/>
  <c r="HD232" s="1"/>
  <c r="GZ232" s="1"/>
  <c r="CR231"/>
  <c r="GX232"/>
  <c r="GW232" s="1"/>
  <c r="GS232" s="1"/>
  <c r="BW231"/>
  <c r="GO231"/>
  <c r="BB231" s="1"/>
  <c r="BD231" s="1"/>
  <c r="GK231"/>
  <c r="GQ232" l="1"/>
  <c r="GP232" s="1"/>
  <c r="AN231"/>
  <c r="GU231"/>
  <c r="HI231"/>
  <c r="HB231"/>
  <c r="GN231"/>
  <c r="GL232" l="1"/>
  <c r="GJ232" s="1"/>
  <c r="AO231"/>
  <c r="DY231"/>
  <c r="DZ231" s="1"/>
  <c r="FF231" l="1"/>
  <c r="AD228" i="45" s="1"/>
  <c r="T228"/>
  <c r="HH232" i="43"/>
  <c r="HJ232" s="1"/>
  <c r="DI232" s="1"/>
  <c r="HA232"/>
  <c r="HC232" s="1"/>
  <c r="CP232" s="1"/>
  <c r="GT232"/>
  <c r="GV232" s="1"/>
  <c r="BU232" s="1"/>
  <c r="GM232"/>
  <c r="HE233" l="1"/>
  <c r="HD233" s="1"/>
  <c r="GZ233" s="1"/>
  <c r="CR232"/>
  <c r="HL233"/>
  <c r="HK233" s="1"/>
  <c r="HG233" s="1"/>
  <c r="DK232"/>
  <c r="GX233"/>
  <c r="GW233" s="1"/>
  <c r="GS233" s="1"/>
  <c r="BW232"/>
  <c r="GK232"/>
  <c r="GO232"/>
  <c r="BB232" s="1"/>
  <c r="BD232" s="1"/>
  <c r="HB232" l="1"/>
  <c r="HI232"/>
  <c r="GN232"/>
  <c r="GU232"/>
  <c r="GQ233"/>
  <c r="GP233" s="1"/>
  <c r="AN232"/>
  <c r="GL233" l="1"/>
  <c r="GJ233" s="1"/>
  <c r="DY232"/>
  <c r="DZ232" s="1"/>
  <c r="AO232"/>
  <c r="FF232" l="1"/>
  <c r="AD229" i="45" s="1"/>
  <c r="T229"/>
  <c r="HA233" i="43"/>
  <c r="HC233" s="1"/>
  <c r="CP233" s="1"/>
  <c r="HH233"/>
  <c r="HJ233" s="1"/>
  <c r="DI233" s="1"/>
  <c r="GT233"/>
  <c r="GV233" s="1"/>
  <c r="BU233" s="1"/>
  <c r="GM233"/>
  <c r="HL234" l="1"/>
  <c r="HK234" s="1"/>
  <c r="HG234" s="1"/>
  <c r="DK233"/>
  <c r="HE234"/>
  <c r="HD234" s="1"/>
  <c r="GZ234" s="1"/>
  <c r="CR233"/>
  <c r="GX234"/>
  <c r="GW234" s="1"/>
  <c r="GS234" s="1"/>
  <c r="BW233"/>
  <c r="GO233"/>
  <c r="BB233" s="1"/>
  <c r="BD233" s="1"/>
  <c r="GK233"/>
  <c r="GQ234" l="1"/>
  <c r="GP234" s="1"/>
  <c r="AN233"/>
  <c r="GN233"/>
  <c r="GU233"/>
  <c r="HI233"/>
  <c r="HB233"/>
  <c r="GL234" l="1"/>
  <c r="GJ234" s="1"/>
  <c r="DY233"/>
  <c r="DZ233" s="1"/>
  <c r="AO233"/>
  <c r="FF233" l="1"/>
  <c r="AD230" i="45" s="1"/>
  <c r="T230"/>
  <c r="HH234" i="43"/>
  <c r="HJ234" s="1"/>
  <c r="DI234" s="1"/>
  <c r="HA234"/>
  <c r="HC234" s="1"/>
  <c r="CP234" s="1"/>
  <c r="GT234"/>
  <c r="GV234" s="1"/>
  <c r="BU234" s="1"/>
  <c r="GM234"/>
  <c r="HE235" l="1"/>
  <c r="HD235" s="1"/>
  <c r="GZ235" s="1"/>
  <c r="CR234"/>
  <c r="HL235"/>
  <c r="HK235" s="1"/>
  <c r="HG235" s="1"/>
  <c r="DK234"/>
  <c r="GX235"/>
  <c r="GW235" s="1"/>
  <c r="GS235" s="1"/>
  <c r="BW234"/>
  <c r="GO234"/>
  <c r="BB234" s="1"/>
  <c r="BD234" s="1"/>
  <c r="GK234"/>
  <c r="GQ235" l="1"/>
  <c r="GP235" s="1"/>
  <c r="AN234"/>
  <c r="GU234"/>
  <c r="GN234"/>
  <c r="HB234"/>
  <c r="HI234"/>
  <c r="GL235" l="1"/>
  <c r="GJ235" s="1"/>
  <c r="DY234"/>
  <c r="DZ234" s="1"/>
  <c r="AO234"/>
  <c r="FF234" l="1"/>
  <c r="AD231" i="45" s="1"/>
  <c r="T231"/>
  <c r="HA235" i="43"/>
  <c r="HC235" s="1"/>
  <c r="CP235" s="1"/>
  <c r="HH235"/>
  <c r="HJ235" s="1"/>
  <c r="DI235" s="1"/>
  <c r="GT235"/>
  <c r="GV235" s="1"/>
  <c r="BU235" s="1"/>
  <c r="GM235"/>
  <c r="HL236" l="1"/>
  <c r="HK236" s="1"/>
  <c r="HG236" s="1"/>
  <c r="DK235"/>
  <c r="HE236"/>
  <c r="HD236" s="1"/>
  <c r="GZ236" s="1"/>
  <c r="CR235"/>
  <c r="GX236"/>
  <c r="GW236" s="1"/>
  <c r="GS236" s="1"/>
  <c r="BW235"/>
  <c r="GK235"/>
  <c r="GO235"/>
  <c r="BB235" s="1"/>
  <c r="BD235" s="1"/>
  <c r="HI235" l="1"/>
  <c r="GU235"/>
  <c r="GN235"/>
  <c r="HB235"/>
  <c r="GQ236"/>
  <c r="GP236" s="1"/>
  <c r="AN235"/>
  <c r="GL236" l="1"/>
  <c r="GJ236" s="1"/>
  <c r="AO235"/>
  <c r="DY235"/>
  <c r="DZ235" s="1"/>
  <c r="FF235" l="1"/>
  <c r="AD232" i="45" s="1"/>
  <c r="T232"/>
  <c r="HH236" i="43"/>
  <c r="HJ236" s="1"/>
  <c r="DI236" s="1"/>
  <c r="HA236"/>
  <c r="HC236" s="1"/>
  <c r="CP236" s="1"/>
  <c r="GT236"/>
  <c r="GV236" s="1"/>
  <c r="BU236" s="1"/>
  <c r="GM236"/>
  <c r="HE237" l="1"/>
  <c r="HD237" s="1"/>
  <c r="GZ237" s="1"/>
  <c r="CR236"/>
  <c r="HL237"/>
  <c r="HK237" s="1"/>
  <c r="HG237" s="1"/>
  <c r="DK236"/>
  <c r="GX237"/>
  <c r="GW237" s="1"/>
  <c r="GS237" s="1"/>
  <c r="BW236"/>
  <c r="GO236"/>
  <c r="BB236" s="1"/>
  <c r="BD236" s="1"/>
  <c r="GK236"/>
  <c r="GQ237" l="1"/>
  <c r="GP237" s="1"/>
  <c r="AN236"/>
  <c r="GN236"/>
  <c r="HI236"/>
  <c r="GU236"/>
  <c r="HB236"/>
  <c r="GL237" l="1"/>
  <c r="GJ237" s="1"/>
  <c r="DY236"/>
  <c r="DZ236" s="1"/>
  <c r="AO236"/>
  <c r="FF236" l="1"/>
  <c r="AD233" i="45" s="1"/>
  <c r="T233"/>
  <c r="HA237" i="43"/>
  <c r="HC237" s="1"/>
  <c r="CP237" s="1"/>
  <c r="HH237"/>
  <c r="HJ237" s="1"/>
  <c r="DI237" s="1"/>
  <c r="GT237"/>
  <c r="GV237" s="1"/>
  <c r="BU237" s="1"/>
  <c r="GM237"/>
  <c r="HL238" l="1"/>
  <c r="HK238" s="1"/>
  <c r="HG238" s="1"/>
  <c r="DK237"/>
  <c r="HE238"/>
  <c r="HD238" s="1"/>
  <c r="GZ238" s="1"/>
  <c r="CR237"/>
  <c r="GX238"/>
  <c r="GW238" s="1"/>
  <c r="GS238" s="1"/>
  <c r="BW237"/>
  <c r="GK237"/>
  <c r="GO237"/>
  <c r="BB237" s="1"/>
  <c r="BD237" s="1"/>
  <c r="GU237" l="1"/>
  <c r="HI237"/>
  <c r="HB237"/>
  <c r="GN237"/>
  <c r="AN237"/>
  <c r="GQ238"/>
  <c r="GP238" s="1"/>
  <c r="DY237" l="1"/>
  <c r="DZ237" s="1"/>
  <c r="AO237"/>
  <c r="GL238"/>
  <c r="GJ238" s="1"/>
  <c r="FF237" l="1"/>
  <c r="AD234" i="45" s="1"/>
  <c r="T234"/>
  <c r="HH238" i="43"/>
  <c r="HJ238" s="1"/>
  <c r="DI238" s="1"/>
  <c r="HA238"/>
  <c r="HC238" s="1"/>
  <c r="CP238" s="1"/>
  <c r="GT238"/>
  <c r="GV238" s="1"/>
  <c r="BU238" s="1"/>
  <c r="GM238"/>
  <c r="HE239" l="1"/>
  <c r="HD239" s="1"/>
  <c r="GZ239" s="1"/>
  <c r="CR238"/>
  <c r="HL239"/>
  <c r="HK239" s="1"/>
  <c r="HG239" s="1"/>
  <c r="DK238"/>
  <c r="GX239"/>
  <c r="GW239" s="1"/>
  <c r="GS239" s="1"/>
  <c r="BW238"/>
  <c r="GO238"/>
  <c r="BB238" s="1"/>
  <c r="BD238" s="1"/>
  <c r="GK238"/>
  <c r="GQ239" l="1"/>
  <c r="GP239" s="1"/>
  <c r="AN238"/>
  <c r="GU238"/>
  <c r="HB238"/>
  <c r="GN238"/>
  <c r="HI238"/>
  <c r="GL239" l="1"/>
  <c r="GJ239" s="1"/>
  <c r="DY238"/>
  <c r="DZ238" s="1"/>
  <c r="AO238"/>
  <c r="FF238" l="1"/>
  <c r="AD235" i="45" s="1"/>
  <c r="T235"/>
  <c r="HA239" i="43"/>
  <c r="HC239" s="1"/>
  <c r="CP239" s="1"/>
  <c r="HH239"/>
  <c r="HJ239" s="1"/>
  <c r="DI239" s="1"/>
  <c r="GT239"/>
  <c r="GV239" s="1"/>
  <c r="BU239" s="1"/>
  <c r="GM239"/>
  <c r="HL240" l="1"/>
  <c r="HK240" s="1"/>
  <c r="HG240" s="1"/>
  <c r="DK239"/>
  <c r="HE240"/>
  <c r="HD240" s="1"/>
  <c r="GZ240" s="1"/>
  <c r="CR239"/>
  <c r="GX240"/>
  <c r="GW240" s="1"/>
  <c r="GS240" s="1"/>
  <c r="BW239"/>
  <c r="GO239"/>
  <c r="BB239" s="1"/>
  <c r="BD239" s="1"/>
  <c r="GK239"/>
  <c r="GQ240" l="1"/>
  <c r="GP240" s="1"/>
  <c r="AN239"/>
  <c r="HB239"/>
  <c r="HI239"/>
  <c r="GU239"/>
  <c r="GN239"/>
  <c r="GL240" l="1"/>
  <c r="GJ240" s="1"/>
  <c r="AO239"/>
  <c r="DY239"/>
  <c r="DZ239" s="1"/>
  <c r="FF239" l="1"/>
  <c r="AD236" i="45" s="1"/>
  <c r="T236"/>
  <c r="HH240" i="43"/>
  <c r="HJ240" s="1"/>
  <c r="DI240" s="1"/>
  <c r="HA240"/>
  <c r="HC240" s="1"/>
  <c r="CP240" s="1"/>
  <c r="GT240"/>
  <c r="GV240" s="1"/>
  <c r="BU240" s="1"/>
  <c r="GM240"/>
  <c r="HE241" l="1"/>
  <c r="HD241" s="1"/>
  <c r="GZ241" s="1"/>
  <c r="CR240"/>
  <c r="HL241"/>
  <c r="HK241" s="1"/>
  <c r="HG241" s="1"/>
  <c r="DK240"/>
  <c r="GX241"/>
  <c r="GW241" s="1"/>
  <c r="GS241" s="1"/>
  <c r="BW240"/>
  <c r="GO240"/>
  <c r="BB240" s="1"/>
  <c r="BD240" s="1"/>
  <c r="GK240"/>
  <c r="GQ241" l="1"/>
  <c r="GP241" s="1"/>
  <c r="AN240"/>
  <c r="GN240"/>
  <c r="GU240"/>
  <c r="HB240"/>
  <c r="HI240"/>
  <c r="GL241" l="1"/>
  <c r="GJ241" s="1"/>
  <c r="AO240"/>
  <c r="DY240"/>
  <c r="DZ240" s="1"/>
  <c r="FF240" l="1"/>
  <c r="AD237" i="45" s="1"/>
  <c r="T237"/>
  <c r="HA241" i="43"/>
  <c r="HC241" s="1"/>
  <c r="CP241" s="1"/>
  <c r="HH241"/>
  <c r="HJ241" s="1"/>
  <c r="DI241" s="1"/>
  <c r="GT241"/>
  <c r="GV241" s="1"/>
  <c r="BU241" s="1"/>
  <c r="GM241"/>
  <c r="HL242" l="1"/>
  <c r="HK242" s="1"/>
  <c r="HG242" s="1"/>
  <c r="DK241"/>
  <c r="HE242"/>
  <c r="HD242" s="1"/>
  <c r="GZ242" s="1"/>
  <c r="CR241"/>
  <c r="GX242"/>
  <c r="GW242" s="1"/>
  <c r="GS242" s="1"/>
  <c r="BW241"/>
  <c r="GO241"/>
  <c r="BB241" s="1"/>
  <c r="BD241" s="1"/>
  <c r="GK241"/>
  <c r="AN241" l="1"/>
  <c r="GQ242"/>
  <c r="GP242" s="1"/>
  <c r="GN241"/>
  <c r="GU241"/>
  <c r="HI241"/>
  <c r="HB241"/>
  <c r="DY241" l="1"/>
  <c r="DZ241" s="1"/>
  <c r="AO241"/>
  <c r="GL242"/>
  <c r="GJ242" s="1"/>
  <c r="GM242" s="1"/>
  <c r="FF241" l="1"/>
  <c r="AD238" i="45" s="1"/>
  <c r="T238"/>
  <c r="GT242" i="43"/>
  <c r="GV242" s="1"/>
  <c r="BU242" s="1"/>
  <c r="HA242"/>
  <c r="HC242" s="1"/>
  <c r="CP242" s="1"/>
  <c r="HH242"/>
  <c r="HJ242" s="1"/>
  <c r="DI242" s="1"/>
  <c r="GO242"/>
  <c r="BB242" s="1"/>
  <c r="BD242" s="1"/>
  <c r="HE243" l="1"/>
  <c r="HD243" s="1"/>
  <c r="GZ243" s="1"/>
  <c r="CR242"/>
  <c r="GX243"/>
  <c r="GW243" s="1"/>
  <c r="GS243" s="1"/>
  <c r="BW242"/>
  <c r="HL243"/>
  <c r="HK243" s="1"/>
  <c r="HG243" s="1"/>
  <c r="DK242"/>
  <c r="GQ243"/>
  <c r="GP243" s="1"/>
  <c r="AN242"/>
  <c r="GK242"/>
  <c r="GL243" l="1"/>
  <c r="GJ243" s="1"/>
  <c r="DY242"/>
  <c r="DZ242" s="1"/>
  <c r="AO242"/>
  <c r="HI242"/>
  <c r="GN242"/>
  <c r="GU242"/>
  <c r="HB242"/>
  <c r="FF242" l="1"/>
  <c r="AD239" i="45" s="1"/>
  <c r="T239"/>
  <c r="HA243" i="43"/>
  <c r="HC243" s="1"/>
  <c r="CP243" s="1"/>
  <c r="GT243"/>
  <c r="GV243" s="1"/>
  <c r="BU243" s="1"/>
  <c r="HH243"/>
  <c r="HJ243" s="1"/>
  <c r="DI243" s="1"/>
  <c r="GM243"/>
  <c r="GX244" l="1"/>
  <c r="GW244" s="1"/>
  <c r="GS244" s="1"/>
  <c r="BW243"/>
  <c r="HE244"/>
  <c r="HD244" s="1"/>
  <c r="GZ244" s="1"/>
  <c r="CR243"/>
  <c r="HL244"/>
  <c r="HK244" s="1"/>
  <c r="HG244" s="1"/>
  <c r="DK243"/>
  <c r="GO243"/>
  <c r="BB243" s="1"/>
  <c r="BD243" s="1"/>
  <c r="GK243"/>
  <c r="GQ244" l="1"/>
  <c r="GP244" s="1"/>
  <c r="GL244" s="1"/>
  <c r="GJ244" s="1"/>
  <c r="AN243"/>
  <c r="HI243"/>
  <c r="HB243"/>
  <c r="GU243"/>
  <c r="GN243"/>
  <c r="GM244" l="1"/>
  <c r="HH244"/>
  <c r="HJ244" s="1"/>
  <c r="DI244" s="1"/>
  <c r="GT244"/>
  <c r="GV244" s="1"/>
  <c r="BU244" s="1"/>
  <c r="HA244"/>
  <c r="HC244" s="1"/>
  <c r="CP244" s="1"/>
  <c r="DY243"/>
  <c r="DZ243" s="1"/>
  <c r="AO243"/>
  <c r="HE245" l="1"/>
  <c r="HD245" s="1"/>
  <c r="GZ245" s="1"/>
  <c r="CR244"/>
  <c r="GX245"/>
  <c r="GW245" s="1"/>
  <c r="GS245" s="1"/>
  <c r="BW244"/>
  <c r="HL245"/>
  <c r="HK245" s="1"/>
  <c r="HG245" s="1"/>
  <c r="DK244"/>
  <c r="FF243"/>
  <c r="AD240" i="45" s="1"/>
  <c r="T240"/>
  <c r="GO244" i="43"/>
  <c r="BB244" s="1"/>
  <c r="BD244" s="1"/>
  <c r="GK244"/>
  <c r="GQ245" l="1"/>
  <c r="GP245" s="1"/>
  <c r="AN244"/>
  <c r="HI244"/>
  <c r="HB244"/>
  <c r="GU244"/>
  <c r="GN244"/>
  <c r="GL245" l="1"/>
  <c r="GJ245" s="1"/>
  <c r="DY244"/>
  <c r="DZ244" s="1"/>
  <c r="AO244"/>
  <c r="FF244" l="1"/>
  <c r="AD241" i="45" s="1"/>
  <c r="T241"/>
  <c r="HA245" i="43"/>
  <c r="HC245" s="1"/>
  <c r="CP245" s="1"/>
  <c r="GT245"/>
  <c r="GV245" s="1"/>
  <c r="BU245" s="1"/>
  <c r="HH245"/>
  <c r="HJ245" s="1"/>
  <c r="DI245" s="1"/>
  <c r="GM245"/>
  <c r="GX246" l="1"/>
  <c r="GW246" s="1"/>
  <c r="GS246" s="1"/>
  <c r="BW245"/>
  <c r="HE246"/>
  <c r="HD246" s="1"/>
  <c r="GZ246" s="1"/>
  <c r="CR245"/>
  <c r="HL246"/>
  <c r="HK246" s="1"/>
  <c r="HG246" s="1"/>
  <c r="DK245"/>
  <c r="GO245"/>
  <c r="BB245" s="1"/>
  <c r="BD245" s="1"/>
  <c r="GK245"/>
  <c r="AN245" l="1"/>
  <c r="GQ246"/>
  <c r="GP246" s="1"/>
  <c r="GN245"/>
  <c r="GU245"/>
  <c r="HB245"/>
  <c r="HI245"/>
  <c r="DY245" l="1"/>
  <c r="DZ245" s="1"/>
  <c r="AO245"/>
  <c r="GL246"/>
  <c r="GJ246" s="1"/>
  <c r="FF245" l="1"/>
  <c r="AD242" i="45" s="1"/>
  <c r="T242"/>
  <c r="HH246" i="43"/>
  <c r="HJ246" s="1"/>
  <c r="DI246" s="1"/>
  <c r="HA246"/>
  <c r="HC246" s="1"/>
  <c r="CP246" s="1"/>
  <c r="GT246"/>
  <c r="GV246" s="1"/>
  <c r="BU246" s="1"/>
  <c r="GM246"/>
  <c r="HE247" l="1"/>
  <c r="HD247" s="1"/>
  <c r="GZ247" s="1"/>
  <c r="CR246"/>
  <c r="HL247"/>
  <c r="HK247" s="1"/>
  <c r="HG247" s="1"/>
  <c r="DK246"/>
  <c r="GX247"/>
  <c r="GW247" s="1"/>
  <c r="GS247" s="1"/>
  <c r="BW246"/>
  <c r="GK246"/>
  <c r="GO246"/>
  <c r="BB246" s="1"/>
  <c r="BD246" s="1"/>
  <c r="HB246" l="1"/>
  <c r="GU246"/>
  <c r="GN246"/>
  <c r="HI246"/>
  <c r="GQ247"/>
  <c r="GP247" s="1"/>
  <c r="AN246"/>
  <c r="GL247" l="1"/>
  <c r="GJ247" s="1"/>
  <c r="DY246"/>
  <c r="DZ246" s="1"/>
  <c r="AO246"/>
  <c r="FF246" l="1"/>
  <c r="AD243" i="45" s="1"/>
  <c r="T243"/>
  <c r="HA247" i="43"/>
  <c r="HC247" s="1"/>
  <c r="CP247" s="1"/>
  <c r="HH247"/>
  <c r="HJ247" s="1"/>
  <c r="DI247" s="1"/>
  <c r="GT247"/>
  <c r="GV247" s="1"/>
  <c r="BU247" s="1"/>
  <c r="GM247"/>
  <c r="HL248" l="1"/>
  <c r="HK248" s="1"/>
  <c r="HG248" s="1"/>
  <c r="DK247"/>
  <c r="HE248"/>
  <c r="HD248" s="1"/>
  <c r="GZ248" s="1"/>
  <c r="CR247"/>
  <c r="GX248"/>
  <c r="GW248" s="1"/>
  <c r="GS248" s="1"/>
  <c r="BW247"/>
  <c r="GK247"/>
  <c r="GO247"/>
  <c r="BB247" s="1"/>
  <c r="BD247" s="1"/>
  <c r="AN247" l="1"/>
  <c r="GQ248"/>
  <c r="GP248" s="1"/>
  <c r="GN247"/>
  <c r="HI247"/>
  <c r="GU247"/>
  <c r="HB247"/>
  <c r="DY247" l="1"/>
  <c r="DZ247" s="1"/>
  <c r="AO247"/>
  <c r="GL248"/>
  <c r="GJ248" s="1"/>
  <c r="FF247" l="1"/>
  <c r="AD244" i="45" s="1"/>
  <c r="T244"/>
  <c r="GT248" i="43"/>
  <c r="GV248" s="1"/>
  <c r="BU248" s="1"/>
  <c r="HA248"/>
  <c r="HC248" s="1"/>
  <c r="CP248" s="1"/>
  <c r="HH248"/>
  <c r="HJ248" s="1"/>
  <c r="DI248" s="1"/>
  <c r="GM248"/>
  <c r="HE249" l="1"/>
  <c r="HD249" s="1"/>
  <c r="GZ249" s="1"/>
  <c r="CR248"/>
  <c r="GX249"/>
  <c r="GW249" s="1"/>
  <c r="GS249" s="1"/>
  <c r="BW248"/>
  <c r="HL249"/>
  <c r="HK249" s="1"/>
  <c r="HG249" s="1"/>
  <c r="DK248"/>
  <c r="GK248"/>
  <c r="GO248"/>
  <c r="BB248" s="1"/>
  <c r="BD248" s="1"/>
  <c r="AN248" l="1"/>
  <c r="GQ249"/>
  <c r="GP249" s="1"/>
  <c r="GN248"/>
  <c r="GU248"/>
  <c r="HB248"/>
  <c r="HI248"/>
  <c r="DY248" l="1"/>
  <c r="DZ248" s="1"/>
  <c r="AO248"/>
  <c r="GL249"/>
  <c r="GJ249" s="1"/>
  <c r="FF248" l="1"/>
  <c r="AD245" i="45" s="1"/>
  <c r="T245"/>
  <c r="HA249" i="43"/>
  <c r="HC249" s="1"/>
  <c r="CP249" s="1"/>
  <c r="GT249"/>
  <c r="GV249" s="1"/>
  <c r="BU249" s="1"/>
  <c r="HH249"/>
  <c r="HJ249" s="1"/>
  <c r="DI249" s="1"/>
  <c r="HL250" s="1"/>
  <c r="GM249"/>
  <c r="GX250" l="1"/>
  <c r="GW250" s="1"/>
  <c r="GS250" s="1"/>
  <c r="BW249"/>
  <c r="HE250"/>
  <c r="HD250" s="1"/>
  <c r="GZ250" s="1"/>
  <c r="CR249"/>
  <c r="HK250"/>
  <c r="HG250" s="1"/>
  <c r="DK249"/>
  <c r="GK249"/>
  <c r="GO249"/>
  <c r="BB249" s="1"/>
  <c r="BD249" s="1"/>
  <c r="GN249" l="1"/>
  <c r="GU249"/>
  <c r="HI249"/>
  <c r="HB249"/>
  <c r="AN249"/>
  <c r="GQ250"/>
  <c r="GP250" s="1"/>
  <c r="GL250" s="1"/>
  <c r="GJ250" s="1"/>
  <c r="DY249" l="1"/>
  <c r="DZ249" s="1"/>
  <c r="AO249"/>
  <c r="GM250"/>
  <c r="GT250"/>
  <c r="GV250" s="1"/>
  <c r="BU250" s="1"/>
  <c r="HH250"/>
  <c r="HJ250" s="1"/>
  <c r="DI250" s="1"/>
  <c r="HA250"/>
  <c r="HC250" s="1"/>
  <c r="CP250" s="1"/>
  <c r="GX251" l="1"/>
  <c r="GW251" s="1"/>
  <c r="GS251" s="1"/>
  <c r="BW250"/>
  <c r="HE251"/>
  <c r="HD251" s="1"/>
  <c r="GZ251" s="1"/>
  <c r="CR250"/>
  <c r="HL251"/>
  <c r="HK251" s="1"/>
  <c r="HG251" s="1"/>
  <c r="DK250"/>
  <c r="FF249"/>
  <c r="AD246" i="45" s="1"/>
  <c r="T246"/>
  <c r="GO250" i="43"/>
  <c r="BB250" s="1"/>
  <c r="BD250" s="1"/>
  <c r="GK250"/>
  <c r="GQ251" l="1"/>
  <c r="GP251" s="1"/>
  <c r="AN250"/>
  <c r="HB250"/>
  <c r="GU250"/>
  <c r="GN250"/>
  <c r="HI250"/>
  <c r="GL251" l="1"/>
  <c r="GJ251" s="1"/>
  <c r="AO250"/>
  <c r="DY250"/>
  <c r="DZ250" s="1"/>
  <c r="FF250" l="1"/>
  <c r="AD247" i="45" s="1"/>
  <c r="T247"/>
  <c r="HA251" i="43"/>
  <c r="HC251" s="1"/>
  <c r="CP251" s="1"/>
  <c r="HH251"/>
  <c r="HJ251" s="1"/>
  <c r="DI251" s="1"/>
  <c r="GT251"/>
  <c r="GV251" s="1"/>
  <c r="BU251" s="1"/>
  <c r="GM251"/>
  <c r="HL252" l="1"/>
  <c r="HK252" s="1"/>
  <c r="HG252" s="1"/>
  <c r="DK251"/>
  <c r="HE252"/>
  <c r="HD252" s="1"/>
  <c r="GZ252" s="1"/>
  <c r="CR251"/>
  <c r="GX252"/>
  <c r="GW252" s="1"/>
  <c r="GS252" s="1"/>
  <c r="BW251"/>
  <c r="GO251"/>
  <c r="BB251" s="1"/>
  <c r="BD251" s="1"/>
  <c r="GK251"/>
  <c r="GQ252" l="1"/>
  <c r="GP252" s="1"/>
  <c r="AN251"/>
  <c r="GN251"/>
  <c r="GU251"/>
  <c r="HI251"/>
  <c r="HB251"/>
  <c r="GL252" l="1"/>
  <c r="GJ252" s="1"/>
  <c r="DY251"/>
  <c r="DZ251" s="1"/>
  <c r="AO251"/>
  <c r="FF251" l="1"/>
  <c r="AD248" i="45" s="1"/>
  <c r="T248"/>
  <c r="GT252" i="43"/>
  <c r="GV252" s="1"/>
  <c r="BU252" s="1"/>
  <c r="HA252"/>
  <c r="HC252" s="1"/>
  <c r="CP252" s="1"/>
  <c r="HH252"/>
  <c r="HJ252" s="1"/>
  <c r="DI252" s="1"/>
  <c r="GM252"/>
  <c r="HE253" l="1"/>
  <c r="HD253" s="1"/>
  <c r="GZ253" s="1"/>
  <c r="CR252"/>
  <c r="GX253"/>
  <c r="GW253" s="1"/>
  <c r="GS253" s="1"/>
  <c r="BW252"/>
  <c r="HL253"/>
  <c r="HK253" s="1"/>
  <c r="HG253" s="1"/>
  <c r="DK252"/>
  <c r="GO252"/>
  <c r="BB252" s="1"/>
  <c r="BD252" s="1"/>
  <c r="GK252"/>
  <c r="HI252" l="1"/>
  <c r="HB252"/>
  <c r="GN252"/>
  <c r="GU252"/>
  <c r="GQ253"/>
  <c r="GP253" s="1"/>
  <c r="AN252"/>
  <c r="GL253" l="1"/>
  <c r="GJ253" s="1"/>
  <c r="AO252"/>
  <c r="DY252"/>
  <c r="DZ252" s="1"/>
  <c r="FF252" l="1"/>
  <c r="AD249" i="45" s="1"/>
  <c r="T249"/>
  <c r="HA253" i="43"/>
  <c r="HC253" s="1"/>
  <c r="CP253" s="1"/>
  <c r="GT253"/>
  <c r="GV253" s="1"/>
  <c r="BU253" s="1"/>
  <c r="HH253"/>
  <c r="HJ253" s="1"/>
  <c r="DI253" s="1"/>
  <c r="GM253"/>
  <c r="GX254" l="1"/>
  <c r="GW254" s="1"/>
  <c r="GS254" s="1"/>
  <c r="BW253"/>
  <c r="HE254"/>
  <c r="HD254" s="1"/>
  <c r="GZ254" s="1"/>
  <c r="CR253"/>
  <c r="HL254"/>
  <c r="HK254" s="1"/>
  <c r="HG254" s="1"/>
  <c r="DK253"/>
  <c r="GK253"/>
  <c r="GO253"/>
  <c r="BB253" s="1"/>
  <c r="BD253" s="1"/>
  <c r="HB253" l="1"/>
  <c r="GU253"/>
  <c r="GN253"/>
  <c r="HI253"/>
  <c r="AN253"/>
  <c r="GQ254"/>
  <c r="GP254" s="1"/>
  <c r="DY253" l="1"/>
  <c r="DZ253" s="1"/>
  <c r="AO253"/>
  <c r="GL254"/>
  <c r="GJ254" s="1"/>
  <c r="FF253" l="1"/>
  <c r="AD250" i="45" s="1"/>
  <c r="T250"/>
  <c r="GT254" i="43"/>
  <c r="GV254" s="1"/>
  <c r="BU254" s="1"/>
  <c r="HA254"/>
  <c r="HC254" s="1"/>
  <c r="CP254" s="1"/>
  <c r="HH254"/>
  <c r="HJ254" s="1"/>
  <c r="DI254" s="1"/>
  <c r="GM254"/>
  <c r="HE255" l="1"/>
  <c r="HD255" s="1"/>
  <c r="GZ255" s="1"/>
  <c r="CR254"/>
  <c r="GX255"/>
  <c r="GW255" s="1"/>
  <c r="GS255" s="1"/>
  <c r="BW254"/>
  <c r="HL255"/>
  <c r="HK255" s="1"/>
  <c r="HG255" s="1"/>
  <c r="DK254"/>
  <c r="GK254"/>
  <c r="GO254"/>
  <c r="BB254" s="1"/>
  <c r="BD254" s="1"/>
  <c r="HI254" l="1"/>
  <c r="GU254"/>
  <c r="GN254"/>
  <c r="HB254"/>
  <c r="GQ255"/>
  <c r="GP255" s="1"/>
  <c r="AN254"/>
  <c r="AO254" l="1"/>
  <c r="DY254"/>
  <c r="DZ254" s="1"/>
  <c r="GL255"/>
  <c r="GJ255" s="1"/>
  <c r="FF254" l="1"/>
  <c r="AD251" i="45" s="1"/>
  <c r="T251"/>
  <c r="HA255" i="43"/>
  <c r="HC255" s="1"/>
  <c r="CP255" s="1"/>
  <c r="GT255"/>
  <c r="GV255" s="1"/>
  <c r="BU255" s="1"/>
  <c r="HH255"/>
  <c r="HJ255" s="1"/>
  <c r="DI255" s="1"/>
  <c r="GM255"/>
  <c r="GX256" l="1"/>
  <c r="GW256" s="1"/>
  <c r="GS256" s="1"/>
  <c r="BW255"/>
  <c r="HE256"/>
  <c r="HD256" s="1"/>
  <c r="GZ256" s="1"/>
  <c r="CR255"/>
  <c r="HL256"/>
  <c r="HK256" s="1"/>
  <c r="HG256" s="1"/>
  <c r="DK255"/>
  <c r="GK255"/>
  <c r="GO255"/>
  <c r="BB255" s="1"/>
  <c r="BD255" s="1"/>
  <c r="GU255" l="1"/>
  <c r="HI255"/>
  <c r="GN255"/>
  <c r="HB255"/>
  <c r="GQ256"/>
  <c r="GP256" s="1"/>
  <c r="AN255"/>
  <c r="AO255" l="1"/>
  <c r="DY255"/>
  <c r="DZ255" s="1"/>
  <c r="GL256"/>
  <c r="GJ256" s="1"/>
  <c r="FF255" l="1"/>
  <c r="AD252" i="45" s="1"/>
  <c r="T252"/>
  <c r="GT256" i="43"/>
  <c r="GV256" s="1"/>
  <c r="BU256" s="1"/>
  <c r="HH256"/>
  <c r="HJ256" s="1"/>
  <c r="DI256" s="1"/>
  <c r="HA256"/>
  <c r="HC256" s="1"/>
  <c r="CP256" s="1"/>
  <c r="GM256"/>
  <c r="HL257" l="1"/>
  <c r="HK257" s="1"/>
  <c r="HG257" s="1"/>
  <c r="DK256"/>
  <c r="GX257"/>
  <c r="GW257" s="1"/>
  <c r="GS257" s="1"/>
  <c r="BW256"/>
  <c r="HE257"/>
  <c r="HD257" s="1"/>
  <c r="GZ257" s="1"/>
  <c r="CR256"/>
  <c r="GK256"/>
  <c r="GO256"/>
  <c r="BB256" s="1"/>
  <c r="BD256" l="1"/>
  <c r="AN256"/>
  <c r="AO256" s="1"/>
  <c r="GU256"/>
  <c r="GN256"/>
  <c r="HI256"/>
  <c r="HB256"/>
  <c r="GQ257"/>
  <c r="GP257" s="1"/>
  <c r="DY256" l="1"/>
  <c r="DZ256" s="1"/>
  <c r="GL257"/>
  <c r="GJ257" s="1"/>
  <c r="FF256" l="1"/>
  <c r="AD253" i="45" s="1"/>
  <c r="T253"/>
  <c r="HA257" i="43"/>
  <c r="HC257" s="1"/>
  <c r="CP257" s="1"/>
  <c r="HH257"/>
  <c r="HJ257" s="1"/>
  <c r="DI257" s="1"/>
  <c r="GT257"/>
  <c r="GV257" s="1"/>
  <c r="BU257" s="1"/>
  <c r="GM257"/>
  <c r="HL258" l="1"/>
  <c r="HK258" s="1"/>
  <c r="HG258" s="1"/>
  <c r="DK257"/>
  <c r="HE258"/>
  <c r="HD258" s="1"/>
  <c r="GZ258" s="1"/>
  <c r="CR257"/>
  <c r="GX258"/>
  <c r="GW258" s="1"/>
  <c r="GS258" s="1"/>
  <c r="BW257"/>
  <c r="GO257"/>
  <c r="BB257" s="1"/>
  <c r="GK257"/>
  <c r="BD257" l="1"/>
  <c r="AN257"/>
  <c r="AO257" s="1"/>
  <c r="GQ258"/>
  <c r="GP258" s="1"/>
  <c r="GN257"/>
  <c r="HB257"/>
  <c r="GU257"/>
  <c r="HI257"/>
  <c r="GL258" l="1"/>
  <c r="GJ258" s="1"/>
  <c r="DY257"/>
  <c r="DZ257" s="1"/>
  <c r="FF257" l="1"/>
  <c r="AD254" i="45" s="1"/>
  <c r="T254"/>
  <c r="HH258" i="43"/>
  <c r="HJ258" s="1"/>
  <c r="DI258" s="1"/>
  <c r="GT258"/>
  <c r="GV258" s="1"/>
  <c r="BU258" s="1"/>
  <c r="HA258"/>
  <c r="HC258" s="1"/>
  <c r="CP258" s="1"/>
  <c r="GM258"/>
  <c r="GX259" l="1"/>
  <c r="GW259" s="1"/>
  <c r="GS259" s="1"/>
  <c r="BW258"/>
  <c r="HL259"/>
  <c r="HK259" s="1"/>
  <c r="HG259" s="1"/>
  <c r="DK258"/>
  <c r="HE259"/>
  <c r="HD259" s="1"/>
  <c r="GZ259" s="1"/>
  <c r="CR258"/>
  <c r="GO258"/>
  <c r="BB258" s="1"/>
  <c r="GK258"/>
  <c r="AN258" l="1"/>
  <c r="AO258" s="1"/>
  <c r="T255" i="45" s="1"/>
  <c r="BD258" i="43"/>
  <c r="GQ259"/>
  <c r="GP259" s="1"/>
  <c r="GN258"/>
  <c r="GU258"/>
  <c r="HB258"/>
  <c r="HI258"/>
  <c r="GL259" l="1"/>
  <c r="GJ259" s="1"/>
  <c r="DY258"/>
  <c r="DZ258" s="1"/>
  <c r="FF258"/>
  <c r="AD255" i="45" s="1"/>
  <c r="HA259" i="43" l="1"/>
  <c r="HC259" s="1"/>
  <c r="CP259" s="1"/>
  <c r="HH259"/>
  <c r="HJ259" s="1"/>
  <c r="DI259" s="1"/>
  <c r="GT259"/>
  <c r="GV259" s="1"/>
  <c r="BU259" s="1"/>
  <c r="GM259"/>
  <c r="GX260" l="1"/>
  <c r="GW260" s="1"/>
  <c r="GS260" s="1"/>
  <c r="BW259"/>
  <c r="HL260"/>
  <c r="HK260" s="1"/>
  <c r="HG260" s="1"/>
  <c r="DK259"/>
  <c r="HE260"/>
  <c r="HD260" s="1"/>
  <c r="GZ260" s="1"/>
  <c r="CR259"/>
  <c r="GO259"/>
  <c r="BB259" s="1"/>
  <c r="GK259"/>
  <c r="AN259" l="1"/>
  <c r="AO259" s="1"/>
  <c r="T256" i="45" s="1"/>
  <c r="BD259" i="43"/>
  <c r="GQ260"/>
  <c r="GP260" s="1"/>
  <c r="HI259"/>
  <c r="HB259"/>
  <c r="GU259"/>
  <c r="GN259"/>
  <c r="GL260" l="1"/>
  <c r="GJ260" s="1"/>
  <c r="FF259"/>
  <c r="AD256" i="45" s="1"/>
  <c r="DY259" i="43"/>
  <c r="DZ259" s="1"/>
  <c r="HH260" l="1"/>
  <c r="HJ260" s="1"/>
  <c r="DI260" s="1"/>
  <c r="HA260"/>
  <c r="HC260" s="1"/>
  <c r="CP260" s="1"/>
  <c r="GT260"/>
  <c r="GV260" s="1"/>
  <c r="BU260" s="1"/>
  <c r="GM260"/>
  <c r="HE261" l="1"/>
  <c r="HD261" s="1"/>
  <c r="GZ261" s="1"/>
  <c r="CR260"/>
  <c r="GX261"/>
  <c r="GW261" s="1"/>
  <c r="GS261" s="1"/>
  <c r="BW260"/>
  <c r="HL261"/>
  <c r="HK261" s="1"/>
  <c r="HG261" s="1"/>
  <c r="DK260"/>
  <c r="GO260"/>
  <c r="BB260" s="1"/>
  <c r="GK260"/>
  <c r="AN260" l="1"/>
  <c r="AO260" s="1"/>
  <c r="T257" i="45" s="1"/>
  <c r="BD260" i="43"/>
  <c r="GQ261"/>
  <c r="GP261" s="1"/>
  <c r="GN260"/>
  <c r="HI260"/>
  <c r="HB260"/>
  <c r="GU260"/>
  <c r="FF260" l="1"/>
  <c r="AD257" i="45" s="1"/>
  <c r="DY260" i="43"/>
  <c r="DZ260" s="1"/>
  <c r="GL261"/>
  <c r="GJ261" s="1"/>
  <c r="AD259" i="45"/>
  <c r="GT261" i="43" l="1"/>
  <c r="GV261" s="1"/>
  <c r="BU261" s="1"/>
  <c r="HH261"/>
  <c r="HJ261" s="1"/>
  <c r="DI261" s="1"/>
  <c r="HA261"/>
  <c r="HC261" s="1"/>
  <c r="CP261" s="1"/>
  <c r="GM261"/>
  <c r="HE262" l="1"/>
  <c r="HD262" s="1"/>
  <c r="GZ262" s="1"/>
  <c r="CR261"/>
  <c r="HL262"/>
  <c r="HK262" s="1"/>
  <c r="HG262" s="1"/>
  <c r="DK261"/>
  <c r="GX262"/>
  <c r="GW262" s="1"/>
  <c r="GS262" s="1"/>
  <c r="BW261"/>
  <c r="GK261"/>
  <c r="GO261"/>
  <c r="BB261" s="1"/>
  <c r="AN261" l="1"/>
  <c r="AO261" s="1"/>
  <c r="T258" i="45" s="1"/>
  <c r="BD261" i="43"/>
  <c r="HI261"/>
  <c r="GN261"/>
  <c r="HB261"/>
  <c r="GU261"/>
  <c r="GQ262"/>
  <c r="GP262" s="1"/>
  <c r="DY261" l="1"/>
  <c r="DZ261" s="1"/>
  <c r="FF261"/>
  <c r="AD258" i="45" s="1"/>
  <c r="GL262" i="43"/>
  <c r="GJ262" s="1"/>
  <c r="AD260" i="45"/>
  <c r="HH262" i="43" l="1"/>
  <c r="HJ262" s="1"/>
  <c r="DI262" s="1"/>
  <c r="GT262"/>
  <c r="GV262" s="1"/>
  <c r="BU262" s="1"/>
  <c r="HA262"/>
  <c r="HC262" s="1"/>
  <c r="CP262" s="1"/>
  <c r="GM262"/>
  <c r="HE263" l="1"/>
  <c r="HD263" s="1"/>
  <c r="GZ263" s="1"/>
  <c r="CR262"/>
  <c r="HL263"/>
  <c r="HK263" s="1"/>
  <c r="HG263" s="1"/>
  <c r="DK262"/>
  <c r="GX263"/>
  <c r="GW263" s="1"/>
  <c r="GS263" s="1"/>
  <c r="BW262"/>
  <c r="GK262"/>
  <c r="GO262"/>
  <c r="BB262" s="1"/>
  <c r="AN262" l="1"/>
  <c r="AO262" s="1"/>
  <c r="T259" i="45" s="1"/>
  <c r="BD262" i="43"/>
  <c r="GN262"/>
  <c r="HB262"/>
  <c r="HI262"/>
  <c r="GU262"/>
  <c r="GQ263"/>
  <c r="GP263" s="1"/>
  <c r="DY262" l="1"/>
  <c r="DZ262" s="1"/>
  <c r="FF262"/>
  <c r="GL263"/>
  <c r="GJ263" s="1"/>
  <c r="AD261" i="45"/>
  <c r="GT263" i="43" l="1"/>
  <c r="GV263" s="1"/>
  <c r="BU263" s="1"/>
  <c r="HH263"/>
  <c r="HJ263" s="1"/>
  <c r="DI263" s="1"/>
  <c r="HA263"/>
  <c r="HC263" s="1"/>
  <c r="CP263" s="1"/>
  <c r="GM263"/>
  <c r="HE264" l="1"/>
  <c r="HD264" s="1"/>
  <c r="GZ264" s="1"/>
  <c r="CR263"/>
  <c r="HL264"/>
  <c r="HK264" s="1"/>
  <c r="HG264" s="1"/>
  <c r="DK263"/>
  <c r="GX264"/>
  <c r="GW264" s="1"/>
  <c r="GS264" s="1"/>
  <c r="BW263"/>
  <c r="GK263"/>
  <c r="GO263"/>
  <c r="BB263" s="1"/>
  <c r="AN263" l="1"/>
  <c r="AO263" s="1"/>
  <c r="T260" i="45" s="1"/>
  <c r="BD263" i="43"/>
  <c r="GN263"/>
  <c r="GU263"/>
  <c r="HB263"/>
  <c r="HI263"/>
  <c r="GQ264"/>
  <c r="GP264" s="1"/>
  <c r="FF263" l="1"/>
  <c r="DY263"/>
  <c r="DZ263" s="1"/>
  <c r="GL264"/>
  <c r="GJ264" s="1"/>
  <c r="AD262" i="45"/>
  <c r="HH264" i="43" l="1"/>
  <c r="HJ264" s="1"/>
  <c r="DI264" s="1"/>
  <c r="GT264"/>
  <c r="GV264" s="1"/>
  <c r="BU264" s="1"/>
  <c r="HA264"/>
  <c r="HC264" s="1"/>
  <c r="CP264" s="1"/>
  <c r="GM264"/>
  <c r="HE265" l="1"/>
  <c r="HD265" s="1"/>
  <c r="GZ265" s="1"/>
  <c r="CR264"/>
  <c r="GX265"/>
  <c r="GW265" s="1"/>
  <c r="GS265" s="1"/>
  <c r="BW264"/>
  <c r="HL265"/>
  <c r="HK265" s="1"/>
  <c r="HG265" s="1"/>
  <c r="DK264"/>
  <c r="GK264"/>
  <c r="GO264"/>
  <c r="BB264" s="1"/>
  <c r="AN264" l="1"/>
  <c r="AO264" s="1"/>
  <c r="T261" i="45" s="1"/>
  <c r="BD264" i="43"/>
  <c r="HI264"/>
  <c r="HB264"/>
  <c r="GU264"/>
  <c r="GN264"/>
  <c r="GQ265"/>
  <c r="GP265" s="1"/>
  <c r="FF264" l="1"/>
  <c r="DY264"/>
  <c r="DZ264" s="1"/>
  <c r="GL265"/>
  <c r="GJ265" s="1"/>
  <c r="AD263" i="45"/>
  <c r="HA265" i="43" l="1"/>
  <c r="HC265" s="1"/>
  <c r="CP265" s="1"/>
  <c r="HH265"/>
  <c r="HJ265" s="1"/>
  <c r="DI265" s="1"/>
  <c r="GT265"/>
  <c r="GV265" s="1"/>
  <c r="BU265" s="1"/>
  <c r="GM265"/>
  <c r="GX266" l="1"/>
  <c r="GW266" s="1"/>
  <c r="GS266" s="1"/>
  <c r="BW265"/>
  <c r="HL266"/>
  <c r="HK266" s="1"/>
  <c r="HG266" s="1"/>
  <c r="DK265"/>
  <c r="HE266"/>
  <c r="HD266" s="1"/>
  <c r="GZ266" s="1"/>
  <c r="CR265"/>
  <c r="GK265"/>
  <c r="GO265"/>
  <c r="BB265" s="1"/>
  <c r="AN265" l="1"/>
  <c r="AO265" s="1"/>
  <c r="T262" i="45" s="1"/>
  <c r="BD265" i="43"/>
  <c r="GU265"/>
  <c r="HI265"/>
  <c r="HB265"/>
  <c r="GN265"/>
  <c r="GQ266"/>
  <c r="GP266" s="1"/>
  <c r="GL266" s="1"/>
  <c r="GJ266" s="1"/>
  <c r="AD264" i="45"/>
  <c r="FF265" i="43" l="1"/>
  <c r="DY265"/>
  <c r="DZ265" s="1"/>
  <c r="GM266"/>
  <c r="HH266"/>
  <c r="HJ266" s="1"/>
  <c r="DI266" s="1"/>
  <c r="GT266"/>
  <c r="GV266" s="1"/>
  <c r="BU266" s="1"/>
  <c r="HA266"/>
  <c r="HC266" s="1"/>
  <c r="CP266" s="1"/>
  <c r="HL267" l="1"/>
  <c r="HK267" s="1"/>
  <c r="HG267" s="1"/>
  <c r="DK266"/>
  <c r="HE267"/>
  <c r="HD267" s="1"/>
  <c r="GZ267" s="1"/>
  <c r="CR266"/>
  <c r="GX267"/>
  <c r="GW267" s="1"/>
  <c r="GS267" s="1"/>
  <c r="BW266"/>
  <c r="GO266"/>
  <c r="BB266" s="1"/>
  <c r="GK266"/>
  <c r="AN266" l="1"/>
  <c r="AO266" s="1"/>
  <c r="T263" i="45" s="1"/>
  <c r="BD266" i="43"/>
  <c r="GQ267"/>
  <c r="GP267" s="1"/>
  <c r="GN266"/>
  <c r="GU266"/>
  <c r="HI266"/>
  <c r="HB266"/>
  <c r="GL267" l="1"/>
  <c r="GJ267" s="1"/>
  <c r="DY266"/>
  <c r="DZ266" s="1"/>
  <c r="FF266"/>
  <c r="AD265" i="45"/>
  <c r="HA267" i="43" l="1"/>
  <c r="HC267" s="1"/>
  <c r="CP267" s="1"/>
  <c r="HH267"/>
  <c r="HJ267" s="1"/>
  <c r="DI267" s="1"/>
  <c r="GT267"/>
  <c r="GV267" s="1"/>
  <c r="BU267" s="1"/>
  <c r="GM267"/>
  <c r="GX268" l="1"/>
  <c r="GW268" s="1"/>
  <c r="GS268" s="1"/>
  <c r="BW267"/>
  <c r="HL268"/>
  <c r="HK268" s="1"/>
  <c r="HG268" s="1"/>
  <c r="DK267"/>
  <c r="HE268"/>
  <c r="HD268" s="1"/>
  <c r="GZ268" s="1"/>
  <c r="CR267"/>
  <c r="GO267"/>
  <c r="BB267" s="1"/>
  <c r="GK267"/>
  <c r="AN267" l="1"/>
  <c r="AO267" s="1"/>
  <c r="T264" i="45" s="1"/>
  <c r="BD267" i="43"/>
  <c r="GQ268"/>
  <c r="GP268" s="1"/>
  <c r="GU267"/>
  <c r="HB267"/>
  <c r="HI267"/>
  <c r="GN267"/>
  <c r="GL268" l="1"/>
  <c r="GJ268" s="1"/>
  <c r="FF267"/>
  <c r="DY267"/>
  <c r="DZ267" s="1"/>
  <c r="AD266" i="45"/>
  <c r="HH268" i="43" l="1"/>
  <c r="HJ268" s="1"/>
  <c r="DI268" s="1"/>
  <c r="HA268"/>
  <c r="HC268" s="1"/>
  <c r="CP268" s="1"/>
  <c r="GT268"/>
  <c r="GV268" s="1"/>
  <c r="BU268" s="1"/>
  <c r="GM268"/>
  <c r="GX269" l="1"/>
  <c r="GW269" s="1"/>
  <c r="GS269" s="1"/>
  <c r="BW268"/>
  <c r="HE269"/>
  <c r="HD269" s="1"/>
  <c r="GZ269" s="1"/>
  <c r="CR268"/>
  <c r="HL269"/>
  <c r="HK269" s="1"/>
  <c r="HG269" s="1"/>
  <c r="DK268"/>
  <c r="GO268"/>
  <c r="BB268" s="1"/>
  <c r="GK268"/>
  <c r="AN268" l="1"/>
  <c r="AO268" s="1"/>
  <c r="T265" i="45" s="1"/>
  <c r="BD268" i="43"/>
  <c r="GQ269"/>
  <c r="GP269" s="1"/>
  <c r="HB268"/>
  <c r="GN268"/>
  <c r="HI268"/>
  <c r="GU268"/>
  <c r="DY268" l="1"/>
  <c r="DZ268" s="1"/>
  <c r="FF268"/>
  <c r="GL269"/>
  <c r="GJ269" s="1"/>
  <c r="AD267" i="45"/>
  <c r="HA269" i="43" l="1"/>
  <c r="HC269" s="1"/>
  <c r="CP269" s="1"/>
  <c r="HH269"/>
  <c r="HJ269" s="1"/>
  <c r="DI269" s="1"/>
  <c r="GT269"/>
  <c r="GV269" s="1"/>
  <c r="BU269" s="1"/>
  <c r="GM269"/>
  <c r="GX270" l="1"/>
  <c r="GW270" s="1"/>
  <c r="GS270" s="1"/>
  <c r="BW269"/>
  <c r="HL270"/>
  <c r="HK270" s="1"/>
  <c r="HG270" s="1"/>
  <c r="DK269"/>
  <c r="HE270"/>
  <c r="HD270" s="1"/>
  <c r="GZ270" s="1"/>
  <c r="CR269"/>
  <c r="GK269"/>
  <c r="GO269"/>
  <c r="BB269" s="1"/>
  <c r="AN269" l="1"/>
  <c r="AO269" s="1"/>
  <c r="T266" i="45" s="1"/>
  <c r="BD269" i="43"/>
  <c r="GU269"/>
  <c r="GN269"/>
  <c r="HB269"/>
  <c r="HI269"/>
  <c r="GQ270"/>
  <c r="GP270" s="1"/>
  <c r="GL270" l="1"/>
  <c r="GJ270" s="1"/>
  <c r="DY269"/>
  <c r="DZ269" s="1"/>
  <c r="FF269"/>
  <c r="AD268" i="45"/>
  <c r="HH270" i="43" l="1"/>
  <c r="HJ270" s="1"/>
  <c r="DI270" s="1"/>
  <c r="GT270"/>
  <c r="GV270" s="1"/>
  <c r="BU270" s="1"/>
  <c r="HA270"/>
  <c r="HC270" s="1"/>
  <c r="CP270" s="1"/>
  <c r="GM270"/>
  <c r="GX271" l="1"/>
  <c r="GW271" s="1"/>
  <c r="GS271" s="1"/>
  <c r="BW270"/>
  <c r="HE271"/>
  <c r="HD271" s="1"/>
  <c r="GZ271" s="1"/>
  <c r="CR270"/>
  <c r="HL271"/>
  <c r="HK271" s="1"/>
  <c r="HG271" s="1"/>
  <c r="DK270"/>
  <c r="GK270"/>
  <c r="GO270"/>
  <c r="BB270" s="1"/>
  <c r="AN270" l="1"/>
  <c r="AO270" s="1"/>
  <c r="T267" i="45" s="1"/>
  <c r="BD270" i="43"/>
  <c r="HB270"/>
  <c r="HI270"/>
  <c r="GN270"/>
  <c r="GU270"/>
  <c r="GQ271"/>
  <c r="GP271" s="1"/>
  <c r="FF270" l="1"/>
  <c r="DY270"/>
  <c r="DZ270" s="1"/>
  <c r="GL271"/>
  <c r="GJ271" s="1"/>
  <c r="AD269" i="45"/>
  <c r="GT271" i="43" l="1"/>
  <c r="GV271" s="1"/>
  <c r="BU271" s="1"/>
  <c r="HH271"/>
  <c r="HJ271" s="1"/>
  <c r="DI271" s="1"/>
  <c r="HA271"/>
  <c r="HC271" s="1"/>
  <c r="CP271" s="1"/>
  <c r="GM271"/>
  <c r="HE272" l="1"/>
  <c r="HD272" s="1"/>
  <c r="GZ272" s="1"/>
  <c r="CR271"/>
  <c r="HL272"/>
  <c r="HK272" s="1"/>
  <c r="HG272" s="1"/>
  <c r="DK271"/>
  <c r="GX272"/>
  <c r="GW272" s="1"/>
  <c r="GS272" s="1"/>
  <c r="BW271"/>
  <c r="GK271"/>
  <c r="GO271"/>
  <c r="BB271" s="1"/>
  <c r="AN271" l="1"/>
  <c r="AO271" s="1"/>
  <c r="T268" i="45" s="1"/>
  <c r="BD271" i="43"/>
  <c r="GN271"/>
  <c r="HI271"/>
  <c r="HB271"/>
  <c r="GU271"/>
  <c r="GQ272"/>
  <c r="GP272" s="1"/>
  <c r="FF271" l="1"/>
  <c r="DY271"/>
  <c r="DZ271" s="1"/>
  <c r="GL272"/>
  <c r="GJ272" s="1"/>
  <c r="HA272" l="1"/>
  <c r="HC272" s="1"/>
  <c r="CP272" s="1"/>
  <c r="HH272"/>
  <c r="HJ272" s="1"/>
  <c r="DI272" s="1"/>
  <c r="GT272"/>
  <c r="GV272" s="1"/>
  <c r="BU272" s="1"/>
  <c r="GM272"/>
  <c r="GX273" l="1"/>
  <c r="GW273" s="1"/>
  <c r="GS273" s="1"/>
  <c r="BW272"/>
  <c r="HL273"/>
  <c r="HK273" s="1"/>
  <c r="HG273" s="1"/>
  <c r="DK272"/>
  <c r="HE273"/>
  <c r="HD273" s="1"/>
  <c r="GZ273" s="1"/>
  <c r="CR272"/>
  <c r="GK272"/>
  <c r="GO272"/>
  <c r="BB272" s="1"/>
  <c r="AN272" l="1"/>
  <c r="AO272" s="1"/>
  <c r="T269" i="45" s="1"/>
  <c r="BD272" i="43"/>
  <c r="GN272"/>
  <c r="GU272"/>
  <c r="HI272"/>
  <c r="HB272"/>
  <c r="GQ273"/>
  <c r="GP273" s="1"/>
  <c r="FF272" l="1"/>
  <c r="DY272"/>
  <c r="DZ272" s="1"/>
  <c r="GL273"/>
  <c r="GJ273" s="1"/>
  <c r="AD271" i="45"/>
  <c r="HH273" i="43" l="1"/>
  <c r="HJ273" s="1"/>
  <c r="DI273" s="1"/>
  <c r="GT273"/>
  <c r="GV273" s="1"/>
  <c r="BU273" s="1"/>
  <c r="HA273"/>
  <c r="HC273" s="1"/>
  <c r="CP273" s="1"/>
  <c r="GM273"/>
  <c r="GX274" l="1"/>
  <c r="GW274" s="1"/>
  <c r="GS274" s="1"/>
  <c r="BW273"/>
  <c r="HE274"/>
  <c r="HD274" s="1"/>
  <c r="GZ274" s="1"/>
  <c r="CR273"/>
  <c r="HL274"/>
  <c r="HK274" s="1"/>
  <c r="HG274" s="1"/>
  <c r="DK273"/>
  <c r="GO273"/>
  <c r="BB273" s="1"/>
  <c r="GK273"/>
  <c r="AN273" l="1"/>
  <c r="AO273" s="1"/>
  <c r="T270" i="45" s="1"/>
  <c r="BD273" i="43"/>
  <c r="GN273"/>
  <c r="HI273"/>
  <c r="GU273"/>
  <c r="HB273"/>
  <c r="GQ274"/>
  <c r="GP274" s="1"/>
  <c r="GL274" s="1"/>
  <c r="GJ274" s="1"/>
  <c r="GM274" l="1"/>
  <c r="HA274"/>
  <c r="HC274" s="1"/>
  <c r="CP274" s="1"/>
  <c r="HH274"/>
  <c r="HJ274" s="1"/>
  <c r="DI274" s="1"/>
  <c r="GT274"/>
  <c r="GV274" s="1"/>
  <c r="BU274" s="1"/>
  <c r="FF273"/>
  <c r="AD270" i="45" s="1"/>
  <c r="DY273" i="43"/>
  <c r="DZ273" s="1"/>
  <c r="AD272" i="45"/>
  <c r="GX275" i="43" l="1"/>
  <c r="GW275" s="1"/>
  <c r="GS275" s="1"/>
  <c r="BW274"/>
  <c r="HL275"/>
  <c r="HK275" s="1"/>
  <c r="HG275" s="1"/>
  <c r="DK274"/>
  <c r="HE275"/>
  <c r="HD275" s="1"/>
  <c r="GZ275" s="1"/>
  <c r="CR274"/>
  <c r="GO274"/>
  <c r="BB274" s="1"/>
  <c r="GK274"/>
  <c r="AN274" l="1"/>
  <c r="AO274" s="1"/>
  <c r="T271" i="45" s="1"/>
  <c r="BD274" i="43"/>
  <c r="GQ275"/>
  <c r="GP275" s="1"/>
  <c r="GU274"/>
  <c r="HI274"/>
  <c r="GN274"/>
  <c r="HB274"/>
  <c r="FF274" l="1"/>
  <c r="DY274"/>
  <c r="DZ274" s="1"/>
  <c r="GL275"/>
  <c r="GJ275" s="1"/>
  <c r="HH275" l="1"/>
  <c r="HJ275" s="1"/>
  <c r="DI275" s="1"/>
  <c r="HA275"/>
  <c r="HC275" s="1"/>
  <c r="CP275" s="1"/>
  <c r="GT275"/>
  <c r="GV275" s="1"/>
  <c r="BU275" s="1"/>
  <c r="GM275"/>
  <c r="AD273" i="45"/>
  <c r="GX276" i="43" l="1"/>
  <c r="GW276" s="1"/>
  <c r="GS276" s="1"/>
  <c r="BW275"/>
  <c r="HE276"/>
  <c r="HD276" s="1"/>
  <c r="GZ276" s="1"/>
  <c r="CR275"/>
  <c r="HL276"/>
  <c r="HK276" s="1"/>
  <c r="HG276" s="1"/>
  <c r="DK275"/>
  <c r="GK275"/>
  <c r="GO275"/>
  <c r="BB275" s="1"/>
  <c r="AN275" l="1"/>
  <c r="AO275" s="1"/>
  <c r="T272" i="45" s="1"/>
  <c r="BD275" i="43"/>
  <c r="GN275"/>
  <c r="HI275"/>
  <c r="HB275"/>
  <c r="GU275"/>
  <c r="GQ276"/>
  <c r="GP276" s="1"/>
  <c r="FF275" l="1"/>
  <c r="DY275"/>
  <c r="DZ275" s="1"/>
  <c r="GL276"/>
  <c r="GJ276" s="1"/>
  <c r="HA276" l="1"/>
  <c r="HC276" s="1"/>
  <c r="CP276" s="1"/>
  <c r="HH276"/>
  <c r="HJ276" s="1"/>
  <c r="DI276" s="1"/>
  <c r="GT276"/>
  <c r="GV276" s="1"/>
  <c r="BU276" s="1"/>
  <c r="GM276"/>
  <c r="AD274" i="45"/>
  <c r="GX277" i="43" l="1"/>
  <c r="GW277" s="1"/>
  <c r="GS277" s="1"/>
  <c r="BW276"/>
  <c r="HL277"/>
  <c r="HK277" s="1"/>
  <c r="HG277" s="1"/>
  <c r="DK276"/>
  <c r="HE277"/>
  <c r="HD277" s="1"/>
  <c r="GZ277" s="1"/>
  <c r="CR276"/>
  <c r="GK276"/>
  <c r="GO276"/>
  <c r="BB276" s="1"/>
  <c r="AN276" l="1"/>
  <c r="AO276" s="1"/>
  <c r="T273" i="45" s="1"/>
  <c r="BD276" i="43"/>
  <c r="GU276"/>
  <c r="HB276"/>
  <c r="HI276"/>
  <c r="GN276"/>
  <c r="GQ277"/>
  <c r="GP277" s="1"/>
  <c r="GL277" l="1"/>
  <c r="GJ277" s="1"/>
  <c r="DY276"/>
  <c r="DZ276" s="1"/>
  <c r="FF276"/>
  <c r="AD275" i="45"/>
  <c r="HA277" i="43" l="1"/>
  <c r="HC277" s="1"/>
  <c r="CP277" s="1"/>
  <c r="HH277"/>
  <c r="HJ277" s="1"/>
  <c r="DI277" s="1"/>
  <c r="GT277"/>
  <c r="GV277" s="1"/>
  <c r="BU277" s="1"/>
  <c r="GM277"/>
  <c r="GX278" l="1"/>
  <c r="GW278" s="1"/>
  <c r="GS278" s="1"/>
  <c r="BW277"/>
  <c r="HL278"/>
  <c r="HK278" s="1"/>
  <c r="HG278" s="1"/>
  <c r="DK277"/>
  <c r="HE278"/>
  <c r="HD278" s="1"/>
  <c r="GZ278" s="1"/>
  <c r="CR277"/>
  <c r="GO277"/>
  <c r="BB277" s="1"/>
  <c r="GK277"/>
  <c r="AN277" l="1"/>
  <c r="AO277" s="1"/>
  <c r="T274" i="45" s="1"/>
  <c r="BD277" i="43"/>
  <c r="GQ278"/>
  <c r="GP278" s="1"/>
  <c r="GL278" s="1"/>
  <c r="GJ278" s="1"/>
  <c r="GU277"/>
  <c r="HB277"/>
  <c r="GN277"/>
  <c r="HI277"/>
  <c r="FF277" l="1"/>
  <c r="DY277"/>
  <c r="DZ277" s="1"/>
  <c r="GM278"/>
  <c r="HA278"/>
  <c r="HC278" s="1"/>
  <c r="CP278" s="1"/>
  <c r="HH278"/>
  <c r="HJ278" s="1"/>
  <c r="DI278" s="1"/>
  <c r="GT278"/>
  <c r="GV278" s="1"/>
  <c r="BU278" s="1"/>
  <c r="AD276" i="45"/>
  <c r="HE279" i="43" l="1"/>
  <c r="HD279" s="1"/>
  <c r="GZ279" s="1"/>
  <c r="CR278"/>
  <c r="GX279"/>
  <c r="GW279" s="1"/>
  <c r="GS279" s="1"/>
  <c r="BW278"/>
  <c r="HL279"/>
  <c r="HK279" s="1"/>
  <c r="HG279" s="1"/>
  <c r="DK278"/>
  <c r="GO278"/>
  <c r="BB278" s="1"/>
  <c r="GK278"/>
  <c r="AN278" l="1"/>
  <c r="AO278" s="1"/>
  <c r="T275" i="45" s="1"/>
  <c r="BD278" i="43"/>
  <c r="GQ279"/>
  <c r="GP279" s="1"/>
  <c r="HI278"/>
  <c r="HB278"/>
  <c r="GU278"/>
  <c r="GN278"/>
  <c r="GL279" l="1"/>
  <c r="GJ279" s="1"/>
  <c r="DY278"/>
  <c r="DZ278" s="1"/>
  <c r="FF278"/>
  <c r="HA279" l="1"/>
  <c r="HC279" s="1"/>
  <c r="CP279" s="1"/>
  <c r="GT279"/>
  <c r="GV279" s="1"/>
  <c r="BU279" s="1"/>
  <c r="HH279"/>
  <c r="HJ279" s="1"/>
  <c r="DI279" s="1"/>
  <c r="GM279"/>
  <c r="AD277" i="45"/>
  <c r="HL280" i="43" l="1"/>
  <c r="HK280" s="1"/>
  <c r="HG280" s="1"/>
  <c r="DK279"/>
  <c r="GX280"/>
  <c r="GW280" s="1"/>
  <c r="GS280" s="1"/>
  <c r="BW279"/>
  <c r="HE280"/>
  <c r="HD280" s="1"/>
  <c r="GZ280" s="1"/>
  <c r="CR279"/>
  <c r="GO279"/>
  <c r="BB279" s="1"/>
  <c r="GK279"/>
  <c r="AN279" l="1"/>
  <c r="AO279" s="1"/>
  <c r="T276" i="45" s="1"/>
  <c r="BD279" i="43"/>
  <c r="GQ280"/>
  <c r="GP280" s="1"/>
  <c r="GN279"/>
  <c r="HI279"/>
  <c r="GU279"/>
  <c r="HB279"/>
  <c r="DY279" l="1"/>
  <c r="DZ279" s="1"/>
  <c r="FF279"/>
  <c r="GL280"/>
  <c r="GJ280" s="1"/>
  <c r="HH280" l="1"/>
  <c r="HJ280" s="1"/>
  <c r="DI280" s="1"/>
  <c r="HA280"/>
  <c r="HC280" s="1"/>
  <c r="CP280" s="1"/>
  <c r="GT280"/>
  <c r="GV280" s="1"/>
  <c r="BU280" s="1"/>
  <c r="GM280"/>
  <c r="AD278" i="45"/>
  <c r="GX281" i="43" l="1"/>
  <c r="GW281" s="1"/>
  <c r="GS281" s="1"/>
  <c r="BW280"/>
  <c r="HE281"/>
  <c r="HD281" s="1"/>
  <c r="GZ281" s="1"/>
  <c r="CR280"/>
  <c r="HL281"/>
  <c r="HK281" s="1"/>
  <c r="HG281" s="1"/>
  <c r="DK280"/>
  <c r="GO280"/>
  <c r="BB280" s="1"/>
  <c r="GK280"/>
  <c r="AN280" l="1"/>
  <c r="AO280" s="1"/>
  <c r="T277" i="45" s="1"/>
  <c r="BD280" i="43"/>
  <c r="GQ281"/>
  <c r="GP281" s="1"/>
  <c r="GU280"/>
  <c r="HB280"/>
  <c r="HI280"/>
  <c r="GN280"/>
  <c r="GL281" l="1"/>
  <c r="GJ281" s="1"/>
  <c r="FF280"/>
  <c r="DY280"/>
  <c r="DZ280" s="1"/>
  <c r="GT281" l="1"/>
  <c r="GV281" s="1"/>
  <c r="BU281" s="1"/>
  <c r="HA281"/>
  <c r="HC281" s="1"/>
  <c r="CP281" s="1"/>
  <c r="HH281"/>
  <c r="HJ281" s="1"/>
  <c r="DI281" s="1"/>
  <c r="GM281"/>
  <c r="AD279" i="45"/>
  <c r="HL282" i="43" l="1"/>
  <c r="HK282" s="1"/>
  <c r="HG282" s="1"/>
  <c r="DK281"/>
  <c r="HE282"/>
  <c r="HD282" s="1"/>
  <c r="GZ282" s="1"/>
  <c r="CR281"/>
  <c r="GX282"/>
  <c r="GW282" s="1"/>
  <c r="GS282" s="1"/>
  <c r="BW281"/>
  <c r="GK281"/>
  <c r="GO281"/>
  <c r="BB281" s="1"/>
  <c r="AN281" l="1"/>
  <c r="AO281" s="1"/>
  <c r="T278" i="45" s="1"/>
  <c r="BD281" i="43"/>
  <c r="GU281"/>
  <c r="HB281"/>
  <c r="HI281"/>
  <c r="GN281"/>
  <c r="GQ282"/>
  <c r="GP282" s="1"/>
  <c r="FF281" l="1"/>
  <c r="DY281"/>
  <c r="DZ281" s="1"/>
  <c r="GL282"/>
  <c r="GJ282" s="1"/>
  <c r="HH282" l="1"/>
  <c r="HJ282" s="1"/>
  <c r="DI282" s="1"/>
  <c r="HA282"/>
  <c r="HC282" s="1"/>
  <c r="CP282" s="1"/>
  <c r="GT282"/>
  <c r="GV282" s="1"/>
  <c r="BU282" s="1"/>
  <c r="GM282"/>
  <c r="AD280" i="45"/>
  <c r="GX283" i="43" l="1"/>
  <c r="GW283" s="1"/>
  <c r="GS283" s="1"/>
  <c r="BW282"/>
  <c r="HE283"/>
  <c r="HD283" s="1"/>
  <c r="GZ283" s="1"/>
  <c r="CR282"/>
  <c r="HL283"/>
  <c r="HK283" s="1"/>
  <c r="HG283" s="1"/>
  <c r="DK282"/>
  <c r="GO282"/>
  <c r="BB282" s="1"/>
  <c r="BD282" s="1"/>
  <c r="GK282"/>
  <c r="GQ283" l="1"/>
  <c r="GP283" s="1"/>
  <c r="GL283" s="1"/>
  <c r="GJ283" s="1"/>
  <c r="AN282"/>
  <c r="AO282" s="1"/>
  <c r="T279" i="45" s="1"/>
  <c r="GN282" i="43"/>
  <c r="HB282"/>
  <c r="GU282"/>
  <c r="HI282"/>
  <c r="DY282" l="1"/>
  <c r="DZ282" s="1"/>
  <c r="FF282"/>
  <c r="GT283"/>
  <c r="GV283" s="1"/>
  <c r="BU283" s="1"/>
  <c r="HA283"/>
  <c r="HC283" s="1"/>
  <c r="CP283" s="1"/>
  <c r="HH283"/>
  <c r="HJ283" s="1"/>
  <c r="DI283" s="1"/>
  <c r="GM283"/>
  <c r="HE284" l="1"/>
  <c r="HD284" s="1"/>
  <c r="GZ284" s="1"/>
  <c r="CR283"/>
  <c r="GX284"/>
  <c r="GW284" s="1"/>
  <c r="GS284" s="1"/>
  <c r="BW283"/>
  <c r="HL284"/>
  <c r="HK284" s="1"/>
  <c r="HG284" s="1"/>
  <c r="DK283"/>
  <c r="GO283"/>
  <c r="BB283" s="1"/>
  <c r="BD283" s="1"/>
  <c r="GK283"/>
  <c r="AD281" i="45"/>
  <c r="GQ284" i="43" l="1"/>
  <c r="GP284" s="1"/>
  <c r="GL284" s="1"/>
  <c r="GJ284" s="1"/>
  <c r="AN283"/>
  <c r="AO283" s="1"/>
  <c r="T280" i="45" s="1"/>
  <c r="GN283" i="43"/>
  <c r="HB283"/>
  <c r="GU283"/>
  <c r="HI283"/>
  <c r="FF283" l="1"/>
  <c r="DY283"/>
  <c r="DZ283" s="1"/>
  <c r="GT284"/>
  <c r="GV284" s="1"/>
  <c r="BU284" s="1"/>
  <c r="HA284"/>
  <c r="HC284" s="1"/>
  <c r="CP284" s="1"/>
  <c r="HH284"/>
  <c r="HJ284" s="1"/>
  <c r="DI284" s="1"/>
  <c r="GM284"/>
  <c r="HE285" l="1"/>
  <c r="HD285" s="1"/>
  <c r="GZ285" s="1"/>
  <c r="CR284"/>
  <c r="GX285"/>
  <c r="GW285" s="1"/>
  <c r="GS285" s="1"/>
  <c r="BW284"/>
  <c r="HL285"/>
  <c r="HK285" s="1"/>
  <c r="HG285" s="1"/>
  <c r="DK284"/>
  <c r="GK284"/>
  <c r="GO284"/>
  <c r="BB284" s="1"/>
  <c r="BD284" s="1"/>
  <c r="GQ285" l="1"/>
  <c r="GP285" s="1"/>
  <c r="GL285" s="1"/>
  <c r="GJ285" s="1"/>
  <c r="AN284"/>
  <c r="AO284" s="1"/>
  <c r="T281" i="45" s="1"/>
  <c r="HI284" i="43"/>
  <c r="GU284"/>
  <c r="GN284"/>
  <c r="HB284"/>
  <c r="AD282" i="45"/>
  <c r="FF284" i="43" l="1"/>
  <c r="DY284"/>
  <c r="DZ284" s="1"/>
  <c r="HH285"/>
  <c r="HJ285" s="1"/>
  <c r="DI285" s="1"/>
  <c r="HA285"/>
  <c r="HC285" s="1"/>
  <c r="CP285" s="1"/>
  <c r="GT285"/>
  <c r="GV285" s="1"/>
  <c r="BU285" s="1"/>
  <c r="GM285"/>
  <c r="HE286" l="1"/>
  <c r="HD286" s="1"/>
  <c r="GZ286" s="1"/>
  <c r="CR285"/>
  <c r="HL286"/>
  <c r="HK286" s="1"/>
  <c r="HG286" s="1"/>
  <c r="DK285"/>
  <c r="GX286"/>
  <c r="GW286" s="1"/>
  <c r="GS286" s="1"/>
  <c r="BW285"/>
  <c r="GO285"/>
  <c r="BB285" s="1"/>
  <c r="BD285" s="1"/>
  <c r="GK285"/>
  <c r="GQ286" l="1"/>
  <c r="GP286" s="1"/>
  <c r="GL286" s="1"/>
  <c r="GJ286" s="1"/>
  <c r="AN285"/>
  <c r="AO285" s="1"/>
  <c r="T282" i="45" s="1"/>
  <c r="GN285" i="43"/>
  <c r="HI285"/>
  <c r="GU285"/>
  <c r="HB285"/>
  <c r="DY285" l="1"/>
  <c r="DZ285" s="1"/>
  <c r="FF285"/>
  <c r="HA286"/>
  <c r="HC286" s="1"/>
  <c r="CP286" s="1"/>
  <c r="HH286"/>
  <c r="HJ286" s="1"/>
  <c r="DI286" s="1"/>
  <c r="GT286"/>
  <c r="GV286" s="1"/>
  <c r="BU286" s="1"/>
  <c r="GM286"/>
  <c r="AD283" i="45"/>
  <c r="HL287" i="43" l="1"/>
  <c r="HK287" s="1"/>
  <c r="HG287" s="1"/>
  <c r="DK286"/>
  <c r="HE287"/>
  <c r="HD287" s="1"/>
  <c r="GZ287" s="1"/>
  <c r="CR286"/>
  <c r="GX287"/>
  <c r="GW287" s="1"/>
  <c r="GS287" s="1"/>
  <c r="BW286"/>
  <c r="GO286"/>
  <c r="BB286" s="1"/>
  <c r="BD286" s="1"/>
  <c r="GK286"/>
  <c r="GQ287" l="1"/>
  <c r="GP287" s="1"/>
  <c r="GL287" s="1"/>
  <c r="GJ287" s="1"/>
  <c r="AN286"/>
  <c r="AO286" s="1"/>
  <c r="T283" i="45" s="1"/>
  <c r="GU286" i="43"/>
  <c r="HI286"/>
  <c r="GN286"/>
  <c r="HB286"/>
  <c r="FF286" l="1"/>
  <c r="DY286"/>
  <c r="DZ286" s="1"/>
  <c r="HH287"/>
  <c r="HJ287" s="1"/>
  <c r="DI287" s="1"/>
  <c r="HA287"/>
  <c r="HC287" s="1"/>
  <c r="CP287" s="1"/>
  <c r="GT287"/>
  <c r="GV287" s="1"/>
  <c r="BU287" s="1"/>
  <c r="GM287"/>
  <c r="AD284" i="45"/>
  <c r="HE288" i="43" l="1"/>
  <c r="HD288" s="1"/>
  <c r="GZ288" s="1"/>
  <c r="CR287"/>
  <c r="HL288"/>
  <c r="HK288" s="1"/>
  <c r="HG288" s="1"/>
  <c r="DK287"/>
  <c r="GX288"/>
  <c r="GW288" s="1"/>
  <c r="GS288" s="1"/>
  <c r="BW287"/>
  <c r="GO287"/>
  <c r="BB287" s="1"/>
  <c r="BD287" s="1"/>
  <c r="GK287"/>
  <c r="GQ288" l="1"/>
  <c r="GP288" s="1"/>
  <c r="GL288" s="1"/>
  <c r="GJ288" s="1"/>
  <c r="AN287"/>
  <c r="AO287" s="1"/>
  <c r="T284" i="45" s="1"/>
  <c r="GU287" i="43"/>
  <c r="HI287"/>
  <c r="HB287"/>
  <c r="GN287"/>
  <c r="FF287" l="1"/>
  <c r="DY287"/>
  <c r="DZ287" s="1"/>
  <c r="HA288"/>
  <c r="HC288" s="1"/>
  <c r="CP288" s="1"/>
  <c r="HH288"/>
  <c r="HJ288" s="1"/>
  <c r="DI288" s="1"/>
  <c r="GT288"/>
  <c r="GV288" s="1"/>
  <c r="BU288" s="1"/>
  <c r="GM288"/>
  <c r="AD285" i="45"/>
  <c r="HL289" i="43" l="1"/>
  <c r="HK289" s="1"/>
  <c r="HG289" s="1"/>
  <c r="DK288"/>
  <c r="HE289"/>
  <c r="HD289" s="1"/>
  <c r="GZ289" s="1"/>
  <c r="CR288"/>
  <c r="GX289"/>
  <c r="GW289" s="1"/>
  <c r="GS289" s="1"/>
  <c r="BW288"/>
  <c r="GK288"/>
  <c r="GO288"/>
  <c r="BB288" s="1"/>
  <c r="BD288" s="1"/>
  <c r="GQ289" l="1"/>
  <c r="GP289" s="1"/>
  <c r="GL289" s="1"/>
  <c r="GJ289" s="1"/>
  <c r="AN288"/>
  <c r="AO288" s="1"/>
  <c r="T285" i="45" s="1"/>
  <c r="HI288" i="43"/>
  <c r="HB288"/>
  <c r="GN288"/>
  <c r="GU288"/>
  <c r="DY288" l="1"/>
  <c r="DZ288" s="1"/>
  <c r="FF288"/>
  <c r="GT289"/>
  <c r="GV289" s="1"/>
  <c r="BU289" s="1"/>
  <c r="HH289"/>
  <c r="HJ289" s="1"/>
  <c r="DI289" s="1"/>
  <c r="HA289"/>
  <c r="HC289" s="1"/>
  <c r="CP289" s="1"/>
  <c r="GM289"/>
  <c r="HL290" l="1"/>
  <c r="HK290" s="1"/>
  <c r="HG290" s="1"/>
  <c r="DK289"/>
  <c r="GX290"/>
  <c r="GW290" s="1"/>
  <c r="GS290" s="1"/>
  <c r="BW289"/>
  <c r="HE290"/>
  <c r="HD290" s="1"/>
  <c r="GZ290" s="1"/>
  <c r="CR289"/>
  <c r="GO289"/>
  <c r="BB289" s="1"/>
  <c r="BD289" s="1"/>
  <c r="GK289"/>
  <c r="AD286" i="45"/>
  <c r="GQ290" i="43" l="1"/>
  <c r="GP290" s="1"/>
  <c r="GL290" s="1"/>
  <c r="GJ290" s="1"/>
  <c r="AN289"/>
  <c r="AO289" s="1"/>
  <c r="T286" i="45" s="1"/>
  <c r="GN289" i="43"/>
  <c r="HI289"/>
  <c r="GU289"/>
  <c r="HB289"/>
  <c r="DY289" l="1"/>
  <c r="DZ289" s="1"/>
  <c r="FF289"/>
  <c r="GT290"/>
  <c r="GV290" s="1"/>
  <c r="BU290" s="1"/>
  <c r="HH290"/>
  <c r="HJ290" s="1"/>
  <c r="DI290" s="1"/>
  <c r="HA290"/>
  <c r="HC290" s="1"/>
  <c r="CP290" s="1"/>
  <c r="GM290"/>
  <c r="HL291" l="1"/>
  <c r="HK291" s="1"/>
  <c r="HG291" s="1"/>
  <c r="DK290"/>
  <c r="GX291"/>
  <c r="GW291" s="1"/>
  <c r="GS291" s="1"/>
  <c r="BW290"/>
  <c r="HE291"/>
  <c r="HD291" s="1"/>
  <c r="GZ291" s="1"/>
  <c r="CR290"/>
  <c r="GK290"/>
  <c r="GO290"/>
  <c r="BB290" s="1"/>
  <c r="BD290" s="1"/>
  <c r="AD287" i="45"/>
  <c r="GQ291" i="43" l="1"/>
  <c r="GP291" s="1"/>
  <c r="GL291" s="1"/>
  <c r="GJ291" s="1"/>
  <c r="GM291" s="1"/>
  <c r="AN290"/>
  <c r="AO290" s="1"/>
  <c r="T287" i="45" s="1"/>
  <c r="HB290" i="43"/>
  <c r="GN290"/>
  <c r="HI290"/>
  <c r="GU290"/>
  <c r="DY290" l="1"/>
  <c r="DZ290" s="1"/>
  <c r="FF290"/>
  <c r="GO291"/>
  <c r="BB291" s="1"/>
  <c r="BD291" s="1"/>
  <c r="HA291"/>
  <c r="HC291" s="1"/>
  <c r="CP291" s="1"/>
  <c r="GT291"/>
  <c r="GV291" s="1"/>
  <c r="BU291" s="1"/>
  <c r="HH291"/>
  <c r="HJ291" s="1"/>
  <c r="DI291" s="1"/>
  <c r="HL292" l="1"/>
  <c r="HK292" s="1"/>
  <c r="HG292" s="1"/>
  <c r="DK291"/>
  <c r="HE292"/>
  <c r="HD292" s="1"/>
  <c r="GZ292" s="1"/>
  <c r="CR291"/>
  <c r="GX292"/>
  <c r="GW292" s="1"/>
  <c r="GS292" s="1"/>
  <c r="BW291"/>
  <c r="GQ292"/>
  <c r="GP292" s="1"/>
  <c r="GL292" s="1"/>
  <c r="AN291"/>
  <c r="AO291" s="1"/>
  <c r="T288" i="45" s="1"/>
  <c r="GK291" i="43"/>
  <c r="AD288" i="45"/>
  <c r="GJ292" i="43" l="1"/>
  <c r="GT292" s="1"/>
  <c r="GV292" s="1"/>
  <c r="BU292" s="1"/>
  <c r="DY291"/>
  <c r="DZ291" s="1"/>
  <c r="FF291"/>
  <c r="GU291"/>
  <c r="HB291"/>
  <c r="HI291"/>
  <c r="GN291"/>
  <c r="GX293" l="1"/>
  <c r="GW293" s="1"/>
  <c r="GS293" s="1"/>
  <c r="BW292"/>
  <c r="HA292"/>
  <c r="HC292" s="1"/>
  <c r="CP292" s="1"/>
  <c r="GM292"/>
  <c r="HH292"/>
  <c r="HJ292" s="1"/>
  <c r="DI292" s="1"/>
  <c r="HL293" l="1"/>
  <c r="HK293" s="1"/>
  <c r="HG293" s="1"/>
  <c r="DK292"/>
  <c r="HE293"/>
  <c r="HD293" s="1"/>
  <c r="GZ293" s="1"/>
  <c r="CR292"/>
  <c r="GK292"/>
  <c r="GU292" s="1"/>
  <c r="GO292"/>
  <c r="BB292" s="1"/>
  <c r="AD289" i="45"/>
  <c r="GQ293" i="43" l="1"/>
  <c r="GP293" s="1"/>
  <c r="GL293" s="1"/>
  <c r="GJ293" s="1"/>
  <c r="HH293" s="1"/>
  <c r="HJ293" s="1"/>
  <c r="DI293" s="1"/>
  <c r="HL294" s="1"/>
  <c r="HK294" s="1"/>
  <c r="HG294" s="1"/>
  <c r="BD292"/>
  <c r="HB292"/>
  <c r="HI292"/>
  <c r="GN292"/>
  <c r="AN292"/>
  <c r="AO292" s="1"/>
  <c r="DK293" l="1"/>
  <c r="GM293"/>
  <c r="GO293" s="1"/>
  <c r="BB293" s="1"/>
  <c r="GQ294" s="1"/>
  <c r="GP294" s="1"/>
  <c r="GT293"/>
  <c r="GV293" s="1"/>
  <c r="BU293" s="1"/>
  <c r="HA293"/>
  <c r="HC293" s="1"/>
  <c r="CP293" s="1"/>
  <c r="FF292"/>
  <c r="T289" i="45"/>
  <c r="DY292" i="43"/>
  <c r="DZ292" s="1"/>
  <c r="BD293" l="1"/>
  <c r="HE294"/>
  <c r="HD294" s="1"/>
  <c r="GZ294" s="1"/>
  <c r="CR293"/>
  <c r="GX294"/>
  <c r="GW294" s="1"/>
  <c r="GS294" s="1"/>
  <c r="BW293"/>
  <c r="GK293"/>
  <c r="HI293" s="1"/>
  <c r="AN293"/>
  <c r="AO293" s="1"/>
  <c r="GL294"/>
  <c r="GJ294" l="1"/>
  <c r="GM294" s="1"/>
  <c r="DY293"/>
  <c r="DZ293" s="1"/>
  <c r="GU293"/>
  <c r="GN293"/>
  <c r="HB293"/>
  <c r="FF293"/>
  <c r="T290" i="45"/>
  <c r="AD290"/>
  <c r="HA294" i="43" l="1"/>
  <c r="HC294" s="1"/>
  <c r="CP294" s="1"/>
  <c r="HE295" s="1"/>
  <c r="HD295" s="1"/>
  <c r="GZ295" s="1"/>
  <c r="GT294"/>
  <c r="GV294" s="1"/>
  <c r="BU294" s="1"/>
  <c r="GX295" s="1"/>
  <c r="GW295" s="1"/>
  <c r="GS295" s="1"/>
  <c r="HH294"/>
  <c r="HJ294" s="1"/>
  <c r="DI294" s="1"/>
  <c r="HL295" s="1"/>
  <c r="HK295" s="1"/>
  <c r="HG295" s="1"/>
  <c r="GO294"/>
  <c r="BB294" s="1"/>
  <c r="BW294" l="1"/>
  <c r="CR294"/>
  <c r="DK294"/>
  <c r="AN294"/>
  <c r="AO294" s="1"/>
  <c r="GK294"/>
  <c r="HB294" s="1"/>
  <c r="BD294"/>
  <c r="GQ295"/>
  <c r="GP295" s="1"/>
  <c r="GN294" l="1"/>
  <c r="HI294"/>
  <c r="GU294"/>
  <c r="DY294"/>
  <c r="DZ294" s="1"/>
  <c r="GL295"/>
  <c r="GJ295" s="1"/>
  <c r="FF294" l="1"/>
  <c r="T291" i="45"/>
  <c r="AD291"/>
  <c r="HA295" i="43"/>
  <c r="HC295" s="1"/>
  <c r="CP295" s="1"/>
  <c r="GT295"/>
  <c r="GV295" s="1"/>
  <c r="BU295" s="1"/>
  <c r="HH295"/>
  <c r="HJ295" s="1"/>
  <c r="DI295" s="1"/>
  <c r="GM295"/>
  <c r="GX296" l="1"/>
  <c r="GW296" s="1"/>
  <c r="GS296" s="1"/>
  <c r="BW295"/>
  <c r="HL296"/>
  <c r="HK296" s="1"/>
  <c r="HG296" s="1"/>
  <c r="DK295"/>
  <c r="HE296"/>
  <c r="HD296" s="1"/>
  <c r="GZ296" s="1"/>
  <c r="CR295"/>
  <c r="GO295"/>
  <c r="BB295" s="1"/>
  <c r="AN295" s="1"/>
  <c r="AO295" s="1"/>
  <c r="GK295"/>
  <c r="BD295" l="1"/>
  <c r="GQ296"/>
  <c r="GP296" s="1"/>
  <c r="HB295"/>
  <c r="GN295"/>
  <c r="GU295"/>
  <c r="HI295"/>
  <c r="GL296" l="1"/>
  <c r="GJ296" s="1"/>
  <c r="DY295"/>
  <c r="DZ295" s="1"/>
  <c r="FF295" l="1"/>
  <c r="T292" i="45"/>
  <c r="GT296" i="43"/>
  <c r="GV296" s="1"/>
  <c r="BU296" s="1"/>
  <c r="HA296"/>
  <c r="HC296" s="1"/>
  <c r="CP296" s="1"/>
  <c r="HH296"/>
  <c r="HJ296" s="1"/>
  <c r="DI296" s="1"/>
  <c r="GM296"/>
  <c r="AD292" i="45"/>
  <c r="HL297" i="43" l="1"/>
  <c r="HK297" s="1"/>
  <c r="HG297" s="1"/>
  <c r="DK296"/>
  <c r="GX297"/>
  <c r="GW297" s="1"/>
  <c r="GS297" s="1"/>
  <c r="BW296"/>
  <c r="HE297"/>
  <c r="HD297" s="1"/>
  <c r="GZ297" s="1"/>
  <c r="CR296"/>
  <c r="GK296"/>
  <c r="GO296"/>
  <c r="BB296" s="1"/>
  <c r="AN296" s="1"/>
  <c r="AO296" s="1"/>
  <c r="BD296" l="1"/>
  <c r="GU296"/>
  <c r="HB296"/>
  <c r="GN296"/>
  <c r="HI296"/>
  <c r="GQ297"/>
  <c r="GP297" s="1"/>
  <c r="DY296" l="1"/>
  <c r="DZ296" s="1"/>
  <c r="GL297"/>
  <c r="GJ297" s="1"/>
  <c r="FF296" l="1"/>
  <c r="T293" i="45"/>
  <c r="AD293"/>
  <c r="HA297" i="43"/>
  <c r="HC297" s="1"/>
  <c r="CP297" s="1"/>
  <c r="GT297"/>
  <c r="GV297" s="1"/>
  <c r="BU297" s="1"/>
  <c r="HH297"/>
  <c r="HJ297" s="1"/>
  <c r="DI297" s="1"/>
  <c r="GM297"/>
  <c r="GX298" l="1"/>
  <c r="GW298" s="1"/>
  <c r="GS298" s="1"/>
  <c r="BW297"/>
  <c r="HL298"/>
  <c r="HK298" s="1"/>
  <c r="HG298" s="1"/>
  <c r="DK297"/>
  <c r="HE298"/>
  <c r="HD298" s="1"/>
  <c r="GZ298" s="1"/>
  <c r="CR297"/>
  <c r="GO297"/>
  <c r="BB297" s="1"/>
  <c r="AN297" s="1"/>
  <c r="AO297" s="1"/>
  <c r="GK297"/>
  <c r="BD297" l="1"/>
  <c r="GQ298"/>
  <c r="GP298" s="1"/>
  <c r="GU297"/>
  <c r="HI297"/>
  <c r="GN297"/>
  <c r="HB297"/>
  <c r="DY297" l="1"/>
  <c r="DZ297" s="1"/>
  <c r="GL298"/>
  <c r="GJ298" s="1"/>
  <c r="FF297" l="1"/>
  <c r="T294" i="45"/>
  <c r="AD294"/>
  <c r="GT298" i="43"/>
  <c r="GV298" s="1"/>
  <c r="BU298" s="1"/>
  <c r="HA298"/>
  <c r="HC298" s="1"/>
  <c r="CP298" s="1"/>
  <c r="HH298"/>
  <c r="HJ298" s="1"/>
  <c r="DI298" s="1"/>
  <c r="GM298"/>
  <c r="HE299" l="1"/>
  <c r="HD299" s="1"/>
  <c r="GZ299" s="1"/>
  <c r="CR298"/>
  <c r="HL299"/>
  <c r="HK299" s="1"/>
  <c r="HG299" s="1"/>
  <c r="DK298"/>
  <c r="GX299"/>
  <c r="GW299" s="1"/>
  <c r="GS299" s="1"/>
  <c r="BW298"/>
  <c r="GK298"/>
  <c r="GO298"/>
  <c r="BB298" s="1"/>
  <c r="AN298" s="1"/>
  <c r="AO298" s="1"/>
  <c r="BD298" l="1"/>
  <c r="HB298"/>
  <c r="HI298"/>
  <c r="GU298"/>
  <c r="GN298"/>
  <c r="GQ299"/>
  <c r="GP299" s="1"/>
  <c r="DY298" l="1"/>
  <c r="DZ298" s="1"/>
  <c r="GL299"/>
  <c r="GJ299" s="1"/>
  <c r="FF298" l="1"/>
  <c r="T295" i="45"/>
  <c r="AD295"/>
  <c r="HA299" i="43"/>
  <c r="HC299" s="1"/>
  <c r="CP299" s="1"/>
  <c r="GT299"/>
  <c r="GV299" s="1"/>
  <c r="BU299" s="1"/>
  <c r="HH299"/>
  <c r="HJ299" s="1"/>
  <c r="DI299" s="1"/>
  <c r="GM299"/>
  <c r="HL300" l="1"/>
  <c r="HK300" s="1"/>
  <c r="HG300" s="1"/>
  <c r="DK299"/>
  <c r="GX300"/>
  <c r="GW300" s="1"/>
  <c r="GS300" s="1"/>
  <c r="BW299"/>
  <c r="HE300"/>
  <c r="HD300" s="1"/>
  <c r="GZ300" s="1"/>
  <c r="CR299"/>
  <c r="GK299"/>
  <c r="GO299"/>
  <c r="BB299" s="1"/>
  <c r="AN299" s="1"/>
  <c r="AO299" s="1"/>
  <c r="BD299" l="1"/>
  <c r="GU299"/>
  <c r="HB299"/>
  <c r="GN299"/>
  <c r="HI299"/>
  <c r="GQ300"/>
  <c r="GP300" s="1"/>
  <c r="GL300" l="1"/>
  <c r="GJ300" s="1"/>
  <c r="DY299"/>
  <c r="DZ299" s="1"/>
  <c r="FF299" l="1"/>
  <c r="T296" i="45"/>
  <c r="GT300" i="43"/>
  <c r="GV300" s="1"/>
  <c r="BU300" s="1"/>
  <c r="HA300"/>
  <c r="HC300" s="1"/>
  <c r="CP300" s="1"/>
  <c r="HH300"/>
  <c r="HJ300" s="1"/>
  <c r="DI300" s="1"/>
  <c r="GM300"/>
  <c r="AD296" i="45"/>
  <c r="HL301" i="43" l="1"/>
  <c r="HK301" s="1"/>
  <c r="HG301" s="1"/>
  <c r="DK300"/>
  <c r="GX301"/>
  <c r="GW301" s="1"/>
  <c r="GS301" s="1"/>
  <c r="BW300"/>
  <c r="HE301"/>
  <c r="HD301" s="1"/>
  <c r="GZ301" s="1"/>
  <c r="CR300"/>
  <c r="GK300"/>
  <c r="GO300"/>
  <c r="BB300" s="1"/>
  <c r="AN300" s="1"/>
  <c r="AO300" s="1"/>
  <c r="BD300" l="1"/>
  <c r="GN300"/>
  <c r="GU300"/>
  <c r="HB300"/>
  <c r="HI300"/>
  <c r="GQ301"/>
  <c r="GP301" s="1"/>
  <c r="DY300" l="1"/>
  <c r="DZ300" s="1"/>
  <c r="GL301"/>
  <c r="GJ301" s="1"/>
  <c r="FF300" l="1"/>
  <c r="T297" i="45"/>
  <c r="AD297"/>
  <c r="HA301" i="43"/>
  <c r="HC301" s="1"/>
  <c r="CP301" s="1"/>
  <c r="HH301"/>
  <c r="HJ301" s="1"/>
  <c r="DI301" s="1"/>
  <c r="GT301"/>
  <c r="GV301" s="1"/>
  <c r="BU301" s="1"/>
  <c r="GM301"/>
  <c r="HL302" l="1"/>
  <c r="HK302" s="1"/>
  <c r="HG302" s="1"/>
  <c r="DK301"/>
  <c r="GX302"/>
  <c r="GW302" s="1"/>
  <c r="GS302" s="1"/>
  <c r="BW301"/>
  <c r="HE302"/>
  <c r="HD302" s="1"/>
  <c r="GZ302" s="1"/>
  <c r="CR301"/>
  <c r="GK301"/>
  <c r="GO301"/>
  <c r="BB301" s="1"/>
  <c r="AN301" s="1"/>
  <c r="AO301" s="1"/>
  <c r="BD301" l="1"/>
  <c r="GN301"/>
  <c r="GU301"/>
  <c r="HB301"/>
  <c r="HI301"/>
  <c r="GQ302"/>
  <c r="GP302" s="1"/>
  <c r="DY301" l="1"/>
  <c r="DZ301" s="1"/>
  <c r="GL302"/>
  <c r="GJ302" s="1"/>
  <c r="FF301" l="1"/>
  <c r="T298" i="45"/>
  <c r="AD298"/>
  <c r="HH302" i="43"/>
  <c r="HJ302" s="1"/>
  <c r="DI302" s="1"/>
  <c r="HA302"/>
  <c r="HC302" s="1"/>
  <c r="CP302" s="1"/>
  <c r="GT302"/>
  <c r="GV302" s="1"/>
  <c r="BU302" s="1"/>
  <c r="GM302"/>
  <c r="GX303" l="1"/>
  <c r="GW303" s="1"/>
  <c r="GS303" s="1"/>
  <c r="BW302"/>
  <c r="HE303"/>
  <c r="HD303" s="1"/>
  <c r="GZ303" s="1"/>
  <c r="CR302"/>
  <c r="HL303"/>
  <c r="HK303" s="1"/>
  <c r="HG303" s="1"/>
  <c r="DK302"/>
  <c r="GO302"/>
  <c r="BB302" s="1"/>
  <c r="AN302" s="1"/>
  <c r="AO302" s="1"/>
  <c r="GK302"/>
  <c r="BD302" l="1"/>
  <c r="GQ303"/>
  <c r="GP303" s="1"/>
  <c r="HI302"/>
  <c r="GN302"/>
  <c r="HB302"/>
  <c r="GU302"/>
  <c r="GL303" l="1"/>
  <c r="GJ303" s="1"/>
  <c r="DY302"/>
  <c r="DZ302" s="1"/>
  <c r="FF302" l="1"/>
  <c r="T299" i="45"/>
  <c r="HA303" i="43"/>
  <c r="HC303" s="1"/>
  <c r="CP303" s="1"/>
  <c r="HH303"/>
  <c r="HJ303" s="1"/>
  <c r="DI303" s="1"/>
  <c r="GT303"/>
  <c r="GV303" s="1"/>
  <c r="BU303" s="1"/>
  <c r="GM303"/>
  <c r="AD299" i="45"/>
  <c r="GX304" i="43" l="1"/>
  <c r="GW304" s="1"/>
  <c r="GS304" s="1"/>
  <c r="BW303"/>
  <c r="HE304"/>
  <c r="HD304" s="1"/>
  <c r="GZ304" s="1"/>
  <c r="CR303"/>
  <c r="HL304"/>
  <c r="HK304" s="1"/>
  <c r="HG304" s="1"/>
  <c r="DK303"/>
  <c r="GO303"/>
  <c r="BB303" s="1"/>
  <c r="AN303" s="1"/>
  <c r="AO303" s="1"/>
  <c r="GK303"/>
  <c r="BD303" l="1"/>
  <c r="GQ304"/>
  <c r="GP304" s="1"/>
  <c r="GU303"/>
  <c r="GN303"/>
  <c r="HB303"/>
  <c r="HI303"/>
  <c r="GL304" l="1"/>
  <c r="GJ304" s="1"/>
  <c r="DY303"/>
  <c r="DZ303" s="1"/>
  <c r="FF303" l="1"/>
  <c r="T300" i="45"/>
  <c r="HH304" i="43"/>
  <c r="HJ304" s="1"/>
  <c r="DI304" s="1"/>
  <c r="HA304"/>
  <c r="HC304" s="1"/>
  <c r="CP304" s="1"/>
  <c r="GT304"/>
  <c r="GV304" s="1"/>
  <c r="BU304" s="1"/>
  <c r="GM304"/>
  <c r="AD300" i="45"/>
  <c r="GX305" i="43" l="1"/>
  <c r="GW305" s="1"/>
  <c r="GS305" s="1"/>
  <c r="BW304"/>
  <c r="HL305"/>
  <c r="HK305" s="1"/>
  <c r="HG305" s="1"/>
  <c r="DK304"/>
  <c r="HE305"/>
  <c r="HD305" s="1"/>
  <c r="GZ305" s="1"/>
  <c r="CR304"/>
  <c r="GO304"/>
  <c r="BB304" s="1"/>
  <c r="AN304" s="1"/>
  <c r="AO304" s="1"/>
  <c r="GK304"/>
  <c r="BD304" l="1"/>
  <c r="GQ305"/>
  <c r="GP305" s="1"/>
  <c r="GU304"/>
  <c r="HI304"/>
  <c r="HB304"/>
  <c r="GN304"/>
  <c r="GL305" l="1"/>
  <c r="GJ305" s="1"/>
  <c r="DY304"/>
  <c r="DZ304" s="1"/>
  <c r="FF304" l="1"/>
  <c r="T301" i="45"/>
  <c r="HA305" i="43"/>
  <c r="HC305" s="1"/>
  <c r="CP305" s="1"/>
  <c r="GT305"/>
  <c r="GV305" s="1"/>
  <c r="BU305" s="1"/>
  <c r="HH305"/>
  <c r="HJ305" s="1"/>
  <c r="DI305" s="1"/>
  <c r="GM305"/>
  <c r="AD301" i="45"/>
  <c r="X146"/>
  <c r="W147" s="1"/>
  <c r="AA147" s="1"/>
  <c r="HL306" i="43" l="1"/>
  <c r="HK306" s="1"/>
  <c r="HG306" s="1"/>
  <c r="DK305"/>
  <c r="HE306"/>
  <c r="HD306" s="1"/>
  <c r="GZ306" s="1"/>
  <c r="CR305"/>
  <c r="GX306"/>
  <c r="GW306" s="1"/>
  <c r="GS306" s="1"/>
  <c r="BW305"/>
  <c r="GK305"/>
  <c r="GO305"/>
  <c r="BB305" s="1"/>
  <c r="AN305" s="1"/>
  <c r="AO305" s="1"/>
  <c r="BD305" l="1"/>
  <c r="HI305"/>
  <c r="GN305"/>
  <c r="GU305"/>
  <c r="HB305"/>
  <c r="GQ306"/>
  <c r="GP306" s="1"/>
  <c r="DY305" l="1"/>
  <c r="DZ305" s="1"/>
  <c r="GL306"/>
  <c r="GJ306" s="1"/>
  <c r="FF305" l="1"/>
  <c r="T302" i="45"/>
  <c r="AD302"/>
  <c r="GT306" i="43"/>
  <c r="GV306" s="1"/>
  <c r="BU306" s="1"/>
  <c r="HA306"/>
  <c r="HC306" s="1"/>
  <c r="CP306" s="1"/>
  <c r="HH306"/>
  <c r="HJ306" s="1"/>
  <c r="DI306" s="1"/>
  <c r="GM306"/>
  <c r="HE307" l="1"/>
  <c r="HD307" s="1"/>
  <c r="GZ307" s="1"/>
  <c r="CR306"/>
  <c r="HL307"/>
  <c r="HK307" s="1"/>
  <c r="HG307" s="1"/>
  <c r="DK306"/>
  <c r="GX307"/>
  <c r="GW307" s="1"/>
  <c r="GS307" s="1"/>
  <c r="BW306"/>
  <c r="GO306"/>
  <c r="BB306" s="1"/>
  <c r="AN306" s="1"/>
  <c r="AO306" s="1"/>
  <c r="GK306"/>
  <c r="BD306" l="1"/>
  <c r="GQ307"/>
  <c r="GP307" s="1"/>
  <c r="GN306"/>
  <c r="HB306"/>
  <c r="HI306"/>
  <c r="GU306"/>
  <c r="DY306" l="1"/>
  <c r="DZ306" s="1"/>
  <c r="GL307"/>
  <c r="GJ307" s="1"/>
  <c r="FF306" l="1"/>
  <c r="T303" i="45"/>
  <c r="AD303"/>
  <c r="HA307" i="43"/>
  <c r="HC307" s="1"/>
  <c r="CP307" s="1"/>
  <c r="GT307"/>
  <c r="GV307" s="1"/>
  <c r="BU307" s="1"/>
  <c r="HH307"/>
  <c r="HJ307" s="1"/>
  <c r="DI307" s="1"/>
  <c r="GM307"/>
  <c r="HL308" l="1"/>
  <c r="HK308" s="1"/>
  <c r="HG308" s="1"/>
  <c r="DK307"/>
  <c r="GX308"/>
  <c r="GW308" s="1"/>
  <c r="GS308" s="1"/>
  <c r="BW307"/>
  <c r="HE308"/>
  <c r="HD308" s="1"/>
  <c r="GZ308" s="1"/>
  <c r="CR307"/>
  <c r="GK307"/>
  <c r="GO307"/>
  <c r="BB307" s="1"/>
  <c r="AN307" s="1"/>
  <c r="AO307" s="1"/>
  <c r="BD307" l="1"/>
  <c r="HI307"/>
  <c r="GN307"/>
  <c r="HB307"/>
  <c r="GU307"/>
  <c r="GQ308"/>
  <c r="GP308" s="1"/>
  <c r="GL308" l="1"/>
  <c r="GJ308" s="1"/>
  <c r="DY307"/>
  <c r="DZ307" s="1"/>
  <c r="FF307" l="1"/>
  <c r="T304" i="45"/>
  <c r="GT308" i="43"/>
  <c r="GV308" s="1"/>
  <c r="BU308" s="1"/>
  <c r="HA308"/>
  <c r="HC308" s="1"/>
  <c r="CP308" s="1"/>
  <c r="HH308"/>
  <c r="HJ308" s="1"/>
  <c r="DI308" s="1"/>
  <c r="GM308"/>
  <c r="AD304" i="45"/>
  <c r="HL309" i="43" l="1"/>
  <c r="HK309" s="1"/>
  <c r="HG309" s="1"/>
  <c r="DK308"/>
  <c r="GX309"/>
  <c r="GW309" s="1"/>
  <c r="GS309" s="1"/>
  <c r="BW308"/>
  <c r="HE309"/>
  <c r="HD309" s="1"/>
  <c r="GZ309" s="1"/>
  <c r="CR308"/>
  <c r="GO308"/>
  <c r="BB308" s="1"/>
  <c r="AN308" s="1"/>
  <c r="AO308" s="1"/>
  <c r="GK308"/>
  <c r="BD308" l="1"/>
  <c r="GQ309"/>
  <c r="GP309" s="1"/>
  <c r="HB308"/>
  <c r="GN308"/>
  <c r="GU308"/>
  <c r="HI308"/>
  <c r="DY308" l="1"/>
  <c r="DZ308" s="1"/>
  <c r="GL309"/>
  <c r="GJ309" s="1"/>
  <c r="FF308" l="1"/>
  <c r="T305" i="45"/>
  <c r="AD305"/>
  <c r="HA309" i="43"/>
  <c r="HC309" s="1"/>
  <c r="CP309" s="1"/>
  <c r="HH309"/>
  <c r="HJ309" s="1"/>
  <c r="DI309" s="1"/>
  <c r="GT309"/>
  <c r="GV309" s="1"/>
  <c r="BU309" s="1"/>
  <c r="GM309"/>
  <c r="HL310" l="1"/>
  <c r="HK310" s="1"/>
  <c r="HG310" s="1"/>
  <c r="DK309"/>
  <c r="GX310"/>
  <c r="GW310" s="1"/>
  <c r="GS310" s="1"/>
  <c r="BW309"/>
  <c r="HE310"/>
  <c r="HD310" s="1"/>
  <c r="GZ310" s="1"/>
  <c r="CR309"/>
  <c r="GO309"/>
  <c r="BB309" s="1"/>
  <c r="AN309" s="1"/>
  <c r="AO309" s="1"/>
  <c r="GK309"/>
  <c r="BD309" l="1"/>
  <c r="GQ310"/>
  <c r="GP310" s="1"/>
  <c r="GN309"/>
  <c r="HB309"/>
  <c r="GU309"/>
  <c r="HI309"/>
  <c r="GL310" l="1"/>
  <c r="GJ310" s="1"/>
  <c r="DY309"/>
  <c r="DZ309" s="1"/>
  <c r="FF309" l="1"/>
  <c r="T306" i="45"/>
  <c r="HH310" i="43"/>
  <c r="HJ310" s="1"/>
  <c r="DI310" s="1"/>
  <c r="HA310"/>
  <c r="HC310" s="1"/>
  <c r="CP310" s="1"/>
  <c r="GT310"/>
  <c r="GV310" s="1"/>
  <c r="BU310" s="1"/>
  <c r="GM310"/>
  <c r="AD306" i="45"/>
  <c r="HL311" i="43" l="1"/>
  <c r="HK311" s="1"/>
  <c r="HG311" s="1"/>
  <c r="DK310"/>
  <c r="GX311"/>
  <c r="GW311" s="1"/>
  <c r="GS311" s="1"/>
  <c r="BW310"/>
  <c r="HE311"/>
  <c r="HD311" s="1"/>
  <c r="GZ311" s="1"/>
  <c r="CR310"/>
  <c r="GK310"/>
  <c r="GO310"/>
  <c r="BB310" s="1"/>
  <c r="AN310" s="1"/>
  <c r="AO310" s="1"/>
  <c r="BD310" l="1"/>
  <c r="HI310"/>
  <c r="HB310"/>
  <c r="GU310"/>
  <c r="GN310"/>
  <c r="GQ311"/>
  <c r="GP311" s="1"/>
  <c r="GL311" l="1"/>
  <c r="GJ311" s="1"/>
  <c r="DY310"/>
  <c r="DZ310" s="1"/>
  <c r="FF310" l="1"/>
  <c r="T307" i="45"/>
  <c r="HA311" i="43"/>
  <c r="HC311" s="1"/>
  <c r="CP311" s="1"/>
  <c r="HH311"/>
  <c r="HJ311" s="1"/>
  <c r="DI311" s="1"/>
  <c r="GT311"/>
  <c r="GV311" s="1"/>
  <c r="BU311" s="1"/>
  <c r="GM311"/>
  <c r="AD307" i="45"/>
  <c r="HE312" i="43" l="1"/>
  <c r="HD312" s="1"/>
  <c r="GZ312" s="1"/>
  <c r="CR311"/>
  <c r="GX312"/>
  <c r="GW312" s="1"/>
  <c r="GS312" s="1"/>
  <c r="BW311"/>
  <c r="HL312"/>
  <c r="HK312" s="1"/>
  <c r="HG312" s="1"/>
  <c r="DK311"/>
  <c r="GK311"/>
  <c r="GO311"/>
  <c r="BB311" s="1"/>
  <c r="AN311" s="1"/>
  <c r="AO311" s="1"/>
  <c r="BD311" l="1"/>
  <c r="HI311"/>
  <c r="HB311"/>
  <c r="GU311"/>
  <c r="GN311"/>
  <c r="GQ312"/>
  <c r="GP312" s="1"/>
  <c r="GL312" l="1"/>
  <c r="GJ312" s="1"/>
  <c r="DY311"/>
  <c r="DZ311" s="1"/>
  <c r="FF311" l="1"/>
  <c r="T308" i="45"/>
  <c r="HH312" i="43"/>
  <c r="HJ312" s="1"/>
  <c r="DI312" s="1"/>
  <c r="HA312"/>
  <c r="HC312" s="1"/>
  <c r="CP312" s="1"/>
  <c r="GT312"/>
  <c r="GV312" s="1"/>
  <c r="BU312" s="1"/>
  <c r="GM312"/>
  <c r="AD308" i="45"/>
  <c r="GX313" i="43" l="1"/>
  <c r="GW313" s="1"/>
  <c r="GS313" s="1"/>
  <c r="BW312"/>
  <c r="HL313"/>
  <c r="HK313" s="1"/>
  <c r="HG313" s="1"/>
  <c r="DK312"/>
  <c r="HE313"/>
  <c r="HD313" s="1"/>
  <c r="GZ313" s="1"/>
  <c r="CR312"/>
  <c r="GK312"/>
  <c r="GO312"/>
  <c r="BB312" s="1"/>
  <c r="AN312" s="1"/>
  <c r="AO312" s="1"/>
  <c r="BD312" l="1"/>
  <c r="HI312"/>
  <c r="HB312"/>
  <c r="GU312"/>
  <c r="GN312"/>
  <c r="GQ313"/>
  <c r="GP313" s="1"/>
  <c r="DY312" l="1"/>
  <c r="DZ312" s="1"/>
  <c r="GL313"/>
  <c r="GJ313" s="1"/>
  <c r="FF312" l="1"/>
  <c r="T309" i="45"/>
  <c r="AD309"/>
  <c r="HA313" i="43"/>
  <c r="HC313" s="1"/>
  <c r="CP313" s="1"/>
  <c r="HH313"/>
  <c r="HJ313" s="1"/>
  <c r="DI313" s="1"/>
  <c r="GT313"/>
  <c r="GV313" s="1"/>
  <c r="BU313" s="1"/>
  <c r="GM313"/>
  <c r="HL314" l="1"/>
  <c r="HK314" s="1"/>
  <c r="HG314" s="1"/>
  <c r="DK313"/>
  <c r="GX314"/>
  <c r="GW314" s="1"/>
  <c r="GS314" s="1"/>
  <c r="BW313"/>
  <c r="HE314"/>
  <c r="HD314" s="1"/>
  <c r="GZ314" s="1"/>
  <c r="CR313"/>
  <c r="GK313"/>
  <c r="GO313"/>
  <c r="BB313" s="1"/>
  <c r="AN313" s="1"/>
  <c r="AO313" s="1"/>
  <c r="BD313" l="1"/>
  <c r="HB313"/>
  <c r="GN313"/>
  <c r="HI313"/>
  <c r="GU313"/>
  <c r="GQ314"/>
  <c r="GP314" s="1"/>
  <c r="GL314" l="1"/>
  <c r="GJ314" s="1"/>
  <c r="DY313"/>
  <c r="DZ313" s="1"/>
  <c r="FF313" l="1"/>
  <c r="T310" i="45"/>
  <c r="HH314" i="43"/>
  <c r="HJ314" s="1"/>
  <c r="DI314" s="1"/>
  <c r="HA314"/>
  <c r="HC314" s="1"/>
  <c r="CP314" s="1"/>
  <c r="GT314"/>
  <c r="GV314" s="1"/>
  <c r="BU314" s="1"/>
  <c r="GM314"/>
  <c r="AD310" i="45"/>
  <c r="HL315" i="43" l="1"/>
  <c r="HK315" s="1"/>
  <c r="HG315" s="1"/>
  <c r="DK314"/>
  <c r="GX315"/>
  <c r="GW315" s="1"/>
  <c r="GS315" s="1"/>
  <c r="BW314"/>
  <c r="HE315"/>
  <c r="HD315" s="1"/>
  <c r="GZ315" s="1"/>
  <c r="CR314"/>
  <c r="GK314"/>
  <c r="GO314"/>
  <c r="BB314" s="1"/>
  <c r="AN314" s="1"/>
  <c r="AO314" s="1"/>
  <c r="BD314" l="1"/>
  <c r="GU314"/>
  <c r="HB314"/>
  <c r="HI314"/>
  <c r="GN314"/>
  <c r="GQ315"/>
  <c r="GP315" s="1"/>
  <c r="DY314" l="1"/>
  <c r="DZ314" s="1"/>
  <c r="GL315"/>
  <c r="GJ315" s="1"/>
  <c r="FF314" l="1"/>
  <c r="T311" i="45"/>
  <c r="AD311"/>
  <c r="HA315" i="43"/>
  <c r="HC315" s="1"/>
  <c r="CP315" s="1"/>
  <c r="HH315"/>
  <c r="HJ315" s="1"/>
  <c r="DI315" s="1"/>
  <c r="GT315"/>
  <c r="GV315" s="1"/>
  <c r="BU315" s="1"/>
  <c r="GM315"/>
  <c r="HL316" l="1"/>
  <c r="HK316" s="1"/>
  <c r="HG316" s="1"/>
  <c r="DK315"/>
  <c r="GX316"/>
  <c r="GW316" s="1"/>
  <c r="GS316" s="1"/>
  <c r="BW315"/>
  <c r="HE316"/>
  <c r="HD316" s="1"/>
  <c r="GZ316" s="1"/>
  <c r="CR315"/>
  <c r="GO315"/>
  <c r="BB315" s="1"/>
  <c r="AN315" s="1"/>
  <c r="AO315" s="1"/>
  <c r="GK315"/>
  <c r="BD315" l="1"/>
  <c r="GQ316"/>
  <c r="GP316" s="1"/>
  <c r="HI315"/>
  <c r="GU315"/>
  <c r="HB315"/>
  <c r="GN315"/>
  <c r="DY315" l="1"/>
  <c r="DZ315" s="1"/>
  <c r="GL316"/>
  <c r="GJ316" s="1"/>
  <c r="FF315" l="1"/>
  <c r="T312" i="45"/>
  <c r="AD312"/>
  <c r="HH316" i="43"/>
  <c r="HJ316" s="1"/>
  <c r="DI316" s="1"/>
  <c r="HA316"/>
  <c r="HC316" s="1"/>
  <c r="CP316" s="1"/>
  <c r="GT316"/>
  <c r="GV316" s="1"/>
  <c r="BU316" s="1"/>
  <c r="GM316"/>
  <c r="HE317" l="1"/>
  <c r="HD317" s="1"/>
  <c r="GZ317" s="1"/>
  <c r="CR316"/>
  <c r="HL317"/>
  <c r="HK317" s="1"/>
  <c r="HG317" s="1"/>
  <c r="DK316"/>
  <c r="GX317"/>
  <c r="GW317" s="1"/>
  <c r="GS317" s="1"/>
  <c r="BW316"/>
  <c r="GO316"/>
  <c r="BB316" s="1"/>
  <c r="AN316" s="1"/>
  <c r="AO316" s="1"/>
  <c r="GK316"/>
  <c r="BD316" l="1"/>
  <c r="GQ317"/>
  <c r="GP317" s="1"/>
  <c r="HB316"/>
  <c r="GU316"/>
  <c r="HI316"/>
  <c r="GN316"/>
  <c r="GL317" l="1"/>
  <c r="GJ317" s="1"/>
  <c r="DY316"/>
  <c r="DZ316" s="1"/>
  <c r="FF316" l="1"/>
  <c r="T313" i="45"/>
  <c r="HA317" i="43"/>
  <c r="HC317" s="1"/>
  <c r="CP317" s="1"/>
  <c r="GT317"/>
  <c r="GV317" s="1"/>
  <c r="BU317" s="1"/>
  <c r="HH317"/>
  <c r="HJ317" s="1"/>
  <c r="DI317" s="1"/>
  <c r="GM317"/>
  <c r="AD313" i="45"/>
  <c r="HL318" i="43" l="1"/>
  <c r="HK318" s="1"/>
  <c r="HG318" s="1"/>
  <c r="DK317"/>
  <c r="HE318"/>
  <c r="HD318" s="1"/>
  <c r="GZ318" s="1"/>
  <c r="CR317"/>
  <c r="GX318"/>
  <c r="GW318" s="1"/>
  <c r="GS318" s="1"/>
  <c r="BW317"/>
  <c r="GO317"/>
  <c r="BB317" s="1"/>
  <c r="AN317" s="1"/>
  <c r="AO317" s="1"/>
  <c r="GK317"/>
  <c r="BD317" l="1"/>
  <c r="GQ318"/>
  <c r="GP318" s="1"/>
  <c r="GL318" s="1"/>
  <c r="GJ318" s="1"/>
  <c r="GN317"/>
  <c r="GU317"/>
  <c r="HI317"/>
  <c r="HB317"/>
  <c r="GM318" l="1"/>
  <c r="HH318"/>
  <c r="HJ318" s="1"/>
  <c r="DI318" s="1"/>
  <c r="GT318"/>
  <c r="GV318" s="1"/>
  <c r="BU318" s="1"/>
  <c r="HA318"/>
  <c r="HC318" s="1"/>
  <c r="CP318" s="1"/>
  <c r="DY317"/>
  <c r="DZ317" s="1"/>
  <c r="GX319" l="1"/>
  <c r="GW319" s="1"/>
  <c r="GS319" s="1"/>
  <c r="HE319"/>
  <c r="HD319" s="1"/>
  <c r="GZ319" s="1"/>
  <c r="HL319"/>
  <c r="HK319" s="1"/>
  <c r="HG319" s="1"/>
  <c r="BW318"/>
  <c r="DK318"/>
  <c r="CR318"/>
  <c r="FF317"/>
  <c r="T314" i="45"/>
  <c r="GO318" i="43"/>
  <c r="BB318" s="1"/>
  <c r="AN318" s="1"/>
  <c r="AO318" s="1"/>
  <c r="GK318"/>
  <c r="AD314" i="45"/>
  <c r="GQ319" i="43" l="1"/>
  <c r="GP319" s="1"/>
  <c r="GL319" s="1"/>
  <c r="GJ319" s="1"/>
  <c r="BD318"/>
  <c r="HI318"/>
  <c r="GU318"/>
  <c r="HB318"/>
  <c r="GN318"/>
  <c r="GM319" l="1"/>
  <c r="GT319"/>
  <c r="GV319" s="1"/>
  <c r="BU319" s="1"/>
  <c r="HA319"/>
  <c r="HC319" s="1"/>
  <c r="CP319" s="1"/>
  <c r="HH319"/>
  <c r="HJ319" s="1"/>
  <c r="DI319" s="1"/>
  <c r="DY318"/>
  <c r="DZ318" s="1"/>
  <c r="T315" i="45"/>
  <c r="AD316"/>
  <c r="AD315"/>
  <c r="GO319" i="43" l="1"/>
  <c r="BB319" s="1"/>
  <c r="AN319" s="1"/>
  <c r="AO319" s="1"/>
  <c r="GK319"/>
  <c r="BW319"/>
  <c r="GX320"/>
  <c r="GW320" s="1"/>
  <c r="HE320"/>
  <c r="HD320" s="1"/>
  <c r="CR319"/>
  <c r="HL320"/>
  <c r="HK320" s="1"/>
  <c r="DK319"/>
  <c r="FF318"/>
  <c r="GZ320" l="1"/>
  <c r="BD319"/>
  <c r="GQ320"/>
  <c r="GP320" s="1"/>
  <c r="HI319"/>
  <c r="GN319"/>
  <c r="GU319"/>
  <c r="HB319"/>
  <c r="HG320"/>
  <c r="GS320"/>
  <c r="GL320" l="1"/>
  <c r="GJ320" s="1"/>
  <c r="DY319"/>
  <c r="DZ319" s="1"/>
  <c r="HH320" l="1"/>
  <c r="HJ320" s="1"/>
  <c r="DI320" s="1"/>
  <c r="GT320"/>
  <c r="GV320" s="1"/>
  <c r="BU320" s="1"/>
  <c r="HA320"/>
  <c r="HC320" s="1"/>
  <c r="CP320" s="1"/>
  <c r="GM320"/>
  <c r="T316" i="45"/>
  <c r="FF319" i="43"/>
  <c r="HL321" l="1"/>
  <c r="HK321" s="1"/>
  <c r="HG321" s="1"/>
  <c r="DK320"/>
  <c r="GX321"/>
  <c r="GW321" s="1"/>
  <c r="GS321" s="1"/>
  <c r="BW320"/>
  <c r="HE321"/>
  <c r="HD321" s="1"/>
  <c r="GZ321" s="1"/>
  <c r="CR320"/>
  <c r="GK320"/>
  <c r="GO320"/>
  <c r="BB320" s="1"/>
  <c r="AN320" s="1"/>
  <c r="AO320" s="1"/>
  <c r="BD320" l="1"/>
  <c r="GU320"/>
  <c r="HI320"/>
  <c r="GN320"/>
  <c r="HB320"/>
  <c r="GQ321"/>
  <c r="GP321" s="1"/>
  <c r="GL321" l="1"/>
  <c r="GJ321" s="1"/>
  <c r="DY320"/>
  <c r="DZ320" s="1"/>
  <c r="FF320" l="1"/>
  <c r="AD317" i="45" s="1"/>
  <c r="T317"/>
  <c r="GT321" i="43"/>
  <c r="GV321" s="1"/>
  <c r="BU321" s="1"/>
  <c r="HA321"/>
  <c r="HC321" s="1"/>
  <c r="CP321" s="1"/>
  <c r="HH321"/>
  <c r="HJ321" s="1"/>
  <c r="DI321" s="1"/>
  <c r="GM321"/>
  <c r="GX322" l="1"/>
  <c r="GW322" s="1"/>
  <c r="GS322" s="1"/>
  <c r="BW321"/>
  <c r="HL322"/>
  <c r="HK322" s="1"/>
  <c r="HG322" s="1"/>
  <c r="DK321"/>
  <c r="HE322"/>
  <c r="HD322" s="1"/>
  <c r="GZ322" s="1"/>
  <c r="CR321"/>
  <c r="GO321"/>
  <c r="BB321" s="1"/>
  <c r="AN321" s="1"/>
  <c r="AO321" s="1"/>
  <c r="GK321"/>
  <c r="BD321" l="1"/>
  <c r="GQ322"/>
  <c r="GP322" s="1"/>
  <c r="GN321"/>
  <c r="GU321"/>
  <c r="HB321"/>
  <c r="HI321"/>
  <c r="DY321" l="1"/>
  <c r="DZ321" s="1"/>
  <c r="GL322"/>
  <c r="GJ322" s="1"/>
  <c r="FF321" l="1"/>
  <c r="T318" i="45"/>
  <c r="HH322" i="43"/>
  <c r="HJ322" s="1"/>
  <c r="DI322" s="1"/>
  <c r="HA322"/>
  <c r="HC322" s="1"/>
  <c r="CP322" s="1"/>
  <c r="GT322"/>
  <c r="GV322" s="1"/>
  <c r="BU322" s="1"/>
  <c r="GM322"/>
  <c r="GX323" l="1"/>
  <c r="GW323" s="1"/>
  <c r="GS323" s="1"/>
  <c r="BW322"/>
  <c r="HL323"/>
  <c r="HK323" s="1"/>
  <c r="HG323" s="1"/>
  <c r="DK322"/>
  <c r="HE323"/>
  <c r="HD323" s="1"/>
  <c r="GZ323" s="1"/>
  <c r="CR322"/>
  <c r="GO322"/>
  <c r="BB322" s="1"/>
  <c r="AN322" s="1"/>
  <c r="AO322" s="1"/>
  <c r="GK322"/>
  <c r="BD322" l="1"/>
  <c r="GQ323"/>
  <c r="GP323" s="1"/>
  <c r="GL323" s="1"/>
  <c r="GJ323" s="1"/>
  <c r="HI322"/>
  <c r="GU322"/>
  <c r="GN322"/>
  <c r="HB322"/>
  <c r="DY322" l="1"/>
  <c r="DZ322" s="1"/>
  <c r="GM323"/>
  <c r="HA323"/>
  <c r="HC323" s="1"/>
  <c r="CP323" s="1"/>
  <c r="GT323"/>
  <c r="GV323" s="1"/>
  <c r="BU323" s="1"/>
  <c r="HH323"/>
  <c r="HJ323" s="1"/>
  <c r="DI323" s="1"/>
  <c r="GX324" l="1"/>
  <c r="GW324" s="1"/>
  <c r="GS324" s="1"/>
  <c r="BW323"/>
  <c r="HL324"/>
  <c r="HK324" s="1"/>
  <c r="HG324" s="1"/>
  <c r="DK323"/>
  <c r="HE324"/>
  <c r="HD324" s="1"/>
  <c r="GZ324" s="1"/>
  <c r="CR323"/>
  <c r="FF322"/>
  <c r="T319" i="45"/>
  <c r="GO323" i="43"/>
  <c r="BB323" s="1"/>
  <c r="AN323" s="1"/>
  <c r="AO323" s="1"/>
  <c r="GK323"/>
  <c r="BD323" l="1"/>
  <c r="GQ324"/>
  <c r="GP324" s="1"/>
  <c r="HB323"/>
  <c r="HI323"/>
  <c r="GU323"/>
  <c r="GN323"/>
  <c r="DY323" l="1"/>
  <c r="DZ323" s="1"/>
  <c r="GL324"/>
  <c r="GJ324" s="1"/>
  <c r="FF323" l="1"/>
  <c r="T320" i="45"/>
  <c r="GT324" i="43"/>
  <c r="GV324" s="1"/>
  <c r="BU324" s="1"/>
  <c r="HA324"/>
  <c r="HC324" s="1"/>
  <c r="CP324" s="1"/>
  <c r="HH324"/>
  <c r="HJ324" s="1"/>
  <c r="DI324" s="1"/>
  <c r="GM324"/>
  <c r="HE325" l="1"/>
  <c r="HD325" s="1"/>
  <c r="GZ325" s="1"/>
  <c r="HL325"/>
  <c r="HK325" s="1"/>
  <c r="HG325" s="1"/>
  <c r="GX325"/>
  <c r="GW325" s="1"/>
  <c r="GS325" s="1"/>
  <c r="BW324"/>
  <c r="CR324"/>
  <c r="DK324"/>
  <c r="GO324"/>
  <c r="BB324" s="1"/>
  <c r="AN324" s="1"/>
  <c r="AO324" s="1"/>
  <c r="GK324"/>
  <c r="GQ325" l="1"/>
  <c r="GP325" s="1"/>
  <c r="BD324"/>
  <c r="HI324"/>
  <c r="GN324"/>
  <c r="GU324"/>
  <c r="HB324"/>
  <c r="GL325" l="1"/>
  <c r="GJ325" s="1"/>
  <c r="DY324"/>
  <c r="DZ324" s="1"/>
  <c r="HA325" l="1"/>
  <c r="HC325" s="1"/>
  <c r="CP325" s="1"/>
  <c r="HH325"/>
  <c r="HJ325" s="1"/>
  <c r="DI325" s="1"/>
  <c r="GT325"/>
  <c r="GV325" s="1"/>
  <c r="BU325" s="1"/>
  <c r="GM325"/>
  <c r="T321" i="45"/>
  <c r="FF324" i="43"/>
  <c r="HE326" l="1"/>
  <c r="HD326" s="1"/>
  <c r="GZ326" s="1"/>
  <c r="CR325"/>
  <c r="HL326"/>
  <c r="HK326" s="1"/>
  <c r="DK325"/>
  <c r="GX326"/>
  <c r="GW326" s="1"/>
  <c r="BW325"/>
  <c r="GO325"/>
  <c r="BB325" s="1"/>
  <c r="AN325" s="1"/>
  <c r="AO325" s="1"/>
  <c r="GK325"/>
  <c r="GU325" l="1"/>
  <c r="GN325"/>
  <c r="HB325"/>
  <c r="HI325"/>
  <c r="GS326"/>
  <c r="GQ326"/>
  <c r="GP326" s="1"/>
  <c r="BD325"/>
  <c r="HG326"/>
  <c r="DY325" l="1"/>
  <c r="DZ325" s="1"/>
  <c r="GL326"/>
  <c r="GJ326" s="1"/>
  <c r="GM326" s="1"/>
  <c r="GO326" l="1"/>
  <c r="BB326" s="1"/>
  <c r="T322" i="45"/>
  <c r="FF325" i="43"/>
  <c r="AD322" i="45" s="1"/>
  <c r="HA326" i="43"/>
  <c r="HC326" s="1"/>
  <c r="CP326" s="1"/>
  <c r="HH326"/>
  <c r="HJ326" s="1"/>
  <c r="DI326" s="1"/>
  <c r="GT326"/>
  <c r="GV326" s="1"/>
  <c r="BU326" s="1"/>
  <c r="AN326" l="1"/>
  <c r="AO326" s="1"/>
  <c r="GQ327"/>
  <c r="GP327" s="1"/>
  <c r="BD326"/>
  <c r="HE327"/>
  <c r="HD327" s="1"/>
  <c r="CR326"/>
  <c r="GK326"/>
  <c r="HL327"/>
  <c r="HK327" s="1"/>
  <c r="HG327" s="1"/>
  <c r="DK326"/>
  <c r="GX327"/>
  <c r="GW327" s="1"/>
  <c r="BW326"/>
  <c r="GZ327" l="1"/>
  <c r="DY326"/>
  <c r="DZ326" s="1"/>
  <c r="GS327"/>
  <c r="GL327"/>
  <c r="HB326"/>
  <c r="GU326"/>
  <c r="GN326"/>
  <c r="HI326"/>
  <c r="GJ327" l="1"/>
  <c r="HH327" s="1"/>
  <c r="HJ327" s="1"/>
  <c r="DI327" s="1"/>
  <c r="T323" i="45"/>
  <c r="FF326" i="43"/>
  <c r="AD323" i="45" s="1"/>
  <c r="HL328" i="43" l="1"/>
  <c r="HK328" s="1"/>
  <c r="HG328" s="1"/>
  <c r="GT327"/>
  <c r="GV327" s="1"/>
  <c r="BU327" s="1"/>
  <c r="DK327"/>
  <c r="HA327"/>
  <c r="HC327" s="1"/>
  <c r="CP327" s="1"/>
  <c r="GM327"/>
  <c r="CR327" l="1"/>
  <c r="GX328"/>
  <c r="GW328" s="1"/>
  <c r="GS328" s="1"/>
  <c r="HE328"/>
  <c r="HD328" s="1"/>
  <c r="GZ328" s="1"/>
  <c r="BW327"/>
  <c r="GK327"/>
  <c r="GU327" s="1"/>
  <c r="GO327"/>
  <c r="BB327" s="1"/>
  <c r="AN327" s="1"/>
  <c r="AO327" s="1"/>
  <c r="GQ328" l="1"/>
  <c r="GP328" s="1"/>
  <c r="GL328" s="1"/>
  <c r="GJ328" s="1"/>
  <c r="HI327"/>
  <c r="GN327"/>
  <c r="HB327"/>
  <c r="BD327"/>
  <c r="DY327" l="1"/>
  <c r="DZ327" s="1"/>
  <c r="HA328"/>
  <c r="HC328" s="1"/>
  <c r="CP328" s="1"/>
  <c r="HH328"/>
  <c r="HJ328" s="1"/>
  <c r="DI328" s="1"/>
  <c r="GT328"/>
  <c r="GV328" s="1"/>
  <c r="BU328" s="1"/>
  <c r="GM328"/>
  <c r="T324" i="45" l="1"/>
  <c r="HE329" i="43"/>
  <c r="HD329" s="1"/>
  <c r="GZ329" s="1"/>
  <c r="CR328"/>
  <c r="HL329"/>
  <c r="HK329" s="1"/>
  <c r="HG329" s="1"/>
  <c r="DK328"/>
  <c r="GX329"/>
  <c r="GW329" s="1"/>
  <c r="GS329" s="1"/>
  <c r="BW328"/>
  <c r="FF327"/>
  <c r="GO328"/>
  <c r="BB328" s="1"/>
  <c r="AN328" s="1"/>
  <c r="AO328" s="1"/>
  <c r="GK328"/>
  <c r="BD328" l="1"/>
  <c r="GQ329"/>
  <c r="GP329" s="1"/>
  <c r="HI328"/>
  <c r="GN328"/>
  <c r="GU328"/>
  <c r="HB328"/>
  <c r="GL329" l="1"/>
  <c r="GJ329" s="1"/>
  <c r="DY328"/>
  <c r="DZ328" s="1"/>
  <c r="FF328" l="1"/>
  <c r="T325" i="45"/>
  <c r="HA329" i="43"/>
  <c r="HC329" s="1"/>
  <c r="CP329" s="1"/>
  <c r="HE330" s="1"/>
  <c r="HD330" s="1"/>
  <c r="GT329"/>
  <c r="GV329" s="1"/>
  <c r="BU329" s="1"/>
  <c r="GX330" s="1"/>
  <c r="GW330" s="1"/>
  <c r="HH329"/>
  <c r="HJ329" s="1"/>
  <c r="DI329" s="1"/>
  <c r="HL330" s="1"/>
  <c r="HK330" s="1"/>
  <c r="HG330" s="1"/>
  <c r="GM329"/>
  <c r="GZ330" l="1"/>
  <c r="GS330"/>
  <c r="CR329"/>
  <c r="BW329"/>
  <c r="DK329"/>
  <c r="GO329"/>
  <c r="BB329" s="1"/>
  <c r="GQ330" s="1"/>
  <c r="GP330" s="1"/>
  <c r="GK329"/>
  <c r="GL330" l="1"/>
  <c r="GJ330" s="1"/>
  <c r="AN329"/>
  <c r="AO329" s="1"/>
  <c r="BD329"/>
  <c r="GN329"/>
  <c r="HB329"/>
  <c r="HI329"/>
  <c r="GU329"/>
  <c r="HH330" l="1"/>
  <c r="HJ330" s="1"/>
  <c r="DI330" s="1"/>
  <c r="GT330"/>
  <c r="GV330" s="1"/>
  <c r="BU330" s="1"/>
  <c r="HA330"/>
  <c r="HC330" s="1"/>
  <c r="CP330" s="1"/>
  <c r="GM330"/>
  <c r="DY329"/>
  <c r="DZ329" s="1"/>
  <c r="HE331" l="1"/>
  <c r="HD331" s="1"/>
  <c r="GZ331" s="1"/>
  <c r="CR330"/>
  <c r="GX331"/>
  <c r="GW331" s="1"/>
  <c r="GS331" s="1"/>
  <c r="BW330"/>
  <c r="HL331"/>
  <c r="HK331" s="1"/>
  <c r="HG331" s="1"/>
  <c r="DK330"/>
  <c r="GO330"/>
  <c r="BB330" s="1"/>
  <c r="GK330"/>
  <c r="FF329"/>
  <c r="AD326" i="45" s="1"/>
  <c r="T326"/>
  <c r="BD330" i="43" l="1"/>
  <c r="AN330"/>
  <c r="GQ331"/>
  <c r="GP331" s="1"/>
  <c r="GU330"/>
  <c r="HB330"/>
  <c r="GN330"/>
  <c r="HI330"/>
  <c r="AO330" l="1"/>
  <c r="DY330"/>
  <c r="DZ330" s="1"/>
  <c r="GL331"/>
  <c r="GJ331" s="1"/>
  <c r="FF330" l="1"/>
  <c r="AD327" i="45" s="1"/>
  <c r="T327"/>
  <c r="HA331" i="43"/>
  <c r="HC331" s="1"/>
  <c r="CP331" s="1"/>
  <c r="GT331"/>
  <c r="GV331" s="1"/>
  <c r="BU331" s="1"/>
  <c r="HH331"/>
  <c r="HJ331" s="1"/>
  <c r="DI331" s="1"/>
  <c r="GM331"/>
  <c r="HE332" l="1"/>
  <c r="HD332" s="1"/>
  <c r="GZ332" s="1"/>
  <c r="CR331"/>
  <c r="GX332"/>
  <c r="GW332" s="1"/>
  <c r="GS332" s="1"/>
  <c r="BW331"/>
  <c r="HL332"/>
  <c r="HK332" s="1"/>
  <c r="HG332" s="1"/>
  <c r="DK331"/>
  <c r="GK331"/>
  <c r="GO331"/>
  <c r="BB331" s="1"/>
  <c r="BD331" l="1"/>
  <c r="GU331"/>
  <c r="GN331"/>
  <c r="HI331"/>
  <c r="HB331"/>
  <c r="AN331"/>
  <c r="GQ332"/>
  <c r="GP332" s="1"/>
  <c r="AO331" l="1"/>
  <c r="DY331"/>
  <c r="DZ331" s="1"/>
  <c r="GL332"/>
  <c r="GJ332" s="1"/>
  <c r="FF331" l="1"/>
  <c r="T328" i="45"/>
  <c r="HA332" i="43"/>
  <c r="HC332" s="1"/>
  <c r="CP332" s="1"/>
  <c r="HH332"/>
  <c r="HJ332" s="1"/>
  <c r="DI332" s="1"/>
  <c r="GT332"/>
  <c r="GV332" s="1"/>
  <c r="BU332" s="1"/>
  <c r="GM332"/>
  <c r="HL333" l="1"/>
  <c r="HK333" s="1"/>
  <c r="HG333" s="1"/>
  <c r="DK332"/>
  <c r="HE333"/>
  <c r="HD333" s="1"/>
  <c r="GZ333" s="1"/>
  <c r="CR332"/>
  <c r="GX333"/>
  <c r="GW333" s="1"/>
  <c r="GS333" s="1"/>
  <c r="BW332"/>
  <c r="GO332"/>
  <c r="BB332" s="1"/>
  <c r="GK332"/>
  <c r="BD332" l="1"/>
  <c r="AN332"/>
  <c r="GQ333"/>
  <c r="GP333" s="1"/>
  <c r="GU332"/>
  <c r="GN332"/>
  <c r="HB332"/>
  <c r="HI332"/>
  <c r="AO332" l="1"/>
  <c r="DY332"/>
  <c r="DZ332" s="1"/>
  <c r="GL333"/>
  <c r="GJ333" s="1"/>
  <c r="FF332" l="1"/>
  <c r="T329" i="45"/>
  <c r="HH333" i="43"/>
  <c r="HJ333" s="1"/>
  <c r="DI333" s="1"/>
  <c r="GT333"/>
  <c r="GV333" s="1"/>
  <c r="BU333" s="1"/>
  <c r="HA333"/>
  <c r="HC333" s="1"/>
  <c r="CP333" s="1"/>
  <c r="GM333"/>
  <c r="GX334" l="1"/>
  <c r="GW334" s="1"/>
  <c r="GS334" s="1"/>
  <c r="BW333"/>
  <c r="HL334"/>
  <c r="HK334" s="1"/>
  <c r="HG334" s="1"/>
  <c r="DK333"/>
  <c r="HE334"/>
  <c r="HD334" s="1"/>
  <c r="GZ334" s="1"/>
  <c r="CR333"/>
  <c r="GO333"/>
  <c r="BB333" s="1"/>
  <c r="GK333"/>
  <c r="BD333" l="1"/>
  <c r="AN333"/>
  <c r="GQ334"/>
  <c r="GP334" s="1"/>
  <c r="HB333"/>
  <c r="GU333"/>
  <c r="GN333"/>
  <c r="HI333"/>
  <c r="AO333" l="1"/>
  <c r="DY333"/>
  <c r="DZ333" s="1"/>
  <c r="GL334"/>
  <c r="GJ334" s="1"/>
  <c r="FF333" l="1"/>
  <c r="AD330" i="45" s="1"/>
  <c r="T330"/>
  <c r="GT334" i="43"/>
  <c r="GV334" s="1"/>
  <c r="BU334" s="1"/>
  <c r="HH334"/>
  <c r="HJ334" s="1"/>
  <c r="DI334" s="1"/>
  <c r="HA334"/>
  <c r="HC334" s="1"/>
  <c r="CP334" s="1"/>
  <c r="GM334"/>
  <c r="HL335" l="1"/>
  <c r="HK335" s="1"/>
  <c r="HG335" s="1"/>
  <c r="DK334"/>
  <c r="GX335"/>
  <c r="GW335" s="1"/>
  <c r="GS335" s="1"/>
  <c r="BW334"/>
  <c r="HE335"/>
  <c r="HD335" s="1"/>
  <c r="GZ335" s="1"/>
  <c r="CR334"/>
  <c r="GK334"/>
  <c r="GO334"/>
  <c r="BB334" s="1"/>
  <c r="BD334" l="1"/>
  <c r="HI334"/>
  <c r="GU334"/>
  <c r="GN334"/>
  <c r="HB334"/>
  <c r="AN334"/>
  <c r="GQ335"/>
  <c r="GP335" s="1"/>
  <c r="GL335" s="1"/>
  <c r="GJ335" s="1"/>
  <c r="AO334" l="1"/>
  <c r="DY334"/>
  <c r="DZ334" s="1"/>
  <c r="GM335"/>
  <c r="HH335"/>
  <c r="HJ335" s="1"/>
  <c r="DI335" s="1"/>
  <c r="GT335"/>
  <c r="GV335" s="1"/>
  <c r="BU335" s="1"/>
  <c r="HA335"/>
  <c r="HC335" s="1"/>
  <c r="CP335" s="1"/>
  <c r="HL336" l="1"/>
  <c r="HK336" s="1"/>
  <c r="HG336" s="1"/>
  <c r="DK335"/>
  <c r="GX336"/>
  <c r="GW336" s="1"/>
  <c r="GS336" s="1"/>
  <c r="BW335"/>
  <c r="HE336"/>
  <c r="HD336" s="1"/>
  <c r="GZ336" s="1"/>
  <c r="CR335"/>
  <c r="FF334"/>
  <c r="AD331" i="45" s="1"/>
  <c r="T331"/>
  <c r="GO335" i="43"/>
  <c r="BB335" s="1"/>
  <c r="GK335"/>
  <c r="BD335" l="1"/>
  <c r="AN335"/>
  <c r="GQ336"/>
  <c r="GP336" s="1"/>
  <c r="HI335"/>
  <c r="GU335"/>
  <c r="HB335"/>
  <c r="GN335"/>
  <c r="AO335" l="1"/>
  <c r="DY335"/>
  <c r="DZ335" s="1"/>
  <c r="GL336"/>
  <c r="GJ336" s="1"/>
  <c r="FF335" l="1"/>
  <c r="T332" i="45"/>
  <c r="HA336" i="43"/>
  <c r="HC336" s="1"/>
  <c r="CP336" s="1"/>
  <c r="GT336"/>
  <c r="GV336" s="1"/>
  <c r="BU336" s="1"/>
  <c r="HH336"/>
  <c r="HJ336" s="1"/>
  <c r="DI336" s="1"/>
  <c r="GM336"/>
  <c r="GX337" l="1"/>
  <c r="GW337" s="1"/>
  <c r="GS337" s="1"/>
  <c r="BW336"/>
  <c r="HE337"/>
  <c r="HD337" s="1"/>
  <c r="GZ337" s="1"/>
  <c r="CR336"/>
  <c r="HL337"/>
  <c r="HK337" s="1"/>
  <c r="HG337" s="1"/>
  <c r="DK336"/>
  <c r="GO336"/>
  <c r="BB336" s="1"/>
  <c r="GK336"/>
  <c r="BD336" l="1"/>
  <c r="AN336"/>
  <c r="GQ337"/>
  <c r="GP337" s="1"/>
  <c r="GL337" s="1"/>
  <c r="GJ337" s="1"/>
  <c r="HB336"/>
  <c r="HI336"/>
  <c r="GU336"/>
  <c r="GN336"/>
  <c r="GM337" l="1"/>
  <c r="GT337"/>
  <c r="GV337" s="1"/>
  <c r="BU337" s="1"/>
  <c r="HH337"/>
  <c r="HJ337" s="1"/>
  <c r="DI337" s="1"/>
  <c r="HA337"/>
  <c r="HC337" s="1"/>
  <c r="CP337" s="1"/>
  <c r="AO336"/>
  <c r="DY336"/>
  <c r="DZ336" s="1"/>
  <c r="HE338" l="1"/>
  <c r="HD338" s="1"/>
  <c r="GZ338" s="1"/>
  <c r="CR337"/>
  <c r="HL338"/>
  <c r="HK338" s="1"/>
  <c r="HG338" s="1"/>
  <c r="DK337"/>
  <c r="GX338"/>
  <c r="GW338" s="1"/>
  <c r="GS338" s="1"/>
  <c r="BW337"/>
  <c r="FF336"/>
  <c r="T333" i="45"/>
  <c r="GO337" i="43"/>
  <c r="BB337" s="1"/>
  <c r="GK337"/>
  <c r="BD337" l="1"/>
  <c r="AN337"/>
  <c r="GQ338"/>
  <c r="GP338" s="1"/>
  <c r="GN337"/>
  <c r="HB337"/>
  <c r="HI337"/>
  <c r="GU337"/>
  <c r="AO337" l="1"/>
  <c r="DY337"/>
  <c r="DZ337" s="1"/>
  <c r="GL338"/>
  <c r="GJ338" s="1"/>
  <c r="FF337" l="1"/>
  <c r="AD334" i="45" s="1"/>
  <c r="T334"/>
  <c r="HH338" i="43"/>
  <c r="HJ338" s="1"/>
  <c r="DI338" s="1"/>
  <c r="GT338"/>
  <c r="GV338" s="1"/>
  <c r="BU338" s="1"/>
  <c r="HA338"/>
  <c r="HC338" s="1"/>
  <c r="CP338" s="1"/>
  <c r="GM338"/>
  <c r="GX339" l="1"/>
  <c r="GW339" s="1"/>
  <c r="GS339" s="1"/>
  <c r="BW338"/>
  <c r="HL339"/>
  <c r="HK339" s="1"/>
  <c r="HG339" s="1"/>
  <c r="DK338"/>
  <c r="HE339"/>
  <c r="HD339" s="1"/>
  <c r="GZ339" s="1"/>
  <c r="CR338"/>
  <c r="GO338"/>
  <c r="BB338" s="1"/>
  <c r="GK338"/>
  <c r="BD338" l="1"/>
  <c r="GN338"/>
  <c r="GU338"/>
  <c r="HI338"/>
  <c r="HB338"/>
  <c r="AN338"/>
  <c r="GQ339"/>
  <c r="GP339" s="1"/>
  <c r="GL339" l="1"/>
  <c r="GJ339" s="1"/>
  <c r="AO338"/>
  <c r="DY338"/>
  <c r="DZ338" s="1"/>
  <c r="FF338" l="1"/>
  <c r="AD335" i="45" s="1"/>
  <c r="T335"/>
  <c r="HA339" i="43"/>
  <c r="HC339" s="1"/>
  <c r="CP339" s="1"/>
  <c r="GT339"/>
  <c r="GV339" s="1"/>
  <c r="BU339" s="1"/>
  <c r="HH339"/>
  <c r="HJ339" s="1"/>
  <c r="DI339" s="1"/>
  <c r="GM339"/>
  <c r="GX340" l="1"/>
  <c r="GW340" s="1"/>
  <c r="GS340" s="1"/>
  <c r="BW339"/>
  <c r="HE340"/>
  <c r="HD340" s="1"/>
  <c r="GZ340" s="1"/>
  <c r="CR339"/>
  <c r="HL340"/>
  <c r="HK340" s="1"/>
  <c r="HG340" s="1"/>
  <c r="DK339"/>
  <c r="GO339"/>
  <c r="BB339" s="1"/>
  <c r="GK339"/>
  <c r="BD339" l="1"/>
  <c r="AN339"/>
  <c r="GQ340"/>
  <c r="GP340" s="1"/>
  <c r="GN339"/>
  <c r="HB339"/>
  <c r="HI339"/>
  <c r="GU339"/>
  <c r="AO339" l="1"/>
  <c r="DY339"/>
  <c r="DZ339" s="1"/>
  <c r="GL340"/>
  <c r="GJ340" s="1"/>
  <c r="FF339" l="1"/>
  <c r="T336" i="45"/>
  <c r="HA340" i="43"/>
  <c r="HC340" s="1"/>
  <c r="CP340" s="1"/>
  <c r="HH340"/>
  <c r="HJ340" s="1"/>
  <c r="DI340" s="1"/>
  <c r="GT340"/>
  <c r="GV340" s="1"/>
  <c r="BU340" s="1"/>
  <c r="GM340"/>
  <c r="HL341" l="1"/>
  <c r="HK341" s="1"/>
  <c r="HG341" s="1"/>
  <c r="DK340"/>
  <c r="CR340"/>
  <c r="HE341"/>
  <c r="HD341" s="1"/>
  <c r="BW340"/>
  <c r="GX341"/>
  <c r="GW341" s="1"/>
  <c r="GO340"/>
  <c r="BB340" s="1"/>
  <c r="GK340"/>
  <c r="GZ341" l="1"/>
  <c r="BD340"/>
  <c r="AN340"/>
  <c r="GQ341"/>
  <c r="GP341" s="1"/>
  <c r="GL341" s="1"/>
  <c r="GS341"/>
  <c r="HI340"/>
  <c r="GN340"/>
  <c r="HB340"/>
  <c r="GU340"/>
  <c r="GJ341" l="1"/>
  <c r="HA341" s="1"/>
  <c r="HC341" s="1"/>
  <c r="CP341" s="1"/>
  <c r="AO340"/>
  <c r="DY340"/>
  <c r="DZ340" s="1"/>
  <c r="HE342" l="1"/>
  <c r="HD342" s="1"/>
  <c r="GZ342" s="1"/>
  <c r="CR341"/>
  <c r="FF340"/>
  <c r="T337" i="45"/>
  <c r="GT341" i="43"/>
  <c r="GV341" s="1"/>
  <c r="BU341" s="1"/>
  <c r="GM341"/>
  <c r="HH341"/>
  <c r="HJ341" s="1"/>
  <c r="DI341" s="1"/>
  <c r="HL342" l="1"/>
  <c r="HK342" s="1"/>
  <c r="HG342" s="1"/>
  <c r="DK341"/>
  <c r="GX342"/>
  <c r="GW342" s="1"/>
  <c r="GS342" s="1"/>
  <c r="BW341"/>
  <c r="GK341"/>
  <c r="HB341" s="1"/>
  <c r="GO341"/>
  <c r="BB341" s="1"/>
  <c r="GQ342" l="1"/>
  <c r="GP342" s="1"/>
  <c r="GL342" s="1"/>
  <c r="GJ342" s="1"/>
  <c r="BD341"/>
  <c r="GU341"/>
  <c r="AN341"/>
  <c r="HI341"/>
  <c r="GN341"/>
  <c r="AO341" l="1"/>
  <c r="T338" i="45"/>
  <c r="DY341" i="43"/>
  <c r="DZ341" s="1"/>
  <c r="HH342"/>
  <c r="HJ342" s="1"/>
  <c r="DI342" s="1"/>
  <c r="GT342"/>
  <c r="GV342" s="1"/>
  <c r="BU342" s="1"/>
  <c r="HA342"/>
  <c r="HC342" s="1"/>
  <c r="CP342" s="1"/>
  <c r="GM342"/>
  <c r="FF341" l="1"/>
  <c r="AD338" i="45" s="1"/>
  <c r="HE343" i="43"/>
  <c r="HD343" s="1"/>
  <c r="GZ343" s="1"/>
  <c r="CR342"/>
  <c r="GX343"/>
  <c r="GW343" s="1"/>
  <c r="GS343" s="1"/>
  <c r="BW342"/>
  <c r="HL343"/>
  <c r="HK343" s="1"/>
  <c r="HG343" s="1"/>
  <c r="DK342"/>
  <c r="GO342"/>
  <c r="BB342" s="1"/>
  <c r="GK342"/>
  <c r="BD342" l="1"/>
  <c r="AN342"/>
  <c r="GQ343"/>
  <c r="GP343" s="1"/>
  <c r="GN342"/>
  <c r="HB342"/>
  <c r="GU342"/>
  <c r="HI342"/>
  <c r="AO342" l="1"/>
  <c r="DY342"/>
  <c r="DZ342" s="1"/>
  <c r="GL343"/>
  <c r="GJ343" s="1"/>
  <c r="FF342" l="1"/>
  <c r="AD339" i="45" s="1"/>
  <c r="T339"/>
  <c r="HA343" i="43"/>
  <c r="HC343" s="1"/>
  <c r="CP343" s="1"/>
  <c r="GT343"/>
  <c r="GV343" s="1"/>
  <c r="BU343" s="1"/>
  <c r="HH343"/>
  <c r="HJ343" s="1"/>
  <c r="DI343" s="1"/>
  <c r="GM343"/>
  <c r="GX344" l="1"/>
  <c r="GW344" s="1"/>
  <c r="GS344" s="1"/>
  <c r="BW343"/>
  <c r="HE344"/>
  <c r="HD344" s="1"/>
  <c r="GZ344" s="1"/>
  <c r="CR343"/>
  <c r="HL344"/>
  <c r="HK344" s="1"/>
  <c r="HG344" s="1"/>
  <c r="DK343"/>
  <c r="GO343"/>
  <c r="BB343" s="1"/>
  <c r="GK343"/>
  <c r="BD343" l="1"/>
  <c r="AN343"/>
  <c r="GQ344"/>
  <c r="GP344" s="1"/>
  <c r="GL344" s="1"/>
  <c r="GJ344" s="1"/>
  <c r="HI343"/>
  <c r="HB343"/>
  <c r="GN343"/>
  <c r="GU343"/>
  <c r="AO343" l="1"/>
  <c r="DY343"/>
  <c r="DZ343" s="1"/>
  <c r="GM344"/>
  <c r="HH344"/>
  <c r="HJ344" s="1"/>
  <c r="DI344" s="1"/>
  <c r="GT344"/>
  <c r="GV344" s="1"/>
  <c r="BU344" s="1"/>
  <c r="HA344"/>
  <c r="HC344" s="1"/>
  <c r="CP344" s="1"/>
  <c r="HL345" l="1"/>
  <c r="HK345" s="1"/>
  <c r="HG345" s="1"/>
  <c r="DK344"/>
  <c r="GX345"/>
  <c r="GW345" s="1"/>
  <c r="GS345" s="1"/>
  <c r="BW344"/>
  <c r="HE345"/>
  <c r="HD345" s="1"/>
  <c r="GZ345" s="1"/>
  <c r="CR344"/>
  <c r="FF343"/>
  <c r="T340" i="45"/>
  <c r="GO344" i="43"/>
  <c r="BB344" s="1"/>
  <c r="GK344"/>
  <c r="GU344" l="1"/>
  <c r="GN344"/>
  <c r="HB344"/>
  <c r="HI344"/>
  <c r="BD344"/>
  <c r="AN344"/>
  <c r="GQ345"/>
  <c r="GP345" s="1"/>
  <c r="GL345" s="1"/>
  <c r="GJ345" s="1"/>
  <c r="GM345" l="1"/>
  <c r="HA345"/>
  <c r="HC345" s="1"/>
  <c r="CP345" s="1"/>
  <c r="HH345"/>
  <c r="HJ345" s="1"/>
  <c r="DI345" s="1"/>
  <c r="GT345"/>
  <c r="GV345" s="1"/>
  <c r="BU345" s="1"/>
  <c r="AO344"/>
  <c r="DY344"/>
  <c r="DZ344" s="1"/>
  <c r="GX346" l="1"/>
  <c r="GW346" s="1"/>
  <c r="GS346" s="1"/>
  <c r="BW345"/>
  <c r="HL346"/>
  <c r="HK346" s="1"/>
  <c r="HG346" s="1"/>
  <c r="DK345"/>
  <c r="HE346"/>
  <c r="HD346" s="1"/>
  <c r="GZ346" s="1"/>
  <c r="CR345"/>
  <c r="FF344"/>
  <c r="T341" i="45"/>
  <c r="GO345" i="43"/>
  <c r="BB345" s="1"/>
  <c r="GK345"/>
  <c r="BD345" l="1"/>
  <c r="AN345"/>
  <c r="GQ346"/>
  <c r="GP346" s="1"/>
  <c r="GL346" s="1"/>
  <c r="GJ346" s="1"/>
  <c r="HI345"/>
  <c r="HB345"/>
  <c r="GN345"/>
  <c r="GU345"/>
  <c r="AO345" l="1"/>
  <c r="DY345"/>
  <c r="DZ345" s="1"/>
  <c r="GM346"/>
  <c r="HA346"/>
  <c r="HC346" s="1"/>
  <c r="CP346" s="1"/>
  <c r="GT346"/>
  <c r="GV346" s="1"/>
  <c r="BU346" s="1"/>
  <c r="HH346"/>
  <c r="HJ346" s="1"/>
  <c r="DI346" s="1"/>
  <c r="HE347" l="1"/>
  <c r="HD347" s="1"/>
  <c r="GZ347" s="1"/>
  <c r="CR346"/>
  <c r="GX347"/>
  <c r="GW347" s="1"/>
  <c r="GS347" s="1"/>
  <c r="BW346"/>
  <c r="HL347"/>
  <c r="HK347" s="1"/>
  <c r="HG347" s="1"/>
  <c r="DK346"/>
  <c r="FF345"/>
  <c r="AD342" i="45" s="1"/>
  <c r="T342"/>
  <c r="GO346" i="43"/>
  <c r="BB346" s="1"/>
  <c r="GK346"/>
  <c r="X145" i="45"/>
  <c r="BD346" i="43" l="1"/>
  <c r="HB346"/>
  <c r="GN346"/>
  <c r="GU346"/>
  <c r="HI346"/>
  <c r="AN346"/>
  <c r="GQ347"/>
  <c r="GP347" s="1"/>
  <c r="Y145" i="45"/>
  <c r="Z145" s="1"/>
  <c r="W146"/>
  <c r="AB145"/>
  <c r="X147"/>
  <c r="AO346" i="43" l="1"/>
  <c r="DY346"/>
  <c r="DZ346" s="1"/>
  <c r="GL347"/>
  <c r="GJ347" s="1"/>
  <c r="Y147" i="45"/>
  <c r="Z147" s="1"/>
  <c r="W148"/>
  <c r="AA146"/>
  <c r="AB146" s="1"/>
  <c r="Y146"/>
  <c r="Z146" s="1"/>
  <c r="AB147"/>
  <c r="X149"/>
  <c r="W150" s="1"/>
  <c r="AA150" s="1"/>
  <c r="FF346" i="43" l="1"/>
  <c r="AD343" i="45" s="1"/>
  <c r="T343"/>
  <c r="HH347" i="43"/>
  <c r="HJ347" s="1"/>
  <c r="DI347" s="1"/>
  <c r="HA347"/>
  <c r="HC347" s="1"/>
  <c r="CP347" s="1"/>
  <c r="GT347"/>
  <c r="GV347" s="1"/>
  <c r="BU347" s="1"/>
  <c r="GM347"/>
  <c r="Y148" i="45"/>
  <c r="AA148"/>
  <c r="Y150"/>
  <c r="Z150" s="1"/>
  <c r="AB150"/>
  <c r="X148"/>
  <c r="W149" s="1"/>
  <c r="HE348" i="43" l="1"/>
  <c r="HD348" s="1"/>
  <c r="GZ348" s="1"/>
  <c r="CR347"/>
  <c r="HL348"/>
  <c r="HK348" s="1"/>
  <c r="HG348" s="1"/>
  <c r="DK347"/>
  <c r="GX348"/>
  <c r="GW348" s="1"/>
  <c r="GS348" s="1"/>
  <c r="BW347"/>
  <c r="GK347"/>
  <c r="GO347"/>
  <c r="BB347" s="1"/>
  <c r="Y149" i="45"/>
  <c r="Z149" s="1"/>
  <c r="AA149"/>
  <c r="AB149" s="1"/>
  <c r="Z148"/>
  <c r="AB148"/>
  <c r="X156"/>
  <c r="BD347" i="43" l="1"/>
  <c r="GU347"/>
  <c r="HB347"/>
  <c r="HI347"/>
  <c r="GN347"/>
  <c r="AN347"/>
  <c r="GQ348"/>
  <c r="GP348" s="1"/>
  <c r="GL348" s="1"/>
  <c r="GJ348" s="1"/>
  <c r="Z156" i="45"/>
  <c r="W157"/>
  <c r="AB156"/>
  <c r="AO347" i="43" l="1"/>
  <c r="DY347"/>
  <c r="DZ347" s="1"/>
  <c r="GM348"/>
  <c r="HA348"/>
  <c r="HC348" s="1"/>
  <c r="CP348" s="1"/>
  <c r="HH348"/>
  <c r="HJ348" s="1"/>
  <c r="DI348" s="1"/>
  <c r="GT348"/>
  <c r="GV348" s="1"/>
  <c r="BU348" s="1"/>
  <c r="Y157" i="45"/>
  <c r="Z157" s="1"/>
  <c r="AA157"/>
  <c r="AB157" s="1"/>
  <c r="X159"/>
  <c r="W160" s="1"/>
  <c r="AA160" s="1"/>
  <c r="HE349" i="43" l="1"/>
  <c r="HD349" s="1"/>
  <c r="GZ349" s="1"/>
  <c r="CR348"/>
  <c r="GX349"/>
  <c r="GW349" s="1"/>
  <c r="GS349" s="1"/>
  <c r="BW348"/>
  <c r="HL349"/>
  <c r="HK349" s="1"/>
  <c r="HG349" s="1"/>
  <c r="DK348"/>
  <c r="FF347"/>
  <c r="T344" i="45"/>
  <c r="GO348" i="43"/>
  <c r="BB348" s="1"/>
  <c r="GK348"/>
  <c r="Y160" i="45"/>
  <c r="Z160" s="1"/>
  <c r="AB160"/>
  <c r="X158"/>
  <c r="W159" s="1"/>
  <c r="BD348" i="43" l="1"/>
  <c r="AN348"/>
  <c r="GQ349"/>
  <c r="GP349" s="1"/>
  <c r="HI348"/>
  <c r="GN348"/>
  <c r="GU348"/>
  <c r="HB348"/>
  <c r="Y159" i="45"/>
  <c r="Z159" s="1"/>
  <c r="AA159"/>
  <c r="AB159" s="1"/>
  <c r="Z158"/>
  <c r="AB158"/>
  <c r="X164"/>
  <c r="W164" s="1"/>
  <c r="Y164" s="1"/>
  <c r="AO348" i="43" l="1"/>
  <c r="DY348"/>
  <c r="DZ348" s="1"/>
  <c r="GL349"/>
  <c r="GJ349" s="1"/>
  <c r="Z164" i="45"/>
  <c r="AA164"/>
  <c r="AB164" s="1"/>
  <c r="X166"/>
  <c r="FF348" i="43" l="1"/>
  <c r="T345" i="45"/>
  <c r="HH349" i="43"/>
  <c r="HJ349" s="1"/>
  <c r="DI349" s="1"/>
  <c r="HA349"/>
  <c r="HC349" s="1"/>
  <c r="CP349" s="1"/>
  <c r="GT349"/>
  <c r="GV349" s="1"/>
  <c r="BU349" s="1"/>
  <c r="GM349"/>
  <c r="X165" i="45"/>
  <c r="W165" s="1"/>
  <c r="HE350" i="43" l="1"/>
  <c r="HD350" s="1"/>
  <c r="GZ350" s="1"/>
  <c r="CR349"/>
  <c r="HL350"/>
  <c r="HK350" s="1"/>
  <c r="HG350" s="1"/>
  <c r="DK349"/>
  <c r="GX350"/>
  <c r="GW350" s="1"/>
  <c r="GS350" s="1"/>
  <c r="BW349"/>
  <c r="GO349"/>
  <c r="BB349" s="1"/>
  <c r="GK349"/>
  <c r="W166" i="45"/>
  <c r="Y165"/>
  <c r="Z165" s="1"/>
  <c r="AA165"/>
  <c r="AB165" s="1"/>
  <c r="X168"/>
  <c r="BD349" i="43" l="1"/>
  <c r="AN349"/>
  <c r="GQ350"/>
  <c r="GP350" s="1"/>
  <c r="GL350" s="1"/>
  <c r="GJ350" s="1"/>
  <c r="GN349"/>
  <c r="HI349"/>
  <c r="HB349"/>
  <c r="GU349"/>
  <c r="W167" i="45"/>
  <c r="Y166"/>
  <c r="Z166" s="1"/>
  <c r="AA166"/>
  <c r="AB166" s="1"/>
  <c r="AO349" i="43" l="1"/>
  <c r="DY349"/>
  <c r="DZ349" s="1"/>
  <c r="GM350"/>
  <c r="GT350"/>
  <c r="GV350" s="1"/>
  <c r="BU350" s="1"/>
  <c r="HA350"/>
  <c r="HC350" s="1"/>
  <c r="CP350" s="1"/>
  <c r="HH350"/>
  <c r="HJ350" s="1"/>
  <c r="DI350" s="1"/>
  <c r="Y167" i="45"/>
  <c r="Z167" s="1"/>
  <c r="W168"/>
  <c r="AA167"/>
  <c r="AB167" s="1"/>
  <c r="GX351" i="43" l="1"/>
  <c r="GW351" s="1"/>
  <c r="GS351" s="1"/>
  <c r="BW350"/>
  <c r="HE351"/>
  <c r="HD351" s="1"/>
  <c r="GZ351" s="1"/>
  <c r="CR350"/>
  <c r="HL351"/>
  <c r="HK351" s="1"/>
  <c r="HG351" s="1"/>
  <c r="DK350"/>
  <c r="FF349"/>
  <c r="AD346" i="45" s="1"/>
  <c r="T346"/>
  <c r="GO350" i="43"/>
  <c r="BB350" s="1"/>
  <c r="GK350"/>
  <c r="Y168" i="45"/>
  <c r="Z168" s="1"/>
  <c r="AA168"/>
  <c r="AB168" s="1"/>
  <c r="W169"/>
  <c r="BD350" i="43" l="1"/>
  <c r="AN350"/>
  <c r="GQ351"/>
  <c r="GP351" s="1"/>
  <c r="HB350"/>
  <c r="GN350"/>
  <c r="GU350"/>
  <c r="HI350"/>
  <c r="Y169" i="45"/>
  <c r="Z169" s="1"/>
  <c r="W170"/>
  <c r="AA169"/>
  <c r="AB169" s="1"/>
  <c r="AO350" i="43" l="1"/>
  <c r="DY350"/>
  <c r="DZ350" s="1"/>
  <c r="GL351"/>
  <c r="GJ351" s="1"/>
  <c r="Y170" i="45"/>
  <c r="Z170" s="1"/>
  <c r="AA170"/>
  <c r="AB170" s="1"/>
  <c r="FF350" i="43" l="1"/>
  <c r="AD347" i="45" s="1"/>
  <c r="T347"/>
  <c r="HH351" i="43"/>
  <c r="HJ351" s="1"/>
  <c r="DI351" s="1"/>
  <c r="GT351"/>
  <c r="GV351" s="1"/>
  <c r="BU351" s="1"/>
  <c r="HA351"/>
  <c r="HC351" s="1"/>
  <c r="CP351" s="1"/>
  <c r="GM351"/>
  <c r="X178" i="45"/>
  <c r="X171"/>
  <c r="W171" s="1"/>
  <c r="Y171" s="1"/>
  <c r="GX352" i="43" l="1"/>
  <c r="GW352" s="1"/>
  <c r="GS352" s="1"/>
  <c r="BW351"/>
  <c r="HL352"/>
  <c r="HK352" s="1"/>
  <c r="HG352" s="1"/>
  <c r="DK351"/>
  <c r="HE352"/>
  <c r="HD352" s="1"/>
  <c r="GZ352" s="1"/>
  <c r="CR351"/>
  <c r="GO351"/>
  <c r="BB351" s="1"/>
  <c r="GK351"/>
  <c r="AA171" i="45"/>
  <c r="AB171" s="1"/>
  <c r="Z171"/>
  <c r="W172"/>
  <c r="BD351" i="43" l="1"/>
  <c r="AN351"/>
  <c r="GQ352"/>
  <c r="GP352" s="1"/>
  <c r="HI351"/>
  <c r="GU351"/>
  <c r="GN351"/>
  <c r="HB351"/>
  <c r="AA172" i="45"/>
  <c r="AB172" s="1"/>
  <c r="W173"/>
  <c r="Y172"/>
  <c r="Z172" s="1"/>
  <c r="AO351" i="43" l="1"/>
  <c r="DY351"/>
  <c r="DZ351" s="1"/>
  <c r="GL352"/>
  <c r="GJ352" s="1"/>
  <c r="Y173" i="45"/>
  <c r="Z173" s="1"/>
  <c r="AA173"/>
  <c r="AB173" s="1"/>
  <c r="W174"/>
  <c r="FF351" i="43" l="1"/>
  <c r="T348" i="45"/>
  <c r="GT352" i="43"/>
  <c r="GV352" s="1"/>
  <c r="BU352" s="1"/>
  <c r="HA352"/>
  <c r="HC352" s="1"/>
  <c r="CP352" s="1"/>
  <c r="HH352"/>
  <c r="HJ352" s="1"/>
  <c r="DI352" s="1"/>
  <c r="GM352"/>
  <c r="Y174" i="45"/>
  <c r="Z174" s="1"/>
  <c r="W175"/>
  <c r="AA174"/>
  <c r="AB174" s="1"/>
  <c r="HE353" i="43" l="1"/>
  <c r="HD353" s="1"/>
  <c r="GZ353" s="1"/>
  <c r="CR352"/>
  <c r="GX353"/>
  <c r="GW353" s="1"/>
  <c r="GS353" s="1"/>
  <c r="BW352"/>
  <c r="HL353"/>
  <c r="HK353" s="1"/>
  <c r="HG353" s="1"/>
  <c r="DK352"/>
  <c r="GO352"/>
  <c r="BB352" s="1"/>
  <c r="GK352"/>
  <c r="AA175" i="45"/>
  <c r="AB175" s="1"/>
  <c r="W176"/>
  <c r="Y175"/>
  <c r="Z175" s="1"/>
  <c r="BD352" i="43" l="1"/>
  <c r="AN352"/>
  <c r="GQ353"/>
  <c r="GP353" s="1"/>
  <c r="GL353" s="1"/>
  <c r="GJ353" s="1"/>
  <c r="HB352"/>
  <c r="GN352"/>
  <c r="GU352"/>
  <c r="HI352"/>
  <c r="Y176" i="45"/>
  <c r="Z176" s="1"/>
  <c r="W177"/>
  <c r="AA176"/>
  <c r="AB176" s="1"/>
  <c r="AO352" i="43" l="1"/>
  <c r="DY352"/>
  <c r="DZ352" s="1"/>
  <c r="GM353"/>
  <c r="HH353"/>
  <c r="HJ353" s="1"/>
  <c r="DI353" s="1"/>
  <c r="HA353"/>
  <c r="HC353" s="1"/>
  <c r="CP353" s="1"/>
  <c r="GT353"/>
  <c r="GV353" s="1"/>
  <c r="BU353" s="1"/>
  <c r="Y177" i="45"/>
  <c r="Z177" s="1"/>
  <c r="AA177"/>
  <c r="AB177" s="1"/>
  <c r="W178"/>
  <c r="HL354" i="43" l="1"/>
  <c r="HK354" s="1"/>
  <c r="HG354" s="1"/>
  <c r="DK353"/>
  <c r="GX354"/>
  <c r="GW354" s="1"/>
  <c r="GS354" s="1"/>
  <c r="BW353"/>
  <c r="HE354"/>
  <c r="HD354" s="1"/>
  <c r="GZ354" s="1"/>
  <c r="CR353"/>
  <c r="FF352"/>
  <c r="T349" i="45"/>
  <c r="GO353" i="43"/>
  <c r="BB353" s="1"/>
  <c r="GK353"/>
  <c r="W179" i="45"/>
  <c r="Y178"/>
  <c r="Z178" s="1"/>
  <c r="AA178"/>
  <c r="AB178" s="1"/>
  <c r="BD353" i="43" l="1"/>
  <c r="AN353"/>
  <c r="GQ354"/>
  <c r="GP354" s="1"/>
  <c r="GN353"/>
  <c r="GU353"/>
  <c r="HI353"/>
  <c r="HB353"/>
  <c r="Y179" i="45"/>
  <c r="Z179" s="1"/>
  <c r="W180"/>
  <c r="AA179"/>
  <c r="AB179" s="1"/>
  <c r="AO353" i="43" l="1"/>
  <c r="DY353"/>
  <c r="DZ353" s="1"/>
  <c r="GL354"/>
  <c r="GJ354" s="1"/>
  <c r="AA180" i="45"/>
  <c r="AB180" s="1"/>
  <c r="W181"/>
  <c r="Y180"/>
  <c r="Z180" s="1"/>
  <c r="FF353" i="43" l="1"/>
  <c r="AD350" i="45" s="1"/>
  <c r="T350"/>
  <c r="HH354" i="43"/>
  <c r="HJ354" s="1"/>
  <c r="DI354" s="1"/>
  <c r="GT354"/>
  <c r="GV354" s="1"/>
  <c r="BU354" s="1"/>
  <c r="HA354"/>
  <c r="HC354" s="1"/>
  <c r="CP354" s="1"/>
  <c r="GM354"/>
  <c r="AA181" i="45"/>
  <c r="AB181" s="1"/>
  <c r="Y181"/>
  <c r="Z181" s="1"/>
  <c r="W182"/>
  <c r="GX355" i="43" l="1"/>
  <c r="GW355" s="1"/>
  <c r="GS355" s="1"/>
  <c r="BW354"/>
  <c r="HL355"/>
  <c r="HK355" s="1"/>
  <c r="HG355" s="1"/>
  <c r="DK354"/>
  <c r="HE355"/>
  <c r="HD355" s="1"/>
  <c r="GZ355" s="1"/>
  <c r="CR354"/>
  <c r="GO354"/>
  <c r="BB354" s="1"/>
  <c r="GK354"/>
  <c r="Y182" i="45"/>
  <c r="Z182" s="1"/>
  <c r="AA182"/>
  <c r="AB182" s="1"/>
  <c r="W183"/>
  <c r="BD354" i="43" l="1"/>
  <c r="GN354"/>
  <c r="HI354"/>
  <c r="HB354"/>
  <c r="GU354"/>
  <c r="AN354"/>
  <c r="GQ355"/>
  <c r="GP355" s="1"/>
  <c r="Y183" i="45"/>
  <c r="Z183" s="1"/>
  <c r="W184"/>
  <c r="AA183"/>
  <c r="AB183" s="1"/>
  <c r="AO354" i="43" l="1"/>
  <c r="DY354"/>
  <c r="DZ354" s="1"/>
  <c r="GL355"/>
  <c r="GJ355" s="1"/>
  <c r="W185" i="45"/>
  <c r="Y184"/>
  <c r="Z184" s="1"/>
  <c r="AA184"/>
  <c r="AB184" s="1"/>
  <c r="FF354" i="43" l="1"/>
  <c r="AD351" i="45" s="1"/>
  <c r="T351"/>
  <c r="HH355" i="43"/>
  <c r="HJ355" s="1"/>
  <c r="DI355" s="1"/>
  <c r="GT355"/>
  <c r="GV355" s="1"/>
  <c r="BU355" s="1"/>
  <c r="HA355"/>
  <c r="HC355" s="1"/>
  <c r="CP355" s="1"/>
  <c r="GM355"/>
  <c r="Y185" i="45"/>
  <c r="Z185" s="1"/>
  <c r="AA185"/>
  <c r="AB185" s="1"/>
  <c r="W186"/>
  <c r="GX356" i="43" l="1"/>
  <c r="GW356" s="1"/>
  <c r="GS356" s="1"/>
  <c r="BW355"/>
  <c r="HL356"/>
  <c r="HK356" s="1"/>
  <c r="HG356" s="1"/>
  <c r="DK355"/>
  <c r="HE356"/>
  <c r="HD356" s="1"/>
  <c r="GZ356" s="1"/>
  <c r="CR355"/>
  <c r="GO355"/>
  <c r="BB355" s="1"/>
  <c r="GK355"/>
  <c r="AA186" i="45"/>
  <c r="AB186" s="1"/>
  <c r="Y186"/>
  <c r="Z186" s="1"/>
  <c r="W187"/>
  <c r="BD355" i="43" l="1"/>
  <c r="AN355"/>
  <c r="GQ356"/>
  <c r="GP356" s="1"/>
  <c r="HB355"/>
  <c r="HI355"/>
  <c r="GN355"/>
  <c r="GU355"/>
  <c r="Y187" i="45"/>
  <c r="Z187" s="1"/>
  <c r="W188"/>
  <c r="AA187"/>
  <c r="AB187" s="1"/>
  <c r="AO355" i="43" l="1"/>
  <c r="DY355"/>
  <c r="DZ355" s="1"/>
  <c r="GL356"/>
  <c r="GJ356" s="1"/>
  <c r="Y188" i="45"/>
  <c r="Z188" s="1"/>
  <c r="W189"/>
  <c r="AA188"/>
  <c r="AB188" s="1"/>
  <c r="FF355" i="43" l="1"/>
  <c r="T352" i="45"/>
  <c r="HA356" i="43"/>
  <c r="HC356" s="1"/>
  <c r="CP356" s="1"/>
  <c r="GT356"/>
  <c r="GV356" s="1"/>
  <c r="BU356" s="1"/>
  <c r="HH356"/>
  <c r="HJ356" s="1"/>
  <c r="DI356" s="1"/>
  <c r="GM356"/>
  <c r="AA189" i="45"/>
  <c r="AB189" s="1"/>
  <c r="Y189"/>
  <c r="Z189" s="1"/>
  <c r="W190"/>
  <c r="HE357" i="43" l="1"/>
  <c r="HD357" s="1"/>
  <c r="GZ357" s="1"/>
  <c r="CR356"/>
  <c r="BW356"/>
  <c r="GX357"/>
  <c r="GW357" s="1"/>
  <c r="GS357" s="1"/>
  <c r="DK356"/>
  <c r="HL357"/>
  <c r="HK357" s="1"/>
  <c r="GO356"/>
  <c r="BB356" s="1"/>
  <c r="GK356"/>
  <c r="AA190" i="45"/>
  <c r="AB190" s="1"/>
  <c r="W191"/>
  <c r="Y190"/>
  <c r="Z190" s="1"/>
  <c r="HG357" i="43" l="1"/>
  <c r="BD356"/>
  <c r="AN356"/>
  <c r="GQ357"/>
  <c r="GP357" s="1"/>
  <c r="GN356"/>
  <c r="HB356"/>
  <c r="HI356"/>
  <c r="GU356"/>
  <c r="Y191" i="45"/>
  <c r="Z191" s="1"/>
  <c r="W192"/>
  <c r="AA191"/>
  <c r="AB191" s="1"/>
  <c r="GL357" i="43" l="1"/>
  <c r="GJ357" s="1"/>
  <c r="AO356"/>
  <c r="DY356"/>
  <c r="DZ356" s="1"/>
  <c r="AA192" i="45"/>
  <c r="AB192" s="1"/>
  <c r="W193"/>
  <c r="Y192"/>
  <c r="Z192" s="1"/>
  <c r="FF356" i="43" l="1"/>
  <c r="T353" i="45"/>
  <c r="GT357" i="43"/>
  <c r="GV357" s="1"/>
  <c r="BU357" s="1"/>
  <c r="HA357"/>
  <c r="HC357" s="1"/>
  <c r="CP357" s="1"/>
  <c r="HH357"/>
  <c r="HJ357" s="1"/>
  <c r="DI357" s="1"/>
  <c r="GM357"/>
  <c r="Y193" i="45"/>
  <c r="Z193" s="1"/>
  <c r="AA193"/>
  <c r="AB193" s="1"/>
  <c r="W194"/>
  <c r="HE358" i="43" l="1"/>
  <c r="HD358" s="1"/>
  <c r="GZ358" s="1"/>
  <c r="CR357"/>
  <c r="GX358"/>
  <c r="GW358" s="1"/>
  <c r="GS358" s="1"/>
  <c r="BW357"/>
  <c r="HL358"/>
  <c r="HK358" s="1"/>
  <c r="HG358" s="1"/>
  <c r="DK357"/>
  <c r="GO357"/>
  <c r="BB357" s="1"/>
  <c r="GK357"/>
  <c r="W195" i="45"/>
  <c r="AA194"/>
  <c r="AB194" s="1"/>
  <c r="Y194"/>
  <c r="Z194" s="1"/>
  <c r="BD357" i="43" l="1"/>
  <c r="AN357"/>
  <c r="GQ358"/>
  <c r="GP358" s="1"/>
  <c r="GU357"/>
  <c r="HI357"/>
  <c r="GN357"/>
  <c r="HB357"/>
  <c r="Y195" i="45"/>
  <c r="Z195" s="1"/>
  <c r="W196"/>
  <c r="AA195"/>
  <c r="AB195" s="1"/>
  <c r="AO357" i="43" l="1"/>
  <c r="DY357"/>
  <c r="DZ357" s="1"/>
  <c r="GL358"/>
  <c r="GJ358" s="1"/>
  <c r="AA196" i="45"/>
  <c r="AB196" s="1"/>
  <c r="Y196"/>
  <c r="Z196" s="1"/>
  <c r="W197"/>
  <c r="FF357" i="43" l="1"/>
  <c r="AD354" i="45" s="1"/>
  <c r="T354"/>
  <c r="HA358" i="43"/>
  <c r="HC358" s="1"/>
  <c r="CP358" s="1"/>
  <c r="HH358"/>
  <c r="HJ358" s="1"/>
  <c r="DI358" s="1"/>
  <c r="GT358"/>
  <c r="GV358" s="1"/>
  <c r="BU358" s="1"/>
  <c r="GM358"/>
  <c r="AA197" i="45"/>
  <c r="AB197" s="1"/>
  <c r="W198"/>
  <c r="Y197"/>
  <c r="Z197" s="1"/>
  <c r="HL359" i="43" l="1"/>
  <c r="HK359" s="1"/>
  <c r="HG359" s="1"/>
  <c r="DK358"/>
  <c r="HE359"/>
  <c r="HD359" s="1"/>
  <c r="GZ359" s="1"/>
  <c r="CR358"/>
  <c r="GX359"/>
  <c r="GW359" s="1"/>
  <c r="GS359" s="1"/>
  <c r="BW358"/>
  <c r="GO358"/>
  <c r="BB358" s="1"/>
  <c r="GK358"/>
  <c r="Y198" i="45"/>
  <c r="Z198" s="1"/>
  <c r="AA198"/>
  <c r="AB198" s="1"/>
  <c r="W199"/>
  <c r="BD358" i="43" l="1"/>
  <c r="AN358"/>
  <c r="GQ359"/>
  <c r="GP359" s="1"/>
  <c r="HB358"/>
  <c r="GN358"/>
  <c r="GU358"/>
  <c r="HI358"/>
  <c r="AA199" i="45"/>
  <c r="AB199" s="1"/>
  <c r="Y199"/>
  <c r="Z199" s="1"/>
  <c r="W200"/>
  <c r="AA200" s="1"/>
  <c r="AB200" s="1"/>
  <c r="AO358" i="43" l="1"/>
  <c r="DY358"/>
  <c r="DZ358" s="1"/>
  <c r="GL359"/>
  <c r="GJ359" s="1"/>
  <c r="W201" i="45"/>
  <c r="W202" s="1"/>
  <c r="W203" s="1"/>
  <c r="W204" s="1"/>
  <c r="Y200"/>
  <c r="Z200" s="1"/>
  <c r="FF358" i="43" l="1"/>
  <c r="AD355" i="45" s="1"/>
  <c r="T355"/>
  <c r="HH359" i="43"/>
  <c r="HJ359" s="1"/>
  <c r="DI359" s="1"/>
  <c r="GT359"/>
  <c r="GV359" s="1"/>
  <c r="BU359" s="1"/>
  <c r="HA359"/>
  <c r="HC359" s="1"/>
  <c r="CP359" s="1"/>
  <c r="GM359"/>
  <c r="W205" i="45"/>
  <c r="Y204"/>
  <c r="Y203"/>
  <c r="AA201"/>
  <c r="AB201" s="1"/>
  <c r="Y201"/>
  <c r="Z201" s="1"/>
  <c r="Y202"/>
  <c r="Z202" s="1"/>
  <c r="AA202"/>
  <c r="AB202" s="1"/>
  <c r="GX360" i="43" l="1"/>
  <c r="GW360" s="1"/>
  <c r="GS360" s="1"/>
  <c r="BW359"/>
  <c r="HL360"/>
  <c r="HK360" s="1"/>
  <c r="HG360" s="1"/>
  <c r="DK359"/>
  <c r="HE360"/>
  <c r="HD360" s="1"/>
  <c r="GZ360" s="1"/>
  <c r="CR359"/>
  <c r="GO359"/>
  <c r="BB359" s="1"/>
  <c r="GK359"/>
  <c r="Y205" i="45"/>
  <c r="Z205" s="1"/>
  <c r="W206"/>
  <c r="W207" s="1"/>
  <c r="W208" s="1"/>
  <c r="W209" s="1"/>
  <c r="W210" s="1"/>
  <c r="W211" s="1"/>
  <c r="W212" s="1"/>
  <c r="W213" s="1"/>
  <c r="W214" s="1"/>
  <c r="W215" s="1"/>
  <c r="AA205"/>
  <c r="AB205" s="1"/>
  <c r="Z204"/>
  <c r="AA204"/>
  <c r="AB204" s="1"/>
  <c r="AA203"/>
  <c r="AB203" s="1"/>
  <c r="Z203"/>
  <c r="BD359" i="43" l="1"/>
  <c r="AN359"/>
  <c r="GQ360"/>
  <c r="GP360" s="1"/>
  <c r="GU359"/>
  <c r="GN359"/>
  <c r="HI359"/>
  <c r="HB359"/>
  <c r="Y215" i="45"/>
  <c r="Z215" s="1"/>
  <c r="AA215"/>
  <c r="AB215" s="1"/>
  <c r="Y214"/>
  <c r="Z214" s="1"/>
  <c r="AA214"/>
  <c r="AB214" s="1"/>
  <c r="Y213"/>
  <c r="Z213" s="1"/>
  <c r="AA213"/>
  <c r="AB213" s="1"/>
  <c r="Y212"/>
  <c r="Z212" s="1"/>
  <c r="AA212"/>
  <c r="AB212" s="1"/>
  <c r="Y211"/>
  <c r="Z211" s="1"/>
  <c r="AA211"/>
  <c r="AB211" s="1"/>
  <c r="Y210"/>
  <c r="Z210" s="1"/>
  <c r="AA210"/>
  <c r="AB210" s="1"/>
  <c r="Y209"/>
  <c r="Z209" s="1"/>
  <c r="AA209"/>
  <c r="AB209" s="1"/>
  <c r="Y208"/>
  <c r="Z208" s="1"/>
  <c r="AA208"/>
  <c r="AB208" s="1"/>
  <c r="Y207"/>
  <c r="Z207" s="1"/>
  <c r="AA207"/>
  <c r="AB207" s="1"/>
  <c r="Y206"/>
  <c r="Z206" s="1"/>
  <c r="AA206"/>
  <c r="AB206" s="1"/>
  <c r="W216"/>
  <c r="Y216" s="1"/>
  <c r="AO359" i="43" l="1"/>
  <c r="DY359"/>
  <c r="DZ359" s="1"/>
  <c r="GL360"/>
  <c r="GJ360" s="1"/>
  <c r="Z216" i="45"/>
  <c r="AA216"/>
  <c r="AB216" s="1"/>
  <c r="W217"/>
  <c r="W218" s="1"/>
  <c r="W219" s="1"/>
  <c r="W220" s="1"/>
  <c r="W221" s="1"/>
  <c r="W222" s="1"/>
  <c r="W223" s="1"/>
  <c r="FF359" i="43" l="1"/>
  <c r="T356" i="45"/>
  <c r="GT360" i="43"/>
  <c r="GV360" s="1"/>
  <c r="BU360" s="1"/>
  <c r="HA360"/>
  <c r="HC360" s="1"/>
  <c r="CP360" s="1"/>
  <c r="HH360"/>
  <c r="HJ360" s="1"/>
  <c r="DI360" s="1"/>
  <c r="GM360"/>
  <c r="W224" i="45"/>
  <c r="Y224" s="1"/>
  <c r="Y223"/>
  <c r="Z223" s="1"/>
  <c r="AA223"/>
  <c r="AB223" s="1"/>
  <c r="Y222"/>
  <c r="Z222" s="1"/>
  <c r="AA222"/>
  <c r="AB222" s="1"/>
  <c r="Y221"/>
  <c r="Z221" s="1"/>
  <c r="AA221"/>
  <c r="AB221" s="1"/>
  <c r="Y220"/>
  <c r="Z220" s="1"/>
  <c r="AA220"/>
  <c r="AB220" s="1"/>
  <c r="Y219"/>
  <c r="Z219" s="1"/>
  <c r="AA219"/>
  <c r="AB219" s="1"/>
  <c r="Y218"/>
  <c r="Z218" s="1"/>
  <c r="AA218"/>
  <c r="AB218" s="1"/>
  <c r="AA217"/>
  <c r="AB217" s="1"/>
  <c r="Y217"/>
  <c r="Z217" s="1"/>
  <c r="HE361" i="43" l="1"/>
  <c r="HD361" s="1"/>
  <c r="GZ361" s="1"/>
  <c r="CR360"/>
  <c r="GX361"/>
  <c r="GW361" s="1"/>
  <c r="GS361" s="1"/>
  <c r="BW360"/>
  <c r="HL361"/>
  <c r="HK361" s="1"/>
  <c r="HG361" s="1"/>
  <c r="DK360"/>
  <c r="GO360"/>
  <c r="BB360" s="1"/>
  <c r="GK360"/>
  <c r="AA224" i="45"/>
  <c r="AB224" s="1"/>
  <c r="W225"/>
  <c r="Z224"/>
  <c r="HB360" i="43" l="1"/>
  <c r="HI360"/>
  <c r="GN360"/>
  <c r="GU360"/>
  <c r="BD360"/>
  <c r="AN360"/>
  <c r="GQ361"/>
  <c r="GP361" s="1"/>
  <c r="W226" i="45"/>
  <c r="Y225"/>
  <c r="Z225" s="1"/>
  <c r="AA225"/>
  <c r="AB225" s="1"/>
  <c r="AO360" i="43" l="1"/>
  <c r="DY360"/>
  <c r="DZ360" s="1"/>
  <c r="GL361"/>
  <c r="GJ361" s="1"/>
  <c r="Y226" i="45"/>
  <c r="Z226" s="1"/>
  <c r="W227"/>
  <c r="AA226"/>
  <c r="AB226" s="1"/>
  <c r="FF360" i="43" l="1"/>
  <c r="T357" i="45"/>
  <c r="HA361" i="43"/>
  <c r="HC361" s="1"/>
  <c r="CP361" s="1"/>
  <c r="HH361"/>
  <c r="HJ361" s="1"/>
  <c r="DI361" s="1"/>
  <c r="GT361"/>
  <c r="GV361" s="1"/>
  <c r="BU361" s="1"/>
  <c r="GM361"/>
  <c r="W228" i="45"/>
  <c r="Y228" s="1"/>
  <c r="Y227"/>
  <c r="Z227" s="1"/>
  <c r="AA227"/>
  <c r="AB227" s="1"/>
  <c r="CR361" i="43" l="1"/>
  <c r="HE362"/>
  <c r="HD362" s="1"/>
  <c r="DK361"/>
  <c r="HL362"/>
  <c r="HK362" s="1"/>
  <c r="BW361"/>
  <c r="GX362"/>
  <c r="GW362" s="1"/>
  <c r="GO361"/>
  <c r="BB361" s="1"/>
  <c r="GK361"/>
  <c r="AA228" i="45"/>
  <c r="AB228" s="1"/>
  <c r="W229"/>
  <c r="Z228"/>
  <c r="HB361" i="43" l="1"/>
  <c r="GU361"/>
  <c r="HI361"/>
  <c r="GN361"/>
  <c r="GZ362"/>
  <c r="GS362"/>
  <c r="BD361"/>
  <c r="AN361"/>
  <c r="GQ362"/>
  <c r="GP362" s="1"/>
  <c r="GL362" s="1"/>
  <c r="HG362"/>
  <c r="W230" i="45"/>
  <c r="Y229"/>
  <c r="Z229" s="1"/>
  <c r="AA229"/>
  <c r="AB229" s="1"/>
  <c r="GJ362" i="43" l="1"/>
  <c r="GM362" s="1"/>
  <c r="GO362" s="1"/>
  <c r="BB362" s="1"/>
  <c r="AO361"/>
  <c r="DY361"/>
  <c r="DZ361" s="1"/>
  <c r="W231" i="45"/>
  <c r="Y230"/>
  <c r="Z230" s="1"/>
  <c r="AA230"/>
  <c r="AB230" s="1"/>
  <c r="FF361" i="43" l="1"/>
  <c r="T358" i="45"/>
  <c r="HA362" i="43"/>
  <c r="HC362" s="1"/>
  <c r="CP362" s="1"/>
  <c r="GT362"/>
  <c r="GV362" s="1"/>
  <c r="BU362" s="1"/>
  <c r="HH362"/>
  <c r="HJ362" s="1"/>
  <c r="DI362" s="1"/>
  <c r="BD362"/>
  <c r="AN362"/>
  <c r="GQ363"/>
  <c r="GP363" s="1"/>
  <c r="HL363"/>
  <c r="HK363" s="1"/>
  <c r="HG363" s="1"/>
  <c r="GX363"/>
  <c r="GW363" s="1"/>
  <c r="HE363"/>
  <c r="HD363" s="1"/>
  <c r="Y231" i="45"/>
  <c r="Z231" s="1"/>
  <c r="AA231"/>
  <c r="AB231" s="1"/>
  <c r="W232"/>
  <c r="BW362" i="43" l="1"/>
  <c r="DK362"/>
  <c r="CR362"/>
  <c r="GK362"/>
  <c r="HB362" s="1"/>
  <c r="AO362"/>
  <c r="DY362"/>
  <c r="DZ362" s="1"/>
  <c r="GZ363"/>
  <c r="GL363"/>
  <c r="GS363"/>
  <c r="W233" i="45"/>
  <c r="Y232"/>
  <c r="Z232" s="1"/>
  <c r="AA232"/>
  <c r="AB232" s="1"/>
  <c r="FF362" i="43" l="1"/>
  <c r="T359" i="45"/>
  <c r="HI362" i="43"/>
  <c r="GN362"/>
  <c r="GU362"/>
  <c r="GJ363"/>
  <c r="HH363" s="1"/>
  <c r="HJ363" s="1"/>
  <c r="DI363" s="1"/>
  <c r="W234" i="45"/>
  <c r="Y234" s="1"/>
  <c r="Y233"/>
  <c r="Z233" s="1"/>
  <c r="AA233"/>
  <c r="AB233" s="1"/>
  <c r="HL364" i="43" l="1"/>
  <c r="HK364" s="1"/>
  <c r="HG364" s="1"/>
  <c r="DK363"/>
  <c r="HA363"/>
  <c r="HC363" s="1"/>
  <c r="CP363" s="1"/>
  <c r="GM363"/>
  <c r="GT363"/>
  <c r="GV363" s="1"/>
  <c r="BU363" s="1"/>
  <c r="AA234" i="45"/>
  <c r="AB234" s="1"/>
  <c r="W235"/>
  <c r="Z234"/>
  <c r="HE364" i="43" l="1"/>
  <c r="HD364" s="1"/>
  <c r="GZ364" s="1"/>
  <c r="CR363"/>
  <c r="GX364"/>
  <c r="GW364" s="1"/>
  <c r="GS364" s="1"/>
  <c r="BW363"/>
  <c r="GK363"/>
  <c r="HB363" s="1"/>
  <c r="GO363"/>
  <c r="BB363" s="1"/>
  <c r="W236" i="45"/>
  <c r="AA236" s="1"/>
  <c r="AB236" s="1"/>
  <c r="Y235"/>
  <c r="Z235" s="1"/>
  <c r="AA235"/>
  <c r="AB235" s="1"/>
  <c r="GQ364" i="43" l="1"/>
  <c r="GP364" s="1"/>
  <c r="GL364" s="1"/>
  <c r="GJ364" s="1"/>
  <c r="BD363"/>
  <c r="AN363"/>
  <c r="HI363"/>
  <c r="GN363"/>
  <c r="GU363"/>
  <c r="W237" i="45"/>
  <c r="Y236"/>
  <c r="Z236" s="1"/>
  <c r="DY363" i="43" l="1"/>
  <c r="DZ363" s="1"/>
  <c r="AO363"/>
  <c r="HH364"/>
  <c r="HJ364" s="1"/>
  <c r="DI364" s="1"/>
  <c r="GT364"/>
  <c r="GV364" s="1"/>
  <c r="BU364" s="1"/>
  <c r="HA364"/>
  <c r="HC364" s="1"/>
  <c r="CP364" s="1"/>
  <c r="GM364"/>
  <c r="W238" i="45"/>
  <c r="Y237"/>
  <c r="Z237" s="1"/>
  <c r="AA237"/>
  <c r="AB237" s="1"/>
  <c r="HL365" i="43" l="1"/>
  <c r="HK365" s="1"/>
  <c r="HG365" s="1"/>
  <c r="DK364"/>
  <c r="HE365"/>
  <c r="HD365" s="1"/>
  <c r="GZ365" s="1"/>
  <c r="CR364"/>
  <c r="GX365"/>
  <c r="GW365" s="1"/>
  <c r="GS365" s="1"/>
  <c r="BW364"/>
  <c r="FF363"/>
  <c r="T360" i="45"/>
  <c r="GK364" i="43"/>
  <c r="GO364"/>
  <c r="BB364" s="1"/>
  <c r="W239" i="45"/>
  <c r="Y239" s="1"/>
  <c r="Y238"/>
  <c r="Z238" s="1"/>
  <c r="AA238"/>
  <c r="AB238" s="1"/>
  <c r="HI364" i="43" l="1"/>
  <c r="HB364"/>
  <c r="GN364"/>
  <c r="GU364"/>
  <c r="BD364"/>
  <c r="AN364"/>
  <c r="GQ365"/>
  <c r="GP365" s="1"/>
  <c r="AA239" i="45"/>
  <c r="AB239" s="1"/>
  <c r="W240"/>
  <c r="Z239"/>
  <c r="AO364" i="43" l="1"/>
  <c r="DY364"/>
  <c r="DZ364" s="1"/>
  <c r="GL365"/>
  <c r="GJ365" s="1"/>
  <c r="W241" i="45"/>
  <c r="Y241" s="1"/>
  <c r="Y240"/>
  <c r="Z240" s="1"/>
  <c r="AA240"/>
  <c r="AB240" s="1"/>
  <c r="FF364" i="43" l="1"/>
  <c r="T361" i="45"/>
  <c r="HH365" i="43"/>
  <c r="HJ365" s="1"/>
  <c r="DI365" s="1"/>
  <c r="HA365"/>
  <c r="HC365" s="1"/>
  <c r="CP365" s="1"/>
  <c r="GT365"/>
  <c r="GV365" s="1"/>
  <c r="BU365" s="1"/>
  <c r="GM365"/>
  <c r="AA241" i="45"/>
  <c r="AB241" s="1"/>
  <c r="W242"/>
  <c r="Z241"/>
  <c r="DK365" i="43" l="1"/>
  <c r="HL366"/>
  <c r="HK366" s="1"/>
  <c r="BW365"/>
  <c r="GX366"/>
  <c r="GW366" s="1"/>
  <c r="CR365"/>
  <c r="HE366"/>
  <c r="HD366" s="1"/>
  <c r="GO365"/>
  <c r="BB365" s="1"/>
  <c r="GK365"/>
  <c r="W243" i="45"/>
  <c r="Y242"/>
  <c r="Z242" s="1"/>
  <c r="AA242"/>
  <c r="AB242" s="1"/>
  <c r="BD365" i="43" l="1"/>
  <c r="HB365"/>
  <c r="GU365"/>
  <c r="HI365"/>
  <c r="GN365"/>
  <c r="HG366"/>
  <c r="GZ366"/>
  <c r="AN365"/>
  <c r="GQ366"/>
  <c r="GP366" s="1"/>
  <c r="GS366"/>
  <c r="W244" i="45"/>
  <c r="Y243"/>
  <c r="Z243" s="1"/>
  <c r="AA243"/>
  <c r="AB243" s="1"/>
  <c r="AO365" i="43" l="1"/>
  <c r="DY365"/>
  <c r="DZ365" s="1"/>
  <c r="GL366"/>
  <c r="GJ366" s="1"/>
  <c r="GM366" s="1"/>
  <c r="W245" i="45"/>
  <c r="Y244"/>
  <c r="Z244" s="1"/>
  <c r="AA244"/>
  <c r="AB244" s="1"/>
  <c r="FF365" i="43" l="1"/>
  <c r="T362" i="45"/>
  <c r="HA366" i="43"/>
  <c r="HC366" s="1"/>
  <c r="CP366" s="1"/>
  <c r="GT366"/>
  <c r="GV366" s="1"/>
  <c r="BU366" s="1"/>
  <c r="HH366"/>
  <c r="HJ366" s="1"/>
  <c r="DI366" s="1"/>
  <c r="GO366"/>
  <c r="BB366" s="1"/>
  <c r="W246" i="45"/>
  <c r="Y246" s="1"/>
  <c r="Y245"/>
  <c r="Z245" s="1"/>
  <c r="AA245"/>
  <c r="AB245" s="1"/>
  <c r="BD366" i="43" l="1"/>
  <c r="GX367"/>
  <c r="GW367" s="1"/>
  <c r="GS367" s="1"/>
  <c r="BW366"/>
  <c r="HE367"/>
  <c r="HD367" s="1"/>
  <c r="GZ367" s="1"/>
  <c r="CR366"/>
  <c r="HL367"/>
  <c r="HK367" s="1"/>
  <c r="HG367" s="1"/>
  <c r="DK366"/>
  <c r="GK366"/>
  <c r="HI366" s="1"/>
  <c r="AN366"/>
  <c r="GQ367"/>
  <c r="GP367" s="1"/>
  <c r="AA246" i="45"/>
  <c r="AB246" s="1"/>
  <c r="W247"/>
  <c r="Z246"/>
  <c r="HB366" i="43" l="1"/>
  <c r="GU366"/>
  <c r="GN366"/>
  <c r="AO366"/>
  <c r="DY366"/>
  <c r="DZ366" s="1"/>
  <c r="GL367"/>
  <c r="GJ367" s="1"/>
  <c r="W248" i="45"/>
  <c r="Y248" s="1"/>
  <c r="Y247"/>
  <c r="Z247" s="1"/>
  <c r="AA247"/>
  <c r="AB247" s="1"/>
  <c r="FF366" i="43" l="1"/>
  <c r="T363" i="45"/>
  <c r="GT367" i="43"/>
  <c r="GV367" s="1"/>
  <c r="BU367" s="1"/>
  <c r="HA367"/>
  <c r="HC367" s="1"/>
  <c r="CP367" s="1"/>
  <c r="HH367"/>
  <c r="HJ367" s="1"/>
  <c r="DI367" s="1"/>
  <c r="GM367"/>
  <c r="AA248" i="45"/>
  <c r="AB248" s="1"/>
  <c r="W249"/>
  <c r="Z248"/>
  <c r="HE368" i="43" l="1"/>
  <c r="HD368" s="1"/>
  <c r="GZ368" s="1"/>
  <c r="CR367"/>
  <c r="GX368"/>
  <c r="GW368" s="1"/>
  <c r="GS368" s="1"/>
  <c r="BW367"/>
  <c r="HL368"/>
  <c r="HK368" s="1"/>
  <c r="HG368" s="1"/>
  <c r="DK367"/>
  <c r="GK367"/>
  <c r="GO367"/>
  <c r="BB367" s="1"/>
  <c r="W250" i="45"/>
  <c r="AA250" s="1"/>
  <c r="AB250" s="1"/>
  <c r="Y249"/>
  <c r="Z249" s="1"/>
  <c r="AA249"/>
  <c r="AB249" s="1"/>
  <c r="BD367" i="43" l="1"/>
  <c r="GU367"/>
  <c r="HI367"/>
  <c r="HB367"/>
  <c r="GN367"/>
  <c r="AN367"/>
  <c r="GQ368"/>
  <c r="GP368" s="1"/>
  <c r="W251" i="45"/>
  <c r="Y250"/>
  <c r="Z250" s="1"/>
  <c r="AO367" i="43" l="1"/>
  <c r="DY367"/>
  <c r="DZ367" s="1"/>
  <c r="GL368"/>
  <c r="GJ368" s="1"/>
  <c r="W252" i="45"/>
  <c r="Y251"/>
  <c r="Z251" s="1"/>
  <c r="AA251"/>
  <c r="AB251" s="1"/>
  <c r="FF367" i="43" l="1"/>
  <c r="T364" i="45"/>
  <c r="GT368" i="43"/>
  <c r="GV368" s="1"/>
  <c r="BU368" s="1"/>
  <c r="HA368"/>
  <c r="HC368" s="1"/>
  <c r="CP368" s="1"/>
  <c r="HH368"/>
  <c r="HJ368" s="1"/>
  <c r="DI368" s="1"/>
  <c r="GM368"/>
  <c r="W253" i="45"/>
  <c r="Y252"/>
  <c r="Z252" s="1"/>
  <c r="AA252"/>
  <c r="AB252" s="1"/>
  <c r="GX369" i="43" l="1"/>
  <c r="GW369" s="1"/>
  <c r="GS369" s="1"/>
  <c r="BW368"/>
  <c r="HL369"/>
  <c r="HK369" s="1"/>
  <c r="HG369" s="1"/>
  <c r="DK368"/>
  <c r="CR368"/>
  <c r="HE369"/>
  <c r="HD369" s="1"/>
  <c r="GO368"/>
  <c r="BB368" s="1"/>
  <c r="GK368"/>
  <c r="Y253" i="45"/>
  <c r="Z253" s="1"/>
  <c r="AA253"/>
  <c r="AB253" s="1"/>
  <c r="W254"/>
  <c r="Y254" s="1"/>
  <c r="BD368" i="43" l="1"/>
  <c r="AN368"/>
  <c r="GQ369"/>
  <c r="GP369" s="1"/>
  <c r="GZ369"/>
  <c r="GN368"/>
  <c r="HI368"/>
  <c r="GU368"/>
  <c r="HB368"/>
  <c r="W255" i="45"/>
  <c r="Z254"/>
  <c r="AA254"/>
  <c r="AB254" s="1"/>
  <c r="AO368" i="43" l="1"/>
  <c r="DY368"/>
  <c r="DZ368" s="1"/>
  <c r="GL369"/>
  <c r="GJ369" s="1"/>
  <c r="W256" i="45"/>
  <c r="Y256" s="1"/>
  <c r="Y255"/>
  <c r="Z255" s="1"/>
  <c r="AA255"/>
  <c r="AB255" s="1"/>
  <c r="FF368" i="43" l="1"/>
  <c r="T365" i="45"/>
  <c r="GT369" i="43"/>
  <c r="GV369" s="1"/>
  <c r="BU369" s="1"/>
  <c r="HH369"/>
  <c r="HJ369" s="1"/>
  <c r="DI369" s="1"/>
  <c r="HA369"/>
  <c r="HC369" s="1"/>
  <c r="CP369" s="1"/>
  <c r="GM369"/>
  <c r="AA256" i="45"/>
  <c r="AB256" s="1"/>
  <c r="W257"/>
  <c r="Z256"/>
  <c r="HL370" i="43" l="1"/>
  <c r="HK370" s="1"/>
  <c r="HG370" s="1"/>
  <c r="DK369"/>
  <c r="GX370"/>
  <c r="GW370" s="1"/>
  <c r="GS370" s="1"/>
  <c r="BW369"/>
  <c r="HE370"/>
  <c r="HD370" s="1"/>
  <c r="GZ370" s="1"/>
  <c r="CR369"/>
  <c r="GO369"/>
  <c r="BB369" s="1"/>
  <c r="GK369"/>
  <c r="W258" i="45"/>
  <c r="W259" s="1"/>
  <c r="W260" s="1"/>
  <c r="Y257"/>
  <c r="Z257" s="1"/>
  <c r="AA257"/>
  <c r="AB257" s="1"/>
  <c r="BD369" i="43" l="1"/>
  <c r="AN369"/>
  <c r="GQ370"/>
  <c r="GP370" s="1"/>
  <c r="HB369"/>
  <c r="GN369"/>
  <c r="HI369"/>
  <c r="GU369"/>
  <c r="Y258" i="45"/>
  <c r="Z258" s="1"/>
  <c r="AA258"/>
  <c r="AB258" s="1"/>
  <c r="AO369" i="43" l="1"/>
  <c r="DY369"/>
  <c r="DZ369" s="1"/>
  <c r="GL370"/>
  <c r="GJ370" s="1"/>
  <c r="W261" i="45"/>
  <c r="W262" s="1"/>
  <c r="W263" s="1"/>
  <c r="W264" s="1"/>
  <c r="W265" s="1"/>
  <c r="W266" s="1"/>
  <c r="W267" s="1"/>
  <c r="W268" s="1"/>
  <c r="W269" s="1"/>
  <c r="W270" s="1"/>
  <c r="Y259"/>
  <c r="Z259" s="1"/>
  <c r="AA259"/>
  <c r="AB259" s="1"/>
  <c r="FF369" i="43" l="1"/>
  <c r="T366" i="45"/>
  <c r="GT370" i="43"/>
  <c r="GV370" s="1"/>
  <c r="BU370" s="1"/>
  <c r="HH370"/>
  <c r="HJ370" s="1"/>
  <c r="DI370" s="1"/>
  <c r="HA370"/>
  <c r="HC370" s="1"/>
  <c r="CP370" s="1"/>
  <c r="GM370"/>
  <c r="Z270" i="45"/>
  <c r="AA270"/>
  <c r="Z269"/>
  <c r="AA269"/>
  <c r="AB269" s="1"/>
  <c r="AA268"/>
  <c r="AB268" s="1"/>
  <c r="Z268"/>
  <c r="Z267"/>
  <c r="AA267"/>
  <c r="AB267" s="1"/>
  <c r="Z266"/>
  <c r="AA266"/>
  <c r="AB266" s="1"/>
  <c r="Z265"/>
  <c r="AA265"/>
  <c r="AB265" s="1"/>
  <c r="Z264"/>
  <c r="AA264"/>
  <c r="AB264" s="1"/>
  <c r="AA263"/>
  <c r="AB263" s="1"/>
  <c r="Z263"/>
  <c r="AA262"/>
  <c r="AB262" s="1"/>
  <c r="Z262"/>
  <c r="AA261"/>
  <c r="AB261" s="1"/>
  <c r="Z261"/>
  <c r="AA260"/>
  <c r="AB260" s="1"/>
  <c r="Z260"/>
  <c r="BW370" i="43" l="1"/>
  <c r="GX371"/>
  <c r="GW371" s="1"/>
  <c r="DK370"/>
  <c r="HL371"/>
  <c r="HK371" s="1"/>
  <c r="CR370"/>
  <c r="HE371"/>
  <c r="HD371" s="1"/>
  <c r="GO370"/>
  <c r="BB370" s="1"/>
  <c r="GK370"/>
  <c r="AB270" i="45"/>
  <c r="W271" s="1"/>
  <c r="Z271" s="1"/>
  <c r="BD370" i="43" l="1"/>
  <c r="HB370"/>
  <c r="GU370"/>
  <c r="GN370"/>
  <c r="HI370"/>
  <c r="GS371"/>
  <c r="GZ371"/>
  <c r="AN370"/>
  <c r="GQ371"/>
  <c r="GP371" s="1"/>
  <c r="HG371"/>
  <c r="AA271" i="45"/>
  <c r="AO370" i="43" l="1"/>
  <c r="DY370"/>
  <c r="DZ370" s="1"/>
  <c r="GL371"/>
  <c r="GJ371" s="1"/>
  <c r="AB271" i="45"/>
  <c r="W272"/>
  <c r="FF370" i="43" l="1"/>
  <c r="T367" i="45"/>
  <c r="HA371" i="43"/>
  <c r="HC371" s="1"/>
  <c r="CP371" s="1"/>
  <c r="HH371"/>
  <c r="HJ371" s="1"/>
  <c r="DI371" s="1"/>
  <c r="GT371"/>
  <c r="GV371" s="1"/>
  <c r="BU371" s="1"/>
  <c r="GM371"/>
  <c r="AA272" i="45"/>
  <c r="Z272"/>
  <c r="HL372" i="43" l="1"/>
  <c r="HK372" s="1"/>
  <c r="HG372" s="1"/>
  <c r="DK371"/>
  <c r="HE372"/>
  <c r="HD372" s="1"/>
  <c r="GZ372" s="1"/>
  <c r="CR371"/>
  <c r="GX372"/>
  <c r="GW372" s="1"/>
  <c r="GS372" s="1"/>
  <c r="BW371"/>
  <c r="GK371"/>
  <c r="GO371"/>
  <c r="BB371" s="1"/>
  <c r="AB272" i="45"/>
  <c r="W273"/>
  <c r="BD371" i="43" l="1"/>
  <c r="HI371"/>
  <c r="GU371"/>
  <c r="HB371"/>
  <c r="GN371"/>
  <c r="AN371"/>
  <c r="GQ372"/>
  <c r="GP372" s="1"/>
  <c r="Z273" i="45"/>
  <c r="AA273"/>
  <c r="AO371" i="43" l="1"/>
  <c r="DY371"/>
  <c r="DZ371" s="1"/>
  <c r="GL372"/>
  <c r="GJ372" s="1"/>
  <c r="AB273" i="45"/>
  <c r="W274"/>
  <c r="FF371" i="43" l="1"/>
  <c r="T368" i="45"/>
  <c r="GT372" i="43"/>
  <c r="GV372" s="1"/>
  <c r="BU372" s="1"/>
  <c r="D76" i="35" s="1"/>
  <c r="HH372" i="43"/>
  <c r="HJ372" s="1"/>
  <c r="DI372" s="1"/>
  <c r="D104" i="35" s="1"/>
  <c r="HA372" i="43"/>
  <c r="HC372" s="1"/>
  <c r="CP372" s="1"/>
  <c r="D91" i="35" s="1"/>
  <c r="GM372" i="43"/>
  <c r="AA274" i="45"/>
  <c r="Z274"/>
  <c r="HL373" i="43" l="1"/>
  <c r="HK373" s="1"/>
  <c r="HG373" s="1"/>
  <c r="DK372"/>
  <c r="D105" i="35" s="1"/>
  <c r="GX373" i="43"/>
  <c r="GW373" s="1"/>
  <c r="GS373" s="1"/>
  <c r="BW372"/>
  <c r="D77" i="35" s="1"/>
  <c r="HE373" i="43"/>
  <c r="HD373" s="1"/>
  <c r="GZ373" s="1"/>
  <c r="CR372"/>
  <c r="D92" i="35" s="1"/>
  <c r="GK372" i="43"/>
  <c r="GO372"/>
  <c r="BB372" s="1"/>
  <c r="AB274" i="45"/>
  <c r="W275"/>
  <c r="D63" i="35" l="1"/>
  <c r="BD372" i="43"/>
  <c r="D64" i="35" s="1"/>
  <c r="AN372" i="43"/>
  <c r="D40" i="35" s="1"/>
  <c r="GQ373" i="43"/>
  <c r="GP373" s="1"/>
  <c r="HB372"/>
  <c r="GN372"/>
  <c r="HI372"/>
  <c r="GU372"/>
  <c r="Z275" i="45"/>
  <c r="W276"/>
  <c r="W277" s="1"/>
  <c r="W278" s="1"/>
  <c r="W279" s="1"/>
  <c r="W280" s="1"/>
  <c r="W281" s="1"/>
  <c r="W282" s="1"/>
  <c r="W283" s="1"/>
  <c r="W284" s="1"/>
  <c r="W285" s="1"/>
  <c r="W286" s="1"/>
  <c r="W287" s="1"/>
  <c r="AA275"/>
  <c r="AB275" s="1"/>
  <c r="AO372" i="43" l="1"/>
  <c r="D39" i="35" s="1"/>
  <c r="DY372" i="43"/>
  <c r="DZ372" s="1"/>
  <c r="GL373"/>
  <c r="GJ373" s="1"/>
  <c r="W288" i="45"/>
  <c r="AA287"/>
  <c r="AB287" s="1"/>
  <c r="Z287"/>
  <c r="AA286"/>
  <c r="AB286" s="1"/>
  <c r="Z286"/>
  <c r="Z285"/>
  <c r="AA285"/>
  <c r="AB285" s="1"/>
  <c r="Z284"/>
  <c r="AA284"/>
  <c r="AB284" s="1"/>
  <c r="Z283"/>
  <c r="AA283"/>
  <c r="AB283" s="1"/>
  <c r="Z282"/>
  <c r="AA282"/>
  <c r="AB282" s="1"/>
  <c r="Z281"/>
  <c r="AA281"/>
  <c r="AB281" s="1"/>
  <c r="Z280"/>
  <c r="AA280"/>
  <c r="AB280" s="1"/>
  <c r="Z279"/>
  <c r="AA279"/>
  <c r="AB279" s="1"/>
  <c r="Z278"/>
  <c r="AA278"/>
  <c r="AB278" s="1"/>
  <c r="Z277"/>
  <c r="AA277"/>
  <c r="AB277" s="1"/>
  <c r="AA276"/>
  <c r="AB276" s="1"/>
  <c r="Z276"/>
  <c r="FF372" i="43" l="1"/>
  <c r="T369" i="45"/>
  <c r="GT373" i="43"/>
  <c r="GV373" s="1"/>
  <c r="BU373" s="1"/>
  <c r="HH373"/>
  <c r="HJ373" s="1"/>
  <c r="DI373" s="1"/>
  <c r="HA373"/>
  <c r="HC373" s="1"/>
  <c r="CP373" s="1"/>
  <c r="GM373"/>
  <c r="W289" i="45"/>
  <c r="AA289" s="1"/>
  <c r="AB289" s="1"/>
  <c r="Z288"/>
  <c r="AA288"/>
  <c r="AB288" s="1"/>
  <c r="E76" i="35" l="1"/>
  <c r="E91"/>
  <c r="E104"/>
  <c r="GX374" i="43"/>
  <c r="GW374" s="1"/>
  <c r="GS374" s="1"/>
  <c r="BW373"/>
  <c r="DK373"/>
  <c r="HL374"/>
  <c r="HK374" s="1"/>
  <c r="CR373"/>
  <c r="HE374"/>
  <c r="HD374" s="1"/>
  <c r="GO373"/>
  <c r="BB373" s="1"/>
  <c r="E63" i="35" s="1"/>
  <c r="GK373" i="43"/>
  <c r="W290" i="45"/>
  <c r="Z289"/>
  <c r="E77" i="35" l="1"/>
  <c r="E92"/>
  <c r="E105"/>
  <c r="BD373" i="43"/>
  <c r="GZ374"/>
  <c r="AN373"/>
  <c r="GQ374"/>
  <c r="GP374" s="1"/>
  <c r="GL374" s="1"/>
  <c r="GN373"/>
  <c r="GU373"/>
  <c r="HI373"/>
  <c r="HB373"/>
  <c r="HG374"/>
  <c r="W291" i="45"/>
  <c r="AA290"/>
  <c r="AB290" s="1"/>
  <c r="Z290"/>
  <c r="E64" i="35" l="1"/>
  <c r="E40"/>
  <c r="GJ374" i="43"/>
  <c r="HA374" s="1"/>
  <c r="HC374" s="1"/>
  <c r="CP374" s="1"/>
  <c r="HE375"/>
  <c r="HD375" s="1"/>
  <c r="AO373"/>
  <c r="DY373"/>
  <c r="DZ373" s="1"/>
  <c r="Z291" i="45"/>
  <c r="W292"/>
  <c r="W293" s="1"/>
  <c r="W294" s="1"/>
  <c r="W295" s="1"/>
  <c r="W296" s="1"/>
  <c r="W297" s="1"/>
  <c r="W298" s="1"/>
  <c r="W299" s="1"/>
  <c r="W300" s="1"/>
  <c r="AA291"/>
  <c r="AB291" s="1"/>
  <c r="E39" i="35" l="1"/>
  <c r="F91"/>
  <c r="CR374" i="43"/>
  <c r="F92" i="35" s="1"/>
  <c r="FF373" i="43"/>
  <c r="T370" i="45"/>
  <c r="GM374" i="43"/>
  <c r="GO374" s="1"/>
  <c r="BB374" s="1"/>
  <c r="GT374"/>
  <c r="GV374" s="1"/>
  <c r="BU374" s="1"/>
  <c r="F76" i="35" s="1"/>
  <c r="HH374" i="43"/>
  <c r="HJ374" s="1"/>
  <c r="DI374" s="1"/>
  <c r="GZ375"/>
  <c r="HL375"/>
  <c r="HK375" s="1"/>
  <c r="W301" i="45"/>
  <c r="Z300"/>
  <c r="AA299"/>
  <c r="AB299" s="1"/>
  <c r="Z299"/>
  <c r="AA298"/>
  <c r="AB298" s="1"/>
  <c r="Z298"/>
  <c r="AA297"/>
  <c r="AB297" s="1"/>
  <c r="Z297"/>
  <c r="AA296"/>
  <c r="AB296" s="1"/>
  <c r="Z296"/>
  <c r="AA295"/>
  <c r="AB295" s="1"/>
  <c r="Z295"/>
  <c r="AA294"/>
  <c r="AB294" s="1"/>
  <c r="Z294"/>
  <c r="AA293"/>
  <c r="AB293" s="1"/>
  <c r="Z293"/>
  <c r="Z292"/>
  <c r="AA292"/>
  <c r="AB292" s="1"/>
  <c r="F63" i="35" l="1"/>
  <c r="F104"/>
  <c r="BD374" i="43"/>
  <c r="F64" i="35" s="1"/>
  <c r="DK374" i="43"/>
  <c r="F105" i="35" s="1"/>
  <c r="GX375" i="43"/>
  <c r="GW375" s="1"/>
  <c r="GS375" s="1"/>
  <c r="BW374"/>
  <c r="F77" i="35" s="1"/>
  <c r="GK374" i="43"/>
  <c r="HI374" s="1"/>
  <c r="HG375"/>
  <c r="AN374"/>
  <c r="F40" i="35" s="1"/>
  <c r="GQ375" i="43"/>
  <c r="GP375" s="1"/>
  <c r="W302" i="45"/>
  <c r="W303" s="1"/>
  <c r="Z301"/>
  <c r="AA301"/>
  <c r="AB301" s="1"/>
  <c r="AA300"/>
  <c r="AB300" s="1"/>
  <c r="GU374" i="43" l="1"/>
  <c r="HB374"/>
  <c r="GN374"/>
  <c r="AO374"/>
  <c r="F39" i="35" s="1"/>
  <c r="DY374" i="43"/>
  <c r="DZ374" s="1"/>
  <c r="GL375"/>
  <c r="GJ375" s="1"/>
  <c r="Z302" i="45"/>
  <c r="AA302"/>
  <c r="AB302" s="1"/>
  <c r="W304"/>
  <c r="Z303"/>
  <c r="AA303"/>
  <c r="AB303" s="1"/>
  <c r="FF374" i="43" l="1"/>
  <c r="T371" i="45"/>
  <c r="GT375" i="43"/>
  <c r="GV375" s="1"/>
  <c r="BU375" s="1"/>
  <c r="HA375"/>
  <c r="HC375" s="1"/>
  <c r="CP375" s="1"/>
  <c r="HH375"/>
  <c r="HJ375" s="1"/>
  <c r="DI375" s="1"/>
  <c r="GM375"/>
  <c r="W305" i="45"/>
  <c r="W306" s="1"/>
  <c r="W307" s="1"/>
  <c r="W308" s="1"/>
  <c r="W309" s="1"/>
  <c r="W310" s="1"/>
  <c r="W311" s="1"/>
  <c r="W312" s="1"/>
  <c r="W313" s="1"/>
  <c r="W314" s="1"/>
  <c r="Z304"/>
  <c r="AA304"/>
  <c r="AB304" s="1"/>
  <c r="G76" i="35" l="1"/>
  <c r="G104"/>
  <c r="G91"/>
  <c r="HE376" i="43"/>
  <c r="HD376" s="1"/>
  <c r="GZ376" s="1"/>
  <c r="CR375"/>
  <c r="GX376"/>
  <c r="GW376" s="1"/>
  <c r="GS376" s="1"/>
  <c r="BW375"/>
  <c r="HL376"/>
  <c r="HK376" s="1"/>
  <c r="HG376" s="1"/>
  <c r="DK375"/>
  <c r="W315" i="45"/>
  <c r="W316" s="1"/>
  <c r="W317" s="1"/>
  <c r="W318" s="1"/>
  <c r="W319" s="1"/>
  <c r="W320" s="1"/>
  <c r="W321" s="1"/>
  <c r="W322" s="1"/>
  <c r="W323" s="1"/>
  <c r="W324" s="1"/>
  <c r="W325" s="1"/>
  <c r="W326" s="1"/>
  <c r="W327" s="1"/>
  <c r="W328" s="1"/>
  <c r="W329" s="1"/>
  <c r="W330" s="1"/>
  <c r="AA310"/>
  <c r="AB310" s="1"/>
  <c r="Z310"/>
  <c r="AA309"/>
  <c r="AB309" s="1"/>
  <c r="Z309"/>
  <c r="AA308"/>
  <c r="AB308" s="1"/>
  <c r="Z308"/>
  <c r="AA307"/>
  <c r="AB307" s="1"/>
  <c r="Z307"/>
  <c r="AA306"/>
  <c r="AB306" s="1"/>
  <c r="Z306"/>
  <c r="GK375" i="43"/>
  <c r="GO375"/>
  <c r="BB375" s="1"/>
  <c r="G63" i="35" s="1"/>
  <c r="Z305" i="45"/>
  <c r="AA305"/>
  <c r="AB305" s="1"/>
  <c r="G105" i="35" l="1"/>
  <c r="G92"/>
  <c r="G77"/>
  <c r="BD375" i="43"/>
  <c r="W331" i="45"/>
  <c r="AA330"/>
  <c r="AB330" s="1"/>
  <c r="Z330"/>
  <c r="AA329"/>
  <c r="AB329" s="1"/>
  <c r="Z329"/>
  <c r="AA328"/>
  <c r="AB328" s="1"/>
  <c r="Z328"/>
  <c r="AA327"/>
  <c r="AB327" s="1"/>
  <c r="Z327"/>
  <c r="AA326"/>
  <c r="AB326" s="1"/>
  <c r="Z326"/>
  <c r="AA325"/>
  <c r="AB325" s="1"/>
  <c r="Z325"/>
  <c r="AA324"/>
  <c r="AB324" s="1"/>
  <c r="Z324"/>
  <c r="Z323"/>
  <c r="AA323"/>
  <c r="AB323" s="1"/>
  <c r="AA322"/>
  <c r="AB322" s="1"/>
  <c r="Z322"/>
  <c r="Z321"/>
  <c r="AA321"/>
  <c r="AB321" s="1"/>
  <c r="AA320"/>
  <c r="AB320" s="1"/>
  <c r="Z320"/>
  <c r="AA319"/>
  <c r="AB319" s="1"/>
  <c r="Z319"/>
  <c r="AA318"/>
  <c r="AB318" s="1"/>
  <c r="Z318"/>
  <c r="AA317"/>
  <c r="AB317" s="1"/>
  <c r="Z317"/>
  <c r="AA316"/>
  <c r="AB316" s="1"/>
  <c r="Z316"/>
  <c r="Z315"/>
  <c r="AA315"/>
  <c r="AB315" s="1"/>
  <c r="AA314"/>
  <c r="AB314" s="1"/>
  <c r="Z314"/>
  <c r="AA313"/>
  <c r="AB313" s="1"/>
  <c r="Z313"/>
  <c r="AA312"/>
  <c r="AB312" s="1"/>
  <c r="Z312"/>
  <c r="AA311"/>
  <c r="AB311" s="1"/>
  <c r="Z311"/>
  <c r="GU375" i="43"/>
  <c r="HI375"/>
  <c r="HB375"/>
  <c r="GN375"/>
  <c r="AN375"/>
  <c r="GQ376"/>
  <c r="GP376" s="1"/>
  <c r="G64" i="35" l="1"/>
  <c r="G40"/>
  <c r="W332" i="45"/>
  <c r="AA331"/>
  <c r="AB331" s="1"/>
  <c r="Z331"/>
  <c r="AO375" i="43"/>
  <c r="DY375"/>
  <c r="DZ375" s="1"/>
  <c r="GL376"/>
  <c r="GJ376" s="1"/>
  <c r="G39" i="35" l="1"/>
  <c r="FF375" i="43"/>
  <c r="T372" i="45"/>
  <c r="AA332"/>
  <c r="AB332" s="1"/>
  <c r="Z332"/>
  <c r="X333"/>
  <c r="W333" s="1"/>
  <c r="HA376" i="43"/>
  <c r="HC376" s="1"/>
  <c r="CP376" s="1"/>
  <c r="H91" i="35" s="1"/>
  <c r="HH376" i="43"/>
  <c r="HJ376" s="1"/>
  <c r="DI376" s="1"/>
  <c r="H104" i="35" s="1"/>
  <c r="GT376" i="43"/>
  <c r="GV376" s="1"/>
  <c r="BU376" s="1"/>
  <c r="H76" i="35" s="1"/>
  <c r="GM376" i="43"/>
  <c r="HE377" l="1"/>
  <c r="HD377" s="1"/>
  <c r="GZ377" s="1"/>
  <c r="CR376"/>
  <c r="H92" i="35" s="1"/>
  <c r="AA333" i="45"/>
  <c r="AB333" s="1"/>
  <c r="X334"/>
  <c r="W334" s="1"/>
  <c r="Z333"/>
  <c r="DK376" i="43"/>
  <c r="H105" i="35" s="1"/>
  <c r="HL377" i="43"/>
  <c r="HK377" s="1"/>
  <c r="HG377" s="1"/>
  <c r="BW376"/>
  <c r="H77" i="35" s="1"/>
  <c r="GX377" i="43"/>
  <c r="GW377" s="1"/>
  <c r="GO376"/>
  <c r="BB376" s="1"/>
  <c r="GK376"/>
  <c r="H63" i="35" l="1"/>
  <c r="BD376" i="43"/>
  <c r="H64" i="35" s="1"/>
  <c r="AA334" i="45"/>
  <c r="AB334" s="1"/>
  <c r="Z334"/>
  <c r="X335"/>
  <c r="W335" s="1"/>
  <c r="GU376" i="43"/>
  <c r="GN376"/>
  <c r="HI376"/>
  <c r="HB376"/>
  <c r="GS377"/>
  <c r="AN376"/>
  <c r="H40" i="35" s="1"/>
  <c r="GQ377" i="43"/>
  <c r="GP377" s="1"/>
  <c r="AA335" i="45" l="1"/>
  <c r="AB335" s="1"/>
  <c r="X336"/>
  <c r="W336" s="1"/>
  <c r="Z335"/>
  <c r="AO376" i="43"/>
  <c r="H39" i="35" s="1"/>
  <c r="DY376" i="43"/>
  <c r="DZ376" s="1"/>
  <c r="GL377"/>
  <c r="GJ377" s="1"/>
  <c r="FF376" l="1"/>
  <c r="T373" i="45"/>
  <c r="AA336"/>
  <c r="AB336" s="1"/>
  <c r="Z336"/>
  <c r="X337"/>
  <c r="W337" s="1"/>
  <c r="HH377" i="43"/>
  <c r="HJ377" s="1"/>
  <c r="DI377" s="1"/>
  <c r="HA377"/>
  <c r="HC377" s="1"/>
  <c r="CP377" s="1"/>
  <c r="GT377"/>
  <c r="GV377" s="1"/>
  <c r="BU377" s="1"/>
  <c r="GM377"/>
  <c r="I91" i="35" l="1"/>
  <c r="I104"/>
  <c r="I76"/>
  <c r="GX378" i="43"/>
  <c r="GW378" s="1"/>
  <c r="GS378" s="1"/>
  <c r="BW377"/>
  <c r="HL378"/>
  <c r="HK378" s="1"/>
  <c r="HG378" s="1"/>
  <c r="DK377"/>
  <c r="AA337" i="45"/>
  <c r="AB337" s="1"/>
  <c r="Z337"/>
  <c r="X338"/>
  <c r="W338" s="1"/>
  <c r="CR377" i="43"/>
  <c r="HE378"/>
  <c r="HD378" s="1"/>
  <c r="GO377"/>
  <c r="BB377" s="1"/>
  <c r="GK377"/>
  <c r="I92" i="35" l="1"/>
  <c r="I63"/>
  <c r="I77"/>
  <c r="I105"/>
  <c r="AA338" i="45"/>
  <c r="AB338" s="1"/>
  <c r="Z338"/>
  <c r="X339"/>
  <c r="W339" s="1"/>
  <c r="BD377" i="43"/>
  <c r="AN377"/>
  <c r="GQ378"/>
  <c r="GP378" s="1"/>
  <c r="GZ378"/>
  <c r="HB377"/>
  <c r="HI377"/>
  <c r="GU377"/>
  <c r="GN377"/>
  <c r="I64" i="35" l="1"/>
  <c r="I40"/>
  <c r="AA339" i="45"/>
  <c r="AB339" s="1"/>
  <c r="X340"/>
  <c r="W340" s="1"/>
  <c r="Z339"/>
  <c r="AO377" i="43"/>
  <c r="DY377"/>
  <c r="DZ377" s="1"/>
  <c r="GL378"/>
  <c r="GJ378" s="1"/>
  <c r="I39" i="35" l="1"/>
  <c r="FF377" i="43"/>
  <c r="T374" i="45"/>
  <c r="AA340"/>
  <c r="AB340" s="1"/>
  <c r="Z340"/>
  <c r="X341"/>
  <c r="W341" s="1"/>
  <c r="GT378" i="43"/>
  <c r="GV378" s="1"/>
  <c r="BU378" s="1"/>
  <c r="J76" i="35" s="1"/>
  <c r="HH378" i="43"/>
  <c r="HJ378" s="1"/>
  <c r="DI378" s="1"/>
  <c r="J104" i="35" s="1"/>
  <c r="HA378" i="43"/>
  <c r="HC378" s="1"/>
  <c r="CP378" s="1"/>
  <c r="J91" i="35" s="1"/>
  <c r="GM378" i="43"/>
  <c r="AA341" i="45" l="1"/>
  <c r="AB341" s="1"/>
  <c r="X342"/>
  <c r="W342" s="1"/>
  <c r="X343" s="1"/>
  <c r="Z341"/>
  <c r="BW378" i="43"/>
  <c r="J77" i="35" s="1"/>
  <c r="GX379" i="43"/>
  <c r="GW379" s="1"/>
  <c r="CR378"/>
  <c r="J92" i="35" s="1"/>
  <c r="HE379" i="43"/>
  <c r="HD379" s="1"/>
  <c r="DK378"/>
  <c r="J105" i="35" s="1"/>
  <c r="HL379" i="43"/>
  <c r="HK379" s="1"/>
  <c r="GO378"/>
  <c r="BB378" s="1"/>
  <c r="GK378"/>
  <c r="J63" i="35" l="1"/>
  <c r="BD378" i="43"/>
  <c r="J64" i="35" s="1"/>
  <c r="AA342" i="45"/>
  <c r="AB342" s="1"/>
  <c r="W343"/>
  <c r="AA343" s="1"/>
  <c r="Z342"/>
  <c r="HI378" i="43"/>
  <c r="HB378"/>
  <c r="GN378"/>
  <c r="GU378"/>
  <c r="GS379"/>
  <c r="HG379"/>
  <c r="AN378"/>
  <c r="J40" i="35" s="1"/>
  <c r="GQ379" i="43"/>
  <c r="GP379" s="1"/>
  <c r="GZ379"/>
  <c r="X344" i="45" l="1"/>
  <c r="W344" s="1"/>
  <c r="AA344" s="1"/>
  <c r="Z343"/>
  <c r="AB343"/>
  <c r="AO378" i="43"/>
  <c r="J39" i="35" s="1"/>
  <c r="DY378" i="43"/>
  <c r="DZ378" s="1"/>
  <c r="GL379"/>
  <c r="GJ379" s="1"/>
  <c r="FF378" l="1"/>
  <c r="T375" i="45"/>
  <c r="X345"/>
  <c r="W345" s="1"/>
  <c r="AA345" s="1"/>
  <c r="Z344"/>
  <c r="AB344"/>
  <c r="HH379" i="43"/>
  <c r="HJ379" s="1"/>
  <c r="DI379" s="1"/>
  <c r="HA379"/>
  <c r="HC379" s="1"/>
  <c r="CP379" s="1"/>
  <c r="GT379"/>
  <c r="GV379" s="1"/>
  <c r="BU379" s="1"/>
  <c r="GM379"/>
  <c r="K91" i="35" l="1"/>
  <c r="K104"/>
  <c r="K76"/>
  <c r="GX380" i="43"/>
  <c r="GW380" s="1"/>
  <c r="GS380" s="1"/>
  <c r="BW379"/>
  <c r="HE380"/>
  <c r="HD380" s="1"/>
  <c r="GZ380" s="1"/>
  <c r="CR379"/>
  <c r="HL380"/>
  <c r="HK380" s="1"/>
  <c r="HG380" s="1"/>
  <c r="DK379"/>
  <c r="X346" i="45"/>
  <c r="W346" s="1"/>
  <c r="Z345"/>
  <c r="AB345"/>
  <c r="GK379" i="43"/>
  <c r="GO379"/>
  <c r="BB379" s="1"/>
  <c r="K105" i="35" l="1"/>
  <c r="K77"/>
  <c r="K63"/>
  <c r="K92"/>
  <c r="Z346" i="45"/>
  <c r="AA346"/>
  <c r="AB346" s="1"/>
  <c r="X347"/>
  <c r="W347" s="1"/>
  <c r="HB379" i="43"/>
  <c r="GN379"/>
  <c r="HI379"/>
  <c r="GU379"/>
  <c r="BD379"/>
  <c r="AN379"/>
  <c r="GQ380"/>
  <c r="GP380" s="1"/>
  <c r="K64" i="35" l="1"/>
  <c r="K40"/>
  <c r="AA347" i="45"/>
  <c r="AB347" s="1"/>
  <c r="X348"/>
  <c r="W348" s="1"/>
  <c r="Z347"/>
  <c r="AO379" i="43"/>
  <c r="DY379"/>
  <c r="DZ379" s="1"/>
  <c r="GL380"/>
  <c r="GJ380" s="1"/>
  <c r="K39" i="35" l="1"/>
  <c r="FF379" i="43"/>
  <c r="T376" i="45"/>
  <c r="AA348"/>
  <c r="AB348" s="1"/>
  <c r="X349"/>
  <c r="W349" s="1"/>
  <c r="Z348"/>
  <c r="GT380" i="43"/>
  <c r="GV380" s="1"/>
  <c r="BU380" s="1"/>
  <c r="L76" i="35" s="1"/>
  <c r="HA380" i="43"/>
  <c r="HC380" s="1"/>
  <c r="CP380" s="1"/>
  <c r="L91" i="35" s="1"/>
  <c r="HH380" i="43"/>
  <c r="HJ380" s="1"/>
  <c r="DI380" s="1"/>
  <c r="L104" i="35" s="1"/>
  <c r="GM380" i="43"/>
  <c r="HL381" l="1"/>
  <c r="HK381" s="1"/>
  <c r="DK380"/>
  <c r="L105" i="35" s="1"/>
  <c r="HE381" i="43"/>
  <c r="HD381" s="1"/>
  <c r="GZ381" s="1"/>
  <c r="CR380"/>
  <c r="L92" i="35" s="1"/>
  <c r="GX381" i="43"/>
  <c r="GW381" s="1"/>
  <c r="GS381" s="1"/>
  <c r="BW380"/>
  <c r="L77" i="35" s="1"/>
  <c r="AA349" i="45"/>
  <c r="AB349" s="1"/>
  <c r="X350"/>
  <c r="W350" s="1"/>
  <c r="Z349"/>
  <c r="HG381" i="43"/>
  <c r="GK380"/>
  <c r="GO380"/>
  <c r="BB380" s="1"/>
  <c r="L63" i="35" s="1"/>
  <c r="AA350" i="45" l="1"/>
  <c r="AB350" s="1"/>
  <c r="Z350"/>
  <c r="X351"/>
  <c r="W351" s="1"/>
  <c r="HB380" i="43"/>
  <c r="GN380"/>
  <c r="GU380"/>
  <c r="HI380"/>
  <c r="BD380"/>
  <c r="L64" i="35" s="1"/>
  <c r="AN380" i="43"/>
  <c r="L40" i="35" s="1"/>
  <c r="GQ381" i="43"/>
  <c r="GP381" s="1"/>
  <c r="AA351" i="45" l="1"/>
  <c r="AB351" s="1"/>
  <c r="X352"/>
  <c r="W352" s="1"/>
  <c r="Z351"/>
  <c r="AO380" i="43"/>
  <c r="L39" i="35" s="1"/>
  <c r="DY380" i="43"/>
  <c r="DZ380" s="1"/>
  <c r="GL381"/>
  <c r="GJ381" s="1"/>
  <c r="FF380" l="1"/>
  <c r="T377" i="45"/>
  <c r="AA352"/>
  <c r="AB352" s="1"/>
  <c r="Z352"/>
  <c r="X353"/>
  <c r="W353" s="1"/>
  <c r="HA381" i="43"/>
  <c r="HC381" s="1"/>
  <c r="CP381" s="1"/>
  <c r="CR381" s="1"/>
  <c r="HH381"/>
  <c r="HJ381" s="1"/>
  <c r="DI381" s="1"/>
  <c r="DK381" s="1"/>
  <c r="GT381"/>
  <c r="GV381" s="1"/>
  <c r="BU381" s="1"/>
  <c r="BW381" s="1"/>
  <c r="GM381"/>
  <c r="AA353" i="45" l="1"/>
  <c r="AB353" s="1"/>
  <c r="Z353"/>
  <c r="X354"/>
  <c r="W354" s="1"/>
  <c r="GO381" i="43"/>
  <c r="BB381" s="1"/>
  <c r="GK381"/>
  <c r="AA354" i="45" l="1"/>
  <c r="AB354" s="1"/>
  <c r="X355"/>
  <c r="W355" s="1"/>
  <c r="Z354"/>
  <c r="BD381" i="43"/>
  <c r="AN381"/>
  <c r="HI381"/>
  <c r="GU381"/>
  <c r="HB381"/>
  <c r="GN381"/>
  <c r="AA355" i="45" l="1"/>
  <c r="AB355" s="1"/>
  <c r="X356"/>
  <c r="W356" s="1"/>
  <c r="Z355"/>
  <c r="AO381" i="43"/>
  <c r="DY381"/>
  <c r="DZ381" s="1"/>
  <c r="FF381" l="1"/>
  <c r="T378" i="45"/>
  <c r="AA356"/>
  <c r="AB356" s="1"/>
  <c r="Z356"/>
  <c r="X357"/>
  <c r="W357" s="1"/>
  <c r="AA357" l="1"/>
  <c r="AB357" s="1"/>
  <c r="X358"/>
  <c r="W358" s="1"/>
  <c r="Z357"/>
  <c r="AA358" l="1"/>
  <c r="AB358" s="1"/>
  <c r="Z358"/>
  <c r="X359"/>
  <c r="W359" s="1"/>
  <c r="AA359" l="1"/>
  <c r="AB359" s="1"/>
  <c r="Z359"/>
  <c r="X360"/>
  <c r="W360" s="1"/>
  <c r="AA360" l="1"/>
  <c r="AB360" s="1"/>
  <c r="Z360"/>
  <c r="X361"/>
  <c r="W361" s="1"/>
  <c r="AA361" l="1"/>
  <c r="AB361" s="1"/>
  <c r="Z361"/>
  <c r="X362"/>
  <c r="W362" s="1"/>
  <c r="AA362" l="1"/>
  <c r="AB362" s="1"/>
  <c r="X363"/>
  <c r="W363" s="1"/>
  <c r="Z362"/>
  <c r="AA363" l="1"/>
  <c r="AB363" s="1"/>
  <c r="X364"/>
  <c r="W364" s="1"/>
  <c r="Z363"/>
  <c r="AA364" l="1"/>
  <c r="AB364" s="1"/>
  <c r="X365"/>
  <c r="W365" s="1"/>
  <c r="Z364"/>
  <c r="AA365" l="1"/>
  <c r="AB365" s="1"/>
  <c r="X366"/>
  <c r="W366" s="1"/>
  <c r="Z365"/>
  <c r="AA366" l="1"/>
  <c r="AB366" s="1"/>
  <c r="X367"/>
  <c r="W367" s="1"/>
  <c r="Z366"/>
  <c r="AA367" l="1"/>
  <c r="AB367" s="1"/>
  <c r="Z367"/>
  <c r="X368"/>
  <c r="W368" s="1"/>
  <c r="AA368" l="1"/>
  <c r="AB368" s="1"/>
  <c r="Z368"/>
  <c r="X369"/>
  <c r="W369" s="1"/>
  <c r="AA369" l="1"/>
  <c r="AB369" s="1"/>
  <c r="Z369"/>
  <c r="X370"/>
  <c r="W370" s="1"/>
  <c r="AA370" l="1"/>
  <c r="AB370" s="1"/>
  <c r="Z370"/>
  <c r="X371"/>
  <c r="W371" s="1"/>
  <c r="AA371" l="1"/>
  <c r="AB371" s="1"/>
  <c r="Z371"/>
  <c r="X372"/>
  <c r="W372" s="1"/>
  <c r="AA372" l="1"/>
  <c r="AB372" s="1"/>
  <c r="X373"/>
  <c r="W373" s="1"/>
  <c r="Z372"/>
  <c r="AA373" l="1"/>
  <c r="AB373" s="1"/>
  <c r="X374"/>
  <c r="W374" s="1"/>
  <c r="Z373"/>
  <c r="AA374" l="1"/>
  <c r="AB374" s="1"/>
  <c r="Z374"/>
  <c r="X375"/>
  <c r="W375" s="1"/>
  <c r="AA375" l="1"/>
  <c r="AB375" s="1"/>
  <c r="X376"/>
  <c r="W376" s="1"/>
  <c r="Z375"/>
  <c r="AA376" l="1"/>
  <c r="AB376" s="1"/>
  <c r="Z376"/>
  <c r="X377"/>
  <c r="W377" s="1"/>
  <c r="AA377" l="1"/>
  <c r="AB377" s="1"/>
  <c r="X378"/>
  <c r="W378" s="1"/>
  <c r="Z377"/>
  <c r="AA378" l="1"/>
  <c r="AB378" s="1"/>
  <c r="Z378"/>
  <c r="X379"/>
  <c r="W379" s="1"/>
  <c r="AA379" l="1"/>
  <c r="AB379" s="1"/>
  <c r="X380"/>
  <c r="W380" s="1"/>
  <c r="Z379"/>
  <c r="AA380" l="1"/>
  <c r="AB380" s="1"/>
  <c r="X381"/>
  <c r="W381" s="1"/>
  <c r="Z380"/>
  <c r="AA381" l="1"/>
  <c r="AB381" s="1"/>
  <c r="X382"/>
  <c r="W382" s="1"/>
  <c r="Z381"/>
  <c r="AA382" l="1"/>
  <c r="AB382" s="1"/>
  <c r="X383"/>
  <c r="W383" s="1"/>
  <c r="Z382"/>
  <c r="AA383" l="1"/>
  <c r="AB383" s="1"/>
  <c r="X384"/>
  <c r="W384" s="1"/>
  <c r="Z383"/>
  <c r="X385" l="1"/>
  <c r="AA384"/>
  <c r="AB384" s="1"/>
  <c r="Z384"/>
</calcChain>
</file>

<file path=xl/comments1.xml><?xml version="1.0" encoding="utf-8"?>
<comments xmlns="http://schemas.openxmlformats.org/spreadsheetml/2006/main">
  <authors>
    <author>cnelson</author>
    <author>Johnson, Christopher</author>
    <author>jmoline</author>
    <author>cjohnso2</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A2" authorId="0">
      <text>
        <r>
          <rPr>
            <b/>
            <sz val="10"/>
            <color indexed="81"/>
            <rFont val="Tahoma"/>
            <family val="2"/>
          </rPr>
          <t>cnelson:1/13/14</t>
        </r>
        <r>
          <rPr>
            <sz val="10"/>
            <color indexed="81"/>
            <rFont val="Tahoma"/>
            <family val="2"/>
          </rPr>
          <t xml:space="preserve">
Changed equation from R-T-W to Q-T-W</t>
        </r>
      </text>
    </comment>
    <comment ref="S5" authorId="0">
      <text>
        <r>
          <rPr>
            <b/>
            <sz val="10"/>
            <color indexed="81"/>
            <rFont val="Tahoma"/>
            <family val="2"/>
          </rPr>
          <t>cnelson:</t>
        </r>
        <r>
          <rPr>
            <sz val="10"/>
            <color indexed="81"/>
            <rFont val="Tahoma"/>
            <family val="2"/>
          </rPr>
          <t xml:space="preserve">
First day set to 0
</t>
        </r>
      </text>
    </comment>
    <comment ref="T156" authorId="0">
      <text>
        <r>
          <rPr>
            <b/>
            <sz val="10"/>
            <color indexed="81"/>
            <rFont val="Tahoma"/>
            <family val="2"/>
          </rPr>
          <t>cnelson:
manually edited.</t>
        </r>
      </text>
    </comment>
    <comment ref="W161" authorId="0">
      <text>
        <r>
          <rPr>
            <b/>
            <sz val="10"/>
            <color indexed="81"/>
            <rFont val="Tahoma"/>
            <family val="2"/>
          </rPr>
          <t xml:space="preserve">cnelson:
</t>
        </r>
        <r>
          <rPr>
            <sz val="10"/>
            <color indexed="81"/>
            <rFont val="Tahoma"/>
            <family val="2"/>
          </rPr>
          <t>Manually added 5k to 1135 due to Corps declaring full storage.</t>
        </r>
      </text>
    </comment>
    <comment ref="X169" authorId="0">
      <text>
        <r>
          <rPr>
            <b/>
            <sz val="10"/>
            <color indexed="81"/>
            <rFont val="Tahoma"/>
            <family val="2"/>
          </rPr>
          <t>cnelson:</t>
        </r>
        <r>
          <rPr>
            <sz val="10"/>
            <color indexed="81"/>
            <rFont val="Tahoma"/>
            <family val="2"/>
          </rPr>
          <t xml:space="preserve">
manual adjustment may be needed.</t>
        </r>
      </text>
    </comment>
    <comment ref="Y169" authorId="0">
      <text>
        <r>
          <rPr>
            <b/>
            <sz val="10"/>
            <color indexed="81"/>
            <rFont val="Tahoma"/>
            <family val="2"/>
          </rPr>
          <t>cnelson:</t>
        </r>
        <r>
          <rPr>
            <sz val="10"/>
            <color indexed="81"/>
            <rFont val="Tahoma"/>
            <family val="2"/>
          </rPr>
          <t xml:space="preserve">
Manual adjustment may be needed.</t>
        </r>
      </text>
    </comment>
    <comment ref="W177" authorId="0">
      <text>
        <r>
          <rPr>
            <b/>
            <sz val="10"/>
            <color indexed="81"/>
            <rFont val="Tahoma"/>
            <family val="2"/>
          </rPr>
          <t>cnelson:</t>
        </r>
        <r>
          <rPr>
            <sz val="10"/>
            <color indexed="81"/>
            <rFont val="Tahoma"/>
            <family val="2"/>
          </rPr>
          <t xml:space="preserve">
Added 10k AF donation
</t>
        </r>
      </text>
    </comment>
    <comment ref="Y177" authorId="0">
      <text>
        <r>
          <rPr>
            <b/>
            <sz val="10"/>
            <color indexed="81"/>
            <rFont val="Tahoma"/>
            <family val="2"/>
          </rPr>
          <t>cnelson:</t>
        </r>
        <r>
          <rPr>
            <sz val="10"/>
            <color indexed="81"/>
            <rFont val="Tahoma"/>
            <family val="2"/>
          </rPr>
          <t xml:space="preserve">
Adjusted equation for donation to 1135</t>
        </r>
      </text>
    </comment>
    <comment ref="X181" authorId="0">
      <text>
        <r>
          <rPr>
            <b/>
            <sz val="10"/>
            <color indexed="81"/>
            <rFont val="Tahoma"/>
            <family val="2"/>
          </rPr>
          <t>cnelson:</t>
        </r>
        <r>
          <rPr>
            <sz val="10"/>
            <color indexed="81"/>
            <rFont val="Tahoma"/>
            <family val="2"/>
          </rPr>
          <t xml:space="preserve">
COE using 100cfs 1135 per K. Brettmann email to maintain 700cfs at Auburn through July 2nd.</t>
        </r>
      </text>
    </comment>
    <comment ref="W191" authorId="0">
      <text>
        <r>
          <rPr>
            <b/>
            <sz val="10"/>
            <color indexed="81"/>
            <rFont val="Tahoma"/>
            <family val="2"/>
          </rPr>
          <t>cnelson:</t>
        </r>
        <r>
          <rPr>
            <sz val="10"/>
            <color indexed="81"/>
            <rFont val="Tahoma"/>
            <family val="2"/>
          </rPr>
          <t xml:space="preserve">
12,280 per Ken</t>
        </r>
      </text>
    </comment>
    <comment ref="X202" authorId="0">
      <text>
        <r>
          <rPr>
            <b/>
            <sz val="10"/>
            <color indexed="81"/>
            <rFont val="Tahoma"/>
            <family val="2"/>
          </rPr>
          <t>cnelson:</t>
        </r>
        <r>
          <rPr>
            <sz val="10"/>
            <color indexed="81"/>
            <rFont val="Tahoma"/>
            <family val="2"/>
          </rPr>
          <t xml:space="preserve">
Adjusted 1135 usage from June 28 to July 13th to match ACOE 1135 storage total as of midnight on 7/13.
</t>
        </r>
      </text>
    </comment>
    <comment ref="X241" authorId="0">
      <text>
        <r>
          <rPr>
            <b/>
            <sz val="10"/>
            <color indexed="81"/>
            <rFont val="Tahoma"/>
            <family val="2"/>
          </rPr>
          <t>cnelson: 2014.
values obtained from ACOE.</t>
        </r>
      </text>
    </comment>
    <comment ref="AM241" authorId="0">
      <text>
        <r>
          <rPr>
            <b/>
            <sz val="10"/>
            <color indexed="81"/>
            <rFont val="Tahoma"/>
            <family val="2"/>
          </rPr>
          <t>cnelson: 2014.
values obtained from ACOE.</t>
        </r>
      </text>
    </comment>
    <comment ref="X246" authorId="0">
      <text>
        <r>
          <rPr>
            <b/>
            <sz val="10"/>
            <color indexed="81"/>
            <rFont val="Tahoma"/>
            <family val="2"/>
          </rPr>
          <t>cnelson:</t>
        </r>
        <r>
          <rPr>
            <sz val="10"/>
            <color indexed="81"/>
            <rFont val="Tahoma"/>
            <family val="2"/>
          </rPr>
          <t xml:space="preserve">
Revised 1135 numbers per phone call with Ken with ACOE.</t>
        </r>
      </text>
    </comment>
    <comment ref="AM246" authorId="0">
      <text>
        <r>
          <rPr>
            <b/>
            <sz val="10"/>
            <color indexed="81"/>
            <rFont val="Tahoma"/>
            <family val="2"/>
          </rPr>
          <t>cnelson:</t>
        </r>
        <r>
          <rPr>
            <sz val="10"/>
            <color indexed="81"/>
            <rFont val="Tahoma"/>
            <family val="2"/>
          </rPr>
          <t xml:space="preserve">
Revised 1135 numbers per phone call with Ken with ACOE.</t>
        </r>
      </text>
    </comment>
    <comment ref="W260" authorId="0">
      <text>
        <r>
          <rPr>
            <b/>
            <sz val="10"/>
            <color indexed="81"/>
            <rFont val="Tahoma"/>
            <family val="2"/>
          </rPr>
          <t>cnelson:2014</t>
        </r>
        <r>
          <rPr>
            <sz val="10"/>
            <color indexed="81"/>
            <rFont val="Tahoma"/>
            <family val="2"/>
          </rPr>
          <t xml:space="preserve">
Tacoma donation to 1135 of 1,000 AF.</t>
        </r>
      </text>
    </comment>
    <comment ref="Y260" authorId="0">
      <text>
        <r>
          <rPr>
            <b/>
            <sz val="10"/>
            <color indexed="81"/>
            <rFont val="Tahoma"/>
            <family val="2"/>
          </rPr>
          <t>cnelson: 2014</t>
        </r>
        <r>
          <rPr>
            <sz val="10"/>
            <color indexed="81"/>
            <rFont val="Tahoma"/>
            <family val="2"/>
          </rPr>
          <t xml:space="preserve">
Tacoma donation of 2,500 AF to 1135.</t>
        </r>
      </text>
    </comment>
    <comment ref="X268" authorId="0">
      <text>
        <r>
          <rPr>
            <b/>
            <sz val="10"/>
            <color indexed="81"/>
            <rFont val="Tahoma"/>
            <family val="2"/>
          </rPr>
          <t>cnelson:2014</t>
        </r>
        <r>
          <rPr>
            <sz val="10"/>
            <color indexed="81"/>
            <rFont val="Tahoma"/>
            <family val="2"/>
          </rPr>
          <t xml:space="preserve">
per Fill Call, estimated ramping up of 1135 water.</t>
        </r>
      </text>
    </comment>
    <comment ref="W269" authorId="0">
      <text>
        <r>
          <rPr>
            <b/>
            <sz val="10"/>
            <color indexed="81"/>
            <rFont val="Tahoma"/>
            <family val="2"/>
          </rPr>
          <t>cnelson:2013</t>
        </r>
        <r>
          <rPr>
            <sz val="10"/>
            <color indexed="81"/>
            <rFont val="Tahoma"/>
            <family val="2"/>
          </rPr>
          <t xml:space="preserve">
1,500AF donation
</t>
        </r>
      </text>
    </comment>
    <comment ref="W270" authorId="3">
      <text>
        <r>
          <rPr>
            <b/>
            <sz val="8"/>
            <color indexed="81"/>
            <rFont val="Tahoma"/>
            <family val="2"/>
          </rPr>
          <t>cjohnso2:2013</t>
        </r>
        <r>
          <rPr>
            <sz val="8"/>
            <color indexed="81"/>
            <rFont val="Tahoma"/>
            <family val="2"/>
          </rPr>
          <t xml:space="preserve">
Donated 1500 AF of Storage on 9/18/12</t>
        </r>
      </text>
    </comment>
    <comment ref="X270" authorId="3">
      <text>
        <r>
          <rPr>
            <b/>
            <sz val="8"/>
            <color indexed="81"/>
            <rFont val="Tahoma"/>
            <family val="2"/>
          </rPr>
          <t>cjohnso2:2013</t>
        </r>
        <r>
          <rPr>
            <sz val="8"/>
            <color indexed="81"/>
            <rFont val="Tahoma"/>
            <family val="2"/>
          </rPr>
          <t xml:space="preserve">
Manual Adjust to make guide curve match.  Donation messes up formula.</t>
        </r>
      </text>
    </comment>
    <comment ref="X274" authorId="1">
      <text>
        <r>
          <rPr>
            <b/>
            <sz val="9"/>
            <color indexed="81"/>
            <rFont val="Tahoma"/>
            <family val="2"/>
          </rPr>
          <t>Johnson, Christopher:</t>
        </r>
        <r>
          <rPr>
            <sz val="9"/>
            <color indexed="81"/>
            <rFont val="Tahoma"/>
            <family val="2"/>
          </rPr>
          <t xml:space="preserve">
Changed in order to make HHD conservation match guidecurve</t>
        </r>
      </text>
    </comment>
    <comment ref="X275" authorId="1">
      <text>
        <r>
          <rPr>
            <b/>
            <sz val="9"/>
            <color indexed="81"/>
            <rFont val="Tahoma"/>
            <family val="2"/>
          </rPr>
          <t>Johnson, Christopher:</t>
        </r>
        <r>
          <rPr>
            <sz val="9"/>
            <color indexed="81"/>
            <rFont val="Tahoma"/>
            <family val="2"/>
          </rPr>
          <t xml:space="preserve">
Changed in order to make HHD conservation match guidecurve</t>
        </r>
      </text>
    </comment>
    <comment ref="W288" authorId="0">
      <text>
        <r>
          <rPr>
            <b/>
            <sz val="10"/>
            <color indexed="81"/>
            <rFont val="Tahoma"/>
            <family val="2"/>
          </rPr>
          <t>cnelson:2014</t>
        </r>
        <r>
          <rPr>
            <sz val="10"/>
            <color indexed="81"/>
            <rFont val="Tahoma"/>
            <family val="2"/>
          </rPr>
          <t xml:space="preserve">
1,000AF donation from Tacoma to 1135.</t>
        </r>
      </text>
    </comment>
    <comment ref="W289" authorId="1">
      <text>
        <r>
          <rPr>
            <b/>
            <sz val="9"/>
            <color indexed="81"/>
            <rFont val="Tahoma"/>
            <family val="2"/>
          </rPr>
          <t>Johnson, Christopher:2013</t>
        </r>
        <r>
          <rPr>
            <sz val="9"/>
            <color indexed="81"/>
            <rFont val="Tahoma"/>
            <family val="2"/>
          </rPr>
          <t xml:space="preserve">
Donation of 400 AF</t>
        </r>
      </text>
    </comment>
    <comment ref="W302" authorId="0">
      <text>
        <r>
          <rPr>
            <b/>
            <sz val="10"/>
            <color indexed="81"/>
            <rFont val="Tahoma"/>
            <family val="2"/>
          </rPr>
          <t>cnelson:</t>
        </r>
        <r>
          <rPr>
            <sz val="10"/>
            <color indexed="81"/>
            <rFont val="Tahoma"/>
            <family val="2"/>
          </rPr>
          <t xml:space="preserve">
Manually adjusted to add 900 AF donation from Tacoma.</t>
        </r>
      </text>
    </comment>
  </commentList>
</comments>
</file>

<file path=xl/comments10.xml><?xml version="1.0" encoding="utf-8"?>
<comments xmlns="http://schemas.openxmlformats.org/spreadsheetml/2006/main">
  <authors>
    <author>cnelson</author>
  </authors>
  <commentList>
    <comment ref="M47" authorId="0">
      <text>
        <r>
          <rPr>
            <b/>
            <sz val="10"/>
            <color indexed="81"/>
            <rFont val="Tahoma"/>
            <family val="2"/>
          </rPr>
          <t>cnelson:</t>
        </r>
        <r>
          <rPr>
            <sz val="10"/>
            <color indexed="81"/>
            <rFont val="Tahoma"/>
            <family val="2"/>
          </rPr>
          <t xml:space="preserve">
must be current year.</t>
        </r>
      </text>
    </comment>
  </commentList>
</comments>
</file>

<file path=xl/comments2.xml><?xml version="1.0" encoding="utf-8"?>
<comments xmlns="http://schemas.openxmlformats.org/spreadsheetml/2006/main">
  <authors>
    <author>cnelson</author>
  </authors>
  <commentList>
    <comment ref="A17" authorId="0">
      <text>
        <r>
          <rPr>
            <b/>
            <sz val="10"/>
            <color indexed="81"/>
            <rFont val="Tahoma"/>
            <family val="2"/>
          </rPr>
          <t>cnelson:</t>
        </r>
        <r>
          <rPr>
            <sz val="10"/>
            <color indexed="81"/>
            <rFont val="Tahoma"/>
            <family val="2"/>
          </rPr>
          <t xml:space="preserve">
Only when pulling off of PL1.</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Michael Washington</author>
    <author>jmoline</author>
    <author>cnelson</author>
    <author>svaughan</author>
    <author>cjohnso2</author>
  </authors>
  <commentList>
    <comment ref="D7" authorId="0">
      <text>
        <r>
          <rPr>
            <b/>
            <sz val="8"/>
            <color indexed="81"/>
            <rFont val="Tahoma"/>
            <family val="2"/>
          </rPr>
          <t>Michael Washington:</t>
        </r>
        <r>
          <rPr>
            <sz val="8"/>
            <color indexed="81"/>
            <rFont val="Tahoma"/>
            <family val="2"/>
          </rPr>
          <t xml:space="preserve">
Tacoma Report Page - Row 35</t>
        </r>
      </text>
    </comment>
    <comment ref="E7" authorId="0">
      <text>
        <r>
          <rPr>
            <b/>
            <sz val="8"/>
            <color indexed="81"/>
            <rFont val="Tahoma"/>
            <family val="2"/>
          </rPr>
          <t>Michael Washington:</t>
        </r>
        <r>
          <rPr>
            <sz val="8"/>
            <color indexed="81"/>
            <rFont val="Tahoma"/>
            <family val="2"/>
          </rPr>
          <t xml:space="preserve">
Tacoma Report Page - Row 36</t>
        </r>
      </text>
    </comment>
    <comment ref="F7" authorId="0">
      <text>
        <r>
          <rPr>
            <b/>
            <sz val="8"/>
            <color indexed="81"/>
            <rFont val="Tahoma"/>
            <family val="2"/>
          </rPr>
          <t>Michael Washington:</t>
        </r>
        <r>
          <rPr>
            <sz val="8"/>
            <color indexed="81"/>
            <rFont val="Tahoma"/>
            <family val="2"/>
          </rPr>
          <t xml:space="preserve">
Tacoma Report Page - Row 37</t>
        </r>
      </text>
    </comment>
    <comment ref="G7" authorId="0">
      <text>
        <r>
          <rPr>
            <b/>
            <sz val="8"/>
            <color indexed="81"/>
            <rFont val="Tahoma"/>
            <family val="2"/>
          </rPr>
          <t>Michael Washington:</t>
        </r>
        <r>
          <rPr>
            <sz val="8"/>
            <color indexed="81"/>
            <rFont val="Tahoma"/>
            <family val="2"/>
          </rPr>
          <t xml:space="preserve">
Tacoma Report Page - Row 35</t>
        </r>
      </text>
    </comment>
    <comment ref="H7" authorId="0">
      <text>
        <r>
          <rPr>
            <b/>
            <sz val="8"/>
            <color indexed="81"/>
            <rFont val="Tahoma"/>
            <family val="2"/>
          </rPr>
          <t>Michael Washington:</t>
        </r>
        <r>
          <rPr>
            <sz val="8"/>
            <color indexed="81"/>
            <rFont val="Tahoma"/>
            <family val="2"/>
          </rPr>
          <t xml:space="preserve">
Tacoma Report Page - Row 28, Regional Water Supply  Page - Row 41</t>
        </r>
      </text>
    </comment>
    <comment ref="I7" authorId="1">
      <text>
        <r>
          <rPr>
            <b/>
            <sz val="8"/>
            <color indexed="81"/>
            <rFont val="Tahoma"/>
            <family val="2"/>
          </rPr>
          <t>jmoline:</t>
        </r>
        <r>
          <rPr>
            <sz val="8"/>
            <color indexed="81"/>
            <rFont val="Tahoma"/>
            <family val="2"/>
          </rPr>
          <t xml:space="preserve">
added units to all column headings on 5/10/10</t>
        </r>
      </text>
    </comment>
    <comment ref="BB7" authorId="1">
      <text>
        <r>
          <rPr>
            <b/>
            <sz val="8"/>
            <color indexed="81"/>
            <rFont val="Tahoma"/>
            <family val="2"/>
          </rPr>
          <t>jmoline:</t>
        </r>
        <r>
          <rPr>
            <sz val="8"/>
            <color indexed="81"/>
            <rFont val="Tahoma"/>
            <family val="2"/>
          </rPr>
          <t xml:space="preserve">
changed from "Black Diamond Wholesale" to allow data from Auburn, etc.</t>
        </r>
      </text>
    </comment>
    <comment ref="EM7" authorId="1">
      <text>
        <r>
          <rPr>
            <b/>
            <sz val="8"/>
            <color indexed="81"/>
            <rFont val="Tahoma"/>
            <family val="2"/>
          </rPr>
          <t>jmoline:</t>
        </r>
        <r>
          <rPr>
            <sz val="8"/>
            <color indexed="81"/>
            <rFont val="Tahoma"/>
            <family val="2"/>
          </rPr>
          <t xml:space="preserve">
added 5/6/10</t>
        </r>
      </text>
    </comment>
    <comment ref="EN7" authorId="1">
      <text>
        <r>
          <rPr>
            <b/>
            <sz val="8"/>
            <color indexed="81"/>
            <rFont val="Tahoma"/>
            <family val="2"/>
          </rPr>
          <t>jmoline:</t>
        </r>
        <r>
          <rPr>
            <sz val="8"/>
            <color indexed="81"/>
            <rFont val="Tahoma"/>
            <family val="2"/>
          </rPr>
          <t xml:space="preserve">
added 5/6/10</t>
        </r>
      </text>
    </comment>
    <comment ref="EO7" authorId="1">
      <text>
        <r>
          <rPr>
            <b/>
            <sz val="8"/>
            <color indexed="81"/>
            <rFont val="Tahoma"/>
            <family val="2"/>
          </rPr>
          <t>jmoline:</t>
        </r>
        <r>
          <rPr>
            <sz val="8"/>
            <color indexed="81"/>
            <rFont val="Tahoma"/>
            <family val="2"/>
          </rPr>
          <t xml:space="preserve">
added 5/6/10</t>
        </r>
      </text>
    </comment>
    <comment ref="CQ18" authorId="2">
      <text>
        <r>
          <rPr>
            <b/>
            <sz val="10"/>
            <color indexed="81"/>
            <rFont val="Tahoma"/>
            <family val="2"/>
          </rPr>
          <t>cnelson:1/13/14</t>
        </r>
        <r>
          <rPr>
            <sz val="10"/>
            <color indexed="81"/>
            <rFont val="Tahoma"/>
            <family val="2"/>
          </rPr>
          <t xml:space="preserve">
Changed from 429.8 to 11.6 per WinCC trend.</t>
        </r>
      </text>
    </comment>
    <comment ref="CR18" authorId="2">
      <text>
        <r>
          <rPr>
            <b/>
            <sz val="10"/>
            <color indexed="81"/>
            <rFont val="Tahoma"/>
            <family val="2"/>
          </rPr>
          <t>cnelson:1/13/14</t>
        </r>
        <r>
          <rPr>
            <sz val="10"/>
            <color indexed="81"/>
            <rFont val="Tahoma"/>
            <family val="2"/>
          </rPr>
          <t xml:space="preserve">
Changed from 11.6 to 1.72 per WinCC trend.</t>
        </r>
      </text>
    </comment>
    <comment ref="L19" authorId="2">
      <text>
        <r>
          <rPr>
            <b/>
            <sz val="10"/>
            <color indexed="81"/>
            <rFont val="Tahoma"/>
            <family val="2"/>
          </rPr>
          <t>cnelson:</t>
        </r>
        <r>
          <rPr>
            <sz val="10"/>
            <color indexed="81"/>
            <rFont val="Tahoma"/>
            <family val="2"/>
          </rPr>
          <t xml:space="preserve">
31.97
</t>
        </r>
      </text>
    </comment>
    <comment ref="L20" authorId="2">
      <text>
        <r>
          <rPr>
            <b/>
            <sz val="10"/>
            <color indexed="81"/>
            <rFont val="Tahoma"/>
            <family val="2"/>
          </rPr>
          <t>cnelson:</t>
        </r>
        <r>
          <rPr>
            <sz val="10"/>
            <color indexed="81"/>
            <rFont val="Tahoma"/>
            <family val="2"/>
          </rPr>
          <t xml:space="preserve">
31.55</t>
        </r>
      </text>
    </comment>
    <comment ref="BN20" authorId="2">
      <text>
        <r>
          <rPr>
            <b/>
            <sz val="10"/>
            <color indexed="81"/>
            <rFont val="Tahoma"/>
            <family val="2"/>
          </rPr>
          <t>cnelson:</t>
        </r>
        <r>
          <rPr>
            <sz val="10"/>
            <color indexed="81"/>
            <rFont val="Tahoma"/>
            <family val="2"/>
          </rPr>
          <t xml:space="preserve">
changed from 7.3 to 7.1 per WinCC trend.</t>
        </r>
      </text>
    </comment>
    <comment ref="BO20" authorId="2">
      <text>
        <r>
          <rPr>
            <b/>
            <sz val="10"/>
            <color indexed="81"/>
            <rFont val="Tahoma"/>
            <family val="2"/>
          </rPr>
          <t>cnelson:</t>
        </r>
        <r>
          <rPr>
            <sz val="10"/>
            <color indexed="81"/>
            <rFont val="Tahoma"/>
            <family val="2"/>
          </rPr>
          <t xml:space="preserve">
Changed from 3175.9 to 1785.4 per WinCC trend.</t>
        </r>
      </text>
    </comment>
    <comment ref="L21" authorId="2">
      <text>
        <r>
          <rPr>
            <b/>
            <sz val="10"/>
            <color indexed="81"/>
            <rFont val="Tahoma"/>
            <family val="2"/>
          </rPr>
          <t>cnelson:</t>
        </r>
        <r>
          <rPr>
            <sz val="10"/>
            <color indexed="81"/>
            <rFont val="Tahoma"/>
            <family val="2"/>
          </rPr>
          <t xml:space="preserve">
31.02</t>
        </r>
      </text>
    </comment>
    <comment ref="BB21" authorId="2">
      <text>
        <r>
          <rPr>
            <b/>
            <sz val="10"/>
            <color indexed="81"/>
            <rFont val="Tahoma"/>
            <family val="2"/>
          </rPr>
          <t>cnelson:</t>
        </r>
        <r>
          <rPr>
            <sz val="10"/>
            <color indexed="81"/>
            <rFont val="Tahoma"/>
            <family val="2"/>
          </rPr>
          <t xml:space="preserve">
Changed from 0.97 to 1.002 per Auburn email</t>
        </r>
      </text>
    </comment>
    <comment ref="L22" authorId="2">
      <text>
        <r>
          <rPr>
            <b/>
            <sz val="10"/>
            <color indexed="81"/>
            <rFont val="Tahoma"/>
            <family val="2"/>
          </rPr>
          <t>cnelson:</t>
        </r>
        <r>
          <rPr>
            <sz val="10"/>
            <color indexed="81"/>
            <rFont val="Tahoma"/>
            <family val="2"/>
          </rPr>
          <t xml:space="preserve">
31.55</t>
        </r>
      </text>
    </comment>
    <comment ref="L23" authorId="2">
      <text>
        <r>
          <rPr>
            <b/>
            <sz val="10"/>
            <color indexed="81"/>
            <rFont val="Tahoma"/>
            <family val="2"/>
          </rPr>
          <t>cnelson:</t>
        </r>
        <r>
          <rPr>
            <sz val="10"/>
            <color indexed="81"/>
            <rFont val="Tahoma"/>
            <family val="2"/>
          </rPr>
          <t xml:space="preserve">
36.06</t>
        </r>
      </text>
    </comment>
    <comment ref="L24" authorId="2">
      <text>
        <r>
          <rPr>
            <b/>
            <sz val="10"/>
            <color indexed="81"/>
            <rFont val="Tahoma"/>
            <family val="2"/>
          </rPr>
          <t>cnelson:</t>
        </r>
        <r>
          <rPr>
            <sz val="10"/>
            <color indexed="81"/>
            <rFont val="Tahoma"/>
            <family val="2"/>
          </rPr>
          <t xml:space="preserve">
42.67</t>
        </r>
      </text>
    </comment>
    <comment ref="M24" authorId="2">
      <text>
        <r>
          <rPr>
            <b/>
            <sz val="10"/>
            <color indexed="81"/>
            <rFont val="Tahoma"/>
            <family val="2"/>
          </rPr>
          <t>cnelson:1/15/14</t>
        </r>
        <r>
          <rPr>
            <sz val="10"/>
            <color indexed="81"/>
            <rFont val="Tahoma"/>
            <family val="2"/>
          </rPr>
          <t xml:space="preserve">
Changed from -17.50 to 17.50.</t>
        </r>
      </text>
    </comment>
    <comment ref="L25" authorId="2">
      <text>
        <r>
          <rPr>
            <b/>
            <sz val="10"/>
            <color indexed="81"/>
            <rFont val="Tahoma"/>
            <family val="2"/>
          </rPr>
          <t>cnelson:</t>
        </r>
        <r>
          <rPr>
            <sz val="10"/>
            <color indexed="81"/>
            <rFont val="Tahoma"/>
            <family val="2"/>
          </rPr>
          <t xml:space="preserve">
40.93</t>
        </r>
      </text>
    </comment>
    <comment ref="L26" authorId="2">
      <text>
        <r>
          <rPr>
            <b/>
            <sz val="10"/>
            <color indexed="81"/>
            <rFont val="Tahoma"/>
            <family val="2"/>
          </rPr>
          <t>cnelson:</t>
        </r>
        <r>
          <rPr>
            <sz val="10"/>
            <color indexed="81"/>
            <rFont val="Tahoma"/>
            <family val="2"/>
          </rPr>
          <t xml:space="preserve">
41.33</t>
        </r>
      </text>
    </comment>
    <comment ref="L27" authorId="2">
      <text>
        <r>
          <rPr>
            <b/>
            <sz val="10"/>
            <color indexed="81"/>
            <rFont val="Tahoma"/>
            <family val="2"/>
          </rPr>
          <t>cnelson:</t>
        </r>
        <r>
          <rPr>
            <sz val="10"/>
            <color indexed="81"/>
            <rFont val="Tahoma"/>
            <family val="2"/>
          </rPr>
          <t xml:space="preserve">
39.51</t>
        </r>
      </text>
    </comment>
    <comment ref="BD27" authorId="2">
      <text>
        <r>
          <rPr>
            <b/>
            <sz val="10"/>
            <color indexed="81"/>
            <rFont val="Tahoma"/>
            <family val="2"/>
          </rPr>
          <t>cnelson:1/15/14</t>
        </r>
        <r>
          <rPr>
            <sz val="10"/>
            <color indexed="81"/>
            <rFont val="Tahoma"/>
            <family val="2"/>
          </rPr>
          <t xml:space="preserve">
Changed from 1.3 to 1.5 per totalizer on SCADA page.</t>
        </r>
      </text>
    </comment>
    <comment ref="BM27" authorId="2">
      <text>
        <r>
          <rPr>
            <b/>
            <sz val="10"/>
            <color indexed="81"/>
            <rFont val="Tahoma"/>
            <family val="2"/>
          </rPr>
          <t>cnelson:1/15/14</t>
        </r>
        <r>
          <rPr>
            <sz val="10"/>
            <color indexed="81"/>
            <rFont val="Tahoma"/>
            <family val="2"/>
          </rPr>
          <t xml:space="preserve">
Changed from 2.60 to 0.0 per WinCC totalizer value on LUD page.</t>
        </r>
      </text>
    </comment>
    <comment ref="L28" authorId="2">
      <text>
        <r>
          <rPr>
            <b/>
            <sz val="10"/>
            <color indexed="81"/>
            <rFont val="Tahoma"/>
            <family val="2"/>
          </rPr>
          <t>cnelson:</t>
        </r>
        <r>
          <rPr>
            <sz val="10"/>
            <color indexed="81"/>
            <rFont val="Tahoma"/>
            <family val="2"/>
          </rPr>
          <t xml:space="preserve">
42.99</t>
        </r>
      </text>
    </comment>
    <comment ref="L29" authorId="2">
      <text>
        <r>
          <rPr>
            <b/>
            <sz val="10"/>
            <color indexed="81"/>
            <rFont val="Tahoma"/>
            <family val="2"/>
          </rPr>
          <t>cnelson:</t>
        </r>
        <r>
          <rPr>
            <sz val="10"/>
            <color indexed="81"/>
            <rFont val="Tahoma"/>
            <family val="2"/>
          </rPr>
          <t xml:space="preserve">
40.75</t>
        </r>
      </text>
    </comment>
    <comment ref="DB29" authorId="2">
      <text>
        <r>
          <rPr>
            <b/>
            <sz val="10"/>
            <color indexed="81"/>
            <rFont val="Tahoma"/>
            <family val="2"/>
          </rPr>
          <t>cnelson:</t>
        </r>
        <r>
          <rPr>
            <sz val="10"/>
            <color indexed="81"/>
            <rFont val="Tahoma"/>
            <family val="2"/>
          </rPr>
          <t xml:space="preserve">
Changed from 4.0 to 2040 per USGS page.
</t>
        </r>
      </text>
    </comment>
    <comment ref="L30" authorId="2">
      <text>
        <r>
          <rPr>
            <b/>
            <sz val="10"/>
            <color indexed="81"/>
            <rFont val="Tahoma"/>
            <family val="2"/>
          </rPr>
          <t>cnelson:</t>
        </r>
        <r>
          <rPr>
            <sz val="10"/>
            <color indexed="81"/>
            <rFont val="Tahoma"/>
            <family val="2"/>
          </rPr>
          <t xml:space="preserve">
40.95</t>
        </r>
      </text>
    </comment>
    <comment ref="L31" authorId="2">
      <text>
        <r>
          <rPr>
            <b/>
            <sz val="10"/>
            <color indexed="81"/>
            <rFont val="Tahoma"/>
            <family val="2"/>
          </rPr>
          <t>cnelson:</t>
        </r>
        <r>
          <rPr>
            <sz val="10"/>
            <color indexed="81"/>
            <rFont val="Tahoma"/>
            <family val="2"/>
          </rPr>
          <t xml:space="preserve">
39.79</t>
        </r>
      </text>
    </comment>
    <comment ref="L32" authorId="2">
      <text>
        <r>
          <rPr>
            <b/>
            <sz val="10"/>
            <color indexed="81"/>
            <rFont val="Tahoma"/>
            <family val="2"/>
          </rPr>
          <t>cnelson:</t>
        </r>
        <r>
          <rPr>
            <sz val="10"/>
            <color indexed="81"/>
            <rFont val="Tahoma"/>
            <family val="2"/>
          </rPr>
          <t xml:space="preserve">
40.32</t>
        </r>
      </text>
    </comment>
    <comment ref="BK32" authorId="2">
      <text>
        <r>
          <rPr>
            <b/>
            <sz val="10"/>
            <color indexed="81"/>
            <rFont val="Tahoma"/>
            <family val="2"/>
          </rPr>
          <t>cnelson:1/21/14</t>
        </r>
        <r>
          <rPr>
            <sz val="10"/>
            <color indexed="81"/>
            <rFont val="Tahoma"/>
            <family val="2"/>
          </rPr>
          <t xml:space="preserve">
Changed from 291 to 2.91.</t>
        </r>
      </text>
    </comment>
    <comment ref="L33" authorId="2">
      <text>
        <r>
          <rPr>
            <b/>
            <sz val="10"/>
            <color indexed="81"/>
            <rFont val="Tahoma"/>
            <family val="2"/>
          </rPr>
          <t>cnelson:</t>
        </r>
        <r>
          <rPr>
            <sz val="10"/>
            <color indexed="81"/>
            <rFont val="Tahoma"/>
            <family val="2"/>
          </rPr>
          <t xml:space="preserve">
40.6</t>
        </r>
      </text>
    </comment>
    <comment ref="L34" authorId="2">
      <text>
        <r>
          <rPr>
            <b/>
            <sz val="10"/>
            <color indexed="81"/>
            <rFont val="Tahoma"/>
            <family val="2"/>
          </rPr>
          <t>cnelson:</t>
        </r>
        <r>
          <rPr>
            <sz val="10"/>
            <color indexed="81"/>
            <rFont val="Tahoma"/>
            <family val="2"/>
          </rPr>
          <t xml:space="preserve">
37.13</t>
        </r>
      </text>
    </comment>
    <comment ref="L35" authorId="2">
      <text>
        <r>
          <rPr>
            <b/>
            <sz val="10"/>
            <color indexed="81"/>
            <rFont val="Tahoma"/>
            <family val="2"/>
          </rPr>
          <t>cnelson:</t>
        </r>
        <r>
          <rPr>
            <sz val="10"/>
            <color indexed="81"/>
            <rFont val="Tahoma"/>
            <family val="2"/>
          </rPr>
          <t xml:space="preserve">
31.28</t>
        </r>
      </text>
    </comment>
    <comment ref="CS35" authorId="2">
      <text>
        <r>
          <rPr>
            <b/>
            <sz val="10"/>
            <color indexed="81"/>
            <rFont val="Tahoma"/>
            <family val="2"/>
          </rPr>
          <t>cnelson:1/24/14</t>
        </r>
        <r>
          <rPr>
            <sz val="10"/>
            <color indexed="81"/>
            <rFont val="Tahoma"/>
            <family val="2"/>
          </rPr>
          <t xml:space="preserve">
Changed from 1584.84 to 15,530.5</t>
        </r>
      </text>
    </comment>
    <comment ref="L36" authorId="2">
      <text>
        <r>
          <rPr>
            <b/>
            <sz val="10"/>
            <color indexed="81"/>
            <rFont val="Tahoma"/>
            <family val="2"/>
          </rPr>
          <t>cnelson:</t>
        </r>
        <r>
          <rPr>
            <sz val="10"/>
            <color indexed="81"/>
            <rFont val="Tahoma"/>
            <family val="2"/>
          </rPr>
          <t xml:space="preserve">
31.72</t>
        </r>
      </text>
    </comment>
    <comment ref="L37" authorId="2">
      <text>
        <r>
          <rPr>
            <b/>
            <sz val="10"/>
            <color indexed="81"/>
            <rFont val="Tahoma"/>
            <family val="2"/>
          </rPr>
          <t>cnelson:</t>
        </r>
        <r>
          <rPr>
            <sz val="10"/>
            <color indexed="81"/>
            <rFont val="Tahoma"/>
            <family val="2"/>
          </rPr>
          <t xml:space="preserve">
31.49</t>
        </r>
      </text>
    </comment>
    <comment ref="L38" authorId="2">
      <text>
        <r>
          <rPr>
            <b/>
            <sz val="10"/>
            <color indexed="81"/>
            <rFont val="Tahoma"/>
            <family val="2"/>
          </rPr>
          <t>cnelson:</t>
        </r>
        <r>
          <rPr>
            <sz val="10"/>
            <color indexed="81"/>
            <rFont val="Tahoma"/>
            <family val="2"/>
          </rPr>
          <t xml:space="preserve">
31.71</t>
        </r>
      </text>
    </comment>
    <comment ref="L40" authorId="2">
      <text>
        <r>
          <rPr>
            <b/>
            <sz val="10"/>
            <color indexed="81"/>
            <rFont val="Tahoma"/>
            <family val="2"/>
          </rPr>
          <t>cnelson:</t>
        </r>
        <r>
          <rPr>
            <sz val="10"/>
            <color indexed="81"/>
            <rFont val="Tahoma"/>
            <family val="2"/>
          </rPr>
          <t xml:space="preserve">
31.15
</t>
        </r>
      </text>
    </comment>
    <comment ref="L41" authorId="2">
      <text>
        <r>
          <rPr>
            <b/>
            <sz val="10"/>
            <color indexed="81"/>
            <rFont val="Tahoma"/>
            <family val="2"/>
          </rPr>
          <t>cnelson:</t>
        </r>
        <r>
          <rPr>
            <sz val="10"/>
            <color indexed="81"/>
            <rFont val="Tahoma"/>
            <family val="2"/>
          </rPr>
          <t xml:space="preserve">
31.50
</t>
        </r>
      </text>
    </comment>
    <comment ref="L42" authorId="2">
      <text>
        <r>
          <rPr>
            <b/>
            <sz val="10"/>
            <color indexed="81"/>
            <rFont val="Tahoma"/>
            <family val="2"/>
          </rPr>
          <t>cnelson:</t>
        </r>
        <r>
          <rPr>
            <sz val="10"/>
            <color indexed="81"/>
            <rFont val="Tahoma"/>
            <family val="2"/>
          </rPr>
          <t xml:space="preserve">
31.61</t>
        </r>
      </text>
    </comment>
    <comment ref="CL42" authorId="2">
      <text>
        <r>
          <rPr>
            <b/>
            <sz val="10"/>
            <color indexed="81"/>
            <rFont val="Tahoma"/>
            <family val="2"/>
          </rPr>
          <t>cnelson: 1/31/14</t>
        </r>
        <r>
          <rPr>
            <sz val="10"/>
            <color indexed="81"/>
            <rFont val="Tahoma"/>
            <family val="2"/>
          </rPr>
          <t xml:space="preserve">
Changed from 20.0 to 2.0.</t>
        </r>
      </text>
    </comment>
    <comment ref="L43" authorId="2">
      <text>
        <r>
          <rPr>
            <b/>
            <sz val="10"/>
            <color indexed="81"/>
            <rFont val="Tahoma"/>
            <family val="2"/>
          </rPr>
          <t>cnelson:</t>
        </r>
        <r>
          <rPr>
            <sz val="10"/>
            <color indexed="81"/>
            <rFont val="Tahoma"/>
            <family val="2"/>
          </rPr>
          <t xml:space="preserve">
34.11</t>
        </r>
      </text>
    </comment>
    <comment ref="L44" authorId="2">
      <text>
        <r>
          <rPr>
            <b/>
            <sz val="10"/>
            <color indexed="81"/>
            <rFont val="Tahoma"/>
            <family val="2"/>
          </rPr>
          <t>cnelson:</t>
        </r>
        <r>
          <rPr>
            <sz val="10"/>
            <color indexed="81"/>
            <rFont val="Tahoma"/>
            <family val="2"/>
          </rPr>
          <t xml:space="preserve">
32.93</t>
        </r>
      </text>
    </comment>
    <comment ref="L45" authorId="2">
      <text>
        <r>
          <rPr>
            <b/>
            <sz val="10"/>
            <color indexed="81"/>
            <rFont val="Tahoma"/>
            <family val="2"/>
          </rPr>
          <t>cnelson:</t>
        </r>
        <r>
          <rPr>
            <sz val="10"/>
            <color indexed="81"/>
            <rFont val="Tahoma"/>
            <family val="2"/>
          </rPr>
          <t xml:space="preserve">
31.57</t>
        </r>
      </text>
    </comment>
    <comment ref="L46" authorId="2">
      <text>
        <r>
          <rPr>
            <b/>
            <sz val="10"/>
            <color indexed="81"/>
            <rFont val="Tahoma"/>
            <family val="2"/>
          </rPr>
          <t>cnelson:</t>
        </r>
        <r>
          <rPr>
            <sz val="10"/>
            <color indexed="81"/>
            <rFont val="Tahoma"/>
            <family val="2"/>
          </rPr>
          <t xml:space="preserve">
31.29</t>
        </r>
      </text>
    </comment>
    <comment ref="L47" authorId="2">
      <text>
        <r>
          <rPr>
            <b/>
            <sz val="10"/>
            <color indexed="81"/>
            <rFont val="Tahoma"/>
            <family val="2"/>
          </rPr>
          <t>cnelson:</t>
        </r>
        <r>
          <rPr>
            <sz val="10"/>
            <color indexed="81"/>
            <rFont val="Tahoma"/>
            <family val="2"/>
          </rPr>
          <t xml:space="preserve">
31.70</t>
        </r>
      </text>
    </comment>
    <comment ref="AV47" authorId="2">
      <text>
        <r>
          <rPr>
            <b/>
            <sz val="10"/>
            <color indexed="81"/>
            <rFont val="Tahoma"/>
            <family val="2"/>
          </rPr>
          <t>cnelson: (2/4/14)</t>
        </r>
        <r>
          <rPr>
            <sz val="10"/>
            <color indexed="81"/>
            <rFont val="Tahoma"/>
            <family val="2"/>
          </rPr>
          <t xml:space="preserve">
Changed from 20.8 to 207.9 per WinCC trend page.</t>
        </r>
      </text>
    </comment>
    <comment ref="L48" authorId="2">
      <text>
        <r>
          <rPr>
            <b/>
            <sz val="10"/>
            <color indexed="81"/>
            <rFont val="Tahoma"/>
            <family val="2"/>
          </rPr>
          <t>cnelson:</t>
        </r>
        <r>
          <rPr>
            <sz val="10"/>
            <color indexed="81"/>
            <rFont val="Tahoma"/>
            <family val="2"/>
          </rPr>
          <t xml:space="preserve">
33.03</t>
        </r>
      </text>
    </comment>
    <comment ref="L49" authorId="2">
      <text>
        <r>
          <rPr>
            <b/>
            <sz val="10"/>
            <color indexed="81"/>
            <rFont val="Tahoma"/>
            <family val="2"/>
          </rPr>
          <t>cnelson:</t>
        </r>
        <r>
          <rPr>
            <sz val="10"/>
            <color indexed="81"/>
            <rFont val="Tahoma"/>
            <family val="2"/>
          </rPr>
          <t xml:space="preserve">
30.42</t>
        </r>
      </text>
    </comment>
    <comment ref="L50" authorId="2">
      <text>
        <r>
          <rPr>
            <b/>
            <sz val="10"/>
            <color indexed="81"/>
            <rFont val="Tahoma"/>
            <family val="2"/>
          </rPr>
          <t>cnelson:</t>
        </r>
        <r>
          <rPr>
            <sz val="10"/>
            <color indexed="81"/>
            <rFont val="Tahoma"/>
            <family val="2"/>
          </rPr>
          <t xml:space="preserve">
32.10</t>
        </r>
      </text>
    </comment>
    <comment ref="L51" authorId="2">
      <text>
        <r>
          <rPr>
            <b/>
            <sz val="10"/>
            <color indexed="81"/>
            <rFont val="Tahoma"/>
            <family val="2"/>
          </rPr>
          <t>cnelson:</t>
        </r>
        <r>
          <rPr>
            <sz val="10"/>
            <color indexed="81"/>
            <rFont val="Tahoma"/>
            <family val="2"/>
          </rPr>
          <t xml:space="preserve">
32.39</t>
        </r>
      </text>
    </comment>
    <comment ref="L52" authorId="2">
      <text>
        <r>
          <rPr>
            <b/>
            <sz val="10"/>
            <color indexed="81"/>
            <rFont val="Tahoma"/>
            <family val="2"/>
          </rPr>
          <t>cnelson:</t>
        </r>
        <r>
          <rPr>
            <sz val="10"/>
            <color indexed="81"/>
            <rFont val="Tahoma"/>
            <family val="2"/>
          </rPr>
          <t xml:space="preserve">
31.52</t>
        </r>
      </text>
    </comment>
    <comment ref="L53" authorId="2">
      <text>
        <r>
          <rPr>
            <b/>
            <sz val="10"/>
            <color indexed="81"/>
            <rFont val="Tahoma"/>
            <family val="2"/>
          </rPr>
          <t>cnelson:</t>
        </r>
        <r>
          <rPr>
            <sz val="10"/>
            <color indexed="81"/>
            <rFont val="Tahoma"/>
            <family val="2"/>
          </rPr>
          <t xml:space="preserve">
31.54</t>
        </r>
      </text>
    </comment>
    <comment ref="L54" authorId="2">
      <text>
        <r>
          <rPr>
            <b/>
            <sz val="10"/>
            <color indexed="81"/>
            <rFont val="Tahoma"/>
            <family val="2"/>
          </rPr>
          <t>cnelson:</t>
        </r>
        <r>
          <rPr>
            <sz val="10"/>
            <color indexed="81"/>
            <rFont val="Tahoma"/>
            <family val="2"/>
          </rPr>
          <t xml:space="preserve">
30.17</t>
        </r>
      </text>
    </comment>
    <comment ref="L55" authorId="2">
      <text>
        <r>
          <rPr>
            <b/>
            <sz val="10"/>
            <color indexed="81"/>
            <rFont val="Tahoma"/>
            <family val="2"/>
          </rPr>
          <t>cnelson:</t>
        </r>
        <r>
          <rPr>
            <sz val="10"/>
            <color indexed="81"/>
            <rFont val="Tahoma"/>
            <family val="2"/>
          </rPr>
          <t xml:space="preserve">
31.57</t>
        </r>
      </text>
    </comment>
    <comment ref="L56" authorId="2">
      <text>
        <r>
          <rPr>
            <b/>
            <sz val="10"/>
            <color indexed="81"/>
            <rFont val="Tahoma"/>
            <family val="2"/>
          </rPr>
          <t>cnelson:</t>
        </r>
        <r>
          <rPr>
            <sz val="10"/>
            <color indexed="81"/>
            <rFont val="Tahoma"/>
            <family val="2"/>
          </rPr>
          <t xml:space="preserve">
2/13/13 (cn).  Changed from 1021.85 to 20.35 per totalizer.</t>
        </r>
      </text>
    </comment>
    <comment ref="L58" authorId="2">
      <text>
        <r>
          <rPr>
            <b/>
            <sz val="10"/>
            <color indexed="81"/>
            <rFont val="Tahoma"/>
            <family val="2"/>
          </rPr>
          <t>cnelson:</t>
        </r>
        <r>
          <rPr>
            <sz val="10"/>
            <color indexed="81"/>
            <rFont val="Tahoma"/>
            <family val="2"/>
          </rPr>
          <t xml:space="preserve">
30.36
</t>
        </r>
      </text>
    </comment>
    <comment ref="L59" authorId="2">
      <text>
        <r>
          <rPr>
            <b/>
            <sz val="10"/>
            <color indexed="81"/>
            <rFont val="Tahoma"/>
            <family val="2"/>
          </rPr>
          <t>cnelson:</t>
        </r>
        <r>
          <rPr>
            <sz val="10"/>
            <color indexed="81"/>
            <rFont val="Tahoma"/>
            <family val="2"/>
          </rPr>
          <t xml:space="preserve">
30.14
</t>
        </r>
      </text>
    </comment>
    <comment ref="L60" authorId="2">
      <text>
        <r>
          <rPr>
            <b/>
            <sz val="10"/>
            <color indexed="81"/>
            <rFont val="Tahoma"/>
            <family val="2"/>
          </rPr>
          <t>cnelson:</t>
        </r>
        <r>
          <rPr>
            <sz val="10"/>
            <color indexed="81"/>
            <rFont val="Tahoma"/>
            <family val="2"/>
          </rPr>
          <t xml:space="preserve">
31.61
</t>
        </r>
      </text>
    </comment>
    <comment ref="CS60" authorId="2">
      <text>
        <r>
          <rPr>
            <b/>
            <sz val="10"/>
            <color indexed="81"/>
            <rFont val="Tahoma"/>
            <family val="2"/>
          </rPr>
          <t>cnelson:</t>
        </r>
        <r>
          <rPr>
            <sz val="10"/>
            <color indexed="81"/>
            <rFont val="Tahoma"/>
            <family val="2"/>
          </rPr>
          <t xml:space="preserve">
changed from 1076.2 to 11076.2</t>
        </r>
      </text>
    </comment>
    <comment ref="L61" authorId="2">
      <text>
        <r>
          <rPr>
            <b/>
            <sz val="10"/>
            <color indexed="81"/>
            <rFont val="Tahoma"/>
            <family val="2"/>
          </rPr>
          <t>cnelson:</t>
        </r>
        <r>
          <rPr>
            <sz val="10"/>
            <color indexed="81"/>
            <rFont val="Tahoma"/>
            <family val="2"/>
          </rPr>
          <t xml:space="preserve">
32.79
</t>
        </r>
      </text>
    </comment>
    <comment ref="L62" authorId="2">
      <text>
        <r>
          <rPr>
            <b/>
            <sz val="10"/>
            <color indexed="81"/>
            <rFont val="Tahoma"/>
            <family val="2"/>
          </rPr>
          <t>cnelson:</t>
        </r>
        <r>
          <rPr>
            <sz val="10"/>
            <color indexed="81"/>
            <rFont val="Tahoma"/>
            <family val="2"/>
          </rPr>
          <t xml:space="preserve">
31.20
</t>
        </r>
      </text>
    </comment>
    <comment ref="L63" authorId="2">
      <text>
        <r>
          <rPr>
            <b/>
            <sz val="10"/>
            <color indexed="81"/>
            <rFont val="Tahoma"/>
            <family val="2"/>
          </rPr>
          <t>cnelson:</t>
        </r>
        <r>
          <rPr>
            <sz val="10"/>
            <color indexed="81"/>
            <rFont val="Tahoma"/>
            <family val="2"/>
          </rPr>
          <t xml:space="preserve">
32.14
</t>
        </r>
      </text>
    </comment>
    <comment ref="L64" authorId="2">
      <text>
        <r>
          <rPr>
            <b/>
            <sz val="10"/>
            <color indexed="81"/>
            <rFont val="Tahoma"/>
            <family val="2"/>
          </rPr>
          <t>cnelson:</t>
        </r>
        <r>
          <rPr>
            <sz val="10"/>
            <color indexed="81"/>
            <rFont val="Tahoma"/>
            <family val="2"/>
          </rPr>
          <t xml:space="preserve">
32.27
</t>
        </r>
      </text>
    </comment>
    <comment ref="L65" authorId="2">
      <text>
        <r>
          <rPr>
            <b/>
            <sz val="10"/>
            <color indexed="81"/>
            <rFont val="Tahoma"/>
            <family val="2"/>
          </rPr>
          <t>cnelson:</t>
        </r>
        <r>
          <rPr>
            <sz val="10"/>
            <color indexed="81"/>
            <rFont val="Tahoma"/>
            <family val="2"/>
          </rPr>
          <t xml:space="preserve">
30.85
</t>
        </r>
      </text>
    </comment>
    <comment ref="CS65" authorId="2">
      <text>
        <r>
          <rPr>
            <b/>
            <sz val="10"/>
            <color indexed="81"/>
            <rFont val="Tahoma"/>
            <family val="2"/>
          </rPr>
          <t>cnelson:</t>
        </r>
        <r>
          <rPr>
            <sz val="10"/>
            <color indexed="81"/>
            <rFont val="Tahoma"/>
            <family val="2"/>
          </rPr>
          <t xml:space="preserve">
Changed from 128162.0 to 12816.2.</t>
        </r>
      </text>
    </comment>
    <comment ref="L66" authorId="2">
      <text>
        <r>
          <rPr>
            <b/>
            <sz val="10"/>
            <color indexed="81"/>
            <rFont val="Tahoma"/>
            <family val="2"/>
          </rPr>
          <t>cnelson:</t>
        </r>
        <r>
          <rPr>
            <sz val="10"/>
            <color indexed="81"/>
            <rFont val="Tahoma"/>
            <family val="2"/>
          </rPr>
          <t xml:space="preserve">
24.68
</t>
        </r>
      </text>
    </comment>
    <comment ref="L67" authorId="2">
      <text>
        <r>
          <rPr>
            <b/>
            <sz val="10"/>
            <color indexed="81"/>
            <rFont val="Tahoma"/>
            <family val="2"/>
          </rPr>
          <t>cnelson:</t>
        </r>
        <r>
          <rPr>
            <sz val="10"/>
            <color indexed="81"/>
            <rFont val="Tahoma"/>
            <family val="2"/>
          </rPr>
          <t xml:space="preserve">
21.83
</t>
        </r>
      </text>
    </comment>
    <comment ref="L68" authorId="2">
      <text>
        <r>
          <rPr>
            <b/>
            <sz val="10"/>
            <color indexed="81"/>
            <rFont val="Tahoma"/>
            <family val="2"/>
          </rPr>
          <t>cnelson:</t>
        </r>
        <r>
          <rPr>
            <sz val="10"/>
            <color indexed="81"/>
            <rFont val="Tahoma"/>
            <family val="2"/>
          </rPr>
          <t xml:space="preserve">
28.01
</t>
        </r>
      </text>
    </comment>
    <comment ref="L69" authorId="2">
      <text>
        <r>
          <rPr>
            <b/>
            <sz val="10"/>
            <color indexed="81"/>
            <rFont val="Tahoma"/>
            <family val="2"/>
          </rPr>
          <t>cnelson:</t>
        </r>
        <r>
          <rPr>
            <sz val="10"/>
            <color indexed="81"/>
            <rFont val="Tahoma"/>
            <family val="2"/>
          </rPr>
          <t xml:space="preserve">
35.93
</t>
        </r>
      </text>
    </comment>
    <comment ref="AA69" authorId="2">
      <text>
        <r>
          <rPr>
            <b/>
            <sz val="10"/>
            <color indexed="81"/>
            <rFont val="Tahoma"/>
            <family val="2"/>
          </rPr>
          <t>cnelson:</t>
        </r>
        <r>
          <rPr>
            <sz val="10"/>
            <color indexed="81"/>
            <rFont val="Tahoma"/>
            <family val="2"/>
          </rPr>
          <t xml:space="preserve">
P1 and P5 flow flopped.</t>
        </r>
      </text>
    </comment>
    <comment ref="L70" authorId="2">
      <text>
        <r>
          <rPr>
            <b/>
            <sz val="10"/>
            <color indexed="81"/>
            <rFont val="Tahoma"/>
            <family val="2"/>
          </rPr>
          <t>cnelson:</t>
        </r>
        <r>
          <rPr>
            <sz val="10"/>
            <color indexed="81"/>
            <rFont val="Tahoma"/>
            <family val="2"/>
          </rPr>
          <t xml:space="preserve">
37.16
</t>
        </r>
      </text>
    </comment>
    <comment ref="L71" authorId="2">
      <text>
        <r>
          <rPr>
            <b/>
            <sz val="10"/>
            <color indexed="81"/>
            <rFont val="Tahoma"/>
            <family val="2"/>
          </rPr>
          <t>cnelson:</t>
        </r>
        <r>
          <rPr>
            <sz val="10"/>
            <color indexed="81"/>
            <rFont val="Tahoma"/>
            <family val="2"/>
          </rPr>
          <t xml:space="preserve">
33.03
</t>
        </r>
      </text>
    </comment>
    <comment ref="BN71" authorId="2">
      <text>
        <r>
          <rPr>
            <b/>
            <sz val="10"/>
            <color indexed="81"/>
            <rFont val="Tahoma"/>
            <family val="2"/>
          </rPr>
          <t>cnelson:</t>
        </r>
        <r>
          <rPr>
            <sz val="10"/>
            <color indexed="81"/>
            <rFont val="Tahoma"/>
            <family val="2"/>
          </rPr>
          <t xml:space="preserve">
Changed from 6.80 to 10.45 per trending average on 'PL5 Supply Trend' report.</t>
        </r>
      </text>
    </comment>
    <comment ref="BO71" authorId="2">
      <text>
        <r>
          <rPr>
            <b/>
            <sz val="10"/>
            <color indexed="81"/>
            <rFont val="Tahoma"/>
            <family val="2"/>
          </rPr>
          <t>cnelson:</t>
        </r>
        <r>
          <rPr>
            <sz val="10"/>
            <color indexed="81"/>
            <rFont val="Tahoma"/>
            <family val="2"/>
          </rPr>
          <t xml:space="preserve">
Changed from 1042.80 to 915.31 per trending average on PL5 Supply Trend report page</t>
        </r>
      </text>
    </comment>
    <comment ref="CJ71" authorId="2">
      <text>
        <r>
          <rPr>
            <b/>
            <sz val="10"/>
            <color indexed="81"/>
            <rFont val="Tahoma"/>
            <family val="2"/>
          </rPr>
          <t>cnelson:</t>
        </r>
        <r>
          <rPr>
            <sz val="10"/>
            <color indexed="81"/>
            <rFont val="Tahoma"/>
            <family val="2"/>
          </rPr>
          <t xml:space="preserve">
changed from 43.4 to 13.4.
</t>
        </r>
      </text>
    </comment>
    <comment ref="L72" authorId="2">
      <text>
        <r>
          <rPr>
            <b/>
            <sz val="10"/>
            <color indexed="81"/>
            <rFont val="Tahoma"/>
            <family val="2"/>
          </rPr>
          <t>cnelson:</t>
        </r>
        <r>
          <rPr>
            <sz val="10"/>
            <color indexed="81"/>
            <rFont val="Tahoma"/>
            <family val="2"/>
          </rPr>
          <t xml:space="preserve">
26.43
</t>
        </r>
      </text>
    </comment>
    <comment ref="L73" authorId="2">
      <text>
        <r>
          <rPr>
            <b/>
            <sz val="10"/>
            <color indexed="81"/>
            <rFont val="Tahoma"/>
            <family val="2"/>
          </rPr>
          <t>cnelson:</t>
        </r>
        <r>
          <rPr>
            <sz val="10"/>
            <color indexed="81"/>
            <rFont val="Tahoma"/>
            <family val="2"/>
          </rPr>
          <t xml:space="preserve">
26.21
</t>
        </r>
      </text>
    </comment>
    <comment ref="L74" authorId="2">
      <text>
        <r>
          <rPr>
            <b/>
            <sz val="10"/>
            <color indexed="81"/>
            <rFont val="Tahoma"/>
            <family val="2"/>
          </rPr>
          <t>cnelson:</t>
        </r>
        <r>
          <rPr>
            <sz val="10"/>
            <color indexed="81"/>
            <rFont val="Tahoma"/>
            <family val="2"/>
          </rPr>
          <t xml:space="preserve">
26.57
</t>
        </r>
      </text>
    </comment>
    <comment ref="L75" authorId="2">
      <text>
        <r>
          <rPr>
            <b/>
            <sz val="10"/>
            <color indexed="81"/>
            <rFont val="Tahoma"/>
            <family val="2"/>
          </rPr>
          <t>cnelson:</t>
        </r>
        <r>
          <rPr>
            <sz val="10"/>
            <color indexed="81"/>
            <rFont val="Tahoma"/>
            <family val="2"/>
          </rPr>
          <t xml:space="preserve">
26.54</t>
        </r>
      </text>
    </comment>
    <comment ref="L76" authorId="2">
      <text>
        <r>
          <rPr>
            <b/>
            <sz val="10"/>
            <color indexed="81"/>
            <rFont val="Tahoma"/>
            <family val="2"/>
          </rPr>
          <t>cnelson:</t>
        </r>
        <r>
          <rPr>
            <sz val="10"/>
            <color indexed="81"/>
            <rFont val="Tahoma"/>
            <family val="2"/>
          </rPr>
          <t xml:space="preserve">
26.5
</t>
        </r>
      </text>
    </comment>
    <comment ref="L77" authorId="2">
      <text>
        <r>
          <rPr>
            <b/>
            <sz val="10"/>
            <color indexed="81"/>
            <rFont val="Tahoma"/>
            <family val="2"/>
          </rPr>
          <t>cnelson:</t>
        </r>
        <r>
          <rPr>
            <sz val="10"/>
            <color indexed="81"/>
            <rFont val="Tahoma"/>
            <family val="2"/>
          </rPr>
          <t xml:space="preserve">
29.72
</t>
        </r>
      </text>
    </comment>
    <comment ref="L78" authorId="2">
      <text>
        <r>
          <rPr>
            <b/>
            <sz val="10"/>
            <color indexed="81"/>
            <rFont val="Tahoma"/>
            <family val="2"/>
          </rPr>
          <t>cnelson:</t>
        </r>
        <r>
          <rPr>
            <sz val="10"/>
            <color indexed="81"/>
            <rFont val="Tahoma"/>
            <family val="2"/>
          </rPr>
          <t xml:space="preserve">
20.36
</t>
        </r>
      </text>
    </comment>
    <comment ref="CN80" authorId="2">
      <text>
        <r>
          <rPr>
            <b/>
            <sz val="10"/>
            <color indexed="81"/>
            <rFont val="Tahoma"/>
            <family val="2"/>
          </rPr>
          <t>cnelson:</t>
        </r>
        <r>
          <rPr>
            <sz val="10"/>
            <color indexed="81"/>
            <rFont val="Tahoma"/>
            <family val="2"/>
          </rPr>
          <t xml:space="preserve">
changed from 1660.3 to 900 due to bad meter
</t>
        </r>
      </text>
    </comment>
    <comment ref="AA81" authorId="2">
      <text>
        <r>
          <rPr>
            <b/>
            <sz val="10"/>
            <color indexed="81"/>
            <rFont val="Tahoma"/>
            <family val="2"/>
          </rPr>
          <t>cnelson:</t>
        </r>
        <r>
          <rPr>
            <sz val="10"/>
            <color indexed="81"/>
            <rFont val="Tahoma"/>
            <family val="2"/>
          </rPr>
          <t xml:space="preserve">
Changed from 20.1 to 21.0 per totalizer</t>
        </r>
      </text>
    </comment>
    <comment ref="AB81" authorId="2">
      <text>
        <r>
          <rPr>
            <b/>
            <sz val="10"/>
            <color indexed="81"/>
            <rFont val="Tahoma"/>
            <family val="2"/>
          </rPr>
          <t>cnelson:</t>
        </r>
        <r>
          <rPr>
            <sz val="10"/>
            <color indexed="81"/>
            <rFont val="Tahoma"/>
            <family val="2"/>
          </rPr>
          <t xml:space="preserve">
changed from 24.86 to 25.90 per winCC.</t>
        </r>
      </text>
    </comment>
    <comment ref="CN81" authorId="2">
      <text>
        <r>
          <rPr>
            <b/>
            <sz val="10"/>
            <color indexed="81"/>
            <rFont val="Tahoma"/>
            <family val="2"/>
          </rPr>
          <t>cnelson:</t>
        </r>
        <r>
          <rPr>
            <sz val="10"/>
            <color indexed="81"/>
            <rFont val="Tahoma"/>
            <family val="2"/>
          </rPr>
          <t xml:space="preserve">
changed from 6723 to 900 due to bad meter.</t>
        </r>
      </text>
    </comment>
    <comment ref="L82" authorId="2">
      <text>
        <r>
          <rPr>
            <b/>
            <sz val="10"/>
            <color indexed="81"/>
            <rFont val="Tahoma"/>
            <family val="2"/>
          </rPr>
          <t>cnelson:</t>
        </r>
        <r>
          <rPr>
            <sz val="10"/>
            <color indexed="81"/>
            <rFont val="Tahoma"/>
            <family val="2"/>
          </rPr>
          <t xml:space="preserve">
40.3</t>
        </r>
      </text>
    </comment>
    <comment ref="AA82" authorId="2">
      <text>
        <r>
          <rPr>
            <b/>
            <sz val="10"/>
            <color indexed="81"/>
            <rFont val="Tahoma"/>
            <family val="2"/>
          </rPr>
          <t>cnelson:</t>
        </r>
        <r>
          <rPr>
            <sz val="10"/>
            <color indexed="81"/>
            <rFont val="Tahoma"/>
            <family val="2"/>
          </rPr>
          <t xml:space="preserve">
changed from 21.0 to 21.3 per WinCC Totalizer.
</t>
        </r>
      </text>
    </comment>
    <comment ref="AB82" authorId="2">
      <text>
        <r>
          <rPr>
            <b/>
            <sz val="10"/>
            <color indexed="81"/>
            <rFont val="Tahoma"/>
            <family val="2"/>
          </rPr>
          <t>cnelson:</t>
        </r>
        <r>
          <rPr>
            <sz val="10"/>
            <color indexed="81"/>
            <rFont val="Tahoma"/>
            <family val="2"/>
          </rPr>
          <t xml:space="preserve">
Changed from 25.9 to 25.8 per WinCC totalizer.</t>
        </r>
      </text>
    </comment>
    <comment ref="L83" authorId="2">
      <text>
        <r>
          <rPr>
            <b/>
            <sz val="10"/>
            <color indexed="81"/>
            <rFont val="Tahoma"/>
            <family val="2"/>
          </rPr>
          <t>cnelson:</t>
        </r>
        <r>
          <rPr>
            <sz val="10"/>
            <color indexed="81"/>
            <rFont val="Tahoma"/>
            <family val="2"/>
          </rPr>
          <t xml:space="preserve">
178.05</t>
        </r>
      </text>
    </comment>
    <comment ref="AA83" authorId="2">
      <text>
        <r>
          <rPr>
            <b/>
            <sz val="10"/>
            <color indexed="81"/>
            <rFont val="Tahoma"/>
            <family val="2"/>
          </rPr>
          <t>cnelson:</t>
        </r>
        <r>
          <rPr>
            <sz val="10"/>
            <color indexed="81"/>
            <rFont val="Tahoma"/>
            <family val="2"/>
          </rPr>
          <t xml:space="preserve">
changed from 21.3 to 21.4 per totalizer.</t>
        </r>
      </text>
    </comment>
    <comment ref="AB83" authorId="2">
      <text>
        <r>
          <rPr>
            <b/>
            <sz val="10"/>
            <color indexed="81"/>
            <rFont val="Tahoma"/>
            <family val="2"/>
          </rPr>
          <t>cnelson:</t>
        </r>
        <r>
          <rPr>
            <sz val="10"/>
            <color indexed="81"/>
            <rFont val="Tahoma"/>
            <family val="2"/>
          </rPr>
          <t xml:space="preserve">
changed from 25.8 to 25.5 per totalizer.</t>
        </r>
      </text>
    </comment>
    <comment ref="L84" authorId="2">
      <text>
        <r>
          <rPr>
            <b/>
            <sz val="10"/>
            <color indexed="81"/>
            <rFont val="Tahoma"/>
            <family val="2"/>
          </rPr>
          <t>cnelson:</t>
        </r>
        <r>
          <rPr>
            <sz val="10"/>
            <color indexed="81"/>
            <rFont val="Tahoma"/>
            <family val="2"/>
          </rPr>
          <t xml:space="preserve">
390.03
</t>
        </r>
      </text>
    </comment>
    <comment ref="B85" authorId="2">
      <text>
        <r>
          <rPr>
            <b/>
            <sz val="10"/>
            <color indexed="81"/>
            <rFont val="Tahoma"/>
            <family val="2"/>
          </rPr>
          <t>cnelson:</t>
        </r>
        <r>
          <rPr>
            <sz val="10"/>
            <color indexed="81"/>
            <rFont val="Tahoma"/>
            <family val="2"/>
          </rPr>
          <t xml:space="preserve">
P1 North Leg Flush</t>
        </r>
      </text>
    </comment>
    <comment ref="L85" authorId="2">
      <text>
        <r>
          <rPr>
            <b/>
            <sz val="10"/>
            <color indexed="81"/>
            <rFont val="Tahoma"/>
            <family val="2"/>
          </rPr>
          <t>cnelson:</t>
        </r>
        <r>
          <rPr>
            <sz val="10"/>
            <color indexed="81"/>
            <rFont val="Tahoma"/>
            <family val="2"/>
          </rPr>
          <t xml:space="preserve">
391.19</t>
        </r>
      </text>
    </comment>
    <comment ref="AA85" authorId="2">
      <text>
        <r>
          <rPr>
            <b/>
            <sz val="10"/>
            <color indexed="81"/>
            <rFont val="Tahoma"/>
            <family val="2"/>
          </rPr>
          <t>cnelson:</t>
        </r>
        <r>
          <rPr>
            <sz val="10"/>
            <color indexed="81"/>
            <rFont val="Tahoma"/>
            <family val="2"/>
          </rPr>
          <t xml:space="preserve">
changed from 21.33 to 21.40 per totalizer.</t>
        </r>
      </text>
    </comment>
    <comment ref="AB85" authorId="2">
      <text>
        <r>
          <rPr>
            <b/>
            <sz val="10"/>
            <color indexed="81"/>
            <rFont val="Tahoma"/>
            <family val="2"/>
          </rPr>
          <t>cnelson:</t>
        </r>
        <r>
          <rPr>
            <sz val="10"/>
            <color indexed="81"/>
            <rFont val="Tahoma"/>
            <family val="2"/>
          </rPr>
          <t xml:space="preserve">
changed from 25.59 to 25.56 per totalizer read.</t>
        </r>
      </text>
    </comment>
    <comment ref="B86" authorId="2">
      <text>
        <r>
          <rPr>
            <b/>
            <sz val="10"/>
            <color indexed="81"/>
            <rFont val="Tahoma"/>
            <family val="2"/>
          </rPr>
          <t>cnelson:</t>
        </r>
        <r>
          <rPr>
            <sz val="10"/>
            <color indexed="81"/>
            <rFont val="Tahoma"/>
            <family val="2"/>
          </rPr>
          <t xml:space="preserve">
Comm failure at McMillin occurred.</t>
        </r>
      </text>
    </comment>
    <comment ref="L86" authorId="2">
      <text>
        <r>
          <rPr>
            <b/>
            <sz val="10"/>
            <color indexed="81"/>
            <rFont val="Tahoma"/>
            <family val="2"/>
          </rPr>
          <t>cnelson:</t>
        </r>
        <r>
          <rPr>
            <sz val="10"/>
            <color indexed="81"/>
            <rFont val="Tahoma"/>
            <family val="2"/>
          </rPr>
          <t xml:space="preserve">
210.03
</t>
        </r>
      </text>
    </comment>
    <comment ref="BV86" authorId="2">
      <text>
        <r>
          <rPr>
            <b/>
            <sz val="10"/>
            <color indexed="81"/>
            <rFont val="Tahoma"/>
            <family val="2"/>
          </rPr>
          <t>cnelson:</t>
        </r>
        <r>
          <rPr>
            <sz val="10"/>
            <color indexed="81"/>
            <rFont val="Tahoma"/>
            <family val="2"/>
          </rPr>
          <t xml:space="preserve">
(3/15/13 cn) typo.  Changed from 42.9 to 24.9 per WinCC.</t>
        </r>
      </text>
    </comment>
    <comment ref="B87" authorId="2">
      <text>
        <r>
          <rPr>
            <b/>
            <sz val="10"/>
            <color indexed="81"/>
            <rFont val="Tahoma"/>
            <family val="2"/>
          </rPr>
          <t>cnelson:</t>
        </r>
        <r>
          <rPr>
            <sz val="10"/>
            <color indexed="81"/>
            <rFont val="Tahoma"/>
            <family val="2"/>
          </rPr>
          <t xml:space="preserve">
Draining of Reservoir 1S.</t>
        </r>
      </text>
    </comment>
    <comment ref="L87" authorId="2">
      <text>
        <r>
          <rPr>
            <b/>
            <sz val="10"/>
            <color indexed="81"/>
            <rFont val="Tahoma"/>
            <family val="2"/>
          </rPr>
          <t>cnelson:</t>
        </r>
        <r>
          <rPr>
            <sz val="10"/>
            <color indexed="81"/>
            <rFont val="Tahoma"/>
            <family val="2"/>
          </rPr>
          <t xml:space="preserve">
47.38</t>
        </r>
      </text>
    </comment>
    <comment ref="L88" authorId="2">
      <text>
        <r>
          <rPr>
            <b/>
            <sz val="10"/>
            <color indexed="81"/>
            <rFont val="Tahoma"/>
            <family val="2"/>
          </rPr>
          <t>cnelson:</t>
        </r>
        <r>
          <rPr>
            <sz val="10"/>
            <color indexed="81"/>
            <rFont val="Tahoma"/>
            <family val="2"/>
          </rPr>
          <t xml:space="preserve">
46.55</t>
        </r>
      </text>
    </comment>
    <comment ref="BL88" authorId="2">
      <text>
        <r>
          <rPr>
            <b/>
            <sz val="10"/>
            <color indexed="81"/>
            <rFont val="Tahoma"/>
            <family val="2"/>
          </rPr>
          <t>cnelson:</t>
        </r>
        <r>
          <rPr>
            <sz val="10"/>
            <color indexed="81"/>
            <rFont val="Tahoma"/>
            <family val="2"/>
          </rPr>
          <t xml:space="preserve">
changed from 30.7 to 3.07
</t>
        </r>
      </text>
    </comment>
    <comment ref="L89" authorId="2">
      <text>
        <r>
          <rPr>
            <b/>
            <sz val="10"/>
            <color indexed="81"/>
            <rFont val="Tahoma"/>
            <family val="2"/>
          </rPr>
          <t>cnelson:</t>
        </r>
        <r>
          <rPr>
            <sz val="10"/>
            <color indexed="81"/>
            <rFont val="Tahoma"/>
            <family val="2"/>
          </rPr>
          <t xml:space="preserve">
47.43
</t>
        </r>
      </text>
    </comment>
    <comment ref="AB89" authorId="2">
      <text>
        <r>
          <rPr>
            <b/>
            <sz val="10"/>
            <color indexed="81"/>
            <rFont val="Tahoma"/>
            <family val="2"/>
          </rPr>
          <t>cnelson:</t>
        </r>
        <r>
          <rPr>
            <sz val="10"/>
            <color indexed="81"/>
            <rFont val="Tahoma"/>
            <family val="2"/>
          </rPr>
          <t xml:space="preserve">
changed from 26.18 to 26.10 per wincc.</t>
        </r>
      </text>
    </comment>
    <comment ref="L90" authorId="2">
      <text>
        <r>
          <rPr>
            <b/>
            <sz val="10"/>
            <color indexed="81"/>
            <rFont val="Tahoma"/>
            <family val="2"/>
          </rPr>
          <t>cnelson:</t>
        </r>
        <r>
          <rPr>
            <sz val="10"/>
            <color indexed="81"/>
            <rFont val="Tahoma"/>
            <family val="2"/>
          </rPr>
          <t xml:space="preserve">
46.70
</t>
        </r>
      </text>
    </comment>
    <comment ref="AA90" authorId="2">
      <text>
        <r>
          <rPr>
            <b/>
            <sz val="10"/>
            <color indexed="81"/>
            <rFont val="Tahoma"/>
            <family val="2"/>
          </rPr>
          <t>cnelson:</t>
        </r>
        <r>
          <rPr>
            <sz val="10"/>
            <color indexed="81"/>
            <rFont val="Tahoma"/>
            <family val="2"/>
          </rPr>
          <t xml:space="preserve">
Changed from 20.70 to 20.90 per WinCC.</t>
        </r>
      </text>
    </comment>
    <comment ref="AB90" authorId="2">
      <text>
        <r>
          <rPr>
            <b/>
            <sz val="10"/>
            <color indexed="81"/>
            <rFont val="Tahoma"/>
            <family val="2"/>
          </rPr>
          <t>cnelson:</t>
        </r>
        <r>
          <rPr>
            <sz val="10"/>
            <color indexed="81"/>
            <rFont val="Tahoma"/>
            <family val="2"/>
          </rPr>
          <t xml:space="preserve">
Changed from 25.7 to 26.0
</t>
        </r>
      </text>
    </comment>
    <comment ref="L91" authorId="2">
      <text>
        <r>
          <rPr>
            <b/>
            <sz val="10"/>
            <color indexed="81"/>
            <rFont val="Tahoma"/>
            <family val="2"/>
          </rPr>
          <t>cnelson:</t>
        </r>
        <r>
          <rPr>
            <sz val="10"/>
            <color indexed="81"/>
            <rFont val="Tahoma"/>
            <family val="2"/>
          </rPr>
          <t xml:space="preserve">
changed from 47.68
</t>
        </r>
      </text>
    </comment>
    <comment ref="AA91" authorId="2">
      <text>
        <r>
          <rPr>
            <b/>
            <sz val="10"/>
            <color indexed="81"/>
            <rFont val="Tahoma"/>
            <family val="2"/>
          </rPr>
          <t>cnelson:</t>
        </r>
        <r>
          <rPr>
            <sz val="10"/>
            <color indexed="81"/>
            <rFont val="Tahoma"/>
            <family val="2"/>
          </rPr>
          <t xml:space="preserve">
changed from 20.90 to 20.80</t>
        </r>
      </text>
    </comment>
    <comment ref="L92" authorId="2">
      <text>
        <r>
          <rPr>
            <b/>
            <sz val="10"/>
            <color indexed="81"/>
            <rFont val="Tahoma"/>
            <family val="2"/>
          </rPr>
          <t>cnelson:</t>
        </r>
        <r>
          <rPr>
            <sz val="10"/>
            <color indexed="81"/>
            <rFont val="Tahoma"/>
            <family val="2"/>
          </rPr>
          <t xml:space="preserve">
changed from 46.94</t>
        </r>
      </text>
    </comment>
    <comment ref="L93" authorId="2">
      <text>
        <r>
          <rPr>
            <b/>
            <sz val="10"/>
            <color indexed="81"/>
            <rFont val="Tahoma"/>
            <family val="2"/>
          </rPr>
          <t>cnelson:</t>
        </r>
        <r>
          <rPr>
            <sz val="10"/>
            <color indexed="81"/>
            <rFont val="Tahoma"/>
            <family val="2"/>
          </rPr>
          <t xml:space="preserve">
Changed from 47.21</t>
        </r>
      </text>
    </comment>
    <comment ref="CT93" authorId="2">
      <text>
        <r>
          <rPr>
            <b/>
            <sz val="10"/>
            <color indexed="81"/>
            <rFont val="Tahoma"/>
            <family val="2"/>
          </rPr>
          <t>cnelson:</t>
        </r>
        <r>
          <rPr>
            <sz val="10"/>
            <color indexed="81"/>
            <rFont val="Tahoma"/>
            <family val="2"/>
          </rPr>
          <t xml:space="preserve">
changed from 15593.0 to 15.53 using trending.</t>
        </r>
      </text>
    </comment>
    <comment ref="L94" authorId="2">
      <text>
        <r>
          <rPr>
            <b/>
            <sz val="10"/>
            <color indexed="81"/>
            <rFont val="Tahoma"/>
            <family val="2"/>
          </rPr>
          <t>cnelson:</t>
        </r>
        <r>
          <rPr>
            <sz val="10"/>
            <color indexed="81"/>
            <rFont val="Tahoma"/>
            <family val="2"/>
          </rPr>
          <t xml:space="preserve">
changed from 46.18</t>
        </r>
      </text>
    </comment>
    <comment ref="L95" authorId="2">
      <text>
        <r>
          <rPr>
            <b/>
            <sz val="10"/>
            <color indexed="81"/>
            <rFont val="Tahoma"/>
            <family val="2"/>
          </rPr>
          <t>cnelson:</t>
        </r>
        <r>
          <rPr>
            <sz val="10"/>
            <color indexed="81"/>
            <rFont val="Tahoma"/>
            <family val="2"/>
          </rPr>
          <t xml:space="preserve">
Changed from 47.78
</t>
        </r>
      </text>
    </comment>
    <comment ref="AA95" authorId="2">
      <text>
        <r>
          <rPr>
            <b/>
            <sz val="10"/>
            <color indexed="81"/>
            <rFont val="Tahoma"/>
            <family val="2"/>
          </rPr>
          <t>cnelson:</t>
        </r>
        <r>
          <rPr>
            <sz val="10"/>
            <color indexed="81"/>
            <rFont val="Tahoma"/>
            <family val="2"/>
          </rPr>
          <t xml:space="preserve">
changed from 20.80 to 20.75 per WinCC totalizer.</t>
        </r>
      </text>
    </comment>
    <comment ref="L96" authorId="2">
      <text>
        <r>
          <rPr>
            <b/>
            <sz val="10"/>
            <color indexed="81"/>
            <rFont val="Tahoma"/>
            <family val="2"/>
          </rPr>
          <t>cnelson:</t>
        </r>
        <r>
          <rPr>
            <sz val="10"/>
            <color indexed="81"/>
            <rFont val="Tahoma"/>
            <family val="2"/>
          </rPr>
          <t xml:space="preserve">
changed from 47.05
</t>
        </r>
      </text>
    </comment>
    <comment ref="L97" authorId="3">
      <text>
        <r>
          <rPr>
            <b/>
            <sz val="8"/>
            <color indexed="81"/>
            <rFont val="Tahoma"/>
            <family val="2"/>
          </rPr>
          <t>svaughan:</t>
        </r>
        <r>
          <rPr>
            <sz val="8"/>
            <color indexed="81"/>
            <rFont val="Tahoma"/>
            <family val="2"/>
          </rPr>
          <t xml:space="preserve">
47.02 
</t>
        </r>
      </text>
    </comment>
    <comment ref="L98" authorId="2">
      <text>
        <r>
          <rPr>
            <b/>
            <sz val="10"/>
            <color indexed="81"/>
            <rFont val="Tahoma"/>
            <family val="2"/>
          </rPr>
          <t>cnelson:</t>
        </r>
        <r>
          <rPr>
            <sz val="10"/>
            <color indexed="81"/>
            <rFont val="Tahoma"/>
            <family val="2"/>
          </rPr>
          <t xml:space="preserve">
47.12 entered
</t>
        </r>
      </text>
    </comment>
    <comment ref="AA98" authorId="2">
      <text>
        <r>
          <rPr>
            <b/>
            <sz val="10"/>
            <color indexed="81"/>
            <rFont val="Tahoma"/>
            <family val="2"/>
          </rPr>
          <t>cnelson:</t>
        </r>
        <r>
          <rPr>
            <sz val="10"/>
            <color indexed="81"/>
            <rFont val="Tahoma"/>
            <family val="2"/>
          </rPr>
          <t xml:space="preserve">
Changed from 19.77 to 19.66 per totalizer. However, totalizer value seems off compared to trend value, so changed to trend value of 20.51.  This matches total 24-hr flow better since no flow adjustments made.</t>
        </r>
      </text>
    </comment>
    <comment ref="AB98" authorId="2">
      <text>
        <r>
          <rPr>
            <b/>
            <sz val="10"/>
            <color indexed="81"/>
            <rFont val="Tahoma"/>
            <family val="2"/>
          </rPr>
          <t>cnelson:</t>
        </r>
        <r>
          <rPr>
            <sz val="10"/>
            <color indexed="81"/>
            <rFont val="Tahoma"/>
            <family val="2"/>
          </rPr>
          <t xml:space="preserve">
changed from 25.10 to 24.94.  Changed to trending value of 26.06.  See comment for P1.</t>
        </r>
      </text>
    </comment>
    <comment ref="L99" authorId="2">
      <text>
        <r>
          <rPr>
            <b/>
            <sz val="10"/>
            <color indexed="81"/>
            <rFont val="Tahoma"/>
            <family val="2"/>
          </rPr>
          <t>cnelson:</t>
        </r>
        <r>
          <rPr>
            <sz val="10"/>
            <color indexed="81"/>
            <rFont val="Tahoma"/>
            <family val="2"/>
          </rPr>
          <t xml:space="preserve">
46.58 entered</t>
        </r>
      </text>
    </comment>
    <comment ref="L100" authorId="2">
      <text>
        <r>
          <rPr>
            <b/>
            <sz val="10"/>
            <color indexed="81"/>
            <rFont val="Tahoma"/>
            <family val="2"/>
          </rPr>
          <t>cnelson:</t>
        </r>
        <r>
          <rPr>
            <sz val="10"/>
            <color indexed="81"/>
            <rFont val="Tahoma"/>
            <family val="2"/>
          </rPr>
          <t xml:space="preserve">
47.15 entered</t>
        </r>
      </text>
    </comment>
    <comment ref="L101" authorId="2">
      <text>
        <r>
          <rPr>
            <b/>
            <sz val="10"/>
            <color indexed="81"/>
            <rFont val="Tahoma"/>
            <family val="2"/>
          </rPr>
          <t>cnelson:</t>
        </r>
        <r>
          <rPr>
            <sz val="10"/>
            <color indexed="81"/>
            <rFont val="Tahoma"/>
            <family val="2"/>
          </rPr>
          <t xml:space="preserve">
46.76 entered</t>
        </r>
      </text>
    </comment>
    <comment ref="L102" authorId="2">
      <text>
        <r>
          <rPr>
            <b/>
            <sz val="10"/>
            <color indexed="81"/>
            <rFont val="Tahoma"/>
            <family val="2"/>
          </rPr>
          <t>cnelson:</t>
        </r>
        <r>
          <rPr>
            <sz val="10"/>
            <color indexed="81"/>
            <rFont val="Tahoma"/>
            <family val="2"/>
          </rPr>
          <t xml:space="preserve">
46.8 entered</t>
        </r>
      </text>
    </comment>
    <comment ref="CE102" authorId="2">
      <text>
        <r>
          <rPr>
            <b/>
            <sz val="10"/>
            <color indexed="81"/>
            <rFont val="Tahoma"/>
            <family val="2"/>
          </rPr>
          <t>cnelson:</t>
        </r>
        <r>
          <rPr>
            <sz val="10"/>
            <color indexed="81"/>
            <rFont val="Tahoma"/>
            <family val="2"/>
          </rPr>
          <t xml:space="preserve">
Alaska reservoir cleaning</t>
        </r>
      </text>
    </comment>
    <comment ref="L103" authorId="2">
      <text>
        <r>
          <rPr>
            <b/>
            <sz val="10"/>
            <color indexed="81"/>
            <rFont val="Tahoma"/>
            <family val="2"/>
          </rPr>
          <t>cnelson:</t>
        </r>
        <r>
          <rPr>
            <sz val="10"/>
            <color indexed="81"/>
            <rFont val="Tahoma"/>
            <family val="2"/>
          </rPr>
          <t xml:space="preserve">
47.06 entered</t>
        </r>
      </text>
    </comment>
    <comment ref="B104" authorId="2">
      <text>
        <r>
          <rPr>
            <b/>
            <sz val="10"/>
            <color indexed="81"/>
            <rFont val="Tahoma"/>
            <family val="2"/>
          </rPr>
          <t>cnelson:</t>
        </r>
        <r>
          <rPr>
            <sz val="10"/>
            <color indexed="81"/>
            <rFont val="Tahoma"/>
            <family val="2"/>
          </rPr>
          <t xml:space="preserve">
Hood Street Telemetry Upgrade</t>
        </r>
      </text>
    </comment>
    <comment ref="L104" authorId="2">
      <text>
        <r>
          <rPr>
            <b/>
            <sz val="10"/>
            <color indexed="81"/>
            <rFont val="Tahoma"/>
            <family val="2"/>
          </rPr>
          <t>cnelson:</t>
        </r>
        <r>
          <rPr>
            <sz val="10"/>
            <color indexed="81"/>
            <rFont val="Tahoma"/>
            <family val="2"/>
          </rPr>
          <t xml:space="preserve">
46.92 entered</t>
        </r>
      </text>
    </comment>
    <comment ref="L105" authorId="2">
      <text>
        <r>
          <rPr>
            <b/>
            <sz val="10"/>
            <color indexed="81"/>
            <rFont val="Tahoma"/>
            <family val="2"/>
          </rPr>
          <t>cnelson:</t>
        </r>
        <r>
          <rPr>
            <sz val="10"/>
            <color indexed="81"/>
            <rFont val="Tahoma"/>
            <family val="2"/>
          </rPr>
          <t xml:space="preserve">
46.56 entered</t>
        </r>
      </text>
    </comment>
    <comment ref="L106" authorId="2">
      <text>
        <r>
          <rPr>
            <b/>
            <sz val="10"/>
            <color indexed="81"/>
            <rFont val="Tahoma"/>
            <family val="2"/>
          </rPr>
          <t>cnelson:</t>
        </r>
        <r>
          <rPr>
            <sz val="10"/>
            <color indexed="81"/>
            <rFont val="Tahoma"/>
            <family val="2"/>
          </rPr>
          <t xml:space="preserve">
46.85 entered</t>
        </r>
      </text>
    </comment>
    <comment ref="BN106" authorId="2">
      <text>
        <r>
          <rPr>
            <b/>
            <sz val="10"/>
            <color indexed="81"/>
            <rFont val="Tahoma"/>
            <family val="2"/>
          </rPr>
          <t>cnelson:</t>
        </r>
        <r>
          <rPr>
            <sz val="10"/>
            <color indexed="81"/>
            <rFont val="Tahoma"/>
            <family val="2"/>
          </rPr>
          <t xml:space="preserve">
Changed from 16.5 to 15.50
</t>
        </r>
      </text>
    </comment>
    <comment ref="L107" authorId="2">
      <text>
        <r>
          <rPr>
            <b/>
            <sz val="10"/>
            <color indexed="81"/>
            <rFont val="Tahoma"/>
            <family val="2"/>
          </rPr>
          <t>cnelson:</t>
        </r>
        <r>
          <rPr>
            <sz val="10"/>
            <color indexed="81"/>
            <rFont val="Tahoma"/>
            <family val="2"/>
          </rPr>
          <t xml:space="preserve">
46.41
</t>
        </r>
      </text>
    </comment>
    <comment ref="CK107" authorId="2">
      <text>
        <r>
          <rPr>
            <b/>
            <sz val="10"/>
            <color indexed="81"/>
            <rFont val="Tahoma"/>
            <family val="2"/>
          </rPr>
          <t>cnelson:</t>
        </r>
        <r>
          <rPr>
            <sz val="10"/>
            <color indexed="81"/>
            <rFont val="Tahoma"/>
            <family val="2"/>
          </rPr>
          <t xml:space="preserve">
Power bump tripped generator.  Power replaced diodes on 4/9/14.</t>
        </r>
      </text>
    </comment>
    <comment ref="L108" authorId="2">
      <text>
        <r>
          <rPr>
            <b/>
            <sz val="10"/>
            <color indexed="81"/>
            <rFont val="Tahoma"/>
            <family val="2"/>
          </rPr>
          <t>cnelson:</t>
        </r>
        <r>
          <rPr>
            <sz val="10"/>
            <color indexed="81"/>
            <rFont val="Tahoma"/>
            <family val="2"/>
          </rPr>
          <t xml:space="preserve">
47.3</t>
        </r>
      </text>
    </comment>
    <comment ref="L109" authorId="2">
      <text>
        <r>
          <rPr>
            <b/>
            <sz val="10"/>
            <color indexed="81"/>
            <rFont val="Tahoma"/>
            <family val="2"/>
          </rPr>
          <t>cnelson:</t>
        </r>
        <r>
          <rPr>
            <sz val="10"/>
            <color indexed="81"/>
            <rFont val="Tahoma"/>
            <family val="2"/>
          </rPr>
          <t xml:space="preserve">
47.03
</t>
        </r>
      </text>
    </comment>
    <comment ref="L110" authorId="2">
      <text>
        <r>
          <rPr>
            <b/>
            <sz val="10"/>
            <color indexed="81"/>
            <rFont val="Tahoma"/>
            <family val="2"/>
          </rPr>
          <t>cnelson:</t>
        </r>
        <r>
          <rPr>
            <sz val="10"/>
            <color indexed="81"/>
            <rFont val="Tahoma"/>
            <family val="2"/>
          </rPr>
          <t xml:space="preserve">
46.52
</t>
        </r>
      </text>
    </comment>
    <comment ref="CI110" authorId="2">
      <text>
        <r>
          <rPr>
            <b/>
            <sz val="10"/>
            <color indexed="81"/>
            <rFont val="Tahoma"/>
            <family val="2"/>
          </rPr>
          <t>cnelson:</t>
        </r>
        <r>
          <rPr>
            <sz val="10"/>
            <color indexed="81"/>
            <rFont val="Tahoma"/>
            <family val="2"/>
          </rPr>
          <t xml:space="preserve">
IH Reservoir cleaning</t>
        </r>
      </text>
    </comment>
    <comment ref="L111" authorId="2">
      <text>
        <r>
          <rPr>
            <b/>
            <sz val="10"/>
            <color indexed="81"/>
            <rFont val="Tahoma"/>
            <family val="2"/>
          </rPr>
          <t>cnelson:</t>
        </r>
        <r>
          <rPr>
            <sz val="10"/>
            <color indexed="81"/>
            <rFont val="Tahoma"/>
            <family val="2"/>
          </rPr>
          <t xml:space="preserve">
46.83</t>
        </r>
      </text>
    </comment>
    <comment ref="L112" authorId="2">
      <text>
        <r>
          <rPr>
            <b/>
            <sz val="10"/>
            <color indexed="81"/>
            <rFont val="Tahoma"/>
            <family val="2"/>
          </rPr>
          <t>cnelson:</t>
        </r>
        <r>
          <rPr>
            <sz val="10"/>
            <color indexed="81"/>
            <rFont val="Tahoma"/>
            <family val="2"/>
          </rPr>
          <t xml:space="preserve">
46.45</t>
        </r>
      </text>
    </comment>
    <comment ref="L113" authorId="2">
      <text>
        <r>
          <rPr>
            <b/>
            <sz val="10"/>
            <color indexed="81"/>
            <rFont val="Tahoma"/>
            <family val="2"/>
          </rPr>
          <t>cnelson:</t>
        </r>
        <r>
          <rPr>
            <sz val="10"/>
            <color indexed="81"/>
            <rFont val="Tahoma"/>
            <family val="2"/>
          </rPr>
          <t xml:space="preserve">
47.2 entered</t>
        </r>
      </text>
    </comment>
    <comment ref="L114" authorId="2">
      <text>
        <r>
          <rPr>
            <b/>
            <sz val="10"/>
            <color indexed="81"/>
            <rFont val="Tahoma"/>
            <family val="2"/>
          </rPr>
          <t>cnelson:</t>
        </r>
        <r>
          <rPr>
            <sz val="10"/>
            <color indexed="81"/>
            <rFont val="Tahoma"/>
            <family val="2"/>
          </rPr>
          <t xml:space="preserve">
47.69
</t>
        </r>
      </text>
    </comment>
    <comment ref="L115" authorId="2">
      <text>
        <r>
          <rPr>
            <b/>
            <sz val="10"/>
            <color indexed="81"/>
            <rFont val="Tahoma"/>
            <family val="2"/>
          </rPr>
          <t>cnelson:</t>
        </r>
        <r>
          <rPr>
            <sz val="10"/>
            <color indexed="81"/>
            <rFont val="Tahoma"/>
            <family val="2"/>
          </rPr>
          <t xml:space="preserve">
46.74
</t>
        </r>
      </text>
    </comment>
    <comment ref="L116" authorId="2">
      <text>
        <r>
          <rPr>
            <b/>
            <sz val="10"/>
            <color indexed="81"/>
            <rFont val="Tahoma"/>
            <family val="2"/>
          </rPr>
          <t>cnelson:</t>
        </r>
        <r>
          <rPr>
            <sz val="10"/>
            <color indexed="81"/>
            <rFont val="Tahoma"/>
            <family val="2"/>
          </rPr>
          <t xml:space="preserve">
46.63
</t>
        </r>
      </text>
    </comment>
    <comment ref="L117" authorId="2">
      <text>
        <r>
          <rPr>
            <b/>
            <sz val="10"/>
            <color indexed="81"/>
            <rFont val="Tahoma"/>
            <family val="2"/>
          </rPr>
          <t>cnelson:</t>
        </r>
        <r>
          <rPr>
            <sz val="10"/>
            <color indexed="81"/>
            <rFont val="Tahoma"/>
            <family val="2"/>
          </rPr>
          <t xml:space="preserve">
46.67
</t>
        </r>
      </text>
    </comment>
    <comment ref="L118" authorId="2">
      <text>
        <r>
          <rPr>
            <b/>
            <sz val="10"/>
            <color indexed="81"/>
            <rFont val="Tahoma"/>
            <family val="2"/>
          </rPr>
          <t>cnelson:</t>
        </r>
        <r>
          <rPr>
            <sz val="10"/>
            <color indexed="81"/>
            <rFont val="Tahoma"/>
            <family val="2"/>
          </rPr>
          <t xml:space="preserve">
46.57</t>
        </r>
      </text>
    </comment>
    <comment ref="L119" authorId="2">
      <text>
        <r>
          <rPr>
            <b/>
            <sz val="10"/>
            <color indexed="81"/>
            <rFont val="Tahoma"/>
            <family val="2"/>
          </rPr>
          <t>cnelson:</t>
        </r>
        <r>
          <rPr>
            <sz val="10"/>
            <color indexed="81"/>
            <rFont val="Tahoma"/>
            <family val="2"/>
          </rPr>
          <t xml:space="preserve">
46.75</t>
        </r>
      </text>
    </comment>
    <comment ref="L120" authorId="2">
      <text>
        <r>
          <rPr>
            <b/>
            <sz val="10"/>
            <color indexed="81"/>
            <rFont val="Tahoma"/>
            <family val="2"/>
          </rPr>
          <t>cnelson:</t>
        </r>
        <r>
          <rPr>
            <sz val="10"/>
            <color indexed="81"/>
            <rFont val="Tahoma"/>
            <family val="2"/>
          </rPr>
          <t xml:space="preserve">
46.69
</t>
        </r>
      </text>
    </comment>
    <comment ref="L121" authorId="2">
      <text>
        <r>
          <rPr>
            <b/>
            <sz val="10"/>
            <color indexed="81"/>
            <rFont val="Tahoma"/>
            <family val="2"/>
          </rPr>
          <t>cnelson:</t>
        </r>
        <r>
          <rPr>
            <sz val="10"/>
            <color indexed="81"/>
            <rFont val="Tahoma"/>
            <family val="2"/>
          </rPr>
          <t xml:space="preserve">
46.83</t>
        </r>
      </text>
    </comment>
    <comment ref="L122" authorId="2">
      <text>
        <r>
          <rPr>
            <b/>
            <sz val="10"/>
            <color indexed="81"/>
            <rFont val="Tahoma"/>
            <family val="2"/>
          </rPr>
          <t>cnelson:</t>
        </r>
        <r>
          <rPr>
            <sz val="10"/>
            <color indexed="81"/>
            <rFont val="Tahoma"/>
            <family val="2"/>
          </rPr>
          <t xml:space="preserve">
46.57</t>
        </r>
      </text>
    </comment>
    <comment ref="L123" authorId="2">
      <text>
        <r>
          <rPr>
            <b/>
            <sz val="10"/>
            <color indexed="81"/>
            <rFont val="Tahoma"/>
            <family val="2"/>
          </rPr>
          <t>cnelson:</t>
        </r>
        <r>
          <rPr>
            <sz val="10"/>
            <color indexed="81"/>
            <rFont val="Tahoma"/>
            <family val="2"/>
          </rPr>
          <t xml:space="preserve">
46.77</t>
        </r>
      </text>
    </comment>
    <comment ref="L124" authorId="2">
      <text>
        <r>
          <rPr>
            <b/>
            <sz val="10"/>
            <color indexed="81"/>
            <rFont val="Tahoma"/>
            <family val="2"/>
          </rPr>
          <t>cnelson:</t>
        </r>
        <r>
          <rPr>
            <sz val="10"/>
            <color indexed="81"/>
            <rFont val="Tahoma"/>
            <family val="2"/>
          </rPr>
          <t xml:space="preserve">
46.62
</t>
        </r>
      </text>
    </comment>
    <comment ref="CQ124" authorId="2">
      <text>
        <r>
          <rPr>
            <b/>
            <sz val="10"/>
            <color indexed="81"/>
            <rFont val="Tahoma"/>
            <family val="2"/>
          </rPr>
          <t>cnelson:</t>
        </r>
        <r>
          <rPr>
            <sz val="10"/>
            <color indexed="81"/>
            <rFont val="Tahoma"/>
            <family val="2"/>
          </rPr>
          <t xml:space="preserve">
estimated 2.7 due to temporarily o/s</t>
        </r>
      </text>
    </comment>
    <comment ref="L125" authorId="2">
      <text>
        <r>
          <rPr>
            <b/>
            <sz val="10"/>
            <color indexed="81"/>
            <rFont val="Tahoma"/>
            <family val="2"/>
          </rPr>
          <t>cnelson:</t>
        </r>
        <r>
          <rPr>
            <sz val="10"/>
            <color indexed="81"/>
            <rFont val="Tahoma"/>
            <family val="2"/>
          </rPr>
          <t xml:space="preserve">
46.66</t>
        </r>
      </text>
    </comment>
    <comment ref="L126" authorId="2">
      <text>
        <r>
          <rPr>
            <b/>
            <sz val="10"/>
            <color indexed="81"/>
            <rFont val="Tahoma"/>
            <family val="2"/>
          </rPr>
          <t>cnelson:</t>
        </r>
        <r>
          <rPr>
            <sz val="10"/>
            <color indexed="81"/>
            <rFont val="Tahoma"/>
            <family val="2"/>
          </rPr>
          <t xml:space="preserve">
46.58</t>
        </r>
      </text>
    </comment>
    <comment ref="L127" authorId="2">
      <text>
        <r>
          <rPr>
            <b/>
            <sz val="10"/>
            <color indexed="81"/>
            <rFont val="Tahoma"/>
            <family val="2"/>
          </rPr>
          <t>cnelson:</t>
        </r>
        <r>
          <rPr>
            <sz val="10"/>
            <color indexed="81"/>
            <rFont val="Tahoma"/>
            <family val="2"/>
          </rPr>
          <t xml:space="preserve">
46.8
</t>
        </r>
      </text>
    </comment>
    <comment ref="CO127" authorId="2">
      <text>
        <r>
          <rPr>
            <b/>
            <sz val="10"/>
            <color indexed="81"/>
            <rFont val="Tahoma"/>
            <family val="2"/>
          </rPr>
          <t>cnelson:</t>
        </r>
        <r>
          <rPr>
            <sz val="10"/>
            <color indexed="81"/>
            <rFont val="Tahoma"/>
            <family val="2"/>
          </rPr>
          <t xml:space="preserve">
changed from 3.4 to 335.0 per WinCC.</t>
        </r>
      </text>
    </comment>
    <comment ref="L128" authorId="2">
      <text>
        <r>
          <rPr>
            <b/>
            <sz val="10"/>
            <color indexed="81"/>
            <rFont val="Tahoma"/>
            <family val="2"/>
          </rPr>
          <t>cnelson:</t>
        </r>
        <r>
          <rPr>
            <sz val="10"/>
            <color indexed="81"/>
            <rFont val="Tahoma"/>
            <family val="2"/>
          </rPr>
          <t xml:space="preserve">
46.97</t>
        </r>
      </text>
    </comment>
    <comment ref="AA128" authorId="2">
      <text>
        <r>
          <rPr>
            <b/>
            <sz val="10"/>
            <color indexed="81"/>
            <rFont val="Tahoma"/>
            <family val="2"/>
          </rPr>
          <t>cnelson:</t>
        </r>
        <r>
          <rPr>
            <sz val="10"/>
            <color indexed="81"/>
            <rFont val="Tahoma"/>
            <family val="2"/>
          </rPr>
          <t xml:space="preserve">
Changed from 2080 to 20.80
</t>
        </r>
      </text>
    </comment>
    <comment ref="L129" authorId="2">
      <text>
        <r>
          <rPr>
            <b/>
            <sz val="10"/>
            <color indexed="81"/>
            <rFont val="Tahoma"/>
            <family val="2"/>
          </rPr>
          <t>cnelson:</t>
        </r>
        <r>
          <rPr>
            <sz val="10"/>
            <color indexed="81"/>
            <rFont val="Tahoma"/>
            <family val="2"/>
          </rPr>
          <t xml:space="preserve">
46.73</t>
        </r>
      </text>
    </comment>
    <comment ref="Y129" authorId="2">
      <text>
        <r>
          <rPr>
            <b/>
            <sz val="10"/>
            <color indexed="81"/>
            <rFont val="Tahoma"/>
            <family val="2"/>
          </rPr>
          <t>cnelson:</t>
        </r>
        <r>
          <rPr>
            <sz val="10"/>
            <color indexed="81"/>
            <rFont val="Tahoma"/>
            <family val="2"/>
          </rPr>
          <t xml:space="preserve">
Changed from 2080 to 20.80
</t>
        </r>
      </text>
    </comment>
    <comment ref="L130" authorId="2">
      <text>
        <r>
          <rPr>
            <b/>
            <sz val="10"/>
            <color indexed="81"/>
            <rFont val="Tahoma"/>
            <family val="2"/>
          </rPr>
          <t>cnelson:</t>
        </r>
        <r>
          <rPr>
            <sz val="10"/>
            <color indexed="81"/>
            <rFont val="Tahoma"/>
            <family val="2"/>
          </rPr>
          <t xml:space="preserve">
46.88
</t>
        </r>
      </text>
    </comment>
    <comment ref="L131" authorId="2">
      <text>
        <r>
          <rPr>
            <b/>
            <sz val="10"/>
            <color indexed="81"/>
            <rFont val="Tahoma"/>
            <family val="2"/>
          </rPr>
          <t>cnelson:</t>
        </r>
        <r>
          <rPr>
            <sz val="10"/>
            <color indexed="81"/>
            <rFont val="Tahoma"/>
            <family val="2"/>
          </rPr>
          <t xml:space="preserve">
46.98
</t>
        </r>
      </text>
    </comment>
    <comment ref="L132" authorId="2">
      <text>
        <r>
          <rPr>
            <b/>
            <sz val="10"/>
            <color indexed="81"/>
            <rFont val="Tahoma"/>
            <family val="2"/>
          </rPr>
          <t>cnelson:</t>
        </r>
        <r>
          <rPr>
            <sz val="10"/>
            <color indexed="81"/>
            <rFont val="Tahoma"/>
            <family val="2"/>
          </rPr>
          <t xml:space="preserve">
46.65</t>
        </r>
      </text>
    </comment>
    <comment ref="L133" authorId="2">
      <text>
        <r>
          <rPr>
            <b/>
            <sz val="10"/>
            <color indexed="81"/>
            <rFont val="Tahoma"/>
            <family val="2"/>
          </rPr>
          <t>cnelson:</t>
        </r>
        <r>
          <rPr>
            <sz val="10"/>
            <color indexed="81"/>
            <rFont val="Tahoma"/>
            <family val="2"/>
          </rPr>
          <t xml:space="preserve">
46.83</t>
        </r>
      </text>
    </comment>
    <comment ref="F134" authorId="2">
      <text>
        <r>
          <rPr>
            <b/>
            <sz val="10"/>
            <color indexed="81"/>
            <rFont val="Tahoma"/>
            <family val="2"/>
          </rPr>
          <t>cnelson:</t>
        </r>
        <r>
          <rPr>
            <sz val="10"/>
            <color indexed="81"/>
            <rFont val="Tahoma"/>
            <family val="2"/>
          </rPr>
          <t xml:space="preserve">
Typo at 1.23.  estimated at 52.</t>
        </r>
      </text>
    </comment>
    <comment ref="L134" authorId="2">
      <text>
        <r>
          <rPr>
            <b/>
            <sz val="10"/>
            <color indexed="81"/>
            <rFont val="Tahoma"/>
            <family val="2"/>
          </rPr>
          <t>cnelson:</t>
        </r>
        <r>
          <rPr>
            <sz val="10"/>
            <color indexed="81"/>
            <rFont val="Tahoma"/>
            <family val="2"/>
          </rPr>
          <t xml:space="preserve">
46.80
</t>
        </r>
      </text>
    </comment>
    <comment ref="L135" authorId="2">
      <text>
        <r>
          <rPr>
            <b/>
            <sz val="10"/>
            <color indexed="81"/>
            <rFont val="Tahoma"/>
            <family val="2"/>
          </rPr>
          <t>cnelson:</t>
        </r>
        <r>
          <rPr>
            <sz val="10"/>
            <color indexed="81"/>
            <rFont val="Tahoma"/>
            <family val="2"/>
          </rPr>
          <t xml:space="preserve">
46.65</t>
        </r>
      </text>
    </comment>
    <comment ref="L136" authorId="2">
      <text>
        <r>
          <rPr>
            <b/>
            <sz val="10"/>
            <color indexed="81"/>
            <rFont val="Tahoma"/>
            <family val="2"/>
          </rPr>
          <t>cnelson:</t>
        </r>
        <r>
          <rPr>
            <sz val="10"/>
            <color indexed="81"/>
            <rFont val="Tahoma"/>
            <family val="2"/>
          </rPr>
          <t xml:space="preserve">
46.72</t>
        </r>
      </text>
    </comment>
    <comment ref="L137" authorId="2">
      <text>
        <r>
          <rPr>
            <b/>
            <sz val="10"/>
            <color indexed="81"/>
            <rFont val="Tahoma"/>
            <family val="2"/>
          </rPr>
          <t>cnelson:</t>
        </r>
        <r>
          <rPr>
            <sz val="10"/>
            <color indexed="81"/>
            <rFont val="Tahoma"/>
            <family val="2"/>
          </rPr>
          <t xml:space="preserve">
47.08</t>
        </r>
      </text>
    </comment>
    <comment ref="L138" authorId="2">
      <text>
        <r>
          <rPr>
            <b/>
            <sz val="10"/>
            <color indexed="81"/>
            <rFont val="Tahoma"/>
            <family val="2"/>
          </rPr>
          <t>cnelson:</t>
        </r>
        <r>
          <rPr>
            <sz val="10"/>
            <color indexed="81"/>
            <rFont val="Tahoma"/>
            <family val="2"/>
          </rPr>
          <t xml:space="preserve">
46.39
</t>
        </r>
      </text>
    </comment>
    <comment ref="L139" authorId="2">
      <text>
        <r>
          <rPr>
            <b/>
            <sz val="10"/>
            <color indexed="81"/>
            <rFont val="Tahoma"/>
            <family val="2"/>
          </rPr>
          <t>cnelson:</t>
        </r>
        <r>
          <rPr>
            <sz val="10"/>
            <color indexed="81"/>
            <rFont val="Tahoma"/>
            <family val="2"/>
          </rPr>
          <t xml:space="preserve">
48.11</t>
        </r>
      </text>
    </comment>
    <comment ref="L140" authorId="2">
      <text>
        <r>
          <rPr>
            <b/>
            <sz val="10"/>
            <color indexed="81"/>
            <rFont val="Tahoma"/>
            <family val="2"/>
          </rPr>
          <t>cnelson:</t>
        </r>
        <r>
          <rPr>
            <sz val="10"/>
            <color indexed="81"/>
            <rFont val="Tahoma"/>
            <family val="2"/>
          </rPr>
          <t xml:space="preserve">
45.71
</t>
        </r>
      </text>
    </comment>
    <comment ref="L141" authorId="2">
      <text>
        <r>
          <rPr>
            <b/>
            <sz val="10"/>
            <color indexed="81"/>
            <rFont val="Tahoma"/>
            <family val="2"/>
          </rPr>
          <t>cnelson:</t>
        </r>
        <r>
          <rPr>
            <sz val="10"/>
            <color indexed="81"/>
            <rFont val="Tahoma"/>
            <family val="2"/>
          </rPr>
          <t xml:space="preserve">
45.89</t>
        </r>
      </text>
    </comment>
    <comment ref="BK142" authorId="2">
      <text>
        <r>
          <rPr>
            <b/>
            <sz val="10"/>
            <color indexed="81"/>
            <rFont val="Tahoma"/>
            <family val="2"/>
          </rPr>
          <t>cnelson:</t>
        </r>
        <r>
          <rPr>
            <sz val="10"/>
            <color indexed="81"/>
            <rFont val="Tahoma"/>
            <family val="2"/>
          </rPr>
          <t xml:space="preserve">
changed from 2.96 to 3.02 per trending.</t>
        </r>
      </text>
    </comment>
    <comment ref="BL142" authorId="2">
      <text>
        <r>
          <rPr>
            <b/>
            <sz val="10"/>
            <color indexed="81"/>
            <rFont val="Tahoma"/>
            <family val="2"/>
          </rPr>
          <t>cnelson:</t>
        </r>
        <r>
          <rPr>
            <sz val="10"/>
            <color indexed="81"/>
            <rFont val="Tahoma"/>
            <family val="2"/>
          </rPr>
          <t xml:space="preserve">
LUD#2 shut down inadvertently without known cause.  Changed from 2.07 to 2.062 per email. </t>
        </r>
      </text>
    </comment>
    <comment ref="B143" authorId="2">
      <text>
        <r>
          <rPr>
            <b/>
            <sz val="10"/>
            <color indexed="81"/>
            <rFont val="Tahoma"/>
            <family val="2"/>
          </rPr>
          <t>cnelson:</t>
        </r>
        <r>
          <rPr>
            <sz val="10"/>
            <color indexed="81"/>
            <rFont val="Tahoma"/>
            <family val="2"/>
          </rPr>
          <t xml:space="preserve">
Intake placed back in service.</t>
        </r>
      </text>
    </comment>
    <comment ref="BK143" authorId="2">
      <text>
        <r>
          <rPr>
            <b/>
            <sz val="10"/>
            <color indexed="81"/>
            <rFont val="Tahoma"/>
            <family val="2"/>
          </rPr>
          <t>cnelson:</t>
        </r>
        <r>
          <rPr>
            <sz val="10"/>
            <color indexed="81"/>
            <rFont val="Tahoma"/>
            <family val="2"/>
          </rPr>
          <t xml:space="preserve">
Changed from 3.00 to 3.07 per trending.</t>
        </r>
      </text>
    </comment>
    <comment ref="CS143" authorId="2">
      <text>
        <r>
          <rPr>
            <b/>
            <sz val="10"/>
            <color indexed="81"/>
            <rFont val="Tahoma"/>
            <family val="2"/>
          </rPr>
          <t>cnelson:</t>
        </r>
        <r>
          <rPr>
            <sz val="10"/>
            <color indexed="81"/>
            <rFont val="Tahoma"/>
            <family val="2"/>
          </rPr>
          <t xml:space="preserve">
Intake placed back in service.</t>
        </r>
      </text>
    </comment>
    <comment ref="BK147" authorId="2">
      <text>
        <r>
          <rPr>
            <b/>
            <sz val="10"/>
            <color indexed="81"/>
            <rFont val="Tahoma"/>
            <family val="2"/>
          </rPr>
          <t>cnelson:</t>
        </r>
        <r>
          <rPr>
            <sz val="10"/>
            <color indexed="81"/>
            <rFont val="Tahoma"/>
            <family val="2"/>
          </rPr>
          <t xml:space="preserve">
changed from 3.18 to 3.30 per totalizer read in WinCC.</t>
        </r>
      </text>
    </comment>
    <comment ref="BN147" authorId="2">
      <text>
        <r>
          <rPr>
            <b/>
            <sz val="10"/>
            <color indexed="81"/>
            <rFont val="Tahoma"/>
            <family val="2"/>
          </rPr>
          <t>cnelson:</t>
        </r>
        <r>
          <rPr>
            <sz val="10"/>
            <color indexed="81"/>
            <rFont val="Tahoma"/>
            <family val="2"/>
          </rPr>
          <t xml:space="preserve">
changed from 26.90 to 25.90 per WinCC trending in 'PL5 supply Tren' report.</t>
        </r>
      </text>
    </comment>
    <comment ref="B155" authorId="2">
      <text>
        <r>
          <rPr>
            <b/>
            <sz val="10"/>
            <color indexed="81"/>
            <rFont val="Tahoma"/>
            <family val="2"/>
          </rPr>
          <t>cnelson:</t>
        </r>
        <r>
          <rPr>
            <sz val="10"/>
            <color indexed="81"/>
            <rFont val="Tahoma"/>
            <family val="2"/>
          </rPr>
          <t xml:space="preserve">
Hood Street drained for cleaning.</t>
        </r>
      </text>
    </comment>
    <comment ref="CK157" authorId="2">
      <text>
        <r>
          <rPr>
            <b/>
            <sz val="10"/>
            <color indexed="81"/>
            <rFont val="Tahoma"/>
            <family val="2"/>
          </rPr>
          <t>cnelson:</t>
        </r>
        <r>
          <rPr>
            <sz val="10"/>
            <color indexed="81"/>
            <rFont val="Tahoma"/>
            <family val="2"/>
          </rPr>
          <t xml:space="preserve">
Hood PS basin isolated for painting project.</t>
        </r>
      </text>
    </comment>
    <comment ref="B159" authorId="2">
      <text>
        <r>
          <rPr>
            <b/>
            <sz val="10"/>
            <color indexed="81"/>
            <rFont val="Tahoma"/>
            <family val="2"/>
          </rPr>
          <t>cnelson:</t>
        </r>
        <r>
          <rPr>
            <sz val="10"/>
            <color indexed="81"/>
            <rFont val="Tahoma"/>
            <family val="2"/>
          </rPr>
          <t xml:space="preserve">
begin refill of Hood Reservoir, fill through the weekend.</t>
        </r>
      </text>
    </comment>
    <comment ref="BK170" authorId="2">
      <text>
        <r>
          <rPr>
            <b/>
            <sz val="10"/>
            <color indexed="81"/>
            <rFont val="Tahoma"/>
            <family val="2"/>
          </rPr>
          <t>cnelson:</t>
        </r>
        <r>
          <rPr>
            <sz val="10"/>
            <color indexed="81"/>
            <rFont val="Tahoma"/>
            <family val="2"/>
          </rPr>
          <t xml:space="preserve">
changed from 3.46 to 4.03 per WinCC trending value.</t>
        </r>
      </text>
    </comment>
    <comment ref="BK171" authorId="2">
      <text>
        <r>
          <rPr>
            <b/>
            <sz val="10"/>
            <color indexed="81"/>
            <rFont val="Tahoma"/>
            <family val="2"/>
          </rPr>
          <t>cnelson:</t>
        </r>
        <r>
          <rPr>
            <sz val="10"/>
            <color indexed="81"/>
            <rFont val="Tahoma"/>
            <family val="2"/>
          </rPr>
          <t xml:space="preserve">
changed from 4.06 to 4.48</t>
        </r>
      </text>
    </comment>
    <comment ref="BK172" authorId="2">
      <text>
        <r>
          <rPr>
            <b/>
            <sz val="10"/>
            <color indexed="81"/>
            <rFont val="Tahoma"/>
            <family val="2"/>
          </rPr>
          <t>cnelson:</t>
        </r>
        <r>
          <rPr>
            <sz val="10"/>
            <color indexed="81"/>
            <rFont val="Tahoma"/>
            <family val="2"/>
          </rPr>
          <t xml:space="preserve">
Changed from 4.46 to 4.88 per totalizer read.</t>
        </r>
      </text>
    </comment>
    <comment ref="BK173" authorId="2">
      <text>
        <r>
          <rPr>
            <b/>
            <sz val="10"/>
            <color indexed="81"/>
            <rFont val="Tahoma"/>
            <family val="2"/>
          </rPr>
          <t>cnelson:</t>
        </r>
        <r>
          <rPr>
            <sz val="10"/>
            <color indexed="81"/>
            <rFont val="Tahoma"/>
            <family val="2"/>
          </rPr>
          <t xml:space="preserve">
Changed from 4.88 to 4.30</t>
        </r>
      </text>
    </comment>
    <comment ref="L189" authorId="2">
      <text>
        <r>
          <rPr>
            <b/>
            <sz val="10"/>
            <color indexed="81"/>
            <rFont val="Tahoma"/>
            <family val="2"/>
          </rPr>
          <t>cnelson:</t>
        </r>
        <r>
          <rPr>
            <sz val="10"/>
            <color indexed="81"/>
            <rFont val="Tahoma"/>
            <family val="2"/>
          </rPr>
          <t xml:space="preserve">
Testing with S&amp;B of blending valve.</t>
        </r>
      </text>
    </comment>
    <comment ref="AS199" authorId="4">
      <text>
        <r>
          <rPr>
            <b/>
            <sz val="8"/>
            <color indexed="81"/>
            <rFont val="Tahoma"/>
            <family val="2"/>
          </rPr>
          <t xml:space="preserve">cjohnso2:
Estimated because of flow meter issue
</t>
        </r>
      </text>
    </comment>
    <comment ref="L202" authorId="2">
      <text>
        <r>
          <rPr>
            <b/>
            <sz val="10"/>
            <color indexed="81"/>
            <rFont val="Tahoma"/>
            <family val="2"/>
          </rPr>
          <t>cnelson:</t>
        </r>
        <r>
          <rPr>
            <sz val="10"/>
            <color indexed="81"/>
            <rFont val="Tahoma"/>
            <family val="2"/>
          </rPr>
          <t xml:space="preserve">
Confirmed with J. Bolam.  R1 brought online, blending valves tested, also Corps switched to bypass.  See 8/9/12 email.</t>
        </r>
      </text>
    </comment>
    <comment ref="BU202" authorId="2">
      <text>
        <r>
          <rPr>
            <b/>
            <sz val="10"/>
            <color indexed="81"/>
            <rFont val="Tahoma"/>
            <family val="2"/>
          </rPr>
          <t>cnelson:</t>
        </r>
        <r>
          <rPr>
            <sz val="10"/>
            <color indexed="81"/>
            <rFont val="Tahoma"/>
            <family val="2"/>
          </rPr>
          <t xml:space="preserve">
changed from 0.4to 39.61 per WinCC.</t>
        </r>
      </text>
    </comment>
    <comment ref="EH204" authorId="2">
      <text>
        <r>
          <rPr>
            <b/>
            <sz val="10"/>
            <color indexed="81"/>
            <rFont val="Tahoma"/>
            <family val="2"/>
          </rPr>
          <t>cnelson:</t>
        </r>
        <r>
          <rPr>
            <sz val="10"/>
            <color indexed="81"/>
            <rFont val="Tahoma"/>
            <family val="2"/>
          </rPr>
          <t xml:space="preserve">
adjusted from 3.0 to 4.5 to keep FDW used below 73mgd on Calculation page.  A Flow adjustment was made by the Corp late morning and Tacoma increased flow late afternoon/early evening.</t>
        </r>
      </text>
    </comment>
    <comment ref="B206" authorId="2">
      <text>
        <r>
          <rPr>
            <b/>
            <sz val="10"/>
            <color indexed="81"/>
            <rFont val="Tahoma"/>
            <family val="2"/>
          </rPr>
          <t>cnelson:</t>
        </r>
        <r>
          <rPr>
            <sz val="10"/>
            <color indexed="81"/>
            <rFont val="Tahoma"/>
            <family val="2"/>
          </rPr>
          <t xml:space="preserve">
Comm Server/provider switchover at P5 FCF.  System down for most of day.</t>
        </r>
      </text>
    </comment>
    <comment ref="CS206" authorId="2">
      <text>
        <r>
          <rPr>
            <b/>
            <sz val="10"/>
            <color indexed="81"/>
            <rFont val="Tahoma"/>
            <family val="2"/>
          </rPr>
          <t>cnelson:</t>
        </r>
        <r>
          <rPr>
            <sz val="10"/>
            <color indexed="81"/>
            <rFont val="Tahoma"/>
            <family val="2"/>
          </rPr>
          <t xml:space="preserve">
Ran due to high peaking.</t>
        </r>
      </text>
    </comment>
    <comment ref="AB208" authorId="2">
      <text>
        <r>
          <rPr>
            <b/>
            <sz val="10"/>
            <color indexed="81"/>
            <rFont val="Tahoma"/>
            <family val="2"/>
          </rPr>
          <t>cnelson:</t>
        </r>
        <r>
          <rPr>
            <sz val="10"/>
            <color indexed="81"/>
            <rFont val="Tahoma"/>
            <family val="2"/>
          </rPr>
          <t xml:space="preserve">
changed from 52.92 to 52.93</t>
        </r>
      </text>
    </comment>
    <comment ref="BK211" authorId="2">
      <text>
        <r>
          <rPr>
            <b/>
            <sz val="10"/>
            <color indexed="81"/>
            <rFont val="Tahoma"/>
            <family val="2"/>
          </rPr>
          <t>cnelson:</t>
        </r>
        <r>
          <rPr>
            <sz val="10"/>
            <color indexed="81"/>
            <rFont val="Tahoma"/>
            <family val="2"/>
          </rPr>
          <t xml:space="preserve">
Changed from 5.91 to 5.59 per WinnCC totalizer.</t>
        </r>
      </text>
    </comment>
    <comment ref="BN211" authorId="2">
      <text>
        <r>
          <rPr>
            <b/>
            <sz val="10"/>
            <color indexed="81"/>
            <rFont val="Tahoma"/>
            <family val="2"/>
          </rPr>
          <t>cnelson:</t>
        </r>
        <r>
          <rPr>
            <sz val="10"/>
            <color indexed="81"/>
            <rFont val="Tahoma"/>
            <family val="2"/>
          </rPr>
          <t xml:space="preserve">
Corrected to 31.66 from 31.70 per WinCC trend function.</t>
        </r>
      </text>
    </comment>
    <comment ref="EH212" authorId="2">
      <text>
        <r>
          <rPr>
            <b/>
            <sz val="10"/>
            <color indexed="81"/>
            <rFont val="Tahoma"/>
            <family val="2"/>
          </rPr>
          <t>cnelson: 7/21/14</t>
        </r>
        <r>
          <rPr>
            <sz val="10"/>
            <color indexed="81"/>
            <rFont val="Tahoma"/>
            <family val="2"/>
          </rPr>
          <t xml:space="preserve">
adjusted to 4.0 due to a noon flow adjustment.  This brought FDWR usage back to within the 73mgd limit on the calculations tab.</t>
        </r>
      </text>
    </comment>
    <comment ref="A214" authorId="2">
      <text>
        <r>
          <rPr>
            <b/>
            <sz val="10"/>
            <color indexed="81"/>
            <rFont val="Tahoma"/>
            <family val="2"/>
          </rPr>
          <t>cnelson:</t>
        </r>
        <r>
          <rPr>
            <sz val="10"/>
            <color indexed="81"/>
            <rFont val="Tahoma"/>
            <family val="2"/>
          </rPr>
          <t xml:space="preserve">
First day of M&amp;I use.  Scheduled 23cfs</t>
        </r>
      </text>
    </comment>
    <comment ref="BN214" authorId="2">
      <text>
        <r>
          <rPr>
            <b/>
            <sz val="10"/>
            <color indexed="81"/>
            <rFont val="Tahoma"/>
            <family val="2"/>
          </rPr>
          <t>cnelson:</t>
        </r>
        <r>
          <rPr>
            <sz val="10"/>
            <color indexed="81"/>
            <rFont val="Tahoma"/>
            <family val="2"/>
          </rPr>
          <t xml:space="preserve">
changed from 24.90 to 24.88 per winCC trend calculation.</t>
        </r>
      </text>
    </comment>
    <comment ref="BN215" authorId="2">
      <text>
        <r>
          <rPr>
            <b/>
            <sz val="10"/>
            <color indexed="81"/>
            <rFont val="Tahoma"/>
            <family val="2"/>
          </rPr>
          <t>cnelson:</t>
        </r>
        <r>
          <rPr>
            <sz val="10"/>
            <color indexed="81"/>
            <rFont val="Tahoma"/>
            <family val="2"/>
          </rPr>
          <t xml:space="preserve">
Changed from 26.70 to 24.95 per WinCC trend calculation.</t>
        </r>
      </text>
    </comment>
    <comment ref="BK225" authorId="2">
      <text>
        <r>
          <rPr>
            <b/>
            <sz val="10"/>
            <color indexed="81"/>
            <rFont val="Tahoma"/>
            <family val="2"/>
          </rPr>
          <t>cnelson:</t>
        </r>
        <r>
          <rPr>
            <sz val="10"/>
            <color indexed="81"/>
            <rFont val="Tahoma"/>
            <family val="2"/>
          </rPr>
          <t xml:space="preserve">
changed from 6.27 to 5.94 per totalizer</t>
        </r>
      </text>
    </comment>
    <comment ref="BN225" authorId="2">
      <text>
        <r>
          <rPr>
            <b/>
            <sz val="10"/>
            <color indexed="81"/>
            <rFont val="Tahoma"/>
            <family val="2"/>
          </rPr>
          <t>cnelson:</t>
        </r>
        <r>
          <rPr>
            <sz val="10"/>
            <color indexed="81"/>
            <rFont val="Tahoma"/>
            <family val="2"/>
          </rPr>
          <t xml:space="preserve">
changed from 27.4 to 27.35
</t>
        </r>
      </text>
    </comment>
    <comment ref="BN228" authorId="2">
      <text>
        <r>
          <rPr>
            <b/>
            <sz val="10"/>
            <color indexed="81"/>
            <rFont val="Tahoma"/>
            <family val="2"/>
          </rPr>
          <t>cnelson:</t>
        </r>
        <r>
          <rPr>
            <sz val="10"/>
            <color indexed="81"/>
            <rFont val="Tahoma"/>
            <family val="2"/>
          </rPr>
          <t xml:space="preserve">
Changed from 24.10 to 24.06.</t>
        </r>
      </text>
    </comment>
    <comment ref="BB232" authorId="3">
      <text>
        <r>
          <rPr>
            <b/>
            <sz val="8"/>
            <color indexed="81"/>
            <rFont val="Tahoma"/>
            <family val="2"/>
          </rPr>
          <t>svaughan:</t>
        </r>
        <r>
          <rPr>
            <sz val="8"/>
            <color indexed="81"/>
            <rFont val="Tahoma"/>
            <family val="2"/>
          </rPr>
          <t xml:space="preserve">
estiamted flow talked with Phil Ast from Auburn and he agrees with the number</t>
        </r>
      </text>
    </comment>
    <comment ref="BW235" authorId="2">
      <text>
        <r>
          <rPr>
            <b/>
            <sz val="10"/>
            <color indexed="81"/>
            <rFont val="Tahoma"/>
            <family val="2"/>
          </rPr>
          <t>cnelson:</t>
        </r>
        <r>
          <rPr>
            <sz val="10"/>
            <color indexed="81"/>
            <rFont val="Tahoma"/>
            <family val="2"/>
          </rPr>
          <t xml:space="preserve">
changed from 16.5 to 1649.6
</t>
        </r>
      </text>
    </comment>
    <comment ref="AT237" authorId="2">
      <text>
        <r>
          <rPr>
            <b/>
            <sz val="10"/>
            <color indexed="81"/>
            <rFont val="Tahoma"/>
            <family val="2"/>
          </rPr>
          <t>cnelson:</t>
        </r>
        <r>
          <rPr>
            <sz val="10"/>
            <color indexed="81"/>
            <rFont val="Tahoma"/>
            <family val="2"/>
          </rPr>
          <t xml:space="preserve">
Changed from 0.75 to 0.85 per WinCC 'yesterday total flow' totalizer read.</t>
        </r>
      </text>
    </comment>
    <comment ref="AT238" authorId="2">
      <text>
        <r>
          <rPr>
            <b/>
            <sz val="10"/>
            <color indexed="81"/>
            <rFont val="Tahoma"/>
            <family val="2"/>
          </rPr>
          <t>cnelson:</t>
        </r>
        <r>
          <rPr>
            <sz val="10"/>
            <color indexed="81"/>
            <rFont val="Tahoma"/>
            <family val="2"/>
          </rPr>
          <t xml:space="preserve">
Changed from 0.68 to 0.99 per WinCC.  Value here is totalizer 'yesterday total flow' value from BL page.</t>
        </r>
      </text>
    </comment>
    <comment ref="AT239" authorId="2">
      <text>
        <r>
          <rPr>
            <b/>
            <sz val="10"/>
            <color indexed="81"/>
            <rFont val="Tahoma"/>
            <family val="2"/>
          </rPr>
          <t>cnelson:</t>
        </r>
        <r>
          <rPr>
            <sz val="10"/>
            <color indexed="81"/>
            <rFont val="Tahoma"/>
            <family val="2"/>
          </rPr>
          <t xml:space="preserve">
changed from 0.50 to 0.53 per WinCC totalizer read.</t>
        </r>
      </text>
    </comment>
    <comment ref="BN239" authorId="2">
      <text>
        <r>
          <rPr>
            <b/>
            <sz val="10"/>
            <color indexed="81"/>
            <rFont val="Tahoma"/>
            <family val="2"/>
          </rPr>
          <t>cnelson:</t>
        </r>
        <r>
          <rPr>
            <sz val="10"/>
            <color indexed="81"/>
            <rFont val="Tahoma"/>
            <family val="2"/>
          </rPr>
          <t xml:space="preserve">
changed from 9.60 to 9.64 per WinnCC trending function.
</t>
        </r>
      </text>
    </comment>
    <comment ref="BN240" authorId="2">
      <text>
        <r>
          <rPr>
            <b/>
            <sz val="10"/>
            <color indexed="81"/>
            <rFont val="Tahoma"/>
            <family val="2"/>
          </rPr>
          <t>cnelson:</t>
        </r>
        <r>
          <rPr>
            <sz val="10"/>
            <color indexed="81"/>
            <rFont val="Tahoma"/>
            <family val="2"/>
          </rPr>
          <t xml:space="preserve">
Adjusted due to reverse flow in PL5.</t>
        </r>
      </text>
    </comment>
    <comment ref="BN241" authorId="2">
      <text>
        <r>
          <rPr>
            <b/>
            <sz val="10"/>
            <color indexed="81"/>
            <rFont val="Tahoma"/>
            <family val="2"/>
          </rPr>
          <t>cnelson:</t>
        </r>
        <r>
          <rPr>
            <sz val="10"/>
            <color indexed="81"/>
            <rFont val="Tahoma"/>
            <family val="2"/>
          </rPr>
          <t xml:space="preserve">
Adjusted due to reverse flow in PL5</t>
        </r>
      </text>
    </comment>
    <comment ref="BN242" authorId="2">
      <text>
        <r>
          <rPr>
            <b/>
            <sz val="10"/>
            <color indexed="81"/>
            <rFont val="Tahoma"/>
            <family val="2"/>
          </rPr>
          <t>cnelson:</t>
        </r>
        <r>
          <rPr>
            <sz val="10"/>
            <color indexed="81"/>
            <rFont val="Tahoma"/>
            <family val="2"/>
          </rPr>
          <t xml:space="preserve">
Adjusted due to reverse flow in PL5</t>
        </r>
      </text>
    </comment>
    <comment ref="DA242" authorId="3">
      <text>
        <r>
          <rPr>
            <b/>
            <sz val="8"/>
            <color indexed="81"/>
            <rFont val="Tahoma"/>
            <family val="2"/>
          </rPr>
          <t>svaughan:</t>
        </r>
        <r>
          <rPr>
            <sz val="8"/>
            <color indexed="81"/>
            <rFont val="Tahoma"/>
            <family val="2"/>
          </rPr>
          <t xml:space="preserve">
Core (369) and County(415) have different numbers </t>
        </r>
      </text>
    </comment>
    <comment ref="DA243" authorId="3">
      <text>
        <r>
          <rPr>
            <b/>
            <sz val="8"/>
            <color indexed="81"/>
            <rFont val="Tahoma"/>
            <family val="2"/>
          </rPr>
          <t>svaughan:</t>
        </r>
        <r>
          <rPr>
            <sz val="8"/>
            <color indexed="81"/>
            <rFont val="Tahoma"/>
            <family val="2"/>
          </rPr>
          <t xml:space="preserve">
Core (382) and County(396) have different numbers </t>
        </r>
      </text>
    </comment>
    <comment ref="DA244" authorId="3">
      <text>
        <r>
          <rPr>
            <b/>
            <sz val="8"/>
            <color indexed="81"/>
            <rFont val="Tahoma"/>
            <family val="2"/>
          </rPr>
          <t>svaughan:</t>
        </r>
        <r>
          <rPr>
            <sz val="8"/>
            <color indexed="81"/>
            <rFont val="Tahoma"/>
            <family val="2"/>
          </rPr>
          <t xml:space="preserve">
Core (360) and County(369) have different numbers </t>
        </r>
      </text>
    </comment>
    <comment ref="DA245" authorId="3">
      <text>
        <r>
          <rPr>
            <b/>
            <sz val="8"/>
            <color indexed="81"/>
            <rFont val="Tahoma"/>
            <family val="2"/>
          </rPr>
          <t>svaughan:</t>
        </r>
        <r>
          <rPr>
            <sz val="8"/>
            <color indexed="81"/>
            <rFont val="Tahoma"/>
            <family val="2"/>
          </rPr>
          <t xml:space="preserve">
Core (355) and County(364) have different numbers </t>
        </r>
      </text>
    </comment>
    <comment ref="DA246" authorId="3">
      <text>
        <r>
          <rPr>
            <b/>
            <sz val="8"/>
            <color indexed="81"/>
            <rFont val="Tahoma"/>
            <family val="2"/>
          </rPr>
          <t>svaughan:</t>
        </r>
        <r>
          <rPr>
            <sz val="8"/>
            <color indexed="81"/>
            <rFont val="Tahoma"/>
            <family val="2"/>
          </rPr>
          <t xml:space="preserve">
Core (355) and County(364) have different numbers </t>
        </r>
      </text>
    </comment>
    <comment ref="EA246" authorId="2">
      <text>
        <r>
          <rPr>
            <b/>
            <sz val="10"/>
            <color indexed="81"/>
            <rFont val="Tahoma"/>
            <family val="2"/>
          </rPr>
          <t>cnelson:8/21/2014</t>
        </r>
        <r>
          <rPr>
            <sz val="10"/>
            <color indexed="81"/>
            <rFont val="Tahoma"/>
            <family val="2"/>
          </rPr>
          <t xml:space="preserve">
Tacoma donation to LUD of 175 MG (537 AF).</t>
        </r>
      </text>
    </comment>
    <comment ref="EB250" authorId="2">
      <text>
        <r>
          <rPr>
            <b/>
            <sz val="10"/>
            <color indexed="81"/>
            <rFont val="Tahoma"/>
            <family val="2"/>
          </rPr>
          <t>cnelson:8/25/2014</t>
        </r>
        <r>
          <rPr>
            <sz val="10"/>
            <color indexed="81"/>
            <rFont val="Tahoma"/>
            <family val="2"/>
          </rPr>
          <t xml:space="preserve">
Kent declared 368mg (1129af) as excess capacity.  Not allocating at this time.</t>
        </r>
      </text>
    </comment>
    <comment ref="EC251" authorId="2">
      <text>
        <r>
          <rPr>
            <b/>
            <sz val="10"/>
            <color indexed="81"/>
            <rFont val="Tahoma"/>
            <family val="2"/>
          </rPr>
          <t>cnelson: 8/26/2014</t>
        </r>
        <r>
          <rPr>
            <sz val="10"/>
            <color indexed="81"/>
            <rFont val="Tahoma"/>
            <family val="2"/>
          </rPr>
          <t xml:space="preserve">
CWD declared (50mgd) or 153 AF as excess capacity.  Not allocating to anything at this time.</t>
        </r>
      </text>
    </comment>
    <comment ref="BY261" authorId="2">
      <text>
        <r>
          <rPr>
            <b/>
            <sz val="10"/>
            <color indexed="81"/>
            <rFont val="Tahoma"/>
            <family val="2"/>
          </rPr>
          <t>cnelson:</t>
        </r>
        <r>
          <rPr>
            <sz val="10"/>
            <color indexed="81"/>
            <rFont val="Tahoma"/>
            <family val="2"/>
          </rPr>
          <t xml:space="preserve">
Changed from 191.0 to 1.91 per WinCC.</t>
        </r>
      </text>
    </comment>
    <comment ref="BC262" authorId="2">
      <text>
        <r>
          <rPr>
            <b/>
            <sz val="10"/>
            <color indexed="81"/>
            <rFont val="Tahoma"/>
            <family val="2"/>
          </rPr>
          <t>cnelson:</t>
        </r>
        <r>
          <rPr>
            <sz val="10"/>
            <color indexed="81"/>
            <rFont val="Tahoma"/>
            <family val="2"/>
          </rPr>
          <t xml:space="preserve">
Changed from 1.52 to 0.5.  No SCADA confirmation.
</t>
        </r>
      </text>
    </comment>
    <comment ref="BD262" authorId="2">
      <text>
        <r>
          <rPr>
            <b/>
            <sz val="10"/>
            <color indexed="81"/>
            <rFont val="Tahoma"/>
            <family val="2"/>
          </rPr>
          <t>cnelson:</t>
        </r>
        <r>
          <rPr>
            <sz val="10"/>
            <color indexed="81"/>
            <rFont val="Tahoma"/>
            <family val="2"/>
          </rPr>
          <t xml:space="preserve">
Changed from 0.0 to 1.50 per WinCC trend function.
</t>
        </r>
      </text>
    </comment>
    <comment ref="BJ262" authorId="2">
      <text>
        <r>
          <rPr>
            <b/>
            <sz val="10"/>
            <color indexed="81"/>
            <rFont val="Tahoma"/>
            <family val="2"/>
          </rPr>
          <t>cnelson:</t>
        </r>
        <r>
          <rPr>
            <sz val="10"/>
            <color indexed="81"/>
            <rFont val="Tahoma"/>
            <family val="2"/>
          </rPr>
          <t xml:space="preserve">
Changed from 4.06 to 40.6 per WinCC.</t>
        </r>
      </text>
    </comment>
    <comment ref="BK263" authorId="2">
      <text>
        <r>
          <rPr>
            <b/>
            <sz val="10"/>
            <color indexed="81"/>
            <rFont val="Tahoma"/>
            <family val="2"/>
          </rPr>
          <t>cnelson:</t>
        </r>
        <r>
          <rPr>
            <sz val="10"/>
            <color indexed="81"/>
            <rFont val="Tahoma"/>
            <family val="2"/>
          </rPr>
          <t xml:space="preserve">
Changed from 0.0 to 3.92 per LUD totalizer in WinCC.</t>
        </r>
      </text>
    </comment>
    <comment ref="BM263" authorId="2">
      <text>
        <r>
          <rPr>
            <b/>
            <sz val="10"/>
            <color indexed="81"/>
            <rFont val="Tahoma"/>
            <family val="2"/>
          </rPr>
          <t>cnelson:</t>
        </r>
        <r>
          <rPr>
            <sz val="10"/>
            <color indexed="81"/>
            <rFont val="Tahoma"/>
            <family val="2"/>
          </rPr>
          <t xml:space="preserve">
Changed from 3.92 to 0.0 per WinCC totalizer.</t>
        </r>
      </text>
    </comment>
    <comment ref="AB264" authorId="2">
      <text>
        <r>
          <rPr>
            <b/>
            <sz val="10"/>
            <color indexed="81"/>
            <rFont val="Tahoma"/>
            <family val="2"/>
          </rPr>
          <t>cnelson: 2014</t>
        </r>
        <r>
          <rPr>
            <sz val="10"/>
            <color indexed="81"/>
            <rFont val="Tahoma"/>
            <family val="2"/>
          </rPr>
          <t xml:space="preserve">
changed from 41.50 to 43.95 due to SCADA upgrade/outage and number from previous day with no change in flow.</t>
        </r>
      </text>
    </comment>
    <comment ref="EB264" authorId="2">
      <text>
        <r>
          <rPr>
            <b/>
            <sz val="10"/>
            <color indexed="81"/>
            <rFont val="Tahoma"/>
            <family val="2"/>
          </rPr>
          <t>cnelson: 2014</t>
        </r>
        <r>
          <rPr>
            <sz val="10"/>
            <color indexed="81"/>
            <rFont val="Tahoma"/>
            <family val="2"/>
          </rPr>
          <t xml:space="preserve">
Kent donation to LUD of 300mg.</t>
        </r>
      </text>
    </comment>
    <comment ref="EC264" authorId="2">
      <text>
        <r>
          <rPr>
            <b/>
            <sz val="10"/>
            <color indexed="81"/>
            <rFont val="Tahoma"/>
            <family val="2"/>
          </rPr>
          <t>cnelson: 2014</t>
        </r>
        <r>
          <rPr>
            <sz val="10"/>
            <color indexed="81"/>
            <rFont val="Tahoma"/>
            <family val="2"/>
          </rPr>
          <t xml:space="preserve">
CWD donation of 50mg to LUD.</t>
        </r>
      </text>
    </comment>
    <comment ref="EA265" authorId="2">
      <text>
        <r>
          <rPr>
            <b/>
            <sz val="10"/>
            <color indexed="81"/>
            <rFont val="Tahoma"/>
            <family val="2"/>
          </rPr>
          <t>cnelson: 2014</t>
        </r>
        <r>
          <rPr>
            <sz val="10"/>
            <color indexed="81"/>
            <rFont val="Tahoma"/>
            <family val="2"/>
          </rPr>
          <t xml:space="preserve">
Tacoma donation to 1135 of 1,000 AF.</t>
        </r>
      </text>
    </comment>
    <comment ref="BC267" authorId="2">
      <text>
        <r>
          <rPr>
            <b/>
            <sz val="10"/>
            <color indexed="81"/>
            <rFont val="Tahoma"/>
            <family val="2"/>
          </rPr>
          <t>cnelson:</t>
        </r>
        <r>
          <rPr>
            <sz val="10"/>
            <color indexed="81"/>
            <rFont val="Tahoma"/>
            <family val="2"/>
          </rPr>
          <t xml:space="preserve">
Changed from 'o/s' to 0.0</t>
        </r>
      </text>
    </comment>
    <comment ref="BD267" authorId="2">
      <text>
        <r>
          <rPr>
            <b/>
            <sz val="10"/>
            <color indexed="81"/>
            <rFont val="Tahoma"/>
            <family val="2"/>
          </rPr>
          <t>cnelson:</t>
        </r>
        <r>
          <rPr>
            <sz val="10"/>
            <color indexed="81"/>
            <rFont val="Tahoma"/>
            <family val="2"/>
          </rPr>
          <t xml:space="preserve">
changed from 0.0 to 1.98</t>
        </r>
      </text>
    </comment>
    <comment ref="AS269" authorId="2">
      <text>
        <r>
          <rPr>
            <b/>
            <sz val="10"/>
            <color indexed="81"/>
            <rFont val="Tahoma"/>
            <family val="2"/>
          </rPr>
          <t>cnelson:2014</t>
        </r>
        <r>
          <rPr>
            <sz val="10"/>
            <color indexed="81"/>
            <rFont val="Tahoma"/>
            <family val="2"/>
          </rPr>
          <t xml:space="preserve">
estimated due to comm fail.  Used average.</t>
        </r>
      </text>
    </comment>
    <comment ref="AS271" authorId="2">
      <text>
        <r>
          <rPr>
            <b/>
            <sz val="10"/>
            <color indexed="81"/>
            <rFont val="Tahoma"/>
            <family val="2"/>
          </rPr>
          <t>cnelson:2014</t>
        </r>
        <r>
          <rPr>
            <sz val="10"/>
            <color indexed="81"/>
            <rFont val="Tahoma"/>
            <family val="2"/>
          </rPr>
          <t xml:space="preserve">
estimated due to comm fail.  Used average.</t>
        </r>
      </text>
    </comment>
    <comment ref="AS272" authorId="2">
      <text>
        <r>
          <rPr>
            <b/>
            <sz val="10"/>
            <color indexed="81"/>
            <rFont val="Tahoma"/>
            <family val="2"/>
          </rPr>
          <t>cnelson:2014</t>
        </r>
        <r>
          <rPr>
            <sz val="10"/>
            <color indexed="81"/>
            <rFont val="Tahoma"/>
            <family val="2"/>
          </rPr>
          <t xml:space="preserve">
estimated due to comm fail.  Used average.</t>
        </r>
      </text>
    </comment>
    <comment ref="CN273" authorId="2">
      <text>
        <r>
          <rPr>
            <b/>
            <sz val="10"/>
            <color indexed="81"/>
            <rFont val="Tahoma"/>
            <family val="2"/>
          </rPr>
          <t>cnelson:</t>
        </r>
        <r>
          <rPr>
            <sz val="10"/>
            <color indexed="81"/>
            <rFont val="Tahoma"/>
            <family val="2"/>
          </rPr>
          <t xml:space="preserve">
estimated due to faulty meter.</t>
        </r>
      </text>
    </comment>
    <comment ref="EC273" authorId="2">
      <text>
        <r>
          <rPr>
            <b/>
            <sz val="10"/>
            <color indexed="81"/>
            <rFont val="Tahoma"/>
            <family val="2"/>
          </rPr>
          <t>cnelson:2013</t>
        </r>
        <r>
          <rPr>
            <sz val="10"/>
            <color indexed="81"/>
            <rFont val="Tahoma"/>
            <family val="2"/>
          </rPr>
          <t xml:space="preserve">
CWD donated 170 MG (521.56 AF) to LUD effective 9/17/13.
</t>
        </r>
      </text>
    </comment>
    <comment ref="EA274" authorId="2">
      <text>
        <r>
          <rPr>
            <b/>
            <sz val="10"/>
            <color indexed="81"/>
            <rFont val="Tahoma"/>
            <family val="2"/>
          </rPr>
          <t xml:space="preserve">cnelson:2013
</t>
        </r>
        <r>
          <rPr>
            <sz val="10"/>
            <color indexed="81"/>
            <rFont val="Tahoma"/>
            <family val="2"/>
          </rPr>
          <t xml:space="preserve">
Applied 500 AF of Kent's donation to Tacoma Water.  Donated 1,500 AF of Tacoma to 1135.  Net reduction is 1,000AF.
</t>
        </r>
      </text>
    </comment>
    <comment ref="EB274" authorId="2">
      <text>
        <r>
          <rPr>
            <b/>
            <sz val="10"/>
            <color indexed="81"/>
            <rFont val="Tahoma"/>
            <family val="2"/>
          </rPr>
          <t>cnelson:2013</t>
        </r>
        <r>
          <rPr>
            <sz val="10"/>
            <color indexed="81"/>
            <rFont val="Tahoma"/>
            <family val="2"/>
          </rPr>
          <t xml:space="preserve">
Kent donated 1,000 AF.
</t>
        </r>
      </text>
    </comment>
    <comment ref="AT282" authorId="3">
      <text>
        <r>
          <rPr>
            <b/>
            <sz val="8"/>
            <color indexed="81"/>
            <rFont val="Tahoma"/>
            <family val="2"/>
          </rPr>
          <t>svaughan:</t>
        </r>
        <r>
          <rPr>
            <sz val="8"/>
            <color indexed="81"/>
            <rFont val="Tahoma"/>
            <family val="2"/>
          </rPr>
          <t xml:space="preserve">
Changed from .79 MGD to 1 MGD based on trend</t>
        </r>
      </text>
    </comment>
    <comment ref="AT283" authorId="3">
      <text>
        <r>
          <rPr>
            <b/>
            <sz val="8"/>
            <color indexed="81"/>
            <rFont val="Tahoma"/>
            <family val="2"/>
          </rPr>
          <t>svaughan:</t>
        </r>
        <r>
          <rPr>
            <sz val="8"/>
            <color indexed="81"/>
            <rFont val="Tahoma"/>
            <family val="2"/>
          </rPr>
          <t xml:space="preserve">
Changed from .52 MGD to .38 MGD based on trend line
</t>
        </r>
      </text>
    </comment>
    <comment ref="BK283" authorId="2">
      <text>
        <r>
          <rPr>
            <b/>
            <sz val="10"/>
            <color indexed="81"/>
            <rFont val="Tahoma"/>
            <family val="2"/>
          </rPr>
          <t>cnelson:2014</t>
        </r>
        <r>
          <rPr>
            <sz val="10"/>
            <color indexed="81"/>
            <rFont val="Tahoma"/>
            <family val="2"/>
          </rPr>
          <t xml:space="preserve">
Changed from 0.3 to 3.07.</t>
        </r>
      </text>
    </comment>
    <comment ref="EA287" authorId="2">
      <text>
        <r>
          <rPr>
            <b/>
            <sz val="10"/>
            <color indexed="81"/>
            <rFont val="Tahoma"/>
            <family val="2"/>
          </rPr>
          <t>cnelson:10/1/13</t>
        </r>
        <r>
          <rPr>
            <sz val="10"/>
            <color indexed="81"/>
            <rFont val="Tahoma"/>
            <family val="2"/>
          </rPr>
          <t xml:space="preserve">
Tacoma donated 1200AF to 1135</t>
        </r>
      </text>
    </comment>
    <comment ref="CK292" authorId="2">
      <text>
        <r>
          <rPr>
            <b/>
            <sz val="10"/>
            <color indexed="81"/>
            <rFont val="Tahoma"/>
            <family val="2"/>
          </rPr>
          <t>cnelson:2014</t>
        </r>
        <r>
          <rPr>
            <sz val="10"/>
            <color indexed="81"/>
            <rFont val="Tahoma"/>
            <family val="2"/>
          </rPr>
          <t xml:space="preserve">
Temporarily out of service for Power to perform maintenance.</t>
        </r>
      </text>
    </comment>
    <comment ref="EA293" authorId="2">
      <text>
        <r>
          <rPr>
            <b/>
            <sz val="10"/>
            <color indexed="81"/>
            <rFont val="Tahoma"/>
            <family val="2"/>
          </rPr>
          <t>cnelson:2014</t>
        </r>
        <r>
          <rPr>
            <sz val="10"/>
            <color indexed="81"/>
            <rFont val="Tahoma"/>
            <family val="2"/>
          </rPr>
          <t xml:space="preserve">
Tacoma donated 1,000 AF to 1135 pool</t>
        </r>
      </text>
    </comment>
    <comment ref="EA294" authorId="2">
      <text>
        <r>
          <rPr>
            <b/>
            <sz val="10"/>
            <color indexed="81"/>
            <rFont val="Tahoma"/>
            <family val="2"/>
          </rPr>
          <t>cnelson:10/8/13</t>
        </r>
        <r>
          <rPr>
            <sz val="10"/>
            <color indexed="81"/>
            <rFont val="Tahoma"/>
            <family val="2"/>
          </rPr>
          <t xml:space="preserve">
Tacoma donated 400 AF to 1135.</t>
        </r>
      </text>
    </comment>
    <comment ref="CN302" authorId="2">
      <text>
        <r>
          <rPr>
            <b/>
            <sz val="10"/>
            <color indexed="81"/>
            <rFont val="Tahoma"/>
            <family val="2"/>
          </rPr>
          <t>cnelson:2014</t>
        </r>
        <r>
          <rPr>
            <sz val="10"/>
            <color indexed="81"/>
            <rFont val="Tahoma"/>
            <family val="2"/>
          </rPr>
          <t xml:space="preserve">
High service meter back in service.</t>
        </r>
      </text>
    </comment>
    <comment ref="BP307" authorId="2">
      <text>
        <r>
          <rPr>
            <b/>
            <sz val="10"/>
            <color indexed="81"/>
            <rFont val="Tahoma"/>
            <family val="2"/>
          </rPr>
          <t>cnelson:2014</t>
        </r>
        <r>
          <rPr>
            <sz val="10"/>
            <color indexed="81"/>
            <rFont val="Tahoma"/>
            <family val="2"/>
          </rPr>
          <t xml:space="preserve">
Running MVPS due to CL2 problems at Indian Hill.</t>
        </r>
      </text>
    </comment>
    <comment ref="EA307" authorId="2">
      <text>
        <r>
          <rPr>
            <b/>
            <sz val="10"/>
            <color indexed="81"/>
            <rFont val="Tahoma"/>
            <family val="2"/>
          </rPr>
          <t>cnelson: 2014</t>
        </r>
        <r>
          <rPr>
            <sz val="10"/>
            <color indexed="81"/>
            <rFont val="Tahoma"/>
            <family val="2"/>
          </rPr>
          <t xml:space="preserve">
Donation from Tacoma to 1135 effective 10/21/14.</t>
        </r>
      </text>
    </comment>
    <comment ref="CK308" authorId="2">
      <text>
        <r>
          <rPr>
            <b/>
            <sz val="10"/>
            <color indexed="81"/>
            <rFont val="Tahoma"/>
            <family val="2"/>
          </rPr>
          <t xml:space="preserve">cnelson:2014
</t>
        </r>
        <r>
          <rPr>
            <sz val="10"/>
            <color indexed="81"/>
            <rFont val="Tahoma"/>
            <family val="2"/>
          </rPr>
          <t xml:space="preserve">
Generator shut down due to main break at E 11th &amp; Portland.</t>
        </r>
      </text>
    </comment>
    <comment ref="CT308" authorId="2">
      <text>
        <r>
          <rPr>
            <b/>
            <sz val="10"/>
            <color indexed="81"/>
            <rFont val="Tahoma"/>
            <family val="2"/>
          </rPr>
          <t>cnelson:2014</t>
        </r>
        <r>
          <rPr>
            <sz val="10"/>
            <color indexed="81"/>
            <rFont val="Tahoma"/>
            <family val="2"/>
          </rPr>
          <t xml:space="preserve">
E11th &amp; Portland main break required mill to shut down.</t>
        </r>
      </text>
    </comment>
    <comment ref="CS309" authorId="2">
      <text>
        <r>
          <rPr>
            <b/>
            <sz val="10"/>
            <color indexed="81"/>
            <rFont val="Tahoma"/>
            <family val="2"/>
          </rPr>
          <t>cnelson:2014</t>
        </r>
        <r>
          <rPr>
            <sz val="10"/>
            <color indexed="81"/>
            <rFont val="Tahoma"/>
            <family val="2"/>
          </rPr>
          <t xml:space="preserve">
Activated well due to Simpson coming back up and emergency at GRF with chem feed lines.</t>
        </r>
      </text>
    </comment>
    <comment ref="AT315" authorId="2">
      <text>
        <r>
          <rPr>
            <b/>
            <sz val="10"/>
            <color indexed="81"/>
            <rFont val="Tahoma"/>
            <family val="2"/>
          </rPr>
          <t>cnelson:</t>
        </r>
        <r>
          <rPr>
            <sz val="10"/>
            <color indexed="81"/>
            <rFont val="Tahoma"/>
            <family val="2"/>
          </rPr>
          <t xml:space="preserve">
verified totalizer read</t>
        </r>
      </text>
    </comment>
    <comment ref="AA316" authorId="2">
      <text>
        <r>
          <rPr>
            <b/>
            <sz val="10"/>
            <color indexed="81"/>
            <rFont val="Tahoma"/>
            <family val="2"/>
          </rPr>
          <t>cnelson: 2014</t>
        </r>
        <r>
          <rPr>
            <sz val="10"/>
            <color indexed="81"/>
            <rFont val="Tahoma"/>
            <family val="2"/>
          </rPr>
          <t xml:space="preserve">
Changed from 25.09 to 22.0 due to SCADA issue at Headworks.</t>
        </r>
      </text>
    </comment>
    <comment ref="AB316" authorId="2">
      <text>
        <r>
          <rPr>
            <b/>
            <sz val="10"/>
            <color indexed="81"/>
            <rFont val="Tahoma"/>
            <family val="2"/>
          </rPr>
          <t>cnelson: 2014</t>
        </r>
        <r>
          <rPr>
            <sz val="10"/>
            <color indexed="81"/>
            <rFont val="Tahoma"/>
            <family val="2"/>
          </rPr>
          <t xml:space="preserve">
Changed from 36.52 to 35.0 due to SCADA issue at headworks.</t>
        </r>
      </text>
    </comment>
    <comment ref="AT316" authorId="2">
      <text>
        <r>
          <rPr>
            <b/>
            <sz val="10"/>
            <color indexed="81"/>
            <rFont val="Tahoma"/>
            <family val="2"/>
          </rPr>
          <t>cnelson:</t>
        </r>
        <r>
          <rPr>
            <sz val="10"/>
            <color indexed="81"/>
            <rFont val="Tahoma"/>
            <family val="2"/>
          </rPr>
          <t xml:space="preserve">
verified totalizer read.</t>
        </r>
      </text>
    </comment>
    <comment ref="DC316" authorId="2">
      <text>
        <r>
          <rPr>
            <b/>
            <sz val="10"/>
            <color indexed="81"/>
            <rFont val="Tahoma"/>
            <family val="2"/>
          </rPr>
          <t>cnelson:2014</t>
        </r>
        <r>
          <rPr>
            <sz val="10"/>
            <color indexed="81"/>
            <rFont val="Tahoma"/>
            <family val="2"/>
          </rPr>
          <t xml:space="preserve">
estimated due to problem with corps website.</t>
        </r>
      </text>
    </comment>
    <comment ref="EA316" authorId="2">
      <text>
        <r>
          <rPr>
            <b/>
            <sz val="10"/>
            <color indexed="81"/>
            <rFont val="Tahoma"/>
            <family val="2"/>
          </rPr>
          <t>cnelson:10/30/13</t>
        </r>
        <r>
          <rPr>
            <sz val="10"/>
            <color indexed="81"/>
            <rFont val="Tahoma"/>
            <family val="2"/>
          </rPr>
          <t xml:space="preserve">
Tacoma donated 400 AF to 1135</t>
        </r>
      </text>
    </comment>
    <comment ref="CS317" authorId="2">
      <text>
        <r>
          <rPr>
            <b/>
            <sz val="10"/>
            <color indexed="81"/>
            <rFont val="Tahoma"/>
            <family val="2"/>
          </rPr>
          <t>cnelson:</t>
        </r>
        <r>
          <rPr>
            <sz val="10"/>
            <color indexed="81"/>
            <rFont val="Tahoma"/>
            <family val="2"/>
          </rPr>
          <t xml:space="preserve">
changed from 3.65mgd to 2541gpm on 11/1/13.</t>
        </r>
      </text>
    </comment>
    <comment ref="CK318" authorId="2">
      <text>
        <r>
          <rPr>
            <b/>
            <sz val="10"/>
            <color indexed="81"/>
            <rFont val="Tahoma"/>
            <family val="2"/>
          </rPr>
          <t>cnelson:2014</t>
        </r>
        <r>
          <rPr>
            <sz val="10"/>
            <color indexed="81"/>
            <rFont val="Tahoma"/>
            <family val="2"/>
          </rPr>
          <t xml:space="preserve">
Ran wells due to turbidity at Headworks.  Left generator off until Monday.</t>
        </r>
      </text>
    </comment>
    <comment ref="CN318" authorId="2">
      <text>
        <r>
          <rPr>
            <b/>
            <sz val="10"/>
            <color indexed="81"/>
            <rFont val="Tahoma"/>
            <family val="2"/>
          </rPr>
          <t>cnelson:2014</t>
        </r>
        <r>
          <rPr>
            <sz val="10"/>
            <color indexed="81"/>
            <rFont val="Tahoma"/>
            <family val="2"/>
          </rPr>
          <t xml:space="preserve">
Changed from 2.7 to 268.5 per WinCC trend.</t>
        </r>
      </text>
    </comment>
    <comment ref="AA320" authorId="2">
      <text>
        <r>
          <rPr>
            <b/>
            <sz val="10"/>
            <color indexed="81"/>
            <rFont val="Tahoma"/>
            <family val="2"/>
          </rPr>
          <t>cnelson:</t>
        </r>
        <r>
          <rPr>
            <sz val="10"/>
            <color indexed="81"/>
            <rFont val="Tahoma"/>
            <family val="2"/>
          </rPr>
          <t xml:space="preserve">
Changed from 23.14 to 22.20 per WinCC trend value.  Totalizer is off.</t>
        </r>
      </text>
    </comment>
    <comment ref="AB320" authorId="2">
      <text>
        <r>
          <rPr>
            <b/>
            <sz val="10"/>
            <color indexed="81"/>
            <rFont val="Tahoma"/>
            <family val="2"/>
          </rPr>
          <t>cnelson:2014</t>
        </r>
        <r>
          <rPr>
            <sz val="10"/>
            <color indexed="81"/>
            <rFont val="Tahoma"/>
            <family val="2"/>
          </rPr>
          <t xml:space="preserve">
Changed from 31.20 to 29.95 per WinCC trend.  Totalizer value is incorrect.</t>
        </r>
      </text>
    </comment>
    <comment ref="AA322" authorId="2">
      <text>
        <r>
          <rPr>
            <b/>
            <sz val="10"/>
            <color indexed="81"/>
            <rFont val="Tahoma"/>
            <family val="2"/>
          </rPr>
          <t>cnelson:2014</t>
        </r>
        <r>
          <rPr>
            <sz val="10"/>
            <color indexed="81"/>
            <rFont val="Tahoma"/>
            <family val="2"/>
          </rPr>
          <t xml:space="preserve">
Changed from totalized read of 21.94 to trend value of 22.27.</t>
        </r>
      </text>
    </comment>
    <comment ref="AB322" authorId="2">
      <text>
        <r>
          <rPr>
            <b/>
            <sz val="10"/>
            <color indexed="81"/>
            <rFont val="Tahoma"/>
            <family val="2"/>
          </rPr>
          <t>cnelson:2014</t>
        </r>
        <r>
          <rPr>
            <sz val="10"/>
            <color indexed="81"/>
            <rFont val="Tahoma"/>
            <family val="2"/>
          </rPr>
          <t xml:space="preserve">
Changed from 29.55 totalize read to trend value of 30.06.</t>
        </r>
      </text>
    </comment>
    <comment ref="EA322" authorId="2">
      <text>
        <r>
          <rPr>
            <b/>
            <sz val="10"/>
            <color indexed="81"/>
            <rFont val="Tahoma"/>
            <family val="2"/>
          </rPr>
          <t>cnelson:</t>
        </r>
        <r>
          <rPr>
            <sz val="10"/>
            <color indexed="81"/>
            <rFont val="Tahoma"/>
            <family val="2"/>
          </rPr>
          <t xml:space="preserve">
11/14/13.  changed from 700 to 457.51 to net zero Tacoma storage.</t>
        </r>
      </text>
    </comment>
    <comment ref="BO323" authorId="2">
      <text>
        <r>
          <rPr>
            <b/>
            <sz val="10"/>
            <color indexed="81"/>
            <rFont val="Tahoma"/>
            <family val="2"/>
          </rPr>
          <t>cnelson:2014</t>
        </r>
        <r>
          <rPr>
            <sz val="10"/>
            <color indexed="81"/>
            <rFont val="Tahoma"/>
            <family val="2"/>
          </rPr>
          <t xml:space="preserve">
Changed from 4.60 to 434.5 per WinCC trend.</t>
        </r>
      </text>
    </comment>
    <comment ref="BP323" authorId="2">
      <text>
        <r>
          <rPr>
            <b/>
            <sz val="10"/>
            <color indexed="81"/>
            <rFont val="Tahoma"/>
            <family val="2"/>
          </rPr>
          <t>cnelson:2014</t>
        </r>
        <r>
          <rPr>
            <sz val="10"/>
            <color indexed="81"/>
            <rFont val="Tahoma"/>
            <family val="2"/>
          </rPr>
          <t xml:space="preserve">
Confirmed 2.1 is correct amount.</t>
        </r>
      </text>
    </comment>
    <comment ref="BL326" authorId="2">
      <text>
        <r>
          <rPr>
            <b/>
            <sz val="10"/>
            <color indexed="81"/>
            <rFont val="Tahoma"/>
            <family val="2"/>
          </rPr>
          <t>cnelson:</t>
        </r>
        <r>
          <rPr>
            <sz val="10"/>
            <color indexed="81"/>
            <rFont val="Tahoma"/>
            <family val="2"/>
          </rPr>
          <t xml:space="preserve">
Changed from 6.47 to 3.51 due to bad totalizer value.  Used trend value.</t>
        </r>
      </text>
    </comment>
    <comment ref="AA330" authorId="2">
      <text>
        <r>
          <rPr>
            <b/>
            <sz val="10"/>
            <color indexed="81"/>
            <rFont val="Tahoma"/>
            <family val="2"/>
          </rPr>
          <t>cnelson:2014</t>
        </r>
        <r>
          <rPr>
            <sz val="10"/>
            <color indexed="81"/>
            <rFont val="Tahoma"/>
            <family val="2"/>
          </rPr>
          <t xml:space="preserve">
Changed from 20.20 to trend value of 20.32 due to issue with SCADA resulting from power outage/bump.</t>
        </r>
      </text>
    </comment>
    <comment ref="AB330" authorId="2">
      <text>
        <r>
          <rPr>
            <b/>
            <sz val="10"/>
            <color indexed="81"/>
            <rFont val="Tahoma"/>
            <family val="2"/>
          </rPr>
          <t>cnelson:2014</t>
        </r>
        <r>
          <rPr>
            <sz val="10"/>
            <color indexed="81"/>
            <rFont val="Tahoma"/>
            <family val="2"/>
          </rPr>
          <t xml:space="preserve">
deleted 24.01 totalizer value and used trend value of 18.31.</t>
        </r>
      </text>
    </comment>
    <comment ref="AA331" authorId="2">
      <text>
        <r>
          <rPr>
            <b/>
            <sz val="10"/>
            <color indexed="81"/>
            <rFont val="Tahoma"/>
            <family val="2"/>
          </rPr>
          <t>cnelson:</t>
        </r>
        <r>
          <rPr>
            <sz val="10"/>
            <color indexed="81"/>
            <rFont val="Tahoma"/>
            <family val="2"/>
          </rPr>
          <t xml:space="preserve">
cnelson:2014
Changed from 20.20 to trend value of 20.13 due to issue with SCADA resulting from power outage/bump.</t>
        </r>
      </text>
    </comment>
    <comment ref="AB331" authorId="2">
      <text>
        <r>
          <rPr>
            <b/>
            <sz val="10"/>
            <color indexed="81"/>
            <rFont val="Tahoma"/>
            <family val="2"/>
          </rPr>
          <t>cnelson:2014</t>
        </r>
        <r>
          <rPr>
            <sz val="10"/>
            <color indexed="81"/>
            <rFont val="Tahoma"/>
            <family val="2"/>
          </rPr>
          <t xml:space="preserve">
Deleted 24.01 totalizer value and used 25.60 trend value due to SCADA issue.</t>
        </r>
      </text>
    </comment>
    <comment ref="EB331" authorId="2">
      <text>
        <r>
          <rPr>
            <b/>
            <sz val="10"/>
            <color indexed="81"/>
            <rFont val="Tahoma"/>
            <family val="2"/>
          </rPr>
          <t>cnelson:11/15/13</t>
        </r>
        <r>
          <rPr>
            <sz val="10"/>
            <color indexed="81"/>
            <rFont val="Tahoma"/>
            <family val="2"/>
          </rPr>
          <t xml:space="preserve">
Deduct remaining storage for chart line.</t>
        </r>
      </text>
    </comment>
    <comment ref="CK334" authorId="2">
      <text>
        <r>
          <rPr>
            <b/>
            <sz val="10"/>
            <color indexed="81"/>
            <rFont val="Tahoma"/>
            <family val="2"/>
          </rPr>
          <t>cnelson: 2014</t>
        </r>
        <r>
          <rPr>
            <sz val="10"/>
            <color indexed="81"/>
            <rFont val="Tahoma"/>
            <family val="2"/>
          </rPr>
          <t xml:space="preserve">
Hydro generator bearing failure.  Out of service until repair completed.</t>
        </r>
      </text>
    </comment>
    <comment ref="CS335" authorId="2">
      <text>
        <r>
          <rPr>
            <b/>
            <sz val="10"/>
            <color indexed="81"/>
            <rFont val="Tahoma"/>
            <family val="2"/>
          </rPr>
          <t>cnelson: 11/2014</t>
        </r>
        <r>
          <rPr>
            <sz val="10"/>
            <color indexed="81"/>
            <rFont val="Tahoma"/>
            <family val="2"/>
          </rPr>
          <t xml:space="preserve">
Running STPS for V45 Shutdown.</t>
        </r>
      </text>
    </comment>
    <comment ref="L337" authorId="2">
      <text>
        <r>
          <rPr>
            <b/>
            <sz val="10"/>
            <color indexed="81"/>
            <rFont val="Tahoma"/>
            <family val="2"/>
          </rPr>
          <t>cnelson: 2014</t>
        </r>
        <r>
          <rPr>
            <sz val="10"/>
            <color indexed="81"/>
            <rFont val="Tahoma"/>
            <family val="2"/>
          </rPr>
          <t xml:space="preserve">
Used totalizer value from GRF scada page.</t>
        </r>
      </text>
    </comment>
    <comment ref="AA337" authorId="2">
      <text>
        <r>
          <rPr>
            <b/>
            <sz val="10"/>
            <color indexed="81"/>
            <rFont val="Tahoma"/>
            <family val="2"/>
          </rPr>
          <t>cnelson: 2014</t>
        </r>
        <r>
          <rPr>
            <sz val="10"/>
            <color indexed="81"/>
            <rFont val="Tahoma"/>
            <family val="2"/>
          </rPr>
          <t xml:space="preserve">
Used trend value from GRF Scada page.</t>
        </r>
      </text>
    </comment>
    <comment ref="AB337" authorId="2">
      <text>
        <r>
          <rPr>
            <b/>
            <sz val="10"/>
            <color indexed="81"/>
            <rFont val="Tahoma"/>
            <family val="2"/>
          </rPr>
          <t>cnelson: 2014</t>
        </r>
        <r>
          <rPr>
            <sz val="10"/>
            <color indexed="81"/>
            <rFont val="Tahoma"/>
            <family val="2"/>
          </rPr>
          <t xml:space="preserve">
Used trend value from GRF Scada page.</t>
        </r>
      </text>
    </comment>
    <comment ref="CD337" authorId="2">
      <text>
        <r>
          <rPr>
            <b/>
            <sz val="10"/>
            <color indexed="81"/>
            <rFont val="Tahoma"/>
            <family val="2"/>
          </rPr>
          <t>cnelson: 2014</t>
        </r>
        <r>
          <rPr>
            <sz val="10"/>
            <color indexed="81"/>
            <rFont val="Tahoma"/>
            <family val="2"/>
          </rPr>
          <t xml:space="preserve">
Filled and isolated due to turbidity event at GRF.</t>
        </r>
      </text>
    </comment>
    <comment ref="AX355" authorId="2">
      <text>
        <r>
          <rPr>
            <b/>
            <sz val="10"/>
            <color indexed="81"/>
            <rFont val="Tahoma"/>
            <family val="2"/>
          </rPr>
          <t>cnelson:</t>
        </r>
        <r>
          <rPr>
            <sz val="10"/>
            <color indexed="81"/>
            <rFont val="Tahoma"/>
            <family val="2"/>
          </rPr>
          <t xml:space="preserve">
Changed from 786.9 to 0.0 due to PL1 shutdown.</t>
        </r>
      </text>
    </comment>
    <comment ref="AX356" authorId="2">
      <text>
        <r>
          <rPr>
            <b/>
            <sz val="10"/>
            <color indexed="81"/>
            <rFont val="Tahoma"/>
            <family val="2"/>
          </rPr>
          <t>cnelson:</t>
        </r>
        <r>
          <rPr>
            <sz val="10"/>
            <color indexed="81"/>
            <rFont val="Tahoma"/>
            <family val="2"/>
          </rPr>
          <t xml:space="preserve">
Changed from 759.6 to 0.0 due to PL1 shutdown.</t>
        </r>
      </text>
    </comment>
    <comment ref="AX357" authorId="2">
      <text>
        <r>
          <rPr>
            <b/>
            <sz val="10"/>
            <color indexed="81"/>
            <rFont val="Tahoma"/>
            <family val="2"/>
          </rPr>
          <t>cnelson:</t>
        </r>
        <r>
          <rPr>
            <sz val="10"/>
            <color indexed="81"/>
            <rFont val="Tahoma"/>
            <family val="2"/>
          </rPr>
          <t xml:space="preserve">
Changed from 729.5 to 0.0 due to PL1 shutdown.</t>
        </r>
      </text>
    </comment>
    <comment ref="AX358" authorId="2">
      <text>
        <r>
          <rPr>
            <b/>
            <sz val="10"/>
            <color indexed="81"/>
            <rFont val="Tahoma"/>
            <family val="2"/>
          </rPr>
          <t>cnelson:</t>
        </r>
        <r>
          <rPr>
            <sz val="10"/>
            <color indexed="81"/>
            <rFont val="Tahoma"/>
            <family val="2"/>
          </rPr>
          <t xml:space="preserve">
Changed from 178.50 to 0.0 due to PL1 shutdown.</t>
        </r>
      </text>
    </comment>
    <comment ref="BN358" authorId="2">
      <text>
        <r>
          <rPr>
            <b/>
            <sz val="10"/>
            <color indexed="81"/>
            <rFont val="Tahoma"/>
            <family val="2"/>
          </rPr>
          <t>cnelson:</t>
        </r>
        <r>
          <rPr>
            <sz val="10"/>
            <color indexed="81"/>
            <rFont val="Tahoma"/>
            <family val="2"/>
          </rPr>
          <t xml:space="preserve">
Changed from 2.59 to 25.9.</t>
        </r>
      </text>
    </comment>
    <comment ref="CS358" authorId="2">
      <text>
        <r>
          <rPr>
            <b/>
            <sz val="10"/>
            <color indexed="81"/>
            <rFont val="Tahoma"/>
            <family val="2"/>
          </rPr>
          <t>cnelson:</t>
        </r>
        <r>
          <rPr>
            <sz val="10"/>
            <color indexed="81"/>
            <rFont val="Tahoma"/>
            <family val="2"/>
          </rPr>
          <t xml:space="preserve">
Changed from 1099.8 to 10998.0
</t>
        </r>
      </text>
    </comment>
    <comment ref="CT360" authorId="2">
      <text>
        <r>
          <rPr>
            <b/>
            <sz val="10"/>
            <color indexed="81"/>
            <rFont val="Tahoma"/>
            <family val="2"/>
          </rPr>
          <t>cnelson:</t>
        </r>
        <r>
          <rPr>
            <sz val="10"/>
            <color indexed="81"/>
            <rFont val="Tahoma"/>
            <family val="2"/>
          </rPr>
          <t xml:space="preserve">
Changed from 16316.0 to 16.27 per WinCC trending.</t>
        </r>
      </text>
    </comment>
    <comment ref="AB361" authorId="2">
      <text>
        <r>
          <rPr>
            <b/>
            <sz val="10"/>
            <color indexed="81"/>
            <rFont val="Tahoma"/>
            <family val="2"/>
          </rPr>
          <t>cnelson:</t>
        </r>
        <r>
          <rPr>
            <sz val="10"/>
            <color indexed="81"/>
            <rFont val="Tahoma"/>
            <family val="2"/>
          </rPr>
          <t xml:space="preserve">
Changed from 25.4 to 25.90
</t>
        </r>
      </text>
    </comment>
    <comment ref="Y382" authorId="2">
      <text>
        <r>
          <rPr>
            <b/>
            <sz val="10"/>
            <color indexed="81"/>
            <rFont val="Tahoma"/>
            <charset val="1"/>
          </rPr>
          <t>cnelson:</t>
        </r>
        <r>
          <rPr>
            <sz val="10"/>
            <color indexed="81"/>
            <rFont val="Tahoma"/>
            <charset val="1"/>
          </rPr>
          <t xml:space="preserve">
Estimated 29.54</t>
        </r>
      </text>
    </comment>
  </commentList>
</comments>
</file>

<file path=xl/comments6.xml><?xml version="1.0" encoding="utf-8"?>
<comments xmlns="http://schemas.openxmlformats.org/spreadsheetml/2006/main">
  <authors>
    <author>jmoline</author>
  </authors>
  <commentList>
    <comment ref="K7" authorId="0">
      <text>
        <r>
          <rPr>
            <b/>
            <sz val="8"/>
            <color indexed="81"/>
            <rFont val="Tahoma"/>
            <family val="2"/>
          </rPr>
          <t>jmoline:</t>
        </r>
        <r>
          <rPr>
            <sz val="8"/>
            <color indexed="81"/>
            <rFont val="Tahoma"/>
            <family val="2"/>
          </rPr>
          <t xml:space="preserve">
changed from McMillin Spill to Non-Revenue Usage on 6/10/10</t>
        </r>
      </text>
    </comment>
    <comment ref="B43" authorId="0">
      <text>
        <r>
          <rPr>
            <b/>
            <sz val="8"/>
            <color indexed="81"/>
            <rFont val="Tahoma"/>
            <family val="2"/>
          </rPr>
          <t>jmoline:</t>
        </r>
        <r>
          <rPr>
            <sz val="8"/>
            <color indexed="81"/>
            <rFont val="Tahoma"/>
            <family val="2"/>
          </rPr>
          <t xml:space="preserve">
average formulas changed on 4/5/10 to exclude zeros</t>
        </r>
      </text>
    </comment>
    <comment ref="F47" authorId="0">
      <text>
        <r>
          <rPr>
            <b/>
            <sz val="8"/>
            <color indexed="81"/>
            <rFont val="Tahoma"/>
            <family val="2"/>
          </rPr>
          <t>jmoline:</t>
        </r>
        <r>
          <rPr>
            <sz val="8"/>
            <color indexed="81"/>
            <rFont val="Tahoma"/>
            <family val="2"/>
          </rPr>
          <t xml:space="preserve">
adjusted formula for February on 5/17/10</t>
        </r>
      </text>
    </comment>
    <comment ref="Q47" authorId="0">
      <text>
        <r>
          <rPr>
            <b/>
            <sz val="8"/>
            <color indexed="81"/>
            <rFont val="Tahoma"/>
            <family val="2"/>
          </rPr>
          <t>jmoline:</t>
        </r>
        <r>
          <rPr>
            <sz val="8"/>
            <color indexed="81"/>
            <rFont val="Tahoma"/>
            <family val="2"/>
          </rPr>
          <t xml:space="preserve">
adjusted formula for February on 5/17/10</t>
        </r>
      </text>
    </comment>
    <comment ref="E52" authorId="0">
      <text>
        <r>
          <rPr>
            <b/>
            <sz val="8"/>
            <color indexed="81"/>
            <rFont val="Tahoma"/>
            <family val="2"/>
          </rPr>
          <t>jmoline:</t>
        </r>
        <r>
          <rPr>
            <sz val="8"/>
            <color indexed="81"/>
            <rFont val="Tahoma"/>
            <family val="2"/>
          </rPr>
          <t xml:space="preserve">
adjusted formula for February on 5/17/10</t>
        </r>
      </text>
    </comment>
    <comment ref="N52" authorId="0">
      <text>
        <r>
          <rPr>
            <b/>
            <sz val="8"/>
            <color indexed="81"/>
            <rFont val="Tahoma"/>
            <family val="2"/>
          </rPr>
          <t>jmoline:</t>
        </r>
        <r>
          <rPr>
            <sz val="8"/>
            <color indexed="81"/>
            <rFont val="Tahoma"/>
            <family val="2"/>
          </rPr>
          <t xml:space="preserve">
adjusted formula for February on 5/17/10</t>
        </r>
      </text>
    </comment>
  </commentList>
</comments>
</file>

<file path=xl/comments7.xml><?xml version="1.0" encoding="utf-8"?>
<comments xmlns="http://schemas.openxmlformats.org/spreadsheetml/2006/main">
  <authors>
    <author>jmoline</author>
    <author>cnelson</author>
    <author>cjohnso2</author>
    <author>Johnson, Christopher</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AQ5" authorId="1">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must be greater than FDWR (113 cfs) plus Palmer min (200 or 300 cfs) for SDWR.</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t>
        </r>
      </text>
    </comment>
    <comment ref="R7" authorId="1">
      <text>
        <r>
          <rPr>
            <b/>
            <sz val="10"/>
            <color indexed="81"/>
            <rFont val="Tahoma"/>
            <family val="2"/>
          </rPr>
          <t>cnelson:</t>
        </r>
        <r>
          <rPr>
            <sz val="10"/>
            <color indexed="81"/>
            <rFont val="Tahoma"/>
            <family val="2"/>
          </rPr>
          <t xml:space="preserve">
Disregard this column for now.</t>
        </r>
      </text>
    </comment>
    <comment ref="S7" authorId="1">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t>
        </r>
      </text>
    </comment>
    <comment ref="T7" authorId="1">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1">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1">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GQ173" authorId="1">
      <text>
        <r>
          <rPr>
            <b/>
            <sz val="10"/>
            <color indexed="81"/>
            <rFont val="Tahoma"/>
            <family val="2"/>
          </rPr>
          <t>cnelson:</t>
        </r>
        <r>
          <rPr>
            <sz val="10"/>
            <color indexed="81"/>
            <rFont val="Tahoma"/>
            <family val="2"/>
          </rPr>
          <t xml:space="preserve">
Manually adjusted due to miscalculation with formula.  Was 2739.09.
</t>
        </r>
      </text>
    </comment>
    <comment ref="GX173" authorId="1">
      <text>
        <r>
          <rPr>
            <b/>
            <sz val="10"/>
            <color indexed="81"/>
            <rFont val="Tahoma"/>
            <family val="2"/>
          </rPr>
          <t>cnelson:</t>
        </r>
        <r>
          <rPr>
            <sz val="10"/>
            <color indexed="81"/>
            <rFont val="Tahoma"/>
            <family val="2"/>
          </rPr>
          <t xml:space="preserve">
Manually adjusted due to miscalculation with formula.  Was 1278.24.</t>
        </r>
      </text>
    </comment>
    <comment ref="HE173" authorId="1">
      <text>
        <r>
          <rPr>
            <b/>
            <sz val="10"/>
            <color indexed="81"/>
            <rFont val="Tahoma"/>
            <family val="2"/>
          </rPr>
          <t>cnelson:</t>
        </r>
        <r>
          <rPr>
            <sz val="10"/>
            <color indexed="81"/>
            <rFont val="Tahoma"/>
            <family val="2"/>
          </rPr>
          <t xml:space="preserve">
Manually adjusted due to formula miscalculation.  Was 1459.23</t>
        </r>
      </text>
    </comment>
    <comment ref="HL173" authorId="1">
      <text>
        <r>
          <rPr>
            <b/>
            <sz val="10"/>
            <color indexed="81"/>
            <rFont val="Tahoma"/>
            <family val="2"/>
          </rPr>
          <t>cnelson:</t>
        </r>
        <r>
          <rPr>
            <sz val="10"/>
            <color indexed="81"/>
            <rFont val="Tahoma"/>
            <family val="2"/>
          </rPr>
          <t xml:space="preserve">
Manually adjusted due to miscalculation with formula.  Was 1454.27</t>
        </r>
      </text>
    </comment>
    <comment ref="H174" authorId="1">
      <text>
        <r>
          <rPr>
            <b/>
            <sz val="10"/>
            <color indexed="81"/>
            <rFont val="Tahoma"/>
            <family val="2"/>
          </rPr>
          <t>cnelson:</t>
        </r>
        <r>
          <rPr>
            <sz val="10"/>
            <color indexed="81"/>
            <rFont val="Tahoma"/>
            <family val="2"/>
          </rPr>
          <t xml:space="preserve">
eliminated 113cfs from equation.</t>
        </r>
      </text>
    </comment>
    <comment ref="I174" authorId="1">
      <text>
        <r>
          <rPr>
            <b/>
            <sz val="10"/>
            <color indexed="81"/>
            <rFont val="Tahoma"/>
            <family val="2"/>
          </rPr>
          <t>cnelson:</t>
        </r>
        <r>
          <rPr>
            <sz val="10"/>
            <color indexed="81"/>
            <rFont val="Tahoma"/>
            <family val="2"/>
          </rPr>
          <t xml:space="preserve">
Revised Formula</t>
        </r>
      </text>
    </comment>
    <comment ref="J174" authorId="1">
      <text>
        <r>
          <rPr>
            <b/>
            <sz val="10"/>
            <color indexed="81"/>
            <rFont val="Tahoma"/>
            <family val="2"/>
          </rPr>
          <t>cnelson:</t>
        </r>
        <r>
          <rPr>
            <sz val="10"/>
            <color indexed="81"/>
            <rFont val="Tahoma"/>
            <family val="2"/>
          </rPr>
          <t xml:space="preserve">
Revised formula
</t>
        </r>
      </text>
    </comment>
    <comment ref="DB192" authorId="1">
      <text>
        <r>
          <rPr>
            <b/>
            <sz val="10"/>
            <color indexed="81"/>
            <rFont val="Tahoma"/>
            <family val="2"/>
          </rPr>
          <t>cnelson:</t>
        </r>
        <r>
          <rPr>
            <sz val="10"/>
            <color indexed="81"/>
            <rFont val="Tahoma"/>
            <family val="2"/>
          </rPr>
          <t xml:space="preserve">
</t>
        </r>
      </text>
    </comment>
    <comment ref="FJ192" authorId="1">
      <text>
        <r>
          <rPr>
            <b/>
            <sz val="10"/>
            <color indexed="81"/>
            <rFont val="Tahoma"/>
            <family val="2"/>
          </rPr>
          <t>cnelson:</t>
        </r>
        <r>
          <rPr>
            <sz val="10"/>
            <color indexed="81"/>
            <rFont val="Tahoma"/>
            <family val="2"/>
          </rPr>
          <t xml:space="preserve">
Moved values up 1 day.  See Ken's email regarding curve values (8/26/13).  The value listed is for 12am of the day listed….not 12 midnight.
</t>
        </r>
      </text>
    </comment>
    <comment ref="DB193" authorId="1">
      <text>
        <r>
          <rPr>
            <b/>
            <sz val="10"/>
            <color indexed="81"/>
            <rFont val="Tahoma"/>
            <family val="2"/>
          </rPr>
          <t>cnelson:</t>
        </r>
        <r>
          <rPr>
            <sz val="10"/>
            <color indexed="81"/>
            <rFont val="Tahoma"/>
            <family val="2"/>
          </rPr>
          <t xml:space="preserve">
</t>
        </r>
      </text>
    </comment>
    <comment ref="K200" authorId="1">
      <text>
        <r>
          <rPr>
            <b/>
            <sz val="10"/>
            <color indexed="81"/>
            <rFont val="Tahoma"/>
            <family val="2"/>
          </rPr>
          <t>cnelson:
Manually adjusted to 0.0 to allow RWS Report Page to properly show Tacoma Storage Release.  Palmer flow is below requirement.</t>
        </r>
      </text>
    </comment>
    <comment ref="DB218" authorId="2">
      <text>
        <r>
          <rPr>
            <b/>
            <sz val="8"/>
            <color indexed="81"/>
            <rFont val="Tahoma"/>
            <family val="2"/>
          </rPr>
          <t>cjohnso2:</t>
        </r>
        <r>
          <rPr>
            <sz val="8"/>
            <color indexed="81"/>
            <rFont val="Tahoma"/>
            <family val="2"/>
          </rPr>
          <t xml:space="preserve">
</t>
        </r>
      </text>
    </comment>
    <comment ref="BD249" authorId="1">
      <text>
        <r>
          <rPr>
            <b/>
            <sz val="10"/>
            <color indexed="81"/>
            <rFont val="Tahoma"/>
            <family val="2"/>
          </rPr>
          <t>cnelson:</t>
        </r>
        <r>
          <rPr>
            <sz val="10"/>
            <color indexed="81"/>
            <rFont val="Tahoma"/>
            <family val="2"/>
          </rPr>
          <t xml:space="preserve">
Donated 500 AF to LUD.</t>
        </r>
      </text>
    </comment>
    <comment ref="G255" authorId="1">
      <text>
        <r>
          <rPr>
            <b/>
            <sz val="10"/>
            <color indexed="81"/>
            <rFont val="Tahoma"/>
            <family val="2"/>
          </rPr>
          <t>cnelson:</t>
        </r>
        <r>
          <rPr>
            <sz val="10"/>
            <color indexed="81"/>
            <rFont val="Tahoma"/>
            <family val="2"/>
          </rPr>
          <t xml:space="preserve">
</t>
        </r>
      </text>
    </comment>
    <comment ref="AN275" authorId="1">
      <text>
        <r>
          <rPr>
            <b/>
            <sz val="10"/>
            <color indexed="81"/>
            <rFont val="Tahoma"/>
            <family val="2"/>
          </rPr>
          <t xml:space="preserve">cnelson;
somehow got changed to deduct 488.9 MG.  Corrected by removing this deduction from equation.
</t>
        </r>
      </text>
    </comment>
    <comment ref="DS280" authorId="1">
      <text>
        <r>
          <rPr>
            <b/>
            <sz val="10"/>
            <color indexed="81"/>
            <rFont val="Tahoma"/>
            <family val="2"/>
          </rPr>
          <t>cnelson:</t>
        </r>
        <r>
          <rPr>
            <sz val="10"/>
            <color indexed="81"/>
            <rFont val="Tahoma"/>
            <family val="2"/>
          </rPr>
          <t xml:space="preserve">
made correction to formula.  Somehow changed and RWS results were '#REF'.  Dragged formula from DI 279 down and this fixed problem.</t>
        </r>
      </text>
    </comment>
    <comment ref="AH284" authorId="1">
      <text>
        <r>
          <rPr>
            <b/>
            <sz val="10"/>
            <color indexed="81"/>
            <rFont val="Tahoma"/>
            <family val="2"/>
          </rPr>
          <t>cnelson:</t>
        </r>
        <r>
          <rPr>
            <sz val="10"/>
            <color indexed="81"/>
            <rFont val="Tahoma"/>
            <family val="2"/>
          </rPr>
          <t xml:space="preserve">
manually adjusted due to run of river availability prior to 'End of Storage' date.</t>
        </r>
      </text>
    </comment>
    <comment ref="S285" authorId="3">
      <text>
        <r>
          <rPr>
            <b/>
            <sz val="9"/>
            <color indexed="81"/>
            <rFont val="Tahoma"/>
            <family val="2"/>
          </rPr>
          <t>Johnson, 2013
Christopher:</t>
        </r>
        <r>
          <rPr>
            <sz val="9"/>
            <color indexed="81"/>
            <rFont val="Tahoma"/>
            <family val="2"/>
          </rPr>
          <t xml:space="preserve">
Temporary change until formula can be adjusted</t>
        </r>
      </text>
    </comment>
    <comment ref="S320" authorId="1">
      <text>
        <r>
          <rPr>
            <b/>
            <sz val="10"/>
            <color indexed="81"/>
            <rFont val="Tahoma"/>
            <family val="2"/>
          </rPr>
          <t>cnelson:</t>
        </r>
        <r>
          <rPr>
            <sz val="10"/>
            <color indexed="81"/>
            <rFont val="Tahoma"/>
            <family val="2"/>
          </rPr>
          <t xml:space="preserve">
adjusted equation to equal SDWR Available.
</t>
        </r>
      </text>
    </comment>
    <comment ref="DN336" authorId="1">
      <text>
        <r>
          <rPr>
            <b/>
            <sz val="10"/>
            <color indexed="81"/>
            <rFont val="Tahoma"/>
            <family val="2"/>
          </rPr>
          <t>cnelson:</t>
        </r>
        <r>
          <rPr>
            <sz val="10"/>
            <color indexed="81"/>
            <rFont val="Tahoma"/>
            <family val="2"/>
          </rPr>
          <t xml:space="preserve">
cnelson: 11/27/13
during FCF shutdown and low flow causing reverse flow at 356th, adjust equation to equal 0.  </t>
        </r>
      </text>
    </comment>
    <comment ref="S354" authorId="1">
      <text>
        <r>
          <rPr>
            <b/>
            <sz val="10"/>
            <color indexed="81"/>
            <rFont val="Tahoma"/>
            <family val="2"/>
          </rPr>
          <t>cnelson: 2013</t>
        </r>
        <r>
          <rPr>
            <sz val="10"/>
            <color indexed="81"/>
            <rFont val="Tahoma"/>
            <family val="2"/>
          </rPr>
          <t xml:space="preserve">
Began North Fork use due to Intake closure. </t>
        </r>
      </text>
    </comment>
  </commentList>
</comments>
</file>

<file path=xl/comments8.xml><?xml version="1.0" encoding="utf-8"?>
<comments xmlns="http://schemas.openxmlformats.org/spreadsheetml/2006/main">
  <authors>
    <author>cjohnso2</author>
    <author>cnelson</author>
    <author>jmoline</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 ref="F335" authorId="1">
      <text>
        <r>
          <rPr>
            <b/>
            <sz val="10"/>
            <color indexed="81"/>
            <rFont val="Tahoma"/>
            <family val="2"/>
          </rPr>
          <t>cnelson: 2014</t>
        </r>
        <r>
          <rPr>
            <sz val="10"/>
            <color indexed="81"/>
            <rFont val="Tahoma"/>
            <family val="2"/>
          </rPr>
          <t xml:space="preserve">
Changed to 0 due to capture and drain of turbidity event.</t>
        </r>
      </text>
    </comment>
  </commentList>
</comments>
</file>

<file path=xl/comments9.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sharedStrings.xml><?xml version="1.0" encoding="utf-8"?>
<sst xmlns="http://schemas.openxmlformats.org/spreadsheetml/2006/main" count="5531" uniqueCount="854">
  <si>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</si>
  <si>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</si>
  <si>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</si>
  <si>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</si>
  <si>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</si>
  <si>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</si>
  <si>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</si>
  <si>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</si>
  <si>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</si>
  <si>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</si>
  <si>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</si>
  <si>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</si>
  <si>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</si>
  <si>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</si>
  <si>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</si>
  <si>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</si>
  <si>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</si>
  <si>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</si>
  <si>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</si>
  <si>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Simpson</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</si>
  <si>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</si>
  <si>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</si>
  <si>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</si>
  <si>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</si>
  <si>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</si>
  <si>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</si>
  <si>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</si>
  <si>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</si>
  <si>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</si>
  <si>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Green River at Palmer (12106700)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</si>
  <si>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</si>
  <si>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</si>
  <si>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</si>
  <si>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</si>
  <si>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</si>
  <si>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</si>
  <si>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</si>
  <si>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</si>
  <si>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</si>
  <si>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</si>
  <si>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</si>
  <si>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</si>
  <si>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</si>
  <si>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</si>
  <si>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</si>
  <si>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</si>
  <si>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Total  Storage</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</si>
  <si>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</si>
  <si>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</si>
  <si>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</si>
  <si>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</si>
  <si>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</si>
  <si>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</si>
  <si>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</si>
  <si>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</si>
  <si>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</si>
  <si>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</si>
  <si>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</si>
  <si>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</si>
  <si>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</si>
  <si>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</si>
  <si>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</si>
  <si>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</si>
  <si>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</si>
  <si>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</si>
  <si>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</si>
  <si>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</si>
  <si>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</si>
  <si>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</si>
  <si>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</si>
  <si>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</si>
  <si>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</si>
  <si>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</si>
  <si>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</si>
  <si>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</si>
  <si>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</si>
  <si>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</si>
  <si>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</si>
  <si>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</si>
  <si>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</si>
  <si>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Turbidity - Raw River</t>
  </si>
  <si>
    <t>Turbidity - Finished River</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</si>
  <si>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</si>
  <si>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</si>
  <si>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</si>
  <si>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</si>
  <si>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</si>
  <si>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</si>
  <si>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</si>
  <si>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</si>
  <si>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</si>
  <si>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</si>
  <si>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</si>
  <si>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</si>
  <si>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</si>
  <si>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</si>
  <si>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 xml:space="preserve">Simpson </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</si>
  <si>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</si>
  <si>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</si>
  <si>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</si>
  <si>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</si>
  <si>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</si>
  <si>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</si>
  <si>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</si>
  <si>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</si>
  <si>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</si>
  <si>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</si>
  <si>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</si>
  <si>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</si>
  <si>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</si>
  <si>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</si>
  <si>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</si>
  <si>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</si>
  <si>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</si>
  <si>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</si>
  <si>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</si>
  <si>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</si>
  <si>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</si>
  <si>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</si>
  <si>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</si>
  <si>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Turbidity (Max.) Finished</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</si>
  <si>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</si>
  <si>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</si>
  <si>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</si>
  <si>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</si>
  <si>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</si>
  <si>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</si>
  <si>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</si>
  <si>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</si>
  <si>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</si>
  <si>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</si>
  <si>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</si>
  <si>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</si>
  <si>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</si>
  <si>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</si>
  <si>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</si>
  <si>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</si>
  <si>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</si>
  <si>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</si>
  <si>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</si>
  <si>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</si>
  <si>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</si>
  <si>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</si>
  <si>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</si>
  <si>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</si>
  <si>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</si>
  <si>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</si>
  <si>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</si>
  <si>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</si>
  <si>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</si>
  <si>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</si>
  <si>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</si>
  <si>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</si>
  <si>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</si>
  <si>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</si>
  <si>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</si>
  <si>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</si>
  <si>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</si>
  <si>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</si>
  <si>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</si>
  <si>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</si>
  <si>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</si>
  <si>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</si>
  <si>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</si>
  <si>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</si>
  <si>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</si>
  <si>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</si>
  <si>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</si>
  <si>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</si>
  <si>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</si>
  <si>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</si>
  <si>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</si>
  <si>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</si>
  <si>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</si>
  <si>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</si>
  <si>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</si>
  <si>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</si>
  <si>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</si>
  <si>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</si>
  <si>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</si>
  <si>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</si>
  <si>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</si>
  <si>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</si>
  <si>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</si>
  <si>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</si>
  <si>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</si>
  <si>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</si>
  <si>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</si>
  <si>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</si>
  <si>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</si>
  <si>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</si>
  <si>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</si>
  <si>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</si>
  <si>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</si>
  <si>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</si>
  <si>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</si>
  <si>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</si>
  <si>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</si>
  <si>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</si>
  <si>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</si>
  <si>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</si>
  <si>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</si>
  <si>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</si>
  <si>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</si>
  <si>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</si>
  <si>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</si>
  <si>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</si>
  <si>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</si>
  <si>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</si>
  <si>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</si>
  <si>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</si>
  <si>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</si>
  <si>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</si>
  <si>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</si>
  <si>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</si>
  <si>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</si>
  <si>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</si>
  <si>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</si>
  <si>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</si>
  <si>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</si>
  <si>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</si>
  <si>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</si>
  <si>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</si>
  <si>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</si>
  <si>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</si>
  <si>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</si>
  <si>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</si>
  <si>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</si>
  <si>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</si>
  <si>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</si>
  <si>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</si>
  <si>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</si>
  <si>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</si>
  <si>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</si>
  <si>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</si>
  <si>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</si>
  <si>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</si>
  <si>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</si>
  <si>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</si>
  <si>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</si>
  <si>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</si>
  <si>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</si>
  <si>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</si>
  <si>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</si>
  <si>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</si>
  <si>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</si>
  <si>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</si>
  <si>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</si>
  <si>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</si>
  <si>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</si>
  <si>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</si>
  <si>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</si>
  <si>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</si>
  <si>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Lakehaven  O&amp;M Share</t>
  </si>
  <si>
    <t>Accounting/Billing</t>
  </si>
  <si>
    <t>Daily Delivery Schedules</t>
  </si>
  <si>
    <t xml:space="preserve">Tacoma </t>
  </si>
  <si>
    <t>Kent</t>
  </si>
  <si>
    <t>Covington</t>
  </si>
  <si>
    <t>Lakehaven</t>
  </si>
  <si>
    <t>Non Revenue Water (MG)</t>
  </si>
  <si>
    <t>Enter Date:</t>
  </si>
  <si>
    <t>Cumberland Pump Station</t>
  </si>
  <si>
    <t>PH (Average), P1</t>
  </si>
  <si>
    <t>PH (Average), P5</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</si>
  <si>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</si>
  <si>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</si>
  <si>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</si>
  <si>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</si>
  <si>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</si>
  <si>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</si>
  <si>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</si>
  <si>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</si>
  <si>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</si>
  <si>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</si>
  <si>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</si>
  <si>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</si>
  <si>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</si>
  <si>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</si>
  <si>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</si>
  <si>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</si>
  <si>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</si>
  <si>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</si>
  <si>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</si>
  <si>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</si>
  <si>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</si>
  <si>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</si>
  <si>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</si>
  <si>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</si>
  <si>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</si>
  <si>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</si>
  <si>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PH</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</si>
  <si>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</si>
  <si>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</si>
  <si>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</si>
  <si>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</si>
  <si>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</si>
  <si>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</si>
  <si>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</si>
  <si>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</si>
  <si>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</si>
  <si>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</si>
  <si>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</si>
  <si>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</si>
  <si>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</si>
  <si>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</si>
  <si>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</si>
  <si>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</si>
  <si>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</si>
  <si>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</si>
  <si>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</si>
  <si>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</si>
  <si>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</si>
  <si>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</si>
  <si>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</si>
  <si>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</si>
  <si>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</si>
  <si>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</si>
  <si>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</si>
  <si>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</si>
  <si>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</si>
  <si>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</si>
  <si>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</si>
  <si>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</si>
  <si>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</si>
  <si>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</si>
  <si>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</si>
  <si>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</si>
  <si>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</si>
  <si>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</si>
  <si>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</si>
  <si>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SDW Taken Schedules</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</si>
  <si>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</si>
  <si>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</si>
  <si>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</si>
  <si>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</si>
  <si>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</si>
  <si>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</si>
  <si>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</si>
  <si>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</si>
  <si>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</si>
  <si>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</si>
  <si>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</si>
  <si>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</si>
  <si>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</si>
  <si>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</si>
  <si>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</si>
  <si>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</si>
  <si>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</si>
  <si>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</si>
  <si>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</si>
  <si>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</si>
  <si>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</si>
  <si>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</si>
  <si>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</si>
  <si>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</si>
  <si>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</si>
  <si>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</si>
  <si>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</si>
  <si>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</si>
  <si>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</si>
  <si>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</si>
  <si>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</si>
  <si>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</si>
  <si>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</si>
  <si>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</si>
  <si>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</si>
  <si>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</si>
  <si>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</si>
  <si>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</si>
  <si>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</si>
  <si>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</si>
  <si>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</si>
  <si>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</si>
  <si>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</si>
  <si>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</si>
  <si>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</si>
  <si>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</si>
  <si>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</si>
  <si>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</si>
  <si>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</si>
  <si>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</si>
  <si>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</si>
  <si>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</si>
  <si>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</si>
  <si>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</si>
  <si>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</si>
  <si>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</si>
  <si>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</si>
  <si>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</si>
  <si>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</si>
  <si>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</si>
  <si>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</si>
  <si>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</si>
  <si>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</si>
  <si>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</si>
  <si>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</si>
  <si>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</si>
  <si>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</si>
  <si>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</si>
  <si>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</si>
  <si>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</si>
  <si>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</si>
  <si>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</si>
  <si>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</si>
  <si>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</si>
  <si>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</si>
  <si>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</si>
  <si>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</si>
  <si>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</si>
  <si>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</si>
  <si>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</si>
  <si>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</si>
  <si>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</si>
  <si>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</si>
  <si>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</si>
  <si>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</si>
  <si>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</si>
  <si>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</si>
  <si>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</si>
  <si>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</si>
  <si>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</si>
  <si>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</si>
  <si>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</si>
  <si>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</si>
  <si>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</si>
  <si>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</si>
  <si>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</si>
  <si>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</si>
  <si>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</si>
  <si>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</si>
  <si>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</si>
  <si>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</si>
  <si>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</si>
  <si>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</si>
  <si>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</si>
  <si>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</si>
  <si>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</si>
  <si>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Simpson*</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</si>
  <si>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</si>
  <si>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</si>
  <si>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</si>
  <si>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</si>
  <si>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</si>
  <si>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</si>
  <si>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</si>
  <si>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</si>
  <si>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</si>
  <si>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</si>
  <si>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</si>
  <si>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</si>
  <si>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</si>
  <si>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</si>
  <si>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</si>
  <si>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</si>
  <si>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</si>
  <si>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</si>
  <si>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</si>
  <si>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</si>
  <si>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</si>
  <si>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</si>
  <si>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</si>
  <si>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</si>
  <si>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</si>
  <si>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</si>
  <si>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</si>
  <si>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</si>
  <si>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</si>
  <si>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</si>
  <si>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</si>
  <si>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</si>
  <si>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</si>
  <si>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</si>
  <si>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</si>
  <si>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</si>
  <si>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</si>
  <si>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</si>
  <si>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</si>
  <si>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</si>
  <si>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</si>
  <si>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</si>
  <si>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</si>
  <si>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</si>
  <si>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</si>
  <si>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</si>
  <si>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</si>
  <si>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</si>
  <si>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</si>
  <si>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HH Inflow Restriction (MGD)</t>
  </si>
  <si>
    <t>2nd Div Auburn Restriction (MGD)</t>
  </si>
  <si>
    <t>2nd Div Palmer Restriction (MGD)</t>
  </si>
  <si>
    <t>P1+P5-NF+    (Auburn Gage - Auburn Minimum)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</si>
  <si>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</si>
  <si>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</si>
  <si>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</si>
  <si>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</si>
  <si>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</si>
  <si>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</si>
  <si>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</si>
  <si>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</si>
  <si>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</si>
  <si>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</si>
  <si>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</si>
  <si>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</si>
  <si>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</si>
  <si>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</si>
  <si>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</si>
  <si>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</si>
  <si>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Guide Curve change in storage</t>
  </si>
  <si>
    <t>HHD Conservation/Flood Storage Guide Curve (not including dead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</si>
  <si>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</si>
  <si>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</si>
  <si>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</si>
  <si>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</si>
  <si>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</si>
  <si>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</si>
  <si>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</si>
  <si>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</si>
  <si>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</si>
  <si>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</si>
  <si>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</si>
  <si>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</si>
  <si>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</si>
  <si>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</si>
  <si>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</si>
  <si>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</si>
  <si>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</si>
  <si>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</si>
  <si>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Release in excess of what is needed for Palmer at 110cfs (cfs)</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</si>
  <si>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</si>
  <si>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</si>
  <si>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</si>
  <si>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</si>
  <si>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</si>
  <si>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</si>
  <si>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</si>
  <si>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</si>
  <si>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</si>
  <si>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</si>
  <si>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</si>
  <si>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</si>
  <si>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</si>
  <si>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</si>
  <si>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</si>
  <si>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</si>
  <si>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</si>
  <si>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</si>
  <si>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</si>
  <si>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</si>
  <si>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</si>
  <si>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</si>
  <si>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HHD Elevation (00:00 hrs)</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</si>
  <si>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</si>
  <si>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</si>
  <si>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</si>
  <si>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</si>
  <si>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</si>
  <si>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</si>
  <si>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</si>
  <si>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</si>
  <si>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</si>
  <si>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</si>
  <si>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</si>
  <si>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</si>
  <si>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</si>
  <si>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</si>
  <si>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</si>
  <si>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</si>
  <si>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</si>
  <si>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</si>
  <si>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</si>
  <si>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</si>
  <si>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</si>
  <si>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</si>
  <si>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</si>
  <si>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</si>
  <si>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</si>
  <si>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</si>
  <si>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</si>
  <si>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</si>
  <si>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</si>
  <si>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</si>
  <si>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</si>
  <si>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</si>
  <si>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</si>
  <si>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</si>
  <si>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</si>
  <si>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</si>
  <si>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</si>
  <si>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</si>
  <si>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</si>
  <si>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</si>
  <si>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</si>
  <si>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</si>
  <si>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</si>
  <si>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</si>
  <si>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</si>
  <si>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</si>
  <si>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</si>
  <si>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</si>
  <si>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</si>
  <si>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</si>
  <si>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</si>
  <si>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</si>
  <si>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</si>
  <si>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</si>
  <si>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</si>
  <si>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</si>
  <si>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</si>
  <si>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</si>
  <si>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</si>
  <si>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</si>
  <si>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</si>
  <si>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</si>
  <si>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</si>
  <si>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</si>
  <si>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</si>
  <si>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</si>
  <si>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</si>
  <si>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</si>
  <si>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</si>
  <si>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</si>
  <si>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</si>
  <si>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</si>
  <si>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</si>
  <si>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</si>
  <si>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</si>
  <si>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</si>
  <si>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</si>
  <si>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</si>
  <si>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</si>
  <si>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</si>
  <si>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</si>
  <si>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</si>
  <si>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</si>
  <si>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</si>
  <si>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</si>
  <si>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</si>
  <si>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</si>
  <si>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</si>
  <si>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</si>
  <si>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</si>
  <si>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Simpson CONSUMPTION (MG)</t>
  </si>
  <si>
    <t>Simpson WATER TEMP. (degrees Fahrenheit)</t>
  </si>
  <si>
    <t>Hood Street CL2/Day (lbs) FUTURE</t>
  </si>
  <si>
    <t>Hood Street CL2 Res. PL-2 (ppm) FUTURE</t>
  </si>
  <si>
    <t>Hood Street CL2 Res. PL-4 (ppm) FUTURE</t>
  </si>
  <si>
    <t>PA CL2/Day (lbs) FUTURE</t>
  </si>
  <si>
    <t>1st Diversion reduction to keep Auburn above 250 (MGD)</t>
  </si>
  <si>
    <t>Release in excess of what is needed for Auburn at 250cfs cfs with 15cfs buffer (cfs)</t>
  </si>
  <si>
    <t>2nd Diversion water to Support Auburn at 250 cfs with a 15cfs buffer (cfs)</t>
  </si>
  <si>
    <t>(Unadjusted)</t>
  </si>
  <si>
    <t>Total Non-Revenue Use MG</t>
  </si>
  <si>
    <t>Non-Revenue Draining of McMillin 1# N (MG)</t>
  </si>
  <si>
    <t>Non-</t>
  </si>
  <si>
    <t>Revenue</t>
  </si>
  <si>
    <t>Non-Revenue Draining of McMillin 1# S (MG)</t>
  </si>
  <si>
    <t>OTHER</t>
  </si>
  <si>
    <t>STORAGE ADJUSTMENTS (MG)</t>
  </si>
  <si>
    <t>FDWR Taken by Tacoma</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</si>
  <si>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</si>
  <si>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</si>
  <si>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</si>
  <si>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</si>
  <si>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</si>
  <si>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</si>
  <si>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</si>
  <si>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</si>
  <si>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</si>
  <si>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</si>
  <si>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</si>
  <si>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</si>
  <si>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</si>
  <si>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</si>
  <si>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</si>
  <si>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</si>
  <si>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</si>
  <si>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</si>
  <si>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SDWR Storage Use Incl. Auburn Support (-)</t>
  </si>
  <si>
    <t>1135 + Resource Water Daily Use</t>
  </si>
  <si>
    <t>Municipal Storage Daily Use</t>
  </si>
  <si>
    <t>Total 1135 + Resource Water</t>
  </si>
  <si>
    <t>Portion of 1135 + Resource Water Available to Tacoma for Maintaining Auburn Gage at 250 cfs Min</t>
  </si>
  <si>
    <t>DELIVERED TO PARTNERS (MG)</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</si>
  <si>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</si>
  <si>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</si>
  <si>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</si>
  <si>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</si>
  <si>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</si>
  <si>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</si>
  <si>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</si>
  <si>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</si>
  <si>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</si>
  <si>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</si>
  <si>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Without Simpson (City Wells + P1 + P5365 +Change in Reservoir - Simpson - Total Non-Revenue Usage)</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</si>
  <si>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</si>
  <si>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</si>
  <si>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</si>
  <si>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</si>
  <si>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</si>
  <si>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</si>
  <si>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</si>
  <si>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</si>
  <si>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</si>
  <si>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</si>
  <si>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</si>
  <si>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</si>
  <si>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</si>
  <si>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</si>
  <si>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</si>
  <si>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</si>
  <si>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</si>
  <si>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</si>
  <si>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</si>
  <si>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</si>
  <si>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</si>
  <si>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</si>
  <si>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</si>
  <si>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</si>
  <si>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</si>
  <si>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</si>
  <si>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</si>
  <si>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</si>
  <si>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</si>
  <si>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</si>
  <si>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</si>
  <si>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</si>
  <si>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</si>
  <si>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</si>
  <si>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</si>
  <si>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</si>
  <si>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SDWR ROR Delivered</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</si>
  <si>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</si>
  <si>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</si>
  <si>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</si>
  <si>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</si>
  <si>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</si>
  <si>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</si>
  <si>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</si>
  <si>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</si>
  <si>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</si>
  <si>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</si>
  <si>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</si>
  <si>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os</t>
  </si>
  <si>
    <t>o/s</t>
  </si>
  <si>
    <t>2012 HHD Total Storage (including 619 AF dead storage)</t>
  </si>
  <si>
    <t>Valve 271 open 1=Yes</t>
  </si>
  <si>
    <t>Is McMillin Covered #1 Spilling</t>
  </si>
  <si>
    <t>Is McMillin Covered  #2 Spilling</t>
  </si>
  <si>
    <t>Covered Reservoir 1 Flow Meter (MG)</t>
  </si>
  <si>
    <t>SDWR ROR Delivered to P1/P5</t>
  </si>
  <si>
    <t>SDWR ROR Placed in Storage</t>
  </si>
  <si>
    <t>n</t>
  </si>
  <si>
    <t>Black Diamond</t>
  </si>
  <si>
    <t>Portland Ave</t>
  </si>
  <si>
    <t>Reservoir</t>
  </si>
  <si>
    <t>Hood Street</t>
  </si>
  <si>
    <t>McMillin #1</t>
  </si>
  <si>
    <t>McMillin #2</t>
  </si>
  <si>
    <t>Wholesale Connection</t>
  </si>
  <si>
    <t>Low Alarm</t>
  </si>
  <si>
    <t>LUD</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</si>
  <si>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</si>
  <si>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</si>
  <si>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</si>
  <si>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</si>
  <si>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</si>
  <si>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</si>
  <si>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</si>
  <si>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</si>
  <si>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</si>
  <si>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</si>
  <si>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</si>
  <si>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</si>
  <si>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</si>
  <si>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</si>
  <si>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</si>
  <si>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</si>
  <si>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</si>
  <si>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</si>
  <si>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</si>
  <si>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</si>
  <si>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</si>
  <si>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</si>
  <si>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</si>
  <si>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</si>
  <si>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</si>
  <si>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</si>
  <si>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</si>
  <si>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</si>
  <si>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</si>
  <si>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</si>
  <si>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</si>
  <si>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</si>
  <si>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</si>
  <si>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</si>
  <si>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</si>
  <si>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</si>
  <si>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</si>
  <si>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</si>
  <si>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</si>
  <si>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</si>
  <si>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</si>
  <si>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</si>
  <si>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</si>
  <si>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</si>
  <si>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</si>
  <si>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</si>
  <si>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</si>
  <si>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</si>
  <si>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</si>
  <si>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</si>
  <si>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</si>
  <si>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</si>
  <si>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</si>
  <si>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</si>
  <si>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</si>
  <si>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Conservation / Flood Storage Guide Curve (without  619AF dead storage)</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</si>
  <si>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</si>
  <si>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</si>
  <si>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</si>
  <si>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</si>
  <si>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</si>
  <si>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</si>
  <si>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</si>
  <si>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</si>
  <si>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</si>
  <si>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</si>
  <si>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</si>
  <si>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</si>
  <si>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HHD Conservation / Flood Storage (including  619 AF dead storage)</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</si>
  <si>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</si>
  <si>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</si>
  <si>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</si>
  <si>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</si>
  <si>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</si>
  <si>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</si>
  <si>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</si>
  <si>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</si>
  <si>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</si>
  <si>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</si>
  <si>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</si>
  <si>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Printed august and sept and submitted to CJ on 10/24</t>
  </si>
  <si>
    <t>2013 HHD Total Storage (including 619 AF dead storage)</t>
  </si>
  <si>
    <t>HHD Conservation / Flood Storage (minus 619AF dead storage)</t>
  </si>
  <si>
    <t>Tracking of SDW Storage at 100cfs/day less ROR daily withdrawal</t>
  </si>
  <si>
    <t>Delivery Schedule Total (cfs)</t>
  </si>
  <si>
    <t>Bonney Lk meter read</t>
  </si>
  <si>
    <t>92.3.6</t>
  </si>
  <si>
    <t>confirmed</t>
  </si>
  <si>
    <t>1135 numbers</t>
  </si>
  <si>
    <t>with ACOE.</t>
  </si>
  <si>
    <t>Printed July Aug Sept on 10/15/14</t>
  </si>
  <si>
    <t>Printed Oct, Nov, Dec and submitted to C. Johnson on 2/5/15</t>
  </si>
</sst>
</file>

<file path=xl/styles.xml><?xml version="1.0" encoding="utf-8"?>
<styleSheet xmlns="http://schemas.openxmlformats.org/spreadsheetml/2006/main">
  <numFmts count="13">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s>
  <fonts count="77">
    <font>
      <sz val="10"/>
      <name val="Arial"/>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
      <sz val="10"/>
      <color indexed="81"/>
      <name val="Tahoma"/>
      <charset val="1"/>
    </font>
    <font>
      <b/>
      <sz val="10"/>
      <color indexed="81"/>
      <name val="Tahoma"/>
      <charset val="1"/>
    </font>
  </fonts>
  <fills count="71">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66CCFF"/>
        <bgColor indexed="64"/>
      </patternFill>
    </fill>
    <fill>
      <patternFill patternType="solid">
        <fgColor theme="2" tint="-9.9978637043366805E-2"/>
        <bgColor indexed="64"/>
      </patternFill>
    </fill>
  </fills>
  <borders count="93">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s>
  <cellStyleXfs count="54">
    <xf numFmtId="0" fontId="0" fillId="0" borderId="0"/>
    <xf numFmtId="0" fontId="6" fillId="0" borderId="0"/>
    <xf numFmtId="0" fontId="41" fillId="2" borderId="0"/>
    <xf numFmtId="0" fontId="5" fillId="0" borderId="0" applyNumberFormat="0" applyFill="0" applyBorder="0" applyAlignment="0" applyProtection="0"/>
    <xf numFmtId="9" fontId="2" fillId="0" borderId="0" applyFont="0" applyFill="0" applyBorder="0" applyAlignment="0" applyProtection="0"/>
    <xf numFmtId="0" fontId="40" fillId="0" borderId="0" applyNumberFormat="0" applyFont="0" applyFill="0" applyBorder="0" applyAlignment="0" applyProtection="0">
      <alignment horizontal="left"/>
    </xf>
    <xf numFmtId="15" fontId="40" fillId="0" borderId="0" applyFont="0" applyFill="0" applyBorder="0" applyAlignment="0" applyProtection="0"/>
    <xf numFmtId="4" fontId="40" fillId="0" borderId="0" applyFont="0" applyFill="0" applyBorder="0" applyAlignment="0" applyProtection="0"/>
    <xf numFmtId="0" fontId="42" fillId="0" borderId="1">
      <alignment horizontal="center"/>
    </xf>
    <xf numFmtId="3" fontId="40" fillId="0" borderId="0" applyFont="0" applyFill="0" applyBorder="0" applyAlignment="0" applyProtection="0"/>
    <xf numFmtId="0" fontId="40" fillId="3" borderId="0" applyNumberFormat="0" applyFont="0" applyBorder="0" applyAlignment="0" applyProtection="0"/>
    <xf numFmtId="0" fontId="2" fillId="0" borderId="0"/>
    <xf numFmtId="0" fontId="52" fillId="0" borderId="0" applyNumberFormat="0" applyFill="0" applyBorder="0" applyAlignment="0" applyProtection="0"/>
    <xf numFmtId="0" fontId="53" fillId="0" borderId="82" applyNumberFormat="0" applyFill="0" applyAlignment="0" applyProtection="0"/>
    <xf numFmtId="0" fontId="54" fillId="0" borderId="83" applyNumberFormat="0" applyFill="0" applyAlignment="0" applyProtection="0"/>
    <xf numFmtId="0" fontId="55" fillId="0" borderId="84" applyNumberFormat="0" applyFill="0" applyAlignment="0" applyProtection="0"/>
    <xf numFmtId="0" fontId="55" fillId="0" borderId="0" applyNumberFormat="0" applyFill="0" applyBorder="0" applyAlignment="0" applyProtection="0"/>
    <xf numFmtId="0" fontId="56" fillId="21" borderId="0" applyNumberFormat="0" applyBorder="0" applyAlignment="0" applyProtection="0"/>
    <xf numFmtId="0" fontId="57" fillId="22" borderId="0" applyNumberFormat="0" applyBorder="0" applyAlignment="0" applyProtection="0"/>
    <xf numFmtId="0" fontId="58" fillId="23" borderId="0" applyNumberFormat="0" applyBorder="0" applyAlignment="0" applyProtection="0"/>
    <xf numFmtId="0" fontId="59" fillId="24" borderId="85" applyNumberFormat="0" applyAlignment="0" applyProtection="0"/>
    <xf numFmtId="0" fontId="60" fillId="25" borderId="86" applyNumberFormat="0" applyAlignment="0" applyProtection="0"/>
    <xf numFmtId="0" fontId="61" fillId="25" borderId="85" applyNumberFormat="0" applyAlignment="0" applyProtection="0"/>
    <xf numFmtId="0" fontId="62" fillId="0" borderId="87" applyNumberFormat="0" applyFill="0" applyAlignment="0" applyProtection="0"/>
    <xf numFmtId="0" fontId="63" fillId="26" borderId="88"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90" applyNumberFormat="0" applyFill="0" applyAlignment="0" applyProtection="0"/>
    <xf numFmtId="0" fontId="6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7" fillId="31" borderId="0" applyNumberFormat="0" applyBorder="0" applyAlignment="0" applyProtection="0"/>
    <xf numFmtId="0" fontId="6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67" fillId="51" borderId="0" applyNumberFormat="0" applyBorder="0" applyAlignment="0" applyProtection="0"/>
    <xf numFmtId="0" fontId="1" fillId="0" borderId="0"/>
    <xf numFmtId="0" fontId="1" fillId="27" borderId="89" applyNumberFormat="0" applyFont="0" applyAlignment="0" applyProtection="0"/>
  </cellStyleXfs>
  <cellXfs count="1216">
    <xf numFmtId="0" fontId="0" fillId="0" borderId="0" xfId="0"/>
    <xf numFmtId="0" fontId="2" fillId="0" borderId="0" xfId="0" applyFont="1"/>
    <xf numFmtId="0" fontId="12" fillId="0" borderId="0" xfId="0" applyFont="1"/>
    <xf numFmtId="0" fontId="6" fillId="0" borderId="0" xfId="0" applyFont="1"/>
    <xf numFmtId="0" fontId="6" fillId="0" borderId="0" xfId="0" applyFont="1" applyAlignment="1">
      <alignment wrapText="1"/>
    </xf>
    <xf numFmtId="0" fontId="0" fillId="0" borderId="0" xfId="0" applyNumberFormat="1" applyAlignment="1" applyProtection="1">
      <alignment horizontal="center"/>
    </xf>
    <xf numFmtId="0" fontId="13" fillId="0" borderId="0" xfId="0" applyFont="1" applyFill="1" applyProtection="1"/>
    <xf numFmtId="0" fontId="14" fillId="0" borderId="0" xfId="0" applyFont="1" applyFill="1" applyProtection="1"/>
    <xf numFmtId="168" fontId="15" fillId="0" borderId="0" xfId="3" applyNumberFormat="1" applyFont="1" applyFill="1" applyAlignment="1" applyProtection="1">
      <alignment horizontal="centerContinuous"/>
    </xf>
    <xf numFmtId="168" fontId="15" fillId="0" borderId="0" xfId="3" quotePrefix="1" applyNumberFormat="1" applyFont="1" applyFill="1" applyAlignment="1" applyProtection="1">
      <alignment horizontal="centerContinuous"/>
    </xf>
    <xf numFmtId="168" fontId="5" fillId="0" borderId="0" xfId="3" applyNumberFormat="1" applyFill="1" applyAlignment="1" applyProtection="1">
      <alignment horizontal="centerContinuous"/>
    </xf>
    <xf numFmtId="0" fontId="5" fillId="0" borderId="0" xfId="3" applyFill="1" applyAlignment="1" applyProtection="1">
      <alignment horizontal="centerContinuous"/>
    </xf>
    <xf numFmtId="0" fontId="5" fillId="0" borderId="0" xfId="3" applyFont="1" applyFill="1" applyAlignment="1" applyProtection="1">
      <alignment horizontal="centerContinuous"/>
    </xf>
    <xf numFmtId="0" fontId="5" fillId="0" borderId="0" xfId="3" applyAlignment="1" applyProtection="1">
      <alignment horizontal="centerContinuous"/>
    </xf>
    <xf numFmtId="0" fontId="17" fillId="0" borderId="0" xfId="3" applyFont="1" applyFill="1" applyProtection="1"/>
    <xf numFmtId="0" fontId="5" fillId="0" borderId="0" xfId="3" applyFill="1" applyProtection="1"/>
    <xf numFmtId="14" fontId="17" fillId="0" borderId="0" xfId="3" applyNumberFormat="1" applyFont="1" applyAlignment="1" applyProtection="1">
      <alignment horizontal="center"/>
    </xf>
    <xf numFmtId="0" fontId="5" fillId="0" borderId="0" xfId="0" applyFont="1" applyFill="1" applyProtection="1"/>
    <xf numFmtId="0" fontId="5" fillId="0" borderId="2" xfId="3" applyFill="1" applyBorder="1" applyProtection="1"/>
    <xf numFmtId="0" fontId="5" fillId="0" borderId="3" xfId="3" applyFill="1" applyBorder="1" applyProtection="1"/>
    <xf numFmtId="2" fontId="0" fillId="0" borderId="0" xfId="0" applyNumberFormat="1" applyFill="1" applyProtection="1"/>
    <xf numFmtId="2" fontId="5" fillId="0" borderId="4" xfId="3" applyNumberFormat="1" applyFont="1" applyFill="1" applyBorder="1" applyProtection="1"/>
    <xf numFmtId="2" fontId="5" fillId="0" borderId="5" xfId="3" quotePrefix="1" applyNumberFormat="1" applyFont="1" applyFill="1" applyBorder="1" applyAlignment="1" applyProtection="1">
      <alignment horizontal="right"/>
    </xf>
    <xf numFmtId="2" fontId="5" fillId="0" borderId="5" xfId="3" quotePrefix="1" applyNumberFormat="1" applyFill="1" applyBorder="1" applyAlignment="1" applyProtection="1">
      <alignment horizontal="right"/>
    </xf>
    <xf numFmtId="2" fontId="5" fillId="0" borderId="6" xfId="3" applyNumberFormat="1" applyFont="1" applyFill="1" applyBorder="1" applyAlignment="1" applyProtection="1"/>
    <xf numFmtId="16" fontId="0" fillId="0" borderId="0" xfId="0" applyNumberFormat="1"/>
    <xf numFmtId="0" fontId="15" fillId="0" borderId="0" xfId="3" applyFont="1" applyFill="1" applyAlignment="1" applyProtection="1">
      <alignment horizontal="right"/>
    </xf>
    <xf numFmtId="0" fontId="5" fillId="0" borderId="7" xfId="3" applyFill="1" applyBorder="1" applyProtection="1"/>
    <xf numFmtId="0" fontId="5" fillId="0" borderId="8" xfId="3" applyFill="1" applyBorder="1" applyProtection="1"/>
    <xf numFmtId="169" fontId="0" fillId="0" borderId="0" xfId="0" applyNumberFormat="1"/>
    <xf numFmtId="2" fontId="0" fillId="0" borderId="0" xfId="0" applyNumberFormat="1"/>
    <xf numFmtId="14" fontId="6" fillId="0" borderId="0" xfId="0" applyNumberFormat="1" applyFont="1" applyAlignment="1">
      <alignment wrapText="1"/>
    </xf>
    <xf numFmtId="0" fontId="0" fillId="0" borderId="0" xfId="0" applyAlignment="1">
      <alignment wrapText="1"/>
    </xf>
    <xf numFmtId="0" fontId="8" fillId="0" borderId="0" xfId="0" applyFont="1" applyAlignment="1">
      <alignment wrapText="1"/>
    </xf>
    <xf numFmtId="2" fontId="5" fillId="0" borderId="9" xfId="3" applyNumberFormat="1" applyFont="1" applyFill="1" applyBorder="1" applyAlignment="1" applyProtection="1"/>
    <xf numFmtId="0" fontId="5" fillId="0" borderId="10" xfId="3" applyFont="1" applyFill="1" applyBorder="1" applyAlignment="1" applyProtection="1">
      <alignment horizontal="center"/>
    </xf>
    <xf numFmtId="16" fontId="5" fillId="0" borderId="11" xfId="3" applyNumberFormat="1" applyFill="1" applyBorder="1" applyAlignment="1" applyProtection="1">
      <alignment horizontal="center"/>
    </xf>
    <xf numFmtId="2" fontId="10" fillId="0" borderId="12" xfId="0" applyNumberFormat="1" applyFont="1" applyBorder="1" applyAlignment="1">
      <alignment horizontal="center"/>
    </xf>
    <xf numFmtId="2" fontId="10" fillId="0" borderId="13" xfId="0" applyNumberFormat="1" applyFont="1" applyBorder="1" applyAlignment="1">
      <alignment horizontal="center"/>
    </xf>
    <xf numFmtId="2" fontId="10" fillId="0" borderId="14" xfId="0" applyNumberFormat="1" applyFont="1" applyBorder="1" applyAlignment="1">
      <alignment horizontal="center"/>
    </xf>
    <xf numFmtId="2" fontId="10" fillId="0" borderId="15" xfId="0" applyNumberFormat="1" applyFont="1" applyBorder="1" applyAlignment="1">
      <alignment horizontal="center"/>
    </xf>
    <xf numFmtId="2" fontId="10" fillId="0" borderId="16" xfId="0" applyNumberFormat="1" applyFont="1" applyBorder="1" applyAlignment="1">
      <alignment horizontal="center"/>
    </xf>
    <xf numFmtId="2" fontId="5" fillId="0" borderId="17" xfId="3" quotePrefix="1" applyNumberFormat="1" applyFont="1" applyFill="1" applyBorder="1" applyAlignment="1" applyProtection="1">
      <alignment horizontal="right"/>
    </xf>
    <xf numFmtId="2" fontId="10" fillId="0" borderId="18" xfId="0" applyNumberFormat="1" applyFont="1" applyBorder="1" applyAlignment="1">
      <alignment horizontal="center"/>
    </xf>
    <xf numFmtId="2" fontId="10" fillId="0" borderId="19" xfId="0" applyNumberFormat="1" applyFont="1" applyBorder="1" applyAlignment="1">
      <alignment horizontal="center"/>
    </xf>
    <xf numFmtId="2" fontId="10" fillId="0" borderId="20" xfId="0" applyNumberFormat="1" applyFont="1" applyBorder="1" applyAlignment="1">
      <alignment horizontal="center"/>
    </xf>
    <xf numFmtId="2" fontId="5"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0" fillId="0" borderId="0" xfId="0" applyNumberFormat="1" applyFont="1" applyFill="1"/>
    <xf numFmtId="0" fontId="10" fillId="0" borderId="0" xfId="0" applyNumberFormat="1" applyFont="1" applyFill="1" applyBorder="1"/>
    <xf numFmtId="0" fontId="10" fillId="0" borderId="1" xfId="0" applyNumberFormat="1" applyFont="1" applyFill="1" applyBorder="1"/>
    <xf numFmtId="0" fontId="10" fillId="0" borderId="0" xfId="0" applyNumberFormat="1" applyFont="1" applyFill="1" applyBorder="1" applyAlignment="1">
      <alignment horizontal="center"/>
    </xf>
    <xf numFmtId="0" fontId="10" fillId="0" borderId="22" xfId="0" applyNumberFormat="1" applyFont="1" applyFill="1" applyBorder="1" applyAlignment="1">
      <alignment horizontal="center"/>
    </xf>
    <xf numFmtId="2" fontId="10" fillId="0" borderId="0" xfId="0" applyNumberFormat="1" applyFont="1" applyFill="1" applyBorder="1" applyAlignment="1">
      <alignment horizontal="center"/>
    </xf>
    <xf numFmtId="2" fontId="10" fillId="0" borderId="23" xfId="0" applyNumberFormat="1" applyFont="1" applyFill="1" applyBorder="1" applyAlignment="1">
      <alignment horizontal="center"/>
    </xf>
    <xf numFmtId="0" fontId="10" fillId="0" borderId="24" xfId="0" applyNumberFormat="1" applyFont="1" applyFill="1" applyBorder="1" applyAlignment="1">
      <alignment horizontal="center"/>
    </xf>
    <xf numFmtId="2" fontId="24" fillId="0" borderId="0" xfId="0" applyNumberFormat="1" applyFont="1" applyFill="1" applyBorder="1" applyAlignment="1">
      <alignment horizontal="center"/>
    </xf>
    <xf numFmtId="2" fontId="10"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6" fillId="0" borderId="21" xfId="0" quotePrefix="1"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center"/>
      <protection locked="0"/>
    </xf>
    <xf numFmtId="0" fontId="26" fillId="0" borderId="5" xfId="0" quotePrefix="1" applyNumberFormat="1" applyFont="1" applyFill="1" applyBorder="1" applyAlignment="1" applyProtection="1">
      <alignment horizontal="center"/>
      <protection locked="0"/>
    </xf>
    <xf numFmtId="0" fontId="26" fillId="0" borderId="26" xfId="0" applyNumberFormat="1" applyFont="1" applyFill="1" applyBorder="1" applyAlignment="1" applyProtection="1">
      <alignment horizontal="left"/>
      <protection locked="0"/>
    </xf>
    <xf numFmtId="0" fontId="26" fillId="0" borderId="25" xfId="0" quotePrefix="1" applyNumberFormat="1" applyFont="1" applyFill="1" applyBorder="1" applyAlignment="1" applyProtection="1">
      <alignment horizontal="right"/>
      <protection locked="0"/>
    </xf>
    <xf numFmtId="1" fontId="26" fillId="0" borderId="25" xfId="0" applyNumberFormat="1" applyFont="1" applyFill="1" applyBorder="1" applyAlignment="1" applyProtection="1">
      <alignment horizontal="center"/>
      <protection locked="0"/>
    </xf>
    <xf numFmtId="1" fontId="26" fillId="0" borderId="28" xfId="0" applyNumberFormat="1" applyFont="1" applyFill="1" applyBorder="1" applyAlignment="1" applyProtection="1">
      <alignment horizontal="right"/>
      <protection locked="0"/>
    </xf>
    <xf numFmtId="1" fontId="26" fillId="0" borderId="29" xfId="0" quotePrefix="1" applyNumberFormat="1" applyFont="1" applyFill="1" applyBorder="1" applyAlignment="1" applyProtection="1">
      <alignment horizontal="center"/>
      <protection locked="0"/>
    </xf>
    <xf numFmtId="1" fontId="26" fillId="0" borderId="27" xfId="0" applyNumberFormat="1" applyFont="1" applyFill="1" applyBorder="1" applyAlignment="1" applyProtection="1">
      <alignment horizontal="left"/>
      <protection locked="0"/>
    </xf>
    <xf numFmtId="0" fontId="6" fillId="0" borderId="0" xfId="0" applyFont="1" applyAlignment="1">
      <alignment horizontal="center" wrapText="1"/>
    </xf>
    <xf numFmtId="0" fontId="8" fillId="0" borderId="0" xfId="0" applyFont="1" applyBorder="1" applyAlignment="1">
      <alignment horizontal="center"/>
    </xf>
    <xf numFmtId="14" fontId="8" fillId="0" borderId="0" xfId="0" applyNumberFormat="1" applyFont="1" applyBorder="1" applyAlignment="1">
      <alignment horizontal="center"/>
    </xf>
    <xf numFmtId="14" fontId="27" fillId="0" borderId="0" xfId="0" applyNumberFormat="1" applyFont="1" applyBorder="1" applyAlignment="1">
      <alignment horizontal="center"/>
    </xf>
    <xf numFmtId="165" fontId="8" fillId="0" borderId="0" xfId="0" applyNumberFormat="1" applyFont="1" applyBorder="1" applyAlignment="1">
      <alignment horizontal="center"/>
    </xf>
    <xf numFmtId="166" fontId="8" fillId="0" borderId="0" xfId="0" applyNumberFormat="1" applyFont="1" applyBorder="1" applyAlignment="1">
      <alignment horizontal="center"/>
    </xf>
    <xf numFmtId="2" fontId="8" fillId="0" borderId="0" xfId="0" applyNumberFormat="1" applyFont="1" applyBorder="1" applyAlignment="1">
      <alignment horizontal="center"/>
    </xf>
    <xf numFmtId="0" fontId="8" fillId="0" borderId="0" xfId="0" quotePrefix="1" applyFont="1" applyBorder="1" applyAlignment="1">
      <alignment horizontal="center"/>
    </xf>
    <xf numFmtId="0" fontId="23" fillId="4" borderId="30" xfId="0" applyNumberFormat="1" applyFont="1" applyFill="1" applyBorder="1" applyAlignment="1">
      <alignment horizontal="center"/>
    </xf>
    <xf numFmtId="168" fontId="10" fillId="0" borderId="0" xfId="0" applyNumberFormat="1" applyFont="1" applyFill="1"/>
    <xf numFmtId="0" fontId="8" fillId="0" borderId="10" xfId="0" applyFont="1" applyBorder="1" applyAlignment="1">
      <alignment horizontal="center" wrapText="1"/>
    </xf>
    <xf numFmtId="170" fontId="0" fillId="0" borderId="0" xfId="0" applyNumberFormat="1"/>
    <xf numFmtId="2" fontId="5" fillId="0" borderId="31" xfId="3" applyNumberFormat="1" applyFont="1" applyFill="1" applyBorder="1" applyAlignment="1" applyProtection="1"/>
    <xf numFmtId="2" fontId="5" fillId="0" borderId="32" xfId="3" applyNumberFormat="1" applyFont="1" applyFill="1" applyBorder="1" applyAlignment="1" applyProtection="1"/>
    <xf numFmtId="2" fontId="5" fillId="0" borderId="17" xfId="3" quotePrefix="1" applyNumberFormat="1" applyFill="1" applyBorder="1" applyAlignment="1" applyProtection="1">
      <alignment horizontal="right"/>
    </xf>
    <xf numFmtId="164" fontId="14"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8" fillId="0" borderId="0" xfId="0" applyFont="1"/>
    <xf numFmtId="0" fontId="26" fillId="0" borderId="0" xfId="0" applyNumberFormat="1" applyFont="1" applyFill="1" applyBorder="1" applyAlignment="1" applyProtection="1">
      <alignment horizontal="right"/>
      <protection locked="0"/>
    </xf>
    <xf numFmtId="0" fontId="26" fillId="0" borderId="29" xfId="0" applyNumberFormat="1" applyFont="1" applyFill="1" applyBorder="1" applyAlignment="1" applyProtection="1">
      <alignment horizontal="right"/>
      <protection locked="0"/>
    </xf>
    <xf numFmtId="0" fontId="26" fillId="0" borderId="33" xfId="0"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right"/>
      <protection locked="0"/>
    </xf>
    <xf numFmtId="0" fontId="30" fillId="0" borderId="0" xfId="0" applyFont="1" applyFill="1" applyProtection="1"/>
    <xf numFmtId="2" fontId="8" fillId="0" borderId="0" xfId="0" applyNumberFormat="1" applyFont="1" applyFill="1" applyProtection="1"/>
    <xf numFmtId="2" fontId="5" fillId="0" borderId="34" xfId="3" quotePrefix="1" applyNumberFormat="1" applyFont="1" applyFill="1" applyBorder="1" applyAlignment="1" applyProtection="1">
      <alignment horizontal="right"/>
    </xf>
    <xf numFmtId="168" fontId="31" fillId="0" borderId="0" xfId="3" applyNumberFormat="1" applyFont="1" applyFill="1" applyAlignment="1" applyProtection="1">
      <alignment horizontal="centerContinuous"/>
    </xf>
    <xf numFmtId="0" fontId="31" fillId="0" borderId="0" xfId="3" applyFont="1" applyFill="1" applyAlignment="1" applyProtection="1">
      <alignment horizontal="right"/>
    </xf>
    <xf numFmtId="168" fontId="31" fillId="0" borderId="0" xfId="3" applyNumberFormat="1" applyFont="1" applyFill="1" applyAlignment="1" applyProtection="1">
      <alignment horizontal="left"/>
    </xf>
    <xf numFmtId="168" fontId="31" fillId="0" borderId="0" xfId="3" quotePrefix="1" applyNumberFormat="1" applyFont="1" applyFill="1" applyAlignment="1" applyProtection="1">
      <alignment horizontal="centerContinuous"/>
    </xf>
    <xf numFmtId="0" fontId="10" fillId="0" borderId="0" xfId="0" applyNumberFormat="1" applyFont="1" applyAlignment="1" applyProtection="1">
      <alignment horizontal="center"/>
    </xf>
    <xf numFmtId="0" fontId="31" fillId="0" borderId="2" xfId="3" applyFont="1" applyFill="1" applyBorder="1" applyProtection="1"/>
    <xf numFmtId="0" fontId="31" fillId="0" borderId="7" xfId="3" applyFont="1" applyFill="1" applyBorder="1" applyProtection="1"/>
    <xf numFmtId="0" fontId="31" fillId="0" borderId="10" xfId="3" applyFont="1" applyFill="1" applyBorder="1" applyAlignment="1" applyProtection="1">
      <alignment horizontal="center"/>
    </xf>
    <xf numFmtId="0" fontId="31" fillId="0" borderId="7" xfId="3" applyFont="1" applyFill="1" applyBorder="1" applyAlignment="1" applyProtection="1">
      <alignment horizontal="center"/>
    </xf>
    <xf numFmtId="0" fontId="31" fillId="0" borderId="3" xfId="3" applyFont="1" applyFill="1" applyBorder="1" applyProtection="1"/>
    <xf numFmtId="0" fontId="31" fillId="0" borderId="8" xfId="3" applyFont="1" applyFill="1" applyBorder="1" applyProtection="1"/>
    <xf numFmtId="16" fontId="31" fillId="0" borderId="11" xfId="3" applyNumberFormat="1" applyFont="1" applyFill="1" applyBorder="1" applyAlignment="1" applyProtection="1">
      <alignment horizontal="center"/>
    </xf>
    <xf numFmtId="16" fontId="31" fillId="0" borderId="8" xfId="3" applyNumberFormat="1" applyFont="1" applyFill="1" applyBorder="1" applyAlignment="1" applyProtection="1">
      <alignment horizontal="center"/>
    </xf>
    <xf numFmtId="2" fontId="31" fillId="0" borderId="2" xfId="3" applyNumberFormat="1" applyFont="1" applyFill="1" applyBorder="1" applyProtection="1"/>
    <xf numFmtId="2" fontId="31" fillId="0" borderId="17" xfId="3" quotePrefix="1" applyNumberFormat="1" applyFont="1" applyFill="1" applyBorder="1" applyAlignment="1" applyProtection="1">
      <alignment horizontal="right"/>
    </xf>
    <xf numFmtId="2" fontId="31" fillId="0" borderId="9" xfId="3" applyNumberFormat="1" applyFont="1" applyFill="1" applyBorder="1" applyProtection="1"/>
    <xf numFmtId="2" fontId="31" fillId="0" borderId="35" xfId="3" quotePrefix="1" applyNumberFormat="1" applyFont="1" applyFill="1" applyBorder="1" applyAlignment="1" applyProtection="1">
      <alignment horizontal="right"/>
    </xf>
    <xf numFmtId="2" fontId="31" fillId="0" borderId="34" xfId="3" quotePrefix="1" applyNumberFormat="1" applyFont="1" applyFill="1" applyBorder="1" applyAlignment="1" applyProtection="1">
      <alignment horizontal="right"/>
    </xf>
    <xf numFmtId="2" fontId="31" fillId="0" borderId="5" xfId="3" quotePrefix="1" applyNumberFormat="1" applyFont="1" applyFill="1" applyBorder="1" applyAlignment="1" applyProtection="1">
      <alignment horizontal="right"/>
    </xf>
    <xf numFmtId="2" fontId="10" fillId="0" borderId="4" xfId="0" applyNumberFormat="1" applyFont="1" applyBorder="1" applyAlignment="1">
      <alignment horizontal="center"/>
    </xf>
    <xf numFmtId="2" fontId="31" fillId="0" borderId="4" xfId="3" applyNumberFormat="1" applyFont="1" applyFill="1" applyBorder="1" applyProtection="1"/>
    <xf numFmtId="2" fontId="31" fillId="0" borderId="36" xfId="3" quotePrefix="1" applyNumberFormat="1" applyFont="1" applyFill="1" applyBorder="1" applyAlignment="1" applyProtection="1">
      <alignment horizontal="right"/>
    </xf>
    <xf numFmtId="2" fontId="31" fillId="0" borderId="32" xfId="3" applyNumberFormat="1" applyFont="1" applyFill="1" applyBorder="1" applyProtection="1"/>
    <xf numFmtId="2" fontId="31" fillId="0" borderId="6" xfId="3" applyNumberFormat="1" applyFont="1" applyFill="1" applyBorder="1" applyAlignment="1" applyProtection="1">
      <alignment horizontal="left"/>
    </xf>
    <xf numFmtId="2" fontId="31" fillId="0" borderId="0" xfId="3" quotePrefix="1" applyNumberFormat="1" applyFont="1" applyFill="1" applyBorder="1" applyAlignment="1" applyProtection="1">
      <alignment horizontal="right"/>
    </xf>
    <xf numFmtId="2" fontId="31" fillId="0" borderId="37" xfId="3" applyNumberFormat="1" applyFont="1" applyFill="1" applyBorder="1" applyProtection="1"/>
    <xf numFmtId="2" fontId="31" fillId="0" borderId="29" xfId="3" quotePrefix="1" applyNumberFormat="1" applyFont="1" applyFill="1" applyBorder="1" applyAlignment="1" applyProtection="1">
      <alignment horizontal="right"/>
    </xf>
    <xf numFmtId="2" fontId="31" fillId="0" borderId="37" xfId="3" applyNumberFormat="1" applyFont="1" applyFill="1" applyBorder="1" applyAlignment="1" applyProtection="1"/>
    <xf numFmtId="2" fontId="31" fillId="0" borderId="3" xfId="3" applyNumberFormat="1" applyFont="1" applyFill="1" applyBorder="1" applyAlignment="1" applyProtection="1"/>
    <xf numFmtId="2" fontId="31" fillId="0" borderId="1" xfId="3" quotePrefix="1" applyNumberFormat="1" applyFont="1" applyFill="1" applyBorder="1" applyAlignment="1" applyProtection="1">
      <alignment horizontal="right"/>
    </xf>
    <xf numFmtId="1" fontId="31" fillId="0" borderId="38" xfId="3" quotePrefix="1" applyNumberFormat="1" applyFont="1" applyFill="1" applyBorder="1" applyAlignment="1" applyProtection="1">
      <alignment horizontal="right"/>
    </xf>
    <xf numFmtId="1" fontId="31" fillId="0" borderId="34" xfId="3" quotePrefix="1" applyNumberFormat="1" applyFont="1" applyFill="1" applyBorder="1" applyAlignment="1" applyProtection="1">
      <alignment horizontal="right"/>
    </xf>
    <xf numFmtId="1" fontId="31" fillId="0" borderId="35" xfId="3" quotePrefix="1" applyNumberFormat="1" applyFont="1" applyFill="1" applyBorder="1" applyAlignment="1" applyProtection="1">
      <alignment horizontal="right"/>
    </xf>
    <xf numFmtId="1" fontId="31" fillId="0" borderId="37" xfId="3" applyNumberFormat="1" applyFont="1" applyFill="1" applyBorder="1" applyProtection="1"/>
    <xf numFmtId="1" fontId="31" fillId="0" borderId="39" xfId="3" applyNumberFormat="1" applyFont="1" applyFill="1" applyBorder="1" applyAlignment="1" applyProtection="1">
      <alignment horizontal="right"/>
    </xf>
    <xf numFmtId="1" fontId="31" fillId="0" borderId="40" xfId="3" quotePrefix="1" applyNumberFormat="1" applyFont="1" applyFill="1" applyBorder="1" applyAlignment="1" applyProtection="1">
      <alignment horizontal="right"/>
    </xf>
    <xf numFmtId="2" fontId="31" fillId="0" borderId="37" xfId="0" applyNumberFormat="1" applyFont="1" applyFill="1" applyBorder="1" applyProtection="1"/>
    <xf numFmtId="2" fontId="31" fillId="0" borderId="4" xfId="3" applyNumberFormat="1" applyFont="1" applyFill="1" applyBorder="1" applyAlignment="1" applyProtection="1"/>
    <xf numFmtId="2" fontId="31" fillId="0" borderId="32" xfId="3" applyNumberFormat="1" applyFont="1" applyFill="1" applyBorder="1" applyAlignment="1" applyProtection="1"/>
    <xf numFmtId="2" fontId="31" fillId="0" borderId="40" xfId="3" quotePrefix="1" applyNumberFormat="1" applyFont="1" applyFill="1" applyBorder="1" applyAlignment="1" applyProtection="1">
      <alignment horizontal="right"/>
    </xf>
    <xf numFmtId="2" fontId="31" fillId="0" borderId="8" xfId="3" quotePrefix="1" applyNumberFormat="1" applyFont="1" applyFill="1" applyBorder="1" applyAlignment="1" applyProtection="1">
      <alignment horizontal="right"/>
    </xf>
    <xf numFmtId="2" fontId="31" fillId="0" borderId="42" xfId="3" applyNumberFormat="1" applyFont="1" applyFill="1" applyBorder="1" applyProtection="1"/>
    <xf numFmtId="2" fontId="31" fillId="0" borderId="7" xfId="3" quotePrefix="1" applyNumberFormat="1" applyFont="1" applyFill="1" applyBorder="1" applyAlignment="1" applyProtection="1">
      <alignment horizontal="right"/>
    </xf>
    <xf numFmtId="2" fontId="10" fillId="0" borderId="42" xfId="0" applyNumberFormat="1" applyFont="1" applyFill="1" applyBorder="1" applyProtection="1"/>
    <xf numFmtId="10" fontId="10" fillId="0" borderId="43"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4"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0" fillId="0" borderId="12" xfId="0" applyNumberFormat="1" applyFont="1" applyFill="1" applyBorder="1" applyAlignment="1">
      <alignment horizontal="center"/>
    </xf>
    <xf numFmtId="2" fontId="10" fillId="0" borderId="14" xfId="0" applyNumberFormat="1" applyFont="1" applyFill="1" applyBorder="1" applyAlignment="1">
      <alignment horizontal="center"/>
    </xf>
    <xf numFmtId="0" fontId="0" fillId="0" borderId="0" xfId="0" applyAlignment="1"/>
    <xf numFmtId="2" fontId="6" fillId="0" borderId="24" xfId="0" applyNumberFormat="1" applyFont="1" applyBorder="1" applyAlignment="1"/>
    <xf numFmtId="2" fontId="10" fillId="0" borderId="47" xfId="0" applyNumberFormat="1" applyFont="1" applyBorder="1" applyAlignment="1">
      <alignment horizontal="center"/>
    </xf>
    <xf numFmtId="2" fontId="10" fillId="0" borderId="49" xfId="0" applyNumberFormat="1" applyFont="1" applyBorder="1" applyAlignment="1">
      <alignment horizontal="center"/>
    </xf>
    <xf numFmtId="2" fontId="10" fillId="0" borderId="32" xfId="0" applyNumberFormat="1" applyFont="1" applyBorder="1" applyAlignment="1">
      <alignment horizontal="center"/>
    </xf>
    <xf numFmtId="2" fontId="10" fillId="0" borderId="4" xfId="0" applyNumberFormat="1" applyFont="1" applyFill="1" applyBorder="1" applyAlignment="1">
      <alignment horizontal="center"/>
    </xf>
    <xf numFmtId="2" fontId="10" fillId="0" borderId="47" xfId="0" applyNumberFormat="1" applyFont="1" applyFill="1" applyBorder="1" applyAlignment="1">
      <alignment horizontal="center"/>
    </xf>
    <xf numFmtId="168" fontId="5" fillId="0" borderId="0" xfId="3" applyNumberFormat="1" applyFont="1" applyFill="1" applyAlignment="1" applyProtection="1">
      <alignment horizontal="left"/>
    </xf>
    <xf numFmtId="168" fontId="5" fillId="0" borderId="0" xfId="3" quotePrefix="1" applyNumberFormat="1" applyFont="1" applyFill="1" applyAlignment="1" applyProtection="1">
      <alignment horizontal="centerContinuous"/>
    </xf>
    <xf numFmtId="0" fontId="31" fillId="0" borderId="0" xfId="3" applyFont="1" applyFill="1" applyAlignment="1" applyProtection="1">
      <alignment horizontal="centerContinuous"/>
    </xf>
    <xf numFmtId="0" fontId="32" fillId="0" borderId="0" xfId="0" applyFont="1" applyFill="1" applyProtection="1"/>
    <xf numFmtId="0" fontId="5" fillId="0" borderId="0" xfId="3" applyFont="1" applyAlignment="1" applyProtection="1">
      <alignment horizontal="centerContinuous"/>
    </xf>
    <xf numFmtId="0" fontId="17" fillId="0" borderId="0" xfId="0" applyFont="1" applyFill="1" applyProtection="1"/>
    <xf numFmtId="0" fontId="31" fillId="0" borderId="0" xfId="3" applyFont="1" applyFill="1" applyProtection="1"/>
    <xf numFmtId="14" fontId="32" fillId="0" borderId="0" xfId="3" applyNumberFormat="1" applyFont="1" applyAlignment="1" applyProtection="1">
      <alignment horizontal="center"/>
    </xf>
    <xf numFmtId="0" fontId="5" fillId="0" borderId="2" xfId="3" applyFont="1" applyFill="1" applyBorder="1" applyProtection="1"/>
    <xf numFmtId="0" fontId="5" fillId="0" borderId="7" xfId="3" applyFont="1" applyFill="1" applyBorder="1" applyProtection="1"/>
    <xf numFmtId="0" fontId="5" fillId="0" borderId="3" xfId="3" applyFont="1" applyFill="1" applyBorder="1" applyProtection="1"/>
    <xf numFmtId="0" fontId="5" fillId="0" borderId="8" xfId="3" applyFont="1" applyFill="1" applyBorder="1" applyProtection="1"/>
    <xf numFmtId="16" fontId="5" fillId="0" borderId="11" xfId="3" applyNumberFormat="1" applyFont="1" applyFill="1" applyBorder="1" applyAlignment="1" applyProtection="1">
      <alignment horizontal="center"/>
    </xf>
    <xf numFmtId="2" fontId="31" fillId="0" borderId="31" xfId="3" applyNumberFormat="1" applyFont="1" applyFill="1" applyBorder="1" applyProtection="1"/>
    <xf numFmtId="2" fontId="31" fillId="0" borderId="38" xfId="3" quotePrefix="1" applyNumberFormat="1" applyFont="1" applyFill="1" applyBorder="1" applyAlignment="1" applyProtection="1">
      <alignment horizontal="right"/>
    </xf>
    <xf numFmtId="2" fontId="34" fillId="0" borderId="18" xfId="0" applyNumberFormat="1" applyFont="1" applyBorder="1" applyAlignment="1">
      <alignment horizontal="center"/>
    </xf>
    <xf numFmtId="2" fontId="34" fillId="0" borderId="13" xfId="0" applyNumberFormat="1" applyFont="1" applyBorder="1" applyAlignment="1">
      <alignment horizontal="center"/>
    </xf>
    <xf numFmtId="2" fontId="34" fillId="0" borderId="50" xfId="0" applyNumberFormat="1" applyFont="1" applyBorder="1" applyAlignment="1">
      <alignment horizontal="center"/>
    </xf>
    <xf numFmtId="2" fontId="34" fillId="0" borderId="12" xfId="0" applyNumberFormat="1" applyFont="1" applyBorder="1" applyAlignment="1">
      <alignment horizontal="center"/>
    </xf>
    <xf numFmtId="2" fontId="34" fillId="0" borderId="14" xfId="0" applyNumberFormat="1" applyFont="1" applyBorder="1" applyAlignment="1">
      <alignment horizontal="center"/>
    </xf>
    <xf numFmtId="2" fontId="5" fillId="0" borderId="32" xfId="3" applyNumberFormat="1" applyFont="1" applyFill="1" applyBorder="1" applyProtection="1"/>
    <xf numFmtId="2" fontId="5" fillId="0" borderId="40" xfId="3" quotePrefix="1" applyNumberFormat="1" applyFont="1" applyFill="1" applyBorder="1" applyAlignment="1" applyProtection="1">
      <alignment horizontal="right"/>
    </xf>
    <xf numFmtId="2" fontId="5" fillId="0" borderId="9" xfId="3" applyNumberFormat="1" applyFont="1" applyFill="1" applyBorder="1" applyProtection="1"/>
    <xf numFmtId="2" fontId="5" fillId="0" borderId="35" xfId="3" quotePrefix="1" applyNumberFormat="1" applyFont="1" applyFill="1" applyBorder="1" applyAlignment="1" applyProtection="1">
      <alignment horizontal="right"/>
    </xf>
    <xf numFmtId="2" fontId="5" fillId="0" borderId="37" xfId="3" applyNumberFormat="1" applyFont="1" applyFill="1" applyBorder="1" applyProtection="1"/>
    <xf numFmtId="2" fontId="5" fillId="0" borderId="51" xfId="3" quotePrefix="1" applyNumberFormat="1" applyFont="1" applyFill="1" applyBorder="1" applyAlignment="1" applyProtection="1">
      <alignment horizontal="right"/>
    </xf>
    <xf numFmtId="2" fontId="31" fillId="0" borderId="35" xfId="3" quotePrefix="1" applyNumberFormat="1" applyFont="1" applyFill="1" applyBorder="1" applyAlignment="1" applyProtection="1">
      <alignment horizontal="center"/>
    </xf>
    <xf numFmtId="2" fontId="5" fillId="0" borderId="35" xfId="3" quotePrefix="1" applyNumberFormat="1" applyFont="1" applyFill="1" applyBorder="1" applyProtection="1"/>
    <xf numFmtId="1" fontId="10" fillId="0" borderId="12" xfId="0" applyNumberFormat="1" applyFont="1" applyBorder="1" applyAlignment="1">
      <alignment horizontal="center"/>
    </xf>
    <xf numFmtId="1" fontId="10" fillId="0" borderId="14" xfId="0" applyNumberFormat="1" applyFont="1" applyBorder="1" applyAlignment="1">
      <alignment horizontal="center"/>
    </xf>
    <xf numFmtId="2" fontId="31" fillId="0" borderId="35" xfId="3" quotePrefix="1" applyNumberFormat="1" applyFont="1" applyFill="1" applyBorder="1" applyProtection="1"/>
    <xf numFmtId="2" fontId="5" fillId="0" borderId="35" xfId="3" quotePrefix="1" applyNumberFormat="1" applyFont="1" applyFill="1" applyBorder="1" applyAlignment="1" applyProtection="1">
      <alignment horizontal="center"/>
    </xf>
    <xf numFmtId="1" fontId="34" fillId="0" borderId="15" xfId="0" applyNumberFormat="1" applyFont="1" applyBorder="1" applyAlignment="1">
      <alignment horizontal="center"/>
    </xf>
    <xf numFmtId="1" fontId="34" fillId="0" borderId="16" xfId="0" applyNumberFormat="1" applyFont="1" applyBorder="1" applyAlignment="1">
      <alignment horizontal="center"/>
    </xf>
    <xf numFmtId="1" fontId="5" fillId="0" borderId="3" xfId="3" applyNumberFormat="1" applyFont="1" applyFill="1" applyBorder="1" applyProtection="1"/>
    <xf numFmtId="1" fontId="5" fillId="0" borderId="8" xfId="3" quotePrefix="1" applyNumberFormat="1" applyFont="1" applyFill="1" applyBorder="1" applyAlignment="1" applyProtection="1">
      <alignment horizontal="right"/>
    </xf>
    <xf numFmtId="1" fontId="5" fillId="0" borderId="32" xfId="3" applyNumberFormat="1" applyFont="1" applyFill="1" applyBorder="1" applyProtection="1"/>
    <xf numFmtId="2" fontId="5" fillId="0" borderId="8" xfId="3" quotePrefix="1" applyNumberFormat="1" applyFont="1" applyFill="1" applyBorder="1" applyAlignment="1" applyProtection="1">
      <alignment horizontal="right"/>
    </xf>
    <xf numFmtId="1" fontId="10" fillId="0" borderId="15" xfId="0" applyNumberFormat="1" applyFont="1" applyBorder="1" applyAlignment="1">
      <alignment horizontal="center"/>
    </xf>
    <xf numFmtId="1" fontId="10" fillId="0" borderId="16" xfId="0" applyNumberFormat="1" applyFont="1" applyBorder="1" applyAlignment="1">
      <alignment horizontal="center"/>
    </xf>
    <xf numFmtId="2" fontId="34" fillId="0" borderId="15" xfId="0" applyNumberFormat="1" applyFont="1" applyBorder="1" applyAlignment="1">
      <alignment horizontal="center"/>
    </xf>
    <xf numFmtId="2" fontId="34" fillId="0" borderId="16" xfId="0" applyNumberFormat="1" applyFont="1" applyBorder="1" applyAlignment="1">
      <alignment horizontal="center"/>
    </xf>
    <xf numFmtId="2" fontId="31" fillId="0" borderId="2" xfId="3" applyNumberFormat="1" applyFont="1" applyFill="1" applyBorder="1" applyAlignment="1" applyProtection="1"/>
    <xf numFmtId="2" fontId="5" fillId="0" borderId="52" xfId="3" quotePrefix="1" applyNumberFormat="1" applyFont="1" applyFill="1" applyBorder="1" applyAlignment="1" applyProtection="1">
      <alignment horizontal="right"/>
    </xf>
    <xf numFmtId="2" fontId="5" fillId="0" borderId="4" xfId="3" applyNumberFormat="1" applyFont="1" applyFill="1" applyBorder="1" applyAlignment="1" applyProtection="1"/>
    <xf numFmtId="2" fontId="5" fillId="0" borderId="3" xfId="3" applyNumberFormat="1" applyFont="1" applyFill="1" applyBorder="1" applyAlignment="1" applyProtection="1"/>
    <xf numFmtId="2" fontId="31" fillId="0" borderId="6" xfId="3" applyNumberFormat="1" applyFont="1" applyFill="1" applyBorder="1" applyProtection="1"/>
    <xf numFmtId="2" fontId="31" fillId="0" borderId="3" xfId="3" applyNumberFormat="1" applyFont="1" applyFill="1" applyBorder="1" applyProtection="1"/>
    <xf numFmtId="0" fontId="34" fillId="0" borderId="0" xfId="0" applyFont="1"/>
    <xf numFmtId="2" fontId="5" fillId="0" borderId="0" xfId="3" applyNumberFormat="1" applyFont="1" applyFill="1" applyBorder="1" applyProtection="1"/>
    <xf numFmtId="0" fontId="10" fillId="0" borderId="0" xfId="0" applyFont="1"/>
    <xf numFmtId="2" fontId="34" fillId="0" borderId="31" xfId="0" applyNumberFormat="1" applyFont="1" applyBorder="1" applyAlignment="1">
      <alignment horizontal="center"/>
    </xf>
    <xf numFmtId="2" fontId="34" fillId="0" borderId="4" xfId="0" applyNumberFormat="1" applyFont="1" applyBorder="1" applyAlignment="1">
      <alignment horizontal="center"/>
    </xf>
    <xf numFmtId="2" fontId="34" fillId="0" borderId="48" xfId="0" applyNumberFormat="1" applyFont="1" applyBorder="1" applyAlignment="1">
      <alignment horizontal="center"/>
    </xf>
    <xf numFmtId="2" fontId="34" fillId="0" borderId="47" xfId="0" applyNumberFormat="1" applyFont="1" applyBorder="1" applyAlignment="1">
      <alignment horizontal="center"/>
    </xf>
    <xf numFmtId="1" fontId="34" fillId="0" borderId="32" xfId="0" applyNumberFormat="1" applyFont="1" applyBorder="1" applyAlignment="1">
      <alignment horizontal="center"/>
    </xf>
    <xf numFmtId="1" fontId="34" fillId="0" borderId="49" xfId="0" applyNumberFormat="1" applyFont="1" applyBorder="1" applyAlignment="1">
      <alignment horizontal="center"/>
    </xf>
    <xf numFmtId="1" fontId="10" fillId="0" borderId="32" xfId="0" applyNumberFormat="1" applyFont="1" applyBorder="1" applyAlignment="1">
      <alignment horizontal="center"/>
    </xf>
    <xf numFmtId="1" fontId="10" fillId="0" borderId="49" xfId="0" applyNumberFormat="1" applyFont="1" applyBorder="1" applyAlignment="1">
      <alignment horizontal="center"/>
    </xf>
    <xf numFmtId="2" fontId="34" fillId="0" borderId="32" xfId="0" applyNumberFormat="1" applyFont="1" applyBorder="1" applyAlignment="1">
      <alignment horizontal="center"/>
    </xf>
    <xf numFmtId="2" fontId="34" fillId="0" borderId="49" xfId="0" applyNumberFormat="1" applyFont="1" applyBorder="1" applyAlignment="1">
      <alignment horizontal="center"/>
    </xf>
    <xf numFmtId="2" fontId="5" fillId="0" borderId="36" xfId="3" quotePrefix="1" applyNumberFormat="1" applyFont="1" applyFill="1" applyBorder="1" applyAlignment="1" applyProtection="1">
      <alignment horizontal="center"/>
    </xf>
    <xf numFmtId="2" fontId="5" fillId="0" borderId="40" xfId="3" quotePrefix="1" applyNumberFormat="1" applyFont="1" applyFill="1" applyBorder="1" applyAlignment="1" applyProtection="1">
      <alignment horizontal="center"/>
    </xf>
    <xf numFmtId="0" fontId="20" fillId="0" borderId="0" xfId="0" applyNumberFormat="1" applyFont="1" applyFill="1" applyBorder="1" applyAlignment="1">
      <alignment horizontal="center"/>
    </xf>
    <xf numFmtId="0" fontId="22"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10" fillId="0" borderId="0" xfId="0" applyNumberFormat="1" applyFont="1" applyFill="1" applyAlignment="1"/>
    <xf numFmtId="0" fontId="6" fillId="7" borderId="53" xfId="0" applyNumberFormat="1" applyFont="1" applyFill="1" applyBorder="1" applyAlignment="1">
      <alignment horizontal="center"/>
    </xf>
    <xf numFmtId="0" fontId="23" fillId="7" borderId="54" xfId="0" applyNumberFormat="1" applyFont="1" applyFill="1" applyBorder="1" applyAlignment="1">
      <alignment horizontal="center"/>
    </xf>
    <xf numFmtId="0" fontId="23" fillId="7" borderId="53" xfId="0" applyNumberFormat="1" applyFont="1" applyFill="1" applyBorder="1" applyAlignment="1">
      <alignment horizontal="center"/>
    </xf>
    <xf numFmtId="0" fontId="23" fillId="7" borderId="55" xfId="0" applyNumberFormat="1" applyFont="1" applyFill="1" applyBorder="1" applyAlignment="1">
      <alignment horizontal="center"/>
    </xf>
    <xf numFmtId="0" fontId="6" fillId="7" borderId="55" xfId="0" applyNumberFormat="1" applyFont="1" applyFill="1" applyBorder="1" applyAlignment="1">
      <alignment horizontal="center"/>
    </xf>
    <xf numFmtId="0" fontId="23" fillId="7" borderId="56" xfId="0" quotePrefix="1" applyNumberFormat="1" applyFont="1" applyFill="1" applyBorder="1" applyAlignment="1">
      <alignment horizontal="center"/>
    </xf>
    <xf numFmtId="0" fontId="23" fillId="7" borderId="25" xfId="0" applyNumberFormat="1" applyFont="1" applyFill="1" applyBorder="1" applyAlignment="1">
      <alignment horizontal="center"/>
    </xf>
    <xf numFmtId="0" fontId="23" fillId="7" borderId="57" xfId="0" applyNumberFormat="1" applyFont="1" applyFill="1" applyBorder="1" applyAlignment="1">
      <alignment horizontal="center"/>
    </xf>
    <xf numFmtId="2" fontId="10" fillId="0" borderId="58" xfId="0" applyNumberFormat="1" applyFont="1" applyFill="1" applyBorder="1" applyAlignment="1">
      <alignment horizontal="center"/>
    </xf>
    <xf numFmtId="2" fontId="10" fillId="0" borderId="59" xfId="0" applyNumberFormat="1" applyFont="1" applyFill="1" applyBorder="1" applyAlignment="1">
      <alignment horizontal="center"/>
    </xf>
    <xf numFmtId="2" fontId="10" fillId="0" borderId="24" xfId="0" applyNumberFormat="1" applyFont="1" applyFill="1" applyBorder="1" applyAlignment="1">
      <alignment horizontal="center"/>
    </xf>
    <xf numFmtId="2" fontId="10" fillId="9" borderId="24" xfId="0" applyNumberFormat="1" applyFont="1" applyFill="1" applyBorder="1" applyAlignment="1">
      <alignment horizontal="center"/>
    </xf>
    <xf numFmtId="2" fontId="10" fillId="9" borderId="58" xfId="0" applyNumberFormat="1" applyFont="1" applyFill="1" applyBorder="1" applyAlignment="1">
      <alignment horizontal="center"/>
    </xf>
    <xf numFmtId="0" fontId="18" fillId="0" borderId="60" xfId="0" applyNumberFormat="1" applyFont="1" applyFill="1" applyBorder="1" applyAlignment="1">
      <alignment horizontal="left"/>
    </xf>
    <xf numFmtId="2" fontId="24" fillId="9" borderId="25" xfId="0" applyNumberFormat="1" applyFont="1" applyFill="1" applyBorder="1" applyAlignment="1">
      <alignment horizontal="center"/>
    </xf>
    <xf numFmtId="2" fontId="24" fillId="9" borderId="57" xfId="0" applyNumberFormat="1" applyFont="1" applyFill="1" applyBorder="1" applyAlignment="1">
      <alignment horizontal="center"/>
    </xf>
    <xf numFmtId="0" fontId="10" fillId="9" borderId="21" xfId="0" applyNumberFormat="1" applyFont="1" applyFill="1" applyBorder="1"/>
    <xf numFmtId="0" fontId="10" fillId="9" borderId="61" xfId="0" applyNumberFormat="1" applyFont="1" applyFill="1" applyBorder="1"/>
    <xf numFmtId="2" fontId="24" fillId="9" borderId="62" xfId="0" applyNumberFormat="1" applyFont="1" applyFill="1" applyBorder="1" applyAlignment="1">
      <alignment horizontal="center"/>
    </xf>
    <xf numFmtId="2" fontId="24" fillId="9" borderId="63" xfId="0" applyNumberFormat="1" applyFont="1" applyFill="1" applyBorder="1" applyAlignment="1">
      <alignment horizontal="center"/>
    </xf>
    <xf numFmtId="0" fontId="18" fillId="0" borderId="0" xfId="0" applyNumberFormat="1" applyFont="1" applyFill="1" applyBorder="1" applyAlignment="1">
      <alignment horizontal="left"/>
    </xf>
    <xf numFmtId="0" fontId="23" fillId="8" borderId="42" xfId="0" applyNumberFormat="1" applyFont="1" applyFill="1" applyBorder="1" applyAlignment="1">
      <alignment horizontal="left"/>
    </xf>
    <xf numFmtId="0" fontId="23" fillId="8" borderId="64" xfId="0" applyNumberFormat="1" applyFont="1" applyFill="1" applyBorder="1" applyAlignment="1">
      <alignment horizontal="left"/>
    </xf>
    <xf numFmtId="0" fontId="23" fillId="8" borderId="64"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9" borderId="42" xfId="0" applyNumberFormat="1" applyFont="1" applyFill="1" applyBorder="1" applyAlignment="1"/>
    <xf numFmtId="0" fontId="23" fillId="9" borderId="64" xfId="0" applyNumberFormat="1" applyFont="1" applyFill="1" applyBorder="1" applyAlignment="1"/>
    <xf numFmtId="0" fontId="23" fillId="9" borderId="64" xfId="0" applyNumberFormat="1" applyFont="1" applyFill="1" applyBorder="1" applyAlignment="1">
      <alignment horizontal="center"/>
    </xf>
    <xf numFmtId="0" fontId="23" fillId="9" borderId="44" xfId="0" applyNumberFormat="1" applyFont="1" applyFill="1" applyBorder="1" applyAlignment="1">
      <alignment horizontal="center"/>
    </xf>
    <xf numFmtId="0" fontId="24" fillId="8" borderId="6" xfId="0" applyNumberFormat="1" applyFont="1" applyFill="1" applyBorder="1"/>
    <xf numFmtId="0" fontId="24" fillId="8" borderId="0" xfId="0" applyNumberFormat="1" applyFont="1" applyFill="1" applyBorder="1"/>
    <xf numFmtId="0" fontId="35" fillId="8" borderId="0" xfId="0" applyNumberFormat="1" applyFont="1" applyFill="1" applyBorder="1" applyAlignment="1">
      <alignment horizontal="center"/>
    </xf>
    <xf numFmtId="0" fontId="18" fillId="8" borderId="0" xfId="0" applyNumberFormat="1" applyFont="1" applyFill="1" applyBorder="1" applyAlignment="1">
      <alignment horizontal="center"/>
    </xf>
    <xf numFmtId="2" fontId="18" fillId="8" borderId="51" xfId="0" applyNumberFormat="1" applyFont="1" applyFill="1" applyBorder="1" applyAlignment="1">
      <alignment horizontal="center"/>
    </xf>
    <xf numFmtId="0" fontId="24" fillId="9" borderId="6" xfId="0" applyNumberFormat="1" applyFont="1" applyFill="1" applyBorder="1"/>
    <xf numFmtId="0" fontId="24" fillId="9" borderId="0" xfId="0" applyNumberFormat="1" applyFont="1" applyFill="1" applyBorder="1"/>
    <xf numFmtId="0" fontId="35" fillId="9" borderId="0" xfId="0" applyNumberFormat="1" applyFont="1" applyFill="1" applyBorder="1" applyAlignment="1">
      <alignment horizontal="center"/>
    </xf>
    <xf numFmtId="0" fontId="18" fillId="9" borderId="0" xfId="0" applyNumberFormat="1" applyFont="1" applyFill="1" applyBorder="1" applyAlignment="1">
      <alignment horizontal="center"/>
    </xf>
    <xf numFmtId="2" fontId="18" fillId="9" borderId="51" xfId="0" applyNumberFormat="1" applyFont="1" applyFill="1" applyBorder="1" applyAlignment="1">
      <alignment horizontal="center"/>
    </xf>
    <xf numFmtId="0" fontId="10" fillId="0" borderId="0" xfId="0" applyNumberFormat="1" applyFont="1" applyFill="1" applyAlignment="1">
      <alignment horizontal="center"/>
    </xf>
    <xf numFmtId="0" fontId="24" fillId="8" borderId="3" xfId="0" applyNumberFormat="1" applyFont="1" applyFill="1" applyBorder="1"/>
    <xf numFmtId="0" fontId="24" fillId="8" borderId="1" xfId="0" applyNumberFormat="1" applyFont="1" applyFill="1" applyBorder="1"/>
    <xf numFmtId="0" fontId="18" fillId="8" borderId="1" xfId="0" applyNumberFormat="1" applyFont="1" applyFill="1" applyBorder="1" applyAlignment="1">
      <alignment horizontal="center"/>
    </xf>
    <xf numFmtId="2" fontId="18" fillId="8" borderId="8" xfId="0" applyNumberFormat="1" applyFont="1" applyFill="1" applyBorder="1" applyAlignment="1">
      <alignment horizontal="center"/>
    </xf>
    <xf numFmtId="0" fontId="24" fillId="9" borderId="3" xfId="0" applyNumberFormat="1" applyFont="1" applyFill="1" applyBorder="1"/>
    <xf numFmtId="0" fontId="24" fillId="9" borderId="1" xfId="0" applyNumberFormat="1" applyFont="1" applyFill="1" applyBorder="1"/>
    <xf numFmtId="0" fontId="35" fillId="9" borderId="1" xfId="0" applyNumberFormat="1" applyFont="1" applyFill="1" applyBorder="1" applyAlignment="1">
      <alignment horizontal="center"/>
    </xf>
    <xf numFmtId="0" fontId="18" fillId="9" borderId="1" xfId="0" applyNumberFormat="1" applyFont="1" applyFill="1" applyBorder="1" applyAlignment="1">
      <alignment horizontal="center"/>
    </xf>
    <xf numFmtId="2" fontId="18" fillId="9" borderId="8" xfId="0" applyNumberFormat="1" applyFont="1" applyFill="1" applyBorder="1" applyAlignment="1">
      <alignment horizontal="center"/>
    </xf>
    <xf numFmtId="0" fontId="35" fillId="10" borderId="0" xfId="0" applyNumberFormat="1" applyFont="1" applyFill="1" applyAlignment="1">
      <alignment horizontal="center"/>
    </xf>
    <xf numFmtId="0" fontId="36" fillId="0" borderId="0" xfId="0" applyNumberFormat="1" applyFont="1" applyAlignment="1">
      <alignment horizontal="center"/>
    </xf>
    <xf numFmtId="0" fontId="36" fillId="10" borderId="0" xfId="0" applyNumberFormat="1" applyFont="1" applyFill="1" applyAlignment="1">
      <alignment horizontal="center"/>
    </xf>
    <xf numFmtId="0" fontId="10" fillId="10" borderId="0" xfId="0" applyNumberFormat="1" applyFont="1" applyFill="1"/>
    <xf numFmtId="14" fontId="28" fillId="5" borderId="0" xfId="0" applyNumberFormat="1" applyFont="1" applyFill="1" applyBorder="1" applyAlignment="1"/>
    <xf numFmtId="0" fontId="10" fillId="0" borderId="0" xfId="0" applyNumberFormat="1" applyFont="1" applyFill="1" applyBorder="1" applyAlignment="1"/>
    <xf numFmtId="0" fontId="20" fillId="0" borderId="0" xfId="0" applyNumberFormat="1" applyFont="1" applyFill="1" applyBorder="1" applyAlignment="1"/>
    <xf numFmtId="0" fontId="10" fillId="0" borderId="1" xfId="0" applyNumberFormat="1" applyFont="1" applyFill="1" applyBorder="1" applyAlignment="1"/>
    <xf numFmtId="2" fontId="10" fillId="0" borderId="65" xfId="0" applyNumberFormat="1" applyFont="1" applyFill="1" applyBorder="1" applyAlignment="1">
      <alignment horizontal="center"/>
    </xf>
    <xf numFmtId="0" fontId="23" fillId="7" borderId="66" xfId="0" applyNumberFormat="1" applyFont="1" applyFill="1" applyBorder="1" applyAlignment="1">
      <alignment horizontal="center"/>
    </xf>
    <xf numFmtId="0" fontId="23" fillId="7" borderId="28" xfId="0" quotePrefix="1" applyNumberFormat="1" applyFont="1" applyFill="1" applyBorder="1" applyAlignment="1">
      <alignment horizontal="center"/>
    </xf>
    <xf numFmtId="0" fontId="10" fillId="0" borderId="6" xfId="0" applyNumberFormat="1" applyFont="1" applyFill="1" applyBorder="1" applyAlignment="1">
      <alignment horizontal="center"/>
    </xf>
    <xf numFmtId="2" fontId="10" fillId="0" borderId="6" xfId="0" applyNumberFormat="1" applyFont="1" applyFill="1" applyBorder="1" applyAlignment="1">
      <alignment horizontal="center"/>
    </xf>
    <xf numFmtId="2" fontId="10" fillId="0" borderId="67" xfId="0" applyNumberFormat="1" applyFont="1" applyFill="1" applyBorder="1" applyAlignment="1">
      <alignment horizontal="center"/>
    </xf>
    <xf numFmtId="0" fontId="23" fillId="7" borderId="68" xfId="0" applyNumberFormat="1" applyFont="1" applyFill="1" applyBorder="1" applyAlignment="1">
      <alignment horizontal="center"/>
    </xf>
    <xf numFmtId="0" fontId="23" fillId="7" borderId="27" xfId="0" quotePrefix="1" applyNumberFormat="1" applyFont="1" applyFill="1" applyBorder="1" applyAlignment="1">
      <alignment horizontal="center"/>
    </xf>
    <xf numFmtId="2" fontId="10" fillId="0" borderId="51" xfId="0" applyNumberFormat="1" applyFont="1" applyFill="1" applyBorder="1" applyAlignment="1">
      <alignment horizontal="center"/>
    </xf>
    <xf numFmtId="2" fontId="10" fillId="0" borderId="69" xfId="0" applyNumberFormat="1" applyFont="1" applyFill="1" applyBorder="1" applyAlignment="1">
      <alignment horizontal="center"/>
    </xf>
    <xf numFmtId="2" fontId="10" fillId="0" borderId="70" xfId="0" applyNumberFormat="1" applyFont="1" applyFill="1" applyBorder="1" applyAlignment="1">
      <alignment horizontal="center"/>
    </xf>
    <xf numFmtId="0" fontId="10" fillId="0" borderId="58" xfId="0" applyNumberFormat="1" applyFont="1" applyFill="1" applyBorder="1" applyAlignment="1">
      <alignment horizontal="center"/>
    </xf>
    <xf numFmtId="0" fontId="23" fillId="0" borderId="1" xfId="0" applyNumberFormat="1" applyFont="1" applyFill="1" applyBorder="1" applyAlignment="1">
      <alignment horizontal="center"/>
    </xf>
    <xf numFmtId="0" fontId="23" fillId="0" borderId="8" xfId="0" applyNumberFormat="1" applyFont="1" applyFill="1" applyBorder="1" applyAlignment="1">
      <alignment horizontal="center"/>
    </xf>
    <xf numFmtId="168" fontId="21" fillId="0" borderId="0" xfId="0" applyNumberFormat="1" applyFont="1" applyFill="1" applyBorder="1" applyAlignment="1">
      <alignment horizontal="center"/>
    </xf>
    <xf numFmtId="2" fontId="24" fillId="0" borderId="61" xfId="0" applyNumberFormat="1" applyFont="1" applyFill="1" applyBorder="1" applyAlignment="1">
      <alignment horizontal="center"/>
    </xf>
    <xf numFmtId="2" fontId="24" fillId="0" borderId="9" xfId="0" applyNumberFormat="1" applyFont="1" applyFill="1" applyBorder="1" applyAlignment="1">
      <alignment horizontal="center"/>
    </xf>
    <xf numFmtId="2" fontId="24" fillId="0" borderId="21" xfId="0" applyNumberFormat="1" applyFont="1" applyFill="1" applyBorder="1" applyAlignment="1">
      <alignment horizontal="center"/>
    </xf>
    <xf numFmtId="2" fontId="24" fillId="0" borderId="26" xfId="0" applyNumberFormat="1" applyFont="1" applyFill="1" applyBorder="1" applyAlignment="1">
      <alignment horizontal="center"/>
    </xf>
    <xf numFmtId="0" fontId="10" fillId="0" borderId="71" xfId="0" applyNumberFormat="1" applyFont="1" applyFill="1" applyBorder="1"/>
    <xf numFmtId="2" fontId="18" fillId="0" borderId="51" xfId="0" applyNumberFormat="1" applyFont="1" applyFill="1" applyBorder="1" applyAlignment="1">
      <alignment horizontal="center"/>
    </xf>
    <xf numFmtId="2" fontId="18" fillId="0" borderId="63" xfId="0" applyNumberFormat="1" applyFont="1" applyFill="1" applyBorder="1" applyAlignment="1">
      <alignment horizontal="center"/>
    </xf>
    <xf numFmtId="2" fontId="18" fillId="0" borderId="3" xfId="0" applyNumberFormat="1" applyFont="1" applyFill="1" applyBorder="1" applyAlignment="1">
      <alignment horizontal="center"/>
    </xf>
    <xf numFmtId="2" fontId="18" fillId="0" borderId="62" xfId="0" applyNumberFormat="1" applyFont="1" applyFill="1" applyBorder="1" applyAlignment="1">
      <alignment horizontal="center"/>
    </xf>
    <xf numFmtId="2" fontId="18" fillId="0" borderId="1" xfId="0" applyNumberFormat="1" applyFont="1" applyFill="1" applyBorder="1" applyAlignment="1">
      <alignment horizontal="center"/>
    </xf>
    <xf numFmtId="0" fontId="23" fillId="7" borderId="56" xfId="0" applyNumberFormat="1" applyFont="1" applyFill="1" applyBorder="1" applyAlignment="1">
      <alignment horizontal="center"/>
    </xf>
    <xf numFmtId="0" fontId="10" fillId="0" borderId="59" xfId="0" applyNumberFormat="1" applyFont="1" applyFill="1" applyBorder="1" applyAlignment="1">
      <alignment horizontal="center"/>
    </xf>
    <xf numFmtId="0" fontId="18" fillId="0" borderId="59" xfId="0" applyNumberFormat="1" applyFont="1" applyFill="1" applyBorder="1" applyAlignment="1">
      <alignment horizontal="left"/>
    </xf>
    <xf numFmtId="0" fontId="18" fillId="0" borderId="59" xfId="0" quotePrefix="1" applyNumberFormat="1" applyFont="1" applyFill="1" applyBorder="1" applyAlignment="1">
      <alignment horizontal="left"/>
    </xf>
    <xf numFmtId="2" fontId="18" fillId="0" borderId="72" xfId="0" applyNumberFormat="1" applyFont="1" applyFill="1" applyBorder="1" applyAlignment="1">
      <alignment horizontal="center"/>
    </xf>
    <xf numFmtId="2" fontId="24" fillId="9" borderId="73" xfId="0" applyNumberFormat="1" applyFont="1" applyFill="1" applyBorder="1" applyAlignment="1">
      <alignment horizontal="center"/>
    </xf>
    <xf numFmtId="2" fontId="18" fillId="0" borderId="73" xfId="0" applyNumberFormat="1" applyFont="1" applyFill="1" applyBorder="1" applyAlignment="1">
      <alignment horizontal="center"/>
    </xf>
    <xf numFmtId="2" fontId="10" fillId="0" borderId="59" xfId="0" quotePrefix="1" applyNumberFormat="1" applyFont="1" applyFill="1" applyBorder="1" applyAlignment="1">
      <alignment horizontal="center"/>
    </xf>
    <xf numFmtId="2" fontId="10" fillId="0" borderId="74" xfId="0" applyNumberFormat="1" applyFont="1" applyFill="1" applyBorder="1" applyAlignment="1">
      <alignment horizontal="center"/>
    </xf>
    <xf numFmtId="2" fontId="24" fillId="0" borderId="45" xfId="0" applyNumberFormat="1" applyFont="1" applyFill="1" applyBorder="1" applyAlignment="1">
      <alignment horizontal="center"/>
    </xf>
    <xf numFmtId="2" fontId="24" fillId="0" borderId="60" xfId="0" applyNumberFormat="1" applyFont="1" applyFill="1" applyBorder="1" applyAlignment="1">
      <alignment horizontal="center"/>
    </xf>
    <xf numFmtId="2" fontId="18" fillId="0" borderId="35" xfId="0" applyNumberFormat="1" applyFont="1" applyFill="1" applyBorder="1" applyAlignment="1">
      <alignment horizontal="center"/>
    </xf>
    <xf numFmtId="0" fontId="10" fillId="9" borderId="24" xfId="0" applyNumberFormat="1" applyFont="1" applyFill="1" applyBorder="1" applyAlignment="1">
      <alignment horizontal="center"/>
    </xf>
    <xf numFmtId="0" fontId="35" fillId="0" borderId="0" xfId="0" applyNumberFormat="1" applyFont="1" applyAlignment="1">
      <alignment horizontal="center"/>
    </xf>
    <xf numFmtId="170" fontId="18" fillId="8" borderId="1" xfId="0" applyNumberFormat="1" applyFont="1" applyFill="1" applyBorder="1" applyAlignment="1">
      <alignment horizontal="center"/>
    </xf>
    <xf numFmtId="170" fontId="18" fillId="8" borderId="0" xfId="0" applyNumberFormat="1" applyFont="1" applyFill="1" applyBorder="1" applyAlignment="1">
      <alignment horizontal="center"/>
    </xf>
    <xf numFmtId="170" fontId="18" fillId="9" borderId="0" xfId="0" applyNumberFormat="1" applyFont="1" applyFill="1" applyBorder="1" applyAlignment="1">
      <alignment horizontal="center"/>
    </xf>
    <xf numFmtId="170" fontId="18" fillId="9" borderId="1" xfId="0" applyNumberFormat="1" applyFont="1" applyFill="1" applyBorder="1" applyAlignment="1">
      <alignment horizontal="center"/>
    </xf>
    <xf numFmtId="2" fontId="16" fillId="0" borderId="42" xfId="3" applyNumberFormat="1" applyFont="1" applyFill="1" applyBorder="1" applyAlignment="1" applyProtection="1">
      <alignment horizontal="center"/>
    </xf>
    <xf numFmtId="2" fontId="16" fillId="0" borderId="64"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34" fillId="0" borderId="19" xfId="0" applyNumberFormat="1" applyFont="1" applyBorder="1" applyAlignment="1">
      <alignment horizontal="center"/>
    </xf>
    <xf numFmtId="0" fontId="6" fillId="0" borderId="0" xfId="0" applyFont="1" applyAlignment="1">
      <alignment horizontal="right"/>
    </xf>
    <xf numFmtId="0" fontId="6" fillId="0" borderId="0" xfId="0" applyFont="1" applyBorder="1"/>
    <xf numFmtId="0" fontId="6" fillId="0" borderId="0" xfId="0" applyFont="1" applyFill="1" applyBorder="1" applyAlignment="1">
      <alignment horizontal="center"/>
    </xf>
    <xf numFmtId="0" fontId="12" fillId="0" borderId="0" xfId="0" applyFont="1" applyBorder="1"/>
    <xf numFmtId="165" fontId="6" fillId="0" borderId="24" xfId="0" applyNumberFormat="1" applyFont="1" applyBorder="1" applyAlignment="1"/>
    <xf numFmtId="2" fontId="12" fillId="0" borderId="24" xfId="0" applyNumberFormat="1" applyFont="1" applyBorder="1" applyAlignment="1"/>
    <xf numFmtId="2" fontId="39" fillId="0" borderId="24" xfId="0" applyNumberFormat="1" applyFont="1" applyBorder="1" applyAlignment="1"/>
    <xf numFmtId="0" fontId="6" fillId="0" borderId="24" xfId="0" applyFont="1" applyBorder="1"/>
    <xf numFmtId="2" fontId="12" fillId="0" borderId="0" xfId="0" applyNumberFormat="1" applyFont="1" applyBorder="1" applyAlignment="1"/>
    <xf numFmtId="0" fontId="6" fillId="0" borderId="0" xfId="0" applyFont="1" applyFill="1"/>
    <xf numFmtId="2" fontId="12" fillId="0" borderId="12" xfId="0" applyNumberFormat="1" applyFont="1" applyBorder="1" applyAlignment="1"/>
    <xf numFmtId="2" fontId="27" fillId="0" borderId="12" xfId="0" applyNumberFormat="1" applyFont="1" applyBorder="1" applyAlignment="1"/>
    <xf numFmtId="2" fontId="6" fillId="0" borderId="12" xfId="0" applyNumberFormat="1" applyFont="1" applyBorder="1" applyAlignment="1"/>
    <xf numFmtId="2" fontId="39" fillId="0" borderId="12" xfId="0" applyNumberFormat="1" applyFont="1" applyBorder="1" applyAlignment="1"/>
    <xf numFmtId="0" fontId="12" fillId="0" borderId="0" xfId="0" applyFont="1" applyAlignment="1">
      <alignment horizontal="right"/>
    </xf>
    <xf numFmtId="2" fontId="27" fillId="0" borderId="0" xfId="0" applyNumberFormat="1" applyFont="1" applyAlignment="1">
      <alignment horizontal="right"/>
    </xf>
    <xf numFmtId="2" fontId="6" fillId="0" borderId="0" xfId="0" applyNumberFormat="1" applyFont="1" applyAlignment="1">
      <alignment horizontal="right"/>
    </xf>
    <xf numFmtId="0" fontId="6" fillId="0" borderId="0" xfId="0" applyFont="1" applyBorder="1" applyAlignment="1">
      <alignment horizontal="right"/>
    </xf>
    <xf numFmtId="1" fontId="29" fillId="0" borderId="0" xfId="3" applyNumberFormat="1" applyFont="1" applyFill="1" applyBorder="1" applyAlignment="1" applyProtection="1">
      <alignment horizontal="center" wrapText="1"/>
    </xf>
    <xf numFmtId="2" fontId="6" fillId="0" borderId="0" xfId="0" applyNumberFormat="1" applyFont="1" applyAlignment="1">
      <alignment horizontal="center"/>
    </xf>
    <xf numFmtId="0" fontId="6" fillId="0" borderId="12" xfId="0" applyFont="1" applyFill="1" applyBorder="1" applyAlignment="1">
      <alignment horizontal="center"/>
    </xf>
    <xf numFmtId="0" fontId="12" fillId="0" borderId="12" xfId="0" applyFont="1" applyBorder="1" applyAlignment="1">
      <alignment horizontal="center"/>
    </xf>
    <xf numFmtId="0" fontId="0" fillId="0" borderId="12" xfId="0" applyBorder="1" applyAlignment="1">
      <alignment horizontal="center"/>
    </xf>
    <xf numFmtId="0" fontId="6" fillId="0" borderId="25" xfId="0" applyFont="1" applyFill="1" applyBorder="1" applyAlignment="1">
      <alignment horizontal="center" wrapText="1"/>
    </xf>
    <xf numFmtId="0" fontId="12" fillId="0" borderId="25" xfId="0" applyFont="1" applyFill="1" applyBorder="1" applyAlignment="1">
      <alignment horizontal="center"/>
    </xf>
    <xf numFmtId="0" fontId="12" fillId="0" borderId="29" xfId="0" applyFont="1" applyFill="1" applyBorder="1" applyAlignment="1">
      <alignment horizontal="center"/>
    </xf>
    <xf numFmtId="0" fontId="12" fillId="0" borderId="25" xfId="0" applyFont="1" applyFill="1" applyBorder="1" applyAlignment="1">
      <alignment horizontal="right"/>
    </xf>
    <xf numFmtId="0" fontId="6" fillId="0" borderId="0" xfId="0" applyFont="1" applyFill="1" applyAlignment="1">
      <alignment horizontal="right"/>
    </xf>
    <xf numFmtId="0" fontId="6" fillId="0" borderId="24" xfId="0" applyFont="1" applyFill="1" applyBorder="1" applyAlignment="1" applyProtection="1">
      <alignment horizontal="center" wrapText="1"/>
      <protection locked="0"/>
    </xf>
    <xf numFmtId="2" fontId="6" fillId="0" borderId="24" xfId="0" applyNumberFormat="1" applyFont="1" applyFill="1" applyBorder="1" applyAlignment="1"/>
    <xf numFmtId="2" fontId="12" fillId="0" borderId="12" xfId="0" applyNumberFormat="1" applyFont="1" applyFill="1" applyBorder="1" applyAlignment="1"/>
    <xf numFmtId="0" fontId="12" fillId="0" borderId="25" xfId="0" applyFont="1" applyFill="1" applyBorder="1"/>
    <xf numFmtId="0" fontId="6" fillId="0" borderId="24" xfId="0" applyFont="1" applyFill="1" applyBorder="1"/>
    <xf numFmtId="0" fontId="12" fillId="0" borderId="0" xfId="0" applyFont="1" applyFill="1" applyBorder="1"/>
    <xf numFmtId="0" fontId="12" fillId="0" borderId="12" xfId="0" applyFont="1" applyFill="1" applyBorder="1"/>
    <xf numFmtId="0" fontId="41" fillId="0" borderId="0" xfId="2" applyNumberFormat="1" applyFill="1" applyBorder="1" applyAlignment="1">
      <alignment horizontal="center"/>
    </xf>
    <xf numFmtId="0" fontId="41" fillId="0" borderId="0" xfId="2" applyNumberFormat="1" applyFill="1" applyBorder="1"/>
    <xf numFmtId="171" fontId="41" fillId="11" borderId="0" xfId="2" applyNumberFormat="1" applyFill="1" applyBorder="1"/>
    <xf numFmtId="0" fontId="41" fillId="6" borderId="0" xfId="2" applyNumberFormat="1" applyFill="1" applyBorder="1"/>
    <xf numFmtId="0" fontId="41" fillId="11" borderId="0" xfId="2" applyNumberFormat="1" applyFill="1" applyBorder="1"/>
    <xf numFmtId="0" fontId="18" fillId="10" borderId="55" xfId="2" applyNumberFormat="1" applyFont="1" applyFill="1" applyBorder="1" applyAlignment="1">
      <alignment horizontal="center" textRotation="90" wrapText="1"/>
    </xf>
    <xf numFmtId="0" fontId="41" fillId="0" borderId="0" xfId="2" applyNumberFormat="1" applyFill="1" applyBorder="1" applyAlignment="1">
      <alignment textRotation="90"/>
    </xf>
    <xf numFmtId="0" fontId="41" fillId="11" borderId="0" xfId="2" applyNumberFormat="1" applyFill="1" applyBorder="1" applyAlignment="1">
      <alignment textRotation="90" wrapText="1"/>
    </xf>
    <xf numFmtId="171" fontId="10" fillId="11" borderId="33" xfId="3" applyNumberFormat="1" applyFont="1" applyFill="1" applyBorder="1" applyAlignment="1" applyProtection="1">
      <alignment horizontal="center"/>
    </xf>
    <xf numFmtId="171" fontId="41" fillId="0" borderId="0" xfId="2" applyNumberFormat="1" applyFill="1" applyBorder="1"/>
    <xf numFmtId="171" fontId="41" fillId="11" borderId="12" xfId="2" applyNumberFormat="1" applyFill="1" applyBorder="1" applyAlignment="1">
      <alignment horizontal="right"/>
    </xf>
    <xf numFmtId="0" fontId="41" fillId="0" borderId="0" xfId="2" applyNumberFormat="1" applyFill="1" applyBorder="1" applyAlignment="1">
      <alignment horizontal="right"/>
    </xf>
    <xf numFmtId="171" fontId="41" fillId="11" borderId="27" xfId="2" applyNumberFormat="1" applyFill="1" applyBorder="1" applyAlignment="1">
      <alignment horizontal="right"/>
    </xf>
    <xf numFmtId="0" fontId="6" fillId="0" borderId="0" xfId="0" applyFont="1" applyFill="1" applyBorder="1" applyAlignment="1">
      <alignment horizontal="right"/>
    </xf>
    <xf numFmtId="0" fontId="6" fillId="0" borderId="24" xfId="0" applyFont="1" applyFill="1" applyBorder="1" applyAlignment="1" applyProtection="1">
      <alignment horizontal="right" wrapText="1"/>
      <protection locked="0"/>
    </xf>
    <xf numFmtId="0" fontId="12" fillId="0" borderId="0" xfId="0" applyFont="1" applyFill="1" applyAlignment="1">
      <alignment horizontal="right"/>
    </xf>
    <xf numFmtId="2" fontId="12" fillId="0" borderId="24" xfId="0" applyNumberFormat="1" applyFont="1" applyFill="1" applyBorder="1" applyAlignment="1"/>
    <xf numFmtId="2" fontId="27" fillId="0" borderId="24" xfId="0" applyNumberFormat="1" applyFont="1" applyFill="1" applyBorder="1" applyAlignment="1"/>
    <xf numFmtId="0" fontId="12" fillId="0" borderId="0" xfId="0" applyFont="1" applyFill="1"/>
    <xf numFmtId="172" fontId="24" fillId="0" borderId="59" xfId="0" applyNumberFormat="1" applyFont="1" applyFill="1" applyBorder="1" applyAlignment="1">
      <alignment horizontal="center"/>
    </xf>
    <xf numFmtId="172" fontId="18" fillId="0" borderId="59" xfId="0" applyNumberFormat="1" applyFont="1" applyFill="1" applyBorder="1" applyAlignment="1">
      <alignment horizontal="center"/>
    </xf>
    <xf numFmtId="172" fontId="18" fillId="0" borderId="74" xfId="0" applyNumberFormat="1" applyFont="1" applyFill="1" applyBorder="1" applyAlignment="1">
      <alignment horizontal="center"/>
    </xf>
    <xf numFmtId="2" fontId="18" fillId="0" borderId="57" xfId="0" applyNumberFormat="1" applyFont="1" applyFill="1" applyBorder="1" applyAlignment="1">
      <alignment horizontal="center"/>
    </xf>
    <xf numFmtId="2" fontId="18" fillId="0" borderId="37" xfId="0" applyNumberFormat="1" applyFont="1" applyFill="1" applyBorder="1" applyAlignment="1">
      <alignment horizontal="center"/>
    </xf>
    <xf numFmtId="2" fontId="18" fillId="0" borderId="25" xfId="0" applyNumberFormat="1" applyFont="1" applyFill="1" applyBorder="1" applyAlignment="1">
      <alignment horizontal="center"/>
    </xf>
    <xf numFmtId="2" fontId="18" fillId="0" borderId="29" xfId="0" applyNumberFormat="1" applyFont="1" applyFill="1" applyBorder="1" applyAlignment="1">
      <alignment horizontal="center"/>
    </xf>
    <xf numFmtId="2" fontId="24" fillId="9" borderId="28" xfId="0" applyNumberFormat="1" applyFont="1" applyFill="1" applyBorder="1" applyAlignment="1">
      <alignment horizontal="center"/>
    </xf>
    <xf numFmtId="2" fontId="18" fillId="0" borderId="28" xfId="0" applyNumberFormat="1" applyFont="1" applyFill="1" applyBorder="1" applyAlignment="1">
      <alignment horizontal="center"/>
    </xf>
    <xf numFmtId="2" fontId="18" fillId="0" borderId="56" xfId="0" applyNumberFormat="1" applyFont="1" applyFill="1" applyBorder="1" applyAlignment="1">
      <alignment horizontal="center"/>
    </xf>
    <xf numFmtId="166" fontId="10" fillId="10" borderId="24" xfId="3" applyNumberFormat="1" applyFont="1" applyFill="1" applyBorder="1" applyAlignment="1" applyProtection="1">
      <alignment horizontal="center"/>
    </xf>
    <xf numFmtId="0" fontId="41" fillId="10" borderId="1" xfId="2" applyNumberFormat="1" applyFill="1" applyBorder="1" applyAlignment="1">
      <alignment horizontal="center" vertical="center" wrapText="1"/>
    </xf>
    <xf numFmtId="1" fontId="10" fillId="10" borderId="24" xfId="3" applyNumberFormat="1" applyFont="1" applyFill="1" applyBorder="1" applyAlignment="1" applyProtection="1">
      <alignment horizontal="center"/>
    </xf>
    <xf numFmtId="171" fontId="41" fillId="10" borderId="11" xfId="2" applyNumberFormat="1" applyFill="1" applyBorder="1" applyAlignment="1">
      <alignment horizontal="center"/>
    </xf>
    <xf numFmtId="0" fontId="41" fillId="10" borderId="15" xfId="2" applyNumberFormat="1" applyFill="1" applyBorder="1" applyAlignment="1">
      <alignment horizontal="center"/>
    </xf>
    <xf numFmtId="0" fontId="41" fillId="10" borderId="16" xfId="2" applyNumberFormat="1" applyFill="1" applyBorder="1" applyAlignment="1">
      <alignment horizontal="center"/>
    </xf>
    <xf numFmtId="171" fontId="41" fillId="10" borderId="11" xfId="2" applyNumberFormat="1" applyFill="1" applyBorder="1"/>
    <xf numFmtId="171" fontId="41" fillId="10" borderId="0" xfId="2" applyNumberFormat="1" applyFill="1" applyBorder="1"/>
    <xf numFmtId="0" fontId="41" fillId="10" borderId="0" xfId="2" applyNumberFormat="1" applyFill="1" applyBorder="1"/>
    <xf numFmtId="1" fontId="5" fillId="0" borderId="4" xfId="3" applyNumberFormat="1" applyFont="1" applyFill="1" applyBorder="1" applyProtection="1"/>
    <xf numFmtId="2" fontId="9" fillId="0" borderId="24" xfId="0" applyNumberFormat="1" applyFont="1" applyFill="1" applyBorder="1" applyAlignment="1"/>
    <xf numFmtId="0" fontId="20" fillId="0" borderId="0" xfId="0" applyNumberFormat="1" applyFont="1" applyFill="1" applyBorder="1" applyAlignment="1">
      <alignment horizontal="left"/>
    </xf>
    <xf numFmtId="0" fontId="0" fillId="0" borderId="0" xfId="0" applyBorder="1"/>
    <xf numFmtId="0" fontId="41" fillId="11" borderId="28" xfId="2" applyNumberFormat="1" applyFill="1" applyBorder="1"/>
    <xf numFmtId="0" fontId="41" fillId="6" borderId="45" xfId="2" applyNumberFormat="1" applyFill="1" applyBorder="1"/>
    <xf numFmtId="171" fontId="41" fillId="6" borderId="26" xfId="2" applyNumberFormat="1" applyFill="1" applyBorder="1" applyAlignment="1">
      <alignment horizontal="right"/>
    </xf>
    <xf numFmtId="0" fontId="41" fillId="6" borderId="28" xfId="2" applyNumberFormat="1" applyFill="1" applyBorder="1"/>
    <xf numFmtId="0" fontId="41" fillId="6" borderId="29" xfId="2" applyNumberFormat="1" applyFill="1" applyBorder="1"/>
    <xf numFmtId="173" fontId="41" fillId="6" borderId="0" xfId="2" applyNumberFormat="1" applyFill="1" applyBorder="1"/>
    <xf numFmtId="171" fontId="41" fillId="6" borderId="12" xfId="2" applyNumberFormat="1" applyFill="1" applyBorder="1" applyAlignment="1">
      <alignment horizontal="right"/>
    </xf>
    <xf numFmtId="0" fontId="41" fillId="6" borderId="33" xfId="2" applyNumberFormat="1" applyFill="1" applyBorder="1" applyAlignment="1">
      <alignment textRotation="90" wrapText="1"/>
    </xf>
    <xf numFmtId="0" fontId="41" fillId="6" borderId="22" xfId="2" applyNumberFormat="1" applyFill="1" applyBorder="1" applyAlignment="1">
      <alignment textRotation="90" wrapText="1"/>
    </xf>
    <xf numFmtId="0" fontId="41" fillId="12" borderId="33" xfId="2" applyNumberFormat="1" applyFill="1" applyBorder="1" applyAlignment="1">
      <alignment horizontal="center"/>
    </xf>
    <xf numFmtId="0" fontId="41" fillId="12" borderId="0" xfId="2" applyNumberFormat="1" applyFill="1" applyBorder="1" applyAlignment="1">
      <alignment horizontal="center"/>
    </xf>
    <xf numFmtId="0" fontId="41" fillId="12" borderId="22" xfId="2" applyNumberFormat="1" applyFill="1" applyBorder="1" applyAlignment="1">
      <alignment horizontal="center"/>
    </xf>
    <xf numFmtId="0" fontId="41" fillId="11" borderId="6" xfId="2" applyNumberFormat="1" applyFill="1" applyBorder="1" applyAlignment="1">
      <alignment textRotation="90" wrapText="1"/>
    </xf>
    <xf numFmtId="171" fontId="10" fillId="11" borderId="3" xfId="3" applyNumberFormat="1" applyFont="1" applyFill="1" applyBorder="1" applyAlignment="1" applyProtection="1">
      <alignment horizontal="center"/>
    </xf>
    <xf numFmtId="0" fontId="41" fillId="6" borderId="76" xfId="2" applyNumberFormat="1" applyFill="1" applyBorder="1"/>
    <xf numFmtId="0" fontId="41" fillId="6" borderId="73" xfId="2" applyNumberFormat="1" applyFill="1" applyBorder="1"/>
    <xf numFmtId="0" fontId="0" fillId="0" borderId="6" xfId="0" applyBorder="1"/>
    <xf numFmtId="0" fontId="0" fillId="0" borderId="3" xfId="0" applyBorder="1"/>
    <xf numFmtId="0" fontId="41" fillId="0" borderId="51" xfId="2" applyNumberFormat="1" applyFill="1" applyBorder="1"/>
    <xf numFmtId="0" fontId="41" fillId="0" borderId="1" xfId="2" applyNumberFormat="1" applyFill="1" applyBorder="1"/>
    <xf numFmtId="0" fontId="41" fillId="0" borderId="8" xfId="2" applyNumberFormat="1" applyFill="1" applyBorder="1"/>
    <xf numFmtId="0" fontId="41" fillId="0" borderId="33" xfId="2" applyNumberFormat="1" applyFill="1" applyBorder="1"/>
    <xf numFmtId="0" fontId="41" fillId="0" borderId="22" xfId="2" applyNumberFormat="1" applyFill="1" applyBorder="1"/>
    <xf numFmtId="0" fontId="41" fillId="0" borderId="76" xfId="2" applyNumberFormat="1" applyFill="1" applyBorder="1"/>
    <xf numFmtId="0" fontId="41" fillId="0" borderId="73" xfId="2" applyNumberFormat="1" applyFill="1" applyBorder="1"/>
    <xf numFmtId="171" fontId="41" fillId="0" borderId="42" xfId="2" applyNumberFormat="1" applyFont="1" applyFill="1" applyBorder="1" applyAlignment="1">
      <alignment vertical="center"/>
    </xf>
    <xf numFmtId="0" fontId="41" fillId="0" borderId="64" xfId="2" applyNumberFormat="1" applyFill="1" applyBorder="1" applyAlignment="1">
      <alignment horizontal="center"/>
    </xf>
    <xf numFmtId="0" fontId="41" fillId="0" borderId="64" xfId="2" applyNumberFormat="1" applyFill="1" applyBorder="1"/>
    <xf numFmtId="0" fontId="41" fillId="0" borderId="44" xfId="2" applyNumberFormat="1" applyFill="1" applyBorder="1"/>
    <xf numFmtId="0" fontId="0" fillId="0" borderId="1" xfId="0" applyBorder="1"/>
    <xf numFmtId="0" fontId="41" fillId="0" borderId="24" xfId="2" applyNumberFormat="1" applyFill="1" applyBorder="1"/>
    <xf numFmtId="0" fontId="41" fillId="0" borderId="59" xfId="2" applyNumberFormat="1" applyFill="1" applyBorder="1"/>
    <xf numFmtId="0" fontId="41" fillId="0" borderId="58" xfId="2" applyNumberFormat="1" applyFill="1" applyBorder="1"/>
    <xf numFmtId="0" fontId="41" fillId="0" borderId="72" xfId="2" applyNumberFormat="1" applyFill="1" applyBorder="1"/>
    <xf numFmtId="0" fontId="41" fillId="0" borderId="62" xfId="2" applyNumberFormat="1" applyFill="1" applyBorder="1"/>
    <xf numFmtId="0" fontId="41" fillId="0" borderId="63" xfId="2" applyNumberFormat="1" applyFill="1" applyBorder="1"/>
    <xf numFmtId="171" fontId="41" fillId="11" borderId="1" xfId="2" applyNumberFormat="1" applyFill="1" applyBorder="1"/>
    <xf numFmtId="0" fontId="41" fillId="0" borderId="17" xfId="2" applyNumberFormat="1" applyFill="1" applyBorder="1" applyAlignment="1">
      <alignment horizontal="center"/>
    </xf>
    <xf numFmtId="0" fontId="41" fillId="0" borderId="17" xfId="2" applyNumberFormat="1" applyFill="1" applyBorder="1"/>
    <xf numFmtId="0" fontId="41" fillId="12" borderId="18" xfId="2" applyNumberFormat="1" applyFill="1" applyBorder="1" applyAlignment="1">
      <alignment textRotation="90" wrapText="1"/>
    </xf>
    <xf numFmtId="0" fontId="41" fillId="12" borderId="13" xfId="2" applyNumberFormat="1" applyFill="1" applyBorder="1" applyAlignment="1">
      <alignment textRotation="90" wrapText="1"/>
    </xf>
    <xf numFmtId="0" fontId="41" fillId="12" borderId="50" xfId="2" applyNumberFormat="1" applyFill="1" applyBorder="1" applyAlignment="1">
      <alignment textRotation="90" wrapText="1"/>
    </xf>
    <xf numFmtId="0" fontId="41" fillId="12" borderId="20" xfId="2" applyNumberFormat="1" applyFill="1" applyBorder="1" applyAlignment="1">
      <alignment horizontal="center"/>
    </xf>
    <xf numFmtId="0" fontId="41" fillId="12" borderId="15" xfId="2" applyNumberFormat="1" applyFill="1" applyBorder="1" applyAlignment="1">
      <alignment horizontal="center"/>
    </xf>
    <xf numFmtId="0" fontId="41" fillId="12" borderId="16" xfId="2" applyNumberFormat="1" applyFill="1" applyBorder="1" applyAlignment="1">
      <alignment horizontal="center"/>
    </xf>
    <xf numFmtId="0" fontId="18" fillId="0" borderId="0" xfId="2" applyNumberFormat="1" applyFont="1" applyFill="1" applyBorder="1" applyAlignment="1">
      <alignment horizontal="center" textRotation="90" wrapText="1"/>
    </xf>
    <xf numFmtId="2" fontId="14" fillId="0" borderId="42" xfId="3" applyNumberFormat="1" applyFont="1" applyFill="1" applyBorder="1" applyAlignment="1" applyProtection="1">
      <alignment horizontal="center"/>
    </xf>
    <xf numFmtId="0" fontId="18" fillId="0" borderId="72" xfId="0" quotePrefix="1" applyNumberFormat="1" applyFont="1" applyFill="1" applyBorder="1" applyAlignment="1">
      <alignment horizontal="left"/>
    </xf>
    <xf numFmtId="2" fontId="18" fillId="0" borderId="8" xfId="0" applyNumberFormat="1" applyFont="1" applyFill="1" applyBorder="1" applyAlignment="1">
      <alignment horizontal="center"/>
    </xf>
    <xf numFmtId="0" fontId="41" fillId="11" borderId="36" xfId="2" applyNumberFormat="1" applyFill="1" applyBorder="1"/>
    <xf numFmtId="2" fontId="10" fillId="0" borderId="33" xfId="0" applyNumberFormat="1" applyFont="1" applyFill="1" applyBorder="1" applyAlignment="1">
      <alignment horizontal="center"/>
    </xf>
    <xf numFmtId="2" fontId="10" fillId="0" borderId="77" xfId="0" applyNumberFormat="1" applyFont="1" applyFill="1" applyBorder="1" applyAlignment="1">
      <alignment horizontal="center"/>
    </xf>
    <xf numFmtId="0" fontId="10" fillId="0" borderId="33" xfId="0" applyNumberFormat="1" applyFont="1" applyFill="1" applyBorder="1" applyAlignment="1">
      <alignment horizontal="center"/>
    </xf>
    <xf numFmtId="0" fontId="23" fillId="7" borderId="10" xfId="0" applyNumberFormat="1" applyFont="1" applyFill="1" applyBorder="1" applyAlignment="1">
      <alignment horizontal="center"/>
    </xf>
    <xf numFmtId="0" fontId="23" fillId="7" borderId="78" xfId="0" applyNumberFormat="1" applyFont="1" applyFill="1" applyBorder="1" applyAlignment="1">
      <alignment horizontal="center"/>
    </xf>
    <xf numFmtId="2" fontId="10" fillId="0" borderId="75" xfId="0" quotePrefix="1" applyNumberFormat="1" applyFont="1" applyFill="1" applyBorder="1" applyAlignment="1">
      <alignment horizontal="center"/>
    </xf>
    <xf numFmtId="0" fontId="10" fillId="0" borderId="75" xfId="0" applyNumberFormat="1" applyFont="1" applyFill="1" applyBorder="1" applyAlignment="1">
      <alignment horizontal="center"/>
    </xf>
    <xf numFmtId="2" fontId="18" fillId="0" borderId="78" xfId="0" applyNumberFormat="1" applyFont="1" applyFill="1" applyBorder="1" applyAlignment="1">
      <alignment horizontal="center"/>
    </xf>
    <xf numFmtId="2" fontId="24" fillId="0" borderId="79" xfId="0" applyNumberFormat="1" applyFont="1" applyFill="1" applyBorder="1" applyAlignment="1">
      <alignment horizontal="center"/>
    </xf>
    <xf numFmtId="2" fontId="18" fillId="0" borderId="11" xfId="0" applyNumberFormat="1" applyFont="1" applyFill="1" applyBorder="1" applyAlignment="1">
      <alignment horizontal="center"/>
    </xf>
    <xf numFmtId="2" fontId="10" fillId="9" borderId="65" xfId="0" applyNumberFormat="1" applyFont="1" applyFill="1" applyBorder="1" applyAlignment="1">
      <alignment horizontal="center"/>
    </xf>
    <xf numFmtId="2" fontId="10" fillId="9" borderId="70" xfId="0" applyNumberFormat="1" applyFont="1" applyFill="1" applyBorder="1" applyAlignment="1">
      <alignment horizontal="center"/>
    </xf>
    <xf numFmtId="0" fontId="23" fillId="7" borderId="27" xfId="0" applyNumberFormat="1" applyFont="1" applyFill="1" applyBorder="1" applyAlignment="1">
      <alignment horizontal="center"/>
    </xf>
    <xf numFmtId="2" fontId="10" fillId="0" borderId="22" xfId="0" applyNumberFormat="1" applyFont="1" applyFill="1" applyBorder="1" applyAlignment="1">
      <alignment horizontal="center"/>
    </xf>
    <xf numFmtId="2" fontId="10" fillId="0" borderId="80" xfId="0" applyNumberFormat="1" applyFont="1" applyFill="1" applyBorder="1" applyAlignment="1">
      <alignment horizontal="center"/>
    </xf>
    <xf numFmtId="2" fontId="18" fillId="0" borderId="27" xfId="0" applyNumberFormat="1" applyFont="1" applyFill="1" applyBorder="1" applyAlignment="1">
      <alignment horizontal="center"/>
    </xf>
    <xf numFmtId="2" fontId="18" fillId="0" borderId="76" xfId="0" applyNumberFormat="1" applyFont="1" applyFill="1" applyBorder="1" applyAlignment="1">
      <alignment horizontal="center"/>
    </xf>
    <xf numFmtId="2" fontId="10" fillId="0" borderId="75" xfId="0" applyNumberFormat="1" applyFont="1" applyFill="1" applyBorder="1" applyAlignment="1">
      <alignment horizontal="center"/>
    </xf>
    <xf numFmtId="2" fontId="10" fillId="0" borderId="81" xfId="0" applyNumberFormat="1" applyFont="1" applyFill="1" applyBorder="1" applyAlignment="1">
      <alignment horizontal="center"/>
    </xf>
    <xf numFmtId="2" fontId="5" fillId="13" borderId="31" xfId="3" applyNumberFormat="1" applyFont="1" applyFill="1" applyBorder="1" applyProtection="1"/>
    <xf numFmtId="2" fontId="31" fillId="13" borderId="38" xfId="3" quotePrefix="1" applyNumberFormat="1" applyFont="1" applyFill="1" applyBorder="1" applyAlignment="1" applyProtection="1">
      <alignment horizontal="right"/>
    </xf>
    <xf numFmtId="2" fontId="34" fillId="13" borderId="31" xfId="0" applyNumberFormat="1" applyFont="1" applyFill="1" applyBorder="1" applyAlignment="1">
      <alignment horizontal="center"/>
    </xf>
    <xf numFmtId="2" fontId="34" fillId="13" borderId="13" xfId="0" applyNumberFormat="1" applyFont="1" applyFill="1" applyBorder="1" applyAlignment="1">
      <alignment horizontal="center"/>
    </xf>
    <xf numFmtId="2" fontId="34" fillId="13" borderId="48" xfId="0" applyNumberFormat="1" applyFont="1" applyFill="1" applyBorder="1" applyAlignment="1">
      <alignment horizontal="center"/>
    </xf>
    <xf numFmtId="2" fontId="34" fillId="13" borderId="50" xfId="0" applyNumberFormat="1" applyFont="1" applyFill="1" applyBorder="1" applyAlignment="1">
      <alignment horizontal="center"/>
    </xf>
    <xf numFmtId="2" fontId="5" fillId="13" borderId="4" xfId="3" applyNumberFormat="1" applyFont="1" applyFill="1" applyBorder="1" applyProtection="1"/>
    <xf numFmtId="2" fontId="31" fillId="13" borderId="34" xfId="3" quotePrefix="1" applyNumberFormat="1" applyFont="1" applyFill="1" applyBorder="1" applyAlignment="1" applyProtection="1">
      <alignment horizontal="right"/>
    </xf>
    <xf numFmtId="2" fontId="34" fillId="13" borderId="4" xfId="0" applyNumberFormat="1" applyFont="1" applyFill="1" applyBorder="1" applyAlignment="1">
      <alignment horizontal="center"/>
    </xf>
    <xf numFmtId="2" fontId="34" fillId="13" borderId="12" xfId="0" applyNumberFormat="1" applyFont="1" applyFill="1" applyBorder="1" applyAlignment="1">
      <alignment horizontal="center"/>
    </xf>
    <xf numFmtId="2" fontId="34" fillId="13" borderId="47" xfId="0" applyNumberFormat="1" applyFont="1" applyFill="1" applyBorder="1" applyAlignment="1">
      <alignment horizontal="center"/>
    </xf>
    <xf numFmtId="2" fontId="10" fillId="13" borderId="14" xfId="0" applyNumberFormat="1" applyFont="1" applyFill="1" applyBorder="1" applyAlignment="1">
      <alignment horizontal="center"/>
    </xf>
    <xf numFmtId="2" fontId="34" fillId="13" borderId="14" xfId="0" applyNumberFormat="1" applyFont="1" applyFill="1" applyBorder="1" applyAlignment="1">
      <alignment horizontal="center"/>
    </xf>
    <xf numFmtId="2" fontId="5" fillId="13" borderId="34" xfId="3" quotePrefix="1" applyNumberFormat="1" applyFont="1" applyFill="1" applyBorder="1" applyAlignment="1" applyProtection="1">
      <alignment horizontal="right"/>
    </xf>
    <xf numFmtId="2" fontId="10" fillId="13" borderId="12" xfId="0" applyNumberFormat="1" applyFont="1" applyFill="1" applyBorder="1" applyAlignment="1">
      <alignment horizontal="center"/>
    </xf>
    <xf numFmtId="2" fontId="31" fillId="13" borderId="36" xfId="3" quotePrefix="1" applyNumberFormat="1" applyFont="1" applyFill="1" applyBorder="1" applyAlignment="1" applyProtection="1">
      <alignment horizontal="right"/>
    </xf>
    <xf numFmtId="2" fontId="5" fillId="13" borderId="4" xfId="3" applyNumberFormat="1" applyFont="1" applyFill="1" applyBorder="1" applyAlignment="1" applyProtection="1"/>
    <xf numFmtId="164" fontId="32" fillId="14" borderId="0" xfId="3" applyNumberFormat="1" applyFont="1" applyFill="1" applyAlignment="1" applyProtection="1">
      <alignment horizontal="left"/>
      <protection locked="0"/>
    </xf>
    <xf numFmtId="164" fontId="17" fillId="14" borderId="0" xfId="3" applyNumberFormat="1" applyFont="1" applyFill="1" applyAlignment="1" applyProtection="1">
      <alignment horizontal="left"/>
      <protection locked="0"/>
    </xf>
    <xf numFmtId="2" fontId="5" fillId="0" borderId="37" xfId="3" applyNumberFormat="1" applyFont="1" applyFill="1" applyBorder="1" applyAlignment="1" applyProtection="1"/>
    <xf numFmtId="4" fontId="0" fillId="0" borderId="0" xfId="0" applyNumberFormat="1"/>
    <xf numFmtId="4" fontId="10" fillId="0" borderId="0" xfId="0" applyNumberFormat="1" applyFont="1" applyFill="1"/>
    <xf numFmtId="0" fontId="12" fillId="0" borderId="24" xfId="0" applyFont="1" applyFill="1" applyBorder="1"/>
    <xf numFmtId="0" fontId="6" fillId="0" borderId="0" xfId="0" applyFont="1" applyFill="1" applyBorder="1"/>
    <xf numFmtId="0" fontId="6" fillId="0" borderId="2" xfId="0" applyFont="1" applyFill="1" applyBorder="1" applyAlignment="1">
      <alignment horizontal="center"/>
    </xf>
    <xf numFmtId="0" fontId="6" fillId="0" borderId="17" xfId="0"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Font="1" applyFill="1" applyAlignment="1"/>
    <xf numFmtId="0" fontId="6" fillId="0" borderId="0" xfId="0" applyFont="1" applyFill="1" applyAlignment="1">
      <alignment horizontal="center"/>
    </xf>
    <xf numFmtId="0" fontId="6" fillId="0" borderId="29" xfId="0" applyFont="1" applyFill="1" applyBorder="1"/>
    <xf numFmtId="0" fontId="6" fillId="0" borderId="56" xfId="0" applyFont="1" applyFill="1" applyBorder="1" applyAlignment="1">
      <alignment horizontal="right"/>
    </xf>
    <xf numFmtId="2" fontId="9" fillId="0" borderId="25" xfId="0" applyNumberFormat="1" applyFont="1" applyFill="1" applyBorder="1" applyAlignment="1">
      <alignment horizontal="right"/>
    </xf>
    <xf numFmtId="2" fontId="12" fillId="0" borderId="25" xfId="0" applyNumberFormat="1" applyFont="1" applyFill="1" applyBorder="1" applyAlignment="1">
      <alignment horizontal="right"/>
    </xf>
    <xf numFmtId="0" fontId="12" fillId="0" borderId="29" xfId="0" applyFont="1" applyFill="1" applyBorder="1"/>
    <xf numFmtId="0" fontId="6" fillId="0" borderId="24" xfId="0" applyFont="1" applyFill="1" applyBorder="1" applyAlignment="1">
      <alignment wrapText="1"/>
    </xf>
    <xf numFmtId="0" fontId="8" fillId="0" borderId="24" xfId="0" applyFont="1" applyFill="1" applyBorder="1" applyAlignment="1" applyProtection="1">
      <alignment horizontal="center" wrapText="1"/>
      <protection locked="0"/>
    </xf>
    <xf numFmtId="0" fontId="8" fillId="0" borderId="0" xfId="0" applyFont="1" applyFill="1" applyAlignment="1">
      <alignment wrapText="1"/>
    </xf>
    <xf numFmtId="0" fontId="12" fillId="0" borderId="24" xfId="0" applyFont="1" applyFill="1" applyBorder="1" applyAlignment="1">
      <alignment wrapText="1"/>
    </xf>
    <xf numFmtId="0" fontId="12" fillId="0" borderId="24" xfId="0" applyFont="1" applyFill="1" applyBorder="1" applyAlignment="1" applyProtection="1">
      <alignment horizontal="center" wrapText="1"/>
      <protection locked="0"/>
    </xf>
    <xf numFmtId="0" fontId="6" fillId="0" borderId="24" xfId="0" applyFont="1" applyFill="1" applyBorder="1" applyAlignment="1" applyProtection="1">
      <alignment horizontal="center" wrapText="1"/>
    </xf>
    <xf numFmtId="0" fontId="8" fillId="0" borderId="24"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8" fillId="0" borderId="0" xfId="0" applyFont="1" applyFill="1" applyBorder="1" applyAlignment="1">
      <alignment wrapText="1"/>
    </xf>
    <xf numFmtId="1" fontId="6" fillId="0" borderId="0" xfId="0" applyNumberFormat="1" applyFont="1" applyFill="1" applyAlignment="1">
      <alignment horizontal="center"/>
    </xf>
    <xf numFmtId="2" fontId="6" fillId="0" borderId="0" xfId="0" applyNumberFormat="1" applyFont="1" applyFill="1" applyAlignment="1">
      <alignment horizontal="center"/>
    </xf>
    <xf numFmtId="0" fontId="6" fillId="0" borderId="0" xfId="0" applyFont="1" applyFill="1" applyAlignment="1">
      <alignment horizontal="left"/>
    </xf>
    <xf numFmtId="0" fontId="6" fillId="0" borderId="21" xfId="0" applyFont="1" applyFill="1" applyBorder="1" applyAlignment="1">
      <alignment horizontal="center"/>
    </xf>
    <xf numFmtId="1" fontId="6" fillId="0" borderId="21" xfId="0" applyNumberFormat="1" applyFont="1" applyFill="1" applyBorder="1" applyAlignment="1">
      <alignment horizontal="center"/>
    </xf>
    <xf numFmtId="0" fontId="6" fillId="0" borderId="24" xfId="0" applyFont="1" applyFill="1" applyBorder="1" applyAlignment="1">
      <alignment horizontal="center"/>
    </xf>
    <xf numFmtId="1" fontId="6" fillId="0" borderId="24" xfId="0" applyNumberFormat="1" applyFont="1" applyFill="1" applyBorder="1" applyAlignment="1">
      <alignment horizontal="center"/>
    </xf>
    <xf numFmtId="0" fontId="6" fillId="0" borderId="0" xfId="0" applyFont="1" applyFill="1" applyAlignment="1">
      <alignment horizontal="center" wrapText="1"/>
    </xf>
    <xf numFmtId="0" fontId="6" fillId="0" borderId="25" xfId="0" applyFont="1" applyFill="1" applyBorder="1" applyAlignment="1">
      <alignment horizontal="center"/>
    </xf>
    <xf numFmtId="1" fontId="6" fillId="0" borderId="25" xfId="0" applyNumberFormat="1" applyFont="1" applyFill="1" applyBorder="1" applyAlignment="1">
      <alignment horizontal="center" wrapText="1"/>
    </xf>
    <xf numFmtId="0" fontId="6" fillId="0" borderId="25" xfId="0" applyNumberFormat="1" applyFont="1" applyFill="1" applyBorder="1" applyAlignment="1">
      <alignment horizontal="center" wrapText="1"/>
    </xf>
    <xf numFmtId="0" fontId="12" fillId="0" borderId="0" xfId="0" applyFont="1" applyFill="1" applyBorder="1" applyAlignment="1">
      <alignment horizontal="center"/>
    </xf>
    <xf numFmtId="14" fontId="27" fillId="0" borderId="25" xfId="0" applyNumberFormat="1" applyFont="1" applyFill="1" applyBorder="1" applyAlignment="1">
      <alignment horizontal="center"/>
    </xf>
    <xf numFmtId="165" fontId="6" fillId="0" borderId="12" xfId="0" applyNumberFormat="1" applyFont="1" applyFill="1" applyBorder="1" applyAlignment="1">
      <alignment horizontal="center"/>
    </xf>
    <xf numFmtId="0" fontId="12" fillId="0" borderId="0" xfId="0" applyFont="1" applyFill="1" applyAlignment="1">
      <alignment horizontal="center"/>
    </xf>
    <xf numFmtId="2" fontId="6" fillId="0" borderId="0" xfId="0" quotePrefix="1" applyNumberFormat="1" applyFont="1" applyFill="1" applyAlignment="1">
      <alignment horizontal="center"/>
    </xf>
    <xf numFmtId="2" fontId="12" fillId="0" borderId="0" xfId="0" applyNumberFormat="1" applyFont="1" applyFill="1" applyAlignment="1">
      <alignment horizontal="center"/>
    </xf>
    <xf numFmtId="165" fontId="12" fillId="0" borderId="12" xfId="0" applyNumberFormat="1" applyFont="1" applyFill="1" applyBorder="1" applyAlignment="1">
      <alignment horizontal="center"/>
    </xf>
    <xf numFmtId="2" fontId="12" fillId="0" borderId="0" xfId="0" quotePrefix="1" applyNumberFormat="1" applyFont="1" applyFill="1" applyAlignment="1">
      <alignment horizontal="center"/>
    </xf>
    <xf numFmtId="2" fontId="12" fillId="0" borderId="0" xfId="0" applyNumberFormat="1" applyFont="1" applyFill="1" applyBorder="1" applyAlignment="1">
      <alignment horizontal="center"/>
    </xf>
    <xf numFmtId="173" fontId="12" fillId="0" borderId="0" xfId="0" applyNumberFormat="1" applyFont="1" applyFill="1" applyAlignment="1">
      <alignment horizontal="center"/>
    </xf>
    <xf numFmtId="0" fontId="0" fillId="0" borderId="0" xfId="0" applyFill="1"/>
    <xf numFmtId="1" fontId="12" fillId="0" borderId="0" xfId="0" applyNumberFormat="1" applyFont="1" applyFill="1" applyAlignment="1">
      <alignment horizontal="center"/>
    </xf>
    <xf numFmtId="2" fontId="6" fillId="0" borderId="0" xfId="0" applyNumberFormat="1" applyFont="1" applyBorder="1" applyAlignment="1"/>
    <xf numFmtId="0" fontId="6" fillId="15" borderId="24" xfId="0" applyFont="1" applyFill="1" applyBorder="1" applyAlignment="1" applyProtection="1">
      <alignment horizontal="center" wrapText="1"/>
      <protection locked="0"/>
    </xf>
    <xf numFmtId="2" fontId="6" fillId="15" borderId="24" xfId="0" applyNumberFormat="1" applyFont="1" applyFill="1" applyBorder="1" applyAlignment="1"/>
    <xf numFmtId="0" fontId="44" fillId="16" borderId="0" xfId="2" applyNumberFormat="1" applyFont="1" applyFill="1" applyBorder="1" applyAlignment="1">
      <alignment horizontal="center"/>
    </xf>
    <xf numFmtId="0" fontId="45" fillId="16" borderId="0" xfId="2" applyNumberFormat="1" applyFont="1" applyFill="1" applyBorder="1" applyAlignment="1">
      <alignment horizontal="center" textRotation="90" wrapText="1"/>
    </xf>
    <xf numFmtId="0" fontId="44" fillId="16" borderId="0" xfId="2" applyNumberFormat="1" applyFont="1" applyFill="1" applyBorder="1"/>
    <xf numFmtId="0" fontId="41" fillId="16" borderId="0" xfId="2" applyNumberFormat="1" applyFill="1" applyBorder="1"/>
    <xf numFmtId="0" fontId="0" fillId="0" borderId="29" xfId="0" applyBorder="1"/>
    <xf numFmtId="0" fontId="10" fillId="0" borderId="29" xfId="0" applyNumberFormat="1" applyFont="1" applyFill="1" applyBorder="1"/>
    <xf numFmtId="0" fontId="6" fillId="15" borderId="0" xfId="0" applyFont="1" applyFill="1" applyAlignment="1">
      <alignment horizontal="right"/>
    </xf>
    <xf numFmtId="2" fontId="12" fillId="15" borderId="12" xfId="0" applyNumberFormat="1" applyFont="1" applyFill="1" applyBorder="1" applyAlignment="1"/>
    <xf numFmtId="2" fontId="12" fillId="15" borderId="24" xfId="0" applyNumberFormat="1" applyFont="1" applyFill="1" applyBorder="1" applyAlignment="1"/>
    <xf numFmtId="0" fontId="2" fillId="0" borderId="24" xfId="0" applyFont="1" applyFill="1" applyBorder="1" applyAlignment="1" applyProtection="1">
      <alignment horizontal="center" wrapText="1"/>
      <protection locked="0"/>
    </xf>
    <xf numFmtId="0" fontId="2" fillId="0" borderId="0" xfId="0" applyFont="1" applyFill="1" applyBorder="1" applyAlignment="1">
      <alignment horizontal="center"/>
    </xf>
    <xf numFmtId="2" fontId="10" fillId="0" borderId="16" xfId="0" applyNumberFormat="1" applyFont="1" applyFill="1" applyBorder="1" applyAlignment="1">
      <alignment horizontal="center"/>
    </xf>
    <xf numFmtId="2" fontId="10" fillId="0" borderId="31" xfId="0" applyNumberFormat="1" applyFont="1" applyFill="1" applyBorder="1" applyAlignment="1">
      <alignment horizontal="center"/>
    </xf>
    <xf numFmtId="2" fontId="10" fillId="0" borderId="13" xfId="0" applyNumberFormat="1" applyFont="1" applyFill="1" applyBorder="1" applyAlignment="1">
      <alignment horizontal="center"/>
    </xf>
    <xf numFmtId="2" fontId="10" fillId="0" borderId="48" xfId="0" applyNumberFormat="1" applyFont="1" applyFill="1" applyBorder="1" applyAlignment="1">
      <alignment horizontal="center"/>
    </xf>
    <xf numFmtId="2" fontId="10" fillId="0" borderId="50" xfId="0" applyNumberFormat="1" applyFont="1" applyFill="1" applyBorder="1" applyAlignment="1">
      <alignment horizontal="center"/>
    </xf>
    <xf numFmtId="2" fontId="10" fillId="0" borderId="19" xfId="0" applyNumberFormat="1" applyFont="1" applyFill="1" applyBorder="1" applyAlignment="1">
      <alignment horizontal="center"/>
    </xf>
    <xf numFmtId="2" fontId="10" fillId="0" borderId="32" xfId="0" applyNumberFormat="1" applyFont="1" applyFill="1" applyBorder="1" applyAlignment="1">
      <alignment horizontal="center"/>
    </xf>
    <xf numFmtId="2" fontId="10" fillId="0" borderId="15" xfId="0" applyNumberFormat="1" applyFont="1" applyFill="1" applyBorder="1" applyAlignment="1">
      <alignment horizontal="center"/>
    </xf>
    <xf numFmtId="2" fontId="10" fillId="0" borderId="49" xfId="0" applyNumberFormat="1" applyFont="1" applyFill="1" applyBorder="1" applyAlignment="1">
      <alignment horizontal="center"/>
    </xf>
    <xf numFmtId="0" fontId="2" fillId="0" borderId="0" xfId="0" applyFont="1" applyAlignment="1">
      <alignment horizontal="center"/>
    </xf>
    <xf numFmtId="0" fontId="2" fillId="10" borderId="21" xfId="0" applyFont="1" applyFill="1" applyBorder="1" applyAlignment="1">
      <alignment horizontal="center"/>
    </xf>
    <xf numFmtId="0" fontId="2" fillId="10" borderId="24" xfId="0" applyFont="1" applyFill="1" applyBorder="1" applyAlignment="1">
      <alignment horizontal="center"/>
    </xf>
    <xf numFmtId="0" fontId="2" fillId="10" borderId="25" xfId="0" applyNumberFormat="1" applyFont="1" applyFill="1" applyBorder="1" applyAlignment="1">
      <alignment horizontal="center" textRotation="90" wrapText="1"/>
    </xf>
    <xf numFmtId="2" fontId="2" fillId="0" borderId="0" xfId="0" applyNumberFormat="1" applyFont="1" applyAlignment="1">
      <alignment horizontal="center"/>
    </xf>
    <xf numFmtId="2" fontId="2" fillId="0" borderId="22" xfId="3" applyNumberFormat="1" applyFont="1" applyFill="1" applyBorder="1" applyAlignment="1" applyProtection="1">
      <alignment horizontal="center"/>
    </xf>
    <xf numFmtId="2" fontId="2" fillId="0" borderId="0" xfId="3" applyNumberFormat="1" applyFont="1" applyFill="1" applyBorder="1" applyAlignment="1" applyProtection="1">
      <alignment horizontal="center"/>
    </xf>
    <xf numFmtId="2" fontId="8" fillId="0" borderId="0" xfId="0" applyNumberFormat="1" applyFont="1"/>
    <xf numFmtId="166" fontId="10" fillId="10" borderId="0" xfId="3" applyNumberFormat="1" applyFont="1" applyFill="1" applyBorder="1" applyAlignment="1" applyProtection="1">
      <alignment horizontal="center"/>
    </xf>
    <xf numFmtId="1" fontId="10" fillId="10" borderId="0" xfId="3" applyNumberFormat="1" applyFont="1" applyFill="1" applyBorder="1" applyAlignment="1" applyProtection="1">
      <alignment horizontal="center"/>
    </xf>
    <xf numFmtId="171" fontId="41" fillId="18" borderId="12" xfId="2" applyNumberFormat="1" applyFill="1" applyBorder="1" applyAlignment="1">
      <alignment horizontal="right"/>
    </xf>
    <xf numFmtId="171" fontId="41" fillId="19" borderId="12" xfId="2" applyNumberFormat="1" applyFill="1" applyBorder="1" applyAlignment="1">
      <alignment horizontal="right"/>
    </xf>
    <xf numFmtId="0" fontId="41" fillId="19" borderId="46" xfId="2" applyNumberFormat="1" applyFill="1" applyBorder="1"/>
    <xf numFmtId="0" fontId="41" fillId="19" borderId="36" xfId="2" applyNumberFormat="1" applyFill="1" applyBorder="1"/>
    <xf numFmtId="171" fontId="41" fillId="19" borderId="47" xfId="2" applyNumberFormat="1" applyFill="1" applyBorder="1" applyAlignment="1">
      <alignment horizontal="right"/>
    </xf>
    <xf numFmtId="0" fontId="41" fillId="19" borderId="0" xfId="2" applyNumberFormat="1" applyFill="1" applyBorder="1" applyAlignment="1">
      <alignment textRotation="90" wrapText="1"/>
    </xf>
    <xf numFmtId="0" fontId="41" fillId="19" borderId="22" xfId="2" applyNumberFormat="1" applyFill="1" applyBorder="1" applyAlignment="1">
      <alignment textRotation="90" wrapText="1"/>
    </xf>
    <xf numFmtId="0" fontId="41" fillId="19" borderId="1" xfId="2" applyNumberFormat="1" applyFill="1" applyBorder="1"/>
    <xf numFmtId="0" fontId="41" fillId="19" borderId="76" xfId="2" applyNumberFormat="1" applyFill="1" applyBorder="1"/>
    <xf numFmtId="0" fontId="41" fillId="18" borderId="33" xfId="2" applyNumberFormat="1" applyFill="1" applyBorder="1" applyAlignment="1">
      <alignment textRotation="90" wrapText="1"/>
    </xf>
    <xf numFmtId="0" fontId="41" fillId="18" borderId="22" xfId="2" applyNumberFormat="1" applyFill="1" applyBorder="1" applyAlignment="1">
      <alignment textRotation="90" wrapText="1"/>
    </xf>
    <xf numFmtId="0" fontId="41" fillId="18" borderId="73" xfId="2" applyNumberFormat="1" applyFill="1" applyBorder="1"/>
    <xf numFmtId="0" fontId="41" fillId="18" borderId="76" xfId="2" applyNumberFormat="1" applyFill="1" applyBorder="1"/>
    <xf numFmtId="0" fontId="41" fillId="18" borderId="46" xfId="2" applyNumberFormat="1" applyFill="1" applyBorder="1"/>
    <xf numFmtId="0" fontId="41" fillId="18" borderId="36" xfId="2" applyNumberFormat="1" applyFill="1" applyBorder="1"/>
    <xf numFmtId="0" fontId="41" fillId="18" borderId="5" xfId="2" applyNumberFormat="1" applyFill="1" applyBorder="1"/>
    <xf numFmtId="0" fontId="41" fillId="18" borderId="45" xfId="2" applyNumberFormat="1" applyFill="1" applyBorder="1"/>
    <xf numFmtId="171" fontId="41" fillId="18" borderId="26" xfId="2" applyNumberFormat="1" applyFill="1" applyBorder="1" applyAlignment="1">
      <alignment horizontal="right"/>
    </xf>
    <xf numFmtId="0" fontId="41" fillId="20" borderId="46" xfId="2" applyNumberFormat="1" applyFill="1" applyBorder="1"/>
    <xf numFmtId="0" fontId="41" fillId="20" borderId="36" xfId="2" applyNumberFormat="1" applyFill="1" applyBorder="1"/>
    <xf numFmtId="171" fontId="41" fillId="20" borderId="47" xfId="2" applyNumberFormat="1" applyFill="1" applyBorder="1" applyAlignment="1">
      <alignment horizontal="right"/>
    </xf>
    <xf numFmtId="171" fontId="41" fillId="20" borderId="12" xfId="2" applyNumberFormat="1" applyFill="1" applyBorder="1" applyAlignment="1">
      <alignment horizontal="right"/>
    </xf>
    <xf numFmtId="0" fontId="41" fillId="20" borderId="33" xfId="2" applyNumberFormat="1" applyFill="1" applyBorder="1" applyAlignment="1">
      <alignment textRotation="90" wrapText="1"/>
    </xf>
    <xf numFmtId="0" fontId="41" fillId="20" borderId="51" xfId="2" applyNumberFormat="1" applyFill="1" applyBorder="1" applyAlignment="1">
      <alignment textRotation="90" wrapText="1"/>
    </xf>
    <xf numFmtId="0" fontId="41" fillId="20" borderId="73" xfId="2" applyNumberFormat="1" applyFill="1" applyBorder="1"/>
    <xf numFmtId="0" fontId="41" fillId="20" borderId="8" xfId="2" applyNumberFormat="1" applyFill="1" applyBorder="1"/>
    <xf numFmtId="2" fontId="10" fillId="0" borderId="51" xfId="0" applyNumberFormat="1" applyFont="1" applyFill="1" applyBorder="1" applyAlignment="1">
      <alignment horizontal="left"/>
    </xf>
    <xf numFmtId="0" fontId="46" fillId="10" borderId="55" xfId="2" applyNumberFormat="1" applyFont="1" applyFill="1" applyBorder="1" applyAlignment="1">
      <alignment horizontal="center" textRotation="90" wrapText="1"/>
    </xf>
    <xf numFmtId="0" fontId="46" fillId="10" borderId="54" xfId="2" applyNumberFormat="1" applyFont="1" applyFill="1" applyBorder="1" applyAlignment="1">
      <alignment horizontal="center" textRotation="90" wrapText="1"/>
    </xf>
    <xf numFmtId="171" fontId="47" fillId="10" borderId="10" xfId="2" applyNumberFormat="1" applyFont="1" applyFill="1" applyBorder="1" applyAlignment="1">
      <alignment horizontal="center"/>
    </xf>
    <xf numFmtId="0" fontId="2" fillId="0" borderId="25" xfId="0" applyNumberFormat="1" applyFont="1" applyFill="1" applyBorder="1" applyAlignment="1">
      <alignment horizontal="center" textRotation="90" wrapText="1"/>
    </xf>
    <xf numFmtId="2" fontId="10" fillId="16" borderId="14" xfId="0" applyNumberFormat="1" applyFont="1" applyFill="1" applyBorder="1" applyAlignment="1">
      <alignment horizontal="center"/>
    </xf>
    <xf numFmtId="2" fontId="34" fillId="16" borderId="14" xfId="0" applyNumberFormat="1" applyFont="1" applyFill="1" applyBorder="1" applyAlignment="1">
      <alignment horizontal="center"/>
    </xf>
    <xf numFmtId="2" fontId="34" fillId="16" borderId="16" xfId="0" applyNumberFormat="1" applyFont="1" applyFill="1" applyBorder="1" applyAlignment="1">
      <alignment horizontal="center"/>
    </xf>
    <xf numFmtId="2" fontId="10" fillId="16" borderId="50" xfId="0" applyNumberFormat="1" applyFont="1" applyFill="1" applyBorder="1" applyAlignment="1">
      <alignment horizontal="center"/>
    </xf>
    <xf numFmtId="2" fontId="10" fillId="16" borderId="16" xfId="0" applyNumberFormat="1" applyFont="1" applyFill="1" applyBorder="1" applyAlignment="1">
      <alignment horizontal="center"/>
    </xf>
    <xf numFmtId="0" fontId="2" fillId="0" borderId="25" xfId="0" applyFont="1" applyFill="1" applyBorder="1" applyAlignment="1">
      <alignment horizontal="center" wrapText="1"/>
    </xf>
    <xf numFmtId="2" fontId="12" fillId="0" borderId="25" xfId="0" applyNumberFormat="1" applyFont="1" applyBorder="1" applyAlignment="1"/>
    <xf numFmtId="2" fontId="27" fillId="0" borderId="25" xfId="0" applyNumberFormat="1" applyFont="1" applyBorder="1" applyAlignment="1"/>
    <xf numFmtId="2" fontId="6" fillId="0" borderId="25" xfId="0" applyNumberFormat="1" applyFont="1" applyBorder="1" applyAlignment="1"/>
    <xf numFmtId="2" fontId="39" fillId="0" borderId="25" xfId="0" applyNumberFormat="1" applyFont="1" applyBorder="1" applyAlignment="1"/>
    <xf numFmtId="2" fontId="27" fillId="0" borderId="24" xfId="0" applyNumberFormat="1" applyFont="1" applyBorder="1" applyAlignment="1"/>
    <xf numFmtId="0" fontId="12" fillId="0" borderId="24" xfId="0" applyFont="1" applyFill="1" applyBorder="1" applyAlignment="1">
      <alignment horizontal="right"/>
    </xf>
    <xf numFmtId="2" fontId="12" fillId="0" borderId="24" xfId="0" applyNumberFormat="1" applyFont="1" applyFill="1" applyBorder="1" applyAlignment="1">
      <alignment horizontal="right"/>
    </xf>
    <xf numFmtId="2" fontId="50" fillId="0" borderId="24" xfId="0" applyNumberFormat="1" applyFont="1" applyFill="1" applyBorder="1" applyAlignment="1"/>
    <xf numFmtId="166" fontId="6" fillId="0" borderId="24" xfId="0" applyNumberFormat="1" applyFont="1" applyBorder="1"/>
    <xf numFmtId="166" fontId="6" fillId="0" borderId="24" xfId="0" applyNumberFormat="1" applyFont="1" applyFill="1" applyBorder="1" applyAlignment="1"/>
    <xf numFmtId="166" fontId="6" fillId="0" borderId="24" xfId="0" applyNumberFormat="1" applyFont="1" applyFill="1" applyBorder="1"/>
    <xf numFmtId="166" fontId="12" fillId="0" borderId="24" xfId="0" applyNumberFormat="1" applyFont="1" applyFill="1" applyBorder="1" applyAlignment="1"/>
    <xf numFmtId="166" fontId="12" fillId="0" borderId="24" xfId="0" applyNumberFormat="1" applyFont="1" applyFill="1" applyBorder="1"/>
    <xf numFmtId="0" fontId="2" fillId="0" borderId="24" xfId="0" applyFont="1" applyBorder="1" applyAlignment="1">
      <alignment horizontal="right"/>
    </xf>
    <xf numFmtId="0" fontId="2" fillId="0" borderId="0" xfId="0" applyFont="1" applyBorder="1" applyAlignment="1">
      <alignment horizontal="center"/>
    </xf>
    <xf numFmtId="2" fontId="10" fillId="0" borderId="59" xfId="3" applyNumberFormat="1" applyFont="1" applyFill="1" applyBorder="1" applyAlignment="1" applyProtection="1">
      <alignment horizontal="center"/>
    </xf>
    <xf numFmtId="2" fontId="10" fillId="0" borderId="24" xfId="3" applyNumberFormat="1" applyFont="1" applyFill="1" applyBorder="1" applyAlignment="1" applyProtection="1">
      <alignment horizontal="center"/>
    </xf>
    <xf numFmtId="2" fontId="10" fillId="0" borderId="58" xfId="3" applyNumberFormat="1" applyFont="1" applyFill="1" applyBorder="1" applyAlignment="1" applyProtection="1">
      <alignment horizontal="center"/>
    </xf>
    <xf numFmtId="0" fontId="51" fillId="0" borderId="59" xfId="3" applyNumberFormat="1" applyFont="1" applyFill="1" applyBorder="1" applyAlignment="1" applyProtection="1">
      <alignment horizontal="center"/>
    </xf>
    <xf numFmtId="166" fontId="2" fillId="0" borderId="0" xfId="0" applyNumberFormat="1" applyFont="1" applyFill="1" applyAlignment="1">
      <alignment horizontal="center"/>
    </xf>
    <xf numFmtId="166" fontId="2" fillId="0" borderId="45" xfId="0" applyNumberFormat="1" applyFont="1" applyFill="1" applyBorder="1" applyAlignment="1">
      <alignment horizontal="center"/>
    </xf>
    <xf numFmtId="166" fontId="2" fillId="0" borderId="5" xfId="0" applyNumberFormat="1" applyFont="1" applyFill="1" applyBorder="1" applyAlignment="1">
      <alignment horizontal="center"/>
    </xf>
    <xf numFmtId="166" fontId="2" fillId="0" borderId="26" xfId="0" applyNumberFormat="1" applyFont="1" applyFill="1" applyBorder="1" applyAlignment="1">
      <alignment horizontal="center"/>
    </xf>
    <xf numFmtId="166" fontId="2" fillId="0" borderId="33" xfId="0" applyNumberFormat="1" applyFont="1" applyFill="1" applyBorder="1" applyAlignment="1">
      <alignment horizontal="center"/>
    </xf>
    <xf numFmtId="166" fontId="2" fillId="0" borderId="0" xfId="0" applyNumberFormat="1" applyFont="1" applyFill="1" applyBorder="1" applyAlignment="1">
      <alignment horizontal="center"/>
    </xf>
    <xf numFmtId="166" fontId="2" fillId="0" borderId="22" xfId="0" applyNumberFormat="1" applyFont="1" applyFill="1" applyBorder="1" applyAlignment="1">
      <alignment horizontal="center"/>
    </xf>
    <xf numFmtId="2" fontId="0" fillId="0" borderId="33" xfId="0" applyNumberFormat="1" applyFill="1" applyBorder="1" applyAlignment="1">
      <alignment horizontal="center"/>
    </xf>
    <xf numFmtId="2" fontId="0" fillId="0" borderId="0" xfId="0" applyNumberFormat="1" applyFill="1" applyBorder="1" applyAlignment="1">
      <alignment horizontal="center"/>
    </xf>
    <xf numFmtId="166" fontId="0" fillId="0" borderId="22" xfId="0" applyNumberFormat="1" applyFill="1" applyBorder="1" applyAlignment="1">
      <alignment horizontal="center"/>
    </xf>
    <xf numFmtId="2" fontId="0" fillId="0" borderId="28" xfId="0" applyNumberFormat="1" applyFill="1" applyBorder="1" applyAlignment="1">
      <alignment horizontal="center"/>
    </xf>
    <xf numFmtId="2" fontId="0" fillId="0" borderId="29" xfId="0" applyNumberFormat="1" applyFill="1" applyBorder="1" applyAlignment="1">
      <alignment horizontal="center"/>
    </xf>
    <xf numFmtId="166" fontId="0" fillId="0" borderId="27" xfId="0" applyNumberFormat="1" applyFill="1" applyBorder="1" applyAlignment="1">
      <alignment horizontal="center"/>
    </xf>
    <xf numFmtId="2" fontId="0" fillId="0" borderId="45" xfId="0" applyNumberFormat="1" applyFill="1" applyBorder="1" applyAlignment="1">
      <alignment horizontal="center"/>
    </xf>
    <xf numFmtId="2" fontId="0" fillId="0" borderId="5" xfId="0" applyNumberFormat="1" applyFill="1" applyBorder="1" applyAlignment="1">
      <alignment horizontal="center"/>
    </xf>
    <xf numFmtId="166" fontId="0" fillId="0" borderId="26" xfId="0" applyNumberFormat="1" applyFill="1" applyBorder="1" applyAlignment="1">
      <alignment horizontal="center"/>
    </xf>
    <xf numFmtId="0" fontId="2" fillId="0" borderId="0" xfId="0" applyFont="1" applyFill="1" applyBorder="1" applyAlignment="1" applyProtection="1">
      <alignment horizontal="center" wrapText="1"/>
    </xf>
    <xf numFmtId="0" fontId="2" fillId="0" borderId="24" xfId="0" applyFont="1" applyFill="1" applyBorder="1"/>
    <xf numFmtId="0" fontId="2" fillId="0" borderId="0" xfId="0" applyFont="1"/>
    <xf numFmtId="0" fontId="2" fillId="0" borderId="0" xfId="0" applyFont="1" applyFill="1"/>
    <xf numFmtId="2" fontId="2" fillId="0" borderId="24" xfId="0" applyNumberFormat="1" applyFont="1" applyBorder="1" applyAlignment="1"/>
    <xf numFmtId="0" fontId="2" fillId="0" borderId="0" xfId="0" applyFont="1" applyAlignment="1">
      <alignment horizontal="right"/>
    </xf>
    <xf numFmtId="2" fontId="2" fillId="0" borderId="12" xfId="0" applyNumberFormat="1" applyFont="1" applyBorder="1" applyAlignment="1"/>
    <xf numFmtId="0" fontId="2" fillId="0" borderId="12" xfId="0" applyFont="1" applyFill="1" applyBorder="1" applyAlignment="1">
      <alignment horizontal="center"/>
    </xf>
    <xf numFmtId="0" fontId="2" fillId="0" borderId="25" xfId="0" applyFont="1" applyFill="1" applyBorder="1" applyAlignment="1">
      <alignment horizontal="center" wrapText="1"/>
    </xf>
    <xf numFmtId="2" fontId="2" fillId="0" borderId="24" xfId="0" applyNumberFormat="1" applyFont="1" applyFill="1" applyBorder="1" applyAlignment="1"/>
    <xf numFmtId="0" fontId="2" fillId="0" borderId="17" xfId="0" applyFont="1" applyFill="1" applyBorder="1" applyAlignment="1"/>
    <xf numFmtId="0" fontId="2" fillId="0" borderId="0" xfId="0" applyFont="1" applyFill="1" applyBorder="1" applyAlignment="1"/>
    <xf numFmtId="0" fontId="2" fillId="0" borderId="0" xfId="0" applyFont="1" applyFill="1" applyAlignment="1"/>
    <xf numFmtId="2" fontId="2" fillId="0" borderId="25" xfId="0" applyNumberFormat="1" applyFont="1" applyBorder="1" applyAlignment="1"/>
    <xf numFmtId="1" fontId="2" fillId="0" borderId="25" xfId="3" applyNumberFormat="1" applyFont="1" applyFill="1" applyBorder="1" applyAlignment="1" applyProtection="1">
      <alignment horizontal="center" wrapText="1"/>
    </xf>
    <xf numFmtId="0" fontId="2" fillId="0" borderId="21" xfId="0" applyFont="1" applyFill="1" applyBorder="1" applyAlignment="1" applyProtection="1">
      <alignment horizontal="center" wrapText="1"/>
    </xf>
    <xf numFmtId="166" fontId="2" fillId="0" borderId="24" xfId="0" applyNumberFormat="1" applyFont="1" applyFill="1" applyBorder="1"/>
    <xf numFmtId="166" fontId="12" fillId="0" borderId="24" xfId="0" applyNumberFormat="1" applyFont="1" applyFill="1" applyBorder="1" applyAlignment="1">
      <alignment horizontal="right"/>
    </xf>
    <xf numFmtId="166" fontId="2" fillId="0" borderId="24" xfId="0" applyNumberFormat="1" applyFont="1" applyFill="1" applyBorder="1" applyAlignment="1">
      <alignment horizontal="right"/>
    </xf>
    <xf numFmtId="0" fontId="6" fillId="17" borderId="0" xfId="0" applyFont="1" applyFill="1" applyAlignment="1">
      <alignment horizontal="center"/>
    </xf>
    <xf numFmtId="0" fontId="6" fillId="17" borderId="21" xfId="0" applyFont="1" applyFill="1" applyBorder="1" applyAlignment="1">
      <alignment horizontal="center"/>
    </xf>
    <xf numFmtId="0" fontId="6" fillId="17" borderId="24" xfId="0" applyFont="1" applyFill="1" applyBorder="1" applyAlignment="1">
      <alignment horizontal="center"/>
    </xf>
    <xf numFmtId="0" fontId="6" fillId="17" borderId="25" xfId="0" applyNumberFormat="1" applyFont="1" applyFill="1" applyBorder="1" applyAlignment="1">
      <alignment horizontal="center" wrapText="1"/>
    </xf>
    <xf numFmtId="173" fontId="6" fillId="17" borderId="0" xfId="0" applyNumberFormat="1" applyFont="1" applyFill="1" applyAlignment="1">
      <alignment horizontal="center"/>
    </xf>
    <xf numFmtId="0" fontId="12" fillId="17" borderId="0" xfId="0" applyFont="1" applyFill="1" applyAlignment="1">
      <alignment horizontal="center"/>
    </xf>
    <xf numFmtId="2" fontId="2" fillId="0" borderId="24" xfId="0" applyNumberFormat="1" applyFont="1" applyBorder="1" applyAlignment="1">
      <alignment horizontal="right"/>
    </xf>
    <xf numFmtId="2" fontId="12" fillId="17" borderId="0" xfId="0" applyNumberFormat="1" applyFont="1" applyFill="1" applyAlignment="1">
      <alignment horizontal="center"/>
    </xf>
    <xf numFmtId="166" fontId="6" fillId="0" borderId="24" xfId="0" applyNumberFormat="1" applyFont="1" applyFill="1" applyBorder="1" applyAlignment="1">
      <alignment horizontal="right"/>
    </xf>
    <xf numFmtId="2" fontId="2" fillId="0" borderId="25" xfId="0" applyNumberFormat="1" applyFont="1" applyFill="1" applyBorder="1" applyAlignment="1">
      <alignment horizontal="right"/>
    </xf>
    <xf numFmtId="2" fontId="2" fillId="0" borderId="25" xfId="3" applyNumberFormat="1" applyFont="1" applyFill="1" applyBorder="1" applyAlignment="1" applyProtection="1">
      <alignment horizontal="center" wrapText="1"/>
    </xf>
    <xf numFmtId="2" fontId="2" fillId="0" borderId="0" xfId="0" applyNumberFormat="1" applyFont="1" applyAlignment="1">
      <alignment horizontal="right"/>
    </xf>
    <xf numFmtId="166" fontId="2" fillId="0" borderId="24" xfId="0" applyNumberFormat="1" applyFont="1" applyFill="1" applyBorder="1" applyAlignment="1"/>
    <xf numFmtId="166" fontId="7" fillId="0" borderId="25" xfId="0" applyNumberFormat="1" applyFont="1" applyFill="1" applyBorder="1" applyAlignment="1" applyProtection="1">
      <alignment horizontal="right" wrapText="1"/>
      <protection locked="0"/>
    </xf>
    <xf numFmtId="2" fontId="12" fillId="0" borderId="0" xfId="0" applyNumberFormat="1" applyFont="1" applyFill="1" applyBorder="1" applyAlignment="1"/>
    <xf numFmtId="0" fontId="1" fillId="0" borderId="0" xfId="52" applyNumberFormat="1" applyFill="1" applyAlignment="1">
      <alignment horizontal="center"/>
    </xf>
    <xf numFmtId="0" fontId="1" fillId="0" borderId="0" xfId="52" applyNumberFormat="1" applyFill="1" applyAlignment="1">
      <alignment horizontal="center"/>
    </xf>
    <xf numFmtId="0" fontId="2" fillId="0" borderId="0" xfId="0" applyFont="1" applyFill="1" applyAlignment="1">
      <alignment wrapText="1"/>
    </xf>
    <xf numFmtId="0" fontId="2" fillId="0" borderId="11" xfId="0" applyFont="1" applyFill="1" applyBorder="1" applyAlignment="1">
      <alignment horizontal="center" wrapText="1"/>
    </xf>
    <xf numFmtId="2" fontId="2" fillId="0" borderId="56" xfId="3" applyNumberFormat="1" applyFont="1" applyFill="1" applyBorder="1" applyAlignment="1" applyProtection="1">
      <alignment horizontal="center" wrapText="1"/>
    </xf>
    <xf numFmtId="2" fontId="2" fillId="0" borderId="24" xfId="3" applyNumberFormat="1" applyFont="1" applyFill="1" applyBorder="1" applyAlignment="1" applyProtection="1">
      <alignment horizontal="center" wrapText="1"/>
    </xf>
    <xf numFmtId="14" fontId="7" fillId="0" borderId="12" xfId="0" applyNumberFormat="1" applyFont="1" applyBorder="1" applyAlignment="1">
      <alignment horizontal="center"/>
    </xf>
    <xf numFmtId="165" fontId="2" fillId="0" borderId="24" xfId="0" applyNumberFormat="1" applyFont="1" applyBorder="1" applyAlignment="1"/>
    <xf numFmtId="14" fontId="7" fillId="0" borderId="25" xfId="0" applyNumberFormat="1" applyFont="1" applyBorder="1" applyAlignment="1">
      <alignment horizontal="center"/>
    </xf>
    <xf numFmtId="0" fontId="23" fillId="0" borderId="30" xfId="0" applyNumberFormat="1" applyFont="1" applyFill="1" applyBorder="1" applyAlignment="1">
      <alignment horizontal="center"/>
    </xf>
    <xf numFmtId="169" fontId="24" fillId="0" borderId="59" xfId="0" applyNumberFormat="1" applyFont="1" applyFill="1" applyBorder="1" applyAlignment="1">
      <alignment horizontal="center"/>
    </xf>
    <xf numFmtId="2" fontId="10" fillId="0" borderId="51" xfId="0" quotePrefix="1" applyNumberFormat="1" applyFont="1" applyFill="1" applyBorder="1" applyAlignment="1">
      <alignment horizontal="center"/>
    </xf>
    <xf numFmtId="2" fontId="10" fillId="0" borderId="0" xfId="0" quotePrefix="1" applyNumberFormat="1" applyFont="1" applyFill="1" applyBorder="1" applyAlignment="1">
      <alignment horizontal="center"/>
    </xf>
    <xf numFmtId="0" fontId="10" fillId="0" borderId="51" xfId="0" applyNumberFormat="1" applyFont="1" applyFill="1" applyBorder="1" applyAlignment="1">
      <alignment horizontal="center"/>
    </xf>
    <xf numFmtId="4" fontId="18" fillId="0" borderId="59" xfId="0" quotePrefix="1" applyNumberFormat="1" applyFont="1" applyFill="1" applyBorder="1" applyAlignment="1">
      <alignment horizontal="left"/>
    </xf>
    <xf numFmtId="4" fontId="24" fillId="0" borderId="58" xfId="0" applyNumberFormat="1" applyFont="1" applyFill="1" applyBorder="1" applyAlignment="1">
      <alignment horizontal="center"/>
    </xf>
    <xf numFmtId="4" fontId="24" fillId="0" borderId="6" xfId="0" applyNumberFormat="1" applyFont="1" applyFill="1" applyBorder="1" applyAlignment="1">
      <alignment horizontal="center"/>
    </xf>
    <xf numFmtId="4" fontId="24" fillId="0" borderId="24" xfId="0" applyNumberFormat="1" applyFont="1" applyFill="1" applyBorder="1" applyAlignment="1">
      <alignment horizontal="center"/>
    </xf>
    <xf numFmtId="4" fontId="24" fillId="0" borderId="0" xfId="0" applyNumberFormat="1" applyFont="1" applyFill="1" applyBorder="1" applyAlignment="1">
      <alignment horizontal="center"/>
    </xf>
    <xf numFmtId="4" fontId="24" fillId="0" borderId="51" xfId="0" applyNumberFormat="1" applyFont="1" applyFill="1" applyBorder="1" applyAlignment="1">
      <alignment horizontal="center"/>
    </xf>
    <xf numFmtId="4" fontId="24" fillId="0" borderId="75" xfId="0" applyNumberFormat="1" applyFont="1" applyFill="1" applyBorder="1" applyAlignment="1">
      <alignment horizontal="center"/>
    </xf>
    <xf numFmtId="2" fontId="24" fillId="0" borderId="35" xfId="0" applyNumberFormat="1" applyFont="1" applyFill="1" applyBorder="1" applyAlignment="1">
      <alignment horizontal="center"/>
    </xf>
    <xf numFmtId="0" fontId="18" fillId="0" borderId="72" xfId="0" applyNumberFormat="1" applyFont="1" applyFill="1" applyBorder="1" applyAlignment="1">
      <alignment horizontal="left"/>
    </xf>
    <xf numFmtId="0" fontId="10" fillId="0" borderId="17" xfId="0" applyNumberFormat="1" applyFont="1" applyFill="1" applyBorder="1"/>
    <xf numFmtId="0" fontId="10" fillId="0" borderId="33" xfId="0" applyNumberFormat="1" applyFont="1" applyFill="1" applyBorder="1" applyAlignment="1"/>
    <xf numFmtId="0" fontId="10" fillId="0" borderId="22" xfId="0" applyNumberFormat="1" applyFont="1" applyFill="1" applyBorder="1"/>
    <xf numFmtId="0" fontId="35" fillId="52" borderId="1" xfId="0" applyNumberFormat="1" applyFont="1" applyFill="1" applyBorder="1" applyAlignment="1">
      <alignment horizontal="center"/>
    </xf>
    <xf numFmtId="2" fontId="10" fillId="52" borderId="24" xfId="0" applyNumberFormat="1" applyFont="1" applyFill="1" applyBorder="1" applyAlignment="1">
      <alignment horizontal="center"/>
    </xf>
    <xf numFmtId="2" fontId="10" fillId="52" borderId="58" xfId="0" applyNumberFormat="1" applyFont="1" applyFill="1" applyBorder="1" applyAlignment="1">
      <alignment horizontal="center"/>
    </xf>
    <xf numFmtId="0" fontId="10" fillId="52" borderId="24" xfId="0" applyNumberFormat="1" applyFont="1" applyFill="1" applyBorder="1" applyAlignment="1">
      <alignment horizontal="center"/>
    </xf>
    <xf numFmtId="0" fontId="10" fillId="52" borderId="58" xfId="0" applyNumberFormat="1" applyFont="1" applyFill="1" applyBorder="1" applyAlignment="1">
      <alignment horizontal="center"/>
    </xf>
    <xf numFmtId="4" fontId="24" fillId="52" borderId="24" xfId="0" applyNumberFormat="1" applyFont="1" applyFill="1" applyBorder="1" applyAlignment="1">
      <alignment horizontal="center"/>
    </xf>
    <xf numFmtId="4" fontId="24" fillId="52" borderId="58" xfId="0" applyNumberFormat="1" applyFont="1" applyFill="1" applyBorder="1" applyAlignment="1">
      <alignment horizontal="center"/>
    </xf>
    <xf numFmtId="2" fontId="24" fillId="52" borderId="21" xfId="0" applyNumberFormat="1" applyFont="1" applyFill="1" applyBorder="1" applyAlignment="1">
      <alignment horizontal="center"/>
    </xf>
    <xf numFmtId="2" fontId="24" fillId="52" borderId="61" xfId="0" applyNumberFormat="1" applyFont="1" applyFill="1" applyBorder="1" applyAlignment="1">
      <alignment horizontal="center"/>
    </xf>
    <xf numFmtId="2" fontId="24" fillId="52" borderId="62" xfId="0" applyNumberFormat="1" applyFont="1" applyFill="1" applyBorder="1" applyAlignment="1">
      <alignment horizontal="center"/>
    </xf>
    <xf numFmtId="2" fontId="24" fillId="52" borderId="63" xfId="0" applyNumberFormat="1" applyFont="1" applyFill="1" applyBorder="1" applyAlignment="1">
      <alignment horizontal="center"/>
    </xf>
    <xf numFmtId="0" fontId="24" fillId="53" borderId="1" xfId="0" applyNumberFormat="1" applyFont="1" applyFill="1" applyBorder="1"/>
    <xf numFmtId="2" fontId="10" fillId="53" borderId="24" xfId="0" applyNumberFormat="1" applyFont="1" applyFill="1" applyBorder="1" applyAlignment="1">
      <alignment horizontal="center"/>
    </xf>
    <xf numFmtId="0" fontId="10" fillId="53" borderId="24" xfId="0" applyNumberFormat="1" applyFont="1" applyFill="1" applyBorder="1" applyAlignment="1">
      <alignment horizontal="center"/>
    </xf>
    <xf numFmtId="4" fontId="24" fillId="53" borderId="25" xfId="0" applyNumberFormat="1" applyFont="1" applyFill="1" applyBorder="1" applyAlignment="1">
      <alignment horizontal="center"/>
    </xf>
    <xf numFmtId="0" fontId="10" fillId="53" borderId="21" xfId="0" applyNumberFormat="1" applyFont="1" applyFill="1" applyBorder="1"/>
    <xf numFmtId="2" fontId="24" fillId="53" borderId="62" xfId="0" applyNumberFormat="1" applyFont="1" applyFill="1" applyBorder="1" applyAlignment="1">
      <alignment horizontal="center"/>
    </xf>
    <xf numFmtId="2" fontId="24" fillId="53" borderId="73" xfId="0" applyNumberFormat="1" applyFont="1" applyFill="1" applyBorder="1" applyAlignment="1">
      <alignment horizontal="center"/>
    </xf>
    <xf numFmtId="2" fontId="10" fillId="53" borderId="58" xfId="0" applyNumberFormat="1" applyFont="1" applyFill="1" applyBorder="1" applyAlignment="1">
      <alignment horizontal="center"/>
    </xf>
    <xf numFmtId="0" fontId="10" fillId="53" borderId="58" xfId="0" applyNumberFormat="1" applyFont="1" applyFill="1" applyBorder="1" applyAlignment="1">
      <alignment horizontal="center"/>
    </xf>
    <xf numFmtId="4" fontId="24" fillId="53" borderId="57" xfId="0" applyNumberFormat="1" applyFont="1" applyFill="1" applyBorder="1" applyAlignment="1">
      <alignment horizontal="center"/>
    </xf>
    <xf numFmtId="0" fontId="10" fillId="53" borderId="61" xfId="0" applyNumberFormat="1" applyFont="1" applyFill="1" applyBorder="1"/>
    <xf numFmtId="2" fontId="24" fillId="53" borderId="63" xfId="0" applyNumberFormat="1" applyFont="1" applyFill="1" applyBorder="1" applyAlignment="1">
      <alignment horizontal="center"/>
    </xf>
    <xf numFmtId="0" fontId="6" fillId="54" borderId="53" xfId="0" applyNumberFormat="1" applyFont="1" applyFill="1" applyBorder="1" applyAlignment="1">
      <alignment horizontal="center"/>
    </xf>
    <xf numFmtId="0" fontId="23" fillId="54" borderId="66" xfId="0" applyNumberFormat="1" applyFont="1" applyFill="1" applyBorder="1" applyAlignment="1">
      <alignment horizontal="center"/>
    </xf>
    <xf numFmtId="0" fontId="23" fillId="54" borderId="53" xfId="0" applyNumberFormat="1" applyFont="1" applyFill="1" applyBorder="1" applyAlignment="1">
      <alignment horizontal="center"/>
    </xf>
    <xf numFmtId="0" fontId="23" fillId="54" borderId="55" xfId="0" applyNumberFormat="1" applyFont="1" applyFill="1" applyBorder="1" applyAlignment="1">
      <alignment horizontal="center"/>
    </xf>
    <xf numFmtId="0" fontId="23" fillId="54" borderId="54" xfId="0" applyNumberFormat="1" applyFont="1" applyFill="1" applyBorder="1" applyAlignment="1">
      <alignment horizontal="center"/>
    </xf>
    <xf numFmtId="0" fontId="23" fillId="54" borderId="68" xfId="0" applyNumberFormat="1" applyFont="1" applyFill="1" applyBorder="1" applyAlignment="1">
      <alignment horizontal="center"/>
    </xf>
    <xf numFmtId="0" fontId="23" fillId="54" borderId="7" xfId="0" quotePrefix="1" applyNumberFormat="1" applyFont="1" applyFill="1" applyBorder="1" applyAlignment="1">
      <alignment horizontal="center"/>
    </xf>
    <xf numFmtId="0" fontId="23" fillId="54" borderId="17" xfId="0" applyNumberFormat="1" applyFont="1" applyFill="1" applyBorder="1" applyAlignment="1">
      <alignment horizontal="center"/>
    </xf>
    <xf numFmtId="0" fontId="6" fillId="54" borderId="55" xfId="0" applyNumberFormat="1" applyFont="1" applyFill="1" applyBorder="1" applyAlignment="1">
      <alignment horizontal="center"/>
    </xf>
    <xf numFmtId="0" fontId="23" fillId="54" borderId="10" xfId="0" applyNumberFormat="1" applyFont="1" applyFill="1" applyBorder="1" applyAlignment="1">
      <alignment horizontal="center"/>
    </xf>
    <xf numFmtId="0" fontId="23" fillId="54" borderId="56" xfId="0" applyNumberFormat="1" applyFont="1" applyFill="1" applyBorder="1" applyAlignment="1">
      <alignment horizontal="center"/>
    </xf>
    <xf numFmtId="0" fontId="23" fillId="54" borderId="28" xfId="0" quotePrefix="1" applyNumberFormat="1" applyFont="1" applyFill="1" applyBorder="1" applyAlignment="1">
      <alignment horizontal="center"/>
    </xf>
    <xf numFmtId="0" fontId="23" fillId="54" borderId="56" xfId="0" quotePrefix="1" applyNumberFormat="1" applyFont="1" applyFill="1" applyBorder="1" applyAlignment="1">
      <alignment horizontal="center"/>
    </xf>
    <xf numFmtId="0" fontId="23" fillId="54" borderId="25" xfId="0" applyNumberFormat="1" applyFont="1" applyFill="1" applyBorder="1" applyAlignment="1">
      <alignment horizontal="center"/>
    </xf>
    <xf numFmtId="0" fontId="23" fillId="54" borderId="57" xfId="0" applyNumberFormat="1" applyFont="1" applyFill="1" applyBorder="1" applyAlignment="1">
      <alignment horizontal="center"/>
    </xf>
    <xf numFmtId="0" fontId="23" fillId="54" borderId="27" xfId="0" quotePrefix="1" applyNumberFormat="1" applyFont="1" applyFill="1" applyBorder="1" applyAlignment="1">
      <alignment horizontal="center"/>
    </xf>
    <xf numFmtId="0" fontId="23" fillId="54" borderId="25" xfId="0" quotePrefix="1" applyNumberFormat="1" applyFont="1" applyFill="1" applyBorder="1" applyAlignment="1">
      <alignment horizontal="center"/>
    </xf>
    <xf numFmtId="0" fontId="23" fillId="54" borderId="39" xfId="0" applyNumberFormat="1" applyFont="1" applyFill="1" applyBorder="1" applyAlignment="1">
      <alignment horizontal="center"/>
    </xf>
    <xf numFmtId="0" fontId="23" fillId="54" borderId="29" xfId="0" applyNumberFormat="1" applyFont="1" applyFill="1" applyBorder="1" applyAlignment="1">
      <alignment horizontal="center"/>
    </xf>
    <xf numFmtId="0" fontId="23" fillId="54" borderId="78" xfId="0" quotePrefix="1" applyNumberFormat="1" applyFont="1" applyFill="1" applyBorder="1" applyAlignment="1">
      <alignment horizontal="center"/>
    </xf>
    <xf numFmtId="2" fontId="6" fillId="0" borderId="0" xfId="0" applyNumberFormat="1" applyFont="1" applyFill="1" applyBorder="1" applyAlignment="1"/>
    <xf numFmtId="2" fontId="0" fillId="0" borderId="12" xfId="0" applyNumberFormat="1" applyBorder="1" applyAlignment="1">
      <alignment horizontal="center"/>
    </xf>
    <xf numFmtId="2" fontId="0" fillId="0" borderId="0" xfId="0" applyNumberFormat="1" applyAlignment="1">
      <alignment wrapText="1"/>
    </xf>
    <xf numFmtId="1" fontId="0" fillId="0" borderId="0" xfId="0" applyNumberFormat="1"/>
    <xf numFmtId="0" fontId="50" fillId="0" borderId="17" xfId="0" applyFont="1" applyFill="1" applyBorder="1" applyAlignment="1"/>
    <xf numFmtId="0" fontId="50" fillId="0" borderId="0" xfId="0" applyFont="1" applyFill="1" applyAlignment="1"/>
    <xf numFmtId="0" fontId="50" fillId="0" borderId="12" xfId="0" applyFont="1" applyFill="1" applyBorder="1" applyAlignment="1">
      <alignment horizontal="center"/>
    </xf>
    <xf numFmtId="0" fontId="50" fillId="0" borderId="0" xfId="0" applyFont="1" applyFill="1" applyBorder="1" applyAlignment="1"/>
    <xf numFmtId="2" fontId="50" fillId="0" borderId="25" xfId="0" applyNumberFormat="1" applyFont="1" applyFill="1" applyBorder="1" applyAlignment="1">
      <alignment horizontal="right"/>
    </xf>
    <xf numFmtId="0" fontId="50" fillId="0" borderId="25" xfId="0" applyFont="1" applyFill="1" applyBorder="1" applyAlignment="1">
      <alignment horizontal="center" wrapText="1"/>
    </xf>
    <xf numFmtId="2" fontId="50" fillId="0" borderId="25" xfId="0" applyNumberFormat="1" applyFont="1" applyFill="1" applyBorder="1" applyAlignment="1"/>
    <xf numFmtId="2" fontId="50" fillId="0" borderId="12" xfId="0" applyNumberFormat="1" applyFont="1" applyFill="1" applyBorder="1" applyAlignment="1"/>
    <xf numFmtId="2" fontId="50" fillId="0" borderId="0" xfId="0" applyNumberFormat="1" applyFont="1" applyFill="1" applyAlignment="1">
      <alignment horizontal="right"/>
    </xf>
    <xf numFmtId="166" fontId="2" fillId="0" borderId="24" xfId="0" applyNumberFormat="1" applyFont="1" applyBorder="1" applyAlignment="1">
      <alignment horizontal="right"/>
    </xf>
    <xf numFmtId="1" fontId="2" fillId="0" borderId="24" xfId="0" applyNumberFormat="1" applyFont="1" applyBorder="1" applyAlignment="1"/>
    <xf numFmtId="1" fontId="12" fillId="0" borderId="24" xfId="0" applyNumberFormat="1" applyFont="1" applyFill="1" applyBorder="1" applyAlignment="1"/>
    <xf numFmtId="171" fontId="41" fillId="10" borderId="30" xfId="2" applyNumberFormat="1" applyFill="1" applyBorder="1" applyAlignment="1">
      <alignment horizontal="center" vertical="center" wrapText="1"/>
    </xf>
    <xf numFmtId="1" fontId="12" fillId="0" borderId="24" xfId="0" applyNumberFormat="1" applyFont="1" applyFill="1" applyBorder="1"/>
    <xf numFmtId="2" fontId="29" fillId="55" borderId="25" xfId="3" applyNumberFormat="1" applyFont="1" applyFill="1" applyBorder="1" applyAlignment="1" applyProtection="1">
      <alignment horizontal="center" wrapText="1"/>
    </xf>
    <xf numFmtId="2" fontId="9" fillId="55" borderId="24" xfId="0" applyNumberFormat="1" applyFont="1" applyFill="1" applyBorder="1" applyAlignment="1"/>
    <xf numFmtId="2" fontId="9" fillId="55" borderId="25" xfId="0" applyNumberFormat="1" applyFont="1" applyFill="1" applyBorder="1" applyAlignment="1"/>
    <xf numFmtId="2" fontId="9" fillId="55" borderId="12" xfId="0" applyNumberFormat="1" applyFont="1" applyFill="1" applyBorder="1" applyAlignment="1"/>
    <xf numFmtId="0" fontId="6" fillId="55" borderId="0" xfId="0" applyFont="1" applyFill="1" applyAlignment="1">
      <alignment horizontal="right"/>
    </xf>
    <xf numFmtId="0" fontId="2" fillId="0" borderId="29" xfId="0" applyFont="1" applyFill="1" applyBorder="1" applyAlignment="1">
      <alignment horizontal="center"/>
    </xf>
    <xf numFmtId="2" fontId="6" fillId="17" borderId="0" xfId="0" applyNumberFormat="1" applyFont="1" applyFill="1" applyAlignment="1">
      <alignment horizontal="center"/>
    </xf>
    <xf numFmtId="14" fontId="6" fillId="17" borderId="0" xfId="0" applyNumberFormat="1" applyFont="1" applyFill="1" applyAlignment="1">
      <alignment horizontal="center"/>
    </xf>
    <xf numFmtId="0" fontId="2" fillId="17" borderId="25" xfId="0" applyFont="1" applyFill="1" applyBorder="1" applyAlignment="1">
      <alignment horizontal="center" wrapText="1"/>
    </xf>
    <xf numFmtId="0" fontId="2" fillId="17" borderId="0" xfId="0" applyFont="1" applyFill="1" applyAlignment="1">
      <alignment horizontal="center"/>
    </xf>
    <xf numFmtId="0" fontId="6" fillId="17" borderId="25" xfId="0" applyFont="1" applyFill="1" applyBorder="1" applyAlignment="1">
      <alignment horizontal="center" wrapText="1"/>
    </xf>
    <xf numFmtId="0" fontId="12" fillId="0" borderId="27" xfId="0" applyFont="1" applyFill="1" applyBorder="1" applyAlignment="1">
      <alignment horizontal="center"/>
    </xf>
    <xf numFmtId="166" fontId="6" fillId="0" borderId="24" xfId="0" applyNumberFormat="1" applyFont="1" applyBorder="1" applyAlignment="1">
      <alignment horizontal="right"/>
    </xf>
    <xf numFmtId="2" fontId="6" fillId="0" borderId="24" xfId="0" applyNumberFormat="1" applyFont="1" applyFill="1" applyBorder="1" applyAlignment="1">
      <alignment horizontal="right"/>
    </xf>
    <xf numFmtId="2" fontId="2" fillId="0" borderId="24" xfId="0" applyNumberFormat="1" applyFont="1" applyFill="1" applyBorder="1" applyAlignment="1">
      <alignment horizontal="right"/>
    </xf>
    <xf numFmtId="2" fontId="12" fillId="0" borderId="24" xfId="0" applyNumberFormat="1" applyFont="1" applyFill="1" applyBorder="1"/>
    <xf numFmtId="165" fontId="12" fillId="17" borderId="12" xfId="0" applyNumberFormat="1" applyFont="1" applyFill="1" applyBorder="1" applyAlignment="1">
      <alignment horizontal="center"/>
    </xf>
    <xf numFmtId="2" fontId="6" fillId="17" borderId="0" xfId="0" quotePrefix="1" applyNumberFormat="1" applyFont="1" applyFill="1" applyAlignment="1">
      <alignment horizontal="center"/>
    </xf>
    <xf numFmtId="2" fontId="12" fillId="17" borderId="0" xfId="0" quotePrefix="1" applyNumberFormat="1" applyFont="1" applyFill="1" applyAlignment="1">
      <alignment horizontal="center"/>
    </xf>
    <xf numFmtId="2" fontId="12" fillId="17" borderId="0" xfId="0" applyNumberFormat="1" applyFont="1" applyFill="1" applyBorder="1" applyAlignment="1">
      <alignment horizontal="center"/>
    </xf>
    <xf numFmtId="2" fontId="2" fillId="17" borderId="0" xfId="0" applyNumberFormat="1" applyFont="1" applyFill="1" applyAlignment="1">
      <alignment horizontal="center"/>
    </xf>
    <xf numFmtId="2" fontId="2" fillId="17" borderId="22" xfId="3" applyNumberFormat="1" applyFont="1" applyFill="1" applyBorder="1" applyAlignment="1" applyProtection="1">
      <alignment horizontal="center"/>
    </xf>
    <xf numFmtId="2" fontId="2" fillId="17" borderId="0" xfId="3" applyNumberFormat="1" applyFont="1" applyFill="1" applyBorder="1" applyAlignment="1" applyProtection="1">
      <alignment horizontal="center"/>
    </xf>
    <xf numFmtId="1" fontId="0" fillId="17" borderId="0" xfId="0" applyNumberFormat="1" applyFill="1"/>
    <xf numFmtId="173" fontId="12" fillId="17" borderId="0" xfId="0" applyNumberFormat="1" applyFont="1" applyFill="1" applyAlignment="1">
      <alignment horizontal="center"/>
    </xf>
    <xf numFmtId="0" fontId="0" fillId="17" borderId="0" xfId="0" applyFill="1"/>
    <xf numFmtId="14" fontId="6" fillId="0" borderId="0" xfId="0" applyNumberFormat="1" applyFont="1" applyFill="1" applyAlignment="1">
      <alignment horizontal="center"/>
    </xf>
    <xf numFmtId="165" fontId="6" fillId="0" borderId="24" xfId="0" applyNumberFormat="1" applyFont="1" applyBorder="1" applyAlignment="1">
      <alignment horizontal="right"/>
    </xf>
    <xf numFmtId="2" fontId="50" fillId="0" borderId="24" xfId="0" applyNumberFormat="1" applyFont="1" applyFill="1" applyBorder="1" applyAlignment="1">
      <alignment horizontal="right"/>
    </xf>
    <xf numFmtId="10" fontId="0" fillId="0" borderId="0" xfId="0" applyNumberFormat="1"/>
    <xf numFmtId="10" fontId="12" fillId="0" borderId="0" xfId="0" applyNumberFormat="1" applyFont="1" applyFill="1" applyAlignment="1">
      <alignment horizontal="center"/>
    </xf>
    <xf numFmtId="10" fontId="12" fillId="17" borderId="0" xfId="0" applyNumberFormat="1" applyFont="1" applyFill="1" applyAlignment="1">
      <alignment horizontal="center"/>
    </xf>
    <xf numFmtId="0" fontId="6" fillId="17" borderId="25" xfId="0" applyFont="1" applyFill="1" applyBorder="1" applyAlignment="1">
      <alignment horizontal="center" wrapText="1"/>
    </xf>
    <xf numFmtId="0" fontId="68" fillId="0" borderId="0" xfId="0" applyFont="1" applyFill="1" applyAlignment="1">
      <alignment horizontal="center"/>
    </xf>
    <xf numFmtId="2" fontId="68" fillId="0" borderId="0" xfId="0" applyNumberFormat="1" applyFont="1" applyFill="1" applyAlignment="1">
      <alignment horizontal="center"/>
    </xf>
    <xf numFmtId="0" fontId="6" fillId="56" borderId="25" xfId="0" applyFont="1" applyFill="1" applyBorder="1" applyAlignment="1">
      <alignment horizontal="center" wrapText="1"/>
    </xf>
    <xf numFmtId="2" fontId="12" fillId="56" borderId="0" xfId="0" applyNumberFormat="1" applyFont="1" applyFill="1" applyAlignment="1">
      <alignment horizontal="center"/>
    </xf>
    <xf numFmtId="2" fontId="16" fillId="0" borderId="1" xfId="3" applyNumberFormat="1" applyFont="1" applyFill="1" applyBorder="1" applyAlignment="1" applyProtection="1">
      <alignment horizontal="center"/>
    </xf>
    <xf numFmtId="1" fontId="0" fillId="57" borderId="21" xfId="0" applyNumberFormat="1" applyFill="1" applyBorder="1" applyAlignment="1">
      <alignment horizontal="center"/>
    </xf>
    <xf numFmtId="0" fontId="0" fillId="57" borderId="21" xfId="0" applyNumberFormat="1" applyFill="1" applyBorder="1" applyAlignment="1">
      <alignment horizontal="center"/>
    </xf>
    <xf numFmtId="1" fontId="0" fillId="57" borderId="24" xfId="0" applyNumberFormat="1" applyFill="1" applyBorder="1" applyAlignment="1">
      <alignment horizontal="center"/>
    </xf>
    <xf numFmtId="0" fontId="0" fillId="57" borderId="24" xfId="0" applyNumberFormat="1" applyFill="1" applyBorder="1" applyAlignment="1">
      <alignment horizontal="center"/>
    </xf>
    <xf numFmtId="1" fontId="0" fillId="57" borderId="25" xfId="0" applyNumberFormat="1" applyFill="1" applyBorder="1" applyAlignment="1">
      <alignment horizontal="center"/>
    </xf>
    <xf numFmtId="0" fontId="0" fillId="57" borderId="25" xfId="0" applyNumberFormat="1" applyFill="1" applyBorder="1" applyAlignment="1">
      <alignment horizontal="center"/>
    </xf>
    <xf numFmtId="1" fontId="25" fillId="57" borderId="26" xfId="0" applyNumberFormat="1" applyFont="1" applyFill="1" applyBorder="1" applyAlignment="1">
      <alignment horizontal="center"/>
    </xf>
    <xf numFmtId="0" fontId="25" fillId="57" borderId="26" xfId="0" applyNumberFormat="1" applyFont="1" applyFill="1" applyBorder="1" applyAlignment="1">
      <alignment horizontal="center"/>
    </xf>
    <xf numFmtId="1" fontId="25" fillId="57" borderId="22" xfId="0" applyNumberFormat="1" applyFont="1" applyFill="1" applyBorder="1" applyAlignment="1">
      <alignment horizontal="center"/>
    </xf>
    <xf numFmtId="0" fontId="25" fillId="57" borderId="22" xfId="0" applyNumberFormat="1" applyFont="1" applyFill="1" applyBorder="1" applyAlignment="1">
      <alignment horizontal="center"/>
    </xf>
    <xf numFmtId="0" fontId="10" fillId="57" borderId="22" xfId="0" applyNumberFormat="1" applyFont="1" applyFill="1" applyBorder="1" applyAlignment="1">
      <alignment horizontal="center"/>
    </xf>
    <xf numFmtId="1" fontId="10" fillId="57" borderId="22" xfId="0" applyNumberFormat="1" applyFont="1" applyFill="1" applyBorder="1" applyAlignment="1">
      <alignment horizontal="center"/>
    </xf>
    <xf numFmtId="1" fontId="0" fillId="57" borderId="22" xfId="0" applyNumberFormat="1" applyFill="1" applyBorder="1" applyAlignment="1">
      <alignment horizontal="center"/>
    </xf>
    <xf numFmtId="0" fontId="0" fillId="57" borderId="22" xfId="0" applyNumberFormat="1" applyFill="1" applyBorder="1" applyAlignment="1">
      <alignment horizontal="center"/>
    </xf>
    <xf numFmtId="1" fontId="0" fillId="57" borderId="27" xfId="0" applyNumberFormat="1" applyFill="1" applyBorder="1" applyAlignment="1">
      <alignment horizontal="center"/>
    </xf>
    <xf numFmtId="0" fontId="0" fillId="57" borderId="27" xfId="0" applyNumberFormat="1" applyFill="1" applyBorder="1" applyAlignment="1">
      <alignment horizontal="center"/>
    </xf>
    <xf numFmtId="0" fontId="25" fillId="57" borderId="27" xfId="0" applyNumberFormat="1" applyFont="1" applyFill="1" applyBorder="1" applyAlignment="1">
      <alignment horizontal="center"/>
    </xf>
    <xf numFmtId="1" fontId="0" fillId="57" borderId="0" xfId="0" applyNumberFormat="1" applyFill="1" applyAlignment="1">
      <alignment horizontal="center"/>
    </xf>
    <xf numFmtId="0" fontId="0" fillId="57" borderId="0" xfId="0" applyNumberFormat="1" applyFill="1" applyAlignment="1">
      <alignment horizontal="center"/>
    </xf>
    <xf numFmtId="0" fontId="68" fillId="17" borderId="0" xfId="0" applyFont="1" applyFill="1" applyAlignment="1">
      <alignment horizontal="center"/>
    </xf>
    <xf numFmtId="1" fontId="68" fillId="0" borderId="0" xfId="0" applyNumberFormat="1" applyFont="1" applyFill="1" applyAlignment="1">
      <alignment horizontal="center"/>
    </xf>
    <xf numFmtId="0" fontId="68" fillId="0" borderId="0" xfId="0" applyFont="1" applyAlignment="1">
      <alignment horizontal="center"/>
    </xf>
    <xf numFmtId="2" fontId="10" fillId="0" borderId="18" xfId="0" applyNumberFormat="1" applyFont="1" applyFill="1" applyBorder="1" applyAlignment="1">
      <alignment horizontal="center"/>
    </xf>
    <xf numFmtId="2" fontId="31" fillId="0" borderId="52" xfId="3" quotePrefix="1" applyNumberFormat="1" applyFont="1" applyFill="1" applyBorder="1" applyAlignment="1" applyProtection="1">
      <alignment horizontal="right"/>
    </xf>
    <xf numFmtId="2" fontId="10" fillId="0" borderId="20" xfId="0" applyNumberFormat="1" applyFont="1" applyFill="1" applyBorder="1" applyAlignment="1">
      <alignment horizontal="center"/>
    </xf>
    <xf numFmtId="2" fontId="10" fillId="13" borderId="19" xfId="0" applyNumberFormat="1" applyFont="1" applyFill="1" applyBorder="1" applyAlignment="1">
      <alignment horizontal="center"/>
    </xf>
    <xf numFmtId="2" fontId="10" fillId="0" borderId="60" xfId="0" applyNumberFormat="1" applyFont="1" applyBorder="1" applyAlignment="1">
      <alignment horizontal="center"/>
    </xf>
    <xf numFmtId="2" fontId="10" fillId="0" borderId="21" xfId="0" applyNumberFormat="1" applyFont="1" applyBorder="1" applyAlignment="1">
      <alignment horizontal="center"/>
    </xf>
    <xf numFmtId="2" fontId="10" fillId="0" borderId="61" xfId="0" applyNumberFormat="1" applyFont="1" applyBorder="1" applyAlignment="1">
      <alignment horizontal="center"/>
    </xf>
    <xf numFmtId="2" fontId="10" fillId="0" borderId="50" xfId="0" applyNumberFormat="1" applyFont="1" applyBorder="1" applyAlignment="1">
      <alignment horizontal="center"/>
    </xf>
    <xf numFmtId="2" fontId="31" fillId="0" borderId="64" xfId="3" quotePrefix="1" applyNumberFormat="1" applyFont="1" applyFill="1" applyBorder="1" applyAlignment="1" applyProtection="1">
      <alignment horizontal="right"/>
    </xf>
    <xf numFmtId="2" fontId="31" fillId="0" borderId="1" xfId="0" applyNumberFormat="1" applyFont="1" applyFill="1" applyBorder="1" applyAlignment="1" applyProtection="1">
      <alignment horizontal="right"/>
    </xf>
    <xf numFmtId="10" fontId="10" fillId="0" borderId="91" xfId="4" applyNumberFormat="1" applyFont="1" applyBorder="1" applyAlignment="1">
      <alignment horizontal="center"/>
    </xf>
    <xf numFmtId="2" fontId="5" fillId="0" borderId="36" xfId="3" quotePrefix="1" applyNumberFormat="1" applyFont="1" applyFill="1" applyBorder="1" applyAlignment="1" applyProtection="1">
      <alignment horizontal="right"/>
    </xf>
    <xf numFmtId="1" fontId="2" fillId="0" borderId="24" xfId="0" applyNumberFormat="1" applyFont="1" applyFill="1" applyBorder="1" applyAlignment="1">
      <alignment horizontal="right"/>
    </xf>
    <xf numFmtId="2" fontId="39" fillId="0" borderId="24" xfId="0" applyNumberFormat="1" applyFont="1" applyFill="1" applyBorder="1" applyAlignment="1"/>
    <xf numFmtId="2" fontId="27" fillId="0" borderId="24" xfId="0" applyNumberFormat="1" applyFont="1" applyFill="1" applyBorder="1" applyAlignment="1">
      <alignment horizontal="right"/>
    </xf>
    <xf numFmtId="2" fontId="39" fillId="0" borderId="24" xfId="0" applyNumberFormat="1" applyFont="1" applyFill="1" applyBorder="1" applyAlignment="1">
      <alignment horizontal="right"/>
    </xf>
    <xf numFmtId="0" fontId="6" fillId="0" borderId="24" xfId="0" applyFont="1" applyFill="1" applyBorder="1" applyAlignment="1">
      <alignment horizontal="right"/>
    </xf>
    <xf numFmtId="2" fontId="9" fillId="0" borderId="24" xfId="0" applyNumberFormat="1" applyFont="1" applyFill="1" applyBorder="1" applyAlignment="1">
      <alignment horizontal="right"/>
    </xf>
    <xf numFmtId="0" fontId="6" fillId="17" borderId="24" xfId="0" applyFont="1" applyFill="1" applyBorder="1" applyAlignment="1" applyProtection="1">
      <alignment horizontal="center" wrapText="1"/>
      <protection locked="0"/>
    </xf>
    <xf numFmtId="0" fontId="2" fillId="0" borderId="25" xfId="0" applyFont="1" applyFill="1" applyBorder="1" applyAlignment="1">
      <alignment horizontal="right"/>
    </xf>
    <xf numFmtId="0" fontId="2" fillId="17" borderId="24" xfId="0" applyFont="1" applyFill="1" applyBorder="1" applyAlignment="1" applyProtection="1">
      <alignment horizontal="center" wrapText="1"/>
      <protection locked="0"/>
    </xf>
    <xf numFmtId="2" fontId="2" fillId="15" borderId="24" xfId="0" applyNumberFormat="1" applyFont="1" applyFill="1" applyBorder="1" applyAlignment="1"/>
    <xf numFmtId="166" fontId="6" fillId="58" borderId="24" xfId="0" applyNumberFormat="1" applyFont="1" applyFill="1" applyBorder="1"/>
    <xf numFmtId="166" fontId="12" fillId="58" borderId="24" xfId="0" applyNumberFormat="1" applyFont="1" applyFill="1" applyBorder="1"/>
    <xf numFmtId="166" fontId="2" fillId="58" borderId="24" xfId="0" applyNumberFormat="1" applyFont="1" applyFill="1" applyBorder="1"/>
    <xf numFmtId="0" fontId="12" fillId="58" borderId="24" xfId="0" applyFont="1" applyFill="1" applyBorder="1"/>
    <xf numFmtId="0" fontId="12" fillId="58" borderId="0" xfId="0" applyFont="1" applyFill="1" applyBorder="1"/>
    <xf numFmtId="2" fontId="5" fillId="0" borderId="29" xfId="3" quotePrefix="1" applyNumberFormat="1" applyFont="1" applyFill="1" applyBorder="1" applyAlignment="1" applyProtection="1">
      <alignment horizontal="right"/>
    </xf>
    <xf numFmtId="1" fontId="31" fillId="0" borderId="36" xfId="3" quotePrefix="1" applyNumberFormat="1" applyFont="1" applyFill="1" applyBorder="1" applyAlignment="1" applyProtection="1">
      <alignment horizontal="right"/>
    </xf>
    <xf numFmtId="1" fontId="5" fillId="0" borderId="29" xfId="3" quotePrefix="1" applyNumberFormat="1" applyFont="1" applyFill="1" applyBorder="1" applyAlignment="1" applyProtection="1">
      <alignment horizontal="right"/>
    </xf>
    <xf numFmtId="0" fontId="41" fillId="16" borderId="0" xfId="2" applyNumberFormat="1" applyFill="1" applyBorder="1" applyAlignment="1">
      <alignment horizontal="center"/>
    </xf>
    <xf numFmtId="0" fontId="18" fillId="16" borderId="0" xfId="2" applyNumberFormat="1" applyFont="1" applyFill="1" applyBorder="1" applyAlignment="1">
      <alignment horizontal="center" textRotation="90" wrapText="1"/>
    </xf>
    <xf numFmtId="0" fontId="41" fillId="16" borderId="36" xfId="2" applyNumberFormat="1" applyFill="1" applyBorder="1"/>
    <xf numFmtId="0" fontId="47" fillId="0" borderId="64" xfId="2" applyNumberFormat="1" applyFont="1" applyFill="1" applyBorder="1" applyAlignment="1">
      <alignment horizontal="center" textRotation="90" wrapText="1"/>
    </xf>
    <xf numFmtId="0" fontId="47" fillId="0" borderId="44" xfId="2" applyNumberFormat="1" applyFont="1" applyFill="1" applyBorder="1" applyAlignment="1">
      <alignment horizontal="center" textRotation="90" wrapText="1"/>
    </xf>
    <xf numFmtId="2" fontId="10" fillId="0" borderId="61" xfId="0" applyNumberFormat="1" applyFont="1" applyFill="1" applyBorder="1" applyAlignment="1">
      <alignment horizontal="center"/>
    </xf>
    <xf numFmtId="2" fontId="10" fillId="0" borderId="25" xfId="0" applyNumberFormat="1" applyFont="1" applyBorder="1" applyAlignment="1">
      <alignment horizontal="center"/>
    </xf>
    <xf numFmtId="2" fontId="10" fillId="0" borderId="57" xfId="0" applyNumberFormat="1" applyFont="1" applyBorder="1" applyAlignment="1">
      <alignment horizontal="center"/>
    </xf>
    <xf numFmtId="0" fontId="2" fillId="0" borderId="24" xfId="0" applyFont="1" applyFill="1" applyBorder="1" applyAlignment="1" applyProtection="1">
      <alignment horizontal="center" wrapText="1"/>
    </xf>
    <xf numFmtId="0" fontId="2" fillId="0" borderId="0" xfId="0" applyFont="1" applyAlignment="1">
      <alignment wrapText="1"/>
    </xf>
    <xf numFmtId="0" fontId="6" fillId="60" borderId="0" xfId="0" applyFont="1" applyFill="1" applyAlignment="1">
      <alignment horizontal="center"/>
    </xf>
    <xf numFmtId="0" fontId="68" fillId="60" borderId="0" xfId="0" applyFont="1" applyFill="1" applyAlignment="1">
      <alignment horizontal="center"/>
    </xf>
    <xf numFmtId="0" fontId="6" fillId="60" borderId="21" xfId="0" applyFont="1" applyFill="1" applyBorder="1" applyAlignment="1">
      <alignment horizontal="center"/>
    </xf>
    <xf numFmtId="0" fontId="6" fillId="60" borderId="24" xfId="0" applyFont="1" applyFill="1" applyBorder="1" applyAlignment="1">
      <alignment horizontal="center"/>
    </xf>
    <xf numFmtId="0" fontId="2" fillId="60" borderId="25" xfId="0" applyFont="1" applyFill="1" applyBorder="1" applyAlignment="1">
      <alignment horizontal="center" wrapText="1"/>
    </xf>
    <xf numFmtId="2" fontId="12" fillId="60" borderId="0" xfId="0" applyNumberFormat="1" applyFont="1" applyFill="1" applyAlignment="1">
      <alignment horizontal="center"/>
    </xf>
    <xf numFmtId="0" fontId="12" fillId="60" borderId="0" xfId="0" applyFont="1" applyFill="1" applyAlignment="1">
      <alignment horizontal="center"/>
    </xf>
    <xf numFmtId="0" fontId="6" fillId="59" borderId="0" xfId="0" applyFont="1" applyFill="1" applyAlignment="1">
      <alignment horizontal="center"/>
    </xf>
    <xf numFmtId="0" fontId="6" fillId="59" borderId="21" xfId="0" applyFont="1" applyFill="1" applyBorder="1" applyAlignment="1">
      <alignment horizontal="center"/>
    </xf>
    <xf numFmtId="0" fontId="6" fillId="59" borderId="24" xfId="0" applyFont="1" applyFill="1" applyBorder="1" applyAlignment="1">
      <alignment horizontal="center"/>
    </xf>
    <xf numFmtId="0" fontId="6" fillId="59" borderId="25" xfId="0" applyFont="1" applyFill="1" applyBorder="1" applyAlignment="1">
      <alignment horizontal="center" wrapText="1"/>
    </xf>
    <xf numFmtId="2" fontId="6" fillId="59" borderId="0" xfId="0" applyNumberFormat="1" applyFont="1" applyFill="1" applyAlignment="1">
      <alignment horizontal="center"/>
    </xf>
    <xf numFmtId="0" fontId="12" fillId="59" borderId="0" xfId="0" applyFont="1" applyFill="1" applyAlignment="1">
      <alignment horizontal="center"/>
    </xf>
    <xf numFmtId="0" fontId="2" fillId="61" borderId="0" xfId="0" applyFont="1" applyFill="1" applyAlignment="1">
      <alignment horizontal="center"/>
    </xf>
    <xf numFmtId="0" fontId="2" fillId="61" borderId="21" xfId="0" applyFont="1" applyFill="1" applyBorder="1" applyAlignment="1">
      <alignment horizontal="center"/>
    </xf>
    <xf numFmtId="0" fontId="2" fillId="61" borderId="24" xfId="0" applyFont="1" applyFill="1" applyBorder="1" applyAlignment="1">
      <alignment horizontal="center"/>
    </xf>
    <xf numFmtId="0" fontId="2" fillId="61" borderId="25" xfId="0" applyFont="1" applyFill="1" applyBorder="1" applyAlignment="1">
      <alignment horizontal="center" wrapText="1"/>
    </xf>
    <xf numFmtId="2" fontId="2" fillId="61" borderId="0" xfId="0" applyNumberFormat="1" applyFont="1" applyFill="1" applyAlignment="1">
      <alignment horizontal="center"/>
    </xf>
    <xf numFmtId="0" fontId="68" fillId="60" borderId="21" xfId="0" applyFont="1" applyFill="1" applyBorder="1" applyAlignment="1">
      <alignment horizontal="center"/>
    </xf>
    <xf numFmtId="0" fontId="68" fillId="60" borderId="24" xfId="0" applyFont="1" applyFill="1" applyBorder="1" applyAlignment="1">
      <alignment horizontal="center"/>
    </xf>
    <xf numFmtId="0" fontId="68" fillId="60" borderId="25" xfId="0" applyFont="1" applyFill="1" applyBorder="1" applyAlignment="1">
      <alignment horizontal="center" wrapText="1"/>
    </xf>
    <xf numFmtId="2" fontId="68" fillId="60" borderId="0" xfId="0" applyNumberFormat="1" applyFont="1" applyFill="1" applyAlignment="1">
      <alignment horizontal="center"/>
    </xf>
    <xf numFmtId="2" fontId="2" fillId="0" borderId="0" xfId="0" applyNumberFormat="1" applyFont="1" applyFill="1" applyAlignment="1">
      <alignment horizontal="center"/>
    </xf>
    <xf numFmtId="0" fontId="6" fillId="17" borderId="25" xfId="0" applyFont="1" applyFill="1" applyBorder="1" applyAlignment="1">
      <alignment horizontal="center" wrapText="1"/>
    </xf>
    <xf numFmtId="2" fontId="5" fillId="16" borderId="4" xfId="3" applyNumberFormat="1" applyFont="1" applyFill="1" applyBorder="1" applyAlignment="1" applyProtection="1"/>
    <xf numFmtId="2" fontId="31" fillId="16" borderId="36" xfId="3" quotePrefix="1" applyNumberFormat="1" applyFont="1" applyFill="1" applyBorder="1" applyAlignment="1" applyProtection="1">
      <alignment horizontal="right"/>
    </xf>
    <xf numFmtId="2" fontId="10" fillId="16" borderId="19" xfId="0" applyNumberFormat="1" applyFont="1" applyFill="1" applyBorder="1" applyAlignment="1">
      <alignment horizontal="center"/>
    </xf>
    <xf numFmtId="2" fontId="10" fillId="0" borderId="60" xfId="0" applyNumberFormat="1" applyFont="1" applyFill="1" applyBorder="1" applyAlignment="1">
      <alignment horizontal="center"/>
    </xf>
    <xf numFmtId="2" fontId="10" fillId="0" borderId="21" xfId="0" applyNumberFormat="1" applyFont="1" applyFill="1" applyBorder="1" applyAlignment="1">
      <alignment horizontal="center"/>
    </xf>
    <xf numFmtId="2" fontId="10" fillId="0" borderId="56" xfId="0" applyNumberFormat="1" applyFont="1" applyBorder="1" applyAlignment="1">
      <alignment horizontal="center"/>
    </xf>
    <xf numFmtId="2" fontId="10" fillId="16" borderId="12" xfId="0" applyNumberFormat="1" applyFont="1" applyFill="1" applyBorder="1" applyAlignment="1">
      <alignment horizontal="center"/>
    </xf>
    <xf numFmtId="167" fontId="6" fillId="17" borderId="24" xfId="0" applyNumberFormat="1" applyFont="1" applyFill="1" applyBorder="1" applyAlignment="1"/>
    <xf numFmtId="167" fontId="12" fillId="0" borderId="24" xfId="0" applyNumberFormat="1" applyFont="1" applyFill="1" applyBorder="1" applyAlignment="1"/>
    <xf numFmtId="167" fontId="12" fillId="0" borderId="12" xfId="0" applyNumberFormat="1" applyFont="1" applyBorder="1" applyAlignment="1"/>
    <xf numFmtId="0" fontId="46" fillId="62" borderId="53" xfId="2" applyNumberFormat="1" applyFont="1" applyFill="1" applyBorder="1" applyAlignment="1">
      <alignment horizontal="center" textRotation="90" wrapText="1"/>
    </xf>
    <xf numFmtId="0" fontId="46" fillId="62" borderId="66" xfId="2" applyNumberFormat="1" applyFont="1" applyFill="1" applyBorder="1" applyAlignment="1">
      <alignment horizontal="center" textRotation="90" wrapText="1"/>
    </xf>
    <xf numFmtId="0" fontId="46" fillId="62" borderId="50" xfId="2" applyNumberFormat="1" applyFont="1" applyFill="1" applyBorder="1" applyAlignment="1">
      <alignment horizontal="center" textRotation="90" wrapText="1"/>
    </xf>
    <xf numFmtId="0" fontId="41" fillId="62" borderId="20" xfId="2" applyNumberFormat="1" applyFill="1" applyBorder="1" applyAlignment="1">
      <alignment horizontal="center"/>
    </xf>
    <xf numFmtId="0" fontId="41" fillId="62" borderId="15" xfId="2" applyNumberFormat="1" applyFill="1" applyBorder="1" applyAlignment="1">
      <alignment horizontal="center"/>
    </xf>
    <xf numFmtId="0" fontId="41" fillId="62" borderId="16" xfId="2" applyNumberFormat="1" applyFill="1" applyBorder="1" applyAlignment="1">
      <alignment horizontal="center"/>
    </xf>
    <xf numFmtId="0" fontId="18" fillId="62" borderId="68" xfId="2" applyNumberFormat="1" applyFont="1" applyFill="1" applyBorder="1" applyAlignment="1">
      <alignment horizontal="center" textRotation="90" wrapText="1"/>
    </xf>
    <xf numFmtId="0" fontId="18" fillId="62" borderId="54" xfId="2" applyNumberFormat="1" applyFont="1" applyFill="1" applyBorder="1" applyAlignment="1">
      <alignment horizontal="center" textRotation="90" wrapText="1"/>
    </xf>
    <xf numFmtId="1" fontId="10" fillId="62" borderId="24" xfId="3" applyNumberFormat="1" applyFont="1" applyFill="1" applyBorder="1" applyAlignment="1" applyProtection="1">
      <alignment horizontal="center"/>
    </xf>
    <xf numFmtId="0" fontId="41" fillId="62" borderId="0" xfId="2" applyNumberFormat="1" applyFill="1" applyBorder="1"/>
    <xf numFmtId="1" fontId="10" fillId="62" borderId="0" xfId="3" applyNumberFormat="1" applyFont="1" applyFill="1" applyBorder="1" applyAlignment="1" applyProtection="1">
      <alignment horizontal="center"/>
    </xf>
    <xf numFmtId="0" fontId="46" fillId="62" borderId="55" xfId="2" applyNumberFormat="1" applyFont="1" applyFill="1" applyBorder="1" applyAlignment="1">
      <alignment horizontal="center" textRotation="90" wrapText="1"/>
    </xf>
    <xf numFmtId="0" fontId="46" fillId="62" borderId="54" xfId="2" applyNumberFormat="1" applyFont="1" applyFill="1" applyBorder="1" applyAlignment="1">
      <alignment horizontal="center" textRotation="90" wrapText="1"/>
    </xf>
    <xf numFmtId="0" fontId="18" fillId="62" borderId="55" xfId="2" applyNumberFormat="1" applyFont="1" applyFill="1" applyBorder="1" applyAlignment="1">
      <alignment horizontal="center" textRotation="90" wrapText="1"/>
    </xf>
    <xf numFmtId="166" fontId="10" fillId="62" borderId="24" xfId="3" applyNumberFormat="1" applyFont="1" applyFill="1" applyBorder="1" applyAlignment="1" applyProtection="1">
      <alignment horizontal="center"/>
    </xf>
    <xf numFmtId="166" fontId="10" fillId="62" borderId="0" xfId="3" applyNumberFormat="1" applyFont="1" applyFill="1" applyBorder="1" applyAlignment="1" applyProtection="1">
      <alignment horizontal="center"/>
    </xf>
    <xf numFmtId="0" fontId="46" fillId="63" borderId="53" xfId="2" applyNumberFormat="1" applyFont="1" applyFill="1" applyBorder="1" applyAlignment="1">
      <alignment horizontal="center" textRotation="90" wrapText="1"/>
    </xf>
    <xf numFmtId="0" fontId="46" fillId="63" borderId="68" xfId="2" applyNumberFormat="1" applyFont="1" applyFill="1" applyBorder="1" applyAlignment="1">
      <alignment horizontal="center" textRotation="90" wrapText="1"/>
    </xf>
    <xf numFmtId="0" fontId="46" fillId="63" borderId="55" xfId="2" applyNumberFormat="1" applyFont="1" applyFill="1" applyBorder="1" applyAlignment="1">
      <alignment horizontal="center" textRotation="90" wrapText="1"/>
    </xf>
    <xf numFmtId="0" fontId="46" fillId="63" borderId="54" xfId="2" applyNumberFormat="1" applyFont="1" applyFill="1" applyBorder="1" applyAlignment="1">
      <alignment horizontal="center" textRotation="90" wrapText="1"/>
    </xf>
    <xf numFmtId="0" fontId="41" fillId="63" borderId="20" xfId="2" applyNumberFormat="1" applyFill="1" applyBorder="1" applyAlignment="1">
      <alignment horizontal="center"/>
    </xf>
    <xf numFmtId="0" fontId="41" fillId="63" borderId="49" xfId="2" applyNumberFormat="1" applyFill="1" applyBorder="1" applyAlignment="1">
      <alignment horizontal="center"/>
    </xf>
    <xf numFmtId="0" fontId="41" fillId="63" borderId="15" xfId="2" applyNumberFormat="1" applyFill="1" applyBorder="1" applyAlignment="1">
      <alignment horizontal="center"/>
    </xf>
    <xf numFmtId="0" fontId="41" fillId="63" borderId="16" xfId="2" applyNumberFormat="1" applyFill="1" applyBorder="1" applyAlignment="1">
      <alignment horizontal="center"/>
    </xf>
    <xf numFmtId="0" fontId="18" fillId="63" borderId="53" xfId="2" applyNumberFormat="1" applyFont="1" applyFill="1" applyBorder="1" applyAlignment="1">
      <alignment horizontal="center" textRotation="90" wrapText="1"/>
    </xf>
    <xf numFmtId="0" fontId="18" fillId="63" borderId="68" xfId="2" applyNumberFormat="1" applyFont="1" applyFill="1" applyBorder="1" applyAlignment="1">
      <alignment horizontal="center" textRotation="90" wrapText="1"/>
    </xf>
    <xf numFmtId="0" fontId="18" fillId="63" borderId="55" xfId="2" applyNumberFormat="1" applyFont="1" applyFill="1" applyBorder="1" applyAlignment="1">
      <alignment horizontal="center" textRotation="90" wrapText="1"/>
    </xf>
    <xf numFmtId="166" fontId="10" fillId="63" borderId="24" xfId="3" applyNumberFormat="1" applyFont="1" applyFill="1" applyBorder="1" applyAlignment="1" applyProtection="1">
      <alignment horizontal="center"/>
    </xf>
    <xf numFmtId="2" fontId="10" fillId="63" borderId="24" xfId="3" applyNumberFormat="1" applyFont="1" applyFill="1" applyBorder="1" applyAlignment="1" applyProtection="1">
      <alignment horizontal="center"/>
    </xf>
    <xf numFmtId="0" fontId="41" fillId="63" borderId="0" xfId="2" applyNumberFormat="1" applyFill="1" applyBorder="1"/>
    <xf numFmtId="166" fontId="10" fillId="63" borderId="0" xfId="3" applyNumberFormat="1" applyFont="1" applyFill="1" applyBorder="1" applyAlignment="1" applyProtection="1">
      <alignment horizontal="center"/>
    </xf>
    <xf numFmtId="2" fontId="10" fillId="63" borderId="0" xfId="3" applyNumberFormat="1" applyFont="1" applyFill="1" applyBorder="1" applyAlignment="1" applyProtection="1">
      <alignment horizontal="center"/>
    </xf>
    <xf numFmtId="1" fontId="10" fillId="63" borderId="24" xfId="3" applyNumberFormat="1" applyFont="1" applyFill="1" applyBorder="1" applyAlignment="1" applyProtection="1">
      <alignment horizontal="center"/>
    </xf>
    <xf numFmtId="1" fontId="10" fillId="63" borderId="0" xfId="3" applyNumberFormat="1" applyFont="1" applyFill="1" applyBorder="1" applyAlignment="1" applyProtection="1">
      <alignment horizontal="center"/>
    </xf>
    <xf numFmtId="166" fontId="10" fillId="0" borderId="0" xfId="3" applyNumberFormat="1" applyFont="1" applyFill="1" applyBorder="1" applyAlignment="1" applyProtection="1">
      <alignment horizontal="center"/>
    </xf>
    <xf numFmtId="0" fontId="10" fillId="0" borderId="0" xfId="2" applyNumberFormat="1" applyFont="1" applyFill="1" applyBorder="1"/>
    <xf numFmtId="166" fontId="44" fillId="16" borderId="0" xfId="3" applyNumberFormat="1" applyFont="1" applyFill="1" applyBorder="1" applyAlignment="1" applyProtection="1">
      <alignment horizontal="center"/>
    </xf>
    <xf numFmtId="2" fontId="44" fillId="16" borderId="0" xfId="3" applyNumberFormat="1" applyFont="1" applyFill="1" applyBorder="1" applyAlignment="1" applyProtection="1">
      <alignment horizontal="center"/>
    </xf>
    <xf numFmtId="2" fontId="10" fillId="0" borderId="59" xfId="0" applyNumberFormat="1" applyFont="1" applyBorder="1" applyAlignment="1">
      <alignment horizontal="center"/>
    </xf>
    <xf numFmtId="2" fontId="10" fillId="0" borderId="24" xfId="0" applyNumberFormat="1" applyFont="1" applyBorder="1" applyAlignment="1">
      <alignment horizontal="center"/>
    </xf>
    <xf numFmtId="2" fontId="10"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50" fillId="55" borderId="24" xfId="0" applyNumberFormat="1" applyFont="1" applyFill="1" applyBorder="1" applyAlignment="1"/>
    <xf numFmtId="2" fontId="50" fillId="55" borderId="24" xfId="0" applyNumberFormat="1" applyFont="1" applyFill="1" applyBorder="1"/>
    <xf numFmtId="2" fontId="0" fillId="0" borderId="0" xfId="0" applyNumberFormat="1" applyAlignment="1">
      <alignment horizontal="right"/>
    </xf>
    <xf numFmtId="1" fontId="2" fillId="0" borderId="24" xfId="0" applyNumberFormat="1" applyFont="1" applyBorder="1" applyAlignment="1">
      <alignment horizontal="right"/>
    </xf>
    <xf numFmtId="1" fontId="12"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6" fillId="64" borderId="53" xfId="2" applyNumberFormat="1" applyFont="1" applyFill="1" applyBorder="1" applyAlignment="1">
      <alignment horizontal="center" textRotation="90" wrapText="1"/>
    </xf>
    <xf numFmtId="0" fontId="46" fillId="64" borderId="55" xfId="2" applyNumberFormat="1" applyFont="1" applyFill="1" applyBorder="1" applyAlignment="1">
      <alignment horizontal="center" textRotation="90" wrapText="1"/>
    </xf>
    <xf numFmtId="0" fontId="46" fillId="64" borderId="66" xfId="2" applyNumberFormat="1" applyFont="1" applyFill="1" applyBorder="1" applyAlignment="1">
      <alignment horizontal="center" textRotation="90" wrapText="1"/>
    </xf>
    <xf numFmtId="0" fontId="41" fillId="64" borderId="20" xfId="2" applyNumberFormat="1" applyFill="1" applyBorder="1" applyAlignment="1">
      <alignment horizontal="center"/>
    </xf>
    <xf numFmtId="0" fontId="41" fillId="64" borderId="15" xfId="2" applyNumberFormat="1" applyFill="1" applyBorder="1" applyAlignment="1">
      <alignment horizontal="center"/>
    </xf>
    <xf numFmtId="0" fontId="18" fillId="64" borderId="55" xfId="2" applyNumberFormat="1" applyFont="1" applyFill="1" applyBorder="1" applyAlignment="1">
      <alignment horizontal="center" textRotation="90" wrapText="1"/>
    </xf>
    <xf numFmtId="2" fontId="10" fillId="64" borderId="24" xfId="3" applyNumberFormat="1" applyFont="1" applyFill="1" applyBorder="1" applyAlignment="1" applyProtection="1">
      <alignment horizontal="center"/>
    </xf>
    <xf numFmtId="2" fontId="10" fillId="64" borderId="55" xfId="3" applyNumberFormat="1" applyFont="1" applyFill="1" applyBorder="1" applyAlignment="1" applyProtection="1">
      <alignment horizontal="center"/>
    </xf>
    <xf numFmtId="166" fontId="10" fillId="64" borderId="24" xfId="3" applyNumberFormat="1" applyFont="1" applyFill="1" applyBorder="1" applyAlignment="1" applyProtection="1">
      <alignment horizontal="center"/>
    </xf>
    <xf numFmtId="0" fontId="41" fillId="64" borderId="0" xfId="2" applyNumberFormat="1" applyFill="1" applyBorder="1"/>
    <xf numFmtId="2" fontId="10" fillId="64" borderId="0" xfId="3" applyNumberFormat="1" applyFont="1" applyFill="1" applyBorder="1" applyAlignment="1" applyProtection="1">
      <alignment horizontal="center"/>
    </xf>
    <xf numFmtId="166" fontId="10" fillId="64" borderId="0" xfId="3" applyNumberFormat="1" applyFont="1" applyFill="1" applyBorder="1" applyAlignment="1" applyProtection="1">
      <alignment horizontal="center"/>
    </xf>
    <xf numFmtId="166" fontId="12" fillId="17" borderId="24" xfId="0" applyNumberFormat="1" applyFont="1" applyFill="1" applyBorder="1"/>
    <xf numFmtId="2" fontId="12" fillId="17" borderId="24" xfId="0" applyNumberFormat="1" applyFont="1" applyFill="1" applyBorder="1" applyAlignment="1"/>
    <xf numFmtId="166" fontId="41" fillId="0" borderId="0" xfId="2" applyNumberFormat="1" applyFill="1" applyBorder="1"/>
    <xf numFmtId="166" fontId="10" fillId="17" borderId="24" xfId="3" applyNumberFormat="1" applyFont="1" applyFill="1" applyBorder="1" applyAlignment="1" applyProtection="1">
      <alignment horizontal="center"/>
    </xf>
    <xf numFmtId="167" fontId="12" fillId="0" borderId="0" xfId="0" applyNumberFormat="1" applyFont="1" applyFill="1" applyBorder="1" applyAlignment="1"/>
    <xf numFmtId="167" fontId="12" fillId="0" borderId="0" xfId="0" applyNumberFormat="1" applyFont="1"/>
    <xf numFmtId="0" fontId="71" fillId="0" borderId="0" xfId="0" applyFont="1"/>
    <xf numFmtId="0" fontId="2" fillId="0" borderId="0" xfId="0" applyFont="1" applyAlignment="1">
      <alignment horizontal="center" wrapText="1"/>
    </xf>
    <xf numFmtId="0" fontId="0" fillId="0" borderId="0" xfId="0" applyAlignment="1">
      <alignment horizontal="center"/>
    </xf>
    <xf numFmtId="167" fontId="12" fillId="0" borderId="0" xfId="0" applyNumberFormat="1" applyFont="1" applyFill="1"/>
    <xf numFmtId="0" fontId="72" fillId="0" borderId="0" xfId="0" applyFont="1" applyAlignment="1">
      <alignment horizontal="right"/>
    </xf>
    <xf numFmtId="0" fontId="72" fillId="0" borderId="0" xfId="0" applyFont="1" applyAlignment="1">
      <alignment horizontal="center"/>
    </xf>
    <xf numFmtId="2" fontId="0" fillId="0" borderId="0" xfId="0" applyNumberFormat="1" applyAlignment="1">
      <alignment horizontal="center"/>
    </xf>
    <xf numFmtId="2" fontId="72" fillId="0" borderId="0" xfId="0" applyNumberFormat="1" applyFont="1" applyAlignment="1">
      <alignment horizontal="center"/>
    </xf>
    <xf numFmtId="0" fontId="73" fillId="0" borderId="0" xfId="0" applyFont="1"/>
    <xf numFmtId="0" fontId="72" fillId="0" borderId="0" xfId="0" applyFont="1" applyAlignment="1">
      <alignment horizontal="center" wrapText="1"/>
    </xf>
    <xf numFmtId="14" fontId="0" fillId="65" borderId="0" xfId="0" applyNumberFormat="1" applyFill="1"/>
    <xf numFmtId="167" fontId="72" fillId="0" borderId="0" xfId="0" applyNumberFormat="1" applyFont="1" applyAlignment="1">
      <alignment horizontal="center"/>
    </xf>
    <xf numFmtId="0" fontId="0" fillId="0" borderId="0" xfId="0" applyAlignment="1">
      <alignment horizontal="center" wrapText="1"/>
    </xf>
    <xf numFmtId="0" fontId="2" fillId="0" borderId="29" xfId="0" applyFont="1" applyFill="1" applyBorder="1" applyAlignment="1">
      <alignment horizontal="left"/>
    </xf>
    <xf numFmtId="166" fontId="10" fillId="0" borderId="0" xfId="2" applyNumberFormat="1" applyFont="1" applyFill="1" applyBorder="1"/>
    <xf numFmtId="0" fontId="10" fillId="0" borderId="0" xfId="2" applyNumberFormat="1" applyFont="1" applyFill="1" applyBorder="1" applyAlignment="1">
      <alignment textRotation="90"/>
    </xf>
    <xf numFmtId="0" fontId="46" fillId="17" borderId="55" xfId="2" applyNumberFormat="1" applyFont="1" applyFill="1" applyBorder="1" applyAlignment="1">
      <alignment horizontal="center" textRotation="90" wrapText="1"/>
    </xf>
    <xf numFmtId="0" fontId="41" fillId="17" borderId="15" xfId="2" applyNumberFormat="1" applyFill="1" applyBorder="1" applyAlignment="1">
      <alignment horizontal="center"/>
    </xf>
    <xf numFmtId="0" fontId="18" fillId="17" borderId="55" xfId="2" applyNumberFormat="1" applyFont="1" applyFill="1" applyBorder="1" applyAlignment="1">
      <alignment horizontal="center" textRotation="90" wrapText="1"/>
    </xf>
    <xf numFmtId="0" fontId="41" fillId="17" borderId="0" xfId="2" applyNumberFormat="1" applyFill="1" applyBorder="1"/>
    <xf numFmtId="166" fontId="10" fillId="17" borderId="0" xfId="3" applyNumberFormat="1" applyFont="1" applyFill="1" applyBorder="1" applyAlignment="1" applyProtection="1">
      <alignment horizontal="center"/>
    </xf>
    <xf numFmtId="0" fontId="46" fillId="17" borderId="54" xfId="2" applyNumberFormat="1" applyFont="1" applyFill="1" applyBorder="1" applyAlignment="1">
      <alignment horizontal="center" textRotation="90" wrapText="1"/>
    </xf>
    <xf numFmtId="0" fontId="41" fillId="17" borderId="16" xfId="2" applyNumberFormat="1" applyFill="1" applyBorder="1" applyAlignment="1">
      <alignment horizontal="center"/>
    </xf>
    <xf numFmtId="2" fontId="5" fillId="66" borderId="4" xfId="3" applyNumberFormat="1" applyFont="1" applyFill="1" applyBorder="1" applyAlignment="1" applyProtection="1"/>
    <xf numFmtId="2" fontId="31" fillId="66" borderId="36" xfId="3" quotePrefix="1" applyNumberFormat="1" applyFont="1" applyFill="1" applyBorder="1" applyAlignment="1" applyProtection="1">
      <alignment horizontal="right"/>
    </xf>
    <xf numFmtId="2" fontId="10" fillId="66" borderId="19" xfId="0" applyNumberFormat="1" applyFont="1" applyFill="1" applyBorder="1" applyAlignment="1">
      <alignment horizontal="center"/>
    </xf>
    <xf numFmtId="2" fontId="10" fillId="66" borderId="12" xfId="0" applyNumberFormat="1" applyFont="1" applyFill="1" applyBorder="1" applyAlignment="1">
      <alignment horizontal="center"/>
    </xf>
    <xf numFmtId="2" fontId="10" fillId="66" borderId="14" xfId="0" applyNumberFormat="1" applyFont="1" applyFill="1" applyBorder="1" applyAlignment="1">
      <alignment horizontal="center"/>
    </xf>
    <xf numFmtId="2" fontId="5" fillId="0" borderId="2" xfId="3" applyNumberFormat="1" applyFont="1" applyFill="1" applyBorder="1" applyProtection="1"/>
    <xf numFmtId="166" fontId="10" fillId="67" borderId="24" xfId="3" applyNumberFormat="1" applyFont="1" applyFill="1" applyBorder="1" applyAlignment="1" applyProtection="1">
      <alignment horizontal="center"/>
    </xf>
    <xf numFmtId="0" fontId="2" fillId="15" borderId="24" xfId="0" applyFont="1" applyFill="1" applyBorder="1" applyAlignment="1" applyProtection="1">
      <alignment horizontal="center" wrapText="1"/>
      <protection locked="0"/>
    </xf>
    <xf numFmtId="175" fontId="12" fillId="0" borderId="24" xfId="0" applyNumberFormat="1" applyFont="1" applyFill="1" applyBorder="1" applyAlignment="1"/>
    <xf numFmtId="0" fontId="6" fillId="17" borderId="25" xfId="0" applyFont="1" applyFill="1" applyBorder="1" applyAlignment="1">
      <alignment horizontal="center" wrapText="1"/>
    </xf>
    <xf numFmtId="0" fontId="23" fillId="52" borderId="55" xfId="0" applyNumberFormat="1" applyFont="1" applyFill="1" applyBorder="1" applyAlignment="1">
      <alignment horizontal="center"/>
    </xf>
    <xf numFmtId="0" fontId="23" fillId="52" borderId="54" xfId="0" applyNumberFormat="1" applyFont="1" applyFill="1" applyBorder="1" applyAlignment="1">
      <alignment horizontal="center"/>
    </xf>
    <xf numFmtId="0" fontId="23" fillId="52" borderId="25" xfId="0" applyNumberFormat="1" applyFont="1" applyFill="1" applyBorder="1" applyAlignment="1">
      <alignment horizontal="center"/>
    </xf>
    <xf numFmtId="0" fontId="23" fillId="52" borderId="57" xfId="0" applyNumberFormat="1" applyFont="1" applyFill="1" applyBorder="1" applyAlignment="1">
      <alignment horizontal="center"/>
    </xf>
    <xf numFmtId="2" fontId="10" fillId="52" borderId="65" xfId="0" applyNumberFormat="1" applyFont="1" applyFill="1" applyBorder="1" applyAlignment="1">
      <alignment horizontal="center"/>
    </xf>
    <xf numFmtId="2" fontId="10" fillId="52" borderId="70" xfId="0" applyNumberFormat="1" applyFont="1" applyFill="1" applyBorder="1" applyAlignment="1">
      <alignment horizontal="center"/>
    </xf>
    <xf numFmtId="2" fontId="24" fillId="52" borderId="25" xfId="0" applyNumberFormat="1" applyFont="1" applyFill="1" applyBorder="1" applyAlignment="1">
      <alignment horizontal="center"/>
    </xf>
    <xf numFmtId="2" fontId="24" fillId="52" borderId="57" xfId="0" applyNumberFormat="1" applyFont="1" applyFill="1" applyBorder="1" applyAlignment="1">
      <alignment horizontal="center"/>
    </xf>
    <xf numFmtId="0" fontId="2" fillId="0" borderId="25" xfId="0" applyFont="1" applyFill="1" applyBorder="1" applyAlignment="1">
      <alignment horizontal="center" textRotation="90"/>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1" fillId="0" borderId="0" xfId="0" applyFont="1" applyBorder="1"/>
    <xf numFmtId="0" fontId="0" fillId="0" borderId="1" xfId="0" applyBorder="1" applyAlignment="1">
      <alignment horizontal="right"/>
    </xf>
    <xf numFmtId="0" fontId="2" fillId="0" borderId="17" xfId="0" applyFont="1" applyBorder="1"/>
    <xf numFmtId="167" fontId="0" fillId="0" borderId="0" xfId="0" applyNumberFormat="1" applyBorder="1"/>
    <xf numFmtId="0" fontId="68" fillId="0" borderId="10" xfId="0" applyFont="1" applyBorder="1" applyAlignment="1">
      <alignment horizontal="center"/>
    </xf>
    <xf numFmtId="166" fontId="68" fillId="0" borderId="75" xfId="0" applyNumberFormat="1" applyFont="1" applyBorder="1" applyAlignment="1">
      <alignment horizontal="center"/>
    </xf>
    <xf numFmtId="0" fontId="0" fillId="0" borderId="75" xfId="0" applyBorder="1"/>
    <xf numFmtId="0" fontId="0" fillId="0" borderId="11" xfId="0" applyBorder="1"/>
    <xf numFmtId="0" fontId="18" fillId="0" borderId="0" xfId="0" applyFont="1" applyBorder="1" applyAlignment="1">
      <alignment horizontal="right"/>
    </xf>
    <xf numFmtId="0" fontId="2" fillId="0" borderId="0" xfId="0" applyFont="1" applyFill="1" applyBorder="1"/>
    <xf numFmtId="0" fontId="2" fillId="0" borderId="29" xfId="0" applyFont="1" applyBorder="1" applyAlignment="1">
      <alignment wrapText="1"/>
    </xf>
    <xf numFmtId="0" fontId="2" fillId="0" borderId="37" xfId="0" applyFont="1" applyBorder="1" applyAlignment="1">
      <alignment wrapText="1"/>
    </xf>
    <xf numFmtId="167" fontId="8" fillId="0" borderId="0" xfId="0" applyNumberFormat="1" applyFont="1" applyBorder="1" applyAlignment="1">
      <alignment horizontal="center"/>
    </xf>
    <xf numFmtId="167" fontId="0" fillId="0" borderId="0" xfId="0" applyNumberFormat="1"/>
    <xf numFmtId="2" fontId="34" fillId="0" borderId="56" xfId="0" applyNumberFormat="1" applyFont="1" applyBorder="1" applyAlignment="1">
      <alignment horizontal="center"/>
    </xf>
    <xf numFmtId="2" fontId="34" fillId="0" borderId="25" xfId="0" applyNumberFormat="1" applyFont="1" applyBorder="1" applyAlignment="1">
      <alignment horizontal="center"/>
    </xf>
    <xf numFmtId="2" fontId="34" fillId="0" borderId="57" xfId="0" applyNumberFormat="1" applyFont="1" applyBorder="1" applyAlignment="1">
      <alignment horizontal="center"/>
    </xf>
    <xf numFmtId="0" fontId="1"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0" fillId="13" borderId="9" xfId="0" applyNumberFormat="1" applyFont="1" applyFill="1" applyBorder="1" applyAlignment="1">
      <alignment horizontal="center"/>
    </xf>
    <xf numFmtId="176" fontId="10" fillId="13" borderId="21" xfId="0" applyNumberFormat="1" applyFont="1" applyFill="1" applyBorder="1" applyAlignment="1">
      <alignment horizontal="center"/>
    </xf>
    <xf numFmtId="176" fontId="10" fillId="13" borderId="26" xfId="0" applyNumberFormat="1" applyFont="1" applyFill="1" applyBorder="1" applyAlignment="1">
      <alignment horizontal="center"/>
    </xf>
    <xf numFmtId="176" fontId="10" fillId="13" borderId="61" xfId="0" applyNumberFormat="1" applyFont="1" applyFill="1" applyBorder="1" applyAlignment="1">
      <alignment horizontal="center"/>
    </xf>
    <xf numFmtId="2" fontId="10" fillId="0" borderId="31" xfId="0" applyNumberFormat="1" applyFont="1" applyBorder="1" applyAlignment="1">
      <alignment horizontal="center"/>
    </xf>
    <xf numFmtId="2" fontId="10" fillId="0" borderId="92" xfId="0" applyNumberFormat="1" applyFont="1" applyBorder="1" applyAlignment="1">
      <alignment horizontal="center"/>
    </xf>
    <xf numFmtId="0" fontId="74" fillId="0" borderId="0" xfId="0" applyFont="1"/>
    <xf numFmtId="2" fontId="34" fillId="0" borderId="19" xfId="0" applyNumberFormat="1" applyFont="1" applyFill="1" applyBorder="1" applyAlignment="1">
      <alignment horizontal="center"/>
    </xf>
    <xf numFmtId="2" fontId="34" fillId="0" borderId="12" xfId="0" applyNumberFormat="1" applyFont="1" applyFill="1" applyBorder="1" applyAlignment="1">
      <alignment horizontal="center"/>
    </xf>
    <xf numFmtId="2" fontId="34" fillId="0" borderId="14" xfId="0" applyNumberFormat="1" applyFont="1" applyFill="1" applyBorder="1" applyAlignment="1">
      <alignment horizontal="center"/>
    </xf>
    <xf numFmtId="0" fontId="2" fillId="68" borderId="0" xfId="0" applyFont="1" applyFill="1" applyBorder="1" applyAlignment="1">
      <alignment horizontal="center"/>
    </xf>
    <xf numFmtId="165" fontId="12" fillId="68" borderId="12" xfId="0" applyNumberFormat="1" applyFont="1" applyFill="1" applyBorder="1" applyAlignment="1">
      <alignment horizontal="center"/>
    </xf>
    <xf numFmtId="0" fontId="6" fillId="68" borderId="0" xfId="0" applyFont="1" applyFill="1" applyAlignment="1">
      <alignment horizontal="center"/>
    </xf>
    <xf numFmtId="2" fontId="12" fillId="68" borderId="0" xfId="0" applyNumberFormat="1" applyFont="1" applyFill="1" applyAlignment="1">
      <alignment horizontal="center"/>
    </xf>
    <xf numFmtId="2" fontId="6" fillId="0" borderId="24" xfId="0" applyNumberFormat="1" applyFont="1" applyFill="1" applyBorder="1"/>
    <xf numFmtId="2" fontId="39" fillId="0" borderId="24" xfId="0" applyNumberFormat="1" applyFont="1" applyFill="1" applyBorder="1" applyAlignment="1">
      <alignment horizontal="center"/>
    </xf>
    <xf numFmtId="2" fontId="9" fillId="17" borderId="24" xfId="0" applyNumberFormat="1" applyFont="1" applyFill="1" applyBorder="1" applyAlignment="1">
      <alignment horizontal="right"/>
    </xf>
    <xf numFmtId="166" fontId="10" fillId="69" borderId="24" xfId="3" applyNumberFormat="1" applyFont="1" applyFill="1" applyBorder="1" applyAlignment="1" applyProtection="1">
      <alignment horizontal="center"/>
    </xf>
    <xf numFmtId="0" fontId="0" fillId="67" borderId="0" xfId="0" applyNumberFormat="1" applyFill="1"/>
    <xf numFmtId="2" fontId="68" fillId="67" borderId="0" xfId="0" applyNumberFormat="1" applyFont="1" applyFill="1" applyAlignment="1">
      <alignment horizontal="center"/>
    </xf>
    <xf numFmtId="2" fontId="12" fillId="67" borderId="0" xfId="0" applyNumberFormat="1" applyFont="1" applyFill="1" applyAlignment="1">
      <alignment horizontal="center"/>
    </xf>
    <xf numFmtId="2" fontId="50" fillId="67" borderId="24" xfId="0" applyNumberFormat="1" applyFont="1" applyFill="1" applyBorder="1" applyAlignment="1"/>
    <xf numFmtId="2" fontId="50" fillId="67" borderId="24" xfId="0" applyNumberFormat="1" applyFont="1" applyFill="1" applyBorder="1" applyAlignment="1">
      <alignment horizontal="right"/>
    </xf>
    <xf numFmtId="167" fontId="6" fillId="0" borderId="24" xfId="0" applyNumberFormat="1" applyFont="1" applyFill="1" applyBorder="1" applyAlignment="1"/>
    <xf numFmtId="174" fontId="2" fillId="0" borderId="0" xfId="0" applyNumberFormat="1" applyFont="1" applyFill="1" applyBorder="1" applyAlignment="1">
      <alignment horizontal="right"/>
    </xf>
    <xf numFmtId="167" fontId="12" fillId="0" borderId="12" xfId="0" applyNumberFormat="1" applyFont="1" applyFill="1" applyBorder="1" applyAlignment="1"/>
    <xf numFmtId="166" fontId="6" fillId="17" borderId="24" xfId="0" applyNumberFormat="1" applyFont="1" applyFill="1" applyBorder="1"/>
    <xf numFmtId="0" fontId="46" fillId="67" borderId="54" xfId="2" applyNumberFormat="1" applyFont="1" applyFill="1" applyBorder="1" applyAlignment="1">
      <alignment horizontal="center" textRotation="90" wrapText="1"/>
    </xf>
    <xf numFmtId="0" fontId="41" fillId="67" borderId="16" xfId="2" applyNumberFormat="1" applyFill="1" applyBorder="1" applyAlignment="1">
      <alignment horizontal="center"/>
    </xf>
    <xf numFmtId="0" fontId="18" fillId="67" borderId="55" xfId="2" applyNumberFormat="1" applyFont="1" applyFill="1" applyBorder="1" applyAlignment="1">
      <alignment horizontal="center" textRotation="90" wrapText="1"/>
    </xf>
    <xf numFmtId="1" fontId="10" fillId="67" borderId="24" xfId="3" applyNumberFormat="1" applyFont="1" applyFill="1" applyBorder="1" applyAlignment="1" applyProtection="1">
      <alignment horizontal="center"/>
    </xf>
    <xf numFmtId="166" fontId="12" fillId="17" borderId="24" xfId="0" applyNumberFormat="1" applyFont="1" applyFill="1" applyBorder="1" applyAlignment="1">
      <alignment horizontal="right"/>
    </xf>
    <xf numFmtId="2" fontId="12" fillId="17" borderId="24" xfId="0" applyNumberFormat="1" applyFont="1" applyFill="1" applyBorder="1" applyAlignment="1">
      <alignment horizontal="right"/>
    </xf>
    <xf numFmtId="166" fontId="10" fillId="65" borderId="24" xfId="3" applyNumberFormat="1" applyFont="1" applyFill="1" applyBorder="1" applyAlignment="1" applyProtection="1">
      <alignment horizontal="center"/>
    </xf>
    <xf numFmtId="2" fontId="10" fillId="17" borderId="24" xfId="3" applyNumberFormat="1" applyFont="1" applyFill="1" applyBorder="1" applyAlignment="1" applyProtection="1">
      <alignment horizontal="center"/>
    </xf>
    <xf numFmtId="10" fontId="10" fillId="0" borderId="43" xfId="4" applyNumberFormat="1" applyFont="1" applyFill="1" applyBorder="1" applyAlignment="1">
      <alignment horizontal="center"/>
    </xf>
    <xf numFmtId="10" fontId="10" fillId="0" borderId="41" xfId="4" applyNumberFormat="1" applyFont="1" applyFill="1" applyBorder="1" applyAlignment="1">
      <alignment horizontal="center"/>
    </xf>
    <xf numFmtId="2" fontId="9" fillId="63" borderId="24" xfId="0" applyNumberFormat="1" applyFont="1" applyFill="1" applyBorder="1" applyAlignment="1"/>
    <xf numFmtId="2" fontId="6" fillId="67" borderId="0" xfId="0" applyNumberFormat="1" applyFont="1" applyFill="1" applyAlignment="1">
      <alignment horizontal="center"/>
    </xf>
    <xf numFmtId="2" fontId="6" fillId="67" borderId="0" xfId="0" quotePrefix="1" applyNumberFormat="1" applyFont="1" applyFill="1" applyAlignment="1">
      <alignment horizontal="center"/>
    </xf>
    <xf numFmtId="2" fontId="12" fillId="67" borderId="0" xfId="0" quotePrefix="1" applyNumberFormat="1" applyFont="1" applyFill="1" applyAlignment="1">
      <alignment horizontal="center"/>
    </xf>
    <xf numFmtId="166" fontId="0" fillId="0" borderId="24" xfId="0" applyNumberFormat="1" applyBorder="1"/>
    <xf numFmtId="0" fontId="12" fillId="0" borderId="22" xfId="0" applyFont="1" applyFill="1" applyBorder="1"/>
    <xf numFmtId="1" fontId="12" fillId="17" borderId="24" xfId="0" applyNumberFormat="1" applyFont="1" applyFill="1" applyBorder="1" applyAlignment="1"/>
    <xf numFmtId="2" fontId="6" fillId="0" borderId="24" xfId="0" applyNumberFormat="1" applyFont="1" applyBorder="1"/>
    <xf numFmtId="0" fontId="12" fillId="17" borderId="0" xfId="0" applyFont="1" applyFill="1" applyBorder="1"/>
    <xf numFmtId="2" fontId="9" fillId="55" borderId="24" xfId="0" applyNumberFormat="1" applyFont="1" applyFill="1" applyBorder="1" applyAlignment="1">
      <alignment horizontal="right"/>
    </xf>
    <xf numFmtId="166" fontId="10" fillId="19" borderId="24" xfId="3" applyNumberFormat="1" applyFont="1" applyFill="1" applyBorder="1" applyAlignment="1" applyProtection="1">
      <alignment horizontal="center"/>
    </xf>
    <xf numFmtId="0" fontId="12" fillId="67" borderId="24" xfId="0" applyFont="1" applyFill="1" applyBorder="1"/>
    <xf numFmtId="166" fontId="12" fillId="67" borderId="24" xfId="0" applyNumberFormat="1" applyFont="1" applyFill="1" applyBorder="1"/>
    <xf numFmtId="2" fontId="74" fillId="0" borderId="0" xfId="0" applyNumberFormat="1" applyFont="1"/>
    <xf numFmtId="14" fontId="2" fillId="0" borderId="0" xfId="0" applyNumberFormat="1" applyFont="1" applyFill="1" applyAlignment="1">
      <alignment horizontal="center"/>
    </xf>
    <xf numFmtId="2" fontId="12" fillId="0" borderId="0" xfId="0" applyNumberFormat="1" applyFont="1" applyFill="1" applyBorder="1"/>
    <xf numFmtId="2" fontId="9" fillId="67" borderId="24" xfId="0" applyNumberFormat="1" applyFont="1" applyFill="1" applyBorder="1" applyAlignment="1">
      <alignment horizontal="right"/>
    </xf>
    <xf numFmtId="0" fontId="41" fillId="0" borderId="46" xfId="2" applyNumberFormat="1" applyFill="1" applyBorder="1" applyAlignment="1">
      <alignment horizontal="center"/>
    </xf>
    <xf numFmtId="0" fontId="41" fillId="0" borderId="47" xfId="2" applyNumberFormat="1" applyFill="1" applyBorder="1" applyAlignment="1">
      <alignment horizontal="center"/>
    </xf>
    <xf numFmtId="0" fontId="41" fillId="62" borderId="42" xfId="2" applyNumberFormat="1" applyFill="1" applyBorder="1" applyAlignment="1">
      <alignment horizontal="center" wrapText="1"/>
    </xf>
    <xf numFmtId="0" fontId="41" fillId="62" borderId="64" xfId="2" applyNumberFormat="1" applyFill="1" applyBorder="1" applyAlignment="1">
      <alignment horizontal="center" wrapText="1"/>
    </xf>
    <xf numFmtId="0" fontId="41" fillId="62" borderId="44" xfId="2" applyNumberFormat="1" applyFill="1" applyBorder="1" applyAlignment="1">
      <alignment horizontal="center" wrapText="1"/>
    </xf>
    <xf numFmtId="0" fontId="41" fillId="63" borderId="42" xfId="2" applyNumberFormat="1" applyFill="1" applyBorder="1" applyAlignment="1">
      <alignment horizontal="center" vertical="center" wrapText="1"/>
    </xf>
    <xf numFmtId="0" fontId="41" fillId="63" borderId="64" xfId="2" applyNumberFormat="1" applyFill="1" applyBorder="1" applyAlignment="1">
      <alignment horizontal="center" vertical="center" wrapText="1"/>
    </xf>
    <xf numFmtId="0" fontId="41" fillId="63" borderId="44" xfId="2" applyNumberFormat="1" applyFill="1" applyBorder="1" applyAlignment="1">
      <alignment horizontal="center" vertical="center" wrapText="1"/>
    </xf>
    <xf numFmtId="0" fontId="41" fillId="63" borderId="42" xfId="2" applyNumberFormat="1" applyFill="1" applyBorder="1" applyAlignment="1">
      <alignment horizontal="center" vertical="center"/>
    </xf>
    <xf numFmtId="0" fontId="41" fillId="63" borderId="64" xfId="2" applyNumberFormat="1" applyFill="1" applyBorder="1" applyAlignment="1">
      <alignment horizontal="center" vertical="center"/>
    </xf>
    <xf numFmtId="0" fontId="41" fillId="63" borderId="44" xfId="2" applyNumberFormat="1" applyFill="1" applyBorder="1" applyAlignment="1">
      <alignment horizontal="center" vertical="center"/>
    </xf>
    <xf numFmtId="0" fontId="41" fillId="64" borderId="3" xfId="2" applyNumberFormat="1" applyFill="1" applyBorder="1" applyAlignment="1">
      <alignment horizontal="center" vertical="center" wrapText="1"/>
    </xf>
    <xf numFmtId="0" fontId="41" fillId="64" borderId="1" xfId="2" applyNumberFormat="1" applyFill="1" applyBorder="1" applyAlignment="1">
      <alignment horizontal="center" vertical="center" wrapText="1"/>
    </xf>
    <xf numFmtId="0" fontId="41" fillId="64" borderId="8" xfId="2" applyNumberFormat="1" applyFill="1" applyBorder="1" applyAlignment="1">
      <alignment horizontal="center" vertical="center" wrapText="1"/>
    </xf>
    <xf numFmtId="0" fontId="41" fillId="62" borderId="42" xfId="2" applyNumberFormat="1" applyFill="1" applyBorder="1" applyAlignment="1">
      <alignment horizontal="center" vertical="center" wrapText="1"/>
    </xf>
    <xf numFmtId="0" fontId="41" fillId="62" borderId="64" xfId="2" applyNumberFormat="1" applyFill="1" applyBorder="1" applyAlignment="1">
      <alignment horizontal="center" vertical="center" wrapText="1"/>
    </xf>
    <xf numFmtId="0" fontId="41" fillId="62" borderId="44" xfId="2" applyNumberFormat="1" applyFill="1" applyBorder="1" applyAlignment="1">
      <alignment horizontal="center" vertical="center" wrapText="1"/>
    </xf>
    <xf numFmtId="2" fontId="17"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7" fillId="0" borderId="64" xfId="3" applyNumberFormat="1" applyFont="1" applyFill="1" applyBorder="1" applyAlignment="1" applyProtection="1">
      <alignment horizontal="center"/>
    </xf>
    <xf numFmtId="2" fontId="17" fillId="0" borderId="44" xfId="3" applyNumberFormat="1" applyFont="1" applyFill="1" applyBorder="1" applyAlignment="1" applyProtection="1">
      <alignment horizontal="center"/>
    </xf>
    <xf numFmtId="0" fontId="17" fillId="0" borderId="0" xfId="3" applyFont="1" applyFill="1" applyAlignment="1" applyProtection="1">
      <alignment horizontal="center"/>
    </xf>
    <xf numFmtId="0" fontId="19" fillId="0" borderId="0" xfId="0" applyFont="1" applyAlignment="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0" fontId="13" fillId="0" borderId="0" xfId="3" applyFont="1" applyFill="1" applyAlignment="1" applyProtection="1">
      <alignment horizontal="center"/>
    </xf>
    <xf numFmtId="2" fontId="16" fillId="0" borderId="42" xfId="3" applyNumberFormat="1" applyFont="1" applyFill="1" applyBorder="1" applyAlignment="1" applyProtection="1">
      <alignment horizontal="center"/>
    </xf>
    <xf numFmtId="2" fontId="16" fillId="0" borderId="64"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16" fillId="0" borderId="8" xfId="3" applyNumberFormat="1" applyFont="1" applyFill="1" applyBorder="1" applyAlignment="1" applyProtection="1">
      <alignment horizontal="center"/>
    </xf>
    <xf numFmtId="2" fontId="14" fillId="0" borderId="1" xfId="3" applyNumberFormat="1" applyFont="1" applyFill="1" applyBorder="1" applyAlignment="1" applyProtection="1">
      <alignment horizontal="center"/>
    </xf>
    <xf numFmtId="2" fontId="16" fillId="0" borderId="0" xfId="3" applyNumberFormat="1" applyFont="1" applyFill="1" applyBorder="1" applyAlignment="1" applyProtection="1">
      <alignment horizontal="center"/>
    </xf>
    <xf numFmtId="2" fontId="14" fillId="0" borderId="42" xfId="3" applyNumberFormat="1" applyFont="1" applyFill="1" applyBorder="1" applyAlignment="1" applyProtection="1">
      <alignment horizontal="center"/>
    </xf>
    <xf numFmtId="2" fontId="16" fillId="0" borderId="51" xfId="3" applyNumberFormat="1" applyFont="1" applyFill="1" applyBorder="1" applyAlignment="1" applyProtection="1">
      <alignment horizontal="center"/>
    </xf>
    <xf numFmtId="0" fontId="10" fillId="64" borderId="10" xfId="0" applyFont="1" applyFill="1" applyBorder="1" applyAlignment="1">
      <alignment textRotation="90"/>
    </xf>
    <xf numFmtId="0" fontId="10" fillId="64" borderId="75" xfId="0" applyFont="1" applyFill="1" applyBorder="1" applyAlignment="1">
      <alignment textRotation="90"/>
    </xf>
    <xf numFmtId="0" fontId="10" fillId="64" borderId="11" xfId="0" applyFont="1" applyFill="1" applyBorder="1" applyAlignment="1">
      <alignment textRotation="90"/>
    </xf>
    <xf numFmtId="0" fontId="2" fillId="64" borderId="10" xfId="0" applyFont="1" applyFill="1" applyBorder="1" applyAlignment="1">
      <alignment horizontal="center" vertical="center" textRotation="90"/>
    </xf>
    <xf numFmtId="0" fontId="0" fillId="64" borderId="75" xfId="0" applyFill="1" applyBorder="1" applyAlignment="1">
      <alignment horizontal="center" vertical="center" textRotation="90"/>
    </xf>
    <xf numFmtId="0" fontId="0" fillId="64" borderId="11" xfId="0" applyFill="1" applyBorder="1" applyAlignment="1">
      <alignment horizontal="center" vertical="center" textRotation="90"/>
    </xf>
    <xf numFmtId="0" fontId="2" fillId="0" borderId="10" xfId="0" applyFont="1" applyBorder="1" applyAlignment="1">
      <alignment horizontal="center" vertical="center" textRotation="90"/>
    </xf>
    <xf numFmtId="0" fontId="0" fillId="0" borderId="75" xfId="0" applyBorder="1" applyAlignment="1">
      <alignment horizontal="center" vertical="center" textRotation="90"/>
    </xf>
    <xf numFmtId="0" fontId="0" fillId="0" borderId="11" xfId="0" applyBorder="1" applyAlignment="1">
      <alignment horizontal="center" vertical="center" textRotation="90"/>
    </xf>
    <xf numFmtId="0" fontId="10" fillId="64" borderId="10" xfId="0" applyFont="1" applyFill="1" applyBorder="1" applyAlignment="1">
      <alignment vertical="center" textRotation="90"/>
    </xf>
    <xf numFmtId="0" fontId="10" fillId="64" borderId="75" xfId="0" applyFont="1" applyFill="1" applyBorder="1"/>
    <xf numFmtId="0" fontId="10" fillId="64" borderId="11" xfId="0" applyFont="1" applyFill="1" applyBorder="1"/>
    <xf numFmtId="0" fontId="23" fillId="53" borderId="42" xfId="0" applyNumberFormat="1" applyFont="1" applyFill="1" applyBorder="1" applyAlignment="1">
      <alignment horizontal="center"/>
    </xf>
    <xf numFmtId="0" fontId="23" fillId="53" borderId="64" xfId="0" applyNumberFormat="1" applyFont="1" applyFill="1" applyBorder="1" applyAlignment="1">
      <alignment horizontal="center"/>
    </xf>
    <xf numFmtId="0" fontId="23"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0" fillId="0" borderId="0" xfId="0" applyNumberFormat="1" applyFont="1" applyFill="1" applyBorder="1" applyAlignment="1">
      <alignment horizontal="center"/>
    </xf>
    <xf numFmtId="168" fontId="21" fillId="0" borderId="0" xfId="0" applyNumberFormat="1" applyFont="1" applyFill="1" applyBorder="1" applyAlignment="1">
      <alignment horizontal="center"/>
    </xf>
    <xf numFmtId="0" fontId="23" fillId="52" borderId="42" xfId="0" applyNumberFormat="1" applyFont="1" applyFill="1" applyBorder="1" applyAlignment="1">
      <alignment horizontal="center"/>
    </xf>
    <xf numFmtId="0" fontId="23" fillId="52" borderId="64" xfId="0" applyNumberFormat="1" applyFont="1" applyFill="1" applyBorder="1" applyAlignment="1">
      <alignment horizontal="center"/>
    </xf>
    <xf numFmtId="0" fontId="23" fillId="52" borderId="44" xfId="0" applyNumberFormat="1" applyFont="1" applyFill="1" applyBorder="1" applyAlignment="1">
      <alignment horizontal="center"/>
    </xf>
    <xf numFmtId="0" fontId="23" fillId="0" borderId="42" xfId="0" applyNumberFormat="1" applyFont="1" applyFill="1" applyBorder="1" applyAlignment="1">
      <alignment horizontal="center"/>
    </xf>
    <xf numFmtId="0" fontId="23" fillId="0" borderId="64" xfId="0" applyNumberFormat="1" applyFont="1" applyFill="1" applyBorder="1" applyAlignment="1">
      <alignment horizontal="center"/>
    </xf>
    <xf numFmtId="0" fontId="23" fillId="0" borderId="44" xfId="0" applyNumberFormat="1" applyFont="1" applyFill="1" applyBorder="1" applyAlignment="1">
      <alignment horizontal="center"/>
    </xf>
    <xf numFmtId="0" fontId="6" fillId="0" borderId="75" xfId="0" applyFont="1" applyFill="1" applyBorder="1" applyAlignment="1">
      <alignment horizontal="center"/>
    </xf>
    <xf numFmtId="0" fontId="6" fillId="0" borderId="6" xfId="0" applyFont="1" applyFill="1" applyBorder="1" applyAlignment="1">
      <alignment horizontal="center"/>
    </xf>
    <xf numFmtId="0" fontId="6" fillId="0" borderId="37" xfId="0" applyFont="1" applyFill="1" applyBorder="1" applyAlignment="1">
      <alignment horizontal="center"/>
    </xf>
    <xf numFmtId="0" fontId="6" fillId="0" borderId="39" xfId="0" applyFont="1" applyFill="1" applyBorder="1" applyAlignment="1">
      <alignment horizontal="center"/>
    </xf>
    <xf numFmtId="0" fontId="23" fillId="4" borderId="42" xfId="0" applyNumberFormat="1" applyFont="1" applyFill="1" applyBorder="1" applyAlignment="1">
      <alignment horizontal="center"/>
    </xf>
    <xf numFmtId="0" fontId="23" fillId="4" borderId="44" xfId="0" applyNumberFormat="1" applyFont="1" applyFill="1" applyBorder="1" applyAlignment="1">
      <alignment horizontal="center"/>
    </xf>
    <xf numFmtId="0" fontId="23" fillId="8" borderId="42" xfId="0" applyNumberFormat="1" applyFont="1" applyFill="1" applyBorder="1" applyAlignment="1">
      <alignment horizontal="center"/>
    </xf>
    <xf numFmtId="0" fontId="23" fillId="8" borderId="64"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4" borderId="64" xfId="0" applyNumberFormat="1" applyFont="1" applyFill="1" applyBorder="1" applyAlignment="1">
      <alignment horizontal="center"/>
    </xf>
    <xf numFmtId="0" fontId="23" fillId="9" borderId="42" xfId="0" applyNumberFormat="1" applyFont="1" applyFill="1" applyBorder="1" applyAlignment="1">
      <alignment horizontal="center"/>
    </xf>
    <xf numFmtId="0" fontId="23" fillId="9" borderId="64" xfId="0" applyNumberFormat="1" applyFont="1" applyFill="1" applyBorder="1" applyAlignment="1">
      <alignment horizontal="center"/>
    </xf>
    <xf numFmtId="0" fontId="23" fillId="9" borderId="44" xfId="0" applyNumberFormat="1" applyFont="1" applyFill="1" applyBorder="1" applyAlignment="1">
      <alignment horizontal="center"/>
    </xf>
    <xf numFmtId="0" fontId="6" fillId="0" borderId="21" xfId="0" applyFont="1" applyFill="1" applyBorder="1" applyAlignment="1">
      <alignment horizontal="center"/>
    </xf>
    <xf numFmtId="0" fontId="6" fillId="0" borderId="24" xfId="0" applyFont="1" applyFill="1" applyBorder="1" applyAlignment="1">
      <alignment horizontal="center"/>
    </xf>
    <xf numFmtId="0" fontId="2" fillId="60" borderId="21" xfId="0" applyFont="1" applyFill="1" applyBorder="1" applyAlignment="1">
      <alignment horizontal="center" wrapText="1"/>
    </xf>
    <xf numFmtId="0" fontId="0" fillId="60" borderId="24" xfId="0" applyFill="1" applyBorder="1" applyAlignment="1">
      <alignment horizontal="center" wrapText="1"/>
    </xf>
    <xf numFmtId="0" fontId="0" fillId="60" borderId="25" xfId="0" applyFill="1" applyBorder="1" applyAlignment="1">
      <alignment horizontal="center" wrapText="1"/>
    </xf>
    <xf numFmtId="0" fontId="6"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2"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6" fillId="17" borderId="21" xfId="0" applyFont="1" applyFill="1" applyBorder="1" applyAlignment="1">
      <alignment horizontal="center" wrapText="1"/>
    </xf>
    <xf numFmtId="0" fontId="6" fillId="17" borderId="24" xfId="0" applyFont="1" applyFill="1" applyBorder="1" applyAlignment="1">
      <alignment horizontal="center" wrapText="1"/>
    </xf>
    <xf numFmtId="0" fontId="6" fillId="17" borderId="25" xfId="0" applyFont="1" applyFill="1" applyBorder="1" applyAlignment="1">
      <alignment horizontal="center" wrapText="1"/>
    </xf>
    <xf numFmtId="0" fontId="12" fillId="0" borderId="30" xfId="0" applyFont="1" applyBorder="1" applyAlignment="1">
      <alignment horizontal="center"/>
    </xf>
    <xf numFmtId="0" fontId="3" fillId="0" borderId="42" xfId="0" applyFont="1" applyFill="1" applyBorder="1" applyAlignment="1">
      <alignment horizontal="center"/>
    </xf>
    <xf numFmtId="0" fontId="3" fillId="0" borderId="44" xfId="0" applyFont="1" applyFill="1" applyBorder="1" applyAlignment="1">
      <alignment horizontal="center"/>
    </xf>
    <xf numFmtId="0" fontId="14" fillId="0" borderId="0" xfId="3" applyFont="1" applyFill="1" applyAlignment="1" applyProtection="1">
      <alignment horizontal="center"/>
    </xf>
    <xf numFmtId="0" fontId="0" fillId="0" borderId="0" xfId="0" applyAlignment="1">
      <alignment horizontal="center"/>
    </xf>
    <xf numFmtId="0" fontId="36" fillId="70" borderId="0" xfId="0" applyNumberFormat="1" applyFont="1" applyFill="1" applyAlignment="1">
      <alignment horizontal="center"/>
    </xf>
  </cellXfs>
  <cellStyles count="54">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Input" xfId="20" builtinId="20" customBuiltin="1"/>
    <cellStyle name="Linked Cell" xfId="23" builtinId="24" customBuiltin="1"/>
    <cellStyle name="Neutral" xfId="19" builtinId="28" customBuiltin="1"/>
    <cellStyle name="Normal" xfId="0" builtinId="0"/>
    <cellStyle name="Normal 2" xfId="1"/>
    <cellStyle name="Normal 2 2" xfId="11"/>
    <cellStyle name="Normal 3" xfId="52"/>
    <cellStyle name="Normal_REPORT09" xfId="2"/>
    <cellStyle name="Note 2" xfId="53"/>
    <cellStyle name="OP_REPORT" xfId="3"/>
    <cellStyle name="Output" xfId="21" builtinId="21" customBuiltin="1"/>
    <cellStyle name="Percent" xfId="4" builtinId="5"/>
    <cellStyle name="PSChar" xfId="5"/>
    <cellStyle name="PSDate" xfId="6"/>
    <cellStyle name="PSDec" xfId="7"/>
    <cellStyle name="PSHeading" xfId="8"/>
    <cellStyle name="PSInt" xfId="9"/>
    <cellStyle name="PSSpacer" xfId="10"/>
    <cellStyle name="Title" xfId="12" builtinId="15" customBuiltin="1"/>
    <cellStyle name="Total" xfId="27" builtinId="25" customBuiltin="1"/>
    <cellStyle name="Warning Text" xfId="25" builtinId="11" customBuiltin="1"/>
  </cellStyles>
  <dxfs count="1584">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99CCFF"/>
      <color rgb="FF66CCFF"/>
      <color rgb="FFFFFFCC"/>
      <color rgb="FFCCFFCC"/>
      <color rgb="FF050BFB"/>
      <color rgb="FF01BCFF"/>
      <color rgb="FFCCFFFF"/>
      <color rgb="FF0669FA"/>
      <color rgb="FF9B9E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3.xml"/><Relationship Id="rId21"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2.xml"/><Relationship Id="rId16" Type="http://schemas.openxmlformats.org/officeDocument/2006/relationships/worksheet" Target="worksheets/sheet13.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calcChain" Target="calcChain.xml"/><Relationship Id="rId10" Type="http://schemas.openxmlformats.org/officeDocument/2006/relationships/worksheet" Target="worksheets/sheet7.xml"/><Relationship Id="rId19" Type="http://schemas.openxmlformats.org/officeDocument/2006/relationships/externalLink" Target="externalLinks/externalLink1.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2014 HHD Storage</a:t>
            </a:r>
          </a:p>
        </c:rich>
      </c:tx>
      <c:layout>
        <c:manualLayout>
          <c:xMode val="edge"/>
          <c:yMode val="edge"/>
          <c:x val="0.80112132252125201"/>
          <c:y val="8.4563729144751867E-2"/>
        </c:manualLayout>
      </c:layout>
      <c:spPr>
        <a:noFill/>
        <a:ln w="25400">
          <a:noFill/>
        </a:ln>
      </c:spPr>
    </c:title>
    <c:plotArea>
      <c:layout>
        <c:manualLayout>
          <c:layoutTarget val="inner"/>
          <c:xMode val="edge"/>
          <c:yMode val="edge"/>
          <c:x val="9.0797278193278153E-2"/>
          <c:y val="7.3719198783941384E-2"/>
          <c:w val="0.86692458180837562"/>
          <c:h val="0.63680757723200765"/>
        </c:manualLayout>
      </c:layout>
      <c:lineChart>
        <c:grouping val="standard"/>
        <c:ser>
          <c:idx val="0"/>
          <c:order val="0"/>
          <c:tx>
            <c:v>2011 HHD Total Storage (including 1220 AF Dead Storage)</c:v>
          </c:tx>
          <c:spPr>
            <a:ln w="12700" cap="sq">
              <a:solidFill>
                <a:schemeClr val="accent3">
                  <a:lumMod val="75000"/>
                </a:schemeClr>
              </a:solidFill>
              <a:prstDash val="sysDash"/>
            </a:ln>
          </c:spPr>
          <c:marker>
            <c:symbol val="none"/>
          </c:marker>
          <c:val>
            <c:numRef>
              <c:f>Summary!$AI$9:$AI$373</c:f>
              <c:numCache>
                <c:formatCode>0.0</c:formatCode>
                <c:ptCount val="365"/>
                <c:pt idx="0">
                  <c:v>2178.050000003223</c:v>
                </c:pt>
                <c:pt idx="1">
                  <c:v>2030.0000000029559</c:v>
                </c:pt>
                <c:pt idx="2">
                  <c:v>1902.3400000027502</c:v>
                </c:pt>
                <c:pt idx="3">
                  <c:v>1877.5800000026629</c:v>
                </c:pt>
                <c:pt idx="4">
                  <c:v>1849.5200000026352</c:v>
                </c:pt>
                <c:pt idx="5">
                  <c:v>2245.5500000032844</c:v>
                </c:pt>
                <c:pt idx="6">
                  <c:v>3441.5000000054283</c:v>
                </c:pt>
                <c:pt idx="7">
                  <c:v>3917.6000000064369</c:v>
                </c:pt>
                <c:pt idx="8">
                  <c:v>2762.9600000042092</c:v>
                </c:pt>
                <c:pt idx="9">
                  <c:v>1966.6000000028075</c:v>
                </c:pt>
                <c:pt idx="10">
                  <c:v>1776.320000002552</c:v>
                </c:pt>
                <c:pt idx="11">
                  <c:v>1887.3400000026629</c:v>
                </c:pt>
                <c:pt idx="12">
                  <c:v>2304.4000000034698</c:v>
                </c:pt>
                <c:pt idx="13">
                  <c:v>2192.9000000032229</c:v>
                </c:pt>
                <c:pt idx="14">
                  <c:v>1966.6000000028075</c:v>
                </c:pt>
                <c:pt idx="15">
                  <c:v>18438.950000040626</c:v>
                </c:pt>
                <c:pt idx="16">
                  <c:v>37140.750000090891</c:v>
                </c:pt>
                <c:pt idx="17">
                  <c:v>36616.070000088934</c:v>
                </c:pt>
                <c:pt idx="18">
                  <c:v>29442.000000073953</c:v>
                </c:pt>
                <c:pt idx="19">
                  <c:v>21903.550000051877</c:v>
                </c:pt>
                <c:pt idx="20">
                  <c:v>18081.680000039301</c:v>
                </c:pt>
                <c:pt idx="21">
                  <c:v>15688.640000033691</c:v>
                </c:pt>
                <c:pt idx="22">
                  <c:v>11184.570000022492</c:v>
                </c:pt>
                <c:pt idx="23">
                  <c:v>6934.2500000125683</c:v>
                </c:pt>
                <c:pt idx="24">
                  <c:v>5481.8800000093897</c:v>
                </c:pt>
                <c:pt idx="25">
                  <c:v>3848.6800000061498</c:v>
                </c:pt>
                <c:pt idx="26">
                  <c:v>2787.4400000042442</c:v>
                </c:pt>
                <c:pt idx="27">
                  <c:v>2617.1500000039637</c:v>
                </c:pt>
                <c:pt idx="28">
                  <c:v>2946.0000000045266</c:v>
                </c:pt>
                <c:pt idx="29">
                  <c:v>3250.8400000051183</c:v>
                </c:pt>
                <c:pt idx="30">
                  <c:v>2549.2700000037717</c:v>
                </c:pt>
                <c:pt idx="31">
                  <c:v>1940.1400000028077</c:v>
                </c:pt>
                <c:pt idx="32">
                  <c:v>1933.8400000027789</c:v>
                </c:pt>
                <c:pt idx="33">
                  <c:v>1964.0800000028075</c:v>
                </c:pt>
                <c:pt idx="34">
                  <c:v>2496.3600000037068</c:v>
                </c:pt>
                <c:pt idx="35">
                  <c:v>3135.1600000048252</c:v>
                </c:pt>
                <c:pt idx="36">
                  <c:v>2403.8000000035336</c:v>
                </c:pt>
                <c:pt idx="37">
                  <c:v>2326.8000000034699</c:v>
                </c:pt>
                <c:pt idx="38">
                  <c:v>2174.0000000032232</c:v>
                </c:pt>
                <c:pt idx="39">
                  <c:v>1980.4600000028363</c:v>
                </c:pt>
                <c:pt idx="40">
                  <c:v>1971.6400000028361</c:v>
                </c:pt>
                <c:pt idx="41">
                  <c:v>1989.2800000028362</c:v>
                </c:pt>
                <c:pt idx="42">
                  <c:v>2010.700000002865</c:v>
                </c:pt>
                <c:pt idx="43">
                  <c:v>2155.1000000031922</c:v>
                </c:pt>
                <c:pt idx="44">
                  <c:v>2117.1000000030444</c:v>
                </c:pt>
                <c:pt idx="45">
                  <c:v>2106.7000000030444</c:v>
                </c:pt>
                <c:pt idx="46">
                  <c:v>2043.0000000029854</c:v>
                </c:pt>
                <c:pt idx="47">
                  <c:v>2020.9000000029559</c:v>
                </c:pt>
                <c:pt idx="48">
                  <c:v>2282.0000000034379</c:v>
                </c:pt>
                <c:pt idx="49">
                  <c:v>2449.170000003674</c:v>
                </c:pt>
                <c:pt idx="50">
                  <c:v>2457.7500000036744</c:v>
                </c:pt>
                <c:pt idx="51">
                  <c:v>2366.0000000035016</c:v>
                </c:pt>
                <c:pt idx="52">
                  <c:v>2128.8000000030447</c:v>
                </c:pt>
                <c:pt idx="53">
                  <c:v>1907.3800000027788</c:v>
                </c:pt>
                <c:pt idx="54">
                  <c:v>1872.7000000026351</c:v>
                </c:pt>
                <c:pt idx="55">
                  <c:v>1773.8800000025522</c:v>
                </c:pt>
                <c:pt idx="56">
                  <c:v>1865.3800000026351</c:v>
                </c:pt>
                <c:pt idx="57">
                  <c:v>1765.4600000024684</c:v>
                </c:pt>
                <c:pt idx="58">
                  <c:v>1713.5400000024147</c:v>
                </c:pt>
                <c:pt idx="59">
                  <c:v>1817.8000000026075</c:v>
                </c:pt>
                <c:pt idx="60">
                  <c:v>2087.2000000030148</c:v>
                </c:pt>
                <c:pt idx="61">
                  <c:v>2314.2000000034695</c:v>
                </c:pt>
                <c:pt idx="62">
                  <c:v>2489.2100000037067</c:v>
                </c:pt>
                <c:pt idx="63">
                  <c:v>2657.3800000039978</c:v>
                </c:pt>
                <c:pt idx="64">
                  <c:v>2792.0300000042444</c:v>
                </c:pt>
                <c:pt idx="65">
                  <c:v>2969.7000000045628</c:v>
                </c:pt>
                <c:pt idx="66">
                  <c:v>3210.5200000050804</c:v>
                </c:pt>
                <c:pt idx="67">
                  <c:v>3576.3300000057388</c:v>
                </c:pt>
                <c:pt idx="68">
                  <c:v>4405.6400000072672</c:v>
                </c:pt>
                <c:pt idx="69">
                  <c:v>4852.1400000080876</c:v>
                </c:pt>
                <c:pt idx="70">
                  <c:v>5252.3400000089414</c:v>
                </c:pt>
                <c:pt idx="71">
                  <c:v>5558.4400000094956</c:v>
                </c:pt>
                <c:pt idx="72">
                  <c:v>5845.4000000102496</c:v>
                </c:pt>
                <c:pt idx="73">
                  <c:v>6234.8800000109441</c:v>
                </c:pt>
                <c:pt idx="74">
                  <c:v>6840.7500000125056</c:v>
                </c:pt>
                <c:pt idx="75">
                  <c:v>7430.9200000137625</c:v>
                </c:pt>
                <c:pt idx="76">
                  <c:v>8051.680000015197</c:v>
                </c:pt>
                <c:pt idx="77">
                  <c:v>8647.7500000165528</c:v>
                </c:pt>
                <c:pt idx="78">
                  <c:v>9060.5800000173913</c:v>
                </c:pt>
                <c:pt idx="79">
                  <c:v>9398.2800000182251</c:v>
                </c:pt>
                <c:pt idx="80">
                  <c:v>9678.360000018969</c:v>
                </c:pt>
                <c:pt idx="81">
                  <c:v>9854.3600000191291</c:v>
                </c:pt>
                <c:pt idx="82">
                  <c:v>10237.750000019945</c:v>
                </c:pt>
                <c:pt idx="83">
                  <c:v>10684.16000002092</c:v>
                </c:pt>
                <c:pt idx="84">
                  <c:v>10919.4000000216</c:v>
                </c:pt>
                <c:pt idx="85">
                  <c:v>11133.740000022493</c:v>
                </c:pt>
                <c:pt idx="86">
                  <c:v>11387.890000022669</c:v>
                </c:pt>
                <c:pt idx="87">
                  <c:v>11746.690000023615</c:v>
                </c:pt>
                <c:pt idx="88">
                  <c:v>16550.520000036016</c:v>
                </c:pt>
                <c:pt idx="89">
                  <c:v>23961.400000058078</c:v>
                </c:pt>
                <c:pt idx="90">
                  <c:v>26110.300000063355</c:v>
                </c:pt>
                <c:pt idx="91">
                  <c:v>28022.880000069974</c:v>
                </c:pt>
                <c:pt idx="92">
                  <c:v>27088.520000067554</c:v>
                </c:pt>
                <c:pt idx="93">
                  <c:v>25292.170000060953</c:v>
                </c:pt>
                <c:pt idx="94">
                  <c:v>24802.720000060439</c:v>
                </c:pt>
                <c:pt idx="95">
                  <c:v>24637.060000060268</c:v>
                </c:pt>
                <c:pt idx="96">
                  <c:v>24930.730000060608</c:v>
                </c:pt>
                <c:pt idx="97">
                  <c:v>25375.000000062653</c:v>
                </c:pt>
                <c:pt idx="98">
                  <c:v>25800.700000063003</c:v>
                </c:pt>
                <c:pt idx="99">
                  <c:v>26071.600000063354</c:v>
                </c:pt>
                <c:pt idx="100">
                  <c:v>26458.270000065273</c:v>
                </c:pt>
                <c:pt idx="101">
                  <c:v>26791.330000065453</c:v>
                </c:pt>
                <c:pt idx="102">
                  <c:v>27186.200000067554</c:v>
                </c:pt>
                <c:pt idx="103">
                  <c:v>27511.800000067924</c:v>
                </c:pt>
                <c:pt idx="104">
                  <c:v>27922.800000069972</c:v>
                </c:pt>
                <c:pt idx="105">
                  <c:v>28598.520000072065</c:v>
                </c:pt>
                <c:pt idx="106">
                  <c:v>29305.680000072643</c:v>
                </c:pt>
                <c:pt idx="107">
                  <c:v>29779.350000074344</c:v>
                </c:pt>
                <c:pt idx="108">
                  <c:v>30038.850000074541</c:v>
                </c:pt>
                <c:pt idx="109">
                  <c:v>30237.800000074738</c:v>
                </c:pt>
                <c:pt idx="110">
                  <c:v>30438.70000007606</c:v>
                </c:pt>
                <c:pt idx="111">
                  <c:v>30500.160000076059</c:v>
                </c:pt>
                <c:pt idx="112">
                  <c:v>30658.20000007626</c:v>
                </c:pt>
                <c:pt idx="113">
                  <c:v>30895.260000076458</c:v>
                </c:pt>
                <c:pt idx="114">
                  <c:v>30965.500000076459</c:v>
                </c:pt>
                <c:pt idx="115">
                  <c:v>31088.420000076661</c:v>
                </c:pt>
                <c:pt idx="116">
                  <c:v>31336.640000078085</c:v>
                </c:pt>
                <c:pt idx="117">
                  <c:v>31327.720000078087</c:v>
                </c:pt>
                <c:pt idx="118">
                  <c:v>31220.680000077882</c:v>
                </c:pt>
                <c:pt idx="119">
                  <c:v>31167.440000076658</c:v>
                </c:pt>
                <c:pt idx="120">
                  <c:v>30930.38000007646</c:v>
                </c:pt>
                <c:pt idx="121">
                  <c:v>30983.060000076461</c:v>
                </c:pt>
                <c:pt idx="122">
                  <c:v>31292.040000077883</c:v>
                </c:pt>
                <c:pt idx="123">
                  <c:v>31631.000000078289</c:v>
                </c:pt>
                <c:pt idx="124">
                  <c:v>32090.575000079738</c:v>
                </c:pt>
                <c:pt idx="125">
                  <c:v>32556.650000080252</c:v>
                </c:pt>
                <c:pt idx="126">
                  <c:v>33239.320000082116</c:v>
                </c:pt>
                <c:pt idx="127">
                  <c:v>33928.990000084006</c:v>
                </c:pt>
                <c:pt idx="128">
                  <c:v>33763.150000082533</c:v>
                </c:pt>
                <c:pt idx="129">
                  <c:v>34124.920000084217</c:v>
                </c:pt>
                <c:pt idx="130">
                  <c:v>34572.760000084643</c:v>
                </c:pt>
                <c:pt idx="131">
                  <c:v>35032.660000086253</c:v>
                </c:pt>
                <c:pt idx="132">
                  <c:v>35202.94000008647</c:v>
                </c:pt>
                <c:pt idx="133">
                  <c:v>35713.780000086903</c:v>
                </c:pt>
                <c:pt idx="134">
                  <c:v>44217.100000106315</c:v>
                </c:pt>
                <c:pt idx="135">
                  <c:v>46770.170000111088</c:v>
                </c:pt>
                <c:pt idx="136">
                  <c:v>45193.680000108492</c:v>
                </c:pt>
                <c:pt idx="137">
                  <c:v>43736.800000105082</c:v>
                </c:pt>
                <c:pt idx="138">
                  <c:v>43111.400000104361</c:v>
                </c:pt>
                <c:pt idx="139">
                  <c:v>42931.200000104116</c:v>
                </c:pt>
                <c:pt idx="140">
                  <c:v>43196.200000104363</c:v>
                </c:pt>
                <c:pt idx="141">
                  <c:v>43185.600000104358</c:v>
                </c:pt>
                <c:pt idx="142">
                  <c:v>43217.400000104601</c:v>
                </c:pt>
                <c:pt idx="143">
                  <c:v>43397.600000104598</c:v>
                </c:pt>
                <c:pt idx="144">
                  <c:v>43652.000000104839</c:v>
                </c:pt>
                <c:pt idx="145">
                  <c:v>44131.500000106316</c:v>
                </c:pt>
                <c:pt idx="146">
                  <c:v>44527.400000106558</c:v>
                </c:pt>
                <c:pt idx="147">
                  <c:v>44816.300000107047</c:v>
                </c:pt>
                <c:pt idx="148">
                  <c:v>44988.100000108243</c:v>
                </c:pt>
                <c:pt idx="149">
                  <c:v>45388.440000108742</c:v>
                </c:pt>
                <c:pt idx="150">
                  <c:v>45886.160000109237</c:v>
                </c:pt>
                <c:pt idx="151">
                  <c:v>46485.99000011084</c:v>
                </c:pt>
                <c:pt idx="152">
                  <c:v>46726.450000111086</c:v>
                </c:pt>
                <c:pt idx="153">
                  <c:v>46988.770000111334</c:v>
                </c:pt>
                <c:pt idx="154">
                  <c:v>47473.320000112704</c:v>
                </c:pt>
                <c:pt idx="155">
                  <c:v>48014.280000113205</c:v>
                </c:pt>
                <c:pt idx="156">
                  <c:v>48369.100000114842</c:v>
                </c:pt>
                <c:pt idx="157">
                  <c:v>48636.700000115095</c:v>
                </c:pt>
                <c:pt idx="158">
                  <c:v>48781.6500001151</c:v>
                </c:pt>
                <c:pt idx="159">
                  <c:v>48748.200000115095</c:v>
                </c:pt>
                <c:pt idx="160">
                  <c:v>49105.000000115353</c:v>
                </c:pt>
                <c:pt idx="161">
                  <c:v>49598.240000117003</c:v>
                </c:pt>
                <c:pt idx="162">
                  <c:v>49778.400000117261</c:v>
                </c:pt>
                <c:pt idx="163">
                  <c:v>49969.820000117259</c:v>
                </c:pt>
                <c:pt idx="164">
                  <c:v>50262.580000117516</c:v>
                </c:pt>
                <c:pt idx="165">
                  <c:v>50533.660000119031</c:v>
                </c:pt>
                <c:pt idx="166">
                  <c:v>50613.320000119289</c:v>
                </c:pt>
                <c:pt idx="167">
                  <c:v>50499.520000119024</c:v>
                </c:pt>
                <c:pt idx="168">
                  <c:v>50465.380000119025</c:v>
                </c:pt>
                <c:pt idx="169">
                  <c:v>50670.220000119283</c:v>
                </c:pt>
                <c:pt idx="170">
                  <c:v>50670.220000119283</c:v>
                </c:pt>
                <c:pt idx="171">
                  <c:v>50681.600000119281</c:v>
                </c:pt>
                <c:pt idx="172">
                  <c:v>50852.300000119285</c:v>
                </c:pt>
                <c:pt idx="173">
                  <c:v>50727.120000119285</c:v>
                </c:pt>
                <c:pt idx="174">
                  <c:v>50658.840000119286</c:v>
                </c:pt>
                <c:pt idx="175">
                  <c:v>50613.320000119289</c:v>
                </c:pt>
                <c:pt idx="176">
                  <c:v>50341.40000011777</c:v>
                </c:pt>
                <c:pt idx="177">
                  <c:v>50262.580000117516</c:v>
                </c:pt>
                <c:pt idx="178">
                  <c:v>50352.660000117772</c:v>
                </c:pt>
                <c:pt idx="179">
                  <c:v>50476.760000119029</c:v>
                </c:pt>
                <c:pt idx="180">
                  <c:v>50363.920000117774</c:v>
                </c:pt>
                <c:pt idx="181">
                  <c:v>50228.800000117517</c:v>
                </c:pt>
                <c:pt idx="182">
                  <c:v>50059.900000117515</c:v>
                </c:pt>
                <c:pt idx="183">
                  <c:v>49947.300000117255</c:v>
                </c:pt>
                <c:pt idx="184">
                  <c:v>49699.580000117006</c:v>
                </c:pt>
                <c:pt idx="185">
                  <c:v>49519.420000117003</c:v>
                </c:pt>
                <c:pt idx="186">
                  <c:v>49384.300000116746</c:v>
                </c:pt>
                <c:pt idx="187">
                  <c:v>49205.350000115606</c:v>
                </c:pt>
                <c:pt idx="188">
                  <c:v>48915.45000011535</c:v>
                </c:pt>
                <c:pt idx="189">
                  <c:v>48447.150000114845</c:v>
                </c:pt>
                <c:pt idx="190">
                  <c:v>48014.280000113205</c:v>
                </c:pt>
                <c:pt idx="191">
                  <c:v>47550.600000112958</c:v>
                </c:pt>
                <c:pt idx="192">
                  <c:v>47076.210000111336</c:v>
                </c:pt>
                <c:pt idx="193">
                  <c:v>46846.68000011109</c:v>
                </c:pt>
                <c:pt idx="194">
                  <c:v>46715.520000111086</c:v>
                </c:pt>
                <c:pt idx="195">
                  <c:v>46431.340000110838</c:v>
                </c:pt>
                <c:pt idx="196">
                  <c:v>46201.810000110592</c:v>
                </c:pt>
                <c:pt idx="197">
                  <c:v>45907.800000109237</c:v>
                </c:pt>
                <c:pt idx="198">
                  <c:v>45518.280000108738</c:v>
                </c:pt>
                <c:pt idx="199">
                  <c:v>45020.560000108249</c:v>
                </c:pt>
                <c:pt idx="200">
                  <c:v>44538.100000106802</c:v>
                </c:pt>
                <c:pt idx="201">
                  <c:v>44067.300000106319</c:v>
                </c:pt>
                <c:pt idx="202">
                  <c:v>43535.400000104841</c:v>
                </c:pt>
                <c:pt idx="203">
                  <c:v>42963.000000104359</c:v>
                </c:pt>
                <c:pt idx="204">
                  <c:v>42374.730000102361</c:v>
                </c:pt>
                <c:pt idx="205">
                  <c:v>41798.88000010189</c:v>
                </c:pt>
                <c:pt idx="206">
                  <c:v>41488.680000100198</c:v>
                </c:pt>
                <c:pt idx="207">
                  <c:v>41199.720000099958</c:v>
                </c:pt>
                <c:pt idx="208">
                  <c:v>41044.920000099723</c:v>
                </c:pt>
                <c:pt idx="209">
                  <c:v>40962.360000099725</c:v>
                </c:pt>
                <c:pt idx="210">
                  <c:v>40879.800000099727</c:v>
                </c:pt>
                <c:pt idx="211">
                  <c:v>40786.92000009949</c:v>
                </c:pt>
                <c:pt idx="212">
                  <c:v>40684.320000098043</c:v>
                </c:pt>
                <c:pt idx="213">
                  <c:v>40582.620000097813</c:v>
                </c:pt>
                <c:pt idx="214">
                  <c:v>40480.920000097816</c:v>
                </c:pt>
                <c:pt idx="215">
                  <c:v>40358.880000097815</c:v>
                </c:pt>
                <c:pt idx="216">
                  <c:v>40191.075000097466</c:v>
                </c:pt>
                <c:pt idx="217">
                  <c:v>40023.270000097349</c:v>
                </c:pt>
                <c:pt idx="218">
                  <c:v>39850.38000009735</c:v>
                </c:pt>
                <c:pt idx="219">
                  <c:v>39779.190000097122</c:v>
                </c:pt>
                <c:pt idx="220">
                  <c:v>39587.64000009578</c:v>
                </c:pt>
                <c:pt idx="221">
                  <c:v>39427.160000095551</c:v>
                </c:pt>
                <c:pt idx="222">
                  <c:v>39276.710000095329</c:v>
                </c:pt>
                <c:pt idx="223">
                  <c:v>39136.290000095323</c:v>
                </c:pt>
                <c:pt idx="224">
                  <c:v>38975.810000095102</c:v>
                </c:pt>
                <c:pt idx="225">
                  <c:v>38835.390000095103</c:v>
                </c:pt>
                <c:pt idx="226">
                  <c:v>38725.060000094869</c:v>
                </c:pt>
                <c:pt idx="227">
                  <c:v>38576.430000093322</c:v>
                </c:pt>
                <c:pt idx="228">
                  <c:v>38428.080000093323</c:v>
                </c:pt>
                <c:pt idx="229">
                  <c:v>38289.620000093098</c:v>
                </c:pt>
                <c:pt idx="230">
                  <c:v>38131.380000093093</c:v>
                </c:pt>
                <c:pt idx="231">
                  <c:v>37963.25000009287</c:v>
                </c:pt>
                <c:pt idx="232">
                  <c:v>37785.230000092648</c:v>
                </c:pt>
                <c:pt idx="233">
                  <c:v>37618.500000091335</c:v>
                </c:pt>
                <c:pt idx="234">
                  <c:v>37530.750000091117</c:v>
                </c:pt>
                <c:pt idx="235">
                  <c:v>37384.500000091117</c:v>
                </c:pt>
                <c:pt idx="236">
                  <c:v>37228.500000090891</c:v>
                </c:pt>
                <c:pt idx="237">
                  <c:v>37053.000000090673</c:v>
                </c:pt>
                <c:pt idx="238">
                  <c:v>36897.000000090673</c:v>
                </c:pt>
                <c:pt idx="239">
                  <c:v>36731.390000089152</c:v>
                </c:pt>
                <c:pt idx="240">
                  <c:v>36529.580000088936</c:v>
                </c:pt>
                <c:pt idx="241">
                  <c:v>36298.940000088711</c:v>
                </c:pt>
                <c:pt idx="242">
                  <c:v>36077.910000088501</c:v>
                </c:pt>
                <c:pt idx="243">
                  <c:v>35818.440000088274</c:v>
                </c:pt>
                <c:pt idx="244">
                  <c:v>35534.040000086679</c:v>
                </c:pt>
                <c:pt idx="245">
                  <c:v>35231.320000086467</c:v>
                </c:pt>
                <c:pt idx="246">
                  <c:v>34928.600000086037</c:v>
                </c:pt>
                <c:pt idx="247">
                  <c:v>34628.740000084646</c:v>
                </c:pt>
                <c:pt idx="248">
                  <c:v>34320.850000084429</c:v>
                </c:pt>
                <c:pt idx="249">
                  <c:v>34003.630000084013</c:v>
                </c:pt>
                <c:pt idx="250">
                  <c:v>33698.820000082538</c:v>
                </c:pt>
                <c:pt idx="251">
                  <c:v>33395.55000008233</c:v>
                </c:pt>
                <c:pt idx="252">
                  <c:v>33073.900000081914</c:v>
                </c:pt>
                <c:pt idx="253">
                  <c:v>32755.750000080458</c:v>
                </c:pt>
                <c:pt idx="254">
                  <c:v>32439.00000008025</c:v>
                </c:pt>
                <c:pt idx="255">
                  <c:v>32140.350000079841</c:v>
                </c:pt>
                <c:pt idx="256">
                  <c:v>31854.000000078489</c:v>
                </c:pt>
                <c:pt idx="257">
                  <c:v>31559.640000078289</c:v>
                </c:pt>
                <c:pt idx="258">
                  <c:v>31202.840000077882</c:v>
                </c:pt>
                <c:pt idx="259">
                  <c:v>30807.460000076258</c:v>
                </c:pt>
                <c:pt idx="260">
                  <c:v>30544.060000076061</c:v>
                </c:pt>
                <c:pt idx="261">
                  <c:v>30289.700000074739</c:v>
                </c:pt>
                <c:pt idx="262">
                  <c:v>29891.800000074345</c:v>
                </c:pt>
                <c:pt idx="263">
                  <c:v>29356.800000072839</c:v>
                </c:pt>
                <c:pt idx="264">
                  <c:v>28734.840000072261</c:v>
                </c:pt>
                <c:pt idx="265">
                  <c:v>28039.560000069974</c:v>
                </c:pt>
                <c:pt idx="266">
                  <c:v>27292.02000006774</c:v>
                </c:pt>
                <c:pt idx="267">
                  <c:v>26601.010000065271</c:v>
                </c:pt>
                <c:pt idx="268">
                  <c:v>25924.540000063178</c:v>
                </c:pt>
                <c:pt idx="269">
                  <c:v>25277.11000006078</c:v>
                </c:pt>
                <c:pt idx="270">
                  <c:v>24467.860000058579</c:v>
                </c:pt>
                <c:pt idx="271">
                  <c:v>23716.640000056334</c:v>
                </c:pt>
                <c:pt idx="272">
                  <c:v>22986.350000054201</c:v>
                </c:pt>
                <c:pt idx="273">
                  <c:v>22269.130000052184</c:v>
                </c:pt>
                <c:pt idx="274">
                  <c:v>21565.480000050044</c:v>
                </c:pt>
                <c:pt idx="275">
                  <c:v>20869.800000048021</c:v>
                </c:pt>
                <c:pt idx="276">
                  <c:v>20132.400000046033</c:v>
                </c:pt>
                <c:pt idx="277">
                  <c:v>19346.440000043949</c:v>
                </c:pt>
                <c:pt idx="278">
                  <c:v>18575.510000040755</c:v>
                </c:pt>
                <c:pt idx="279">
                  <c:v>17837.920000039048</c:v>
                </c:pt>
                <c:pt idx="280">
                  <c:v>17041.820000037394</c:v>
                </c:pt>
                <c:pt idx="281">
                  <c:v>16208.31000003503</c:v>
                </c:pt>
                <c:pt idx="282">
                  <c:v>15422.960000032665</c:v>
                </c:pt>
                <c:pt idx="283">
                  <c:v>15009.680000032218</c:v>
                </c:pt>
                <c:pt idx="284">
                  <c:v>14615.600000031105</c:v>
                </c:pt>
                <c:pt idx="285">
                  <c:v>13955.170000028991</c:v>
                </c:pt>
                <c:pt idx="286">
                  <c:v>13157.800000027521</c:v>
                </c:pt>
                <c:pt idx="287">
                  <c:v>12266.520000024731</c:v>
                </c:pt>
                <c:pt idx="288">
                  <c:v>11337.060000022671</c:v>
                </c:pt>
                <c:pt idx="289">
                  <c:v>10376.230000020667</c:v>
                </c:pt>
                <c:pt idx="290">
                  <c:v>9477.4000000183023</c:v>
                </c:pt>
                <c:pt idx="291">
                  <c:v>8664.0000000166274</c:v>
                </c:pt>
                <c:pt idx="292">
                  <c:v>7987.0000000151267</c:v>
                </c:pt>
                <c:pt idx="293">
                  <c:v>7445.4700000138282</c:v>
                </c:pt>
                <c:pt idx="294">
                  <c:v>7705.000000014461</c:v>
                </c:pt>
                <c:pt idx="295">
                  <c:v>8885.0000000167747</c:v>
                </c:pt>
                <c:pt idx="296">
                  <c:v>8755.0000000167001</c:v>
                </c:pt>
                <c:pt idx="297">
                  <c:v>8165.6400000152671</c:v>
                </c:pt>
                <c:pt idx="298">
                  <c:v>7413.4600000137625</c:v>
                </c:pt>
                <c:pt idx="299">
                  <c:v>6611.9000000119149</c:v>
                </c:pt>
                <c:pt idx="300">
                  <c:v>5882.150000010306</c:v>
                </c:pt>
                <c:pt idx="301">
                  <c:v>5241.0400000089412</c:v>
                </c:pt>
                <c:pt idx="302">
                  <c:v>4845.7500000080881</c:v>
                </c:pt>
                <c:pt idx="303">
                  <c:v>5024.4000000085034</c:v>
                </c:pt>
                <c:pt idx="304">
                  <c:v>4764.8100000079912</c:v>
                </c:pt>
                <c:pt idx="305">
                  <c:v>4287.0500000071297</c:v>
                </c:pt>
                <c:pt idx="306">
                  <c:v>3769.5600000060663</c:v>
                </c:pt>
                <c:pt idx="307">
                  <c:v>3262.6000000051185</c:v>
                </c:pt>
                <c:pt idx="308">
                  <c:v>2778.2600000042439</c:v>
                </c:pt>
                <c:pt idx="309">
                  <c:v>2345.0000000035016</c:v>
                </c:pt>
                <c:pt idx="310">
                  <c:v>2066.4000000030151</c:v>
                </c:pt>
                <c:pt idx="311">
                  <c:v>1916.200000002779</c:v>
                </c:pt>
                <c:pt idx="312">
                  <c:v>1825.1200000026074</c:v>
                </c:pt>
                <c:pt idx="313">
                  <c:v>1848.3000000026354</c:v>
                </c:pt>
                <c:pt idx="314">
                  <c:v>1974.1600000028363</c:v>
                </c:pt>
                <c:pt idx="315">
                  <c:v>1942.6600000028077</c:v>
                </c:pt>
                <c:pt idx="316">
                  <c:v>2426.2900000036416</c:v>
                </c:pt>
                <c:pt idx="317">
                  <c:v>3006.0400000045984</c:v>
                </c:pt>
                <c:pt idx="318">
                  <c:v>2291.8000000034381</c:v>
                </c:pt>
                <c:pt idx="319">
                  <c:v>1991.8000000028362</c:v>
                </c:pt>
                <c:pt idx="320">
                  <c:v>2466.3300000036743</c:v>
                </c:pt>
                <c:pt idx="321">
                  <c:v>2163.2000000031921</c:v>
                </c:pt>
                <c:pt idx="322">
                  <c:v>1937.6200000027791</c:v>
                </c:pt>
                <c:pt idx="323">
                  <c:v>1955.2600000028076</c:v>
                </c:pt>
                <c:pt idx="324">
                  <c:v>1906.1200000027502</c:v>
                </c:pt>
                <c:pt idx="325">
                  <c:v>2026.1000000029558</c:v>
                </c:pt>
                <c:pt idx="326">
                  <c:v>2403.8000000035336</c:v>
                </c:pt>
                <c:pt idx="327">
                  <c:v>2100.2000000030444</c:v>
                </c:pt>
                <c:pt idx="328">
                  <c:v>2152.4000000031924</c:v>
                </c:pt>
                <c:pt idx="329">
                  <c:v>2353.4000000035016</c:v>
                </c:pt>
                <c:pt idx="330">
                  <c:v>2773.6700000042438</c:v>
                </c:pt>
                <c:pt idx="331">
                  <c:v>3143.2600000048255</c:v>
                </c:pt>
                <c:pt idx="332">
                  <c:v>2462.0400000036743</c:v>
                </c:pt>
                <c:pt idx="333">
                  <c:v>1964.0800000028075</c:v>
                </c:pt>
                <c:pt idx="334">
                  <c:v>1898.5600000027503</c:v>
                </c:pt>
                <c:pt idx="335">
                  <c:v>1972.9000000028364</c:v>
                </c:pt>
                <c:pt idx="336">
                  <c:v>1933.8400000027789</c:v>
                </c:pt>
                <c:pt idx="337">
                  <c:v>1844.6400000026076</c:v>
                </c:pt>
                <c:pt idx="338">
                  <c:v>1856.8400000026354</c:v>
                </c:pt>
                <c:pt idx="339">
                  <c:v>1865.3800000026351</c:v>
                </c:pt>
                <c:pt idx="340">
                  <c:v>1860.5000000026353</c:v>
                </c:pt>
                <c:pt idx="341">
                  <c:v>1817.8000000026075</c:v>
                </c:pt>
                <c:pt idx="342">
                  <c:v>1908.6400000027788</c:v>
                </c:pt>
                <c:pt idx="343">
                  <c:v>2010.700000002865</c:v>
                </c:pt>
                <c:pt idx="344">
                  <c:v>1940.1400000028077</c:v>
                </c:pt>
                <c:pt idx="345">
                  <c:v>1825.1200000026074</c:v>
                </c:pt>
                <c:pt idx="346">
                  <c:v>1792.1800000025798</c:v>
                </c:pt>
                <c:pt idx="347">
                  <c:v>1794.6200000025799</c:v>
                </c:pt>
                <c:pt idx="348">
                  <c:v>1795.8400000025799</c:v>
                </c:pt>
                <c:pt idx="349">
                  <c:v>1803.1600000025796</c:v>
                </c:pt>
                <c:pt idx="350">
                  <c:v>1790.9600000025798</c:v>
                </c:pt>
                <c:pt idx="351">
                  <c:v>1828.7800000026075</c:v>
                </c:pt>
                <c:pt idx="352">
                  <c:v>1860.5000000026353</c:v>
                </c:pt>
                <c:pt idx="353">
                  <c:v>1861.7200000026353</c:v>
                </c:pt>
                <c:pt idx="354">
                  <c:v>1853.1800000026353</c:v>
                </c:pt>
                <c:pt idx="355">
                  <c:v>1826.3400000026074</c:v>
                </c:pt>
                <c:pt idx="356">
                  <c:v>1854.4000000026354</c:v>
                </c:pt>
                <c:pt idx="357">
                  <c:v>1902.3400000027502</c:v>
                </c:pt>
                <c:pt idx="358">
                  <c:v>2022.2000000029559</c:v>
                </c:pt>
                <c:pt idx="359">
                  <c:v>2032.6000000029558</c:v>
                </c:pt>
                <c:pt idx="360">
                  <c:v>2030.0000000029559</c:v>
                </c:pt>
                <c:pt idx="361">
                  <c:v>4873.4400000081359</c:v>
                </c:pt>
                <c:pt idx="362">
                  <c:v>5345.0000000092841</c:v>
                </c:pt>
                <c:pt idx="363">
                  <c:v>6144.1600000108301</c:v>
                </c:pt>
                <c:pt idx="364">
                  <c:v>4686.0000000079426</c:v>
                </c:pt>
              </c:numCache>
            </c:numRef>
          </c:val>
        </c:ser>
        <c:ser>
          <c:idx val="1"/>
          <c:order val="1"/>
          <c:tx>
            <c:v>2012 HHD Total Storage (including 619 AF Dead Storage)</c:v>
          </c:tx>
          <c:spPr>
            <a:ln w="15875">
              <a:solidFill>
                <a:srgbClr val="FF0000"/>
              </a:solidFill>
              <a:prstDash val="sysDash"/>
            </a:ln>
          </c:spPr>
          <c:marker>
            <c:symbol val="none"/>
          </c:marker>
          <c:val>
            <c:numRef>
              <c:f>Summary!$AJ$9:$AJ$373</c:f>
              <c:numCache>
                <c:formatCode>0.00</c:formatCode>
                <c:ptCount val="365"/>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numCache>
            </c:numRef>
          </c:val>
        </c:ser>
        <c:ser>
          <c:idx val="2"/>
          <c:order val="2"/>
          <c:tx>
            <c:v>2013 HHD Total Storage (including 619 AF Dead Storage)</c:v>
          </c:tx>
          <c:spPr>
            <a:ln w="12700">
              <a:solidFill>
                <a:schemeClr val="accent6">
                  <a:lumMod val="75000"/>
                </a:schemeClr>
              </a:solidFill>
              <a:prstDash val="sysDash"/>
            </a:ln>
          </c:spPr>
          <c:marker>
            <c:symbol val="none"/>
          </c:marker>
          <c:val>
            <c:numRef>
              <c:f>Summary!$AK$9:$AK$373</c:f>
              <c:numCache>
                <c:formatCode>0.00</c:formatCode>
                <c:ptCount val="365"/>
                <c:pt idx="0">
                  <c:v>928.20000000257619</c:v>
                </c:pt>
                <c:pt idx="1">
                  <c:v>763.1000000024261</c:v>
                </c:pt>
                <c:pt idx="2">
                  <c:v>653.20000000232608</c:v>
                </c:pt>
                <c:pt idx="3">
                  <c:v>701.60000000237608</c:v>
                </c:pt>
                <c:pt idx="4">
                  <c:v>807.0000000027012</c:v>
                </c:pt>
                <c:pt idx="5">
                  <c:v>887.60000000278308</c:v>
                </c:pt>
                <c:pt idx="6">
                  <c:v>1230.0000000033106</c:v>
                </c:pt>
                <c:pt idx="7">
                  <c:v>1299.3000000033696</c:v>
                </c:pt>
                <c:pt idx="8">
                  <c:v>1417.4000000037563</c:v>
                </c:pt>
                <c:pt idx="9">
                  <c:v>1088.6000000031922</c:v>
                </c:pt>
                <c:pt idx="10">
                  <c:v>1034.8000000028921</c:v>
                </c:pt>
                <c:pt idx="11">
                  <c:v>1110.7000000032219</c:v>
                </c:pt>
                <c:pt idx="12">
                  <c:v>947.80000000283758</c:v>
                </c:pt>
                <c:pt idx="13">
                  <c:v>722.60000000240109</c:v>
                </c:pt>
                <c:pt idx="14">
                  <c:v>659.800000002351</c:v>
                </c:pt>
                <c:pt idx="15">
                  <c:v>650.00000000211458</c:v>
                </c:pt>
                <c:pt idx="16">
                  <c:v>648.00000000211458</c:v>
                </c:pt>
                <c:pt idx="17">
                  <c:v>775.20000000245113</c:v>
                </c:pt>
                <c:pt idx="18">
                  <c:v>953.80000000283758</c:v>
                </c:pt>
                <c:pt idx="19">
                  <c:v>1158.8000000032514</c:v>
                </c:pt>
                <c:pt idx="20">
                  <c:v>1460.800000003788</c:v>
                </c:pt>
                <c:pt idx="21">
                  <c:v>1407.5000000040245</c:v>
                </c:pt>
                <c:pt idx="22">
                  <c:v>1045.1000000031627</c:v>
                </c:pt>
                <c:pt idx="23">
                  <c:v>857.60000000275579</c:v>
                </c:pt>
                <c:pt idx="24">
                  <c:v>974.00000000283762</c:v>
                </c:pt>
                <c:pt idx="25">
                  <c:v>1151.0000000032514</c:v>
                </c:pt>
                <c:pt idx="26">
                  <c:v>1339.0000000034288</c:v>
                </c:pt>
                <c:pt idx="27">
                  <c:v>1047.7000000031628</c:v>
                </c:pt>
                <c:pt idx="28">
                  <c:v>892.40000000278303</c:v>
                </c:pt>
                <c:pt idx="29">
                  <c:v>1374.4000000037245</c:v>
                </c:pt>
                <c:pt idx="30">
                  <c:v>1518.5000000041268</c:v>
                </c:pt>
                <c:pt idx="31">
                  <c:v>1971.2000000048022</c:v>
                </c:pt>
                <c:pt idx="32">
                  <c:v>2028.9000000051797</c:v>
                </c:pt>
                <c:pt idx="33">
                  <c:v>1565.5000000041609</c:v>
                </c:pt>
                <c:pt idx="34">
                  <c:v>1071.4000000031924</c:v>
                </c:pt>
                <c:pt idx="35">
                  <c:v>890.00000000278305</c:v>
                </c:pt>
                <c:pt idx="36">
                  <c:v>910.40000000278303</c:v>
                </c:pt>
                <c:pt idx="37">
                  <c:v>888.80000000278301</c:v>
                </c:pt>
                <c:pt idx="38">
                  <c:v>1101.6000000031922</c:v>
                </c:pt>
                <c:pt idx="39">
                  <c:v>1307.1000000033991</c:v>
                </c:pt>
                <c:pt idx="40">
                  <c:v>1190.000000003281</c:v>
                </c:pt>
                <c:pt idx="41">
                  <c:v>825.60000000247612</c:v>
                </c:pt>
                <c:pt idx="42">
                  <c:v>673.00000000235104</c:v>
                </c:pt>
                <c:pt idx="43">
                  <c:v>1062.3000000031627</c:v>
                </c:pt>
                <c:pt idx="44">
                  <c:v>1099.0000000031923</c:v>
                </c:pt>
                <c:pt idx="45">
                  <c:v>1139.3000000032514</c:v>
                </c:pt>
                <c:pt idx="46">
                  <c:v>1323.6000000036606</c:v>
                </c:pt>
                <c:pt idx="47">
                  <c:v>1421.6000000037561</c:v>
                </c:pt>
                <c:pt idx="48">
                  <c:v>1277.5000000033697</c:v>
                </c:pt>
                <c:pt idx="49">
                  <c:v>1170.500000003281</c:v>
                </c:pt>
                <c:pt idx="50">
                  <c:v>1224.4000000035653</c:v>
                </c:pt>
                <c:pt idx="51">
                  <c:v>1252.800000003597</c:v>
                </c:pt>
                <c:pt idx="52">
                  <c:v>1318.4200000036512</c:v>
                </c:pt>
                <c:pt idx="53">
                  <c:v>1368.8000000036925</c:v>
                </c:pt>
                <c:pt idx="54">
                  <c:v>1437.0000000037562</c:v>
                </c:pt>
                <c:pt idx="55">
                  <c:v>1556.5000000041609</c:v>
                </c:pt>
                <c:pt idx="56">
                  <c:v>1712.2000000045839</c:v>
                </c:pt>
                <c:pt idx="57">
                  <c:v>1961.2000000051023</c:v>
                </c:pt>
                <c:pt idx="58">
                  <c:v>2381.4000000058118</c:v>
                </c:pt>
                <c:pt idx="59">
                  <c:v>3692.6000000084036</c:v>
                </c:pt>
                <c:pt idx="60">
                  <c:v>4439.0000000102882</c:v>
                </c:pt>
                <c:pt idx="61">
                  <c:v>4504.5000000103455</c:v>
                </c:pt>
                <c:pt idx="62">
                  <c:v>4419.0000000102318</c:v>
                </c:pt>
                <c:pt idx="63">
                  <c:v>4441.5000000102882</c:v>
                </c:pt>
                <c:pt idx="64">
                  <c:v>4431.5000000102882</c:v>
                </c:pt>
                <c:pt idx="65">
                  <c:v>4729.5000000105156</c:v>
                </c:pt>
                <c:pt idx="66">
                  <c:v>5119.0000000109139</c:v>
                </c:pt>
                <c:pt idx="67">
                  <c:v>5535.200000011705</c:v>
                </c:pt>
                <c:pt idx="68">
                  <c:v>5802.4000000124006</c:v>
                </c:pt>
                <c:pt idx="69">
                  <c:v>6071.7000000126463</c:v>
                </c:pt>
                <c:pt idx="70">
                  <c:v>6640.4000000136239</c:v>
                </c:pt>
                <c:pt idx="71">
                  <c:v>8051.700000017483</c:v>
                </c:pt>
                <c:pt idx="72">
                  <c:v>9010.0000000194177</c:v>
                </c:pt>
                <c:pt idx="73">
                  <c:v>9758.1000000212844</c:v>
                </c:pt>
                <c:pt idx="74">
                  <c:v>10983.200000025307</c:v>
                </c:pt>
                <c:pt idx="75">
                  <c:v>10607.000000023738</c:v>
                </c:pt>
                <c:pt idx="76">
                  <c:v>10311.200000022878</c:v>
                </c:pt>
                <c:pt idx="77">
                  <c:v>10070.800000022118</c:v>
                </c:pt>
                <c:pt idx="78">
                  <c:v>10070.800000022118</c:v>
                </c:pt>
                <c:pt idx="79">
                  <c:v>10607.000000023738</c:v>
                </c:pt>
                <c:pt idx="80">
                  <c:v>11210.200000025498</c:v>
                </c:pt>
                <c:pt idx="81">
                  <c:v>11804.000000027312</c:v>
                </c:pt>
                <c:pt idx="82">
                  <c:v>12003.000000027512</c:v>
                </c:pt>
                <c:pt idx="83">
                  <c:v>12203.000000028867</c:v>
                </c:pt>
                <c:pt idx="84">
                  <c:v>12449.400000029182</c:v>
                </c:pt>
                <c:pt idx="85">
                  <c:v>12689.200000030029</c:v>
                </c:pt>
                <c:pt idx="86">
                  <c:v>12878.200000030136</c:v>
                </c:pt>
                <c:pt idx="87">
                  <c:v>13138.900000031641</c:v>
                </c:pt>
                <c:pt idx="88">
                  <c:v>13563.200000032088</c:v>
                </c:pt>
                <c:pt idx="89">
                  <c:v>14485.800000034878</c:v>
                </c:pt>
                <c:pt idx="90">
                  <c:v>15297.400000036958</c:v>
                </c:pt>
                <c:pt idx="91">
                  <c:v>15592.000000037202</c:v>
                </c:pt>
                <c:pt idx="92">
                  <c:v>15592.000000037202</c:v>
                </c:pt>
                <c:pt idx="93">
                  <c:v>15537.500000037891</c:v>
                </c:pt>
                <c:pt idx="94">
                  <c:v>16111.800000039089</c:v>
                </c:pt>
                <c:pt idx="95">
                  <c:v>17060.800000042123</c:v>
                </c:pt>
                <c:pt idx="96">
                  <c:v>17975.500000044383</c:v>
                </c:pt>
                <c:pt idx="97">
                  <c:v>18345.50000004466</c:v>
                </c:pt>
                <c:pt idx="98">
                  <c:v>18475.200000045534</c:v>
                </c:pt>
                <c:pt idx="99">
                  <c:v>19322.000000049222</c:v>
                </c:pt>
                <c:pt idx="100">
                  <c:v>21046.200000053184</c:v>
                </c:pt>
                <c:pt idx="101">
                  <c:v>21817.000000054592</c:v>
                </c:pt>
                <c:pt idx="102">
                  <c:v>21880.700000055371</c:v>
                </c:pt>
                <c:pt idx="103">
                  <c:v>21944.600000055532</c:v>
                </c:pt>
                <c:pt idx="104">
                  <c:v>22304.200000056644</c:v>
                </c:pt>
                <c:pt idx="105">
                  <c:v>23139.300000058094</c:v>
                </c:pt>
                <c:pt idx="106">
                  <c:v>23703.500000060198</c:v>
                </c:pt>
                <c:pt idx="107">
                  <c:v>24371.500000062504</c:v>
                </c:pt>
                <c:pt idx="108">
                  <c:v>28245.000000074378</c:v>
                </c:pt>
                <c:pt idx="109">
                  <c:v>28357.800000073719</c:v>
                </c:pt>
                <c:pt idx="110">
                  <c:v>28738.200000073914</c:v>
                </c:pt>
                <c:pt idx="111">
                  <c:v>28721.000000073916</c:v>
                </c:pt>
                <c:pt idx="112">
                  <c:v>28937.000000074971</c:v>
                </c:pt>
                <c:pt idx="113">
                  <c:v>29461.000000076434</c:v>
                </c:pt>
                <c:pt idx="114">
                  <c:v>29856.000000076634</c:v>
                </c:pt>
                <c:pt idx="115">
                  <c:v>30282.700000077908</c:v>
                </c:pt>
                <c:pt idx="116">
                  <c:v>30835.500000078515</c:v>
                </c:pt>
                <c:pt idx="117">
                  <c:v>31722.000000080217</c:v>
                </c:pt>
                <c:pt idx="118">
                  <c:v>32372.800000082629</c:v>
                </c:pt>
                <c:pt idx="119">
                  <c:v>32418.800000082629</c:v>
                </c:pt>
                <c:pt idx="120">
                  <c:v>32974.700000083947</c:v>
                </c:pt>
                <c:pt idx="121">
                  <c:v>33440.700000084369</c:v>
                </c:pt>
                <c:pt idx="122">
                  <c:v>33684.500000086402</c:v>
                </c:pt>
                <c:pt idx="123">
                  <c:v>34015.000000086831</c:v>
                </c:pt>
                <c:pt idx="124">
                  <c:v>34803.800000088406</c:v>
                </c:pt>
                <c:pt idx="125">
                  <c:v>35034.900000089547</c:v>
                </c:pt>
                <c:pt idx="126">
                  <c:v>35352.000000088839</c:v>
                </c:pt>
                <c:pt idx="127">
                  <c:v>35856.400000090209</c:v>
                </c:pt>
                <c:pt idx="128">
                  <c:v>36236.700000090648</c:v>
                </c:pt>
                <c:pt idx="129">
                  <c:v>36627.900000092741</c:v>
                </c:pt>
                <c:pt idx="130">
                  <c:v>36855.600000092963</c:v>
                </c:pt>
                <c:pt idx="131">
                  <c:v>37131.800000093193</c:v>
                </c:pt>
                <c:pt idx="132">
                  <c:v>37468.400000093643</c:v>
                </c:pt>
                <c:pt idx="133">
                  <c:v>37869.000000094813</c:v>
                </c:pt>
                <c:pt idx="134">
                  <c:v>38270.000000095271</c:v>
                </c:pt>
                <c:pt idx="135">
                  <c:v>38938.40000009787</c:v>
                </c:pt>
                <c:pt idx="136">
                  <c:v>39682.500000099535</c:v>
                </c:pt>
                <c:pt idx="137">
                  <c:v>40002.800000099764</c:v>
                </c:pt>
                <c:pt idx="138">
                  <c:v>40405.500000100001</c:v>
                </c:pt>
                <c:pt idx="139">
                  <c:v>41021.000000102656</c:v>
                </c:pt>
                <c:pt idx="140">
                  <c:v>41819.000000104359</c:v>
                </c:pt>
                <c:pt idx="141">
                  <c:v>42720.500000106076</c:v>
                </c:pt>
                <c:pt idx="142">
                  <c:v>43330.400000106558</c:v>
                </c:pt>
                <c:pt idx="143">
                  <c:v>44029.300000109295</c:v>
                </c:pt>
                <c:pt idx="144">
                  <c:v>44732.600000109029</c:v>
                </c:pt>
                <c:pt idx="145">
                  <c:v>45464.100000110535</c:v>
                </c:pt>
                <c:pt idx="146">
                  <c:v>46298.500000113323</c:v>
                </c:pt>
                <c:pt idx="147">
                  <c:v>47128.00000011408</c:v>
                </c:pt>
                <c:pt idx="148">
                  <c:v>47930.400000115871</c:v>
                </c:pt>
                <c:pt idx="149">
                  <c:v>48829.400000116635</c:v>
                </c:pt>
                <c:pt idx="150">
                  <c:v>49359.600000119237</c:v>
                </c:pt>
                <c:pt idx="151">
                  <c:v>49279.800000119234</c:v>
                </c:pt>
                <c:pt idx="152">
                  <c:v>49020.700000117933</c:v>
                </c:pt>
                <c:pt idx="153">
                  <c:v>48930.300000117932</c:v>
                </c:pt>
                <c:pt idx="154">
                  <c:v>49155.300000118186</c:v>
                </c:pt>
                <c:pt idx="155">
                  <c:v>49382.400000119233</c:v>
                </c:pt>
                <c:pt idx="156">
                  <c:v>49518.900000118447</c:v>
                </c:pt>
                <c:pt idx="157">
                  <c:v>49598.000000119493</c:v>
                </c:pt>
                <c:pt idx="158">
                  <c:v>49586.700000118442</c:v>
                </c:pt>
                <c:pt idx="159">
                  <c:v>49462.200000119497</c:v>
                </c:pt>
                <c:pt idx="160">
                  <c:v>49359.600000119237</c:v>
                </c:pt>
                <c:pt idx="161">
                  <c:v>49336.800000119234</c:v>
                </c:pt>
                <c:pt idx="162">
                  <c:v>49291.200000119235</c:v>
                </c:pt>
                <c:pt idx="163">
                  <c:v>49211.800000118186</c:v>
                </c:pt>
                <c:pt idx="164">
                  <c:v>49268.400000119233</c:v>
                </c:pt>
                <c:pt idx="165">
                  <c:v>49200.500000118191</c:v>
                </c:pt>
                <c:pt idx="166">
                  <c:v>49020.700000117933</c:v>
                </c:pt>
                <c:pt idx="167">
                  <c:v>48851.800000116891</c:v>
                </c:pt>
                <c:pt idx="168">
                  <c:v>48682.700000117678</c:v>
                </c:pt>
                <c:pt idx="169">
                  <c:v>48469.000000116379</c:v>
                </c:pt>
                <c:pt idx="170">
                  <c:v>48389.900000117421</c:v>
                </c:pt>
                <c:pt idx="171">
                  <c:v>48525.000000116379</c:v>
                </c:pt>
                <c:pt idx="172">
                  <c:v>48389.900000117421</c:v>
                </c:pt>
                <c:pt idx="173">
                  <c:v>48232.700000117162</c:v>
                </c:pt>
                <c:pt idx="174">
                  <c:v>48198.80000011716</c:v>
                </c:pt>
                <c:pt idx="175">
                  <c:v>48131.000000117157</c:v>
                </c:pt>
                <c:pt idx="176">
                  <c:v>48097.700000115088</c:v>
                </c:pt>
                <c:pt idx="177">
                  <c:v>48008.800000116127</c:v>
                </c:pt>
                <c:pt idx="178">
                  <c:v>47785.800000115873</c:v>
                </c:pt>
                <c:pt idx="179">
                  <c:v>47428.700000114331</c:v>
                </c:pt>
                <c:pt idx="180">
                  <c:v>47016.000000115106</c:v>
                </c:pt>
                <c:pt idx="181">
                  <c:v>46541.000000112552</c:v>
                </c:pt>
                <c:pt idx="182">
                  <c:v>46033.100000113067</c:v>
                </c:pt>
                <c:pt idx="183">
                  <c:v>45573.100000110782</c:v>
                </c:pt>
                <c:pt idx="184">
                  <c:v>45081.600000110288</c:v>
                </c:pt>
                <c:pt idx="185">
                  <c:v>44624.600000108781</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30764.300000078314</c:v>
                </c:pt>
                <c:pt idx="245">
                  <c:v>30505.200000078112</c:v>
                </c:pt>
                <c:pt idx="246">
                  <c:v>30202.000000078784</c:v>
                </c:pt>
                <c:pt idx="247">
                  <c:v>29970.400000076836</c:v>
                </c:pt>
                <c:pt idx="248">
                  <c:v>30130.400000077909</c:v>
                </c:pt>
                <c:pt idx="249">
                  <c:v>29988.000000077707</c:v>
                </c:pt>
                <c:pt idx="250">
                  <c:v>29759.800000075764</c:v>
                </c:pt>
                <c:pt idx="251">
                  <c:v>29522.600000076432</c:v>
                </c:pt>
                <c:pt idx="252">
                  <c:v>29224.400000076235</c:v>
                </c:pt>
                <c:pt idx="253">
                  <c:v>28876.800000074109</c:v>
                </c:pt>
                <c:pt idx="254">
                  <c:v>28505.00000007372</c:v>
                </c:pt>
                <c:pt idx="255">
                  <c:v>28075.000000072476</c:v>
                </c:pt>
                <c:pt idx="256">
                  <c:v>27649.00000007209</c:v>
                </c:pt>
                <c:pt idx="257">
                  <c:v>27226.000000070861</c:v>
                </c:pt>
                <c:pt idx="258">
                  <c:v>26851.000000070475</c:v>
                </c:pt>
                <c:pt idx="259">
                  <c:v>26469.800000068612</c:v>
                </c:pt>
                <c:pt idx="260">
                  <c:v>26095.300000067407</c:v>
                </c:pt>
                <c:pt idx="261">
                  <c:v>25681.800000065385</c:v>
                </c:pt>
                <c:pt idx="262">
                  <c:v>25237.400000064845</c:v>
                </c:pt>
                <c:pt idx="263">
                  <c:v>24804.800000063668</c:v>
                </c:pt>
                <c:pt idx="264">
                  <c:v>24480.200000063491</c:v>
                </c:pt>
                <c:pt idx="265">
                  <c:v>24133.000000060711</c:v>
                </c:pt>
                <c:pt idx="266">
                  <c:v>23582.600000061</c:v>
                </c:pt>
                <c:pt idx="267">
                  <c:v>22882.800000057927</c:v>
                </c:pt>
                <c:pt idx="268">
                  <c:v>22138.600000056478</c:v>
                </c:pt>
                <c:pt idx="269">
                  <c:v>21170.400000053185</c:v>
                </c:pt>
                <c:pt idx="270">
                  <c:v>20757.400000052872</c:v>
                </c:pt>
                <c:pt idx="271">
                  <c:v>21478.00000005505</c:v>
                </c:pt>
                <c:pt idx="272">
                  <c:v>23651.000000060198</c:v>
                </c:pt>
                <c:pt idx="273">
                  <c:v>24488.000000062679</c:v>
                </c:pt>
                <c:pt idx="274">
                  <c:v>23658.500000060198</c:v>
                </c:pt>
                <c:pt idx="275">
                  <c:v>22253.800000056643</c:v>
                </c:pt>
                <c:pt idx="276">
                  <c:v>20557.900000051188</c:v>
                </c:pt>
                <c:pt idx="277">
                  <c:v>18972.000000047439</c:v>
                </c:pt>
                <c:pt idx="278">
                  <c:v>17487.000000043248</c:v>
                </c:pt>
                <c:pt idx="279">
                  <c:v>16179.000000039918</c:v>
                </c:pt>
                <c:pt idx="280">
                  <c:v>15685.200000038709</c:v>
                </c:pt>
                <c:pt idx="281">
                  <c:v>15253.500000037642</c:v>
                </c:pt>
                <c:pt idx="282">
                  <c:v>14615.600000036344</c:v>
                </c:pt>
                <c:pt idx="283">
                  <c:v>14081.200000034525</c:v>
                </c:pt>
                <c:pt idx="284">
                  <c:v>13563.200000032088</c:v>
                </c:pt>
                <c:pt idx="285">
                  <c:v>13066.800000030995</c:v>
                </c:pt>
                <c:pt idx="286">
                  <c:v>12380.500000028445</c:v>
                </c:pt>
                <c:pt idx="287">
                  <c:v>11777.600000027312</c:v>
                </c:pt>
                <c:pt idx="288">
                  <c:v>11301.900000026202</c:v>
                </c:pt>
                <c:pt idx="289">
                  <c:v>10856.000000024011</c:v>
                </c:pt>
                <c:pt idx="290">
                  <c:v>10474.000000024238</c:v>
                </c:pt>
                <c:pt idx="291">
                  <c:v>10010.000000022032</c:v>
                </c:pt>
                <c:pt idx="292">
                  <c:v>9577.4000000205451</c:v>
                </c:pt>
                <c:pt idx="293">
                  <c:v>9155.500000019576</c:v>
                </c:pt>
                <c:pt idx="294">
                  <c:v>8783.0000000192595</c:v>
                </c:pt>
                <c:pt idx="295">
                  <c:v>8413.0000000183209</c:v>
                </c:pt>
                <c:pt idx="296">
                  <c:v>8055.000000016953</c:v>
                </c:pt>
                <c:pt idx="297">
                  <c:v>7707.0000000165892</c:v>
                </c:pt>
                <c:pt idx="298">
                  <c:v>7369.0000000157888</c:v>
                </c:pt>
                <c:pt idx="299">
                  <c:v>7040.0000000145064</c:v>
                </c:pt>
                <c:pt idx="300">
                  <c:v>6674.5000000141772</c:v>
                </c:pt>
                <c:pt idx="301">
                  <c:v>6324.6000000133699</c:v>
                </c:pt>
                <c:pt idx="302">
                  <c:v>5956.2000000129874</c:v>
                </c:pt>
                <c:pt idx="303">
                  <c:v>5598.6000000117647</c:v>
                </c:pt>
                <c:pt idx="304">
                  <c:v>5063.0000000108575</c:v>
                </c:pt>
                <c:pt idx="305">
                  <c:v>4638.0000000104592</c:v>
                </c:pt>
                <c:pt idx="306">
                  <c:v>4266.400000009713</c:v>
                </c:pt>
                <c:pt idx="307">
                  <c:v>3915.2000000086036</c:v>
                </c:pt>
                <c:pt idx="308">
                  <c:v>3677.2000000084035</c:v>
                </c:pt>
                <c:pt idx="309">
                  <c:v>3414.4000000081537</c:v>
                </c:pt>
                <c:pt idx="310">
                  <c:v>3291.5000000076875</c:v>
                </c:pt>
                <c:pt idx="311">
                  <c:v>3586.0000000083037</c:v>
                </c:pt>
                <c:pt idx="312">
                  <c:v>3091.0000000074965</c:v>
                </c:pt>
                <c:pt idx="313">
                  <c:v>2151.0000000052955</c:v>
                </c:pt>
                <c:pt idx="314">
                  <c:v>1339.0000000034288</c:v>
                </c:pt>
                <c:pt idx="315">
                  <c:v>910.40000000278303</c:v>
                </c:pt>
                <c:pt idx="316">
                  <c:v>742.30000000242603</c:v>
                </c:pt>
                <c:pt idx="317">
                  <c:v>686.20000000235109</c:v>
                </c:pt>
                <c:pt idx="318">
                  <c:v>926.00000000257614</c:v>
                </c:pt>
                <c:pt idx="319">
                  <c:v>1380.0000000037244</c:v>
                </c:pt>
                <c:pt idx="320">
                  <c:v>1276.2000000033697</c:v>
                </c:pt>
                <c:pt idx="321">
                  <c:v>1549.0000000041609</c:v>
                </c:pt>
                <c:pt idx="322">
                  <c:v>2931.0000000070031</c:v>
                </c:pt>
                <c:pt idx="323">
                  <c:v>2018.7000000051796</c:v>
                </c:pt>
                <c:pt idx="324">
                  <c:v>1344.2000000034288</c:v>
                </c:pt>
                <c:pt idx="325">
                  <c:v>1311.0000000036607</c:v>
                </c:pt>
                <c:pt idx="326">
                  <c:v>1271.0000000033697</c:v>
                </c:pt>
                <c:pt idx="327">
                  <c:v>982.40000000286489</c:v>
                </c:pt>
                <c:pt idx="328">
                  <c:v>706.00000000216005</c:v>
                </c:pt>
                <c:pt idx="329">
                  <c:v>696.10000000237608</c:v>
                </c:pt>
                <c:pt idx="330">
                  <c:v>777.40000000245107</c:v>
                </c:pt>
                <c:pt idx="331">
                  <c:v>821.20000000247614</c:v>
                </c:pt>
                <c:pt idx="332">
                  <c:v>765.30000000242603</c:v>
                </c:pt>
                <c:pt idx="333">
                  <c:v>679.60000000235107</c:v>
                </c:pt>
                <c:pt idx="334">
                  <c:v>2692.0000000067757</c:v>
                </c:pt>
                <c:pt idx="335">
                  <c:v>4380.6000000098229</c:v>
                </c:pt>
                <c:pt idx="336">
                  <c:v>2394.0000000058117</c:v>
                </c:pt>
                <c:pt idx="337">
                  <c:v>1089.9000000031924</c:v>
                </c:pt>
                <c:pt idx="338">
                  <c:v>809.40000000270118</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748.90000000242605</c:v>
                </c:pt>
                <c:pt idx="353">
                  <c:v>1074.0000000029468</c:v>
                </c:pt>
                <c:pt idx="354">
                  <c:v>2270.0000000054115</c:v>
                </c:pt>
                <c:pt idx="355">
                  <c:v>2830.0000000069122</c:v>
                </c:pt>
                <c:pt idx="356">
                  <c:v>4064.0000000090995</c:v>
                </c:pt>
                <c:pt idx="357">
                  <c:v>3653.0000000083537</c:v>
                </c:pt>
                <c:pt idx="358">
                  <c:v>1809.0000000046566</c:v>
                </c:pt>
                <c:pt idx="359">
                  <c:v>1021.4000000031332</c:v>
                </c:pt>
                <c:pt idx="360">
                  <c:v>1437.0000000037562</c:v>
                </c:pt>
                <c:pt idx="361">
                  <c:v>1625.0000000042292</c:v>
                </c:pt>
                <c:pt idx="362">
                  <c:v>1467.800000003788</c:v>
                </c:pt>
                <c:pt idx="363">
                  <c:v>1164.0000000032514</c:v>
                </c:pt>
                <c:pt idx="364">
                  <c:v>974.00000000283762</c:v>
                </c:pt>
              </c:numCache>
            </c:numRef>
          </c:val>
        </c:ser>
        <c:ser>
          <c:idx val="3"/>
          <c:order val="3"/>
          <c:tx>
            <c:v>Total Municipal Storage</c:v>
          </c:tx>
          <c:marker>
            <c:symbol val="none"/>
          </c:marker>
          <c:val>
            <c:numRef>
              <c:f>Summary!$T$9:$T$373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178.9860518375242</c:v>
                </c:pt>
                <c:pt idx="52">
                  <c:v>352.76283395084732</c:v>
                </c:pt>
                <c:pt idx="53">
                  <c:v>526.65091930039137</c:v>
                </c:pt>
                <c:pt idx="54">
                  <c:v>700.69821458129024</c:v>
                </c:pt>
                <c:pt idx="55">
                  <c:v>874.44649919807307</c:v>
                </c:pt>
                <c:pt idx="56">
                  <c:v>1048.298255415224</c:v>
                </c:pt>
                <c:pt idx="57">
                  <c:v>1225.7817655861411</c:v>
                </c:pt>
                <c:pt idx="58">
                  <c:v>1405.8818220914734</c:v>
                </c:pt>
                <c:pt idx="59">
                  <c:v>1584.9997062378147</c:v>
                </c:pt>
                <c:pt idx="60">
                  <c:v>1764.3301321489939</c:v>
                </c:pt>
                <c:pt idx="61">
                  <c:v>1943.2793698319208</c:v>
                </c:pt>
                <c:pt idx="62">
                  <c:v>2122.2954467741984</c:v>
                </c:pt>
                <c:pt idx="63">
                  <c:v>2300.2599520855074</c:v>
                </c:pt>
                <c:pt idx="64">
                  <c:v>2472.6301909600679</c:v>
                </c:pt>
                <c:pt idx="65">
                  <c:v>2644.6943125848261</c:v>
                </c:pt>
                <c:pt idx="66">
                  <c:v>2816.8803034826587</c:v>
                </c:pt>
                <c:pt idx="67">
                  <c:v>2989.0994821783111</c:v>
                </c:pt>
                <c:pt idx="68">
                  <c:v>3161.1737650232394</c:v>
                </c:pt>
                <c:pt idx="69">
                  <c:v>3333.3295998235526</c:v>
                </c:pt>
                <c:pt idx="70">
                  <c:v>3505.4040048900106</c:v>
                </c:pt>
                <c:pt idx="71">
                  <c:v>3677.4063795478123</c:v>
                </c:pt>
                <c:pt idx="72">
                  <c:v>3849.4703184984778</c:v>
                </c:pt>
                <c:pt idx="73">
                  <c:v>4020.7863543995372</c:v>
                </c:pt>
                <c:pt idx="74">
                  <c:v>4192.1633027926728</c:v>
                </c:pt>
                <c:pt idx="75">
                  <c:v>4363.7463004469464</c:v>
                </c:pt>
                <c:pt idx="76">
                  <c:v>4535.7184000230545</c:v>
                </c:pt>
                <c:pt idx="77">
                  <c:v>4707.7710865618101</c:v>
                </c:pt>
                <c:pt idx="78">
                  <c:v>4879.732758275326</c:v>
                </c:pt>
                <c:pt idx="79">
                  <c:v>5051.7273949419932</c:v>
                </c:pt>
                <c:pt idx="80">
                  <c:v>5223.6168081525793</c:v>
                </c:pt>
                <c:pt idx="81">
                  <c:v>5395.5886237645891</c:v>
                </c:pt>
                <c:pt idx="82">
                  <c:v>5567.345561122499</c:v>
                </c:pt>
                <c:pt idx="83">
                  <c:v>5739.0921305126021</c:v>
                </c:pt>
                <c:pt idx="84">
                  <c:v>5910.951787180551</c:v>
                </c:pt>
                <c:pt idx="85">
                  <c:v>6082.7394281022098</c:v>
                </c:pt>
                <c:pt idx="86">
                  <c:v>6255.5697460874862</c:v>
                </c:pt>
                <c:pt idx="87">
                  <c:v>6427.960068269871</c:v>
                </c:pt>
                <c:pt idx="88">
                  <c:v>6600.3106704477013</c:v>
                </c:pt>
                <c:pt idx="89">
                  <c:v>6772.6711998816627</c:v>
                </c:pt>
                <c:pt idx="90">
                  <c:v>6945.1848398816628</c:v>
                </c:pt>
                <c:pt idx="91">
                  <c:v>7117.6477087679277</c:v>
                </c:pt>
                <c:pt idx="92">
                  <c:v>7290.2025042781324</c:v>
                </c:pt>
                <c:pt idx="93">
                  <c:v>7462.6453628608106</c:v>
                </c:pt>
                <c:pt idx="94">
                  <c:v>7635.1691570835565</c:v>
                </c:pt>
                <c:pt idx="95">
                  <c:v>7807.5203295196052</c:v>
                </c:pt>
                <c:pt idx="96">
                  <c:v>7980.2794095196059</c:v>
                </c:pt>
                <c:pt idx="97">
                  <c:v>8152.988836679323</c:v>
                </c:pt>
                <c:pt idx="98">
                  <c:v>8325.2877888392613</c:v>
                </c:pt>
                <c:pt idx="99">
                  <c:v>8497.792564653213</c:v>
                </c:pt>
                <c:pt idx="100">
                  <c:v>8670.1929862504076</c:v>
                </c:pt>
                <c:pt idx="101">
                  <c:v>8843.250676768339</c:v>
                </c:pt>
                <c:pt idx="102">
                  <c:v>9015.9187297872068</c:v>
                </c:pt>
                <c:pt idx="103">
                  <c:v>9188.9196089644192</c:v>
                </c:pt>
                <c:pt idx="104">
                  <c:v>9361.3407768517445</c:v>
                </c:pt>
                <c:pt idx="105">
                  <c:v>9533.6602387213425</c:v>
                </c:pt>
                <c:pt idx="106">
                  <c:v>9705.7753267964617</c:v>
                </c:pt>
                <c:pt idx="107">
                  <c:v>9877.6449980254911</c:v>
                </c:pt>
                <c:pt idx="108">
                  <c:v>10049.709343806739</c:v>
                </c:pt>
                <c:pt idx="109">
                  <c:v>10221.39409587557</c:v>
                </c:pt>
                <c:pt idx="110">
                  <c:v>10393.488834491136</c:v>
                </c:pt>
                <c:pt idx="111">
                  <c:v>10565.542921900278</c:v>
                </c:pt>
                <c:pt idx="112">
                  <c:v>10738.066676318154</c:v>
                </c:pt>
                <c:pt idx="113">
                  <c:v>10910.876440832262</c:v>
                </c:pt>
                <c:pt idx="114">
                  <c:v>11083.400195250138</c:v>
                </c:pt>
                <c:pt idx="115">
                  <c:v>11255.923949668013</c:v>
                </c:pt>
                <c:pt idx="116">
                  <c:v>11428.457810577103</c:v>
                </c:pt>
                <c:pt idx="117">
                  <c:v>11608.149617482333</c:v>
                </c:pt>
                <c:pt idx="118">
                  <c:v>11784.741910297869</c:v>
                </c:pt>
                <c:pt idx="119">
                  <c:v>11957.234480321362</c:v>
                </c:pt>
                <c:pt idx="120">
                  <c:v>12129.726216283949</c:v>
                </c:pt>
                <c:pt idx="121">
                  <c:v>12301.861669747745</c:v>
                </c:pt>
                <c:pt idx="122">
                  <c:v>12474.10924876414</c:v>
                </c:pt>
                <c:pt idx="123">
                  <c:v>12645.998933813138</c:v>
                </c:pt>
                <c:pt idx="124">
                  <c:v>12818.246520875176</c:v>
                </c:pt>
                <c:pt idx="125">
                  <c:v>12990.60632926908</c:v>
                </c:pt>
                <c:pt idx="126">
                  <c:v>13162.966137662985</c:v>
                </c:pt>
                <c:pt idx="127">
                  <c:v>13335.14236976639</c:v>
                </c:pt>
                <c:pt idx="128">
                  <c:v>13508.783665996732</c:v>
                </c:pt>
                <c:pt idx="129">
                  <c:v>13690.017381267942</c:v>
                </c:pt>
                <c:pt idx="130">
                  <c:v>13871.336868268534</c:v>
                </c:pt>
                <c:pt idx="131">
                  <c:v>14045.384508268533</c:v>
                </c:pt>
                <c:pt idx="132">
                  <c:v>14216.549862114687</c:v>
                </c:pt>
                <c:pt idx="133">
                  <c:v>14387.406260403222</c:v>
                </c:pt>
                <c:pt idx="134">
                  <c:v>14558.298356677884</c:v>
                </c:pt>
                <c:pt idx="135">
                  <c:v>14728.907258327845</c:v>
                </c:pt>
                <c:pt idx="136">
                  <c:v>14899.468923717008</c:v>
                </c:pt>
                <c:pt idx="137">
                  <c:v>15070.148849766738</c:v>
                </c:pt>
                <c:pt idx="138">
                  <c:v>15240.805193959461</c:v>
                </c:pt>
                <c:pt idx="139">
                  <c:v>15411.494557589298</c:v>
                </c:pt>
                <c:pt idx="140">
                  <c:v>15582.110878490937</c:v>
                </c:pt>
                <c:pt idx="141">
                  <c:v>15752.745937295145</c:v>
                </c:pt>
                <c:pt idx="142">
                  <c:v>15923.078440388783</c:v>
                </c:pt>
                <c:pt idx="143">
                  <c:v>16092.193472456598</c:v>
                </c:pt>
                <c:pt idx="144">
                  <c:v>16261.254599215432</c:v>
                </c:pt>
                <c:pt idx="145">
                  <c:v>16430.3770262408</c:v>
                </c:pt>
                <c:pt idx="146">
                  <c:v>16599.468176714548</c:v>
                </c:pt>
                <c:pt idx="147">
                  <c:v>16768.61375326592</c:v>
                </c:pt>
                <c:pt idx="148">
                  <c:v>16937.69069612895</c:v>
                </c:pt>
                <c:pt idx="149">
                  <c:v>17107.756523484812</c:v>
                </c:pt>
                <c:pt idx="150">
                  <c:v>17278.238684774831</c:v>
                </c:pt>
                <c:pt idx="151">
                  <c:v>17551.922692774824</c:v>
                </c:pt>
                <c:pt idx="152">
                  <c:v>17722.492004789019</c:v>
                </c:pt>
                <c:pt idx="153">
                  <c:v>17892.354874227221</c:v>
                </c:pt>
                <c:pt idx="154">
                  <c:v>18061.389294914294</c:v>
                </c:pt>
                <c:pt idx="155">
                  <c:v>18229.718781969335</c:v>
                </c:pt>
                <c:pt idx="156">
                  <c:v>18385.046071235043</c:v>
                </c:pt>
                <c:pt idx="157">
                  <c:v>18535.70998856541</c:v>
                </c:pt>
                <c:pt idx="158">
                  <c:v>18686.411903493216</c:v>
                </c:pt>
                <c:pt idx="159">
                  <c:v>18842.641200399645</c:v>
                </c:pt>
                <c:pt idx="160">
                  <c:v>18973.669611842077</c:v>
                </c:pt>
                <c:pt idx="161">
                  <c:v>19141.089905447774</c:v>
                </c:pt>
                <c:pt idx="162">
                  <c:v>19308.394796321565</c:v>
                </c:pt>
                <c:pt idx="163">
                  <c:v>19473.497933712864</c:v>
                </c:pt>
                <c:pt idx="164">
                  <c:v>19636.911133406353</c:v>
                </c:pt>
                <c:pt idx="165">
                  <c:v>19802.060196607959</c:v>
                </c:pt>
                <c:pt idx="166">
                  <c:v>19966.848291771359</c:v>
                </c:pt>
                <c:pt idx="167">
                  <c:v>19999.985199999999</c:v>
                </c:pt>
                <c:pt idx="168">
                  <c:v>9998.612000000001</c:v>
                </c:pt>
                <c:pt idx="169">
                  <c:v>9998.612000000001</c:v>
                </c:pt>
                <c:pt idx="170">
                  <c:v>9998.612000000001</c:v>
                </c:pt>
                <c:pt idx="171">
                  <c:v>9998.612000000001</c:v>
                </c:pt>
                <c:pt idx="172">
                  <c:v>9998.612000000001</c:v>
                </c:pt>
                <c:pt idx="173">
                  <c:v>9998.612000000001</c:v>
                </c:pt>
                <c:pt idx="174">
                  <c:v>9998.612000000001</c:v>
                </c:pt>
                <c:pt idx="175">
                  <c:v>9998.612000000001</c:v>
                </c:pt>
                <c:pt idx="176">
                  <c:v>9998.612000000001</c:v>
                </c:pt>
                <c:pt idx="177">
                  <c:v>9998.612000000001</c:v>
                </c:pt>
                <c:pt idx="178">
                  <c:v>9998.612000000001</c:v>
                </c:pt>
                <c:pt idx="179">
                  <c:v>9998.612000000001</c:v>
                </c:pt>
                <c:pt idx="180">
                  <c:v>9998.612000000001</c:v>
                </c:pt>
                <c:pt idx="181">
                  <c:v>9998.612000000001</c:v>
                </c:pt>
                <c:pt idx="182">
                  <c:v>9998.612000000001</c:v>
                </c:pt>
                <c:pt idx="183">
                  <c:v>9998.612000000001</c:v>
                </c:pt>
                <c:pt idx="184">
                  <c:v>9998.612000000001</c:v>
                </c:pt>
                <c:pt idx="185">
                  <c:v>9998.612000000001</c:v>
                </c:pt>
                <c:pt idx="186">
                  <c:v>9998.612000000001</c:v>
                </c:pt>
                <c:pt idx="187">
                  <c:v>9947.5695150832271</c:v>
                </c:pt>
                <c:pt idx="188">
                  <c:v>9887.3026807824353</c:v>
                </c:pt>
                <c:pt idx="189">
                  <c:v>9827.4387956309183</c:v>
                </c:pt>
                <c:pt idx="190">
                  <c:v>9762.9752636282883</c:v>
                </c:pt>
                <c:pt idx="191">
                  <c:v>9677.033245850509</c:v>
                </c:pt>
                <c:pt idx="192">
                  <c:v>9591.1051351968672</c:v>
                </c:pt>
                <c:pt idx="193">
                  <c:v>9505.1411634321612</c:v>
                </c:pt>
                <c:pt idx="194">
                  <c:v>9418.990278987716</c:v>
                </c:pt>
                <c:pt idx="195">
                  <c:v>9333.0862789877156</c:v>
                </c:pt>
                <c:pt idx="196">
                  <c:v>9247.1822789877151</c:v>
                </c:pt>
                <c:pt idx="197">
                  <c:v>9161.2782789877165</c:v>
                </c:pt>
                <c:pt idx="198">
                  <c:v>9087.646278987715</c:v>
                </c:pt>
                <c:pt idx="199">
                  <c:v>9026.2862789877163</c:v>
                </c:pt>
                <c:pt idx="200">
                  <c:v>8964.9262789877157</c:v>
                </c:pt>
                <c:pt idx="201">
                  <c:v>8903.2594789877166</c:v>
                </c:pt>
                <c:pt idx="202">
                  <c:v>8843.4334789877175</c:v>
                </c:pt>
                <c:pt idx="203">
                  <c:v>8783.6074789877166</c:v>
                </c:pt>
                <c:pt idx="204">
                  <c:v>8722.2474789877178</c:v>
                </c:pt>
                <c:pt idx="205">
                  <c:v>8663.9554789877166</c:v>
                </c:pt>
                <c:pt idx="206">
                  <c:v>8604.1294789877174</c:v>
                </c:pt>
                <c:pt idx="207">
                  <c:v>8545.837478987718</c:v>
                </c:pt>
                <c:pt idx="208">
                  <c:v>8467.6034789877176</c:v>
                </c:pt>
                <c:pt idx="209">
                  <c:v>8371.8694629340553</c:v>
                </c:pt>
                <c:pt idx="210">
                  <c:v>8271.2390629340553</c:v>
                </c:pt>
                <c:pt idx="211">
                  <c:v>8185.3350629340548</c:v>
                </c:pt>
                <c:pt idx="212">
                  <c:v>8100.9650629340549</c:v>
                </c:pt>
                <c:pt idx="213">
                  <c:v>8023.6207829340547</c:v>
                </c:pt>
                <c:pt idx="214">
                  <c:v>7946.184462934054</c:v>
                </c:pt>
                <c:pt idx="215">
                  <c:v>7869.2384334738535</c:v>
                </c:pt>
                <c:pt idx="216">
                  <c:v>7810.9464334738532</c:v>
                </c:pt>
                <c:pt idx="217">
                  <c:v>7752.4422970060314</c:v>
                </c:pt>
                <c:pt idx="218">
                  <c:v>7694.150297006031</c:v>
                </c:pt>
                <c:pt idx="219">
                  <c:v>7638.9262970060317</c:v>
                </c:pt>
                <c:pt idx="220">
                  <c:v>7581.8614970060316</c:v>
                </c:pt>
                <c:pt idx="221">
                  <c:v>7524.3702450060318</c:v>
                </c:pt>
                <c:pt idx="222">
                  <c:v>7466.9066050060319</c:v>
                </c:pt>
                <c:pt idx="223">
                  <c:v>7409.442965006031</c:v>
                </c:pt>
                <c:pt idx="224">
                  <c:v>7354.2189650060318</c:v>
                </c:pt>
                <c:pt idx="225">
                  <c:v>7296.7553250060309</c:v>
                </c:pt>
                <c:pt idx="226">
                  <c:v>7244.4749104711482</c:v>
                </c:pt>
                <c:pt idx="227">
                  <c:v>7190.7849104711477</c:v>
                </c:pt>
                <c:pt idx="228">
                  <c:v>7135.5609104711475</c:v>
                </c:pt>
                <c:pt idx="229">
                  <c:v>7081.6708537164304</c:v>
                </c:pt>
                <c:pt idx="230">
                  <c:v>7027.9808537164308</c:v>
                </c:pt>
                <c:pt idx="231">
                  <c:v>6974.2908537164312</c:v>
                </c:pt>
                <c:pt idx="232">
                  <c:v>6920.6008537164307</c:v>
                </c:pt>
                <c:pt idx="233">
                  <c:v>6866.9108537164311</c:v>
                </c:pt>
                <c:pt idx="234">
                  <c:v>6813.2208537164306</c:v>
                </c:pt>
                <c:pt idx="235">
                  <c:v>6759.530853716431</c:v>
                </c:pt>
                <c:pt idx="236">
                  <c:v>6705.8408537164305</c:v>
                </c:pt>
                <c:pt idx="237">
                  <c:v>6652.1508537164309</c:v>
                </c:pt>
                <c:pt idx="238">
                  <c:v>6598.4608537164304</c:v>
                </c:pt>
                <c:pt idx="239">
                  <c:v>6545.0160637806712</c:v>
                </c:pt>
                <c:pt idx="240">
                  <c:v>6498.9549268308238</c:v>
                </c:pt>
                <c:pt idx="241">
                  <c:v>6454.4689268308239</c:v>
                </c:pt>
                <c:pt idx="242">
                  <c:v>6409.982926830824</c:v>
                </c:pt>
                <c:pt idx="243">
                  <c:v>6365.4969268308232</c:v>
                </c:pt>
                <c:pt idx="244">
                  <c:v>6320.9864558784438</c:v>
                </c:pt>
                <c:pt idx="245">
                  <c:v>6276.4374989485796</c:v>
                </c:pt>
                <c:pt idx="246">
                  <c:v>6231.7390951528423</c:v>
                </c:pt>
                <c:pt idx="247">
                  <c:v>6189.9979359050358</c:v>
                </c:pt>
                <c:pt idx="248">
                  <c:v>6149.9822134927945</c:v>
                </c:pt>
                <c:pt idx="249">
                  <c:v>6109.9663886407234</c:v>
                </c:pt>
                <c:pt idx="250">
                  <c:v>6069.8010444270731</c:v>
                </c:pt>
                <c:pt idx="251">
                  <c:v>5029.5657973999241</c:v>
                </c:pt>
                <c:pt idx="252">
                  <c:v>4989.5871639466859</c:v>
                </c:pt>
                <c:pt idx="253">
                  <c:v>4949.7031639466859</c:v>
                </c:pt>
                <c:pt idx="254">
                  <c:v>4905.1441010008202</c:v>
                </c:pt>
                <c:pt idx="255">
                  <c:v>4859.0459109026369</c:v>
                </c:pt>
                <c:pt idx="256">
                  <c:v>4812.8490083338302</c:v>
                </c:pt>
                <c:pt idx="257">
                  <c:v>4766.75858218545</c:v>
                </c:pt>
                <c:pt idx="258">
                  <c:v>4721.6458189372279</c:v>
                </c:pt>
                <c:pt idx="259">
                  <c:v>4676.8445217488106</c:v>
                </c:pt>
                <c:pt idx="260">
                  <c:v>4631.7379787710233</c:v>
                </c:pt>
                <c:pt idx="261">
                  <c:v>4586.4543738166094</c:v>
                </c:pt>
                <c:pt idx="262">
                  <c:v>4539.7672391627029</c:v>
                </c:pt>
                <c:pt idx="263">
                  <c:v>4493.4708661740697</c:v>
                </c:pt>
                <c:pt idx="264">
                  <c:v>4451.2302368502569</c:v>
                </c:pt>
                <c:pt idx="265">
                  <c:v>4411.1293553244932</c:v>
                </c:pt>
                <c:pt idx="266">
                  <c:v>4371.0222416372071</c:v>
                </c:pt>
                <c:pt idx="267">
                  <c:v>4331.0886567951011</c:v>
                </c:pt>
                <c:pt idx="268">
                  <c:v>4292.2138673214176</c:v>
                </c:pt>
                <c:pt idx="269">
                  <c:v>4253.127830957781</c:v>
                </c:pt>
                <c:pt idx="270">
                  <c:v>4214.7778309577807</c:v>
                </c:pt>
                <c:pt idx="271">
                  <c:v>4177.9618309577809</c:v>
                </c:pt>
                <c:pt idx="272">
                  <c:v>4140.8676951890557</c:v>
                </c:pt>
                <c:pt idx="273">
                  <c:v>4103.0558809980221</c:v>
                </c:pt>
                <c:pt idx="274">
                  <c:v>4066.2106518644359</c:v>
                </c:pt>
                <c:pt idx="275">
                  <c:v>4031.672532812303</c:v>
                </c:pt>
                <c:pt idx="276">
                  <c:v>3997.9245328123029</c:v>
                </c:pt>
                <c:pt idx="277">
                  <c:v>3964.1765328123029</c:v>
                </c:pt>
                <c:pt idx="278">
                  <c:v>3925.826532812303</c:v>
                </c:pt>
                <c:pt idx="279">
                  <c:v>2887.3085328123029</c:v>
                </c:pt>
                <c:pt idx="280">
                  <c:v>2848.6891075375065</c:v>
                </c:pt>
                <c:pt idx="281">
                  <c:v>2809.86614584464</c:v>
                </c:pt>
                <c:pt idx="282">
                  <c:v>2772.25246584464</c:v>
                </c:pt>
                <c:pt idx="283">
                  <c:v>2735.3154570797001</c:v>
                </c:pt>
                <c:pt idx="284">
                  <c:v>2698.4994570796998</c:v>
                </c:pt>
                <c:pt idx="285">
                  <c:v>2662.9332159032292</c:v>
                </c:pt>
                <c:pt idx="286">
                  <c:v>2627.6488193814903</c:v>
                </c:pt>
                <c:pt idx="287">
                  <c:v>2600.0368193814902</c:v>
                </c:pt>
                <c:pt idx="288">
                  <c:v>2572.4124307829156</c:v>
                </c:pt>
                <c:pt idx="289">
                  <c:v>2544.7326388658171</c:v>
                </c:pt>
                <c:pt idx="290">
                  <c:v>2517.120638865817</c:v>
                </c:pt>
                <c:pt idx="291">
                  <c:v>2489.4972128753257</c:v>
                </c:pt>
                <c:pt idx="292">
                  <c:v>2461.2788771002611</c:v>
                </c:pt>
                <c:pt idx="293">
                  <c:v>1532.762016230696</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er>
        <c:ser>
          <c:idx val="4"/>
          <c:order val="4"/>
          <c:tx>
            <c:v>HHD Conservation / Flood Storage (including 619 AF dead storage)</c:v>
          </c:tx>
          <c:marker>
            <c:symbol val="none"/>
          </c:marker>
          <c:val>
            <c:numRef>
              <c:f>Summary!$AA$9:$AA$373</c:f>
              <c:numCache>
                <c:formatCode>0.0</c:formatCode>
                <c:ptCount val="365"/>
                <c:pt idx="0">
                  <c:v>878.00000000275577</c:v>
                </c:pt>
                <c:pt idx="1">
                  <c:v>872.00000000275577</c:v>
                </c:pt>
                <c:pt idx="2">
                  <c:v>1325.0000000036607</c:v>
                </c:pt>
                <c:pt idx="3">
                  <c:v>1479.0000000038199</c:v>
                </c:pt>
                <c:pt idx="4">
                  <c:v>1437.0000000037562</c:v>
                </c:pt>
                <c:pt idx="5">
                  <c:v>1158.8000000032514</c:v>
                </c:pt>
                <c:pt idx="6">
                  <c:v>792.760000002693</c:v>
                </c:pt>
                <c:pt idx="7">
                  <c:v>773.00000000245109</c:v>
                </c:pt>
                <c:pt idx="8">
                  <c:v>911.60000000278308</c:v>
                </c:pt>
                <c:pt idx="9">
                  <c:v>949.00000000283762</c:v>
                </c:pt>
                <c:pt idx="10">
                  <c:v>1099.0000000031923</c:v>
                </c:pt>
                <c:pt idx="11">
                  <c:v>2310.4000000057708</c:v>
                </c:pt>
                <c:pt idx="12">
                  <c:v>4212.2000000096587</c:v>
                </c:pt>
                <c:pt idx="13">
                  <c:v>3697.0000000087857</c:v>
                </c:pt>
                <c:pt idx="14">
                  <c:v>2236.0000000053728</c:v>
                </c:pt>
                <c:pt idx="15">
                  <c:v>1456.600000003788</c:v>
                </c:pt>
                <c:pt idx="16">
                  <c:v>1465.000000003788</c:v>
                </c:pt>
                <c:pt idx="17">
                  <c:v>1523.0000000038517</c:v>
                </c:pt>
                <c:pt idx="18">
                  <c:v>1271.0000000033697</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1033.6000000028921</c:v>
                </c:pt>
                <c:pt idx="29">
                  <c:v>1266.800000003597</c:v>
                </c:pt>
                <c:pt idx="30">
                  <c:v>1366.0000000036925</c:v>
                </c:pt>
                <c:pt idx="31">
                  <c:v>1437.0000000037562</c:v>
                </c:pt>
                <c:pt idx="32">
                  <c:v>1305.8000000033992</c:v>
                </c:pt>
                <c:pt idx="33">
                  <c:v>1045.1000000031627</c:v>
                </c:pt>
                <c:pt idx="34">
                  <c:v>801.5000000024761</c:v>
                </c:pt>
                <c:pt idx="35">
                  <c:v>684.00000000235104</c:v>
                </c:pt>
                <c:pt idx="36">
                  <c:v>867.20000000275581</c:v>
                </c:pt>
                <c:pt idx="37">
                  <c:v>1086.0000000031923</c:v>
                </c:pt>
                <c:pt idx="38">
                  <c:v>1112.0000000032219</c:v>
                </c:pt>
                <c:pt idx="39">
                  <c:v>1074.0000000029468</c:v>
                </c:pt>
                <c:pt idx="40">
                  <c:v>926.00000000257614</c:v>
                </c:pt>
                <c:pt idx="41">
                  <c:v>963.60000000307411</c:v>
                </c:pt>
                <c:pt idx="42">
                  <c:v>1257.0000000035971</c:v>
                </c:pt>
                <c:pt idx="43">
                  <c:v>1299.3000000033696</c:v>
                </c:pt>
                <c:pt idx="44">
                  <c:v>986.00000000310365</c:v>
                </c:pt>
                <c:pt idx="45">
                  <c:v>1061.0000000031628</c:v>
                </c:pt>
                <c:pt idx="46">
                  <c:v>1216.0000000035652</c:v>
                </c:pt>
                <c:pt idx="47">
                  <c:v>1409.0000000037562</c:v>
                </c:pt>
                <c:pt idx="48">
                  <c:v>1350.7000000034288</c:v>
                </c:pt>
                <c:pt idx="49">
                  <c:v>1135.4000000032515</c:v>
                </c:pt>
                <c:pt idx="50">
                  <c:v>1068.8000000031627</c:v>
                </c:pt>
                <c:pt idx="51">
                  <c:v>1358.0139481666026</c:v>
                </c:pt>
                <c:pt idx="52">
                  <c:v>1535.237166053882</c:v>
                </c:pt>
                <c:pt idx="53">
                  <c:v>1540.34908070452</c:v>
                </c:pt>
                <c:pt idx="54">
                  <c:v>1616.9017854244803</c:v>
                </c:pt>
                <c:pt idx="55">
                  <c:v>1747.1535008082774</c:v>
                </c:pt>
                <c:pt idx="56">
                  <c:v>1803.7017445916881</c:v>
                </c:pt>
                <c:pt idx="57">
                  <c:v>1758.0182344212601</c:v>
                </c:pt>
                <c:pt idx="58">
                  <c:v>1832.1181779161664</c:v>
                </c:pt>
                <c:pt idx="59">
                  <c:v>2023.000293770489</c:v>
                </c:pt>
                <c:pt idx="60">
                  <c:v>2171.6698678603921</c:v>
                </c:pt>
                <c:pt idx="61">
                  <c:v>2636.1206301780649</c:v>
                </c:pt>
                <c:pt idx="62">
                  <c:v>3612.6045532381413</c:v>
                </c:pt>
                <c:pt idx="63">
                  <c:v>4296.9400479286032</c:v>
                </c:pt>
                <c:pt idx="64">
                  <c:v>5184.7698090560025</c:v>
                </c:pt>
                <c:pt idx="65">
                  <c:v>5835.3056874330323</c:v>
                </c:pt>
                <c:pt idx="66">
                  <c:v>5864.1196965358949</c:v>
                </c:pt>
                <c:pt idx="67">
                  <c:v>11310.200517855781</c:v>
                </c:pt>
                <c:pt idx="68">
                  <c:v>12217.826235014527</c:v>
                </c:pt>
                <c:pt idx="69">
                  <c:v>11293.07040021279</c:v>
                </c:pt>
                <c:pt idx="70">
                  <c:v>11142.595995145661</c:v>
                </c:pt>
                <c:pt idx="71">
                  <c:v>10518.193620486831</c:v>
                </c:pt>
                <c:pt idx="72">
                  <c:v>11064.529681538112</c:v>
                </c:pt>
                <c:pt idx="73">
                  <c:v>11598.21364563848</c:v>
                </c:pt>
                <c:pt idx="74">
                  <c:v>12516.43669724834</c:v>
                </c:pt>
                <c:pt idx="75">
                  <c:v>13274.153699597158</c:v>
                </c:pt>
                <c:pt idx="76">
                  <c:v>13385.281600020462</c:v>
                </c:pt>
                <c:pt idx="77">
                  <c:v>13860.428913483865</c:v>
                </c:pt>
                <c:pt idx="78">
                  <c:v>14174.667241771514</c:v>
                </c:pt>
                <c:pt idx="79">
                  <c:v>14466.272605106777</c:v>
                </c:pt>
                <c:pt idx="80">
                  <c:v>14620.38319189649</c:v>
                </c:pt>
                <c:pt idx="81">
                  <c:v>14422.011376285081</c:v>
                </c:pt>
                <c:pt idx="82">
                  <c:v>14256.854438927174</c:v>
                </c:pt>
                <c:pt idx="83">
                  <c:v>14344.107869538126</c:v>
                </c:pt>
                <c:pt idx="84">
                  <c:v>14467.048212869722</c:v>
                </c:pt>
                <c:pt idx="85">
                  <c:v>14653.960571950662</c:v>
                </c:pt>
                <c:pt idx="86">
                  <c:v>15011.430253966628</c:v>
                </c:pt>
                <c:pt idx="87">
                  <c:v>15403.039931785503</c:v>
                </c:pt>
                <c:pt idx="88">
                  <c:v>15660.689329608942</c:v>
                </c:pt>
                <c:pt idx="89">
                  <c:v>15689.928800175143</c:v>
                </c:pt>
                <c:pt idx="90">
                  <c:v>15820.815160176102</c:v>
                </c:pt>
                <c:pt idx="91">
                  <c:v>15941.352291290168</c:v>
                </c:pt>
                <c:pt idx="92">
                  <c:v>16239.797495782066</c:v>
                </c:pt>
                <c:pt idx="93">
                  <c:v>16489.354637199729</c:v>
                </c:pt>
                <c:pt idx="94">
                  <c:v>16852.830842979121</c:v>
                </c:pt>
                <c:pt idx="95">
                  <c:v>19009.879670550872</c:v>
                </c:pt>
                <c:pt idx="96">
                  <c:v>20094.720590552868</c:v>
                </c:pt>
                <c:pt idx="97">
                  <c:v>20525.011163394593</c:v>
                </c:pt>
                <c:pt idx="98">
                  <c:v>21294.112211237174</c:v>
                </c:pt>
                <c:pt idx="99">
                  <c:v>21472.607435423623</c:v>
                </c:pt>
                <c:pt idx="100">
                  <c:v>21674.807013827703</c:v>
                </c:pt>
                <c:pt idx="101">
                  <c:v>21858.749323309974</c:v>
                </c:pt>
                <c:pt idx="102">
                  <c:v>21730.581270291106</c:v>
                </c:pt>
                <c:pt idx="103">
                  <c:v>21691.080391115865</c:v>
                </c:pt>
                <c:pt idx="104">
                  <c:v>21880.659223228948</c:v>
                </c:pt>
                <c:pt idx="105">
                  <c:v>22380.139761360868</c:v>
                </c:pt>
                <c:pt idx="106">
                  <c:v>23576.824673287698</c:v>
                </c:pt>
                <c:pt idx="107">
                  <c:v>24232.35500206134</c:v>
                </c:pt>
                <c:pt idx="108">
                  <c:v>24249.290656280311</c:v>
                </c:pt>
                <c:pt idx="109">
                  <c:v>23737.205904210139</c:v>
                </c:pt>
                <c:pt idx="110">
                  <c:v>23432.511165595482</c:v>
                </c:pt>
                <c:pt idx="111">
                  <c:v>23828.457078185857</c:v>
                </c:pt>
                <c:pt idx="112">
                  <c:v>24178</c:v>
                </c:pt>
                <c:pt idx="113">
                  <c:v>24178</c:v>
                </c:pt>
                <c:pt idx="114">
                  <c:v>24178</c:v>
                </c:pt>
                <c:pt idx="115">
                  <c:v>24178</c:v>
                </c:pt>
                <c:pt idx="116">
                  <c:v>24178</c:v>
                </c:pt>
                <c:pt idx="117">
                  <c:v>24178</c:v>
                </c:pt>
                <c:pt idx="118">
                  <c:v>24178</c:v>
                </c:pt>
                <c:pt idx="119">
                  <c:v>24178</c:v>
                </c:pt>
                <c:pt idx="120">
                  <c:v>24178</c:v>
                </c:pt>
                <c:pt idx="121">
                  <c:v>24178</c:v>
                </c:pt>
                <c:pt idx="122">
                  <c:v>24178</c:v>
                </c:pt>
                <c:pt idx="123">
                  <c:v>24178</c:v>
                </c:pt>
                <c:pt idx="124">
                  <c:v>24178</c:v>
                </c:pt>
                <c:pt idx="125">
                  <c:v>24178</c:v>
                </c:pt>
                <c:pt idx="126">
                  <c:v>24178</c:v>
                </c:pt>
                <c:pt idx="127">
                  <c:v>24178</c:v>
                </c:pt>
                <c:pt idx="128">
                  <c:v>24178</c:v>
                </c:pt>
                <c:pt idx="129">
                  <c:v>24725.982618838862</c:v>
                </c:pt>
                <c:pt idx="130">
                  <c:v>24984.463131839519</c:v>
                </c:pt>
                <c:pt idx="131">
                  <c:v>25016.615491839762</c:v>
                </c:pt>
                <c:pt idx="132">
                  <c:v>25266.6501379941</c:v>
                </c:pt>
                <c:pt idx="133">
                  <c:v>25475.193739706818</c:v>
                </c:pt>
                <c:pt idx="134">
                  <c:v>25752.701643433662</c:v>
                </c:pt>
                <c:pt idx="135">
                  <c:v>25964.092741783956</c:v>
                </c:pt>
                <c:pt idx="136">
                  <c:v>25903.531076394022</c:v>
                </c:pt>
                <c:pt idx="137">
                  <c:v>25798.251150344295</c:v>
                </c:pt>
                <c:pt idx="138">
                  <c:v>25892.194806152838</c:v>
                </c:pt>
                <c:pt idx="139">
                  <c:v>26052.505442523252</c:v>
                </c:pt>
                <c:pt idx="140">
                  <c:v>26323.889121622116</c:v>
                </c:pt>
                <c:pt idx="141">
                  <c:v>26553.454062820212</c:v>
                </c:pt>
                <c:pt idx="142">
                  <c:v>26984.921559727089</c:v>
                </c:pt>
                <c:pt idx="143">
                  <c:v>27263.806527660821</c:v>
                </c:pt>
                <c:pt idx="144">
                  <c:v>27319.74540090224</c:v>
                </c:pt>
                <c:pt idx="145">
                  <c:v>27657.622973876089</c:v>
                </c:pt>
                <c:pt idx="146">
                  <c:v>27725.931823404684</c:v>
                </c:pt>
                <c:pt idx="147">
                  <c:v>27636.586246853578</c:v>
                </c:pt>
                <c:pt idx="148">
                  <c:v>27387.709303990283</c:v>
                </c:pt>
                <c:pt idx="149">
                  <c:v>27206.243476634427</c:v>
                </c:pt>
                <c:pt idx="150">
                  <c:v>27115.561315344403</c:v>
                </c:pt>
                <c:pt idx="151">
                  <c:v>26876.077307344669</c:v>
                </c:pt>
                <c:pt idx="152">
                  <c:v>26694.107995330472</c:v>
                </c:pt>
                <c:pt idx="153">
                  <c:v>26467.245125892015</c:v>
                </c:pt>
                <c:pt idx="154">
                  <c:v>26207.010705204939</c:v>
                </c:pt>
                <c:pt idx="155">
                  <c:v>26072.881218149902</c:v>
                </c:pt>
                <c:pt idx="156">
                  <c:v>26099.953928883402</c:v>
                </c:pt>
                <c:pt idx="157">
                  <c:v>25949.290011553036</c:v>
                </c:pt>
                <c:pt idx="158">
                  <c:v>25809.888096625233</c:v>
                </c:pt>
                <c:pt idx="159">
                  <c:v>25619.558799719853</c:v>
                </c:pt>
                <c:pt idx="160">
                  <c:v>25408.730388277156</c:v>
                </c:pt>
                <c:pt idx="161">
                  <c:v>25115.910094671464</c:v>
                </c:pt>
                <c:pt idx="162">
                  <c:v>24846.905203796621</c:v>
                </c:pt>
                <c:pt idx="163">
                  <c:v>24886.102066406373</c:v>
                </c:pt>
                <c:pt idx="164">
                  <c:v>24768.288866713145</c:v>
                </c:pt>
                <c:pt idx="165">
                  <c:v>24682.939803510486</c:v>
                </c:pt>
                <c:pt idx="166">
                  <c:v>24699.551708348135</c:v>
                </c:pt>
                <c:pt idx="167">
                  <c:v>24677.814800119497</c:v>
                </c:pt>
                <c:pt idx="168">
                  <c:v>24667.788000119494</c:v>
                </c:pt>
                <c:pt idx="169">
                  <c:v>24349.588000119234</c:v>
                </c:pt>
                <c:pt idx="170">
                  <c:v>24258.388000119237</c:v>
                </c:pt>
                <c:pt idx="171">
                  <c:v>24033.388000116887</c:v>
                </c:pt>
                <c:pt idx="172">
                  <c:v>24287.688000116887</c:v>
                </c:pt>
                <c:pt idx="173">
                  <c:v>24260.988000116886</c:v>
                </c:pt>
                <c:pt idx="174">
                  <c:v>24143.688000116377</c:v>
                </c:pt>
                <c:pt idx="175">
                  <c:v>24049.788000116117</c:v>
                </c:pt>
                <c:pt idx="176">
                  <c:v>23934.488000115864</c:v>
                </c:pt>
                <c:pt idx="177">
                  <c:v>23876.18800011561</c:v>
                </c:pt>
                <c:pt idx="178">
                  <c:v>23864.338000114578</c:v>
                </c:pt>
                <c:pt idx="179">
                  <c:v>24007.888000114577</c:v>
                </c:pt>
                <c:pt idx="180">
                  <c:v>24040.238000115605</c:v>
                </c:pt>
                <c:pt idx="181">
                  <c:v>24128.18800011561</c:v>
                </c:pt>
                <c:pt idx="182">
                  <c:v>24204.93800011561</c:v>
                </c:pt>
                <c:pt idx="183">
                  <c:v>24126.738000114579</c:v>
                </c:pt>
                <c:pt idx="184">
                  <c:v>24071.238000114325</c:v>
                </c:pt>
                <c:pt idx="185">
                  <c:v>23981.938000115355</c:v>
                </c:pt>
                <c:pt idx="186">
                  <c:v>23859.338000114323</c:v>
                </c:pt>
                <c:pt idx="187">
                  <c:v>23821.180485031873</c:v>
                </c:pt>
                <c:pt idx="188">
                  <c:v>23759.247319330614</c:v>
                </c:pt>
                <c:pt idx="189">
                  <c:v>23664.211204482905</c:v>
                </c:pt>
                <c:pt idx="190">
                  <c:v>23552.074736485534</c:v>
                </c:pt>
                <c:pt idx="191">
                  <c:v>23472.51675426204</c:v>
                </c:pt>
                <c:pt idx="192">
                  <c:v>23415.144864916445</c:v>
                </c:pt>
                <c:pt idx="193">
                  <c:v>23379.40883668013</c:v>
                </c:pt>
                <c:pt idx="194">
                  <c:v>23321.859721125598</c:v>
                </c:pt>
                <c:pt idx="195">
                  <c:v>23231.763721123316</c:v>
                </c:pt>
                <c:pt idx="196">
                  <c:v>23142.367721124079</c:v>
                </c:pt>
                <c:pt idx="197">
                  <c:v>23053.771721123063</c:v>
                </c:pt>
                <c:pt idx="198">
                  <c:v>22963.903721122821</c:v>
                </c:pt>
                <c:pt idx="199">
                  <c:v>22915.263721123825</c:v>
                </c:pt>
                <c:pt idx="200">
                  <c:v>22824.023721122569</c:v>
                </c:pt>
                <c:pt idx="201">
                  <c:v>22754.290521123577</c:v>
                </c:pt>
                <c:pt idx="202">
                  <c:v>22650.316521121305</c:v>
                </c:pt>
                <c:pt idx="203">
                  <c:v>22829.942521123325</c:v>
                </c:pt>
                <c:pt idx="204">
                  <c:v>22957.30252112358</c:v>
                </c:pt>
                <c:pt idx="205">
                  <c:v>22938.694521122321</c:v>
                </c:pt>
                <c:pt idx="206">
                  <c:v>22889.620521121302</c:v>
                </c:pt>
                <c:pt idx="207">
                  <c:v>22829.112521121308</c:v>
                </c:pt>
                <c:pt idx="208">
                  <c:v>22711.946521122074</c:v>
                </c:pt>
                <c:pt idx="209">
                  <c:v>22613.280537174483</c:v>
                </c:pt>
                <c:pt idx="210">
                  <c:v>22476.310937174239</c:v>
                </c:pt>
                <c:pt idx="211">
                  <c:v>22291.214937173987</c:v>
                </c:pt>
                <c:pt idx="212">
                  <c:v>22107.584937172745</c:v>
                </c:pt>
                <c:pt idx="213">
                  <c:v>21970.929217172503</c:v>
                </c:pt>
                <c:pt idx="214">
                  <c:v>21770.165537172259</c:v>
                </c:pt>
                <c:pt idx="215">
                  <c:v>21590.311566632219</c:v>
                </c:pt>
                <c:pt idx="216">
                  <c:v>21382.603566630984</c:v>
                </c:pt>
                <c:pt idx="217">
                  <c:v>21176.107703098562</c:v>
                </c:pt>
                <c:pt idx="218">
                  <c:v>20948.199703098326</c:v>
                </c:pt>
                <c:pt idx="219">
                  <c:v>20706.623703098085</c:v>
                </c:pt>
                <c:pt idx="220">
                  <c:v>20396.688503096862</c:v>
                </c:pt>
                <c:pt idx="221">
                  <c:v>20192.679755096622</c:v>
                </c:pt>
                <c:pt idx="222">
                  <c:v>19935.643395095402</c:v>
                </c:pt>
                <c:pt idx="223">
                  <c:v>19753.707035094194</c:v>
                </c:pt>
                <c:pt idx="224">
                  <c:v>19829.531035094202</c:v>
                </c:pt>
                <c:pt idx="225">
                  <c:v>19659.594675094937</c:v>
                </c:pt>
                <c:pt idx="226">
                  <c:v>19485.075089628612</c:v>
                </c:pt>
                <c:pt idx="227">
                  <c:v>19228.765089629342</c:v>
                </c:pt>
                <c:pt idx="228">
                  <c:v>18925.489089625989</c:v>
                </c:pt>
                <c:pt idx="229">
                  <c:v>18470.879146381201</c:v>
                </c:pt>
                <c:pt idx="230">
                  <c:v>18381.769146381201</c:v>
                </c:pt>
                <c:pt idx="231">
                  <c:v>18114.830146379783</c:v>
                </c:pt>
                <c:pt idx="232">
                  <c:v>17997.7250463786</c:v>
                </c:pt>
                <c:pt idx="233">
                  <c:v>17789.528146379096</c:v>
                </c:pt>
                <c:pt idx="234">
                  <c:v>17711.790146376981</c:v>
                </c:pt>
                <c:pt idx="235">
                  <c:v>17494.690946376526</c:v>
                </c:pt>
                <c:pt idx="236">
                  <c:v>17326.843346374433</c:v>
                </c:pt>
                <c:pt idx="237">
                  <c:v>17159.088346373988</c:v>
                </c:pt>
                <c:pt idx="238">
                  <c:v>16991.383446373769</c:v>
                </c:pt>
                <c:pt idx="239">
                  <c:v>16823.582336308162</c:v>
                </c:pt>
                <c:pt idx="240">
                  <c:v>16648.357673257571</c:v>
                </c:pt>
                <c:pt idx="241">
                  <c:v>16596.843673257572</c:v>
                </c:pt>
                <c:pt idx="242">
                  <c:v>16449.329673257354</c:v>
                </c:pt>
                <c:pt idx="243">
                  <c:v>16238.31567325622</c:v>
                </c:pt>
                <c:pt idx="244">
                  <c:v>16017.826144208382</c:v>
                </c:pt>
                <c:pt idx="245">
                  <c:v>15986.67510113712</c:v>
                </c:pt>
                <c:pt idx="246">
                  <c:v>15823.573504932854</c:v>
                </c:pt>
                <c:pt idx="247">
                  <c:v>15536.314664180241</c:v>
                </c:pt>
                <c:pt idx="248">
                  <c:v>15390.330386591359</c:v>
                </c:pt>
                <c:pt idx="249">
                  <c:v>15103.846211443222</c:v>
                </c:pt>
                <c:pt idx="250">
                  <c:v>14818.511555655758</c:v>
                </c:pt>
                <c:pt idx="251">
                  <c:v>14627.296802681589</c:v>
                </c:pt>
                <c:pt idx="252">
                  <c:v>14380.425436135309</c:v>
                </c:pt>
                <c:pt idx="253">
                  <c:v>14101.659436134212</c:v>
                </c:pt>
                <c:pt idx="254">
                  <c:v>13828.768499079659</c:v>
                </c:pt>
                <c:pt idx="255">
                  <c:v>13525.016689176549</c:v>
                </c:pt>
                <c:pt idx="256">
                  <c:v>13260.363591744946</c:v>
                </c:pt>
                <c:pt idx="257">
                  <c:v>12980.804017890301</c:v>
                </c:pt>
                <c:pt idx="258">
                  <c:v>12703.46678113813</c:v>
                </c:pt>
                <c:pt idx="259">
                  <c:v>12411.618078325288</c:v>
                </c:pt>
                <c:pt idx="260">
                  <c:v>12114.974621303543</c:v>
                </c:pt>
                <c:pt idx="261">
                  <c:v>11868.658226256706</c:v>
                </c:pt>
                <c:pt idx="262">
                  <c:v>11616.795360909182</c:v>
                </c:pt>
                <c:pt idx="263">
                  <c:v>11492.491733896399</c:v>
                </c:pt>
                <c:pt idx="264">
                  <c:v>11445.882363217972</c:v>
                </c:pt>
                <c:pt idx="265">
                  <c:v>11267.383244741526</c:v>
                </c:pt>
                <c:pt idx="266">
                  <c:v>10962.540358427446</c:v>
                </c:pt>
                <c:pt idx="267">
                  <c:v>10618.123943268205</c:v>
                </c:pt>
                <c:pt idx="268">
                  <c:v>10353.223732738772</c:v>
                </c:pt>
                <c:pt idx="269">
                  <c:v>10074.334769100307</c:v>
                </c:pt>
                <c:pt idx="270">
                  <c:v>9769.8847690988532</c:v>
                </c:pt>
                <c:pt idx="271">
                  <c:v>9590.7757690974213</c:v>
                </c:pt>
                <c:pt idx="272">
                  <c:v>9528.8449048641232</c:v>
                </c:pt>
                <c:pt idx="273">
                  <c:v>9404.331719052243</c:v>
                </c:pt>
                <c:pt idx="274">
                  <c:v>9178.4769481844778</c:v>
                </c:pt>
                <c:pt idx="275">
                  <c:v>8949.2850672345339</c:v>
                </c:pt>
                <c:pt idx="276">
                  <c:v>8708.9730672332225</c:v>
                </c:pt>
                <c:pt idx="277">
                  <c:v>8466.6610672312054</c:v>
                </c:pt>
                <c:pt idx="278">
                  <c:v>8215.0510672299461</c:v>
                </c:pt>
                <c:pt idx="279">
                  <c:v>8053.2190672285724</c:v>
                </c:pt>
                <c:pt idx="280">
                  <c:v>7810.3884925013208</c:v>
                </c:pt>
                <c:pt idx="281">
                  <c:v>7493.5114541913845</c:v>
                </c:pt>
                <c:pt idx="282">
                  <c:v>7113.2251341899955</c:v>
                </c:pt>
                <c:pt idx="283">
                  <c:v>6990.7621429530354</c:v>
                </c:pt>
                <c:pt idx="284">
                  <c:v>6806.2281429512896</c:v>
                </c:pt>
                <c:pt idx="285">
                  <c:v>6583.1193841253107</c:v>
                </c:pt>
                <c:pt idx="286">
                  <c:v>6328.3037806458142</c:v>
                </c:pt>
                <c:pt idx="287">
                  <c:v>6042.7157806439045</c:v>
                </c:pt>
                <c:pt idx="288">
                  <c:v>5850.240169241315</c:v>
                </c:pt>
                <c:pt idx="289">
                  <c:v>5723.2199611561218</c:v>
                </c:pt>
                <c:pt idx="290">
                  <c:v>6034.431961156035</c:v>
                </c:pt>
                <c:pt idx="291">
                  <c:v>6074.8553871456152</c:v>
                </c:pt>
                <c:pt idx="292">
                  <c:v>5906.67372291844</c:v>
                </c:pt>
                <c:pt idx="293">
                  <c:v>5573.5905837862492</c:v>
                </c:pt>
                <c:pt idx="294">
                  <c:v>7342.9526000167998</c:v>
                </c:pt>
                <c:pt idx="295">
                  <c:v>8182.6526000177755</c:v>
                </c:pt>
                <c:pt idx="296">
                  <c:v>8216.0254200176259</c:v>
                </c:pt>
                <c:pt idx="297">
                  <c:v>7129.0254200150675</c:v>
                </c:pt>
                <c:pt idx="298">
                  <c:v>6394.6254200134263</c:v>
                </c:pt>
                <c:pt idx="299">
                  <c:v>5959.0254200125164</c:v>
                </c:pt>
                <c:pt idx="300">
                  <c:v>4687.0254200105082</c:v>
                </c:pt>
                <c:pt idx="301">
                  <c:v>3497.0254200081959</c:v>
                </c:pt>
                <c:pt idx="302">
                  <c:v>2168.0254200052877</c:v>
                </c:pt>
                <c:pt idx="303">
                  <c:v>1640.0254200042216</c:v>
                </c:pt>
                <c:pt idx="304">
                  <c:v>1717.0254200042898</c:v>
                </c:pt>
                <c:pt idx="305">
                  <c:v>1444.0254200037805</c:v>
                </c:pt>
                <c:pt idx="306">
                  <c:v>1547.5254200041193</c:v>
                </c:pt>
                <c:pt idx="307">
                  <c:v>2758.0254200068134</c:v>
                </c:pt>
                <c:pt idx="308">
                  <c:v>2971.2254200073453</c:v>
                </c:pt>
                <c:pt idx="309">
                  <c:v>2543.6254200059675</c:v>
                </c:pt>
                <c:pt idx="310">
                  <c:v>2341.0254200054424</c:v>
                </c:pt>
                <c:pt idx="311">
                  <c:v>2001.0254200048309</c:v>
                </c:pt>
                <c:pt idx="312">
                  <c:v>2042.0254200048673</c:v>
                </c:pt>
                <c:pt idx="313">
                  <c:v>2202.0254200053264</c:v>
                </c:pt>
                <c:pt idx="314">
                  <c:v>1608.0254200041875</c:v>
                </c:pt>
                <c:pt idx="315">
                  <c:v>903.22542000277554</c:v>
                </c:pt>
                <c:pt idx="316">
                  <c:v>784.02542000266635</c:v>
                </c:pt>
                <c:pt idx="317">
                  <c:v>1011.0254200031256</c:v>
                </c:pt>
                <c:pt idx="318">
                  <c:v>1024.0254200028846</c:v>
                </c:pt>
                <c:pt idx="319">
                  <c:v>927.12542000256849</c:v>
                </c:pt>
                <c:pt idx="320">
                  <c:v>716.0254200023935</c:v>
                </c:pt>
                <c:pt idx="321">
                  <c:v>619.02542000229346</c:v>
                </c:pt>
                <c:pt idx="322">
                  <c:v>641.02542000210701</c:v>
                </c:pt>
                <c:pt idx="323">
                  <c:v>674.12542000234339</c:v>
                </c:pt>
                <c:pt idx="324">
                  <c:v>999.02542000285735</c:v>
                </c:pt>
                <c:pt idx="325">
                  <c:v>1625.0254200042216</c:v>
                </c:pt>
                <c:pt idx="326">
                  <c:v>2496.6254200059266</c:v>
                </c:pt>
                <c:pt idx="327">
                  <c:v>2195.2254200053262</c:v>
                </c:pt>
                <c:pt idx="328">
                  <c:v>8025.3254200174006</c:v>
                </c:pt>
                <c:pt idx="329">
                  <c:v>11673.025420026586</c:v>
                </c:pt>
                <c:pt idx="330">
                  <c:v>6574.0254200140371</c:v>
                </c:pt>
                <c:pt idx="331">
                  <c:v>2287.025420005722</c:v>
                </c:pt>
                <c:pt idx="332">
                  <c:v>727.02542000261178</c:v>
                </c:pt>
                <c:pt idx="333">
                  <c:v>900.82542000277545</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er>
        <c:ser>
          <c:idx val="5"/>
          <c:order val="5"/>
          <c:tx>
            <c:v>Total 1135 + Resource Water</c:v>
          </c:tx>
          <c:marker>
            <c:symbol val="none"/>
          </c:marker>
          <c:val>
            <c:numRef>
              <c:f>Summary!$W$9:$W$373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243.93332377046681</c:v>
                </c:pt>
                <c:pt idx="113">
                  <c:v>1628.1235592607045</c:v>
                </c:pt>
                <c:pt idx="114">
                  <c:v>2547.5998048446745</c:v>
                </c:pt>
                <c:pt idx="115">
                  <c:v>2776.0760504272585</c:v>
                </c:pt>
                <c:pt idx="116">
                  <c:v>2663.542189518168</c:v>
                </c:pt>
                <c:pt idx="117">
                  <c:v>2724.8503826150773</c:v>
                </c:pt>
                <c:pt idx="118">
                  <c:v>2924.6580897997701</c:v>
                </c:pt>
                <c:pt idx="119">
                  <c:v>2995.9655197765096</c:v>
                </c:pt>
                <c:pt idx="120">
                  <c:v>3169.2737838143876</c:v>
                </c:pt>
                <c:pt idx="121">
                  <c:v>3151.1383303515577</c:v>
                </c:pt>
                <c:pt idx="122">
                  <c:v>2773.8907513341946</c:v>
                </c:pt>
                <c:pt idx="123">
                  <c:v>2450.0010662849636</c:v>
                </c:pt>
                <c:pt idx="124">
                  <c:v>2655.3534792241262</c:v>
                </c:pt>
                <c:pt idx="125">
                  <c:v>3143.7936708318884</c:v>
                </c:pt>
                <c:pt idx="126">
                  <c:v>3386.4338624384582</c:v>
                </c:pt>
                <c:pt idx="127">
                  <c:v>3811.3576303365044</c:v>
                </c:pt>
                <c:pt idx="128">
                  <c:v>4768.2163341081068</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15000</c:v>
                </c:pt>
                <c:pt idx="169">
                  <c:v>15000</c:v>
                </c:pt>
                <c:pt idx="170">
                  <c:v>15000</c:v>
                </c:pt>
                <c:pt idx="171">
                  <c:v>15000</c:v>
                </c:pt>
                <c:pt idx="172">
                  <c:v>14801.7</c:v>
                </c:pt>
                <c:pt idx="173">
                  <c:v>14603.400000000001</c:v>
                </c:pt>
                <c:pt idx="174">
                  <c:v>14405.100000000002</c:v>
                </c:pt>
                <c:pt idx="175">
                  <c:v>14206.800000000003</c:v>
                </c:pt>
                <c:pt idx="176">
                  <c:v>14008.500000000004</c:v>
                </c:pt>
                <c:pt idx="177">
                  <c:v>13810.200000000004</c:v>
                </c:pt>
                <c:pt idx="178">
                  <c:v>13711.050000000005</c:v>
                </c:pt>
                <c:pt idx="179">
                  <c:v>13611.900000000005</c:v>
                </c:pt>
                <c:pt idx="180">
                  <c:v>13512.750000000005</c:v>
                </c:pt>
                <c:pt idx="181">
                  <c:v>13413.600000000006</c:v>
                </c:pt>
                <c:pt idx="182">
                  <c:v>13314.450000000006</c:v>
                </c:pt>
                <c:pt idx="183">
                  <c:v>13314.450000000006</c:v>
                </c:pt>
                <c:pt idx="184">
                  <c:v>13314.450000000006</c:v>
                </c:pt>
                <c:pt idx="185">
                  <c:v>13314.450000000006</c:v>
                </c:pt>
                <c:pt idx="186">
                  <c:v>13314.450000000006</c:v>
                </c:pt>
                <c:pt idx="187">
                  <c:v>13314.450000000006</c:v>
                </c:pt>
                <c:pt idx="188">
                  <c:v>13314.450000000006</c:v>
                </c:pt>
                <c:pt idx="189">
                  <c:v>13314.450000000006</c:v>
                </c:pt>
                <c:pt idx="190">
                  <c:v>13314.450000000006</c:v>
                </c:pt>
                <c:pt idx="191">
                  <c:v>13314.450000000006</c:v>
                </c:pt>
                <c:pt idx="192">
                  <c:v>13314.450000000006</c:v>
                </c:pt>
                <c:pt idx="193">
                  <c:v>13314.450000000006</c:v>
                </c:pt>
                <c:pt idx="194">
                  <c:v>13314.450000000006</c:v>
                </c:pt>
                <c:pt idx="195">
                  <c:v>13314.450000000006</c:v>
                </c:pt>
                <c:pt idx="196">
                  <c:v>13314.450000000006</c:v>
                </c:pt>
                <c:pt idx="197">
                  <c:v>13314.450000000006</c:v>
                </c:pt>
                <c:pt idx="198">
                  <c:v>13314.450000000006</c:v>
                </c:pt>
                <c:pt idx="199">
                  <c:v>13314.450000000006</c:v>
                </c:pt>
                <c:pt idx="200">
                  <c:v>13314.450000000006</c:v>
                </c:pt>
                <c:pt idx="201">
                  <c:v>13314.450000000006</c:v>
                </c:pt>
                <c:pt idx="202">
                  <c:v>13314.450000000006</c:v>
                </c:pt>
                <c:pt idx="203">
                  <c:v>13314.450000000006</c:v>
                </c:pt>
                <c:pt idx="204">
                  <c:v>13314.450000000006</c:v>
                </c:pt>
                <c:pt idx="205">
                  <c:v>13314.450000000006</c:v>
                </c:pt>
                <c:pt idx="206">
                  <c:v>13314.450000000006</c:v>
                </c:pt>
                <c:pt idx="207">
                  <c:v>13314.450000000006</c:v>
                </c:pt>
                <c:pt idx="208">
                  <c:v>13314.450000000006</c:v>
                </c:pt>
                <c:pt idx="209">
                  <c:v>13314.450000000006</c:v>
                </c:pt>
                <c:pt idx="210">
                  <c:v>13314.450000000006</c:v>
                </c:pt>
                <c:pt idx="211">
                  <c:v>13314.450000000006</c:v>
                </c:pt>
                <c:pt idx="212">
                  <c:v>13314.450000000006</c:v>
                </c:pt>
                <c:pt idx="213">
                  <c:v>13314.450000000006</c:v>
                </c:pt>
                <c:pt idx="214">
                  <c:v>13314.450000000006</c:v>
                </c:pt>
                <c:pt idx="215">
                  <c:v>13314.450000000006</c:v>
                </c:pt>
                <c:pt idx="216">
                  <c:v>13314.450000000006</c:v>
                </c:pt>
                <c:pt idx="217">
                  <c:v>13314.450000000006</c:v>
                </c:pt>
                <c:pt idx="218">
                  <c:v>13314.450000000006</c:v>
                </c:pt>
                <c:pt idx="219">
                  <c:v>13314.450000000006</c:v>
                </c:pt>
                <c:pt idx="220">
                  <c:v>13314.450000000006</c:v>
                </c:pt>
                <c:pt idx="221">
                  <c:v>13314.450000000006</c:v>
                </c:pt>
                <c:pt idx="222">
                  <c:v>13314.450000000006</c:v>
                </c:pt>
                <c:pt idx="223">
                  <c:v>13314.450000000006</c:v>
                </c:pt>
                <c:pt idx="224">
                  <c:v>13314.450000000006</c:v>
                </c:pt>
                <c:pt idx="225">
                  <c:v>13314.450000000006</c:v>
                </c:pt>
                <c:pt idx="226">
                  <c:v>13314.450000000006</c:v>
                </c:pt>
                <c:pt idx="227">
                  <c:v>13314.450000000006</c:v>
                </c:pt>
                <c:pt idx="228">
                  <c:v>13314.450000000006</c:v>
                </c:pt>
                <c:pt idx="229">
                  <c:v>13314.450000000006</c:v>
                </c:pt>
                <c:pt idx="230">
                  <c:v>13314.450000000006</c:v>
                </c:pt>
                <c:pt idx="231">
                  <c:v>13241.079000000007</c:v>
                </c:pt>
                <c:pt idx="232">
                  <c:v>13101.674100000007</c:v>
                </c:pt>
                <c:pt idx="233">
                  <c:v>12951.561000000007</c:v>
                </c:pt>
                <c:pt idx="234">
                  <c:v>12784.989000000007</c:v>
                </c:pt>
                <c:pt idx="235">
                  <c:v>12611.278200000006</c:v>
                </c:pt>
                <c:pt idx="236">
                  <c:v>12466.915800000006</c:v>
                </c:pt>
                <c:pt idx="237">
                  <c:v>12298.360800000006</c:v>
                </c:pt>
                <c:pt idx="238">
                  <c:v>12100.655700000007</c:v>
                </c:pt>
                <c:pt idx="239">
                  <c:v>11897.001600000007</c:v>
                </c:pt>
                <c:pt idx="240">
                  <c:v>11723.687400000006</c:v>
                </c:pt>
                <c:pt idx="241">
                  <c:v>11723.687400000006</c:v>
                </c:pt>
                <c:pt idx="242">
                  <c:v>11723.687400000006</c:v>
                </c:pt>
                <c:pt idx="243">
                  <c:v>11723.687400000006</c:v>
                </c:pt>
                <c:pt idx="244">
                  <c:v>11723.687400000006</c:v>
                </c:pt>
                <c:pt idx="245">
                  <c:v>11723.687400000006</c:v>
                </c:pt>
                <c:pt idx="246">
                  <c:v>11723.687400000006</c:v>
                </c:pt>
                <c:pt idx="247">
                  <c:v>11723.687400000006</c:v>
                </c:pt>
                <c:pt idx="248">
                  <c:v>11723.687400000006</c:v>
                </c:pt>
                <c:pt idx="249">
                  <c:v>11723.687400000006</c:v>
                </c:pt>
                <c:pt idx="250">
                  <c:v>11723.687400000006</c:v>
                </c:pt>
                <c:pt idx="251">
                  <c:v>12624.537400000007</c:v>
                </c:pt>
                <c:pt idx="252">
                  <c:v>12525.387400000007</c:v>
                </c:pt>
                <c:pt idx="253">
                  <c:v>12426.237400000007</c:v>
                </c:pt>
                <c:pt idx="254">
                  <c:v>12327.087400000008</c:v>
                </c:pt>
                <c:pt idx="255">
                  <c:v>12227.937400000008</c:v>
                </c:pt>
                <c:pt idx="256">
                  <c:v>12128.787400000008</c:v>
                </c:pt>
                <c:pt idx="257">
                  <c:v>12029.637400000009</c:v>
                </c:pt>
                <c:pt idx="258">
                  <c:v>11930.487400000009</c:v>
                </c:pt>
                <c:pt idx="259">
                  <c:v>11831.337400000009</c:v>
                </c:pt>
                <c:pt idx="260">
                  <c:v>11732.18740000001</c:v>
                </c:pt>
                <c:pt idx="261">
                  <c:v>11533.887400000011</c:v>
                </c:pt>
                <c:pt idx="262">
                  <c:v>11236.43740000001</c:v>
                </c:pt>
                <c:pt idx="263">
                  <c:v>10839.837400000009</c:v>
                </c:pt>
                <c:pt idx="264">
                  <c:v>10344.087400000009</c:v>
                </c:pt>
                <c:pt idx="265">
                  <c:v>9947.4874000000091</c:v>
                </c:pt>
                <c:pt idx="266">
                  <c:v>9650.0374000000083</c:v>
                </c:pt>
                <c:pt idx="267">
                  <c:v>9352.5874000000076</c:v>
                </c:pt>
                <c:pt idx="268">
                  <c:v>9005.562400000008</c:v>
                </c:pt>
                <c:pt idx="269">
                  <c:v>8658.5374000000083</c:v>
                </c:pt>
                <c:pt idx="270">
                  <c:v>8261.937400000008</c:v>
                </c:pt>
                <c:pt idx="271">
                  <c:v>7815.7624000000078</c:v>
                </c:pt>
                <c:pt idx="272">
                  <c:v>7369.5874000000076</c:v>
                </c:pt>
                <c:pt idx="273">
                  <c:v>6923.4124000000074</c:v>
                </c:pt>
                <c:pt idx="274">
                  <c:v>6526.8124000000071</c:v>
                </c:pt>
                <c:pt idx="275">
                  <c:v>6150.0424000000066</c:v>
                </c:pt>
                <c:pt idx="276">
                  <c:v>5793.102400000007</c:v>
                </c:pt>
                <c:pt idx="277">
                  <c:v>5436.1624000000074</c:v>
                </c:pt>
                <c:pt idx="278">
                  <c:v>5079.2224000000078</c:v>
                </c:pt>
                <c:pt idx="279">
                  <c:v>5583.4724000000078</c:v>
                </c:pt>
                <c:pt idx="280">
                  <c:v>5087.7224000000078</c:v>
                </c:pt>
                <c:pt idx="281">
                  <c:v>4691.1224000000075</c:v>
                </c:pt>
                <c:pt idx="282">
                  <c:v>4294.5224000000071</c:v>
                </c:pt>
                <c:pt idx="283">
                  <c:v>3897.9224000000072</c:v>
                </c:pt>
                <c:pt idx="284">
                  <c:v>3600.4724000000074</c:v>
                </c:pt>
                <c:pt idx="285">
                  <c:v>3253.4474000000073</c:v>
                </c:pt>
                <c:pt idx="286">
                  <c:v>2856.8474000000074</c:v>
                </c:pt>
                <c:pt idx="287">
                  <c:v>2460.2474000000075</c:v>
                </c:pt>
                <c:pt idx="288">
                  <c:v>2063.6474000000076</c:v>
                </c:pt>
                <c:pt idx="289">
                  <c:v>1667.0474000000077</c:v>
                </c:pt>
                <c:pt idx="290">
                  <c:v>1270.4474000000077</c:v>
                </c:pt>
                <c:pt idx="291">
                  <c:v>873.84740000000772</c:v>
                </c:pt>
                <c:pt idx="292">
                  <c:v>477.2474000000077</c:v>
                </c:pt>
                <c:pt idx="293">
                  <c:v>980.64740000000768</c:v>
                </c:pt>
                <c:pt idx="294">
                  <c:v>584.04740000000766</c:v>
                </c:pt>
                <c:pt idx="295">
                  <c:v>187.44740000000763</c:v>
                </c:pt>
                <c:pt idx="296">
                  <c:v>-2.5419999992379871E-2</c:v>
                </c:pt>
                <c:pt idx="297">
                  <c:v>-2.5419999992379871E-2</c:v>
                </c:pt>
                <c:pt idx="298">
                  <c:v>-2.5419999992379871E-2</c:v>
                </c:pt>
                <c:pt idx="299">
                  <c:v>-2.5419999992379871E-2</c:v>
                </c:pt>
                <c:pt idx="300">
                  <c:v>-2.5419999992379871E-2</c:v>
                </c:pt>
                <c:pt idx="301">
                  <c:v>-2.5419999992379871E-2</c:v>
                </c:pt>
                <c:pt idx="302">
                  <c:v>-2.5419999992379871E-2</c:v>
                </c:pt>
                <c:pt idx="303">
                  <c:v>-2.5419999992379871E-2</c:v>
                </c:pt>
                <c:pt idx="304">
                  <c:v>-2.5419999992379871E-2</c:v>
                </c:pt>
                <c:pt idx="305">
                  <c:v>-2.5419999992379871E-2</c:v>
                </c:pt>
                <c:pt idx="306">
                  <c:v>-2.5419999992379871E-2</c:v>
                </c:pt>
                <c:pt idx="307">
                  <c:v>-2.5419999992379871E-2</c:v>
                </c:pt>
                <c:pt idx="308">
                  <c:v>-2.5419999992379871E-2</c:v>
                </c:pt>
                <c:pt idx="309">
                  <c:v>-2.5419999992379871E-2</c:v>
                </c:pt>
                <c:pt idx="310">
                  <c:v>-2.5419999992379871E-2</c:v>
                </c:pt>
                <c:pt idx="311">
                  <c:v>-2.5419999992379871E-2</c:v>
                </c:pt>
                <c:pt idx="312">
                  <c:v>-2.5419999992379871E-2</c:v>
                </c:pt>
                <c:pt idx="313">
                  <c:v>-2.5419999992379871E-2</c:v>
                </c:pt>
                <c:pt idx="314">
                  <c:v>-2.5419999992379871E-2</c:v>
                </c:pt>
                <c:pt idx="315">
                  <c:v>-2.5419999992379871E-2</c:v>
                </c:pt>
                <c:pt idx="316">
                  <c:v>-2.5419999992379871E-2</c:v>
                </c:pt>
                <c:pt idx="317">
                  <c:v>-2.5419999992379871E-2</c:v>
                </c:pt>
                <c:pt idx="318">
                  <c:v>-2.5419999992379871E-2</c:v>
                </c:pt>
                <c:pt idx="319">
                  <c:v>-2.5419999992379871E-2</c:v>
                </c:pt>
                <c:pt idx="320">
                  <c:v>-2.5419999992379871E-2</c:v>
                </c:pt>
                <c:pt idx="321">
                  <c:v>-2.5419999992379871E-2</c:v>
                </c:pt>
                <c:pt idx="322">
                  <c:v>-2.5419999992379871E-2</c:v>
                </c:pt>
                <c:pt idx="323">
                  <c:v>-2.5419999992379871E-2</c:v>
                </c:pt>
                <c:pt idx="324">
                  <c:v>-2.5419999992379871E-2</c:v>
                </c:pt>
                <c:pt idx="325">
                  <c:v>-2.5419999992379871E-2</c:v>
                </c:pt>
                <c:pt idx="326">
                  <c:v>-2.5419999992379871E-2</c:v>
                </c:pt>
                <c:pt idx="327">
                  <c:v>-2.5419999992379871E-2</c:v>
                </c:pt>
                <c:pt idx="328">
                  <c:v>-2.5419999992379871E-2</c:v>
                </c:pt>
                <c:pt idx="329">
                  <c:v>-2.5419999992379871E-2</c:v>
                </c:pt>
                <c:pt idx="330">
                  <c:v>-2.5419999992379871E-2</c:v>
                </c:pt>
                <c:pt idx="331">
                  <c:v>-2.5419999992379871E-2</c:v>
                </c:pt>
                <c:pt idx="332">
                  <c:v>-2.5419999992379871E-2</c:v>
                </c:pt>
                <c:pt idx="333">
                  <c:v>-2.5419999992379871E-2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er>
        <c:ser>
          <c:idx val="6"/>
          <c:order val="6"/>
          <c:tx>
            <c:v>Total HHD Storage</c:v>
          </c:tx>
          <c:marker>
            <c:symbol val="none"/>
          </c:marker>
          <c:val>
            <c:numRef>
              <c:f>Summary!$Q$9:$Q$373</c:f>
              <c:numCache>
                <c:formatCode>0.0</c:formatCode>
                <c:ptCount val="365"/>
                <c:pt idx="0">
                  <c:v>878.00000000275577</c:v>
                </c:pt>
                <c:pt idx="1">
                  <c:v>872.00000000275577</c:v>
                </c:pt>
                <c:pt idx="2">
                  <c:v>1325.0000000036607</c:v>
                </c:pt>
                <c:pt idx="3">
                  <c:v>1479.0000000038199</c:v>
                </c:pt>
                <c:pt idx="4">
                  <c:v>1437.0000000037562</c:v>
                </c:pt>
                <c:pt idx="5">
                  <c:v>1158.8000000032514</c:v>
                </c:pt>
                <c:pt idx="6">
                  <c:v>792.760000002693</c:v>
                </c:pt>
                <c:pt idx="7">
                  <c:v>773.00000000245109</c:v>
                </c:pt>
                <c:pt idx="8">
                  <c:v>911.60000000278308</c:v>
                </c:pt>
                <c:pt idx="9">
                  <c:v>949.00000000283762</c:v>
                </c:pt>
                <c:pt idx="10">
                  <c:v>1099.0000000031923</c:v>
                </c:pt>
                <c:pt idx="11">
                  <c:v>2310.4000000057708</c:v>
                </c:pt>
                <c:pt idx="12">
                  <c:v>4212.2000000096587</c:v>
                </c:pt>
                <c:pt idx="13">
                  <c:v>3697.0000000087857</c:v>
                </c:pt>
                <c:pt idx="14">
                  <c:v>2236.0000000053728</c:v>
                </c:pt>
                <c:pt idx="15">
                  <c:v>1456.600000003788</c:v>
                </c:pt>
                <c:pt idx="16">
                  <c:v>1465.000000003788</c:v>
                </c:pt>
                <c:pt idx="17">
                  <c:v>1523.0000000038517</c:v>
                </c:pt>
                <c:pt idx="18">
                  <c:v>1271.0000000033697</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1033.6000000028921</c:v>
                </c:pt>
                <c:pt idx="29">
                  <c:v>1266.800000003597</c:v>
                </c:pt>
                <c:pt idx="30">
                  <c:v>1366.0000000036925</c:v>
                </c:pt>
                <c:pt idx="31">
                  <c:v>1437.0000000037562</c:v>
                </c:pt>
                <c:pt idx="32">
                  <c:v>1305.8000000033992</c:v>
                </c:pt>
                <c:pt idx="33">
                  <c:v>1045.1000000031627</c:v>
                </c:pt>
                <c:pt idx="34">
                  <c:v>801.5000000024761</c:v>
                </c:pt>
                <c:pt idx="35">
                  <c:v>684.00000000235104</c:v>
                </c:pt>
                <c:pt idx="36">
                  <c:v>867.20000000275581</c:v>
                </c:pt>
                <c:pt idx="37">
                  <c:v>1086.0000000031923</c:v>
                </c:pt>
                <c:pt idx="38">
                  <c:v>1112.0000000032219</c:v>
                </c:pt>
                <c:pt idx="39">
                  <c:v>1074.0000000029468</c:v>
                </c:pt>
                <c:pt idx="40">
                  <c:v>926.00000000257614</c:v>
                </c:pt>
                <c:pt idx="41">
                  <c:v>963.60000000307411</c:v>
                </c:pt>
                <c:pt idx="42">
                  <c:v>1257.0000000035971</c:v>
                </c:pt>
                <c:pt idx="43">
                  <c:v>1299.3000000033696</c:v>
                </c:pt>
                <c:pt idx="44">
                  <c:v>986.00000000310365</c:v>
                </c:pt>
                <c:pt idx="45">
                  <c:v>1061.0000000031628</c:v>
                </c:pt>
                <c:pt idx="46">
                  <c:v>1216.0000000035652</c:v>
                </c:pt>
                <c:pt idx="47">
                  <c:v>1409.0000000037562</c:v>
                </c:pt>
                <c:pt idx="48">
                  <c:v>1350.7000000034288</c:v>
                </c:pt>
                <c:pt idx="49">
                  <c:v>1135.4000000032515</c:v>
                </c:pt>
                <c:pt idx="50">
                  <c:v>1068.8000000031627</c:v>
                </c:pt>
                <c:pt idx="51">
                  <c:v>1537.0000000041268</c:v>
                </c:pt>
                <c:pt idx="52">
                  <c:v>1888.0000000047294</c:v>
                </c:pt>
                <c:pt idx="53">
                  <c:v>2067.0000000049113</c:v>
                </c:pt>
                <c:pt idx="54">
                  <c:v>2317.6000000057707</c:v>
                </c:pt>
                <c:pt idx="55">
                  <c:v>2621.6000000063505</c:v>
                </c:pt>
                <c:pt idx="56">
                  <c:v>2852.0000000069122</c:v>
                </c:pt>
                <c:pt idx="57">
                  <c:v>2983.8000000074012</c:v>
                </c:pt>
                <c:pt idx="58">
                  <c:v>3238.0000000076398</c:v>
                </c:pt>
                <c:pt idx="59">
                  <c:v>3608.0000000083037</c:v>
                </c:pt>
                <c:pt idx="60">
                  <c:v>3936.000000009386</c:v>
                </c:pt>
                <c:pt idx="61">
                  <c:v>4579.4000000099859</c:v>
                </c:pt>
                <c:pt idx="62">
                  <c:v>5734.9000000123397</c:v>
                </c:pt>
                <c:pt idx="63">
                  <c:v>6597.2000000141106</c:v>
                </c:pt>
                <c:pt idx="64">
                  <c:v>7657.4000000160704</c:v>
                </c:pt>
                <c:pt idx="65">
                  <c:v>8480.0000000178588</c:v>
                </c:pt>
                <c:pt idx="66">
                  <c:v>8681.0000000185537</c:v>
                </c:pt>
                <c:pt idx="67">
                  <c:v>14299.300000034093</c:v>
                </c:pt>
                <c:pt idx="68">
                  <c:v>15379.000000037766</c:v>
                </c:pt>
                <c:pt idx="69">
                  <c:v>14626.400000036343</c:v>
                </c:pt>
                <c:pt idx="70">
                  <c:v>14648.00000003567</c:v>
                </c:pt>
                <c:pt idx="71">
                  <c:v>14195.600000034643</c:v>
                </c:pt>
                <c:pt idx="72">
                  <c:v>14914.000000036589</c:v>
                </c:pt>
                <c:pt idx="73">
                  <c:v>15619.000000038017</c:v>
                </c:pt>
                <c:pt idx="74">
                  <c:v>16708.600000041013</c:v>
                </c:pt>
                <c:pt idx="75">
                  <c:v>17637.900000044105</c:v>
                </c:pt>
                <c:pt idx="76">
                  <c:v>17921.000000043518</c:v>
                </c:pt>
                <c:pt idx="77">
                  <c:v>18568.200000045676</c:v>
                </c:pt>
                <c:pt idx="78">
                  <c:v>19054.40000004684</c:v>
                </c:pt>
                <c:pt idx="79">
                  <c:v>19518.000000048771</c:v>
                </c:pt>
                <c:pt idx="80">
                  <c:v>19844.000000049069</c:v>
                </c:pt>
                <c:pt idx="81">
                  <c:v>19817.600000049672</c:v>
                </c:pt>
                <c:pt idx="82">
                  <c:v>19824.200000049674</c:v>
                </c:pt>
                <c:pt idx="83">
                  <c:v>20083.200000050729</c:v>
                </c:pt>
                <c:pt idx="84">
                  <c:v>20378.000000050273</c:v>
                </c:pt>
                <c:pt idx="85">
                  <c:v>20736.700000052871</c:v>
                </c:pt>
                <c:pt idx="86">
                  <c:v>21267.000000054115</c:v>
                </c:pt>
                <c:pt idx="87">
                  <c:v>21831.000000055374</c:v>
                </c:pt>
                <c:pt idx="88">
                  <c:v>22261.000000056643</c:v>
                </c:pt>
                <c:pt idx="89">
                  <c:v>22462.600000056806</c:v>
                </c:pt>
                <c:pt idx="90">
                  <c:v>22766.000000057764</c:v>
                </c:pt>
                <c:pt idx="91">
                  <c:v>23059.000000058095</c:v>
                </c:pt>
                <c:pt idx="92">
                  <c:v>23530.000000060198</c:v>
                </c:pt>
                <c:pt idx="93">
                  <c:v>23952.00000006054</c:v>
                </c:pt>
                <c:pt idx="94">
                  <c:v>24488.000000062679</c:v>
                </c:pt>
                <c:pt idx="95">
                  <c:v>26817.400000070476</c:v>
                </c:pt>
                <c:pt idx="96">
                  <c:v>28075.000000072476</c:v>
                </c:pt>
                <c:pt idx="97">
                  <c:v>28678.000000073916</c:v>
                </c:pt>
                <c:pt idx="98">
                  <c:v>29619.400000076435</c:v>
                </c:pt>
                <c:pt idx="99">
                  <c:v>29970.400000076836</c:v>
                </c:pt>
                <c:pt idx="100">
                  <c:v>30345.000000078111</c:v>
                </c:pt>
                <c:pt idx="101">
                  <c:v>30702.000000078315</c:v>
                </c:pt>
                <c:pt idx="102">
                  <c:v>30746.500000078315</c:v>
                </c:pt>
                <c:pt idx="103">
                  <c:v>30880.000000080283</c:v>
                </c:pt>
                <c:pt idx="104">
                  <c:v>31242.000000080694</c:v>
                </c:pt>
                <c:pt idx="105">
                  <c:v>31913.80000008221</c:v>
                </c:pt>
                <c:pt idx="106">
                  <c:v>33282.60000008416</c:v>
                </c:pt>
                <c:pt idx="107">
                  <c:v>34110.000000086831</c:v>
                </c:pt>
                <c:pt idx="108">
                  <c:v>34299.00000008705</c:v>
                </c:pt>
                <c:pt idx="109">
                  <c:v>33958.600000085709</c:v>
                </c:pt>
                <c:pt idx="110">
                  <c:v>33826.00000008662</c:v>
                </c:pt>
                <c:pt idx="111">
                  <c:v>34394.000000086133</c:v>
                </c:pt>
                <c:pt idx="112">
                  <c:v>35160.000000088621</c:v>
                </c:pt>
                <c:pt idx="113">
                  <c:v>36717.000000092965</c:v>
                </c:pt>
                <c:pt idx="114">
                  <c:v>37809.000000094813</c:v>
                </c:pt>
                <c:pt idx="115">
                  <c:v>38210.000000095271</c:v>
                </c:pt>
                <c:pt idx="116">
                  <c:v>38270.000000095271</c:v>
                </c:pt>
                <c:pt idx="117">
                  <c:v>38511.000000097411</c:v>
                </c:pt>
                <c:pt idx="118">
                  <c:v>38887.400000097638</c:v>
                </c:pt>
                <c:pt idx="119">
                  <c:v>39131.200000097873</c:v>
                </c:pt>
                <c:pt idx="120">
                  <c:v>39477.000000098335</c:v>
                </c:pt>
                <c:pt idx="121">
                  <c:v>39631.000000099302</c:v>
                </c:pt>
                <c:pt idx="122">
                  <c:v>39426.000000098335</c:v>
                </c:pt>
                <c:pt idx="123">
                  <c:v>39274.000000098102</c:v>
                </c:pt>
                <c:pt idx="124">
                  <c:v>39651.600000099301</c:v>
                </c:pt>
                <c:pt idx="125">
                  <c:v>40312.40000010097</c:v>
                </c:pt>
                <c:pt idx="126">
                  <c:v>40727.400000101443</c:v>
                </c:pt>
                <c:pt idx="127">
                  <c:v>41324.500000102897</c:v>
                </c:pt>
                <c:pt idx="128">
                  <c:v>42455.000000104839</c:v>
                </c:pt>
                <c:pt idx="129">
                  <c:v>43416.000000106804</c:v>
                </c:pt>
                <c:pt idx="130">
                  <c:v>43855.800000108051</c:v>
                </c:pt>
                <c:pt idx="131">
                  <c:v>44062.000000108295</c:v>
                </c:pt>
                <c:pt idx="132">
                  <c:v>44483.200000108787</c:v>
                </c:pt>
                <c:pt idx="133">
                  <c:v>44862.60000011004</c:v>
                </c:pt>
                <c:pt idx="134">
                  <c:v>45311.000000111548</c:v>
                </c:pt>
                <c:pt idx="135">
                  <c:v>45693.000000111802</c:v>
                </c:pt>
                <c:pt idx="136">
                  <c:v>45803.000000111031</c:v>
                </c:pt>
                <c:pt idx="137">
                  <c:v>45868.400000111033</c:v>
                </c:pt>
                <c:pt idx="138">
                  <c:v>46133.000000112297</c:v>
                </c:pt>
                <c:pt idx="139">
                  <c:v>46464.000000112552</c:v>
                </c:pt>
                <c:pt idx="140">
                  <c:v>46906.000000113054</c:v>
                </c:pt>
                <c:pt idx="141">
                  <c:v>47306.200000115357</c:v>
                </c:pt>
                <c:pt idx="142">
                  <c:v>47908.00000011587</c:v>
                </c:pt>
                <c:pt idx="143">
                  <c:v>48356.000000117419</c:v>
                </c:pt>
                <c:pt idx="144">
                  <c:v>48581.000000117674</c:v>
                </c:pt>
                <c:pt idx="145">
                  <c:v>49088.000000116888</c:v>
                </c:pt>
                <c:pt idx="146">
                  <c:v>49325.400000119233</c:v>
                </c:pt>
                <c:pt idx="147">
                  <c:v>49405.200000119497</c:v>
                </c:pt>
                <c:pt idx="148">
                  <c:v>49325.400000119233</c:v>
                </c:pt>
                <c:pt idx="149">
                  <c:v>49314.000000119238</c:v>
                </c:pt>
                <c:pt idx="150">
                  <c:v>49393.800000119234</c:v>
                </c:pt>
                <c:pt idx="151">
                  <c:v>49428.000000119493</c:v>
                </c:pt>
                <c:pt idx="152">
                  <c:v>49416.600000119492</c:v>
                </c:pt>
                <c:pt idx="153">
                  <c:v>49359.600000119237</c:v>
                </c:pt>
                <c:pt idx="154">
                  <c:v>49268.400000119233</c:v>
                </c:pt>
                <c:pt idx="155">
                  <c:v>49302.600000119237</c:v>
                </c:pt>
                <c:pt idx="156">
                  <c:v>49485.000000118445</c:v>
                </c:pt>
                <c:pt idx="157">
                  <c:v>49485.000000118445</c:v>
                </c:pt>
                <c:pt idx="158">
                  <c:v>49496.300000118448</c:v>
                </c:pt>
                <c:pt idx="159">
                  <c:v>49462.200000119497</c:v>
                </c:pt>
                <c:pt idx="160">
                  <c:v>49382.400000119233</c:v>
                </c:pt>
                <c:pt idx="161">
                  <c:v>49257.000000119238</c:v>
                </c:pt>
                <c:pt idx="162">
                  <c:v>49155.300000118186</c:v>
                </c:pt>
                <c:pt idx="163">
                  <c:v>49359.600000119237</c:v>
                </c:pt>
                <c:pt idx="164">
                  <c:v>49405.200000119497</c:v>
                </c:pt>
                <c:pt idx="165">
                  <c:v>49485.000000118445</c:v>
                </c:pt>
                <c:pt idx="166">
                  <c:v>49666.400000119495</c:v>
                </c:pt>
                <c:pt idx="167">
                  <c:v>49677.800000119496</c:v>
                </c:pt>
                <c:pt idx="168">
                  <c:v>49666.400000119495</c:v>
                </c:pt>
                <c:pt idx="169">
                  <c:v>49348.200000119235</c:v>
                </c:pt>
                <c:pt idx="170">
                  <c:v>49257.000000119238</c:v>
                </c:pt>
                <c:pt idx="171">
                  <c:v>49032.000000116888</c:v>
                </c:pt>
                <c:pt idx="172">
                  <c:v>49088.000000116888</c:v>
                </c:pt>
                <c:pt idx="173">
                  <c:v>48863.000000116888</c:v>
                </c:pt>
                <c:pt idx="174">
                  <c:v>48547.40000011638</c:v>
                </c:pt>
                <c:pt idx="175">
                  <c:v>48255.200000116121</c:v>
                </c:pt>
                <c:pt idx="176">
                  <c:v>47941.600000115868</c:v>
                </c:pt>
                <c:pt idx="177">
                  <c:v>47685.000000115615</c:v>
                </c:pt>
                <c:pt idx="178">
                  <c:v>47574.000000114582</c:v>
                </c:pt>
                <c:pt idx="179">
                  <c:v>47618.400000114583</c:v>
                </c:pt>
                <c:pt idx="180">
                  <c:v>47551.600000115614</c:v>
                </c:pt>
                <c:pt idx="181">
                  <c:v>47540.400000115616</c:v>
                </c:pt>
                <c:pt idx="182">
                  <c:v>47518.000000115615</c:v>
                </c:pt>
                <c:pt idx="183">
                  <c:v>47439.800000114585</c:v>
                </c:pt>
                <c:pt idx="184">
                  <c:v>47384.30000011433</c:v>
                </c:pt>
                <c:pt idx="185">
                  <c:v>47295.00000011536</c:v>
                </c:pt>
                <c:pt idx="186">
                  <c:v>47172.400000114329</c:v>
                </c:pt>
                <c:pt idx="187">
                  <c:v>47083.200000115103</c:v>
                </c:pt>
                <c:pt idx="188">
                  <c:v>46961.000000113054</c:v>
                </c:pt>
                <c:pt idx="189">
                  <c:v>46806.100000113824</c:v>
                </c:pt>
                <c:pt idx="190">
                  <c:v>46629.500000113825</c:v>
                </c:pt>
                <c:pt idx="191">
                  <c:v>46464.000000112552</c:v>
                </c:pt>
                <c:pt idx="192">
                  <c:v>46320.70000011332</c:v>
                </c:pt>
                <c:pt idx="193">
                  <c:v>46199.000000112297</c:v>
                </c:pt>
                <c:pt idx="194">
                  <c:v>46055.300000113319</c:v>
                </c:pt>
                <c:pt idx="195">
                  <c:v>45879.300000111034</c:v>
                </c:pt>
                <c:pt idx="196">
                  <c:v>45704.000000111802</c:v>
                </c:pt>
                <c:pt idx="197">
                  <c:v>45529.500000110784</c:v>
                </c:pt>
                <c:pt idx="198">
                  <c:v>45366.000000110536</c:v>
                </c:pt>
                <c:pt idx="199">
                  <c:v>45256.000000111548</c:v>
                </c:pt>
                <c:pt idx="200">
                  <c:v>45103.40000011029</c:v>
                </c:pt>
                <c:pt idx="201">
                  <c:v>44972.0000001113</c:v>
                </c:pt>
                <c:pt idx="202">
                  <c:v>44808.200000109027</c:v>
                </c:pt>
                <c:pt idx="203">
                  <c:v>44928.000000111046</c:v>
                </c:pt>
                <c:pt idx="204">
                  <c:v>44994.0000001113</c:v>
                </c:pt>
                <c:pt idx="205">
                  <c:v>44917.10000011004</c:v>
                </c:pt>
                <c:pt idx="206">
                  <c:v>44808.200000109027</c:v>
                </c:pt>
                <c:pt idx="207">
                  <c:v>44689.400000109032</c:v>
                </c:pt>
                <c:pt idx="208">
                  <c:v>44494.000000109794</c:v>
                </c:pt>
                <c:pt idx="209">
                  <c:v>44299.600000108541</c:v>
                </c:pt>
                <c:pt idx="210">
                  <c:v>44062.000000108295</c:v>
                </c:pt>
                <c:pt idx="211">
                  <c:v>43791.000000108048</c:v>
                </c:pt>
                <c:pt idx="212">
                  <c:v>43523.000000106804</c:v>
                </c:pt>
                <c:pt idx="213">
                  <c:v>43309.000000106564</c:v>
                </c:pt>
                <c:pt idx="214">
                  <c:v>43030.800000106319</c:v>
                </c:pt>
                <c:pt idx="215">
                  <c:v>42774.000000106076</c:v>
                </c:pt>
                <c:pt idx="216">
                  <c:v>42508.000000104839</c:v>
                </c:pt>
                <c:pt idx="217">
                  <c:v>42243.000000104599</c:v>
                </c:pt>
                <c:pt idx="218">
                  <c:v>41956.800000104362</c:v>
                </c:pt>
                <c:pt idx="219">
                  <c:v>41660.000000104119</c:v>
                </c:pt>
                <c:pt idx="220">
                  <c:v>41293.000000102897</c:v>
                </c:pt>
                <c:pt idx="221">
                  <c:v>41031.500000102656</c:v>
                </c:pt>
                <c:pt idx="222">
                  <c:v>40717.000000101441</c:v>
                </c:pt>
                <c:pt idx="223">
                  <c:v>40477.600000100232</c:v>
                </c:pt>
                <c:pt idx="224">
                  <c:v>40498.200000100238</c:v>
                </c:pt>
                <c:pt idx="225">
                  <c:v>40270.800000100971</c:v>
                </c:pt>
                <c:pt idx="226">
                  <c:v>40044.000000099768</c:v>
                </c:pt>
                <c:pt idx="227">
                  <c:v>39734.000000100496</c:v>
                </c:pt>
                <c:pt idx="228">
                  <c:v>39375.500000097141</c:v>
                </c:pt>
                <c:pt idx="229">
                  <c:v>38867.000000097636</c:v>
                </c:pt>
                <c:pt idx="230">
                  <c:v>38724.20000009764</c:v>
                </c:pt>
                <c:pt idx="231">
                  <c:v>38330.200000096222</c:v>
                </c:pt>
                <c:pt idx="232">
                  <c:v>38020.000000095039</c:v>
                </c:pt>
                <c:pt idx="233">
                  <c:v>37608.000000095533</c:v>
                </c:pt>
                <c:pt idx="234">
                  <c:v>37310.000000093416</c:v>
                </c:pt>
                <c:pt idx="235">
                  <c:v>36865.500000092965</c:v>
                </c:pt>
                <c:pt idx="236">
                  <c:v>36499.600000090868</c:v>
                </c:pt>
                <c:pt idx="237">
                  <c:v>36109.600000090424</c:v>
                </c:pt>
                <c:pt idx="238">
                  <c:v>35690.500000090207</c:v>
                </c:pt>
                <c:pt idx="239">
                  <c:v>35265.600000088838</c:v>
                </c:pt>
                <c:pt idx="240">
                  <c:v>34871.000000088403</c:v>
                </c:pt>
                <c:pt idx="241">
                  <c:v>34775.000000088403</c:v>
                </c:pt>
                <c:pt idx="242">
                  <c:v>34583.000000088185</c:v>
                </c:pt>
                <c:pt idx="243">
                  <c:v>34327.50000008705</c:v>
                </c:pt>
                <c:pt idx="244">
                  <c:v>34062.500000086831</c:v>
                </c:pt>
                <c:pt idx="245">
                  <c:v>33986.800000085706</c:v>
                </c:pt>
                <c:pt idx="246">
                  <c:v>33779.000000085704</c:v>
                </c:pt>
                <c:pt idx="247">
                  <c:v>33450.000000085281</c:v>
                </c:pt>
                <c:pt idx="248">
                  <c:v>33264.000000084161</c:v>
                </c:pt>
                <c:pt idx="249">
                  <c:v>32937.50000008395</c:v>
                </c:pt>
                <c:pt idx="250">
                  <c:v>32612.000000082837</c:v>
                </c:pt>
                <c:pt idx="251">
                  <c:v>32281.400000081521</c:v>
                </c:pt>
                <c:pt idx="252">
                  <c:v>31895.400000082001</c:v>
                </c:pt>
                <c:pt idx="253">
                  <c:v>31477.600000080904</c:v>
                </c:pt>
                <c:pt idx="254">
                  <c:v>31061.000000080487</c:v>
                </c:pt>
                <c:pt idx="255">
                  <c:v>30612.000000079195</c:v>
                </c:pt>
                <c:pt idx="256">
                  <c:v>30202.000000078784</c:v>
                </c:pt>
                <c:pt idx="257">
                  <c:v>29777.200000075762</c:v>
                </c:pt>
                <c:pt idx="258">
                  <c:v>29355.600000075367</c:v>
                </c:pt>
                <c:pt idx="259">
                  <c:v>28919.800000074109</c:v>
                </c:pt>
                <c:pt idx="260">
                  <c:v>28478.900000074576</c:v>
                </c:pt>
                <c:pt idx="261">
                  <c:v>27989.000000073327</c:v>
                </c:pt>
                <c:pt idx="262">
                  <c:v>27393.000000071894</c:v>
                </c:pt>
                <c:pt idx="263">
                  <c:v>26825.800000070478</c:v>
                </c:pt>
                <c:pt idx="264">
                  <c:v>26241.200000068238</c:v>
                </c:pt>
                <c:pt idx="265">
                  <c:v>25626.000000066029</c:v>
                </c:pt>
                <c:pt idx="266">
                  <c:v>24983.600000064664</c:v>
                </c:pt>
                <c:pt idx="267">
                  <c:v>24301.800000063315</c:v>
                </c:pt>
                <c:pt idx="268">
                  <c:v>23651.000000060198</c:v>
                </c:pt>
                <c:pt idx="269">
                  <c:v>22986.000000058095</c:v>
                </c:pt>
                <c:pt idx="270">
                  <c:v>22246.600000056642</c:v>
                </c:pt>
                <c:pt idx="271">
                  <c:v>21584.50000005521</c:v>
                </c:pt>
                <c:pt idx="272">
                  <c:v>21039.300000053187</c:v>
                </c:pt>
                <c:pt idx="273">
                  <c:v>20430.800000050273</c:v>
                </c:pt>
                <c:pt idx="274">
                  <c:v>19771.50000004892</c:v>
                </c:pt>
                <c:pt idx="275">
                  <c:v>19131.000000046843</c:v>
                </c:pt>
                <c:pt idx="276">
                  <c:v>18500.000000045533</c:v>
                </c:pt>
                <c:pt idx="277">
                  <c:v>17867.000000043518</c:v>
                </c:pt>
                <c:pt idx="278">
                  <c:v>17220.100000042257</c:v>
                </c:pt>
                <c:pt idx="279">
                  <c:v>16524.000000040884</c:v>
                </c:pt>
                <c:pt idx="280">
                  <c:v>15746.800000038835</c:v>
                </c:pt>
                <c:pt idx="281">
                  <c:v>14994.500000036032</c:v>
                </c:pt>
                <c:pt idx="282">
                  <c:v>14180.000000034643</c:v>
                </c:pt>
                <c:pt idx="283">
                  <c:v>13624.000000032742</c:v>
                </c:pt>
                <c:pt idx="284">
                  <c:v>13105.200000030996</c:v>
                </c:pt>
                <c:pt idx="285">
                  <c:v>12499.500000028547</c:v>
                </c:pt>
                <c:pt idx="286">
                  <c:v>11812.800000027311</c:v>
                </c:pt>
                <c:pt idx="287">
                  <c:v>11103.000000025402</c:v>
                </c:pt>
                <c:pt idx="288">
                  <c:v>10486.300000024237</c:v>
                </c:pt>
                <c:pt idx="289">
                  <c:v>9935.0000000219461</c:v>
                </c:pt>
                <c:pt idx="290">
                  <c:v>9822.0000000218606</c:v>
                </c:pt>
                <c:pt idx="291">
                  <c:v>9438.2000000209482</c:v>
                </c:pt>
                <c:pt idx="292">
                  <c:v>8845.200000018709</c:v>
                </c:pt>
                <c:pt idx="293">
                  <c:v>8087.000000016953</c:v>
                </c:pt>
                <c:pt idx="294">
                  <c:v>7927.0000000168075</c:v>
                </c:pt>
                <c:pt idx="295">
                  <c:v>8370.1000000177828</c:v>
                </c:pt>
                <c:pt idx="296">
                  <c:v>8216.0000000176333</c:v>
                </c:pt>
                <c:pt idx="297">
                  <c:v>7129.0000000150749</c:v>
                </c:pt>
                <c:pt idx="298">
                  <c:v>6394.6000000134336</c:v>
                </c:pt>
                <c:pt idx="299">
                  <c:v>5959.0000000125237</c:v>
                </c:pt>
                <c:pt idx="300">
                  <c:v>4687.0000000105156</c:v>
                </c:pt>
                <c:pt idx="301">
                  <c:v>3497.0000000082036</c:v>
                </c:pt>
                <c:pt idx="302">
                  <c:v>2168.0000000052955</c:v>
                </c:pt>
                <c:pt idx="303">
                  <c:v>1640.0000000042292</c:v>
                </c:pt>
                <c:pt idx="304">
                  <c:v>1717.0000000042974</c:v>
                </c:pt>
                <c:pt idx="305">
                  <c:v>1444.000000003788</c:v>
                </c:pt>
                <c:pt idx="306">
                  <c:v>1547.5000000041268</c:v>
                </c:pt>
                <c:pt idx="307">
                  <c:v>2758.0000000068212</c:v>
                </c:pt>
                <c:pt idx="308">
                  <c:v>2971.2000000073531</c:v>
                </c:pt>
                <c:pt idx="309">
                  <c:v>2543.6000000059753</c:v>
                </c:pt>
                <c:pt idx="310">
                  <c:v>2341.0000000054501</c:v>
                </c:pt>
                <c:pt idx="311">
                  <c:v>2001.0000000048385</c:v>
                </c:pt>
                <c:pt idx="312">
                  <c:v>2042.0000000048749</c:v>
                </c:pt>
                <c:pt idx="313">
                  <c:v>2202.0000000053342</c:v>
                </c:pt>
                <c:pt idx="314">
                  <c:v>1608.000000004195</c:v>
                </c:pt>
                <c:pt idx="315">
                  <c:v>903.2000000027831</c:v>
                </c:pt>
                <c:pt idx="316">
                  <c:v>784.00000000267391</c:v>
                </c:pt>
                <c:pt idx="317">
                  <c:v>1011.0000000031332</c:v>
                </c:pt>
                <c:pt idx="318">
                  <c:v>1024.0000000028922</c:v>
                </c:pt>
                <c:pt idx="319">
                  <c:v>927.10000000257617</c:v>
                </c:pt>
                <c:pt idx="320">
                  <c:v>716.00000000240107</c:v>
                </c:pt>
                <c:pt idx="321">
                  <c:v>619.00000000230102</c:v>
                </c:pt>
                <c:pt idx="322">
                  <c:v>641.00000000211458</c:v>
                </c:pt>
                <c:pt idx="323">
                  <c:v>674.10000000235107</c:v>
                </c:pt>
                <c:pt idx="324">
                  <c:v>999.00000000286491</c:v>
                </c:pt>
                <c:pt idx="325">
                  <c:v>1625.0000000042292</c:v>
                </c:pt>
                <c:pt idx="326">
                  <c:v>2496.6000000059344</c:v>
                </c:pt>
                <c:pt idx="327">
                  <c:v>2195.200000005334</c:v>
                </c:pt>
                <c:pt idx="328">
                  <c:v>8025.3000000174079</c:v>
                </c:pt>
                <c:pt idx="329">
                  <c:v>11673.000000026594</c:v>
                </c:pt>
                <c:pt idx="330">
                  <c:v>6574.0000000140444</c:v>
                </c:pt>
                <c:pt idx="331">
                  <c:v>2287.0000000057298</c:v>
                </c:pt>
                <c:pt idx="332">
                  <c:v>727.00000000261934</c:v>
                </c:pt>
                <c:pt idx="333">
                  <c:v>900.80000000278301</c:v>
                </c:pt>
                <c:pt idx="334">
                  <c:v>996.40000000310363</c:v>
                </c:pt>
                <c:pt idx="335">
                  <c:v>1027.6000000028921</c:v>
                </c:pt>
                <c:pt idx="336">
                  <c:v>904.40000000278303</c:v>
                </c:pt>
                <c:pt idx="337">
                  <c:v>764.20000000242612</c:v>
                </c:pt>
                <c:pt idx="338">
                  <c:v>750.00000000264663</c:v>
                </c:pt>
                <c:pt idx="339">
                  <c:v>1086.0000000031923</c:v>
                </c:pt>
                <c:pt idx="340">
                  <c:v>1311.0000000036607</c:v>
                </c:pt>
                <c:pt idx="341">
                  <c:v>1227.2000000035653</c:v>
                </c:pt>
                <c:pt idx="342">
                  <c:v>1112.0000000032219</c:v>
                </c:pt>
                <c:pt idx="343">
                  <c:v>1055.0000000029195</c:v>
                </c:pt>
                <c:pt idx="344">
                  <c:v>966.20000000307414</c:v>
                </c:pt>
                <c:pt idx="345">
                  <c:v>1125.0000000032219</c:v>
                </c:pt>
                <c:pt idx="346">
                  <c:v>1465.000000003788</c:v>
                </c:pt>
                <c:pt idx="347">
                  <c:v>1626.5000000042292</c:v>
                </c:pt>
                <c:pt idx="348">
                  <c:v>1508.0000000040927</c:v>
                </c:pt>
                <c:pt idx="349">
                  <c:v>1152.3000000032514</c:v>
                </c:pt>
                <c:pt idx="350">
                  <c:v>882.80000000275572</c:v>
                </c:pt>
                <c:pt idx="351">
                  <c:v>739.00000000240107</c:v>
                </c:pt>
                <c:pt idx="352">
                  <c:v>727.00000000261934</c:v>
                </c:pt>
                <c:pt idx="353">
                  <c:v>999.00000000286491</c:v>
                </c:pt>
                <c:pt idx="354">
                  <c:v>4080.1000000091517</c:v>
                </c:pt>
                <c:pt idx="355">
                  <c:v>3503.6000000082536</c:v>
                </c:pt>
                <c:pt idx="356">
                  <c:v>5281.0000000114687</c:v>
                </c:pt>
                <c:pt idx="357">
                  <c:v>10436.000000022465</c:v>
                </c:pt>
                <c:pt idx="358">
                  <c:v>9900.8000000219454</c:v>
                </c:pt>
                <c:pt idx="359">
                  <c:v>8055.000000016953</c:v>
                </c:pt>
                <c:pt idx="360">
                  <c:v>6347.0000000133696</c:v>
                </c:pt>
                <c:pt idx="361">
                  <c:v>5244.6000000114691</c:v>
                </c:pt>
                <c:pt idx="362">
                  <c:v>4687.0000000105156</c:v>
                </c:pt>
                <c:pt idx="363">
                  <c:v>2710.0000000064369</c:v>
                </c:pt>
                <c:pt idx="364">
                  <c:v>2540.0000000059754</c:v>
                </c:pt>
              </c:numCache>
            </c:numRef>
          </c:val>
        </c:ser>
        <c:ser>
          <c:idx val="7"/>
          <c:order val="7"/>
          <c:tx>
            <c:v>SDW Storage Tracking</c:v>
          </c:tx>
          <c:marker>
            <c:symbol val="none"/>
          </c:marker>
          <c:val>
            <c:numRef>
              <c:f>Summary!$AL$9:$AL$373</c:f>
              <c:numCache>
                <c:formatCode>General</c:formatCode>
                <c:ptCount val="365"/>
                <c:pt idx="146" formatCode="0.0">
                  <c:v>16600</c:v>
                </c:pt>
                <c:pt idx="147" formatCode="0.0">
                  <c:v>20000</c:v>
                </c:pt>
                <c:pt idx="148" formatCode="0.0">
                  <c:v>20000</c:v>
                </c:pt>
                <c:pt idx="149" formatCode="0.0">
                  <c:v>20000</c:v>
                </c:pt>
                <c:pt idx="150" formatCode="0.0">
                  <c:v>20000</c:v>
                </c:pt>
                <c:pt idx="151" formatCode="0.0">
                  <c:v>20000</c:v>
                </c:pt>
                <c:pt idx="152" formatCode="0.0">
                  <c:v>20000</c:v>
                </c:pt>
                <c:pt idx="153" formatCode="0.0">
                  <c:v>20000</c:v>
                </c:pt>
                <c:pt idx="154" formatCode="0.0">
                  <c:v>20000</c:v>
                </c:pt>
                <c:pt idx="155" formatCode="0.0">
                  <c:v>20000</c:v>
                </c:pt>
                <c:pt idx="156" formatCode="0.0">
                  <c:v>20000</c:v>
                </c:pt>
                <c:pt idx="157" formatCode="0.0">
                  <c:v>20000</c:v>
                </c:pt>
                <c:pt idx="158" formatCode="0.0">
                  <c:v>20000</c:v>
                </c:pt>
                <c:pt idx="159" formatCode="0.0">
                  <c:v>20000</c:v>
                </c:pt>
                <c:pt idx="160" formatCode="0.0">
                  <c:v>20000</c:v>
                </c:pt>
                <c:pt idx="161" formatCode="0.0">
                  <c:v>20000</c:v>
                </c:pt>
                <c:pt idx="162" formatCode="0.0">
                  <c:v>20000</c:v>
                </c:pt>
                <c:pt idx="163" formatCode="0.0">
                  <c:v>20000</c:v>
                </c:pt>
                <c:pt idx="164" formatCode="0.0">
                  <c:v>20000</c:v>
                </c:pt>
              </c:numCache>
            </c:numRef>
          </c:val>
        </c:ser>
        <c:ser>
          <c:idx val="8"/>
          <c:order val="8"/>
          <c:tx>
            <c:v>HHD Guide Curve</c:v>
          </c:tx>
          <c:marker>
            <c:symbol val="none"/>
          </c:marker>
          <c:val>
            <c:numRef>
              <c:f>Summary!$AC$9:$AC$373</c:f>
              <c:numCache>
                <c:formatCode>0.0</c:formatCode>
                <c:ptCount val="3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23500</c:v>
                </c:pt>
                <c:pt idx="181">
                  <c:v>23416</c:v>
                </c:pt>
                <c:pt idx="182">
                  <c:v>23332</c:v>
                </c:pt>
                <c:pt idx="183">
                  <c:v>23248</c:v>
                </c:pt>
                <c:pt idx="184">
                  <c:v>23164</c:v>
                </c:pt>
                <c:pt idx="185">
                  <c:v>23080</c:v>
                </c:pt>
                <c:pt idx="186">
                  <c:v>22996</c:v>
                </c:pt>
                <c:pt idx="187">
                  <c:v>22912</c:v>
                </c:pt>
                <c:pt idx="188">
                  <c:v>22829</c:v>
                </c:pt>
                <c:pt idx="189">
                  <c:v>22745</c:v>
                </c:pt>
                <c:pt idx="190">
                  <c:v>22661</c:v>
                </c:pt>
                <c:pt idx="191">
                  <c:v>22577</c:v>
                </c:pt>
                <c:pt idx="192">
                  <c:v>22493</c:v>
                </c:pt>
                <c:pt idx="193">
                  <c:v>22409</c:v>
                </c:pt>
                <c:pt idx="194">
                  <c:v>22325</c:v>
                </c:pt>
                <c:pt idx="195">
                  <c:v>22241</c:v>
                </c:pt>
                <c:pt idx="196">
                  <c:v>22158</c:v>
                </c:pt>
                <c:pt idx="197">
                  <c:v>22074</c:v>
                </c:pt>
                <c:pt idx="198">
                  <c:v>21990</c:v>
                </c:pt>
                <c:pt idx="199">
                  <c:v>21906</c:v>
                </c:pt>
                <c:pt idx="200">
                  <c:v>21822</c:v>
                </c:pt>
                <c:pt idx="201">
                  <c:v>21738</c:v>
                </c:pt>
                <c:pt idx="202">
                  <c:v>21654</c:v>
                </c:pt>
                <c:pt idx="203">
                  <c:v>21570</c:v>
                </c:pt>
                <c:pt idx="204">
                  <c:v>21487</c:v>
                </c:pt>
                <c:pt idx="205">
                  <c:v>21403</c:v>
                </c:pt>
                <c:pt idx="206">
                  <c:v>21319</c:v>
                </c:pt>
                <c:pt idx="207">
                  <c:v>21235</c:v>
                </c:pt>
                <c:pt idx="208">
                  <c:v>21151</c:v>
                </c:pt>
                <c:pt idx="209">
                  <c:v>21067</c:v>
                </c:pt>
                <c:pt idx="210">
                  <c:v>20983</c:v>
                </c:pt>
                <c:pt idx="211">
                  <c:v>20900</c:v>
                </c:pt>
                <c:pt idx="212">
                  <c:v>20732</c:v>
                </c:pt>
                <c:pt idx="213">
                  <c:v>20564</c:v>
                </c:pt>
                <c:pt idx="214">
                  <c:v>20396</c:v>
                </c:pt>
                <c:pt idx="215">
                  <c:v>20229</c:v>
                </c:pt>
                <c:pt idx="216">
                  <c:v>20061</c:v>
                </c:pt>
                <c:pt idx="217">
                  <c:v>19893</c:v>
                </c:pt>
                <c:pt idx="218">
                  <c:v>19725</c:v>
                </c:pt>
                <c:pt idx="219">
                  <c:v>19558</c:v>
                </c:pt>
                <c:pt idx="220">
                  <c:v>19390</c:v>
                </c:pt>
                <c:pt idx="221">
                  <c:v>19222</c:v>
                </c:pt>
                <c:pt idx="222">
                  <c:v>19054</c:v>
                </c:pt>
                <c:pt idx="223">
                  <c:v>18887</c:v>
                </c:pt>
                <c:pt idx="224">
                  <c:v>18719</c:v>
                </c:pt>
                <c:pt idx="225">
                  <c:v>18551</c:v>
                </c:pt>
                <c:pt idx="226">
                  <c:v>18383</c:v>
                </c:pt>
                <c:pt idx="227">
                  <c:v>18216</c:v>
                </c:pt>
                <c:pt idx="228">
                  <c:v>18048</c:v>
                </c:pt>
                <c:pt idx="229">
                  <c:v>17880</c:v>
                </c:pt>
                <c:pt idx="230">
                  <c:v>17712</c:v>
                </c:pt>
                <c:pt idx="231">
                  <c:v>17545</c:v>
                </c:pt>
                <c:pt idx="232">
                  <c:v>17377</c:v>
                </c:pt>
                <c:pt idx="233">
                  <c:v>17209</c:v>
                </c:pt>
                <c:pt idx="234">
                  <c:v>17041</c:v>
                </c:pt>
                <c:pt idx="235">
                  <c:v>16874</c:v>
                </c:pt>
                <c:pt idx="236">
                  <c:v>16706</c:v>
                </c:pt>
                <c:pt idx="237">
                  <c:v>16538</c:v>
                </c:pt>
                <c:pt idx="238">
                  <c:v>16370</c:v>
                </c:pt>
                <c:pt idx="239">
                  <c:v>16203</c:v>
                </c:pt>
                <c:pt idx="240">
                  <c:v>16035</c:v>
                </c:pt>
                <c:pt idx="241">
                  <c:v>15867</c:v>
                </c:pt>
                <c:pt idx="242">
                  <c:v>15700</c:v>
                </c:pt>
                <c:pt idx="243">
                  <c:v>15483</c:v>
                </c:pt>
                <c:pt idx="244">
                  <c:v>15266</c:v>
                </c:pt>
                <c:pt idx="245">
                  <c:v>15050</c:v>
                </c:pt>
                <c:pt idx="246">
                  <c:v>14833</c:v>
                </c:pt>
                <c:pt idx="247">
                  <c:v>14616</c:v>
                </c:pt>
                <c:pt idx="248">
                  <c:v>14400</c:v>
                </c:pt>
                <c:pt idx="249">
                  <c:v>14183</c:v>
                </c:pt>
                <c:pt idx="250">
                  <c:v>13966</c:v>
                </c:pt>
                <c:pt idx="251">
                  <c:v>13750</c:v>
                </c:pt>
                <c:pt idx="252">
                  <c:v>13533</c:v>
                </c:pt>
                <c:pt idx="253">
                  <c:v>13316</c:v>
                </c:pt>
                <c:pt idx="254">
                  <c:v>13100</c:v>
                </c:pt>
                <c:pt idx="255">
                  <c:v>12883</c:v>
                </c:pt>
                <c:pt idx="256">
                  <c:v>12666</c:v>
                </c:pt>
                <c:pt idx="257">
                  <c:v>12450</c:v>
                </c:pt>
                <c:pt idx="258">
                  <c:v>12233</c:v>
                </c:pt>
                <c:pt idx="259">
                  <c:v>12016</c:v>
                </c:pt>
                <c:pt idx="260">
                  <c:v>11800</c:v>
                </c:pt>
                <c:pt idx="261">
                  <c:v>11583</c:v>
                </c:pt>
                <c:pt idx="262">
                  <c:v>11366</c:v>
                </c:pt>
                <c:pt idx="263">
                  <c:v>11150</c:v>
                </c:pt>
                <c:pt idx="264">
                  <c:v>10933</c:v>
                </c:pt>
                <c:pt idx="265">
                  <c:v>10716</c:v>
                </c:pt>
                <c:pt idx="266">
                  <c:v>10500</c:v>
                </c:pt>
                <c:pt idx="267">
                  <c:v>10283</c:v>
                </c:pt>
                <c:pt idx="268">
                  <c:v>10066</c:v>
                </c:pt>
                <c:pt idx="269">
                  <c:v>9850</c:v>
                </c:pt>
                <c:pt idx="270">
                  <c:v>9633</c:v>
                </c:pt>
                <c:pt idx="271">
                  <c:v>9416</c:v>
                </c:pt>
                <c:pt idx="272">
                  <c:v>9200</c:v>
                </c:pt>
                <c:pt idx="273">
                  <c:v>8990</c:v>
                </c:pt>
                <c:pt idx="274">
                  <c:v>8780</c:v>
                </c:pt>
                <c:pt idx="275">
                  <c:v>8570</c:v>
                </c:pt>
                <c:pt idx="276">
                  <c:v>8361</c:v>
                </c:pt>
                <c:pt idx="277">
                  <c:v>8151</c:v>
                </c:pt>
                <c:pt idx="278">
                  <c:v>7941</c:v>
                </c:pt>
                <c:pt idx="279">
                  <c:v>7732</c:v>
                </c:pt>
                <c:pt idx="280">
                  <c:v>7522</c:v>
                </c:pt>
                <c:pt idx="281">
                  <c:v>7312</c:v>
                </c:pt>
                <c:pt idx="282">
                  <c:v>7103</c:v>
                </c:pt>
                <c:pt idx="283">
                  <c:v>6893</c:v>
                </c:pt>
                <c:pt idx="284">
                  <c:v>6683</c:v>
                </c:pt>
                <c:pt idx="285">
                  <c:v>6474</c:v>
                </c:pt>
                <c:pt idx="286">
                  <c:v>6264</c:v>
                </c:pt>
                <c:pt idx="287">
                  <c:v>6054</c:v>
                </c:pt>
                <c:pt idx="288">
                  <c:v>5845</c:v>
                </c:pt>
                <c:pt idx="289">
                  <c:v>5635</c:v>
                </c:pt>
                <c:pt idx="290">
                  <c:v>5425</c:v>
                </c:pt>
                <c:pt idx="291">
                  <c:v>5216</c:v>
                </c:pt>
                <c:pt idx="292">
                  <c:v>5006</c:v>
                </c:pt>
                <c:pt idx="293">
                  <c:v>4796</c:v>
                </c:pt>
                <c:pt idx="294">
                  <c:v>4587</c:v>
                </c:pt>
                <c:pt idx="295">
                  <c:v>4377</c:v>
                </c:pt>
                <c:pt idx="296">
                  <c:v>4167</c:v>
                </c:pt>
                <c:pt idx="297">
                  <c:v>3958</c:v>
                </c:pt>
                <c:pt idx="298">
                  <c:v>3748</c:v>
                </c:pt>
                <c:pt idx="299">
                  <c:v>3538</c:v>
                </c:pt>
                <c:pt idx="300">
                  <c:v>3329</c:v>
                </c:pt>
                <c:pt idx="301">
                  <c:v>3119</c:v>
                </c:pt>
                <c:pt idx="302">
                  <c:v>2909</c:v>
                </c:pt>
                <c:pt idx="303">
                  <c:v>2700</c:v>
                </c:pt>
                <c:pt idx="304">
                  <c:v>2610</c:v>
                </c:pt>
                <c:pt idx="305">
                  <c:v>2520</c:v>
                </c:pt>
                <c:pt idx="306">
                  <c:v>2430</c:v>
                </c:pt>
                <c:pt idx="307">
                  <c:v>2340</c:v>
                </c:pt>
                <c:pt idx="308">
                  <c:v>2250</c:v>
                </c:pt>
                <c:pt idx="309">
                  <c:v>2160</c:v>
                </c:pt>
                <c:pt idx="310">
                  <c:v>2070</c:v>
                </c:pt>
                <c:pt idx="311">
                  <c:v>1980</c:v>
                </c:pt>
                <c:pt idx="312">
                  <c:v>1890</c:v>
                </c:pt>
                <c:pt idx="313">
                  <c:v>1800</c:v>
                </c:pt>
                <c:pt idx="314">
                  <c:v>1710</c:v>
                </c:pt>
                <c:pt idx="315">
                  <c:v>1620</c:v>
                </c:pt>
                <c:pt idx="316">
                  <c:v>1530</c:v>
                </c:pt>
                <c:pt idx="317">
                  <c:v>1440</c:v>
                </c:pt>
                <c:pt idx="318">
                  <c:v>1350</c:v>
                </c:pt>
                <c:pt idx="319">
                  <c:v>1260</c:v>
                </c:pt>
                <c:pt idx="320">
                  <c:v>1170</c:v>
                </c:pt>
                <c:pt idx="321">
                  <c:v>1080</c:v>
                </c:pt>
                <c:pt idx="322">
                  <c:v>990</c:v>
                </c:pt>
                <c:pt idx="323">
                  <c:v>900</c:v>
                </c:pt>
                <c:pt idx="324">
                  <c:v>810</c:v>
                </c:pt>
                <c:pt idx="325">
                  <c:v>720</c:v>
                </c:pt>
                <c:pt idx="326">
                  <c:v>630</c:v>
                </c:pt>
                <c:pt idx="327">
                  <c:v>540</c:v>
                </c:pt>
                <c:pt idx="328">
                  <c:v>450</c:v>
                </c:pt>
                <c:pt idx="329">
                  <c:v>360</c:v>
                </c:pt>
                <c:pt idx="330">
                  <c:v>270</c:v>
                </c:pt>
                <c:pt idx="331">
                  <c:v>180</c:v>
                </c:pt>
                <c:pt idx="332">
                  <c:v>90</c:v>
                </c:pt>
                <c:pt idx="333">
                  <c:v>0</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er>
        <c:marker val="1"/>
        <c:axId val="138581120"/>
        <c:axId val="138582656"/>
      </c:lineChart>
      <c:catAx>
        <c:axId val="138581120"/>
        <c:scaling>
          <c:orientation val="minMax"/>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38582656"/>
        <c:crossesAt val="-1"/>
        <c:auto val="1"/>
        <c:lblAlgn val="ctr"/>
        <c:lblOffset val="100"/>
        <c:tickMarkSkip val="7"/>
      </c:catAx>
      <c:valAx>
        <c:axId val="138582656"/>
        <c:scaling>
          <c:orientation val="minMax"/>
          <c:max val="55000"/>
          <c:min val="0"/>
        </c:scaling>
        <c:axPos val="l"/>
        <c:majorGridlines>
          <c:spPr>
            <a:ln w="3175">
              <a:solidFill>
                <a:schemeClr val="tx1"/>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22940416032E-2"/>
              <c:y val="0.397479634111924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8581120"/>
        <c:crosses val="autoZero"/>
        <c:crossBetween val="between"/>
        <c:majorUnit val="5000"/>
        <c:minorUnit val="1000"/>
      </c:valAx>
      <c:spPr>
        <a:noFill/>
        <a:ln>
          <a:solidFill>
            <a:schemeClr val="tx1"/>
          </a:solidFill>
        </a:ln>
      </c:spPr>
    </c:plotArea>
    <c:legend>
      <c:legendPos val="r"/>
      <c:layout>
        <c:manualLayout>
          <c:xMode val="edge"/>
          <c:yMode val="edge"/>
          <c:x val="8.4669722041542744E-2"/>
          <c:y val="0.78646362042772833"/>
          <c:w val="0.86737754334805361"/>
          <c:h val="0.17314062645277936"/>
        </c:manualLayout>
      </c:layout>
      <c:overlay val="1"/>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Partner Storage for 2014</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72374"/>
          <c:y val="0.11764812325288609"/>
          <c:w val="0.85092348284960462"/>
          <c:h val="0.72906608625141367"/>
        </c:manualLayout>
      </c:layout>
      <c:lineChart>
        <c:grouping val="standard"/>
        <c:ser>
          <c:idx val="5"/>
          <c:order val="0"/>
          <c:tx>
            <c:strRef>
              <c:f>Calculation!$BD$7</c:f>
              <c:strCache>
                <c:ptCount val="1"/>
                <c:pt idx="0">
                  <c:v>Total Tacoma Storage (AF)</c:v>
                </c:pt>
              </c:strCache>
            </c:strRef>
          </c:tx>
          <c:spPr>
            <a:ln w="25400">
              <a:solidFill>
                <a:srgbClr val="99CC00"/>
              </a:solidFill>
              <a:prstDash val="solid"/>
            </a:ln>
          </c:spPr>
          <c:marker>
            <c:symbol val="none"/>
          </c:marker>
          <c:cat>
            <c:numRef>
              <c:f>Calculation!$B$12:$B$377</c:f>
              <c:numCache>
                <c:formatCode>m/d/yyyy</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Calculation!$BD$12:$BD$377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82.631466666666668</c:v>
                </c:pt>
                <c:pt idx="52">
                  <c:v>165.26293333333334</c:v>
                </c:pt>
                <c:pt idx="53">
                  <c:v>247.89439999999999</c:v>
                </c:pt>
                <c:pt idx="54">
                  <c:v>330.52586666666667</c:v>
                </c:pt>
                <c:pt idx="55">
                  <c:v>413.15733333333333</c:v>
                </c:pt>
                <c:pt idx="56">
                  <c:v>495.78879999999998</c:v>
                </c:pt>
                <c:pt idx="57">
                  <c:v>578.42026666666663</c:v>
                </c:pt>
                <c:pt idx="58">
                  <c:v>661.05173333333335</c:v>
                </c:pt>
                <c:pt idx="59">
                  <c:v>743.68320000000006</c:v>
                </c:pt>
                <c:pt idx="60">
                  <c:v>826.31466666666665</c:v>
                </c:pt>
                <c:pt idx="61">
                  <c:v>908.94613333333325</c:v>
                </c:pt>
                <c:pt idx="62">
                  <c:v>991.57759999999996</c:v>
                </c:pt>
                <c:pt idx="63">
                  <c:v>1074.2090666666666</c:v>
                </c:pt>
                <c:pt idx="64">
                  <c:v>1156.8405333333333</c:v>
                </c:pt>
                <c:pt idx="65">
                  <c:v>1239.472</c:v>
                </c:pt>
                <c:pt idx="66">
                  <c:v>1322.1034666666667</c:v>
                </c:pt>
                <c:pt idx="67">
                  <c:v>1404.7349333333334</c:v>
                </c:pt>
                <c:pt idx="68">
                  <c:v>1487.3664000000001</c:v>
                </c:pt>
                <c:pt idx="69">
                  <c:v>1569.9978666666668</c:v>
                </c:pt>
                <c:pt idx="70">
                  <c:v>1652.6293333333333</c:v>
                </c:pt>
                <c:pt idx="71">
                  <c:v>1735.2607999999998</c:v>
                </c:pt>
                <c:pt idx="72">
                  <c:v>1817.8922666666663</c:v>
                </c:pt>
                <c:pt idx="73">
                  <c:v>1900.5237333333328</c:v>
                </c:pt>
                <c:pt idx="74">
                  <c:v>1983.1551999999992</c:v>
                </c:pt>
                <c:pt idx="75">
                  <c:v>2065.786666666666</c:v>
                </c:pt>
                <c:pt idx="76">
                  <c:v>2148.4181333333322</c:v>
                </c:pt>
                <c:pt idx="77">
                  <c:v>2231.0495999999989</c:v>
                </c:pt>
                <c:pt idx="78">
                  <c:v>2313.6810666666652</c:v>
                </c:pt>
                <c:pt idx="79">
                  <c:v>2396.3125333333319</c:v>
                </c:pt>
                <c:pt idx="80">
                  <c:v>2478.9439999999981</c:v>
                </c:pt>
                <c:pt idx="81">
                  <c:v>2561.5754666666649</c:v>
                </c:pt>
                <c:pt idx="82">
                  <c:v>2644.2069333333311</c:v>
                </c:pt>
                <c:pt idx="83">
                  <c:v>2726.8383999999978</c:v>
                </c:pt>
                <c:pt idx="84">
                  <c:v>2809.4698666666645</c:v>
                </c:pt>
                <c:pt idx="85">
                  <c:v>2892.1013333333308</c:v>
                </c:pt>
                <c:pt idx="86">
                  <c:v>2974.7327999999975</c:v>
                </c:pt>
                <c:pt idx="87">
                  <c:v>3057.3642666666638</c:v>
                </c:pt>
                <c:pt idx="88">
                  <c:v>3139.9957333333305</c:v>
                </c:pt>
                <c:pt idx="89">
                  <c:v>3222.6271999999967</c:v>
                </c:pt>
                <c:pt idx="90">
                  <c:v>3305.2586666666639</c:v>
                </c:pt>
                <c:pt idx="91">
                  <c:v>3387.8901333333306</c:v>
                </c:pt>
                <c:pt idx="92">
                  <c:v>3470.5215999999973</c:v>
                </c:pt>
                <c:pt idx="93">
                  <c:v>3553.1530666666645</c:v>
                </c:pt>
                <c:pt idx="94">
                  <c:v>3635.7845333333312</c:v>
                </c:pt>
                <c:pt idx="95">
                  <c:v>3718.4159999999979</c:v>
                </c:pt>
                <c:pt idx="96">
                  <c:v>3801.0474666666651</c:v>
                </c:pt>
                <c:pt idx="97">
                  <c:v>3883.6789333333318</c:v>
                </c:pt>
                <c:pt idx="98">
                  <c:v>3966.3103999999985</c:v>
                </c:pt>
                <c:pt idx="99">
                  <c:v>4048.9418666666652</c:v>
                </c:pt>
                <c:pt idx="100">
                  <c:v>4131.5733333333319</c:v>
                </c:pt>
                <c:pt idx="101">
                  <c:v>4214.2047999999995</c:v>
                </c:pt>
                <c:pt idx="102">
                  <c:v>4296.8362666666662</c:v>
                </c:pt>
                <c:pt idx="103">
                  <c:v>4379.4677333333329</c:v>
                </c:pt>
                <c:pt idx="104">
                  <c:v>4462.0991999999997</c:v>
                </c:pt>
                <c:pt idx="105">
                  <c:v>4544.7306666666664</c:v>
                </c:pt>
                <c:pt idx="106">
                  <c:v>4627.3621333333331</c:v>
                </c:pt>
                <c:pt idx="107">
                  <c:v>4709.9935999999998</c:v>
                </c:pt>
                <c:pt idx="108">
                  <c:v>4792.6250666666674</c:v>
                </c:pt>
                <c:pt idx="109">
                  <c:v>4875.2565333333341</c:v>
                </c:pt>
                <c:pt idx="110">
                  <c:v>4957.8880000000008</c:v>
                </c:pt>
                <c:pt idx="111">
                  <c:v>5040.5194666666675</c:v>
                </c:pt>
                <c:pt idx="112">
                  <c:v>5123.1509333333343</c:v>
                </c:pt>
                <c:pt idx="113">
                  <c:v>5205.782400000001</c:v>
                </c:pt>
                <c:pt idx="114">
                  <c:v>5288.4138666666686</c:v>
                </c:pt>
                <c:pt idx="115">
                  <c:v>5371.0453333333353</c:v>
                </c:pt>
                <c:pt idx="116">
                  <c:v>5453.676800000002</c:v>
                </c:pt>
                <c:pt idx="117">
                  <c:v>5536.3082666666687</c:v>
                </c:pt>
                <c:pt idx="118">
                  <c:v>5618.9397333333354</c:v>
                </c:pt>
                <c:pt idx="119">
                  <c:v>5701.5712000000021</c:v>
                </c:pt>
                <c:pt idx="120">
                  <c:v>5784.2026666666698</c:v>
                </c:pt>
                <c:pt idx="121">
                  <c:v>5866.8341333333365</c:v>
                </c:pt>
                <c:pt idx="122">
                  <c:v>5949.4656000000032</c:v>
                </c:pt>
                <c:pt idx="123">
                  <c:v>6032.0970666666699</c:v>
                </c:pt>
                <c:pt idx="124">
                  <c:v>6114.7285333333366</c:v>
                </c:pt>
                <c:pt idx="125">
                  <c:v>6197.3600000000033</c:v>
                </c:pt>
                <c:pt idx="126">
                  <c:v>6279.99146666667</c:v>
                </c:pt>
                <c:pt idx="127">
                  <c:v>6362.6229333333367</c:v>
                </c:pt>
                <c:pt idx="128">
                  <c:v>6445.2544000000034</c:v>
                </c:pt>
                <c:pt idx="129">
                  <c:v>6527.8858666666702</c:v>
                </c:pt>
                <c:pt idx="130">
                  <c:v>6610.5173333333369</c:v>
                </c:pt>
                <c:pt idx="131">
                  <c:v>6693.1488000000045</c:v>
                </c:pt>
                <c:pt idx="132">
                  <c:v>6775.7802666666712</c:v>
                </c:pt>
                <c:pt idx="133">
                  <c:v>6858.4117333333379</c:v>
                </c:pt>
                <c:pt idx="134">
                  <c:v>6941.0432000000046</c:v>
                </c:pt>
                <c:pt idx="135">
                  <c:v>7023.6746666666713</c:v>
                </c:pt>
                <c:pt idx="136">
                  <c:v>7106.306133333338</c:v>
                </c:pt>
                <c:pt idx="137">
                  <c:v>7188.9376000000047</c:v>
                </c:pt>
                <c:pt idx="138">
                  <c:v>7271.5690666666724</c:v>
                </c:pt>
                <c:pt idx="139">
                  <c:v>7354.2005333333391</c:v>
                </c:pt>
                <c:pt idx="140">
                  <c:v>7436.8320000000058</c:v>
                </c:pt>
                <c:pt idx="141">
                  <c:v>7519.4634666666725</c:v>
                </c:pt>
                <c:pt idx="142">
                  <c:v>7602.0949333333392</c:v>
                </c:pt>
                <c:pt idx="143">
                  <c:v>7684.7264000000059</c:v>
                </c:pt>
                <c:pt idx="144">
                  <c:v>7767.3578666666735</c:v>
                </c:pt>
                <c:pt idx="145">
                  <c:v>7849.9893333333403</c:v>
                </c:pt>
                <c:pt idx="146">
                  <c:v>7932.620800000007</c:v>
                </c:pt>
                <c:pt idx="147">
                  <c:v>8015.2522666666737</c:v>
                </c:pt>
                <c:pt idx="148">
                  <c:v>8097.8837333333404</c:v>
                </c:pt>
                <c:pt idx="149">
                  <c:v>8180.5152000000071</c:v>
                </c:pt>
                <c:pt idx="150">
                  <c:v>8263.1466666666747</c:v>
                </c:pt>
                <c:pt idx="151">
                  <c:v>8333.3271666666678</c:v>
                </c:pt>
                <c:pt idx="152">
                  <c:v>8333.3271666666678</c:v>
                </c:pt>
                <c:pt idx="153">
                  <c:v>8333.3271666666678</c:v>
                </c:pt>
                <c:pt idx="154">
                  <c:v>8333.3271666666678</c:v>
                </c:pt>
                <c:pt idx="155">
                  <c:v>8333.3271666666678</c:v>
                </c:pt>
                <c:pt idx="156">
                  <c:v>8333.3271666666678</c:v>
                </c:pt>
                <c:pt idx="157">
                  <c:v>8333.3271666666678</c:v>
                </c:pt>
                <c:pt idx="158">
                  <c:v>8333.3271666666678</c:v>
                </c:pt>
                <c:pt idx="159">
                  <c:v>8333.3271666666678</c:v>
                </c:pt>
                <c:pt idx="160">
                  <c:v>8333.3271666666678</c:v>
                </c:pt>
                <c:pt idx="161">
                  <c:v>8333.3271666666678</c:v>
                </c:pt>
                <c:pt idx="162">
                  <c:v>8333.3271666666678</c:v>
                </c:pt>
                <c:pt idx="163">
                  <c:v>8333.3271666666678</c:v>
                </c:pt>
                <c:pt idx="164">
                  <c:v>8333.3271666666678</c:v>
                </c:pt>
                <c:pt idx="165">
                  <c:v>8333.3271666666678</c:v>
                </c:pt>
                <c:pt idx="166">
                  <c:v>8333.3271666666678</c:v>
                </c:pt>
                <c:pt idx="167">
                  <c:v>8333.3271666666678</c:v>
                </c:pt>
                <c:pt idx="168">
                  <c:v>4166.088333333334</c:v>
                </c:pt>
                <c:pt idx="169">
                  <c:v>4166.088333333334</c:v>
                </c:pt>
                <c:pt idx="170">
                  <c:v>4166.088333333334</c:v>
                </c:pt>
                <c:pt idx="171">
                  <c:v>4166.088333333334</c:v>
                </c:pt>
                <c:pt idx="172">
                  <c:v>4166.088333333334</c:v>
                </c:pt>
                <c:pt idx="173">
                  <c:v>4166.088333333334</c:v>
                </c:pt>
                <c:pt idx="174">
                  <c:v>4166.088333333334</c:v>
                </c:pt>
                <c:pt idx="175">
                  <c:v>4166.088333333334</c:v>
                </c:pt>
                <c:pt idx="176">
                  <c:v>4166.088333333334</c:v>
                </c:pt>
                <c:pt idx="177">
                  <c:v>4166.088333333334</c:v>
                </c:pt>
                <c:pt idx="178">
                  <c:v>4166.088333333334</c:v>
                </c:pt>
                <c:pt idx="179">
                  <c:v>4166.088333333334</c:v>
                </c:pt>
                <c:pt idx="180">
                  <c:v>4166.088333333334</c:v>
                </c:pt>
                <c:pt idx="181">
                  <c:v>4166.088333333334</c:v>
                </c:pt>
                <c:pt idx="182">
                  <c:v>4166.088333333334</c:v>
                </c:pt>
                <c:pt idx="183">
                  <c:v>4166.088333333334</c:v>
                </c:pt>
                <c:pt idx="184">
                  <c:v>4166.088333333334</c:v>
                </c:pt>
                <c:pt idx="185">
                  <c:v>4166.088333333334</c:v>
                </c:pt>
                <c:pt idx="186">
                  <c:v>4166.088333333334</c:v>
                </c:pt>
                <c:pt idx="187">
                  <c:v>4166.088333333334</c:v>
                </c:pt>
                <c:pt idx="188">
                  <c:v>4156.8843333333334</c:v>
                </c:pt>
                <c:pt idx="189">
                  <c:v>4147.6803333333337</c:v>
                </c:pt>
                <c:pt idx="190">
                  <c:v>4133.8743333333332</c:v>
                </c:pt>
                <c:pt idx="191">
                  <c:v>4109.3303333333333</c:v>
                </c:pt>
                <c:pt idx="192">
                  <c:v>4084.7863333333335</c:v>
                </c:pt>
                <c:pt idx="193">
                  <c:v>4060.2423333333336</c:v>
                </c:pt>
                <c:pt idx="194">
                  <c:v>4035.6983333333337</c:v>
                </c:pt>
                <c:pt idx="195">
                  <c:v>4011.1543333333339</c:v>
                </c:pt>
                <c:pt idx="196">
                  <c:v>3986.6103333333335</c:v>
                </c:pt>
                <c:pt idx="197">
                  <c:v>3962.0663333333337</c:v>
                </c:pt>
                <c:pt idx="198">
                  <c:v>3949.7943333333337</c:v>
                </c:pt>
                <c:pt idx="199">
                  <c:v>3949.7943333333337</c:v>
                </c:pt>
                <c:pt idx="200">
                  <c:v>3949.7943333333337</c:v>
                </c:pt>
                <c:pt idx="201">
                  <c:v>3947.9535333333338</c:v>
                </c:pt>
                <c:pt idx="202">
                  <c:v>3947.9535333333338</c:v>
                </c:pt>
                <c:pt idx="203">
                  <c:v>3947.9535333333338</c:v>
                </c:pt>
                <c:pt idx="204">
                  <c:v>3947.9535333333338</c:v>
                </c:pt>
                <c:pt idx="205">
                  <c:v>3947.9535333333338</c:v>
                </c:pt>
                <c:pt idx="206">
                  <c:v>3947.9535333333338</c:v>
                </c:pt>
                <c:pt idx="207">
                  <c:v>3947.9535333333338</c:v>
                </c:pt>
                <c:pt idx="208">
                  <c:v>3929.5455333333339</c:v>
                </c:pt>
                <c:pt idx="209">
                  <c:v>3892.1159333333339</c:v>
                </c:pt>
                <c:pt idx="210">
                  <c:v>3849.7775333333338</c:v>
                </c:pt>
                <c:pt idx="211">
                  <c:v>3822.1655333333338</c:v>
                </c:pt>
                <c:pt idx="212">
                  <c:v>3797.6215333333339</c:v>
                </c:pt>
                <c:pt idx="213">
                  <c:v>3780.1032533333337</c:v>
                </c:pt>
                <c:pt idx="214">
                  <c:v>3762.4929333333339</c:v>
                </c:pt>
                <c:pt idx="215">
                  <c:v>3744.084933333334</c:v>
                </c:pt>
                <c:pt idx="216">
                  <c:v>3744.084933333334</c:v>
                </c:pt>
                <c:pt idx="217">
                  <c:v>3744.084933333334</c:v>
                </c:pt>
                <c:pt idx="218">
                  <c:v>3744.084933333334</c:v>
                </c:pt>
                <c:pt idx="219">
                  <c:v>3744.084933333334</c:v>
                </c:pt>
                <c:pt idx="220">
                  <c:v>3742.244133333334</c:v>
                </c:pt>
                <c:pt idx="221">
                  <c:v>3739.9768813333339</c:v>
                </c:pt>
                <c:pt idx="222">
                  <c:v>3737.7372413333337</c:v>
                </c:pt>
                <c:pt idx="223">
                  <c:v>3735.4976013333339</c:v>
                </c:pt>
                <c:pt idx="224">
                  <c:v>3735.4976013333339</c:v>
                </c:pt>
                <c:pt idx="225">
                  <c:v>3733.2579613333337</c:v>
                </c:pt>
                <c:pt idx="226">
                  <c:v>3733.2579613333337</c:v>
                </c:pt>
                <c:pt idx="227">
                  <c:v>3733.2579613333337</c:v>
                </c:pt>
                <c:pt idx="228">
                  <c:v>3733.2579613333337</c:v>
                </c:pt>
                <c:pt idx="229">
                  <c:v>3733.2579613333337</c:v>
                </c:pt>
                <c:pt idx="230">
                  <c:v>3733.2579613333337</c:v>
                </c:pt>
                <c:pt idx="231">
                  <c:v>3733.2579613333337</c:v>
                </c:pt>
                <c:pt idx="232">
                  <c:v>3196.1677453333341</c:v>
                </c:pt>
                <c:pt idx="233">
                  <c:v>3196.1677453333341</c:v>
                </c:pt>
                <c:pt idx="234">
                  <c:v>3196.1677453333341</c:v>
                </c:pt>
                <c:pt idx="235">
                  <c:v>3196.1677453333341</c:v>
                </c:pt>
                <c:pt idx="236">
                  <c:v>3196.1677453333341</c:v>
                </c:pt>
                <c:pt idx="237">
                  <c:v>3196.1677453333341</c:v>
                </c:pt>
                <c:pt idx="238">
                  <c:v>3196.1677453333341</c:v>
                </c:pt>
                <c:pt idx="239">
                  <c:v>3195.4007453333343</c:v>
                </c:pt>
                <c:pt idx="240">
                  <c:v>3195.4007453333343</c:v>
                </c:pt>
                <c:pt idx="241">
                  <c:v>3195.4007453333343</c:v>
                </c:pt>
                <c:pt idx="242">
                  <c:v>3195.4007453333343</c:v>
                </c:pt>
                <c:pt idx="243">
                  <c:v>3195.4007453333343</c:v>
                </c:pt>
                <c:pt idx="244">
                  <c:v>3195.4007453333343</c:v>
                </c:pt>
                <c:pt idx="245">
                  <c:v>3195.4007453333343</c:v>
                </c:pt>
                <c:pt idx="246">
                  <c:v>3195.4007453333343</c:v>
                </c:pt>
                <c:pt idx="247">
                  <c:v>3195.4007453333343</c:v>
                </c:pt>
                <c:pt idx="248">
                  <c:v>3195.4007453333343</c:v>
                </c:pt>
                <c:pt idx="249">
                  <c:v>3195.4007453333343</c:v>
                </c:pt>
                <c:pt idx="250">
                  <c:v>3195.4007453333343</c:v>
                </c:pt>
                <c:pt idx="251">
                  <c:v>2195.2327453333342</c:v>
                </c:pt>
                <c:pt idx="252">
                  <c:v>2195.2327453333342</c:v>
                </c:pt>
                <c:pt idx="253">
                  <c:v>2195.2327453333342</c:v>
                </c:pt>
                <c:pt idx="254">
                  <c:v>2195.2327453333342</c:v>
                </c:pt>
                <c:pt idx="255">
                  <c:v>2195.2327453333342</c:v>
                </c:pt>
                <c:pt idx="256">
                  <c:v>2195.2327453333342</c:v>
                </c:pt>
                <c:pt idx="257">
                  <c:v>2195.2327453333342</c:v>
                </c:pt>
                <c:pt idx="258">
                  <c:v>2195.2327453333342</c:v>
                </c:pt>
                <c:pt idx="259">
                  <c:v>2195.2327453333342</c:v>
                </c:pt>
                <c:pt idx="260">
                  <c:v>2195.2327453333342</c:v>
                </c:pt>
                <c:pt idx="261">
                  <c:v>2195.2327453333342</c:v>
                </c:pt>
                <c:pt idx="262">
                  <c:v>2195.2327453333342</c:v>
                </c:pt>
                <c:pt idx="263">
                  <c:v>2195.2327453333342</c:v>
                </c:pt>
                <c:pt idx="264">
                  <c:v>2195.2327453333342</c:v>
                </c:pt>
                <c:pt idx="265">
                  <c:v>2195.2327453333342</c:v>
                </c:pt>
                <c:pt idx="266">
                  <c:v>2195.2327453333342</c:v>
                </c:pt>
                <c:pt idx="267">
                  <c:v>2195.2327453333342</c:v>
                </c:pt>
                <c:pt idx="268">
                  <c:v>2195.2327453333342</c:v>
                </c:pt>
                <c:pt idx="269">
                  <c:v>2195.2327453333342</c:v>
                </c:pt>
                <c:pt idx="270">
                  <c:v>2195.2327453333342</c:v>
                </c:pt>
                <c:pt idx="271">
                  <c:v>2195.2327453333342</c:v>
                </c:pt>
                <c:pt idx="272">
                  <c:v>2195.2327453333342</c:v>
                </c:pt>
                <c:pt idx="273">
                  <c:v>2195.2327453333342</c:v>
                </c:pt>
                <c:pt idx="274">
                  <c:v>2195.2327453333342</c:v>
                </c:pt>
                <c:pt idx="275">
                  <c:v>2195.2327453333342</c:v>
                </c:pt>
                <c:pt idx="276">
                  <c:v>2195.2327453333342</c:v>
                </c:pt>
                <c:pt idx="277">
                  <c:v>2195.2327453333342</c:v>
                </c:pt>
                <c:pt idx="278">
                  <c:v>2195.2327453333342</c:v>
                </c:pt>
                <c:pt idx="279">
                  <c:v>1195.064745333334</c:v>
                </c:pt>
                <c:pt idx="280">
                  <c:v>1195.064745333334</c:v>
                </c:pt>
                <c:pt idx="281">
                  <c:v>1195.064745333334</c:v>
                </c:pt>
                <c:pt idx="282">
                  <c:v>1195.064745333334</c:v>
                </c:pt>
                <c:pt idx="283">
                  <c:v>1195.064745333334</c:v>
                </c:pt>
                <c:pt idx="284">
                  <c:v>1195.064745333334</c:v>
                </c:pt>
                <c:pt idx="285">
                  <c:v>1195.064745333334</c:v>
                </c:pt>
                <c:pt idx="286">
                  <c:v>1195.064745333334</c:v>
                </c:pt>
                <c:pt idx="287">
                  <c:v>1195.064745333334</c:v>
                </c:pt>
                <c:pt idx="288">
                  <c:v>1195.064745333334</c:v>
                </c:pt>
                <c:pt idx="289">
                  <c:v>1195.064745333334</c:v>
                </c:pt>
                <c:pt idx="290">
                  <c:v>1195.064745333334</c:v>
                </c:pt>
                <c:pt idx="291">
                  <c:v>1195.064745333334</c:v>
                </c:pt>
                <c:pt idx="292">
                  <c:v>1195.064745333334</c:v>
                </c:pt>
                <c:pt idx="293">
                  <c:v>294.91354533333396</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0"/>
          <c:order val="1"/>
          <c:tx>
            <c:strRef>
              <c:f>Calculation!$DK$7</c:f>
              <c:strCache>
                <c:ptCount val="1"/>
                <c:pt idx="0">
                  <c:v>Total Lakehaven Storage (AF)</c:v>
                </c:pt>
              </c:strCache>
            </c:strRef>
          </c:tx>
          <c:marker>
            <c:symbol val="none"/>
          </c:marker>
          <c:cat>
            <c:numRef>
              <c:f>Calculation!$B$12:$B$377</c:f>
              <c:numCache>
                <c:formatCode>m/d/yyyy</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26.976060898345153</c:v>
                </c:pt>
                <c:pt idx="52">
                  <c:v>48.640390263667591</c:v>
                </c:pt>
                <c:pt idx="53">
                  <c:v>70.35105444468752</c:v>
                </c:pt>
                <c:pt idx="54">
                  <c:v>92.273963608233089</c:v>
                </c:pt>
                <c:pt idx="55">
                  <c:v>113.93575579780529</c:v>
                </c:pt>
                <c:pt idx="56">
                  <c:v>135.66872508076437</c:v>
                </c:pt>
                <c:pt idx="57">
                  <c:v>160.97885596580656</c:v>
                </c:pt>
                <c:pt idx="58">
                  <c:v>189.15833669135574</c:v>
                </c:pt>
                <c:pt idx="59">
                  <c:v>216.11605347319858</c:v>
                </c:pt>
                <c:pt idx="60">
                  <c:v>243.27421708048121</c:v>
                </c:pt>
                <c:pt idx="61">
                  <c:v>270.01067306964109</c:v>
                </c:pt>
                <c:pt idx="62">
                  <c:v>296.87078705126703</c:v>
                </c:pt>
                <c:pt idx="63">
                  <c:v>322.66705559566913</c:v>
                </c:pt>
                <c:pt idx="64">
                  <c:v>342.89617755476775</c:v>
                </c:pt>
                <c:pt idx="65">
                  <c:v>362.92170522293878</c:v>
                </c:pt>
                <c:pt idx="66">
                  <c:v>382.98102165912729</c:v>
                </c:pt>
                <c:pt idx="67">
                  <c:v>402.81840211806451</c:v>
                </c:pt>
                <c:pt idx="68">
                  <c:v>422.82938276668045</c:v>
                </c:pt>
                <c:pt idx="69">
                  <c:v>442.85840419885659</c:v>
                </c:pt>
                <c:pt idx="70">
                  <c:v>462.82465288619909</c:v>
                </c:pt>
                <c:pt idx="71">
                  <c:v>482.73985904619559</c:v>
                </c:pt>
                <c:pt idx="72">
                  <c:v>502.70761657860658</c:v>
                </c:pt>
                <c:pt idx="73">
                  <c:v>522.56284048123712</c:v>
                </c:pt>
                <c:pt idx="74">
                  <c:v>542.51935617893162</c:v>
                </c:pt>
                <c:pt idx="75">
                  <c:v>562.38942587954068</c:v>
                </c:pt>
                <c:pt idx="76">
                  <c:v>582.29213498679826</c:v>
                </c:pt>
                <c:pt idx="77">
                  <c:v>602.24299338877665</c:v>
                </c:pt>
                <c:pt idx="78">
                  <c:v>622.12935643673791</c:v>
                </c:pt>
                <c:pt idx="79">
                  <c:v>644.03935060340461</c:v>
                </c:pt>
                <c:pt idx="80">
                  <c:v>666.84257344447349</c:v>
                </c:pt>
                <c:pt idx="81">
                  <c:v>689.80648652633124</c:v>
                </c:pt>
                <c:pt idx="82">
                  <c:v>712.55550230718131</c:v>
                </c:pt>
                <c:pt idx="83">
                  <c:v>735.27354607652023</c:v>
                </c:pt>
                <c:pt idx="84">
                  <c:v>758.14595497908965</c:v>
                </c:pt>
                <c:pt idx="85">
                  <c:v>780.92567432368776</c:v>
                </c:pt>
                <c:pt idx="86">
                  <c:v>802.80357188966116</c:v>
                </c:pt>
                <c:pt idx="87">
                  <c:v>823.33665674979795</c:v>
                </c:pt>
                <c:pt idx="88">
                  <c:v>843.62412019933436</c:v>
                </c:pt>
                <c:pt idx="89">
                  <c:v>863.88781800855872</c:v>
                </c:pt>
                <c:pt idx="90">
                  <c:v>884.31728911966991</c:v>
                </c:pt>
                <c:pt idx="91">
                  <c:v>904.71108160032043</c:v>
                </c:pt>
                <c:pt idx="92">
                  <c:v>925.18772862979893</c:v>
                </c:pt>
                <c:pt idx="93">
                  <c:v>945.57661517398094</c:v>
                </c:pt>
                <c:pt idx="94">
                  <c:v>965.9825540851707</c:v>
                </c:pt>
                <c:pt idx="95">
                  <c:v>986.26698039502241</c:v>
                </c:pt>
                <c:pt idx="96">
                  <c:v>1006.9112115061334</c:v>
                </c:pt>
                <c:pt idx="97">
                  <c:v>1027.5606082506042</c:v>
                </c:pt>
                <c:pt idx="98">
                  <c:v>1047.7483315451727</c:v>
                </c:pt>
                <c:pt idx="99">
                  <c:v>1068.1774035865162</c:v>
                </c:pt>
                <c:pt idx="100">
                  <c:v>1088.4727408292988</c:v>
                </c:pt>
                <c:pt idx="101">
                  <c:v>1109.4768202272626</c:v>
                </c:pt>
                <c:pt idx="102">
                  <c:v>1130.0787939798831</c:v>
                </c:pt>
                <c:pt idx="103">
                  <c:v>1151.0622526859308</c:v>
                </c:pt>
                <c:pt idx="104">
                  <c:v>1171.3506390083096</c:v>
                </c:pt>
                <c:pt idx="105">
                  <c:v>1191.5979822639611</c:v>
                </c:pt>
                <c:pt idx="106">
                  <c:v>1211.6108967553539</c:v>
                </c:pt>
                <c:pt idx="107">
                  <c:v>1231.3874213350564</c:v>
                </c:pt>
                <c:pt idx="108">
                  <c:v>1251.3376372899174</c:v>
                </c:pt>
                <c:pt idx="109">
                  <c:v>1270.9472192966093</c:v>
                </c:pt>
                <c:pt idx="110">
                  <c:v>1290.9061957499184</c:v>
                </c:pt>
                <c:pt idx="111">
                  <c:v>1310.8491388891655</c:v>
                </c:pt>
                <c:pt idx="112">
                  <c:v>1331.2550497807549</c:v>
                </c:pt>
                <c:pt idx="113">
                  <c:v>1351.9746344341859</c:v>
                </c:pt>
                <c:pt idx="114">
                  <c:v>1372.3805453257751</c:v>
                </c:pt>
                <c:pt idx="115">
                  <c:v>1392.7864562173645</c:v>
                </c:pt>
                <c:pt idx="116">
                  <c:v>1413.1994813096669</c:v>
                </c:pt>
                <c:pt idx="117">
                  <c:v>1440.8583934117335</c:v>
                </c:pt>
                <c:pt idx="118">
                  <c:v>1465.2920513189611</c:v>
                </c:pt>
                <c:pt idx="119">
                  <c:v>1485.6794305271746</c:v>
                </c:pt>
                <c:pt idx="120">
                  <c:v>1506.0786640233209</c:v>
                </c:pt>
                <c:pt idx="121">
                  <c:v>1528.1358562303224</c:v>
                </c:pt>
                <c:pt idx="122">
                  <c:v>1551.3379275600128</c:v>
                </c:pt>
                <c:pt idx="123">
                  <c:v>1574.1542689964863</c:v>
                </c:pt>
                <c:pt idx="124">
                  <c:v>1597.3437909542615</c:v>
                </c:pt>
                <c:pt idx="125">
                  <c:v>1620.6496649258652</c:v>
                </c:pt>
                <c:pt idx="126">
                  <c:v>1643.9861109959445</c:v>
                </c:pt>
                <c:pt idx="127">
                  <c:v>1667.1335561141061</c:v>
                </c:pt>
                <c:pt idx="128">
                  <c:v>1690.1411482079259</c:v>
                </c:pt>
                <c:pt idx="129">
                  <c:v>1719.2706395137518</c:v>
                </c:pt>
                <c:pt idx="130">
                  <c:v>1748.5502510844976</c:v>
                </c:pt>
                <c:pt idx="131">
                  <c:v>1770.5444021956089</c:v>
                </c:pt>
                <c:pt idx="132">
                  <c:v>1789.668702537489</c:v>
                </c:pt>
                <c:pt idx="133">
                  <c:v>1808.4325172360934</c:v>
                </c:pt>
                <c:pt idx="134">
                  <c:v>1827.2306188468201</c:v>
                </c:pt>
                <c:pt idx="135">
                  <c:v>1845.7423415847625</c:v>
                </c:pt>
                <c:pt idx="136">
                  <c:v>1864.2336295055318</c:v>
                </c:pt>
                <c:pt idx="137">
                  <c:v>1882.8274205038515</c:v>
                </c:pt>
                <c:pt idx="138">
                  <c:v>1901.3650002156801</c:v>
                </c:pt>
                <c:pt idx="139">
                  <c:v>1919.9434315523745</c:v>
                </c:pt>
                <c:pt idx="140">
                  <c:v>1938.4964010138954</c:v>
                </c:pt>
                <c:pt idx="141">
                  <c:v>1957.079946982589</c:v>
                </c:pt>
                <c:pt idx="142">
                  <c:v>1975.4107505510203</c:v>
                </c:pt>
                <c:pt idx="143">
                  <c:v>1993.9331519164343</c:v>
                </c:pt>
                <c:pt idx="144">
                  <c:v>2012.3993386650261</c:v>
                </c:pt>
                <c:pt idx="145">
                  <c:v>2030.9268148491578</c:v>
                </c:pt>
                <c:pt idx="146">
                  <c:v>2049.3830237835723</c:v>
                </c:pt>
                <c:pt idx="147">
                  <c:v>2067.9666405160001</c:v>
                </c:pt>
                <c:pt idx="148">
                  <c:v>2086.4532871986871</c:v>
                </c:pt>
                <c:pt idx="149">
                  <c:v>2103.9496618684466</c:v>
                </c:pt>
                <c:pt idx="150">
                  <c:v>2120.8457966077294</c:v>
                </c:pt>
                <c:pt idx="151">
                  <c:v>2198.5657361632848</c:v>
                </c:pt>
                <c:pt idx="152">
                  <c:v>2276.0887877338259</c:v>
                </c:pt>
                <c:pt idx="153">
                  <c:v>2353.7612668349493</c:v>
                </c:pt>
                <c:pt idx="154">
                  <c:v>2431.3337976032194</c:v>
                </c:pt>
                <c:pt idx="155">
                  <c:v>2508.6388062171204</c:v>
                </c:pt>
                <c:pt idx="156">
                  <c:v>2578.6527725759397</c:v>
                </c:pt>
                <c:pt idx="157">
                  <c:v>2646.2591045447939</c:v>
                </c:pt>
                <c:pt idx="158">
                  <c:v>2713.9154674622318</c:v>
                </c:pt>
                <c:pt idx="159">
                  <c:v>2785.4289083618332</c:v>
                </c:pt>
                <c:pt idx="160">
                  <c:v>2862.5704229531843</c:v>
                </c:pt>
                <c:pt idx="161">
                  <c:v>3029.9907165588847</c:v>
                </c:pt>
                <c:pt idx="162">
                  <c:v>3197.2956074326712</c:v>
                </c:pt>
                <c:pt idx="163">
                  <c:v>3362.398744823975</c:v>
                </c:pt>
                <c:pt idx="164">
                  <c:v>3525.8119445174621</c:v>
                </c:pt>
                <c:pt idx="165">
                  <c:v>3690.9610077190691</c:v>
                </c:pt>
                <c:pt idx="166">
                  <c:v>3855.7491028824679</c:v>
                </c:pt>
                <c:pt idx="167">
                  <c:v>3888.8860111111112</c:v>
                </c:pt>
                <c:pt idx="168">
                  <c:v>1944.1745555555556</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1913.4945555555557</c:v>
                </c:pt>
                <c:pt idx="188">
                  <c:v>1882.373721254764</c:v>
                </c:pt>
                <c:pt idx="189">
                  <c:v>1851.6937212547641</c:v>
                </c:pt>
                <c:pt idx="190">
                  <c:v>1821.0137212547641</c:v>
                </c:pt>
                <c:pt idx="191">
                  <c:v>1787.265721254764</c:v>
                </c:pt>
                <c:pt idx="192">
                  <c:v>1753.517721254764</c:v>
                </c:pt>
                <c:pt idx="193">
                  <c:v>1719.7697212547639</c:v>
                </c:pt>
                <c:pt idx="194">
                  <c:v>1686.0217212547641</c:v>
                </c:pt>
                <c:pt idx="195">
                  <c:v>1652.273721254764</c:v>
                </c:pt>
                <c:pt idx="196">
                  <c:v>1618.525721254764</c:v>
                </c:pt>
                <c:pt idx="197">
                  <c:v>1584.7777212547639</c:v>
                </c:pt>
                <c:pt idx="198">
                  <c:v>1551.0297212547639</c:v>
                </c:pt>
                <c:pt idx="199">
                  <c:v>1517.2817212547641</c:v>
                </c:pt>
                <c:pt idx="200">
                  <c:v>1483.533721254764</c:v>
                </c:pt>
                <c:pt idx="201">
                  <c:v>1449.785721254764</c:v>
                </c:pt>
                <c:pt idx="202">
                  <c:v>1416.0377212547639</c:v>
                </c:pt>
                <c:pt idx="203">
                  <c:v>1382.2897212547641</c:v>
                </c:pt>
                <c:pt idx="204">
                  <c:v>1348.5417212547641</c:v>
                </c:pt>
                <c:pt idx="205">
                  <c:v>1314.793721254764</c:v>
                </c:pt>
                <c:pt idx="206">
                  <c:v>1281.045721254764</c:v>
                </c:pt>
                <c:pt idx="207">
                  <c:v>1247.2977212547639</c:v>
                </c:pt>
                <c:pt idx="208">
                  <c:v>1213.5497212547641</c:v>
                </c:pt>
                <c:pt idx="209">
                  <c:v>1179.7893052011027</c:v>
                </c:pt>
                <c:pt idx="210">
                  <c:v>1146.0413052011027</c:v>
                </c:pt>
                <c:pt idx="211">
                  <c:v>1112.2933052011026</c:v>
                </c:pt>
                <c:pt idx="212">
                  <c:v>1078.5453052011028</c:v>
                </c:pt>
                <c:pt idx="213">
                  <c:v>1044.7973052011027</c:v>
                </c:pt>
                <c:pt idx="214">
                  <c:v>1011.0493052011027</c:v>
                </c:pt>
                <c:pt idx="215">
                  <c:v>977.15071215444209</c:v>
                </c:pt>
                <c:pt idx="216">
                  <c:v>943.40271215444204</c:v>
                </c:pt>
                <c:pt idx="217">
                  <c:v>909.49306290378081</c:v>
                </c:pt>
                <c:pt idx="218">
                  <c:v>875.74506290378088</c:v>
                </c:pt>
                <c:pt idx="219">
                  <c:v>841.99706290378083</c:v>
                </c:pt>
                <c:pt idx="220">
                  <c:v>808.24906290378078</c:v>
                </c:pt>
                <c:pt idx="221">
                  <c:v>774.50106290378085</c:v>
                </c:pt>
                <c:pt idx="222">
                  <c:v>740.7530629037808</c:v>
                </c:pt>
                <c:pt idx="223">
                  <c:v>707.00506290378087</c:v>
                </c:pt>
                <c:pt idx="224">
                  <c:v>673.25706290378082</c:v>
                </c:pt>
                <c:pt idx="225">
                  <c:v>639.50906290378077</c:v>
                </c:pt>
                <c:pt idx="226">
                  <c:v>605.76106290378084</c:v>
                </c:pt>
                <c:pt idx="227">
                  <c:v>572.01306290378079</c:v>
                </c:pt>
                <c:pt idx="228">
                  <c:v>538.26506290378086</c:v>
                </c:pt>
                <c:pt idx="229">
                  <c:v>504.51706290378081</c:v>
                </c:pt>
                <c:pt idx="230">
                  <c:v>470.76906290378082</c:v>
                </c:pt>
                <c:pt idx="231">
                  <c:v>437.02106290378083</c:v>
                </c:pt>
                <c:pt idx="232">
                  <c:v>940.36327890378084</c:v>
                </c:pt>
                <c:pt idx="233">
                  <c:v>906.6152789037809</c:v>
                </c:pt>
                <c:pt idx="234">
                  <c:v>872.86727890378086</c:v>
                </c:pt>
                <c:pt idx="235">
                  <c:v>839.11927890378092</c:v>
                </c:pt>
                <c:pt idx="236">
                  <c:v>805.37127890378088</c:v>
                </c:pt>
                <c:pt idx="237">
                  <c:v>771.62327890378083</c:v>
                </c:pt>
                <c:pt idx="238">
                  <c:v>737.8752789037809</c:v>
                </c:pt>
                <c:pt idx="239">
                  <c:v>704.12727890378085</c:v>
                </c:pt>
                <c:pt idx="240">
                  <c:v>675.25740937119815</c:v>
                </c:pt>
                <c:pt idx="241">
                  <c:v>647.64540937119807</c:v>
                </c:pt>
                <c:pt idx="242">
                  <c:v>620.0334093711981</c:v>
                </c:pt>
                <c:pt idx="243">
                  <c:v>592.42140937119814</c:v>
                </c:pt>
                <c:pt idx="244">
                  <c:v>564.80940937119817</c:v>
                </c:pt>
                <c:pt idx="245">
                  <c:v>537.18487753176271</c:v>
                </c:pt>
                <c:pt idx="246">
                  <c:v>509.4866231851604</c:v>
                </c:pt>
                <c:pt idx="247">
                  <c:v>481.75153138407393</c:v>
                </c:pt>
                <c:pt idx="248">
                  <c:v>454.07194425536113</c:v>
                </c:pt>
                <c:pt idx="249">
                  <c:v>426.422973249444</c:v>
                </c:pt>
                <c:pt idx="250">
                  <c:v>1472.610800136091</c:v>
                </c:pt>
                <c:pt idx="251">
                  <c:v>1444.9050521917607</c:v>
                </c:pt>
                <c:pt idx="252">
                  <c:v>1417.2930521917606</c:v>
                </c:pt>
                <c:pt idx="253">
                  <c:v>1389.6810521917607</c:v>
                </c:pt>
                <c:pt idx="254">
                  <c:v>1362.0690521917606</c:v>
                </c:pt>
                <c:pt idx="255">
                  <c:v>1334.4570521917606</c:v>
                </c:pt>
                <c:pt idx="256">
                  <c:v>1306.8450521917607</c:v>
                </c:pt>
                <c:pt idx="257">
                  <c:v>1279.2330521917606</c:v>
                </c:pt>
                <c:pt idx="258">
                  <c:v>1251.6210521917606</c:v>
                </c:pt>
                <c:pt idx="259">
                  <c:v>1223.8048621791716</c:v>
                </c:pt>
                <c:pt idx="260">
                  <c:v>1195.7016718030993</c:v>
                </c:pt>
                <c:pt idx="261">
                  <c:v>1167.3479144092812</c:v>
                </c:pt>
                <c:pt idx="262">
                  <c:v>1139.1397951125975</c:v>
                </c:pt>
                <c:pt idx="263">
                  <c:v>1111.3558312168987</c:v>
                </c:pt>
                <c:pt idx="264">
                  <c:v>1085.6910287174567</c:v>
                </c:pt>
                <c:pt idx="265">
                  <c:v>1061.0703800446929</c:v>
                </c:pt>
                <c:pt idx="266">
                  <c:v>1036.4410498936943</c:v>
                </c:pt>
                <c:pt idx="267">
                  <c:v>1011.8582051217644</c:v>
                </c:pt>
                <c:pt idx="268">
                  <c:v>988.32341564808019</c:v>
                </c:pt>
                <c:pt idx="269">
                  <c:v>964.57737928444385</c:v>
                </c:pt>
                <c:pt idx="270">
                  <c:v>941.56737928444386</c:v>
                </c:pt>
                <c:pt idx="271">
                  <c:v>918.55737928444387</c:v>
                </c:pt>
                <c:pt idx="272">
                  <c:v>895.26924351571859</c:v>
                </c:pt>
                <c:pt idx="273">
                  <c:v>871.26342932468549</c:v>
                </c:pt>
                <c:pt idx="274">
                  <c:v>848.22420019109893</c:v>
                </c:pt>
                <c:pt idx="275">
                  <c:v>826.43870464607517</c:v>
                </c:pt>
                <c:pt idx="276">
                  <c:v>804.96270464607517</c:v>
                </c:pt>
                <c:pt idx="277">
                  <c:v>783.48670464607517</c:v>
                </c:pt>
                <c:pt idx="278">
                  <c:v>762.01070464607517</c:v>
                </c:pt>
                <c:pt idx="279">
                  <c:v>740.53470464607517</c:v>
                </c:pt>
                <c:pt idx="280">
                  <c:v>718.78927937127844</c:v>
                </c:pt>
                <c:pt idx="281">
                  <c:v>696.86634188639323</c:v>
                </c:pt>
                <c:pt idx="282">
                  <c:v>674.62334188639329</c:v>
                </c:pt>
                <c:pt idx="283">
                  <c:v>653.03892292224987</c:v>
                </c:pt>
                <c:pt idx="284">
                  <c:v>631.56292292224987</c:v>
                </c:pt>
                <c:pt idx="285">
                  <c:v>611.34119351048514</c:v>
                </c:pt>
                <c:pt idx="286">
                  <c:v>591.3967969887459</c:v>
                </c:pt>
                <c:pt idx="287">
                  <c:v>571.45479698874601</c:v>
                </c:pt>
                <c:pt idx="288">
                  <c:v>551.512796988746</c:v>
                </c:pt>
                <c:pt idx="289">
                  <c:v>531.54554621154386</c:v>
                </c:pt>
                <c:pt idx="290">
                  <c:v>511.60354621154386</c:v>
                </c:pt>
                <c:pt idx="291">
                  <c:v>491.65012022105259</c:v>
                </c:pt>
                <c:pt idx="292">
                  <c:v>471.10178444598785</c:v>
                </c:pt>
                <c:pt idx="293">
                  <c:v>450.40612357642266</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Calculation!$CR$7</c:f>
              <c:strCache>
                <c:ptCount val="1"/>
                <c:pt idx="0">
                  <c:v>Total Covington Storage (AF)</c:v>
                </c:pt>
              </c:strCache>
            </c:strRef>
          </c:tx>
          <c:spPr>
            <a:ln w="25400">
              <a:solidFill>
                <a:schemeClr val="accent2">
                  <a:lumMod val="75000"/>
                </a:schemeClr>
              </a:solidFill>
              <a:prstDash val="solid"/>
            </a:ln>
          </c:spPr>
          <c:marker>
            <c:symbol val="none"/>
          </c:marker>
          <c:cat>
            <c:numRef>
              <c:f>Calculation!$B$12:$B$377</c:f>
              <c:numCache>
                <c:formatCode>m/d/yyyy</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30.817173161401247</c:v>
                </c:pt>
                <c:pt idx="52">
                  <c:v>61.736808131624159</c:v>
                </c:pt>
                <c:pt idx="53">
                  <c:v>92.721411522370531</c:v>
                </c:pt>
                <c:pt idx="54">
                  <c:v>123.65297986194606</c:v>
                </c:pt>
                <c:pt idx="55">
                  <c:v>154.5466545113789</c:v>
                </c:pt>
                <c:pt idx="56">
                  <c:v>185.47262366779307</c:v>
                </c:pt>
                <c:pt idx="57">
                  <c:v>216.45318517588996</c:v>
                </c:pt>
                <c:pt idx="58">
                  <c:v>247.18094317789524</c:v>
                </c:pt>
                <c:pt idx="59">
                  <c:v>278.14829276461609</c:v>
                </c:pt>
                <c:pt idx="60">
                  <c:v>309.1277372907349</c:v>
                </c:pt>
                <c:pt idx="61">
                  <c:v>340.14770120672404</c:v>
                </c:pt>
                <c:pt idx="62">
                  <c:v>371.11084638959801</c:v>
                </c:pt>
                <c:pt idx="63">
                  <c:v>402.08626537872692</c:v>
                </c:pt>
                <c:pt idx="64">
                  <c:v>433.03456451641097</c:v>
                </c:pt>
                <c:pt idx="65">
                  <c:v>463.8803406952203</c:v>
                </c:pt>
                <c:pt idx="66">
                  <c:v>494.81419737908686</c:v>
                </c:pt>
                <c:pt idx="67">
                  <c:v>526.00317783802416</c:v>
                </c:pt>
                <c:pt idx="68">
                  <c:v>556.87366225655853</c:v>
                </c:pt>
                <c:pt idx="69">
                  <c:v>587.80765784691789</c:v>
                </c:pt>
                <c:pt idx="70">
                  <c:v>618.72299644825569</c:v>
                </c:pt>
                <c:pt idx="71">
                  <c:v>649.61734716828357</c:v>
                </c:pt>
                <c:pt idx="72">
                  <c:v>680.52071080876033</c:v>
                </c:pt>
                <c:pt idx="73">
                  <c:v>710.78870502941209</c:v>
                </c:pt>
                <c:pt idx="74">
                  <c:v>741.01631994707543</c:v>
                </c:pt>
                <c:pt idx="75">
                  <c:v>771.53643012296243</c:v>
                </c:pt>
                <c:pt idx="76">
                  <c:v>802.41300281403505</c:v>
                </c:pt>
                <c:pt idx="77">
                  <c:v>833.32201317303554</c:v>
                </c:pt>
                <c:pt idx="78">
                  <c:v>864.20450406081216</c:v>
                </c:pt>
                <c:pt idx="79">
                  <c:v>893.09632878303444</c:v>
                </c:pt>
                <c:pt idx="80">
                  <c:v>920.98970137477454</c:v>
                </c:pt>
                <c:pt idx="81">
                  <c:v>948.80478612714819</c:v>
                </c:pt>
                <c:pt idx="82">
                  <c:v>976.61988992643126</c:v>
                </c:pt>
                <c:pt idx="83">
                  <c:v>1004.4555977694181</c:v>
                </c:pt>
                <c:pt idx="84">
                  <c:v>1032.25002775702</c:v>
                </c:pt>
                <c:pt idx="85">
                  <c:v>1060.0651315563032</c:v>
                </c:pt>
                <c:pt idx="86">
                  <c:v>1089.8247341978288</c:v>
                </c:pt>
                <c:pt idx="87">
                  <c:v>1120.4891537422993</c:v>
                </c:pt>
                <c:pt idx="88">
                  <c:v>1151.359474692815</c:v>
                </c:pt>
                <c:pt idx="89">
                  <c:v>1182.2634885397752</c:v>
                </c:pt>
                <c:pt idx="90">
                  <c:v>1213.1548396508861</c:v>
                </c:pt>
                <c:pt idx="91">
                  <c:v>1244.031098278723</c:v>
                </c:pt>
                <c:pt idx="92">
                  <c:v>1274.9164289816711</c:v>
                </c:pt>
                <c:pt idx="93">
                  <c:v>1305.7775832423883</c:v>
                </c:pt>
                <c:pt idx="94">
                  <c:v>1336.7026207761676</c:v>
                </c:pt>
                <c:pt idx="95">
                  <c:v>1367.576549124587</c:v>
                </c:pt>
                <c:pt idx="96">
                  <c:v>1398.498580235698</c:v>
                </c:pt>
                <c:pt idx="97">
                  <c:v>1429.3657928731664</c:v>
                </c:pt>
                <c:pt idx="98">
                  <c:v>1460.2842039607574</c:v>
                </c:pt>
                <c:pt idx="99">
                  <c:v>1491.1670899555895</c:v>
                </c:pt>
                <c:pt idx="100">
                  <c:v>1522.0793565322244</c:v>
                </c:pt>
                <c:pt idx="101">
                  <c:v>1552.9401498744112</c:v>
                </c:pt>
                <c:pt idx="102">
                  <c:v>1583.813411362881</c:v>
                </c:pt>
                <c:pt idx="103">
                  <c:v>1614.6380140562705</c:v>
                </c:pt>
                <c:pt idx="104">
                  <c:v>1645.5779778434378</c:v>
                </c:pt>
                <c:pt idx="105">
                  <c:v>1676.457278679608</c:v>
                </c:pt>
                <c:pt idx="106">
                  <c:v>1707.3666344855546</c:v>
                </c:pt>
                <c:pt idx="107">
                  <c:v>1738.2669633571027</c:v>
                </c:pt>
                <c:pt idx="108">
                  <c:v>1769.1882754057137</c:v>
                </c:pt>
                <c:pt idx="109">
                  <c:v>1800.0706276900744</c:v>
                </c:pt>
                <c:pt idx="110">
                  <c:v>1831.0135720745527</c:v>
                </c:pt>
                <c:pt idx="111">
                  <c:v>1861.9318985666721</c:v>
                </c:pt>
                <c:pt idx="112">
                  <c:v>1892.8569243151801</c:v>
                </c:pt>
                <c:pt idx="113">
                  <c:v>1923.7542863980782</c:v>
                </c:pt>
                <c:pt idx="114">
                  <c:v>1954.6793121465862</c:v>
                </c:pt>
                <c:pt idx="115">
                  <c:v>1985.6043378950942</c:v>
                </c:pt>
                <c:pt idx="116">
                  <c:v>2016.532355934105</c:v>
                </c:pt>
                <c:pt idx="117">
                  <c:v>2047.3724329594904</c:v>
                </c:pt>
                <c:pt idx="118">
                  <c:v>2078.3382500900188</c:v>
                </c:pt>
                <c:pt idx="119">
                  <c:v>2109.2506231275202</c:v>
                </c:pt>
                <c:pt idx="120">
                  <c:v>2140.1503078161841</c:v>
                </c:pt>
                <c:pt idx="121">
                  <c:v>2169.0357512952014</c:v>
                </c:pt>
                <c:pt idx="122">
                  <c:v>2196.8884412041266</c:v>
                </c:pt>
                <c:pt idx="123">
                  <c:v>2224.7689670388754</c:v>
                </c:pt>
                <c:pt idx="124">
                  <c:v>2252.6342143653592</c:v>
                </c:pt>
                <c:pt idx="125">
                  <c:v>2280.4953310098817</c:v>
                </c:pt>
                <c:pt idx="126">
                  <c:v>2308.3258755559282</c:v>
                </c:pt>
                <c:pt idx="127">
                  <c:v>2336.1618447633964</c:v>
                </c:pt>
                <c:pt idx="128">
                  <c:v>2365.602731122141</c:v>
                </c:pt>
                <c:pt idx="129">
                  <c:v>2396.5141373097472</c:v>
                </c:pt>
                <c:pt idx="130">
                  <c:v>2427.3611949618125</c:v>
                </c:pt>
                <c:pt idx="131">
                  <c:v>2458.2218660729236</c:v>
                </c:pt>
                <c:pt idx="132">
                  <c:v>2489.0701017994193</c:v>
                </c:pt>
                <c:pt idx="133">
                  <c:v>2519.9698676115727</c:v>
                </c:pt>
                <c:pt idx="134">
                  <c:v>2550.8710444977287</c:v>
                </c:pt>
                <c:pt idx="135">
                  <c:v>2581.77540563197</c:v>
                </c:pt>
                <c:pt idx="136">
                  <c:v>2612.652965322583</c:v>
                </c:pt>
                <c:pt idx="137">
                  <c:v>2643.5462825962163</c:v>
                </c:pt>
                <c:pt idx="138">
                  <c:v>2674.4722292993315</c:v>
                </c:pt>
                <c:pt idx="139">
                  <c:v>2705.3903438146976</c:v>
                </c:pt>
                <c:pt idx="140">
                  <c:v>2736.2608774770383</c:v>
                </c:pt>
                <c:pt idx="141">
                  <c:v>2767.1195725347752</c:v>
                </c:pt>
                <c:pt idx="142">
                  <c:v>2797.9284542822029</c:v>
                </c:pt>
                <c:pt idx="143">
                  <c:v>2827.3282672068258</c:v>
                </c:pt>
                <c:pt idx="144">
                  <c:v>2856.7303894392885</c:v>
                </c:pt>
                <c:pt idx="145">
                  <c:v>2886.132522502744</c:v>
                </c:pt>
                <c:pt idx="146">
                  <c:v>2915.5746462643033</c:v>
                </c:pt>
                <c:pt idx="147">
                  <c:v>2944.9437883054684</c:v>
                </c:pt>
                <c:pt idx="148">
                  <c:v>2974.3412667080315</c:v>
                </c:pt>
                <c:pt idx="149">
                  <c:v>3005.7179016163595</c:v>
                </c:pt>
                <c:pt idx="150">
                  <c:v>3038.1111103893154</c:v>
                </c:pt>
                <c:pt idx="151">
                  <c:v>3131.1437788337598</c:v>
                </c:pt>
                <c:pt idx="152">
                  <c:v>3224.1900392774155</c:v>
                </c:pt>
                <c:pt idx="153">
                  <c:v>3316.3804296144945</c:v>
                </c:pt>
                <c:pt idx="154">
                  <c:v>3407.8423195332953</c:v>
                </c:pt>
                <c:pt idx="155">
                  <c:v>3498.8667979744359</c:v>
                </c:pt>
                <c:pt idx="156">
                  <c:v>3584.1801208813249</c:v>
                </c:pt>
                <c:pt idx="157">
                  <c:v>3667.2377062428377</c:v>
                </c:pt>
                <c:pt idx="158">
                  <c:v>3750.2832582532042</c:v>
                </c:pt>
                <c:pt idx="159">
                  <c:v>3834.9991142600365</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1944.1745555555556</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1929.9480706387822</c:v>
                </c:pt>
                <c:pt idx="188">
                  <c:v>1916.1420706387821</c:v>
                </c:pt>
                <c:pt idx="189">
                  <c:v>1902.3360706387823</c:v>
                </c:pt>
                <c:pt idx="190">
                  <c:v>1888.5300706387823</c:v>
                </c:pt>
                <c:pt idx="191">
                  <c:v>1867.0540706387822</c:v>
                </c:pt>
                <c:pt idx="192">
                  <c:v>1845.5780706387823</c:v>
                </c:pt>
                <c:pt idx="193">
                  <c:v>1824.0588271093702</c:v>
                </c:pt>
                <c:pt idx="194">
                  <c:v>1805.403942664926</c:v>
                </c:pt>
                <c:pt idx="195">
                  <c:v>1786.9959426649259</c:v>
                </c:pt>
                <c:pt idx="196">
                  <c:v>1768.587942664926</c:v>
                </c:pt>
                <c:pt idx="197">
                  <c:v>1750.1799426649259</c:v>
                </c:pt>
                <c:pt idx="198">
                  <c:v>1731.771942664926</c:v>
                </c:pt>
                <c:pt idx="199">
                  <c:v>1713.3639426649261</c:v>
                </c:pt>
                <c:pt idx="200">
                  <c:v>1694.9559426649259</c:v>
                </c:pt>
                <c:pt idx="201">
                  <c:v>1678.0819426649259</c:v>
                </c:pt>
                <c:pt idx="202">
                  <c:v>1661.2079426649259</c:v>
                </c:pt>
                <c:pt idx="203">
                  <c:v>1644.3339426649259</c:v>
                </c:pt>
                <c:pt idx="204">
                  <c:v>1625.925942664926</c:v>
                </c:pt>
                <c:pt idx="205">
                  <c:v>1610.5859426649261</c:v>
                </c:pt>
                <c:pt idx="206">
                  <c:v>1593.711942664926</c:v>
                </c:pt>
                <c:pt idx="207">
                  <c:v>1578.3719426649259</c:v>
                </c:pt>
                <c:pt idx="208">
                  <c:v>1561.4979426649259</c:v>
                </c:pt>
                <c:pt idx="209">
                  <c:v>1546.1579426649259</c:v>
                </c:pt>
                <c:pt idx="210">
                  <c:v>1530.817942664926</c:v>
                </c:pt>
                <c:pt idx="211">
                  <c:v>1515.4779426649259</c:v>
                </c:pt>
                <c:pt idx="212">
                  <c:v>1498.6039426649259</c:v>
                </c:pt>
                <c:pt idx="213">
                  <c:v>1481.7299426649261</c:v>
                </c:pt>
                <c:pt idx="214">
                  <c:v>1464.855942664926</c:v>
                </c:pt>
                <c:pt idx="215">
                  <c:v>1449.4205062513854</c:v>
                </c:pt>
                <c:pt idx="216">
                  <c:v>1434.0805062513853</c:v>
                </c:pt>
                <c:pt idx="217">
                  <c:v>1418.7089517406596</c:v>
                </c:pt>
                <c:pt idx="218">
                  <c:v>1403.3689517406597</c:v>
                </c:pt>
                <c:pt idx="219">
                  <c:v>1388.0289517406595</c:v>
                </c:pt>
                <c:pt idx="220">
                  <c:v>1372.6889517406596</c:v>
                </c:pt>
                <c:pt idx="221">
                  <c:v>1357.3489517406595</c:v>
                </c:pt>
                <c:pt idx="222">
                  <c:v>1342.0089517406595</c:v>
                </c:pt>
                <c:pt idx="223">
                  <c:v>1326.6689517406596</c:v>
                </c:pt>
                <c:pt idx="224">
                  <c:v>1311.3289517406595</c:v>
                </c:pt>
                <c:pt idx="225">
                  <c:v>1295.9889517406596</c:v>
                </c:pt>
                <c:pt idx="226">
                  <c:v>1283.7169517406596</c:v>
                </c:pt>
                <c:pt idx="227">
                  <c:v>1269.9109517406596</c:v>
                </c:pt>
                <c:pt idx="228">
                  <c:v>1254.5709517406597</c:v>
                </c:pt>
                <c:pt idx="229">
                  <c:v>1240.5648949859426</c:v>
                </c:pt>
                <c:pt idx="230">
                  <c:v>1226.7588949859426</c:v>
                </c:pt>
                <c:pt idx="231">
                  <c:v>1212.9528949859427</c:v>
                </c:pt>
                <c:pt idx="232">
                  <c:v>1199.1468949859427</c:v>
                </c:pt>
                <c:pt idx="233">
                  <c:v>1185.3408949859427</c:v>
                </c:pt>
                <c:pt idx="234">
                  <c:v>1171.5348949859426</c:v>
                </c:pt>
                <c:pt idx="235">
                  <c:v>1157.7288949859426</c:v>
                </c:pt>
                <c:pt idx="236">
                  <c:v>1143.9228949859425</c:v>
                </c:pt>
                <c:pt idx="237">
                  <c:v>1130.1168949859427</c:v>
                </c:pt>
                <c:pt idx="238">
                  <c:v>1116.3108949859427</c:v>
                </c:pt>
                <c:pt idx="239">
                  <c:v>1103.5685121165636</c:v>
                </c:pt>
                <c:pt idx="240">
                  <c:v>1092.5132446992998</c:v>
                </c:pt>
                <c:pt idx="241">
                  <c:v>1081.7752446992999</c:v>
                </c:pt>
                <c:pt idx="242">
                  <c:v>1071.0372446992999</c:v>
                </c:pt>
                <c:pt idx="243">
                  <c:v>1060.2992446992998</c:v>
                </c:pt>
                <c:pt idx="244">
                  <c:v>1049.5612446992998</c:v>
                </c:pt>
                <c:pt idx="245">
                  <c:v>1038.8232446992999</c:v>
                </c:pt>
                <c:pt idx="246">
                  <c:v>1028.0329147596135</c:v>
                </c:pt>
                <c:pt idx="247">
                  <c:v>1020.244925607921</c:v>
                </c:pt>
                <c:pt idx="248">
                  <c:v>1014.1075448698472</c:v>
                </c:pt>
                <c:pt idx="249">
                  <c:v>1007.9394614378945</c:v>
                </c:pt>
                <c:pt idx="250">
                  <c:v>848.35808192928926</c:v>
                </c:pt>
                <c:pt idx="251">
                  <c:v>842.20808238559766</c:v>
                </c:pt>
                <c:pt idx="252">
                  <c:v>836.05552842876318</c:v>
                </c:pt>
                <c:pt idx="253">
                  <c:v>829.91952842876321</c:v>
                </c:pt>
                <c:pt idx="254">
                  <c:v>819.18152842876316</c:v>
                </c:pt>
                <c:pt idx="255">
                  <c:v>806.90952842876322</c:v>
                </c:pt>
                <c:pt idx="256">
                  <c:v>794.55041411683658</c:v>
                </c:pt>
                <c:pt idx="257">
                  <c:v>782.27841411683664</c:v>
                </c:pt>
                <c:pt idx="258">
                  <c:v>770.99057560699987</c:v>
                </c:pt>
                <c:pt idx="259">
                  <c:v>760.22103301363006</c:v>
                </c:pt>
                <c:pt idx="260">
                  <c:v>749.42866996986504</c:v>
                </c:pt>
                <c:pt idx="261">
                  <c:v>738.69066996986498</c:v>
                </c:pt>
                <c:pt idx="262">
                  <c:v>726.41866996986505</c:v>
                </c:pt>
                <c:pt idx="263">
                  <c:v>714.10776442050019</c:v>
                </c:pt>
                <c:pt idx="264">
                  <c:v>703.75557517702782</c:v>
                </c:pt>
                <c:pt idx="265">
                  <c:v>694.49205611390039</c:v>
                </c:pt>
                <c:pt idx="266">
                  <c:v>685.2176699473149</c:v>
                </c:pt>
                <c:pt idx="267">
                  <c:v>676.00292987713942</c:v>
                </c:pt>
                <c:pt idx="268">
                  <c:v>665.26492987713948</c:v>
                </c:pt>
                <c:pt idx="269">
                  <c:v>654.52692987713942</c:v>
                </c:pt>
                <c:pt idx="270">
                  <c:v>643.78892987713948</c:v>
                </c:pt>
                <c:pt idx="271">
                  <c:v>634.58492987713942</c:v>
                </c:pt>
                <c:pt idx="272">
                  <c:v>625.38092987713947</c:v>
                </c:pt>
                <c:pt idx="273">
                  <c:v>616.1769298771394</c:v>
                </c:pt>
                <c:pt idx="274">
                  <c:v>606.97292987713945</c:v>
                </c:pt>
                <c:pt idx="275">
                  <c:v>598.82230637003045</c:v>
                </c:pt>
                <c:pt idx="276">
                  <c:v>591.15230637003049</c:v>
                </c:pt>
                <c:pt idx="277">
                  <c:v>583.48230637003041</c:v>
                </c:pt>
                <c:pt idx="278">
                  <c:v>575.81230637003046</c:v>
                </c:pt>
                <c:pt idx="279">
                  <c:v>568.1423063700305</c:v>
                </c:pt>
                <c:pt idx="280">
                  <c:v>560.47230637003042</c:v>
                </c:pt>
                <c:pt idx="281">
                  <c:v>552.77628216204982</c:v>
                </c:pt>
                <c:pt idx="282">
                  <c:v>545.0756021620499</c:v>
                </c:pt>
                <c:pt idx="283">
                  <c:v>537.39301236125311</c:v>
                </c:pt>
                <c:pt idx="284">
                  <c:v>529.72301236125304</c:v>
                </c:pt>
                <c:pt idx="285">
                  <c:v>522.04850059654723</c:v>
                </c:pt>
                <c:pt idx="286">
                  <c:v>514.37850059654716</c:v>
                </c:pt>
                <c:pt idx="287">
                  <c:v>506.7085005965472</c:v>
                </c:pt>
                <c:pt idx="288">
                  <c:v>499.02611199797241</c:v>
                </c:pt>
                <c:pt idx="289">
                  <c:v>491.31357085807605</c:v>
                </c:pt>
                <c:pt idx="290">
                  <c:v>483.64357085807603</c:v>
                </c:pt>
                <c:pt idx="291">
                  <c:v>475.97357085807607</c:v>
                </c:pt>
                <c:pt idx="292">
                  <c:v>468.30357085807606</c:v>
                </c:pt>
                <c:pt idx="293">
                  <c:v>460.63357085807604</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er>
        <c:ser>
          <c:idx val="2"/>
          <c:order val="3"/>
          <c:tx>
            <c:strRef>
              <c:f>Calculation!$BW$7</c:f>
              <c:strCache>
                <c:ptCount val="1"/>
                <c:pt idx="0">
                  <c:v>Total Kent Storage (AF)</c:v>
                </c:pt>
              </c:strCache>
            </c:strRef>
          </c:tx>
          <c:spPr>
            <a:ln w="25400">
              <a:solidFill>
                <a:srgbClr val="FF9900"/>
              </a:solidFill>
              <a:prstDash val="solid"/>
            </a:ln>
          </c:spPr>
          <c:marker>
            <c:symbol val="none"/>
          </c:marker>
          <c:cat>
            <c:numRef>
              <c:f>Calculation!$B$12:$B$377</c:f>
              <c:numCache>
                <c:formatCode>m/d/yyyy</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38.561351111111115</c:v>
                </c:pt>
                <c:pt idx="52">
                  <c:v>77.12270222222223</c:v>
                </c:pt>
                <c:pt idx="53">
                  <c:v>115.68405333333332</c:v>
                </c:pt>
                <c:pt idx="54">
                  <c:v>154.24540444444446</c:v>
                </c:pt>
                <c:pt idx="55">
                  <c:v>192.80675555555558</c:v>
                </c:pt>
                <c:pt idx="56">
                  <c:v>231.3681066666667</c:v>
                </c:pt>
                <c:pt idx="57">
                  <c:v>269.92945777777783</c:v>
                </c:pt>
                <c:pt idx="58">
                  <c:v>308.49080888888892</c:v>
                </c:pt>
                <c:pt idx="59">
                  <c:v>347.05216000000007</c:v>
                </c:pt>
                <c:pt idx="60">
                  <c:v>385.61351111111117</c:v>
                </c:pt>
                <c:pt idx="61">
                  <c:v>424.17486222222226</c:v>
                </c:pt>
                <c:pt idx="62">
                  <c:v>462.73621333333341</c:v>
                </c:pt>
                <c:pt idx="63">
                  <c:v>501.2975644444445</c:v>
                </c:pt>
                <c:pt idx="64">
                  <c:v>539.85891555555565</c:v>
                </c:pt>
                <c:pt idx="65">
                  <c:v>578.42026666666675</c:v>
                </c:pt>
                <c:pt idx="66">
                  <c:v>616.98161777777784</c:v>
                </c:pt>
                <c:pt idx="67">
                  <c:v>655.54296888888905</c:v>
                </c:pt>
                <c:pt idx="68">
                  <c:v>694.10432000000014</c:v>
                </c:pt>
                <c:pt idx="69">
                  <c:v>732.66567111111124</c:v>
                </c:pt>
                <c:pt idx="70">
                  <c:v>771.22702222222233</c:v>
                </c:pt>
                <c:pt idx="71">
                  <c:v>809.78837333333354</c:v>
                </c:pt>
                <c:pt idx="72">
                  <c:v>848.34972444444452</c:v>
                </c:pt>
                <c:pt idx="73">
                  <c:v>886.91107555555561</c:v>
                </c:pt>
                <c:pt idx="74">
                  <c:v>925.47242666666659</c:v>
                </c:pt>
                <c:pt idx="75">
                  <c:v>964.03377777777769</c:v>
                </c:pt>
                <c:pt idx="76">
                  <c:v>1002.5951288888887</c:v>
                </c:pt>
                <c:pt idx="77">
                  <c:v>1041.1564799999996</c:v>
                </c:pt>
                <c:pt idx="78">
                  <c:v>1079.7178311111109</c:v>
                </c:pt>
                <c:pt idx="79">
                  <c:v>1118.2791822222218</c:v>
                </c:pt>
                <c:pt idx="80">
                  <c:v>1156.8405333333328</c:v>
                </c:pt>
                <c:pt idx="81">
                  <c:v>1195.4018844444438</c:v>
                </c:pt>
                <c:pt idx="82">
                  <c:v>1233.963235555555</c:v>
                </c:pt>
                <c:pt idx="83">
                  <c:v>1272.524586666666</c:v>
                </c:pt>
                <c:pt idx="84">
                  <c:v>1311.085937777777</c:v>
                </c:pt>
                <c:pt idx="85">
                  <c:v>1349.6472888888879</c:v>
                </c:pt>
                <c:pt idx="86">
                  <c:v>1388.2086399999991</c:v>
                </c:pt>
                <c:pt idx="87">
                  <c:v>1426.7699911111101</c:v>
                </c:pt>
                <c:pt idx="88">
                  <c:v>1465.3313422222211</c:v>
                </c:pt>
                <c:pt idx="89">
                  <c:v>1503.8926933333321</c:v>
                </c:pt>
                <c:pt idx="90">
                  <c:v>1542.4540444444431</c:v>
                </c:pt>
                <c:pt idx="91">
                  <c:v>1581.0153955555543</c:v>
                </c:pt>
                <c:pt idx="92">
                  <c:v>1619.5767466666653</c:v>
                </c:pt>
                <c:pt idx="93">
                  <c:v>1658.1380977777762</c:v>
                </c:pt>
                <c:pt idx="94">
                  <c:v>1696.6994488888872</c:v>
                </c:pt>
                <c:pt idx="95">
                  <c:v>1735.2607999999984</c:v>
                </c:pt>
                <c:pt idx="96">
                  <c:v>1773.8221511111094</c:v>
                </c:pt>
                <c:pt idx="97">
                  <c:v>1812.3835022222204</c:v>
                </c:pt>
                <c:pt idx="98">
                  <c:v>1850.9448533333314</c:v>
                </c:pt>
                <c:pt idx="99">
                  <c:v>1889.5062044444426</c:v>
                </c:pt>
                <c:pt idx="100">
                  <c:v>1928.0675555555536</c:v>
                </c:pt>
                <c:pt idx="101">
                  <c:v>1966.6289066666645</c:v>
                </c:pt>
                <c:pt idx="102">
                  <c:v>2005.1902577777755</c:v>
                </c:pt>
                <c:pt idx="103">
                  <c:v>2043.7516088888867</c:v>
                </c:pt>
                <c:pt idx="104">
                  <c:v>2082.3129599999975</c:v>
                </c:pt>
                <c:pt idx="105">
                  <c:v>2120.8743111111089</c:v>
                </c:pt>
                <c:pt idx="106">
                  <c:v>2159.4356622222199</c:v>
                </c:pt>
                <c:pt idx="107">
                  <c:v>2197.9970133333309</c:v>
                </c:pt>
                <c:pt idx="108">
                  <c:v>2236.5583644444418</c:v>
                </c:pt>
                <c:pt idx="109">
                  <c:v>2275.1197155555528</c:v>
                </c:pt>
                <c:pt idx="110">
                  <c:v>2313.6810666666638</c:v>
                </c:pt>
                <c:pt idx="111">
                  <c:v>2352.2424177777748</c:v>
                </c:pt>
                <c:pt idx="112">
                  <c:v>2390.8037688888858</c:v>
                </c:pt>
                <c:pt idx="113">
                  <c:v>2429.3651199999972</c:v>
                </c:pt>
                <c:pt idx="114">
                  <c:v>2467.9264711111082</c:v>
                </c:pt>
                <c:pt idx="115">
                  <c:v>2506.4878222222192</c:v>
                </c:pt>
                <c:pt idx="116">
                  <c:v>2545.0491733333301</c:v>
                </c:pt>
                <c:pt idx="117">
                  <c:v>2583.6105244444411</c:v>
                </c:pt>
                <c:pt idx="118">
                  <c:v>2622.1718755555521</c:v>
                </c:pt>
                <c:pt idx="119">
                  <c:v>2660.7332266666631</c:v>
                </c:pt>
                <c:pt idx="120">
                  <c:v>2699.2945777777741</c:v>
                </c:pt>
                <c:pt idx="121">
                  <c:v>2737.8559288888855</c:v>
                </c:pt>
                <c:pt idx="122">
                  <c:v>2776.4172799999965</c:v>
                </c:pt>
                <c:pt idx="123">
                  <c:v>2814.9786311111075</c:v>
                </c:pt>
                <c:pt idx="124">
                  <c:v>2853.5399822222184</c:v>
                </c:pt>
                <c:pt idx="125">
                  <c:v>2892.1013333333294</c:v>
                </c:pt>
                <c:pt idx="126">
                  <c:v>2930.6626844444404</c:v>
                </c:pt>
                <c:pt idx="127">
                  <c:v>2969.2240355555514</c:v>
                </c:pt>
                <c:pt idx="128">
                  <c:v>3007.7853866666624</c:v>
                </c:pt>
                <c:pt idx="129">
                  <c:v>3046.3467377777738</c:v>
                </c:pt>
                <c:pt idx="130">
                  <c:v>3084.9080888888848</c:v>
                </c:pt>
                <c:pt idx="131">
                  <c:v>3123.4694399999958</c:v>
                </c:pt>
                <c:pt idx="132">
                  <c:v>3162.0307911111072</c:v>
                </c:pt>
                <c:pt idx="133">
                  <c:v>3200.5921422222186</c:v>
                </c:pt>
                <c:pt idx="134">
                  <c:v>3239.1534933333296</c:v>
                </c:pt>
                <c:pt idx="135">
                  <c:v>3277.714844444441</c:v>
                </c:pt>
                <c:pt idx="136">
                  <c:v>3316.2761955555525</c:v>
                </c:pt>
                <c:pt idx="137">
                  <c:v>3354.8375466666639</c:v>
                </c:pt>
                <c:pt idx="138">
                  <c:v>3393.3988977777753</c:v>
                </c:pt>
                <c:pt idx="139">
                  <c:v>3431.9602488888868</c:v>
                </c:pt>
                <c:pt idx="140">
                  <c:v>3470.5215999999982</c:v>
                </c:pt>
                <c:pt idx="141">
                  <c:v>3509.0829511111097</c:v>
                </c:pt>
                <c:pt idx="142">
                  <c:v>3547.6443022222211</c:v>
                </c:pt>
                <c:pt idx="143">
                  <c:v>3586.2056533333321</c:v>
                </c:pt>
                <c:pt idx="144">
                  <c:v>3624.7670044444435</c:v>
                </c:pt>
                <c:pt idx="145">
                  <c:v>3663.3283555555549</c:v>
                </c:pt>
                <c:pt idx="146">
                  <c:v>3701.8897066666664</c:v>
                </c:pt>
                <c:pt idx="147">
                  <c:v>3740.4510577777778</c:v>
                </c:pt>
                <c:pt idx="148">
                  <c:v>3779.0124088888892</c:v>
                </c:pt>
                <c:pt idx="149">
                  <c:v>3817.5737600000007</c:v>
                </c:pt>
                <c:pt idx="150">
                  <c:v>3856.1351111111121</c:v>
                </c:pt>
                <c:pt idx="151">
                  <c:v>3888.8860111111112</c:v>
                </c:pt>
                <c:pt idx="152">
                  <c:v>3888.8860111111112</c:v>
                </c:pt>
                <c:pt idx="153">
                  <c:v>3888.8860111111112</c:v>
                </c:pt>
                <c:pt idx="154">
                  <c:v>3888.8860111111112</c:v>
                </c:pt>
                <c:pt idx="155">
                  <c:v>3888.8860111111112</c:v>
                </c:pt>
                <c:pt idx="156">
                  <c:v>3888.8860111111112</c:v>
                </c:pt>
                <c:pt idx="157">
                  <c:v>3888.8860111111112</c:v>
                </c:pt>
                <c:pt idx="158">
                  <c:v>3888.8860111111112</c:v>
                </c:pt>
                <c:pt idx="159">
                  <c:v>3888.8860111111112</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1944.1745555555556</c:v>
                </c:pt>
                <c:pt idx="169">
                  <c:v>1944.1745555555556</c:v>
                </c:pt>
                <c:pt idx="170">
                  <c:v>1944.1745555555556</c:v>
                </c:pt>
                <c:pt idx="171">
                  <c:v>1944.1745555555556</c:v>
                </c:pt>
                <c:pt idx="172">
                  <c:v>1944.1745555555556</c:v>
                </c:pt>
                <c:pt idx="173">
                  <c:v>1944.1745555555556</c:v>
                </c:pt>
                <c:pt idx="174">
                  <c:v>1944.1745555555556</c:v>
                </c:pt>
                <c:pt idx="175">
                  <c:v>1944.1745555555556</c:v>
                </c:pt>
                <c:pt idx="176">
                  <c:v>1944.1745555555556</c:v>
                </c:pt>
                <c:pt idx="177">
                  <c:v>1944.1745555555556</c:v>
                </c:pt>
                <c:pt idx="178">
                  <c:v>1944.1745555555556</c:v>
                </c:pt>
                <c:pt idx="179">
                  <c:v>1944.1745555555556</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1938.0385555555556</c:v>
                </c:pt>
                <c:pt idx="188">
                  <c:v>1931.9025555555556</c:v>
                </c:pt>
                <c:pt idx="189">
                  <c:v>1925.7286704040403</c:v>
                </c:pt>
                <c:pt idx="190">
                  <c:v>1919.5571384014083</c:v>
                </c:pt>
                <c:pt idx="191">
                  <c:v>1913.3831206236305</c:v>
                </c:pt>
                <c:pt idx="192">
                  <c:v>1907.2230099699864</c:v>
                </c:pt>
                <c:pt idx="193">
                  <c:v>1901.0702817346926</c:v>
                </c:pt>
                <c:pt idx="194">
                  <c:v>1891.8662817346924</c:v>
                </c:pt>
                <c:pt idx="195">
                  <c:v>1882.6622817346924</c:v>
                </c:pt>
                <c:pt idx="196">
                  <c:v>1873.4582817346925</c:v>
                </c:pt>
                <c:pt idx="197">
                  <c:v>1864.2542817346925</c:v>
                </c:pt>
                <c:pt idx="198">
                  <c:v>1855.0502817346924</c:v>
                </c:pt>
                <c:pt idx="199">
                  <c:v>1845.8462817346924</c:v>
                </c:pt>
                <c:pt idx="200">
                  <c:v>1836.6422817346925</c:v>
                </c:pt>
                <c:pt idx="201">
                  <c:v>1827.4382817346925</c:v>
                </c:pt>
                <c:pt idx="202">
                  <c:v>1818.2342817346926</c:v>
                </c:pt>
                <c:pt idx="203">
                  <c:v>1809.0302817346924</c:v>
                </c:pt>
                <c:pt idx="204">
                  <c:v>1799.8262817346924</c:v>
                </c:pt>
                <c:pt idx="205">
                  <c:v>1790.6222817346925</c:v>
                </c:pt>
                <c:pt idx="206">
                  <c:v>1781.4182817346925</c:v>
                </c:pt>
                <c:pt idx="207">
                  <c:v>1772.2142817346923</c:v>
                </c:pt>
                <c:pt idx="208">
                  <c:v>1763.0102817346924</c:v>
                </c:pt>
                <c:pt idx="209">
                  <c:v>1753.8062817346924</c:v>
                </c:pt>
                <c:pt idx="210">
                  <c:v>1744.6022817346925</c:v>
                </c:pt>
                <c:pt idx="211">
                  <c:v>1735.3982817346925</c:v>
                </c:pt>
                <c:pt idx="212">
                  <c:v>1726.1942817346924</c:v>
                </c:pt>
                <c:pt idx="213">
                  <c:v>1716.9902817346924</c:v>
                </c:pt>
                <c:pt idx="214">
                  <c:v>1707.7862817346925</c:v>
                </c:pt>
                <c:pt idx="215">
                  <c:v>1698.5822817346925</c:v>
                </c:pt>
                <c:pt idx="216">
                  <c:v>1689.3782817346926</c:v>
                </c:pt>
                <c:pt idx="217">
                  <c:v>1680.155349028257</c:v>
                </c:pt>
                <c:pt idx="218">
                  <c:v>1670.951349028257</c:v>
                </c:pt>
                <c:pt idx="219">
                  <c:v>1664.8153490282571</c:v>
                </c:pt>
                <c:pt idx="220">
                  <c:v>1658.6793490282571</c:v>
                </c:pt>
                <c:pt idx="221">
                  <c:v>1652.5433490282569</c:v>
                </c:pt>
                <c:pt idx="222">
                  <c:v>1646.4073490282569</c:v>
                </c:pt>
                <c:pt idx="223">
                  <c:v>1640.271349028257</c:v>
                </c:pt>
                <c:pt idx="224">
                  <c:v>1634.135349028257</c:v>
                </c:pt>
                <c:pt idx="225">
                  <c:v>1627.999349028257</c:v>
                </c:pt>
                <c:pt idx="226">
                  <c:v>1621.7389344933731</c:v>
                </c:pt>
                <c:pt idx="227">
                  <c:v>1615.6029344933731</c:v>
                </c:pt>
                <c:pt idx="228">
                  <c:v>1609.4669344933732</c:v>
                </c:pt>
                <c:pt idx="229">
                  <c:v>1603.3309344933732</c:v>
                </c:pt>
                <c:pt idx="230">
                  <c:v>1597.1949344933732</c:v>
                </c:pt>
                <c:pt idx="231">
                  <c:v>1591.0589344933733</c:v>
                </c:pt>
                <c:pt idx="232">
                  <c:v>1584.9229344933733</c:v>
                </c:pt>
                <c:pt idx="233">
                  <c:v>1578.7869344933731</c:v>
                </c:pt>
                <c:pt idx="234">
                  <c:v>1572.6509344933731</c:v>
                </c:pt>
                <c:pt idx="235">
                  <c:v>1566.5149344933732</c:v>
                </c:pt>
                <c:pt idx="236">
                  <c:v>1560.3789344933732</c:v>
                </c:pt>
                <c:pt idx="237">
                  <c:v>1554.2429344933732</c:v>
                </c:pt>
                <c:pt idx="238">
                  <c:v>1548.1069344933733</c:v>
                </c:pt>
                <c:pt idx="239">
                  <c:v>1541.9195274269921</c:v>
                </c:pt>
                <c:pt idx="240">
                  <c:v>1535.7835274269921</c:v>
                </c:pt>
                <c:pt idx="241">
                  <c:v>1529.6475274269922</c:v>
                </c:pt>
                <c:pt idx="242">
                  <c:v>1523.5115274269922</c:v>
                </c:pt>
                <c:pt idx="243">
                  <c:v>1517.375527426992</c:v>
                </c:pt>
                <c:pt idx="244">
                  <c:v>1511.2150564746112</c:v>
                </c:pt>
                <c:pt idx="245">
                  <c:v>1505.0286313841832</c:v>
                </c:pt>
                <c:pt idx="246">
                  <c:v>1498.8188118747341</c:v>
                </c:pt>
                <c:pt idx="247">
                  <c:v>1492.6007335797069</c:v>
                </c:pt>
                <c:pt idx="248">
                  <c:v>1486.4019790342525</c:v>
                </c:pt>
                <c:pt idx="249">
                  <c:v>1480.2032086200513</c:v>
                </c:pt>
                <c:pt idx="250">
                  <c:v>553.43141702835976</c:v>
                </c:pt>
                <c:pt idx="251">
                  <c:v>547.21991748923131</c:v>
                </c:pt>
                <c:pt idx="252">
                  <c:v>541.00583799282845</c:v>
                </c:pt>
                <c:pt idx="253">
                  <c:v>534.86983799282848</c:v>
                </c:pt>
                <c:pt idx="254">
                  <c:v>528.66077504696193</c:v>
                </c:pt>
                <c:pt idx="255">
                  <c:v>522.44658494877933</c:v>
                </c:pt>
                <c:pt idx="256">
                  <c:v>516.22079669189861</c:v>
                </c:pt>
                <c:pt idx="257">
                  <c:v>510.01437054351828</c:v>
                </c:pt>
                <c:pt idx="258">
                  <c:v>503.80144580513405</c:v>
                </c:pt>
                <c:pt idx="259">
                  <c:v>497.58588122267497</c:v>
                </c:pt>
                <c:pt idx="260">
                  <c:v>491.37489166472466</c:v>
                </c:pt>
                <c:pt idx="261">
                  <c:v>485.18304410412867</c:v>
                </c:pt>
                <c:pt idx="262">
                  <c:v>478.97602874690631</c:v>
                </c:pt>
                <c:pt idx="263">
                  <c:v>472.774525203336</c:v>
                </c:pt>
                <c:pt idx="264">
                  <c:v>466.55088762243889</c:v>
                </c:pt>
                <c:pt idx="265">
                  <c:v>460.33417383256608</c:v>
                </c:pt>
                <c:pt idx="266">
                  <c:v>454.1307764628632</c:v>
                </c:pt>
                <c:pt idx="267">
                  <c:v>447.99477646286317</c:v>
                </c:pt>
                <c:pt idx="268">
                  <c:v>443.3927764628632</c:v>
                </c:pt>
                <c:pt idx="269">
                  <c:v>438.79077646286316</c:v>
                </c:pt>
                <c:pt idx="270">
                  <c:v>434.18877646286319</c:v>
                </c:pt>
                <c:pt idx="271">
                  <c:v>429.58677646286316</c:v>
                </c:pt>
                <c:pt idx="272">
                  <c:v>424.98477646286318</c:v>
                </c:pt>
                <c:pt idx="273">
                  <c:v>420.38277646286315</c:v>
                </c:pt>
                <c:pt idx="274">
                  <c:v>415.78077646286317</c:v>
                </c:pt>
                <c:pt idx="275">
                  <c:v>411.1787764628632</c:v>
                </c:pt>
                <c:pt idx="276">
                  <c:v>406.57677646286317</c:v>
                </c:pt>
                <c:pt idx="277">
                  <c:v>401.97477646286319</c:v>
                </c:pt>
                <c:pt idx="278">
                  <c:v>392.77077646286318</c:v>
                </c:pt>
                <c:pt idx="279">
                  <c:v>383.56677646286317</c:v>
                </c:pt>
                <c:pt idx="280">
                  <c:v>374.36277646286317</c:v>
                </c:pt>
                <c:pt idx="281">
                  <c:v>365.15877646286316</c:v>
                </c:pt>
                <c:pt idx="282">
                  <c:v>357.4887764628632</c:v>
                </c:pt>
                <c:pt idx="283">
                  <c:v>349.81877646286318</c:v>
                </c:pt>
                <c:pt idx="284">
                  <c:v>342.14877646286317</c:v>
                </c:pt>
                <c:pt idx="285">
                  <c:v>334.47877646286315</c:v>
                </c:pt>
                <c:pt idx="286">
                  <c:v>326.80877646286319</c:v>
                </c:pt>
                <c:pt idx="287">
                  <c:v>326.80877646286319</c:v>
                </c:pt>
                <c:pt idx="288">
                  <c:v>326.80877646286319</c:v>
                </c:pt>
                <c:pt idx="289">
                  <c:v>326.80877646286319</c:v>
                </c:pt>
                <c:pt idx="290">
                  <c:v>326.80877646286319</c:v>
                </c:pt>
                <c:pt idx="291">
                  <c:v>326.80877646286319</c:v>
                </c:pt>
                <c:pt idx="292">
                  <c:v>326.80877646286319</c:v>
                </c:pt>
                <c:pt idx="293">
                  <c:v>326.80877646286319</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marker val="1"/>
        <c:axId val="140663424"/>
        <c:axId val="140669312"/>
      </c:lineChart>
      <c:dateAx>
        <c:axId val="140663424"/>
        <c:scaling>
          <c:orientation val="minMax"/>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40669312"/>
        <c:crossesAt val="-1"/>
        <c:auto val="1"/>
        <c:lblOffset val="100"/>
        <c:baseTimeUnit val="days"/>
      </c:dateAx>
      <c:valAx>
        <c:axId val="140669312"/>
        <c:scaling>
          <c:orientation val="minMax"/>
          <c:max val="85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66342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28985507246376796"/>
          <c:h val="0.22442244224422744"/>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1135 + Resource Storage for 2014</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72376"/>
          <c:y val="0.11764812325288609"/>
          <c:w val="0.85092348284960462"/>
          <c:h val="0.72906608625141367"/>
        </c:manualLayout>
      </c:layout>
      <c:lineChart>
        <c:grouping val="standard"/>
        <c:ser>
          <c:idx val="2"/>
          <c:order val="0"/>
          <c:tx>
            <c:strRef>
              <c:f>Summary!$W$2</c:f>
              <c:strCache>
                <c:ptCount val="1"/>
                <c:pt idx="0">
                  <c:v>Total 1135 + Resource Water</c:v>
                </c:pt>
              </c:strCache>
            </c:strRef>
          </c:tx>
          <c:marker>
            <c:symbol val="none"/>
          </c:marker>
          <c:cat>
            <c:numRef>
              <c:f>Summary!$A$9:$A$374</c:f>
              <c:numCache>
                <c:formatCode>[$-409]d\-mmm;@</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Summary!$W$9:$W$374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243.93332377046681</c:v>
                </c:pt>
                <c:pt idx="113">
                  <c:v>1628.1235592607045</c:v>
                </c:pt>
                <c:pt idx="114">
                  <c:v>2547.5998048446745</c:v>
                </c:pt>
                <c:pt idx="115">
                  <c:v>2776.0760504272585</c:v>
                </c:pt>
                <c:pt idx="116">
                  <c:v>2663.542189518168</c:v>
                </c:pt>
                <c:pt idx="117">
                  <c:v>2724.8503826150773</c:v>
                </c:pt>
                <c:pt idx="118">
                  <c:v>2924.6580897997701</c:v>
                </c:pt>
                <c:pt idx="119">
                  <c:v>2995.9655197765096</c:v>
                </c:pt>
                <c:pt idx="120">
                  <c:v>3169.2737838143876</c:v>
                </c:pt>
                <c:pt idx="121">
                  <c:v>3151.1383303515577</c:v>
                </c:pt>
                <c:pt idx="122">
                  <c:v>2773.8907513341946</c:v>
                </c:pt>
                <c:pt idx="123">
                  <c:v>2450.0010662849636</c:v>
                </c:pt>
                <c:pt idx="124">
                  <c:v>2655.3534792241262</c:v>
                </c:pt>
                <c:pt idx="125">
                  <c:v>3143.7936708318884</c:v>
                </c:pt>
                <c:pt idx="126">
                  <c:v>3386.4338624384582</c:v>
                </c:pt>
                <c:pt idx="127">
                  <c:v>3811.3576303365044</c:v>
                </c:pt>
                <c:pt idx="128">
                  <c:v>4768.2163341081068</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15000</c:v>
                </c:pt>
                <c:pt idx="169">
                  <c:v>15000</c:v>
                </c:pt>
                <c:pt idx="170">
                  <c:v>15000</c:v>
                </c:pt>
                <c:pt idx="171">
                  <c:v>15000</c:v>
                </c:pt>
                <c:pt idx="172">
                  <c:v>14801.7</c:v>
                </c:pt>
                <c:pt idx="173">
                  <c:v>14603.400000000001</c:v>
                </c:pt>
                <c:pt idx="174">
                  <c:v>14405.100000000002</c:v>
                </c:pt>
                <c:pt idx="175">
                  <c:v>14206.800000000003</c:v>
                </c:pt>
                <c:pt idx="176">
                  <c:v>14008.500000000004</c:v>
                </c:pt>
                <c:pt idx="177">
                  <c:v>13810.200000000004</c:v>
                </c:pt>
                <c:pt idx="178">
                  <c:v>13711.050000000005</c:v>
                </c:pt>
                <c:pt idx="179">
                  <c:v>13611.900000000005</c:v>
                </c:pt>
                <c:pt idx="180">
                  <c:v>13512.750000000005</c:v>
                </c:pt>
                <c:pt idx="181">
                  <c:v>13413.600000000006</c:v>
                </c:pt>
                <c:pt idx="182">
                  <c:v>13314.450000000006</c:v>
                </c:pt>
                <c:pt idx="183">
                  <c:v>13314.450000000006</c:v>
                </c:pt>
                <c:pt idx="184">
                  <c:v>13314.450000000006</c:v>
                </c:pt>
                <c:pt idx="185">
                  <c:v>13314.450000000006</c:v>
                </c:pt>
                <c:pt idx="186">
                  <c:v>13314.450000000006</c:v>
                </c:pt>
                <c:pt idx="187">
                  <c:v>13314.450000000006</c:v>
                </c:pt>
                <c:pt idx="188">
                  <c:v>13314.450000000006</c:v>
                </c:pt>
                <c:pt idx="189">
                  <c:v>13314.450000000006</c:v>
                </c:pt>
                <c:pt idx="190">
                  <c:v>13314.450000000006</c:v>
                </c:pt>
                <c:pt idx="191">
                  <c:v>13314.450000000006</c:v>
                </c:pt>
                <c:pt idx="192">
                  <c:v>13314.450000000006</c:v>
                </c:pt>
                <c:pt idx="193">
                  <c:v>13314.450000000006</c:v>
                </c:pt>
                <c:pt idx="194">
                  <c:v>13314.450000000006</c:v>
                </c:pt>
                <c:pt idx="195">
                  <c:v>13314.450000000006</c:v>
                </c:pt>
                <c:pt idx="196">
                  <c:v>13314.450000000006</c:v>
                </c:pt>
                <c:pt idx="197">
                  <c:v>13314.450000000006</c:v>
                </c:pt>
                <c:pt idx="198">
                  <c:v>13314.450000000006</c:v>
                </c:pt>
                <c:pt idx="199">
                  <c:v>13314.450000000006</c:v>
                </c:pt>
                <c:pt idx="200">
                  <c:v>13314.450000000006</c:v>
                </c:pt>
                <c:pt idx="201">
                  <c:v>13314.450000000006</c:v>
                </c:pt>
                <c:pt idx="202">
                  <c:v>13314.450000000006</c:v>
                </c:pt>
                <c:pt idx="203">
                  <c:v>13314.450000000006</c:v>
                </c:pt>
                <c:pt idx="204">
                  <c:v>13314.450000000006</c:v>
                </c:pt>
                <c:pt idx="205">
                  <c:v>13314.450000000006</c:v>
                </c:pt>
                <c:pt idx="206">
                  <c:v>13314.450000000006</c:v>
                </c:pt>
                <c:pt idx="207">
                  <c:v>13314.450000000006</c:v>
                </c:pt>
                <c:pt idx="208">
                  <c:v>13314.450000000006</c:v>
                </c:pt>
                <c:pt idx="209">
                  <c:v>13314.450000000006</c:v>
                </c:pt>
                <c:pt idx="210">
                  <c:v>13314.450000000006</c:v>
                </c:pt>
                <c:pt idx="211">
                  <c:v>13314.450000000006</c:v>
                </c:pt>
                <c:pt idx="212">
                  <c:v>13314.450000000006</c:v>
                </c:pt>
                <c:pt idx="213">
                  <c:v>13314.450000000006</c:v>
                </c:pt>
                <c:pt idx="214">
                  <c:v>13314.450000000006</c:v>
                </c:pt>
                <c:pt idx="215">
                  <c:v>13314.450000000006</c:v>
                </c:pt>
                <c:pt idx="216">
                  <c:v>13314.450000000006</c:v>
                </c:pt>
                <c:pt idx="217">
                  <c:v>13314.450000000006</c:v>
                </c:pt>
                <c:pt idx="218">
                  <c:v>13314.450000000006</c:v>
                </c:pt>
                <c:pt idx="219">
                  <c:v>13314.450000000006</c:v>
                </c:pt>
                <c:pt idx="220">
                  <c:v>13314.450000000006</c:v>
                </c:pt>
                <c:pt idx="221">
                  <c:v>13314.450000000006</c:v>
                </c:pt>
                <c:pt idx="222">
                  <c:v>13314.450000000006</c:v>
                </c:pt>
                <c:pt idx="223">
                  <c:v>13314.450000000006</c:v>
                </c:pt>
                <c:pt idx="224">
                  <c:v>13314.450000000006</c:v>
                </c:pt>
                <c:pt idx="225">
                  <c:v>13314.450000000006</c:v>
                </c:pt>
                <c:pt idx="226">
                  <c:v>13314.450000000006</c:v>
                </c:pt>
                <c:pt idx="227">
                  <c:v>13314.450000000006</c:v>
                </c:pt>
                <c:pt idx="228">
                  <c:v>13314.450000000006</c:v>
                </c:pt>
                <c:pt idx="229">
                  <c:v>13314.450000000006</c:v>
                </c:pt>
                <c:pt idx="230">
                  <c:v>13314.450000000006</c:v>
                </c:pt>
                <c:pt idx="231">
                  <c:v>13241.079000000007</c:v>
                </c:pt>
                <c:pt idx="232">
                  <c:v>13101.674100000007</c:v>
                </c:pt>
                <c:pt idx="233">
                  <c:v>12951.561000000007</c:v>
                </c:pt>
                <c:pt idx="234">
                  <c:v>12784.989000000007</c:v>
                </c:pt>
                <c:pt idx="235">
                  <c:v>12611.278200000006</c:v>
                </c:pt>
                <c:pt idx="236">
                  <c:v>12466.915800000006</c:v>
                </c:pt>
                <c:pt idx="237">
                  <c:v>12298.360800000006</c:v>
                </c:pt>
                <c:pt idx="238">
                  <c:v>12100.655700000007</c:v>
                </c:pt>
                <c:pt idx="239">
                  <c:v>11897.001600000007</c:v>
                </c:pt>
                <c:pt idx="240">
                  <c:v>11723.687400000006</c:v>
                </c:pt>
                <c:pt idx="241">
                  <c:v>11723.687400000006</c:v>
                </c:pt>
                <c:pt idx="242">
                  <c:v>11723.687400000006</c:v>
                </c:pt>
                <c:pt idx="243">
                  <c:v>11723.687400000006</c:v>
                </c:pt>
                <c:pt idx="244">
                  <c:v>11723.687400000006</c:v>
                </c:pt>
                <c:pt idx="245">
                  <c:v>11723.687400000006</c:v>
                </c:pt>
                <c:pt idx="246">
                  <c:v>11723.687400000006</c:v>
                </c:pt>
                <c:pt idx="247">
                  <c:v>11723.687400000006</c:v>
                </c:pt>
                <c:pt idx="248">
                  <c:v>11723.687400000006</c:v>
                </c:pt>
                <c:pt idx="249">
                  <c:v>11723.687400000006</c:v>
                </c:pt>
                <c:pt idx="250">
                  <c:v>11723.687400000006</c:v>
                </c:pt>
                <c:pt idx="251">
                  <c:v>12624.537400000007</c:v>
                </c:pt>
                <c:pt idx="252">
                  <c:v>12525.387400000007</c:v>
                </c:pt>
                <c:pt idx="253">
                  <c:v>12426.237400000007</c:v>
                </c:pt>
                <c:pt idx="254">
                  <c:v>12327.087400000008</c:v>
                </c:pt>
                <c:pt idx="255">
                  <c:v>12227.937400000008</c:v>
                </c:pt>
                <c:pt idx="256">
                  <c:v>12128.787400000008</c:v>
                </c:pt>
                <c:pt idx="257">
                  <c:v>12029.637400000009</c:v>
                </c:pt>
                <c:pt idx="258">
                  <c:v>11930.487400000009</c:v>
                </c:pt>
                <c:pt idx="259">
                  <c:v>11831.337400000009</c:v>
                </c:pt>
                <c:pt idx="260">
                  <c:v>11732.18740000001</c:v>
                </c:pt>
                <c:pt idx="261">
                  <c:v>11533.887400000011</c:v>
                </c:pt>
                <c:pt idx="262">
                  <c:v>11236.43740000001</c:v>
                </c:pt>
                <c:pt idx="263">
                  <c:v>10839.837400000009</c:v>
                </c:pt>
                <c:pt idx="264">
                  <c:v>10344.087400000009</c:v>
                </c:pt>
                <c:pt idx="265">
                  <c:v>9947.4874000000091</c:v>
                </c:pt>
                <c:pt idx="266">
                  <c:v>9650.0374000000083</c:v>
                </c:pt>
                <c:pt idx="267">
                  <c:v>9352.5874000000076</c:v>
                </c:pt>
                <c:pt idx="268">
                  <c:v>9005.562400000008</c:v>
                </c:pt>
                <c:pt idx="269">
                  <c:v>8658.5374000000083</c:v>
                </c:pt>
                <c:pt idx="270">
                  <c:v>8261.937400000008</c:v>
                </c:pt>
                <c:pt idx="271">
                  <c:v>7815.7624000000078</c:v>
                </c:pt>
                <c:pt idx="272">
                  <c:v>7369.5874000000076</c:v>
                </c:pt>
                <c:pt idx="273">
                  <c:v>6923.4124000000074</c:v>
                </c:pt>
                <c:pt idx="274">
                  <c:v>6526.8124000000071</c:v>
                </c:pt>
                <c:pt idx="275">
                  <c:v>6150.0424000000066</c:v>
                </c:pt>
                <c:pt idx="276">
                  <c:v>5793.102400000007</c:v>
                </c:pt>
                <c:pt idx="277">
                  <c:v>5436.1624000000074</c:v>
                </c:pt>
                <c:pt idx="278">
                  <c:v>5079.2224000000078</c:v>
                </c:pt>
                <c:pt idx="279">
                  <c:v>5583.4724000000078</c:v>
                </c:pt>
                <c:pt idx="280">
                  <c:v>5087.7224000000078</c:v>
                </c:pt>
                <c:pt idx="281">
                  <c:v>4691.1224000000075</c:v>
                </c:pt>
                <c:pt idx="282">
                  <c:v>4294.5224000000071</c:v>
                </c:pt>
                <c:pt idx="283">
                  <c:v>3897.9224000000072</c:v>
                </c:pt>
                <c:pt idx="284">
                  <c:v>3600.4724000000074</c:v>
                </c:pt>
                <c:pt idx="285">
                  <c:v>3253.4474000000073</c:v>
                </c:pt>
                <c:pt idx="286">
                  <c:v>2856.8474000000074</c:v>
                </c:pt>
                <c:pt idx="287">
                  <c:v>2460.2474000000075</c:v>
                </c:pt>
                <c:pt idx="288">
                  <c:v>2063.6474000000076</c:v>
                </c:pt>
                <c:pt idx="289">
                  <c:v>1667.0474000000077</c:v>
                </c:pt>
                <c:pt idx="290">
                  <c:v>1270.4474000000077</c:v>
                </c:pt>
                <c:pt idx="291">
                  <c:v>873.84740000000772</c:v>
                </c:pt>
                <c:pt idx="292">
                  <c:v>477.2474000000077</c:v>
                </c:pt>
                <c:pt idx="293">
                  <c:v>980.64740000000768</c:v>
                </c:pt>
                <c:pt idx="294">
                  <c:v>584.04740000000766</c:v>
                </c:pt>
                <c:pt idx="295">
                  <c:v>187.44740000000763</c:v>
                </c:pt>
                <c:pt idx="296">
                  <c:v>-2.5419999992379871E-2</c:v>
                </c:pt>
                <c:pt idx="297">
                  <c:v>-2.5419999992379871E-2</c:v>
                </c:pt>
                <c:pt idx="298">
                  <c:v>-2.5419999992379871E-2</c:v>
                </c:pt>
                <c:pt idx="299">
                  <c:v>-2.5419999992379871E-2</c:v>
                </c:pt>
                <c:pt idx="300">
                  <c:v>-2.5419999992379871E-2</c:v>
                </c:pt>
                <c:pt idx="301">
                  <c:v>-2.5419999992379871E-2</c:v>
                </c:pt>
                <c:pt idx="302">
                  <c:v>-2.5419999992379871E-2</c:v>
                </c:pt>
                <c:pt idx="303">
                  <c:v>-2.5419999992379871E-2</c:v>
                </c:pt>
                <c:pt idx="304">
                  <c:v>-2.5419999992379871E-2</c:v>
                </c:pt>
                <c:pt idx="305">
                  <c:v>-2.5419999992379871E-2</c:v>
                </c:pt>
                <c:pt idx="306">
                  <c:v>-2.5419999992379871E-2</c:v>
                </c:pt>
                <c:pt idx="307">
                  <c:v>-2.5419999992379871E-2</c:v>
                </c:pt>
                <c:pt idx="308">
                  <c:v>-2.5419999992379871E-2</c:v>
                </c:pt>
                <c:pt idx="309">
                  <c:v>-2.5419999992379871E-2</c:v>
                </c:pt>
                <c:pt idx="310">
                  <c:v>-2.5419999992379871E-2</c:v>
                </c:pt>
                <c:pt idx="311">
                  <c:v>-2.5419999992379871E-2</c:v>
                </c:pt>
                <c:pt idx="312">
                  <c:v>-2.5419999992379871E-2</c:v>
                </c:pt>
                <c:pt idx="313">
                  <c:v>-2.5419999992379871E-2</c:v>
                </c:pt>
                <c:pt idx="314">
                  <c:v>-2.5419999992379871E-2</c:v>
                </c:pt>
                <c:pt idx="315">
                  <c:v>-2.5419999992379871E-2</c:v>
                </c:pt>
                <c:pt idx="316">
                  <c:v>-2.5419999992379871E-2</c:v>
                </c:pt>
                <c:pt idx="317">
                  <c:v>-2.5419999992379871E-2</c:v>
                </c:pt>
                <c:pt idx="318">
                  <c:v>-2.5419999992379871E-2</c:v>
                </c:pt>
                <c:pt idx="319">
                  <c:v>-2.5419999992379871E-2</c:v>
                </c:pt>
                <c:pt idx="320">
                  <c:v>-2.5419999992379871E-2</c:v>
                </c:pt>
                <c:pt idx="321">
                  <c:v>-2.5419999992379871E-2</c:v>
                </c:pt>
                <c:pt idx="322">
                  <c:v>-2.5419999992379871E-2</c:v>
                </c:pt>
                <c:pt idx="323">
                  <c:v>-2.5419999992379871E-2</c:v>
                </c:pt>
                <c:pt idx="324">
                  <c:v>-2.5419999992379871E-2</c:v>
                </c:pt>
                <c:pt idx="325">
                  <c:v>-2.5419999992379871E-2</c:v>
                </c:pt>
                <c:pt idx="326">
                  <c:v>-2.5419999992379871E-2</c:v>
                </c:pt>
                <c:pt idx="327">
                  <c:v>-2.5419999992379871E-2</c:v>
                </c:pt>
                <c:pt idx="328">
                  <c:v>-2.5419999992379871E-2</c:v>
                </c:pt>
                <c:pt idx="329">
                  <c:v>-2.5419999992379871E-2</c:v>
                </c:pt>
                <c:pt idx="330">
                  <c:v>-2.5419999992379871E-2</c:v>
                </c:pt>
                <c:pt idx="331">
                  <c:v>-2.5419999992379871E-2</c:v>
                </c:pt>
                <c:pt idx="332">
                  <c:v>-2.5419999992379871E-2</c:v>
                </c:pt>
                <c:pt idx="333">
                  <c:v>-2.5419999992379871E-2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ser>
          <c:idx val="0"/>
          <c:order val="1"/>
          <c:tx>
            <c:strRef>
              <c:f>Summary!$Y$2</c:f>
              <c:strCache>
                <c:ptCount val="1"/>
                <c:pt idx="0">
                  <c:v>Portion of 1135 + Resource Water Available to Tacoma for Maintaining Auburn Gage at 250 cfs Min</c:v>
                </c:pt>
              </c:strCache>
            </c:strRef>
          </c:tx>
          <c:marker>
            <c:symbol val="none"/>
          </c:marker>
          <c:cat>
            <c:numRef>
              <c:f>Summary!$A$9:$A$374</c:f>
              <c:numCache>
                <c:formatCode>[$-409]d\-mmm;@</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Summary!$Y$9:$Y$374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121.96666188523341</c:v>
                </c:pt>
                <c:pt idx="113">
                  <c:v>814.06177963035225</c:v>
                </c:pt>
                <c:pt idx="114">
                  <c:v>1273.7999024223373</c:v>
                </c:pt>
                <c:pt idx="115">
                  <c:v>1388.0380252136292</c:v>
                </c:pt>
                <c:pt idx="116">
                  <c:v>1331.771094759084</c:v>
                </c:pt>
                <c:pt idx="117">
                  <c:v>1362.4251913075386</c:v>
                </c:pt>
                <c:pt idx="118">
                  <c:v>1462.329044899885</c:v>
                </c:pt>
                <c:pt idx="119">
                  <c:v>1497.9827598882548</c:v>
                </c:pt>
                <c:pt idx="120">
                  <c:v>1584.6368919071938</c:v>
                </c:pt>
                <c:pt idx="121">
                  <c:v>1575.5691651757788</c:v>
                </c:pt>
                <c:pt idx="122">
                  <c:v>1386.9453756670973</c:v>
                </c:pt>
                <c:pt idx="123">
                  <c:v>1225.0005331424818</c:v>
                </c:pt>
                <c:pt idx="124">
                  <c:v>1327.6767396120631</c:v>
                </c:pt>
                <c:pt idx="125">
                  <c:v>1571.8968354159442</c:v>
                </c:pt>
                <c:pt idx="126">
                  <c:v>1693.2169312192291</c:v>
                </c:pt>
                <c:pt idx="127">
                  <c:v>1905.6788151682522</c:v>
                </c:pt>
                <c:pt idx="128">
                  <c:v>2384.1081670540534</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2500</c:v>
                </c:pt>
                <c:pt idx="237">
                  <c:v>2500</c:v>
                </c:pt>
                <c:pt idx="238">
                  <c:v>2500</c:v>
                </c:pt>
                <c:pt idx="239">
                  <c:v>2500</c:v>
                </c:pt>
                <c:pt idx="240">
                  <c:v>2500</c:v>
                </c:pt>
                <c:pt idx="241">
                  <c:v>2500</c:v>
                </c:pt>
                <c:pt idx="242">
                  <c:v>2500</c:v>
                </c:pt>
                <c:pt idx="243">
                  <c:v>2500</c:v>
                </c:pt>
                <c:pt idx="244">
                  <c:v>2500</c:v>
                </c:pt>
                <c:pt idx="245">
                  <c:v>2500</c:v>
                </c:pt>
                <c:pt idx="246">
                  <c:v>2500</c:v>
                </c:pt>
                <c:pt idx="247">
                  <c:v>2500</c:v>
                </c:pt>
                <c:pt idx="248">
                  <c:v>2500</c:v>
                </c:pt>
                <c:pt idx="249">
                  <c:v>2500</c:v>
                </c:pt>
                <c:pt idx="250">
                  <c:v>2500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Summary!$Z$2</c:f>
              <c:strCache>
                <c:ptCount val="1"/>
                <c:pt idx="0">
                  <c:v>Portion of 1135 + Resource Water for Agency Augmentation of Green River Flows</c:v>
                </c:pt>
              </c:strCache>
            </c:strRef>
          </c:tx>
          <c:marker>
            <c:symbol val="none"/>
          </c:marker>
          <c:cat>
            <c:numRef>
              <c:f>Summary!$A$9:$A$374</c:f>
              <c:numCache>
                <c:formatCode>[$-409]d\-mmm;@</c:formatCode>
                <c:ptCount val="366"/>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numCache>
            </c:numRef>
          </c:cat>
          <c:val>
            <c:numRef>
              <c:f>Summary!$Z$9:$Z$374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121.96666188523341</c:v>
                </c:pt>
                <c:pt idx="113">
                  <c:v>814.06177963035225</c:v>
                </c:pt>
                <c:pt idx="114">
                  <c:v>1273.7999024223373</c:v>
                </c:pt>
                <c:pt idx="115">
                  <c:v>1388.0380252136292</c:v>
                </c:pt>
                <c:pt idx="116">
                  <c:v>1331.771094759084</c:v>
                </c:pt>
                <c:pt idx="117">
                  <c:v>1362.4251913075386</c:v>
                </c:pt>
                <c:pt idx="118">
                  <c:v>1462.329044899885</c:v>
                </c:pt>
                <c:pt idx="119">
                  <c:v>1497.9827598882548</c:v>
                </c:pt>
                <c:pt idx="120">
                  <c:v>1584.6368919071938</c:v>
                </c:pt>
                <c:pt idx="121">
                  <c:v>1575.5691651757788</c:v>
                </c:pt>
                <c:pt idx="122">
                  <c:v>1386.9453756670973</c:v>
                </c:pt>
                <c:pt idx="123">
                  <c:v>1225.0005331424818</c:v>
                </c:pt>
                <c:pt idx="124">
                  <c:v>1327.6767396120631</c:v>
                </c:pt>
                <c:pt idx="125">
                  <c:v>1571.8968354159442</c:v>
                </c:pt>
                <c:pt idx="126">
                  <c:v>1693.2169312192291</c:v>
                </c:pt>
                <c:pt idx="127">
                  <c:v>1905.6788151682522</c:v>
                </c:pt>
                <c:pt idx="128">
                  <c:v>2384.1081670540534</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12500</c:v>
                </c:pt>
                <c:pt idx="169">
                  <c:v>12500</c:v>
                </c:pt>
                <c:pt idx="170">
                  <c:v>12500</c:v>
                </c:pt>
                <c:pt idx="171">
                  <c:v>12500</c:v>
                </c:pt>
                <c:pt idx="172">
                  <c:v>12301.7</c:v>
                </c:pt>
                <c:pt idx="173">
                  <c:v>12103.400000000001</c:v>
                </c:pt>
                <c:pt idx="174">
                  <c:v>11905.100000000002</c:v>
                </c:pt>
                <c:pt idx="175">
                  <c:v>11706.800000000003</c:v>
                </c:pt>
                <c:pt idx="176">
                  <c:v>11508.500000000004</c:v>
                </c:pt>
                <c:pt idx="177">
                  <c:v>11310.200000000004</c:v>
                </c:pt>
                <c:pt idx="178">
                  <c:v>11211.050000000005</c:v>
                </c:pt>
                <c:pt idx="179">
                  <c:v>11111.900000000005</c:v>
                </c:pt>
                <c:pt idx="180">
                  <c:v>11012.750000000005</c:v>
                </c:pt>
                <c:pt idx="181">
                  <c:v>10913.600000000006</c:v>
                </c:pt>
                <c:pt idx="182">
                  <c:v>10814.450000000006</c:v>
                </c:pt>
                <c:pt idx="183">
                  <c:v>10814.450000000006</c:v>
                </c:pt>
                <c:pt idx="184">
                  <c:v>10814.450000000006</c:v>
                </c:pt>
                <c:pt idx="185">
                  <c:v>10814.450000000006</c:v>
                </c:pt>
                <c:pt idx="186">
                  <c:v>10814.450000000006</c:v>
                </c:pt>
                <c:pt idx="187">
                  <c:v>10814.450000000006</c:v>
                </c:pt>
                <c:pt idx="188">
                  <c:v>10814.450000000006</c:v>
                </c:pt>
                <c:pt idx="189">
                  <c:v>10814.450000000006</c:v>
                </c:pt>
                <c:pt idx="190">
                  <c:v>10814.450000000006</c:v>
                </c:pt>
                <c:pt idx="191">
                  <c:v>10814.450000000006</c:v>
                </c:pt>
                <c:pt idx="192">
                  <c:v>10814.450000000006</c:v>
                </c:pt>
                <c:pt idx="193">
                  <c:v>10814.450000000006</c:v>
                </c:pt>
                <c:pt idx="194">
                  <c:v>10814.450000000006</c:v>
                </c:pt>
                <c:pt idx="195">
                  <c:v>10814.450000000006</c:v>
                </c:pt>
                <c:pt idx="196">
                  <c:v>10814.450000000006</c:v>
                </c:pt>
                <c:pt idx="197">
                  <c:v>10814.450000000006</c:v>
                </c:pt>
                <c:pt idx="198">
                  <c:v>10814.450000000006</c:v>
                </c:pt>
                <c:pt idx="199">
                  <c:v>10814.450000000006</c:v>
                </c:pt>
                <c:pt idx="200">
                  <c:v>10814.450000000006</c:v>
                </c:pt>
                <c:pt idx="201">
                  <c:v>10814.450000000006</c:v>
                </c:pt>
                <c:pt idx="202">
                  <c:v>10814.450000000006</c:v>
                </c:pt>
                <c:pt idx="203">
                  <c:v>10814.450000000006</c:v>
                </c:pt>
                <c:pt idx="204">
                  <c:v>10814.450000000006</c:v>
                </c:pt>
                <c:pt idx="205">
                  <c:v>10814.450000000006</c:v>
                </c:pt>
                <c:pt idx="206">
                  <c:v>10814.450000000006</c:v>
                </c:pt>
                <c:pt idx="207">
                  <c:v>10814.450000000006</c:v>
                </c:pt>
                <c:pt idx="208">
                  <c:v>10814.450000000006</c:v>
                </c:pt>
                <c:pt idx="209">
                  <c:v>10814.450000000006</c:v>
                </c:pt>
                <c:pt idx="210">
                  <c:v>10814.450000000006</c:v>
                </c:pt>
                <c:pt idx="211">
                  <c:v>10814.450000000006</c:v>
                </c:pt>
                <c:pt idx="212">
                  <c:v>10814.450000000006</c:v>
                </c:pt>
                <c:pt idx="213">
                  <c:v>10814.450000000006</c:v>
                </c:pt>
                <c:pt idx="214">
                  <c:v>10814.450000000006</c:v>
                </c:pt>
                <c:pt idx="215">
                  <c:v>10814.450000000006</c:v>
                </c:pt>
                <c:pt idx="216">
                  <c:v>10814.450000000006</c:v>
                </c:pt>
                <c:pt idx="217">
                  <c:v>10814.450000000006</c:v>
                </c:pt>
                <c:pt idx="218">
                  <c:v>10814.450000000006</c:v>
                </c:pt>
                <c:pt idx="219">
                  <c:v>10814.450000000006</c:v>
                </c:pt>
                <c:pt idx="220">
                  <c:v>10814.450000000006</c:v>
                </c:pt>
                <c:pt idx="221">
                  <c:v>10814.450000000006</c:v>
                </c:pt>
                <c:pt idx="222">
                  <c:v>10814.450000000006</c:v>
                </c:pt>
                <c:pt idx="223">
                  <c:v>10814.450000000006</c:v>
                </c:pt>
                <c:pt idx="224">
                  <c:v>10814.450000000006</c:v>
                </c:pt>
                <c:pt idx="225">
                  <c:v>10814.450000000006</c:v>
                </c:pt>
                <c:pt idx="226">
                  <c:v>10814.450000000006</c:v>
                </c:pt>
                <c:pt idx="227">
                  <c:v>10814.450000000006</c:v>
                </c:pt>
                <c:pt idx="228">
                  <c:v>10814.450000000006</c:v>
                </c:pt>
                <c:pt idx="229">
                  <c:v>10814.450000000006</c:v>
                </c:pt>
                <c:pt idx="230">
                  <c:v>10814.450000000006</c:v>
                </c:pt>
                <c:pt idx="231">
                  <c:v>10741.079000000007</c:v>
                </c:pt>
                <c:pt idx="232">
                  <c:v>10601.674100000007</c:v>
                </c:pt>
                <c:pt idx="233">
                  <c:v>10451.561000000007</c:v>
                </c:pt>
                <c:pt idx="234">
                  <c:v>10284.989000000007</c:v>
                </c:pt>
                <c:pt idx="235">
                  <c:v>10111.278200000006</c:v>
                </c:pt>
                <c:pt idx="236">
                  <c:v>9966.9158000000061</c:v>
                </c:pt>
                <c:pt idx="237">
                  <c:v>9798.3608000000058</c:v>
                </c:pt>
                <c:pt idx="238">
                  <c:v>9600.6557000000066</c:v>
                </c:pt>
                <c:pt idx="239">
                  <c:v>9397.0016000000069</c:v>
                </c:pt>
                <c:pt idx="240">
                  <c:v>9223.6874000000062</c:v>
                </c:pt>
                <c:pt idx="241">
                  <c:v>9223.6874000000062</c:v>
                </c:pt>
                <c:pt idx="242">
                  <c:v>9223.6874000000062</c:v>
                </c:pt>
                <c:pt idx="243">
                  <c:v>9223.6874000000062</c:v>
                </c:pt>
                <c:pt idx="244">
                  <c:v>9223.6874000000062</c:v>
                </c:pt>
                <c:pt idx="245">
                  <c:v>9223.6874000000062</c:v>
                </c:pt>
                <c:pt idx="246">
                  <c:v>9223.6874000000062</c:v>
                </c:pt>
                <c:pt idx="247">
                  <c:v>9223.6874000000062</c:v>
                </c:pt>
                <c:pt idx="248">
                  <c:v>9223.6874000000062</c:v>
                </c:pt>
                <c:pt idx="249">
                  <c:v>9223.6874000000062</c:v>
                </c:pt>
                <c:pt idx="250">
                  <c:v>9223.6874000000062</c:v>
                </c:pt>
                <c:pt idx="251">
                  <c:v>12624.537400000007</c:v>
                </c:pt>
                <c:pt idx="252">
                  <c:v>12525.387400000007</c:v>
                </c:pt>
                <c:pt idx="253">
                  <c:v>12426.237400000007</c:v>
                </c:pt>
                <c:pt idx="254">
                  <c:v>12327.087400000008</c:v>
                </c:pt>
                <c:pt idx="255">
                  <c:v>12227.937400000008</c:v>
                </c:pt>
                <c:pt idx="256">
                  <c:v>12128.787400000008</c:v>
                </c:pt>
                <c:pt idx="257">
                  <c:v>12029.637400000009</c:v>
                </c:pt>
                <c:pt idx="258">
                  <c:v>11930.487400000009</c:v>
                </c:pt>
                <c:pt idx="259">
                  <c:v>11831.337400000009</c:v>
                </c:pt>
                <c:pt idx="260">
                  <c:v>11732.18740000001</c:v>
                </c:pt>
                <c:pt idx="261">
                  <c:v>11533.887400000011</c:v>
                </c:pt>
                <c:pt idx="262">
                  <c:v>11236.43740000001</c:v>
                </c:pt>
                <c:pt idx="263">
                  <c:v>10839.837400000009</c:v>
                </c:pt>
                <c:pt idx="264">
                  <c:v>10344.087400000009</c:v>
                </c:pt>
                <c:pt idx="265">
                  <c:v>9947.4874000000091</c:v>
                </c:pt>
                <c:pt idx="266">
                  <c:v>9650.0374000000083</c:v>
                </c:pt>
                <c:pt idx="267">
                  <c:v>9352.5874000000076</c:v>
                </c:pt>
                <c:pt idx="268">
                  <c:v>9005.562400000008</c:v>
                </c:pt>
                <c:pt idx="269">
                  <c:v>8658.5374000000083</c:v>
                </c:pt>
                <c:pt idx="270">
                  <c:v>8261.937400000008</c:v>
                </c:pt>
                <c:pt idx="271">
                  <c:v>7815.7624000000078</c:v>
                </c:pt>
                <c:pt idx="272">
                  <c:v>7369.5874000000076</c:v>
                </c:pt>
                <c:pt idx="273">
                  <c:v>6923.4124000000074</c:v>
                </c:pt>
                <c:pt idx="274">
                  <c:v>6526.8124000000071</c:v>
                </c:pt>
                <c:pt idx="275">
                  <c:v>6150.0424000000066</c:v>
                </c:pt>
                <c:pt idx="276">
                  <c:v>5793.102400000007</c:v>
                </c:pt>
                <c:pt idx="277">
                  <c:v>5436.1624000000074</c:v>
                </c:pt>
                <c:pt idx="278">
                  <c:v>5079.2224000000078</c:v>
                </c:pt>
                <c:pt idx="279">
                  <c:v>5583.4724000000078</c:v>
                </c:pt>
                <c:pt idx="280">
                  <c:v>5087.7224000000078</c:v>
                </c:pt>
                <c:pt idx="281">
                  <c:v>4691.1224000000075</c:v>
                </c:pt>
                <c:pt idx="282">
                  <c:v>4294.5224000000071</c:v>
                </c:pt>
                <c:pt idx="283">
                  <c:v>3897.9224000000072</c:v>
                </c:pt>
                <c:pt idx="284">
                  <c:v>3600.4724000000074</c:v>
                </c:pt>
                <c:pt idx="285">
                  <c:v>3253.4474000000073</c:v>
                </c:pt>
                <c:pt idx="286">
                  <c:v>2856.8474000000074</c:v>
                </c:pt>
                <c:pt idx="287">
                  <c:v>2460.2474000000075</c:v>
                </c:pt>
                <c:pt idx="288">
                  <c:v>2063.6474000000076</c:v>
                </c:pt>
                <c:pt idx="289">
                  <c:v>1667.0474000000077</c:v>
                </c:pt>
                <c:pt idx="290">
                  <c:v>1270.4474000000077</c:v>
                </c:pt>
                <c:pt idx="291">
                  <c:v>873.84740000000772</c:v>
                </c:pt>
                <c:pt idx="292">
                  <c:v>477.2474000000077</c:v>
                </c:pt>
                <c:pt idx="293">
                  <c:v>980.64740000000768</c:v>
                </c:pt>
                <c:pt idx="294">
                  <c:v>584.04740000000766</c:v>
                </c:pt>
                <c:pt idx="295">
                  <c:v>187.44740000000763</c:v>
                </c:pt>
                <c:pt idx="296">
                  <c:v>-2.5419999992379871E-2</c:v>
                </c:pt>
                <c:pt idx="297">
                  <c:v>-2.5419999992379871E-2</c:v>
                </c:pt>
                <c:pt idx="298">
                  <c:v>-2.5419999992379871E-2</c:v>
                </c:pt>
                <c:pt idx="299">
                  <c:v>-2.5419999992379871E-2</c:v>
                </c:pt>
                <c:pt idx="300">
                  <c:v>-2.5419999992379871E-2</c:v>
                </c:pt>
                <c:pt idx="301">
                  <c:v>-2.5419999992379871E-2</c:v>
                </c:pt>
                <c:pt idx="302">
                  <c:v>-2.5419999992379871E-2</c:v>
                </c:pt>
                <c:pt idx="303">
                  <c:v>-2.5419999992379871E-2</c:v>
                </c:pt>
                <c:pt idx="304">
                  <c:v>-2.5419999992379871E-2</c:v>
                </c:pt>
                <c:pt idx="305">
                  <c:v>-2.5419999992379871E-2</c:v>
                </c:pt>
                <c:pt idx="306">
                  <c:v>-2.5419999992379871E-2</c:v>
                </c:pt>
                <c:pt idx="307">
                  <c:v>-2.5419999992379871E-2</c:v>
                </c:pt>
                <c:pt idx="308">
                  <c:v>-2.5419999992379871E-2</c:v>
                </c:pt>
                <c:pt idx="309">
                  <c:v>-2.5419999992379871E-2</c:v>
                </c:pt>
                <c:pt idx="310">
                  <c:v>-2.5419999992379871E-2</c:v>
                </c:pt>
                <c:pt idx="311">
                  <c:v>-2.5419999992379871E-2</c:v>
                </c:pt>
                <c:pt idx="312">
                  <c:v>-2.5419999992379871E-2</c:v>
                </c:pt>
                <c:pt idx="313">
                  <c:v>-2.5419999992379871E-2</c:v>
                </c:pt>
                <c:pt idx="314">
                  <c:v>-2.5419999992379871E-2</c:v>
                </c:pt>
                <c:pt idx="315">
                  <c:v>-2.5419999992379871E-2</c:v>
                </c:pt>
                <c:pt idx="316">
                  <c:v>-2.5419999992379871E-2</c:v>
                </c:pt>
                <c:pt idx="317">
                  <c:v>-2.5419999992379871E-2</c:v>
                </c:pt>
                <c:pt idx="318">
                  <c:v>-2.5419999992379871E-2</c:v>
                </c:pt>
                <c:pt idx="319">
                  <c:v>-2.5419999992379871E-2</c:v>
                </c:pt>
                <c:pt idx="320">
                  <c:v>-2.5419999992379871E-2</c:v>
                </c:pt>
                <c:pt idx="321">
                  <c:v>-2.5419999992379871E-2</c:v>
                </c:pt>
                <c:pt idx="322">
                  <c:v>-2.5419999992379871E-2</c:v>
                </c:pt>
                <c:pt idx="323">
                  <c:v>-2.5419999992379871E-2</c:v>
                </c:pt>
                <c:pt idx="324">
                  <c:v>-2.5419999992379871E-2</c:v>
                </c:pt>
                <c:pt idx="325">
                  <c:v>-2.5419999992379871E-2</c:v>
                </c:pt>
                <c:pt idx="326">
                  <c:v>-2.5419999992379871E-2</c:v>
                </c:pt>
                <c:pt idx="327">
                  <c:v>-2.5419999992379871E-2</c:v>
                </c:pt>
                <c:pt idx="328">
                  <c:v>-2.5419999992379871E-2</c:v>
                </c:pt>
                <c:pt idx="329">
                  <c:v>-2.5419999992379871E-2</c:v>
                </c:pt>
                <c:pt idx="330">
                  <c:v>-2.5419999992379871E-2</c:v>
                </c:pt>
                <c:pt idx="331">
                  <c:v>-2.5419999992379871E-2</c:v>
                </c:pt>
                <c:pt idx="332">
                  <c:v>-2.5419999992379871E-2</c:v>
                </c:pt>
                <c:pt idx="333">
                  <c:v>-2.5419999992379871E-2</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er>
        <c:marker val="1"/>
        <c:axId val="139140480"/>
        <c:axId val="139150464"/>
      </c:lineChart>
      <c:dateAx>
        <c:axId val="139140480"/>
        <c:scaling>
          <c:orientation val="minMax"/>
        </c:scaling>
        <c:axPos val="b"/>
        <c:numFmt formatCode="[$-409]d\-mmm;@" sourceLinked="0"/>
        <c:tickLblPos val="nextTo"/>
        <c:txPr>
          <a:bodyPr rot="-5400000" vert="horz"/>
          <a:lstStyle/>
          <a:p>
            <a:pPr>
              <a:defRPr/>
            </a:pPr>
            <a:endParaRPr lang="en-US"/>
          </a:p>
        </c:txPr>
        <c:crossAx val="139150464"/>
        <c:crossesAt val="-1"/>
        <c:auto val="1"/>
        <c:lblOffset val="100"/>
        <c:baseTimeUnit val="days"/>
        <c:majorUnit val="12"/>
        <c:minorUnit val="1"/>
      </c:dateAx>
      <c:valAx>
        <c:axId val="139150464"/>
        <c:scaling>
          <c:orientation val="minMax"/>
          <c:max val="18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9140480"/>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115"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
  <sheetViews>
    <sheetView zoomScale="150" workbookViewId="0" zoomToFit="1"/>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3"/>
  <sheetViews>
    <sheetView zoomScale="150" workbookViewId="0" zoomToFit="1"/>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8282" y="36444"/>
    <xdr:ext cx="9621078" cy="733507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72500" cy="582267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72500" cy="582267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sheetPr codeName="Sheet7"/>
  <dimension ref="A1:BA425"/>
  <sheetViews>
    <sheetView zoomScaleNormal="100" workbookViewId="0">
      <pane xSplit="1" ySplit="4" topLeftCell="B314" activePane="bottomRight" state="frozen"/>
      <selection pane="topRight" activeCell="B1" sqref="B1"/>
      <selection pane="bottomLeft" activeCell="A5" sqref="A5"/>
      <selection pane="bottomRight" activeCell="S346" sqref="S346"/>
    </sheetView>
  </sheetViews>
  <sheetFormatPr defaultColWidth="0.140625" defaultRowHeight="11.25"/>
  <cols>
    <col min="1" max="1" width="6.140625" style="425" bestFit="1" customWidth="1"/>
    <col min="2" max="2" width="5.85546875" style="956" bestFit="1" customWidth="1"/>
    <col min="3" max="3" width="4.85546875" style="956" bestFit="1" customWidth="1"/>
    <col min="4" max="4" width="5.42578125" style="956" bestFit="1" customWidth="1"/>
    <col min="5" max="7" width="4" style="956" bestFit="1" customWidth="1"/>
    <col min="8" max="8" width="5.5703125" style="956" customWidth="1"/>
    <col min="9" max="11" width="5.85546875" style="936" bestFit="1" customWidth="1"/>
    <col min="12" max="14" width="3.5703125" style="956" customWidth="1"/>
    <col min="15" max="15" width="6.5703125" style="988" bestFit="1" customWidth="1"/>
    <col min="16" max="16" width="8.42578125" style="988" hidden="1" customWidth="1"/>
    <col min="17" max="17" width="6.5703125" style="1016" bestFit="1" customWidth="1"/>
    <col min="18" max="18" width="9.140625" style="988" customWidth="1"/>
    <col min="19" max="19" width="6.42578125" style="988" bestFit="1" customWidth="1"/>
    <col min="20" max="20" width="6.5703125" style="1016" bestFit="1" customWidth="1"/>
    <col min="21" max="21" width="5.42578125" style="988" bestFit="1" customWidth="1"/>
    <col min="22" max="22" width="5.85546875" style="988" bestFit="1" customWidth="1"/>
    <col min="23" max="23" width="7.85546875" style="1016" customWidth="1"/>
    <col min="24" max="24" width="5.85546875" style="988" customWidth="1"/>
    <col min="25" max="26" width="8.42578125" style="988" bestFit="1" customWidth="1"/>
    <col min="27" max="27" width="8.42578125" style="1016" bestFit="1" customWidth="1"/>
    <col min="28" max="28" width="9.42578125" style="426" customWidth="1"/>
    <col min="29" max="29" width="8.42578125" style="956" bestFit="1" customWidth="1"/>
    <col min="30" max="30" width="9.42578125" style="426" hidden="1" customWidth="1"/>
    <col min="31" max="31" width="11.5703125" style="426" hidden="1" customWidth="1"/>
    <col min="32" max="32" width="8.42578125" style="936" bestFit="1" customWidth="1"/>
    <col min="33" max="34" width="6.140625" style="936" bestFit="1" customWidth="1"/>
    <col min="35" max="35" width="8.42578125" style="390" customWidth="1"/>
    <col min="36" max="37" width="8.42578125" style="573" customWidth="1"/>
    <col min="38" max="38" width="8" style="390" customWidth="1"/>
    <col min="39" max="39" width="8.42578125" style="390" customWidth="1"/>
    <col min="40" max="40" width="11.85546875" style="390" customWidth="1"/>
    <col min="41" max="41" width="11.85546875" style="398" customWidth="1"/>
    <col min="42" max="53" width="11.85546875" style="390" customWidth="1"/>
    <col min="54" max="108" width="8" style="390" customWidth="1"/>
    <col min="109" max="109" width="18.85546875" style="390" bestFit="1" customWidth="1"/>
    <col min="110" max="120" width="8" style="390" customWidth="1"/>
    <col min="121" max="121" width="10.42578125" style="390" bestFit="1" customWidth="1"/>
    <col min="122" max="16384" width="0.140625" style="390"/>
  </cols>
  <sheetData>
    <row r="1" spans="1:53" ht="51" customHeight="1" thickBot="1">
      <c r="A1" s="791">
        <f ca="1">NOW()</f>
        <v>42040.48391574074</v>
      </c>
      <c r="B1" s="1125" t="s">
        <v>129</v>
      </c>
      <c r="C1" s="1126"/>
      <c r="D1" s="1126"/>
      <c r="E1" s="1126"/>
      <c r="F1" s="1126"/>
      <c r="G1" s="1126"/>
      <c r="H1" s="1127"/>
      <c r="I1" s="1131" t="s">
        <v>130</v>
      </c>
      <c r="J1" s="1132"/>
      <c r="K1" s="1133"/>
      <c r="L1" s="1122" t="s">
        <v>131</v>
      </c>
      <c r="M1" s="1123"/>
      <c r="N1" s="1124"/>
      <c r="O1" s="1128" t="s">
        <v>132</v>
      </c>
      <c r="P1" s="1129"/>
      <c r="Q1" s="1129"/>
      <c r="R1" s="1129"/>
      <c r="S1" s="1129"/>
      <c r="T1" s="1129"/>
      <c r="U1" s="1129"/>
      <c r="V1" s="1129"/>
      <c r="W1" s="1129"/>
      <c r="X1" s="1129"/>
      <c r="Y1" s="1129"/>
      <c r="Z1" s="1129"/>
      <c r="AA1" s="1130"/>
      <c r="AB1" s="419"/>
      <c r="AC1" s="1122" t="s">
        <v>500</v>
      </c>
      <c r="AD1" s="1123"/>
      <c r="AE1" s="1124"/>
      <c r="AF1" s="1119" t="s">
        <v>133</v>
      </c>
      <c r="AG1" s="1120"/>
      <c r="AH1" s="1121"/>
      <c r="AI1" s="389"/>
      <c r="AJ1" s="883"/>
      <c r="AK1" s="883"/>
      <c r="AM1" s="389"/>
      <c r="AN1" s="456" t="s">
        <v>554</v>
      </c>
      <c r="AO1" s="457"/>
      <c r="AP1" s="468"/>
      <c r="AQ1" s="468"/>
      <c r="AR1" s="468"/>
      <c r="AS1" s="469"/>
      <c r="AT1" s="458"/>
      <c r="AU1" s="458"/>
      <c r="AV1" s="458"/>
      <c r="AW1" s="458"/>
      <c r="AX1" s="458"/>
      <c r="AY1" s="458"/>
      <c r="AZ1" s="458"/>
      <c r="BA1" s="459"/>
    </row>
    <row r="2" spans="1:53" s="395" customFormat="1" ht="161.25" customHeight="1" thickBot="1">
      <c r="A2" s="629" t="s">
        <v>1</v>
      </c>
      <c r="B2" s="943" t="s">
        <v>502</v>
      </c>
      <c r="C2" s="944" t="s">
        <v>503</v>
      </c>
      <c r="D2" s="944" t="s">
        <v>504</v>
      </c>
      <c r="E2" s="945" t="s">
        <v>137</v>
      </c>
      <c r="F2" s="945" t="s">
        <v>138</v>
      </c>
      <c r="G2" s="945" t="s">
        <v>139</v>
      </c>
      <c r="H2" s="946" t="s">
        <v>140</v>
      </c>
      <c r="I2" s="927" t="s">
        <v>697</v>
      </c>
      <c r="J2" s="928" t="s">
        <v>698</v>
      </c>
      <c r="K2" s="929" t="s">
        <v>699</v>
      </c>
      <c r="L2" s="943" t="s">
        <v>143</v>
      </c>
      <c r="M2" s="945" t="s">
        <v>144</v>
      </c>
      <c r="N2" s="946" t="s">
        <v>145</v>
      </c>
      <c r="O2" s="979" t="s">
        <v>551</v>
      </c>
      <c r="P2" s="980" t="s">
        <v>146</v>
      </c>
      <c r="Q2" s="1013" t="s">
        <v>720</v>
      </c>
      <c r="R2" s="980" t="s">
        <v>721</v>
      </c>
      <c r="S2" s="980" t="s">
        <v>505</v>
      </c>
      <c r="T2" s="1013" t="s">
        <v>506</v>
      </c>
      <c r="U2" s="980" t="s">
        <v>680</v>
      </c>
      <c r="V2" s="980" t="s">
        <v>507</v>
      </c>
      <c r="W2" s="1013" t="s">
        <v>681</v>
      </c>
      <c r="X2" s="980" t="s">
        <v>679</v>
      </c>
      <c r="Y2" s="981" t="s">
        <v>682</v>
      </c>
      <c r="Z2" s="981" t="s">
        <v>693</v>
      </c>
      <c r="AA2" s="1018" t="s">
        <v>830</v>
      </c>
      <c r="AB2" s="1090" t="s">
        <v>844</v>
      </c>
      <c r="AC2" s="946" t="s">
        <v>817</v>
      </c>
      <c r="AD2" s="627" t="s">
        <v>508</v>
      </c>
      <c r="AE2" s="628" t="s">
        <v>509</v>
      </c>
      <c r="AF2" s="927" t="s">
        <v>510</v>
      </c>
      <c r="AG2" s="938" t="s">
        <v>149</v>
      </c>
      <c r="AH2" s="939" t="s">
        <v>150</v>
      </c>
      <c r="AI2" s="886" t="s">
        <v>707</v>
      </c>
      <c r="AJ2" s="887" t="s">
        <v>745</v>
      </c>
      <c r="AK2" s="887" t="s">
        <v>843</v>
      </c>
      <c r="AL2" s="1012" t="s">
        <v>845</v>
      </c>
      <c r="AM2" s="476"/>
      <c r="AN2" s="443" t="s">
        <v>511</v>
      </c>
      <c r="AO2" s="396" t="s">
        <v>501</v>
      </c>
      <c r="AP2" s="470" t="s">
        <v>512</v>
      </c>
      <c r="AQ2" s="471" t="s">
        <v>513</v>
      </c>
      <c r="AR2" s="471" t="s">
        <v>514</v>
      </c>
      <c r="AS2" s="472" t="s">
        <v>515</v>
      </c>
      <c r="AT2" s="605" t="s">
        <v>516</v>
      </c>
      <c r="AU2" s="606" t="s">
        <v>517</v>
      </c>
      <c r="AV2" s="438" t="s">
        <v>518</v>
      </c>
      <c r="AW2" s="439" t="s">
        <v>519</v>
      </c>
      <c r="AX2" s="609" t="s">
        <v>520</v>
      </c>
      <c r="AY2" s="610" t="s">
        <v>521</v>
      </c>
      <c r="AZ2" s="622" t="s">
        <v>522</v>
      </c>
      <c r="BA2" s="623" t="s">
        <v>523</v>
      </c>
    </row>
    <row r="3" spans="1:53" ht="12" thickBot="1">
      <c r="A3" s="421"/>
      <c r="B3" s="947" t="s">
        <v>60</v>
      </c>
      <c r="C3" s="948" t="s">
        <v>60</v>
      </c>
      <c r="D3" s="948" t="s">
        <v>60</v>
      </c>
      <c r="E3" s="949" t="s">
        <v>60</v>
      </c>
      <c r="F3" s="949" t="s">
        <v>60</v>
      </c>
      <c r="G3" s="949" t="s">
        <v>60</v>
      </c>
      <c r="H3" s="950" t="s">
        <v>152</v>
      </c>
      <c r="I3" s="930" t="s">
        <v>60</v>
      </c>
      <c r="J3" s="931" t="s">
        <v>60</v>
      </c>
      <c r="K3" s="932" t="s">
        <v>60</v>
      </c>
      <c r="L3" s="947" t="s">
        <v>60</v>
      </c>
      <c r="M3" s="949" t="s">
        <v>60</v>
      </c>
      <c r="N3" s="950" t="s">
        <v>60</v>
      </c>
      <c r="O3" s="982" t="s">
        <v>153</v>
      </c>
      <c r="P3" s="983" t="s">
        <v>153</v>
      </c>
      <c r="Q3" s="1014" t="s">
        <v>58</v>
      </c>
      <c r="R3" s="983" t="s">
        <v>58</v>
      </c>
      <c r="S3" s="983" t="s">
        <v>58</v>
      </c>
      <c r="T3" s="1014" t="s">
        <v>58</v>
      </c>
      <c r="U3" s="983" t="s">
        <v>60</v>
      </c>
      <c r="V3" s="983" t="s">
        <v>60</v>
      </c>
      <c r="W3" s="1014" t="s">
        <v>58</v>
      </c>
      <c r="X3" s="983" t="s">
        <v>60</v>
      </c>
      <c r="Y3" s="983" t="s">
        <v>58</v>
      </c>
      <c r="Z3" s="983" t="s">
        <v>58</v>
      </c>
      <c r="AA3" s="1019" t="s">
        <v>58</v>
      </c>
      <c r="AB3" s="1091" t="s">
        <v>58</v>
      </c>
      <c r="AC3" s="950" t="s">
        <v>58</v>
      </c>
      <c r="AD3" s="422" t="s">
        <v>58</v>
      </c>
      <c r="AE3" s="423" t="s">
        <v>58</v>
      </c>
      <c r="AF3" s="930" t="s">
        <v>60</v>
      </c>
      <c r="AG3" s="931" t="s">
        <v>154</v>
      </c>
      <c r="AH3" s="932" t="s">
        <v>154</v>
      </c>
      <c r="AI3" s="570" t="s">
        <v>58</v>
      </c>
      <c r="AJ3" s="883"/>
      <c r="AK3" s="883"/>
      <c r="AM3" s="389"/>
      <c r="AN3" s="444"/>
      <c r="AO3" s="467"/>
      <c r="AP3" s="473" t="s">
        <v>58</v>
      </c>
      <c r="AQ3" s="474" t="s">
        <v>58</v>
      </c>
      <c r="AR3" s="474" t="s">
        <v>58</v>
      </c>
      <c r="AS3" s="475" t="s">
        <v>58</v>
      </c>
      <c r="AT3" s="607"/>
      <c r="AU3" s="608"/>
      <c r="AV3" s="446"/>
      <c r="AW3" s="445"/>
      <c r="AX3" s="611"/>
      <c r="AY3" s="612"/>
      <c r="AZ3" s="624"/>
      <c r="BA3" s="625"/>
    </row>
    <row r="4" spans="1:53" ht="98.25" hidden="1" customHeight="1" thickBot="1">
      <c r="A4" s="424"/>
      <c r="B4" s="951" t="s">
        <v>134</v>
      </c>
      <c r="C4" s="952" t="s">
        <v>135</v>
      </c>
      <c r="D4" s="952" t="s">
        <v>136</v>
      </c>
      <c r="E4" s="953" t="s">
        <v>137</v>
      </c>
      <c r="F4" s="953" t="s">
        <v>138</v>
      </c>
      <c r="G4" s="953" t="s">
        <v>139</v>
      </c>
      <c r="H4" s="953" t="s">
        <v>140</v>
      </c>
      <c r="I4" s="933" t="s">
        <v>141</v>
      </c>
      <c r="J4" s="934" t="s">
        <v>142</v>
      </c>
      <c r="K4" s="934" t="s">
        <v>142</v>
      </c>
      <c r="L4" s="952" t="s">
        <v>143</v>
      </c>
      <c r="M4" s="953" t="s">
        <v>144</v>
      </c>
      <c r="N4" s="953" t="s">
        <v>145</v>
      </c>
      <c r="O4" s="984" t="s">
        <v>57</v>
      </c>
      <c r="P4" s="984" t="s">
        <v>146</v>
      </c>
      <c r="Q4" s="1015" t="s">
        <v>524</v>
      </c>
      <c r="R4" s="984"/>
      <c r="S4" s="984"/>
      <c r="T4" s="1015" t="s">
        <v>147</v>
      </c>
      <c r="U4" s="984"/>
      <c r="V4" s="984"/>
      <c r="W4" s="1015" t="s">
        <v>148</v>
      </c>
      <c r="X4" s="984" t="s">
        <v>294</v>
      </c>
      <c r="Y4" s="984"/>
      <c r="Z4" s="984"/>
      <c r="AA4" s="1015" t="s">
        <v>525</v>
      </c>
      <c r="AB4" s="1092" t="s">
        <v>525</v>
      </c>
      <c r="AC4" s="953" t="s">
        <v>151</v>
      </c>
      <c r="AD4" s="394"/>
      <c r="AE4" s="394" t="s">
        <v>151</v>
      </c>
      <c r="AF4" s="940" t="s">
        <v>526</v>
      </c>
      <c r="AG4" s="940" t="s">
        <v>149</v>
      </c>
      <c r="AH4" s="934" t="s">
        <v>150</v>
      </c>
      <c r="AI4" s="571" t="s">
        <v>524</v>
      </c>
      <c r="AJ4" s="884"/>
      <c r="AK4" s="884"/>
      <c r="AM4" s="476"/>
      <c r="AN4" s="397" t="e">
        <f>FORECAST(0,#REF!,#REF!)</f>
        <v>#REF!</v>
      </c>
      <c r="AO4" s="391"/>
      <c r="AP4" s="440"/>
      <c r="AQ4" s="441"/>
      <c r="AR4" s="441"/>
      <c r="AS4" s="442"/>
      <c r="AT4" s="393"/>
      <c r="AU4" s="393"/>
      <c r="AV4" s="393"/>
      <c r="AW4" s="393"/>
      <c r="AX4" s="393"/>
      <c r="AY4" s="393"/>
      <c r="AZ4" s="393"/>
      <c r="BA4" s="393"/>
    </row>
    <row r="5" spans="1:53" ht="13.5" thickBot="1">
      <c r="A5" s="425">
        <v>41636</v>
      </c>
      <c r="B5" s="954">
        <f t="shared" ref="B5:B16" si="0">E5+F5</f>
        <v>54.655510000000007</v>
      </c>
      <c r="C5" s="954">
        <f>Calculation!AK8</f>
        <v>0</v>
      </c>
      <c r="D5" s="954">
        <f>Calculation!AI8</f>
        <v>0</v>
      </c>
      <c r="E5" s="954">
        <f>Calculation!AE8</f>
        <v>32.533410000000003</v>
      </c>
      <c r="F5" s="954">
        <f>Calculation!AF8</f>
        <v>22.1221</v>
      </c>
      <c r="G5" s="954">
        <f>Calculation!AG8</f>
        <v>54.655509999999992</v>
      </c>
      <c r="H5" s="955" t="str">
        <f>Sheet1!H10</f>
        <v>o/s</v>
      </c>
      <c r="I5" s="935">
        <f>Sheet1!DA10</f>
        <v>1760</v>
      </c>
      <c r="J5" s="935">
        <f>Sheet1!DB10</f>
        <v>1190</v>
      </c>
      <c r="K5" s="935">
        <f>Sheet1!CZ10</f>
        <v>1310</v>
      </c>
      <c r="L5" s="959">
        <f>Calculation!F8</f>
        <v>250</v>
      </c>
      <c r="M5" s="959">
        <f>Calculation!E8</f>
        <v>250</v>
      </c>
      <c r="N5" s="959">
        <f>Calculation!D8</f>
        <v>300</v>
      </c>
      <c r="O5" s="985">
        <f>Sheet1!DC10</f>
        <v>1082.9000000000001</v>
      </c>
      <c r="P5" s="986" t="e">
        <f>Calculation!FD8</f>
        <v>#REF!</v>
      </c>
      <c r="Q5" s="994">
        <f>Calculation!DP8</f>
        <v>1625.0000000042292</v>
      </c>
      <c r="R5" s="985">
        <f>Q5-619</f>
        <v>1006.0000000042292</v>
      </c>
      <c r="S5" s="987">
        <v>0</v>
      </c>
      <c r="T5" s="994">
        <f ca="1">IF(A5&gt;$A$1,#N/A,VLOOKUP(A5,Calculation!$B$8:$JF$503,40,FALSE))</f>
        <v>0</v>
      </c>
      <c r="U5" s="987">
        <f t="shared" ref="U5:U16" si="1">D5</f>
        <v>0</v>
      </c>
      <c r="V5" s="987">
        <f>Calculation!AZ8</f>
        <v>0</v>
      </c>
      <c r="W5" s="994">
        <v>0</v>
      </c>
      <c r="X5" s="987">
        <v>0</v>
      </c>
      <c r="Y5" s="987">
        <f t="shared" ref="Y5:Y16" ca="1" si="2">IF((A5+1)&gt;$A$1,#N/A,0)</f>
        <v>0</v>
      </c>
      <c r="Z5" s="987">
        <f t="shared" ref="Z5:Z16" ca="1" si="3">W5-Y5</f>
        <v>0</v>
      </c>
      <c r="AA5" s="994">
        <f ca="1">IF(Q5-T5-W5&lt;0,0,Q5-T5-W5)</f>
        <v>1625.0000000042292</v>
      </c>
      <c r="AB5" s="1093">
        <f ca="1">AA5-619</f>
        <v>1006.0000000042292</v>
      </c>
      <c r="AC5" s="954" t="e">
        <f ca="1">IF(A5&gt;$A$1,#N/A,VLOOKUP(A5,Calculation!$B$8:$JF$503,165,FALSE))</f>
        <v>#N/A</v>
      </c>
      <c r="AD5" s="418" t="e">
        <f ca="1">AC5-#REF!</f>
        <v>#N/A</v>
      </c>
      <c r="AE5" s="418"/>
      <c r="AF5" s="935">
        <f>Calculation!G8</f>
        <v>4129.7</v>
      </c>
      <c r="AG5" s="941" t="str">
        <f t="shared" ref="AG5:AG16" si="4">IF(I5&gt;L5,"Yes","No")</f>
        <v>Yes</v>
      </c>
      <c r="AH5" s="941" t="str">
        <f t="shared" ref="AH5:AH16" si="5">IF(AND(I5&gt;M5,J5&gt;N5),"Yes","No")</f>
        <v>Yes</v>
      </c>
      <c r="AI5" s="961"/>
      <c r="AJ5" s="962"/>
      <c r="AK5" s="962"/>
      <c r="AN5" s="447"/>
      <c r="AO5" s="430"/>
      <c r="AP5" s="462"/>
      <c r="AQ5" s="461"/>
      <c r="AR5" s="461"/>
      <c r="AS5" s="463"/>
      <c r="AU5" s="453"/>
      <c r="AV5" s="452"/>
      <c r="AW5" s="453"/>
      <c r="AX5" s="452"/>
      <c r="AY5" s="453"/>
      <c r="AZ5" s="452"/>
      <c r="BA5" s="449"/>
    </row>
    <row r="6" spans="1:53" ht="13.5" thickBot="1">
      <c r="A6" s="425">
        <v>41637</v>
      </c>
      <c r="B6" s="954">
        <f t="shared" si="0"/>
        <v>54.485339999999994</v>
      </c>
      <c r="C6" s="954">
        <f>Calculation!AK9</f>
        <v>0</v>
      </c>
      <c r="D6" s="954">
        <f>Calculation!AI9</f>
        <v>0</v>
      </c>
      <c r="E6" s="954">
        <f>Calculation!AE9</f>
        <v>32.517939999999996</v>
      </c>
      <c r="F6" s="954">
        <f>Calculation!AF9</f>
        <v>21.967399999999998</v>
      </c>
      <c r="G6" s="954">
        <f>Calculation!AG9</f>
        <v>54.485339999999994</v>
      </c>
      <c r="H6" s="955" t="str">
        <f>Sheet1!H11</f>
        <v>o/s</v>
      </c>
      <c r="I6" s="935">
        <f>Sheet1!DA11</f>
        <v>1720</v>
      </c>
      <c r="J6" s="935">
        <f>Sheet1!DB11</f>
        <v>1170</v>
      </c>
      <c r="K6" s="935">
        <f>Sheet1!CZ11</f>
        <v>1290</v>
      </c>
      <c r="L6" s="959">
        <f>Calculation!F9</f>
        <v>250</v>
      </c>
      <c r="M6" s="959">
        <f>Calculation!E9</f>
        <v>250</v>
      </c>
      <c r="N6" s="959">
        <f>Calculation!D9</f>
        <v>300</v>
      </c>
      <c r="O6" s="985">
        <f>Sheet1!DC11</f>
        <v>1081.82</v>
      </c>
      <c r="P6" s="986" t="e">
        <f>Calculation!FD9</f>
        <v>#N/A</v>
      </c>
      <c r="Q6" s="994">
        <f>Calculation!DP9</f>
        <v>1467.800000003788</v>
      </c>
      <c r="R6" s="985">
        <f t="shared" ref="R6:R69" si="6">Q6-619</f>
        <v>848.800000003788</v>
      </c>
      <c r="S6" s="987">
        <f t="shared" ref="S6:S16" si="7">R6-R5</f>
        <v>-157.20000000044115</v>
      </c>
      <c r="T6" s="994">
        <f ca="1">IF(A6&gt;$A$1,#N/A,VLOOKUP(A6,Calculation!$B$8:$JF$503,40,FALSE))</f>
        <v>0</v>
      </c>
      <c r="U6" s="987">
        <f t="shared" si="1"/>
        <v>0</v>
      </c>
      <c r="V6" s="987">
        <f>Calculation!AZ9</f>
        <v>0</v>
      </c>
      <c r="W6" s="994">
        <v>0</v>
      </c>
      <c r="X6" s="987">
        <v>0</v>
      </c>
      <c r="Y6" s="987">
        <f t="shared" ca="1" si="2"/>
        <v>0</v>
      </c>
      <c r="Z6" s="987">
        <f t="shared" ca="1" si="3"/>
        <v>0</v>
      </c>
      <c r="AA6" s="994">
        <f t="shared" ref="AA6:AA69" ca="1" si="8">IF(Q6-T6-W6&lt;0,0,Q6-T6-W6)</f>
        <v>1467.800000003788</v>
      </c>
      <c r="AB6" s="1093">
        <f t="shared" ref="AB6:AB69" ca="1" si="9">AA6-619</f>
        <v>848.800000003788</v>
      </c>
      <c r="AC6" s="954" t="e">
        <f ca="1">IF(A6&gt;$A$1,#N/A,VLOOKUP(A6,Calculation!$B$8:$JF$503,165,FALSE))</f>
        <v>#N/A</v>
      </c>
      <c r="AD6" s="418" t="e">
        <f t="shared" ref="AD6:AD16" ca="1" si="10">AC6-AC5</f>
        <v>#N/A</v>
      </c>
      <c r="AE6" s="418"/>
      <c r="AF6" s="935">
        <f>Calculation!G9</f>
        <v>1210.7261724657383</v>
      </c>
      <c r="AG6" s="941" t="str">
        <f t="shared" si="4"/>
        <v>Yes</v>
      </c>
      <c r="AH6" s="941" t="str">
        <f t="shared" si="5"/>
        <v>Yes</v>
      </c>
      <c r="AI6" s="961"/>
      <c r="AJ6" s="962"/>
      <c r="AK6" s="962"/>
      <c r="AN6" s="447"/>
      <c r="AO6" s="430"/>
      <c r="AP6" s="462"/>
      <c r="AQ6" s="461"/>
      <c r="AR6" s="461"/>
      <c r="AS6" s="463"/>
      <c r="AU6" s="453"/>
      <c r="AV6" s="452"/>
      <c r="AW6" s="453"/>
      <c r="AX6" s="452"/>
      <c r="AY6" s="453"/>
      <c r="AZ6" s="452"/>
      <c r="BA6" s="449"/>
    </row>
    <row r="7" spans="1:53" ht="13.5" thickBot="1">
      <c r="A7" s="425">
        <v>41638</v>
      </c>
      <c r="B7" s="954">
        <f t="shared" si="0"/>
        <v>54.531749999999995</v>
      </c>
      <c r="C7" s="954">
        <f>Calculation!AK10</f>
        <v>0</v>
      </c>
      <c r="D7" s="954">
        <f>Calculation!AI10</f>
        <v>0</v>
      </c>
      <c r="E7" s="954">
        <f>Calculation!AE10</f>
        <v>32.564349999999997</v>
      </c>
      <c r="F7" s="954">
        <f>Calculation!AF10</f>
        <v>21.967399999999998</v>
      </c>
      <c r="G7" s="954">
        <f>Calculation!AG10</f>
        <v>54.531749999999995</v>
      </c>
      <c r="H7" s="955" t="str">
        <f>Sheet1!H12</f>
        <v>o/s</v>
      </c>
      <c r="I7" s="935">
        <f>Sheet1!DA12</f>
        <v>1680</v>
      </c>
      <c r="J7" s="935">
        <f>Sheet1!DB12</f>
        <v>1150</v>
      </c>
      <c r="K7" s="935">
        <f>Sheet1!CZ12</f>
        <v>1260</v>
      </c>
      <c r="L7" s="959">
        <f>Calculation!F10</f>
        <v>250</v>
      </c>
      <c r="M7" s="959">
        <f>Calculation!E10</f>
        <v>250</v>
      </c>
      <c r="N7" s="959">
        <f>Calculation!D10</f>
        <v>300</v>
      </c>
      <c r="O7" s="985">
        <f>Sheet1!DC12</f>
        <v>1079.5999999999999</v>
      </c>
      <c r="P7" s="986" t="e">
        <f>Calculation!FD10</f>
        <v>#N/A</v>
      </c>
      <c r="Q7" s="994">
        <f>Calculation!DP10</f>
        <v>1164.0000000032514</v>
      </c>
      <c r="R7" s="985">
        <f t="shared" si="6"/>
        <v>545.00000000325144</v>
      </c>
      <c r="S7" s="987">
        <f t="shared" si="7"/>
        <v>-303.80000000053656</v>
      </c>
      <c r="T7" s="994">
        <f ca="1">IF(A7&gt;$A$1,#N/A,VLOOKUP(A7,Calculation!$B$8:$JF$503,40,FALSE))</f>
        <v>0</v>
      </c>
      <c r="U7" s="987">
        <f t="shared" si="1"/>
        <v>0</v>
      </c>
      <c r="V7" s="987">
        <f>Calculation!AZ10</f>
        <v>0</v>
      </c>
      <c r="W7" s="994">
        <v>0</v>
      </c>
      <c r="X7" s="987">
        <v>0</v>
      </c>
      <c r="Y7" s="987">
        <f t="shared" ca="1" si="2"/>
        <v>0</v>
      </c>
      <c r="Z7" s="987">
        <f t="shared" ca="1" si="3"/>
        <v>0</v>
      </c>
      <c r="AA7" s="994">
        <f t="shared" ca="1" si="8"/>
        <v>1164.0000000032514</v>
      </c>
      <c r="AB7" s="1093">
        <f t="shared" ca="1" si="9"/>
        <v>545.00000000325144</v>
      </c>
      <c r="AC7" s="954" t="e">
        <f ca="1">IF(A7&gt;$A$1,#N/A,VLOOKUP(A7,Calculation!$B$8:$JF$503,165,FALSE))</f>
        <v>#N/A</v>
      </c>
      <c r="AD7" s="418" t="e">
        <f t="shared" ca="1" si="10"/>
        <v>#N/A</v>
      </c>
      <c r="AE7" s="418"/>
      <c r="AF7" s="935">
        <f>Calculation!G10</f>
        <v>1106.7977811394169</v>
      </c>
      <c r="AG7" s="941" t="str">
        <f t="shared" si="4"/>
        <v>Yes</v>
      </c>
      <c r="AH7" s="941" t="str">
        <f t="shared" si="5"/>
        <v>Yes</v>
      </c>
      <c r="AI7" s="961"/>
      <c r="AJ7" s="962"/>
      <c r="AK7" s="962"/>
      <c r="AN7" s="447"/>
      <c r="AO7" s="430"/>
      <c r="AP7" s="462"/>
      <c r="AQ7" s="461"/>
      <c r="AR7" s="461"/>
      <c r="AS7" s="463"/>
      <c r="AU7" s="453"/>
      <c r="AV7" s="452"/>
      <c r="AW7" s="453"/>
      <c r="AX7" s="452"/>
      <c r="AY7" s="453"/>
      <c r="AZ7" s="452"/>
      <c r="BA7" s="449"/>
    </row>
    <row r="8" spans="1:53" ht="13.5" thickBot="1">
      <c r="A8" s="425">
        <v>41639</v>
      </c>
      <c r="B8" s="954">
        <f t="shared" si="0"/>
        <v>54.4544</v>
      </c>
      <c r="C8" s="954">
        <f>Calculation!AK11</f>
        <v>0</v>
      </c>
      <c r="D8" s="954">
        <f>Calculation!AI11</f>
        <v>0</v>
      </c>
      <c r="E8" s="954">
        <f>Calculation!AE11</f>
        <v>32.6417</v>
      </c>
      <c r="F8" s="954">
        <f>Calculation!AF11</f>
        <v>21.8127</v>
      </c>
      <c r="G8" s="954">
        <f>Calculation!AG11</f>
        <v>54.4544</v>
      </c>
      <c r="H8" s="955" t="str">
        <f>Sheet1!H13</f>
        <v>o/s</v>
      </c>
      <c r="I8" s="935">
        <f>Sheet1!DA13</f>
        <v>1450</v>
      </c>
      <c r="J8" s="935">
        <f>Sheet1!DB13</f>
        <v>939</v>
      </c>
      <c r="K8" s="935">
        <f>Sheet1!CZ13</f>
        <v>998</v>
      </c>
      <c r="L8" s="959">
        <f>Calculation!F11</f>
        <v>250</v>
      </c>
      <c r="M8" s="959">
        <f>Calculation!E11</f>
        <v>250</v>
      </c>
      <c r="N8" s="959">
        <f>Calculation!D11</f>
        <v>300</v>
      </c>
      <c r="O8" s="985">
        <f>Sheet1!DC13</f>
        <v>1078.0999999999999</v>
      </c>
      <c r="P8" s="986" t="e">
        <f>Calculation!FD11</f>
        <v>#N/A</v>
      </c>
      <c r="Q8" s="994">
        <f>Calculation!DP11</f>
        <v>974.00000000283762</v>
      </c>
      <c r="R8" s="985">
        <f t="shared" si="6"/>
        <v>355.00000000283762</v>
      </c>
      <c r="S8" s="987">
        <f t="shared" si="7"/>
        <v>-190.00000000041382</v>
      </c>
      <c r="T8" s="994">
        <f ca="1">IF(A8&gt;$A$1,#N/A,VLOOKUP(A8,Calculation!$B$8:$JF$503,40,FALSE))</f>
        <v>0</v>
      </c>
      <c r="U8" s="987">
        <f t="shared" si="1"/>
        <v>0</v>
      </c>
      <c r="V8" s="987">
        <f>Calculation!AZ11</f>
        <v>0</v>
      </c>
      <c r="W8" s="994">
        <v>0</v>
      </c>
      <c r="X8" s="987">
        <v>0</v>
      </c>
      <c r="Y8" s="987">
        <f t="shared" ca="1" si="2"/>
        <v>0</v>
      </c>
      <c r="Z8" s="987">
        <f t="shared" ca="1" si="3"/>
        <v>0</v>
      </c>
      <c r="AA8" s="994">
        <f t="shared" ca="1" si="8"/>
        <v>974.00000000283762</v>
      </c>
      <c r="AB8" s="1093">
        <f t="shared" ca="1" si="9"/>
        <v>355.00000000283762</v>
      </c>
      <c r="AC8" s="954" t="e">
        <f ca="1">IF(A8&gt;$A$1,#N/A,VLOOKUP(A8,Calculation!$B$8:$JF$503,165,FALSE))</f>
        <v>#N/A</v>
      </c>
      <c r="AD8" s="418" t="e">
        <f t="shared" ca="1" si="10"/>
        <v>#N/A</v>
      </c>
      <c r="AE8" s="418"/>
      <c r="AF8" s="935">
        <f>Calculation!G11</f>
        <v>902.18557740775907</v>
      </c>
      <c r="AG8" s="941" t="str">
        <f t="shared" si="4"/>
        <v>Yes</v>
      </c>
      <c r="AH8" s="941" t="str">
        <f t="shared" si="5"/>
        <v>Yes</v>
      </c>
      <c r="AI8" s="961"/>
      <c r="AJ8" s="962"/>
      <c r="AK8" s="962"/>
      <c r="AN8" s="447"/>
      <c r="AO8" s="430"/>
      <c r="AP8" s="462"/>
      <c r="AQ8" s="461"/>
      <c r="AR8" s="461"/>
      <c r="AS8" s="463"/>
      <c r="AU8" s="453"/>
      <c r="AV8" s="452"/>
      <c r="AW8" s="453"/>
      <c r="AX8" s="452"/>
      <c r="AY8" s="453"/>
      <c r="AZ8" s="452"/>
      <c r="BA8" s="449"/>
    </row>
    <row r="9" spans="1:53" ht="13.5" thickBot="1">
      <c r="A9" s="425">
        <v>41640</v>
      </c>
      <c r="B9" s="954">
        <f t="shared" si="0"/>
        <v>54.377049999999997</v>
      </c>
      <c r="C9" s="954">
        <f>Calculation!AK12</f>
        <v>0</v>
      </c>
      <c r="D9" s="954">
        <f>Calculation!AI12</f>
        <v>0</v>
      </c>
      <c r="E9" s="954">
        <f>Calculation!AE12</f>
        <v>32.564349999999997</v>
      </c>
      <c r="F9" s="954">
        <f>Calculation!AF12</f>
        <v>21.8127</v>
      </c>
      <c r="G9" s="954">
        <f>Calculation!AG12</f>
        <v>54.377049999999997</v>
      </c>
      <c r="H9" s="955" t="str">
        <f>Sheet1!H14</f>
        <v>o/s</v>
      </c>
      <c r="I9" s="935">
        <f>Sheet1!DA14</f>
        <v>1400</v>
      </c>
      <c r="J9" s="935">
        <f>Sheet1!DB14</f>
        <v>922</v>
      </c>
      <c r="K9" s="935">
        <f>Sheet1!CZ14</f>
        <v>993</v>
      </c>
      <c r="L9" s="959">
        <f>Calculation!F12</f>
        <v>250</v>
      </c>
      <c r="M9" s="959">
        <f>Calculation!E12</f>
        <v>250</v>
      </c>
      <c r="N9" s="959">
        <f>Calculation!D12</f>
        <v>300</v>
      </c>
      <c r="O9" s="985">
        <f>Sheet1!DC14</f>
        <v>1077.3</v>
      </c>
      <c r="P9" s="986" t="e">
        <f>Calculation!FD12</f>
        <v>#N/A</v>
      </c>
      <c r="Q9" s="994">
        <f>Calculation!DP12</f>
        <v>878.00000000275577</v>
      </c>
      <c r="R9" s="985">
        <f t="shared" si="6"/>
        <v>259.00000000275577</v>
      </c>
      <c r="S9" s="987">
        <f t="shared" si="7"/>
        <v>-96.000000000081855</v>
      </c>
      <c r="T9" s="994">
        <f ca="1">IF(A9&gt;$A$1,#N/A,VLOOKUP(A9,Calculation!$B$8:$JF$503,40,FALSE))</f>
        <v>0</v>
      </c>
      <c r="U9" s="987">
        <f t="shared" si="1"/>
        <v>0</v>
      </c>
      <c r="V9" s="987">
        <f>Calculation!AZ12</f>
        <v>0</v>
      </c>
      <c r="W9" s="994">
        <v>0</v>
      </c>
      <c r="X9" s="987">
        <v>0</v>
      </c>
      <c r="Y9" s="987">
        <f t="shared" ca="1" si="2"/>
        <v>0</v>
      </c>
      <c r="Z9" s="987">
        <f t="shared" ca="1" si="3"/>
        <v>0</v>
      </c>
      <c r="AA9" s="994">
        <f t="shared" ca="1" si="8"/>
        <v>878.00000000275577</v>
      </c>
      <c r="AB9" s="1093">
        <f t="shared" ca="1" si="9"/>
        <v>259.00000000275577</v>
      </c>
      <c r="AC9" s="954" t="e">
        <f ca="1">IF(A9&gt;$A$1,#N/A,VLOOKUP(A9,Calculation!$B$8:$JF$503,165,FALSE))</f>
        <v>#N/A</v>
      </c>
      <c r="AD9" s="418" t="e">
        <f t="shared" ca="1" si="10"/>
        <v>#N/A</v>
      </c>
      <c r="AE9" s="418"/>
      <c r="AF9" s="935">
        <f>Calculation!G12</f>
        <v>944.58850226924767</v>
      </c>
      <c r="AG9" s="941" t="str">
        <f t="shared" si="4"/>
        <v>Yes</v>
      </c>
      <c r="AH9" s="941" t="str">
        <f t="shared" si="5"/>
        <v>Yes</v>
      </c>
      <c r="AI9" s="963">
        <v>2178.050000003223</v>
      </c>
      <c r="AJ9" s="964">
        <v>2595.0000000063505</v>
      </c>
      <c r="AK9" s="964">
        <v>928.20000000257619</v>
      </c>
      <c r="AN9" s="447"/>
      <c r="AO9" s="430"/>
      <c r="AP9" s="652">
        <f>Calculation!BB12*3.068</f>
        <v>0</v>
      </c>
      <c r="AQ9" s="653"/>
      <c r="AR9" s="653"/>
      <c r="AS9" s="654"/>
      <c r="AU9" s="453"/>
      <c r="AV9" s="452"/>
      <c r="AW9" s="453"/>
      <c r="AX9" s="452"/>
      <c r="AY9" s="453"/>
      <c r="AZ9" s="452"/>
      <c r="BA9" s="449"/>
    </row>
    <row r="10" spans="1:53" ht="13.5" thickBot="1">
      <c r="A10" s="425">
        <v>41641</v>
      </c>
      <c r="B10" s="954">
        <f t="shared" si="0"/>
        <v>54.609099999999998</v>
      </c>
      <c r="C10" s="954">
        <f>Calculation!AK13</f>
        <v>0</v>
      </c>
      <c r="D10" s="954">
        <f>Calculation!AI13</f>
        <v>0</v>
      </c>
      <c r="E10" s="954">
        <f>Calculation!AE13</f>
        <v>32.6417</v>
      </c>
      <c r="F10" s="954">
        <f>Calculation!AF13</f>
        <v>21.967399999999998</v>
      </c>
      <c r="G10" s="954">
        <f>Calculation!AG13</f>
        <v>54.609099999999991</v>
      </c>
      <c r="H10" s="955" t="str">
        <f>Sheet1!H15</f>
        <v>o/s</v>
      </c>
      <c r="I10" s="935">
        <f>Sheet1!DA15</f>
        <v>1340</v>
      </c>
      <c r="J10" s="935">
        <f>Sheet1!DB15</f>
        <v>864</v>
      </c>
      <c r="K10" s="935">
        <f>Sheet1!CZ15</f>
        <v>871</v>
      </c>
      <c r="L10" s="959">
        <f>Calculation!F13</f>
        <v>250</v>
      </c>
      <c r="M10" s="959">
        <f>Calculation!E13</f>
        <v>250</v>
      </c>
      <c r="N10" s="959">
        <f>Calculation!D13</f>
        <v>300</v>
      </c>
      <c r="O10" s="985">
        <f>Sheet1!DC15</f>
        <v>1077.25</v>
      </c>
      <c r="P10" s="986" t="e">
        <f>Calculation!FD13</f>
        <v>#N/A</v>
      </c>
      <c r="Q10" s="994">
        <f>Calculation!DP13</f>
        <v>872.00000000275577</v>
      </c>
      <c r="R10" s="985">
        <f t="shared" si="6"/>
        <v>253.00000000275577</v>
      </c>
      <c r="S10" s="987">
        <f t="shared" si="7"/>
        <v>-6</v>
      </c>
      <c r="T10" s="994">
        <f ca="1">IF(A10&gt;$A$1,#N/A,VLOOKUP(A10,Calculation!$B$8:$JF$503,40,FALSE))</f>
        <v>0</v>
      </c>
      <c r="U10" s="987">
        <f t="shared" si="1"/>
        <v>0</v>
      </c>
      <c r="V10" s="987">
        <f>Calculation!AZ13</f>
        <v>0</v>
      </c>
      <c r="W10" s="994">
        <v>0</v>
      </c>
      <c r="X10" s="987">
        <v>0</v>
      </c>
      <c r="Y10" s="987">
        <f t="shared" ca="1" si="2"/>
        <v>0</v>
      </c>
      <c r="Z10" s="987">
        <f t="shared" ca="1" si="3"/>
        <v>0</v>
      </c>
      <c r="AA10" s="994">
        <f t="shared" ca="1" si="8"/>
        <v>872.00000000275577</v>
      </c>
      <c r="AB10" s="1093">
        <f t="shared" ca="1" si="9"/>
        <v>253.00000000275577</v>
      </c>
      <c r="AC10" s="954" t="e">
        <f ca="1">IF(A10&gt;$A$1,#N/A,VLOOKUP(A10,Calculation!$B$8:$JF$503,165,FALSE))</f>
        <v>#N/A</v>
      </c>
      <c r="AD10" s="418" t="e">
        <f t="shared" ca="1" si="10"/>
        <v>#N/A</v>
      </c>
      <c r="AE10" s="418"/>
      <c r="AF10" s="935">
        <f>Calculation!G13</f>
        <v>867.97428139183057</v>
      </c>
      <c r="AG10" s="941" t="str">
        <f t="shared" si="4"/>
        <v>Yes</v>
      </c>
      <c r="AH10" s="941" t="str">
        <f t="shared" si="5"/>
        <v>Yes</v>
      </c>
      <c r="AI10" s="963">
        <v>2030.0000000029559</v>
      </c>
      <c r="AJ10" s="964">
        <v>1859.2000000047294</v>
      </c>
      <c r="AK10" s="964">
        <v>763.1000000024261</v>
      </c>
      <c r="AN10" s="447"/>
      <c r="AO10" s="430"/>
      <c r="AP10" s="652">
        <f>Calculation!BB13*3.068</f>
        <v>0</v>
      </c>
      <c r="AQ10" s="653"/>
      <c r="AR10" s="653"/>
      <c r="AS10" s="654"/>
      <c r="AU10" s="453"/>
      <c r="AV10" s="452"/>
      <c r="AW10" s="453"/>
      <c r="AX10" s="452"/>
      <c r="AY10" s="453"/>
      <c r="AZ10" s="452"/>
      <c r="BA10" s="449"/>
    </row>
    <row r="11" spans="1:53" ht="13.5" thickBot="1">
      <c r="A11" s="425">
        <v>41642</v>
      </c>
      <c r="B11" s="954">
        <f t="shared" si="0"/>
        <v>54.377049999999997</v>
      </c>
      <c r="C11" s="954">
        <f>Calculation!AK14</f>
        <v>0</v>
      </c>
      <c r="D11" s="954">
        <f>Calculation!AI14</f>
        <v>0</v>
      </c>
      <c r="E11" s="954">
        <f>Calculation!AE14</f>
        <v>32.564349999999997</v>
      </c>
      <c r="F11" s="954">
        <f>Calculation!AF14</f>
        <v>21.8127</v>
      </c>
      <c r="G11" s="954">
        <f>Calculation!AG14</f>
        <v>54.377049999999997</v>
      </c>
      <c r="H11" s="955" t="str">
        <f>Sheet1!H16</f>
        <v>o/s</v>
      </c>
      <c r="I11" s="935">
        <f>Sheet1!DA16</f>
        <v>1570</v>
      </c>
      <c r="J11" s="935">
        <f>Sheet1!DB16</f>
        <v>948</v>
      </c>
      <c r="K11" s="935">
        <f>Sheet1!CZ16</f>
        <v>1010</v>
      </c>
      <c r="L11" s="959">
        <f>Calculation!F14</f>
        <v>250</v>
      </c>
      <c r="M11" s="959">
        <f>Calculation!E14</f>
        <v>250</v>
      </c>
      <c r="N11" s="959">
        <f>Calculation!D14</f>
        <v>300</v>
      </c>
      <c r="O11" s="985">
        <f>Sheet1!DC16</f>
        <v>1080.8</v>
      </c>
      <c r="P11" s="986" t="e">
        <f>Calculation!FD14</f>
        <v>#N/A</v>
      </c>
      <c r="Q11" s="994">
        <f>Calculation!DP14</f>
        <v>1325.0000000036607</v>
      </c>
      <c r="R11" s="985">
        <f t="shared" si="6"/>
        <v>706.00000000366072</v>
      </c>
      <c r="S11" s="987">
        <f t="shared" si="7"/>
        <v>453.00000000090495</v>
      </c>
      <c r="T11" s="994">
        <f ca="1">IF(A11&gt;$A$1,#N/A,VLOOKUP(A11,Calculation!$B$8:$JF$503,40,FALSE))</f>
        <v>0</v>
      </c>
      <c r="U11" s="987">
        <f t="shared" si="1"/>
        <v>0</v>
      </c>
      <c r="V11" s="987">
        <f>Calculation!AZ14</f>
        <v>0</v>
      </c>
      <c r="W11" s="994">
        <f ca="1">IF(A11&gt;=$A$1,#N/A,W10-X9*1.983)</f>
        <v>0</v>
      </c>
      <c r="X11" s="987">
        <v>0</v>
      </c>
      <c r="Y11" s="987">
        <f t="shared" ca="1" si="2"/>
        <v>0</v>
      </c>
      <c r="Z11" s="987">
        <f t="shared" ca="1" si="3"/>
        <v>0</v>
      </c>
      <c r="AA11" s="994">
        <f t="shared" ca="1" si="8"/>
        <v>1325.0000000036607</v>
      </c>
      <c r="AB11" s="1093">
        <f t="shared" ca="1" si="9"/>
        <v>706.00000000366072</v>
      </c>
      <c r="AC11" s="954" t="e">
        <f ca="1">IF(A11&gt;$A$1,#N/A,VLOOKUP(A11,Calculation!$B$8:$JF$503,165,FALSE))</f>
        <v>#N/A</v>
      </c>
      <c r="AD11" s="418" t="e">
        <f t="shared" ca="1" si="10"/>
        <v>#N/A</v>
      </c>
      <c r="AE11" s="418"/>
      <c r="AF11" s="935">
        <f>Calculation!G14</f>
        <v>1238.441754917249</v>
      </c>
      <c r="AG11" s="941" t="str">
        <f t="shared" si="4"/>
        <v>Yes</v>
      </c>
      <c r="AH11" s="941" t="str">
        <f t="shared" si="5"/>
        <v>Yes</v>
      </c>
      <c r="AI11" s="963">
        <v>1902.3400000027502</v>
      </c>
      <c r="AJ11" s="964">
        <v>1075.2000000029468</v>
      </c>
      <c r="AK11" s="964">
        <v>653.20000000232608</v>
      </c>
      <c r="AN11" s="447"/>
      <c r="AO11" s="430"/>
      <c r="AP11" s="652">
        <f>Calculation!BB14*3.068</f>
        <v>0</v>
      </c>
      <c r="AQ11" s="653"/>
      <c r="AR11" s="653"/>
      <c r="AS11" s="654"/>
      <c r="AU11" s="453"/>
      <c r="AV11" s="452"/>
      <c r="AW11" s="453"/>
      <c r="AX11" s="452"/>
      <c r="AY11" s="453"/>
      <c r="AZ11" s="452"/>
      <c r="BA11" s="449"/>
    </row>
    <row r="12" spans="1:53" ht="13.5" thickBot="1">
      <c r="A12" s="425">
        <v>41643</v>
      </c>
      <c r="B12" s="954">
        <f t="shared" si="0"/>
        <v>54.377049999999997</v>
      </c>
      <c r="C12" s="954">
        <f>Calculation!AK15</f>
        <v>0</v>
      </c>
      <c r="D12" s="954">
        <f>Calculation!AI15</f>
        <v>0</v>
      </c>
      <c r="E12" s="954">
        <f>Calculation!AE15</f>
        <v>32.564349999999997</v>
      </c>
      <c r="F12" s="954">
        <f>Calculation!AF15</f>
        <v>21.8127</v>
      </c>
      <c r="G12" s="954">
        <f>Calculation!AG15</f>
        <v>54.377049999999997</v>
      </c>
      <c r="H12" s="955" t="str">
        <f>Sheet1!H17</f>
        <v>o/s</v>
      </c>
      <c r="I12" s="935">
        <f>Sheet1!DA17</f>
        <v>1460</v>
      </c>
      <c r="J12" s="935">
        <f>Sheet1!DB17</f>
        <v>952</v>
      </c>
      <c r="K12" s="935">
        <f>Sheet1!CZ17</f>
        <v>1020</v>
      </c>
      <c r="L12" s="959">
        <f>Calculation!F15</f>
        <v>250</v>
      </c>
      <c r="M12" s="959">
        <f>Calculation!E15</f>
        <v>250</v>
      </c>
      <c r="N12" s="959">
        <f>Calculation!D15</f>
        <v>300</v>
      </c>
      <c r="O12" s="985">
        <f>Sheet1!DC17</f>
        <v>1081.9000000000001</v>
      </c>
      <c r="P12" s="986" t="e">
        <f>Calculation!FD15</f>
        <v>#N/A</v>
      </c>
      <c r="Q12" s="994">
        <f>Calculation!DP15</f>
        <v>1479.0000000038199</v>
      </c>
      <c r="R12" s="985">
        <f t="shared" si="6"/>
        <v>860.00000000381988</v>
      </c>
      <c r="S12" s="987">
        <f t="shared" si="7"/>
        <v>154.00000000015916</v>
      </c>
      <c r="T12" s="994">
        <f ca="1">IF(A12&gt;$A$1,#N/A,VLOOKUP(A12,Calculation!$B$8:$JF$503,40,FALSE))</f>
        <v>0</v>
      </c>
      <c r="U12" s="987">
        <f t="shared" si="1"/>
        <v>0</v>
      </c>
      <c r="V12" s="987">
        <f>Calculation!AZ15</f>
        <v>0</v>
      </c>
      <c r="W12" s="994">
        <f t="shared" ref="W12:W75" ca="1" si="11">IF(A12&gt;=$A$1,#N/A,W11-X10*1.983)</f>
        <v>0</v>
      </c>
      <c r="X12" s="987">
        <v>0</v>
      </c>
      <c r="Y12" s="987">
        <f t="shared" ca="1" si="2"/>
        <v>0</v>
      </c>
      <c r="Z12" s="987">
        <f t="shared" ca="1" si="3"/>
        <v>0</v>
      </c>
      <c r="AA12" s="994">
        <f t="shared" ca="1" si="8"/>
        <v>1479.0000000038199</v>
      </c>
      <c r="AB12" s="1093">
        <f t="shared" ca="1" si="9"/>
        <v>860.00000000381988</v>
      </c>
      <c r="AC12" s="954" t="e">
        <f ca="1">IF(A12&gt;$A$1,#N/A,VLOOKUP(A12,Calculation!$B$8:$JF$503,165,FALSE))</f>
        <v>#N/A</v>
      </c>
      <c r="AD12" s="418" t="e">
        <f t="shared" ca="1" si="10"/>
        <v>#N/A</v>
      </c>
      <c r="AE12" s="418"/>
      <c r="AF12" s="935">
        <f>Calculation!G15</f>
        <v>1097.6601109430958</v>
      </c>
      <c r="AG12" s="941" t="str">
        <f t="shared" si="4"/>
        <v>Yes</v>
      </c>
      <c r="AH12" s="941" t="str">
        <f t="shared" si="5"/>
        <v>Yes</v>
      </c>
      <c r="AI12" s="963">
        <v>1877.5800000026629</v>
      </c>
      <c r="AJ12" s="964">
        <v>777.40000000245107</v>
      </c>
      <c r="AK12" s="964">
        <v>701.60000000237608</v>
      </c>
      <c r="AN12" s="447"/>
      <c r="AO12" s="430"/>
      <c r="AP12" s="652">
        <f>Calculation!BB15*3.068</f>
        <v>0</v>
      </c>
      <c r="AQ12" s="653"/>
      <c r="AR12" s="653"/>
      <c r="AS12" s="654"/>
      <c r="AU12" s="453"/>
      <c r="AV12" s="452"/>
      <c r="AW12" s="453"/>
      <c r="AX12" s="452"/>
      <c r="AY12" s="453"/>
      <c r="AZ12" s="452"/>
      <c r="BA12" s="449"/>
    </row>
    <row r="13" spans="1:53" ht="13.5" thickBot="1">
      <c r="A13" s="425">
        <v>41644</v>
      </c>
      <c r="B13" s="954">
        <f t="shared" si="0"/>
        <v>53.680900000000001</v>
      </c>
      <c r="C13" s="954">
        <f>Calculation!AK16</f>
        <v>0</v>
      </c>
      <c r="D13" s="954">
        <f>Calculation!AI16</f>
        <v>0</v>
      </c>
      <c r="E13" s="954">
        <f>Calculation!AE16</f>
        <v>31.868200000000002</v>
      </c>
      <c r="F13" s="954">
        <f>Calculation!AF16</f>
        <v>21.8127</v>
      </c>
      <c r="G13" s="954">
        <f>Calculation!AG16</f>
        <v>53.680900000000001</v>
      </c>
      <c r="H13" s="955" t="str">
        <f>Sheet1!H18</f>
        <v>o/s</v>
      </c>
      <c r="I13" s="935">
        <f>Sheet1!DA18</f>
        <v>1420</v>
      </c>
      <c r="J13" s="935">
        <f>Sheet1!DB18</f>
        <v>943</v>
      </c>
      <c r="K13" s="935">
        <f>Sheet1!CZ18</f>
        <v>1020</v>
      </c>
      <c r="L13" s="959">
        <f>Calculation!F16</f>
        <v>250</v>
      </c>
      <c r="M13" s="959">
        <f>Calculation!E16</f>
        <v>250</v>
      </c>
      <c r="N13" s="959">
        <f>Calculation!D16</f>
        <v>300</v>
      </c>
      <c r="O13" s="985">
        <f>Sheet1!DC18</f>
        <v>1081.5999999999999</v>
      </c>
      <c r="P13" s="986" t="e">
        <f>Calculation!FD16</f>
        <v>#N/A</v>
      </c>
      <c r="Q13" s="994">
        <f>Calculation!DP16</f>
        <v>1437.0000000037562</v>
      </c>
      <c r="R13" s="985">
        <f t="shared" si="6"/>
        <v>818.00000000375621</v>
      </c>
      <c r="S13" s="987">
        <f t="shared" si="7"/>
        <v>-42.000000000063665</v>
      </c>
      <c r="T13" s="994">
        <f ca="1">IF(A13&gt;$A$1,#N/A,VLOOKUP(A13,Calculation!$B$8:$JF$503,40,FALSE))</f>
        <v>0</v>
      </c>
      <c r="U13" s="987">
        <f t="shared" si="1"/>
        <v>0</v>
      </c>
      <c r="V13" s="987">
        <f>Calculation!AZ16</f>
        <v>0</v>
      </c>
      <c r="W13" s="994">
        <f t="shared" ca="1" si="11"/>
        <v>0</v>
      </c>
      <c r="X13" s="987">
        <v>0</v>
      </c>
      <c r="Y13" s="987">
        <f t="shared" ca="1" si="2"/>
        <v>0</v>
      </c>
      <c r="Z13" s="987">
        <f t="shared" ca="1" si="3"/>
        <v>0</v>
      </c>
      <c r="AA13" s="994">
        <f t="shared" ca="1" si="8"/>
        <v>1437.0000000037562</v>
      </c>
      <c r="AB13" s="1093">
        <f t="shared" ca="1" si="9"/>
        <v>818.00000000375621</v>
      </c>
      <c r="AC13" s="954" t="e">
        <f ca="1">IF(A13&gt;$A$1,#N/A,VLOOKUP(A13,Calculation!$B$8:$JF$503,165,FALSE))</f>
        <v>#N/A</v>
      </c>
      <c r="AD13" s="418" t="e">
        <f t="shared" ca="1" si="10"/>
        <v>#N/A</v>
      </c>
      <c r="AE13" s="418"/>
      <c r="AF13" s="935">
        <f>Calculation!G16</f>
        <v>998.81996974278184</v>
      </c>
      <c r="AG13" s="941" t="str">
        <f t="shared" si="4"/>
        <v>Yes</v>
      </c>
      <c r="AH13" s="941" t="str">
        <f t="shared" si="5"/>
        <v>Yes</v>
      </c>
      <c r="AI13" s="963">
        <v>1849.5200000026352</v>
      </c>
      <c r="AJ13" s="964">
        <v>781.80000000245104</v>
      </c>
      <c r="AK13" s="964">
        <v>807.0000000027012</v>
      </c>
      <c r="AN13" s="447"/>
      <c r="AO13" s="430"/>
      <c r="AP13" s="652">
        <f>Calculation!BB16*3.068</f>
        <v>0</v>
      </c>
      <c r="AQ13" s="653"/>
      <c r="AR13" s="653"/>
      <c r="AS13" s="654"/>
      <c r="AU13" s="453"/>
      <c r="AV13" s="452"/>
      <c r="AW13" s="453"/>
      <c r="AX13" s="452"/>
      <c r="AY13" s="453"/>
      <c r="AZ13" s="452"/>
      <c r="BA13" s="449"/>
    </row>
    <row r="14" spans="1:53" ht="13.5" thickBot="1">
      <c r="A14" s="425">
        <v>41645</v>
      </c>
      <c r="B14" s="954">
        <f t="shared" si="0"/>
        <v>52.335009999999997</v>
      </c>
      <c r="C14" s="954">
        <f>Calculation!AK17</f>
        <v>0</v>
      </c>
      <c r="D14" s="954">
        <f>Calculation!AI17</f>
        <v>0</v>
      </c>
      <c r="E14" s="954">
        <f>Calculation!AE17</f>
        <v>30.522310000000001</v>
      </c>
      <c r="F14" s="954">
        <f>Calculation!AF17</f>
        <v>21.8127</v>
      </c>
      <c r="G14" s="954">
        <f>Calculation!AG17</f>
        <v>52.335009999999997</v>
      </c>
      <c r="H14" s="955" t="str">
        <f>Sheet1!H19</f>
        <v>o/s</v>
      </c>
      <c r="I14" s="935">
        <f>Sheet1!DA19</f>
        <v>1490</v>
      </c>
      <c r="J14" s="935">
        <f>Sheet1!DB19</f>
        <v>1000</v>
      </c>
      <c r="K14" s="935">
        <f>Sheet1!CZ19</f>
        <v>1100</v>
      </c>
      <c r="L14" s="959">
        <f>Calculation!F17</f>
        <v>250</v>
      </c>
      <c r="M14" s="959">
        <f>Calculation!E17</f>
        <v>250</v>
      </c>
      <c r="N14" s="959">
        <f>Calculation!D17</f>
        <v>300</v>
      </c>
      <c r="O14" s="985">
        <f>Sheet1!DC19</f>
        <v>1079.56</v>
      </c>
      <c r="P14" s="986" t="e">
        <f>Calculation!FD17</f>
        <v>#N/A</v>
      </c>
      <c r="Q14" s="994">
        <f>Calculation!DP17</f>
        <v>1158.8000000032514</v>
      </c>
      <c r="R14" s="985">
        <f t="shared" si="6"/>
        <v>539.8000000032514</v>
      </c>
      <c r="S14" s="987">
        <f t="shared" si="7"/>
        <v>-278.20000000050482</v>
      </c>
      <c r="T14" s="994">
        <f ca="1">IF(A14&gt;$A$1,#N/A,VLOOKUP(A14,Calculation!$B$8:$JF$503,40,FALSE))</f>
        <v>0</v>
      </c>
      <c r="U14" s="987">
        <f t="shared" si="1"/>
        <v>0</v>
      </c>
      <c r="V14" s="987">
        <f>Calculation!AZ17</f>
        <v>0</v>
      </c>
      <c r="W14" s="994">
        <f t="shared" ca="1" si="11"/>
        <v>0</v>
      </c>
      <c r="X14" s="987">
        <v>0</v>
      </c>
      <c r="Y14" s="987">
        <f t="shared" ca="1" si="2"/>
        <v>0</v>
      </c>
      <c r="Z14" s="987">
        <f t="shared" ca="1" si="3"/>
        <v>0</v>
      </c>
      <c r="AA14" s="994">
        <f t="shared" ca="1" si="8"/>
        <v>1158.8000000032514</v>
      </c>
      <c r="AB14" s="1093">
        <f t="shared" ca="1" si="9"/>
        <v>539.8000000032514</v>
      </c>
      <c r="AC14" s="954" t="e">
        <f ca="1">IF(A14&gt;$A$1,#N/A,VLOOKUP(A14,Calculation!$B$8:$JF$503,165,FALSE))</f>
        <v>#N/A</v>
      </c>
      <c r="AD14" s="418" t="e">
        <f t="shared" ca="1" si="10"/>
        <v>#N/A</v>
      </c>
      <c r="AE14" s="418"/>
      <c r="AF14" s="935">
        <f>Calculation!G17</f>
        <v>959.70751386762242</v>
      </c>
      <c r="AG14" s="941" t="str">
        <f t="shared" si="4"/>
        <v>Yes</v>
      </c>
      <c r="AH14" s="941" t="str">
        <f t="shared" si="5"/>
        <v>Yes</v>
      </c>
      <c r="AI14" s="963">
        <v>2245.5500000032844</v>
      </c>
      <c r="AJ14" s="964">
        <v>888.80000000278301</v>
      </c>
      <c r="AK14" s="964">
        <v>887.60000000278308</v>
      </c>
      <c r="AN14" s="447"/>
      <c r="AO14" s="430"/>
      <c r="AP14" s="652">
        <f>Calculation!BB17*3.068</f>
        <v>0</v>
      </c>
      <c r="AQ14" s="653"/>
      <c r="AR14" s="653"/>
      <c r="AS14" s="654"/>
      <c r="AU14" s="453"/>
      <c r="AV14" s="452"/>
      <c r="AW14" s="453"/>
      <c r="AX14" s="452"/>
      <c r="AY14" s="453"/>
      <c r="AZ14" s="452"/>
      <c r="BA14" s="449"/>
    </row>
    <row r="15" spans="1:53" ht="13.5" thickBot="1">
      <c r="A15" s="425">
        <v>41646</v>
      </c>
      <c r="B15" s="954">
        <f t="shared" si="0"/>
        <v>52.396889999999999</v>
      </c>
      <c r="C15" s="954">
        <f>Calculation!AK18</f>
        <v>0</v>
      </c>
      <c r="D15" s="954">
        <f>Calculation!AI18</f>
        <v>0</v>
      </c>
      <c r="E15" s="954">
        <f>Calculation!AE18</f>
        <v>30.429490000000001</v>
      </c>
      <c r="F15" s="954">
        <f>Calculation!AF18</f>
        <v>21.967399999999998</v>
      </c>
      <c r="G15" s="954">
        <f>Calculation!AG18</f>
        <v>52.396890000000006</v>
      </c>
      <c r="H15" s="955" t="str">
        <f>Sheet1!H20</f>
        <v>o/s</v>
      </c>
      <c r="I15" s="935">
        <f>Sheet1!DA20</f>
        <v>1540</v>
      </c>
      <c r="J15" s="935">
        <f>Sheet1!DB20</f>
        <v>974</v>
      </c>
      <c r="K15" s="935">
        <f>Sheet1!CZ20</f>
        <v>1060</v>
      </c>
      <c r="L15" s="959">
        <f>Calculation!F18</f>
        <v>250</v>
      </c>
      <c r="M15" s="959">
        <f>Calculation!E18</f>
        <v>250</v>
      </c>
      <c r="N15" s="959">
        <f>Calculation!D18</f>
        <v>300</v>
      </c>
      <c r="O15" s="985">
        <f>Sheet1!DC20</f>
        <v>1076.5730000000001</v>
      </c>
      <c r="P15" s="986" t="e">
        <f>Calculation!FD18</f>
        <v>#N/A</v>
      </c>
      <c r="Q15" s="994">
        <f>Calculation!DP18</f>
        <v>792.760000002693</v>
      </c>
      <c r="R15" s="985">
        <f t="shared" si="6"/>
        <v>173.760000002693</v>
      </c>
      <c r="S15" s="987">
        <f t="shared" si="7"/>
        <v>-366.04000000055839</v>
      </c>
      <c r="T15" s="994">
        <f ca="1">IF(A15&gt;$A$1,#N/A,VLOOKUP(A15,Calculation!$B$8:$JF$503,40,FALSE))</f>
        <v>0</v>
      </c>
      <c r="U15" s="987">
        <f t="shared" si="1"/>
        <v>0</v>
      </c>
      <c r="V15" s="987">
        <f>Calculation!AZ18</f>
        <v>0</v>
      </c>
      <c r="W15" s="994">
        <f t="shared" ca="1" si="11"/>
        <v>0</v>
      </c>
      <c r="X15" s="987">
        <v>0</v>
      </c>
      <c r="Y15" s="987">
        <f t="shared" ca="1" si="2"/>
        <v>0</v>
      </c>
      <c r="Z15" s="987">
        <f t="shared" ca="1" si="3"/>
        <v>0</v>
      </c>
      <c r="AA15" s="994">
        <f t="shared" ca="1" si="8"/>
        <v>792.760000002693</v>
      </c>
      <c r="AB15" s="1093">
        <f t="shared" ca="1" si="9"/>
        <v>173.760000002693</v>
      </c>
      <c r="AC15" s="954" t="e">
        <f ca="1">IF(A15&gt;$A$1,#N/A,VLOOKUP(A15,Calculation!$B$8:$JF$503,165,FALSE))</f>
        <v>#N/A</v>
      </c>
      <c r="AD15" s="418" t="e">
        <f t="shared" ca="1" si="10"/>
        <v>#N/A</v>
      </c>
      <c r="AE15" s="418"/>
      <c r="AF15" s="935">
        <f>Calculation!G18</f>
        <v>875.41099344399481</v>
      </c>
      <c r="AG15" s="941" t="str">
        <f t="shared" si="4"/>
        <v>Yes</v>
      </c>
      <c r="AH15" s="941" t="str">
        <f t="shared" si="5"/>
        <v>Yes</v>
      </c>
      <c r="AI15" s="963">
        <v>3441.5000000054283</v>
      </c>
      <c r="AJ15" s="964">
        <v>987.30000000310361</v>
      </c>
      <c r="AK15" s="964">
        <v>1230.0000000033106</v>
      </c>
      <c r="AN15" s="447"/>
      <c r="AO15" s="430"/>
      <c r="AP15" s="652">
        <f>Calculation!BB18*3.068</f>
        <v>0</v>
      </c>
      <c r="AQ15" s="653"/>
      <c r="AR15" s="653"/>
      <c r="AS15" s="654"/>
      <c r="AU15" s="453"/>
      <c r="AV15" s="452"/>
      <c r="AW15" s="453"/>
      <c r="AX15" s="452"/>
      <c r="AY15" s="453"/>
      <c r="AZ15" s="452"/>
      <c r="BA15" s="449"/>
    </row>
    <row r="16" spans="1:53" ht="13.5" thickBot="1">
      <c r="A16" s="425">
        <v>41647</v>
      </c>
      <c r="B16" s="954">
        <f t="shared" si="0"/>
        <v>52.257660000000001</v>
      </c>
      <c r="C16" s="954">
        <f>Calculation!AK19</f>
        <v>0</v>
      </c>
      <c r="D16" s="954">
        <f>Calculation!AI19</f>
        <v>0</v>
      </c>
      <c r="E16" s="954">
        <f>Calculation!AE19</f>
        <v>30.630600000000001</v>
      </c>
      <c r="F16" s="954">
        <f>Calculation!AF19</f>
        <v>21.62706</v>
      </c>
      <c r="G16" s="954">
        <f>Calculation!AG19</f>
        <v>52.257660000000001</v>
      </c>
      <c r="H16" s="955" t="str">
        <f>Sheet1!H21</f>
        <v>o/s</v>
      </c>
      <c r="I16" s="935">
        <f>Sheet1!DA21</f>
        <v>1490</v>
      </c>
      <c r="J16" s="935">
        <f>Sheet1!DB21</f>
        <v>931</v>
      </c>
      <c r="K16" s="935">
        <f>Sheet1!CZ21</f>
        <v>951</v>
      </c>
      <c r="L16" s="959">
        <f>Calculation!F19</f>
        <v>250</v>
      </c>
      <c r="M16" s="959">
        <f>Calculation!E19</f>
        <v>250</v>
      </c>
      <c r="N16" s="959">
        <f>Calculation!D19</f>
        <v>300</v>
      </c>
      <c r="O16" s="985">
        <f>Sheet1!DC21</f>
        <v>1076.4000000000001</v>
      </c>
      <c r="P16" s="986" t="e">
        <f>Calculation!FD19</f>
        <v>#N/A</v>
      </c>
      <c r="Q16" s="994">
        <f>Calculation!DP19</f>
        <v>773.00000000245109</v>
      </c>
      <c r="R16" s="985">
        <f t="shared" si="6"/>
        <v>154.00000000245109</v>
      </c>
      <c r="S16" s="987">
        <f t="shared" si="7"/>
        <v>-19.760000000241916</v>
      </c>
      <c r="T16" s="994">
        <f ca="1">IF(A16&gt;$A$1,#N/A,VLOOKUP(A16,Calculation!$B$8:$JF$503,40,FALSE))</f>
        <v>0</v>
      </c>
      <c r="U16" s="987">
        <f t="shared" si="1"/>
        <v>0</v>
      </c>
      <c r="V16" s="987">
        <f>Calculation!AZ19</f>
        <v>0</v>
      </c>
      <c r="W16" s="994">
        <f t="shared" ca="1" si="11"/>
        <v>0</v>
      </c>
      <c r="X16" s="987">
        <v>0</v>
      </c>
      <c r="Y16" s="987">
        <f t="shared" ca="1" si="2"/>
        <v>0</v>
      </c>
      <c r="Z16" s="987">
        <f t="shared" ca="1" si="3"/>
        <v>0</v>
      </c>
      <c r="AA16" s="994">
        <f t="shared" ca="1" si="8"/>
        <v>773.00000000245109</v>
      </c>
      <c r="AB16" s="1093">
        <f t="shared" ca="1" si="9"/>
        <v>154.00000000245109</v>
      </c>
      <c r="AC16" s="954" t="e">
        <f ca="1">IF(A16&gt;$A$1,#N/A,VLOOKUP(A16,Calculation!$B$8:$JF$503,165,FALSE))</f>
        <v>#N/A</v>
      </c>
      <c r="AD16" s="418" t="e">
        <f t="shared" ca="1" si="10"/>
        <v>#N/A</v>
      </c>
      <c r="AE16" s="418"/>
      <c r="AF16" s="935">
        <f>Calculation!G19</f>
        <v>941.03530005030666</v>
      </c>
      <c r="AG16" s="941" t="str">
        <f t="shared" si="4"/>
        <v>Yes</v>
      </c>
      <c r="AH16" s="941" t="str">
        <f t="shared" si="5"/>
        <v>Yes</v>
      </c>
      <c r="AI16" s="963">
        <v>3917.6000000064369</v>
      </c>
      <c r="AJ16" s="964">
        <v>898.40000000278303</v>
      </c>
      <c r="AK16" s="964">
        <v>1299.3000000033696</v>
      </c>
      <c r="AN16" s="447"/>
      <c r="AO16" s="430"/>
      <c r="AP16" s="652">
        <f>Calculation!BB19*3.068</f>
        <v>0</v>
      </c>
      <c r="AQ16" s="653"/>
      <c r="AR16" s="653"/>
      <c r="AS16" s="654"/>
      <c r="AU16" s="453"/>
      <c r="AV16" s="452"/>
      <c r="AW16" s="453"/>
      <c r="AX16" s="452"/>
      <c r="AY16" s="453"/>
      <c r="AZ16" s="452"/>
      <c r="BA16" s="449"/>
    </row>
    <row r="17" spans="1:53" ht="13.5" thickBot="1">
      <c r="A17" s="425">
        <v>41648</v>
      </c>
      <c r="B17" s="954">
        <f t="shared" ref="B17:B80" si="12">E17+F17</f>
        <v>52.319540000000003</v>
      </c>
      <c r="C17" s="954">
        <f>Calculation!AK20</f>
        <v>0</v>
      </c>
      <c r="D17" s="954">
        <f>Calculation!AI20</f>
        <v>0</v>
      </c>
      <c r="E17" s="954">
        <f>Calculation!AE20</f>
        <v>30.630600000000001</v>
      </c>
      <c r="F17" s="954">
        <f>Calculation!AF20</f>
        <v>21.688939999999999</v>
      </c>
      <c r="G17" s="954">
        <f>Calculation!AG20</f>
        <v>52.319539999999996</v>
      </c>
      <c r="H17" s="955" t="str">
        <f>Sheet1!H22</f>
        <v>o/s</v>
      </c>
      <c r="I17" s="935">
        <f>Sheet1!DA22</f>
        <v>1980</v>
      </c>
      <c r="J17" s="935">
        <f>Sheet1!DB22</f>
        <v>1320</v>
      </c>
      <c r="K17" s="935">
        <f>Sheet1!CZ22</f>
        <v>1320</v>
      </c>
      <c r="L17" s="959">
        <f>Calculation!F20</f>
        <v>250</v>
      </c>
      <c r="M17" s="959">
        <f>Calculation!E20</f>
        <v>250</v>
      </c>
      <c r="N17" s="959">
        <f>Calculation!D20</f>
        <v>300</v>
      </c>
      <c r="O17" s="985">
        <f>Sheet1!DC22</f>
        <v>1077.58</v>
      </c>
      <c r="P17" s="986" t="e">
        <f>Calculation!FD20</f>
        <v>#N/A</v>
      </c>
      <c r="Q17" s="994">
        <f>Calculation!DP20</f>
        <v>911.60000000278308</v>
      </c>
      <c r="R17" s="985">
        <f t="shared" si="6"/>
        <v>292.60000000278308</v>
      </c>
      <c r="S17" s="987">
        <f t="shared" ref="S17:S80" si="13">R17-R16</f>
        <v>138.60000000033199</v>
      </c>
      <c r="T17" s="994">
        <f ca="1">IF(A17&gt;$A$1,#N/A,VLOOKUP(A17,Calculation!$B$8:$JF$503,40,FALSE))</f>
        <v>0</v>
      </c>
      <c r="U17" s="987">
        <f t="shared" ref="U17:U80" si="14">D17</f>
        <v>0</v>
      </c>
      <c r="V17" s="987">
        <f>Calculation!AZ20</f>
        <v>0</v>
      </c>
      <c r="W17" s="994">
        <f t="shared" ca="1" si="11"/>
        <v>0</v>
      </c>
      <c r="X17" s="987">
        <v>0</v>
      </c>
      <c r="Y17" s="987">
        <f t="shared" ref="Y17:Y80" ca="1" si="15">IF((A17+1)&gt;$A$1,#N/A,0)</f>
        <v>0</v>
      </c>
      <c r="Z17" s="987">
        <f t="shared" ref="Z17:Z80" ca="1" si="16">W17-Y17</f>
        <v>0</v>
      </c>
      <c r="AA17" s="994">
        <f t="shared" ca="1" si="8"/>
        <v>911.60000000278308</v>
      </c>
      <c r="AB17" s="1093">
        <f t="shared" ca="1" si="9"/>
        <v>292.60000000278308</v>
      </c>
      <c r="AC17" s="954" t="e">
        <f ca="1">IF(A17&gt;$A$1,#N/A,VLOOKUP(A17,Calculation!$B$8:$JF$503,165,FALSE))</f>
        <v>#N/A</v>
      </c>
      <c r="AD17" s="418" t="e">
        <f t="shared" ref="AD17:AD80" ca="1" si="17">AC17-AC16</f>
        <v>#N/A</v>
      </c>
      <c r="AE17" s="418"/>
      <c r="AF17" s="935">
        <f>Calculation!G20</f>
        <v>1389.8940998488815</v>
      </c>
      <c r="AG17" s="941" t="str">
        <f t="shared" ref="AG17:AG80" si="18">IF(I17&gt;L17,"Yes","No")</f>
        <v>Yes</v>
      </c>
      <c r="AH17" s="941" t="str">
        <f t="shared" ref="AH17:AH80" si="19">IF(AND(I17&gt;M17,J17&gt;N17),"Yes","No")</f>
        <v>Yes</v>
      </c>
      <c r="AI17" s="963">
        <v>2762.9600000042092</v>
      </c>
      <c r="AJ17" s="964">
        <v>782.90000000245107</v>
      </c>
      <c r="AK17" s="964">
        <v>1417.4000000037563</v>
      </c>
      <c r="AN17" s="447"/>
      <c r="AO17" s="430"/>
      <c r="AP17" s="652">
        <f>Calculation!BB20*3.068</f>
        <v>0</v>
      </c>
      <c r="AQ17" s="653"/>
      <c r="AR17" s="653"/>
      <c r="AS17" s="654"/>
      <c r="AU17" s="453"/>
      <c r="AV17" s="452"/>
      <c r="AW17" s="453"/>
      <c r="AX17" s="452"/>
      <c r="AY17" s="453"/>
      <c r="AZ17" s="452"/>
      <c r="BA17" s="449"/>
    </row>
    <row r="18" spans="1:53" ht="13.5" thickBot="1">
      <c r="A18" s="425">
        <v>41649</v>
      </c>
      <c r="B18" s="954">
        <f t="shared" si="12"/>
        <v>59.822490000000002</v>
      </c>
      <c r="C18" s="954">
        <f>Calculation!AK21</f>
        <v>0</v>
      </c>
      <c r="D18" s="954">
        <f>Calculation!AI21</f>
        <v>0</v>
      </c>
      <c r="E18" s="954">
        <f>Calculation!AE21</f>
        <v>30.429490000000001</v>
      </c>
      <c r="F18" s="954">
        <f>Calculation!AF21</f>
        <v>29.392999999999997</v>
      </c>
      <c r="G18" s="954">
        <f>Calculation!AG21</f>
        <v>59.822490000000002</v>
      </c>
      <c r="H18" s="955" t="str">
        <f>Sheet1!H23</f>
        <v>o/s</v>
      </c>
      <c r="I18" s="935">
        <f>Sheet1!DA23</f>
        <v>3130</v>
      </c>
      <c r="J18" s="935">
        <f>Sheet1!DB23</f>
        <v>2350</v>
      </c>
      <c r="K18" s="935">
        <f>Sheet1!CZ23</f>
        <v>2380</v>
      </c>
      <c r="L18" s="959">
        <f>Calculation!F21</f>
        <v>250</v>
      </c>
      <c r="M18" s="959">
        <f>Calculation!E21</f>
        <v>250</v>
      </c>
      <c r="N18" s="959">
        <f>Calculation!D21</f>
        <v>300</v>
      </c>
      <c r="O18" s="985">
        <f>Sheet1!DC23</f>
        <v>1077.9000000000001</v>
      </c>
      <c r="P18" s="986" t="e">
        <f>Calculation!FD21</f>
        <v>#N/A</v>
      </c>
      <c r="Q18" s="994">
        <f>Calculation!DP21</f>
        <v>949.00000000283762</v>
      </c>
      <c r="R18" s="985">
        <f t="shared" si="6"/>
        <v>330.00000000283762</v>
      </c>
      <c r="S18" s="987">
        <f t="shared" si="13"/>
        <v>37.400000000054547</v>
      </c>
      <c r="T18" s="994">
        <f ca="1">IF(A18&gt;$A$1,#N/A,VLOOKUP(A18,Calculation!$B$8:$JF$503,40,FALSE))</f>
        <v>0</v>
      </c>
      <c r="U18" s="987">
        <f t="shared" si="14"/>
        <v>0</v>
      </c>
      <c r="V18" s="987">
        <f>Calculation!AZ21</f>
        <v>0</v>
      </c>
      <c r="W18" s="994">
        <f t="shared" ca="1" si="11"/>
        <v>0</v>
      </c>
      <c r="X18" s="987">
        <v>0</v>
      </c>
      <c r="Y18" s="987">
        <f t="shared" ca="1" si="15"/>
        <v>0</v>
      </c>
      <c r="Z18" s="987">
        <f t="shared" ca="1" si="16"/>
        <v>0</v>
      </c>
      <c r="AA18" s="994">
        <f t="shared" ca="1" si="8"/>
        <v>949.00000000283762</v>
      </c>
      <c r="AB18" s="1093">
        <f t="shared" ca="1" si="9"/>
        <v>330.00000000283762</v>
      </c>
      <c r="AC18" s="954" t="e">
        <f ca="1">IF(A18&gt;$A$1,#N/A,VLOOKUP(A18,Calculation!$B$8:$JF$503,165,FALSE))</f>
        <v>#N/A</v>
      </c>
      <c r="AD18" s="418" t="e">
        <f t="shared" ca="1" si="17"/>
        <v>#N/A</v>
      </c>
      <c r="AE18" s="418"/>
      <c r="AF18" s="935">
        <f>Calculation!G21</f>
        <v>2398.8603126576172</v>
      </c>
      <c r="AG18" s="941" t="str">
        <f t="shared" si="18"/>
        <v>Yes</v>
      </c>
      <c r="AH18" s="941" t="str">
        <f t="shared" si="19"/>
        <v>Yes</v>
      </c>
      <c r="AI18" s="963">
        <v>1966.6000000028075</v>
      </c>
      <c r="AJ18" s="964">
        <v>742.30000000242603</v>
      </c>
      <c r="AK18" s="964">
        <v>1088.6000000031922</v>
      </c>
      <c r="AN18" s="447"/>
      <c r="AO18" s="430"/>
      <c r="AP18" s="652">
        <f>Calculation!BB21*3.068</f>
        <v>0</v>
      </c>
      <c r="AQ18" s="653"/>
      <c r="AR18" s="653"/>
      <c r="AS18" s="654"/>
      <c r="AU18" s="453"/>
      <c r="AV18" s="452"/>
      <c r="AW18" s="453"/>
      <c r="AX18" s="452"/>
      <c r="AY18" s="453"/>
      <c r="AZ18" s="452"/>
      <c r="BA18" s="449"/>
    </row>
    <row r="19" spans="1:53" ht="13.5" thickBot="1">
      <c r="A19" s="425">
        <v>41650</v>
      </c>
      <c r="B19" s="954">
        <f t="shared" si="12"/>
        <v>68.269109999999998</v>
      </c>
      <c r="C19" s="954">
        <f>Calculation!AK22</f>
        <v>0</v>
      </c>
      <c r="D19" s="954">
        <f>Calculation!AI22</f>
        <v>0</v>
      </c>
      <c r="E19" s="954">
        <f>Calculation!AE22</f>
        <v>28.356509999999997</v>
      </c>
      <c r="F19" s="954">
        <f>Calculation!AF22</f>
        <v>39.912599999999998</v>
      </c>
      <c r="G19" s="954">
        <f>Calculation!AG22</f>
        <v>68.269109999999984</v>
      </c>
      <c r="H19" s="955" t="str">
        <f>Sheet1!H24</f>
        <v>o/s</v>
      </c>
      <c r="I19" s="935">
        <f>Sheet1!DA24</f>
        <v>3560</v>
      </c>
      <c r="J19" s="935">
        <f>Sheet1!DB24</f>
        <v>2460</v>
      </c>
      <c r="K19" s="935">
        <f>Sheet1!CZ24</f>
        <v>2420</v>
      </c>
      <c r="L19" s="959">
        <f>Calculation!F22</f>
        <v>250</v>
      </c>
      <c r="M19" s="959">
        <f>Calculation!E22</f>
        <v>250</v>
      </c>
      <c r="N19" s="959">
        <f>Calculation!D22</f>
        <v>300</v>
      </c>
      <c r="O19" s="985">
        <f>Sheet1!DC24</f>
        <v>1079.0999999999999</v>
      </c>
      <c r="P19" s="986" t="e">
        <f>Calculation!FD22</f>
        <v>#N/A</v>
      </c>
      <c r="Q19" s="994">
        <f>Calculation!DP22</f>
        <v>1099.0000000031923</v>
      </c>
      <c r="R19" s="985">
        <f t="shared" si="6"/>
        <v>480.00000000319233</v>
      </c>
      <c r="S19" s="987">
        <f t="shared" si="13"/>
        <v>150.0000000003547</v>
      </c>
      <c r="T19" s="994">
        <f ca="1">IF(A19&gt;$A$1,#N/A,VLOOKUP(A19,Calculation!$B$8:$JF$503,40,FALSE))</f>
        <v>0</v>
      </c>
      <c r="U19" s="987">
        <f t="shared" si="14"/>
        <v>0</v>
      </c>
      <c r="V19" s="987">
        <f>Calculation!AZ22</f>
        <v>0</v>
      </c>
      <c r="W19" s="994">
        <f t="shared" ca="1" si="11"/>
        <v>0</v>
      </c>
      <c r="X19" s="987">
        <v>0</v>
      </c>
      <c r="Y19" s="987">
        <f t="shared" ca="1" si="15"/>
        <v>0</v>
      </c>
      <c r="Z19" s="987">
        <f t="shared" ca="1" si="16"/>
        <v>0</v>
      </c>
      <c r="AA19" s="994">
        <f t="shared" ca="1" si="8"/>
        <v>1099.0000000031923</v>
      </c>
      <c r="AB19" s="1093">
        <f t="shared" ca="1" si="9"/>
        <v>480.00000000319233</v>
      </c>
      <c r="AC19" s="954" t="e">
        <f ca="1">IF(A19&gt;$A$1,#N/A,VLOOKUP(A19,Calculation!$B$8:$JF$503,165,FALSE))</f>
        <v>#N/A</v>
      </c>
      <c r="AD19" s="418" t="e">
        <f t="shared" ca="1" si="17"/>
        <v>#N/A</v>
      </c>
      <c r="AE19" s="418"/>
      <c r="AF19" s="935">
        <f>Calculation!G22</f>
        <v>2495.6429652044148</v>
      </c>
      <c r="AG19" s="941" t="str">
        <f t="shared" si="18"/>
        <v>Yes</v>
      </c>
      <c r="AH19" s="941" t="str">
        <f t="shared" si="19"/>
        <v>Yes</v>
      </c>
      <c r="AI19" s="963">
        <v>1776.320000002552</v>
      </c>
      <c r="AJ19" s="964">
        <v>717.10000000240109</v>
      </c>
      <c r="AK19" s="964">
        <v>1034.8000000028921</v>
      </c>
      <c r="AN19" s="447"/>
      <c r="AO19" s="430"/>
      <c r="AP19" s="652">
        <f>Calculation!BB22*3.068</f>
        <v>0</v>
      </c>
      <c r="AQ19" s="653"/>
      <c r="AR19" s="653"/>
      <c r="AS19" s="654"/>
      <c r="AU19" s="453"/>
      <c r="AV19" s="452"/>
      <c r="AW19" s="453"/>
      <c r="AX19" s="452"/>
      <c r="AY19" s="453"/>
      <c r="AZ19" s="452"/>
      <c r="BA19" s="449"/>
    </row>
    <row r="20" spans="1:53" ht="13.5" thickBot="1">
      <c r="A20" s="425">
        <v>41651</v>
      </c>
      <c r="B20" s="954">
        <f t="shared" si="12"/>
        <v>68.5321</v>
      </c>
      <c r="C20" s="954">
        <f>Calculation!AK23</f>
        <v>0</v>
      </c>
      <c r="D20" s="954">
        <f>Calculation!AI23</f>
        <v>0</v>
      </c>
      <c r="E20" s="954">
        <f>Calculation!AE23</f>
        <v>23.6691</v>
      </c>
      <c r="F20" s="954">
        <f>Calculation!AF23</f>
        <v>44.863</v>
      </c>
      <c r="G20" s="954">
        <f>Calculation!AG23</f>
        <v>68.532099999999986</v>
      </c>
      <c r="H20" s="955" t="str">
        <f>Sheet1!H25</f>
        <v>o/s</v>
      </c>
      <c r="I20" s="935">
        <f>Sheet1!DA25</f>
        <v>3550</v>
      </c>
      <c r="J20" s="935">
        <f>Sheet1!DB25</f>
        <v>2610</v>
      </c>
      <c r="K20" s="935">
        <f>Sheet1!CZ25</f>
        <v>2650</v>
      </c>
      <c r="L20" s="959">
        <f>Calculation!F23</f>
        <v>250</v>
      </c>
      <c r="M20" s="959">
        <f>Calculation!E23</f>
        <v>250</v>
      </c>
      <c r="N20" s="959">
        <f>Calculation!D23</f>
        <v>300</v>
      </c>
      <c r="O20" s="985">
        <f>Sheet1!DC25</f>
        <v>1087.1300000000001</v>
      </c>
      <c r="P20" s="986" t="e">
        <f>Calculation!FD23</f>
        <v>#N/A</v>
      </c>
      <c r="Q20" s="994">
        <f>Calculation!DP23</f>
        <v>2310.4000000057708</v>
      </c>
      <c r="R20" s="985">
        <f t="shared" si="6"/>
        <v>1691.4000000057708</v>
      </c>
      <c r="S20" s="987">
        <f t="shared" si="13"/>
        <v>1211.4000000025785</v>
      </c>
      <c r="T20" s="994">
        <f ca="1">IF(A20&gt;$A$1,#N/A,VLOOKUP(A20,Calculation!$B$8:$JF$503,40,FALSE))</f>
        <v>0</v>
      </c>
      <c r="U20" s="987">
        <f t="shared" si="14"/>
        <v>0</v>
      </c>
      <c r="V20" s="987">
        <f>Calculation!AZ23</f>
        <v>0</v>
      </c>
      <c r="W20" s="994">
        <f t="shared" ca="1" si="11"/>
        <v>0</v>
      </c>
      <c r="X20" s="987">
        <v>0</v>
      </c>
      <c r="Y20" s="987">
        <f t="shared" ca="1" si="15"/>
        <v>0</v>
      </c>
      <c r="Z20" s="987">
        <f t="shared" ca="1" si="16"/>
        <v>0</v>
      </c>
      <c r="AA20" s="994">
        <f t="shared" ca="1" si="8"/>
        <v>2310.4000000057708</v>
      </c>
      <c r="AB20" s="1093">
        <f t="shared" ca="1" si="9"/>
        <v>1691.4000000057708</v>
      </c>
      <c r="AC20" s="954" t="e">
        <f ca="1">IF(A20&gt;$A$1,#N/A,VLOOKUP(A20,Calculation!$B$8:$JF$503,165,FALSE))</f>
        <v>#N/A</v>
      </c>
      <c r="AD20" s="418" t="e">
        <f t="shared" ca="1" si="17"/>
        <v>#N/A</v>
      </c>
      <c r="AE20" s="418"/>
      <c r="AF20" s="935">
        <f>Calculation!G23</f>
        <v>3260.8925869907102</v>
      </c>
      <c r="AG20" s="941" t="str">
        <f t="shared" si="18"/>
        <v>Yes</v>
      </c>
      <c r="AH20" s="941" t="str">
        <f t="shared" si="19"/>
        <v>Yes</v>
      </c>
      <c r="AI20" s="963">
        <v>1887.3400000026629</v>
      </c>
      <c r="AJ20" s="964">
        <v>735.40000000261932</v>
      </c>
      <c r="AK20" s="964">
        <v>1110.7000000032219</v>
      </c>
      <c r="AN20" s="447"/>
      <c r="AO20" s="430"/>
      <c r="AP20" s="652">
        <f>Calculation!BB23*3.068</f>
        <v>0</v>
      </c>
      <c r="AQ20" s="653"/>
      <c r="AR20" s="653"/>
      <c r="AS20" s="654"/>
      <c r="AU20" s="453"/>
      <c r="AV20" s="452"/>
      <c r="AW20" s="453"/>
      <c r="AX20" s="452"/>
      <c r="AY20" s="453"/>
      <c r="AZ20" s="452"/>
      <c r="BA20" s="449"/>
    </row>
    <row r="21" spans="1:53" ht="13.5" thickBot="1">
      <c r="A21" s="425">
        <v>41652</v>
      </c>
      <c r="B21" s="954">
        <f t="shared" si="12"/>
        <v>68.377399999999994</v>
      </c>
      <c r="C21" s="954">
        <f>Calculation!AK24</f>
        <v>0</v>
      </c>
      <c r="D21" s="954">
        <f>Calculation!AI24</f>
        <v>0</v>
      </c>
      <c r="E21" s="954">
        <f>Calculation!AE24</f>
        <v>30.785299999999996</v>
      </c>
      <c r="F21" s="954">
        <f>Calculation!AF24</f>
        <v>37.592100000000002</v>
      </c>
      <c r="G21" s="954">
        <f>Calculation!AG24</f>
        <v>68.377399999999994</v>
      </c>
      <c r="H21" s="955" t="str">
        <f>Sheet1!H26</f>
        <v>o/s</v>
      </c>
      <c r="I21" s="935">
        <f>Sheet1!DA26</f>
        <v>5300</v>
      </c>
      <c r="J21" s="935">
        <f>Sheet1!DB26</f>
        <v>4100</v>
      </c>
      <c r="K21" s="935">
        <f>Sheet1!CZ26</f>
        <v>4350</v>
      </c>
      <c r="L21" s="959">
        <f>Calculation!F24</f>
        <v>250</v>
      </c>
      <c r="M21" s="959">
        <f>Calculation!E24</f>
        <v>250</v>
      </c>
      <c r="N21" s="959">
        <f>Calculation!D24</f>
        <v>300</v>
      </c>
      <c r="O21" s="985">
        <f>Sheet1!DC26</f>
        <v>1096.23</v>
      </c>
      <c r="P21" s="986" t="e">
        <f>Calculation!FD24</f>
        <v>#N/A</v>
      </c>
      <c r="Q21" s="994">
        <f>Calculation!DP24</f>
        <v>4212.2000000096587</v>
      </c>
      <c r="R21" s="985">
        <f t="shared" si="6"/>
        <v>3593.2000000096587</v>
      </c>
      <c r="S21" s="987">
        <f t="shared" si="13"/>
        <v>1901.8000000038878</v>
      </c>
      <c r="T21" s="994">
        <f ca="1">IF(A21&gt;$A$1,#N/A,VLOOKUP(A21,Calculation!$B$8:$JF$503,40,FALSE))</f>
        <v>0</v>
      </c>
      <c r="U21" s="987">
        <f t="shared" si="14"/>
        <v>0</v>
      </c>
      <c r="V21" s="987">
        <f>Calculation!AZ24</f>
        <v>0</v>
      </c>
      <c r="W21" s="994">
        <f t="shared" ca="1" si="11"/>
        <v>0</v>
      </c>
      <c r="X21" s="987">
        <v>0</v>
      </c>
      <c r="Y21" s="987">
        <f t="shared" ca="1" si="15"/>
        <v>0</v>
      </c>
      <c r="Z21" s="987">
        <f t="shared" ca="1" si="16"/>
        <v>0</v>
      </c>
      <c r="AA21" s="994">
        <f t="shared" ca="1" si="8"/>
        <v>4212.2000000096587</v>
      </c>
      <c r="AB21" s="1093">
        <f t="shared" ca="1" si="9"/>
        <v>3593.2000000096587</v>
      </c>
      <c r="AC21" s="954" t="e">
        <f ca="1">IF(A21&gt;$A$1,#N/A,VLOOKUP(A21,Calculation!$B$8:$JF$503,165,FALSE))</f>
        <v>#N/A</v>
      </c>
      <c r="AD21" s="418" t="e">
        <f t="shared" ca="1" si="17"/>
        <v>#N/A</v>
      </c>
      <c r="AE21" s="418"/>
      <c r="AF21" s="935">
        <f>Calculation!G24</f>
        <v>5309.0519415047338</v>
      </c>
      <c r="AG21" s="941" t="str">
        <f t="shared" si="18"/>
        <v>Yes</v>
      </c>
      <c r="AH21" s="941" t="str">
        <f t="shared" si="19"/>
        <v>Yes</v>
      </c>
      <c r="AI21" s="963">
        <v>2304.4000000034698</v>
      </c>
      <c r="AJ21" s="964">
        <v>788.80000000267387</v>
      </c>
      <c r="AK21" s="964">
        <v>947.80000000283758</v>
      </c>
      <c r="AN21" s="447"/>
      <c r="AO21" s="430"/>
      <c r="AP21" s="655">
        <f>Calculation!BB24*3.068</f>
        <v>0</v>
      </c>
      <c r="AQ21" s="653"/>
      <c r="AR21" s="653"/>
      <c r="AS21" s="654"/>
      <c r="AU21" s="453"/>
      <c r="AV21" s="452"/>
      <c r="AW21" s="453"/>
      <c r="AX21" s="452"/>
      <c r="AY21" s="453"/>
      <c r="AZ21" s="452"/>
      <c r="BA21" s="449"/>
    </row>
    <row r="22" spans="1:53" ht="13.5" thickBot="1">
      <c r="A22" s="425">
        <v>41653</v>
      </c>
      <c r="B22" s="954">
        <f t="shared" si="12"/>
        <v>67.758600000000001</v>
      </c>
      <c r="C22" s="954">
        <f>Calculation!AK25</f>
        <v>0</v>
      </c>
      <c r="D22" s="954">
        <f>Calculation!AI25</f>
        <v>0</v>
      </c>
      <c r="E22" s="954">
        <f>Calculation!AE25</f>
        <v>30.475899999999996</v>
      </c>
      <c r="F22" s="954">
        <f>Calculation!AF25</f>
        <v>37.282699999999998</v>
      </c>
      <c r="G22" s="954">
        <f>Calculation!AG25</f>
        <v>67.758599999999987</v>
      </c>
      <c r="H22" s="955" t="str">
        <f>Sheet1!H27</f>
        <v>o/s</v>
      </c>
      <c r="I22" s="935">
        <f>Sheet1!DA27</f>
        <v>5020</v>
      </c>
      <c r="J22" s="935">
        <f>Sheet1!DB27</f>
        <v>3720</v>
      </c>
      <c r="K22" s="935">
        <f>Sheet1!CZ27</f>
        <v>3920</v>
      </c>
      <c r="L22" s="959">
        <f>Calculation!F25</f>
        <v>250</v>
      </c>
      <c r="M22" s="959">
        <f>Calculation!E25</f>
        <v>250</v>
      </c>
      <c r="N22" s="959">
        <f>Calculation!D25</f>
        <v>300</v>
      </c>
      <c r="O22" s="985">
        <f>Sheet1!DC27</f>
        <v>1094</v>
      </c>
      <c r="P22" s="986" t="e">
        <f>Calculation!FD25</f>
        <v>#N/A</v>
      </c>
      <c r="Q22" s="994">
        <f>Calculation!DP25</f>
        <v>3697.0000000087857</v>
      </c>
      <c r="R22" s="985">
        <f t="shared" si="6"/>
        <v>3078.0000000087857</v>
      </c>
      <c r="S22" s="987">
        <f t="shared" si="13"/>
        <v>-515.20000000087293</v>
      </c>
      <c r="T22" s="994">
        <f ca="1">IF(A22&gt;$A$1,#N/A,VLOOKUP(A22,Calculation!$B$8:$JF$503,40,FALSE))</f>
        <v>0</v>
      </c>
      <c r="U22" s="987">
        <f t="shared" si="14"/>
        <v>0</v>
      </c>
      <c r="V22" s="987">
        <f>Calculation!AZ25</f>
        <v>0</v>
      </c>
      <c r="W22" s="994">
        <f t="shared" ca="1" si="11"/>
        <v>0</v>
      </c>
      <c r="X22" s="987">
        <v>0</v>
      </c>
      <c r="Y22" s="987">
        <f t="shared" ca="1" si="15"/>
        <v>0</v>
      </c>
      <c r="Z22" s="987">
        <f t="shared" ca="1" si="16"/>
        <v>0</v>
      </c>
      <c r="AA22" s="994">
        <f t="shared" ca="1" si="8"/>
        <v>3697.0000000087857</v>
      </c>
      <c r="AB22" s="1093">
        <f t="shared" ca="1" si="9"/>
        <v>3078.0000000087857</v>
      </c>
      <c r="AC22" s="954" t="e">
        <f ca="1">IF(A22&gt;$A$1,#N/A,VLOOKUP(A22,Calculation!$B$8:$JF$503,165,FALSE))</f>
        <v>#N/A</v>
      </c>
      <c r="AD22" s="418" t="e">
        <f t="shared" ca="1" si="17"/>
        <v>#N/A</v>
      </c>
      <c r="AE22" s="418"/>
      <c r="AF22" s="935">
        <f>Calculation!G25</f>
        <v>3660.1916288447437</v>
      </c>
      <c r="AG22" s="941" t="str">
        <f t="shared" si="18"/>
        <v>Yes</v>
      </c>
      <c r="AH22" s="941" t="str">
        <f t="shared" si="19"/>
        <v>Yes</v>
      </c>
      <c r="AI22" s="963">
        <v>2192.9000000032229</v>
      </c>
      <c r="AJ22" s="964">
        <v>933.70000000257619</v>
      </c>
      <c r="AK22" s="964">
        <v>722.60000000240109</v>
      </c>
      <c r="AN22" s="447"/>
      <c r="AO22" s="430"/>
      <c r="AP22" s="655">
        <f>Calculation!BB25*3.068</f>
        <v>0</v>
      </c>
      <c r="AQ22" s="653"/>
      <c r="AR22" s="653"/>
      <c r="AS22" s="654"/>
      <c r="AU22" s="453"/>
      <c r="AV22" s="452"/>
      <c r="AW22" s="453"/>
      <c r="AX22" s="452"/>
      <c r="AY22" s="453"/>
      <c r="AZ22" s="452"/>
      <c r="BA22" s="449"/>
    </row>
    <row r="23" spans="1:53" ht="13.5" thickBot="1">
      <c r="A23" s="425">
        <v>41654</v>
      </c>
      <c r="B23" s="954">
        <f t="shared" si="12"/>
        <v>67.913299999999992</v>
      </c>
      <c r="C23" s="954">
        <f>Calculation!AK26</f>
        <v>0</v>
      </c>
      <c r="D23" s="954">
        <f>Calculation!AI26</f>
        <v>0</v>
      </c>
      <c r="E23" s="954">
        <f>Calculation!AE26</f>
        <v>30.630600000000001</v>
      </c>
      <c r="F23" s="954">
        <f>Calculation!AF26</f>
        <v>37.282699999999998</v>
      </c>
      <c r="G23" s="954">
        <f>Calculation!AG26</f>
        <v>67.913300000000007</v>
      </c>
      <c r="H23" s="955" t="str">
        <f>Sheet1!H28</f>
        <v>o/s</v>
      </c>
      <c r="I23" s="935">
        <f>Sheet1!DA28</f>
        <v>4030</v>
      </c>
      <c r="J23" s="935">
        <f>Sheet1!DB28</f>
        <v>2960</v>
      </c>
      <c r="K23" s="935">
        <f>Sheet1!CZ28</f>
        <v>3110</v>
      </c>
      <c r="L23" s="959">
        <f>Calculation!F26</f>
        <v>250</v>
      </c>
      <c r="M23" s="959">
        <f>Calculation!E26</f>
        <v>250</v>
      </c>
      <c r="N23" s="959">
        <f>Calculation!D26</f>
        <v>300</v>
      </c>
      <c r="O23" s="985">
        <f>Sheet1!DC28</f>
        <v>1086.7</v>
      </c>
      <c r="P23" s="986" t="e">
        <f>Calculation!FD26</f>
        <v>#N/A</v>
      </c>
      <c r="Q23" s="994">
        <f>Calculation!DP26</f>
        <v>2236.0000000053728</v>
      </c>
      <c r="R23" s="985">
        <f t="shared" si="6"/>
        <v>1617.0000000053728</v>
      </c>
      <c r="S23" s="987">
        <f t="shared" si="13"/>
        <v>-1461.0000000034129</v>
      </c>
      <c r="T23" s="994">
        <f ca="1">IF(A23&gt;$A$1,#N/A,VLOOKUP(A23,Calculation!$B$8:$JF$503,40,FALSE))</f>
        <v>0</v>
      </c>
      <c r="U23" s="987">
        <f t="shared" si="14"/>
        <v>0</v>
      </c>
      <c r="V23" s="987">
        <f>Calculation!AZ26</f>
        <v>0</v>
      </c>
      <c r="W23" s="994">
        <f t="shared" ca="1" si="11"/>
        <v>0</v>
      </c>
      <c r="X23" s="987">
        <v>0</v>
      </c>
      <c r="Y23" s="987">
        <f t="shared" ca="1" si="15"/>
        <v>0</v>
      </c>
      <c r="Z23" s="987">
        <f t="shared" ca="1" si="16"/>
        <v>0</v>
      </c>
      <c r="AA23" s="994">
        <f t="shared" ca="1" si="8"/>
        <v>2236.0000000053728</v>
      </c>
      <c r="AB23" s="1093">
        <f t="shared" ca="1" si="9"/>
        <v>1617.0000000053728</v>
      </c>
      <c r="AC23" s="954" t="e">
        <f ca="1">IF(A23&gt;$A$1,#N/A,VLOOKUP(A23,Calculation!$B$8:$JF$503,165,FALSE))</f>
        <v>#N/A</v>
      </c>
      <c r="AD23" s="418" t="e">
        <f t="shared" ca="1" si="17"/>
        <v>#N/A</v>
      </c>
      <c r="AE23" s="418"/>
      <c r="AF23" s="935">
        <f>Calculation!G26</f>
        <v>2373.2375189090203</v>
      </c>
      <c r="AG23" s="941" t="str">
        <f t="shared" si="18"/>
        <v>Yes</v>
      </c>
      <c r="AH23" s="941" t="str">
        <f t="shared" si="19"/>
        <v>Yes</v>
      </c>
      <c r="AI23" s="963">
        <v>1966.6000000028075</v>
      </c>
      <c r="AJ23" s="964">
        <v>962.30000000307405</v>
      </c>
      <c r="AK23" s="964">
        <v>659.800000002351</v>
      </c>
      <c r="AN23" s="447"/>
      <c r="AO23" s="430"/>
      <c r="AP23" s="655">
        <f>Calculation!BB26*3.068</f>
        <v>0</v>
      </c>
      <c r="AQ23" s="653"/>
      <c r="AR23" s="653"/>
      <c r="AS23" s="654"/>
      <c r="AU23" s="453"/>
      <c r="AV23" s="452"/>
      <c r="AW23" s="453"/>
      <c r="AX23" s="452"/>
      <c r="AY23" s="453"/>
      <c r="AZ23" s="452"/>
      <c r="BA23" s="449"/>
    </row>
    <row r="24" spans="1:53" ht="13.5" thickBot="1">
      <c r="A24" s="425">
        <v>41655</v>
      </c>
      <c r="B24" s="954">
        <f t="shared" si="12"/>
        <v>67.92877</v>
      </c>
      <c r="C24" s="954">
        <f>Calculation!AK27</f>
        <v>0</v>
      </c>
      <c r="D24" s="954">
        <f>Calculation!AI27</f>
        <v>0</v>
      </c>
      <c r="E24" s="954">
        <f>Calculation!AE27</f>
        <v>30.785299999999996</v>
      </c>
      <c r="F24" s="954">
        <f>Calculation!AF27</f>
        <v>37.143470000000001</v>
      </c>
      <c r="G24" s="954">
        <f>Calculation!AG27</f>
        <v>67.928769999999986</v>
      </c>
      <c r="H24" s="955" t="str">
        <f>Sheet1!H29</f>
        <v>o/s</v>
      </c>
      <c r="I24" s="935">
        <f>Sheet1!DA29</f>
        <v>2850</v>
      </c>
      <c r="J24" s="935">
        <f>Sheet1!DB29</f>
        <v>2040</v>
      </c>
      <c r="K24" s="935">
        <f>Sheet1!CZ29</f>
        <v>2120</v>
      </c>
      <c r="L24" s="959">
        <f>Calculation!F27</f>
        <v>250</v>
      </c>
      <c r="M24" s="959">
        <f>Calculation!E27</f>
        <v>250</v>
      </c>
      <c r="N24" s="959">
        <f>Calculation!D27</f>
        <v>300</v>
      </c>
      <c r="O24" s="985">
        <f>Sheet1!DC29</f>
        <v>1081.74</v>
      </c>
      <c r="P24" s="986" t="e">
        <f>Calculation!FD27</f>
        <v>#N/A</v>
      </c>
      <c r="Q24" s="994">
        <f>Calculation!DP27</f>
        <v>1456.600000003788</v>
      </c>
      <c r="R24" s="985">
        <f t="shared" si="6"/>
        <v>837.60000000378795</v>
      </c>
      <c r="S24" s="987">
        <f t="shared" si="13"/>
        <v>-779.40000000158489</v>
      </c>
      <c r="T24" s="994">
        <f ca="1">IF(A24&gt;$A$1,#N/A,VLOOKUP(A24,Calculation!$B$8:$JF$503,40,FALSE))</f>
        <v>0</v>
      </c>
      <c r="U24" s="987">
        <f t="shared" si="14"/>
        <v>0</v>
      </c>
      <c r="V24" s="987">
        <f>Calculation!AZ27</f>
        <v>0</v>
      </c>
      <c r="W24" s="994">
        <f t="shared" ca="1" si="11"/>
        <v>0</v>
      </c>
      <c r="X24" s="987">
        <v>0</v>
      </c>
      <c r="Y24" s="987">
        <f t="shared" ca="1" si="15"/>
        <v>0</v>
      </c>
      <c r="Z24" s="987">
        <f t="shared" ca="1" si="16"/>
        <v>0</v>
      </c>
      <c r="AA24" s="994">
        <f t="shared" ca="1" si="8"/>
        <v>1456.600000003788</v>
      </c>
      <c r="AB24" s="1093">
        <f t="shared" ca="1" si="9"/>
        <v>837.60000000378795</v>
      </c>
      <c r="AC24" s="954" t="e">
        <f ca="1">IF(A24&gt;$A$1,#N/A,VLOOKUP(A24,Calculation!$B$8:$JF$503,165,FALSE))</f>
        <v>#N/A</v>
      </c>
      <c r="AD24" s="418" t="e">
        <f t="shared" ca="1" si="17"/>
        <v>#N/A</v>
      </c>
      <c r="AE24" s="418"/>
      <c r="AF24" s="935">
        <f>Calculation!G27</f>
        <v>1726.9591527979906</v>
      </c>
      <c r="AG24" s="941" t="str">
        <f t="shared" si="18"/>
        <v>Yes</v>
      </c>
      <c r="AH24" s="941" t="str">
        <f t="shared" si="19"/>
        <v>Yes</v>
      </c>
      <c r="AI24" s="963">
        <v>18438.950000040626</v>
      </c>
      <c r="AJ24" s="964">
        <v>908.00000000278305</v>
      </c>
      <c r="AK24" s="964">
        <v>650.00000000211458</v>
      </c>
      <c r="AN24" s="447"/>
      <c r="AO24" s="430"/>
      <c r="AP24" s="655">
        <f>Calculation!BB27*3.068</f>
        <v>0</v>
      </c>
      <c r="AQ24" s="653"/>
      <c r="AR24" s="653"/>
      <c r="AS24" s="654"/>
      <c r="AU24" s="453"/>
      <c r="AV24" s="452"/>
      <c r="AW24" s="453"/>
      <c r="AX24" s="452"/>
      <c r="AY24" s="453"/>
      <c r="AZ24" s="452"/>
      <c r="BA24" s="449"/>
    </row>
    <row r="25" spans="1:53" ht="13.5" thickBot="1">
      <c r="A25" s="425">
        <v>41656</v>
      </c>
      <c r="B25" s="954">
        <f t="shared" si="12"/>
        <v>67.588430000000002</v>
      </c>
      <c r="C25" s="954">
        <f>Calculation!AK28</f>
        <v>0</v>
      </c>
      <c r="D25" s="954">
        <f>Calculation!AI28</f>
        <v>0</v>
      </c>
      <c r="E25" s="954">
        <f>Calculation!AE28</f>
        <v>30.321200000000001</v>
      </c>
      <c r="F25" s="954">
        <f>Calculation!AF28</f>
        <v>37.267229999999998</v>
      </c>
      <c r="G25" s="954">
        <f>Calculation!AG28</f>
        <v>67.588429999999988</v>
      </c>
      <c r="H25" s="955" t="str">
        <f>Sheet1!H30</f>
        <v>o/s</v>
      </c>
      <c r="I25" s="935">
        <f>Sheet1!DA30</f>
        <v>2080</v>
      </c>
      <c r="J25" s="935">
        <f>Sheet1!DB30</f>
        <v>1390</v>
      </c>
      <c r="K25" s="935">
        <f>Sheet1!CZ30</f>
        <v>1500</v>
      </c>
      <c r="L25" s="959">
        <f>Calculation!F28</f>
        <v>250</v>
      </c>
      <c r="M25" s="959">
        <f>Calculation!E28</f>
        <v>250</v>
      </c>
      <c r="N25" s="959">
        <f>Calculation!D28</f>
        <v>300</v>
      </c>
      <c r="O25" s="985">
        <f>Sheet1!DC30</f>
        <v>1081.8</v>
      </c>
      <c r="P25" s="986" t="e">
        <f>Calculation!FD28</f>
        <v>#N/A</v>
      </c>
      <c r="Q25" s="994">
        <f>Calculation!DP28</f>
        <v>1465.000000003788</v>
      </c>
      <c r="R25" s="985">
        <f t="shared" si="6"/>
        <v>846.00000000378805</v>
      </c>
      <c r="S25" s="987">
        <f t="shared" si="13"/>
        <v>8.4000000000000909</v>
      </c>
      <c r="T25" s="994">
        <f ca="1">IF(A25&gt;$A$1,#N/A,VLOOKUP(A25,Calculation!$B$8:$JF$503,40,FALSE))</f>
        <v>0</v>
      </c>
      <c r="U25" s="987">
        <f t="shared" si="14"/>
        <v>0</v>
      </c>
      <c r="V25" s="987">
        <f>Calculation!AZ28</f>
        <v>0</v>
      </c>
      <c r="W25" s="994">
        <f t="shared" ca="1" si="11"/>
        <v>0</v>
      </c>
      <c r="X25" s="987">
        <v>0</v>
      </c>
      <c r="Y25" s="987">
        <f t="shared" ca="1" si="15"/>
        <v>0</v>
      </c>
      <c r="Z25" s="987">
        <f t="shared" ca="1" si="16"/>
        <v>0</v>
      </c>
      <c r="AA25" s="994">
        <f t="shared" ca="1" si="8"/>
        <v>1465.000000003788</v>
      </c>
      <c r="AB25" s="1093">
        <f t="shared" ca="1" si="9"/>
        <v>846.00000000378805</v>
      </c>
      <c r="AC25" s="954" t="e">
        <f ca="1">IF(A25&gt;$A$1,#N/A,VLOOKUP(A25,Calculation!$B$8:$JF$503,165,FALSE))</f>
        <v>#N/A</v>
      </c>
      <c r="AD25" s="418" t="e">
        <f t="shared" ca="1" si="17"/>
        <v>#N/A</v>
      </c>
      <c r="AE25" s="418"/>
      <c r="AF25" s="935">
        <f>Calculation!G28</f>
        <v>1504.2360060514372</v>
      </c>
      <c r="AG25" s="941" t="str">
        <f t="shared" si="18"/>
        <v>Yes</v>
      </c>
      <c r="AH25" s="941" t="str">
        <f t="shared" si="19"/>
        <v>Yes</v>
      </c>
      <c r="AI25" s="963">
        <v>37140.750000090891</v>
      </c>
      <c r="AJ25" s="964">
        <v>886.40000000275575</v>
      </c>
      <c r="AK25" s="964">
        <v>648.00000000211458</v>
      </c>
      <c r="AN25" s="447"/>
      <c r="AO25" s="430"/>
      <c r="AP25" s="655">
        <f>Calculation!BB28*3.068</f>
        <v>0</v>
      </c>
      <c r="AQ25" s="653"/>
      <c r="AR25" s="653"/>
      <c r="AS25" s="654"/>
      <c r="AU25" s="453"/>
      <c r="AV25" s="452"/>
      <c r="AW25" s="453"/>
      <c r="AX25" s="452"/>
      <c r="AY25" s="453"/>
      <c r="AZ25" s="452"/>
      <c r="BA25" s="449"/>
    </row>
    <row r="26" spans="1:53" ht="13.5" thickBot="1">
      <c r="A26" s="425">
        <v>41657</v>
      </c>
      <c r="B26" s="954">
        <f t="shared" si="12"/>
        <v>67.588430000000002</v>
      </c>
      <c r="C26" s="954">
        <f>Calculation!AK29</f>
        <v>0</v>
      </c>
      <c r="D26" s="954">
        <f>Calculation!AI29</f>
        <v>0</v>
      </c>
      <c r="E26" s="954">
        <f>Calculation!AE29</f>
        <v>30.321200000000001</v>
      </c>
      <c r="F26" s="954">
        <f>Calculation!AF29</f>
        <v>37.267229999999998</v>
      </c>
      <c r="G26" s="954">
        <f>Calculation!AG29</f>
        <v>67.588429999999988</v>
      </c>
      <c r="H26" s="955" t="str">
        <f>Sheet1!H31</f>
        <v>o/s</v>
      </c>
      <c r="I26" s="935">
        <f>Sheet1!DA31</f>
        <v>2020</v>
      </c>
      <c r="J26" s="935">
        <f>Sheet1!DB31</f>
        <v>1380</v>
      </c>
      <c r="K26" s="935">
        <f>Sheet1!CZ31</f>
        <v>1500</v>
      </c>
      <c r="L26" s="959">
        <f>Calculation!F29</f>
        <v>250</v>
      </c>
      <c r="M26" s="959">
        <f>Calculation!E29</f>
        <v>250</v>
      </c>
      <c r="N26" s="959">
        <f>Calculation!D29</f>
        <v>300</v>
      </c>
      <c r="O26" s="985">
        <f>Sheet1!DC31</f>
        <v>1082.2</v>
      </c>
      <c r="P26" s="986" t="e">
        <f>Calculation!FD29</f>
        <v>#N/A</v>
      </c>
      <c r="Q26" s="994">
        <f>Calculation!DP29</f>
        <v>1523.0000000038517</v>
      </c>
      <c r="R26" s="985">
        <f t="shared" si="6"/>
        <v>904.00000000385171</v>
      </c>
      <c r="S26" s="987">
        <f t="shared" si="13"/>
        <v>58.000000000063665</v>
      </c>
      <c r="T26" s="994">
        <f ca="1">IF(A26&gt;$A$1,#N/A,VLOOKUP(A26,Calculation!$B$8:$JF$503,40,FALSE))</f>
        <v>0</v>
      </c>
      <c r="U26" s="987">
        <f t="shared" si="14"/>
        <v>0</v>
      </c>
      <c r="V26" s="987">
        <f>Calculation!AZ29</f>
        <v>0</v>
      </c>
      <c r="W26" s="994">
        <f t="shared" ca="1" si="11"/>
        <v>0</v>
      </c>
      <c r="X26" s="987">
        <v>0</v>
      </c>
      <c r="Y26" s="987">
        <f t="shared" ca="1" si="15"/>
        <v>0</v>
      </c>
      <c r="Z26" s="987">
        <f t="shared" ca="1" si="16"/>
        <v>0</v>
      </c>
      <c r="AA26" s="994">
        <f t="shared" ca="1" si="8"/>
        <v>1523.0000000038517</v>
      </c>
      <c r="AB26" s="1093">
        <f t="shared" ca="1" si="9"/>
        <v>904.00000000385171</v>
      </c>
      <c r="AC26" s="954" t="e">
        <f ca="1">IF(A26&gt;$A$1,#N/A,VLOOKUP(A26,Calculation!$B$8:$JF$503,165,FALSE))</f>
        <v>#N/A</v>
      </c>
      <c r="AD26" s="418" t="e">
        <f t="shared" ca="1" si="17"/>
        <v>#N/A</v>
      </c>
      <c r="AE26" s="418"/>
      <c r="AF26" s="935">
        <f>Calculation!G29</f>
        <v>1529.2486132123367</v>
      </c>
      <c r="AG26" s="941" t="str">
        <f t="shared" si="18"/>
        <v>Yes</v>
      </c>
      <c r="AH26" s="941" t="str">
        <f t="shared" si="19"/>
        <v>Yes</v>
      </c>
      <c r="AI26" s="963">
        <v>36616.070000088934</v>
      </c>
      <c r="AJ26" s="964">
        <v>884.00000000275577</v>
      </c>
      <c r="AK26" s="964">
        <v>775.20000000245113</v>
      </c>
      <c r="AN26" s="447"/>
      <c r="AO26" s="430"/>
      <c r="AP26" s="655">
        <f>Calculation!BB29*3.068</f>
        <v>0</v>
      </c>
      <c r="AQ26" s="653"/>
      <c r="AR26" s="653"/>
      <c r="AS26" s="654"/>
      <c r="AU26" s="453"/>
      <c r="AV26" s="452"/>
      <c r="AW26" s="453"/>
      <c r="AX26" s="452"/>
      <c r="AY26" s="453"/>
      <c r="AZ26" s="452"/>
      <c r="BA26" s="449"/>
    </row>
    <row r="27" spans="1:53" ht="13.5" thickBot="1">
      <c r="A27" s="425">
        <v>41658</v>
      </c>
      <c r="B27" s="954">
        <f t="shared" si="12"/>
        <v>67.418260000000004</v>
      </c>
      <c r="C27" s="954">
        <f>Calculation!AK30</f>
        <v>0</v>
      </c>
      <c r="D27" s="954">
        <f>Calculation!AI30</f>
        <v>0</v>
      </c>
      <c r="E27" s="954">
        <f>Calculation!AE30</f>
        <v>30.135559999999998</v>
      </c>
      <c r="F27" s="954">
        <f>Calculation!AF30</f>
        <v>37.282699999999998</v>
      </c>
      <c r="G27" s="954">
        <f>Calculation!AG30</f>
        <v>67.418259999999989</v>
      </c>
      <c r="H27" s="955" t="str">
        <f>Sheet1!H32</f>
        <v>o/s</v>
      </c>
      <c r="I27" s="935">
        <f>Sheet1!DA32</f>
        <v>1960</v>
      </c>
      <c r="J27" s="935">
        <f>Sheet1!DB32</f>
        <v>1340</v>
      </c>
      <c r="K27" s="935">
        <f>Sheet1!CZ32</f>
        <v>1470</v>
      </c>
      <c r="L27" s="959">
        <f>Calculation!F30</f>
        <v>250</v>
      </c>
      <c r="M27" s="959">
        <f>Calculation!E30</f>
        <v>250</v>
      </c>
      <c r="N27" s="959">
        <f>Calculation!D30</f>
        <v>300</v>
      </c>
      <c r="O27" s="985">
        <f>Sheet1!DC32</f>
        <v>1080.4000000000001</v>
      </c>
      <c r="P27" s="986" t="e">
        <f>Calculation!FD30</f>
        <v>#N/A</v>
      </c>
      <c r="Q27" s="994">
        <f>Calculation!DP30</f>
        <v>1271.0000000033697</v>
      </c>
      <c r="R27" s="985">
        <f t="shared" si="6"/>
        <v>652.00000000336968</v>
      </c>
      <c r="S27" s="987">
        <f t="shared" si="13"/>
        <v>-252.00000000048203</v>
      </c>
      <c r="T27" s="994">
        <f ca="1">IF(A27&gt;$A$1,#N/A,VLOOKUP(A27,Calculation!$B$8:$JF$503,40,FALSE))</f>
        <v>0</v>
      </c>
      <c r="U27" s="987">
        <f t="shared" si="14"/>
        <v>0</v>
      </c>
      <c r="V27" s="987">
        <f>Calculation!AZ30</f>
        <v>0</v>
      </c>
      <c r="W27" s="994">
        <f t="shared" ca="1" si="11"/>
        <v>0</v>
      </c>
      <c r="X27" s="987">
        <v>0</v>
      </c>
      <c r="Y27" s="987">
        <f t="shared" ca="1" si="15"/>
        <v>0</v>
      </c>
      <c r="Z27" s="987">
        <f t="shared" ca="1" si="16"/>
        <v>0</v>
      </c>
      <c r="AA27" s="994">
        <f t="shared" ca="1" si="8"/>
        <v>1271.0000000033697</v>
      </c>
      <c r="AB27" s="1093">
        <f t="shared" ca="1" si="9"/>
        <v>652.00000000336968</v>
      </c>
      <c r="AC27" s="954" t="e">
        <f ca="1">IF(A27&gt;$A$1,#N/A,VLOOKUP(A27,Calculation!$B$8:$JF$503,165,FALSE))</f>
        <v>#N/A</v>
      </c>
      <c r="AD27" s="418" t="e">
        <f t="shared" ca="1" si="17"/>
        <v>#N/A</v>
      </c>
      <c r="AE27" s="418"/>
      <c r="AF27" s="935">
        <f>Calculation!G30</f>
        <v>1342.9198184566405</v>
      </c>
      <c r="AG27" s="941" t="str">
        <f t="shared" si="18"/>
        <v>Yes</v>
      </c>
      <c r="AH27" s="941" t="str">
        <f t="shared" si="19"/>
        <v>Yes</v>
      </c>
      <c r="AI27" s="963">
        <v>29442.000000073953</v>
      </c>
      <c r="AJ27" s="964">
        <v>916.40000000278303</v>
      </c>
      <c r="AK27" s="964">
        <v>953.80000000283758</v>
      </c>
      <c r="AN27" s="447"/>
      <c r="AO27" s="430"/>
      <c r="AP27" s="655">
        <f>Calculation!BB30*3.068</f>
        <v>0</v>
      </c>
      <c r="AQ27" s="653"/>
      <c r="AR27" s="653"/>
      <c r="AS27" s="654"/>
      <c r="AU27" s="453"/>
      <c r="AV27" s="452"/>
      <c r="AW27" s="453"/>
      <c r="AX27" s="452"/>
      <c r="AY27" s="453"/>
      <c r="AZ27" s="452"/>
      <c r="BA27" s="449"/>
    </row>
    <row r="28" spans="1:53" ht="13.5" thickBot="1">
      <c r="A28" s="425">
        <v>41659</v>
      </c>
      <c r="B28" s="954">
        <f t="shared" si="12"/>
        <v>67.480140000000006</v>
      </c>
      <c r="C28" s="954">
        <f>Calculation!AK31</f>
        <v>0</v>
      </c>
      <c r="D28" s="954">
        <f>Calculation!AI31</f>
        <v>0</v>
      </c>
      <c r="E28" s="954">
        <f>Calculation!AE31</f>
        <v>30.042740000000002</v>
      </c>
      <c r="F28" s="954">
        <f>Calculation!AF31</f>
        <v>37.437399999999997</v>
      </c>
      <c r="G28" s="954">
        <f>Calculation!AG31</f>
        <v>67.480140000000006</v>
      </c>
      <c r="H28" s="955" t="str">
        <f>Sheet1!H33</f>
        <v>o/s</v>
      </c>
      <c r="I28" s="935">
        <f>Sheet1!DA33</f>
        <v>1850</v>
      </c>
      <c r="J28" s="935">
        <f>Sheet1!DB33</f>
        <v>1200</v>
      </c>
      <c r="K28" s="935">
        <f>Sheet1!CZ33</f>
        <v>1330</v>
      </c>
      <c r="L28" s="959">
        <f>Calculation!F31</f>
        <v>250</v>
      </c>
      <c r="M28" s="959">
        <f>Calculation!E31</f>
        <v>250</v>
      </c>
      <c r="N28" s="959">
        <f>Calculation!D31</f>
        <v>300</v>
      </c>
      <c r="O28" s="985">
        <f>Sheet1!DC33</f>
        <v>1076.8900000000001</v>
      </c>
      <c r="P28" s="986" t="e">
        <f>Calculation!FD31</f>
        <v>#N/A</v>
      </c>
      <c r="Q28" s="994">
        <f>Calculation!DP31</f>
        <v>828.90000000250109</v>
      </c>
      <c r="R28" s="985">
        <f t="shared" si="6"/>
        <v>209.90000000250109</v>
      </c>
      <c r="S28" s="987">
        <f t="shared" si="13"/>
        <v>-442.10000000086859</v>
      </c>
      <c r="T28" s="994">
        <f ca="1">IF(A28&gt;$A$1,#N/A,VLOOKUP(A28,Calculation!$B$8:$JF$503,40,FALSE))</f>
        <v>0</v>
      </c>
      <c r="U28" s="987">
        <f t="shared" si="14"/>
        <v>0</v>
      </c>
      <c r="V28" s="987">
        <f>Calculation!AZ31</f>
        <v>0</v>
      </c>
      <c r="W28" s="994">
        <f t="shared" ca="1" si="11"/>
        <v>0</v>
      </c>
      <c r="X28" s="987">
        <v>0</v>
      </c>
      <c r="Y28" s="987">
        <f t="shared" ca="1" si="15"/>
        <v>0</v>
      </c>
      <c r="Z28" s="987">
        <f t="shared" ca="1" si="16"/>
        <v>0</v>
      </c>
      <c r="AA28" s="994">
        <f t="shared" ca="1" si="8"/>
        <v>828.90000000250109</v>
      </c>
      <c r="AB28" s="1093">
        <f t="shared" ca="1" si="9"/>
        <v>209.90000000250109</v>
      </c>
      <c r="AC28" s="954" t="e">
        <f ca="1">IF(A28&gt;$A$1,#N/A,VLOOKUP(A28,Calculation!$B$8:$JF$503,165,FALSE))</f>
        <v>#N/A</v>
      </c>
      <c r="AD28" s="418" t="e">
        <f t="shared" ca="1" si="17"/>
        <v>#N/A</v>
      </c>
      <c r="AE28" s="418"/>
      <c r="AF28" s="935">
        <f>Calculation!G31</f>
        <v>1107.0549672209438</v>
      </c>
      <c r="AG28" s="941" t="str">
        <f t="shared" si="18"/>
        <v>Yes</v>
      </c>
      <c r="AH28" s="941" t="str">
        <f t="shared" si="19"/>
        <v>Yes</v>
      </c>
      <c r="AI28" s="963">
        <v>21903.550000051877</v>
      </c>
      <c r="AJ28" s="964">
        <v>926.00000000257614</v>
      </c>
      <c r="AK28" s="964">
        <v>1158.8000000032514</v>
      </c>
      <c r="AN28" s="447"/>
      <c r="AO28" s="430"/>
      <c r="AP28" s="655">
        <f>Calculation!BB31*3.068</f>
        <v>0</v>
      </c>
      <c r="AQ28" s="653"/>
      <c r="AR28" s="653"/>
      <c r="AS28" s="654"/>
      <c r="AU28" s="453"/>
      <c r="AV28" s="452"/>
      <c r="AW28" s="453"/>
      <c r="AX28" s="452"/>
      <c r="AY28" s="453"/>
      <c r="AZ28" s="452"/>
      <c r="BA28" s="449"/>
    </row>
    <row r="29" spans="1:53" ht="13.5" thickBot="1">
      <c r="A29" s="425">
        <v>41660</v>
      </c>
      <c r="B29" s="954">
        <f t="shared" si="12"/>
        <v>61.725299999999997</v>
      </c>
      <c r="C29" s="954">
        <f>Calculation!AK32</f>
        <v>0</v>
      </c>
      <c r="D29" s="954">
        <f>Calculation!AI32</f>
        <v>0</v>
      </c>
      <c r="E29" s="954">
        <f>Calculation!AE32</f>
        <v>30.166499999999999</v>
      </c>
      <c r="F29" s="954">
        <f>Calculation!AF32</f>
        <v>31.558799999999998</v>
      </c>
      <c r="G29" s="954">
        <f>Calculation!AG32</f>
        <v>61.725299999999997</v>
      </c>
      <c r="H29" s="955" t="str">
        <f>Sheet1!H34</f>
        <v>o/s</v>
      </c>
      <c r="I29" s="935">
        <f>Sheet1!DA34</f>
        <v>1520</v>
      </c>
      <c r="J29" s="935">
        <f>Sheet1!DB34</f>
        <v>1030</v>
      </c>
      <c r="K29" s="935">
        <f>Sheet1!CZ34</f>
        <v>1080</v>
      </c>
      <c r="L29" s="959">
        <f>Calculation!F32</f>
        <v>250</v>
      </c>
      <c r="M29" s="959">
        <f>Calculation!E32</f>
        <v>250</v>
      </c>
      <c r="N29" s="959">
        <f>Calculation!D32</f>
        <v>300</v>
      </c>
      <c r="O29" s="985">
        <f>Sheet1!DC34</f>
        <v>1075.4000000000001</v>
      </c>
      <c r="P29" s="986" t="e">
        <f>Calculation!FD32</f>
        <v>#N/A</v>
      </c>
      <c r="Q29" s="994">
        <f>Calculation!DP32</f>
        <v>662.00000000235104</v>
      </c>
      <c r="R29" s="985">
        <f t="shared" si="6"/>
        <v>43.000000002351044</v>
      </c>
      <c r="S29" s="987">
        <f t="shared" si="13"/>
        <v>-166.90000000015004</v>
      </c>
      <c r="T29" s="994">
        <f ca="1">IF(A29&gt;$A$1,#N/A,VLOOKUP(A29,Calculation!$B$8:$JF$503,40,FALSE))</f>
        <v>0</v>
      </c>
      <c r="U29" s="987">
        <f t="shared" si="14"/>
        <v>0</v>
      </c>
      <c r="V29" s="987">
        <f>Calculation!AZ32</f>
        <v>0</v>
      </c>
      <c r="W29" s="994">
        <f t="shared" ca="1" si="11"/>
        <v>0</v>
      </c>
      <c r="X29" s="987">
        <v>0</v>
      </c>
      <c r="Y29" s="987">
        <f t="shared" ca="1" si="15"/>
        <v>0</v>
      </c>
      <c r="Z29" s="987">
        <f t="shared" ca="1" si="16"/>
        <v>0</v>
      </c>
      <c r="AA29" s="994">
        <f t="shared" ca="1" si="8"/>
        <v>662.00000000235104</v>
      </c>
      <c r="AB29" s="1093">
        <f t="shared" ca="1" si="9"/>
        <v>43.000000002351044</v>
      </c>
      <c r="AC29" s="954" t="e">
        <f ca="1">IF(A29&gt;$A$1,#N/A,VLOOKUP(A29,Calculation!$B$8:$JF$503,165,FALSE))</f>
        <v>#N/A</v>
      </c>
      <c r="AD29" s="418" t="e">
        <f t="shared" ca="1" si="17"/>
        <v>#N/A</v>
      </c>
      <c r="AE29" s="418"/>
      <c r="AF29" s="935">
        <f>Calculation!G32</f>
        <v>995.83459404934445</v>
      </c>
      <c r="AG29" s="941" t="str">
        <f t="shared" si="18"/>
        <v>Yes</v>
      </c>
      <c r="AH29" s="941" t="str">
        <f t="shared" si="19"/>
        <v>Yes</v>
      </c>
      <c r="AI29" s="963">
        <v>18081.680000039301</v>
      </c>
      <c r="AJ29" s="964">
        <v>1001.4000000028649</v>
      </c>
      <c r="AK29" s="964">
        <v>1460.800000003788</v>
      </c>
      <c r="AN29" s="447"/>
      <c r="AO29" s="430"/>
      <c r="AP29" s="655">
        <f>Calculation!BB32*3.068</f>
        <v>0</v>
      </c>
      <c r="AQ29" s="653"/>
      <c r="AR29" s="653"/>
      <c r="AS29" s="654"/>
      <c r="AU29" s="453"/>
      <c r="AV29" s="452"/>
      <c r="AW29" s="453"/>
      <c r="AX29" s="452"/>
      <c r="AY29" s="453"/>
      <c r="AZ29" s="452"/>
      <c r="BA29" s="449"/>
    </row>
    <row r="30" spans="1:53" ht="13.5" thickBot="1">
      <c r="A30" s="425">
        <v>41661</v>
      </c>
      <c r="B30" s="954">
        <f t="shared" si="12"/>
        <v>52.133899999999997</v>
      </c>
      <c r="C30" s="954">
        <f>Calculation!AK33</f>
        <v>0</v>
      </c>
      <c r="D30" s="954">
        <f>Calculation!AI33</f>
        <v>0</v>
      </c>
      <c r="E30" s="954">
        <f>Calculation!AE33</f>
        <v>30.321200000000001</v>
      </c>
      <c r="F30" s="954">
        <f>Calculation!AF33</f>
        <v>21.8127</v>
      </c>
      <c r="G30" s="954">
        <f>Calculation!AG33</f>
        <v>52.133900000000004</v>
      </c>
      <c r="H30" s="955" t="str">
        <f>Sheet1!H35</f>
        <v>o/s</v>
      </c>
      <c r="I30" s="935">
        <f>Sheet1!DA35</f>
        <v>1440</v>
      </c>
      <c r="J30" s="935">
        <f>Sheet1!DB35</f>
        <v>926</v>
      </c>
      <c r="K30" s="935">
        <f>Sheet1!CZ35</f>
        <v>901</v>
      </c>
      <c r="L30" s="959">
        <f>Calculation!F33</f>
        <v>250</v>
      </c>
      <c r="M30" s="959">
        <f>Calculation!E33</f>
        <v>250</v>
      </c>
      <c r="N30" s="959">
        <f>Calculation!D33</f>
        <v>300</v>
      </c>
      <c r="O30" s="985">
        <f>Sheet1!DC35</f>
        <v>1075.5</v>
      </c>
      <c r="P30" s="986" t="e">
        <f>Calculation!FD33</f>
        <v>#N/A</v>
      </c>
      <c r="Q30" s="994">
        <f>Calculation!DP33</f>
        <v>673.00000000235104</v>
      </c>
      <c r="R30" s="985">
        <f t="shared" si="6"/>
        <v>54.000000002351044</v>
      </c>
      <c r="S30" s="987">
        <f t="shared" si="13"/>
        <v>11</v>
      </c>
      <c r="T30" s="994">
        <f ca="1">IF(A30&gt;$A$1,#N/A,VLOOKUP(A30,Calculation!$B$8:$JF$503,40,FALSE))</f>
        <v>0</v>
      </c>
      <c r="U30" s="987">
        <f t="shared" si="14"/>
        <v>0</v>
      </c>
      <c r="V30" s="987">
        <f>Calculation!AZ33</f>
        <v>0</v>
      </c>
      <c r="W30" s="994">
        <f t="shared" ca="1" si="11"/>
        <v>0</v>
      </c>
      <c r="X30" s="987">
        <v>0</v>
      </c>
      <c r="Y30" s="987">
        <f t="shared" ca="1" si="15"/>
        <v>0</v>
      </c>
      <c r="Z30" s="987">
        <f t="shared" ca="1" si="16"/>
        <v>0</v>
      </c>
      <c r="AA30" s="994">
        <f t="shared" ca="1" si="8"/>
        <v>673.00000000235104</v>
      </c>
      <c r="AB30" s="1093">
        <f t="shared" ca="1" si="9"/>
        <v>54.000000002351044</v>
      </c>
      <c r="AC30" s="954" t="e">
        <f ca="1">IF(A30&gt;$A$1,#N/A,VLOOKUP(A30,Calculation!$B$8:$JF$503,165,FALSE))</f>
        <v>#N/A</v>
      </c>
      <c r="AD30" s="418" t="e">
        <f t="shared" ca="1" si="17"/>
        <v>#N/A</v>
      </c>
      <c r="AE30" s="418"/>
      <c r="AF30" s="935">
        <f>Calculation!G33</f>
        <v>906.54715078164395</v>
      </c>
      <c r="AG30" s="941" t="str">
        <f t="shared" si="18"/>
        <v>Yes</v>
      </c>
      <c r="AH30" s="941" t="str">
        <f t="shared" si="19"/>
        <v>Yes</v>
      </c>
      <c r="AI30" s="963">
        <v>15688.640000033691</v>
      </c>
      <c r="AJ30" s="964">
        <v>880.40000000275575</v>
      </c>
      <c r="AK30" s="964">
        <v>1407.5000000040245</v>
      </c>
      <c r="AN30" s="447"/>
      <c r="AO30" s="430"/>
      <c r="AP30" s="655">
        <f>Calculation!BB33*3.068</f>
        <v>0</v>
      </c>
      <c r="AQ30" s="653"/>
      <c r="AR30" s="653"/>
      <c r="AS30" s="654"/>
      <c r="AU30" s="453"/>
      <c r="AV30" s="452"/>
      <c r="AW30" s="453"/>
      <c r="AX30" s="452"/>
      <c r="AY30" s="453"/>
      <c r="AZ30" s="452"/>
      <c r="BA30" s="449"/>
    </row>
    <row r="31" spans="1:53" ht="13.5" thickBot="1">
      <c r="A31" s="425">
        <v>41662</v>
      </c>
      <c r="B31" s="954">
        <f t="shared" si="12"/>
        <v>52.133899999999997</v>
      </c>
      <c r="C31" s="954">
        <f>Calculation!AK34</f>
        <v>0</v>
      </c>
      <c r="D31" s="954">
        <f>Calculation!AI34</f>
        <v>0</v>
      </c>
      <c r="E31" s="954">
        <f>Calculation!AE34</f>
        <v>30.321200000000001</v>
      </c>
      <c r="F31" s="954">
        <f>Calculation!AF34</f>
        <v>21.8127</v>
      </c>
      <c r="G31" s="954">
        <f>Calculation!AG34</f>
        <v>52.133900000000004</v>
      </c>
      <c r="H31" s="955" t="str">
        <f>Sheet1!H36</f>
        <v>o/s</v>
      </c>
      <c r="I31" s="935">
        <f>Sheet1!DA36</f>
        <v>1320</v>
      </c>
      <c r="J31" s="935">
        <f>Sheet1!DB36</f>
        <v>824</v>
      </c>
      <c r="K31" s="935">
        <f>Sheet1!CZ36</f>
        <v>790</v>
      </c>
      <c r="L31" s="959">
        <f>Calculation!F34</f>
        <v>250</v>
      </c>
      <c r="M31" s="959">
        <f>Calculation!E34</f>
        <v>250</v>
      </c>
      <c r="N31" s="959">
        <f>Calculation!D34</f>
        <v>300</v>
      </c>
      <c r="O31" s="985">
        <f>Sheet1!DC36</f>
        <v>1076</v>
      </c>
      <c r="P31" s="986" t="e">
        <f>Calculation!FD34</f>
        <v>#N/A</v>
      </c>
      <c r="Q31" s="994">
        <f>Calculation!DP34</f>
        <v>727.00000000261934</v>
      </c>
      <c r="R31" s="985">
        <f t="shared" si="6"/>
        <v>108.00000000261934</v>
      </c>
      <c r="S31" s="987">
        <f t="shared" si="13"/>
        <v>54.000000000268301</v>
      </c>
      <c r="T31" s="994">
        <f ca="1">IF(A31&gt;$A$1,#N/A,VLOOKUP(A31,Calculation!$B$8:$JF$503,40,FALSE))</f>
        <v>0</v>
      </c>
      <c r="U31" s="987">
        <f t="shared" si="14"/>
        <v>0</v>
      </c>
      <c r="V31" s="987">
        <f>Calculation!AZ34</f>
        <v>0</v>
      </c>
      <c r="W31" s="994">
        <f t="shared" ca="1" si="11"/>
        <v>0</v>
      </c>
      <c r="X31" s="987">
        <v>0</v>
      </c>
      <c r="Y31" s="987">
        <f t="shared" ca="1" si="15"/>
        <v>0</v>
      </c>
      <c r="Z31" s="987">
        <f t="shared" ca="1" si="16"/>
        <v>0</v>
      </c>
      <c r="AA31" s="994">
        <f t="shared" ca="1" si="8"/>
        <v>727.00000000261934</v>
      </c>
      <c r="AB31" s="1093">
        <f t="shared" ca="1" si="9"/>
        <v>108.00000000261934</v>
      </c>
      <c r="AC31" s="954" t="e">
        <f ca="1">IF(A31&gt;$A$1,#N/A,VLOOKUP(A31,Calculation!$B$8:$JF$503,165,FALSE))</f>
        <v>#N/A</v>
      </c>
      <c r="AD31" s="418" t="e">
        <f t="shared" ca="1" si="17"/>
        <v>#N/A</v>
      </c>
      <c r="AE31" s="418"/>
      <c r="AF31" s="935">
        <f>Calculation!G34</f>
        <v>817.23146747366025</v>
      </c>
      <c r="AG31" s="941" t="str">
        <f t="shared" si="18"/>
        <v>Yes</v>
      </c>
      <c r="AH31" s="941" t="str">
        <f t="shared" si="19"/>
        <v>Yes</v>
      </c>
      <c r="AI31" s="963">
        <v>11184.570000022492</v>
      </c>
      <c r="AJ31" s="964">
        <v>768.6000000024261</v>
      </c>
      <c r="AK31" s="964">
        <v>1045.1000000031627</v>
      </c>
      <c r="AN31" s="447"/>
      <c r="AO31" s="430"/>
      <c r="AP31" s="655">
        <f>Calculation!BB34*3.068</f>
        <v>0</v>
      </c>
      <c r="AQ31" s="653"/>
      <c r="AR31" s="653"/>
      <c r="AS31" s="654"/>
      <c r="AU31" s="453"/>
      <c r="AV31" s="452"/>
      <c r="AW31" s="453"/>
      <c r="AX31" s="452"/>
      <c r="AY31" s="453"/>
      <c r="AZ31" s="452"/>
      <c r="BA31" s="449"/>
    </row>
    <row r="32" spans="1:53" ht="13.5" thickBot="1">
      <c r="A32" s="425">
        <v>41663</v>
      </c>
      <c r="B32" s="954">
        <f t="shared" si="12"/>
        <v>52.195779999999999</v>
      </c>
      <c r="C32" s="954">
        <f>Calculation!AK35</f>
        <v>0</v>
      </c>
      <c r="D32" s="954">
        <f>Calculation!AI35</f>
        <v>0</v>
      </c>
      <c r="E32" s="954">
        <f>Calculation!AE35</f>
        <v>30.228379999999998</v>
      </c>
      <c r="F32" s="954">
        <f>Calculation!AF35</f>
        <v>21.967399999999998</v>
      </c>
      <c r="G32" s="954">
        <f>Calculation!AG35</f>
        <v>52.195779999999992</v>
      </c>
      <c r="H32" s="955" t="str">
        <f>Sheet1!H37</f>
        <v>o/s</v>
      </c>
      <c r="I32" s="935">
        <f>Sheet1!DA37</f>
        <v>1210</v>
      </c>
      <c r="J32" s="935">
        <f>Sheet1!DB37</f>
        <v>750</v>
      </c>
      <c r="K32" s="935">
        <f>Sheet1!CZ37</f>
        <v>705</v>
      </c>
      <c r="L32" s="959">
        <f>Calculation!F35</f>
        <v>250</v>
      </c>
      <c r="M32" s="959">
        <f>Calculation!E35</f>
        <v>250</v>
      </c>
      <c r="N32" s="959">
        <f>Calculation!D35</f>
        <v>300</v>
      </c>
      <c r="O32" s="985">
        <f>Sheet1!DC37</f>
        <v>1077</v>
      </c>
      <c r="P32" s="986" t="e">
        <f>Calculation!FD35</f>
        <v>#N/A</v>
      </c>
      <c r="Q32" s="994">
        <f>Calculation!DP35</f>
        <v>842.00000000272848</v>
      </c>
      <c r="R32" s="985">
        <f t="shared" si="6"/>
        <v>223.00000000272848</v>
      </c>
      <c r="S32" s="987">
        <f t="shared" si="13"/>
        <v>115.00000000010914</v>
      </c>
      <c r="T32" s="994">
        <f ca="1">IF(A32&gt;$A$1,#N/A,VLOOKUP(A32,Calculation!$B$8:$JF$503,40,FALSE))</f>
        <v>0</v>
      </c>
      <c r="U32" s="987">
        <f t="shared" si="14"/>
        <v>0</v>
      </c>
      <c r="V32" s="987">
        <f>Calculation!AZ35</f>
        <v>0</v>
      </c>
      <c r="W32" s="994">
        <f t="shared" ca="1" si="11"/>
        <v>0</v>
      </c>
      <c r="X32" s="987">
        <v>0</v>
      </c>
      <c r="Y32" s="987">
        <f t="shared" ca="1" si="15"/>
        <v>0</v>
      </c>
      <c r="Z32" s="987">
        <f t="shared" ca="1" si="16"/>
        <v>0</v>
      </c>
      <c r="AA32" s="994">
        <f t="shared" ca="1" si="8"/>
        <v>842.00000000272848</v>
      </c>
      <c r="AB32" s="1093">
        <f t="shared" ca="1" si="9"/>
        <v>223.00000000272848</v>
      </c>
      <c r="AC32" s="954" t="e">
        <f ca="1">IF(A32&gt;$A$1,#N/A,VLOOKUP(A32,Calculation!$B$8:$JF$503,165,FALSE))</f>
        <v>#N/A</v>
      </c>
      <c r="AD32" s="418" t="e">
        <f t="shared" ca="1" si="17"/>
        <v>#N/A</v>
      </c>
      <c r="AE32" s="418"/>
      <c r="AF32" s="935">
        <f>Calculation!G35</f>
        <v>762.99293998996927</v>
      </c>
      <c r="AG32" s="941" t="str">
        <f t="shared" si="18"/>
        <v>Yes</v>
      </c>
      <c r="AH32" s="941" t="str">
        <f t="shared" si="19"/>
        <v>Yes</v>
      </c>
      <c r="AI32" s="963">
        <v>6934.2500000125683</v>
      </c>
      <c r="AJ32" s="964">
        <v>972.70000000307414</v>
      </c>
      <c r="AK32" s="964">
        <v>857.60000000275579</v>
      </c>
      <c r="AN32" s="447"/>
      <c r="AO32" s="430"/>
      <c r="AP32" s="655">
        <f>Calculation!BB35*3.068</f>
        <v>0</v>
      </c>
      <c r="AQ32" s="653"/>
      <c r="AR32" s="653"/>
      <c r="AS32" s="654"/>
      <c r="AU32" s="453"/>
      <c r="AV32" s="452"/>
      <c r="AW32" s="453"/>
      <c r="AX32" s="452"/>
      <c r="AY32" s="453"/>
      <c r="AZ32" s="452"/>
      <c r="BA32" s="449"/>
    </row>
    <row r="33" spans="1:53" ht="13.5" thickBot="1">
      <c r="A33" s="425">
        <v>41664</v>
      </c>
      <c r="B33" s="954">
        <f t="shared" si="12"/>
        <v>52.102959999999996</v>
      </c>
      <c r="C33" s="954">
        <f>Calculation!AK36</f>
        <v>0</v>
      </c>
      <c r="D33" s="954">
        <f>Calculation!AI36</f>
        <v>0</v>
      </c>
      <c r="E33" s="954">
        <f>Calculation!AE36</f>
        <v>30.290259999999996</v>
      </c>
      <c r="F33" s="954">
        <f>Calculation!AF36</f>
        <v>21.8127</v>
      </c>
      <c r="G33" s="954">
        <f>Calculation!AG36</f>
        <v>52.102959999999996</v>
      </c>
      <c r="H33" s="955" t="str">
        <f>Sheet1!H38</f>
        <v>o/s</v>
      </c>
      <c r="I33" s="935">
        <f>Sheet1!DA38</f>
        <v>1190</v>
      </c>
      <c r="J33" s="935">
        <f>Sheet1!DB38</f>
        <v>750</v>
      </c>
      <c r="K33" s="935">
        <f>Sheet1!CZ38</f>
        <v>709</v>
      </c>
      <c r="L33" s="959">
        <f>Calculation!F36</f>
        <v>250</v>
      </c>
      <c r="M33" s="959">
        <f>Calculation!E36</f>
        <v>250</v>
      </c>
      <c r="N33" s="959">
        <f>Calculation!D36</f>
        <v>300</v>
      </c>
      <c r="O33" s="985">
        <f>Sheet1!DC38</f>
        <v>1077.5</v>
      </c>
      <c r="P33" s="986" t="e">
        <f>Calculation!FD36</f>
        <v>#N/A</v>
      </c>
      <c r="Q33" s="994">
        <f>Calculation!DP36</f>
        <v>902.00000000278305</v>
      </c>
      <c r="R33" s="985">
        <f t="shared" si="6"/>
        <v>283.00000000278305</v>
      </c>
      <c r="S33" s="987">
        <f t="shared" si="13"/>
        <v>60.00000000005457</v>
      </c>
      <c r="T33" s="994">
        <f ca="1">IF(A33&gt;$A$1,#N/A,VLOOKUP(A33,Calculation!$B$8:$JF$503,40,FALSE))</f>
        <v>0</v>
      </c>
      <c r="U33" s="987">
        <f t="shared" si="14"/>
        <v>0</v>
      </c>
      <c r="V33" s="987">
        <f>Calculation!AZ36</f>
        <v>0</v>
      </c>
      <c r="W33" s="994">
        <f t="shared" ca="1" si="11"/>
        <v>0</v>
      </c>
      <c r="X33" s="987">
        <v>0</v>
      </c>
      <c r="Y33" s="987">
        <f t="shared" ca="1" si="15"/>
        <v>0</v>
      </c>
      <c r="Z33" s="987">
        <f t="shared" ca="1" si="16"/>
        <v>0</v>
      </c>
      <c r="AA33" s="994">
        <f t="shared" ca="1" si="8"/>
        <v>902.00000000278305</v>
      </c>
      <c r="AB33" s="1093">
        <f t="shared" ca="1" si="9"/>
        <v>283.00000000278305</v>
      </c>
      <c r="AC33" s="954" t="e">
        <f ca="1">IF(A33&gt;$A$1,#N/A,VLOOKUP(A33,Calculation!$B$8:$JF$503,165,FALSE))</f>
        <v>#N/A</v>
      </c>
      <c r="AD33" s="418" t="e">
        <f t="shared" ca="1" si="17"/>
        <v>#N/A</v>
      </c>
      <c r="AE33" s="418"/>
      <c r="AF33" s="935">
        <f>Calculation!G36</f>
        <v>739.2571860817219</v>
      </c>
      <c r="AG33" s="941" t="str">
        <f t="shared" si="18"/>
        <v>Yes</v>
      </c>
      <c r="AH33" s="941" t="str">
        <f t="shared" si="19"/>
        <v>Yes</v>
      </c>
      <c r="AI33" s="963">
        <v>5481.8800000093897</v>
      </c>
      <c r="AJ33" s="964">
        <v>1884.8000000047293</v>
      </c>
      <c r="AK33" s="964">
        <v>974.00000000283762</v>
      </c>
      <c r="AN33" s="447"/>
      <c r="AO33" s="430"/>
      <c r="AP33" s="655">
        <f>Calculation!BB36*3.068</f>
        <v>0</v>
      </c>
      <c r="AQ33" s="653"/>
      <c r="AR33" s="653"/>
      <c r="AS33" s="654"/>
      <c r="AU33" s="453"/>
      <c r="AV33" s="452"/>
      <c r="AW33" s="453"/>
      <c r="AX33" s="452"/>
      <c r="AY33" s="453"/>
      <c r="AZ33" s="452"/>
      <c r="BA33" s="449"/>
    </row>
    <row r="34" spans="1:53" ht="13.5" thickBot="1">
      <c r="A34" s="425">
        <v>41665</v>
      </c>
      <c r="B34" s="954">
        <f t="shared" si="12"/>
        <v>52.257660000000001</v>
      </c>
      <c r="C34" s="954">
        <f>Calculation!AK37</f>
        <v>0</v>
      </c>
      <c r="D34" s="954">
        <f>Calculation!AI37</f>
        <v>0</v>
      </c>
      <c r="E34" s="954">
        <f>Calculation!AE37</f>
        <v>30.444959999999998</v>
      </c>
      <c r="F34" s="954">
        <f>Calculation!AF37</f>
        <v>21.8127</v>
      </c>
      <c r="G34" s="954">
        <f>Calculation!AG37</f>
        <v>52.257660000000001</v>
      </c>
      <c r="H34" s="955" t="str">
        <f>Sheet1!H39</f>
        <v>o/s</v>
      </c>
      <c r="I34" s="935">
        <f>Sheet1!DA39</f>
        <v>1170</v>
      </c>
      <c r="J34" s="935">
        <f>Sheet1!DB39</f>
        <v>747</v>
      </c>
      <c r="K34" s="935">
        <f>Sheet1!CZ39</f>
        <v>705</v>
      </c>
      <c r="L34" s="959">
        <f>Calculation!F37</f>
        <v>250</v>
      </c>
      <c r="M34" s="959">
        <f>Calculation!E37</f>
        <v>250</v>
      </c>
      <c r="N34" s="959">
        <f>Calculation!D37</f>
        <v>300</v>
      </c>
      <c r="O34" s="985">
        <f>Sheet1!DC39</f>
        <v>1077.2</v>
      </c>
      <c r="P34" s="986" t="e">
        <f>Calculation!FD37</f>
        <v>#N/A</v>
      </c>
      <c r="Q34" s="994">
        <f>Calculation!DP37</f>
        <v>866.00000000275577</v>
      </c>
      <c r="R34" s="985">
        <f t="shared" si="6"/>
        <v>247.00000000275577</v>
      </c>
      <c r="S34" s="987">
        <f t="shared" si="13"/>
        <v>-36.000000000027285</v>
      </c>
      <c r="T34" s="994">
        <f ca="1">IF(A34&gt;$A$1,#N/A,VLOOKUP(A34,Calculation!$B$8:$JF$503,40,FALSE))</f>
        <v>0</v>
      </c>
      <c r="U34" s="987">
        <f t="shared" si="14"/>
        <v>0</v>
      </c>
      <c r="V34" s="987">
        <f>Calculation!AZ37</f>
        <v>0</v>
      </c>
      <c r="W34" s="994">
        <f t="shared" ca="1" si="11"/>
        <v>0</v>
      </c>
      <c r="X34" s="987">
        <v>0</v>
      </c>
      <c r="Y34" s="987">
        <f t="shared" ca="1" si="15"/>
        <v>0</v>
      </c>
      <c r="Z34" s="987">
        <f t="shared" ca="1" si="16"/>
        <v>0</v>
      </c>
      <c r="AA34" s="994">
        <f t="shared" ca="1" si="8"/>
        <v>866.00000000275577</v>
      </c>
      <c r="AB34" s="1093">
        <f t="shared" ca="1" si="9"/>
        <v>247.00000000275577</v>
      </c>
      <c r="AC34" s="954" t="e">
        <f ca="1">IF(A34&gt;$A$1,#N/A,VLOOKUP(A34,Calculation!$B$8:$JF$503,165,FALSE))</f>
        <v>#N/A</v>
      </c>
      <c r="AD34" s="418" t="e">
        <f t="shared" ca="1" si="17"/>
        <v>#N/A</v>
      </c>
      <c r="AE34" s="418"/>
      <c r="AF34" s="935">
        <f>Calculation!G37</f>
        <v>686.84568835096957</v>
      </c>
      <c r="AG34" s="941" t="str">
        <f t="shared" si="18"/>
        <v>Yes</v>
      </c>
      <c r="AH34" s="941" t="str">
        <f t="shared" si="19"/>
        <v>Yes</v>
      </c>
      <c r="AI34" s="963">
        <v>3848.6800000061498</v>
      </c>
      <c r="AJ34" s="964">
        <v>1527.2000000038518</v>
      </c>
      <c r="AK34" s="964">
        <v>1151.0000000032514</v>
      </c>
      <c r="AN34" s="447"/>
      <c r="AO34" s="430"/>
      <c r="AP34" s="655">
        <f>Calculation!BB37*3.068</f>
        <v>0</v>
      </c>
      <c r="AQ34" s="653"/>
      <c r="AR34" s="653"/>
      <c r="AS34" s="654"/>
      <c r="AU34" s="453"/>
      <c r="AV34" s="452"/>
      <c r="AW34" s="453"/>
      <c r="AX34" s="452"/>
      <c r="AY34" s="453"/>
      <c r="AZ34" s="452"/>
      <c r="BA34" s="449"/>
    </row>
    <row r="35" spans="1:53" ht="13.5" thickBot="1">
      <c r="A35" s="425">
        <v>41666</v>
      </c>
      <c r="B35" s="954">
        <f t="shared" si="12"/>
        <v>52.133899999999997</v>
      </c>
      <c r="C35" s="954">
        <f>Calculation!AK38</f>
        <v>0</v>
      </c>
      <c r="D35" s="954">
        <f>Calculation!AI38</f>
        <v>0</v>
      </c>
      <c r="E35" s="954">
        <f>Calculation!AE38</f>
        <v>30.166499999999999</v>
      </c>
      <c r="F35" s="954">
        <f>Calculation!AF38</f>
        <v>21.967399999999998</v>
      </c>
      <c r="G35" s="954">
        <f>Calculation!AG38</f>
        <v>52.133900000000004</v>
      </c>
      <c r="H35" s="955" t="str">
        <f>Sheet1!H40</f>
        <v>o/s</v>
      </c>
      <c r="I35" s="935">
        <f>Sheet1!DA40</f>
        <v>1120</v>
      </c>
      <c r="J35" s="935">
        <f>Sheet1!DB40</f>
        <v>713</v>
      </c>
      <c r="K35" s="935">
        <f>Sheet1!CZ40</f>
        <v>666</v>
      </c>
      <c r="L35" s="959">
        <f>Calculation!F38</f>
        <v>250</v>
      </c>
      <c r="M35" s="959">
        <f>Calculation!E38</f>
        <v>250</v>
      </c>
      <c r="N35" s="959">
        <f>Calculation!D38</f>
        <v>300</v>
      </c>
      <c r="O35" s="985">
        <f>Sheet1!DC40</f>
        <v>1076.53</v>
      </c>
      <c r="P35" s="986" t="e">
        <f>Calculation!FD38</f>
        <v>#N/A</v>
      </c>
      <c r="Q35" s="994">
        <f>Calculation!DP38</f>
        <v>787.60000000267394</v>
      </c>
      <c r="R35" s="985">
        <f t="shared" si="6"/>
        <v>168.60000000267394</v>
      </c>
      <c r="S35" s="987">
        <f t="shared" si="13"/>
        <v>-78.400000000081832</v>
      </c>
      <c r="T35" s="994">
        <f ca="1">IF(A35&gt;$A$1,#N/A,VLOOKUP(A35,Calculation!$B$8:$JF$503,40,FALSE))</f>
        <v>0</v>
      </c>
      <c r="U35" s="987">
        <f t="shared" si="14"/>
        <v>0</v>
      </c>
      <c r="V35" s="987">
        <f>Calculation!AZ38</f>
        <v>0</v>
      </c>
      <c r="W35" s="994">
        <f t="shared" ca="1" si="11"/>
        <v>0</v>
      </c>
      <c r="X35" s="987">
        <v>0</v>
      </c>
      <c r="Y35" s="987">
        <f t="shared" ca="1" si="15"/>
        <v>0</v>
      </c>
      <c r="Z35" s="987">
        <f t="shared" ca="1" si="16"/>
        <v>0</v>
      </c>
      <c r="AA35" s="994">
        <f t="shared" ca="1" si="8"/>
        <v>787.60000000267394</v>
      </c>
      <c r="AB35" s="1093">
        <f t="shared" ca="1" si="9"/>
        <v>168.60000000267394</v>
      </c>
      <c r="AC35" s="954" t="e">
        <f ca="1">IF(A35&gt;$A$1,#N/A,VLOOKUP(A35,Calculation!$B$8:$JF$503,165,FALSE))</f>
        <v>#N/A</v>
      </c>
      <c r="AD35" s="418" t="e">
        <f t="shared" ca="1" si="17"/>
        <v>#N/A</v>
      </c>
      <c r="AE35" s="418"/>
      <c r="AF35" s="935">
        <f>Calculation!G38</f>
        <v>626.46394351987806</v>
      </c>
      <c r="AG35" s="941" t="str">
        <f t="shared" si="18"/>
        <v>Yes</v>
      </c>
      <c r="AH35" s="941" t="str">
        <f t="shared" si="19"/>
        <v>Yes</v>
      </c>
      <c r="AI35" s="963">
        <v>2787.4400000042442</v>
      </c>
      <c r="AJ35" s="964">
        <v>1322.2000000036608</v>
      </c>
      <c r="AK35" s="964">
        <v>1339.0000000034288</v>
      </c>
      <c r="AN35" s="447"/>
      <c r="AO35" s="430"/>
      <c r="AP35" s="655">
        <f>Calculation!BB38*3.068</f>
        <v>0</v>
      </c>
      <c r="AQ35" s="653"/>
      <c r="AR35" s="653"/>
      <c r="AS35" s="654"/>
      <c r="AU35" s="453"/>
      <c r="AV35" s="452"/>
      <c r="AW35" s="453"/>
      <c r="AX35" s="452"/>
      <c r="AY35" s="453"/>
      <c r="AZ35" s="452"/>
      <c r="BA35" s="449"/>
    </row>
    <row r="36" spans="1:53" ht="13.5" thickBot="1">
      <c r="A36" s="425">
        <v>41667</v>
      </c>
      <c r="B36" s="954">
        <f t="shared" si="12"/>
        <v>51.979199999999999</v>
      </c>
      <c r="C36" s="954">
        <f>Calculation!AK39</f>
        <v>0</v>
      </c>
      <c r="D36" s="954">
        <f>Calculation!AI39</f>
        <v>0</v>
      </c>
      <c r="E36" s="954">
        <f>Calculation!AE39</f>
        <v>30.321200000000001</v>
      </c>
      <c r="F36" s="954">
        <f>Calculation!AF39</f>
        <v>21.657999999999998</v>
      </c>
      <c r="G36" s="954">
        <f>Calculation!AG39</f>
        <v>51.979199999999999</v>
      </c>
      <c r="H36" s="955" t="str">
        <f>Sheet1!H41</f>
        <v>o/s</v>
      </c>
      <c r="I36" s="935">
        <f>Sheet1!DA41</f>
        <v>1090</v>
      </c>
      <c r="J36" s="935">
        <f>Sheet1!DB41</f>
        <v>663</v>
      </c>
      <c r="K36" s="935">
        <f>Sheet1!CZ41</f>
        <v>604</v>
      </c>
      <c r="L36" s="959">
        <f>Calculation!F39</f>
        <v>250</v>
      </c>
      <c r="M36" s="959">
        <f>Calculation!E39</f>
        <v>250</v>
      </c>
      <c r="N36" s="959">
        <f>Calculation!D39</f>
        <v>300</v>
      </c>
      <c r="O36" s="985">
        <f>Sheet1!DC41</f>
        <v>1076.23</v>
      </c>
      <c r="P36" s="986" t="e">
        <f>Calculation!FD39</f>
        <v>#N/A</v>
      </c>
      <c r="Q36" s="994">
        <f>Calculation!DP39</f>
        <v>753.60000000264665</v>
      </c>
      <c r="R36" s="985">
        <f t="shared" si="6"/>
        <v>134.60000000264665</v>
      </c>
      <c r="S36" s="987">
        <f t="shared" si="13"/>
        <v>-34.000000000027285</v>
      </c>
      <c r="T36" s="994">
        <f ca="1">IF(A36&gt;$A$1,#N/A,VLOOKUP(A36,Calculation!$B$8:$JF$503,40,FALSE))</f>
        <v>0</v>
      </c>
      <c r="U36" s="987">
        <f t="shared" si="14"/>
        <v>0</v>
      </c>
      <c r="V36" s="987">
        <f>Calculation!AZ39</f>
        <v>0</v>
      </c>
      <c r="W36" s="994">
        <f t="shared" ca="1" si="11"/>
        <v>0</v>
      </c>
      <c r="X36" s="987">
        <v>0</v>
      </c>
      <c r="Y36" s="987">
        <f t="shared" ca="1" si="15"/>
        <v>0</v>
      </c>
      <c r="Z36" s="987">
        <f t="shared" ca="1" si="16"/>
        <v>0</v>
      </c>
      <c r="AA36" s="994">
        <f t="shared" ca="1" si="8"/>
        <v>753.60000000264665</v>
      </c>
      <c r="AB36" s="1093">
        <f t="shared" ca="1" si="9"/>
        <v>134.60000000264665</v>
      </c>
      <c r="AC36" s="954" t="e">
        <f ca="1">IF(A36&gt;$A$1,#N/A,VLOOKUP(A36,Calculation!$B$8:$JF$503,165,FALSE))</f>
        <v>#N/A</v>
      </c>
      <c r="AD36" s="418" t="e">
        <f t="shared" ca="1" si="17"/>
        <v>#N/A</v>
      </c>
      <c r="AE36" s="418"/>
      <c r="AF36" s="935">
        <f>Calculation!G39</f>
        <v>586.85426122035938</v>
      </c>
      <c r="AG36" s="941" t="str">
        <f t="shared" si="18"/>
        <v>Yes</v>
      </c>
      <c r="AH36" s="941" t="str">
        <f t="shared" si="19"/>
        <v>Yes</v>
      </c>
      <c r="AI36" s="963">
        <v>2617.1500000039637</v>
      </c>
      <c r="AJ36" s="964">
        <v>1204.3000000033105</v>
      </c>
      <c r="AK36" s="964">
        <v>1047.7000000031628</v>
      </c>
      <c r="AN36" s="447"/>
      <c r="AO36" s="430"/>
      <c r="AP36" s="655">
        <f>Calculation!BB39*3.068</f>
        <v>0</v>
      </c>
      <c r="AQ36" s="653"/>
      <c r="AR36" s="653"/>
      <c r="AS36" s="654"/>
      <c r="AU36" s="453"/>
      <c r="AV36" s="452"/>
      <c r="AW36" s="453"/>
      <c r="AX36" s="452"/>
      <c r="AY36" s="453"/>
      <c r="AZ36" s="452"/>
      <c r="BA36" s="449"/>
    </row>
    <row r="37" spans="1:53" ht="13.5" thickBot="1">
      <c r="A37" s="425">
        <v>41668</v>
      </c>
      <c r="B37" s="954">
        <f t="shared" si="12"/>
        <v>52.133899999999997</v>
      </c>
      <c r="C37" s="954">
        <f>Calculation!AK40</f>
        <v>0</v>
      </c>
      <c r="D37" s="954">
        <f>Calculation!AI40</f>
        <v>0</v>
      </c>
      <c r="E37" s="954">
        <f>Calculation!AE40</f>
        <v>30.475899999999996</v>
      </c>
      <c r="F37" s="954">
        <f>Calculation!AF40</f>
        <v>21.657999999999998</v>
      </c>
      <c r="G37" s="954">
        <f>Calculation!AG40</f>
        <v>52.133900000000004</v>
      </c>
      <c r="H37" s="955" t="str">
        <f>Sheet1!H42</f>
        <v>o/s</v>
      </c>
      <c r="I37" s="935">
        <f>Sheet1!DA42</f>
        <v>2010</v>
      </c>
      <c r="J37" s="935">
        <f>Sheet1!DB42</f>
        <v>1150</v>
      </c>
      <c r="K37" s="935">
        <f>Sheet1!CZ42</f>
        <v>1060</v>
      </c>
      <c r="L37" s="959">
        <f>Calculation!F40</f>
        <v>250</v>
      </c>
      <c r="M37" s="959">
        <f>Calculation!E40</f>
        <v>250</v>
      </c>
      <c r="N37" s="959">
        <f>Calculation!D40</f>
        <v>300</v>
      </c>
      <c r="O37" s="985">
        <f>Sheet1!DC42</f>
        <v>1078.58</v>
      </c>
      <c r="P37" s="986" t="e">
        <f>Calculation!FD40</f>
        <v>#N/A</v>
      </c>
      <c r="Q37" s="994">
        <f>Calculation!DP40</f>
        <v>1033.6000000028921</v>
      </c>
      <c r="R37" s="985">
        <f t="shared" si="6"/>
        <v>414.6000000028921</v>
      </c>
      <c r="S37" s="987">
        <f t="shared" si="13"/>
        <v>280.00000000024545</v>
      </c>
      <c r="T37" s="994">
        <f ca="1">IF(A37&gt;$A$1,#N/A,VLOOKUP(A37,Calculation!$B$8:$JF$503,40,FALSE))</f>
        <v>0</v>
      </c>
      <c r="U37" s="987">
        <f t="shared" si="14"/>
        <v>0</v>
      </c>
      <c r="V37" s="987">
        <f>Calculation!AZ40</f>
        <v>0</v>
      </c>
      <c r="W37" s="994">
        <f t="shared" ca="1" si="11"/>
        <v>0</v>
      </c>
      <c r="X37" s="987">
        <v>0</v>
      </c>
      <c r="Y37" s="987">
        <f t="shared" ca="1" si="15"/>
        <v>0</v>
      </c>
      <c r="Z37" s="987">
        <f t="shared" ca="1" si="16"/>
        <v>0</v>
      </c>
      <c r="AA37" s="994">
        <f t="shared" ca="1" si="8"/>
        <v>1033.6000000028921</v>
      </c>
      <c r="AB37" s="1093">
        <f t="shared" ca="1" si="9"/>
        <v>414.6000000028921</v>
      </c>
      <c r="AC37" s="954" t="e">
        <f ca="1">IF(A37&gt;$A$1,#N/A,VLOOKUP(A37,Calculation!$B$8:$JF$503,165,FALSE))</f>
        <v>#N/A</v>
      </c>
      <c r="AD37" s="418" t="e">
        <f t="shared" ca="1" si="17"/>
        <v>#N/A</v>
      </c>
      <c r="AE37" s="418"/>
      <c r="AF37" s="935">
        <f>Calculation!G40</f>
        <v>1201.2002017146976</v>
      </c>
      <c r="AG37" s="941" t="str">
        <f t="shared" si="18"/>
        <v>Yes</v>
      </c>
      <c r="AH37" s="941" t="str">
        <f t="shared" si="19"/>
        <v>Yes</v>
      </c>
      <c r="AI37" s="963">
        <v>2946.0000000045266</v>
      </c>
      <c r="AJ37" s="964">
        <v>1883.2000000047294</v>
      </c>
      <c r="AK37" s="964">
        <v>892.40000000278303</v>
      </c>
      <c r="AN37" s="447"/>
      <c r="AO37" s="430"/>
      <c r="AP37" s="655">
        <f>Calculation!BB40*3.068</f>
        <v>0</v>
      </c>
      <c r="AQ37" s="653"/>
      <c r="AR37" s="653"/>
      <c r="AS37" s="654"/>
      <c r="AU37" s="453"/>
      <c r="AV37" s="452"/>
      <c r="AW37" s="453"/>
      <c r="AX37" s="452"/>
      <c r="AY37" s="453"/>
      <c r="AZ37" s="452"/>
      <c r="BA37" s="449"/>
    </row>
    <row r="38" spans="1:53" ht="13.5" thickBot="1">
      <c r="A38" s="425">
        <v>41669</v>
      </c>
      <c r="B38" s="954">
        <f t="shared" si="12"/>
        <v>57.161649999999995</v>
      </c>
      <c r="C38" s="954">
        <f>Calculation!AK41</f>
        <v>0</v>
      </c>
      <c r="D38" s="954">
        <f>Calculation!AI41</f>
        <v>0</v>
      </c>
      <c r="E38" s="954">
        <f>Calculation!AE41</f>
        <v>30.475899999999996</v>
      </c>
      <c r="F38" s="954">
        <f>Calculation!AF41</f>
        <v>26.685749999999999</v>
      </c>
      <c r="G38" s="954">
        <f>Calculation!AG41</f>
        <v>57.161650000000002</v>
      </c>
      <c r="H38" s="955" t="str">
        <f>Sheet1!H43</f>
        <v>o/s</v>
      </c>
      <c r="I38" s="935">
        <f>Sheet1!DA43</f>
        <v>2070</v>
      </c>
      <c r="J38" s="935">
        <f>Sheet1!DB43</f>
        <v>1240</v>
      </c>
      <c r="K38" s="935">
        <f>Sheet1!CZ43</f>
        <v>1200</v>
      </c>
      <c r="L38" s="959">
        <f>Calculation!F41</f>
        <v>250</v>
      </c>
      <c r="M38" s="959">
        <f>Calculation!E41</f>
        <v>250</v>
      </c>
      <c r="N38" s="959">
        <f>Calculation!D41</f>
        <v>300</v>
      </c>
      <c r="O38" s="985">
        <f>Sheet1!DC43</f>
        <v>1080.3699999999999</v>
      </c>
      <c r="P38" s="986" t="e">
        <f>Calculation!FD41</f>
        <v>#N/A</v>
      </c>
      <c r="Q38" s="994">
        <f>Calculation!DP41</f>
        <v>1266.800000003597</v>
      </c>
      <c r="R38" s="985">
        <f t="shared" si="6"/>
        <v>647.80000000359701</v>
      </c>
      <c r="S38" s="987">
        <f t="shared" si="13"/>
        <v>233.2000000007049</v>
      </c>
      <c r="T38" s="994">
        <f ca="1">IF(A38&gt;$A$1,#N/A,VLOOKUP(A38,Calculation!$B$8:$JF$503,40,FALSE))</f>
        <v>0</v>
      </c>
      <c r="U38" s="987">
        <f t="shared" si="14"/>
        <v>0</v>
      </c>
      <c r="V38" s="987">
        <f>Calculation!AZ41</f>
        <v>0</v>
      </c>
      <c r="W38" s="994">
        <f t="shared" ca="1" si="11"/>
        <v>0</v>
      </c>
      <c r="X38" s="987">
        <v>0</v>
      </c>
      <c r="Y38" s="987">
        <f t="shared" ca="1" si="15"/>
        <v>0</v>
      </c>
      <c r="Z38" s="987">
        <f t="shared" ca="1" si="16"/>
        <v>0</v>
      </c>
      <c r="AA38" s="994">
        <f t="shared" ca="1" si="8"/>
        <v>1266.800000003597</v>
      </c>
      <c r="AB38" s="1093">
        <f t="shared" ca="1" si="9"/>
        <v>647.80000000359701</v>
      </c>
      <c r="AC38" s="954" t="e">
        <f ca="1">IF(A38&gt;$A$1,#N/A,VLOOKUP(A38,Calculation!$B$8:$JF$503,165,FALSE))</f>
        <v>#N/A</v>
      </c>
      <c r="AD38" s="418" t="e">
        <f t="shared" ca="1" si="17"/>
        <v>#N/A</v>
      </c>
      <c r="AE38" s="418"/>
      <c r="AF38" s="935">
        <f>Calculation!G41</f>
        <v>1317.5995965712077</v>
      </c>
      <c r="AG38" s="941" t="str">
        <f t="shared" si="18"/>
        <v>Yes</v>
      </c>
      <c r="AH38" s="941" t="str">
        <f t="shared" si="19"/>
        <v>Yes</v>
      </c>
      <c r="AI38" s="963">
        <v>3250.8400000051183</v>
      </c>
      <c r="AJ38" s="964">
        <v>3713.1000000087856</v>
      </c>
      <c r="AK38" s="964">
        <v>1374.4000000037245</v>
      </c>
      <c r="AN38" s="447"/>
      <c r="AO38" s="430"/>
      <c r="AP38" s="655">
        <f>Calculation!BB41*3.068</f>
        <v>0</v>
      </c>
      <c r="AQ38" s="653"/>
      <c r="AR38" s="653"/>
      <c r="AS38" s="654"/>
      <c r="AU38" s="453"/>
      <c r="AV38" s="452"/>
      <c r="AW38" s="453"/>
      <c r="AX38" s="452"/>
      <c r="AY38" s="453"/>
      <c r="AZ38" s="452"/>
      <c r="BA38" s="449"/>
    </row>
    <row r="39" spans="1:53" ht="13.5" thickBot="1">
      <c r="A39" s="425">
        <v>41670</v>
      </c>
      <c r="B39" s="954">
        <f t="shared" si="12"/>
        <v>57.625749999999996</v>
      </c>
      <c r="C39" s="954">
        <f>Calculation!AK42</f>
        <v>0</v>
      </c>
      <c r="D39" s="954">
        <f>Calculation!AI42</f>
        <v>0</v>
      </c>
      <c r="E39" s="954">
        <f>Calculation!AE42</f>
        <v>30.321200000000001</v>
      </c>
      <c r="F39" s="954">
        <f>Calculation!AF42</f>
        <v>27.304549999999995</v>
      </c>
      <c r="G39" s="954">
        <f>Calculation!AG42</f>
        <v>57.625749999999996</v>
      </c>
      <c r="H39" s="955" t="str">
        <f>Sheet1!H44</f>
        <v>o/s</v>
      </c>
      <c r="I39" s="935">
        <f>Sheet1!DA44</f>
        <v>1730</v>
      </c>
      <c r="J39" s="935">
        <f>Sheet1!DB44</f>
        <v>1000</v>
      </c>
      <c r="K39" s="935">
        <f>Sheet1!CZ44</f>
        <v>956</v>
      </c>
      <c r="L39" s="959">
        <f>Calculation!F42</f>
        <v>250</v>
      </c>
      <c r="M39" s="959">
        <f>Calculation!E42</f>
        <v>250</v>
      </c>
      <c r="N39" s="959">
        <f>Calculation!D42</f>
        <v>300</v>
      </c>
      <c r="O39" s="985">
        <f>Sheet1!DC44</f>
        <v>1081.0999999999999</v>
      </c>
      <c r="P39" s="986" t="e">
        <f>Calculation!FD42</f>
        <v>#N/A</v>
      </c>
      <c r="Q39" s="994">
        <f>Calculation!DP42</f>
        <v>1366.0000000036925</v>
      </c>
      <c r="R39" s="985">
        <f t="shared" si="6"/>
        <v>747.00000000369255</v>
      </c>
      <c r="S39" s="987">
        <f t="shared" si="13"/>
        <v>99.200000000095542</v>
      </c>
      <c r="T39" s="994">
        <f ca="1">IF(A39&gt;$A$1,#N/A,VLOOKUP(A39,Calculation!$B$8:$JF$503,40,FALSE))</f>
        <v>0</v>
      </c>
      <c r="U39" s="987">
        <f t="shared" si="14"/>
        <v>0</v>
      </c>
      <c r="V39" s="987">
        <f>Calculation!AZ42</f>
        <v>0</v>
      </c>
      <c r="W39" s="994">
        <f t="shared" ca="1" si="11"/>
        <v>0</v>
      </c>
      <c r="X39" s="987">
        <v>0</v>
      </c>
      <c r="Y39" s="987">
        <f t="shared" ca="1" si="15"/>
        <v>0</v>
      </c>
      <c r="Z39" s="987">
        <f t="shared" ca="1" si="16"/>
        <v>0</v>
      </c>
      <c r="AA39" s="994">
        <f t="shared" ca="1" si="8"/>
        <v>1366.0000000036925</v>
      </c>
      <c r="AB39" s="1093">
        <f t="shared" ca="1" si="9"/>
        <v>747.00000000369255</v>
      </c>
      <c r="AC39" s="954" t="e">
        <f ca="1">IF(A39&gt;$A$1,#N/A,VLOOKUP(A39,Calculation!$B$8:$JF$503,165,FALSE))</f>
        <v>#N/A</v>
      </c>
      <c r="AD39" s="418" t="e">
        <f t="shared" ca="1" si="17"/>
        <v>#N/A</v>
      </c>
      <c r="AE39" s="418"/>
      <c r="AF39" s="935">
        <f>Calculation!G42</f>
        <v>1006.0252143217829</v>
      </c>
      <c r="AG39" s="941" t="str">
        <f t="shared" si="18"/>
        <v>Yes</v>
      </c>
      <c r="AH39" s="941" t="str">
        <f t="shared" si="19"/>
        <v>Yes</v>
      </c>
      <c r="AI39" s="963">
        <v>2549.2700000037717</v>
      </c>
      <c r="AJ39" s="964">
        <v>2577.0000000059754</v>
      </c>
      <c r="AK39" s="964">
        <v>1518.5000000041268</v>
      </c>
      <c r="AN39" s="447"/>
      <c r="AO39" s="430"/>
      <c r="AP39" s="655">
        <f>Calculation!BB42*3.068</f>
        <v>0</v>
      </c>
      <c r="AQ39" s="653"/>
      <c r="AR39" s="653"/>
      <c r="AS39" s="654"/>
      <c r="AU39" s="453"/>
      <c r="AV39" s="452"/>
      <c r="AW39" s="453"/>
      <c r="AX39" s="452"/>
      <c r="AY39" s="453"/>
      <c r="AZ39" s="452"/>
      <c r="BA39" s="449"/>
    </row>
    <row r="40" spans="1:53" ht="13.5" thickBot="1">
      <c r="A40" s="425">
        <v>41671</v>
      </c>
      <c r="B40" s="954">
        <f t="shared" si="12"/>
        <v>52.288599999999995</v>
      </c>
      <c r="C40" s="954">
        <f>Calculation!AK43</f>
        <v>0</v>
      </c>
      <c r="D40" s="954">
        <f>Calculation!AI43</f>
        <v>0</v>
      </c>
      <c r="E40" s="954">
        <f>Calculation!AE43</f>
        <v>30.475899999999996</v>
      </c>
      <c r="F40" s="954">
        <f>Calculation!AF43</f>
        <v>21.8127</v>
      </c>
      <c r="G40" s="954">
        <f>Calculation!AG43</f>
        <v>52.288599999999995</v>
      </c>
      <c r="H40" s="955" t="str">
        <f>Sheet1!H45</f>
        <v>o/s</v>
      </c>
      <c r="I40" s="935">
        <f>Sheet1!DA45</f>
        <v>1660</v>
      </c>
      <c r="J40" s="935">
        <f>Sheet1!DB45</f>
        <v>996</v>
      </c>
      <c r="K40" s="935">
        <f>Sheet1!CZ45</f>
        <v>961</v>
      </c>
      <c r="L40" s="959">
        <f>Calculation!F43</f>
        <v>250</v>
      </c>
      <c r="M40" s="959">
        <f>Calculation!E43</f>
        <v>250</v>
      </c>
      <c r="N40" s="959">
        <f>Calculation!D43</f>
        <v>300</v>
      </c>
      <c r="O40" s="985">
        <f>Sheet1!DC45</f>
        <v>1081.5999999999999</v>
      </c>
      <c r="P40" s="986" t="e">
        <f>Calculation!FD43</f>
        <v>#N/A</v>
      </c>
      <c r="Q40" s="994">
        <f>Calculation!DP43</f>
        <v>1437.0000000037562</v>
      </c>
      <c r="R40" s="985">
        <f t="shared" si="6"/>
        <v>818.00000000375621</v>
      </c>
      <c r="S40" s="987">
        <f t="shared" si="13"/>
        <v>71.000000000063665</v>
      </c>
      <c r="T40" s="994">
        <f ca="1">IF(A40&gt;$A$1,#N/A,VLOOKUP(A40,Calculation!$B$8:$JF$503,40,FALSE))</f>
        <v>0</v>
      </c>
      <c r="U40" s="987">
        <f t="shared" si="14"/>
        <v>0</v>
      </c>
      <c r="V40" s="987">
        <f>Calculation!AZ43</f>
        <v>0</v>
      </c>
      <c r="W40" s="994">
        <f t="shared" ca="1" si="11"/>
        <v>0</v>
      </c>
      <c r="X40" s="987">
        <v>0</v>
      </c>
      <c r="Y40" s="987">
        <f t="shared" ca="1" si="15"/>
        <v>0</v>
      </c>
      <c r="Z40" s="987">
        <f t="shared" ca="1" si="16"/>
        <v>0</v>
      </c>
      <c r="AA40" s="994">
        <f t="shared" ca="1" si="8"/>
        <v>1437.0000000037562</v>
      </c>
      <c r="AB40" s="1093">
        <f t="shared" ca="1" si="9"/>
        <v>818.00000000375621</v>
      </c>
      <c r="AC40" s="954" t="e">
        <f ca="1">IF(A40&gt;$A$1,#N/A,VLOOKUP(A40,Calculation!$B$8:$JF$503,165,FALSE))</f>
        <v>#N/A</v>
      </c>
      <c r="AD40" s="418" t="e">
        <f t="shared" ca="1" si="17"/>
        <v>#N/A</v>
      </c>
      <c r="AE40" s="418"/>
      <c r="AF40" s="935">
        <f>Calculation!G43</f>
        <v>996.80433686337051</v>
      </c>
      <c r="AG40" s="941" t="str">
        <f t="shared" si="18"/>
        <v>Yes</v>
      </c>
      <c r="AH40" s="941" t="str">
        <f t="shared" si="19"/>
        <v>Yes</v>
      </c>
      <c r="AI40" s="963">
        <v>1940.1400000028077</v>
      </c>
      <c r="AJ40" s="964">
        <v>1762.0000000046202</v>
      </c>
      <c r="AK40" s="964">
        <v>1971.2000000048022</v>
      </c>
      <c r="AN40" s="447"/>
      <c r="AO40" s="430"/>
      <c r="AP40" s="655">
        <f>Calculation!BB43*3.068</f>
        <v>0</v>
      </c>
      <c r="AQ40" s="653"/>
      <c r="AR40" s="653"/>
      <c r="AS40" s="654"/>
      <c r="AU40" s="453"/>
      <c r="AV40" s="452"/>
      <c r="AW40" s="453"/>
      <c r="AX40" s="452"/>
      <c r="AY40" s="453"/>
      <c r="AZ40" s="452"/>
      <c r="BA40" s="449"/>
    </row>
    <row r="41" spans="1:53" ht="13.5" thickBot="1">
      <c r="A41" s="425">
        <v>41672</v>
      </c>
      <c r="B41" s="954">
        <f t="shared" si="12"/>
        <v>52.381419999999991</v>
      </c>
      <c r="C41" s="954">
        <f>Calculation!AK44</f>
        <v>0</v>
      </c>
      <c r="D41" s="954">
        <f>Calculation!AI44</f>
        <v>0</v>
      </c>
      <c r="E41" s="954">
        <f>Calculation!AE44</f>
        <v>30.475899999999996</v>
      </c>
      <c r="F41" s="954">
        <f>Calculation!AF44</f>
        <v>21.905519999999999</v>
      </c>
      <c r="G41" s="954">
        <f>Calculation!AG44</f>
        <v>52.381419999999999</v>
      </c>
      <c r="H41" s="955" t="str">
        <f>Sheet1!H46</f>
        <v>o/s</v>
      </c>
      <c r="I41" s="935">
        <f>Sheet1!DA46</f>
        <v>1580</v>
      </c>
      <c r="J41" s="935">
        <f>Sheet1!DB46</f>
        <v>978</v>
      </c>
      <c r="K41" s="935">
        <f>Sheet1!CZ46</f>
        <v>951</v>
      </c>
      <c r="L41" s="959">
        <f>Calculation!F44</f>
        <v>250</v>
      </c>
      <c r="M41" s="959">
        <f>Calculation!E44</f>
        <v>250</v>
      </c>
      <c r="N41" s="959">
        <f>Calculation!D44</f>
        <v>300</v>
      </c>
      <c r="O41" s="985">
        <f>Sheet1!DC46</f>
        <v>1080.6600000000001</v>
      </c>
      <c r="P41" s="986" t="e">
        <f>Calculation!FD44</f>
        <v>#N/A</v>
      </c>
      <c r="Q41" s="994">
        <f>Calculation!DP44</f>
        <v>1305.8000000033992</v>
      </c>
      <c r="R41" s="985">
        <f t="shared" si="6"/>
        <v>686.80000000339919</v>
      </c>
      <c r="S41" s="987">
        <f t="shared" si="13"/>
        <v>-131.20000000035702</v>
      </c>
      <c r="T41" s="994">
        <f ca="1">IF(A41&gt;$A$1,#N/A,VLOOKUP(A41,Calculation!$B$8:$JF$503,40,FALSE))</f>
        <v>0</v>
      </c>
      <c r="U41" s="987">
        <f t="shared" si="14"/>
        <v>0</v>
      </c>
      <c r="V41" s="987">
        <f>Calculation!AZ44</f>
        <v>0</v>
      </c>
      <c r="W41" s="994">
        <f t="shared" ca="1" si="11"/>
        <v>0</v>
      </c>
      <c r="X41" s="987">
        <v>0</v>
      </c>
      <c r="Y41" s="987">
        <f t="shared" ca="1" si="15"/>
        <v>0</v>
      </c>
      <c r="Z41" s="987">
        <f t="shared" ca="1" si="16"/>
        <v>0</v>
      </c>
      <c r="AA41" s="994">
        <f t="shared" ca="1" si="8"/>
        <v>1305.8000000033992</v>
      </c>
      <c r="AB41" s="1093">
        <f t="shared" ca="1" si="9"/>
        <v>686.80000000339919</v>
      </c>
      <c r="AC41" s="954" t="e">
        <f ca="1">IF(A41&gt;$A$1,#N/A,VLOOKUP(A41,Calculation!$B$8:$JF$503,165,FALSE))</f>
        <v>#N/A</v>
      </c>
      <c r="AD41" s="418" t="e">
        <f t="shared" ca="1" si="17"/>
        <v>#N/A</v>
      </c>
      <c r="AE41" s="418"/>
      <c r="AF41" s="935">
        <f>Calculation!G44</f>
        <v>884.8376197678482</v>
      </c>
      <c r="AG41" s="941" t="str">
        <f t="shared" si="18"/>
        <v>Yes</v>
      </c>
      <c r="AH41" s="941" t="str">
        <f t="shared" si="19"/>
        <v>Yes</v>
      </c>
      <c r="AI41" s="963">
        <v>1933.8400000027789</v>
      </c>
      <c r="AJ41" s="964">
        <v>1316.6000000036606</v>
      </c>
      <c r="AK41" s="964">
        <v>2028.9000000051797</v>
      </c>
      <c r="AN41" s="447"/>
      <c r="AO41" s="430"/>
      <c r="AP41" s="652">
        <f>Calculation!BB44*3.068</f>
        <v>0</v>
      </c>
      <c r="AQ41" s="653"/>
      <c r="AR41" s="653"/>
      <c r="AS41" s="654"/>
      <c r="AU41" s="453"/>
      <c r="AV41" s="452"/>
      <c r="AW41" s="453"/>
      <c r="AX41" s="452"/>
      <c r="AY41" s="453"/>
      <c r="AZ41" s="452"/>
      <c r="BA41" s="449"/>
    </row>
    <row r="42" spans="1:53" ht="13.5" thickBot="1">
      <c r="A42" s="425">
        <v>41673</v>
      </c>
      <c r="B42" s="954">
        <f t="shared" si="12"/>
        <v>52.35047999999999</v>
      </c>
      <c r="C42" s="954">
        <f>Calculation!AK45</f>
        <v>0</v>
      </c>
      <c r="D42" s="954">
        <f>Calculation!AI45</f>
        <v>0</v>
      </c>
      <c r="E42" s="954">
        <f>Calculation!AE45</f>
        <v>30.475899999999996</v>
      </c>
      <c r="F42" s="954">
        <f>Calculation!AF45</f>
        <v>21.874579999999998</v>
      </c>
      <c r="G42" s="954">
        <f>Calculation!AG45</f>
        <v>52.350480000000005</v>
      </c>
      <c r="H42" s="955" t="str">
        <f>Sheet1!H47</f>
        <v>o/s</v>
      </c>
      <c r="I42" s="935">
        <f>Sheet1!DA47</f>
        <v>1530</v>
      </c>
      <c r="J42" s="935">
        <f>Sheet1!DB47</f>
        <v>952</v>
      </c>
      <c r="K42" s="935">
        <f>Sheet1!CZ47</f>
        <v>926</v>
      </c>
      <c r="L42" s="959">
        <f>Calculation!F45</f>
        <v>250</v>
      </c>
      <c r="M42" s="959">
        <f>Calculation!E45</f>
        <v>250</v>
      </c>
      <c r="N42" s="959">
        <f>Calculation!D45</f>
        <v>300</v>
      </c>
      <c r="O42" s="985">
        <f>Sheet1!DC47</f>
        <v>1078.67</v>
      </c>
      <c r="P42" s="986" t="e">
        <f>Calculation!FD45</f>
        <v>#N/A</v>
      </c>
      <c r="Q42" s="994">
        <f>Calculation!DP45</f>
        <v>1045.1000000031627</v>
      </c>
      <c r="R42" s="985">
        <f t="shared" si="6"/>
        <v>426.10000000316268</v>
      </c>
      <c r="S42" s="987">
        <f t="shared" si="13"/>
        <v>-260.70000000023651</v>
      </c>
      <c r="T42" s="994">
        <f ca="1">IF(A42&gt;$A$1,#N/A,VLOOKUP(A42,Calculation!$B$8:$JF$503,40,FALSE))</f>
        <v>0</v>
      </c>
      <c r="U42" s="987">
        <f t="shared" si="14"/>
        <v>0</v>
      </c>
      <c r="V42" s="987">
        <f>Calculation!AZ45</f>
        <v>0</v>
      </c>
      <c r="W42" s="994">
        <f t="shared" ca="1" si="11"/>
        <v>0</v>
      </c>
      <c r="X42" s="987">
        <v>0</v>
      </c>
      <c r="Y42" s="987">
        <f t="shared" ca="1" si="15"/>
        <v>0</v>
      </c>
      <c r="Z42" s="987">
        <f t="shared" ca="1" si="16"/>
        <v>0</v>
      </c>
      <c r="AA42" s="994">
        <f t="shared" ca="1" si="8"/>
        <v>1045.1000000031627</v>
      </c>
      <c r="AB42" s="1093">
        <f t="shared" ca="1" si="9"/>
        <v>426.10000000316268</v>
      </c>
      <c r="AC42" s="954" t="e">
        <f ca="1">IF(A42&gt;$A$1,#N/A,VLOOKUP(A42,Calculation!$B$8:$JF$503,165,FALSE))</f>
        <v>#N/A</v>
      </c>
      <c r="AD42" s="418" t="e">
        <f t="shared" ca="1" si="17"/>
        <v>#N/A</v>
      </c>
      <c r="AE42" s="418"/>
      <c r="AF42" s="935">
        <f>Calculation!G45</f>
        <v>794.53252647491854</v>
      </c>
      <c r="AG42" s="941" t="str">
        <f t="shared" si="18"/>
        <v>Yes</v>
      </c>
      <c r="AH42" s="941" t="str">
        <f t="shared" si="19"/>
        <v>Yes</v>
      </c>
      <c r="AI42" s="963">
        <v>1964.0800000028075</v>
      </c>
      <c r="AJ42" s="964">
        <v>1326.4000000036608</v>
      </c>
      <c r="AK42" s="964">
        <v>1565.5000000041609</v>
      </c>
      <c r="AN42" s="447"/>
      <c r="AO42" s="430"/>
      <c r="AP42" s="652">
        <f>Calculation!BB45*3.068</f>
        <v>0</v>
      </c>
      <c r="AQ42" s="653"/>
      <c r="AR42" s="653"/>
      <c r="AS42" s="654"/>
      <c r="AU42" s="453"/>
      <c r="AV42" s="452"/>
      <c r="AW42" s="453"/>
      <c r="AX42" s="452"/>
      <c r="AY42" s="453"/>
      <c r="AZ42" s="452"/>
      <c r="BA42" s="449"/>
    </row>
    <row r="43" spans="1:53" ht="13.5" thickBot="1">
      <c r="A43" s="425">
        <v>41674</v>
      </c>
      <c r="B43" s="954">
        <f t="shared" si="12"/>
        <v>52.288599999999995</v>
      </c>
      <c r="C43" s="954">
        <f>Calculation!AK46</f>
        <v>0</v>
      </c>
      <c r="D43" s="954">
        <f>Calculation!AI46</f>
        <v>0</v>
      </c>
      <c r="E43" s="954">
        <f>Calculation!AE46</f>
        <v>30.475899999999996</v>
      </c>
      <c r="F43" s="954">
        <f>Calculation!AF46</f>
        <v>21.8127</v>
      </c>
      <c r="G43" s="954">
        <f>Calculation!AG46</f>
        <v>52.288599999999995</v>
      </c>
      <c r="H43" s="955" t="str">
        <f>Sheet1!H48</f>
        <v>o/s</v>
      </c>
      <c r="I43" s="935">
        <f>Sheet1!DA48</f>
        <v>1360</v>
      </c>
      <c r="J43" s="935">
        <f>Sheet1!DB48</f>
        <v>828</v>
      </c>
      <c r="K43" s="935">
        <f>Sheet1!CZ48</f>
        <v>799</v>
      </c>
      <c r="L43" s="959">
        <f>Calculation!F46</f>
        <v>250</v>
      </c>
      <c r="M43" s="959">
        <f>Calculation!E46</f>
        <v>250</v>
      </c>
      <c r="N43" s="959">
        <f>Calculation!D46</f>
        <v>300</v>
      </c>
      <c r="O43" s="985">
        <f>Sheet1!DC48</f>
        <v>1076.6500000000001</v>
      </c>
      <c r="P43" s="986" t="e">
        <f>Calculation!FD46</f>
        <v>#N/A</v>
      </c>
      <c r="Q43" s="994">
        <f>Calculation!DP46</f>
        <v>801.5000000024761</v>
      </c>
      <c r="R43" s="985">
        <f t="shared" si="6"/>
        <v>182.5000000024761</v>
      </c>
      <c r="S43" s="987">
        <f t="shared" si="13"/>
        <v>-243.60000000068658</v>
      </c>
      <c r="T43" s="994">
        <f ca="1">IF(A43&gt;$A$1,#N/A,VLOOKUP(A43,Calculation!$B$8:$JF$503,40,FALSE))</f>
        <v>0</v>
      </c>
      <c r="U43" s="987">
        <f t="shared" si="14"/>
        <v>0</v>
      </c>
      <c r="V43" s="987">
        <f>Calculation!AZ46</f>
        <v>0</v>
      </c>
      <c r="W43" s="994">
        <f t="shared" ca="1" si="11"/>
        <v>0</v>
      </c>
      <c r="X43" s="987">
        <v>0</v>
      </c>
      <c r="Y43" s="987">
        <f t="shared" ca="1" si="15"/>
        <v>0</v>
      </c>
      <c r="Z43" s="987">
        <f t="shared" ca="1" si="16"/>
        <v>0</v>
      </c>
      <c r="AA43" s="994">
        <f t="shared" ca="1" si="8"/>
        <v>801.5000000024761</v>
      </c>
      <c r="AB43" s="1093">
        <f t="shared" ca="1" si="9"/>
        <v>182.5000000024761</v>
      </c>
      <c r="AC43" s="954" t="e">
        <f ca="1">IF(A43&gt;$A$1,#N/A,VLOOKUP(A43,Calculation!$B$8:$JF$503,165,FALSE))</f>
        <v>#N/A</v>
      </c>
      <c r="AD43" s="418" t="e">
        <f t="shared" ca="1" si="17"/>
        <v>#N/A</v>
      </c>
      <c r="AE43" s="418"/>
      <c r="AF43" s="935">
        <f>Calculation!G46</f>
        <v>676.15582450797456</v>
      </c>
      <c r="AG43" s="941" t="str">
        <f t="shared" si="18"/>
        <v>Yes</v>
      </c>
      <c r="AH43" s="941" t="str">
        <f t="shared" si="19"/>
        <v>Yes</v>
      </c>
      <c r="AI43" s="963">
        <v>2496.3600000037068</v>
      </c>
      <c r="AJ43" s="964">
        <v>1340.3000000034287</v>
      </c>
      <c r="AK43" s="964">
        <v>1071.4000000031924</v>
      </c>
      <c r="AN43" s="447"/>
      <c r="AO43" s="430"/>
      <c r="AP43" s="652">
        <f>Calculation!BB46*3.068</f>
        <v>0</v>
      </c>
      <c r="AQ43" s="653"/>
      <c r="AR43" s="653"/>
      <c r="AS43" s="654"/>
      <c r="AU43" s="453"/>
      <c r="AV43" s="452"/>
      <c r="AW43" s="453"/>
      <c r="AX43" s="452"/>
      <c r="AY43" s="453"/>
      <c r="AZ43" s="452"/>
      <c r="BA43" s="449"/>
    </row>
    <row r="44" spans="1:53" ht="13.5" thickBot="1">
      <c r="A44" s="425">
        <v>41675</v>
      </c>
      <c r="B44" s="954">
        <f t="shared" si="12"/>
        <v>52.365949999999998</v>
      </c>
      <c r="C44" s="954">
        <f>Calculation!AK47</f>
        <v>0</v>
      </c>
      <c r="D44" s="954">
        <f>Calculation!AI47</f>
        <v>0</v>
      </c>
      <c r="E44" s="954">
        <f>Calculation!AE47</f>
        <v>30.49137</v>
      </c>
      <c r="F44" s="954">
        <f>Calculation!AF47</f>
        <v>21.874579999999998</v>
      </c>
      <c r="G44" s="954">
        <f>Calculation!AG47</f>
        <v>52.365949999999998</v>
      </c>
      <c r="H44" s="955" t="str">
        <f>Sheet1!H49</f>
        <v>o/s</v>
      </c>
      <c r="I44" s="935">
        <f>Sheet1!DA49</f>
        <v>1100</v>
      </c>
      <c r="J44" s="935">
        <f>Sheet1!DB49</f>
        <v>681</v>
      </c>
      <c r="K44" s="935">
        <f>Sheet1!CZ49</f>
        <v>565</v>
      </c>
      <c r="L44" s="959">
        <f>Calculation!F47</f>
        <v>250</v>
      </c>
      <c r="M44" s="959">
        <f>Calculation!E47</f>
        <v>250</v>
      </c>
      <c r="N44" s="959">
        <f>Calculation!D47</f>
        <v>300</v>
      </c>
      <c r="O44" s="985">
        <f>Sheet1!DC49</f>
        <v>1075.5999999999999</v>
      </c>
      <c r="P44" s="986" t="e">
        <f>Calculation!FD47</f>
        <v>#N/A</v>
      </c>
      <c r="Q44" s="994">
        <f>Calculation!DP47</f>
        <v>684.00000000235104</v>
      </c>
      <c r="R44" s="985">
        <f t="shared" si="6"/>
        <v>65.000000002351044</v>
      </c>
      <c r="S44" s="987">
        <f t="shared" si="13"/>
        <v>-117.50000000012506</v>
      </c>
      <c r="T44" s="994">
        <f ca="1">IF(A44&gt;$A$1,#N/A,VLOOKUP(A44,Calculation!$B$8:$JF$503,40,FALSE))</f>
        <v>0</v>
      </c>
      <c r="U44" s="987">
        <f t="shared" si="14"/>
        <v>0</v>
      </c>
      <c r="V44" s="987">
        <f>Calculation!AZ47</f>
        <v>0</v>
      </c>
      <c r="W44" s="994">
        <f t="shared" ca="1" si="11"/>
        <v>0</v>
      </c>
      <c r="X44" s="987">
        <v>0</v>
      </c>
      <c r="Y44" s="987">
        <f t="shared" ca="1" si="15"/>
        <v>0</v>
      </c>
      <c r="Z44" s="987">
        <f t="shared" ca="1" si="16"/>
        <v>0</v>
      </c>
      <c r="AA44" s="994">
        <f t="shared" ca="1" si="8"/>
        <v>684.00000000235104</v>
      </c>
      <c r="AB44" s="1093">
        <f t="shared" ca="1" si="9"/>
        <v>65.000000002351044</v>
      </c>
      <c r="AC44" s="954" t="e">
        <f ca="1">IF(A44&gt;$A$1,#N/A,VLOOKUP(A44,Calculation!$B$8:$JF$503,165,FALSE))</f>
        <v>#N/A</v>
      </c>
      <c r="AD44" s="418" t="e">
        <f t="shared" ca="1" si="17"/>
        <v>#N/A</v>
      </c>
      <c r="AE44" s="418"/>
      <c r="AF44" s="935">
        <f>Calculation!G47</f>
        <v>505.74634392328539</v>
      </c>
      <c r="AG44" s="941" t="str">
        <f t="shared" si="18"/>
        <v>Yes</v>
      </c>
      <c r="AH44" s="941" t="str">
        <f t="shared" si="19"/>
        <v>Yes</v>
      </c>
      <c r="AI44" s="963">
        <v>3135.1600000048252</v>
      </c>
      <c r="AJ44" s="964">
        <v>1106.8000000032218</v>
      </c>
      <c r="AK44" s="964">
        <v>890.00000000278305</v>
      </c>
      <c r="AN44" s="447"/>
      <c r="AO44" s="430"/>
      <c r="AP44" s="652">
        <f>Calculation!BB47*3.068</f>
        <v>0</v>
      </c>
      <c r="AQ44" s="653"/>
      <c r="AR44" s="653"/>
      <c r="AS44" s="654"/>
      <c r="AU44" s="453"/>
      <c r="AV44" s="452"/>
      <c r="AW44" s="453"/>
      <c r="AX44" s="452"/>
      <c r="AY44" s="453"/>
      <c r="AZ44" s="452"/>
      <c r="BA44" s="449"/>
    </row>
    <row r="45" spans="1:53" ht="13.5" thickBot="1">
      <c r="A45" s="425">
        <v>41676</v>
      </c>
      <c r="B45" s="954">
        <f t="shared" si="12"/>
        <v>52.365949999999998</v>
      </c>
      <c r="C45" s="954">
        <f>Calculation!AK48</f>
        <v>0</v>
      </c>
      <c r="D45" s="954">
        <f>Calculation!AI48</f>
        <v>0</v>
      </c>
      <c r="E45" s="954">
        <f>Calculation!AE48</f>
        <v>30.460430000000002</v>
      </c>
      <c r="F45" s="954">
        <f>Calculation!AF48</f>
        <v>21.905519999999999</v>
      </c>
      <c r="G45" s="954">
        <f>Calculation!AG48</f>
        <v>52.365949999999998</v>
      </c>
      <c r="H45" s="955" t="str">
        <f>Sheet1!H50</f>
        <v>o/s</v>
      </c>
      <c r="I45" s="935">
        <f>Sheet1!DA50</f>
        <v>968</v>
      </c>
      <c r="J45" s="935">
        <f>Sheet1!DB50</f>
        <v>614</v>
      </c>
      <c r="K45" s="935">
        <f>Sheet1!CZ50</f>
        <v>439</v>
      </c>
      <c r="L45" s="959">
        <f>Calculation!F48</f>
        <v>250</v>
      </c>
      <c r="M45" s="959">
        <f>Calculation!E48</f>
        <v>250</v>
      </c>
      <c r="N45" s="959">
        <f>Calculation!D48</f>
        <v>300</v>
      </c>
      <c r="O45" s="985">
        <f>Sheet1!DC50</f>
        <v>1077.21</v>
      </c>
      <c r="P45" s="986" t="e">
        <f>Calculation!FD48</f>
        <v>#N/A</v>
      </c>
      <c r="Q45" s="994">
        <f>Calculation!DP48</f>
        <v>867.20000000275581</v>
      </c>
      <c r="R45" s="985">
        <f t="shared" si="6"/>
        <v>248.20000000275581</v>
      </c>
      <c r="S45" s="987">
        <f t="shared" si="13"/>
        <v>183.20000000040477</v>
      </c>
      <c r="T45" s="994">
        <f ca="1">IF(A45&gt;$A$1,#N/A,VLOOKUP(A45,Calculation!$B$8:$JF$503,40,FALSE))</f>
        <v>0</v>
      </c>
      <c r="U45" s="987">
        <f t="shared" si="14"/>
        <v>0</v>
      </c>
      <c r="V45" s="987">
        <f>Calculation!AZ48</f>
        <v>0</v>
      </c>
      <c r="W45" s="994">
        <f t="shared" ca="1" si="11"/>
        <v>0</v>
      </c>
      <c r="X45" s="987">
        <v>0</v>
      </c>
      <c r="Y45" s="987">
        <f t="shared" ca="1" si="15"/>
        <v>0</v>
      </c>
      <c r="Z45" s="987">
        <f t="shared" ca="1" si="16"/>
        <v>0</v>
      </c>
      <c r="AA45" s="994">
        <f t="shared" ca="1" si="8"/>
        <v>867.20000000275581</v>
      </c>
      <c r="AB45" s="1093">
        <f t="shared" ca="1" si="9"/>
        <v>248.20000000275581</v>
      </c>
      <c r="AC45" s="954" t="e">
        <f ca="1">IF(A45&gt;$A$1,#N/A,VLOOKUP(A45,Calculation!$B$8:$JF$503,165,FALSE))</f>
        <v>#N/A</v>
      </c>
      <c r="AD45" s="418" t="e">
        <f t="shared" ca="1" si="17"/>
        <v>#N/A</v>
      </c>
      <c r="AE45" s="418"/>
      <c r="AF45" s="935">
        <f>Calculation!G48</f>
        <v>531.38527483631105</v>
      </c>
      <c r="AG45" s="941" t="str">
        <f t="shared" si="18"/>
        <v>Yes</v>
      </c>
      <c r="AH45" s="941" t="str">
        <f t="shared" si="19"/>
        <v>Yes</v>
      </c>
      <c r="AI45" s="963">
        <v>2403.8000000035336</v>
      </c>
      <c r="AJ45" s="964">
        <v>819.0000000024761</v>
      </c>
      <c r="AK45" s="964">
        <v>910.40000000278303</v>
      </c>
      <c r="AN45" s="447"/>
      <c r="AO45" s="430"/>
      <c r="AP45" s="652">
        <f>Calculation!BB48*3.068</f>
        <v>0</v>
      </c>
      <c r="AQ45" s="653"/>
      <c r="AR45" s="653"/>
      <c r="AS45" s="654"/>
      <c r="AU45" s="453"/>
      <c r="AV45" s="452"/>
      <c r="AW45" s="453"/>
      <c r="AX45" s="452"/>
      <c r="AY45" s="453"/>
      <c r="AZ45" s="452"/>
      <c r="BA45" s="449"/>
    </row>
    <row r="46" spans="1:53" ht="13.5" thickBot="1">
      <c r="A46" s="425">
        <v>41677</v>
      </c>
      <c r="B46" s="954">
        <f t="shared" si="12"/>
        <v>52.35047999999999</v>
      </c>
      <c r="C46" s="954">
        <f>Calculation!AK49</f>
        <v>0</v>
      </c>
      <c r="D46" s="954">
        <f>Calculation!AI49</f>
        <v>0</v>
      </c>
      <c r="E46" s="954">
        <f>Calculation!AE49</f>
        <v>30.475899999999996</v>
      </c>
      <c r="F46" s="954">
        <f>Calculation!AF49</f>
        <v>21.874579999999998</v>
      </c>
      <c r="G46" s="954">
        <f>Calculation!AG49</f>
        <v>52.350480000000005</v>
      </c>
      <c r="H46" s="955" t="str">
        <f>Sheet1!H51</f>
        <v>o/s</v>
      </c>
      <c r="I46" s="935">
        <f>Sheet1!DA51</f>
        <v>1040</v>
      </c>
      <c r="J46" s="935">
        <f>Sheet1!DB51</f>
        <v>614</v>
      </c>
      <c r="K46" s="935">
        <f>Sheet1!CZ51</f>
        <v>565</v>
      </c>
      <c r="L46" s="959">
        <f>Calculation!F49</f>
        <v>250</v>
      </c>
      <c r="M46" s="959">
        <f>Calculation!E49</f>
        <v>250</v>
      </c>
      <c r="N46" s="959">
        <f>Calculation!D49</f>
        <v>300</v>
      </c>
      <c r="O46" s="985">
        <f>Sheet1!DC51</f>
        <v>1079</v>
      </c>
      <c r="P46" s="986" t="e">
        <f>Calculation!FD49</f>
        <v>#N/A</v>
      </c>
      <c r="Q46" s="994">
        <f>Calculation!DP49</f>
        <v>1086.0000000031923</v>
      </c>
      <c r="R46" s="985">
        <f t="shared" si="6"/>
        <v>467.00000000319233</v>
      </c>
      <c r="S46" s="987">
        <f t="shared" si="13"/>
        <v>218.80000000043651</v>
      </c>
      <c r="T46" s="994">
        <f ca="1">IF(A46&gt;$A$1,#N/A,VLOOKUP(A46,Calculation!$B$8:$JF$503,40,FALSE))</f>
        <v>0</v>
      </c>
      <c r="U46" s="987">
        <f t="shared" si="14"/>
        <v>0</v>
      </c>
      <c r="V46" s="987">
        <f>Calculation!AZ49</f>
        <v>0</v>
      </c>
      <c r="W46" s="994">
        <f t="shared" ca="1" si="11"/>
        <v>0</v>
      </c>
      <c r="X46" s="987">
        <v>0</v>
      </c>
      <c r="Y46" s="987">
        <f t="shared" ca="1" si="15"/>
        <v>0</v>
      </c>
      <c r="Z46" s="987">
        <f t="shared" ca="1" si="16"/>
        <v>0</v>
      </c>
      <c r="AA46" s="994">
        <f t="shared" ca="1" si="8"/>
        <v>1086.0000000031923</v>
      </c>
      <c r="AB46" s="1093">
        <f t="shared" ca="1" si="9"/>
        <v>467.00000000319233</v>
      </c>
      <c r="AC46" s="954" t="e">
        <f ca="1">IF(A46&gt;$A$1,#N/A,VLOOKUP(A46,Calculation!$B$8:$JF$503,165,FALSE))</f>
        <v>#N/A</v>
      </c>
      <c r="AD46" s="418" t="e">
        <f t="shared" ca="1" si="17"/>
        <v>#N/A</v>
      </c>
      <c r="AE46" s="418"/>
      <c r="AF46" s="935">
        <f>Calculation!G49</f>
        <v>675.33787191146575</v>
      </c>
      <c r="AG46" s="941" t="str">
        <f t="shared" si="18"/>
        <v>Yes</v>
      </c>
      <c r="AH46" s="941" t="str">
        <f t="shared" si="19"/>
        <v>Yes</v>
      </c>
      <c r="AI46" s="963">
        <v>2326.8000000034699</v>
      </c>
      <c r="AJ46" s="964">
        <v>686.20000000235109</v>
      </c>
      <c r="AK46" s="964">
        <v>888.80000000278301</v>
      </c>
      <c r="AN46" s="447"/>
      <c r="AO46" s="430"/>
      <c r="AP46" s="652">
        <f>Calculation!BB49*3.068</f>
        <v>0</v>
      </c>
      <c r="AQ46" s="653"/>
      <c r="AR46" s="653"/>
      <c r="AS46" s="654"/>
      <c r="AU46" s="453"/>
      <c r="AV46" s="452"/>
      <c r="AW46" s="453"/>
      <c r="AX46" s="452"/>
      <c r="AY46" s="453"/>
      <c r="AZ46" s="452"/>
      <c r="BA46" s="449"/>
    </row>
    <row r="47" spans="1:53" ht="13.5" thickBot="1">
      <c r="A47" s="425">
        <v>41678</v>
      </c>
      <c r="B47" s="954">
        <f t="shared" si="12"/>
        <v>52.381419999999991</v>
      </c>
      <c r="C47" s="954">
        <f>Calculation!AK50</f>
        <v>0</v>
      </c>
      <c r="D47" s="954">
        <f>Calculation!AI50</f>
        <v>0</v>
      </c>
      <c r="E47" s="954">
        <f>Calculation!AE50</f>
        <v>30.475899999999996</v>
      </c>
      <c r="F47" s="954">
        <f>Calculation!AF50</f>
        <v>21.905519999999999</v>
      </c>
      <c r="G47" s="954">
        <f>Calculation!AG50</f>
        <v>52.381419999999999</v>
      </c>
      <c r="H47" s="955" t="str">
        <f>Sheet1!H52</f>
        <v>o/s</v>
      </c>
      <c r="I47" s="935">
        <f>Sheet1!DA52</f>
        <v>1040</v>
      </c>
      <c r="J47" s="935">
        <f>Sheet1!DB52</f>
        <v>614</v>
      </c>
      <c r="K47" s="935">
        <f>Sheet1!CZ52</f>
        <v>569</v>
      </c>
      <c r="L47" s="959">
        <f>Calculation!F50</f>
        <v>250</v>
      </c>
      <c r="M47" s="959">
        <f>Calculation!E50</f>
        <v>250</v>
      </c>
      <c r="N47" s="959">
        <f>Calculation!D50</f>
        <v>300</v>
      </c>
      <c r="O47" s="985">
        <f>Sheet1!DC52</f>
        <v>1079.2</v>
      </c>
      <c r="P47" s="986" t="e">
        <f>Calculation!FD50</f>
        <v>#N/A</v>
      </c>
      <c r="Q47" s="994">
        <f>Calculation!DP50</f>
        <v>1112.0000000032219</v>
      </c>
      <c r="R47" s="985">
        <f t="shared" si="6"/>
        <v>493.00000000322188</v>
      </c>
      <c r="S47" s="987">
        <f t="shared" si="13"/>
        <v>26.000000000029559</v>
      </c>
      <c r="T47" s="994">
        <f ca="1">IF(A47&gt;$A$1,#N/A,VLOOKUP(A47,Calculation!$B$8:$JF$503,40,FALSE))</f>
        <v>0</v>
      </c>
      <c r="U47" s="987">
        <f t="shared" si="14"/>
        <v>0</v>
      </c>
      <c r="V47" s="987">
        <f>Calculation!AZ50</f>
        <v>0</v>
      </c>
      <c r="W47" s="994">
        <f t="shared" ca="1" si="11"/>
        <v>0</v>
      </c>
      <c r="X47" s="987">
        <v>0</v>
      </c>
      <c r="Y47" s="987">
        <f t="shared" ca="1" si="15"/>
        <v>0</v>
      </c>
      <c r="Z47" s="987">
        <f t="shared" ca="1" si="16"/>
        <v>0</v>
      </c>
      <c r="AA47" s="994">
        <f t="shared" ca="1" si="8"/>
        <v>1112.0000000032219</v>
      </c>
      <c r="AB47" s="1093">
        <f t="shared" ca="1" si="9"/>
        <v>493.00000000322188</v>
      </c>
      <c r="AC47" s="954" t="e">
        <f ca="1">IF(A47&gt;$A$1,#N/A,VLOOKUP(A47,Calculation!$B$8:$JF$503,165,FALSE))</f>
        <v>#N/A</v>
      </c>
      <c r="AD47" s="418" t="e">
        <f t="shared" ca="1" si="17"/>
        <v>#N/A</v>
      </c>
      <c r="AE47" s="418"/>
      <c r="AF47" s="935">
        <f>Calculation!G50</f>
        <v>582.11144730208252</v>
      </c>
      <c r="AG47" s="941" t="str">
        <f t="shared" si="18"/>
        <v>Yes</v>
      </c>
      <c r="AH47" s="941" t="str">
        <f t="shared" si="19"/>
        <v>Yes</v>
      </c>
      <c r="AI47" s="963">
        <v>2174.0000000032232</v>
      </c>
      <c r="AJ47" s="964">
        <v>723.70000000240111</v>
      </c>
      <c r="AK47" s="964">
        <v>1101.6000000031922</v>
      </c>
      <c r="AN47" s="447"/>
      <c r="AO47" s="430"/>
      <c r="AP47" s="652">
        <f>Calculation!BB50*3.068</f>
        <v>0</v>
      </c>
      <c r="AQ47" s="653"/>
      <c r="AR47" s="653"/>
      <c r="AS47" s="654"/>
      <c r="AU47" s="453"/>
      <c r="AV47" s="452"/>
      <c r="AW47" s="453"/>
      <c r="AX47" s="452"/>
      <c r="AY47" s="453"/>
      <c r="AZ47" s="452"/>
      <c r="BA47" s="449"/>
    </row>
    <row r="48" spans="1:53" ht="13.5" thickBot="1">
      <c r="A48" s="425">
        <v>41679</v>
      </c>
      <c r="B48" s="954">
        <f t="shared" si="12"/>
        <v>52.288599999999995</v>
      </c>
      <c r="C48" s="954">
        <f>Calculation!AK51</f>
        <v>0</v>
      </c>
      <c r="D48" s="954">
        <f>Calculation!AI51</f>
        <v>0</v>
      </c>
      <c r="E48" s="954">
        <f>Calculation!AE51</f>
        <v>30.475899999999996</v>
      </c>
      <c r="F48" s="954">
        <f>Calculation!AF51</f>
        <v>21.8127</v>
      </c>
      <c r="G48" s="954">
        <f>Calculation!AG51</f>
        <v>52.288599999999995</v>
      </c>
      <c r="H48" s="955" t="str">
        <f>Sheet1!H53</f>
        <v>o/s</v>
      </c>
      <c r="I48" s="935">
        <f>Sheet1!DA53</f>
        <v>1030</v>
      </c>
      <c r="J48" s="935">
        <f>Sheet1!DB53</f>
        <v>611</v>
      </c>
      <c r="K48" s="935">
        <f>Sheet1!CZ53</f>
        <v>565</v>
      </c>
      <c r="L48" s="959">
        <f>Calculation!F51</f>
        <v>250</v>
      </c>
      <c r="M48" s="959">
        <f>Calculation!E51</f>
        <v>250</v>
      </c>
      <c r="N48" s="959">
        <f>Calculation!D51</f>
        <v>300</v>
      </c>
      <c r="O48" s="985">
        <f>Sheet1!DC53</f>
        <v>1078.9000000000001</v>
      </c>
      <c r="P48" s="986" t="e">
        <f>Calculation!FD51</f>
        <v>#N/A</v>
      </c>
      <c r="Q48" s="994">
        <f>Calculation!DP51</f>
        <v>1074.0000000029468</v>
      </c>
      <c r="R48" s="985">
        <f t="shared" si="6"/>
        <v>455.00000000294676</v>
      </c>
      <c r="S48" s="987">
        <f t="shared" si="13"/>
        <v>-38.000000000275122</v>
      </c>
      <c r="T48" s="994">
        <f ca="1">IF(A48&gt;$A$1,#N/A,VLOOKUP(A48,Calculation!$B$8:$JF$503,40,FALSE))</f>
        <v>0</v>
      </c>
      <c r="U48" s="987">
        <f t="shared" si="14"/>
        <v>0</v>
      </c>
      <c r="V48" s="987">
        <f>Calculation!AZ51</f>
        <v>0</v>
      </c>
      <c r="W48" s="994">
        <f t="shared" ca="1" si="11"/>
        <v>0</v>
      </c>
      <c r="X48" s="987">
        <v>0</v>
      </c>
      <c r="Y48" s="987">
        <f t="shared" ca="1" si="15"/>
        <v>0</v>
      </c>
      <c r="Z48" s="987">
        <f t="shared" ca="1" si="16"/>
        <v>0</v>
      </c>
      <c r="AA48" s="994">
        <f t="shared" ca="1" si="8"/>
        <v>1074.0000000029468</v>
      </c>
      <c r="AB48" s="1093">
        <f t="shared" ca="1" si="9"/>
        <v>455.00000000294676</v>
      </c>
      <c r="AC48" s="954" t="e">
        <f ca="1">IF(A48&gt;$A$1,#N/A,VLOOKUP(A48,Calculation!$B$8:$JF$503,165,FALSE))</f>
        <v>#N/A</v>
      </c>
      <c r="AD48" s="418" t="e">
        <f t="shared" ca="1" si="17"/>
        <v>#N/A</v>
      </c>
      <c r="AE48" s="418"/>
      <c r="AF48" s="935">
        <f>Calculation!G51</f>
        <v>545.83711548145482</v>
      </c>
      <c r="AG48" s="941" t="str">
        <f t="shared" si="18"/>
        <v>Yes</v>
      </c>
      <c r="AH48" s="941" t="str">
        <f t="shared" si="19"/>
        <v>Yes</v>
      </c>
      <c r="AI48" s="963">
        <v>1980.4600000028363</v>
      </c>
      <c r="AJ48" s="964">
        <v>743.40000000242605</v>
      </c>
      <c r="AK48" s="964">
        <v>1307.1000000033991</v>
      </c>
      <c r="AN48" s="447"/>
      <c r="AO48" s="430"/>
      <c r="AP48" s="652">
        <f>Calculation!BB51*3.068</f>
        <v>0</v>
      </c>
      <c r="AQ48" s="653"/>
      <c r="AR48" s="653"/>
      <c r="AS48" s="654"/>
      <c r="AU48" s="453"/>
      <c r="AV48" s="452"/>
      <c r="AW48" s="453"/>
      <c r="AX48" s="452"/>
      <c r="AY48" s="453"/>
      <c r="AZ48" s="452"/>
      <c r="BA48" s="449"/>
    </row>
    <row r="49" spans="1:53" ht="13.5" thickBot="1">
      <c r="A49" s="425">
        <v>41680</v>
      </c>
      <c r="B49" s="954">
        <f t="shared" si="12"/>
        <v>52.443300000000001</v>
      </c>
      <c r="C49" s="954">
        <f>Calculation!AK52</f>
        <v>0</v>
      </c>
      <c r="D49" s="954">
        <f>Calculation!AI52</f>
        <v>0</v>
      </c>
      <c r="E49" s="954">
        <f>Calculation!AE52</f>
        <v>30.630600000000001</v>
      </c>
      <c r="F49" s="954">
        <f>Calculation!AF52</f>
        <v>21.8127</v>
      </c>
      <c r="G49" s="954">
        <f>Calculation!AG52</f>
        <v>52.443299999999994</v>
      </c>
      <c r="H49" s="955" t="str">
        <f>Sheet1!H54</f>
        <v>o/s</v>
      </c>
      <c r="I49" s="935">
        <f>Sheet1!DA54</f>
        <v>1280</v>
      </c>
      <c r="J49" s="935">
        <f>Sheet1!DB54</f>
        <v>724</v>
      </c>
      <c r="K49" s="935">
        <f>Sheet1!CZ54</f>
        <v>679</v>
      </c>
      <c r="L49" s="959">
        <f>Calculation!F52</f>
        <v>250</v>
      </c>
      <c r="M49" s="959">
        <f>Calculation!E52</f>
        <v>250</v>
      </c>
      <c r="N49" s="959">
        <f>Calculation!D52</f>
        <v>300</v>
      </c>
      <c r="O49" s="985">
        <f>Sheet1!DC54</f>
        <v>1077.7</v>
      </c>
      <c r="P49" s="986" t="e">
        <f>Calculation!FD52</f>
        <v>#N/A</v>
      </c>
      <c r="Q49" s="994">
        <f>Calculation!DP52</f>
        <v>926.00000000257614</v>
      </c>
      <c r="R49" s="985">
        <f t="shared" si="6"/>
        <v>307.00000000257614</v>
      </c>
      <c r="S49" s="987">
        <f t="shared" si="13"/>
        <v>-148.00000000037062</v>
      </c>
      <c r="T49" s="994">
        <f ca="1">IF(A49&gt;$A$1,#N/A,VLOOKUP(A49,Calculation!$B$8:$JF$503,40,FALSE))</f>
        <v>0</v>
      </c>
      <c r="U49" s="987">
        <f t="shared" si="14"/>
        <v>0</v>
      </c>
      <c r="V49" s="987">
        <f>Calculation!AZ52</f>
        <v>0</v>
      </c>
      <c r="W49" s="994">
        <f t="shared" ca="1" si="11"/>
        <v>0</v>
      </c>
      <c r="X49" s="987">
        <v>0</v>
      </c>
      <c r="Y49" s="987">
        <f t="shared" ca="1" si="15"/>
        <v>0</v>
      </c>
      <c r="Z49" s="987">
        <f t="shared" ca="1" si="16"/>
        <v>0</v>
      </c>
      <c r="AA49" s="994">
        <f t="shared" ca="1" si="8"/>
        <v>926.00000000257614</v>
      </c>
      <c r="AB49" s="1093">
        <f t="shared" ca="1" si="9"/>
        <v>307.00000000257614</v>
      </c>
      <c r="AC49" s="954" t="e">
        <f ca="1">IF(A49&gt;$A$1,#N/A,VLOOKUP(A49,Calculation!$B$8:$JF$503,165,FALSE))</f>
        <v>#N/A</v>
      </c>
      <c r="AD49" s="418" t="e">
        <f t="shared" ca="1" si="17"/>
        <v>#N/A</v>
      </c>
      <c r="AE49" s="418"/>
      <c r="AF49" s="935">
        <f>Calculation!G52</f>
        <v>604.36560766496689</v>
      </c>
      <c r="AG49" s="941" t="str">
        <f t="shared" si="18"/>
        <v>Yes</v>
      </c>
      <c r="AH49" s="941" t="str">
        <f t="shared" si="19"/>
        <v>Yes</v>
      </c>
      <c r="AI49" s="963">
        <v>1971.6400000028361</v>
      </c>
      <c r="AJ49" s="964">
        <v>769.70000000242612</v>
      </c>
      <c r="AK49" s="964">
        <v>1190.000000003281</v>
      </c>
      <c r="AN49" s="447"/>
      <c r="AO49" s="430"/>
      <c r="AP49" s="652">
        <f>Calculation!BB52*3.068</f>
        <v>0</v>
      </c>
      <c r="AQ49" s="653"/>
      <c r="AR49" s="653"/>
      <c r="AS49" s="654"/>
      <c r="AU49" s="453"/>
      <c r="AV49" s="452"/>
      <c r="AW49" s="453"/>
      <c r="AX49" s="452"/>
      <c r="AY49" s="453"/>
      <c r="AZ49" s="452"/>
      <c r="BA49" s="449"/>
    </row>
    <row r="50" spans="1:53" ht="13.5" thickBot="1">
      <c r="A50" s="425">
        <v>41681</v>
      </c>
      <c r="B50" s="954">
        <f t="shared" si="12"/>
        <v>52.41236</v>
      </c>
      <c r="C50" s="954">
        <f>Calculation!AK53</f>
        <v>0</v>
      </c>
      <c r="D50" s="954">
        <f>Calculation!AI53</f>
        <v>0</v>
      </c>
      <c r="E50" s="954">
        <f>Calculation!AE53</f>
        <v>30.59966</v>
      </c>
      <c r="F50" s="954">
        <f>Calculation!AF53</f>
        <v>21.8127</v>
      </c>
      <c r="G50" s="954">
        <f>Calculation!AG53</f>
        <v>52.41236</v>
      </c>
      <c r="H50" s="955" t="str">
        <f>Sheet1!H55</f>
        <v>o/s</v>
      </c>
      <c r="I50" s="935">
        <f>Sheet1!DA55</f>
        <v>1400</v>
      </c>
      <c r="J50" s="935">
        <f>Sheet1!DB55</f>
        <v>808</v>
      </c>
      <c r="K50" s="935">
        <f>Sheet1!CZ55</f>
        <v>749</v>
      </c>
      <c r="L50" s="959">
        <f>Calculation!F53</f>
        <v>250</v>
      </c>
      <c r="M50" s="959">
        <f>Calculation!E53</f>
        <v>250</v>
      </c>
      <c r="N50" s="959">
        <f>Calculation!D53</f>
        <v>300</v>
      </c>
      <c r="O50" s="985">
        <f>Sheet1!DC55</f>
        <v>1078.02</v>
      </c>
      <c r="P50" s="986" t="e">
        <f>Calculation!FD53</f>
        <v>#N/A</v>
      </c>
      <c r="Q50" s="994">
        <f>Calculation!DP53</f>
        <v>963.60000000307411</v>
      </c>
      <c r="R50" s="985">
        <f t="shared" si="6"/>
        <v>344.60000000307411</v>
      </c>
      <c r="S50" s="987">
        <f t="shared" si="13"/>
        <v>37.600000000497971</v>
      </c>
      <c r="T50" s="994">
        <f ca="1">IF(A50&gt;$A$1,#N/A,VLOOKUP(A50,Calculation!$B$8:$JF$503,40,FALSE))</f>
        <v>0</v>
      </c>
      <c r="U50" s="987">
        <f t="shared" si="14"/>
        <v>0</v>
      </c>
      <c r="V50" s="987">
        <f>Calculation!AZ53</f>
        <v>0</v>
      </c>
      <c r="W50" s="994">
        <f t="shared" ca="1" si="11"/>
        <v>0</v>
      </c>
      <c r="X50" s="987">
        <v>0</v>
      </c>
      <c r="Y50" s="987">
        <f t="shared" ca="1" si="15"/>
        <v>0</v>
      </c>
      <c r="Z50" s="987">
        <f t="shared" ca="1" si="16"/>
        <v>0</v>
      </c>
      <c r="AA50" s="994">
        <f t="shared" ca="1" si="8"/>
        <v>963.60000000307411</v>
      </c>
      <c r="AB50" s="1093">
        <f t="shared" ca="1" si="9"/>
        <v>344.60000000307411</v>
      </c>
      <c r="AC50" s="954" t="e">
        <f ca="1">IF(A50&gt;$A$1,#N/A,VLOOKUP(A50,Calculation!$B$8:$JF$503,165,FALSE))</f>
        <v>#N/A</v>
      </c>
      <c r="AD50" s="418" t="e">
        <f t="shared" ca="1" si="17"/>
        <v>#N/A</v>
      </c>
      <c r="AE50" s="418"/>
      <c r="AF50" s="935">
        <f>Calculation!G53</f>
        <v>767.96116994477961</v>
      </c>
      <c r="AG50" s="941" t="str">
        <f t="shared" si="18"/>
        <v>Yes</v>
      </c>
      <c r="AH50" s="941" t="str">
        <f t="shared" si="19"/>
        <v>Yes</v>
      </c>
      <c r="AI50" s="963">
        <v>1989.2800000028362</v>
      </c>
      <c r="AJ50" s="964">
        <v>874.40000000275575</v>
      </c>
      <c r="AK50" s="964">
        <v>825.60000000247612</v>
      </c>
      <c r="AN50" s="447"/>
      <c r="AO50" s="430"/>
      <c r="AP50" s="652">
        <f>Calculation!BB53*3.068</f>
        <v>0</v>
      </c>
      <c r="AQ50" s="653"/>
      <c r="AR50" s="653"/>
      <c r="AS50" s="654"/>
      <c r="AU50" s="453"/>
      <c r="AV50" s="452"/>
      <c r="AW50" s="453"/>
      <c r="AX50" s="452"/>
      <c r="AY50" s="453"/>
      <c r="AZ50" s="452"/>
      <c r="BA50" s="449"/>
    </row>
    <row r="51" spans="1:53" ht="13.5" thickBot="1">
      <c r="A51" s="425">
        <v>41682</v>
      </c>
      <c r="B51" s="954">
        <f t="shared" si="12"/>
        <v>51.700739999999996</v>
      </c>
      <c r="C51" s="954">
        <f>Calculation!AK54</f>
        <v>0</v>
      </c>
      <c r="D51" s="954">
        <f>Calculation!AI54</f>
        <v>0</v>
      </c>
      <c r="E51" s="954">
        <f>Calculation!AE54</f>
        <v>32.053839999999994</v>
      </c>
      <c r="F51" s="954">
        <f>Calculation!AF54</f>
        <v>19.646899999999999</v>
      </c>
      <c r="G51" s="954">
        <f>Calculation!AG54</f>
        <v>51.700740000000003</v>
      </c>
      <c r="H51" s="955" t="str">
        <f>Sheet1!H56</f>
        <v>o/s</v>
      </c>
      <c r="I51" s="935">
        <f>Sheet1!DA56</f>
        <v>2100</v>
      </c>
      <c r="J51" s="935">
        <f>Sheet1!DB56</f>
        <v>1460</v>
      </c>
      <c r="K51" s="935">
        <f>Sheet1!CZ56</f>
        <v>1430</v>
      </c>
      <c r="L51" s="959">
        <f>Calculation!F54</f>
        <v>250</v>
      </c>
      <c r="M51" s="959">
        <f>Calculation!E54</f>
        <v>250</v>
      </c>
      <c r="N51" s="959">
        <f>Calculation!D54</f>
        <v>300</v>
      </c>
      <c r="O51" s="985">
        <f>Sheet1!DC56</f>
        <v>1080.3</v>
      </c>
      <c r="P51" s="986" t="e">
        <f>Calculation!FD54</f>
        <v>#N/A</v>
      </c>
      <c r="Q51" s="994">
        <f>Calculation!DP54</f>
        <v>1257.0000000035971</v>
      </c>
      <c r="R51" s="985">
        <f t="shared" si="6"/>
        <v>638.00000000359705</v>
      </c>
      <c r="S51" s="987">
        <f t="shared" si="13"/>
        <v>293.40000000052294</v>
      </c>
      <c r="T51" s="994">
        <f ca="1">IF(A51&gt;$A$1,#N/A,VLOOKUP(A51,Calculation!$B$8:$JF$503,40,FALSE))</f>
        <v>0</v>
      </c>
      <c r="U51" s="987">
        <f t="shared" si="14"/>
        <v>0</v>
      </c>
      <c r="V51" s="987">
        <f>Calculation!AZ54</f>
        <v>0</v>
      </c>
      <c r="W51" s="994">
        <f t="shared" ca="1" si="11"/>
        <v>0</v>
      </c>
      <c r="X51" s="987">
        <v>0</v>
      </c>
      <c r="Y51" s="987">
        <f t="shared" ca="1" si="15"/>
        <v>0</v>
      </c>
      <c r="Z51" s="987">
        <f t="shared" ca="1" si="16"/>
        <v>0</v>
      </c>
      <c r="AA51" s="994">
        <f t="shared" ca="1" si="8"/>
        <v>1257.0000000035971</v>
      </c>
      <c r="AB51" s="1093">
        <f t="shared" ca="1" si="9"/>
        <v>638.00000000359705</v>
      </c>
      <c r="AC51" s="954" t="e">
        <f ca="1">IF(A51&gt;$A$1,#N/A,VLOOKUP(A51,Calculation!$B$8:$JF$503,165,FALSE))</f>
        <v>#N/A</v>
      </c>
      <c r="AD51" s="418" t="e">
        <f t="shared" ca="1" si="17"/>
        <v>#N/A</v>
      </c>
      <c r="AE51" s="418"/>
      <c r="AF51" s="935">
        <f>Calculation!G54</f>
        <v>1577.9576399397492</v>
      </c>
      <c r="AG51" s="941" t="str">
        <f t="shared" si="18"/>
        <v>Yes</v>
      </c>
      <c r="AH51" s="941" t="str">
        <f t="shared" si="19"/>
        <v>Yes</v>
      </c>
      <c r="AI51" s="963">
        <v>2010.700000002865</v>
      </c>
      <c r="AJ51" s="964">
        <v>929.3000000025761</v>
      </c>
      <c r="AK51" s="964">
        <v>673.00000000235104</v>
      </c>
      <c r="AN51" s="447"/>
      <c r="AO51" s="430"/>
      <c r="AP51" s="652">
        <f>Calculation!BB54*3.068</f>
        <v>0</v>
      </c>
      <c r="AQ51" s="653"/>
      <c r="AR51" s="653"/>
      <c r="AS51" s="654"/>
      <c r="AU51" s="453"/>
      <c r="AV51" s="452"/>
      <c r="AW51" s="453"/>
      <c r="AX51" s="452"/>
      <c r="AY51" s="453"/>
      <c r="AZ51" s="452"/>
      <c r="BA51" s="449"/>
    </row>
    <row r="52" spans="1:53" ht="13.5" thickBot="1">
      <c r="A52" s="425">
        <v>41683</v>
      </c>
      <c r="B52" s="954">
        <f t="shared" si="12"/>
        <v>49.039899999999996</v>
      </c>
      <c r="C52" s="954">
        <f>Calculation!AK55</f>
        <v>0</v>
      </c>
      <c r="D52" s="954">
        <f>Calculation!AI55</f>
        <v>0</v>
      </c>
      <c r="E52" s="954">
        <f>Calculation!AE55</f>
        <v>36.199799999999996</v>
      </c>
      <c r="F52" s="954">
        <f>Calculation!AF55</f>
        <v>12.840100000000001</v>
      </c>
      <c r="G52" s="954">
        <f>Calculation!AG55</f>
        <v>49.039899999999996</v>
      </c>
      <c r="H52" s="955" t="str">
        <f>Sheet1!H57</f>
        <v>o/s</v>
      </c>
      <c r="I52" s="935">
        <f>Sheet1!DA57</f>
        <v>2610</v>
      </c>
      <c r="J52" s="935">
        <f>Sheet1!DB57</f>
        <v>1910</v>
      </c>
      <c r="K52" s="935">
        <f>Sheet1!CZ57</f>
        <v>1900</v>
      </c>
      <c r="L52" s="959">
        <f>Calculation!F55</f>
        <v>250</v>
      </c>
      <c r="M52" s="959">
        <f>Calculation!E55</f>
        <v>250</v>
      </c>
      <c r="N52" s="959">
        <f>Calculation!D55</f>
        <v>300</v>
      </c>
      <c r="O52" s="985">
        <f>Sheet1!DC57</f>
        <v>1080.6099999999999</v>
      </c>
      <c r="P52" s="986" t="e">
        <f>Calculation!FD55</f>
        <v>#N/A</v>
      </c>
      <c r="Q52" s="994">
        <f>Calculation!DP55</f>
        <v>1299.3000000033696</v>
      </c>
      <c r="R52" s="985">
        <f t="shared" si="6"/>
        <v>680.30000000336963</v>
      </c>
      <c r="S52" s="987">
        <f t="shared" si="13"/>
        <v>42.299999999772581</v>
      </c>
      <c r="T52" s="994">
        <f ca="1">IF(A52&gt;$A$1,#N/A,VLOOKUP(A52,Calculation!$B$8:$JF$503,40,FALSE))</f>
        <v>0</v>
      </c>
      <c r="U52" s="987">
        <f t="shared" si="14"/>
        <v>0</v>
      </c>
      <c r="V52" s="987">
        <f>Calculation!AZ55</f>
        <v>0</v>
      </c>
      <c r="W52" s="994">
        <f t="shared" ca="1" si="11"/>
        <v>0</v>
      </c>
      <c r="X52" s="987">
        <v>0</v>
      </c>
      <c r="Y52" s="987">
        <f t="shared" ca="1" si="15"/>
        <v>0</v>
      </c>
      <c r="Z52" s="987">
        <f t="shared" ca="1" si="16"/>
        <v>0</v>
      </c>
      <c r="AA52" s="994">
        <f t="shared" ca="1" si="8"/>
        <v>1299.3000000033696</v>
      </c>
      <c r="AB52" s="1093">
        <f t="shared" ca="1" si="9"/>
        <v>680.30000000336963</v>
      </c>
      <c r="AC52" s="954" t="e">
        <f ca="1">IF(A52&gt;$A$1,#N/A,VLOOKUP(A52,Calculation!$B$8:$JF$503,165,FALSE))</f>
        <v>#N/A</v>
      </c>
      <c r="AD52" s="418" t="e">
        <f t="shared" ca="1" si="17"/>
        <v>#N/A</v>
      </c>
      <c r="AE52" s="418"/>
      <c r="AF52" s="935">
        <f>Calculation!G55</f>
        <v>1921.3313161874798</v>
      </c>
      <c r="AG52" s="941" t="str">
        <f t="shared" si="18"/>
        <v>Yes</v>
      </c>
      <c r="AH52" s="941" t="str">
        <f t="shared" si="19"/>
        <v>Yes</v>
      </c>
      <c r="AI52" s="963">
        <v>2155.1000000031922</v>
      </c>
      <c r="AJ52" s="964">
        <v>836.00000000272848</v>
      </c>
      <c r="AK52" s="964">
        <v>1062.3000000031627</v>
      </c>
      <c r="AN52" s="447"/>
      <c r="AO52" s="430"/>
      <c r="AP52" s="652">
        <f>Calculation!BB55*3.068</f>
        <v>0</v>
      </c>
      <c r="AQ52" s="653"/>
      <c r="AR52" s="653"/>
      <c r="AS52" s="654"/>
      <c r="AU52" s="453"/>
      <c r="AV52" s="452"/>
      <c r="AW52" s="453"/>
      <c r="AX52" s="452"/>
      <c r="AY52" s="453"/>
      <c r="AZ52" s="452"/>
      <c r="BA52" s="449"/>
    </row>
    <row r="53" spans="1:53" ht="13.5" thickBot="1">
      <c r="A53" s="425">
        <v>41684</v>
      </c>
      <c r="B53" s="954">
        <f t="shared" si="12"/>
        <v>49.9681</v>
      </c>
      <c r="C53" s="954">
        <f>Calculation!AK56</f>
        <v>0</v>
      </c>
      <c r="D53" s="954">
        <f>Calculation!AI56</f>
        <v>0</v>
      </c>
      <c r="E53" s="954">
        <f>Calculation!AE56</f>
        <v>36.5092</v>
      </c>
      <c r="F53" s="954">
        <f>Calculation!AF56</f>
        <v>13.458899999999998</v>
      </c>
      <c r="G53" s="954">
        <f>Calculation!AG56</f>
        <v>49.968099999999993</v>
      </c>
      <c r="H53" s="955" t="str">
        <f>Sheet1!H58</f>
        <v>o/s</v>
      </c>
      <c r="I53" s="935">
        <f>Sheet1!DA58</f>
        <v>2600</v>
      </c>
      <c r="J53" s="935">
        <f>Sheet1!DB58</f>
        <v>1840</v>
      </c>
      <c r="K53" s="935">
        <f>Sheet1!CZ58</f>
        <v>1840</v>
      </c>
      <c r="L53" s="959">
        <f>Calculation!F56</f>
        <v>250</v>
      </c>
      <c r="M53" s="959">
        <f>Calculation!E56</f>
        <v>250</v>
      </c>
      <c r="N53" s="959">
        <f>Calculation!D56</f>
        <v>300</v>
      </c>
      <c r="O53" s="985">
        <f>Sheet1!DC58</f>
        <v>1078.2</v>
      </c>
      <c r="P53" s="986" t="e">
        <f>Calculation!FD56</f>
        <v>#N/A</v>
      </c>
      <c r="Q53" s="994">
        <f>Calculation!DP56</f>
        <v>986.00000000310365</v>
      </c>
      <c r="R53" s="985">
        <f t="shared" si="6"/>
        <v>367.00000000310365</v>
      </c>
      <c r="S53" s="987">
        <f t="shared" si="13"/>
        <v>-313.30000000026598</v>
      </c>
      <c r="T53" s="994">
        <f ca="1">IF(A53&gt;$A$1,#N/A,VLOOKUP(A53,Calculation!$B$8:$JF$503,40,FALSE))</f>
        <v>0</v>
      </c>
      <c r="U53" s="987">
        <f t="shared" si="14"/>
        <v>0</v>
      </c>
      <c r="V53" s="987">
        <f>Calculation!AZ56</f>
        <v>0</v>
      </c>
      <c r="W53" s="994">
        <f t="shared" ca="1" si="11"/>
        <v>0</v>
      </c>
      <c r="X53" s="987">
        <v>0</v>
      </c>
      <c r="Y53" s="987">
        <f t="shared" ca="1" si="15"/>
        <v>0</v>
      </c>
      <c r="Z53" s="987">
        <f t="shared" ca="1" si="16"/>
        <v>0</v>
      </c>
      <c r="AA53" s="994">
        <f t="shared" ca="1" si="8"/>
        <v>986.00000000310365</v>
      </c>
      <c r="AB53" s="1093">
        <f t="shared" ca="1" si="9"/>
        <v>367.00000000310365</v>
      </c>
      <c r="AC53" s="954" t="e">
        <f ca="1">IF(A53&gt;$A$1,#N/A,VLOOKUP(A53,Calculation!$B$8:$JF$503,165,FALSE))</f>
        <v>#N/A</v>
      </c>
      <c r="AD53" s="418" t="e">
        <f t="shared" ca="1" si="17"/>
        <v>#N/A</v>
      </c>
      <c r="AE53" s="418"/>
      <c r="AF53" s="935">
        <f>Calculation!G56</f>
        <v>1682.0070600099516</v>
      </c>
      <c r="AG53" s="941" t="str">
        <f t="shared" si="18"/>
        <v>Yes</v>
      </c>
      <c r="AH53" s="941" t="str">
        <f t="shared" si="19"/>
        <v>Yes</v>
      </c>
      <c r="AI53" s="963">
        <v>2117.1000000030444</v>
      </c>
      <c r="AJ53" s="964">
        <v>746.70000000242612</v>
      </c>
      <c r="AK53" s="964">
        <v>1099.0000000031923</v>
      </c>
      <c r="AN53" s="447"/>
      <c r="AO53" s="430"/>
      <c r="AP53" s="652">
        <f>Calculation!BB56*3.068</f>
        <v>0</v>
      </c>
      <c r="AQ53" s="653"/>
      <c r="AR53" s="653"/>
      <c r="AS53" s="654"/>
      <c r="AU53" s="453"/>
      <c r="AV53" s="452"/>
      <c r="AW53" s="453"/>
      <c r="AX53" s="452"/>
      <c r="AY53" s="453"/>
      <c r="AZ53" s="452"/>
      <c r="BA53" s="449"/>
    </row>
    <row r="54" spans="1:53" ht="13.5" thickBot="1">
      <c r="A54" s="425">
        <v>41685</v>
      </c>
      <c r="B54" s="954">
        <f t="shared" si="12"/>
        <v>52.072019999999995</v>
      </c>
      <c r="C54" s="954">
        <f>Calculation!AK57</f>
        <v>0</v>
      </c>
      <c r="D54" s="954">
        <f>Calculation!AI57</f>
        <v>0</v>
      </c>
      <c r="E54" s="954">
        <f>Calculation!AE57</f>
        <v>36.663899999999998</v>
      </c>
      <c r="F54" s="954">
        <f>Calculation!AF57</f>
        <v>15.40812</v>
      </c>
      <c r="G54" s="954">
        <f>Calculation!AG57</f>
        <v>52.072019999999995</v>
      </c>
      <c r="H54" s="955" t="str">
        <f>Sheet1!H59</f>
        <v>o/s</v>
      </c>
      <c r="I54" s="935">
        <f>Sheet1!DA59</f>
        <v>2310</v>
      </c>
      <c r="J54" s="935">
        <f>Sheet1!DB59</f>
        <v>1490</v>
      </c>
      <c r="K54" s="935">
        <f>Sheet1!CZ59</f>
        <v>1460</v>
      </c>
      <c r="L54" s="959">
        <f>Calculation!F57</f>
        <v>250</v>
      </c>
      <c r="M54" s="959">
        <f>Calculation!E57</f>
        <v>250</v>
      </c>
      <c r="N54" s="959">
        <f>Calculation!D57</f>
        <v>300</v>
      </c>
      <c r="O54" s="985">
        <f>Sheet1!DC59</f>
        <v>1078.8</v>
      </c>
      <c r="P54" s="986" t="e">
        <f>Calculation!FD57</f>
        <v>#N/A</v>
      </c>
      <c r="Q54" s="994">
        <f>Calculation!DP57</f>
        <v>1061.0000000031628</v>
      </c>
      <c r="R54" s="985">
        <f t="shared" si="6"/>
        <v>442.00000000316277</v>
      </c>
      <c r="S54" s="987">
        <f t="shared" si="13"/>
        <v>75.000000000059117</v>
      </c>
      <c r="T54" s="994">
        <f ca="1">IF(A54&gt;$A$1,#N/A,VLOOKUP(A54,Calculation!$B$8:$JF$503,40,FALSE))</f>
        <v>0</v>
      </c>
      <c r="U54" s="987">
        <f t="shared" si="14"/>
        <v>0</v>
      </c>
      <c r="V54" s="987">
        <f>Calculation!AZ57</f>
        <v>0</v>
      </c>
      <c r="W54" s="994">
        <f t="shared" ca="1" si="11"/>
        <v>0</v>
      </c>
      <c r="X54" s="987">
        <v>0</v>
      </c>
      <c r="Y54" s="987">
        <f t="shared" ca="1" si="15"/>
        <v>0</v>
      </c>
      <c r="Z54" s="987">
        <f t="shared" ca="1" si="16"/>
        <v>0</v>
      </c>
      <c r="AA54" s="994">
        <f t="shared" ca="1" si="8"/>
        <v>1061.0000000031628</v>
      </c>
      <c r="AB54" s="1093">
        <f t="shared" ca="1" si="9"/>
        <v>442.00000000316277</v>
      </c>
      <c r="AC54" s="954" t="e">
        <f ca="1">IF(A54&gt;$A$1,#N/A,VLOOKUP(A54,Calculation!$B$8:$JF$503,165,FALSE))</f>
        <v>#N/A</v>
      </c>
      <c r="AD54" s="418" t="e">
        <f t="shared" ca="1" si="17"/>
        <v>#N/A</v>
      </c>
      <c r="AE54" s="418"/>
      <c r="AF54" s="935">
        <f>Calculation!G57</f>
        <v>1497.8214826021479</v>
      </c>
      <c r="AG54" s="941" t="str">
        <f t="shared" si="18"/>
        <v>Yes</v>
      </c>
      <c r="AH54" s="941" t="str">
        <f t="shared" si="19"/>
        <v>Yes</v>
      </c>
      <c r="AI54" s="963">
        <v>2106.7000000030444</v>
      </c>
      <c r="AJ54" s="964">
        <v>728.20000000261939</v>
      </c>
      <c r="AK54" s="964">
        <v>1139.3000000032514</v>
      </c>
      <c r="AN54" s="447"/>
      <c r="AO54" s="430"/>
      <c r="AP54" s="652">
        <f>Calculation!BB57*3.068</f>
        <v>0</v>
      </c>
      <c r="AQ54" s="653"/>
      <c r="AR54" s="653"/>
      <c r="AS54" s="654"/>
      <c r="AU54" s="453"/>
      <c r="AV54" s="452"/>
      <c r="AW54" s="453"/>
      <c r="AX54" s="452"/>
      <c r="AY54" s="453"/>
      <c r="AZ54" s="452"/>
      <c r="BA54" s="449"/>
    </row>
    <row r="55" spans="1:53" ht="13.5" thickBot="1">
      <c r="A55" s="425">
        <v>41686</v>
      </c>
      <c r="B55" s="954">
        <f t="shared" si="12"/>
        <v>51.886380000000003</v>
      </c>
      <c r="C55" s="954">
        <f>Calculation!AK58</f>
        <v>0</v>
      </c>
      <c r="D55" s="954">
        <f>Calculation!AI58</f>
        <v>0</v>
      </c>
      <c r="E55" s="954">
        <f>Calculation!AE58</f>
        <v>36.5092</v>
      </c>
      <c r="F55" s="954">
        <f>Calculation!AF58</f>
        <v>15.377179999999999</v>
      </c>
      <c r="G55" s="954">
        <f>Calculation!AG58</f>
        <v>51.886379999999996</v>
      </c>
      <c r="H55" s="955" t="str">
        <f>Sheet1!H60</f>
        <v>o/s</v>
      </c>
      <c r="I55" s="935">
        <f>Sheet1!DA60</f>
        <v>2470</v>
      </c>
      <c r="J55" s="935">
        <f>Sheet1!DB60</f>
        <v>1570</v>
      </c>
      <c r="K55" s="935">
        <f>Sheet1!CZ60</f>
        <v>1490</v>
      </c>
      <c r="L55" s="959">
        <f>Calculation!F58</f>
        <v>250</v>
      </c>
      <c r="M55" s="959">
        <f>Calculation!E58</f>
        <v>250</v>
      </c>
      <c r="N55" s="959">
        <f>Calculation!D58</f>
        <v>300</v>
      </c>
      <c r="O55" s="985">
        <f>Sheet1!DC60</f>
        <v>1080</v>
      </c>
      <c r="P55" s="986" t="e">
        <f>Calculation!FD58</f>
        <v>#N/A</v>
      </c>
      <c r="Q55" s="994">
        <f>Calculation!DP58</f>
        <v>1216.0000000035652</v>
      </c>
      <c r="R55" s="985">
        <f t="shared" si="6"/>
        <v>597.00000000356522</v>
      </c>
      <c r="S55" s="987">
        <f t="shared" si="13"/>
        <v>155.00000000040245</v>
      </c>
      <c r="T55" s="994">
        <f ca="1">IF(A55&gt;$A$1,#N/A,VLOOKUP(A55,Calculation!$B$8:$JF$503,40,FALSE))</f>
        <v>0</v>
      </c>
      <c r="U55" s="987">
        <f t="shared" si="14"/>
        <v>0</v>
      </c>
      <c r="V55" s="987">
        <f>Calculation!AZ58</f>
        <v>0</v>
      </c>
      <c r="W55" s="994">
        <f t="shared" ca="1" si="11"/>
        <v>0</v>
      </c>
      <c r="X55" s="987">
        <v>0</v>
      </c>
      <c r="Y55" s="987">
        <f t="shared" ca="1" si="15"/>
        <v>0</v>
      </c>
      <c r="Z55" s="987">
        <f t="shared" ca="1" si="16"/>
        <v>0</v>
      </c>
      <c r="AA55" s="994">
        <f t="shared" ca="1" si="8"/>
        <v>1216.0000000035652</v>
      </c>
      <c r="AB55" s="1093">
        <f t="shared" ca="1" si="9"/>
        <v>597.00000000356522</v>
      </c>
      <c r="AC55" s="954" t="e">
        <f ca="1">IF(A55&gt;$A$1,#N/A,VLOOKUP(A55,Calculation!$B$8:$JF$503,165,FALSE))</f>
        <v>#N/A</v>
      </c>
      <c r="AD55" s="418" t="e">
        <f t="shared" ca="1" si="17"/>
        <v>#N/A</v>
      </c>
      <c r="AE55" s="418"/>
      <c r="AF55" s="935">
        <f>Calculation!G58</f>
        <v>1568.1643973779135</v>
      </c>
      <c r="AG55" s="941" t="str">
        <f t="shared" si="18"/>
        <v>Yes</v>
      </c>
      <c r="AH55" s="941" t="str">
        <f t="shared" si="19"/>
        <v>Yes</v>
      </c>
      <c r="AI55" s="963">
        <v>2043.0000000029854</v>
      </c>
      <c r="AJ55" s="964">
        <v>758.40000000264661</v>
      </c>
      <c r="AK55" s="964">
        <v>1323.6000000036606</v>
      </c>
      <c r="AN55" s="447"/>
      <c r="AO55" s="430"/>
      <c r="AP55" s="652">
        <f>Calculation!BB58*3.068</f>
        <v>0</v>
      </c>
      <c r="AQ55" s="653"/>
      <c r="AR55" s="653"/>
      <c r="AS55" s="654"/>
      <c r="AU55" s="453"/>
      <c r="AV55" s="452"/>
      <c r="AW55" s="453"/>
      <c r="AX55" s="452"/>
      <c r="AY55" s="453"/>
      <c r="AZ55" s="452"/>
      <c r="BA55" s="449"/>
    </row>
    <row r="56" spans="1:53" ht="13.5" thickBot="1">
      <c r="A56" s="425">
        <v>41687</v>
      </c>
      <c r="B56" s="954">
        <f t="shared" si="12"/>
        <v>51.994669999999999</v>
      </c>
      <c r="C56" s="954">
        <f>Calculation!AK59</f>
        <v>0</v>
      </c>
      <c r="D56" s="954">
        <f>Calculation!AI59</f>
        <v>0</v>
      </c>
      <c r="E56" s="954">
        <f>Calculation!AE59</f>
        <v>36.52467</v>
      </c>
      <c r="F56" s="954">
        <f>Calculation!AF59</f>
        <v>15.469999999999999</v>
      </c>
      <c r="G56" s="954">
        <f>Calculation!AG59</f>
        <v>51.994669999999999</v>
      </c>
      <c r="H56" s="955" t="str">
        <f>Sheet1!H61</f>
        <v>o/s</v>
      </c>
      <c r="I56" s="935">
        <f>Sheet1!DA61</f>
        <v>3680</v>
      </c>
      <c r="J56" s="935">
        <f>Sheet1!DB61</f>
        <v>1940</v>
      </c>
      <c r="K56" s="935">
        <f>Sheet1!CZ61</f>
        <v>1840</v>
      </c>
      <c r="L56" s="959">
        <f>Calculation!F59</f>
        <v>250</v>
      </c>
      <c r="M56" s="959">
        <f>Calculation!E59</f>
        <v>250</v>
      </c>
      <c r="N56" s="959">
        <f>Calculation!D59</f>
        <v>300</v>
      </c>
      <c r="O56" s="985">
        <f>Sheet1!DC61</f>
        <v>1081.4000000000001</v>
      </c>
      <c r="P56" s="986" t="e">
        <f>Calculation!FD59</f>
        <v>#N/A</v>
      </c>
      <c r="Q56" s="994">
        <f>Calculation!DP59</f>
        <v>1409.0000000037562</v>
      </c>
      <c r="R56" s="985">
        <f t="shared" si="6"/>
        <v>790.00000000375621</v>
      </c>
      <c r="S56" s="987">
        <f t="shared" si="13"/>
        <v>193.00000000019099</v>
      </c>
      <c r="T56" s="994">
        <f ca="1">IF(A56&gt;$A$1,#N/A,VLOOKUP(A56,Calculation!$B$8:$JF$503,40,FALSE))</f>
        <v>0</v>
      </c>
      <c r="U56" s="987">
        <f t="shared" si="14"/>
        <v>0</v>
      </c>
      <c r="V56" s="987">
        <f>Calculation!AZ59</f>
        <v>0</v>
      </c>
      <c r="W56" s="994">
        <f t="shared" ca="1" si="11"/>
        <v>0</v>
      </c>
      <c r="X56" s="987">
        <v>0</v>
      </c>
      <c r="Y56" s="987">
        <f t="shared" ca="1" si="15"/>
        <v>0</v>
      </c>
      <c r="Z56" s="987">
        <f t="shared" ca="1" si="16"/>
        <v>0</v>
      </c>
      <c r="AA56" s="994">
        <f t="shared" ca="1" si="8"/>
        <v>1409.0000000037562</v>
      </c>
      <c r="AB56" s="1093">
        <f t="shared" ca="1" si="9"/>
        <v>790.00000000375621</v>
      </c>
      <c r="AC56" s="954" t="e">
        <f ca="1">IF(A56&gt;$A$1,#N/A,VLOOKUP(A56,Calculation!$B$8:$JF$503,165,FALSE))</f>
        <v>#N/A</v>
      </c>
      <c r="AD56" s="418" t="e">
        <f t="shared" ca="1" si="17"/>
        <v>#N/A</v>
      </c>
      <c r="AE56" s="418"/>
      <c r="AF56" s="935">
        <f>Calculation!G59</f>
        <v>1937.3272818962132</v>
      </c>
      <c r="AG56" s="941" t="str">
        <f t="shared" si="18"/>
        <v>Yes</v>
      </c>
      <c r="AH56" s="941" t="str">
        <f t="shared" si="19"/>
        <v>Yes</v>
      </c>
      <c r="AI56" s="963">
        <v>2020.9000000029559</v>
      </c>
      <c r="AJ56" s="964">
        <v>845.60000000272851</v>
      </c>
      <c r="AK56" s="964">
        <v>1421.6000000037561</v>
      </c>
      <c r="AN56" s="447"/>
      <c r="AO56" s="430"/>
      <c r="AP56" s="652">
        <f>Calculation!BB59*3.068</f>
        <v>0</v>
      </c>
      <c r="AQ56" s="653"/>
      <c r="AR56" s="653"/>
      <c r="AS56" s="654"/>
      <c r="AU56" s="453"/>
      <c r="AV56" s="452"/>
      <c r="AW56" s="453"/>
      <c r="AX56" s="452"/>
      <c r="AY56" s="453"/>
      <c r="AZ56" s="452"/>
      <c r="BA56" s="449"/>
    </row>
    <row r="57" spans="1:53" ht="13.5" thickBot="1">
      <c r="A57" s="425">
        <v>41688</v>
      </c>
      <c r="B57" s="954">
        <f t="shared" si="12"/>
        <v>51.80903</v>
      </c>
      <c r="C57" s="954">
        <f>Calculation!AK60</f>
        <v>0</v>
      </c>
      <c r="D57" s="954">
        <f>Calculation!AI60</f>
        <v>0</v>
      </c>
      <c r="E57" s="954">
        <f>Calculation!AE60</f>
        <v>36.493729999999999</v>
      </c>
      <c r="F57" s="954">
        <f>Calculation!AF60</f>
        <v>15.315300000000001</v>
      </c>
      <c r="G57" s="954">
        <f>Calculation!AG60</f>
        <v>51.80903</v>
      </c>
      <c r="H57" s="955" t="str">
        <f>Sheet1!H62</f>
        <v>o/s</v>
      </c>
      <c r="I57" s="935">
        <f>Sheet1!DA62</f>
        <v>3830</v>
      </c>
      <c r="J57" s="935">
        <f>Sheet1!DB62</f>
        <v>2130</v>
      </c>
      <c r="K57" s="935">
        <f>Sheet1!CZ62</f>
        <v>1980</v>
      </c>
      <c r="L57" s="959">
        <f>Calculation!F60</f>
        <v>250</v>
      </c>
      <c r="M57" s="959">
        <f>Calculation!E60</f>
        <v>250</v>
      </c>
      <c r="N57" s="959">
        <f>Calculation!D60</f>
        <v>300</v>
      </c>
      <c r="O57" s="985">
        <f>Sheet1!DC62</f>
        <v>1080.99</v>
      </c>
      <c r="P57" s="986" t="e">
        <f>Calculation!FD60</f>
        <v>#N/A</v>
      </c>
      <c r="Q57" s="994">
        <f>Calculation!DP60</f>
        <v>1350.7000000034288</v>
      </c>
      <c r="R57" s="985">
        <f t="shared" si="6"/>
        <v>731.70000000342884</v>
      </c>
      <c r="S57" s="987">
        <f t="shared" si="13"/>
        <v>-58.300000000327373</v>
      </c>
      <c r="T57" s="994">
        <f ca="1">IF(A57&gt;$A$1,#N/A,VLOOKUP(A57,Calculation!$B$8:$JF$503,40,FALSE))</f>
        <v>0</v>
      </c>
      <c r="U57" s="987">
        <f t="shared" si="14"/>
        <v>0</v>
      </c>
      <c r="V57" s="987">
        <f>Calculation!AZ60</f>
        <v>0</v>
      </c>
      <c r="W57" s="994">
        <f t="shared" ca="1" si="11"/>
        <v>0</v>
      </c>
      <c r="X57" s="987">
        <v>0</v>
      </c>
      <c r="Y57" s="987">
        <f t="shared" ca="1" si="15"/>
        <v>0</v>
      </c>
      <c r="Z57" s="987">
        <f t="shared" ca="1" si="16"/>
        <v>0</v>
      </c>
      <c r="AA57" s="994">
        <f t="shared" ca="1" si="8"/>
        <v>1350.7000000034288</v>
      </c>
      <c r="AB57" s="1093">
        <f t="shared" ca="1" si="9"/>
        <v>731.70000000342884</v>
      </c>
      <c r="AC57" s="954" t="e">
        <f ca="1">IF(A57&gt;$A$1,#N/A,VLOOKUP(A57,Calculation!$B$8:$JF$503,165,FALSE))</f>
        <v>#N/A</v>
      </c>
      <c r="AD57" s="418" t="e">
        <f t="shared" ca="1" si="17"/>
        <v>#N/A</v>
      </c>
      <c r="AE57" s="418"/>
      <c r="AF57" s="935">
        <f>Calculation!G60</f>
        <v>1950.6001008571218</v>
      </c>
      <c r="AG57" s="941" t="str">
        <f t="shared" si="18"/>
        <v>Yes</v>
      </c>
      <c r="AH57" s="941" t="str">
        <f t="shared" si="19"/>
        <v>Yes</v>
      </c>
      <c r="AI57" s="963">
        <v>2282.0000000034379</v>
      </c>
      <c r="AJ57" s="964">
        <v>1097.7000000031924</v>
      </c>
      <c r="AK57" s="964">
        <v>1277.5000000033697</v>
      </c>
      <c r="AN57" s="447"/>
      <c r="AO57" s="430"/>
      <c r="AP57" s="652">
        <f>Calculation!BB60*3.068</f>
        <v>0</v>
      </c>
      <c r="AQ57" s="653"/>
      <c r="AR57" s="653"/>
      <c r="AS57" s="654"/>
      <c r="AU57" s="453"/>
      <c r="AV57" s="452"/>
      <c r="AW57" s="453"/>
      <c r="AX57" s="452"/>
      <c r="AY57" s="453"/>
      <c r="AZ57" s="452"/>
      <c r="BA57" s="449"/>
    </row>
    <row r="58" spans="1:53" ht="13.5" thickBot="1">
      <c r="A58" s="425">
        <v>41689</v>
      </c>
      <c r="B58" s="954">
        <f t="shared" si="12"/>
        <v>52.427829999999993</v>
      </c>
      <c r="C58" s="954">
        <f>Calculation!AK61</f>
        <v>0</v>
      </c>
      <c r="D58" s="954">
        <f>Calculation!AI61</f>
        <v>0</v>
      </c>
      <c r="E58" s="954">
        <f>Calculation!AE61</f>
        <v>36.803129999999996</v>
      </c>
      <c r="F58" s="954">
        <f>Calculation!AF61</f>
        <v>15.624699999999999</v>
      </c>
      <c r="G58" s="954">
        <f>Calculation!AG61</f>
        <v>52.42783</v>
      </c>
      <c r="H58" s="955" t="str">
        <f>Sheet1!H63</f>
        <v>o/s</v>
      </c>
      <c r="I58" s="935">
        <f>Sheet1!DA63</f>
        <v>3460</v>
      </c>
      <c r="J58" s="935">
        <f>Sheet1!DB63</f>
        <v>2010</v>
      </c>
      <c r="K58" s="935">
        <f>Sheet1!CZ63</f>
        <v>1920</v>
      </c>
      <c r="L58" s="959">
        <f>Calculation!F61</f>
        <v>250</v>
      </c>
      <c r="M58" s="959">
        <f>Calculation!E61</f>
        <v>250</v>
      </c>
      <c r="N58" s="959">
        <f>Calculation!D61</f>
        <v>300</v>
      </c>
      <c r="O58" s="985">
        <f>Sheet1!DC63</f>
        <v>1079.3800000000001</v>
      </c>
      <c r="P58" s="986" t="e">
        <f>Calculation!FD61</f>
        <v>#N/A</v>
      </c>
      <c r="Q58" s="994">
        <f>Calculation!DP61</f>
        <v>1135.4000000032515</v>
      </c>
      <c r="R58" s="985">
        <f t="shared" si="6"/>
        <v>516.40000000325153</v>
      </c>
      <c r="S58" s="987">
        <f t="shared" si="13"/>
        <v>-215.30000000017731</v>
      </c>
      <c r="T58" s="994">
        <f ca="1">IF(A58&gt;$A$1,#N/A,VLOOKUP(A58,Calculation!$B$8:$JF$503,40,FALSE))</f>
        <v>0</v>
      </c>
      <c r="U58" s="987">
        <f t="shared" si="14"/>
        <v>0</v>
      </c>
      <c r="V58" s="987">
        <f>Calculation!AZ61</f>
        <v>0</v>
      </c>
      <c r="W58" s="994">
        <f t="shared" ca="1" si="11"/>
        <v>0</v>
      </c>
      <c r="X58" s="987">
        <v>0</v>
      </c>
      <c r="Y58" s="987">
        <f t="shared" ca="1" si="15"/>
        <v>0</v>
      </c>
      <c r="Z58" s="987">
        <f t="shared" ca="1" si="16"/>
        <v>0</v>
      </c>
      <c r="AA58" s="994">
        <f t="shared" ca="1" si="8"/>
        <v>1135.4000000032515</v>
      </c>
      <c r="AB58" s="1093">
        <f t="shared" ca="1" si="9"/>
        <v>516.40000000325153</v>
      </c>
      <c r="AC58" s="954" t="e">
        <f ca="1">IF(A58&gt;$A$1,#N/A,VLOOKUP(A58,Calculation!$B$8:$JF$503,165,FALSE))</f>
        <v>#N/A</v>
      </c>
      <c r="AD58" s="418" t="e">
        <f t="shared" ca="1" si="17"/>
        <v>#N/A</v>
      </c>
      <c r="AE58" s="418"/>
      <c r="AF58" s="935">
        <f>Calculation!G61</f>
        <v>1811.4271306100973</v>
      </c>
      <c r="AG58" s="941" t="str">
        <f t="shared" si="18"/>
        <v>Yes</v>
      </c>
      <c r="AH58" s="941" t="str">
        <f t="shared" si="19"/>
        <v>Yes</v>
      </c>
      <c r="AI58" s="963">
        <v>2449.170000003674</v>
      </c>
      <c r="AJ58" s="964">
        <v>1132.8000000032218</v>
      </c>
      <c r="AK58" s="964">
        <v>1170.500000003281</v>
      </c>
      <c r="AN58" s="447"/>
      <c r="AO58" s="430"/>
      <c r="AP58" s="652">
        <f>Calculation!BB61*3.068</f>
        <v>0</v>
      </c>
      <c r="AQ58" s="653"/>
      <c r="AR58" s="653"/>
      <c r="AS58" s="654"/>
      <c r="AU58" s="453"/>
      <c r="AV58" s="452"/>
      <c r="AW58" s="453"/>
      <c r="AX58" s="452"/>
      <c r="AY58" s="453"/>
      <c r="AZ58" s="452"/>
      <c r="BA58" s="449"/>
    </row>
    <row r="59" spans="1:53" ht="13.5" thickBot="1">
      <c r="A59" s="425">
        <v>41690</v>
      </c>
      <c r="B59" s="954">
        <f t="shared" si="12"/>
        <v>52.876460000000002</v>
      </c>
      <c r="C59" s="954">
        <f>Calculation!AK62</f>
        <v>0</v>
      </c>
      <c r="D59" s="954">
        <f>Calculation!AI62</f>
        <v>0</v>
      </c>
      <c r="E59" s="954">
        <f>Calculation!AE62</f>
        <v>37.561160000000001</v>
      </c>
      <c r="F59" s="954">
        <f>Calculation!AF62</f>
        <v>15.315300000000001</v>
      </c>
      <c r="G59" s="954">
        <f>Calculation!AG62</f>
        <v>52.876459999999994</v>
      </c>
      <c r="H59" s="955" t="str">
        <f>Sheet1!H64</f>
        <v>o/s</v>
      </c>
      <c r="I59" s="935">
        <f>Sheet1!DA64</f>
        <v>2760</v>
      </c>
      <c r="J59" s="935">
        <f>Sheet1!DB64</f>
        <v>1520</v>
      </c>
      <c r="K59" s="935">
        <f>Sheet1!CZ64</f>
        <v>1430</v>
      </c>
      <c r="L59" s="959">
        <f>Calculation!F62</f>
        <v>250</v>
      </c>
      <c r="M59" s="959">
        <f>Calculation!E62</f>
        <v>250</v>
      </c>
      <c r="N59" s="959">
        <f>Calculation!D62</f>
        <v>300</v>
      </c>
      <c r="O59" s="985">
        <f>Sheet1!DC64</f>
        <v>1078.8599999999999</v>
      </c>
      <c r="P59" s="986" t="e">
        <f>Calculation!FD62</f>
        <v>#N/A</v>
      </c>
      <c r="Q59" s="994">
        <f>Calculation!DP62</f>
        <v>1068.8000000031627</v>
      </c>
      <c r="R59" s="985">
        <f t="shared" si="6"/>
        <v>449.80000000316272</v>
      </c>
      <c r="S59" s="987">
        <f t="shared" si="13"/>
        <v>-66.600000000088812</v>
      </c>
      <c r="T59" s="994">
        <f ca="1">IF(A59&gt;$A$1,#N/A,VLOOKUP(A59,Calculation!$B$8:$JF$503,40,FALSE))</f>
        <v>0</v>
      </c>
      <c r="U59" s="987">
        <f t="shared" si="14"/>
        <v>0</v>
      </c>
      <c r="V59" s="987">
        <f>Calculation!AZ62</f>
        <v>0</v>
      </c>
      <c r="W59" s="994">
        <f t="shared" ca="1" si="11"/>
        <v>0</v>
      </c>
      <c r="X59" s="987">
        <v>0</v>
      </c>
      <c r="Y59" s="987">
        <f t="shared" ca="1" si="15"/>
        <v>0</v>
      </c>
      <c r="Z59" s="987">
        <f t="shared" ca="1" si="16"/>
        <v>0</v>
      </c>
      <c r="AA59" s="994">
        <f t="shared" ca="1" si="8"/>
        <v>1068.8000000031627</v>
      </c>
      <c r="AB59" s="1093">
        <f t="shared" ca="1" si="9"/>
        <v>449.80000000316272</v>
      </c>
      <c r="AC59" s="954" t="e">
        <f ca="1">IF(A59&gt;$A$1,#N/A,VLOOKUP(A59,Calculation!$B$8:$JF$503,165,FALSE))</f>
        <v>#N/A</v>
      </c>
      <c r="AD59" s="418" t="e">
        <f t="shared" ca="1" si="17"/>
        <v>#N/A</v>
      </c>
      <c r="AE59" s="418"/>
      <c r="AF59" s="935">
        <f>Calculation!G62</f>
        <v>1396.4145234492744</v>
      </c>
      <c r="AG59" s="941" t="str">
        <f t="shared" si="18"/>
        <v>Yes</v>
      </c>
      <c r="AH59" s="941" t="str">
        <f t="shared" si="19"/>
        <v>Yes</v>
      </c>
      <c r="AI59" s="963">
        <v>2457.7500000036744</v>
      </c>
      <c r="AJ59" s="964">
        <v>864.80000000275572</v>
      </c>
      <c r="AK59" s="964">
        <v>1224.4000000035653</v>
      </c>
      <c r="AN59" s="447"/>
      <c r="AO59" s="430"/>
      <c r="AP59" s="652">
        <f>Calculation!BB62*3.068</f>
        <v>0</v>
      </c>
      <c r="AQ59" s="653"/>
      <c r="AR59" s="653"/>
      <c r="AS59" s="654"/>
      <c r="AU59" s="453"/>
      <c r="AV59" s="452"/>
      <c r="AW59" s="453"/>
      <c r="AX59" s="452"/>
      <c r="AY59" s="453"/>
      <c r="AZ59" s="452"/>
      <c r="BA59" s="449"/>
    </row>
    <row r="60" spans="1:53" ht="13.5" thickBot="1">
      <c r="A60" s="425">
        <v>41691</v>
      </c>
      <c r="B60" s="954">
        <f t="shared" si="12"/>
        <v>53.185859999999991</v>
      </c>
      <c r="C60" s="954">
        <f>Calculation!AK63</f>
        <v>90.251441392649909</v>
      </c>
      <c r="D60" s="954">
        <f>Calculation!AI63</f>
        <v>0</v>
      </c>
      <c r="E60" s="954">
        <f>Calculation!AE63</f>
        <v>37.035179999999997</v>
      </c>
      <c r="F60" s="954">
        <f>Calculation!AF63</f>
        <v>16.150679999999998</v>
      </c>
      <c r="G60" s="954">
        <f>Calculation!AG63</f>
        <v>53.185859999999998</v>
      </c>
      <c r="H60" s="955" t="str">
        <f>Sheet1!H65</f>
        <v>o/s</v>
      </c>
      <c r="I60" s="935">
        <f>Sheet1!DA65</f>
        <v>2230</v>
      </c>
      <c r="J60" s="935">
        <f>Sheet1!DB65</f>
        <v>1120</v>
      </c>
      <c r="K60" s="935">
        <f>Sheet1!CZ65</f>
        <v>1070</v>
      </c>
      <c r="L60" s="959">
        <f>Calculation!F63</f>
        <v>250</v>
      </c>
      <c r="M60" s="959">
        <f>Calculation!E63</f>
        <v>250</v>
      </c>
      <c r="N60" s="959">
        <f>Calculation!D63</f>
        <v>300</v>
      </c>
      <c r="O60" s="985">
        <f>Sheet1!DC65</f>
        <v>1082.3</v>
      </c>
      <c r="P60" s="986" t="e">
        <f>Calculation!FD63</f>
        <v>#N/A</v>
      </c>
      <c r="Q60" s="994">
        <f>Calculation!DP63</f>
        <v>1537.0000000041268</v>
      </c>
      <c r="R60" s="985">
        <f t="shared" si="6"/>
        <v>918.00000000412683</v>
      </c>
      <c r="S60" s="987">
        <f t="shared" si="13"/>
        <v>468.20000000096411</v>
      </c>
      <c r="T60" s="994">
        <f ca="1">IF(A60&gt;$A$1,#N/A,VLOOKUP(A60,Calculation!$B$8:$JF$503,40,FALSE))</f>
        <v>178.9860518375242</v>
      </c>
      <c r="U60" s="987">
        <f t="shared" si="14"/>
        <v>0</v>
      </c>
      <c r="V60" s="987">
        <f>Calculation!AZ63</f>
        <v>0</v>
      </c>
      <c r="W60" s="994">
        <f t="shared" ca="1" si="11"/>
        <v>0</v>
      </c>
      <c r="X60" s="987">
        <v>0</v>
      </c>
      <c r="Y60" s="987">
        <f t="shared" ca="1" si="15"/>
        <v>0</v>
      </c>
      <c r="Z60" s="987">
        <f t="shared" ca="1" si="16"/>
        <v>0</v>
      </c>
      <c r="AA60" s="994">
        <f t="shared" ca="1" si="8"/>
        <v>1358.0139481666026</v>
      </c>
      <c r="AB60" s="1093">
        <f t="shared" ca="1" si="9"/>
        <v>739.01394816660263</v>
      </c>
      <c r="AC60" s="954" t="e">
        <f ca="1">IF(A60&gt;$A$1,#N/A,VLOOKUP(A60,Calculation!$B$8:$JF$503,165,FALSE))</f>
        <v>#N/A</v>
      </c>
      <c r="AD60" s="418" t="e">
        <f t="shared" ca="1" si="17"/>
        <v>#N/A</v>
      </c>
      <c r="AE60" s="418"/>
      <c r="AF60" s="935">
        <f>Calculation!G63</f>
        <v>1306.1069087246415</v>
      </c>
      <c r="AG60" s="941" t="str">
        <f t="shared" si="18"/>
        <v>Yes</v>
      </c>
      <c r="AH60" s="941" t="str">
        <f t="shared" si="19"/>
        <v>Yes</v>
      </c>
      <c r="AI60" s="963">
        <v>2366.0000000035016</v>
      </c>
      <c r="AJ60" s="964">
        <v>4087.0000000095497</v>
      </c>
      <c r="AK60" s="964">
        <v>1252.800000003597</v>
      </c>
      <c r="AN60" s="447"/>
      <c r="AO60" s="430"/>
      <c r="AP60" s="652">
        <f>Calculation!BB63*3.068</f>
        <v>82.631466666666668</v>
      </c>
      <c r="AQ60" s="653"/>
      <c r="AR60" s="653"/>
      <c r="AS60" s="654"/>
      <c r="AU60" s="453"/>
      <c r="AV60" s="452"/>
      <c r="AW60" s="453"/>
      <c r="AX60" s="452"/>
      <c r="AY60" s="453"/>
      <c r="AZ60" s="452"/>
      <c r="BA60" s="449"/>
    </row>
    <row r="61" spans="1:53" ht="13.5" thickBot="1">
      <c r="A61" s="425">
        <v>41692</v>
      </c>
      <c r="B61" s="954">
        <f t="shared" si="12"/>
        <v>52.520649999999996</v>
      </c>
      <c r="C61" s="954">
        <f>Calculation!AK64</f>
        <v>87.624733353751907</v>
      </c>
      <c r="D61" s="954">
        <f>Calculation!AI64</f>
        <v>0</v>
      </c>
      <c r="E61" s="954">
        <f>Calculation!AE64</f>
        <v>32.471529999999994</v>
      </c>
      <c r="F61" s="954">
        <f>Calculation!AF64</f>
        <v>20.049120000000002</v>
      </c>
      <c r="G61" s="954">
        <f>Calculation!AG64</f>
        <v>52.520650000000003</v>
      </c>
      <c r="H61" s="955" t="str">
        <f>Sheet1!H66</f>
        <v>o/s</v>
      </c>
      <c r="I61" s="935">
        <f>Sheet1!DA66</f>
        <v>2140</v>
      </c>
      <c r="J61" s="935">
        <f>Sheet1!DB66</f>
        <v>1130</v>
      </c>
      <c r="K61" s="935">
        <f>Sheet1!CZ66</f>
        <v>1100</v>
      </c>
      <c r="L61" s="959">
        <f>Calculation!F64</f>
        <v>250</v>
      </c>
      <c r="M61" s="959">
        <f>Calculation!E64</f>
        <v>250</v>
      </c>
      <c r="N61" s="959">
        <f>Calculation!D64</f>
        <v>300</v>
      </c>
      <c r="O61" s="985">
        <f>Sheet1!DC66</f>
        <v>1084.5999999999999</v>
      </c>
      <c r="P61" s="986" t="e">
        <f>Calculation!FD64</f>
        <v>#N/A</v>
      </c>
      <c r="Q61" s="994">
        <f>Calculation!DP64</f>
        <v>1888.0000000047294</v>
      </c>
      <c r="R61" s="985">
        <f t="shared" si="6"/>
        <v>1269.0000000047294</v>
      </c>
      <c r="S61" s="987">
        <f t="shared" si="13"/>
        <v>351.00000000060254</v>
      </c>
      <c r="T61" s="994">
        <f ca="1">IF(A61&gt;$A$1,#N/A,VLOOKUP(A61,Calculation!$B$8:$JF$503,40,FALSE))</f>
        <v>352.76283395084732</v>
      </c>
      <c r="U61" s="987">
        <f t="shared" si="14"/>
        <v>0</v>
      </c>
      <c r="V61" s="987">
        <f>Calculation!AZ64</f>
        <v>0</v>
      </c>
      <c r="W61" s="994">
        <f t="shared" ca="1" si="11"/>
        <v>0</v>
      </c>
      <c r="X61" s="987">
        <v>0</v>
      </c>
      <c r="Y61" s="987">
        <f t="shared" ca="1" si="15"/>
        <v>0</v>
      </c>
      <c r="Z61" s="987">
        <f t="shared" ca="1" si="16"/>
        <v>0</v>
      </c>
      <c r="AA61" s="994">
        <f t="shared" ca="1" si="8"/>
        <v>1535.237166053882</v>
      </c>
      <c r="AB61" s="1093">
        <f t="shared" ca="1" si="9"/>
        <v>916.23716605388199</v>
      </c>
      <c r="AC61" s="954" t="e">
        <f ca="1">IF(A61&gt;$A$1,#N/A,VLOOKUP(A61,Calculation!$B$8:$JF$503,165,FALSE))</f>
        <v>#N/A</v>
      </c>
      <c r="AD61" s="418" t="e">
        <f t="shared" ca="1" si="17"/>
        <v>#N/A</v>
      </c>
      <c r="AE61" s="418"/>
      <c r="AF61" s="935">
        <f>Calculation!G64</f>
        <v>1277.0045385782162</v>
      </c>
      <c r="AG61" s="941" t="str">
        <f t="shared" si="18"/>
        <v>Yes</v>
      </c>
      <c r="AH61" s="941" t="str">
        <f t="shared" si="19"/>
        <v>Yes</v>
      </c>
      <c r="AI61" s="963">
        <v>2128.8000000030447</v>
      </c>
      <c r="AJ61" s="964">
        <v>19962.600000050577</v>
      </c>
      <c r="AK61" s="964">
        <v>1318.4200000036512</v>
      </c>
      <c r="AN61" s="447"/>
      <c r="AO61" s="430"/>
      <c r="AP61" s="652">
        <f>Calculation!BB64*3.068</f>
        <v>165.26293333333334</v>
      </c>
      <c r="AQ61" s="653"/>
      <c r="AR61" s="653"/>
      <c r="AS61" s="654"/>
      <c r="AU61" s="453"/>
      <c r="AV61" s="452"/>
      <c r="AW61" s="453"/>
      <c r="AX61" s="452"/>
      <c r="AY61" s="453"/>
      <c r="AZ61" s="452"/>
      <c r="BA61" s="449"/>
    </row>
    <row r="62" spans="1:53" ht="13.5" thickBot="1">
      <c r="A62" s="425">
        <v>41693</v>
      </c>
      <c r="B62" s="954">
        <f t="shared" si="12"/>
        <v>52.752700000000004</v>
      </c>
      <c r="C62" s="954">
        <f>Calculation!AK65</f>
        <v>87.680856595744686</v>
      </c>
      <c r="D62" s="954">
        <f>Calculation!AI65</f>
        <v>0</v>
      </c>
      <c r="E62" s="954">
        <f>Calculation!AE65</f>
        <v>32.6417</v>
      </c>
      <c r="F62" s="954">
        <f>Calculation!AF65</f>
        <v>20.111000000000001</v>
      </c>
      <c r="G62" s="954">
        <f>Calculation!AG65</f>
        <v>52.752699999999997</v>
      </c>
      <c r="H62" s="955" t="str">
        <f>Sheet1!H67</f>
        <v>o/s</v>
      </c>
      <c r="I62" s="935">
        <f>Sheet1!DA67</f>
        <v>2040</v>
      </c>
      <c r="J62" s="935">
        <f>Sheet1!DB67</f>
        <v>1010</v>
      </c>
      <c r="K62" s="935">
        <f>Sheet1!CZ67</f>
        <v>972</v>
      </c>
      <c r="L62" s="959">
        <f>Calculation!F65</f>
        <v>250</v>
      </c>
      <c r="M62" s="959">
        <f>Calculation!E65</f>
        <v>250</v>
      </c>
      <c r="N62" s="959">
        <f>Calculation!D65</f>
        <v>300</v>
      </c>
      <c r="O62" s="985">
        <f>Sheet1!DC67</f>
        <v>1085.7</v>
      </c>
      <c r="P62" s="986" t="e">
        <f>Calculation!FD65</f>
        <v>#N/A</v>
      </c>
      <c r="Q62" s="994">
        <f>Calculation!DP65</f>
        <v>2067.0000000049113</v>
      </c>
      <c r="R62" s="985">
        <f t="shared" si="6"/>
        <v>1448.0000000049113</v>
      </c>
      <c r="S62" s="987">
        <f t="shared" si="13"/>
        <v>179.0000000001819</v>
      </c>
      <c r="T62" s="994">
        <f ca="1">IF(A62&gt;$A$1,#N/A,VLOOKUP(A62,Calculation!$B$8:$JF$503,40,FALSE))</f>
        <v>526.65091930039137</v>
      </c>
      <c r="U62" s="987">
        <f t="shared" si="14"/>
        <v>0</v>
      </c>
      <c r="V62" s="987">
        <f>Calculation!AZ65</f>
        <v>0</v>
      </c>
      <c r="W62" s="994">
        <f t="shared" ca="1" si="11"/>
        <v>0</v>
      </c>
      <c r="X62" s="987">
        <v>0</v>
      </c>
      <c r="Y62" s="987">
        <f t="shared" ca="1" si="15"/>
        <v>0</v>
      </c>
      <c r="Z62" s="987">
        <f t="shared" ca="1" si="16"/>
        <v>0</v>
      </c>
      <c r="AA62" s="994">
        <f t="shared" ca="1" si="8"/>
        <v>1540.34908070452</v>
      </c>
      <c r="AB62" s="1093">
        <f t="shared" ca="1" si="9"/>
        <v>921.34908070452002</v>
      </c>
      <c r="AC62" s="954" t="e">
        <f ca="1">IF(A62&gt;$A$1,#N/A,VLOOKUP(A62,Calculation!$B$8:$JF$503,165,FALSE))</f>
        <v>#N/A</v>
      </c>
      <c r="AD62" s="418" t="e">
        <f t="shared" ca="1" si="17"/>
        <v>#N/A</v>
      </c>
      <c r="AE62" s="418"/>
      <c r="AF62" s="935">
        <f>Calculation!G65</f>
        <v>1062.26727181048</v>
      </c>
      <c r="AG62" s="941" t="str">
        <f t="shared" si="18"/>
        <v>Yes</v>
      </c>
      <c r="AH62" s="941" t="str">
        <f t="shared" si="19"/>
        <v>Yes</v>
      </c>
      <c r="AI62" s="963">
        <v>1907.3800000027788</v>
      </c>
      <c r="AJ62" s="964">
        <v>18006.000000045111</v>
      </c>
      <c r="AK62" s="964">
        <v>1368.8000000036925</v>
      </c>
      <c r="AN62" s="447"/>
      <c r="AO62" s="430"/>
      <c r="AP62" s="652">
        <f>Calculation!BB65*3.068</f>
        <v>247.89439999999999</v>
      </c>
      <c r="AQ62" s="653"/>
      <c r="AR62" s="653"/>
      <c r="AS62" s="654"/>
      <c r="AU62" s="453"/>
      <c r="AV62" s="452"/>
      <c r="AW62" s="453"/>
      <c r="AX62" s="452"/>
      <c r="AY62" s="453"/>
      <c r="AZ62" s="452"/>
      <c r="BA62" s="449"/>
    </row>
    <row r="63" spans="1:53" ht="13.5" thickBot="1">
      <c r="A63" s="425">
        <v>41694</v>
      </c>
      <c r="B63" s="954">
        <f t="shared" si="12"/>
        <v>59.404799999999994</v>
      </c>
      <c r="C63" s="954">
        <f>Calculation!AK66</f>
        <v>87.761136179775264</v>
      </c>
      <c r="D63" s="954">
        <f>Calculation!AI66</f>
        <v>0</v>
      </c>
      <c r="E63" s="954">
        <f>Calculation!AE66</f>
        <v>32.177599999999998</v>
      </c>
      <c r="F63" s="954">
        <f>Calculation!AF66</f>
        <v>27.2272</v>
      </c>
      <c r="G63" s="954">
        <f>Calculation!AG66</f>
        <v>59.404800000000009</v>
      </c>
      <c r="H63" s="955" t="str">
        <f>Sheet1!H68</f>
        <v>o/s</v>
      </c>
      <c r="I63" s="935">
        <f>Sheet1!DA68</f>
        <v>2100</v>
      </c>
      <c r="J63" s="935">
        <f>Sheet1!DB68</f>
        <v>1010</v>
      </c>
      <c r="K63" s="935">
        <f>Sheet1!CZ68</f>
        <v>956</v>
      </c>
      <c r="L63" s="959">
        <f>Calculation!F66</f>
        <v>250</v>
      </c>
      <c r="M63" s="959">
        <f>Calculation!E66</f>
        <v>250</v>
      </c>
      <c r="N63" s="959">
        <f>Calculation!D66</f>
        <v>300</v>
      </c>
      <c r="O63" s="985">
        <f>Sheet1!DC68</f>
        <v>1087.17</v>
      </c>
      <c r="P63" s="986" t="e">
        <f>Calculation!FD66</f>
        <v>#N/A</v>
      </c>
      <c r="Q63" s="994">
        <f>Calculation!DP66</f>
        <v>2317.6000000057707</v>
      </c>
      <c r="R63" s="985">
        <f t="shared" si="6"/>
        <v>1698.6000000057707</v>
      </c>
      <c r="S63" s="987">
        <f t="shared" si="13"/>
        <v>250.60000000085938</v>
      </c>
      <c r="T63" s="994">
        <f ca="1">IF(A63&gt;$A$1,#N/A,VLOOKUP(A63,Calculation!$B$8:$JF$503,40,FALSE))</f>
        <v>700.69821458129024</v>
      </c>
      <c r="U63" s="987">
        <f t="shared" si="14"/>
        <v>0</v>
      </c>
      <c r="V63" s="987">
        <f>Calculation!AZ66</f>
        <v>0</v>
      </c>
      <c r="W63" s="994">
        <f t="shared" ca="1" si="11"/>
        <v>0</v>
      </c>
      <c r="X63" s="987">
        <v>0</v>
      </c>
      <c r="Y63" s="987">
        <f t="shared" ca="1" si="15"/>
        <v>0</v>
      </c>
      <c r="Z63" s="987">
        <f t="shared" ca="1" si="16"/>
        <v>0</v>
      </c>
      <c r="AA63" s="994">
        <f t="shared" ca="1" si="8"/>
        <v>1616.9017854244803</v>
      </c>
      <c r="AB63" s="1093">
        <f t="shared" ca="1" si="9"/>
        <v>997.90178542448029</v>
      </c>
      <c r="AC63" s="954" t="e">
        <f ca="1">IF(A63&gt;$A$1,#N/A,VLOOKUP(A63,Calculation!$B$8:$JF$503,165,FALSE))</f>
        <v>#N/A</v>
      </c>
      <c r="AD63" s="418" t="e">
        <f t="shared" ca="1" si="17"/>
        <v>#N/A</v>
      </c>
      <c r="AE63" s="418"/>
      <c r="AF63" s="935">
        <f>Calculation!G66</f>
        <v>1082.3741805349769</v>
      </c>
      <c r="AG63" s="941" t="str">
        <f t="shared" si="18"/>
        <v>Yes</v>
      </c>
      <c r="AH63" s="941" t="str">
        <f t="shared" si="19"/>
        <v>Yes</v>
      </c>
      <c r="AI63" s="963">
        <v>1872.7000000026351</v>
      </c>
      <c r="AJ63" s="964">
        <v>11989.800000027411</v>
      </c>
      <c r="AK63" s="964">
        <v>1437.0000000037562</v>
      </c>
      <c r="AN63" s="447"/>
      <c r="AO63" s="430"/>
      <c r="AP63" s="652">
        <f>Calculation!BB66*3.068</f>
        <v>330.52586666666667</v>
      </c>
      <c r="AQ63" s="653"/>
      <c r="AR63" s="653"/>
      <c r="AS63" s="654"/>
      <c r="AU63" s="453"/>
      <c r="AV63" s="452"/>
      <c r="AW63" s="453"/>
      <c r="AX63" s="452"/>
      <c r="AY63" s="453"/>
      <c r="AZ63" s="452"/>
      <c r="BA63" s="449"/>
    </row>
    <row r="64" spans="1:53" ht="13.5" thickBot="1">
      <c r="A64" s="425">
        <v>41695</v>
      </c>
      <c r="B64" s="954">
        <f t="shared" si="12"/>
        <v>68.067999999999998</v>
      </c>
      <c r="C64" s="954">
        <f>Calculation!AK67</f>
        <v>87.610363853377763</v>
      </c>
      <c r="D64" s="954">
        <f>Calculation!AI67</f>
        <v>0</v>
      </c>
      <c r="E64" s="954">
        <f>Calculation!AE67</f>
        <v>32.332299999999996</v>
      </c>
      <c r="F64" s="954">
        <f>Calculation!AF67</f>
        <v>35.735700000000001</v>
      </c>
      <c r="G64" s="954">
        <f>Calculation!AG67</f>
        <v>68.067999999999998</v>
      </c>
      <c r="H64" s="955" t="str">
        <f>Sheet1!H69</f>
        <v>o/s</v>
      </c>
      <c r="I64" s="935">
        <f>Sheet1!DA69</f>
        <v>1940</v>
      </c>
      <c r="J64" s="935">
        <f>Sheet1!DB69</f>
        <v>897</v>
      </c>
      <c r="K64" s="935">
        <f>Sheet1!CZ69</f>
        <v>837</v>
      </c>
      <c r="L64" s="959">
        <f>Calculation!F67</f>
        <v>250</v>
      </c>
      <c r="M64" s="959">
        <f>Calculation!E67</f>
        <v>250</v>
      </c>
      <c r="N64" s="959">
        <f>Calculation!D67</f>
        <v>300</v>
      </c>
      <c r="O64" s="985">
        <f>Sheet1!DC69</f>
        <v>1088.8399999999999</v>
      </c>
      <c r="P64" s="986" t="e">
        <f>Calculation!FD67</f>
        <v>#N/A</v>
      </c>
      <c r="Q64" s="994">
        <f>Calculation!DP67</f>
        <v>2621.6000000063505</v>
      </c>
      <c r="R64" s="985">
        <f t="shared" si="6"/>
        <v>2002.6000000063505</v>
      </c>
      <c r="S64" s="987">
        <f t="shared" si="13"/>
        <v>304.0000000005798</v>
      </c>
      <c r="T64" s="994">
        <f ca="1">IF(A64&gt;$A$1,#N/A,VLOOKUP(A64,Calculation!$B$8:$JF$503,40,FALSE))</f>
        <v>874.44649919807307</v>
      </c>
      <c r="U64" s="987">
        <f t="shared" si="14"/>
        <v>0</v>
      </c>
      <c r="V64" s="987">
        <f>Calculation!AZ67</f>
        <v>0</v>
      </c>
      <c r="W64" s="994">
        <f t="shared" ca="1" si="11"/>
        <v>0</v>
      </c>
      <c r="X64" s="987">
        <v>0</v>
      </c>
      <c r="Y64" s="987">
        <f t="shared" ca="1" si="15"/>
        <v>0</v>
      </c>
      <c r="Z64" s="987">
        <f t="shared" ca="1" si="16"/>
        <v>0</v>
      </c>
      <c r="AA64" s="994">
        <f t="shared" ca="1" si="8"/>
        <v>1747.1535008082774</v>
      </c>
      <c r="AB64" s="1093">
        <f t="shared" ca="1" si="9"/>
        <v>1128.1535008082774</v>
      </c>
      <c r="AC64" s="954" t="e">
        <f ca="1">IF(A64&gt;$A$1,#N/A,VLOOKUP(A64,Calculation!$B$8:$JF$503,165,FALSE))</f>
        <v>#N/A</v>
      </c>
      <c r="AD64" s="418" t="e">
        <f t="shared" ca="1" si="17"/>
        <v>#N/A</v>
      </c>
      <c r="AE64" s="418"/>
      <c r="AF64" s="935">
        <f>Calculation!G67</f>
        <v>990.30307614754406</v>
      </c>
      <c r="AG64" s="941" t="str">
        <f t="shared" si="18"/>
        <v>Yes</v>
      </c>
      <c r="AH64" s="941" t="str">
        <f t="shared" si="19"/>
        <v>Yes</v>
      </c>
      <c r="AI64" s="963">
        <v>1773.8800000025522</v>
      </c>
      <c r="AJ64" s="964">
        <v>7339.0000000152795</v>
      </c>
      <c r="AK64" s="964">
        <v>1556.5000000041609</v>
      </c>
      <c r="AN64" s="447"/>
      <c r="AO64" s="430"/>
      <c r="AP64" s="652">
        <f>Calculation!BB67*3.068</f>
        <v>413.15733333333333</v>
      </c>
      <c r="AQ64" s="653"/>
      <c r="AR64" s="653"/>
      <c r="AS64" s="654"/>
      <c r="AU64" s="453"/>
      <c r="AV64" s="452"/>
      <c r="AW64" s="453"/>
      <c r="AX64" s="452"/>
      <c r="AY64" s="453"/>
      <c r="AZ64" s="452"/>
      <c r="BA64" s="449"/>
    </row>
    <row r="65" spans="1:53" ht="13.5" thickBot="1">
      <c r="A65" s="425">
        <v>41696</v>
      </c>
      <c r="B65" s="954">
        <f t="shared" si="12"/>
        <v>70.388499999999993</v>
      </c>
      <c r="C65" s="954">
        <f>Calculation!AK68</f>
        <v>87.662538092546498</v>
      </c>
      <c r="D65" s="954">
        <f>Calculation!AI68</f>
        <v>0</v>
      </c>
      <c r="E65" s="954">
        <f>Calculation!AE68</f>
        <v>33.879299999999994</v>
      </c>
      <c r="F65" s="954">
        <f>Calculation!AF68</f>
        <v>36.5092</v>
      </c>
      <c r="G65" s="954">
        <f>Calculation!AG68</f>
        <v>70.388499999999993</v>
      </c>
      <c r="H65" s="955" t="str">
        <f>Sheet1!H70</f>
        <v>o/s</v>
      </c>
      <c r="I65" s="935">
        <f>Sheet1!DA70</f>
        <v>1760</v>
      </c>
      <c r="J65" s="935">
        <f>Sheet1!DB70</f>
        <v>860</v>
      </c>
      <c r="K65" s="935">
        <f>Sheet1!CZ70</f>
        <v>809</v>
      </c>
      <c r="L65" s="959">
        <f>Calculation!F68</f>
        <v>250</v>
      </c>
      <c r="M65" s="959">
        <f>Calculation!E68</f>
        <v>250</v>
      </c>
      <c r="N65" s="959">
        <f>Calculation!D68</f>
        <v>300</v>
      </c>
      <c r="O65" s="985">
        <f>Sheet1!DC70</f>
        <v>1090.03</v>
      </c>
      <c r="P65" s="986" t="e">
        <f>Calculation!FD68</f>
        <v>#N/A</v>
      </c>
      <c r="Q65" s="994">
        <f>Calculation!DP68</f>
        <v>2852.0000000069122</v>
      </c>
      <c r="R65" s="985">
        <f t="shared" si="6"/>
        <v>2233.0000000069122</v>
      </c>
      <c r="S65" s="987">
        <f t="shared" si="13"/>
        <v>230.4000000005617</v>
      </c>
      <c r="T65" s="994">
        <f ca="1">IF(A65&gt;$A$1,#N/A,VLOOKUP(A65,Calculation!$B$8:$JF$503,40,FALSE))</f>
        <v>1048.298255415224</v>
      </c>
      <c r="U65" s="987">
        <f t="shared" si="14"/>
        <v>0</v>
      </c>
      <c r="V65" s="987">
        <f>Calculation!AZ68</f>
        <v>0</v>
      </c>
      <c r="W65" s="994">
        <f t="shared" ca="1" si="11"/>
        <v>0</v>
      </c>
      <c r="X65" s="987">
        <v>0</v>
      </c>
      <c r="Y65" s="987">
        <f t="shared" ca="1" si="15"/>
        <v>0</v>
      </c>
      <c r="Z65" s="987">
        <f t="shared" ca="1" si="16"/>
        <v>0</v>
      </c>
      <c r="AA65" s="994">
        <f t="shared" ca="1" si="8"/>
        <v>1803.7017445916881</v>
      </c>
      <c r="AB65" s="1093">
        <f t="shared" ca="1" si="9"/>
        <v>1184.7017445916881</v>
      </c>
      <c r="AC65" s="954" t="e">
        <f ca="1">IF(A65&gt;$A$1,#N/A,VLOOKUP(A65,Calculation!$B$8:$JF$503,165,FALSE))</f>
        <v>#N/A</v>
      </c>
      <c r="AD65" s="418" t="e">
        <f t="shared" ca="1" si="17"/>
        <v>#N/A</v>
      </c>
      <c r="AE65" s="418"/>
      <c r="AF65" s="935">
        <f>Calculation!G68</f>
        <v>925.18759455398981</v>
      </c>
      <c r="AG65" s="941" t="str">
        <f t="shared" si="18"/>
        <v>Yes</v>
      </c>
      <c r="AH65" s="941" t="str">
        <f t="shared" si="19"/>
        <v>Yes</v>
      </c>
      <c r="AI65" s="963">
        <v>1865.3800000026351</v>
      </c>
      <c r="AJ65" s="964">
        <v>4043.3000000090997</v>
      </c>
      <c r="AK65" s="964">
        <v>1712.2000000045839</v>
      </c>
      <c r="AN65" s="447"/>
      <c r="AO65" s="430"/>
      <c r="AP65" s="652">
        <f>Calculation!BB68*3.068</f>
        <v>495.78879999999998</v>
      </c>
      <c r="AQ65" s="653"/>
      <c r="AR65" s="653"/>
      <c r="AS65" s="654"/>
      <c r="AU65" s="453"/>
      <c r="AV65" s="452"/>
      <c r="AW65" s="453"/>
      <c r="AX65" s="452"/>
      <c r="AY65" s="453"/>
      <c r="AZ65" s="452"/>
      <c r="BA65" s="449"/>
    </row>
    <row r="66" spans="1:53" ht="13.5" thickBot="1">
      <c r="A66" s="425">
        <v>41697</v>
      </c>
      <c r="B66" s="954">
        <f t="shared" si="12"/>
        <v>62.344099999999997</v>
      </c>
      <c r="C66" s="954">
        <f>Calculation!AK69</f>
        <v>89.493803857369087</v>
      </c>
      <c r="D66" s="954">
        <f>Calculation!AI69</f>
        <v>0</v>
      </c>
      <c r="E66" s="954">
        <f>Calculation!AE69</f>
        <v>34.343399999999995</v>
      </c>
      <c r="F66" s="954">
        <f>Calculation!AF69</f>
        <v>28.000700000000002</v>
      </c>
      <c r="G66" s="954">
        <f>Calculation!AG69</f>
        <v>62.34409999999999</v>
      </c>
      <c r="H66" s="955" t="str">
        <f>Sheet1!H71</f>
        <v>o/s</v>
      </c>
      <c r="I66" s="935">
        <f>Sheet1!DA71</f>
        <v>1680</v>
      </c>
      <c r="J66" s="935">
        <f>Sheet1!DB71</f>
        <v>828</v>
      </c>
      <c r="K66" s="935">
        <f>Sheet1!CZ71</f>
        <v>776</v>
      </c>
      <c r="L66" s="959">
        <f>Calculation!F69</f>
        <v>250</v>
      </c>
      <c r="M66" s="959">
        <f>Calculation!E69</f>
        <v>250</v>
      </c>
      <c r="N66" s="959">
        <f>Calculation!D69</f>
        <v>300</v>
      </c>
      <c r="O66" s="985">
        <f>Sheet1!DC71</f>
        <v>1090.68</v>
      </c>
      <c r="P66" s="986" t="e">
        <f>Calculation!FD69</f>
        <v>#N/A</v>
      </c>
      <c r="Q66" s="994">
        <f>Calculation!DP69</f>
        <v>2983.8000000074012</v>
      </c>
      <c r="R66" s="985">
        <f t="shared" si="6"/>
        <v>2364.8000000074012</v>
      </c>
      <c r="S66" s="987">
        <f t="shared" si="13"/>
        <v>131.80000000048904</v>
      </c>
      <c r="T66" s="994">
        <f ca="1">IF(A66&gt;$A$1,#N/A,VLOOKUP(A66,Calculation!$B$8:$JF$503,40,FALSE))</f>
        <v>1225.7817655861411</v>
      </c>
      <c r="U66" s="987">
        <f t="shared" si="14"/>
        <v>0</v>
      </c>
      <c r="V66" s="987">
        <f>Calculation!AZ69</f>
        <v>0</v>
      </c>
      <c r="W66" s="994">
        <f t="shared" ca="1" si="11"/>
        <v>0</v>
      </c>
      <c r="X66" s="987">
        <v>0</v>
      </c>
      <c r="Y66" s="987">
        <f t="shared" ca="1" si="15"/>
        <v>0</v>
      </c>
      <c r="Z66" s="987">
        <f t="shared" ca="1" si="16"/>
        <v>0</v>
      </c>
      <c r="AA66" s="994">
        <f t="shared" ca="1" si="8"/>
        <v>1758.0182344212601</v>
      </c>
      <c r="AB66" s="1093">
        <f t="shared" ca="1" si="9"/>
        <v>1139.0182344212601</v>
      </c>
      <c r="AC66" s="954" t="e">
        <f ca="1">IF(A66&gt;$A$1,#N/A,VLOOKUP(A66,Calculation!$B$8:$JF$503,165,FALSE))</f>
        <v>#N/A</v>
      </c>
      <c r="AD66" s="418" t="e">
        <f t="shared" ca="1" si="17"/>
        <v>#N/A</v>
      </c>
      <c r="AE66" s="418"/>
      <c r="AF66" s="935">
        <f>Calculation!G69</f>
        <v>842.46495209303532</v>
      </c>
      <c r="AG66" s="941" t="str">
        <f t="shared" si="18"/>
        <v>Yes</v>
      </c>
      <c r="AH66" s="941" t="str">
        <f t="shared" si="19"/>
        <v>Yes</v>
      </c>
      <c r="AI66" s="963">
        <v>1765.4600000024684</v>
      </c>
      <c r="AJ66" s="964">
        <v>2502.0000000062641</v>
      </c>
      <c r="AK66" s="964">
        <v>1961.2000000051023</v>
      </c>
      <c r="AN66" s="447"/>
      <c r="AO66" s="430"/>
      <c r="AP66" s="652">
        <f>Calculation!BB69*3.068</f>
        <v>578.42026666666663</v>
      </c>
      <c r="AQ66" s="653"/>
      <c r="AR66" s="653"/>
      <c r="AS66" s="654"/>
      <c r="AU66" s="453"/>
      <c r="AV66" s="452"/>
      <c r="AW66" s="453"/>
      <c r="AX66" s="452"/>
      <c r="AY66" s="453"/>
      <c r="AZ66" s="452"/>
      <c r="BA66" s="449"/>
    </row>
    <row r="67" spans="1:53" ht="13.5" thickBot="1">
      <c r="A67" s="425">
        <v>41698</v>
      </c>
      <c r="B67" s="954">
        <f t="shared" si="12"/>
        <v>52.288599999999995</v>
      </c>
      <c r="C67" s="954">
        <f>Calculation!AK70</f>
        <v>90.813164085315833</v>
      </c>
      <c r="D67" s="954">
        <f>Calculation!AI70</f>
        <v>0</v>
      </c>
      <c r="E67" s="954">
        <f>Calculation!AE70</f>
        <v>32.951099999999997</v>
      </c>
      <c r="F67" s="954">
        <f>Calculation!AF70</f>
        <v>19.337499999999999</v>
      </c>
      <c r="G67" s="954">
        <f>Calculation!AG70</f>
        <v>52.288599999999995</v>
      </c>
      <c r="H67" s="955" t="str">
        <f>Sheet1!H72</f>
        <v>o/s</v>
      </c>
      <c r="I67" s="935">
        <f>Sheet1!DA72</f>
        <v>1470</v>
      </c>
      <c r="J67" s="935">
        <f>Sheet1!DB72</f>
        <v>706</v>
      </c>
      <c r="K67" s="935">
        <f>Sheet1!CZ72</f>
        <v>641</v>
      </c>
      <c r="L67" s="959">
        <f>Calculation!F70</f>
        <v>250</v>
      </c>
      <c r="M67" s="959">
        <f>Calculation!E70</f>
        <v>250</v>
      </c>
      <c r="N67" s="959">
        <f>Calculation!D70</f>
        <v>300</v>
      </c>
      <c r="O67" s="985">
        <f>Sheet1!DC72</f>
        <v>1091.9000000000001</v>
      </c>
      <c r="P67" s="986" t="e">
        <f>Calculation!FD70</f>
        <v>#N/A</v>
      </c>
      <c r="Q67" s="994">
        <f>Calculation!DP70</f>
        <v>3238.0000000076398</v>
      </c>
      <c r="R67" s="985">
        <f t="shared" si="6"/>
        <v>2619.0000000076398</v>
      </c>
      <c r="S67" s="987">
        <f t="shared" si="13"/>
        <v>254.20000000023856</v>
      </c>
      <c r="T67" s="994">
        <f ca="1">IF(A67&gt;$A$1,#N/A,VLOOKUP(A67,Calculation!$B$8:$JF$503,40,FALSE))</f>
        <v>1405.8818220914734</v>
      </c>
      <c r="U67" s="987">
        <f t="shared" si="14"/>
        <v>0</v>
      </c>
      <c r="V67" s="987">
        <f>Calculation!AZ70</f>
        <v>0</v>
      </c>
      <c r="W67" s="994">
        <f t="shared" ca="1" si="11"/>
        <v>0</v>
      </c>
      <c r="X67" s="987">
        <v>0</v>
      </c>
      <c r="Y67" s="987">
        <f t="shared" ca="1" si="15"/>
        <v>0</v>
      </c>
      <c r="Z67" s="987">
        <f t="shared" ca="1" si="16"/>
        <v>0</v>
      </c>
      <c r="AA67" s="994">
        <f t="shared" ca="1" si="8"/>
        <v>1832.1181779161664</v>
      </c>
      <c r="AB67" s="1093">
        <f t="shared" ca="1" si="9"/>
        <v>1213.1181779161664</v>
      </c>
      <c r="AC67" s="954" t="e">
        <f ca="1">IF(A67&gt;$A$1,#N/A,VLOOKUP(A67,Calculation!$B$8:$JF$503,165,FALSE))</f>
        <v>#N/A</v>
      </c>
      <c r="AD67" s="418" t="e">
        <f t="shared" ca="1" si="17"/>
        <v>#N/A</v>
      </c>
      <c r="AE67" s="418"/>
      <c r="AF67" s="935">
        <f>Calculation!G70</f>
        <v>769.1896116995656</v>
      </c>
      <c r="AG67" s="941" t="str">
        <f t="shared" si="18"/>
        <v>Yes</v>
      </c>
      <c r="AH67" s="941" t="str">
        <f t="shared" si="19"/>
        <v>Yes</v>
      </c>
      <c r="AI67" s="963">
        <v>1713.5400000024147</v>
      </c>
      <c r="AJ67" s="964">
        <v>1567.0000000038835</v>
      </c>
      <c r="AK67" s="964">
        <v>2381.4000000058118</v>
      </c>
      <c r="AN67" s="447"/>
      <c r="AO67" s="430"/>
      <c r="AP67" s="652">
        <f>Calculation!BB70*3.068</f>
        <v>661.05173333333335</v>
      </c>
      <c r="AQ67" s="653"/>
      <c r="AR67" s="653"/>
      <c r="AS67" s="654"/>
      <c r="AU67" s="453"/>
      <c r="AV67" s="452"/>
      <c r="AW67" s="453"/>
      <c r="AX67" s="452"/>
      <c r="AY67" s="453"/>
      <c r="AZ67" s="452"/>
      <c r="BA67" s="449"/>
    </row>
    <row r="68" spans="1:53" ht="13.5" thickBot="1">
      <c r="A68" s="425">
        <v>41699</v>
      </c>
      <c r="B68" s="954">
        <f t="shared" si="12"/>
        <v>52.737229999999997</v>
      </c>
      <c r="C68" s="954">
        <f>Calculation!AK71</f>
        <v>90.317916158536576</v>
      </c>
      <c r="D68" s="954">
        <f>Calculation!AI71</f>
        <v>0</v>
      </c>
      <c r="E68" s="954">
        <f>Calculation!AE71</f>
        <v>32.6417</v>
      </c>
      <c r="F68" s="954">
        <f>Calculation!AF71</f>
        <v>20.09553</v>
      </c>
      <c r="G68" s="954">
        <f>Calculation!AG71</f>
        <v>52.737230000000004</v>
      </c>
      <c r="H68" s="955" t="str">
        <f>Sheet1!H73</f>
        <v>o/s</v>
      </c>
      <c r="I68" s="935">
        <f>Sheet1!DA73</f>
        <v>1410</v>
      </c>
      <c r="J68" s="935">
        <f>Sheet1!DB73</f>
        <v>709</v>
      </c>
      <c r="K68" s="935">
        <f>Sheet1!CZ73</f>
        <v>649</v>
      </c>
      <c r="L68" s="959">
        <f>Calculation!F71</f>
        <v>250</v>
      </c>
      <c r="M68" s="959">
        <f>Calculation!E71</f>
        <v>250</v>
      </c>
      <c r="N68" s="959">
        <f>Calculation!D71</f>
        <v>300</v>
      </c>
      <c r="O68" s="985">
        <f>Sheet1!DC73</f>
        <v>1093.5999999999999</v>
      </c>
      <c r="P68" s="986" t="e">
        <f>Calculation!FD71</f>
        <v>#N/A</v>
      </c>
      <c r="Q68" s="994">
        <f>Calculation!DP71</f>
        <v>3608.0000000083037</v>
      </c>
      <c r="R68" s="985">
        <f t="shared" si="6"/>
        <v>2989.0000000083037</v>
      </c>
      <c r="S68" s="987">
        <f t="shared" si="13"/>
        <v>370.00000000066393</v>
      </c>
      <c r="T68" s="994">
        <f ca="1">IF(A68&gt;$A$1,#N/A,VLOOKUP(A68,Calculation!$B$8:$JF$503,40,FALSE))</f>
        <v>1584.9997062378147</v>
      </c>
      <c r="U68" s="987">
        <f t="shared" si="14"/>
        <v>0</v>
      </c>
      <c r="V68" s="987">
        <f>Calculation!AZ71</f>
        <v>0</v>
      </c>
      <c r="W68" s="994">
        <f t="shared" ca="1" si="11"/>
        <v>0</v>
      </c>
      <c r="X68" s="987">
        <v>0</v>
      </c>
      <c r="Y68" s="987">
        <f t="shared" ca="1" si="15"/>
        <v>0</v>
      </c>
      <c r="Z68" s="987">
        <f t="shared" ca="1" si="16"/>
        <v>0</v>
      </c>
      <c r="AA68" s="994">
        <f t="shared" ca="1" si="8"/>
        <v>2023.000293770489</v>
      </c>
      <c r="AB68" s="1093">
        <f t="shared" ca="1" si="9"/>
        <v>1404.000293770489</v>
      </c>
      <c r="AC68" s="954" t="e">
        <f ca="1">IF(A68&gt;$A$1,#N/A,VLOOKUP(A68,Calculation!$B$8:$JF$503,165,FALSE))</f>
        <v>#N/A</v>
      </c>
      <c r="AD68" s="418" t="e">
        <f t="shared" ca="1" si="17"/>
        <v>#N/A</v>
      </c>
      <c r="AE68" s="418"/>
      <c r="AF68" s="935">
        <f>Calculation!G71</f>
        <v>835.58598083745028</v>
      </c>
      <c r="AG68" s="941" t="str">
        <f t="shared" si="18"/>
        <v>Yes</v>
      </c>
      <c r="AH68" s="941" t="str">
        <f t="shared" si="19"/>
        <v>Yes</v>
      </c>
      <c r="AI68" s="963">
        <v>1817.8000000026075</v>
      </c>
      <c r="AJ68" s="964">
        <v>1268.2000000036289</v>
      </c>
      <c r="AK68" s="964">
        <v>3692.6000000084036</v>
      </c>
      <c r="AN68" s="447"/>
      <c r="AO68" s="430"/>
      <c r="AP68" s="652">
        <f>Calculation!BB71*3.068</f>
        <v>743.68320000000006</v>
      </c>
      <c r="AQ68" s="461"/>
      <c r="AR68" s="461"/>
      <c r="AS68" s="463"/>
      <c r="AU68" s="453"/>
      <c r="AV68" s="452"/>
      <c r="AW68" s="453"/>
      <c r="AX68" s="452"/>
      <c r="AY68" s="453"/>
      <c r="AZ68" s="452"/>
      <c r="BA68" s="449"/>
    </row>
    <row r="69" spans="1:53" ht="13.5" thickBot="1">
      <c r="A69" s="425">
        <v>41700</v>
      </c>
      <c r="B69" s="954">
        <f t="shared" si="12"/>
        <v>52.690819999999995</v>
      </c>
      <c r="C69" s="954">
        <f>Calculation!AK72</f>
        <v>90.425087641653903</v>
      </c>
      <c r="D69" s="954">
        <f>Calculation!AI72</f>
        <v>0</v>
      </c>
      <c r="E69" s="954">
        <f>Calculation!AE72</f>
        <v>32.719049999999996</v>
      </c>
      <c r="F69" s="954">
        <f>Calculation!AF72</f>
        <v>19.971769999999999</v>
      </c>
      <c r="G69" s="954">
        <f>Calculation!AG72</f>
        <v>52.690820000000002</v>
      </c>
      <c r="H69" s="955" t="str">
        <f>Sheet1!H74</f>
        <v>o/s</v>
      </c>
      <c r="I69" s="935">
        <f>Sheet1!DA74</f>
        <v>1520</v>
      </c>
      <c r="J69" s="935">
        <f>Sheet1!DB74</f>
        <v>750</v>
      </c>
      <c r="K69" s="935">
        <f>Sheet1!CZ74</f>
        <v>658</v>
      </c>
      <c r="L69" s="959">
        <f>Calculation!F72</f>
        <v>250</v>
      </c>
      <c r="M69" s="959">
        <f>Calculation!E72</f>
        <v>250</v>
      </c>
      <c r="N69" s="959">
        <f>Calculation!D72</f>
        <v>300</v>
      </c>
      <c r="O69" s="985">
        <f>Sheet1!DC74</f>
        <v>1095.05</v>
      </c>
      <c r="P69" s="986" t="e">
        <f>Calculation!FD72</f>
        <v>#N/A</v>
      </c>
      <c r="Q69" s="994">
        <f>Calculation!DP72</f>
        <v>3936.000000009386</v>
      </c>
      <c r="R69" s="985">
        <f t="shared" si="6"/>
        <v>3317.000000009386</v>
      </c>
      <c r="S69" s="987">
        <f t="shared" si="13"/>
        <v>328.0000000010823</v>
      </c>
      <c r="T69" s="994">
        <f ca="1">IF(A69&gt;$A$1,#N/A,VLOOKUP(A69,Calculation!$B$8:$JF$503,40,FALSE))</f>
        <v>1764.3301321489939</v>
      </c>
      <c r="U69" s="987">
        <f t="shared" si="14"/>
        <v>0</v>
      </c>
      <c r="V69" s="987">
        <f>Calculation!AZ72</f>
        <v>0</v>
      </c>
      <c r="W69" s="994">
        <f t="shared" ca="1" si="11"/>
        <v>0</v>
      </c>
      <c r="X69" s="987">
        <v>0</v>
      </c>
      <c r="Y69" s="987">
        <f t="shared" ca="1" si="15"/>
        <v>0</v>
      </c>
      <c r="Z69" s="987">
        <f t="shared" ca="1" si="16"/>
        <v>0</v>
      </c>
      <c r="AA69" s="994">
        <f t="shared" ca="1" si="8"/>
        <v>2171.6698678603921</v>
      </c>
      <c r="AB69" s="1093">
        <f t="shared" ca="1" si="9"/>
        <v>1552.6698678603921</v>
      </c>
      <c r="AC69" s="954" t="e">
        <f ca="1">IF(A69&gt;$A$1,#N/A,VLOOKUP(A69,Calculation!$B$8:$JF$503,165,FALSE))</f>
        <v>#N/A</v>
      </c>
      <c r="AD69" s="418" t="e">
        <f t="shared" ca="1" si="17"/>
        <v>#N/A</v>
      </c>
      <c r="AE69" s="418"/>
      <c r="AF69" s="935">
        <f>Calculation!G72</f>
        <v>823.40595058047518</v>
      </c>
      <c r="AG69" s="941" t="str">
        <f t="shared" si="18"/>
        <v>Yes</v>
      </c>
      <c r="AH69" s="941" t="str">
        <f t="shared" si="19"/>
        <v>Yes</v>
      </c>
      <c r="AI69" s="963">
        <v>2087.2000000030148</v>
      </c>
      <c r="AJ69" s="964">
        <v>1284.0000000036289</v>
      </c>
      <c r="AK69" s="964">
        <v>4439.0000000102882</v>
      </c>
      <c r="AN69" s="447"/>
      <c r="AO69" s="430"/>
      <c r="AP69" s="462"/>
      <c r="AQ69" s="461"/>
      <c r="AR69" s="461"/>
      <c r="AS69" s="463"/>
      <c r="AU69" s="453"/>
      <c r="AV69" s="452"/>
      <c r="AW69" s="453"/>
      <c r="AX69" s="452"/>
      <c r="AY69" s="453"/>
      <c r="AZ69" s="452"/>
      <c r="BA69" s="449"/>
    </row>
    <row r="70" spans="1:53" ht="13.5" thickBot="1">
      <c r="A70" s="425">
        <v>41701</v>
      </c>
      <c r="B70" s="954">
        <f t="shared" si="12"/>
        <v>52.675349999999995</v>
      </c>
      <c r="C70" s="954">
        <f>Calculation!AK73</f>
        <v>90.232878323170723</v>
      </c>
      <c r="D70" s="954">
        <f>Calculation!AI73</f>
        <v>0</v>
      </c>
      <c r="E70" s="954">
        <f>Calculation!AE73</f>
        <v>32.719049999999996</v>
      </c>
      <c r="F70" s="954">
        <f>Calculation!AF73</f>
        <v>19.956299999999999</v>
      </c>
      <c r="G70" s="954">
        <f>Calculation!AG73</f>
        <v>52.675349999999995</v>
      </c>
      <c r="H70" s="955" t="str">
        <f>Sheet1!H75</f>
        <v>o/s</v>
      </c>
      <c r="I70" s="935">
        <f>Sheet1!DA75</f>
        <v>2460</v>
      </c>
      <c r="J70" s="935">
        <f>Sheet1!DB75</f>
        <v>1540</v>
      </c>
      <c r="K70" s="935">
        <f>Sheet1!CZ75</f>
        <v>1360</v>
      </c>
      <c r="L70" s="959">
        <f>Calculation!F73</f>
        <v>250</v>
      </c>
      <c r="M70" s="959">
        <f>Calculation!E73</f>
        <v>250</v>
      </c>
      <c r="N70" s="959">
        <f>Calculation!D73</f>
        <v>300</v>
      </c>
      <c r="O70" s="985">
        <f>Sheet1!DC75</f>
        <v>1097.76</v>
      </c>
      <c r="P70" s="986" t="e">
        <f>Calculation!FD73</f>
        <v>#N/A</v>
      </c>
      <c r="Q70" s="994">
        <f>Calculation!DP73</f>
        <v>4579.4000000099859</v>
      </c>
      <c r="R70" s="985">
        <f t="shared" ref="R70:R133" si="20">Q70-619</f>
        <v>3960.4000000099859</v>
      </c>
      <c r="S70" s="987">
        <f t="shared" si="13"/>
        <v>643.4000000005999</v>
      </c>
      <c r="T70" s="994">
        <f ca="1">IF(A70&gt;$A$1,#N/A,VLOOKUP(A70,Calculation!$B$8:$JF$503,40,FALSE))</f>
        <v>1943.2793698319208</v>
      </c>
      <c r="U70" s="987">
        <f t="shared" si="14"/>
        <v>0</v>
      </c>
      <c r="V70" s="987">
        <f>Calculation!AZ73</f>
        <v>0</v>
      </c>
      <c r="W70" s="994">
        <f t="shared" ca="1" si="11"/>
        <v>0</v>
      </c>
      <c r="X70" s="987">
        <v>0</v>
      </c>
      <c r="Y70" s="987">
        <f t="shared" ca="1" si="15"/>
        <v>0</v>
      </c>
      <c r="Z70" s="987">
        <f t="shared" ca="1" si="16"/>
        <v>0</v>
      </c>
      <c r="AA70" s="994">
        <f t="shared" ref="AA70:AA133" ca="1" si="21">IF(Q70-T70-W70&lt;0,0,Q70-T70-W70)</f>
        <v>2636.1206301780649</v>
      </c>
      <c r="AB70" s="1093">
        <f t="shared" ref="AB70:AB133" ca="1" si="22">AA70-619</f>
        <v>2017.1206301780649</v>
      </c>
      <c r="AC70" s="954" t="e">
        <f ca="1">IF(A70&gt;$A$1,#N/A,VLOOKUP(A70,Calculation!$B$8:$JF$503,165,FALSE))</f>
        <v>#N/A</v>
      </c>
      <c r="AD70" s="418" t="e">
        <f t="shared" ca="1" si="17"/>
        <v>#N/A</v>
      </c>
      <c r="AE70" s="418"/>
      <c r="AF70" s="935">
        <f>Calculation!G73</f>
        <v>1684.4578920830054</v>
      </c>
      <c r="AG70" s="941" t="str">
        <f t="shared" si="18"/>
        <v>Yes</v>
      </c>
      <c r="AH70" s="941" t="str">
        <f t="shared" si="19"/>
        <v>Yes</v>
      </c>
      <c r="AI70" s="963">
        <v>2314.2000000034695</v>
      </c>
      <c r="AJ70" s="964">
        <v>1466.4000000037881</v>
      </c>
      <c r="AK70" s="964">
        <v>4504.5000000103455</v>
      </c>
      <c r="AN70" s="447"/>
      <c r="AO70" s="430"/>
      <c r="AP70" s="462"/>
      <c r="AQ70" s="461"/>
      <c r="AR70" s="461"/>
      <c r="AS70" s="463"/>
      <c r="AU70" s="453"/>
      <c r="AV70" s="452"/>
      <c r="AW70" s="453"/>
      <c r="AX70" s="452"/>
      <c r="AY70" s="453"/>
      <c r="AZ70" s="452"/>
      <c r="BA70" s="449"/>
    </row>
    <row r="71" spans="1:53" ht="13.5" thickBot="1">
      <c r="A71" s="425">
        <v>41702</v>
      </c>
      <c r="B71" s="954">
        <f t="shared" si="12"/>
        <v>52.288600000000002</v>
      </c>
      <c r="C71" s="954">
        <f>Calculation!AK74</f>
        <v>90.266581170046791</v>
      </c>
      <c r="D71" s="954">
        <f>Calculation!AI74</f>
        <v>0</v>
      </c>
      <c r="E71" s="954">
        <f>Calculation!AE74</f>
        <v>32.6417</v>
      </c>
      <c r="F71" s="954">
        <f>Calculation!AF74</f>
        <v>19.646899999999999</v>
      </c>
      <c r="G71" s="954">
        <f>Calculation!AG74</f>
        <v>52.288599999999995</v>
      </c>
      <c r="H71" s="955" t="str">
        <f>Sheet1!H76</f>
        <v>o/s</v>
      </c>
      <c r="I71" s="935">
        <f>Sheet1!DA76</f>
        <v>5080</v>
      </c>
      <c r="J71" s="935">
        <f>Sheet1!DB76</f>
        <v>3530</v>
      </c>
      <c r="K71" s="935">
        <f>Sheet1!CZ76</f>
        <v>2100</v>
      </c>
      <c r="L71" s="959">
        <f>Calculation!F74</f>
        <v>250</v>
      </c>
      <c r="M71" s="959">
        <f>Calculation!E74</f>
        <v>250</v>
      </c>
      <c r="N71" s="959">
        <f>Calculation!D74</f>
        <v>300</v>
      </c>
      <c r="O71" s="985">
        <f>Sheet1!DC76</f>
        <v>1102.27</v>
      </c>
      <c r="P71" s="986" t="e">
        <f>Calculation!FD74</f>
        <v>#N/A</v>
      </c>
      <c r="Q71" s="994">
        <f>Calculation!DP74</f>
        <v>5734.9000000123397</v>
      </c>
      <c r="R71" s="985">
        <f t="shared" si="20"/>
        <v>5115.9000000123397</v>
      </c>
      <c r="S71" s="987">
        <f t="shared" si="13"/>
        <v>1155.5000000023538</v>
      </c>
      <c r="T71" s="994">
        <f ca="1">IF(A71&gt;$A$1,#N/A,VLOOKUP(A71,Calculation!$B$8:$JF$503,40,FALSE))</f>
        <v>2122.2954467741984</v>
      </c>
      <c r="U71" s="987">
        <f t="shared" si="14"/>
        <v>0</v>
      </c>
      <c r="V71" s="987">
        <f>Calculation!AZ74</f>
        <v>0</v>
      </c>
      <c r="W71" s="994">
        <f t="shared" ca="1" si="11"/>
        <v>0</v>
      </c>
      <c r="X71" s="987">
        <v>0</v>
      </c>
      <c r="Y71" s="987">
        <f t="shared" ca="1" si="15"/>
        <v>0</v>
      </c>
      <c r="Z71" s="987">
        <f t="shared" ca="1" si="16"/>
        <v>0</v>
      </c>
      <c r="AA71" s="994">
        <f t="shared" ca="1" si="21"/>
        <v>3612.6045532381413</v>
      </c>
      <c r="AB71" s="1093">
        <f t="shared" ca="1" si="22"/>
        <v>2993.6045532381413</v>
      </c>
      <c r="AC71" s="954" t="e">
        <f ca="1">IF(A71&gt;$A$1,#N/A,VLOOKUP(A71,Calculation!$B$8:$JF$503,165,FALSE))</f>
        <v>#N/A</v>
      </c>
      <c r="AD71" s="418" t="e">
        <f t="shared" ca="1" si="17"/>
        <v>#N/A</v>
      </c>
      <c r="AE71" s="418"/>
      <c r="AF71" s="935">
        <f>Calculation!G74</f>
        <v>2682.7029752911517</v>
      </c>
      <c r="AG71" s="941" t="str">
        <f t="shared" si="18"/>
        <v>Yes</v>
      </c>
      <c r="AH71" s="941" t="str">
        <f t="shared" si="19"/>
        <v>Yes</v>
      </c>
      <c r="AI71" s="963">
        <v>2489.2100000037067</v>
      </c>
      <c r="AJ71" s="964">
        <v>2142.000000005607</v>
      </c>
      <c r="AK71" s="964">
        <v>4419.0000000102318</v>
      </c>
      <c r="AN71" s="447"/>
      <c r="AO71" s="430"/>
      <c r="AP71" s="462"/>
      <c r="AQ71" s="461"/>
      <c r="AR71" s="461"/>
      <c r="AS71" s="463"/>
      <c r="AU71" s="453"/>
      <c r="AV71" s="452"/>
      <c r="AW71" s="453"/>
      <c r="AX71" s="452"/>
      <c r="AY71" s="453"/>
      <c r="AZ71" s="452"/>
      <c r="BA71" s="449"/>
    </row>
    <row r="72" spans="1:53" ht="13.5" thickBot="1">
      <c r="A72" s="425">
        <v>41703</v>
      </c>
      <c r="B72" s="954">
        <f t="shared" si="12"/>
        <v>56.976010000000002</v>
      </c>
      <c r="C72" s="954">
        <f>Calculation!AK75</f>
        <v>89.736339542566711</v>
      </c>
      <c r="D72" s="954">
        <f>Calculation!AI75</f>
        <v>0</v>
      </c>
      <c r="E72" s="954">
        <f>Calculation!AE75</f>
        <v>32.796399999999998</v>
      </c>
      <c r="F72" s="954">
        <f>Calculation!AF75</f>
        <v>24.17961</v>
      </c>
      <c r="G72" s="954">
        <f>Calculation!AG75</f>
        <v>56.976009999999995</v>
      </c>
      <c r="H72" s="955" t="str">
        <f>Sheet1!H77</f>
        <v>o/s</v>
      </c>
      <c r="I72" s="935">
        <f>Sheet1!DA77</f>
        <v>7330</v>
      </c>
      <c r="J72" s="935">
        <f>Sheet1!DB77</f>
        <v>5090</v>
      </c>
      <c r="K72" s="935">
        <f>Sheet1!CZ77</f>
        <v>3690</v>
      </c>
      <c r="L72" s="959">
        <f>Calculation!F75</f>
        <v>250</v>
      </c>
      <c r="M72" s="959">
        <f>Calculation!E75</f>
        <v>250</v>
      </c>
      <c r="N72" s="959">
        <f>Calculation!D75</f>
        <v>300</v>
      </c>
      <c r="O72" s="985">
        <f>Sheet1!DC77</f>
        <v>1105.3800000000001</v>
      </c>
      <c r="P72" s="986" t="e">
        <f>Calculation!FD75</f>
        <v>#N/A</v>
      </c>
      <c r="Q72" s="994">
        <f>Calculation!DP75</f>
        <v>6597.2000000141106</v>
      </c>
      <c r="R72" s="985">
        <f t="shared" si="20"/>
        <v>5978.2000000141106</v>
      </c>
      <c r="S72" s="987">
        <f t="shared" si="13"/>
        <v>862.30000000177097</v>
      </c>
      <c r="T72" s="994">
        <f ca="1">IF(A72&gt;$A$1,#N/A,VLOOKUP(A72,Calculation!$B$8:$JF$503,40,FALSE))</f>
        <v>2300.2599520855074</v>
      </c>
      <c r="U72" s="987">
        <f t="shared" si="14"/>
        <v>0</v>
      </c>
      <c r="V72" s="987">
        <f>Calculation!AZ75</f>
        <v>0</v>
      </c>
      <c r="W72" s="994">
        <f t="shared" ca="1" si="11"/>
        <v>0</v>
      </c>
      <c r="X72" s="987">
        <v>0</v>
      </c>
      <c r="Y72" s="987">
        <f t="shared" ca="1" si="15"/>
        <v>0</v>
      </c>
      <c r="Z72" s="987">
        <f t="shared" ca="1" si="16"/>
        <v>0</v>
      </c>
      <c r="AA72" s="994">
        <f t="shared" ca="1" si="21"/>
        <v>4296.9400479286032</v>
      </c>
      <c r="AB72" s="1093">
        <f t="shared" ca="1" si="22"/>
        <v>3677.9400479286032</v>
      </c>
      <c r="AC72" s="954" t="e">
        <f ca="1">IF(A72&gt;$A$1,#N/A,VLOOKUP(A72,Calculation!$B$8:$JF$503,165,FALSE))</f>
        <v>#N/A</v>
      </c>
      <c r="AD72" s="418" t="e">
        <f t="shared" ca="1" si="17"/>
        <v>#N/A</v>
      </c>
      <c r="AE72" s="418"/>
      <c r="AF72" s="935">
        <f>Calculation!G75</f>
        <v>4124.8461926383115</v>
      </c>
      <c r="AG72" s="941" t="str">
        <f t="shared" si="18"/>
        <v>Yes</v>
      </c>
      <c r="AH72" s="941" t="str">
        <f t="shared" si="19"/>
        <v>Yes</v>
      </c>
      <c r="AI72" s="963">
        <v>2657.3800000039978</v>
      </c>
      <c r="AJ72" s="964">
        <v>2651.0000000067303</v>
      </c>
      <c r="AK72" s="964">
        <v>4441.5000000102882</v>
      </c>
      <c r="AN72" s="447"/>
      <c r="AO72" s="430"/>
      <c r="AP72" s="462"/>
      <c r="AQ72" s="461"/>
      <c r="AR72" s="461"/>
      <c r="AS72" s="463"/>
      <c r="AU72" s="453"/>
      <c r="AV72" s="452"/>
      <c r="AW72" s="453"/>
      <c r="AX72" s="452"/>
      <c r="AY72" s="453"/>
      <c r="AZ72" s="452"/>
      <c r="BA72" s="449"/>
    </row>
    <row r="73" spans="1:53" ht="13.5" thickBot="1">
      <c r="A73" s="425">
        <v>41704</v>
      </c>
      <c r="B73" s="954">
        <f t="shared" si="12"/>
        <v>71.780799999999999</v>
      </c>
      <c r="C73" s="954">
        <f>Calculation!AK76</f>
        <v>86.915501805392722</v>
      </c>
      <c r="D73" s="954">
        <f>Calculation!AI76</f>
        <v>0</v>
      </c>
      <c r="E73" s="954">
        <f>Calculation!AE76</f>
        <v>32.487000000000002</v>
      </c>
      <c r="F73" s="954">
        <f>Calculation!AF76</f>
        <v>39.293799999999997</v>
      </c>
      <c r="G73" s="954">
        <f>Calculation!AG76</f>
        <v>71.780799999999999</v>
      </c>
      <c r="H73" s="955" t="str">
        <f>Sheet1!H78</f>
        <v>o/s</v>
      </c>
      <c r="I73" s="935">
        <f>Sheet1!DA78</f>
        <v>8020</v>
      </c>
      <c r="J73" s="935">
        <f>Sheet1!DB78</f>
        <v>4980</v>
      </c>
      <c r="K73" s="935">
        <f>Sheet1!CZ78</f>
        <v>3690</v>
      </c>
      <c r="L73" s="959">
        <f>Calculation!F76</f>
        <v>250</v>
      </c>
      <c r="M73" s="959">
        <f>Calculation!E76</f>
        <v>250</v>
      </c>
      <c r="N73" s="959">
        <f>Calculation!D76</f>
        <v>300</v>
      </c>
      <c r="O73" s="985">
        <f>Sheet1!DC78</f>
        <v>1108.94</v>
      </c>
      <c r="P73" s="986" t="e">
        <f>Calculation!FD76</f>
        <v>#N/A</v>
      </c>
      <c r="Q73" s="994">
        <f>Calculation!DP76</f>
        <v>7657.4000000160704</v>
      </c>
      <c r="R73" s="985">
        <f t="shared" si="20"/>
        <v>7038.4000000160704</v>
      </c>
      <c r="S73" s="987">
        <f t="shared" si="13"/>
        <v>1060.2000000019598</v>
      </c>
      <c r="T73" s="994">
        <f ca="1">IF(A73&gt;$A$1,#N/A,VLOOKUP(A73,Calculation!$B$8:$JF$503,40,FALSE))</f>
        <v>2472.6301909600679</v>
      </c>
      <c r="U73" s="987">
        <f t="shared" si="14"/>
        <v>0</v>
      </c>
      <c r="V73" s="987">
        <f>Calculation!AZ76</f>
        <v>0</v>
      </c>
      <c r="W73" s="994">
        <f t="shared" ca="1" si="11"/>
        <v>0</v>
      </c>
      <c r="X73" s="987">
        <v>0</v>
      </c>
      <c r="Y73" s="987">
        <f t="shared" ca="1" si="15"/>
        <v>0</v>
      </c>
      <c r="Z73" s="987">
        <f t="shared" ca="1" si="16"/>
        <v>0</v>
      </c>
      <c r="AA73" s="994">
        <f t="shared" ca="1" si="21"/>
        <v>5184.7698090560025</v>
      </c>
      <c r="AB73" s="1093">
        <f t="shared" ca="1" si="22"/>
        <v>4565.7698090560025</v>
      </c>
      <c r="AC73" s="954" t="e">
        <f ca="1">IF(A73&gt;$A$1,#N/A,VLOOKUP(A73,Calculation!$B$8:$JF$503,165,FALSE))</f>
        <v>#N/A</v>
      </c>
      <c r="AD73" s="418" t="e">
        <f t="shared" ca="1" si="17"/>
        <v>#N/A</v>
      </c>
      <c r="AE73" s="418"/>
      <c r="AF73" s="935">
        <f>Calculation!G76</f>
        <v>4224.6444780645288</v>
      </c>
      <c r="AG73" s="941" t="str">
        <f t="shared" si="18"/>
        <v>Yes</v>
      </c>
      <c r="AH73" s="941" t="str">
        <f t="shared" si="19"/>
        <v>Yes</v>
      </c>
      <c r="AI73" s="963">
        <v>2792.0300000042444</v>
      </c>
      <c r="AJ73" s="964">
        <v>2824.1000000065665</v>
      </c>
      <c r="AK73" s="964">
        <v>4431.5000000102882</v>
      </c>
      <c r="AN73" s="447"/>
      <c r="AO73" s="430"/>
      <c r="AP73" s="462"/>
      <c r="AQ73" s="461"/>
      <c r="AR73" s="461"/>
      <c r="AS73" s="463"/>
      <c r="AU73" s="453"/>
      <c r="AV73" s="452"/>
      <c r="AW73" s="453"/>
      <c r="AX73" s="452"/>
      <c r="AY73" s="453"/>
      <c r="AZ73" s="452"/>
      <c r="BA73" s="449"/>
    </row>
    <row r="74" spans="1:53" ht="13.5" thickBot="1">
      <c r="A74" s="425">
        <v>41705</v>
      </c>
      <c r="B74" s="954">
        <f t="shared" si="12"/>
        <v>72.399599999999992</v>
      </c>
      <c r="C74" s="954">
        <f>Calculation!AK77</f>
        <v>86.761146073500967</v>
      </c>
      <c r="D74" s="954">
        <f>Calculation!AI77</f>
        <v>0</v>
      </c>
      <c r="E74" s="954">
        <f>Calculation!AE77</f>
        <v>32.332299999999996</v>
      </c>
      <c r="F74" s="954">
        <f>Calculation!AF77</f>
        <v>40.067299999999996</v>
      </c>
      <c r="G74" s="954">
        <f>Calculation!AG77</f>
        <v>72.399599999999992</v>
      </c>
      <c r="H74" s="955" t="str">
        <f>Sheet1!H79</f>
        <v>o/s</v>
      </c>
      <c r="I74" s="935">
        <f>Sheet1!DA79</f>
        <v>5980</v>
      </c>
      <c r="J74" s="935">
        <f>Sheet1!DB79</f>
        <v>3920</v>
      </c>
      <c r="K74" s="935">
        <f>Sheet1!CZ79</f>
        <v>3690</v>
      </c>
      <c r="L74" s="959">
        <f>Calculation!F77</f>
        <v>250</v>
      </c>
      <c r="M74" s="959">
        <f>Calculation!E77</f>
        <v>250</v>
      </c>
      <c r="N74" s="959">
        <f>Calculation!D77</f>
        <v>300</v>
      </c>
      <c r="O74" s="985">
        <f>Sheet1!DC79</f>
        <v>1111.5</v>
      </c>
      <c r="P74" s="986" t="e">
        <f>Calculation!FD77</f>
        <v>#N/A</v>
      </c>
      <c r="Q74" s="994">
        <f>Calculation!DP77</f>
        <v>8480.0000000178588</v>
      </c>
      <c r="R74" s="985">
        <f t="shared" si="20"/>
        <v>7861.0000000178588</v>
      </c>
      <c r="S74" s="987">
        <f t="shared" si="13"/>
        <v>822.60000000178843</v>
      </c>
      <c r="T74" s="994">
        <f ca="1">IF(A74&gt;$A$1,#N/A,VLOOKUP(A74,Calculation!$B$8:$JF$503,40,FALSE))</f>
        <v>2644.6943125848261</v>
      </c>
      <c r="U74" s="987">
        <f t="shared" si="14"/>
        <v>0</v>
      </c>
      <c r="V74" s="987">
        <f>Calculation!AZ77</f>
        <v>0</v>
      </c>
      <c r="W74" s="994">
        <f t="shared" ca="1" si="11"/>
        <v>0</v>
      </c>
      <c r="X74" s="987">
        <v>0</v>
      </c>
      <c r="Y74" s="987">
        <f t="shared" ca="1" si="15"/>
        <v>0</v>
      </c>
      <c r="Z74" s="987">
        <f t="shared" ca="1" si="16"/>
        <v>0</v>
      </c>
      <c r="AA74" s="994">
        <f t="shared" ca="1" si="21"/>
        <v>5835.3056874330323</v>
      </c>
      <c r="AB74" s="1093">
        <f t="shared" ca="1" si="22"/>
        <v>5216.3056874330323</v>
      </c>
      <c r="AC74" s="954" t="e">
        <f ca="1">IF(A74&gt;$A$1,#N/A,VLOOKUP(A74,Calculation!$B$8:$JF$503,165,FALSE))</f>
        <v>#N/A</v>
      </c>
      <c r="AD74" s="418" t="e">
        <f t="shared" ca="1" si="17"/>
        <v>#N/A</v>
      </c>
      <c r="AE74" s="418"/>
      <c r="AF74" s="935">
        <f>Calculation!G77</f>
        <v>4104.826021180932</v>
      </c>
      <c r="AG74" s="941" t="str">
        <f t="shared" si="18"/>
        <v>Yes</v>
      </c>
      <c r="AH74" s="941" t="str">
        <f t="shared" si="19"/>
        <v>Yes</v>
      </c>
      <c r="AI74" s="963">
        <v>2969.7000000045628</v>
      </c>
      <c r="AJ74" s="964">
        <v>2900.7000000073053</v>
      </c>
      <c r="AK74" s="964">
        <v>4729.5000000105156</v>
      </c>
      <c r="AN74" s="447"/>
      <c r="AO74" s="430"/>
      <c r="AP74" s="462"/>
      <c r="AQ74" s="461"/>
      <c r="AR74" s="461"/>
      <c r="AS74" s="463"/>
      <c r="AU74" s="453"/>
      <c r="AV74" s="452"/>
      <c r="AW74" s="453"/>
      <c r="AX74" s="452"/>
      <c r="AY74" s="453"/>
      <c r="AZ74" s="452"/>
      <c r="BA74" s="449"/>
    </row>
    <row r="75" spans="1:53" ht="13.5" thickBot="1">
      <c r="A75" s="425">
        <v>41706</v>
      </c>
      <c r="B75" s="954">
        <f t="shared" si="12"/>
        <v>72.399599999999992</v>
      </c>
      <c r="C75" s="954">
        <f>Calculation!AK78</f>
        <v>86.822597105263156</v>
      </c>
      <c r="D75" s="954">
        <f>Calculation!AI78</f>
        <v>0</v>
      </c>
      <c r="E75" s="954">
        <f>Calculation!AE78</f>
        <v>32.487000000000002</v>
      </c>
      <c r="F75" s="954">
        <f>Calculation!AF78</f>
        <v>39.912599999999998</v>
      </c>
      <c r="G75" s="954">
        <f>Calculation!AG78</f>
        <v>72.399599999999992</v>
      </c>
      <c r="H75" s="955" t="str">
        <f>Sheet1!H80</f>
        <v>o/s</v>
      </c>
      <c r="I75" s="935">
        <f>Sheet1!DA80</f>
        <v>6150</v>
      </c>
      <c r="J75" s="935">
        <f>Sheet1!DB80</f>
        <v>4030</v>
      </c>
      <c r="K75" s="935">
        <f>Sheet1!CZ80</f>
        <v>3690</v>
      </c>
      <c r="L75" s="959">
        <f>Calculation!F78</f>
        <v>250</v>
      </c>
      <c r="M75" s="959">
        <f>Calculation!E78</f>
        <v>250</v>
      </c>
      <c r="N75" s="959">
        <f>Calculation!D78</f>
        <v>300</v>
      </c>
      <c r="O75" s="985">
        <f>Sheet1!DC80</f>
        <v>1112.0999999999999</v>
      </c>
      <c r="P75" s="986" t="e">
        <f>Calculation!FD78</f>
        <v>#N/A</v>
      </c>
      <c r="Q75" s="994">
        <f>Calculation!DP78</f>
        <v>8681.0000000185537</v>
      </c>
      <c r="R75" s="985">
        <f t="shared" si="20"/>
        <v>8062.0000000185537</v>
      </c>
      <c r="S75" s="987">
        <f t="shared" si="13"/>
        <v>201.00000000069485</v>
      </c>
      <c r="T75" s="994">
        <f ca="1">IF(A75&gt;$A$1,#N/A,VLOOKUP(A75,Calculation!$B$8:$JF$503,40,FALSE))</f>
        <v>2816.8803034826587</v>
      </c>
      <c r="U75" s="987">
        <f t="shared" si="14"/>
        <v>0</v>
      </c>
      <c r="V75" s="987">
        <f>Calculation!AZ78</f>
        <v>0</v>
      </c>
      <c r="W75" s="994">
        <f t="shared" ca="1" si="11"/>
        <v>0</v>
      </c>
      <c r="X75" s="987">
        <v>0</v>
      </c>
      <c r="Y75" s="987">
        <f t="shared" ca="1" si="15"/>
        <v>0</v>
      </c>
      <c r="Z75" s="987">
        <f t="shared" ca="1" si="16"/>
        <v>0</v>
      </c>
      <c r="AA75" s="994">
        <f t="shared" ca="1" si="21"/>
        <v>5864.1196965358949</v>
      </c>
      <c r="AB75" s="1093">
        <f t="shared" ca="1" si="22"/>
        <v>5245.1196965358949</v>
      </c>
      <c r="AC75" s="954" t="e">
        <f ca="1">IF(A75&gt;$A$1,#N/A,VLOOKUP(A75,Calculation!$B$8:$JF$503,165,FALSE))</f>
        <v>#N/A</v>
      </c>
      <c r="AD75" s="418" t="e">
        <f t="shared" ca="1" si="17"/>
        <v>#N/A</v>
      </c>
      <c r="AE75" s="418"/>
      <c r="AF75" s="935">
        <f>Calculation!G78</f>
        <v>3791.3615733740266</v>
      </c>
      <c r="AG75" s="941" t="str">
        <f t="shared" si="18"/>
        <v>Yes</v>
      </c>
      <c r="AH75" s="941" t="str">
        <f t="shared" si="19"/>
        <v>Yes</v>
      </c>
      <c r="AI75" s="963">
        <v>3210.5200000050804</v>
      </c>
      <c r="AJ75" s="964">
        <v>3006.0000000070486</v>
      </c>
      <c r="AK75" s="964">
        <v>5119.0000000109139</v>
      </c>
      <c r="AN75" s="447"/>
      <c r="AO75" s="430"/>
      <c r="AP75" s="462"/>
      <c r="AQ75" s="461"/>
      <c r="AR75" s="461"/>
      <c r="AS75" s="463"/>
      <c r="AU75" s="453"/>
      <c r="AV75" s="452"/>
      <c r="AW75" s="453"/>
      <c r="AX75" s="452"/>
      <c r="AY75" s="453"/>
      <c r="AZ75" s="452"/>
      <c r="BA75" s="449"/>
    </row>
    <row r="76" spans="1:53" ht="13.5" thickBot="1">
      <c r="A76" s="425">
        <v>41707</v>
      </c>
      <c r="B76" s="954">
        <f t="shared" si="12"/>
        <v>72.554299999999998</v>
      </c>
      <c r="C76" s="954">
        <f>Calculation!AK79</f>
        <v>86.839331630434771</v>
      </c>
      <c r="D76" s="954">
        <f>Calculation!AI79</f>
        <v>0</v>
      </c>
      <c r="E76" s="954">
        <f>Calculation!AE79</f>
        <v>32.487000000000002</v>
      </c>
      <c r="F76" s="954">
        <f>Calculation!AF79</f>
        <v>40.067299999999996</v>
      </c>
      <c r="G76" s="954">
        <f>Calculation!AG79</f>
        <v>72.554299999999998</v>
      </c>
      <c r="H76" s="955" t="str">
        <f>Sheet1!H81</f>
        <v>o/s</v>
      </c>
      <c r="I76" s="935">
        <f>Sheet1!DA81</f>
        <v>8810</v>
      </c>
      <c r="J76" s="935">
        <f>Sheet1!DB81</f>
        <v>5660</v>
      </c>
      <c r="K76" s="935">
        <f>Sheet1!CZ81</f>
        <v>6130</v>
      </c>
      <c r="L76" s="959">
        <f>Calculation!F79</f>
        <v>250</v>
      </c>
      <c r="M76" s="959">
        <f>Calculation!E79</f>
        <v>250</v>
      </c>
      <c r="N76" s="959">
        <f>Calculation!D79</f>
        <v>300</v>
      </c>
      <c r="O76" s="985">
        <f>Sheet1!DC81</f>
        <v>1125.43</v>
      </c>
      <c r="P76" s="986" t="e">
        <f>Calculation!FD79</f>
        <v>#N/A</v>
      </c>
      <c r="Q76" s="994">
        <f>Calculation!DP79</f>
        <v>14299.300000034093</v>
      </c>
      <c r="R76" s="985">
        <f t="shared" si="20"/>
        <v>13680.300000034093</v>
      </c>
      <c r="S76" s="987">
        <f t="shared" si="13"/>
        <v>5618.3000000155389</v>
      </c>
      <c r="T76" s="994">
        <f ca="1">IF(A76&gt;$A$1,#N/A,VLOOKUP(A76,Calculation!$B$8:$JF$503,40,FALSE))</f>
        <v>2989.0994821783111</v>
      </c>
      <c r="U76" s="987">
        <f t="shared" si="14"/>
        <v>0</v>
      </c>
      <c r="V76" s="987">
        <f>Calculation!AZ79</f>
        <v>0</v>
      </c>
      <c r="W76" s="994">
        <f t="shared" ref="W76:W119" ca="1" si="23">IF(A76&gt;=$A$1,#N/A,W75-X74*1.983)</f>
        <v>0</v>
      </c>
      <c r="X76" s="987">
        <v>0</v>
      </c>
      <c r="Y76" s="987">
        <f t="shared" ca="1" si="15"/>
        <v>0</v>
      </c>
      <c r="Z76" s="987">
        <f t="shared" ca="1" si="16"/>
        <v>0</v>
      </c>
      <c r="AA76" s="994">
        <f t="shared" ca="1" si="21"/>
        <v>11310.200517855781</v>
      </c>
      <c r="AB76" s="1093">
        <f t="shared" ca="1" si="22"/>
        <v>10691.200517855781</v>
      </c>
      <c r="AC76" s="954" t="e">
        <f ca="1">IF(A76&gt;$A$1,#N/A,VLOOKUP(A76,Calculation!$B$8:$JF$503,165,FALSE))</f>
        <v>#N/A</v>
      </c>
      <c r="AD76" s="418" t="e">
        <f t="shared" ca="1" si="17"/>
        <v>#N/A</v>
      </c>
      <c r="AE76" s="418"/>
      <c r="AF76" s="935">
        <f>Calculation!G79</f>
        <v>8963.2324760542306</v>
      </c>
      <c r="AG76" s="941" t="str">
        <f t="shared" si="18"/>
        <v>Yes</v>
      </c>
      <c r="AH76" s="941" t="str">
        <f t="shared" si="19"/>
        <v>Yes</v>
      </c>
      <c r="AI76" s="963">
        <v>3576.3300000057388</v>
      </c>
      <c r="AJ76" s="964">
        <v>3166.6000000075442</v>
      </c>
      <c r="AK76" s="964">
        <v>5535.200000011705</v>
      </c>
      <c r="AN76" s="447"/>
      <c r="AO76" s="430"/>
      <c r="AP76" s="462"/>
      <c r="AQ76" s="461"/>
      <c r="AR76" s="461"/>
      <c r="AS76" s="463"/>
      <c r="AU76" s="453"/>
      <c r="AV76" s="452"/>
      <c r="AW76" s="453"/>
      <c r="AX76" s="452"/>
      <c r="AY76" s="453"/>
      <c r="AZ76" s="452"/>
      <c r="BA76" s="449"/>
    </row>
    <row r="77" spans="1:53" ht="13.5" thickBot="1">
      <c r="A77" s="425">
        <v>41708</v>
      </c>
      <c r="B77" s="954">
        <f t="shared" si="12"/>
        <v>72.863699999999994</v>
      </c>
      <c r="C77" s="954">
        <f>Calculation!AK80</f>
        <v>86.766269739603572</v>
      </c>
      <c r="D77" s="954">
        <f>Calculation!AI80</f>
        <v>0</v>
      </c>
      <c r="E77" s="954">
        <f>Calculation!AE80</f>
        <v>32.951099999999997</v>
      </c>
      <c r="F77" s="954">
        <f>Calculation!AF80</f>
        <v>39.912599999999998</v>
      </c>
      <c r="G77" s="954">
        <f>Calculation!AG80</f>
        <v>72.863699999999994</v>
      </c>
      <c r="H77" s="955" t="str">
        <f>Sheet1!H82</f>
        <v>o/s</v>
      </c>
      <c r="I77" s="935">
        <f>Sheet1!DA82</f>
        <v>8940</v>
      </c>
      <c r="J77" s="935">
        <f>Sheet1!DB82</f>
        <v>5220</v>
      </c>
      <c r="K77" s="935">
        <f>Sheet1!CZ82</f>
        <v>5610</v>
      </c>
      <c r="L77" s="959">
        <f>Calculation!F80</f>
        <v>250</v>
      </c>
      <c r="M77" s="959">
        <f>Calculation!E80</f>
        <v>250</v>
      </c>
      <c r="N77" s="959">
        <f>Calculation!D80</f>
        <v>300</v>
      </c>
      <c r="O77" s="985">
        <f>Sheet1!DC82</f>
        <v>1127.46</v>
      </c>
      <c r="P77" s="986" t="e">
        <f>Calculation!FD80</f>
        <v>#N/A</v>
      </c>
      <c r="Q77" s="994">
        <f>Calculation!DP80</f>
        <v>15379.000000037766</v>
      </c>
      <c r="R77" s="985">
        <f t="shared" si="20"/>
        <v>14760.000000037766</v>
      </c>
      <c r="S77" s="987">
        <f t="shared" si="13"/>
        <v>1079.7000000036733</v>
      </c>
      <c r="T77" s="994">
        <f ca="1">IF(A77&gt;$A$1,#N/A,VLOOKUP(A77,Calculation!$B$8:$JF$503,40,FALSE))</f>
        <v>3161.1737650232394</v>
      </c>
      <c r="U77" s="987">
        <f t="shared" si="14"/>
        <v>0</v>
      </c>
      <c r="V77" s="987">
        <f>Calculation!AZ80</f>
        <v>0</v>
      </c>
      <c r="W77" s="994">
        <f t="shared" ca="1" si="23"/>
        <v>0</v>
      </c>
      <c r="X77" s="987">
        <v>0</v>
      </c>
      <c r="Y77" s="987">
        <f t="shared" ca="1" si="15"/>
        <v>0</v>
      </c>
      <c r="Z77" s="987">
        <f t="shared" ca="1" si="16"/>
        <v>0</v>
      </c>
      <c r="AA77" s="994">
        <f t="shared" ca="1" si="21"/>
        <v>12217.826235014527</v>
      </c>
      <c r="AB77" s="1093">
        <f t="shared" ca="1" si="22"/>
        <v>11598.826235014527</v>
      </c>
      <c r="AC77" s="954" t="e">
        <f ca="1">IF(A77&gt;$A$1,#N/A,VLOOKUP(A77,Calculation!$B$8:$JF$503,165,FALSE))</f>
        <v>#N/A</v>
      </c>
      <c r="AD77" s="418" t="e">
        <f t="shared" ca="1" si="17"/>
        <v>#N/A</v>
      </c>
      <c r="AE77" s="418"/>
      <c r="AF77" s="935">
        <f>Calculation!G80</f>
        <v>6154.4780635419429</v>
      </c>
      <c r="AG77" s="941" t="str">
        <f t="shared" si="18"/>
        <v>Yes</v>
      </c>
      <c r="AH77" s="941" t="str">
        <f t="shared" si="19"/>
        <v>Yes</v>
      </c>
      <c r="AI77" s="963">
        <v>4405.6400000072672</v>
      </c>
      <c r="AJ77" s="964">
        <v>3283.1000000076397</v>
      </c>
      <c r="AK77" s="964">
        <v>5802.4000000124006</v>
      </c>
      <c r="AN77" s="447"/>
      <c r="AO77" s="430"/>
      <c r="AP77" s="462"/>
      <c r="AQ77" s="461"/>
      <c r="AR77" s="461"/>
      <c r="AS77" s="463"/>
      <c r="AU77" s="453"/>
      <c r="AV77" s="452"/>
      <c r="AW77" s="453"/>
      <c r="AX77" s="452"/>
      <c r="AY77" s="453"/>
      <c r="AZ77" s="452"/>
      <c r="BA77" s="449"/>
    </row>
    <row r="78" spans="1:53" ht="13.5" thickBot="1">
      <c r="A78" s="425">
        <v>41709</v>
      </c>
      <c r="B78" s="954">
        <f t="shared" si="12"/>
        <v>72.554299999999984</v>
      </c>
      <c r="C78" s="954">
        <f>Calculation!AK81</f>
        <v>86.807391276429115</v>
      </c>
      <c r="D78" s="954">
        <f>Calculation!AI81</f>
        <v>0</v>
      </c>
      <c r="E78" s="954">
        <f>Calculation!AE81</f>
        <v>33.105799999999995</v>
      </c>
      <c r="F78" s="954">
        <f>Calculation!AF81</f>
        <v>39.448499999999996</v>
      </c>
      <c r="G78" s="954">
        <f>Calculation!AG81</f>
        <v>72.554299999999998</v>
      </c>
      <c r="H78" s="955" t="str">
        <f>Sheet1!H83</f>
        <v>o/s</v>
      </c>
      <c r="I78" s="935">
        <f>Sheet1!DA83</f>
        <v>6930</v>
      </c>
      <c r="J78" s="935">
        <f>Sheet1!DB83</f>
        <v>4140</v>
      </c>
      <c r="K78" s="935">
        <f>Sheet1!CZ83</f>
        <v>4330</v>
      </c>
      <c r="L78" s="959">
        <f>Calculation!F81</f>
        <v>250</v>
      </c>
      <c r="M78" s="959">
        <f>Calculation!E81</f>
        <v>250</v>
      </c>
      <c r="N78" s="959">
        <f>Calculation!D81</f>
        <v>300</v>
      </c>
      <c r="O78" s="985">
        <f>Sheet1!DC83</f>
        <v>1126.06</v>
      </c>
      <c r="P78" s="986" t="e">
        <f>Calculation!FD81</f>
        <v>#N/A</v>
      </c>
      <c r="Q78" s="994">
        <f>Calculation!DP81</f>
        <v>14626.400000036343</v>
      </c>
      <c r="R78" s="985">
        <f t="shared" si="20"/>
        <v>14007.400000036343</v>
      </c>
      <c r="S78" s="987">
        <f t="shared" si="13"/>
        <v>-752.60000000142281</v>
      </c>
      <c r="T78" s="994">
        <f ca="1">IF(A78&gt;$A$1,#N/A,VLOOKUP(A78,Calculation!$B$8:$JF$503,40,FALSE))</f>
        <v>3333.3295998235526</v>
      </c>
      <c r="U78" s="987">
        <f t="shared" si="14"/>
        <v>0</v>
      </c>
      <c r="V78" s="987">
        <f>Calculation!AZ81</f>
        <v>0</v>
      </c>
      <c r="W78" s="994">
        <f t="shared" ca="1" si="23"/>
        <v>0</v>
      </c>
      <c r="X78" s="987">
        <v>0</v>
      </c>
      <c r="Y78" s="987">
        <f t="shared" ca="1" si="15"/>
        <v>0</v>
      </c>
      <c r="Z78" s="987">
        <f t="shared" ca="1" si="16"/>
        <v>0</v>
      </c>
      <c r="AA78" s="994">
        <f t="shared" ca="1" si="21"/>
        <v>11293.07040021279</v>
      </c>
      <c r="AB78" s="1093">
        <f t="shared" ca="1" si="22"/>
        <v>10674.07040021279</v>
      </c>
      <c r="AC78" s="954" t="e">
        <f ca="1">IF(A78&gt;$A$1,#N/A,VLOOKUP(A78,Calculation!$B$8:$JF$503,165,FALSE))</f>
        <v>#N/A</v>
      </c>
      <c r="AD78" s="418" t="e">
        <f t="shared" ca="1" si="17"/>
        <v>#N/A</v>
      </c>
      <c r="AE78" s="418"/>
      <c r="AF78" s="935">
        <f>Calculation!G81</f>
        <v>3950.4740292478959</v>
      </c>
      <c r="AG78" s="941" t="str">
        <f t="shared" si="18"/>
        <v>Yes</v>
      </c>
      <c r="AH78" s="941" t="str">
        <f t="shared" si="19"/>
        <v>Yes</v>
      </c>
      <c r="AI78" s="963">
        <v>4852.1400000080876</v>
      </c>
      <c r="AJ78" s="964">
        <v>3418.8000000081538</v>
      </c>
      <c r="AK78" s="964">
        <v>6071.7000000126463</v>
      </c>
      <c r="AN78" s="447"/>
      <c r="AO78" s="430"/>
      <c r="AP78" s="462"/>
      <c r="AQ78" s="461"/>
      <c r="AR78" s="461"/>
      <c r="AS78" s="463"/>
      <c r="AU78" s="453"/>
      <c r="AV78" s="452"/>
      <c r="AW78" s="453"/>
      <c r="AX78" s="452"/>
      <c r="AY78" s="453"/>
      <c r="AZ78" s="452"/>
      <c r="BA78" s="449"/>
    </row>
    <row r="79" spans="1:53" ht="13.5" thickBot="1">
      <c r="A79" s="425">
        <v>41710</v>
      </c>
      <c r="B79" s="954">
        <f t="shared" si="12"/>
        <v>72.353189999999984</v>
      </c>
      <c r="C79" s="954">
        <f>Calculation!AK82</f>
        <v>86.766331368256445</v>
      </c>
      <c r="D79" s="954">
        <f>Calculation!AI82</f>
        <v>0</v>
      </c>
      <c r="E79" s="954">
        <f>Calculation!AE82</f>
        <v>32.904689999999995</v>
      </c>
      <c r="F79" s="954">
        <f>Calculation!AF82</f>
        <v>39.448499999999996</v>
      </c>
      <c r="G79" s="954">
        <f>Calculation!AG82</f>
        <v>72.353189999999984</v>
      </c>
      <c r="H79" s="955" t="str">
        <f>Sheet1!H84</f>
        <v>o/s</v>
      </c>
      <c r="I79" s="935">
        <f>Sheet1!DA84</f>
        <v>4760</v>
      </c>
      <c r="J79" s="935">
        <f>Sheet1!DB84</f>
        <v>2770</v>
      </c>
      <c r="K79" s="935">
        <f>Sheet1!CZ84</f>
        <v>2790</v>
      </c>
      <c r="L79" s="959">
        <f>Calculation!F82</f>
        <v>250</v>
      </c>
      <c r="M79" s="959">
        <f>Calculation!E82</f>
        <v>250</v>
      </c>
      <c r="N79" s="959">
        <f>Calculation!D82</f>
        <v>300</v>
      </c>
      <c r="O79" s="985">
        <f>Sheet1!DC84</f>
        <v>1126.0999999999999</v>
      </c>
      <c r="P79" s="986" t="e">
        <f>Calculation!FD82</f>
        <v>#N/A</v>
      </c>
      <c r="Q79" s="994">
        <f>Calculation!DP82</f>
        <v>14648.00000003567</v>
      </c>
      <c r="R79" s="985">
        <f t="shared" si="20"/>
        <v>14029.00000003567</v>
      </c>
      <c r="S79" s="987">
        <f t="shared" si="13"/>
        <v>21.599999999327338</v>
      </c>
      <c r="T79" s="994">
        <f ca="1">IF(A79&gt;$A$1,#N/A,VLOOKUP(A79,Calculation!$B$8:$JF$503,40,FALSE))</f>
        <v>3505.4040048900106</v>
      </c>
      <c r="U79" s="987">
        <f t="shared" si="14"/>
        <v>0</v>
      </c>
      <c r="V79" s="987">
        <f>Calculation!AZ82</f>
        <v>0</v>
      </c>
      <c r="W79" s="994">
        <f t="shared" ca="1" si="23"/>
        <v>0</v>
      </c>
      <c r="X79" s="987">
        <v>0</v>
      </c>
      <c r="Y79" s="987">
        <f t="shared" ca="1" si="15"/>
        <v>0</v>
      </c>
      <c r="Z79" s="987">
        <f t="shared" ca="1" si="16"/>
        <v>0</v>
      </c>
      <c r="AA79" s="994">
        <f t="shared" ca="1" si="21"/>
        <v>11142.595995145661</v>
      </c>
      <c r="AB79" s="1093">
        <f t="shared" ca="1" si="22"/>
        <v>10523.595995145661</v>
      </c>
      <c r="AC79" s="954" t="e">
        <f ca="1">IF(A79&gt;$A$1,#N/A,VLOOKUP(A79,Calculation!$B$8:$JF$503,165,FALSE))</f>
        <v>#N/A</v>
      </c>
      <c r="AD79" s="418" t="e">
        <f t="shared" ca="1" si="17"/>
        <v>#N/A</v>
      </c>
      <c r="AE79" s="418"/>
      <c r="AF79" s="935">
        <f>Calculation!G82</f>
        <v>2800.8925869890709</v>
      </c>
      <c r="AG79" s="941" t="str">
        <f t="shared" si="18"/>
        <v>Yes</v>
      </c>
      <c r="AH79" s="941" t="str">
        <f t="shared" si="19"/>
        <v>Yes</v>
      </c>
      <c r="AI79" s="963">
        <v>5252.3400000089414</v>
      </c>
      <c r="AJ79" s="964">
        <v>3619.0000000083537</v>
      </c>
      <c r="AK79" s="964">
        <v>6640.4000000136239</v>
      </c>
      <c r="AN79" s="447"/>
      <c r="AO79" s="430"/>
      <c r="AP79" s="462"/>
      <c r="AQ79" s="461"/>
      <c r="AR79" s="461"/>
      <c r="AS79" s="463"/>
      <c r="AU79" s="453"/>
      <c r="AV79" s="452"/>
      <c r="AW79" s="453"/>
      <c r="AX79" s="452"/>
      <c r="AY79" s="453"/>
      <c r="AZ79" s="452"/>
      <c r="BA79" s="449"/>
    </row>
    <row r="80" spans="1:53" ht="13.5" thickBot="1">
      <c r="A80" s="425">
        <v>41711</v>
      </c>
      <c r="B80" s="954">
        <f t="shared" si="12"/>
        <v>72.647120000000001</v>
      </c>
      <c r="C80" s="954">
        <f>Calculation!AK83</f>
        <v>86.730010950332414</v>
      </c>
      <c r="D80" s="954">
        <f>Calculation!AI83</f>
        <v>0</v>
      </c>
      <c r="E80" s="954">
        <f>Calculation!AE83</f>
        <v>33.105799999999995</v>
      </c>
      <c r="F80" s="954">
        <f>Calculation!AF83</f>
        <v>39.541319999999999</v>
      </c>
      <c r="G80" s="954">
        <f>Calculation!AG83</f>
        <v>72.647119999999987</v>
      </c>
      <c r="H80" s="955" t="str">
        <f>Sheet1!H85</f>
        <v>o/s</v>
      </c>
      <c r="I80" s="935">
        <f>Sheet1!DA85</f>
        <v>3800</v>
      </c>
      <c r="J80" s="935">
        <f>Sheet1!DB85</f>
        <v>2200</v>
      </c>
      <c r="K80" s="935">
        <f>Sheet1!CZ85</f>
        <v>2200</v>
      </c>
      <c r="L80" s="959">
        <f>Calculation!F83</f>
        <v>250</v>
      </c>
      <c r="M80" s="959">
        <f>Calculation!E83</f>
        <v>250</v>
      </c>
      <c r="N80" s="959">
        <f>Calculation!D83</f>
        <v>300</v>
      </c>
      <c r="O80" s="985">
        <f>Sheet1!DC85</f>
        <v>1125.23</v>
      </c>
      <c r="P80" s="986" t="e">
        <f>Calculation!FD83</f>
        <v>#N/A</v>
      </c>
      <c r="Q80" s="994">
        <f>Calculation!DP83</f>
        <v>14195.600000034643</v>
      </c>
      <c r="R80" s="985">
        <f t="shared" si="20"/>
        <v>13576.600000034643</v>
      </c>
      <c r="S80" s="987">
        <f t="shared" si="13"/>
        <v>-452.40000000102737</v>
      </c>
      <c r="T80" s="994">
        <f ca="1">IF(A80&gt;$A$1,#N/A,VLOOKUP(A80,Calculation!$B$8:$JF$503,40,FALSE))</f>
        <v>3677.4063795478123</v>
      </c>
      <c r="U80" s="987">
        <f t="shared" si="14"/>
        <v>0</v>
      </c>
      <c r="V80" s="987">
        <f>Calculation!AZ83</f>
        <v>0</v>
      </c>
      <c r="W80" s="994">
        <f t="shared" ca="1" si="23"/>
        <v>0</v>
      </c>
      <c r="X80" s="987">
        <v>0</v>
      </c>
      <c r="Y80" s="987">
        <f t="shared" ca="1" si="15"/>
        <v>0</v>
      </c>
      <c r="Z80" s="987">
        <f t="shared" ca="1" si="16"/>
        <v>0</v>
      </c>
      <c r="AA80" s="994">
        <f t="shared" ca="1" si="21"/>
        <v>10518.193620486831</v>
      </c>
      <c r="AB80" s="1093">
        <f t="shared" ca="1" si="22"/>
        <v>9899.1936204868307</v>
      </c>
      <c r="AC80" s="954" t="e">
        <f ca="1">IF(A80&gt;$A$1,#N/A,VLOOKUP(A80,Calculation!$B$8:$JF$503,165,FALSE))</f>
        <v>#N/A</v>
      </c>
      <c r="AD80" s="418" t="e">
        <f t="shared" ca="1" si="17"/>
        <v>#N/A</v>
      </c>
      <c r="AE80" s="418"/>
      <c r="AF80" s="935">
        <f>Calculation!G83</f>
        <v>1971.8608169435061</v>
      </c>
      <c r="AG80" s="941" t="str">
        <f t="shared" si="18"/>
        <v>Yes</v>
      </c>
      <c r="AH80" s="941" t="str">
        <f t="shared" si="19"/>
        <v>Yes</v>
      </c>
      <c r="AI80" s="963">
        <v>5558.4400000094956</v>
      </c>
      <c r="AJ80" s="964">
        <v>3742.000000008838</v>
      </c>
      <c r="AK80" s="964">
        <v>8051.700000017483</v>
      </c>
      <c r="AN80" s="447"/>
      <c r="AO80" s="430"/>
      <c r="AP80" s="462"/>
      <c r="AQ80" s="461"/>
      <c r="AR80" s="461"/>
      <c r="AS80" s="463"/>
      <c r="AU80" s="453"/>
      <c r="AV80" s="452"/>
      <c r="AW80" s="453"/>
      <c r="AX80" s="452"/>
      <c r="AY80" s="453"/>
      <c r="AZ80" s="452"/>
      <c r="BA80" s="449"/>
    </row>
    <row r="81" spans="1:53" ht="13.5" thickBot="1">
      <c r="A81" s="425">
        <v>41712</v>
      </c>
      <c r="B81" s="954">
        <f t="shared" ref="B81:B144" si="24">E81+F81</f>
        <v>72.399599999999992</v>
      </c>
      <c r="C81" s="954">
        <f>Calculation!AK84</f>
        <v>86.761053962411907</v>
      </c>
      <c r="D81" s="954">
        <f>Calculation!AI84</f>
        <v>0</v>
      </c>
      <c r="E81" s="954">
        <f>Calculation!AE84</f>
        <v>32.951099999999997</v>
      </c>
      <c r="F81" s="954">
        <f>Calculation!AF84</f>
        <v>39.448499999999996</v>
      </c>
      <c r="G81" s="954">
        <f>Calculation!AG84</f>
        <v>72.399599999999992</v>
      </c>
      <c r="H81" s="955" t="str">
        <f>Sheet1!H86</f>
        <v>o/s</v>
      </c>
      <c r="I81" s="935">
        <f>Sheet1!DA86</f>
        <v>4090</v>
      </c>
      <c r="J81" s="935">
        <f>Sheet1!DB86</f>
        <v>2510</v>
      </c>
      <c r="K81" s="935">
        <f>Sheet1!CZ86</f>
        <v>2500</v>
      </c>
      <c r="L81" s="959">
        <f>Calculation!F84</f>
        <v>250</v>
      </c>
      <c r="M81" s="959">
        <f>Calculation!E84</f>
        <v>250</v>
      </c>
      <c r="N81" s="959">
        <f>Calculation!D84</f>
        <v>300</v>
      </c>
      <c r="O81" s="985">
        <f>Sheet1!DC86</f>
        <v>1126.5999999999999</v>
      </c>
      <c r="P81" s="986" t="e">
        <f>Calculation!FD84</f>
        <v>#N/A</v>
      </c>
      <c r="Q81" s="994">
        <f>Calculation!DP84</f>
        <v>14914.000000036589</v>
      </c>
      <c r="R81" s="985">
        <f t="shared" si="20"/>
        <v>14295.000000036589</v>
      </c>
      <c r="S81" s="987">
        <f t="shared" ref="S81:S144" si="25">R81-R80</f>
        <v>718.40000000194595</v>
      </c>
      <c r="T81" s="994">
        <f ca="1">IF(A81&gt;$A$1,#N/A,VLOOKUP(A81,Calculation!$B$8:$JF$503,40,FALSE))</f>
        <v>3849.4703184984778</v>
      </c>
      <c r="U81" s="987">
        <f t="shared" ref="U81:U144" si="26">D81</f>
        <v>0</v>
      </c>
      <c r="V81" s="987">
        <f>Calculation!AZ84</f>
        <v>0</v>
      </c>
      <c r="W81" s="994">
        <f t="shared" ca="1" si="23"/>
        <v>0</v>
      </c>
      <c r="X81" s="987">
        <v>0</v>
      </c>
      <c r="Y81" s="987">
        <f t="shared" ref="Y81:Y120" ca="1" si="27">IF((A81+1)&gt;$A$1,#N/A,0)</f>
        <v>0</v>
      </c>
      <c r="Z81" s="987">
        <f t="shared" ref="Z81:Z144" ca="1" si="28">W81-Y81</f>
        <v>0</v>
      </c>
      <c r="AA81" s="994">
        <f t="shared" ca="1" si="21"/>
        <v>11064.529681538112</v>
      </c>
      <c r="AB81" s="1093">
        <f t="shared" ca="1" si="22"/>
        <v>10445.529681538112</v>
      </c>
      <c r="AC81" s="954" t="e">
        <f ca="1">IF(A81&gt;$A$1,#N/A,VLOOKUP(A81,Calculation!$B$8:$JF$503,165,FALSE))</f>
        <v>#N/A</v>
      </c>
      <c r="AD81" s="418" t="e">
        <f t="shared" ref="AD81:AD144" ca="1" si="29">AC81-AC80</f>
        <v>#N/A</v>
      </c>
      <c r="AE81" s="418"/>
      <c r="AF81" s="935">
        <f>Calculation!G84</f>
        <v>2862.2793746858024</v>
      </c>
      <c r="AG81" s="941" t="str">
        <f t="shared" ref="AG81:AG144" si="30">IF(I81&gt;L81,"Yes","No")</f>
        <v>Yes</v>
      </c>
      <c r="AH81" s="941" t="str">
        <f t="shared" ref="AH81:AH144" si="31">IF(AND(I81&gt;M81,J81&gt;N81),"Yes","No")</f>
        <v>Yes</v>
      </c>
      <c r="AI81" s="963">
        <v>5845.4000000102496</v>
      </c>
      <c r="AJ81" s="964">
        <v>4034.1000000090994</v>
      </c>
      <c r="AK81" s="964">
        <v>9010.0000000194177</v>
      </c>
      <c r="AN81" s="447"/>
      <c r="AO81" s="430"/>
      <c r="AP81" s="462"/>
      <c r="AQ81" s="461"/>
      <c r="AR81" s="461"/>
      <c r="AS81" s="463"/>
      <c r="AU81" s="453"/>
      <c r="AV81" s="452"/>
      <c r="AW81" s="453"/>
      <c r="AX81" s="452"/>
      <c r="AY81" s="453"/>
      <c r="AZ81" s="452"/>
      <c r="BA81" s="449"/>
    </row>
    <row r="82" spans="1:53" ht="13.5" thickBot="1">
      <c r="A82" s="425">
        <v>41713</v>
      </c>
      <c r="B82" s="954">
        <f t="shared" si="24"/>
        <v>72.399599999999992</v>
      </c>
      <c r="C82" s="954">
        <f>Calculation!AK85</f>
        <v>86.383933356890452</v>
      </c>
      <c r="D82" s="954">
        <f>Calculation!AI85</f>
        <v>0</v>
      </c>
      <c r="E82" s="954">
        <f>Calculation!AE85</f>
        <v>32.951099999999997</v>
      </c>
      <c r="F82" s="954">
        <f>Calculation!AF85</f>
        <v>39.448499999999996</v>
      </c>
      <c r="G82" s="954">
        <f>Calculation!AG85</f>
        <v>72.399599999999992</v>
      </c>
      <c r="H82" s="955" t="str">
        <f>Sheet1!H87</f>
        <v>o/s</v>
      </c>
      <c r="I82" s="935">
        <f>Sheet1!DA87</f>
        <v>4010</v>
      </c>
      <c r="J82" s="935">
        <f>Sheet1!DB87</f>
        <v>2500</v>
      </c>
      <c r="K82" s="935">
        <f>Sheet1!CZ87</f>
        <v>2510</v>
      </c>
      <c r="L82" s="959">
        <f>Calculation!F85</f>
        <v>250</v>
      </c>
      <c r="M82" s="959">
        <f>Calculation!E85</f>
        <v>250</v>
      </c>
      <c r="N82" s="959">
        <f>Calculation!D85</f>
        <v>300</v>
      </c>
      <c r="O82" s="985">
        <f>Sheet1!DC87</f>
        <v>1127.9000000000001</v>
      </c>
      <c r="P82" s="986" t="e">
        <f>Calculation!FD85</f>
        <v>#N/A</v>
      </c>
      <c r="Q82" s="994">
        <f>Calculation!DP85</f>
        <v>15619.000000038017</v>
      </c>
      <c r="R82" s="985">
        <f t="shared" si="20"/>
        <v>15000.000000038017</v>
      </c>
      <c r="S82" s="987">
        <f t="shared" si="25"/>
        <v>705.00000000142791</v>
      </c>
      <c r="T82" s="994">
        <f ca="1">IF(A82&gt;$A$1,#N/A,VLOOKUP(A82,Calculation!$B$8:$JF$503,40,FALSE))</f>
        <v>4020.7863543995372</v>
      </c>
      <c r="U82" s="987">
        <f t="shared" si="26"/>
        <v>0</v>
      </c>
      <c r="V82" s="987">
        <f>Calculation!AZ85</f>
        <v>0</v>
      </c>
      <c r="W82" s="994">
        <f t="shared" ca="1" si="23"/>
        <v>0</v>
      </c>
      <c r="X82" s="987">
        <v>0</v>
      </c>
      <c r="Y82" s="987">
        <f t="shared" ca="1" si="27"/>
        <v>0</v>
      </c>
      <c r="Z82" s="987">
        <f t="shared" ca="1" si="28"/>
        <v>0</v>
      </c>
      <c r="AA82" s="994">
        <f t="shared" ca="1" si="21"/>
        <v>11598.21364563848</v>
      </c>
      <c r="AB82" s="1093">
        <f t="shared" ca="1" si="22"/>
        <v>10979.21364563848</v>
      </c>
      <c r="AC82" s="954" t="e">
        <f ca="1">IF(A82&gt;$A$1,#N/A,VLOOKUP(A82,Calculation!$B$8:$JF$503,165,FALSE))</f>
        <v>#N/A</v>
      </c>
      <c r="AD82" s="418" t="e">
        <f t="shared" ca="1" si="29"/>
        <v>#N/A</v>
      </c>
      <c r="AE82" s="418"/>
      <c r="AF82" s="935">
        <f>Calculation!G85</f>
        <v>2865.5219364606291</v>
      </c>
      <c r="AG82" s="941" t="str">
        <f t="shared" si="30"/>
        <v>Yes</v>
      </c>
      <c r="AH82" s="941" t="str">
        <f t="shared" si="31"/>
        <v>Yes</v>
      </c>
      <c r="AI82" s="963">
        <v>6234.8800000109441</v>
      </c>
      <c r="AJ82" s="964">
        <v>4331.2000000097678</v>
      </c>
      <c r="AK82" s="964">
        <v>9758.1000000212844</v>
      </c>
      <c r="AN82" s="447"/>
      <c r="AO82" s="430"/>
      <c r="AP82" s="462"/>
      <c r="AQ82" s="461"/>
      <c r="AR82" s="461"/>
      <c r="AS82" s="463"/>
      <c r="AU82" s="453"/>
      <c r="AV82" s="452"/>
      <c r="AW82" s="453"/>
      <c r="AX82" s="452"/>
      <c r="AY82" s="453"/>
      <c r="AZ82" s="452"/>
      <c r="BA82" s="449"/>
    </row>
    <row r="83" spans="1:53" ht="13.5" thickBot="1">
      <c r="A83" s="425">
        <v>41714</v>
      </c>
      <c r="B83" s="954">
        <f t="shared" si="24"/>
        <v>72.244900000000001</v>
      </c>
      <c r="C83" s="954">
        <f>Calculation!AK86</f>
        <v>86.414647706708266</v>
      </c>
      <c r="D83" s="954">
        <f>Calculation!AI86</f>
        <v>0</v>
      </c>
      <c r="E83" s="954">
        <f>Calculation!AE86</f>
        <v>32.487000000000002</v>
      </c>
      <c r="F83" s="954">
        <f>Calculation!AF86</f>
        <v>39.757899999999999</v>
      </c>
      <c r="G83" s="954">
        <f>Calculation!AG86</f>
        <v>72.244900000000001</v>
      </c>
      <c r="H83" s="955" t="str">
        <f>Sheet1!H88</f>
        <v>o/s</v>
      </c>
      <c r="I83" s="935">
        <f>Sheet1!DA88</f>
        <v>5080</v>
      </c>
      <c r="J83" s="935">
        <f>Sheet1!DB88</f>
        <v>2670</v>
      </c>
      <c r="K83" s="935">
        <f>Sheet1!CZ88</f>
        <v>2510</v>
      </c>
      <c r="L83" s="959">
        <f>Calculation!F86</f>
        <v>250</v>
      </c>
      <c r="M83" s="959">
        <f>Calculation!E86</f>
        <v>250</v>
      </c>
      <c r="N83" s="959">
        <f>Calculation!D86</f>
        <v>300</v>
      </c>
      <c r="O83" s="985">
        <f>Sheet1!DC88</f>
        <v>1129.82</v>
      </c>
      <c r="P83" s="986" t="e">
        <f>Calculation!FD86</f>
        <v>#N/A</v>
      </c>
      <c r="Q83" s="994">
        <f>Calculation!DP86</f>
        <v>16708.600000041013</v>
      </c>
      <c r="R83" s="985">
        <f t="shared" si="20"/>
        <v>16089.600000041013</v>
      </c>
      <c r="S83" s="987">
        <f t="shared" si="25"/>
        <v>1089.6000000029962</v>
      </c>
      <c r="T83" s="994">
        <f ca="1">IF(A83&gt;$A$1,#N/A,VLOOKUP(A83,Calculation!$B$8:$JF$503,40,FALSE))</f>
        <v>4192.1633027926728</v>
      </c>
      <c r="U83" s="987">
        <f t="shared" si="26"/>
        <v>0</v>
      </c>
      <c r="V83" s="987">
        <f>Calculation!AZ86</f>
        <v>0</v>
      </c>
      <c r="W83" s="994">
        <f t="shared" ca="1" si="23"/>
        <v>0</v>
      </c>
      <c r="X83" s="987">
        <v>0</v>
      </c>
      <c r="Y83" s="987">
        <f t="shared" ca="1" si="27"/>
        <v>0</v>
      </c>
      <c r="Z83" s="987">
        <f t="shared" ca="1" si="28"/>
        <v>0</v>
      </c>
      <c r="AA83" s="994">
        <f t="shared" ca="1" si="21"/>
        <v>12516.43669724834</v>
      </c>
      <c r="AB83" s="1093">
        <f t="shared" ca="1" si="22"/>
        <v>11897.43669724834</v>
      </c>
      <c r="AC83" s="954" t="e">
        <f ca="1">IF(A83&gt;$A$1,#N/A,VLOOKUP(A83,Calculation!$B$8:$JF$503,165,FALSE))</f>
        <v>#N/A</v>
      </c>
      <c r="AD83" s="418" t="e">
        <f t="shared" ca="1" si="29"/>
        <v>#N/A</v>
      </c>
      <c r="AE83" s="418"/>
      <c r="AF83" s="935">
        <f>Calculation!G86</f>
        <v>3059.4704992450811</v>
      </c>
      <c r="AG83" s="941" t="str">
        <f t="shared" si="30"/>
        <v>Yes</v>
      </c>
      <c r="AH83" s="941" t="str">
        <f t="shared" si="31"/>
        <v>Yes</v>
      </c>
      <c r="AI83" s="963">
        <v>6840.7500000125056</v>
      </c>
      <c r="AJ83" s="964">
        <v>4959.4000000111728</v>
      </c>
      <c r="AK83" s="964">
        <v>10983.200000025307</v>
      </c>
      <c r="AN83" s="447"/>
      <c r="AO83" s="430"/>
      <c r="AP83" s="462"/>
      <c r="AQ83" s="461"/>
      <c r="AR83" s="461"/>
      <c r="AS83" s="463"/>
      <c r="AU83" s="453"/>
      <c r="AV83" s="452"/>
      <c r="AW83" s="453"/>
      <c r="AX83" s="452"/>
      <c r="AY83" s="453"/>
      <c r="AZ83" s="452"/>
      <c r="BA83" s="449"/>
    </row>
    <row r="84" spans="1:53" ht="13.5" thickBot="1">
      <c r="A84" s="425">
        <v>41715</v>
      </c>
      <c r="B84" s="954">
        <f t="shared" si="24"/>
        <v>72.554299999999998</v>
      </c>
      <c r="C84" s="954">
        <f>Calculation!AK87</f>
        <v>86.518545427366803</v>
      </c>
      <c r="D84" s="954">
        <f>Calculation!AI87</f>
        <v>0</v>
      </c>
      <c r="E84" s="954">
        <f>Calculation!AE87</f>
        <v>32.177599999999998</v>
      </c>
      <c r="F84" s="954">
        <f>Calculation!AF87</f>
        <v>40.3767</v>
      </c>
      <c r="G84" s="954">
        <f>Calculation!AG87</f>
        <v>72.554300000000012</v>
      </c>
      <c r="H84" s="955" t="str">
        <f>Sheet1!H89</f>
        <v>o/s</v>
      </c>
      <c r="I84" s="935">
        <f>Sheet1!DA89</f>
        <v>4970</v>
      </c>
      <c r="J84" s="935">
        <f>Sheet1!DB89</f>
        <v>2710</v>
      </c>
      <c r="K84" s="935">
        <f>Sheet1!CZ89</f>
        <v>2660</v>
      </c>
      <c r="L84" s="959">
        <f>Calculation!F87</f>
        <v>250</v>
      </c>
      <c r="M84" s="959">
        <f>Calculation!E87</f>
        <v>250</v>
      </c>
      <c r="N84" s="959">
        <f>Calculation!D87</f>
        <v>300</v>
      </c>
      <c r="O84" s="985">
        <f>Sheet1!DC89</f>
        <v>1131.3900000000001</v>
      </c>
      <c r="P84" s="986" t="e">
        <f>Calculation!FD87</f>
        <v>#N/A</v>
      </c>
      <c r="Q84" s="994">
        <f>Calculation!DP87</f>
        <v>17637.900000044105</v>
      </c>
      <c r="R84" s="985">
        <f t="shared" si="20"/>
        <v>17018.900000044105</v>
      </c>
      <c r="S84" s="987">
        <f t="shared" si="25"/>
        <v>929.30000000309155</v>
      </c>
      <c r="T84" s="994">
        <f ca="1">IF(A84&gt;$A$1,#N/A,VLOOKUP(A84,Calculation!$B$8:$JF$503,40,FALSE))</f>
        <v>4363.7463004469464</v>
      </c>
      <c r="U84" s="987">
        <f t="shared" si="26"/>
        <v>0</v>
      </c>
      <c r="V84" s="987">
        <f>Calculation!AZ87</f>
        <v>0</v>
      </c>
      <c r="W84" s="994">
        <f t="shared" ca="1" si="23"/>
        <v>0</v>
      </c>
      <c r="X84" s="987">
        <v>0</v>
      </c>
      <c r="Y84" s="987">
        <f t="shared" ca="1" si="27"/>
        <v>0</v>
      </c>
      <c r="Z84" s="987">
        <f t="shared" ca="1" si="28"/>
        <v>0</v>
      </c>
      <c r="AA84" s="994">
        <f t="shared" ca="1" si="21"/>
        <v>13274.153699597158</v>
      </c>
      <c r="AB84" s="1093">
        <f t="shared" ca="1" si="22"/>
        <v>12655.153699597158</v>
      </c>
      <c r="AC84" s="954" t="e">
        <f ca="1">IF(A84&gt;$A$1,#N/A,VLOOKUP(A84,Calculation!$B$8:$JF$503,165,FALSE))</f>
        <v>#N/A</v>
      </c>
      <c r="AD84" s="418" t="e">
        <f t="shared" ca="1" si="29"/>
        <v>#N/A</v>
      </c>
      <c r="AE84" s="418"/>
      <c r="AF84" s="935">
        <f>Calculation!G87</f>
        <v>3128.6333837635357</v>
      </c>
      <c r="AG84" s="941" t="str">
        <f t="shared" si="30"/>
        <v>Yes</v>
      </c>
      <c r="AH84" s="941" t="str">
        <f t="shared" si="31"/>
        <v>Yes</v>
      </c>
      <c r="AI84" s="963">
        <v>7430.9200000137625</v>
      </c>
      <c r="AJ84" s="964">
        <v>5748.4000000123397</v>
      </c>
      <c r="AK84" s="964">
        <v>10607.000000023738</v>
      </c>
      <c r="AN84" s="447"/>
      <c r="AO84" s="430"/>
      <c r="AP84" s="462"/>
      <c r="AQ84" s="461"/>
      <c r="AR84" s="461"/>
      <c r="AS84" s="463"/>
      <c r="AU84" s="453"/>
      <c r="AV84" s="452"/>
      <c r="AW84" s="453"/>
      <c r="AX84" s="452"/>
      <c r="AY84" s="453"/>
      <c r="AZ84" s="452"/>
      <c r="BA84" s="449"/>
    </row>
    <row r="85" spans="1:53" ht="13.5" thickBot="1">
      <c r="A85" s="425">
        <v>41716</v>
      </c>
      <c r="B85" s="954">
        <f t="shared" si="24"/>
        <v>72.554299999999998</v>
      </c>
      <c r="C85" s="954">
        <f>Calculation!AK88</f>
        <v>86.714745125240839</v>
      </c>
      <c r="D85" s="954">
        <f>Calculation!AI88</f>
        <v>0</v>
      </c>
      <c r="E85" s="954">
        <f>Calculation!AE88</f>
        <v>32.332299999999996</v>
      </c>
      <c r="F85" s="954">
        <f>Calculation!AF88</f>
        <v>40.222000000000001</v>
      </c>
      <c r="G85" s="954">
        <f>Calculation!AG88</f>
        <v>72.554299999999998</v>
      </c>
      <c r="H85" s="955" t="str">
        <f>Sheet1!H90</f>
        <v>o/s</v>
      </c>
      <c r="I85" s="935">
        <f>Sheet1!DA90</f>
        <v>3960</v>
      </c>
      <c r="J85" s="935">
        <f>Sheet1!DB90</f>
        <v>2170</v>
      </c>
      <c r="K85" s="935">
        <f>Sheet1!CZ90</f>
        <v>2150</v>
      </c>
      <c r="L85" s="959">
        <f>Calculation!F88</f>
        <v>250</v>
      </c>
      <c r="M85" s="959">
        <f>Calculation!E88</f>
        <v>250</v>
      </c>
      <c r="N85" s="959">
        <f>Calculation!D88</f>
        <v>300</v>
      </c>
      <c r="O85" s="985">
        <f>Sheet1!DC90</f>
        <v>1131.8599999999999</v>
      </c>
      <c r="P85" s="986" t="e">
        <f>Calculation!FD88</f>
        <v>#N/A</v>
      </c>
      <c r="Q85" s="994">
        <f>Calculation!DP88</f>
        <v>17921.000000043518</v>
      </c>
      <c r="R85" s="985">
        <f t="shared" si="20"/>
        <v>17302.000000043518</v>
      </c>
      <c r="S85" s="987">
        <f t="shared" si="25"/>
        <v>283.09999999941283</v>
      </c>
      <c r="T85" s="994">
        <f ca="1">IF(A85&gt;$A$1,#N/A,VLOOKUP(A85,Calculation!$B$8:$JF$503,40,FALSE))</f>
        <v>4535.7184000230545</v>
      </c>
      <c r="U85" s="987">
        <f t="shared" si="26"/>
        <v>0</v>
      </c>
      <c r="V85" s="987">
        <f>Calculation!AZ88</f>
        <v>0</v>
      </c>
      <c r="W85" s="994">
        <f t="shared" ca="1" si="23"/>
        <v>0</v>
      </c>
      <c r="X85" s="987">
        <v>0</v>
      </c>
      <c r="Y85" s="987">
        <f t="shared" ca="1" si="27"/>
        <v>0</v>
      </c>
      <c r="Z85" s="987">
        <f t="shared" ca="1" si="28"/>
        <v>0</v>
      </c>
      <c r="AA85" s="994">
        <f t="shared" ca="1" si="21"/>
        <v>13385.281600020462</v>
      </c>
      <c r="AB85" s="1093">
        <f t="shared" ca="1" si="22"/>
        <v>12766.281600020462</v>
      </c>
      <c r="AC85" s="954" t="e">
        <f ca="1">IF(A85&gt;$A$1,#N/A,VLOOKUP(A85,Calculation!$B$8:$JF$503,165,FALSE))</f>
        <v>#N/A</v>
      </c>
      <c r="AD85" s="418" t="e">
        <f t="shared" ca="1" si="29"/>
        <v>#N/A</v>
      </c>
      <c r="AE85" s="418"/>
      <c r="AF85" s="935">
        <f>Calculation!G88</f>
        <v>2292.763489661832</v>
      </c>
      <c r="AG85" s="941" t="str">
        <f t="shared" si="30"/>
        <v>Yes</v>
      </c>
      <c r="AH85" s="941" t="str">
        <f t="shared" si="31"/>
        <v>Yes</v>
      </c>
      <c r="AI85" s="963">
        <v>8051.680000015197</v>
      </c>
      <c r="AJ85" s="964">
        <v>6093.3000000126467</v>
      </c>
      <c r="AK85" s="964">
        <v>10311.200000022878</v>
      </c>
      <c r="AN85" s="447"/>
      <c r="AO85" s="430"/>
      <c r="AP85" s="462"/>
      <c r="AQ85" s="461"/>
      <c r="AR85" s="461"/>
      <c r="AS85" s="463"/>
      <c r="AU85" s="453"/>
      <c r="AV85" s="452"/>
      <c r="AW85" s="453"/>
      <c r="AX85" s="452"/>
      <c r="AY85" s="453"/>
      <c r="AZ85" s="452"/>
      <c r="BA85" s="449"/>
    </row>
    <row r="86" spans="1:53" ht="13.5" thickBot="1">
      <c r="A86" s="425">
        <v>41717</v>
      </c>
      <c r="B86" s="954">
        <f t="shared" si="24"/>
        <v>72.399599999999992</v>
      </c>
      <c r="C86" s="954">
        <f>Calculation!AK89</f>
        <v>86.755380076745965</v>
      </c>
      <c r="D86" s="954">
        <f>Calculation!AI89</f>
        <v>0</v>
      </c>
      <c r="E86" s="954">
        <f>Calculation!AE89</f>
        <v>32.177599999999998</v>
      </c>
      <c r="F86" s="954">
        <f>Calculation!AF89</f>
        <v>40.222000000000001</v>
      </c>
      <c r="G86" s="954">
        <f>Calculation!AG89</f>
        <v>72.399599999999992</v>
      </c>
      <c r="H86" s="955" t="str">
        <f>Sheet1!H91</f>
        <v>o/s</v>
      </c>
      <c r="I86" s="935">
        <f>Sheet1!DA91</f>
        <v>3700</v>
      </c>
      <c r="J86" s="935">
        <f>Sheet1!DB91</f>
        <v>2060</v>
      </c>
      <c r="K86" s="935">
        <f>Sheet1!CZ91</f>
        <v>1990</v>
      </c>
      <c r="L86" s="959">
        <f>Calculation!F89</f>
        <v>250</v>
      </c>
      <c r="M86" s="959">
        <f>Calculation!E89</f>
        <v>250</v>
      </c>
      <c r="N86" s="959">
        <f>Calculation!D89</f>
        <v>300</v>
      </c>
      <c r="O86" s="985">
        <f>Sheet1!DC91</f>
        <v>1132.9100000000001</v>
      </c>
      <c r="P86" s="986" t="e">
        <f>Calculation!FD89</f>
        <v>#N/A</v>
      </c>
      <c r="Q86" s="994">
        <f>Calculation!DP89</f>
        <v>18568.200000045676</v>
      </c>
      <c r="R86" s="985">
        <f t="shared" si="20"/>
        <v>17949.200000045676</v>
      </c>
      <c r="S86" s="987">
        <f t="shared" si="25"/>
        <v>647.20000000215805</v>
      </c>
      <c r="T86" s="994">
        <f ca="1">IF(A86&gt;$A$1,#N/A,VLOOKUP(A86,Calculation!$B$8:$JF$503,40,FALSE))</f>
        <v>4707.7710865618101</v>
      </c>
      <c r="U86" s="987">
        <f t="shared" si="26"/>
        <v>0</v>
      </c>
      <c r="V86" s="987">
        <f>Calculation!AZ89</f>
        <v>0</v>
      </c>
      <c r="W86" s="994">
        <f t="shared" ca="1" si="23"/>
        <v>0</v>
      </c>
      <c r="X86" s="987">
        <v>0</v>
      </c>
      <c r="Y86" s="987">
        <f t="shared" ca="1" si="27"/>
        <v>0</v>
      </c>
      <c r="Z86" s="987">
        <f t="shared" ca="1" si="28"/>
        <v>0</v>
      </c>
      <c r="AA86" s="994">
        <f t="shared" ca="1" si="21"/>
        <v>13860.428913483865</v>
      </c>
      <c r="AB86" s="1093">
        <f t="shared" ca="1" si="22"/>
        <v>13241.428913483865</v>
      </c>
      <c r="AC86" s="954" t="e">
        <f ca="1">IF(A86&gt;$A$1,#N/A,VLOOKUP(A86,Calculation!$B$8:$JF$503,165,FALSE))</f>
        <v>#N/A</v>
      </c>
      <c r="AD86" s="418" t="e">
        <f t="shared" ca="1" si="29"/>
        <v>#N/A</v>
      </c>
      <c r="AE86" s="418"/>
      <c r="AF86" s="935">
        <f>Calculation!G89</f>
        <v>2316.3741805356317</v>
      </c>
      <c r="AG86" s="941" t="str">
        <f t="shared" si="30"/>
        <v>Yes</v>
      </c>
      <c r="AH86" s="941" t="str">
        <f t="shared" si="31"/>
        <v>Yes</v>
      </c>
      <c r="AI86" s="963">
        <v>8647.7500000165528</v>
      </c>
      <c r="AJ86" s="964">
        <v>6165.0000000131786</v>
      </c>
      <c r="AK86" s="964">
        <v>10070.800000022118</v>
      </c>
      <c r="AN86" s="447"/>
      <c r="AO86" s="430"/>
      <c r="AP86" s="462"/>
      <c r="AQ86" s="461"/>
      <c r="AR86" s="461"/>
      <c r="AS86" s="463"/>
      <c r="AU86" s="453"/>
      <c r="AV86" s="452"/>
      <c r="AW86" s="453"/>
      <c r="AX86" s="452"/>
      <c r="AY86" s="453"/>
      <c r="AZ86" s="452"/>
      <c r="BA86" s="449"/>
    </row>
    <row r="87" spans="1:53" ht="13.5" thickBot="1">
      <c r="A87" s="425">
        <v>41718</v>
      </c>
      <c r="B87" s="954">
        <f t="shared" si="24"/>
        <v>72.399599999999992</v>
      </c>
      <c r="C87" s="954">
        <f>Calculation!AK90</f>
        <v>86.709487008086256</v>
      </c>
      <c r="D87" s="954">
        <f>Calculation!AI90</f>
        <v>0</v>
      </c>
      <c r="E87" s="954">
        <f>Calculation!AE90</f>
        <v>32.177599999999998</v>
      </c>
      <c r="F87" s="954">
        <f>Calculation!AF90</f>
        <v>40.222000000000001</v>
      </c>
      <c r="G87" s="954">
        <f>Calculation!AG90</f>
        <v>72.399599999999992</v>
      </c>
      <c r="H87" s="955" t="str">
        <f>Sheet1!H92</f>
        <v>o/s</v>
      </c>
      <c r="I87" s="935">
        <f>Sheet1!DA92</f>
        <v>3200</v>
      </c>
      <c r="J87" s="935">
        <f>Sheet1!DB92</f>
        <v>1800</v>
      </c>
      <c r="K87" s="935">
        <f>Sheet1!CZ92</f>
        <v>1740</v>
      </c>
      <c r="L87" s="959">
        <f>Calculation!F90</f>
        <v>250</v>
      </c>
      <c r="M87" s="959">
        <f>Calculation!E90</f>
        <v>250</v>
      </c>
      <c r="N87" s="959">
        <f>Calculation!D90</f>
        <v>300</v>
      </c>
      <c r="O87" s="985">
        <f>Sheet1!DC92</f>
        <v>1133.68</v>
      </c>
      <c r="P87" s="986" t="e">
        <f>Calculation!FD90</f>
        <v>#N/A</v>
      </c>
      <c r="Q87" s="994">
        <f>Calculation!DP90</f>
        <v>19054.40000004684</v>
      </c>
      <c r="R87" s="985">
        <f t="shared" si="20"/>
        <v>18435.40000004684</v>
      </c>
      <c r="S87" s="987">
        <f t="shared" si="25"/>
        <v>486.20000000116488</v>
      </c>
      <c r="T87" s="994">
        <f ca="1">IF(A87&gt;$A$1,#N/A,VLOOKUP(A87,Calculation!$B$8:$JF$503,40,FALSE))</f>
        <v>4879.732758275326</v>
      </c>
      <c r="U87" s="987">
        <f t="shared" si="26"/>
        <v>0</v>
      </c>
      <c r="V87" s="987">
        <f>Calculation!AZ90</f>
        <v>0</v>
      </c>
      <c r="W87" s="994">
        <f t="shared" ca="1" si="23"/>
        <v>0</v>
      </c>
      <c r="X87" s="987">
        <v>0</v>
      </c>
      <c r="Y87" s="987">
        <f t="shared" ca="1" si="27"/>
        <v>0</v>
      </c>
      <c r="Z87" s="987">
        <f t="shared" ca="1" si="28"/>
        <v>0</v>
      </c>
      <c r="AA87" s="994">
        <f t="shared" ca="1" si="21"/>
        <v>14174.667241771514</v>
      </c>
      <c r="AB87" s="1093">
        <f t="shared" ca="1" si="22"/>
        <v>13555.667241771514</v>
      </c>
      <c r="AC87" s="954" t="e">
        <f ca="1">IF(A87&gt;$A$1,#N/A,VLOOKUP(A87,Calculation!$B$8:$JF$503,165,FALSE))</f>
        <v>#N/A</v>
      </c>
      <c r="AD87" s="418" t="e">
        <f t="shared" ca="1" si="29"/>
        <v>#N/A</v>
      </c>
      <c r="AE87" s="418"/>
      <c r="AF87" s="935">
        <f>Calculation!G90</f>
        <v>1985.1840645492512</v>
      </c>
      <c r="AG87" s="941" t="str">
        <f t="shared" si="30"/>
        <v>Yes</v>
      </c>
      <c r="AH87" s="941" t="str">
        <f t="shared" si="31"/>
        <v>Yes</v>
      </c>
      <c r="AI87" s="963">
        <v>9060.5800000173913</v>
      </c>
      <c r="AJ87" s="964">
        <v>6408.6000000134336</v>
      </c>
      <c r="AK87" s="964">
        <v>10070.800000022118</v>
      </c>
      <c r="AN87" s="447"/>
      <c r="AO87" s="430"/>
      <c r="AP87" s="462"/>
      <c r="AQ87" s="461"/>
      <c r="AR87" s="461"/>
      <c r="AS87" s="463"/>
      <c r="AU87" s="453"/>
      <c r="AV87" s="452"/>
      <c r="AW87" s="453"/>
      <c r="AX87" s="452"/>
      <c r="AY87" s="453"/>
      <c r="AZ87" s="452"/>
      <c r="BA87" s="449"/>
    </row>
    <row r="88" spans="1:53" ht="13.5" thickBot="1">
      <c r="A88" s="425">
        <v>41719</v>
      </c>
      <c r="B88" s="954">
        <f t="shared" si="24"/>
        <v>72.554299999999998</v>
      </c>
      <c r="C88" s="954">
        <f>Calculation!AK91</f>
        <v>86.72610916666666</v>
      </c>
      <c r="D88" s="954">
        <f>Calculation!AI91</f>
        <v>0</v>
      </c>
      <c r="E88" s="954">
        <f>Calculation!AE91</f>
        <v>32.177599999999998</v>
      </c>
      <c r="F88" s="954">
        <f>Calculation!AF91</f>
        <v>40.3767</v>
      </c>
      <c r="G88" s="954">
        <f>Calculation!AG91</f>
        <v>72.554300000000012</v>
      </c>
      <c r="H88" s="955" t="str">
        <f>Sheet1!H93</f>
        <v>o/s</v>
      </c>
      <c r="I88" s="935">
        <f>Sheet1!DA93</f>
        <v>2770</v>
      </c>
      <c r="J88" s="935">
        <f>Sheet1!DB93</f>
        <v>1440</v>
      </c>
      <c r="K88" s="935">
        <f>Sheet1!CZ93</f>
        <v>1400</v>
      </c>
      <c r="L88" s="959">
        <f>Calculation!F91</f>
        <v>250</v>
      </c>
      <c r="M88" s="959">
        <f>Calculation!E91</f>
        <v>250</v>
      </c>
      <c r="N88" s="959">
        <f>Calculation!D91</f>
        <v>300</v>
      </c>
      <c r="O88" s="985">
        <f>Sheet1!DC93</f>
        <v>1134.4000000000001</v>
      </c>
      <c r="P88" s="986" t="e">
        <f>Calculation!FD91</f>
        <v>#N/A</v>
      </c>
      <c r="Q88" s="994">
        <f>Calculation!DP91</f>
        <v>19518.000000048771</v>
      </c>
      <c r="R88" s="985">
        <f t="shared" si="20"/>
        <v>18899.000000048771</v>
      </c>
      <c r="S88" s="987">
        <f t="shared" si="25"/>
        <v>463.60000000193031</v>
      </c>
      <c r="T88" s="994">
        <f ca="1">IF(A88&gt;$A$1,#N/A,VLOOKUP(A88,Calculation!$B$8:$JF$503,40,FALSE))</f>
        <v>5051.7273949419932</v>
      </c>
      <c r="U88" s="987">
        <f t="shared" si="26"/>
        <v>0</v>
      </c>
      <c r="V88" s="987">
        <f>Calculation!AZ91</f>
        <v>0</v>
      </c>
      <c r="W88" s="994">
        <f t="shared" ca="1" si="23"/>
        <v>0</v>
      </c>
      <c r="X88" s="987">
        <v>0</v>
      </c>
      <c r="Y88" s="987">
        <f t="shared" ca="1" si="27"/>
        <v>0</v>
      </c>
      <c r="Z88" s="987">
        <f t="shared" ca="1" si="28"/>
        <v>0</v>
      </c>
      <c r="AA88" s="994">
        <f t="shared" ca="1" si="21"/>
        <v>14466.272605106777</v>
      </c>
      <c r="AB88" s="1093">
        <f t="shared" ca="1" si="22"/>
        <v>13847.272605106777</v>
      </c>
      <c r="AC88" s="954" t="e">
        <f ca="1">IF(A88&gt;$A$1,#N/A,VLOOKUP(A88,Calculation!$B$8:$JF$503,165,FALSE))</f>
        <v>#N/A</v>
      </c>
      <c r="AD88" s="418" t="e">
        <f t="shared" ca="1" si="29"/>
        <v>#N/A</v>
      </c>
      <c r="AE88" s="418"/>
      <c r="AF88" s="935">
        <f>Calculation!G91</f>
        <v>1633.7871911255322</v>
      </c>
      <c r="AG88" s="941" t="str">
        <f t="shared" si="30"/>
        <v>Yes</v>
      </c>
      <c r="AH88" s="941" t="str">
        <f t="shared" si="31"/>
        <v>Yes</v>
      </c>
      <c r="AI88" s="963">
        <v>9398.2800000182251</v>
      </c>
      <c r="AJ88" s="964">
        <v>6790.5000000142427</v>
      </c>
      <c r="AK88" s="964">
        <v>10607.000000023738</v>
      </c>
      <c r="AN88" s="447"/>
      <c r="AO88" s="430"/>
      <c r="AP88" s="462"/>
      <c r="AQ88" s="461"/>
      <c r="AR88" s="461"/>
      <c r="AS88" s="463"/>
      <c r="AU88" s="453"/>
      <c r="AV88" s="452"/>
      <c r="AW88" s="453"/>
      <c r="AX88" s="452"/>
      <c r="AY88" s="453"/>
      <c r="AZ88" s="452"/>
      <c r="BA88" s="449"/>
    </row>
    <row r="89" spans="1:53" ht="13.5" thickBot="1">
      <c r="A89" s="425">
        <v>41720</v>
      </c>
      <c r="B89" s="954">
        <f t="shared" si="24"/>
        <v>72.090199999999996</v>
      </c>
      <c r="C89" s="954">
        <f>Calculation!AK92</f>
        <v>86.673051576524742</v>
      </c>
      <c r="D89" s="954">
        <f>Calculation!AI92</f>
        <v>0</v>
      </c>
      <c r="E89" s="954">
        <f>Calculation!AE92</f>
        <v>32.0229</v>
      </c>
      <c r="F89" s="954">
        <f>Calculation!AF92</f>
        <v>40.067299999999996</v>
      </c>
      <c r="G89" s="954">
        <f>Calculation!AG92</f>
        <v>72.090199999999982</v>
      </c>
      <c r="H89" s="955" t="str">
        <f>Sheet1!H94</f>
        <v>o/s</v>
      </c>
      <c r="I89" s="935">
        <f>Sheet1!DA94</f>
        <v>2650</v>
      </c>
      <c r="J89" s="935">
        <f>Sheet1!DB94</f>
        <v>1410</v>
      </c>
      <c r="K89" s="935">
        <f>Sheet1!CZ94</f>
        <v>1400</v>
      </c>
      <c r="L89" s="959">
        <f>Calculation!F92</f>
        <v>250</v>
      </c>
      <c r="M89" s="959">
        <f>Calculation!E92</f>
        <v>250</v>
      </c>
      <c r="N89" s="959">
        <f>Calculation!D92</f>
        <v>300</v>
      </c>
      <c r="O89" s="985">
        <f>Sheet1!DC94</f>
        <v>1134.9000000000001</v>
      </c>
      <c r="P89" s="986" t="e">
        <f>Calculation!FD92</f>
        <v>#N/A</v>
      </c>
      <c r="Q89" s="994">
        <f>Calculation!DP92</f>
        <v>19844.000000049069</v>
      </c>
      <c r="R89" s="985">
        <f t="shared" si="20"/>
        <v>19225.000000049069</v>
      </c>
      <c r="S89" s="987">
        <f t="shared" si="25"/>
        <v>326.00000000029831</v>
      </c>
      <c r="T89" s="994">
        <f ca="1">IF(A89&gt;$A$1,#N/A,VLOOKUP(A89,Calculation!$B$8:$JF$503,40,FALSE))</f>
        <v>5223.6168081525793</v>
      </c>
      <c r="U89" s="987">
        <f t="shared" si="26"/>
        <v>0</v>
      </c>
      <c r="V89" s="987">
        <f>Calculation!AZ92</f>
        <v>0</v>
      </c>
      <c r="W89" s="994">
        <f t="shared" ca="1" si="23"/>
        <v>0</v>
      </c>
      <c r="X89" s="987">
        <v>0</v>
      </c>
      <c r="Y89" s="987">
        <f t="shared" ca="1" si="27"/>
        <v>0</v>
      </c>
      <c r="Z89" s="987">
        <f t="shared" ca="1" si="28"/>
        <v>0</v>
      </c>
      <c r="AA89" s="994">
        <f t="shared" ca="1" si="21"/>
        <v>14620.38319189649</v>
      </c>
      <c r="AB89" s="1093">
        <f t="shared" ca="1" si="22"/>
        <v>14001.38319189649</v>
      </c>
      <c r="AC89" s="954" t="e">
        <f ca="1">IF(A89&gt;$A$1,#N/A,VLOOKUP(A89,Calculation!$B$8:$JF$503,165,FALSE))</f>
        <v>#N/A</v>
      </c>
      <c r="AD89" s="418" t="e">
        <f t="shared" ca="1" si="29"/>
        <v>#N/A</v>
      </c>
      <c r="AE89" s="418"/>
      <c r="AF89" s="935">
        <f>Calculation!G92</f>
        <v>1564.3973777106901</v>
      </c>
      <c r="AG89" s="941" t="str">
        <f t="shared" si="30"/>
        <v>Yes</v>
      </c>
      <c r="AH89" s="941" t="str">
        <f t="shared" si="31"/>
        <v>Yes</v>
      </c>
      <c r="AI89" s="963">
        <v>9678.360000018969</v>
      </c>
      <c r="AJ89" s="964">
        <v>7019.7000000144408</v>
      </c>
      <c r="AK89" s="964">
        <v>11210.200000025498</v>
      </c>
      <c r="AN89" s="447"/>
      <c r="AO89" s="430"/>
      <c r="AP89" s="462"/>
      <c r="AQ89" s="461"/>
      <c r="AR89" s="461"/>
      <c r="AS89" s="463"/>
      <c r="AU89" s="453"/>
      <c r="AV89" s="452"/>
      <c r="AW89" s="453"/>
      <c r="AX89" s="452"/>
      <c r="AY89" s="453"/>
      <c r="AZ89" s="452"/>
      <c r="BA89" s="449"/>
    </row>
    <row r="90" spans="1:53" ht="13.5" thickBot="1">
      <c r="A90" s="425">
        <v>41721</v>
      </c>
      <c r="B90" s="954">
        <f t="shared" si="24"/>
        <v>72.322249999999997</v>
      </c>
      <c r="C90" s="954">
        <f>Calculation!AK93</f>
        <v>86.714601939953809</v>
      </c>
      <c r="D90" s="954">
        <f>Calculation!AI93</f>
        <v>0</v>
      </c>
      <c r="E90" s="954">
        <f>Calculation!AE93</f>
        <v>32.100249999999996</v>
      </c>
      <c r="F90" s="954">
        <f>Calculation!AF93</f>
        <v>40.222000000000001</v>
      </c>
      <c r="G90" s="954">
        <f>Calculation!AG93</f>
        <v>72.322249999999997</v>
      </c>
      <c r="H90" s="955" t="str">
        <f>Sheet1!H95</f>
        <v>o/s</v>
      </c>
      <c r="I90" s="935">
        <f>Sheet1!DA95</f>
        <v>2550</v>
      </c>
      <c r="J90" s="935">
        <f>Sheet1!DB95</f>
        <v>1390</v>
      </c>
      <c r="K90" s="935">
        <f>Sheet1!CZ95</f>
        <v>1400</v>
      </c>
      <c r="L90" s="959">
        <f>Calculation!F93</f>
        <v>250</v>
      </c>
      <c r="M90" s="959">
        <f>Calculation!E93</f>
        <v>250</v>
      </c>
      <c r="N90" s="959">
        <f>Calculation!D93</f>
        <v>300</v>
      </c>
      <c r="O90" s="985">
        <f>Sheet1!DC95</f>
        <v>1134.8599999999999</v>
      </c>
      <c r="P90" s="986" t="e">
        <f>Calculation!FD93</f>
        <v>#N/A</v>
      </c>
      <c r="Q90" s="994">
        <f>Calculation!DP93</f>
        <v>19817.600000049672</v>
      </c>
      <c r="R90" s="985">
        <f t="shared" si="20"/>
        <v>19198.600000049672</v>
      </c>
      <c r="S90" s="987">
        <f t="shared" si="25"/>
        <v>-26.399999999397551</v>
      </c>
      <c r="T90" s="994">
        <f ca="1">IF(A90&gt;$A$1,#N/A,VLOOKUP(A90,Calculation!$B$8:$JF$503,40,FALSE))</f>
        <v>5395.5886237645891</v>
      </c>
      <c r="U90" s="987">
        <f t="shared" si="26"/>
        <v>0</v>
      </c>
      <c r="V90" s="987">
        <f>Calculation!AZ93</f>
        <v>0</v>
      </c>
      <c r="W90" s="994">
        <f t="shared" ca="1" si="23"/>
        <v>0</v>
      </c>
      <c r="X90" s="987">
        <v>0</v>
      </c>
      <c r="Y90" s="987">
        <f t="shared" ca="1" si="27"/>
        <v>0</v>
      </c>
      <c r="Z90" s="987">
        <f t="shared" ca="1" si="28"/>
        <v>0</v>
      </c>
      <c r="AA90" s="994">
        <f t="shared" ca="1" si="21"/>
        <v>14422.011376285081</v>
      </c>
      <c r="AB90" s="1093">
        <f t="shared" ca="1" si="22"/>
        <v>13803.011376285081</v>
      </c>
      <c r="AC90" s="954" t="e">
        <f ca="1">IF(A90&gt;$A$1,#N/A,VLOOKUP(A90,Calculation!$B$8:$JF$503,165,FALSE))</f>
        <v>#N/A</v>
      </c>
      <c r="AD90" s="418" t="e">
        <f t="shared" ca="1" si="29"/>
        <v>#N/A</v>
      </c>
      <c r="AE90" s="418"/>
      <c r="AF90" s="935">
        <f>Calculation!G93</f>
        <v>1386.6868381243582</v>
      </c>
      <c r="AG90" s="941" t="str">
        <f t="shared" si="30"/>
        <v>Yes</v>
      </c>
      <c r="AH90" s="941" t="str">
        <f t="shared" si="31"/>
        <v>Yes</v>
      </c>
      <c r="AI90" s="963">
        <v>9854.3600000191291</v>
      </c>
      <c r="AJ90" s="964">
        <v>7375.2000000157886</v>
      </c>
      <c r="AK90" s="964">
        <v>11804.000000027312</v>
      </c>
      <c r="AN90" s="447"/>
      <c r="AO90" s="430"/>
      <c r="AP90" s="462"/>
      <c r="AQ90" s="461"/>
      <c r="AR90" s="461"/>
      <c r="AS90" s="463"/>
      <c r="AU90" s="453"/>
      <c r="AV90" s="452"/>
      <c r="AW90" s="453"/>
      <c r="AX90" s="452"/>
      <c r="AY90" s="453"/>
      <c r="AZ90" s="452"/>
      <c r="BA90" s="449"/>
    </row>
    <row r="91" spans="1:53" ht="13.5" thickBot="1">
      <c r="A91" s="425">
        <v>41722</v>
      </c>
      <c r="B91" s="954">
        <f t="shared" si="24"/>
        <v>72.260369999999995</v>
      </c>
      <c r="C91" s="954">
        <f>Calculation!AK94</f>
        <v>86.606252311827959</v>
      </c>
      <c r="D91" s="954">
        <f>Calculation!AI94</f>
        <v>0</v>
      </c>
      <c r="E91" s="954">
        <f>Calculation!AE94</f>
        <v>31.945549999999997</v>
      </c>
      <c r="F91" s="954">
        <f>Calculation!AF94</f>
        <v>40.314819999999997</v>
      </c>
      <c r="G91" s="954">
        <f>Calculation!AG94</f>
        <v>72.26036999999998</v>
      </c>
      <c r="H91" s="955" t="str">
        <f>Sheet1!H96</f>
        <v>o/s</v>
      </c>
      <c r="I91" s="935">
        <f>Sheet1!DA96</f>
        <v>2170</v>
      </c>
      <c r="J91" s="935">
        <f>Sheet1!DB96</f>
        <v>1080</v>
      </c>
      <c r="K91" s="935">
        <f>Sheet1!CZ96</f>
        <v>1080</v>
      </c>
      <c r="L91" s="959">
        <f>Calculation!F94</f>
        <v>250</v>
      </c>
      <c r="M91" s="959">
        <f>Calculation!E94</f>
        <v>250</v>
      </c>
      <c r="N91" s="959">
        <f>Calculation!D94</f>
        <v>300</v>
      </c>
      <c r="O91" s="985">
        <f>Sheet1!DC96</f>
        <v>1134.8699999999999</v>
      </c>
      <c r="P91" s="986" t="e">
        <f>Calculation!FD94</f>
        <v>#N/A</v>
      </c>
      <c r="Q91" s="994">
        <f>Calculation!DP94</f>
        <v>19824.200000049674</v>
      </c>
      <c r="R91" s="985">
        <f t="shared" si="20"/>
        <v>19205.200000049674</v>
      </c>
      <c r="S91" s="987">
        <f t="shared" si="25"/>
        <v>6.6000000000021828</v>
      </c>
      <c r="T91" s="994">
        <f ca="1">IF(A91&gt;$A$1,#N/A,VLOOKUP(A91,Calculation!$B$8:$JF$503,40,FALSE))</f>
        <v>5567.345561122499</v>
      </c>
      <c r="U91" s="987">
        <f t="shared" si="26"/>
        <v>0</v>
      </c>
      <c r="V91" s="987">
        <f>Calculation!AZ94</f>
        <v>0</v>
      </c>
      <c r="W91" s="994">
        <f t="shared" ca="1" si="23"/>
        <v>0</v>
      </c>
      <c r="X91" s="987">
        <v>0</v>
      </c>
      <c r="Y91" s="987">
        <f t="shared" ca="1" si="27"/>
        <v>0</v>
      </c>
      <c r="Z91" s="987">
        <f t="shared" ca="1" si="28"/>
        <v>0</v>
      </c>
      <c r="AA91" s="994">
        <f t="shared" ca="1" si="21"/>
        <v>14256.854438927174</v>
      </c>
      <c r="AB91" s="1093">
        <f t="shared" ca="1" si="22"/>
        <v>13637.854438927174</v>
      </c>
      <c r="AC91" s="954" t="e">
        <f ca="1">IF(A91&gt;$A$1,#N/A,VLOOKUP(A91,Calculation!$B$8:$JF$503,165,FALSE))</f>
        <v>#N/A</v>
      </c>
      <c r="AD91" s="418" t="e">
        <f t="shared" ca="1" si="29"/>
        <v>#N/A</v>
      </c>
      <c r="AE91" s="418"/>
      <c r="AF91" s="935">
        <f>Calculation!G94</f>
        <v>1083.3282904689875</v>
      </c>
      <c r="AG91" s="941" t="str">
        <f t="shared" si="30"/>
        <v>Yes</v>
      </c>
      <c r="AH91" s="941" t="str">
        <f t="shared" si="31"/>
        <v>Yes</v>
      </c>
      <c r="AI91" s="963">
        <v>10237.750000019945</v>
      </c>
      <c r="AJ91" s="964">
        <v>7657.4000000160704</v>
      </c>
      <c r="AK91" s="964">
        <v>12003.000000027512</v>
      </c>
      <c r="AN91" s="447"/>
      <c r="AO91" s="430"/>
      <c r="AP91" s="462"/>
      <c r="AQ91" s="461"/>
      <c r="AR91" s="461"/>
      <c r="AS91" s="463"/>
      <c r="AU91" s="453"/>
      <c r="AV91" s="452"/>
      <c r="AW91" s="453"/>
      <c r="AX91" s="452"/>
      <c r="AY91" s="453"/>
      <c r="AZ91" s="452"/>
      <c r="BA91" s="449"/>
    </row>
    <row r="92" spans="1:53" ht="13.5" thickBot="1">
      <c r="A92" s="425">
        <v>41723</v>
      </c>
      <c r="B92" s="954">
        <f t="shared" si="24"/>
        <v>71.997379999999993</v>
      </c>
      <c r="C92" s="954">
        <f>Calculation!AK95</f>
        <v>86.601024395857308</v>
      </c>
      <c r="D92" s="954">
        <f>Calculation!AI95</f>
        <v>0</v>
      </c>
      <c r="E92" s="954">
        <f>Calculation!AE95</f>
        <v>31.7135</v>
      </c>
      <c r="F92" s="954">
        <f>Calculation!AF95</f>
        <v>40.283879999999996</v>
      </c>
      <c r="G92" s="954">
        <f>Calculation!AG95</f>
        <v>71.997379999999993</v>
      </c>
      <c r="H92" s="955" t="str">
        <f>Sheet1!H97</f>
        <v>o/s</v>
      </c>
      <c r="I92" s="935">
        <f>Sheet1!DA97</f>
        <v>2130</v>
      </c>
      <c r="J92" s="935">
        <f>Sheet1!DB97</f>
        <v>1080</v>
      </c>
      <c r="K92" s="935">
        <f>Sheet1!CZ97</f>
        <v>1090</v>
      </c>
      <c r="L92" s="959">
        <f>Calculation!F95</f>
        <v>250</v>
      </c>
      <c r="M92" s="959">
        <f>Calculation!E95</f>
        <v>250</v>
      </c>
      <c r="N92" s="959">
        <f>Calculation!D95</f>
        <v>300</v>
      </c>
      <c r="O92" s="985">
        <f>Sheet1!DC97</f>
        <v>1135.26</v>
      </c>
      <c r="P92" s="986" t="e">
        <f>Calculation!FD95</f>
        <v>#N/A</v>
      </c>
      <c r="Q92" s="994">
        <f>Calculation!DP95</f>
        <v>20083.200000050729</v>
      </c>
      <c r="R92" s="985">
        <f t="shared" si="20"/>
        <v>19464.200000050729</v>
      </c>
      <c r="S92" s="987">
        <f t="shared" si="25"/>
        <v>259.00000000105501</v>
      </c>
      <c r="T92" s="994">
        <f ca="1">IF(A92&gt;$A$1,#N/A,VLOOKUP(A92,Calculation!$B$8:$JF$503,40,FALSE))</f>
        <v>5739.0921305126021</v>
      </c>
      <c r="U92" s="987">
        <f t="shared" si="26"/>
        <v>0</v>
      </c>
      <c r="V92" s="987">
        <f>Calculation!AZ95</f>
        <v>0</v>
      </c>
      <c r="W92" s="994">
        <f t="shared" ca="1" si="23"/>
        <v>0</v>
      </c>
      <c r="X92" s="987">
        <v>0</v>
      </c>
      <c r="Y92" s="987">
        <f t="shared" ca="1" si="27"/>
        <v>0</v>
      </c>
      <c r="Z92" s="987">
        <f t="shared" ca="1" si="28"/>
        <v>0</v>
      </c>
      <c r="AA92" s="994">
        <f t="shared" ca="1" si="21"/>
        <v>14344.107869538126</v>
      </c>
      <c r="AB92" s="1093">
        <f t="shared" ca="1" si="22"/>
        <v>13725.107869538126</v>
      </c>
      <c r="AC92" s="954" t="e">
        <f ca="1">IF(A92&gt;$A$1,#N/A,VLOOKUP(A92,Calculation!$B$8:$JF$503,165,FALSE))</f>
        <v>#N/A</v>
      </c>
      <c r="AD92" s="418" t="e">
        <f t="shared" ca="1" si="29"/>
        <v>#N/A</v>
      </c>
      <c r="AE92" s="418"/>
      <c r="AF92" s="935">
        <f>Calculation!G95</f>
        <v>1220.6101865865128</v>
      </c>
      <c r="AG92" s="941" t="str">
        <f t="shared" si="30"/>
        <v>Yes</v>
      </c>
      <c r="AH92" s="941" t="str">
        <f t="shared" si="31"/>
        <v>Yes</v>
      </c>
      <c r="AI92" s="963">
        <v>10684.16000002092</v>
      </c>
      <c r="AJ92" s="964">
        <v>7939.8000000168076</v>
      </c>
      <c r="AK92" s="964">
        <v>12203.000000028867</v>
      </c>
      <c r="AN92" s="447"/>
      <c r="AO92" s="430"/>
      <c r="AP92" s="462"/>
      <c r="AQ92" s="461"/>
      <c r="AR92" s="461"/>
      <c r="AS92" s="463"/>
      <c r="AU92" s="453"/>
      <c r="AV92" s="452"/>
      <c r="AW92" s="453"/>
      <c r="AX92" s="452"/>
      <c r="AY92" s="453"/>
      <c r="AZ92" s="452"/>
      <c r="BA92" s="449"/>
    </row>
    <row r="93" spans="1:53" ht="13.5" thickBot="1">
      <c r="A93" s="425">
        <v>41724</v>
      </c>
      <c r="B93" s="954">
        <f t="shared" si="24"/>
        <v>72.043790000000001</v>
      </c>
      <c r="C93" s="954">
        <f>Calculation!AK96</f>
        <v>86.658047218160831</v>
      </c>
      <c r="D93" s="954">
        <f>Calculation!AI96</f>
        <v>0</v>
      </c>
      <c r="E93" s="954">
        <f>Calculation!AE96</f>
        <v>31.72897</v>
      </c>
      <c r="F93" s="954">
        <f>Calculation!AF96</f>
        <v>40.314819999999997</v>
      </c>
      <c r="G93" s="954">
        <f>Calculation!AG96</f>
        <v>72.043790000000001</v>
      </c>
      <c r="H93" s="955" t="str">
        <f>Sheet1!H98</f>
        <v>o/s</v>
      </c>
      <c r="I93" s="935">
        <f>Sheet1!DA98</f>
        <v>2090</v>
      </c>
      <c r="J93" s="935">
        <f>Sheet1!DB98</f>
        <v>1070</v>
      </c>
      <c r="K93" s="935">
        <f>Sheet1!CZ98</f>
        <v>1060</v>
      </c>
      <c r="L93" s="959">
        <f>Calculation!F96</f>
        <v>250</v>
      </c>
      <c r="M93" s="959">
        <f>Calculation!E96</f>
        <v>250</v>
      </c>
      <c r="N93" s="959">
        <f>Calculation!D96</f>
        <v>300</v>
      </c>
      <c r="O93" s="985">
        <f>Sheet1!DC98</f>
        <v>1135.7</v>
      </c>
      <c r="P93" s="986" t="e">
        <f>Calculation!FD96</f>
        <v>#N/A</v>
      </c>
      <c r="Q93" s="994">
        <f>Calculation!DP96</f>
        <v>20378.000000050273</v>
      </c>
      <c r="R93" s="985">
        <f t="shared" si="20"/>
        <v>19759.000000050273</v>
      </c>
      <c r="S93" s="987">
        <f t="shared" si="25"/>
        <v>294.79999999954453</v>
      </c>
      <c r="T93" s="994">
        <f ca="1">IF(A93&gt;$A$1,#N/A,VLOOKUP(A93,Calculation!$B$8:$JF$503,40,FALSE))</f>
        <v>5910.951787180551</v>
      </c>
      <c r="U93" s="987">
        <f t="shared" si="26"/>
        <v>0</v>
      </c>
      <c r="V93" s="987">
        <f>Calculation!AZ96</f>
        <v>0</v>
      </c>
      <c r="W93" s="994">
        <f t="shared" ca="1" si="23"/>
        <v>0</v>
      </c>
      <c r="X93" s="987">
        <v>0</v>
      </c>
      <c r="Y93" s="987">
        <f t="shared" ca="1" si="27"/>
        <v>0</v>
      </c>
      <c r="Z93" s="987">
        <f t="shared" ca="1" si="28"/>
        <v>0</v>
      </c>
      <c r="AA93" s="994">
        <f t="shared" ca="1" si="21"/>
        <v>14467.048212869722</v>
      </c>
      <c r="AB93" s="1093">
        <f t="shared" ca="1" si="22"/>
        <v>13848.048212869722</v>
      </c>
      <c r="AC93" s="954" t="e">
        <f ca="1">IF(A93&gt;$A$1,#N/A,VLOOKUP(A93,Calculation!$B$8:$JF$503,165,FALSE))</f>
        <v>#N/A</v>
      </c>
      <c r="AD93" s="418" t="e">
        <f t="shared" ca="1" si="29"/>
        <v>#N/A</v>
      </c>
      <c r="AE93" s="418"/>
      <c r="AF93" s="935">
        <f>Calculation!G96</f>
        <v>1208.6636409478288</v>
      </c>
      <c r="AG93" s="941" t="str">
        <f t="shared" si="30"/>
        <v>Yes</v>
      </c>
      <c r="AH93" s="941" t="str">
        <f t="shared" si="31"/>
        <v>Yes</v>
      </c>
      <c r="AI93" s="963">
        <v>10919.4000000216</v>
      </c>
      <c r="AJ93" s="964">
        <v>8370.1000000177828</v>
      </c>
      <c r="AK93" s="964">
        <v>12449.400000029182</v>
      </c>
      <c r="AN93" s="447"/>
      <c r="AO93" s="430"/>
      <c r="AP93" s="462"/>
      <c r="AQ93" s="461"/>
      <c r="AR93" s="461"/>
      <c r="AS93" s="463"/>
      <c r="AU93" s="453"/>
      <c r="AV93" s="452"/>
      <c r="AW93" s="453"/>
      <c r="AX93" s="452"/>
      <c r="AY93" s="453"/>
      <c r="AZ93" s="452"/>
      <c r="BA93" s="449"/>
    </row>
    <row r="94" spans="1:53" ht="13.5" thickBot="1">
      <c r="A94" s="425">
        <v>41725</v>
      </c>
      <c r="B94" s="954">
        <f t="shared" si="24"/>
        <v>72.090199999999996</v>
      </c>
      <c r="C94" s="954">
        <f>Calculation!AK97</f>
        <v>86.621734193548377</v>
      </c>
      <c r="D94" s="954">
        <f>Calculation!AI97</f>
        <v>0</v>
      </c>
      <c r="E94" s="954">
        <f>Calculation!AE97</f>
        <v>31.775379999999998</v>
      </c>
      <c r="F94" s="954">
        <f>Calculation!AF97</f>
        <v>40.314819999999997</v>
      </c>
      <c r="G94" s="954">
        <f>Calculation!AG97</f>
        <v>72.090199999999982</v>
      </c>
      <c r="H94" s="955" t="str">
        <f>Sheet1!H99</f>
        <v>o/s</v>
      </c>
      <c r="I94" s="935">
        <f>Sheet1!DA99</f>
        <v>2050</v>
      </c>
      <c r="J94" s="935">
        <f>Sheet1!DB99</f>
        <v>1060</v>
      </c>
      <c r="K94" s="935">
        <f>Sheet1!CZ99</f>
        <v>1040</v>
      </c>
      <c r="L94" s="959">
        <f>Calculation!F97</f>
        <v>250</v>
      </c>
      <c r="M94" s="959">
        <f>Calculation!E97</f>
        <v>250</v>
      </c>
      <c r="N94" s="959">
        <f>Calculation!D97</f>
        <v>300</v>
      </c>
      <c r="O94" s="985">
        <f>Sheet1!DC99</f>
        <v>1136.23</v>
      </c>
      <c r="P94" s="986" t="e">
        <f>Calculation!FD97</f>
        <v>#N/A</v>
      </c>
      <c r="Q94" s="994">
        <f>Calculation!DP97</f>
        <v>20736.700000052871</v>
      </c>
      <c r="R94" s="985">
        <f t="shared" si="20"/>
        <v>20117.700000052871</v>
      </c>
      <c r="S94" s="987">
        <f t="shared" si="25"/>
        <v>358.70000000259824</v>
      </c>
      <c r="T94" s="994">
        <f ca="1">IF(A94&gt;$A$1,#N/A,VLOOKUP(A94,Calculation!$B$8:$JF$503,40,FALSE))</f>
        <v>6082.7394281022098</v>
      </c>
      <c r="U94" s="987">
        <f t="shared" si="26"/>
        <v>0</v>
      </c>
      <c r="V94" s="987">
        <f>Calculation!AZ97</f>
        <v>0</v>
      </c>
      <c r="W94" s="994">
        <f t="shared" ca="1" si="23"/>
        <v>0</v>
      </c>
      <c r="X94" s="987">
        <v>0</v>
      </c>
      <c r="Y94" s="987">
        <f t="shared" ca="1" si="27"/>
        <v>0</v>
      </c>
      <c r="Z94" s="987">
        <f t="shared" ca="1" si="28"/>
        <v>0</v>
      </c>
      <c r="AA94" s="994">
        <f t="shared" ca="1" si="21"/>
        <v>14653.960571950662</v>
      </c>
      <c r="AB94" s="1093">
        <f t="shared" ca="1" si="22"/>
        <v>14034.960571950662</v>
      </c>
      <c r="AC94" s="954" t="e">
        <f ca="1">IF(A94&gt;$A$1,#N/A,VLOOKUP(A94,Calculation!$B$8:$JF$503,165,FALSE))</f>
        <v>#N/A</v>
      </c>
      <c r="AD94" s="418" t="e">
        <f t="shared" ca="1" si="29"/>
        <v>#N/A</v>
      </c>
      <c r="AE94" s="418"/>
      <c r="AF94" s="935">
        <f>Calculation!G97</f>
        <v>1220.8875441263733</v>
      </c>
      <c r="AG94" s="941" t="str">
        <f t="shared" si="30"/>
        <v>Yes</v>
      </c>
      <c r="AH94" s="941" t="str">
        <f t="shared" si="31"/>
        <v>Yes</v>
      </c>
      <c r="AI94" s="963">
        <v>11133.740000022493</v>
      </c>
      <c r="AJ94" s="964">
        <v>8606.4000000180076</v>
      </c>
      <c r="AK94" s="964">
        <v>12689.200000030029</v>
      </c>
      <c r="AN94" s="447"/>
      <c r="AO94" s="430"/>
      <c r="AP94" s="462"/>
      <c r="AQ94" s="461"/>
      <c r="AR94" s="461"/>
      <c r="AS94" s="463"/>
      <c r="AU94" s="453"/>
      <c r="AV94" s="452"/>
      <c r="AW94" s="453"/>
      <c r="AX94" s="452"/>
      <c r="AY94" s="453"/>
      <c r="AZ94" s="452"/>
      <c r="BA94" s="449"/>
    </row>
    <row r="95" spans="1:53" ht="13.5" thickBot="1">
      <c r="A95" s="425">
        <v>41726</v>
      </c>
      <c r="B95" s="954">
        <f t="shared" si="24"/>
        <v>71.93549999999999</v>
      </c>
      <c r="C95" s="954">
        <f>Calculation!AK98</f>
        <v>87.147490848508326</v>
      </c>
      <c r="D95" s="954">
        <f>Calculation!AI98</f>
        <v>0</v>
      </c>
      <c r="E95" s="954">
        <f>Calculation!AE98</f>
        <v>32.0229</v>
      </c>
      <c r="F95" s="954">
        <f>Calculation!AF98</f>
        <v>39.912599999999998</v>
      </c>
      <c r="G95" s="954">
        <f>Calculation!AG98</f>
        <v>71.93549999999999</v>
      </c>
      <c r="H95" s="955" t="str">
        <f>Sheet1!H100</f>
        <v>o/s</v>
      </c>
      <c r="I95" s="935">
        <f>Sheet1!DA100</f>
        <v>2520</v>
      </c>
      <c r="J95" s="935">
        <f>Sheet1!DB100</f>
        <v>1480</v>
      </c>
      <c r="K95" s="935">
        <f>Sheet1!CZ100</f>
        <v>1440</v>
      </c>
      <c r="L95" s="959">
        <f>Calculation!F98</f>
        <v>250</v>
      </c>
      <c r="M95" s="959">
        <f>Calculation!E98</f>
        <v>250</v>
      </c>
      <c r="N95" s="959">
        <f>Calculation!D98</f>
        <v>300</v>
      </c>
      <c r="O95" s="985">
        <f>Sheet1!DC100</f>
        <v>1137</v>
      </c>
      <c r="P95" s="986" t="e">
        <f>Calculation!FD98</f>
        <v>#N/A</v>
      </c>
      <c r="Q95" s="994">
        <f>Calculation!DP98</f>
        <v>21267.000000054115</v>
      </c>
      <c r="R95" s="985">
        <f t="shared" si="20"/>
        <v>20648.000000054115</v>
      </c>
      <c r="S95" s="987">
        <f t="shared" si="25"/>
        <v>530.30000000124346</v>
      </c>
      <c r="T95" s="994">
        <f ca="1">IF(A95&gt;$A$1,#N/A,VLOOKUP(A95,Calculation!$B$8:$JF$503,40,FALSE))</f>
        <v>6255.5697460874862</v>
      </c>
      <c r="U95" s="987">
        <f t="shared" si="26"/>
        <v>0</v>
      </c>
      <c r="V95" s="987">
        <f>Calculation!AZ98</f>
        <v>0</v>
      </c>
      <c r="W95" s="994">
        <f t="shared" ca="1" si="23"/>
        <v>0</v>
      </c>
      <c r="X95" s="987">
        <v>0</v>
      </c>
      <c r="Y95" s="987">
        <f t="shared" ca="1" si="27"/>
        <v>0</v>
      </c>
      <c r="Z95" s="987">
        <f t="shared" ca="1" si="28"/>
        <v>0</v>
      </c>
      <c r="AA95" s="994">
        <f t="shared" ca="1" si="21"/>
        <v>15011.430253966628</v>
      </c>
      <c r="AB95" s="1093">
        <f t="shared" ca="1" si="22"/>
        <v>14392.430253966628</v>
      </c>
      <c r="AC95" s="954" t="e">
        <f ca="1">IF(A95&gt;$A$1,#N/A,VLOOKUP(A95,Calculation!$B$8:$JF$503,165,FALSE))</f>
        <v>#N/A</v>
      </c>
      <c r="AD95" s="418" t="e">
        <f t="shared" ca="1" si="29"/>
        <v>#N/A</v>
      </c>
      <c r="AE95" s="418"/>
      <c r="AF95" s="935">
        <f>Calculation!G98</f>
        <v>1707.4230963193361</v>
      </c>
      <c r="AG95" s="941" t="str">
        <f t="shared" si="30"/>
        <v>Yes</v>
      </c>
      <c r="AH95" s="941" t="str">
        <f t="shared" si="31"/>
        <v>Yes</v>
      </c>
      <c r="AI95" s="963">
        <v>11387.890000022669</v>
      </c>
      <c r="AJ95" s="964">
        <v>8566.4000000184769</v>
      </c>
      <c r="AK95" s="964">
        <v>12878.200000030136</v>
      </c>
      <c r="AN95" s="447"/>
      <c r="AO95" s="430"/>
      <c r="AP95" s="462"/>
      <c r="AQ95" s="461"/>
      <c r="AR95" s="461"/>
      <c r="AS95" s="463"/>
      <c r="AU95" s="453"/>
      <c r="AV95" s="452"/>
      <c r="AW95" s="453"/>
      <c r="AX95" s="452"/>
      <c r="AY95" s="453"/>
      <c r="AZ95" s="452"/>
      <c r="BA95" s="449"/>
    </row>
    <row r="96" spans="1:53" ht="13.5" thickBot="1">
      <c r="A96" s="425">
        <v>41727</v>
      </c>
      <c r="B96" s="954">
        <f t="shared" si="24"/>
        <v>72.09020000000001</v>
      </c>
      <c r="C96" s="954">
        <f>Calculation!AK99</f>
        <v>86.925628558067018</v>
      </c>
      <c r="D96" s="954">
        <f>Calculation!AI99</f>
        <v>0</v>
      </c>
      <c r="E96" s="954">
        <f>Calculation!AE99</f>
        <v>32.487000000000002</v>
      </c>
      <c r="F96" s="954">
        <f>Calculation!AF99</f>
        <v>39.603200000000001</v>
      </c>
      <c r="G96" s="954">
        <f>Calculation!AG99</f>
        <v>72.090199999999996</v>
      </c>
      <c r="H96" s="955" t="str">
        <f>Sheet1!H101</f>
        <v>o/s</v>
      </c>
      <c r="I96" s="935">
        <f>Sheet1!DA101</f>
        <v>2670</v>
      </c>
      <c r="J96" s="935">
        <f>Sheet1!DB101</f>
        <v>1480</v>
      </c>
      <c r="K96" s="935">
        <f>Sheet1!CZ101</f>
        <v>1440</v>
      </c>
      <c r="L96" s="959">
        <f>Calculation!F99</f>
        <v>250</v>
      </c>
      <c r="M96" s="959">
        <f>Calculation!E99</f>
        <v>250</v>
      </c>
      <c r="N96" s="959">
        <f>Calculation!D99</f>
        <v>300</v>
      </c>
      <c r="O96" s="985">
        <f>Sheet1!DC101</f>
        <v>1137.8</v>
      </c>
      <c r="P96" s="986" t="e">
        <f>Calculation!FD99</f>
        <v>#N/A</v>
      </c>
      <c r="Q96" s="994">
        <f>Calculation!DP99</f>
        <v>21831.000000055374</v>
      </c>
      <c r="R96" s="985">
        <f t="shared" si="20"/>
        <v>21212.000000055374</v>
      </c>
      <c r="S96" s="987">
        <f t="shared" si="25"/>
        <v>564.00000000125874</v>
      </c>
      <c r="T96" s="994">
        <f ca="1">IF(A96&gt;$A$1,#N/A,VLOOKUP(A96,Calculation!$B$8:$JF$503,40,FALSE))</f>
        <v>6427.960068269871</v>
      </c>
      <c r="U96" s="987">
        <f t="shared" si="26"/>
        <v>0</v>
      </c>
      <c r="V96" s="987">
        <f>Calculation!AZ99</f>
        <v>0</v>
      </c>
      <c r="W96" s="994">
        <f t="shared" ca="1" si="23"/>
        <v>0</v>
      </c>
      <c r="X96" s="987">
        <v>0</v>
      </c>
      <c r="Y96" s="987">
        <f t="shared" ca="1" si="27"/>
        <v>0</v>
      </c>
      <c r="Z96" s="987">
        <f t="shared" ca="1" si="28"/>
        <v>0</v>
      </c>
      <c r="AA96" s="994">
        <f t="shared" ca="1" si="21"/>
        <v>15403.039931785503</v>
      </c>
      <c r="AB96" s="1093">
        <f t="shared" ca="1" si="22"/>
        <v>14784.039931785503</v>
      </c>
      <c r="AC96" s="954" t="e">
        <f ca="1">IF(A96&gt;$A$1,#N/A,VLOOKUP(A96,Calculation!$B$8:$JF$503,165,FALSE))</f>
        <v>#N/A</v>
      </c>
      <c r="AD96" s="418" t="e">
        <f t="shared" ca="1" si="29"/>
        <v>#N/A</v>
      </c>
      <c r="AE96" s="418"/>
      <c r="AF96" s="935">
        <f>Calculation!G99</f>
        <v>1724.4175491685621</v>
      </c>
      <c r="AG96" s="941" t="str">
        <f t="shared" si="30"/>
        <v>Yes</v>
      </c>
      <c r="AH96" s="941" t="str">
        <f t="shared" si="31"/>
        <v>Yes</v>
      </c>
      <c r="AI96" s="963">
        <v>11746.690000023615</v>
      </c>
      <c r="AJ96" s="964">
        <v>8563.0000000184773</v>
      </c>
      <c r="AK96" s="964">
        <v>13138.900000031641</v>
      </c>
      <c r="AN96" s="447"/>
      <c r="AO96" s="430"/>
      <c r="AP96" s="462"/>
      <c r="AQ96" s="461"/>
      <c r="AR96" s="461"/>
      <c r="AS96" s="463"/>
      <c r="AU96" s="453"/>
      <c r="AV96" s="452"/>
      <c r="AW96" s="453"/>
      <c r="AX96" s="452"/>
      <c r="AY96" s="453"/>
      <c r="AZ96" s="452"/>
      <c r="BA96" s="449"/>
    </row>
    <row r="97" spans="1:53" ht="13.5" thickBot="1">
      <c r="A97" s="425">
        <v>41728</v>
      </c>
      <c r="B97" s="954">
        <f t="shared" si="24"/>
        <v>72.09020000000001</v>
      </c>
      <c r="C97" s="954">
        <f>Calculation!AK100</f>
        <v>86.905600250685467</v>
      </c>
      <c r="D97" s="954">
        <f>Calculation!AI100</f>
        <v>0</v>
      </c>
      <c r="E97" s="954">
        <f>Calculation!AE100</f>
        <v>32.487000000000002</v>
      </c>
      <c r="F97" s="954">
        <f>Calculation!AF100</f>
        <v>39.603200000000001</v>
      </c>
      <c r="G97" s="954">
        <f>Calculation!AG100</f>
        <v>72.090199999999996</v>
      </c>
      <c r="H97" s="955" t="str">
        <f>Sheet1!H102</f>
        <v>o/s</v>
      </c>
      <c r="I97" s="935">
        <f>Sheet1!DA102</f>
        <v>2570</v>
      </c>
      <c r="J97" s="935">
        <f>Sheet1!DB102</f>
        <v>1490</v>
      </c>
      <c r="K97" s="935">
        <f>Sheet1!CZ102</f>
        <v>1440</v>
      </c>
      <c r="L97" s="959">
        <f>Calculation!F100</f>
        <v>250</v>
      </c>
      <c r="M97" s="959">
        <f>Calculation!E100</f>
        <v>250</v>
      </c>
      <c r="N97" s="959">
        <f>Calculation!D100</f>
        <v>300</v>
      </c>
      <c r="O97" s="985">
        <f>Sheet1!DC102</f>
        <v>1138.4000000000001</v>
      </c>
      <c r="P97" s="986" t="e">
        <f>Calculation!FD100</f>
        <v>#N/A</v>
      </c>
      <c r="Q97" s="994">
        <f>Calculation!DP100</f>
        <v>22261.000000056643</v>
      </c>
      <c r="R97" s="985">
        <f t="shared" si="20"/>
        <v>21642.000000056643</v>
      </c>
      <c r="S97" s="987">
        <f t="shared" si="25"/>
        <v>430.00000000126965</v>
      </c>
      <c r="T97" s="994">
        <f ca="1">IF(A97&gt;$A$1,#N/A,VLOOKUP(A97,Calculation!$B$8:$JF$503,40,FALSE))</f>
        <v>6600.3106704477013</v>
      </c>
      <c r="U97" s="987">
        <f t="shared" si="26"/>
        <v>0</v>
      </c>
      <c r="V97" s="987">
        <f>Calculation!AZ100</f>
        <v>0</v>
      </c>
      <c r="W97" s="994">
        <f t="shared" ca="1" si="23"/>
        <v>0</v>
      </c>
      <c r="X97" s="987">
        <v>0</v>
      </c>
      <c r="Y97" s="987">
        <f t="shared" ca="1" si="27"/>
        <v>0</v>
      </c>
      <c r="Z97" s="987">
        <f t="shared" ca="1" si="28"/>
        <v>0</v>
      </c>
      <c r="AA97" s="994">
        <f t="shared" ca="1" si="21"/>
        <v>15660.689329608942</v>
      </c>
      <c r="AB97" s="1093">
        <f t="shared" ca="1" si="22"/>
        <v>15041.689329608942</v>
      </c>
      <c r="AC97" s="954" t="e">
        <f ca="1">IF(A97&gt;$A$1,#N/A,VLOOKUP(A97,Calculation!$B$8:$JF$503,165,FALSE))</f>
        <v>#N/A</v>
      </c>
      <c r="AD97" s="418" t="e">
        <f t="shared" ca="1" si="29"/>
        <v>#N/A</v>
      </c>
      <c r="AE97" s="418"/>
      <c r="AF97" s="935">
        <f>Calculation!G100</f>
        <v>1656.8431669194501</v>
      </c>
      <c r="AG97" s="941" t="str">
        <f t="shared" si="30"/>
        <v>Yes</v>
      </c>
      <c r="AH97" s="941" t="str">
        <f t="shared" si="31"/>
        <v>Yes</v>
      </c>
      <c r="AI97" s="963">
        <v>16550.520000036016</v>
      </c>
      <c r="AJ97" s="964">
        <v>8944.5000000193377</v>
      </c>
      <c r="AK97" s="964">
        <v>13563.200000032088</v>
      </c>
      <c r="AN97" s="447"/>
      <c r="AO97" s="430"/>
      <c r="AP97" s="462"/>
      <c r="AQ97" s="461"/>
      <c r="AR97" s="461"/>
      <c r="AS97" s="463"/>
      <c r="AU97" s="453"/>
      <c r="AV97" s="452"/>
      <c r="AW97" s="453"/>
      <c r="AX97" s="452"/>
      <c r="AY97" s="453"/>
      <c r="AZ97" s="452"/>
      <c r="BA97" s="449"/>
    </row>
    <row r="98" spans="1:53" ht="13.5" thickBot="1">
      <c r="A98" s="425">
        <v>41729</v>
      </c>
      <c r="B98" s="954">
        <f t="shared" si="24"/>
        <v>72.090199999999996</v>
      </c>
      <c r="C98" s="954">
        <f>Calculation!AK101</f>
        <v>86.91060594339622</v>
      </c>
      <c r="D98" s="954">
        <f>Calculation!AI101</f>
        <v>0</v>
      </c>
      <c r="E98" s="954">
        <f>Calculation!AE101</f>
        <v>32.6417</v>
      </c>
      <c r="F98" s="954">
        <f>Calculation!AF101</f>
        <v>39.448499999999996</v>
      </c>
      <c r="G98" s="954">
        <f>Calculation!AG101</f>
        <v>72.090199999999996</v>
      </c>
      <c r="H98" s="955" t="str">
        <f>Sheet1!H103</f>
        <v>o/s</v>
      </c>
      <c r="I98" s="935">
        <f>Sheet1!DA103</f>
        <v>2380</v>
      </c>
      <c r="J98" s="935">
        <f>Sheet1!DB103</f>
        <v>1370</v>
      </c>
      <c r="K98" s="935">
        <f>Sheet1!CZ103</f>
        <v>1350</v>
      </c>
      <c r="L98" s="959">
        <f>Calculation!F101</f>
        <v>250</v>
      </c>
      <c r="M98" s="959">
        <f>Calculation!E101</f>
        <v>250</v>
      </c>
      <c r="N98" s="959">
        <f>Calculation!D101</f>
        <v>300</v>
      </c>
      <c r="O98" s="985">
        <f>Sheet1!DC103</f>
        <v>1138.68</v>
      </c>
      <c r="P98" s="986" t="e">
        <f>Calculation!FD101</f>
        <v>#N/A</v>
      </c>
      <c r="Q98" s="994">
        <f>Calculation!DP101</f>
        <v>22462.600000056806</v>
      </c>
      <c r="R98" s="985">
        <f t="shared" si="20"/>
        <v>21843.600000056806</v>
      </c>
      <c r="S98" s="987">
        <f t="shared" si="25"/>
        <v>201.60000000016225</v>
      </c>
      <c r="T98" s="994">
        <f ca="1">IF(A98&gt;$A$1,#N/A,VLOOKUP(A98,Calculation!$B$8:$JF$503,40,FALSE))</f>
        <v>6772.6711998816627</v>
      </c>
      <c r="U98" s="987">
        <f t="shared" si="26"/>
        <v>0</v>
      </c>
      <c r="V98" s="987">
        <f>Calculation!AZ101</f>
        <v>0</v>
      </c>
      <c r="W98" s="994">
        <f t="shared" ca="1" si="23"/>
        <v>0</v>
      </c>
      <c r="X98" s="987">
        <v>0</v>
      </c>
      <c r="Y98" s="987">
        <f t="shared" ca="1" si="27"/>
        <v>0</v>
      </c>
      <c r="Z98" s="987">
        <f t="shared" ca="1" si="28"/>
        <v>0</v>
      </c>
      <c r="AA98" s="994">
        <f t="shared" ca="1" si="21"/>
        <v>15689.928800175143</v>
      </c>
      <c r="AB98" s="1093">
        <f t="shared" ca="1" si="22"/>
        <v>15070.928800175143</v>
      </c>
      <c r="AC98" s="954" t="e">
        <f ca="1">IF(A98&gt;$A$1,#N/A,VLOOKUP(A98,Calculation!$B$8:$JF$503,165,FALSE))</f>
        <v>#N/A</v>
      </c>
      <c r="AD98" s="418" t="e">
        <f t="shared" ca="1" si="29"/>
        <v>#N/A</v>
      </c>
      <c r="AE98" s="418"/>
      <c r="AF98" s="935">
        <f>Calculation!G101</f>
        <v>1451.664145234575</v>
      </c>
      <c r="AG98" s="941" t="str">
        <f t="shared" si="30"/>
        <v>Yes</v>
      </c>
      <c r="AH98" s="941" t="str">
        <f t="shared" si="31"/>
        <v>Yes</v>
      </c>
      <c r="AI98" s="963">
        <v>23961.400000058078</v>
      </c>
      <c r="AJ98" s="964">
        <v>9848.6000000218592</v>
      </c>
      <c r="AK98" s="964">
        <v>14485.800000034878</v>
      </c>
      <c r="AN98" s="447"/>
      <c r="AO98" s="430"/>
      <c r="AP98" s="462"/>
      <c r="AQ98" s="461"/>
      <c r="AR98" s="461"/>
      <c r="AS98" s="463"/>
      <c r="AU98" s="453"/>
      <c r="AV98" s="452"/>
      <c r="AW98" s="453"/>
      <c r="AX98" s="452"/>
      <c r="AY98" s="453"/>
      <c r="AZ98" s="452"/>
      <c r="BA98" s="449"/>
    </row>
    <row r="99" spans="1:53" ht="13.5" thickBot="1">
      <c r="A99" s="425">
        <v>41730</v>
      </c>
      <c r="B99" s="954">
        <f t="shared" si="24"/>
        <v>71.842680000000001</v>
      </c>
      <c r="C99" s="954">
        <f>Calculation!AK102</f>
        <v>86.987809999999996</v>
      </c>
      <c r="D99" s="954">
        <f>Calculation!AI102</f>
        <v>0</v>
      </c>
      <c r="E99" s="954">
        <f>Calculation!AE102</f>
        <v>32.487000000000002</v>
      </c>
      <c r="F99" s="954">
        <f>Calculation!AF102</f>
        <v>39.35568</v>
      </c>
      <c r="G99" s="954">
        <f>Calculation!AG102</f>
        <v>71.842679999999987</v>
      </c>
      <c r="H99" s="955" t="str">
        <f>Sheet1!H104</f>
        <v>o/s</v>
      </c>
      <c r="I99" s="935">
        <f>Sheet1!DA104</f>
        <v>2120</v>
      </c>
      <c r="J99" s="935">
        <f>Sheet1!DB104</f>
        <v>1160</v>
      </c>
      <c r="K99" s="935">
        <f>Sheet1!CZ104</f>
        <v>1160</v>
      </c>
      <c r="L99" s="959">
        <f>Calculation!F102</f>
        <v>250</v>
      </c>
      <c r="M99" s="959">
        <f>Calculation!E102</f>
        <v>250</v>
      </c>
      <c r="N99" s="959">
        <f>Calculation!D102</f>
        <v>300</v>
      </c>
      <c r="O99" s="985">
        <f>Sheet1!DC104</f>
        <v>1139.0999999999999</v>
      </c>
      <c r="P99" s="986" t="e">
        <f>Calculation!FD102</f>
        <v>#N/A</v>
      </c>
      <c r="Q99" s="994">
        <f>Calculation!DP102</f>
        <v>22766.000000057764</v>
      </c>
      <c r="R99" s="985">
        <f t="shared" si="20"/>
        <v>22147.000000057764</v>
      </c>
      <c r="S99" s="987">
        <f t="shared" si="25"/>
        <v>303.40000000095824</v>
      </c>
      <c r="T99" s="994">
        <f ca="1">IF(A99&gt;$A$1,#N/A,VLOOKUP(A99,Calculation!$B$8:$JF$503,40,FALSE))</f>
        <v>6945.1848398816628</v>
      </c>
      <c r="U99" s="987">
        <f t="shared" si="26"/>
        <v>0</v>
      </c>
      <c r="V99" s="987">
        <f>Calculation!AZ102</f>
        <v>0</v>
      </c>
      <c r="W99" s="994">
        <f t="shared" ca="1" si="23"/>
        <v>0</v>
      </c>
      <c r="X99" s="987">
        <v>0</v>
      </c>
      <c r="Y99" s="987">
        <f t="shared" ca="1" si="27"/>
        <v>0</v>
      </c>
      <c r="Z99" s="987">
        <f t="shared" ca="1" si="28"/>
        <v>0</v>
      </c>
      <c r="AA99" s="994">
        <f t="shared" ca="1" si="21"/>
        <v>15820.815160176102</v>
      </c>
      <c r="AB99" s="1093">
        <f t="shared" ca="1" si="22"/>
        <v>15201.815160176102</v>
      </c>
      <c r="AC99" s="954" t="e">
        <f ca="1">IF(A99&gt;$A$1, #N/A,VLOOKUP(A99,Calculation!$B$8:$JF$880,165,FALSE))</f>
        <v>#N/A</v>
      </c>
      <c r="AD99" s="418" t="e">
        <f t="shared" ca="1" si="29"/>
        <v>#N/A</v>
      </c>
      <c r="AE99" s="418"/>
      <c r="AF99" s="935">
        <f>Calculation!G102</f>
        <v>1313.0005042869179</v>
      </c>
      <c r="AG99" s="941" t="str">
        <f t="shared" si="30"/>
        <v>Yes</v>
      </c>
      <c r="AH99" s="941" t="str">
        <f t="shared" si="31"/>
        <v>Yes</v>
      </c>
      <c r="AI99" s="963">
        <v>26110.300000063355</v>
      </c>
      <c r="AJ99" s="964">
        <v>9419.7000000209482</v>
      </c>
      <c r="AK99" s="964">
        <v>15297.400000036958</v>
      </c>
      <c r="AN99" s="447"/>
      <c r="AO99" s="430"/>
      <c r="AP99" s="462"/>
      <c r="AQ99" s="461"/>
      <c r="AR99" s="461"/>
      <c r="AS99" s="463"/>
      <c r="AU99" s="453"/>
      <c r="AV99" s="452"/>
      <c r="AW99" s="453"/>
      <c r="AX99" s="452"/>
      <c r="AY99" s="453"/>
      <c r="AZ99" s="452"/>
      <c r="BA99" s="449"/>
    </row>
    <row r="100" spans="1:53" ht="13.5" thickBot="1">
      <c r="A100" s="425">
        <v>41731</v>
      </c>
      <c r="B100" s="954">
        <f t="shared" si="24"/>
        <v>71.93549999999999</v>
      </c>
      <c r="C100" s="954">
        <f>Calculation!AK103</f>
        <v>86.962209311294757</v>
      </c>
      <c r="D100" s="954">
        <f>Calculation!AI103</f>
        <v>0</v>
      </c>
      <c r="E100" s="954">
        <f>Calculation!AE103</f>
        <v>32.548879999999997</v>
      </c>
      <c r="F100" s="954">
        <f>Calculation!AF103</f>
        <v>39.386620000000001</v>
      </c>
      <c r="G100" s="954">
        <f>Calculation!AG103</f>
        <v>71.93549999999999</v>
      </c>
      <c r="H100" s="955" t="str">
        <f>Sheet1!H105</f>
        <v>o/s</v>
      </c>
      <c r="I100" s="935">
        <f>Sheet1!DA105</f>
        <v>1890</v>
      </c>
      <c r="J100" s="935">
        <f>Sheet1!DB105</f>
        <v>982</v>
      </c>
      <c r="K100" s="935">
        <f>Sheet1!CZ105</f>
        <v>967</v>
      </c>
      <c r="L100" s="959">
        <f>Calculation!F103</f>
        <v>250</v>
      </c>
      <c r="M100" s="959">
        <f>Calculation!E103</f>
        <v>250</v>
      </c>
      <c r="N100" s="959">
        <f>Calculation!D103</f>
        <v>300</v>
      </c>
      <c r="O100" s="985">
        <f>Sheet1!DC105</f>
        <v>1139.5</v>
      </c>
      <c r="P100" s="986" t="e">
        <f>Calculation!FD103</f>
        <v>#N/A</v>
      </c>
      <c r="Q100" s="994">
        <f>Calculation!DP103</f>
        <v>23059.000000058095</v>
      </c>
      <c r="R100" s="985">
        <f t="shared" si="20"/>
        <v>22440.000000058095</v>
      </c>
      <c r="S100" s="987">
        <f t="shared" si="25"/>
        <v>293.00000000033106</v>
      </c>
      <c r="T100" s="994">
        <f ca="1">IF(A100&gt;$A$1,#N/A,VLOOKUP(A100,Calculation!$B$8:$JF$503,40,FALSE))</f>
        <v>7117.6477087679277</v>
      </c>
      <c r="U100" s="987">
        <f t="shared" si="26"/>
        <v>0</v>
      </c>
      <c r="V100" s="987">
        <f>Calculation!AZ103</f>
        <v>0</v>
      </c>
      <c r="W100" s="994">
        <f t="shared" ca="1" si="23"/>
        <v>0</v>
      </c>
      <c r="X100" s="987">
        <v>0</v>
      </c>
      <c r="Y100" s="987">
        <f t="shared" ca="1" si="27"/>
        <v>0</v>
      </c>
      <c r="Z100" s="987">
        <f t="shared" ca="1" si="28"/>
        <v>0</v>
      </c>
      <c r="AA100" s="994">
        <f t="shared" ca="1" si="21"/>
        <v>15941.352291290168</v>
      </c>
      <c r="AB100" s="1093">
        <f t="shared" ca="1" si="22"/>
        <v>15322.352291290168</v>
      </c>
      <c r="AC100" s="954" t="e">
        <f ca="1">IF(A100&gt;$A$1, #N/A,VLOOKUP(A100,Calculation!$B$8:$JF$880,165,FALSE))</f>
        <v>#N/A</v>
      </c>
      <c r="AD100" s="418" t="e">
        <f t="shared" ca="1" si="29"/>
        <v>#N/A</v>
      </c>
      <c r="AE100" s="418"/>
      <c r="AF100" s="935">
        <f>Calculation!G103</f>
        <v>1114.7559253657746</v>
      </c>
      <c r="AG100" s="941" t="str">
        <f t="shared" si="30"/>
        <v>Yes</v>
      </c>
      <c r="AH100" s="941" t="str">
        <f t="shared" si="31"/>
        <v>Yes</v>
      </c>
      <c r="AI100" s="963">
        <v>28022.880000069974</v>
      </c>
      <c r="AJ100" s="964">
        <v>9233.500000019656</v>
      </c>
      <c r="AK100" s="964">
        <v>15592.000000037202</v>
      </c>
      <c r="AN100" s="447"/>
      <c r="AO100" s="430"/>
      <c r="AP100" s="462"/>
      <c r="AQ100" s="461"/>
      <c r="AR100" s="461"/>
      <c r="AS100" s="463"/>
      <c r="AU100" s="453"/>
      <c r="AV100" s="452"/>
      <c r="AW100" s="453"/>
      <c r="AX100" s="452"/>
      <c r="AY100" s="453"/>
      <c r="AZ100" s="452"/>
      <c r="BA100" s="449"/>
    </row>
    <row r="101" spans="1:53" ht="13.5" thickBot="1">
      <c r="A101" s="425">
        <v>41732</v>
      </c>
      <c r="B101" s="954">
        <f t="shared" si="24"/>
        <v>72.028319999999994</v>
      </c>
      <c r="C101" s="954">
        <f>Calculation!AK104</f>
        <v>87.008562142857144</v>
      </c>
      <c r="D101" s="954">
        <f>Calculation!AI104</f>
        <v>0</v>
      </c>
      <c r="E101" s="954">
        <f>Calculation!AE104</f>
        <v>32.579819999999998</v>
      </c>
      <c r="F101" s="954">
        <f>Calculation!AF104</f>
        <v>39.448499999999996</v>
      </c>
      <c r="G101" s="954">
        <f>Calculation!AG104</f>
        <v>72.028319999999994</v>
      </c>
      <c r="H101" s="955" t="str">
        <f>Sheet1!H106</f>
        <v>o/s</v>
      </c>
      <c r="I101" s="935">
        <f>Sheet1!DA106</f>
        <v>1780</v>
      </c>
      <c r="J101" s="935">
        <f>Sheet1!DB106</f>
        <v>939</v>
      </c>
      <c r="K101" s="935">
        <f>Sheet1!CZ106</f>
        <v>906</v>
      </c>
      <c r="L101" s="959">
        <f>Calculation!F104</f>
        <v>250</v>
      </c>
      <c r="M101" s="959">
        <f>Calculation!E104</f>
        <v>250</v>
      </c>
      <c r="N101" s="959">
        <f>Calculation!D104</f>
        <v>300</v>
      </c>
      <c r="O101" s="985">
        <f>Sheet1!DC106</f>
        <v>1140.1400000000001</v>
      </c>
      <c r="P101" s="986" t="e">
        <f>Calculation!FD104</f>
        <v>#N/A</v>
      </c>
      <c r="Q101" s="994">
        <f>Calculation!DP104</f>
        <v>23530.000000060198</v>
      </c>
      <c r="R101" s="985">
        <f t="shared" si="20"/>
        <v>22911.000000060198</v>
      </c>
      <c r="S101" s="987">
        <f t="shared" si="25"/>
        <v>471.00000000210275</v>
      </c>
      <c r="T101" s="994">
        <f ca="1">IF(A101&gt;$A$1,#N/A,VLOOKUP(A101,Calculation!$B$8:$JF$503,40,FALSE))</f>
        <v>7290.2025042781324</v>
      </c>
      <c r="U101" s="987">
        <f t="shared" si="26"/>
        <v>0</v>
      </c>
      <c r="V101" s="987">
        <f>Calculation!AZ104</f>
        <v>0</v>
      </c>
      <c r="W101" s="994">
        <f t="shared" ca="1" si="23"/>
        <v>0</v>
      </c>
      <c r="X101" s="987">
        <v>0</v>
      </c>
      <c r="Y101" s="987">
        <f t="shared" ca="1" si="27"/>
        <v>0</v>
      </c>
      <c r="Z101" s="987">
        <f t="shared" ca="1" si="28"/>
        <v>0</v>
      </c>
      <c r="AA101" s="994">
        <f t="shared" ca="1" si="21"/>
        <v>16239.797495782066</v>
      </c>
      <c r="AB101" s="1093">
        <f t="shared" ca="1" si="22"/>
        <v>15620.797495782066</v>
      </c>
      <c r="AC101" s="954" t="e">
        <f ca="1">IF(A101&gt;$A$1, #N/A,VLOOKUP(A101,Calculation!$B$8:$JF$880,165,FALSE))</f>
        <v>#N/A</v>
      </c>
      <c r="AD101" s="418" t="e">
        <f t="shared" ca="1" si="29"/>
        <v>#N/A</v>
      </c>
      <c r="AE101" s="418"/>
      <c r="AF101" s="935">
        <f>Calculation!G104</f>
        <v>1143.5189107423614</v>
      </c>
      <c r="AG101" s="941" t="str">
        <f t="shared" si="30"/>
        <v>Yes</v>
      </c>
      <c r="AH101" s="941" t="str">
        <f t="shared" si="31"/>
        <v>Yes</v>
      </c>
      <c r="AI101" s="963">
        <v>27088.520000067554</v>
      </c>
      <c r="AJ101" s="964">
        <v>9606.4000000211163</v>
      </c>
      <c r="AK101" s="964">
        <v>15592.000000037202</v>
      </c>
      <c r="AN101" s="447"/>
      <c r="AO101" s="430"/>
      <c r="AP101" s="462"/>
      <c r="AQ101" s="461"/>
      <c r="AR101" s="461"/>
      <c r="AS101" s="463"/>
      <c r="AU101" s="453"/>
      <c r="AV101" s="452"/>
      <c r="AW101" s="453"/>
      <c r="AX101" s="452"/>
      <c r="AY101" s="453"/>
      <c r="AZ101" s="452"/>
      <c r="BA101" s="449"/>
    </row>
    <row r="102" spans="1:53" ht="13.5" thickBot="1">
      <c r="A102" s="425">
        <v>41733</v>
      </c>
      <c r="B102" s="954">
        <f t="shared" si="24"/>
        <v>72.059259999999995</v>
      </c>
      <c r="C102" s="954">
        <f>Calculation!AK105</f>
        <v>86.952119370078734</v>
      </c>
      <c r="D102" s="954">
        <f>Calculation!AI105</f>
        <v>0</v>
      </c>
      <c r="E102" s="954">
        <f>Calculation!AE105</f>
        <v>32.610759999999999</v>
      </c>
      <c r="F102" s="954">
        <f>Calculation!AF105</f>
        <v>39.448499999999996</v>
      </c>
      <c r="G102" s="954">
        <f>Calculation!AG105</f>
        <v>72.059259999999995</v>
      </c>
      <c r="H102" s="955" t="str">
        <f>Sheet1!H107</f>
        <v>o/s</v>
      </c>
      <c r="I102" s="935">
        <f>Sheet1!DA107</f>
        <v>1850</v>
      </c>
      <c r="J102" s="935">
        <f>Sheet1!DB107</f>
        <v>1040</v>
      </c>
      <c r="K102" s="935">
        <f>Sheet1!CZ107</f>
        <v>1020</v>
      </c>
      <c r="L102" s="959">
        <f>Calculation!F105</f>
        <v>250</v>
      </c>
      <c r="M102" s="959">
        <f>Calculation!E105</f>
        <v>250</v>
      </c>
      <c r="N102" s="959">
        <f>Calculation!D105</f>
        <v>300</v>
      </c>
      <c r="O102" s="985">
        <f>Sheet1!DC107</f>
        <v>1140.7</v>
      </c>
      <c r="P102" s="986" t="e">
        <f>Calculation!FD105</f>
        <v>#N/A</v>
      </c>
      <c r="Q102" s="994">
        <f>Calculation!DP105</f>
        <v>23952.00000006054</v>
      </c>
      <c r="R102" s="985">
        <f t="shared" si="20"/>
        <v>23333.00000006054</v>
      </c>
      <c r="S102" s="987">
        <f t="shared" si="25"/>
        <v>422.00000000034197</v>
      </c>
      <c r="T102" s="994">
        <f ca="1">IF(A102&gt;$A$1,#N/A,VLOOKUP(A102,Calculation!$B$8:$JF$503,40,FALSE))</f>
        <v>7462.6453628608106</v>
      </c>
      <c r="U102" s="987">
        <f t="shared" si="26"/>
        <v>0</v>
      </c>
      <c r="V102" s="987">
        <f>Calculation!AZ105</f>
        <v>0</v>
      </c>
      <c r="W102" s="994">
        <f t="shared" ca="1" si="23"/>
        <v>0</v>
      </c>
      <c r="X102" s="987">
        <v>0</v>
      </c>
      <c r="Y102" s="987">
        <f t="shared" ca="1" si="27"/>
        <v>0</v>
      </c>
      <c r="Z102" s="987">
        <f t="shared" ca="1" si="28"/>
        <v>0</v>
      </c>
      <c r="AA102" s="994">
        <f t="shared" ca="1" si="21"/>
        <v>16489.354637199729</v>
      </c>
      <c r="AB102" s="1093">
        <f t="shared" ca="1" si="22"/>
        <v>15870.354637199729</v>
      </c>
      <c r="AC102" s="954" t="e">
        <f ca="1">IF(A102&gt;$A$1, #N/A,VLOOKUP(A102,Calculation!$B$8:$JF$880,165,FALSE))</f>
        <v>#N/A</v>
      </c>
      <c r="AD102" s="418" t="e">
        <f t="shared" ca="1" si="29"/>
        <v>#N/A</v>
      </c>
      <c r="AE102" s="418"/>
      <c r="AF102" s="935">
        <f>Calculation!G105</f>
        <v>1232.808875441423</v>
      </c>
      <c r="AG102" s="941" t="str">
        <f t="shared" si="30"/>
        <v>Yes</v>
      </c>
      <c r="AH102" s="941" t="str">
        <f t="shared" si="31"/>
        <v>Yes</v>
      </c>
      <c r="AI102" s="963">
        <v>25292.170000060953</v>
      </c>
      <c r="AJ102" s="964">
        <v>10059.400000022119</v>
      </c>
      <c r="AK102" s="964">
        <v>15537.500000037891</v>
      </c>
      <c r="AN102" s="447"/>
      <c r="AO102" s="430"/>
      <c r="AP102" s="462"/>
      <c r="AQ102" s="461"/>
      <c r="AR102" s="461"/>
      <c r="AS102" s="463"/>
      <c r="AU102" s="453"/>
      <c r="AV102" s="452"/>
      <c r="AW102" s="453"/>
      <c r="AX102" s="452"/>
      <c r="AY102" s="453"/>
      <c r="AZ102" s="452"/>
      <c r="BA102" s="449"/>
    </row>
    <row r="103" spans="1:53" ht="13.5" thickBot="1">
      <c r="A103" s="425">
        <v>41734</v>
      </c>
      <c r="B103" s="954">
        <f t="shared" si="24"/>
        <v>71.811739999999986</v>
      </c>
      <c r="C103" s="954">
        <f>Calculation!AK106</f>
        <v>86.992930137741041</v>
      </c>
      <c r="D103" s="954">
        <f>Calculation!AI106</f>
        <v>0</v>
      </c>
      <c r="E103" s="954">
        <f>Calculation!AE106</f>
        <v>32.517939999999996</v>
      </c>
      <c r="F103" s="954">
        <f>Calculation!AF106</f>
        <v>39.293799999999997</v>
      </c>
      <c r="G103" s="954">
        <f>Calculation!AG106</f>
        <v>71.81174</v>
      </c>
      <c r="H103" s="955" t="str">
        <f>Sheet1!H108</f>
        <v>o/s</v>
      </c>
      <c r="I103" s="935">
        <f>Sheet1!DA108</f>
        <v>1870</v>
      </c>
      <c r="J103" s="935">
        <f>Sheet1!DB108</f>
        <v>1100</v>
      </c>
      <c r="K103" s="935">
        <f>Sheet1!CZ108</f>
        <v>1040</v>
      </c>
      <c r="L103" s="959">
        <f>Calculation!F106</f>
        <v>250</v>
      </c>
      <c r="M103" s="959">
        <f>Calculation!E106</f>
        <v>250</v>
      </c>
      <c r="N103" s="959">
        <f>Calculation!D106</f>
        <v>300</v>
      </c>
      <c r="O103" s="985">
        <f>Sheet1!DC108</f>
        <v>1141.4000000000001</v>
      </c>
      <c r="P103" s="986" t="e">
        <f>Calculation!FD106</f>
        <v>#N/A</v>
      </c>
      <c r="Q103" s="994">
        <f>Calculation!DP106</f>
        <v>24488.000000062679</v>
      </c>
      <c r="R103" s="985">
        <f t="shared" si="20"/>
        <v>23869.000000062679</v>
      </c>
      <c r="S103" s="987">
        <f t="shared" si="25"/>
        <v>536.00000000213913</v>
      </c>
      <c r="T103" s="994">
        <f ca="1">IF(A103&gt;$A$1,#N/A,VLOOKUP(A103,Calculation!$B$8:$JF$503,40,FALSE))</f>
        <v>7635.1691570835565</v>
      </c>
      <c r="U103" s="987">
        <f t="shared" si="26"/>
        <v>0</v>
      </c>
      <c r="V103" s="987">
        <f>Calculation!AZ106</f>
        <v>0</v>
      </c>
      <c r="W103" s="994">
        <f t="shared" ca="1" si="23"/>
        <v>0</v>
      </c>
      <c r="X103" s="987">
        <v>0</v>
      </c>
      <c r="Y103" s="987">
        <f t="shared" ca="1" si="27"/>
        <v>0</v>
      </c>
      <c r="Z103" s="987">
        <f t="shared" ca="1" si="28"/>
        <v>0</v>
      </c>
      <c r="AA103" s="994">
        <f t="shared" ca="1" si="21"/>
        <v>16852.830842979121</v>
      </c>
      <c r="AB103" s="1093">
        <f t="shared" ca="1" si="22"/>
        <v>16233.830842979121</v>
      </c>
      <c r="AC103" s="954" t="e">
        <f ca="1">IF(A103&gt;$A$1, #N/A,VLOOKUP(A103,Calculation!$B$8:$JF$880,165,FALSE))</f>
        <v>#N/A</v>
      </c>
      <c r="AD103" s="418" t="e">
        <f t="shared" ca="1" si="29"/>
        <v>#N/A</v>
      </c>
      <c r="AE103" s="418"/>
      <c r="AF103" s="935">
        <f>Calculation!G106</f>
        <v>1310.2975289975486</v>
      </c>
      <c r="AG103" s="941" t="str">
        <f t="shared" si="30"/>
        <v>Yes</v>
      </c>
      <c r="AH103" s="941" t="str">
        <f t="shared" si="31"/>
        <v>Yes</v>
      </c>
      <c r="AI103" s="963">
        <v>24802.720000060439</v>
      </c>
      <c r="AJ103" s="964">
        <v>10559.000000023738</v>
      </c>
      <c r="AK103" s="964">
        <v>16111.800000039089</v>
      </c>
      <c r="AN103" s="447"/>
      <c r="AO103" s="430"/>
      <c r="AP103" s="462"/>
      <c r="AQ103" s="461"/>
      <c r="AR103" s="461"/>
      <c r="AS103" s="463"/>
      <c r="AU103" s="453"/>
      <c r="AV103" s="452"/>
      <c r="AW103" s="453"/>
      <c r="AX103" s="452"/>
      <c r="AY103" s="453"/>
      <c r="AZ103" s="452"/>
      <c r="BA103" s="449"/>
    </row>
    <row r="104" spans="1:53" ht="13.5" thickBot="1">
      <c r="A104" s="425">
        <v>41735</v>
      </c>
      <c r="B104" s="954">
        <f t="shared" si="24"/>
        <v>72.059259999999995</v>
      </c>
      <c r="C104" s="954">
        <f>Calculation!AK107</f>
        <v>86.905887796143247</v>
      </c>
      <c r="D104" s="954">
        <f>Calculation!AI107</f>
        <v>0</v>
      </c>
      <c r="E104" s="954">
        <f>Calculation!AE107</f>
        <v>32.502470000000002</v>
      </c>
      <c r="F104" s="954">
        <f>Calculation!AF107</f>
        <v>39.556789999999999</v>
      </c>
      <c r="G104" s="954">
        <f>Calculation!AG107</f>
        <v>72.059259999999995</v>
      </c>
      <c r="H104" s="955" t="str">
        <f>Sheet1!H109</f>
        <v>o/s</v>
      </c>
      <c r="I104" s="935">
        <f>Sheet1!DA109</f>
        <v>2550</v>
      </c>
      <c r="J104" s="935">
        <f>Sheet1!DB109</f>
        <v>1780</v>
      </c>
      <c r="K104" s="935">
        <f>Sheet1!CZ109</f>
        <v>1700</v>
      </c>
      <c r="L104" s="959">
        <f>Calculation!F107</f>
        <v>250</v>
      </c>
      <c r="M104" s="959">
        <f>Calculation!E107</f>
        <v>250</v>
      </c>
      <c r="N104" s="959">
        <f>Calculation!D107</f>
        <v>300</v>
      </c>
      <c r="O104" s="985">
        <f>Sheet1!DC109</f>
        <v>1144.31</v>
      </c>
      <c r="P104" s="986" t="e">
        <f>Calculation!FD107</f>
        <v>#N/A</v>
      </c>
      <c r="Q104" s="994">
        <f>Calculation!DP107</f>
        <v>26817.400000070476</v>
      </c>
      <c r="R104" s="985">
        <f t="shared" si="20"/>
        <v>26198.400000070476</v>
      </c>
      <c r="S104" s="987">
        <f t="shared" si="25"/>
        <v>2329.4000000077976</v>
      </c>
      <c r="T104" s="994">
        <f ca="1">IF(A104&gt;$A$1,#N/A,VLOOKUP(A104,Calculation!$B$8:$JF$503,40,FALSE))</f>
        <v>7807.5203295196052</v>
      </c>
      <c r="U104" s="987">
        <f t="shared" si="26"/>
        <v>0</v>
      </c>
      <c r="V104" s="987">
        <f>Calculation!AZ107</f>
        <v>0</v>
      </c>
      <c r="W104" s="994">
        <f t="shared" ca="1" si="23"/>
        <v>0</v>
      </c>
      <c r="X104" s="987">
        <v>0</v>
      </c>
      <c r="Y104" s="987">
        <f t="shared" ca="1" si="27"/>
        <v>0</v>
      </c>
      <c r="Z104" s="987">
        <f t="shared" ca="1" si="28"/>
        <v>0</v>
      </c>
      <c r="AA104" s="994">
        <f t="shared" ca="1" si="21"/>
        <v>19009.879670550872</v>
      </c>
      <c r="AB104" s="1093">
        <f t="shared" ca="1" si="22"/>
        <v>18390.879670550872</v>
      </c>
      <c r="AC104" s="954" t="e">
        <f ca="1">IF(A104&gt;$A$1, #N/A,VLOOKUP(A104,Calculation!$B$8:$JF$880,165,FALSE))</f>
        <v>#N/A</v>
      </c>
      <c r="AD104" s="418" t="e">
        <f t="shared" ca="1" si="29"/>
        <v>#N/A</v>
      </c>
      <c r="AE104" s="418"/>
      <c r="AF104" s="935">
        <f>Calculation!G107</f>
        <v>2874.6848209822479</v>
      </c>
      <c r="AG104" s="941" t="str">
        <f t="shared" si="30"/>
        <v>Yes</v>
      </c>
      <c r="AH104" s="941" t="str">
        <f t="shared" si="31"/>
        <v>Yes</v>
      </c>
      <c r="AI104" s="963">
        <v>24637.060000060268</v>
      </c>
      <c r="AJ104" s="964">
        <v>11177.30000002489</v>
      </c>
      <c r="AK104" s="964">
        <v>17060.800000042123</v>
      </c>
      <c r="AN104" s="447"/>
      <c r="AO104" s="430"/>
      <c r="AP104" s="462"/>
      <c r="AQ104" s="461"/>
      <c r="AR104" s="461"/>
      <c r="AS104" s="463"/>
      <c r="AU104" s="453"/>
      <c r="AV104" s="452"/>
      <c r="AW104" s="453"/>
      <c r="AX104" s="452"/>
      <c r="AY104" s="453"/>
      <c r="AZ104" s="452"/>
      <c r="BA104" s="449"/>
    </row>
    <row r="105" spans="1:53" ht="13.5" thickBot="1">
      <c r="A105" s="425">
        <v>41736</v>
      </c>
      <c r="B105" s="954">
        <f t="shared" si="24"/>
        <v>72.074729999999988</v>
      </c>
      <c r="C105" s="954">
        <f>Calculation!AK108</f>
        <v>87.11157</v>
      </c>
      <c r="D105" s="954">
        <f>Calculation!AI108</f>
        <v>0</v>
      </c>
      <c r="E105" s="954">
        <f>Calculation!AE108</f>
        <v>32.579819999999998</v>
      </c>
      <c r="F105" s="954">
        <f>Calculation!AF108</f>
        <v>39.494909999999997</v>
      </c>
      <c r="G105" s="954">
        <f>Calculation!AG108</f>
        <v>72.074730000000002</v>
      </c>
      <c r="H105" s="955" t="str">
        <f>Sheet1!H110</f>
        <v>o/s</v>
      </c>
      <c r="I105" s="935">
        <f>Sheet1!DA110</f>
        <v>2750</v>
      </c>
      <c r="J105" s="935">
        <f>Sheet1!DB110</f>
        <v>1930</v>
      </c>
      <c r="K105" s="935">
        <f>Sheet1!CZ110</f>
        <v>1900</v>
      </c>
      <c r="L105" s="959">
        <f>Calculation!F108</f>
        <v>250</v>
      </c>
      <c r="M105" s="959">
        <f>Calculation!E108</f>
        <v>250</v>
      </c>
      <c r="N105" s="959">
        <f>Calculation!D108</f>
        <v>300</v>
      </c>
      <c r="O105" s="985">
        <f>Sheet1!DC110</f>
        <v>1145.8</v>
      </c>
      <c r="P105" s="986" t="e">
        <f>Calculation!FD108</f>
        <v>#N/A</v>
      </c>
      <c r="Q105" s="994">
        <f>Calculation!DP108</f>
        <v>28075.000000072476</v>
      </c>
      <c r="R105" s="985">
        <f t="shared" si="20"/>
        <v>27456.000000072476</v>
      </c>
      <c r="S105" s="987">
        <f t="shared" si="25"/>
        <v>1257.6000000019994</v>
      </c>
      <c r="T105" s="994">
        <f ca="1">IF(A105&gt;$A$1,#N/A,VLOOKUP(A105,Calculation!$B$8:$JF$503,40,FALSE))</f>
        <v>7980.2794095196059</v>
      </c>
      <c r="U105" s="987">
        <f t="shared" si="26"/>
        <v>0</v>
      </c>
      <c r="V105" s="987">
        <f>Calculation!AZ108</f>
        <v>0</v>
      </c>
      <c r="W105" s="994">
        <f t="shared" ca="1" si="23"/>
        <v>0</v>
      </c>
      <c r="X105" s="987">
        <v>0</v>
      </c>
      <c r="Y105" s="987">
        <f t="shared" ca="1" si="27"/>
        <v>0</v>
      </c>
      <c r="Z105" s="987">
        <f t="shared" ca="1" si="28"/>
        <v>0</v>
      </c>
      <c r="AA105" s="994">
        <f t="shared" ca="1" si="21"/>
        <v>20094.720590552868</v>
      </c>
      <c r="AB105" s="1093">
        <f t="shared" ca="1" si="22"/>
        <v>19475.720590552868</v>
      </c>
      <c r="AC105" s="954" t="e">
        <f ca="1">IF(A105&gt;$A$1, #N/A,VLOOKUP(A105,Calculation!$B$8:$JF$880,165,FALSE))</f>
        <v>#N/A</v>
      </c>
      <c r="AD105" s="418" t="e">
        <f t="shared" ca="1" si="29"/>
        <v>#N/A</v>
      </c>
      <c r="AE105" s="418"/>
      <c r="AF105" s="935">
        <f>Calculation!G108</f>
        <v>2534.190620273323</v>
      </c>
      <c r="AG105" s="941" t="str">
        <f t="shared" si="30"/>
        <v>Yes</v>
      </c>
      <c r="AH105" s="941" t="str">
        <f t="shared" si="31"/>
        <v>Yes</v>
      </c>
      <c r="AI105" s="963">
        <v>24930.730000060608</v>
      </c>
      <c r="AJ105" s="964">
        <v>11852.500000027932</v>
      </c>
      <c r="AK105" s="964">
        <v>17975.500000044383</v>
      </c>
      <c r="AN105" s="447"/>
      <c r="AO105" s="430"/>
      <c r="AP105" s="462"/>
      <c r="AQ105" s="461"/>
      <c r="AR105" s="461"/>
      <c r="AS105" s="463"/>
      <c r="AU105" s="453"/>
      <c r="AV105" s="452"/>
      <c r="AW105" s="453"/>
      <c r="AX105" s="452"/>
      <c r="AY105" s="453"/>
      <c r="AZ105" s="452"/>
      <c r="BA105" s="449"/>
    </row>
    <row r="106" spans="1:53" ht="13.5" thickBot="1">
      <c r="A106" s="425">
        <v>41737</v>
      </c>
      <c r="B106" s="954">
        <f t="shared" si="24"/>
        <v>71.672509999999988</v>
      </c>
      <c r="C106" s="954">
        <f>Calculation!AK109</f>
        <v>87.086533186467349</v>
      </c>
      <c r="D106" s="954">
        <f>Calculation!AI109</f>
        <v>0</v>
      </c>
      <c r="E106" s="954">
        <f>Calculation!AE109</f>
        <v>32.224009999999993</v>
      </c>
      <c r="F106" s="954">
        <f>Calculation!AF109</f>
        <v>39.448499999999996</v>
      </c>
      <c r="G106" s="954">
        <f>Calculation!AG109</f>
        <v>71.672509999999988</v>
      </c>
      <c r="H106" s="955" t="str">
        <f>Sheet1!H111</f>
        <v>o/s</v>
      </c>
      <c r="I106" s="935">
        <f>Sheet1!DA111</f>
        <v>3110</v>
      </c>
      <c r="J106" s="935">
        <f>Sheet1!DB111</f>
        <v>2240</v>
      </c>
      <c r="K106" s="935">
        <f>Sheet1!CZ111</f>
        <v>2220</v>
      </c>
      <c r="L106" s="959">
        <f>Calculation!F109</f>
        <v>250</v>
      </c>
      <c r="M106" s="959">
        <f>Calculation!E109</f>
        <v>250</v>
      </c>
      <c r="N106" s="959">
        <f>Calculation!D109</f>
        <v>300</v>
      </c>
      <c r="O106" s="985">
        <f>Sheet1!DC111</f>
        <v>1146.5</v>
      </c>
      <c r="P106" s="986" t="e">
        <f>Calculation!FD109</f>
        <v>#N/A</v>
      </c>
      <c r="Q106" s="994">
        <f>Calculation!DP109</f>
        <v>28678.000000073916</v>
      </c>
      <c r="R106" s="985">
        <f t="shared" si="20"/>
        <v>28059.000000073916</v>
      </c>
      <c r="S106" s="987">
        <f t="shared" si="25"/>
        <v>603.00000000144064</v>
      </c>
      <c r="T106" s="994">
        <f ca="1">IF(A106&gt;$A$1,#N/A,VLOOKUP(A106,Calculation!$B$8:$JF$503,40,FALSE))</f>
        <v>8152.988836679323</v>
      </c>
      <c r="U106" s="987">
        <f t="shared" si="26"/>
        <v>0</v>
      </c>
      <c r="V106" s="987">
        <f>Calculation!AZ109</f>
        <v>0</v>
      </c>
      <c r="W106" s="994">
        <f t="shared" ca="1" si="23"/>
        <v>0</v>
      </c>
      <c r="X106" s="987">
        <v>0</v>
      </c>
      <c r="Y106" s="987">
        <f t="shared" ca="1" si="27"/>
        <v>0</v>
      </c>
      <c r="Z106" s="987">
        <f t="shared" ca="1" si="28"/>
        <v>0</v>
      </c>
      <c r="AA106" s="994">
        <f t="shared" ca="1" si="21"/>
        <v>20525.011163394593</v>
      </c>
      <c r="AB106" s="1093">
        <f t="shared" ca="1" si="22"/>
        <v>19906.011163394593</v>
      </c>
      <c r="AC106" s="954" t="e">
        <f ca="1">IF(A106&gt;$A$1, #N/A,VLOOKUP(A106,Calculation!$B$8:$JF$880,165,FALSE))</f>
        <v>#N/A</v>
      </c>
      <c r="AD106" s="418" t="e">
        <f t="shared" ca="1" si="29"/>
        <v>#N/A</v>
      </c>
      <c r="AE106" s="418"/>
      <c r="AF106" s="935">
        <f>Calculation!G109</f>
        <v>2524.0847201217553</v>
      </c>
      <c r="AG106" s="941" t="str">
        <f t="shared" si="30"/>
        <v>Yes</v>
      </c>
      <c r="AH106" s="941" t="str">
        <f t="shared" si="31"/>
        <v>Yes</v>
      </c>
      <c r="AI106" s="963">
        <v>25375.000000062653</v>
      </c>
      <c r="AJ106" s="964">
        <v>12394.200000029077</v>
      </c>
      <c r="AK106" s="964">
        <v>18345.50000004466</v>
      </c>
      <c r="AN106" s="447"/>
      <c r="AO106" s="430"/>
      <c r="AP106" s="462"/>
      <c r="AQ106" s="461"/>
      <c r="AR106" s="461"/>
      <c r="AS106" s="463"/>
      <c r="AU106" s="453"/>
      <c r="AV106" s="452"/>
      <c r="AW106" s="453"/>
      <c r="AX106" s="452"/>
      <c r="AY106" s="453"/>
      <c r="AZ106" s="452"/>
      <c r="BA106" s="449"/>
    </row>
    <row r="107" spans="1:53" ht="13.5" thickBot="1">
      <c r="A107" s="425">
        <v>41738</v>
      </c>
      <c r="B107" s="954">
        <f t="shared" si="24"/>
        <v>71.332169999999991</v>
      </c>
      <c r="C107" s="954">
        <f>Calculation!AK110</f>
        <v>86.879556385731078</v>
      </c>
      <c r="D107" s="954">
        <f>Calculation!AI110</f>
        <v>0</v>
      </c>
      <c r="E107" s="954">
        <f>Calculation!AE110</f>
        <v>32.007429999999999</v>
      </c>
      <c r="F107" s="954">
        <f>Calculation!AF110</f>
        <v>39.324739999999998</v>
      </c>
      <c r="G107" s="954">
        <f>Calculation!AG110</f>
        <v>71.332169999999991</v>
      </c>
      <c r="H107" s="955" t="str">
        <f>Sheet1!H112</f>
        <v>o/s</v>
      </c>
      <c r="I107" s="935">
        <f>Sheet1!DA112</f>
        <v>3160</v>
      </c>
      <c r="J107" s="935">
        <f>Sheet1!DB112</f>
        <v>2310</v>
      </c>
      <c r="K107" s="935">
        <f>Sheet1!CZ112</f>
        <v>2320</v>
      </c>
      <c r="L107" s="959">
        <f>Calculation!F110</f>
        <v>250</v>
      </c>
      <c r="M107" s="959">
        <f>Calculation!E110</f>
        <v>250</v>
      </c>
      <c r="N107" s="959">
        <f>Calculation!D110</f>
        <v>300</v>
      </c>
      <c r="O107" s="985">
        <f>Sheet1!DC112</f>
        <v>1147.58</v>
      </c>
      <c r="P107" s="986" t="e">
        <f>Calculation!FD110</f>
        <v>#N/A</v>
      </c>
      <c r="Q107" s="994">
        <f>Calculation!DP110</f>
        <v>29619.400000076435</v>
      </c>
      <c r="R107" s="985">
        <f t="shared" si="20"/>
        <v>29000.400000076435</v>
      </c>
      <c r="S107" s="987">
        <f t="shared" si="25"/>
        <v>941.40000000251894</v>
      </c>
      <c r="T107" s="994">
        <f ca="1">IF(A107&gt;$A$1,#N/A,VLOOKUP(A107,Calculation!$B$8:$JF$503,40,FALSE))</f>
        <v>8325.2877888392613</v>
      </c>
      <c r="U107" s="987">
        <f t="shared" si="26"/>
        <v>0</v>
      </c>
      <c r="V107" s="987">
        <f>Calculation!AZ110</f>
        <v>0</v>
      </c>
      <c r="W107" s="994">
        <f t="shared" ca="1" si="23"/>
        <v>0</v>
      </c>
      <c r="X107" s="987">
        <v>0</v>
      </c>
      <c r="Y107" s="987">
        <f t="shared" ca="1" si="27"/>
        <v>0</v>
      </c>
      <c r="Z107" s="987">
        <f t="shared" ca="1" si="28"/>
        <v>0</v>
      </c>
      <c r="AA107" s="994">
        <f t="shared" ca="1" si="21"/>
        <v>21294.112211237174</v>
      </c>
      <c r="AB107" s="1093">
        <f t="shared" ca="1" si="22"/>
        <v>20675.112211237174</v>
      </c>
      <c r="AC107" s="954" t="e">
        <f ca="1">IF(A107&gt;$A$1, #N/A,VLOOKUP(A107,Calculation!$B$8:$JF$880,165,FALSE))</f>
        <v>#N/A</v>
      </c>
      <c r="AD107" s="418" t="e">
        <f t="shared" ca="1" si="29"/>
        <v>#N/A</v>
      </c>
      <c r="AE107" s="418"/>
      <c r="AF107" s="935">
        <f>Calculation!G110</f>
        <v>2794.7352496230556</v>
      </c>
      <c r="AG107" s="941" t="str">
        <f t="shared" si="30"/>
        <v>Yes</v>
      </c>
      <c r="AH107" s="941" t="str">
        <f t="shared" si="31"/>
        <v>Yes</v>
      </c>
      <c r="AI107" s="963">
        <v>25800.700000063003</v>
      </c>
      <c r="AJ107" s="964">
        <v>12826.000000030777</v>
      </c>
      <c r="AK107" s="964">
        <v>18475.200000045534</v>
      </c>
      <c r="AN107" s="447"/>
      <c r="AO107" s="430"/>
      <c r="AP107" s="462"/>
      <c r="AQ107" s="461"/>
      <c r="AR107" s="461"/>
      <c r="AS107" s="463"/>
      <c r="AU107" s="453"/>
      <c r="AV107" s="452"/>
      <c r="AW107" s="453"/>
      <c r="AX107" s="452"/>
      <c r="AY107" s="453"/>
      <c r="AZ107" s="452"/>
      <c r="BA107" s="449"/>
    </row>
    <row r="108" spans="1:53" ht="13.5" thickBot="1">
      <c r="A108" s="425">
        <v>41739</v>
      </c>
      <c r="B108" s="954">
        <f t="shared" si="24"/>
        <v>72.028319999999994</v>
      </c>
      <c r="C108" s="954">
        <f>Calculation!AK111</f>
        <v>86.98334034686637</v>
      </c>
      <c r="D108" s="954">
        <f>Calculation!AI111</f>
        <v>0</v>
      </c>
      <c r="E108" s="954">
        <f>Calculation!AE111</f>
        <v>32.579819999999998</v>
      </c>
      <c r="F108" s="954">
        <f>Calculation!AF111</f>
        <v>39.448499999999996</v>
      </c>
      <c r="G108" s="954">
        <f>Calculation!AG111</f>
        <v>72.028319999999994</v>
      </c>
      <c r="H108" s="955" t="str">
        <f>Sheet1!H113</f>
        <v>o/s</v>
      </c>
      <c r="I108" s="935">
        <f>Sheet1!DA113</f>
        <v>2650</v>
      </c>
      <c r="J108" s="935">
        <f>Sheet1!DB113</f>
        <v>1830</v>
      </c>
      <c r="K108" s="935">
        <f>Sheet1!CZ113</f>
        <v>1830</v>
      </c>
      <c r="L108" s="959">
        <f>Calculation!F111</f>
        <v>250</v>
      </c>
      <c r="M108" s="959">
        <f>Calculation!E111</f>
        <v>250</v>
      </c>
      <c r="N108" s="959">
        <f>Calculation!D111</f>
        <v>300</v>
      </c>
      <c r="O108" s="985">
        <f>Sheet1!DC113</f>
        <v>1147.98</v>
      </c>
      <c r="P108" s="986" t="e">
        <f>Calculation!FD111</f>
        <v>#N/A</v>
      </c>
      <c r="Q108" s="994">
        <f>Calculation!DP111</f>
        <v>29970.400000076836</v>
      </c>
      <c r="R108" s="985">
        <f t="shared" si="20"/>
        <v>29351.400000076836</v>
      </c>
      <c r="S108" s="987">
        <f t="shared" si="25"/>
        <v>351.00000000040018</v>
      </c>
      <c r="T108" s="994">
        <f ca="1">IF(A108&gt;$A$1,#N/A,VLOOKUP(A108,Calculation!$B$8:$JF$503,40,FALSE))</f>
        <v>8497.792564653213</v>
      </c>
      <c r="U108" s="987">
        <f t="shared" si="26"/>
        <v>0</v>
      </c>
      <c r="V108" s="987">
        <f>Calculation!AZ111</f>
        <v>0</v>
      </c>
      <c r="W108" s="994">
        <f t="shared" ca="1" si="23"/>
        <v>0</v>
      </c>
      <c r="X108" s="987">
        <v>0</v>
      </c>
      <c r="Y108" s="987">
        <f t="shared" ca="1" si="27"/>
        <v>0</v>
      </c>
      <c r="Z108" s="987">
        <f t="shared" ca="1" si="28"/>
        <v>0</v>
      </c>
      <c r="AA108" s="994">
        <f t="shared" ca="1" si="21"/>
        <v>21472.607435423623</v>
      </c>
      <c r="AB108" s="1093">
        <f t="shared" ca="1" si="22"/>
        <v>20853.607435423623</v>
      </c>
      <c r="AC108" s="954" t="e">
        <f ca="1">IF(A108&gt;$A$1, #N/A,VLOOKUP(A108,Calculation!$B$8:$JF$880,165,FALSE))</f>
        <v>#N/A</v>
      </c>
      <c r="AD108" s="418" t="e">
        <f t="shared" ca="1" si="29"/>
        <v>#N/A</v>
      </c>
      <c r="AE108" s="418"/>
      <c r="AF108" s="935">
        <f>Calculation!G111</f>
        <v>2007.0045385781141</v>
      </c>
      <c r="AG108" s="941" t="str">
        <f t="shared" si="30"/>
        <v>Yes</v>
      </c>
      <c r="AH108" s="941" t="str">
        <f t="shared" si="31"/>
        <v>Yes</v>
      </c>
      <c r="AI108" s="963">
        <v>26071.600000063354</v>
      </c>
      <c r="AJ108" s="964">
        <v>13392.700000031975</v>
      </c>
      <c r="AK108" s="964">
        <v>19322.000000049222</v>
      </c>
      <c r="AN108" s="447"/>
      <c r="AO108" s="430"/>
      <c r="AP108" s="462"/>
      <c r="AQ108" s="461"/>
      <c r="AR108" s="461"/>
      <c r="AS108" s="463"/>
      <c r="AU108" s="453"/>
      <c r="AV108" s="452"/>
      <c r="AW108" s="453"/>
      <c r="AX108" s="452"/>
      <c r="AY108" s="453"/>
      <c r="AZ108" s="452"/>
      <c r="BA108" s="449"/>
    </row>
    <row r="109" spans="1:53" ht="13.5" thickBot="1">
      <c r="A109" s="425">
        <v>41740</v>
      </c>
      <c r="B109" s="954">
        <f t="shared" si="24"/>
        <v>72.09020000000001</v>
      </c>
      <c r="C109" s="954">
        <f>Calculation!AK112</f>
        <v>86.930721059602647</v>
      </c>
      <c r="D109" s="954">
        <f>Calculation!AI112</f>
        <v>0</v>
      </c>
      <c r="E109" s="954">
        <f>Calculation!AE112</f>
        <v>32.487000000000002</v>
      </c>
      <c r="F109" s="954">
        <f>Calculation!AF112</f>
        <v>39.603200000000001</v>
      </c>
      <c r="G109" s="954">
        <f>Calculation!AG112</f>
        <v>72.090199999999996</v>
      </c>
      <c r="H109" s="955" t="str">
        <f>Sheet1!H114</f>
        <v>o/s</v>
      </c>
      <c r="I109" s="935">
        <f>Sheet1!DA114</f>
        <v>2160</v>
      </c>
      <c r="J109" s="935">
        <f>Sheet1!DB114</f>
        <v>1390</v>
      </c>
      <c r="K109" s="935">
        <f>Sheet1!CZ114</f>
        <v>1370</v>
      </c>
      <c r="L109" s="959">
        <f>Calculation!F112</f>
        <v>250</v>
      </c>
      <c r="M109" s="959">
        <f>Calculation!E112</f>
        <v>250</v>
      </c>
      <c r="N109" s="959">
        <f>Calculation!D112</f>
        <v>300</v>
      </c>
      <c r="O109" s="985">
        <f>Sheet1!DC114</f>
        <v>1148.4000000000001</v>
      </c>
      <c r="P109" s="986" t="e">
        <f>Calculation!FD112</f>
        <v>#N/A</v>
      </c>
      <c r="Q109" s="994">
        <f>Calculation!DP112</f>
        <v>30345.000000078111</v>
      </c>
      <c r="R109" s="985">
        <f t="shared" si="20"/>
        <v>29726.000000078111</v>
      </c>
      <c r="S109" s="987">
        <f t="shared" si="25"/>
        <v>374.60000000127548</v>
      </c>
      <c r="T109" s="994">
        <f ca="1">IF(A109&gt;$A$1,#N/A,VLOOKUP(A109,Calculation!$B$8:$JF$503,40,FALSE))</f>
        <v>8670.1929862504076</v>
      </c>
      <c r="U109" s="987">
        <f t="shared" si="26"/>
        <v>0</v>
      </c>
      <c r="V109" s="987">
        <f>Calculation!AZ112</f>
        <v>0</v>
      </c>
      <c r="W109" s="994">
        <f t="shared" ca="1" si="23"/>
        <v>0</v>
      </c>
      <c r="X109" s="987">
        <v>0</v>
      </c>
      <c r="Y109" s="987">
        <f t="shared" ca="1" si="27"/>
        <v>0</v>
      </c>
      <c r="Z109" s="987">
        <f t="shared" ca="1" si="28"/>
        <v>0</v>
      </c>
      <c r="AA109" s="994">
        <f t="shared" ca="1" si="21"/>
        <v>21674.807013827703</v>
      </c>
      <c r="AB109" s="1093">
        <f t="shared" ca="1" si="22"/>
        <v>21055.807013827703</v>
      </c>
      <c r="AC109" s="954" t="e">
        <f ca="1">IF(A109&gt;$A$1, #N/A,VLOOKUP(A109,Calculation!$B$8:$JF$880,165,FALSE))</f>
        <v>#N/A</v>
      </c>
      <c r="AD109" s="418" t="e">
        <f t="shared" ca="1" si="29"/>
        <v>#N/A</v>
      </c>
      <c r="AE109" s="418"/>
      <c r="AF109" s="935">
        <f>Calculation!G112</f>
        <v>1558.9056984373551</v>
      </c>
      <c r="AG109" s="941" t="str">
        <f t="shared" si="30"/>
        <v>Yes</v>
      </c>
      <c r="AH109" s="941" t="str">
        <f t="shared" si="31"/>
        <v>Yes</v>
      </c>
      <c r="AI109" s="963">
        <v>26458.270000065273</v>
      </c>
      <c r="AJ109" s="964">
        <v>14242.400000034642</v>
      </c>
      <c r="AK109" s="964">
        <v>21046.200000053184</v>
      </c>
      <c r="AN109" s="447"/>
      <c r="AO109" s="430"/>
      <c r="AP109" s="462"/>
      <c r="AQ109" s="461"/>
      <c r="AR109" s="461"/>
      <c r="AS109" s="463"/>
      <c r="AU109" s="453"/>
      <c r="AV109" s="452"/>
      <c r="AW109" s="453"/>
      <c r="AX109" s="452"/>
      <c r="AY109" s="453"/>
      <c r="AZ109" s="452"/>
      <c r="BA109" s="449"/>
    </row>
    <row r="110" spans="1:53" ht="13.5" thickBot="1">
      <c r="A110" s="425">
        <v>41741</v>
      </c>
      <c r="B110" s="954">
        <f t="shared" si="24"/>
        <v>71.316699999999997</v>
      </c>
      <c r="C110" s="954">
        <f>Calculation!AK113</f>
        <v>87.262140557768916</v>
      </c>
      <c r="D110" s="954">
        <f>Calculation!AI113</f>
        <v>0</v>
      </c>
      <c r="E110" s="954">
        <f>Calculation!AE113</f>
        <v>32.332299999999996</v>
      </c>
      <c r="F110" s="954">
        <f>Calculation!AF113</f>
        <v>38.984399999999994</v>
      </c>
      <c r="G110" s="954">
        <f>Calculation!AG113</f>
        <v>71.316699999999983</v>
      </c>
      <c r="H110" s="955" t="str">
        <f>Sheet1!H115</f>
        <v>o/s</v>
      </c>
      <c r="I110" s="935">
        <f>Sheet1!DA115</f>
        <v>2090</v>
      </c>
      <c r="J110" s="935">
        <f>Sheet1!DB115</f>
        <v>1380</v>
      </c>
      <c r="K110" s="935">
        <f>Sheet1!CZ115</f>
        <v>1380</v>
      </c>
      <c r="L110" s="959">
        <f>Calculation!F113</f>
        <v>250</v>
      </c>
      <c r="M110" s="959">
        <f>Calculation!E113</f>
        <v>250</v>
      </c>
      <c r="N110" s="959">
        <f>Calculation!D113</f>
        <v>300</v>
      </c>
      <c r="O110" s="985">
        <f>Sheet1!DC115</f>
        <v>1148.8</v>
      </c>
      <c r="P110" s="986" t="e">
        <f>Calculation!FD113</f>
        <v>#N/A</v>
      </c>
      <c r="Q110" s="994">
        <f>Calculation!DP113</f>
        <v>30702.000000078315</v>
      </c>
      <c r="R110" s="985">
        <f t="shared" si="20"/>
        <v>30083.000000078315</v>
      </c>
      <c r="S110" s="987">
        <f t="shared" si="25"/>
        <v>357.00000000020373</v>
      </c>
      <c r="T110" s="994">
        <f ca="1">IF(A110&gt;$A$1,#N/A,VLOOKUP(A110,Calculation!$B$8:$JF$503,40,FALSE))</f>
        <v>8843.250676768339</v>
      </c>
      <c r="U110" s="987">
        <f t="shared" si="26"/>
        <v>0</v>
      </c>
      <c r="V110" s="987">
        <f>Calculation!AZ113</f>
        <v>0</v>
      </c>
      <c r="W110" s="994">
        <f t="shared" ca="1" si="23"/>
        <v>0</v>
      </c>
      <c r="X110" s="987">
        <v>0</v>
      </c>
      <c r="Y110" s="987">
        <f t="shared" ca="1" si="27"/>
        <v>0</v>
      </c>
      <c r="Z110" s="987">
        <f t="shared" ca="1" si="28"/>
        <v>0</v>
      </c>
      <c r="AA110" s="994">
        <f t="shared" ca="1" si="21"/>
        <v>21858.749323309974</v>
      </c>
      <c r="AB110" s="1093">
        <f t="shared" ca="1" si="22"/>
        <v>21239.749323309974</v>
      </c>
      <c r="AC110" s="954" t="e">
        <f ca="1">IF(A110&gt;$A$1, #N/A,VLOOKUP(A110,Calculation!$B$8:$JF$880,165,FALSE))</f>
        <v>#N/A</v>
      </c>
      <c r="AD110" s="418" t="e">
        <f t="shared" ca="1" si="29"/>
        <v>#N/A</v>
      </c>
      <c r="AE110" s="418"/>
      <c r="AF110" s="935">
        <f>Calculation!G113</f>
        <v>1560.0302571861844</v>
      </c>
      <c r="AG110" s="941" t="str">
        <f t="shared" si="30"/>
        <v>Yes</v>
      </c>
      <c r="AH110" s="941" t="str">
        <f t="shared" si="31"/>
        <v>Yes</v>
      </c>
      <c r="AI110" s="963">
        <v>26791.330000065453</v>
      </c>
      <c r="AJ110" s="964">
        <v>15068.700000036153</v>
      </c>
      <c r="AK110" s="964">
        <v>21817.000000054592</v>
      </c>
      <c r="AN110" s="447"/>
      <c r="AO110" s="430"/>
      <c r="AP110" s="462"/>
      <c r="AQ110" s="461"/>
      <c r="AR110" s="461"/>
      <c r="AS110" s="463"/>
      <c r="AU110" s="453"/>
      <c r="AV110" s="452"/>
      <c r="AW110" s="453"/>
      <c r="AX110" s="452"/>
      <c r="AY110" s="453"/>
      <c r="AZ110" s="452"/>
      <c r="BA110" s="449"/>
    </row>
    <row r="111" spans="1:53" ht="13.5" thickBot="1">
      <c r="A111" s="425">
        <v>41742</v>
      </c>
      <c r="B111" s="954">
        <f t="shared" si="24"/>
        <v>71.595159999999993</v>
      </c>
      <c r="C111" s="954">
        <f>Calculation!AK114</f>
        <v>87.065670801886782</v>
      </c>
      <c r="D111" s="954">
        <f>Calculation!AI114</f>
        <v>0</v>
      </c>
      <c r="E111" s="954">
        <f>Calculation!AE114</f>
        <v>32.146659999999997</v>
      </c>
      <c r="F111" s="954">
        <f>Calculation!AF114</f>
        <v>39.448499999999996</v>
      </c>
      <c r="G111" s="954">
        <f>Calculation!AG114</f>
        <v>71.595159999999993</v>
      </c>
      <c r="H111" s="955" t="str">
        <f>Sheet1!H116</f>
        <v>o/s</v>
      </c>
      <c r="I111" s="935">
        <f>Sheet1!DA116</f>
        <v>2060</v>
      </c>
      <c r="J111" s="935">
        <f>Sheet1!DB116</f>
        <v>1370</v>
      </c>
      <c r="K111" s="935">
        <f>Sheet1!CZ116</f>
        <v>1380</v>
      </c>
      <c r="L111" s="959">
        <f>Calculation!F114</f>
        <v>250</v>
      </c>
      <c r="M111" s="959">
        <f>Calculation!E114</f>
        <v>250</v>
      </c>
      <c r="N111" s="959">
        <f>Calculation!D114</f>
        <v>300</v>
      </c>
      <c r="O111" s="985">
        <f>Sheet1!DC116</f>
        <v>1148.8499999999999</v>
      </c>
      <c r="P111" s="986" t="e">
        <f>Calculation!FD114</f>
        <v>#N/A</v>
      </c>
      <c r="Q111" s="994">
        <f>Calculation!DP114</f>
        <v>30746.500000078315</v>
      </c>
      <c r="R111" s="985">
        <f t="shared" si="20"/>
        <v>30127.500000078315</v>
      </c>
      <c r="S111" s="987">
        <f t="shared" si="25"/>
        <v>44.5</v>
      </c>
      <c r="T111" s="994">
        <f ca="1">IF(A111&gt;$A$1,#N/A,VLOOKUP(A111,Calculation!$B$8:$JF$503,40,FALSE))</f>
        <v>9015.9187297872068</v>
      </c>
      <c r="U111" s="987">
        <f t="shared" si="26"/>
        <v>0</v>
      </c>
      <c r="V111" s="987">
        <f>Calculation!AZ114</f>
        <v>0</v>
      </c>
      <c r="W111" s="994">
        <f t="shared" ca="1" si="23"/>
        <v>0</v>
      </c>
      <c r="X111" s="987">
        <v>0</v>
      </c>
      <c r="Y111" s="987">
        <f t="shared" ca="1" si="27"/>
        <v>0</v>
      </c>
      <c r="Z111" s="987">
        <f t="shared" ca="1" si="28"/>
        <v>0</v>
      </c>
      <c r="AA111" s="994">
        <f t="shared" ca="1" si="21"/>
        <v>21730.581270291106</v>
      </c>
      <c r="AB111" s="1093">
        <f t="shared" ca="1" si="22"/>
        <v>21111.581270291106</v>
      </c>
      <c r="AC111" s="954" t="e">
        <f ca="1">IF(A111&gt;$A$1, #N/A,VLOOKUP(A111,Calculation!$B$8:$JF$880,165,FALSE))</f>
        <v>#N/A</v>
      </c>
      <c r="AD111" s="418" t="e">
        <f t="shared" ca="1" si="29"/>
        <v>#N/A</v>
      </c>
      <c r="AE111" s="418"/>
      <c r="AF111" s="935">
        <f>Calculation!G114</f>
        <v>1402.4407463439234</v>
      </c>
      <c r="AG111" s="941" t="str">
        <f t="shared" si="30"/>
        <v>Yes</v>
      </c>
      <c r="AH111" s="941" t="str">
        <f t="shared" si="31"/>
        <v>Yes</v>
      </c>
      <c r="AI111" s="963">
        <v>27186.200000067554</v>
      </c>
      <c r="AJ111" s="964">
        <v>15685.200000038709</v>
      </c>
      <c r="AK111" s="964">
        <v>21880.700000055371</v>
      </c>
      <c r="AN111" s="447"/>
      <c r="AO111" s="430"/>
      <c r="AP111" s="462"/>
      <c r="AQ111" s="461"/>
      <c r="AR111" s="461"/>
      <c r="AS111" s="463"/>
      <c r="AU111" s="453"/>
      <c r="AV111" s="452"/>
      <c r="AW111" s="453"/>
      <c r="AX111" s="452"/>
      <c r="AY111" s="453"/>
      <c r="AZ111" s="452"/>
      <c r="BA111" s="449"/>
    </row>
    <row r="112" spans="1:53" ht="13.5" thickBot="1">
      <c r="A112" s="425">
        <v>41743</v>
      </c>
      <c r="B112" s="954">
        <f t="shared" si="24"/>
        <v>71.50233999999999</v>
      </c>
      <c r="C112" s="954">
        <f>Calculation!AK115</f>
        <v>87.2334941613924</v>
      </c>
      <c r="D112" s="954">
        <f>Calculation!AI115</f>
        <v>0</v>
      </c>
      <c r="E112" s="954">
        <f>Calculation!AE115</f>
        <v>32.053839999999994</v>
      </c>
      <c r="F112" s="954">
        <f>Calculation!AF115</f>
        <v>39.448499999999996</v>
      </c>
      <c r="G112" s="954">
        <f>Calculation!AG115</f>
        <v>71.50233999999999</v>
      </c>
      <c r="H112" s="955" t="str">
        <f>Sheet1!H117</f>
        <v>o/s</v>
      </c>
      <c r="I112" s="935">
        <f>Sheet1!DA117</f>
        <v>1800</v>
      </c>
      <c r="J112" s="935">
        <f>Sheet1!DB117</f>
        <v>1060</v>
      </c>
      <c r="K112" s="935">
        <f>Sheet1!CZ117</f>
        <v>1060</v>
      </c>
      <c r="L112" s="959">
        <f>Calculation!F115</f>
        <v>250</v>
      </c>
      <c r="M112" s="959">
        <f>Calculation!E115</f>
        <v>250</v>
      </c>
      <c r="N112" s="959">
        <f>Calculation!D115</f>
        <v>300</v>
      </c>
      <c r="O112" s="985">
        <f>Sheet1!DC117</f>
        <v>1149</v>
      </c>
      <c r="P112" s="986" t="e">
        <f>Calculation!FD115</f>
        <v>#N/A</v>
      </c>
      <c r="Q112" s="994">
        <f>Calculation!DP115</f>
        <v>30880.000000080283</v>
      </c>
      <c r="R112" s="985">
        <f t="shared" si="20"/>
        <v>30261.000000080283</v>
      </c>
      <c r="S112" s="987">
        <f t="shared" si="25"/>
        <v>133.50000000196815</v>
      </c>
      <c r="T112" s="994">
        <f ca="1">IF(A112&gt;$A$1,#N/A,VLOOKUP(A112,Calculation!$B$8:$JF$503,40,FALSE))</f>
        <v>9188.9196089644192</v>
      </c>
      <c r="U112" s="987">
        <f t="shared" si="26"/>
        <v>0</v>
      </c>
      <c r="V112" s="987">
        <f>Calculation!AZ115</f>
        <v>0</v>
      </c>
      <c r="W112" s="994">
        <f t="shared" ca="1" si="23"/>
        <v>0</v>
      </c>
      <c r="X112" s="987">
        <v>0</v>
      </c>
      <c r="Y112" s="987">
        <f t="shared" ca="1" si="27"/>
        <v>0</v>
      </c>
      <c r="Z112" s="987">
        <f t="shared" ca="1" si="28"/>
        <v>0</v>
      </c>
      <c r="AA112" s="994">
        <f t="shared" ca="1" si="21"/>
        <v>21691.080391115865</v>
      </c>
      <c r="AB112" s="1093">
        <f t="shared" ca="1" si="22"/>
        <v>21072.080391115865</v>
      </c>
      <c r="AC112" s="954" t="e">
        <f ca="1">IF(A112&gt;$A$1, #N/A,VLOOKUP(A112,Calculation!$B$8:$JF$880,165,FALSE))</f>
        <v>#N/A</v>
      </c>
      <c r="AD112" s="418" t="e">
        <f t="shared" ca="1" si="29"/>
        <v>#N/A</v>
      </c>
      <c r="AE112" s="418"/>
      <c r="AF112" s="935">
        <f>Calculation!G115</f>
        <v>1127.3222390327626</v>
      </c>
      <c r="AG112" s="941" t="str">
        <f t="shared" si="30"/>
        <v>Yes</v>
      </c>
      <c r="AH112" s="941" t="str">
        <f t="shared" si="31"/>
        <v>Yes</v>
      </c>
      <c r="AI112" s="963">
        <v>27511.800000067924</v>
      </c>
      <c r="AJ112" s="964">
        <v>16179.000000039918</v>
      </c>
      <c r="AK112" s="964">
        <v>21944.600000055532</v>
      </c>
      <c r="AN112" s="447"/>
      <c r="AO112" s="430"/>
      <c r="AP112" s="462"/>
      <c r="AQ112" s="461"/>
      <c r="AR112" s="461"/>
      <c r="AS112" s="463"/>
      <c r="AU112" s="453"/>
      <c r="AV112" s="452"/>
      <c r="AW112" s="453"/>
      <c r="AX112" s="452"/>
      <c r="AY112" s="453"/>
      <c r="AZ112" s="452"/>
      <c r="BA112" s="449"/>
    </row>
    <row r="113" spans="1:53" ht="13.5" thickBot="1">
      <c r="A113" s="425">
        <v>41744</v>
      </c>
      <c r="B113" s="954">
        <f t="shared" si="24"/>
        <v>71.316699999999997</v>
      </c>
      <c r="C113" s="954">
        <f>Calculation!AK116</f>
        <v>86.941182112676046</v>
      </c>
      <c r="D113" s="954">
        <f>Calculation!AI116</f>
        <v>0</v>
      </c>
      <c r="E113" s="954">
        <f>Calculation!AE116</f>
        <v>31.868200000000002</v>
      </c>
      <c r="F113" s="954">
        <f>Calculation!AF116</f>
        <v>39.448499999999996</v>
      </c>
      <c r="G113" s="954">
        <f>Calculation!AG116</f>
        <v>71.316699999999997</v>
      </c>
      <c r="H113" s="955" t="str">
        <f>Sheet1!H118</f>
        <v>o/s</v>
      </c>
      <c r="I113" s="935">
        <f>Sheet1!DA118</f>
        <v>1690</v>
      </c>
      <c r="J113" s="935">
        <f>Sheet1!DB118</f>
        <v>1010</v>
      </c>
      <c r="K113" s="935">
        <f>Sheet1!CZ118</f>
        <v>1020</v>
      </c>
      <c r="L113" s="959">
        <f>Calculation!F116</f>
        <v>250</v>
      </c>
      <c r="M113" s="959">
        <f>Calculation!E116</f>
        <v>250</v>
      </c>
      <c r="N113" s="959">
        <f>Calculation!D116</f>
        <v>300</v>
      </c>
      <c r="O113" s="985">
        <f>Sheet1!DC118</f>
        <v>1149.4000000000001</v>
      </c>
      <c r="P113" s="986" t="e">
        <f>Calculation!FD116</f>
        <v>#N/A</v>
      </c>
      <c r="Q113" s="994">
        <f>Calculation!DP116</f>
        <v>31242.000000080694</v>
      </c>
      <c r="R113" s="985">
        <f t="shared" si="20"/>
        <v>30623.000000080694</v>
      </c>
      <c r="S113" s="987">
        <f t="shared" si="25"/>
        <v>362.00000000041109</v>
      </c>
      <c r="T113" s="994">
        <f ca="1">IF(A113&gt;$A$1,#N/A,VLOOKUP(A113,Calculation!$B$8:$JF$503,40,FALSE))</f>
        <v>9361.3407768517445</v>
      </c>
      <c r="U113" s="987">
        <f t="shared" si="26"/>
        <v>0</v>
      </c>
      <c r="V113" s="987">
        <f>Calculation!AZ116</f>
        <v>0</v>
      </c>
      <c r="W113" s="994">
        <f t="shared" ca="1" si="23"/>
        <v>0</v>
      </c>
      <c r="X113" s="987">
        <v>0</v>
      </c>
      <c r="Y113" s="987">
        <f t="shared" ca="1" si="27"/>
        <v>0</v>
      </c>
      <c r="Z113" s="987">
        <f t="shared" ca="1" si="28"/>
        <v>0</v>
      </c>
      <c r="AA113" s="994">
        <f t="shared" ca="1" si="21"/>
        <v>21880.659223228948</v>
      </c>
      <c r="AB113" s="1093">
        <f t="shared" ca="1" si="22"/>
        <v>21261.659223228948</v>
      </c>
      <c r="AC113" s="954" t="e">
        <f ca="1">IF(A113&gt;$A$1, #N/A,VLOOKUP(A113,Calculation!$B$8:$JF$880,165,FALSE))</f>
        <v>#N/A</v>
      </c>
      <c r="AD113" s="418" t="e">
        <f t="shared" ca="1" si="29"/>
        <v>#N/A</v>
      </c>
      <c r="AE113" s="418"/>
      <c r="AF113" s="935">
        <f>Calculation!G116</f>
        <v>1202.5516893597635</v>
      </c>
      <c r="AG113" s="941" t="str">
        <f t="shared" si="30"/>
        <v>Yes</v>
      </c>
      <c r="AH113" s="941" t="str">
        <f t="shared" si="31"/>
        <v>Yes</v>
      </c>
      <c r="AI113" s="963">
        <v>27922.800000069972</v>
      </c>
      <c r="AJ113" s="964">
        <v>16599.100000040307</v>
      </c>
      <c r="AK113" s="964">
        <v>22304.200000056644</v>
      </c>
      <c r="AN113" s="447"/>
      <c r="AO113" s="430"/>
      <c r="AP113" s="462"/>
      <c r="AQ113" s="461"/>
      <c r="AR113" s="461"/>
      <c r="AS113" s="463"/>
      <c r="AU113" s="453"/>
      <c r="AV113" s="452"/>
      <c r="AW113" s="453"/>
      <c r="AX113" s="452"/>
      <c r="AY113" s="453"/>
      <c r="AZ113" s="452"/>
      <c r="BA113" s="449"/>
    </row>
    <row r="114" spans="1:53" ht="13.5" thickBot="1">
      <c r="A114" s="425">
        <v>41745</v>
      </c>
      <c r="B114" s="954">
        <f t="shared" si="24"/>
        <v>71.409519999999986</v>
      </c>
      <c r="C114" s="954">
        <f>Calculation!AK117</f>
        <v>86.889898146111548</v>
      </c>
      <c r="D114" s="954">
        <f>Calculation!AI117</f>
        <v>0</v>
      </c>
      <c r="E114" s="954">
        <f>Calculation!AE117</f>
        <v>31.961019999999998</v>
      </c>
      <c r="F114" s="954">
        <f>Calculation!AF117</f>
        <v>39.448499999999996</v>
      </c>
      <c r="G114" s="954">
        <f>Calculation!AG117</f>
        <v>71.409519999999986</v>
      </c>
      <c r="H114" s="955" t="str">
        <f>Sheet1!H119</f>
        <v>o/s</v>
      </c>
      <c r="I114" s="935">
        <f>Sheet1!DA119</f>
        <v>1860</v>
      </c>
      <c r="J114" s="935">
        <f>Sheet1!DB119</f>
        <v>1130</v>
      </c>
      <c r="K114" s="935">
        <f>Sheet1!CZ119</f>
        <v>1120</v>
      </c>
      <c r="L114" s="959">
        <f>Calculation!F117</f>
        <v>250</v>
      </c>
      <c r="M114" s="959">
        <f>Calculation!E117</f>
        <v>250</v>
      </c>
      <c r="N114" s="959">
        <f>Calculation!D117</f>
        <v>300</v>
      </c>
      <c r="O114" s="985">
        <f>Sheet1!DC119</f>
        <v>1150.1400000000001</v>
      </c>
      <c r="P114" s="986" t="e">
        <f>Calculation!FD117</f>
        <v>#N/A</v>
      </c>
      <c r="Q114" s="994">
        <f>Calculation!DP117</f>
        <v>31913.80000008221</v>
      </c>
      <c r="R114" s="985">
        <f t="shared" si="20"/>
        <v>31294.80000008221</v>
      </c>
      <c r="S114" s="987">
        <f t="shared" si="25"/>
        <v>671.80000000151631</v>
      </c>
      <c r="T114" s="994">
        <f ca="1">IF(A114&gt;$A$1,#N/A,VLOOKUP(A114,Calculation!$B$8:$JF$503,40,FALSE))</f>
        <v>9533.6602387213425</v>
      </c>
      <c r="U114" s="987">
        <f t="shared" si="26"/>
        <v>0</v>
      </c>
      <c r="V114" s="987">
        <f>Calculation!AZ117</f>
        <v>0</v>
      </c>
      <c r="W114" s="994">
        <f t="shared" ca="1" si="23"/>
        <v>0</v>
      </c>
      <c r="X114" s="987">
        <v>0</v>
      </c>
      <c r="Y114" s="987">
        <f t="shared" ca="1" si="27"/>
        <v>0</v>
      </c>
      <c r="Z114" s="987">
        <f t="shared" ca="1" si="28"/>
        <v>0</v>
      </c>
      <c r="AA114" s="994">
        <f t="shared" ca="1" si="21"/>
        <v>22380.139761360868</v>
      </c>
      <c r="AB114" s="1093">
        <f t="shared" ca="1" si="22"/>
        <v>21761.139761360868</v>
      </c>
      <c r="AC114" s="954" t="e">
        <f ca="1">IF(A114&gt;$A$1, #N/A,VLOOKUP(A114,Calculation!$B$8:$JF$880,165,FALSE))</f>
        <v>#N/A</v>
      </c>
      <c r="AD114" s="418" t="e">
        <f t="shared" ca="1" si="29"/>
        <v>#N/A</v>
      </c>
      <c r="AE114" s="418"/>
      <c r="AF114" s="935">
        <f>Calculation!G117</f>
        <v>1458.779626828803</v>
      </c>
      <c r="AG114" s="941" t="str">
        <f t="shared" si="30"/>
        <v>Yes</v>
      </c>
      <c r="AH114" s="941" t="str">
        <f t="shared" si="31"/>
        <v>Yes</v>
      </c>
      <c r="AI114" s="963">
        <v>28598.520000072065</v>
      </c>
      <c r="AJ114" s="964">
        <v>16883.800000041854</v>
      </c>
      <c r="AK114" s="964">
        <v>23139.300000058094</v>
      </c>
      <c r="AN114" s="447"/>
      <c r="AO114" s="430"/>
      <c r="AP114" s="462"/>
      <c r="AQ114" s="461"/>
      <c r="AR114" s="461"/>
      <c r="AS114" s="463"/>
      <c r="AU114" s="453"/>
      <c r="AV114" s="452"/>
      <c r="AW114" s="453"/>
      <c r="AX114" s="452"/>
      <c r="AY114" s="453"/>
      <c r="AZ114" s="452"/>
      <c r="BA114" s="449"/>
    </row>
    <row r="115" spans="1:53" ht="13.5" thickBot="1">
      <c r="A115" s="425">
        <v>41746</v>
      </c>
      <c r="B115" s="954">
        <f t="shared" si="24"/>
        <v>71.533279999999991</v>
      </c>
      <c r="C115" s="954">
        <f>Calculation!AK118</f>
        <v>86.786845258215962</v>
      </c>
      <c r="D115" s="954">
        <f>Calculation!AI118</f>
        <v>0</v>
      </c>
      <c r="E115" s="954">
        <f>Calculation!AE118</f>
        <v>32.084779999999995</v>
      </c>
      <c r="F115" s="954">
        <f>Calculation!AF118</f>
        <v>39.448499999999996</v>
      </c>
      <c r="G115" s="954">
        <f>Calculation!AG118</f>
        <v>71.533279999999991</v>
      </c>
      <c r="H115" s="955" t="str">
        <f>Sheet1!H120</f>
        <v>o/s</v>
      </c>
      <c r="I115" s="935">
        <f>Sheet1!DA120</f>
        <v>3060</v>
      </c>
      <c r="J115" s="935">
        <f>Sheet1!DB120</f>
        <v>2150</v>
      </c>
      <c r="K115" s="935">
        <f>Sheet1!CZ120</f>
        <v>2080</v>
      </c>
      <c r="L115" s="959">
        <f>Calculation!F118</f>
        <v>250</v>
      </c>
      <c r="M115" s="959">
        <f>Calculation!E118</f>
        <v>250</v>
      </c>
      <c r="N115" s="959">
        <f>Calculation!D118</f>
        <v>300</v>
      </c>
      <c r="O115" s="985">
        <f>Sheet1!DC120</f>
        <v>1151.6199999999999</v>
      </c>
      <c r="P115" s="986" t="e">
        <f>Calculation!FD118</f>
        <v>#N/A</v>
      </c>
      <c r="Q115" s="994">
        <f>Calculation!DP118</f>
        <v>33282.60000008416</v>
      </c>
      <c r="R115" s="985">
        <f t="shared" si="20"/>
        <v>32663.60000008416</v>
      </c>
      <c r="S115" s="987">
        <f t="shared" si="25"/>
        <v>1368.8000000019492</v>
      </c>
      <c r="T115" s="994">
        <f ca="1">IF(A115&gt;$A$1,#N/A,VLOOKUP(A115,Calculation!$B$8:$JF$503,40,FALSE))</f>
        <v>9705.7753267964617</v>
      </c>
      <c r="U115" s="987">
        <f t="shared" si="26"/>
        <v>0</v>
      </c>
      <c r="V115" s="987">
        <f>Calculation!AZ118</f>
        <v>0</v>
      </c>
      <c r="W115" s="994">
        <f t="shared" ca="1" si="23"/>
        <v>0</v>
      </c>
      <c r="X115" s="987">
        <v>0</v>
      </c>
      <c r="Y115" s="987">
        <f t="shared" ca="1" si="27"/>
        <v>0</v>
      </c>
      <c r="Z115" s="987">
        <f t="shared" ca="1" si="28"/>
        <v>0</v>
      </c>
      <c r="AA115" s="994">
        <f t="shared" ca="1" si="21"/>
        <v>23576.824673287698</v>
      </c>
      <c r="AB115" s="1093">
        <f t="shared" ca="1" si="22"/>
        <v>22957.824673287698</v>
      </c>
      <c r="AC115" s="954" t="e">
        <f ca="1">IF(A115&gt;$A$1, #N/A,VLOOKUP(A115,Calculation!$B$8:$JF$880,165,FALSE))</f>
        <v>#N/A</v>
      </c>
      <c r="AD115" s="418" t="e">
        <f t="shared" ca="1" si="29"/>
        <v>#N/A</v>
      </c>
      <c r="AE115" s="418"/>
      <c r="AF115" s="935">
        <f>Calculation!G118</f>
        <v>2770.2672718113713</v>
      </c>
      <c r="AG115" s="941" t="str">
        <f t="shared" si="30"/>
        <v>Yes</v>
      </c>
      <c r="AH115" s="941" t="str">
        <f t="shared" si="31"/>
        <v>Yes</v>
      </c>
      <c r="AI115" s="963">
        <v>29305.680000072643</v>
      </c>
      <c r="AJ115" s="964">
        <v>17607.400000043966</v>
      </c>
      <c r="AK115" s="964">
        <v>23703.500000060198</v>
      </c>
      <c r="AN115" s="447"/>
      <c r="AO115" s="430"/>
      <c r="AP115" s="462"/>
      <c r="AQ115" s="461"/>
      <c r="AR115" s="461"/>
      <c r="AS115" s="463"/>
      <c r="AU115" s="453"/>
      <c r="AV115" s="452"/>
      <c r="AW115" s="453"/>
      <c r="AX115" s="452"/>
      <c r="AY115" s="453"/>
      <c r="AZ115" s="452"/>
      <c r="BA115" s="449"/>
    </row>
    <row r="116" spans="1:53" ht="13.5" thickBot="1">
      <c r="A116" s="425">
        <v>41747</v>
      </c>
      <c r="B116" s="954">
        <f t="shared" si="24"/>
        <v>71.626100000000008</v>
      </c>
      <c r="C116" s="954">
        <f>Calculation!AK119</f>
        <v>86.663096933281309</v>
      </c>
      <c r="D116" s="954">
        <f>Calculation!AI119</f>
        <v>0</v>
      </c>
      <c r="E116" s="954">
        <f>Calculation!AE119</f>
        <v>32.0229</v>
      </c>
      <c r="F116" s="954">
        <f>Calculation!AF119</f>
        <v>39.603200000000001</v>
      </c>
      <c r="G116" s="954">
        <f>Calculation!AG119</f>
        <v>71.626099999999994</v>
      </c>
      <c r="H116" s="955" t="str">
        <f>Sheet1!H121</f>
        <v>o/s</v>
      </c>
      <c r="I116" s="935">
        <f>Sheet1!DA121</f>
        <v>2930</v>
      </c>
      <c r="J116" s="935">
        <f>Sheet1!DB121</f>
        <v>2030</v>
      </c>
      <c r="K116" s="935">
        <f>Sheet1!CZ121</f>
        <v>1980</v>
      </c>
      <c r="L116" s="959">
        <f>Calculation!F119</f>
        <v>250</v>
      </c>
      <c r="M116" s="959">
        <f>Calculation!E119</f>
        <v>250</v>
      </c>
      <c r="N116" s="959">
        <f>Calculation!D119</f>
        <v>300</v>
      </c>
      <c r="O116" s="985">
        <f>Sheet1!DC121</f>
        <v>1152.5</v>
      </c>
      <c r="P116" s="986" t="e">
        <f>Calculation!FD119</f>
        <v>#N/A</v>
      </c>
      <c r="Q116" s="994">
        <f>Calculation!DP119</f>
        <v>34110.000000086831</v>
      </c>
      <c r="R116" s="985">
        <f t="shared" si="20"/>
        <v>33491.000000086831</v>
      </c>
      <c r="S116" s="987">
        <f t="shared" si="25"/>
        <v>827.40000000267173</v>
      </c>
      <c r="T116" s="994">
        <f ca="1">IF(A116&gt;$A$1,#N/A,VLOOKUP(A116,Calculation!$B$8:$JF$503,40,FALSE))</f>
        <v>9877.6449980254911</v>
      </c>
      <c r="U116" s="987">
        <f t="shared" si="26"/>
        <v>0</v>
      </c>
      <c r="V116" s="987">
        <f>Calculation!AZ119</f>
        <v>0</v>
      </c>
      <c r="W116" s="994">
        <f t="shared" ca="1" si="23"/>
        <v>0</v>
      </c>
      <c r="X116" s="987">
        <v>0</v>
      </c>
      <c r="Y116" s="987">
        <f t="shared" ca="1" si="27"/>
        <v>0</v>
      </c>
      <c r="Z116" s="987">
        <f t="shared" ca="1" si="28"/>
        <v>0</v>
      </c>
      <c r="AA116" s="994">
        <f t="shared" ca="1" si="21"/>
        <v>24232.35500206134</v>
      </c>
      <c r="AB116" s="1093">
        <f t="shared" ca="1" si="22"/>
        <v>23613.35500206134</v>
      </c>
      <c r="AC116" s="954" t="e">
        <f ca="1">IF(A116&gt;$A$1, #N/A,VLOOKUP(A116,Calculation!$B$8:$JF$880,165,FALSE))</f>
        <v>#N/A</v>
      </c>
      <c r="AD116" s="418" t="e">
        <f t="shared" ca="1" si="29"/>
        <v>#N/A</v>
      </c>
      <c r="AE116" s="418"/>
      <c r="AF116" s="935">
        <f>Calculation!G119</f>
        <v>2397.2465960679128</v>
      </c>
      <c r="AG116" s="941" t="str">
        <f t="shared" si="30"/>
        <v>Yes</v>
      </c>
      <c r="AH116" s="941" t="str">
        <f t="shared" si="31"/>
        <v>Yes</v>
      </c>
      <c r="AI116" s="963">
        <v>29779.350000074344</v>
      </c>
      <c r="AJ116" s="964">
        <v>18369.900000044661</v>
      </c>
      <c r="AK116" s="964">
        <v>24371.500000062504</v>
      </c>
      <c r="AN116" s="447"/>
      <c r="AO116" s="430"/>
      <c r="AP116" s="462"/>
      <c r="AQ116" s="461"/>
      <c r="AR116" s="461"/>
      <c r="AS116" s="463"/>
      <c r="AU116" s="453"/>
      <c r="AV116" s="452"/>
      <c r="AW116" s="453"/>
      <c r="AX116" s="452"/>
      <c r="AY116" s="453"/>
      <c r="AZ116" s="452"/>
      <c r="BA116" s="449"/>
    </row>
    <row r="117" spans="1:53" ht="13.5" thickBot="1">
      <c r="A117" s="425">
        <v>41748</v>
      </c>
      <c r="B117" s="954">
        <f t="shared" si="24"/>
        <v>71.471399999999988</v>
      </c>
      <c r="C117" s="954">
        <f>Calculation!AK120</f>
        <v>86.761259101562487</v>
      </c>
      <c r="D117" s="954">
        <f>Calculation!AI120</f>
        <v>0</v>
      </c>
      <c r="E117" s="954">
        <f>Calculation!AE120</f>
        <v>32.0229</v>
      </c>
      <c r="F117" s="954">
        <f>Calculation!AF120</f>
        <v>39.448499999999996</v>
      </c>
      <c r="G117" s="954">
        <f>Calculation!AG120</f>
        <v>71.471400000000003</v>
      </c>
      <c r="H117" s="955" t="str">
        <f>Sheet1!H122</f>
        <v>o/s</v>
      </c>
      <c r="I117" s="935">
        <f>Sheet1!DA122</f>
        <v>3010</v>
      </c>
      <c r="J117" s="935">
        <f>Sheet1!DB122</f>
        <v>2020</v>
      </c>
      <c r="K117" s="935">
        <f>Sheet1!CZ122</f>
        <v>1980</v>
      </c>
      <c r="L117" s="959">
        <f>Calculation!F120</f>
        <v>250</v>
      </c>
      <c r="M117" s="959">
        <f>Calculation!E120</f>
        <v>250</v>
      </c>
      <c r="N117" s="959">
        <f>Calculation!D120</f>
        <v>300</v>
      </c>
      <c r="O117" s="985">
        <f>Sheet1!DC122</f>
        <v>1152.7</v>
      </c>
      <c r="P117" s="986" t="e">
        <f>Calculation!FD120</f>
        <v>#N/A</v>
      </c>
      <c r="Q117" s="994">
        <f>Calculation!DP120</f>
        <v>34299.00000008705</v>
      </c>
      <c r="R117" s="985">
        <f t="shared" si="20"/>
        <v>33680.00000008705</v>
      </c>
      <c r="S117" s="987">
        <f t="shared" si="25"/>
        <v>189.00000000021828</v>
      </c>
      <c r="T117" s="994">
        <f ca="1">IF(A117&gt;$A$1,#N/A,VLOOKUP(A117,Calculation!$B$8:$JF$503,40,FALSE))</f>
        <v>10049.709343806739</v>
      </c>
      <c r="U117" s="987">
        <f t="shared" si="26"/>
        <v>0</v>
      </c>
      <c r="V117" s="987">
        <f>Calculation!AZ120</f>
        <v>0</v>
      </c>
      <c r="W117" s="994">
        <f t="shared" ca="1" si="23"/>
        <v>0</v>
      </c>
      <c r="X117" s="987">
        <v>0</v>
      </c>
      <c r="Y117" s="987">
        <f t="shared" ca="1" si="27"/>
        <v>0</v>
      </c>
      <c r="Z117" s="987">
        <f t="shared" ca="1" si="28"/>
        <v>0</v>
      </c>
      <c r="AA117" s="994">
        <f t="shared" ca="1" si="21"/>
        <v>24249.290656280311</v>
      </c>
      <c r="AB117" s="1093">
        <f t="shared" ca="1" si="22"/>
        <v>23630.290656280311</v>
      </c>
      <c r="AC117" s="954" t="e">
        <f ca="1">IF(A117&gt;$A$1, #N/A,VLOOKUP(A117,Calculation!$B$8:$JF$880,165,FALSE))</f>
        <v>#N/A</v>
      </c>
      <c r="AD117" s="418" t="e">
        <f t="shared" ca="1" si="29"/>
        <v>#N/A</v>
      </c>
      <c r="AE117" s="418"/>
      <c r="AF117" s="935">
        <f>Calculation!G120</f>
        <v>2075.3101361574472</v>
      </c>
      <c r="AG117" s="941" t="str">
        <f t="shared" si="30"/>
        <v>Yes</v>
      </c>
      <c r="AH117" s="941" t="str">
        <f t="shared" si="31"/>
        <v>Yes</v>
      </c>
      <c r="AI117" s="963">
        <v>30038.850000074541</v>
      </c>
      <c r="AJ117" s="964">
        <v>18794.800000047293</v>
      </c>
      <c r="AK117" s="964">
        <v>28245.000000074378</v>
      </c>
      <c r="AN117" s="447"/>
      <c r="AO117" s="430"/>
      <c r="AP117" s="462"/>
      <c r="AQ117" s="461"/>
      <c r="AR117" s="461"/>
      <c r="AS117" s="463"/>
      <c r="AU117" s="453"/>
      <c r="AV117" s="452"/>
      <c r="AW117" s="453"/>
      <c r="AX117" s="452"/>
      <c r="AY117" s="453"/>
      <c r="AZ117" s="452"/>
      <c r="BA117" s="449"/>
    </row>
    <row r="118" spans="1:53" ht="13.5" thickBot="1">
      <c r="A118" s="425">
        <v>41749</v>
      </c>
      <c r="B118" s="954">
        <f t="shared" si="24"/>
        <v>71.626100000000008</v>
      </c>
      <c r="C118" s="954">
        <f>Calculation!AK121</f>
        <v>86.569853797418844</v>
      </c>
      <c r="D118" s="954">
        <f>Calculation!AI121</f>
        <v>0</v>
      </c>
      <c r="E118" s="954">
        <f>Calculation!AE121</f>
        <v>32.0229</v>
      </c>
      <c r="F118" s="954">
        <f>Calculation!AF121</f>
        <v>39.603200000000001</v>
      </c>
      <c r="G118" s="954">
        <f>Calculation!AG121</f>
        <v>71.626099999999994</v>
      </c>
      <c r="H118" s="955" t="str">
        <f>Sheet1!H123</f>
        <v>o/s</v>
      </c>
      <c r="I118" s="935">
        <f>Sheet1!DA123</f>
        <v>2730</v>
      </c>
      <c r="J118" s="935">
        <f>Sheet1!DB123</f>
        <v>1830</v>
      </c>
      <c r="K118" s="935">
        <f>Sheet1!CZ123</f>
        <v>1810</v>
      </c>
      <c r="L118" s="959">
        <f>Calculation!F121</f>
        <v>250</v>
      </c>
      <c r="M118" s="959">
        <f>Calculation!E121</f>
        <v>250</v>
      </c>
      <c r="N118" s="959">
        <f>Calculation!D121</f>
        <v>300</v>
      </c>
      <c r="O118" s="985">
        <f>Sheet1!DC123</f>
        <v>1152.3399999999999</v>
      </c>
      <c r="P118" s="986" t="e">
        <f>Calculation!FD121</f>
        <v>#N/A</v>
      </c>
      <c r="Q118" s="994">
        <f>Calculation!DP121</f>
        <v>33958.600000085709</v>
      </c>
      <c r="R118" s="985">
        <f t="shared" si="20"/>
        <v>33339.600000085709</v>
      </c>
      <c r="S118" s="987">
        <f t="shared" si="25"/>
        <v>-340.40000000134023</v>
      </c>
      <c r="T118" s="994">
        <f ca="1">IF(A118&gt;$A$1,#N/A,VLOOKUP(A118,Calculation!$B$8:$JF$503,40,FALSE))</f>
        <v>10221.39409587557</v>
      </c>
      <c r="U118" s="987">
        <f t="shared" si="26"/>
        <v>0</v>
      </c>
      <c r="V118" s="987">
        <f>Calculation!AZ121</f>
        <v>0</v>
      </c>
      <c r="W118" s="994">
        <f t="shared" ca="1" si="23"/>
        <v>0</v>
      </c>
      <c r="X118" s="987">
        <v>0</v>
      </c>
      <c r="Y118" s="987">
        <f t="shared" ca="1" si="27"/>
        <v>0</v>
      </c>
      <c r="Z118" s="987">
        <f t="shared" ca="1" si="28"/>
        <v>0</v>
      </c>
      <c r="AA118" s="994">
        <f t="shared" ca="1" si="21"/>
        <v>23737.205904210139</v>
      </c>
      <c r="AB118" s="1093">
        <f t="shared" ca="1" si="22"/>
        <v>23118.205904210139</v>
      </c>
      <c r="AC118" s="954" t="e">
        <f ca="1">IF(A118&gt;$A$1, #N/A,VLOOKUP(A118,Calculation!$B$8:$JF$880,165,FALSE))</f>
        <v>#N/A</v>
      </c>
      <c r="AD118" s="418" t="e">
        <f t="shared" ca="1" si="29"/>
        <v>#N/A</v>
      </c>
      <c r="AE118" s="418"/>
      <c r="AF118" s="935">
        <f>Calculation!G121</f>
        <v>1638.340897629178</v>
      </c>
      <c r="AG118" s="941" t="str">
        <f t="shared" si="30"/>
        <v>Yes</v>
      </c>
      <c r="AH118" s="941" t="str">
        <f t="shared" si="31"/>
        <v>Yes</v>
      </c>
      <c r="AI118" s="963">
        <v>30237.800000074738</v>
      </c>
      <c r="AJ118" s="964">
        <v>19388.000000048625</v>
      </c>
      <c r="AK118" s="964">
        <v>28357.800000073719</v>
      </c>
      <c r="AN118" s="447"/>
      <c r="AO118" s="430"/>
      <c r="AP118" s="462"/>
      <c r="AQ118" s="461"/>
      <c r="AR118" s="461"/>
      <c r="AS118" s="463"/>
      <c r="AU118" s="453"/>
      <c r="AV118" s="452"/>
      <c r="AW118" s="453"/>
      <c r="AX118" s="452"/>
      <c r="AY118" s="453"/>
      <c r="AZ118" s="452"/>
      <c r="BA118" s="449"/>
    </row>
    <row r="119" spans="1:53" ht="13.5" thickBot="1">
      <c r="A119" s="425">
        <v>41750</v>
      </c>
      <c r="B119" s="954">
        <f t="shared" si="24"/>
        <v>71.471399999999988</v>
      </c>
      <c r="C119" s="954">
        <f>Calculation!AK122</f>
        <v>86.776584301916316</v>
      </c>
      <c r="D119" s="954">
        <f>Calculation!AI122</f>
        <v>0</v>
      </c>
      <c r="E119" s="954">
        <f>Calculation!AE122</f>
        <v>32.0229</v>
      </c>
      <c r="F119" s="954">
        <f>Calculation!AF122</f>
        <v>39.448499999999996</v>
      </c>
      <c r="G119" s="954">
        <f>Calculation!AG122</f>
        <v>71.471400000000003</v>
      </c>
      <c r="H119" s="955" t="str">
        <f>Sheet1!H124</f>
        <v>o/s</v>
      </c>
      <c r="I119" s="935">
        <f>Sheet1!DA124</f>
        <v>2310</v>
      </c>
      <c r="J119" s="935">
        <f>Sheet1!DB124</f>
        <v>1490</v>
      </c>
      <c r="K119" s="935">
        <f>Sheet1!CZ124</f>
        <v>1800</v>
      </c>
      <c r="L119" s="959">
        <f>Calculation!F122</f>
        <v>250</v>
      </c>
      <c r="M119" s="959">
        <f>Calculation!E122</f>
        <v>250</v>
      </c>
      <c r="N119" s="959">
        <f>Calculation!D122</f>
        <v>300</v>
      </c>
      <c r="O119" s="985">
        <f>Sheet1!DC124</f>
        <v>1152.2</v>
      </c>
      <c r="P119" s="986" t="e">
        <f>Calculation!FD122</f>
        <v>#N/A</v>
      </c>
      <c r="Q119" s="994">
        <f>Calculation!DP122</f>
        <v>33826.00000008662</v>
      </c>
      <c r="R119" s="985">
        <f t="shared" si="20"/>
        <v>33207.00000008662</v>
      </c>
      <c r="S119" s="987">
        <f t="shared" si="25"/>
        <v>-132.59999999908905</v>
      </c>
      <c r="T119" s="994">
        <f ca="1">IF(A119&gt;$A$1,#N/A,VLOOKUP(A119,Calculation!$B$8:$JF$503,40,FALSE))</f>
        <v>10393.488834491136</v>
      </c>
      <c r="U119" s="987">
        <f t="shared" si="26"/>
        <v>0</v>
      </c>
      <c r="V119" s="987">
        <f>Calculation!AZ122</f>
        <v>0</v>
      </c>
      <c r="W119" s="994">
        <f t="shared" ca="1" si="23"/>
        <v>0</v>
      </c>
      <c r="X119" s="987">
        <v>0</v>
      </c>
      <c r="Y119" s="987">
        <f t="shared" ca="1" si="27"/>
        <v>0</v>
      </c>
      <c r="Z119" s="987">
        <f t="shared" ca="1" si="28"/>
        <v>0</v>
      </c>
      <c r="AA119" s="994">
        <f t="shared" ca="1" si="21"/>
        <v>23432.511165595482</v>
      </c>
      <c r="AB119" s="1093">
        <f t="shared" ca="1" si="22"/>
        <v>22813.511165595482</v>
      </c>
      <c r="AC119" s="954" t="e">
        <f ca="1">IF(A119&gt;$A$1, #N/A,VLOOKUP(A119,Calculation!$B$8:$JF$880,165,FALSE))</f>
        <v>#N/A</v>
      </c>
      <c r="AD119" s="418" t="e">
        <f t="shared" ca="1" si="29"/>
        <v>#N/A</v>
      </c>
      <c r="AE119" s="418"/>
      <c r="AF119" s="935">
        <f>Calculation!G122</f>
        <v>1733.1316187599148</v>
      </c>
      <c r="AG119" s="941" t="str">
        <f t="shared" si="30"/>
        <v>Yes</v>
      </c>
      <c r="AH119" s="941" t="str">
        <f t="shared" si="31"/>
        <v>Yes</v>
      </c>
      <c r="AI119" s="963">
        <v>30438.70000007606</v>
      </c>
      <c r="AJ119" s="964">
        <v>21627.000000054431</v>
      </c>
      <c r="AK119" s="964">
        <v>28738.200000073914</v>
      </c>
      <c r="AN119" s="447"/>
      <c r="AO119" s="430"/>
      <c r="AP119" s="462"/>
      <c r="AQ119" s="461"/>
      <c r="AR119" s="461"/>
      <c r="AS119" s="463"/>
      <c r="AU119" s="453"/>
      <c r="AV119" s="452"/>
      <c r="AW119" s="453"/>
      <c r="AX119" s="452"/>
      <c r="AY119" s="453"/>
      <c r="AZ119" s="452"/>
      <c r="BA119" s="449"/>
    </row>
    <row r="120" spans="1:53" ht="13.5" thickBot="1">
      <c r="A120" s="425">
        <v>41751</v>
      </c>
      <c r="B120" s="954">
        <f t="shared" si="24"/>
        <v>71.471399999999988</v>
      </c>
      <c r="C120" s="954">
        <f>Calculation!AK123</f>
        <v>86.75608644783118</v>
      </c>
      <c r="D120" s="954">
        <f>Calculation!AI123</f>
        <v>0</v>
      </c>
      <c r="E120" s="954">
        <f>Calculation!AE123</f>
        <v>32.0229</v>
      </c>
      <c r="F120" s="954">
        <f>Calculation!AF123</f>
        <v>39.448499999999996</v>
      </c>
      <c r="G120" s="954">
        <f>Calculation!AG123</f>
        <v>71.471400000000003</v>
      </c>
      <c r="H120" s="955" t="str">
        <f>Sheet1!H125</f>
        <v>o/s</v>
      </c>
      <c r="I120" s="935">
        <f>Sheet1!DA125</f>
        <v>2480</v>
      </c>
      <c r="J120" s="935">
        <f>Sheet1!DB125</f>
        <v>1430</v>
      </c>
      <c r="K120" s="935">
        <f>Sheet1!CZ125</f>
        <v>1290</v>
      </c>
      <c r="L120" s="959">
        <f>Calculation!F123</f>
        <v>250</v>
      </c>
      <c r="M120" s="959">
        <f>Calculation!E123</f>
        <v>250</v>
      </c>
      <c r="N120" s="959">
        <f>Calculation!D123</f>
        <v>300</v>
      </c>
      <c r="O120" s="985">
        <f>Sheet1!DC125</f>
        <v>1152.8</v>
      </c>
      <c r="P120" s="986" t="e">
        <f>Calculation!FD123</f>
        <v>#N/A</v>
      </c>
      <c r="Q120" s="994">
        <f>Calculation!DP123</f>
        <v>34394.000000086133</v>
      </c>
      <c r="R120" s="985">
        <f t="shared" si="20"/>
        <v>33775.000000086133</v>
      </c>
      <c r="S120" s="987">
        <f t="shared" si="25"/>
        <v>567.99999999951251</v>
      </c>
      <c r="T120" s="994">
        <f ca="1">IF(A120&gt;$A$1,#N/A,VLOOKUP(A120,Calculation!$B$8:$JF$503,40,FALSE))</f>
        <v>10565.542921900278</v>
      </c>
      <c r="U120" s="987">
        <f t="shared" si="26"/>
        <v>0</v>
      </c>
      <c r="V120" s="987">
        <f>Calculation!AZ123</f>
        <v>0</v>
      </c>
      <c r="W120" s="994">
        <f ca="1">IF(T120&lt;=0,0,MIN(MAX(Q120-T120-23559-619-(X119*1.983),0),5000))</f>
        <v>0</v>
      </c>
      <c r="X120" s="987">
        <v>0</v>
      </c>
      <c r="Y120" s="987">
        <f t="shared" ca="1" si="27"/>
        <v>0</v>
      </c>
      <c r="Z120" s="987">
        <f t="shared" ca="1" si="28"/>
        <v>0</v>
      </c>
      <c r="AA120" s="994">
        <f t="shared" ca="1" si="21"/>
        <v>23828.457078185857</v>
      </c>
      <c r="AB120" s="1093">
        <f t="shared" ca="1" si="22"/>
        <v>23209.457078185857</v>
      </c>
      <c r="AC120" s="954" t="e">
        <f ca="1">IF(A120&gt;$A$1, #N/A,VLOOKUP(A120,Calculation!$B$8:$JF$880,165,FALSE))</f>
        <v>#N/A</v>
      </c>
      <c r="AD120" s="418" t="e">
        <f t="shared" ca="1" si="29"/>
        <v>#N/A</v>
      </c>
      <c r="AE120" s="418"/>
      <c r="AF120" s="935">
        <f>Calculation!G123</f>
        <v>1576.4346949064611</v>
      </c>
      <c r="AG120" s="941" t="str">
        <f t="shared" si="30"/>
        <v>Yes</v>
      </c>
      <c r="AH120" s="941" t="str">
        <f t="shared" si="31"/>
        <v>Yes</v>
      </c>
      <c r="AI120" s="963">
        <v>30500.160000076059</v>
      </c>
      <c r="AJ120" s="964">
        <v>22469.800000056806</v>
      </c>
      <c r="AK120" s="964">
        <v>28721.000000073916</v>
      </c>
      <c r="AN120" s="447"/>
      <c r="AO120" s="430"/>
      <c r="AP120" s="462"/>
      <c r="AQ120" s="461"/>
      <c r="AR120" s="461"/>
      <c r="AS120" s="463"/>
      <c r="AU120" s="453"/>
      <c r="AV120" s="452"/>
      <c r="AW120" s="453"/>
      <c r="AX120" s="452"/>
      <c r="AY120" s="453"/>
      <c r="AZ120" s="452"/>
      <c r="BA120" s="449"/>
    </row>
    <row r="121" spans="1:53" ht="13.5" thickBot="1">
      <c r="A121" s="425">
        <v>41752</v>
      </c>
      <c r="B121" s="954">
        <f t="shared" si="24"/>
        <v>71.471399999999988</v>
      </c>
      <c r="C121" s="954">
        <f>Calculation!AK124</f>
        <v>86.992910066640533</v>
      </c>
      <c r="D121" s="954">
        <f>Calculation!AI124</f>
        <v>0</v>
      </c>
      <c r="E121" s="954">
        <f>Calculation!AE124</f>
        <v>32.0229</v>
      </c>
      <c r="F121" s="954">
        <f>Calculation!AF124</f>
        <v>39.448499999999996</v>
      </c>
      <c r="G121" s="954">
        <f>Calculation!AG124</f>
        <v>71.471400000000003</v>
      </c>
      <c r="H121" s="955" t="str">
        <f>Sheet1!H126</f>
        <v>o/s</v>
      </c>
      <c r="I121" s="935">
        <f>Sheet1!DA126</f>
        <v>2440</v>
      </c>
      <c r="J121" s="935">
        <f>Sheet1!DB126</f>
        <v>1650</v>
      </c>
      <c r="K121" s="935">
        <f>Sheet1!CZ126</f>
        <v>1460</v>
      </c>
      <c r="L121" s="959">
        <f>Calculation!F124</f>
        <v>250</v>
      </c>
      <c r="M121" s="959">
        <f>Calculation!E124</f>
        <v>250</v>
      </c>
      <c r="N121" s="959">
        <f>Calculation!D124</f>
        <v>300</v>
      </c>
      <c r="O121" s="985">
        <f>Sheet1!DC126</f>
        <v>1153.5999999999999</v>
      </c>
      <c r="P121" s="986" t="e">
        <f>Calculation!FD124</f>
        <v>#N/A</v>
      </c>
      <c r="Q121" s="1096">
        <f>Calculation!DP124</f>
        <v>35160.000000088621</v>
      </c>
      <c r="R121" s="985">
        <f t="shared" si="20"/>
        <v>34541.000000088621</v>
      </c>
      <c r="S121" s="987">
        <f t="shared" si="25"/>
        <v>766.00000000248838</v>
      </c>
      <c r="T121" s="994">
        <f ca="1">IF(A121&gt;$A$1,#N/A,VLOOKUP(A121,Calculation!$B$8:$JF$503,40,FALSE))</f>
        <v>10738.066676318154</v>
      </c>
      <c r="U121" s="987">
        <f t="shared" si="26"/>
        <v>0</v>
      </c>
      <c r="V121" s="987">
        <f>Calculation!AZ124</f>
        <v>0</v>
      </c>
      <c r="W121" s="1096">
        <f t="shared" ref="W121:W161" ca="1" si="32">IF(T121&lt;=0,0,MIN(MAX(Q121-T121-23559-619-(X120*1.983),0),5000))</f>
        <v>243.93332377046681</v>
      </c>
      <c r="X121" s="987">
        <v>0</v>
      </c>
      <c r="Y121" s="1026">
        <f ca="1">W121*0.5</f>
        <v>121.96666188523341</v>
      </c>
      <c r="Z121" s="987">
        <f t="shared" ca="1" si="28"/>
        <v>121.96666188523341</v>
      </c>
      <c r="AA121" s="1096">
        <f t="shared" ca="1" si="21"/>
        <v>24178</v>
      </c>
      <c r="AB121" s="1093">
        <f t="shared" ca="1" si="22"/>
        <v>23559</v>
      </c>
      <c r="AC121" s="954" t="e">
        <f ca="1">IF(A121&gt;$A$1, #N/A,VLOOKUP(A121,Calculation!$B$8:$JF$880,165,FALSE))</f>
        <v>#N/A</v>
      </c>
      <c r="AD121" s="418" t="e">
        <f t="shared" ca="1" si="29"/>
        <v>#N/A</v>
      </c>
      <c r="AE121" s="418"/>
      <c r="AF121" s="935">
        <f>Calculation!G124</f>
        <v>1846.2834089775533</v>
      </c>
      <c r="AG121" s="941" t="str">
        <f t="shared" si="30"/>
        <v>Yes</v>
      </c>
      <c r="AH121" s="941" t="str">
        <f t="shared" si="31"/>
        <v>Yes</v>
      </c>
      <c r="AI121" s="963">
        <v>30658.20000007626</v>
      </c>
      <c r="AJ121" s="964">
        <v>23073.600000058093</v>
      </c>
      <c r="AK121" s="964">
        <v>28937.000000074971</v>
      </c>
      <c r="AN121" s="447"/>
      <c r="AO121" s="430"/>
      <c r="AP121" s="462"/>
      <c r="AQ121" s="461"/>
      <c r="AR121" s="461"/>
      <c r="AS121" s="463"/>
      <c r="AU121" s="453"/>
      <c r="AV121" s="452"/>
      <c r="AW121" s="453"/>
      <c r="AX121" s="452"/>
      <c r="AY121" s="453"/>
      <c r="AZ121" s="452"/>
      <c r="BA121" s="449"/>
    </row>
    <row r="122" spans="1:53" ht="13.5" thickBot="1">
      <c r="A122" s="425">
        <v>41753</v>
      </c>
      <c r="B122" s="954">
        <f t="shared" si="24"/>
        <v>71.595159999999993</v>
      </c>
      <c r="C122" s="954">
        <f>Calculation!AK125</f>
        <v>87.13712702194357</v>
      </c>
      <c r="D122" s="954">
        <f>Calculation!AI125</f>
        <v>0</v>
      </c>
      <c r="E122" s="954">
        <f>Calculation!AE125</f>
        <v>32.146659999999997</v>
      </c>
      <c r="F122" s="954">
        <f>Calculation!AF125</f>
        <v>39.448499999999996</v>
      </c>
      <c r="G122" s="954">
        <f>Calculation!AG125</f>
        <v>71.595159999999993</v>
      </c>
      <c r="H122" s="955" t="str">
        <f>Sheet1!H127</f>
        <v>o/s</v>
      </c>
      <c r="I122" s="935">
        <f>Sheet1!DA127</f>
        <v>3580</v>
      </c>
      <c r="J122" s="935">
        <f>Sheet1!DB127</f>
        <v>2530</v>
      </c>
      <c r="K122" s="935">
        <f>Sheet1!CZ127</f>
        <v>2360</v>
      </c>
      <c r="L122" s="959">
        <f>Calculation!F125</f>
        <v>250</v>
      </c>
      <c r="M122" s="959">
        <f>Calculation!E125</f>
        <v>250</v>
      </c>
      <c r="N122" s="959">
        <f>Calculation!D125</f>
        <v>300</v>
      </c>
      <c r="O122" s="985">
        <f>Sheet1!DC127</f>
        <v>1155.2</v>
      </c>
      <c r="P122" s="986" t="e">
        <f>Calculation!FD125</f>
        <v>#N/A</v>
      </c>
      <c r="Q122" s="1096">
        <f>Calculation!DP125</f>
        <v>36717.000000092965</v>
      </c>
      <c r="R122" s="985">
        <f t="shared" si="20"/>
        <v>36098.000000092965</v>
      </c>
      <c r="S122" s="987">
        <f t="shared" si="25"/>
        <v>1557.0000000043437</v>
      </c>
      <c r="T122" s="994">
        <f ca="1">IF(A122&gt;$A$1,#N/A,VLOOKUP(A122,Calculation!$B$8:$JF$503,40,FALSE))</f>
        <v>10910.876440832262</v>
      </c>
      <c r="U122" s="987">
        <f t="shared" si="26"/>
        <v>0</v>
      </c>
      <c r="V122" s="987">
        <f>Calculation!AZ125</f>
        <v>0</v>
      </c>
      <c r="W122" s="1096">
        <f t="shared" ca="1" si="32"/>
        <v>1628.1235592607045</v>
      </c>
      <c r="X122" s="987">
        <v>0</v>
      </c>
      <c r="Y122" s="1026">
        <f t="shared" ref="Y122:Y160" ca="1" si="33">W122*0.5</f>
        <v>814.06177963035225</v>
      </c>
      <c r="Z122" s="987">
        <f t="shared" ca="1" si="28"/>
        <v>814.06177963035225</v>
      </c>
      <c r="AA122" s="1096">
        <f t="shared" ca="1" si="21"/>
        <v>24178</v>
      </c>
      <c r="AB122" s="1093">
        <f t="shared" ca="1" si="22"/>
        <v>23559</v>
      </c>
      <c r="AC122" s="954" t="e">
        <f ca="1">IF(A122&gt;$A$1, #N/A,VLOOKUP(A122,Calculation!$B$8:$JF$880,165,FALSE))</f>
        <v>#N/A</v>
      </c>
      <c r="AD122" s="418" t="e">
        <f t="shared" ca="1" si="29"/>
        <v>#N/A</v>
      </c>
      <c r="AE122" s="418"/>
      <c r="AF122" s="935">
        <f>Calculation!G125</f>
        <v>3145.1739788221603</v>
      </c>
      <c r="AG122" s="941" t="str">
        <f t="shared" si="30"/>
        <v>Yes</v>
      </c>
      <c r="AH122" s="941" t="str">
        <f t="shared" si="31"/>
        <v>Yes</v>
      </c>
      <c r="AI122" s="963">
        <v>30895.260000076458</v>
      </c>
      <c r="AJ122" s="964">
        <v>24488.000000062679</v>
      </c>
      <c r="AK122" s="964">
        <v>29461.000000076434</v>
      </c>
      <c r="AN122" s="447"/>
      <c r="AO122" s="430"/>
      <c r="AP122" s="462"/>
      <c r="AQ122" s="461"/>
      <c r="AR122" s="461"/>
      <c r="AS122" s="463"/>
      <c r="AU122" s="453"/>
      <c r="AV122" s="452"/>
      <c r="AW122" s="453"/>
      <c r="AX122" s="452"/>
      <c r="AY122" s="453"/>
      <c r="AZ122" s="452"/>
      <c r="BA122" s="449"/>
    </row>
    <row r="123" spans="1:53" ht="13.5" thickBot="1">
      <c r="A123" s="425">
        <v>41754</v>
      </c>
      <c r="B123" s="954">
        <f t="shared" si="24"/>
        <v>71.626099999999994</v>
      </c>
      <c r="C123" s="954">
        <f>Calculation!AK126</f>
        <v>86.992910066640533</v>
      </c>
      <c r="D123" s="954">
        <f>Calculation!AI126</f>
        <v>0</v>
      </c>
      <c r="E123" s="954">
        <f>Calculation!AE126</f>
        <v>32.177599999999998</v>
      </c>
      <c r="F123" s="954">
        <f>Calculation!AF126</f>
        <v>39.448499999999996</v>
      </c>
      <c r="G123" s="954">
        <f>Calculation!AG126</f>
        <v>71.626099999999994</v>
      </c>
      <c r="H123" s="955" t="str">
        <f>Sheet1!H128</f>
        <v>o/s</v>
      </c>
      <c r="I123" s="935">
        <f>Sheet1!DA128</f>
        <v>3070</v>
      </c>
      <c r="J123" s="935">
        <f>Sheet1!DB128</f>
        <v>2150</v>
      </c>
      <c r="K123" s="935">
        <f>Sheet1!CZ128</f>
        <v>1990</v>
      </c>
      <c r="L123" s="959">
        <f>Calculation!F126</f>
        <v>250</v>
      </c>
      <c r="M123" s="959">
        <f>Calculation!E126</f>
        <v>250</v>
      </c>
      <c r="N123" s="959">
        <f>Calculation!D126</f>
        <v>300</v>
      </c>
      <c r="O123" s="985">
        <f>Sheet1!DC128</f>
        <v>1156.3</v>
      </c>
      <c r="P123" s="986" t="e">
        <f>Calculation!FD126</f>
        <v>#N/A</v>
      </c>
      <c r="Q123" s="1096">
        <f>Calculation!DP126</f>
        <v>37809.000000094813</v>
      </c>
      <c r="R123" s="985">
        <f t="shared" si="20"/>
        <v>37190.000000094813</v>
      </c>
      <c r="S123" s="987">
        <f t="shared" si="25"/>
        <v>1092.0000000018481</v>
      </c>
      <c r="T123" s="994">
        <f ca="1">IF(A123&gt;$A$1,#N/A,VLOOKUP(A123,Calculation!$B$8:$JF$503,40,FALSE))</f>
        <v>11083.400195250138</v>
      </c>
      <c r="U123" s="987">
        <f t="shared" si="26"/>
        <v>0</v>
      </c>
      <c r="V123" s="987">
        <f>Calculation!AZ126</f>
        <v>0</v>
      </c>
      <c r="W123" s="1096">
        <f t="shared" ca="1" si="32"/>
        <v>2547.5998048446745</v>
      </c>
      <c r="X123" s="987">
        <v>0</v>
      </c>
      <c r="Y123" s="1026">
        <f t="shared" ca="1" si="33"/>
        <v>1273.7999024223373</v>
      </c>
      <c r="Z123" s="987">
        <f t="shared" ca="1" si="28"/>
        <v>1273.7999024223373</v>
      </c>
      <c r="AA123" s="1096">
        <f t="shared" ca="1" si="21"/>
        <v>24178</v>
      </c>
      <c r="AB123" s="1093">
        <f t="shared" ca="1" si="22"/>
        <v>23559</v>
      </c>
      <c r="AC123" s="954" t="e">
        <f ca="1">IF(A123&gt;$A$1, #N/A,VLOOKUP(A123,Calculation!$B$8:$JF$880,165,FALSE))</f>
        <v>#N/A</v>
      </c>
      <c r="AD123" s="418" t="e">
        <f t="shared" ca="1" si="29"/>
        <v>#N/A</v>
      </c>
      <c r="AE123" s="418"/>
      <c r="AF123" s="935">
        <f>Calculation!G126</f>
        <v>2540.6807866877698</v>
      </c>
      <c r="AG123" s="941" t="str">
        <f t="shared" si="30"/>
        <v>Yes</v>
      </c>
      <c r="AH123" s="941" t="str">
        <f t="shared" si="31"/>
        <v>Yes</v>
      </c>
      <c r="AI123" s="963">
        <v>30965.500000076459</v>
      </c>
      <c r="AJ123" s="964">
        <v>25325.000000065847</v>
      </c>
      <c r="AK123" s="964">
        <v>29856.000000076634</v>
      </c>
      <c r="AN123" s="447"/>
      <c r="AO123" s="430"/>
      <c r="AP123" s="462"/>
      <c r="AQ123" s="461"/>
      <c r="AR123" s="461"/>
      <c r="AS123" s="463"/>
      <c r="AU123" s="453"/>
      <c r="AV123" s="452"/>
      <c r="AW123" s="453"/>
      <c r="AX123" s="452"/>
      <c r="AY123" s="453"/>
      <c r="AZ123" s="452"/>
      <c r="BA123" s="449"/>
    </row>
    <row r="124" spans="1:53" ht="13.5" thickBot="1">
      <c r="A124" s="425">
        <v>41755</v>
      </c>
      <c r="B124" s="954">
        <f t="shared" si="24"/>
        <v>71.626099999999994</v>
      </c>
      <c r="C124" s="954">
        <f>Calculation!AK127</f>
        <v>86.992910066640533</v>
      </c>
      <c r="D124" s="954">
        <f>Calculation!AI127</f>
        <v>0</v>
      </c>
      <c r="E124" s="954">
        <f>Calculation!AE127</f>
        <v>32.177599999999998</v>
      </c>
      <c r="F124" s="954">
        <f>Calculation!AF127</f>
        <v>39.448499999999996</v>
      </c>
      <c r="G124" s="954">
        <f>Calculation!AG127</f>
        <v>71.626099999999994</v>
      </c>
      <c r="H124" s="955" t="str">
        <f>Sheet1!H129</f>
        <v>o/s</v>
      </c>
      <c r="I124" s="935">
        <f>Sheet1!DA129</f>
        <v>2910</v>
      </c>
      <c r="J124" s="935">
        <f>Sheet1!DB129</f>
        <v>2120</v>
      </c>
      <c r="K124" s="935">
        <f>Sheet1!CZ129</f>
        <v>1990</v>
      </c>
      <c r="L124" s="959">
        <f>Calculation!F127</f>
        <v>250</v>
      </c>
      <c r="M124" s="959">
        <f>Calculation!E127</f>
        <v>250</v>
      </c>
      <c r="N124" s="959">
        <f>Calculation!D127</f>
        <v>300</v>
      </c>
      <c r="O124" s="985">
        <f>Sheet1!DC129</f>
        <v>1156.7</v>
      </c>
      <c r="P124" s="986" t="e">
        <f>Calculation!FD127</f>
        <v>#N/A</v>
      </c>
      <c r="Q124" s="1096">
        <f>Calculation!DP127</f>
        <v>38210.000000095271</v>
      </c>
      <c r="R124" s="985">
        <f t="shared" si="20"/>
        <v>37591.000000095271</v>
      </c>
      <c r="S124" s="987">
        <f t="shared" si="25"/>
        <v>401.00000000045839</v>
      </c>
      <c r="T124" s="994">
        <f ca="1">IF(A124&gt;$A$1,#N/A,VLOOKUP(A124,Calculation!$B$8:$JF$503,40,FALSE))</f>
        <v>11255.923949668013</v>
      </c>
      <c r="U124" s="987">
        <f t="shared" si="26"/>
        <v>0</v>
      </c>
      <c r="V124" s="987">
        <f>Calculation!AZ127</f>
        <v>0</v>
      </c>
      <c r="W124" s="1096">
        <f t="shared" ca="1" si="32"/>
        <v>2776.0760504272585</v>
      </c>
      <c r="X124" s="987">
        <v>0</v>
      </c>
      <c r="Y124" s="1026">
        <f t="shared" ca="1" si="33"/>
        <v>1388.0380252136292</v>
      </c>
      <c r="Z124" s="987">
        <f t="shared" ca="1" si="28"/>
        <v>1388.0380252136292</v>
      </c>
      <c r="AA124" s="1096">
        <f t="shared" ca="1" si="21"/>
        <v>24178</v>
      </c>
      <c r="AB124" s="1093">
        <f t="shared" ca="1" si="22"/>
        <v>23559</v>
      </c>
      <c r="AC124" s="954" t="e">
        <f ca="1">IF(A124&gt;$A$1, #N/A,VLOOKUP(A124,Calculation!$B$8:$JF$880,165,FALSE))</f>
        <v>#N/A</v>
      </c>
      <c r="AD124" s="418" t="e">
        <f t="shared" ca="1" si="29"/>
        <v>#N/A</v>
      </c>
      <c r="AE124" s="418"/>
      <c r="AF124" s="935">
        <f>Calculation!G127</f>
        <v>2192.2188603128889</v>
      </c>
      <c r="AG124" s="941" t="str">
        <f t="shared" si="30"/>
        <v>Yes</v>
      </c>
      <c r="AH124" s="941" t="str">
        <f t="shared" si="31"/>
        <v>Yes</v>
      </c>
      <c r="AI124" s="963">
        <v>31088.420000076661</v>
      </c>
      <c r="AJ124" s="964">
        <v>25396.400000065023</v>
      </c>
      <c r="AK124" s="964">
        <v>30282.700000077908</v>
      </c>
      <c r="AN124" s="447"/>
      <c r="AO124" s="430"/>
      <c r="AP124" s="462"/>
      <c r="AQ124" s="461"/>
      <c r="AR124" s="461"/>
      <c r="AS124" s="463"/>
      <c r="AU124" s="453"/>
      <c r="AV124" s="452"/>
      <c r="AW124" s="453"/>
      <c r="AX124" s="452"/>
      <c r="AY124" s="453"/>
      <c r="AZ124" s="452"/>
      <c r="BA124" s="449"/>
    </row>
    <row r="125" spans="1:53" ht="13.5" thickBot="1">
      <c r="A125" s="425">
        <v>41756</v>
      </c>
      <c r="B125" s="954">
        <f t="shared" si="24"/>
        <v>71.780799999999999</v>
      </c>
      <c r="C125" s="954">
        <f>Calculation!AK128</f>
        <v>86.998006136363628</v>
      </c>
      <c r="D125" s="954">
        <f>Calculation!AI128</f>
        <v>0</v>
      </c>
      <c r="E125" s="954">
        <f>Calculation!AE128</f>
        <v>32.332299999999996</v>
      </c>
      <c r="F125" s="954">
        <f>Calculation!AF128</f>
        <v>39.448499999999996</v>
      </c>
      <c r="G125" s="954">
        <f>Calculation!AG128</f>
        <v>71.780799999999999</v>
      </c>
      <c r="H125" s="955" t="str">
        <f>Sheet1!H130</f>
        <v>o/s</v>
      </c>
      <c r="I125" s="935">
        <f>Sheet1!DA130</f>
        <v>2850</v>
      </c>
      <c r="J125" s="935">
        <f>Sheet1!DB130</f>
        <v>1930</v>
      </c>
      <c r="K125" s="935">
        <f>Sheet1!CZ130</f>
        <v>1810</v>
      </c>
      <c r="L125" s="959">
        <f>Calculation!F128</f>
        <v>250</v>
      </c>
      <c r="M125" s="959">
        <f>Calculation!E128</f>
        <v>250</v>
      </c>
      <c r="N125" s="959">
        <f>Calculation!D128</f>
        <v>300</v>
      </c>
      <c r="O125" s="985">
        <f>Sheet1!DC130</f>
        <v>1156.76</v>
      </c>
      <c r="P125" s="986" t="e">
        <f>Calculation!FD128</f>
        <v>#N/A</v>
      </c>
      <c r="Q125" s="1096">
        <f>Calculation!DP128</f>
        <v>38270.000000095271</v>
      </c>
      <c r="R125" s="985">
        <f t="shared" si="20"/>
        <v>37651.000000095271</v>
      </c>
      <c r="S125" s="987">
        <f t="shared" si="25"/>
        <v>60</v>
      </c>
      <c r="T125" s="994">
        <f ca="1">IF(A125&gt;$A$1,#N/A,VLOOKUP(A125,Calculation!$B$8:$JF$503,40,FALSE))</f>
        <v>11428.457810577103</v>
      </c>
      <c r="U125" s="987">
        <f t="shared" si="26"/>
        <v>0</v>
      </c>
      <c r="V125" s="987">
        <f>Calculation!AZ128</f>
        <v>0</v>
      </c>
      <c r="W125" s="1096">
        <f t="shared" ca="1" si="32"/>
        <v>2663.542189518168</v>
      </c>
      <c r="X125" s="987">
        <v>0</v>
      </c>
      <c r="Y125" s="1026">
        <f t="shared" ca="1" si="33"/>
        <v>1331.771094759084</v>
      </c>
      <c r="Z125" s="987">
        <f t="shared" ca="1" si="28"/>
        <v>1331.771094759084</v>
      </c>
      <c r="AA125" s="1096">
        <f t="shared" ca="1" si="21"/>
        <v>24178</v>
      </c>
      <c r="AB125" s="1093">
        <f t="shared" ca="1" si="22"/>
        <v>23559</v>
      </c>
      <c r="AC125" s="954" t="e">
        <f ca="1">IF(A125&gt;$A$1, #N/A,VLOOKUP(A125,Calculation!$B$8:$JF$880,165,FALSE))</f>
        <v>#N/A</v>
      </c>
      <c r="AD125" s="418" t="e">
        <f t="shared" ca="1" si="29"/>
        <v>#N/A</v>
      </c>
      <c r="AE125" s="418"/>
      <c r="AF125" s="935">
        <f>Calculation!G128</f>
        <v>1840.2571860816945</v>
      </c>
      <c r="AG125" s="941" t="str">
        <f t="shared" si="30"/>
        <v>Yes</v>
      </c>
      <c r="AH125" s="941" t="str">
        <f t="shared" si="31"/>
        <v>Yes</v>
      </c>
      <c r="AI125" s="963">
        <v>31336.640000078085</v>
      </c>
      <c r="AJ125" s="964">
        <v>26224.900000067406</v>
      </c>
      <c r="AK125" s="964">
        <v>30835.500000078515</v>
      </c>
      <c r="AN125" s="447"/>
      <c r="AO125" s="430"/>
      <c r="AP125" s="462"/>
      <c r="AQ125" s="461"/>
      <c r="AR125" s="461"/>
      <c r="AS125" s="463"/>
      <c r="AU125" s="453"/>
      <c r="AV125" s="452"/>
      <c r="AW125" s="453"/>
      <c r="AX125" s="452"/>
      <c r="AY125" s="453"/>
      <c r="AZ125" s="452"/>
      <c r="BA125" s="449"/>
    </row>
    <row r="126" spans="1:53" ht="13.5" thickBot="1">
      <c r="A126" s="425">
        <v>41757</v>
      </c>
      <c r="B126" s="954">
        <f t="shared" si="24"/>
        <v>71.780799999999999</v>
      </c>
      <c r="C126" s="954">
        <f>Calculation!AK129</f>
        <v>90.607309414077861</v>
      </c>
      <c r="D126" s="954">
        <f>Calculation!AI129</f>
        <v>0</v>
      </c>
      <c r="E126" s="954">
        <f>Calculation!AE129</f>
        <v>32.177599999999998</v>
      </c>
      <c r="F126" s="954">
        <f>Calculation!AF129</f>
        <v>39.603200000000001</v>
      </c>
      <c r="G126" s="954">
        <f>Calculation!AG129</f>
        <v>71.780799999999999</v>
      </c>
      <c r="H126" s="955" t="str">
        <f>Sheet1!H131</f>
        <v>o/s</v>
      </c>
      <c r="I126" s="935">
        <f>Sheet1!DA131</f>
        <v>2320</v>
      </c>
      <c r="J126" s="935">
        <f>Sheet1!DB131</f>
        <v>1590</v>
      </c>
      <c r="K126" s="935">
        <f>Sheet1!CZ131</f>
        <v>1480</v>
      </c>
      <c r="L126" s="959">
        <f>Calculation!F129</f>
        <v>250</v>
      </c>
      <c r="M126" s="959">
        <f>Calculation!E129</f>
        <v>250</v>
      </c>
      <c r="N126" s="959">
        <f>Calculation!D129</f>
        <v>300</v>
      </c>
      <c r="O126" s="985">
        <f>Sheet1!DC131</f>
        <v>1157</v>
      </c>
      <c r="P126" s="986" t="e">
        <f>Calculation!FD129</f>
        <v>#N/A</v>
      </c>
      <c r="Q126" s="1096">
        <f>Calculation!DP129</f>
        <v>38511.000000097411</v>
      </c>
      <c r="R126" s="985">
        <f t="shared" si="20"/>
        <v>37892.000000097411</v>
      </c>
      <c r="S126" s="987">
        <f t="shared" si="25"/>
        <v>241.00000000213913</v>
      </c>
      <c r="T126" s="994">
        <f ca="1">IF(A126&gt;$A$1,#N/A,VLOOKUP(A126,Calculation!$B$8:$JF$503,40,FALSE))</f>
        <v>11608.149617482333</v>
      </c>
      <c r="U126" s="987">
        <f t="shared" si="26"/>
        <v>0</v>
      </c>
      <c r="V126" s="987">
        <f>Calculation!AZ129</f>
        <v>0</v>
      </c>
      <c r="W126" s="1096">
        <f t="shared" ca="1" si="32"/>
        <v>2724.8503826150773</v>
      </c>
      <c r="X126" s="987">
        <v>0</v>
      </c>
      <c r="Y126" s="1026">
        <f t="shared" ca="1" si="33"/>
        <v>1362.4251913075386</v>
      </c>
      <c r="Z126" s="987">
        <f t="shared" ca="1" si="28"/>
        <v>1362.4251913075386</v>
      </c>
      <c r="AA126" s="1096">
        <f t="shared" ca="1" si="21"/>
        <v>24178</v>
      </c>
      <c r="AB126" s="1093">
        <f t="shared" ca="1" si="22"/>
        <v>23559</v>
      </c>
      <c r="AC126" s="954" t="e">
        <f ca="1">IF(A126&gt;$A$1, #N/A,VLOOKUP(A126,Calculation!$B$8:$JF$880,165,FALSE))</f>
        <v>#N/A</v>
      </c>
      <c r="AD126" s="418" t="e">
        <f t="shared" ca="1" si="29"/>
        <v>#N/A</v>
      </c>
      <c r="AE126" s="418"/>
      <c r="AF126" s="935">
        <f>Calculation!G129</f>
        <v>1601.5330307625513</v>
      </c>
      <c r="AG126" s="941" t="str">
        <f t="shared" si="30"/>
        <v>Yes</v>
      </c>
      <c r="AH126" s="941" t="str">
        <f t="shared" si="31"/>
        <v>Yes</v>
      </c>
      <c r="AI126" s="963">
        <v>31327.720000078087</v>
      </c>
      <c r="AJ126" s="964">
        <v>27059.000000070668</v>
      </c>
      <c r="AK126" s="964">
        <v>31722.000000080217</v>
      </c>
      <c r="AN126" s="447"/>
      <c r="AO126" s="430"/>
      <c r="AP126" s="462"/>
      <c r="AQ126" s="461"/>
      <c r="AR126" s="461"/>
      <c r="AS126" s="463"/>
      <c r="AU126" s="453"/>
      <c r="AV126" s="452"/>
      <c r="AW126" s="453"/>
      <c r="AX126" s="452"/>
      <c r="AY126" s="453"/>
      <c r="AZ126" s="452"/>
      <c r="BA126" s="449"/>
    </row>
    <row r="127" spans="1:53" ht="13.5" thickBot="1">
      <c r="A127" s="425">
        <v>41758</v>
      </c>
      <c r="B127" s="954">
        <f t="shared" si="24"/>
        <v>71.471399999999988</v>
      </c>
      <c r="C127" s="954">
        <f>Calculation!AK130</f>
        <v>89.044418834951443</v>
      </c>
      <c r="D127" s="954">
        <f>Calculation!AI130</f>
        <v>0</v>
      </c>
      <c r="E127" s="954">
        <f>Calculation!AE130</f>
        <v>32.0229</v>
      </c>
      <c r="F127" s="954">
        <f>Calculation!AF130</f>
        <v>39.448499999999996</v>
      </c>
      <c r="G127" s="954">
        <f>Calculation!AG130</f>
        <v>71.471400000000003</v>
      </c>
      <c r="H127" s="955" t="str">
        <f>Sheet1!H132</f>
        <v>o/s</v>
      </c>
      <c r="I127" s="935">
        <f>Sheet1!DA132</f>
        <v>2180</v>
      </c>
      <c r="J127" s="935">
        <f>Sheet1!DB132</f>
        <v>1510</v>
      </c>
      <c r="K127" s="935">
        <f>Sheet1!CZ132</f>
        <v>1430</v>
      </c>
      <c r="L127" s="959">
        <f>Calculation!F130</f>
        <v>250</v>
      </c>
      <c r="M127" s="959">
        <f>Calculation!E130</f>
        <v>250</v>
      </c>
      <c r="N127" s="959">
        <f>Calculation!D130</f>
        <v>300</v>
      </c>
      <c r="O127" s="985">
        <f>Sheet1!DC132</f>
        <v>1157.3699999999999</v>
      </c>
      <c r="P127" s="986" t="e">
        <f>Calculation!FD130</f>
        <v>#N/A</v>
      </c>
      <c r="Q127" s="1096">
        <f>Calculation!DP130</f>
        <v>38887.400000097638</v>
      </c>
      <c r="R127" s="985">
        <f t="shared" si="20"/>
        <v>38268.400000097638</v>
      </c>
      <c r="S127" s="987">
        <f t="shared" si="25"/>
        <v>376.40000000022701</v>
      </c>
      <c r="T127" s="994">
        <f ca="1">IF(A127&gt;$A$1,#N/A,VLOOKUP(A127,Calculation!$B$8:$JF$503,40,FALSE))</f>
        <v>11784.741910297869</v>
      </c>
      <c r="U127" s="987">
        <f t="shared" si="26"/>
        <v>0</v>
      </c>
      <c r="V127" s="987">
        <f>Calculation!AZ130</f>
        <v>0</v>
      </c>
      <c r="W127" s="1096">
        <f t="shared" ca="1" si="32"/>
        <v>2924.6580897997701</v>
      </c>
      <c r="X127" s="987">
        <v>0</v>
      </c>
      <c r="Y127" s="1026">
        <f t="shared" ca="1" si="33"/>
        <v>1462.329044899885</v>
      </c>
      <c r="Z127" s="987">
        <f t="shared" ca="1" si="28"/>
        <v>1462.329044899885</v>
      </c>
      <c r="AA127" s="1096">
        <f t="shared" ca="1" si="21"/>
        <v>24178</v>
      </c>
      <c r="AB127" s="1093">
        <f t="shared" ca="1" si="22"/>
        <v>23559</v>
      </c>
      <c r="AC127" s="954" t="e">
        <f ca="1">IF(A127&gt;$A$1, #N/A,VLOOKUP(A127,Calculation!$B$8:$JF$880,165,FALSE))</f>
        <v>#N/A</v>
      </c>
      <c r="AD127" s="418" t="e">
        <f t="shared" ca="1" si="29"/>
        <v>#N/A</v>
      </c>
      <c r="AE127" s="418"/>
      <c r="AF127" s="935">
        <f>Calculation!G130</f>
        <v>1619.8134140192774</v>
      </c>
      <c r="AG127" s="941" t="str">
        <f t="shared" si="30"/>
        <v>Yes</v>
      </c>
      <c r="AH127" s="941" t="str">
        <f t="shared" si="31"/>
        <v>Yes</v>
      </c>
      <c r="AI127" s="963">
        <v>31220.680000077882</v>
      </c>
      <c r="AJ127" s="964">
        <v>27537.50000007209</v>
      </c>
      <c r="AK127" s="964">
        <v>32372.800000082629</v>
      </c>
      <c r="AN127" s="447"/>
      <c r="AO127" s="430"/>
      <c r="AP127" s="462"/>
      <c r="AQ127" s="461"/>
      <c r="AR127" s="461"/>
      <c r="AS127" s="463"/>
      <c r="AU127" s="453"/>
      <c r="AV127" s="452"/>
      <c r="AW127" s="453"/>
      <c r="AX127" s="452"/>
      <c r="AY127" s="453"/>
      <c r="AZ127" s="452"/>
      <c r="BA127" s="449"/>
    </row>
    <row r="128" spans="1:53" ht="13.5" thickBot="1">
      <c r="A128" s="425">
        <v>41759</v>
      </c>
      <c r="B128" s="954">
        <f t="shared" si="24"/>
        <v>71.579689999999999</v>
      </c>
      <c r="C128" s="954">
        <f>Calculation!AK131</f>
        <v>86.977185732184807</v>
      </c>
      <c r="D128" s="954">
        <f>Calculation!AI131</f>
        <v>0</v>
      </c>
      <c r="E128" s="954">
        <f>Calculation!AE131</f>
        <v>32.177599999999998</v>
      </c>
      <c r="F128" s="954">
        <f>Calculation!AF131</f>
        <v>39.402089999999994</v>
      </c>
      <c r="G128" s="954">
        <f>Calculation!AG131</f>
        <v>71.579689999999985</v>
      </c>
      <c r="H128" s="955" t="str">
        <f>Sheet1!H133</f>
        <v>o/s</v>
      </c>
      <c r="I128" s="935">
        <f>Sheet1!DA133</f>
        <v>2100</v>
      </c>
      <c r="J128" s="935">
        <f>Sheet1!DB133</f>
        <v>1510</v>
      </c>
      <c r="K128" s="935">
        <f>Sheet1!CZ133</f>
        <v>1420</v>
      </c>
      <c r="L128" s="959">
        <f>Calculation!F131</f>
        <v>250</v>
      </c>
      <c r="M128" s="959">
        <f>Calculation!E131</f>
        <v>250</v>
      </c>
      <c r="N128" s="959">
        <f>Calculation!D131</f>
        <v>300</v>
      </c>
      <c r="O128" s="985">
        <f>Sheet1!DC133</f>
        <v>1157.6099999999999</v>
      </c>
      <c r="P128" s="986" t="e">
        <f>Calculation!FD131</f>
        <v>#N/A</v>
      </c>
      <c r="Q128" s="1096">
        <f>Calculation!DP131</f>
        <v>39131.200000097873</v>
      </c>
      <c r="R128" s="985">
        <f t="shared" si="20"/>
        <v>38512.200000097873</v>
      </c>
      <c r="S128" s="987">
        <f t="shared" si="25"/>
        <v>243.80000000023574</v>
      </c>
      <c r="T128" s="994">
        <f ca="1">IF(A128&gt;$A$1,#N/A,VLOOKUP(A128,Calculation!$B$8:$JF$503,40,FALSE))</f>
        <v>11957.234480321362</v>
      </c>
      <c r="U128" s="987">
        <f t="shared" si="26"/>
        <v>0</v>
      </c>
      <c r="V128" s="987">
        <f>Calculation!AZ131</f>
        <v>0</v>
      </c>
      <c r="W128" s="1096">
        <f t="shared" ca="1" si="32"/>
        <v>2995.9655197765096</v>
      </c>
      <c r="X128" s="987">
        <v>0</v>
      </c>
      <c r="Y128" s="1026">
        <f t="shared" ca="1" si="33"/>
        <v>1497.9827598882548</v>
      </c>
      <c r="Z128" s="987">
        <f t="shared" ca="1" si="28"/>
        <v>1497.9827598882548</v>
      </c>
      <c r="AA128" s="1096">
        <f t="shared" ca="1" si="21"/>
        <v>24178</v>
      </c>
      <c r="AB128" s="1093">
        <f t="shared" ca="1" si="22"/>
        <v>23559</v>
      </c>
      <c r="AC128" s="954" t="e">
        <f ca="1">IF(A128&gt;$A$1, #N/A,VLOOKUP(A128,Calculation!$B$8:$JF$880,165,FALSE))</f>
        <v>#N/A</v>
      </c>
      <c r="AD128" s="418" t="e">
        <f t="shared" ca="1" si="29"/>
        <v>#N/A</v>
      </c>
      <c r="AE128" s="418"/>
      <c r="AF128" s="935">
        <f>Calculation!G131</f>
        <v>1542.9450327787372</v>
      </c>
      <c r="AG128" s="941" t="str">
        <f t="shared" si="30"/>
        <v>Yes</v>
      </c>
      <c r="AH128" s="941" t="str">
        <f t="shared" si="31"/>
        <v>Yes</v>
      </c>
      <c r="AI128" s="963">
        <v>31167.440000076658</v>
      </c>
      <c r="AJ128" s="964">
        <v>27580.200000072939</v>
      </c>
      <c r="AK128" s="964">
        <v>32418.800000082629</v>
      </c>
      <c r="AN128" s="447"/>
      <c r="AO128" s="430"/>
      <c r="AP128" s="462"/>
      <c r="AQ128" s="461"/>
      <c r="AR128" s="461"/>
      <c r="AS128" s="463"/>
      <c r="AU128" s="453"/>
      <c r="AV128" s="452"/>
      <c r="AW128" s="453"/>
      <c r="AX128" s="452"/>
      <c r="AY128" s="453"/>
      <c r="AZ128" s="452"/>
      <c r="BA128" s="449"/>
    </row>
    <row r="129" spans="1:53" ht="13.5" thickBot="1">
      <c r="A129" s="425">
        <v>41760</v>
      </c>
      <c r="B129" s="954">
        <f t="shared" si="24"/>
        <v>71.517809999999997</v>
      </c>
      <c r="C129" s="954">
        <f>Calculation!AK132</f>
        <v>86.976765167575991</v>
      </c>
      <c r="D129" s="954">
        <f>Calculation!AI132</f>
        <v>0</v>
      </c>
      <c r="E129" s="954">
        <f>Calculation!AE132</f>
        <v>32.0229</v>
      </c>
      <c r="F129" s="954">
        <f>Calculation!AF132</f>
        <v>39.494909999999997</v>
      </c>
      <c r="G129" s="954">
        <f>Calculation!AG132</f>
        <v>71.517809999999997</v>
      </c>
      <c r="H129" s="955" t="str">
        <f>Sheet1!H134</f>
        <v>o/s</v>
      </c>
      <c r="I129" s="935">
        <f>Sheet1!DA134</f>
        <v>2150</v>
      </c>
      <c r="J129" s="935">
        <f>Sheet1!DB134</f>
        <v>1620</v>
      </c>
      <c r="K129" s="935">
        <f>Sheet1!CZ134</f>
        <v>1520</v>
      </c>
      <c r="L129" s="959">
        <f>Calculation!F132</f>
        <v>250</v>
      </c>
      <c r="M129" s="959">
        <f>Calculation!E132</f>
        <v>250</v>
      </c>
      <c r="N129" s="959">
        <f>Calculation!D132</f>
        <v>300</v>
      </c>
      <c r="O129" s="985">
        <f>Sheet1!DC134</f>
        <v>1157.95</v>
      </c>
      <c r="P129" s="986" t="e">
        <f>Calculation!FD132</f>
        <v>#N/A</v>
      </c>
      <c r="Q129" s="1096">
        <f>Calculation!DP132</f>
        <v>39477.000000098335</v>
      </c>
      <c r="R129" s="985">
        <f t="shared" si="20"/>
        <v>38858.000000098335</v>
      </c>
      <c r="S129" s="987">
        <f t="shared" si="25"/>
        <v>345.8000000004613</v>
      </c>
      <c r="T129" s="994">
        <f ca="1">IF(A129&gt;$A$1,#N/A,VLOOKUP(A129,Calculation!$B$8:$JF$503,40,FALSE))</f>
        <v>12129.726216283949</v>
      </c>
      <c r="U129" s="987">
        <f t="shared" si="26"/>
        <v>0</v>
      </c>
      <c r="V129" s="987">
        <f>Calculation!AZ132</f>
        <v>0</v>
      </c>
      <c r="W129" s="1096">
        <f t="shared" ca="1" si="32"/>
        <v>3169.2737838143876</v>
      </c>
      <c r="X129" s="987">
        <v>0</v>
      </c>
      <c r="Y129" s="1026">
        <f t="shared" ca="1" si="33"/>
        <v>1584.6368919071938</v>
      </c>
      <c r="Z129" s="987">
        <f t="shared" ca="1" si="28"/>
        <v>1584.6368919071938</v>
      </c>
      <c r="AA129" s="1096">
        <f t="shared" ca="1" si="21"/>
        <v>24178</v>
      </c>
      <c r="AB129" s="1093">
        <f t="shared" ca="1" si="22"/>
        <v>23559</v>
      </c>
      <c r="AC129" s="954" t="e">
        <f ca="1">IF(A129&gt;$A$1, #N/A,VLOOKUP(A129,Calculation!$B$8:$JF$880,165,FALSE))</f>
        <v>#N/A</v>
      </c>
      <c r="AD129" s="418" t="e">
        <f t="shared" ca="1" si="29"/>
        <v>#N/A</v>
      </c>
      <c r="AE129" s="418"/>
      <c r="AF129" s="935">
        <f>Calculation!G132</f>
        <v>1694.3822491177314</v>
      </c>
      <c r="AG129" s="941" t="str">
        <f t="shared" si="30"/>
        <v>Yes</v>
      </c>
      <c r="AH129" s="941" t="str">
        <f t="shared" si="31"/>
        <v>Yes</v>
      </c>
      <c r="AI129" s="963">
        <v>30930.38000007646</v>
      </c>
      <c r="AJ129" s="964">
        <v>28202.500000072669</v>
      </c>
      <c r="AK129" s="964">
        <v>32974.700000083947</v>
      </c>
      <c r="AN129" s="447"/>
      <c r="AO129" s="430"/>
      <c r="AP129" s="462"/>
      <c r="AQ129" s="461"/>
      <c r="AR129" s="461"/>
      <c r="AS129" s="463"/>
      <c r="AU129" s="453"/>
      <c r="AV129" s="452"/>
      <c r="AW129" s="453"/>
      <c r="AX129" s="452"/>
      <c r="AY129" s="453"/>
      <c r="AZ129" s="452"/>
      <c r="BA129" s="449"/>
    </row>
    <row r="130" spans="1:53" ht="13.5" thickBot="1">
      <c r="A130" s="425">
        <v>41761</v>
      </c>
      <c r="B130" s="954">
        <f t="shared" si="24"/>
        <v>71.780799999999999</v>
      </c>
      <c r="C130" s="954">
        <f>Calculation!AK133</f>
        <v>86.797114246575347</v>
      </c>
      <c r="D130" s="954">
        <f>Calculation!AI133</f>
        <v>0</v>
      </c>
      <c r="E130" s="954">
        <f>Calculation!AE133</f>
        <v>32.332299999999996</v>
      </c>
      <c r="F130" s="954">
        <f>Calculation!AF133</f>
        <v>39.448499999999996</v>
      </c>
      <c r="G130" s="954">
        <f>Calculation!AG133</f>
        <v>71.780799999999999</v>
      </c>
      <c r="H130" s="955" t="str">
        <f>Sheet1!H135</f>
        <v>o/s</v>
      </c>
      <c r="I130" s="935">
        <f>Sheet1!DA135</f>
        <v>2750</v>
      </c>
      <c r="J130" s="935">
        <f>Sheet1!DB135</f>
        <v>2250</v>
      </c>
      <c r="K130" s="935">
        <f>Sheet1!CZ135</f>
        <v>2180</v>
      </c>
      <c r="L130" s="959">
        <f>Calculation!F133</f>
        <v>250</v>
      </c>
      <c r="M130" s="959">
        <f>Calculation!E133</f>
        <v>250</v>
      </c>
      <c r="N130" s="959">
        <f>Calculation!D133</f>
        <v>300</v>
      </c>
      <c r="O130" s="985">
        <f>Sheet1!DC135</f>
        <v>1158.0999999999999</v>
      </c>
      <c r="P130" s="986" t="e">
        <f>Calculation!FD133</f>
        <v>#N/A</v>
      </c>
      <c r="Q130" s="1096">
        <f>Calculation!DP133</f>
        <v>39631.000000099302</v>
      </c>
      <c r="R130" s="985">
        <f t="shared" si="20"/>
        <v>39012.000000099302</v>
      </c>
      <c r="S130" s="987">
        <f t="shared" si="25"/>
        <v>154.0000000009677</v>
      </c>
      <c r="T130" s="994">
        <f ca="1">IF(A130&gt;$A$1,#N/A,VLOOKUP(A130,Calculation!$B$8:$JF$503,40,FALSE))</f>
        <v>12301.861669747745</v>
      </c>
      <c r="U130" s="987">
        <f t="shared" si="26"/>
        <v>0</v>
      </c>
      <c r="V130" s="987">
        <f>Calculation!AZ133</f>
        <v>0</v>
      </c>
      <c r="W130" s="1096">
        <f t="shared" ca="1" si="32"/>
        <v>3151.1383303515577</v>
      </c>
      <c r="X130" s="987">
        <v>0</v>
      </c>
      <c r="Y130" s="1026">
        <f t="shared" ca="1" si="33"/>
        <v>1575.5691651757788</v>
      </c>
      <c r="Z130" s="987">
        <f t="shared" ca="1" si="28"/>
        <v>1575.5691651757788</v>
      </c>
      <c r="AA130" s="1096">
        <f t="shared" ca="1" si="21"/>
        <v>24178</v>
      </c>
      <c r="AB130" s="1093">
        <f t="shared" ca="1" si="22"/>
        <v>23559</v>
      </c>
      <c r="AC130" s="954" t="e">
        <f ca="1">IF(A130&gt;$A$1, #N/A,VLOOKUP(A130,Calculation!$B$8:$JF$880,165,FALSE))</f>
        <v>#N/A</v>
      </c>
      <c r="AD130" s="418" t="e">
        <f t="shared" ca="1" si="29"/>
        <v>#N/A</v>
      </c>
      <c r="AE130" s="418"/>
      <c r="AF130" s="935">
        <f>Calculation!G133</f>
        <v>2257.6601109435037</v>
      </c>
      <c r="AG130" s="941" t="str">
        <f t="shared" si="30"/>
        <v>Yes</v>
      </c>
      <c r="AH130" s="941" t="str">
        <f t="shared" si="31"/>
        <v>Yes</v>
      </c>
      <c r="AI130" s="963">
        <v>30983.060000076461</v>
      </c>
      <c r="AJ130" s="964">
        <v>29645.800000076433</v>
      </c>
      <c r="AK130" s="964">
        <v>33440.700000084369</v>
      </c>
      <c r="AN130" s="447"/>
      <c r="AO130" s="430"/>
      <c r="AP130" s="462"/>
      <c r="AQ130" s="461"/>
      <c r="AR130" s="461"/>
      <c r="AS130" s="463"/>
      <c r="AU130" s="453"/>
      <c r="AV130" s="452"/>
      <c r="AW130" s="453"/>
      <c r="AX130" s="452"/>
      <c r="AY130" s="453"/>
      <c r="AZ130" s="452"/>
      <c r="BA130" s="449"/>
    </row>
    <row r="131" spans="1:53" ht="13.5" thickBot="1">
      <c r="A131" s="425">
        <v>41762</v>
      </c>
      <c r="B131" s="954">
        <f t="shared" si="24"/>
        <v>72.105670000000003</v>
      </c>
      <c r="C131" s="954">
        <f>Calculation!AK134</f>
        <v>86.853652131147541</v>
      </c>
      <c r="D131" s="954">
        <f>Calculation!AI134</f>
        <v>0</v>
      </c>
      <c r="E131" s="954">
        <f>Calculation!AE134</f>
        <v>32.579819999999998</v>
      </c>
      <c r="F131" s="954">
        <f>Calculation!AF134</f>
        <v>39.525849999999998</v>
      </c>
      <c r="G131" s="954">
        <f>Calculation!AG134</f>
        <v>72.105669999999989</v>
      </c>
      <c r="H131" s="955" t="str">
        <f>Sheet1!H136</f>
        <v>o/s</v>
      </c>
      <c r="I131" s="935">
        <f>Sheet1!DA136</f>
        <v>2860</v>
      </c>
      <c r="J131" s="935">
        <f>Sheet1!DB136</f>
        <v>2250</v>
      </c>
      <c r="K131" s="935">
        <f>Sheet1!CZ136</f>
        <v>2180</v>
      </c>
      <c r="L131" s="959">
        <f>Calculation!F134</f>
        <v>250</v>
      </c>
      <c r="M131" s="959">
        <f>Calculation!E134</f>
        <v>250</v>
      </c>
      <c r="N131" s="959">
        <f>Calculation!D134</f>
        <v>300</v>
      </c>
      <c r="O131" s="985">
        <f>Sheet1!DC136</f>
        <v>1157.9000000000001</v>
      </c>
      <c r="P131" s="986" t="e">
        <f>Calculation!FD134</f>
        <v>#N/A</v>
      </c>
      <c r="Q131" s="1096">
        <f>Calculation!DP134</f>
        <v>39426.000000098335</v>
      </c>
      <c r="R131" s="985">
        <f t="shared" si="20"/>
        <v>38807.000000098335</v>
      </c>
      <c r="S131" s="987">
        <f t="shared" si="25"/>
        <v>-205.0000000009677</v>
      </c>
      <c r="T131" s="994">
        <f ca="1">IF(A131&gt;$A$1,#N/A,VLOOKUP(A131,Calculation!$B$8:$JF$503,40,FALSE))</f>
        <v>12474.10924876414</v>
      </c>
      <c r="U131" s="987">
        <f t="shared" si="26"/>
        <v>0</v>
      </c>
      <c r="V131" s="987">
        <f>Calculation!AZ134</f>
        <v>0</v>
      </c>
      <c r="W131" s="1096">
        <f t="shared" ca="1" si="32"/>
        <v>2773.8907513341946</v>
      </c>
      <c r="X131" s="987">
        <v>0</v>
      </c>
      <c r="Y131" s="1026">
        <f t="shared" ca="1" si="33"/>
        <v>1386.9453756670973</v>
      </c>
      <c r="Z131" s="987">
        <f t="shared" ca="1" si="28"/>
        <v>1386.9453756670973</v>
      </c>
      <c r="AA131" s="1096">
        <f t="shared" ca="1" si="21"/>
        <v>24178</v>
      </c>
      <c r="AB131" s="1093">
        <f t="shared" ca="1" si="22"/>
        <v>23559</v>
      </c>
      <c r="AC131" s="954" t="e">
        <f ca="1">IF(A131&gt;$A$1, #N/A,VLOOKUP(A131,Calculation!$B$8:$JF$880,165,FALSE))</f>
        <v>#N/A</v>
      </c>
      <c r="AD131" s="418" t="e">
        <f t="shared" ca="1" si="29"/>
        <v>#N/A</v>
      </c>
      <c r="AE131" s="418"/>
      <c r="AF131" s="935">
        <f>Calculation!G134</f>
        <v>2076.6212808870559</v>
      </c>
      <c r="AG131" s="941" t="str">
        <f t="shared" si="30"/>
        <v>Yes</v>
      </c>
      <c r="AH131" s="941" t="str">
        <f t="shared" si="31"/>
        <v>Yes</v>
      </c>
      <c r="AI131" s="963">
        <v>31292.040000077883</v>
      </c>
      <c r="AJ131" s="964">
        <v>30434.000000078111</v>
      </c>
      <c r="AK131" s="964">
        <v>33684.500000086402</v>
      </c>
      <c r="AN131" s="447"/>
      <c r="AO131" s="430"/>
      <c r="AP131" s="462"/>
      <c r="AQ131" s="461"/>
      <c r="AR131" s="461"/>
      <c r="AS131" s="463"/>
      <c r="AU131" s="453"/>
      <c r="AV131" s="452"/>
      <c r="AW131" s="453"/>
      <c r="AX131" s="452"/>
      <c r="AY131" s="453"/>
      <c r="AZ131" s="452"/>
      <c r="BA131" s="449"/>
    </row>
    <row r="132" spans="1:53" ht="13.5" thickBot="1">
      <c r="A132" s="425">
        <v>41763</v>
      </c>
      <c r="B132" s="954">
        <f t="shared" si="24"/>
        <v>72.183019999999999</v>
      </c>
      <c r="C132" s="954">
        <f>Calculation!AK135</f>
        <v>86.673188647589171</v>
      </c>
      <c r="D132" s="954">
        <f>Calculation!AI135</f>
        <v>0</v>
      </c>
      <c r="E132" s="954">
        <f>Calculation!AE135</f>
        <v>32.703580000000002</v>
      </c>
      <c r="F132" s="954">
        <f>Calculation!AF135</f>
        <v>39.479439999999997</v>
      </c>
      <c r="G132" s="954">
        <f>Calculation!AG135</f>
        <v>72.183019999999985</v>
      </c>
      <c r="H132" s="955" t="str">
        <f>Sheet1!H137</f>
        <v>o/s</v>
      </c>
      <c r="I132" s="935">
        <f>Sheet1!DA137</f>
        <v>2560</v>
      </c>
      <c r="J132" s="935">
        <f>Sheet1!DB137</f>
        <v>1870</v>
      </c>
      <c r="K132" s="935">
        <f>Sheet1!CZ137</f>
        <v>1800</v>
      </c>
      <c r="L132" s="959">
        <f>Calculation!F135</f>
        <v>250</v>
      </c>
      <c r="M132" s="959">
        <f>Calculation!E135</f>
        <v>250</v>
      </c>
      <c r="N132" s="959">
        <f>Calculation!D135</f>
        <v>300</v>
      </c>
      <c r="O132" s="985">
        <f>Sheet1!DC137</f>
        <v>1157.75</v>
      </c>
      <c r="P132" s="986" t="e">
        <f>Calculation!FD135</f>
        <v>#N/A</v>
      </c>
      <c r="Q132" s="1096">
        <f>Calculation!DP135</f>
        <v>39274.000000098102</v>
      </c>
      <c r="R132" s="985">
        <f t="shared" si="20"/>
        <v>38655.000000098102</v>
      </c>
      <c r="S132" s="987">
        <f t="shared" si="25"/>
        <v>-152.00000000023283</v>
      </c>
      <c r="T132" s="994">
        <f ca="1">IF(A132&gt;$A$1,#N/A,VLOOKUP(A132,Calculation!$B$8:$JF$503,40,FALSE))</f>
        <v>12645.998933813138</v>
      </c>
      <c r="U132" s="987">
        <f t="shared" si="26"/>
        <v>0</v>
      </c>
      <c r="V132" s="987">
        <f>Calculation!AZ135</f>
        <v>0</v>
      </c>
      <c r="W132" s="1096">
        <f t="shared" ca="1" si="32"/>
        <v>2450.0010662849636</v>
      </c>
      <c r="X132" s="987">
        <v>0</v>
      </c>
      <c r="Y132" s="1026">
        <f t="shared" ca="1" si="33"/>
        <v>1225.0005331424818</v>
      </c>
      <c r="Z132" s="987">
        <f t="shared" ca="1" si="28"/>
        <v>1225.0005331424818</v>
      </c>
      <c r="AA132" s="1096">
        <f t="shared" ca="1" si="21"/>
        <v>24178</v>
      </c>
      <c r="AB132" s="1093">
        <f t="shared" ca="1" si="22"/>
        <v>23559</v>
      </c>
      <c r="AC132" s="954" t="e">
        <f ca="1">IF(A132&gt;$A$1, #N/A,VLOOKUP(A132,Calculation!$B$8:$JF$880,165,FALSE))</f>
        <v>#N/A</v>
      </c>
      <c r="AD132" s="418" t="e">
        <f t="shared" ca="1" si="29"/>
        <v>#N/A</v>
      </c>
      <c r="AE132" s="418"/>
      <c r="AF132" s="935">
        <f>Calculation!G135</f>
        <v>1723.3484619262567</v>
      </c>
      <c r="AG132" s="941" t="str">
        <f t="shared" si="30"/>
        <v>Yes</v>
      </c>
      <c r="AH132" s="941" t="str">
        <f t="shared" si="31"/>
        <v>Yes</v>
      </c>
      <c r="AI132" s="963">
        <v>31631.000000078289</v>
      </c>
      <c r="AJ132" s="964">
        <v>31215.000000079603</v>
      </c>
      <c r="AK132" s="964">
        <v>34015.000000086831</v>
      </c>
      <c r="AN132" s="447"/>
      <c r="AO132" s="430"/>
      <c r="AP132" s="462"/>
      <c r="AQ132" s="461"/>
      <c r="AR132" s="461"/>
      <c r="AS132" s="463"/>
      <c r="AU132" s="453"/>
      <c r="AV132" s="452"/>
      <c r="AW132" s="453"/>
      <c r="AX132" s="452"/>
      <c r="AY132" s="453"/>
      <c r="AZ132" s="452"/>
      <c r="BA132" s="449"/>
    </row>
    <row r="133" spans="1:53" ht="13.5" thickBot="1">
      <c r="A133" s="425">
        <v>41764</v>
      </c>
      <c r="B133" s="954">
        <f t="shared" si="24"/>
        <v>72.13660999999999</v>
      </c>
      <c r="C133" s="954">
        <f>Calculation!AK136</f>
        <v>86.853656188060867</v>
      </c>
      <c r="D133" s="954">
        <f>Calculation!AI136</f>
        <v>0</v>
      </c>
      <c r="E133" s="954">
        <f>Calculation!AE136</f>
        <v>32.6417</v>
      </c>
      <c r="F133" s="954">
        <f>Calculation!AF136</f>
        <v>39.494909999999997</v>
      </c>
      <c r="G133" s="954">
        <f>Calculation!AG136</f>
        <v>72.136610000000005</v>
      </c>
      <c r="H133" s="955" t="str">
        <f>Sheet1!H138</f>
        <v>o/s</v>
      </c>
      <c r="I133" s="935">
        <f>Sheet1!DA138</f>
        <v>2250</v>
      </c>
      <c r="J133" s="935">
        <f>Sheet1!DB138</f>
        <v>1470</v>
      </c>
      <c r="K133" s="935">
        <f>Sheet1!CZ138</f>
        <v>1390</v>
      </c>
      <c r="L133" s="959">
        <f>Calculation!F136</f>
        <v>250</v>
      </c>
      <c r="M133" s="959">
        <f>Calculation!E136</f>
        <v>250</v>
      </c>
      <c r="N133" s="959">
        <f>Calculation!D136</f>
        <v>300</v>
      </c>
      <c r="O133" s="985">
        <f>Sheet1!DC138</f>
        <v>1158.1199999999999</v>
      </c>
      <c r="P133" s="986" t="e">
        <f>Calculation!FD136</f>
        <v>#N/A</v>
      </c>
      <c r="Q133" s="1096">
        <f>Calculation!DP136</f>
        <v>39651.600000099301</v>
      </c>
      <c r="R133" s="985">
        <f t="shared" si="20"/>
        <v>39032.600000099301</v>
      </c>
      <c r="S133" s="987">
        <f t="shared" si="25"/>
        <v>377.60000000119908</v>
      </c>
      <c r="T133" s="994">
        <f ca="1">IF(A133&gt;$A$1,#N/A,VLOOKUP(A133,Calculation!$B$8:$JF$503,40,FALSE))</f>
        <v>12818.246520875176</v>
      </c>
      <c r="U133" s="987">
        <f t="shared" si="26"/>
        <v>0</v>
      </c>
      <c r="V133" s="987">
        <f>Calculation!AZ136</f>
        <v>0</v>
      </c>
      <c r="W133" s="1096">
        <f t="shared" ca="1" si="32"/>
        <v>2655.3534792241262</v>
      </c>
      <c r="X133" s="987">
        <v>0</v>
      </c>
      <c r="Y133" s="1026">
        <f t="shared" ca="1" si="33"/>
        <v>1327.6767396120631</v>
      </c>
      <c r="Z133" s="987">
        <f t="shared" ca="1" si="28"/>
        <v>1327.6767396120631</v>
      </c>
      <c r="AA133" s="1096">
        <f t="shared" ca="1" si="21"/>
        <v>24178</v>
      </c>
      <c r="AB133" s="1093">
        <f t="shared" ca="1" si="22"/>
        <v>23559</v>
      </c>
      <c r="AC133" s="954" t="e">
        <f ca="1">IF(A133&gt;$A$1, #N/A,VLOOKUP(A133,Calculation!$B$8:$JF$880,165,FALSE))</f>
        <v>#N/A</v>
      </c>
      <c r="AD133" s="418" t="e">
        <f t="shared" ca="1" si="29"/>
        <v>#N/A</v>
      </c>
      <c r="AE133" s="418"/>
      <c r="AF133" s="935">
        <f>Calculation!G136</f>
        <v>1580.4185577414014</v>
      </c>
      <c r="AG133" s="941" t="str">
        <f t="shared" si="30"/>
        <v>Yes</v>
      </c>
      <c r="AH133" s="941" t="str">
        <f t="shared" si="31"/>
        <v>Yes</v>
      </c>
      <c r="AI133" s="963">
        <v>32090.575000079738</v>
      </c>
      <c r="AJ133" s="964">
        <v>32428.000000082626</v>
      </c>
      <c r="AK133" s="964">
        <v>34803.800000088406</v>
      </c>
      <c r="AN133" s="447"/>
      <c r="AO133" s="430"/>
      <c r="AP133" s="462"/>
      <c r="AQ133" s="461"/>
      <c r="AR133" s="461"/>
      <c r="AS133" s="463"/>
      <c r="AU133" s="453"/>
      <c r="AV133" s="452"/>
      <c r="AW133" s="453"/>
      <c r="AX133" s="452"/>
      <c r="AY133" s="453"/>
      <c r="AZ133" s="452"/>
      <c r="BA133" s="449"/>
    </row>
    <row r="134" spans="1:53" ht="13.5" thickBot="1">
      <c r="A134" s="425">
        <v>41765</v>
      </c>
      <c r="B134" s="954">
        <f t="shared" si="24"/>
        <v>71.93549999999999</v>
      </c>
      <c r="C134" s="954">
        <f>Calculation!AK137</f>
        <v>86.910242368112549</v>
      </c>
      <c r="D134" s="954">
        <f>Calculation!AI137</f>
        <v>0</v>
      </c>
      <c r="E134" s="954">
        <f>Calculation!AE137</f>
        <v>32.487000000000002</v>
      </c>
      <c r="F134" s="954">
        <f>Calculation!AF137</f>
        <v>39.448499999999996</v>
      </c>
      <c r="G134" s="954">
        <f>Calculation!AG137</f>
        <v>71.93549999999999</v>
      </c>
      <c r="H134" s="955" t="str">
        <f>Sheet1!H139</f>
        <v>o/s</v>
      </c>
      <c r="I134" s="935">
        <f>Sheet1!DA139</f>
        <v>2330</v>
      </c>
      <c r="J134" s="935">
        <f>Sheet1!DB139</f>
        <v>1700</v>
      </c>
      <c r="K134" s="935">
        <f>Sheet1!CZ139</f>
        <v>1600</v>
      </c>
      <c r="L134" s="959">
        <f>Calculation!F137</f>
        <v>250</v>
      </c>
      <c r="M134" s="959">
        <f>Calculation!E137</f>
        <v>250</v>
      </c>
      <c r="N134" s="959">
        <f>Calculation!D137</f>
        <v>300</v>
      </c>
      <c r="O134" s="985">
        <f>Sheet1!DC139</f>
        <v>1158.76</v>
      </c>
      <c r="P134" s="986" t="e">
        <f>Calculation!FD137</f>
        <v>#N/A</v>
      </c>
      <c r="Q134" s="1096">
        <f>Calculation!DP137</f>
        <v>40312.40000010097</v>
      </c>
      <c r="R134" s="985">
        <f t="shared" ref="R134:R197" si="34">Q134-619</f>
        <v>39693.40000010097</v>
      </c>
      <c r="S134" s="987">
        <f t="shared" si="25"/>
        <v>660.8000000016691</v>
      </c>
      <c r="T134" s="994">
        <f ca="1">IF(A134&gt;$A$1,#N/A,VLOOKUP(A134,Calculation!$B$8:$JF$503,40,FALSE))</f>
        <v>12990.60632926908</v>
      </c>
      <c r="U134" s="987">
        <f t="shared" si="26"/>
        <v>0</v>
      </c>
      <c r="V134" s="987">
        <f>Calculation!AZ137</f>
        <v>0</v>
      </c>
      <c r="W134" s="1096">
        <f t="shared" ca="1" si="32"/>
        <v>3143.7936708318884</v>
      </c>
      <c r="X134" s="987">
        <v>0</v>
      </c>
      <c r="Y134" s="1026">
        <f t="shared" ca="1" si="33"/>
        <v>1571.8968354159442</v>
      </c>
      <c r="Z134" s="987">
        <f t="shared" ca="1" si="28"/>
        <v>1571.8968354159442</v>
      </c>
      <c r="AA134" s="1096">
        <f t="shared" ref="AA134:AA197" ca="1" si="35">IF(Q134-T134-W134&lt;0,0,Q134-T134-W134)</f>
        <v>24178</v>
      </c>
      <c r="AB134" s="1093">
        <f t="shared" ref="AB134:AB197" ca="1" si="36">AA134-619</f>
        <v>23559</v>
      </c>
      <c r="AC134" s="954" t="e">
        <f ca="1">IF(A134&gt;$A$1, #N/A,VLOOKUP(A134,Calculation!$B$8:$JF$880,165,FALSE))</f>
        <v>#N/A</v>
      </c>
      <c r="AD134" s="418" t="e">
        <f t="shared" ca="1" si="29"/>
        <v>#N/A</v>
      </c>
      <c r="AE134" s="418"/>
      <c r="AF134" s="935">
        <f>Calculation!G137</f>
        <v>1933.2324760472361</v>
      </c>
      <c r="AG134" s="941" t="str">
        <f t="shared" si="30"/>
        <v>Yes</v>
      </c>
      <c r="AH134" s="941" t="str">
        <f t="shared" si="31"/>
        <v>Yes</v>
      </c>
      <c r="AI134" s="963">
        <v>32556.650000080252</v>
      </c>
      <c r="AJ134" s="964">
        <v>33142.800000085066</v>
      </c>
      <c r="AK134" s="964">
        <v>35034.900000089547</v>
      </c>
      <c r="AN134" s="447"/>
      <c r="AO134" s="430"/>
      <c r="AP134" s="462"/>
      <c r="AQ134" s="461"/>
      <c r="AR134" s="461"/>
      <c r="AS134" s="463"/>
      <c r="AU134" s="453"/>
      <c r="AV134" s="452"/>
      <c r="AW134" s="453"/>
      <c r="AX134" s="452"/>
      <c r="AY134" s="453"/>
      <c r="AZ134" s="452"/>
      <c r="BA134" s="449"/>
    </row>
    <row r="135" spans="1:53" ht="13.5" thickBot="1">
      <c r="A135" s="425">
        <v>41766</v>
      </c>
      <c r="B135" s="954">
        <f t="shared" si="24"/>
        <v>72.090199999999996</v>
      </c>
      <c r="C135" s="954">
        <f>Calculation!AK138</f>
        <v>86.910242368112549</v>
      </c>
      <c r="D135" s="954">
        <f>Calculation!AI138</f>
        <v>0</v>
      </c>
      <c r="E135" s="954">
        <f>Calculation!AE138</f>
        <v>32.6417</v>
      </c>
      <c r="F135" s="954">
        <f>Calculation!AF138</f>
        <v>39.448499999999996</v>
      </c>
      <c r="G135" s="954">
        <f>Calculation!AG138</f>
        <v>72.090199999999996</v>
      </c>
      <c r="H135" s="955" t="str">
        <f>Sheet1!H140</f>
        <v>o/s</v>
      </c>
      <c r="I135" s="935">
        <f>Sheet1!DA140</f>
        <v>2090</v>
      </c>
      <c r="J135" s="935">
        <f>Sheet1!DB140</f>
        <v>1470</v>
      </c>
      <c r="K135" s="935">
        <f>Sheet1!CZ140</f>
        <v>1390</v>
      </c>
      <c r="L135" s="959">
        <f>Calculation!F138</f>
        <v>250</v>
      </c>
      <c r="M135" s="959">
        <f>Calculation!E138</f>
        <v>250</v>
      </c>
      <c r="N135" s="959">
        <f>Calculation!D138</f>
        <v>300</v>
      </c>
      <c r="O135" s="985">
        <f>Sheet1!DC140</f>
        <v>1159.1600000000001</v>
      </c>
      <c r="P135" s="986" t="e">
        <f>Calculation!FD138</f>
        <v>#N/A</v>
      </c>
      <c r="Q135" s="1096">
        <f>Calculation!DP138</f>
        <v>40727.400000101443</v>
      </c>
      <c r="R135" s="985">
        <f t="shared" si="34"/>
        <v>40108.400000101443</v>
      </c>
      <c r="S135" s="987">
        <f t="shared" si="25"/>
        <v>415.00000000047294</v>
      </c>
      <c r="T135" s="994">
        <f ca="1">IF(A135&gt;$A$1,#N/A,VLOOKUP(A135,Calculation!$B$8:$JF$503,40,FALSE))</f>
        <v>13162.966137662985</v>
      </c>
      <c r="U135" s="987">
        <f t="shared" si="26"/>
        <v>0</v>
      </c>
      <c r="V135" s="987">
        <f>Calculation!AZ138</f>
        <v>0</v>
      </c>
      <c r="W135" s="1096">
        <f t="shared" ca="1" si="32"/>
        <v>3386.4338624384582</v>
      </c>
      <c r="X135" s="987">
        <v>0</v>
      </c>
      <c r="Y135" s="1026">
        <f t="shared" ca="1" si="33"/>
        <v>1693.2169312192291</v>
      </c>
      <c r="Z135" s="987">
        <f t="shared" ca="1" si="28"/>
        <v>1693.2169312192291</v>
      </c>
      <c r="AA135" s="1096">
        <f t="shared" ca="1" si="35"/>
        <v>24178</v>
      </c>
      <c r="AB135" s="1093">
        <f t="shared" ca="1" si="36"/>
        <v>23559</v>
      </c>
      <c r="AC135" s="954" t="e">
        <f ca="1">IF(A135&gt;$A$1, #N/A,VLOOKUP(A135,Calculation!$B$8:$JF$880,165,FALSE))</f>
        <v>#N/A</v>
      </c>
      <c r="AD135" s="418" t="e">
        <f t="shared" ca="1" si="29"/>
        <v>#N/A</v>
      </c>
      <c r="AE135" s="418"/>
      <c r="AF135" s="935">
        <f>Calculation!G138</f>
        <v>1599.2788703986248</v>
      </c>
      <c r="AG135" s="941" t="str">
        <f t="shared" si="30"/>
        <v>Yes</v>
      </c>
      <c r="AH135" s="941" t="str">
        <f t="shared" si="31"/>
        <v>Yes</v>
      </c>
      <c r="AI135" s="963">
        <v>33239.320000082116</v>
      </c>
      <c r="AJ135" s="964">
        <v>33329.100000084371</v>
      </c>
      <c r="AK135" s="964">
        <v>35352.000000088839</v>
      </c>
      <c r="AN135" s="447"/>
      <c r="AO135" s="430"/>
      <c r="AP135" s="462"/>
      <c r="AQ135" s="461"/>
      <c r="AR135" s="461"/>
      <c r="AS135" s="463"/>
      <c r="AU135" s="453"/>
      <c r="AV135" s="452"/>
      <c r="AW135" s="453"/>
      <c r="AX135" s="452"/>
      <c r="AY135" s="453"/>
      <c r="AZ135" s="452"/>
      <c r="BA135" s="449"/>
    </row>
    <row r="136" spans="1:53" ht="13.5" thickBot="1">
      <c r="A136" s="425">
        <v>41767</v>
      </c>
      <c r="B136" s="954">
        <f t="shared" si="24"/>
        <v>71.93549999999999</v>
      </c>
      <c r="C136" s="954">
        <f>Calculation!AK139</f>
        <v>86.817676357226787</v>
      </c>
      <c r="D136" s="954">
        <f>Calculation!AI139</f>
        <v>0</v>
      </c>
      <c r="E136" s="954">
        <f>Calculation!AE139</f>
        <v>32.487000000000002</v>
      </c>
      <c r="F136" s="954">
        <f>Calculation!AF139</f>
        <v>39.448499999999996</v>
      </c>
      <c r="G136" s="954">
        <f>Calculation!AG139</f>
        <v>71.93549999999999</v>
      </c>
      <c r="H136" s="955" t="str">
        <f>Sheet1!H141</f>
        <v>o/s</v>
      </c>
      <c r="I136" s="935">
        <f>Sheet1!DA141</f>
        <v>2150</v>
      </c>
      <c r="J136" s="935">
        <f>Sheet1!DB141</f>
        <v>1500</v>
      </c>
      <c r="K136" s="935">
        <f>Sheet1!CZ141</f>
        <v>1390</v>
      </c>
      <c r="L136" s="959">
        <f>Calculation!F139</f>
        <v>250</v>
      </c>
      <c r="M136" s="959">
        <f>Calculation!E139</f>
        <v>250</v>
      </c>
      <c r="N136" s="959">
        <f>Calculation!D139</f>
        <v>300</v>
      </c>
      <c r="O136" s="985">
        <f>Sheet1!DC141</f>
        <v>1159.73</v>
      </c>
      <c r="P136" s="986" t="e">
        <f>Calculation!FD139</f>
        <v>#N/A</v>
      </c>
      <c r="Q136" s="1096">
        <f>Calculation!DP139</f>
        <v>41324.500000102897</v>
      </c>
      <c r="R136" s="985">
        <f t="shared" si="34"/>
        <v>40705.500000102897</v>
      </c>
      <c r="S136" s="987">
        <f t="shared" si="25"/>
        <v>597.10000000145374</v>
      </c>
      <c r="T136" s="994">
        <f ca="1">IF(A136&gt;$A$1,#N/A,VLOOKUP(A136,Calculation!$B$8:$JF$503,40,FALSE))</f>
        <v>13335.14236976639</v>
      </c>
      <c r="U136" s="987">
        <f t="shared" si="26"/>
        <v>0</v>
      </c>
      <c r="V136" s="987">
        <f>Calculation!AZ139</f>
        <v>0</v>
      </c>
      <c r="W136" s="1096">
        <f t="shared" ca="1" si="32"/>
        <v>3811.3576303365044</v>
      </c>
      <c r="X136" s="987">
        <v>0</v>
      </c>
      <c r="Y136" s="1026">
        <f t="shared" ca="1" si="33"/>
        <v>1905.6788151682522</v>
      </c>
      <c r="Z136" s="987">
        <f t="shared" ca="1" si="28"/>
        <v>1905.6788151682522</v>
      </c>
      <c r="AA136" s="1096">
        <f t="shared" ca="1" si="35"/>
        <v>24178</v>
      </c>
      <c r="AB136" s="1093">
        <f t="shared" ca="1" si="36"/>
        <v>23559</v>
      </c>
      <c r="AC136" s="954" t="e">
        <f ca="1">IF(A136&gt;$A$1, #N/A,VLOOKUP(A136,Calculation!$B$8:$JF$880,165,FALSE))</f>
        <v>#N/A</v>
      </c>
      <c r="AD136" s="418" t="e">
        <f t="shared" ca="1" si="29"/>
        <v>#N/A</v>
      </c>
      <c r="AE136" s="418"/>
      <c r="AF136" s="935">
        <f>Calculation!G139</f>
        <v>1691.109430157062</v>
      </c>
      <c r="AG136" s="941" t="str">
        <f t="shared" si="30"/>
        <v>Yes</v>
      </c>
      <c r="AH136" s="941" t="str">
        <f t="shared" si="31"/>
        <v>Yes</v>
      </c>
      <c r="AI136" s="963">
        <v>33928.990000084006</v>
      </c>
      <c r="AJ136" s="964">
        <v>33769.600000085709</v>
      </c>
      <c r="AK136" s="964">
        <v>35856.400000090209</v>
      </c>
      <c r="AN136" s="447"/>
      <c r="AO136" s="430"/>
      <c r="AP136" s="462"/>
      <c r="AQ136" s="461"/>
      <c r="AR136" s="461"/>
      <c r="AS136" s="463"/>
      <c r="AU136" s="453"/>
      <c r="AV136" s="452"/>
      <c r="AW136" s="453"/>
      <c r="AX136" s="452"/>
      <c r="AY136" s="453"/>
      <c r="AZ136" s="452"/>
      <c r="BA136" s="449"/>
    </row>
    <row r="137" spans="1:53" ht="13.5" thickBot="1">
      <c r="A137" s="425">
        <v>41768</v>
      </c>
      <c r="B137" s="954">
        <f t="shared" si="24"/>
        <v>73.018399999999986</v>
      </c>
      <c r="C137" s="954">
        <f>Calculation!AK140</f>
        <v>87.556416319536808</v>
      </c>
      <c r="D137" s="954">
        <f>Calculation!AI140</f>
        <v>0</v>
      </c>
      <c r="E137" s="954">
        <f>Calculation!AE140</f>
        <v>33.569899999999997</v>
      </c>
      <c r="F137" s="954">
        <f>Calculation!AF140</f>
        <v>39.448499999999996</v>
      </c>
      <c r="G137" s="954">
        <f>Calculation!AG140</f>
        <v>42.434210000000448</v>
      </c>
      <c r="H137" s="955">
        <f>Sheet1!H142</f>
        <v>1.62</v>
      </c>
      <c r="I137" s="935">
        <f>Sheet1!DA142</f>
        <v>2410</v>
      </c>
      <c r="J137" s="935">
        <f>Sheet1!DB142</f>
        <v>1730</v>
      </c>
      <c r="K137" s="935">
        <f>Sheet1!CZ142</f>
        <v>1670</v>
      </c>
      <c r="L137" s="959">
        <f>Calculation!F140</f>
        <v>250</v>
      </c>
      <c r="M137" s="959">
        <f>Calculation!E140</f>
        <v>250</v>
      </c>
      <c r="N137" s="959">
        <f>Calculation!D140</f>
        <v>300</v>
      </c>
      <c r="O137" s="985">
        <f>Sheet1!DC142</f>
        <v>1160.8</v>
      </c>
      <c r="P137" s="986" t="e">
        <f>Calculation!FD140</f>
        <v>#N/A</v>
      </c>
      <c r="Q137" s="1096">
        <f>Calculation!DP140</f>
        <v>42455.000000104839</v>
      </c>
      <c r="R137" s="985">
        <f t="shared" si="34"/>
        <v>41836.000000104839</v>
      </c>
      <c r="S137" s="987">
        <f t="shared" si="25"/>
        <v>1130.5000000019427</v>
      </c>
      <c r="T137" s="994">
        <f ca="1">IF(A137&gt;$A$1,#N/A,VLOOKUP(A137,Calculation!$B$8:$JF$503,40,FALSE))</f>
        <v>13508.783665996732</v>
      </c>
      <c r="U137" s="987">
        <f t="shared" si="26"/>
        <v>0</v>
      </c>
      <c r="V137" s="987">
        <f>Calculation!AZ140</f>
        <v>0</v>
      </c>
      <c r="W137" s="1096">
        <f t="shared" ca="1" si="32"/>
        <v>4768.2163341081068</v>
      </c>
      <c r="X137" s="987">
        <v>0</v>
      </c>
      <c r="Y137" s="1026">
        <f t="shared" ca="1" si="33"/>
        <v>2384.1081670540534</v>
      </c>
      <c r="Z137" s="987">
        <f t="shared" ca="1" si="28"/>
        <v>2384.1081670540534</v>
      </c>
      <c r="AA137" s="1096">
        <f t="shared" ca="1" si="35"/>
        <v>24178</v>
      </c>
      <c r="AB137" s="1093">
        <f t="shared" ca="1" si="36"/>
        <v>23559</v>
      </c>
      <c r="AC137" s="954" t="e">
        <f ca="1">IF(A137&gt;$A$1, #N/A,VLOOKUP(A137,Calculation!$B$8:$JF$880,165,FALSE))</f>
        <v>#N/A</v>
      </c>
      <c r="AD137" s="418" t="e">
        <f t="shared" ca="1" si="29"/>
        <v>#N/A</v>
      </c>
      <c r="AE137" s="418"/>
      <c r="AF137" s="935">
        <f>Calculation!G140</f>
        <v>2240.0958144235715</v>
      </c>
      <c r="AG137" s="941" t="str">
        <f t="shared" si="30"/>
        <v>Yes</v>
      </c>
      <c r="AH137" s="941" t="str">
        <f t="shared" si="31"/>
        <v>Yes</v>
      </c>
      <c r="AI137" s="963">
        <v>33763.150000082533</v>
      </c>
      <c r="AJ137" s="964">
        <v>34698.200000088182</v>
      </c>
      <c r="AK137" s="964">
        <v>36236.700000090648</v>
      </c>
      <c r="AN137" s="447"/>
      <c r="AO137" s="430"/>
      <c r="AP137" s="462"/>
      <c r="AQ137" s="461"/>
      <c r="AR137" s="461"/>
      <c r="AS137" s="463"/>
      <c r="AU137" s="453"/>
      <c r="AV137" s="452"/>
      <c r="AW137" s="453"/>
      <c r="AX137" s="452"/>
      <c r="AY137" s="453"/>
      <c r="AZ137" s="452"/>
      <c r="BA137" s="449"/>
    </row>
    <row r="138" spans="1:53" ht="13.5" thickBot="1">
      <c r="A138" s="425">
        <v>41769</v>
      </c>
      <c r="B138" s="954">
        <f t="shared" si="24"/>
        <v>79.051699999999997</v>
      </c>
      <c r="C138" s="954">
        <f>Calculation!AK141</f>
        <v>91.384797107093192</v>
      </c>
      <c r="D138" s="954">
        <f>Calculation!AI141</f>
        <v>0</v>
      </c>
      <c r="E138" s="954">
        <f>Calculation!AE141</f>
        <v>34.498100000000001</v>
      </c>
      <c r="F138" s="954">
        <f>Calculation!AF141</f>
        <v>44.553599999999996</v>
      </c>
      <c r="G138" s="954">
        <f>Calculation!AG141</f>
        <v>0</v>
      </c>
      <c r="H138" s="955">
        <f>Sheet1!H143</f>
        <v>1.62</v>
      </c>
      <c r="I138" s="935">
        <f>Sheet1!DA143</f>
        <v>2370</v>
      </c>
      <c r="J138" s="935">
        <f>Sheet1!DB143</f>
        <v>1710</v>
      </c>
      <c r="K138" s="935">
        <f>Sheet1!CZ143</f>
        <v>1670</v>
      </c>
      <c r="L138" s="959">
        <f>Calculation!F141</f>
        <v>250</v>
      </c>
      <c r="M138" s="959">
        <f>Calculation!E141</f>
        <v>250</v>
      </c>
      <c r="N138" s="959">
        <f>Calculation!D141</f>
        <v>300</v>
      </c>
      <c r="O138" s="985">
        <f>Sheet1!DC143</f>
        <v>1161.7</v>
      </c>
      <c r="P138" s="986" t="e">
        <f>Calculation!FD141</f>
        <v>#N/A</v>
      </c>
      <c r="Q138" s="1096">
        <f>Calculation!DP141</f>
        <v>43416.000000106804</v>
      </c>
      <c r="R138" s="985">
        <f t="shared" si="34"/>
        <v>42797.000000106804</v>
      </c>
      <c r="S138" s="987">
        <f t="shared" si="25"/>
        <v>961.00000000196451</v>
      </c>
      <c r="T138" s="994">
        <f ca="1">IF(A138&gt;$A$1,#N/A,VLOOKUP(A138,Calculation!$B$8:$JF$503,40,FALSE))</f>
        <v>13690.017381267942</v>
      </c>
      <c r="U138" s="987">
        <f t="shared" si="26"/>
        <v>0</v>
      </c>
      <c r="V138" s="987">
        <f>Calculation!AZ141</f>
        <v>0</v>
      </c>
      <c r="W138" s="1096">
        <f t="shared" ca="1" si="32"/>
        <v>5000</v>
      </c>
      <c r="X138" s="987">
        <v>0</v>
      </c>
      <c r="Y138" s="1026">
        <f t="shared" ca="1" si="33"/>
        <v>2500</v>
      </c>
      <c r="Z138" s="987">
        <f t="shared" ca="1" si="28"/>
        <v>2500</v>
      </c>
      <c r="AA138" s="1096">
        <f t="shared" ca="1" si="35"/>
        <v>24725.982618838862</v>
      </c>
      <c r="AB138" s="1093">
        <f t="shared" ca="1" si="36"/>
        <v>24106.982618838862</v>
      </c>
      <c r="AC138" s="954" t="e">
        <f ca="1">IF(A138&gt;$A$1, #N/A,VLOOKUP(A138,Calculation!$B$8:$JF$880,165,FALSE))</f>
        <v>#N/A</v>
      </c>
      <c r="AD138" s="418" t="e">
        <f t="shared" ca="1" si="29"/>
        <v>#N/A</v>
      </c>
      <c r="AE138" s="418"/>
      <c r="AF138" s="935">
        <f>Calculation!G141</f>
        <v>2154.6192637427957</v>
      </c>
      <c r="AG138" s="941" t="str">
        <f t="shared" si="30"/>
        <v>Yes</v>
      </c>
      <c r="AH138" s="941" t="str">
        <f t="shared" si="31"/>
        <v>Yes</v>
      </c>
      <c r="AI138" s="963">
        <v>34124.920000084217</v>
      </c>
      <c r="AJ138" s="964">
        <v>35642.000000089989</v>
      </c>
      <c r="AK138" s="964">
        <v>36627.900000092741</v>
      </c>
      <c r="AN138" s="447"/>
      <c r="AO138" s="430"/>
      <c r="AP138" s="462"/>
      <c r="AQ138" s="461"/>
      <c r="AR138" s="461"/>
      <c r="AS138" s="463"/>
      <c r="AU138" s="453"/>
      <c r="AV138" s="452"/>
      <c r="AW138" s="453"/>
      <c r="AX138" s="452"/>
      <c r="AY138" s="453"/>
      <c r="AZ138" s="452"/>
      <c r="BA138" s="449"/>
    </row>
    <row r="139" spans="1:53" ht="13.5" thickBot="1">
      <c r="A139" s="425">
        <v>41770</v>
      </c>
      <c r="B139" s="954">
        <f t="shared" si="24"/>
        <v>86.632000000000005</v>
      </c>
      <c r="C139" s="954">
        <f>Calculation!AK142</f>
        <v>91.428046411314071</v>
      </c>
      <c r="D139" s="954">
        <f>Calculation!AI142</f>
        <v>0</v>
      </c>
      <c r="E139" s="954">
        <f>Calculation!AE142</f>
        <v>34.033999999999999</v>
      </c>
      <c r="F139" s="954">
        <f>Calculation!AF142</f>
        <v>52.597999999999999</v>
      </c>
      <c r="G139" s="954">
        <f>Calculation!AG142</f>
        <v>0</v>
      </c>
      <c r="H139" s="955">
        <f>Sheet1!H144</f>
        <v>2.0499999999999998</v>
      </c>
      <c r="I139" s="935">
        <f>Sheet1!DA144</f>
        <v>2270</v>
      </c>
      <c r="J139" s="935">
        <f>Sheet1!DB144</f>
        <v>1670</v>
      </c>
      <c r="K139" s="935">
        <f>Sheet1!CZ144</f>
        <v>1670</v>
      </c>
      <c r="L139" s="959">
        <f>Calculation!F142</f>
        <v>250</v>
      </c>
      <c r="M139" s="959">
        <f>Calculation!E142</f>
        <v>250</v>
      </c>
      <c r="N139" s="959">
        <f>Calculation!D142</f>
        <v>300</v>
      </c>
      <c r="O139" s="985">
        <f>Sheet1!DC144</f>
        <v>1162.1099999999999</v>
      </c>
      <c r="P139" s="986" t="e">
        <f>Calculation!FD142</f>
        <v>#N/A</v>
      </c>
      <c r="Q139" s="1096">
        <f>Calculation!DP142</f>
        <v>43855.800000108051</v>
      </c>
      <c r="R139" s="985">
        <f t="shared" si="34"/>
        <v>43236.800000108051</v>
      </c>
      <c r="S139" s="987">
        <f t="shared" si="25"/>
        <v>439.8000000012471</v>
      </c>
      <c r="T139" s="994">
        <f ca="1">IF(A139&gt;$A$1,#N/A,VLOOKUP(A139,Calculation!$B$8:$JF$503,40,FALSE))</f>
        <v>13871.336868268534</v>
      </c>
      <c r="U139" s="987">
        <f t="shared" si="26"/>
        <v>0</v>
      </c>
      <c r="V139" s="987">
        <f>Calculation!AZ142</f>
        <v>0</v>
      </c>
      <c r="W139" s="1096">
        <f t="shared" ca="1" si="32"/>
        <v>5000</v>
      </c>
      <c r="X139" s="987">
        <v>0</v>
      </c>
      <c r="Y139" s="1026">
        <f t="shared" ca="1" si="33"/>
        <v>2500</v>
      </c>
      <c r="Z139" s="987">
        <f t="shared" ca="1" si="28"/>
        <v>2500</v>
      </c>
      <c r="AA139" s="1096">
        <f t="shared" ca="1" si="35"/>
        <v>24984.463131839519</v>
      </c>
      <c r="AB139" s="1093">
        <f t="shared" ca="1" si="36"/>
        <v>24365.463131839519</v>
      </c>
      <c r="AC139" s="954" t="e">
        <f ca="1">IF(A139&gt;$A$1, #N/A,VLOOKUP(A139,Calculation!$B$8:$JF$880,165,FALSE))</f>
        <v>#N/A</v>
      </c>
      <c r="AD139" s="418" t="e">
        <f t="shared" ca="1" si="29"/>
        <v>#N/A</v>
      </c>
      <c r="AE139" s="418"/>
      <c r="AF139" s="935">
        <f>Calculation!G142</f>
        <v>1891.7851739794489</v>
      </c>
      <c r="AG139" s="941" t="str">
        <f t="shared" si="30"/>
        <v>Yes</v>
      </c>
      <c r="AH139" s="941" t="str">
        <f t="shared" si="31"/>
        <v>Yes</v>
      </c>
      <c r="AI139" s="963">
        <v>34572.760000084643</v>
      </c>
      <c r="AJ139" s="964">
        <v>36070.800000090429</v>
      </c>
      <c r="AK139" s="964">
        <v>36855.600000092963</v>
      </c>
      <c r="AN139" s="447"/>
      <c r="AO139" s="430"/>
      <c r="AP139" s="462"/>
      <c r="AQ139" s="461"/>
      <c r="AR139" s="461"/>
      <c r="AS139" s="463"/>
      <c r="AU139" s="453"/>
      <c r="AV139" s="452"/>
      <c r="AW139" s="453"/>
      <c r="AX139" s="452"/>
      <c r="AY139" s="453"/>
      <c r="AZ139" s="452"/>
      <c r="BA139" s="449"/>
    </row>
    <row r="140" spans="1:53" ht="13.5" thickBot="1">
      <c r="A140" s="425">
        <v>41771</v>
      </c>
      <c r="B140" s="954">
        <f t="shared" si="24"/>
        <v>86.80216999999999</v>
      </c>
      <c r="C140" s="954">
        <f>Calculation!AK143</f>
        <v>87.761310000000009</v>
      </c>
      <c r="D140" s="954">
        <f>Calculation!AI143</f>
        <v>0</v>
      </c>
      <c r="E140" s="954">
        <f>Calculation!AE143</f>
        <v>34.188699999999997</v>
      </c>
      <c r="F140" s="954">
        <f>Calculation!AF143</f>
        <v>52.613469999999992</v>
      </c>
      <c r="G140" s="954">
        <f>Calculation!AG143</f>
        <v>0</v>
      </c>
      <c r="H140" s="955">
        <f>Sheet1!H145</f>
        <v>1.87</v>
      </c>
      <c r="I140" s="935">
        <f>Sheet1!DA145</f>
        <v>1980</v>
      </c>
      <c r="J140" s="935">
        <f>Sheet1!DB145</f>
        <v>1380</v>
      </c>
      <c r="K140" s="935">
        <f>Sheet1!CZ145</f>
        <v>1550</v>
      </c>
      <c r="L140" s="959">
        <f>Calculation!F143</f>
        <v>250</v>
      </c>
      <c r="M140" s="959">
        <f>Calculation!E143</f>
        <v>250</v>
      </c>
      <c r="N140" s="959">
        <f>Calculation!D143</f>
        <v>300</v>
      </c>
      <c r="O140" s="985">
        <f>Sheet1!DC145</f>
        <v>1162.3</v>
      </c>
      <c r="P140" s="986" t="e">
        <f>Calculation!FD143</f>
        <v>#N/A</v>
      </c>
      <c r="Q140" s="1096">
        <f>Calculation!DP143</f>
        <v>44062.000000108295</v>
      </c>
      <c r="R140" s="985">
        <f t="shared" si="34"/>
        <v>43443.000000108295</v>
      </c>
      <c r="S140" s="987">
        <f t="shared" si="25"/>
        <v>206.20000000024447</v>
      </c>
      <c r="T140" s="994">
        <f ca="1">IF(A140&gt;$A$1,#N/A,VLOOKUP(A140,Calculation!$B$8:$JF$503,40,FALSE))</f>
        <v>14045.384508268533</v>
      </c>
      <c r="U140" s="987">
        <f t="shared" si="26"/>
        <v>0</v>
      </c>
      <c r="V140" s="987">
        <f>Calculation!AZ143</f>
        <v>0</v>
      </c>
      <c r="W140" s="1096">
        <f t="shared" ca="1" si="32"/>
        <v>5000</v>
      </c>
      <c r="X140" s="987">
        <f>IF(U140&lt;=0,0,MIN(MAX(R140-U140-25000-619-Y140*1.983,0),5000))</f>
        <v>0</v>
      </c>
      <c r="Y140" s="1026">
        <f t="shared" ca="1" si="33"/>
        <v>2500</v>
      </c>
      <c r="Z140" s="987">
        <f t="shared" ca="1" si="28"/>
        <v>2500</v>
      </c>
      <c r="AA140" s="1096">
        <f t="shared" ca="1" si="35"/>
        <v>25016.615491839762</v>
      </c>
      <c r="AB140" s="1093">
        <f t="shared" ca="1" si="36"/>
        <v>24397.615491839762</v>
      </c>
      <c r="AC140" s="954" t="e">
        <f ca="1">IF(A140&gt;$A$1, #N/A,VLOOKUP(A140,Calculation!$B$8:$JF$880,165,FALSE))</f>
        <v>#N/A</v>
      </c>
      <c r="AD140" s="418" t="e">
        <f t="shared" ca="1" si="29"/>
        <v>#N/A</v>
      </c>
      <c r="AE140" s="418"/>
      <c r="AF140" s="935">
        <f>Calculation!G143</f>
        <v>1653.9838628342131</v>
      </c>
      <c r="AG140" s="941" t="str">
        <f t="shared" si="30"/>
        <v>Yes</v>
      </c>
      <c r="AH140" s="941" t="str">
        <f t="shared" si="31"/>
        <v>Yes</v>
      </c>
      <c r="AI140" s="963">
        <v>35032.660000086253</v>
      </c>
      <c r="AJ140" s="964">
        <v>36499.600000090868</v>
      </c>
      <c r="AK140" s="964">
        <v>37131.800000093193</v>
      </c>
      <c r="AN140" s="447"/>
      <c r="AO140" s="430"/>
      <c r="AP140" s="462"/>
      <c r="AQ140" s="461"/>
      <c r="AR140" s="461"/>
      <c r="AS140" s="463"/>
      <c r="AU140" s="453"/>
      <c r="AV140" s="452"/>
      <c r="AW140" s="453"/>
      <c r="AX140" s="452"/>
      <c r="AY140" s="453"/>
      <c r="AZ140" s="452"/>
      <c r="BA140" s="449"/>
    </row>
    <row r="141" spans="1:53" ht="13.5" thickBot="1">
      <c r="A141" s="425">
        <v>41772</v>
      </c>
      <c r="B141" s="954">
        <f t="shared" si="24"/>
        <v>86.755759999999995</v>
      </c>
      <c r="C141" s="954">
        <f>Calculation!AK144</f>
        <v>86.30795384615385</v>
      </c>
      <c r="D141" s="954">
        <f>Calculation!AI144</f>
        <v>0</v>
      </c>
      <c r="E141" s="954">
        <f>Calculation!AE144</f>
        <v>34.173229999999997</v>
      </c>
      <c r="F141" s="954">
        <f>Calculation!AF144</f>
        <v>52.582529999999998</v>
      </c>
      <c r="G141" s="954">
        <f>Calculation!AG144</f>
        <v>0</v>
      </c>
      <c r="H141" s="955">
        <f>Sheet1!H146</f>
        <v>1.31</v>
      </c>
      <c r="I141" s="935">
        <f>Sheet1!DA146</f>
        <v>1800</v>
      </c>
      <c r="J141" s="935">
        <f>Sheet1!DB146</f>
        <v>1240</v>
      </c>
      <c r="K141" s="935">
        <f>Sheet1!CZ146</f>
        <v>1280</v>
      </c>
      <c r="L141" s="959">
        <f>Calculation!F144</f>
        <v>250</v>
      </c>
      <c r="M141" s="959">
        <f>Calculation!E144</f>
        <v>250</v>
      </c>
      <c r="N141" s="959">
        <f>Calculation!D144</f>
        <v>300</v>
      </c>
      <c r="O141" s="985">
        <f>Sheet1!DC146</f>
        <v>1162.69</v>
      </c>
      <c r="P141" s="986" t="e">
        <f>Calculation!FD144</f>
        <v>#N/A</v>
      </c>
      <c r="Q141" s="1096">
        <f>Calculation!DP144</f>
        <v>44483.200000108787</v>
      </c>
      <c r="R141" s="985">
        <f t="shared" si="34"/>
        <v>43864.200000108787</v>
      </c>
      <c r="S141" s="987">
        <f t="shared" si="25"/>
        <v>421.20000000049185</v>
      </c>
      <c r="T141" s="994">
        <f ca="1">IF(A141&gt;$A$1,#N/A,VLOOKUP(A141,Calculation!$B$8:$JF$503,40,FALSE))</f>
        <v>14216.549862114687</v>
      </c>
      <c r="U141" s="987">
        <f t="shared" si="26"/>
        <v>0</v>
      </c>
      <c r="V141" s="987">
        <f>Calculation!AZ144</f>
        <v>0</v>
      </c>
      <c r="W141" s="1096">
        <f t="shared" ca="1" si="32"/>
        <v>5000</v>
      </c>
      <c r="X141" s="987">
        <f t="shared" ref="X141:X163" si="37">IF(U141&lt;=0,0,MIN(MAX(R141-U141-25000-619-Y141*1.983,0),5000))</f>
        <v>0</v>
      </c>
      <c r="Y141" s="1026">
        <f t="shared" ca="1" si="33"/>
        <v>2500</v>
      </c>
      <c r="Z141" s="987">
        <f t="shared" ca="1" si="28"/>
        <v>2500</v>
      </c>
      <c r="AA141" s="1096">
        <f t="shared" ca="1" si="35"/>
        <v>25266.6501379941</v>
      </c>
      <c r="AB141" s="1093">
        <f t="shared" ca="1" si="36"/>
        <v>24647.6501379941</v>
      </c>
      <c r="AC141" s="954" t="e">
        <f ca="1">IF(A141&gt;$A$1, #N/A,VLOOKUP(A141,Calculation!$B$8:$JF$880,165,FALSE))</f>
        <v>#N/A</v>
      </c>
      <c r="AD141" s="418" t="e">
        <f t="shared" ca="1" si="29"/>
        <v>#N/A</v>
      </c>
      <c r="AE141" s="418"/>
      <c r="AF141" s="935">
        <f>Calculation!G144</f>
        <v>1492.4054462937427</v>
      </c>
      <c r="AG141" s="941" t="str">
        <f t="shared" si="30"/>
        <v>Yes</v>
      </c>
      <c r="AH141" s="941" t="str">
        <f t="shared" si="31"/>
        <v>Yes</v>
      </c>
      <c r="AI141" s="963">
        <v>35202.94000008647</v>
      </c>
      <c r="AJ141" s="964">
        <v>36746.700000092969</v>
      </c>
      <c r="AK141" s="964">
        <v>37468.400000093643</v>
      </c>
      <c r="AN141" s="447"/>
      <c r="AO141" s="430"/>
      <c r="AP141" s="462"/>
      <c r="AQ141" s="461"/>
      <c r="AR141" s="461"/>
      <c r="AS141" s="463"/>
      <c r="AU141" s="453"/>
      <c r="AV141" s="452"/>
      <c r="AW141" s="453"/>
      <c r="AX141" s="452"/>
      <c r="AY141" s="453"/>
      <c r="AZ141" s="452"/>
      <c r="BA141" s="449"/>
    </row>
    <row r="142" spans="1:53" ht="13.5" thickBot="1">
      <c r="A142" s="425">
        <v>41773</v>
      </c>
      <c r="B142" s="954">
        <f t="shared" si="24"/>
        <v>90.23651000000001</v>
      </c>
      <c r="C142" s="954">
        <f>Calculation!AK145</f>
        <v>86.152166933625892</v>
      </c>
      <c r="D142" s="954">
        <f>Calculation!AI145</f>
        <v>0</v>
      </c>
      <c r="E142" s="954">
        <f>Calculation!AE145</f>
        <v>33.894770000000001</v>
      </c>
      <c r="F142" s="954">
        <f>Calculation!AF145</f>
        <v>56.341740000000001</v>
      </c>
      <c r="G142" s="954">
        <f>Calculation!AG145</f>
        <v>0</v>
      </c>
      <c r="H142" s="955">
        <f>Sheet1!H147</f>
        <v>1.02</v>
      </c>
      <c r="I142" s="935">
        <f>Sheet1!DA147</f>
        <v>1840</v>
      </c>
      <c r="J142" s="935">
        <f>Sheet1!DB147</f>
        <v>1370</v>
      </c>
      <c r="K142" s="935">
        <f>Sheet1!CZ147</f>
        <v>1410</v>
      </c>
      <c r="L142" s="959">
        <f>Calculation!F145</f>
        <v>250</v>
      </c>
      <c r="M142" s="959">
        <f>Calculation!E145</f>
        <v>250</v>
      </c>
      <c r="N142" s="959">
        <f>Calculation!D145</f>
        <v>300</v>
      </c>
      <c r="O142" s="985">
        <f>Sheet1!DC147</f>
        <v>1163.04</v>
      </c>
      <c r="P142" s="986" t="e">
        <f>Calculation!FD145</f>
        <v>#N/A</v>
      </c>
      <c r="Q142" s="1096">
        <f>Calculation!DP145</f>
        <v>44862.60000011004</v>
      </c>
      <c r="R142" s="985">
        <f t="shared" si="34"/>
        <v>44243.60000011004</v>
      </c>
      <c r="S142" s="987">
        <f t="shared" si="25"/>
        <v>379.40000000125292</v>
      </c>
      <c r="T142" s="994">
        <f ca="1">IF(A142&gt;$A$1,#N/A,VLOOKUP(A142,Calculation!$B$8:$JF$503,40,FALSE))</f>
        <v>14387.406260403222</v>
      </c>
      <c r="U142" s="987">
        <f t="shared" si="26"/>
        <v>0</v>
      </c>
      <c r="V142" s="987">
        <f>Calculation!AZ145</f>
        <v>0</v>
      </c>
      <c r="W142" s="1096">
        <f t="shared" ca="1" si="32"/>
        <v>5000</v>
      </c>
      <c r="X142" s="994">
        <f t="shared" si="37"/>
        <v>0</v>
      </c>
      <c r="Y142" s="1026">
        <f t="shared" ca="1" si="33"/>
        <v>2500</v>
      </c>
      <c r="Z142" s="994">
        <f t="shared" ca="1" si="28"/>
        <v>2500</v>
      </c>
      <c r="AA142" s="1096">
        <f t="shared" ca="1" si="35"/>
        <v>25475.193739706818</v>
      </c>
      <c r="AB142" s="1093">
        <f t="shared" ca="1" si="36"/>
        <v>24856.193739706818</v>
      </c>
      <c r="AC142" s="954" t="e">
        <f ca="1">IF(A142&gt;$A$1, #N/A,VLOOKUP(A142,Calculation!$B$8:$JF$880,165,FALSE))</f>
        <v>#N/A</v>
      </c>
      <c r="AD142" s="418" t="e">
        <f t="shared" ca="1" si="29"/>
        <v>#N/A</v>
      </c>
      <c r="AE142" s="418"/>
      <c r="AF142" s="935">
        <f>Calculation!G145</f>
        <v>1601.3262733238794</v>
      </c>
      <c r="AG142" s="941" t="str">
        <f t="shared" si="30"/>
        <v>Yes</v>
      </c>
      <c r="AH142" s="941" t="str">
        <f t="shared" si="31"/>
        <v>Yes</v>
      </c>
      <c r="AI142" s="963">
        <v>35713.780000086903</v>
      </c>
      <c r="AJ142" s="964">
        <v>37121.900000093192</v>
      </c>
      <c r="AK142" s="964">
        <v>37869.000000094813</v>
      </c>
      <c r="AN142" s="447"/>
      <c r="AO142" s="430"/>
      <c r="AP142" s="462"/>
      <c r="AQ142" s="461"/>
      <c r="AR142" s="461"/>
      <c r="AS142" s="463"/>
      <c r="AU142" s="453"/>
      <c r="AV142" s="452"/>
      <c r="AW142" s="453"/>
      <c r="AX142" s="452"/>
      <c r="AY142" s="453"/>
      <c r="AZ142" s="452"/>
      <c r="BA142" s="449"/>
    </row>
    <row r="143" spans="1:53" ht="13.5" thickBot="1">
      <c r="A143" s="425">
        <v>41774</v>
      </c>
      <c r="B143" s="954">
        <f t="shared" si="24"/>
        <v>94.181359999999984</v>
      </c>
      <c r="C143" s="954">
        <f>Calculation!AK146</f>
        <v>86.170167189341527</v>
      </c>
      <c r="D143" s="954">
        <f>Calculation!AI146</f>
        <v>0</v>
      </c>
      <c r="E143" s="954">
        <f>Calculation!AE146</f>
        <v>33.879299999999994</v>
      </c>
      <c r="F143" s="954">
        <f>Calculation!AF146</f>
        <v>60.30205999999999</v>
      </c>
      <c r="G143" s="954">
        <f>Calculation!AG146</f>
        <v>0</v>
      </c>
      <c r="H143" s="955">
        <f>Sheet1!H148</f>
        <v>1.82</v>
      </c>
      <c r="I143" s="935">
        <f>Sheet1!DA148</f>
        <v>1950</v>
      </c>
      <c r="J143" s="935">
        <f>Sheet1!DB148</f>
        <v>1520</v>
      </c>
      <c r="K143" s="935">
        <f>Sheet1!CZ148</f>
        <v>1560</v>
      </c>
      <c r="L143" s="959">
        <f>Calculation!F146</f>
        <v>250</v>
      </c>
      <c r="M143" s="959">
        <f>Calculation!E146</f>
        <v>250</v>
      </c>
      <c r="N143" s="959">
        <f>Calculation!D146</f>
        <v>300</v>
      </c>
      <c r="O143" s="985">
        <f>Sheet1!DC148</f>
        <v>1163.45</v>
      </c>
      <c r="P143" s="986" t="e">
        <f>Calculation!FD146</f>
        <v>#N/A</v>
      </c>
      <c r="Q143" s="1096">
        <f>Calculation!DP146</f>
        <v>45311.000000111548</v>
      </c>
      <c r="R143" s="985">
        <f t="shared" si="34"/>
        <v>44692.000000111548</v>
      </c>
      <c r="S143" s="987">
        <f t="shared" si="25"/>
        <v>448.40000000150758</v>
      </c>
      <c r="T143" s="994">
        <f ca="1">IF(A143&gt;$A$1,#N/A,VLOOKUP(A143,Calculation!$B$8:$JF$503,40,FALSE))</f>
        <v>14558.298356677884</v>
      </c>
      <c r="U143" s="987">
        <f t="shared" si="26"/>
        <v>0</v>
      </c>
      <c r="V143" s="987">
        <f>Calculation!AZ146</f>
        <v>0</v>
      </c>
      <c r="W143" s="1096">
        <f t="shared" ca="1" si="32"/>
        <v>5000</v>
      </c>
      <c r="X143" s="994">
        <f t="shared" si="37"/>
        <v>0</v>
      </c>
      <c r="Y143" s="1026">
        <f t="shared" ca="1" si="33"/>
        <v>2500</v>
      </c>
      <c r="Z143" s="994">
        <f t="shared" ca="1" si="28"/>
        <v>2500</v>
      </c>
      <c r="AA143" s="1096">
        <f t="shared" ca="1" si="35"/>
        <v>25752.701643433662</v>
      </c>
      <c r="AB143" s="1093">
        <f t="shared" ca="1" si="36"/>
        <v>25133.701643433662</v>
      </c>
      <c r="AC143" s="954" t="e">
        <f ca="1">IF(A143&gt;$A$1, #N/A,VLOOKUP(A143,Calculation!$B$8:$JF$880,165,FALSE))</f>
        <v>#N/A</v>
      </c>
      <c r="AD143" s="418" t="e">
        <f t="shared" ca="1" si="29"/>
        <v>#N/A</v>
      </c>
      <c r="AE143" s="418"/>
      <c r="AF143" s="935">
        <f>Calculation!G146</f>
        <v>1786.1220373179565</v>
      </c>
      <c r="AG143" s="941" t="str">
        <f t="shared" si="30"/>
        <v>Yes</v>
      </c>
      <c r="AH143" s="941" t="str">
        <f t="shared" si="31"/>
        <v>Yes</v>
      </c>
      <c r="AI143" s="963">
        <v>44217.100000106315</v>
      </c>
      <c r="AJ143" s="964">
        <v>38090.000000095039</v>
      </c>
      <c r="AK143" s="964">
        <v>38270.000000095271</v>
      </c>
      <c r="AN143" s="447"/>
      <c r="AO143" s="430"/>
      <c r="AP143" s="462"/>
      <c r="AQ143" s="461"/>
      <c r="AR143" s="461"/>
      <c r="AS143" s="463"/>
      <c r="AU143" s="453"/>
      <c r="AV143" s="452"/>
      <c r="AW143" s="453"/>
      <c r="AX143" s="452"/>
      <c r="AY143" s="453"/>
      <c r="AZ143" s="452"/>
      <c r="BA143" s="449"/>
    </row>
    <row r="144" spans="1:53" ht="13.5" thickBot="1">
      <c r="A144" s="425">
        <v>41775</v>
      </c>
      <c r="B144" s="954">
        <f t="shared" si="24"/>
        <v>94.212299999999999</v>
      </c>
      <c r="C144" s="954">
        <f>Calculation!AK147</f>
        <v>86.027369899768686</v>
      </c>
      <c r="D144" s="954">
        <f>Calculation!AI147</f>
        <v>0</v>
      </c>
      <c r="E144" s="954">
        <f>Calculation!AE147</f>
        <v>33.879299999999994</v>
      </c>
      <c r="F144" s="954">
        <f>Calculation!AF147</f>
        <v>60.332999999999998</v>
      </c>
      <c r="G144" s="954">
        <f>Calculation!AG147</f>
        <v>0</v>
      </c>
      <c r="H144" s="955">
        <f>Sheet1!H149</f>
        <v>1.01</v>
      </c>
      <c r="I144" s="935">
        <f>Sheet1!DA149</f>
        <v>1910</v>
      </c>
      <c r="J144" s="935">
        <f>Sheet1!DB149</f>
        <v>1470</v>
      </c>
      <c r="K144" s="935">
        <f>Sheet1!CZ149</f>
        <v>1520</v>
      </c>
      <c r="L144" s="959">
        <f>Calculation!F147</f>
        <v>250</v>
      </c>
      <c r="M144" s="959">
        <f>Calculation!E147</f>
        <v>250</v>
      </c>
      <c r="N144" s="959">
        <f>Calculation!D147</f>
        <v>300</v>
      </c>
      <c r="O144" s="985">
        <f>Sheet1!DC149</f>
        <v>1163.8</v>
      </c>
      <c r="P144" s="986" t="e">
        <f>Calculation!FD147</f>
        <v>#N/A</v>
      </c>
      <c r="Q144" s="1096">
        <f>Calculation!DP147</f>
        <v>45693.000000111802</v>
      </c>
      <c r="R144" s="985">
        <f t="shared" si="34"/>
        <v>45074.000000111802</v>
      </c>
      <c r="S144" s="987">
        <f t="shared" si="25"/>
        <v>382.00000000025466</v>
      </c>
      <c r="T144" s="994">
        <f ca="1">IF(A144&gt;$A$1,#N/A,VLOOKUP(A144,Calculation!$B$8:$JF$503,40,FALSE))</f>
        <v>14728.907258327845</v>
      </c>
      <c r="U144" s="987">
        <f t="shared" si="26"/>
        <v>0</v>
      </c>
      <c r="V144" s="987">
        <f>Calculation!AZ147</f>
        <v>0</v>
      </c>
      <c r="W144" s="1096">
        <f t="shared" ca="1" si="32"/>
        <v>5000</v>
      </c>
      <c r="X144" s="994">
        <f t="shared" si="37"/>
        <v>0</v>
      </c>
      <c r="Y144" s="1026">
        <f t="shared" ca="1" si="33"/>
        <v>2500</v>
      </c>
      <c r="Z144" s="994">
        <f t="shared" ca="1" si="28"/>
        <v>2500</v>
      </c>
      <c r="AA144" s="1096">
        <f t="shared" ca="1" si="35"/>
        <v>25964.092741783956</v>
      </c>
      <c r="AB144" s="1093">
        <f t="shared" ca="1" si="36"/>
        <v>25345.092741783956</v>
      </c>
      <c r="AC144" s="954" t="e">
        <f ca="1">IF(A144&gt;$A$1, #N/A,VLOOKUP(A144,Calculation!$B$8:$JF$880,165,FALSE))</f>
        <v>#N/A</v>
      </c>
      <c r="AD144" s="418" t="e">
        <f t="shared" ca="1" si="29"/>
        <v>#N/A</v>
      </c>
      <c r="AE144" s="418"/>
      <c r="AF144" s="935">
        <f>Calculation!G147</f>
        <v>1712.6374180535827</v>
      </c>
      <c r="AG144" s="941" t="str">
        <f t="shared" si="30"/>
        <v>Yes</v>
      </c>
      <c r="AH144" s="941" t="str">
        <f t="shared" si="31"/>
        <v>Yes</v>
      </c>
      <c r="AI144" s="963">
        <v>46770.170000111088</v>
      </c>
      <c r="AJ144" s="964">
        <v>39192.400000098103</v>
      </c>
      <c r="AK144" s="964">
        <v>38938.40000009787</v>
      </c>
      <c r="AM144" s="993"/>
      <c r="AN144" s="447"/>
      <c r="AO144" s="430"/>
      <c r="AP144" s="462"/>
      <c r="AQ144" s="461"/>
      <c r="AR144" s="461"/>
      <c r="AS144" s="463"/>
      <c r="AU144" s="453"/>
      <c r="AV144" s="452"/>
      <c r="AW144" s="453"/>
      <c r="AX144" s="452"/>
      <c r="AY144" s="453"/>
      <c r="AZ144" s="452"/>
      <c r="BA144" s="449"/>
    </row>
    <row r="145" spans="1:53" ht="13.5" thickBot="1">
      <c r="A145" s="425">
        <v>41776</v>
      </c>
      <c r="B145" s="954">
        <f t="shared" ref="B145:B154" si="38">E145+F145</f>
        <v>94.212299999999999</v>
      </c>
      <c r="C145" s="954">
        <f>Calculation!AK148</f>
        <v>86.003551615720525</v>
      </c>
      <c r="D145" s="954">
        <f>Calculation!AI148</f>
        <v>0</v>
      </c>
      <c r="E145" s="954">
        <f>Calculation!AE148</f>
        <v>33.879299999999994</v>
      </c>
      <c r="F145" s="954">
        <f>Calculation!AF148</f>
        <v>60.332999999999998</v>
      </c>
      <c r="G145" s="954">
        <f>Calculation!AG148</f>
        <v>0</v>
      </c>
      <c r="H145" s="955">
        <f>Sheet1!H150</f>
        <v>0.86</v>
      </c>
      <c r="I145" s="935">
        <f>Sheet1!DA150</f>
        <v>1870</v>
      </c>
      <c r="J145" s="935">
        <f>Sheet1!DB150</f>
        <v>1460</v>
      </c>
      <c r="K145" s="935">
        <f>Sheet1!CZ150</f>
        <v>1510</v>
      </c>
      <c r="L145" s="959">
        <f>Calculation!F148</f>
        <v>250</v>
      </c>
      <c r="M145" s="959">
        <f>Calculation!E148</f>
        <v>250</v>
      </c>
      <c r="N145" s="959">
        <f>Calculation!D148</f>
        <v>300</v>
      </c>
      <c r="O145" s="985">
        <f>Sheet1!DC150</f>
        <v>1163.9000000000001</v>
      </c>
      <c r="P145" s="986" t="e">
        <f>Calculation!FD148</f>
        <v>#N/A</v>
      </c>
      <c r="Q145" s="1096">
        <f>Calculation!DP148</f>
        <v>45803.000000111031</v>
      </c>
      <c r="R145" s="985">
        <f t="shared" si="34"/>
        <v>45184.000000111031</v>
      </c>
      <c r="S145" s="987">
        <f t="shared" ref="S145:S154" si="39">R145-R144</f>
        <v>109.99999999922875</v>
      </c>
      <c r="T145" s="994">
        <f ca="1">IF(A145&gt;$A$1,#N/A,VLOOKUP(A145,Calculation!$B$8:$JF$503,40,FALSE))</f>
        <v>14899.468923717008</v>
      </c>
      <c r="U145" s="987">
        <f t="shared" ref="U145:U154" si="40">D145</f>
        <v>0</v>
      </c>
      <c r="V145" s="987">
        <f>Calculation!AZ148</f>
        <v>0</v>
      </c>
      <c r="W145" s="1096">
        <f t="shared" ca="1" si="32"/>
        <v>5000</v>
      </c>
      <c r="X145" s="994">
        <f t="shared" si="37"/>
        <v>0</v>
      </c>
      <c r="Y145" s="1026">
        <f t="shared" ca="1" si="33"/>
        <v>2500</v>
      </c>
      <c r="Z145" s="994">
        <f t="shared" ref="Z145:Z154" ca="1" si="41">W145-Y145</f>
        <v>2500</v>
      </c>
      <c r="AA145" s="1096">
        <f t="shared" ca="1" si="35"/>
        <v>25903.531076394022</v>
      </c>
      <c r="AB145" s="1093">
        <f t="shared" ca="1" si="36"/>
        <v>25284.531076394022</v>
      </c>
      <c r="AC145" s="954" t="e">
        <f ca="1">IF(A145&gt;$A$1, #N/A,VLOOKUP(A145,Calculation!$B$8:$JF$880,165,FALSE))</f>
        <v>#N/A</v>
      </c>
      <c r="AD145" s="418" t="e">
        <f t="shared" ref="AD145:AD154" ca="1" si="42">AC145-AC144</f>
        <v>#N/A</v>
      </c>
      <c r="AE145" s="418"/>
      <c r="AF145" s="935">
        <f>Calculation!G148</f>
        <v>1565.4715078160507</v>
      </c>
      <c r="AG145" s="941" t="str">
        <f t="shared" ref="AG145:AG154" si="43">IF(I145&gt;L145,"Yes","No")</f>
        <v>Yes</v>
      </c>
      <c r="AH145" s="941" t="str">
        <f t="shared" ref="AH145:AH154" si="44">IF(AND(I145&gt;M145,J145&gt;N145),"Yes","No")</f>
        <v>Yes</v>
      </c>
      <c r="AI145" s="963">
        <v>45193.680000108492</v>
      </c>
      <c r="AJ145" s="964">
        <v>39817.2000001005</v>
      </c>
      <c r="AK145" s="964">
        <v>39682.500000099535</v>
      </c>
      <c r="AM145" s="993"/>
      <c r="AN145" s="447"/>
      <c r="AO145" s="430"/>
      <c r="AP145" s="462"/>
      <c r="AQ145" s="461"/>
      <c r="AR145" s="461"/>
      <c r="AS145" s="463"/>
      <c r="AU145" s="453"/>
      <c r="AV145" s="452"/>
      <c r="AW145" s="453"/>
      <c r="AX145" s="452"/>
      <c r="AY145" s="453"/>
      <c r="AZ145" s="452"/>
      <c r="BA145" s="449"/>
    </row>
    <row r="146" spans="1:53" ht="13.5" thickBot="1">
      <c r="A146" s="425">
        <v>41777</v>
      </c>
      <c r="B146" s="954">
        <f t="shared" si="38"/>
        <v>94.212299999999999</v>
      </c>
      <c r="C146" s="954">
        <f>Calculation!AK149</f>
        <v>86.063183050499859</v>
      </c>
      <c r="D146" s="954">
        <f>Calculation!AI149</f>
        <v>0</v>
      </c>
      <c r="E146" s="954">
        <f>Calculation!AE149</f>
        <v>33.879299999999994</v>
      </c>
      <c r="F146" s="954">
        <f>Calculation!AF149</f>
        <v>60.332999999999998</v>
      </c>
      <c r="G146" s="954">
        <f>Calculation!AG149</f>
        <v>0</v>
      </c>
      <c r="H146" s="955">
        <f>Sheet1!H151</f>
        <v>1.02</v>
      </c>
      <c r="I146" s="935">
        <f>Sheet1!DA151</f>
        <v>1660</v>
      </c>
      <c r="J146" s="935">
        <f>Sheet1!DB151</f>
        <v>1170</v>
      </c>
      <c r="K146" s="935">
        <f>Sheet1!CZ151</f>
        <v>1230</v>
      </c>
      <c r="L146" s="959">
        <f>Calculation!F149</f>
        <v>250</v>
      </c>
      <c r="M146" s="959">
        <f>Calculation!E149</f>
        <v>250</v>
      </c>
      <c r="N146" s="959">
        <f>Calculation!D149</f>
        <v>300</v>
      </c>
      <c r="O146" s="985">
        <f>Sheet1!DC151</f>
        <v>1163.96</v>
      </c>
      <c r="P146" s="986" t="e">
        <f>Calculation!FD149</f>
        <v>#N/A</v>
      </c>
      <c r="Q146" s="1096">
        <f>Calculation!DP149</f>
        <v>45868.400000111033</v>
      </c>
      <c r="R146" s="985">
        <f t="shared" si="34"/>
        <v>45249.400000111033</v>
      </c>
      <c r="S146" s="987">
        <f t="shared" si="39"/>
        <v>65.400000000001455</v>
      </c>
      <c r="T146" s="994">
        <f ca="1">IF(A146&gt;$A$1,#N/A,VLOOKUP(A146,Calculation!$B$8:$JF$503,40,FALSE))</f>
        <v>15070.148849766738</v>
      </c>
      <c r="U146" s="987">
        <f t="shared" si="40"/>
        <v>0</v>
      </c>
      <c r="V146" s="987">
        <f>Calculation!AZ149</f>
        <v>0</v>
      </c>
      <c r="W146" s="1096">
        <f t="shared" ca="1" si="32"/>
        <v>5000</v>
      </c>
      <c r="X146" s="994">
        <f t="shared" si="37"/>
        <v>0</v>
      </c>
      <c r="Y146" s="1026">
        <f t="shared" ca="1" si="33"/>
        <v>2500</v>
      </c>
      <c r="Z146" s="994">
        <f t="shared" ca="1" si="41"/>
        <v>2500</v>
      </c>
      <c r="AA146" s="1096">
        <f t="shared" ca="1" si="35"/>
        <v>25798.251150344295</v>
      </c>
      <c r="AB146" s="1093">
        <f t="shared" ca="1" si="36"/>
        <v>25179.251150344295</v>
      </c>
      <c r="AC146" s="954" t="e">
        <f ca="1">IF(A146&gt;$A$1, #N/A,VLOOKUP(A146,Calculation!$B$8:$JF$880,165,FALSE))</f>
        <v>#N/A</v>
      </c>
      <c r="AD146" s="418" t="e">
        <f t="shared" ca="1" si="42"/>
        <v>#N/A</v>
      </c>
      <c r="AE146" s="418"/>
      <c r="AF146" s="935">
        <f>Calculation!G149</f>
        <v>1262.9803328290477</v>
      </c>
      <c r="AG146" s="941" t="str">
        <f t="shared" si="43"/>
        <v>Yes</v>
      </c>
      <c r="AH146" s="941" t="str">
        <f t="shared" si="44"/>
        <v>Yes</v>
      </c>
      <c r="AI146" s="963">
        <v>43736.800000105082</v>
      </c>
      <c r="AJ146" s="964">
        <v>40354.000000100001</v>
      </c>
      <c r="AK146" s="964">
        <v>40002.800000099764</v>
      </c>
      <c r="AM146" s="993"/>
      <c r="AN146" s="447"/>
      <c r="AO146" s="430"/>
      <c r="AP146" s="462"/>
      <c r="AQ146" s="461"/>
      <c r="AR146" s="461"/>
      <c r="AS146" s="463"/>
      <c r="AU146" s="453"/>
      <c r="AV146" s="452"/>
      <c r="AW146" s="453"/>
      <c r="AX146" s="452"/>
      <c r="AY146" s="453"/>
      <c r="AZ146" s="452"/>
      <c r="BA146" s="449"/>
    </row>
    <row r="147" spans="1:53" ht="13.5" thickBot="1">
      <c r="A147" s="425">
        <v>41778</v>
      </c>
      <c r="B147" s="954">
        <f t="shared" si="38"/>
        <v>94.212299999999999</v>
      </c>
      <c r="C147" s="954">
        <f>Calculation!AK150</f>
        <v>86.05129219887236</v>
      </c>
      <c r="D147" s="954">
        <f>Calculation!AI150</f>
        <v>0</v>
      </c>
      <c r="E147" s="954">
        <f>Calculation!AE150</f>
        <v>33.879299999999994</v>
      </c>
      <c r="F147" s="954">
        <f>Calculation!AF150</f>
        <v>60.332999999999998</v>
      </c>
      <c r="G147" s="954">
        <f>Calculation!AG150</f>
        <v>0</v>
      </c>
      <c r="H147" s="955">
        <f>Sheet1!H152</f>
        <v>0.93</v>
      </c>
      <c r="I147" s="935">
        <f>Sheet1!DA152</f>
        <v>1430</v>
      </c>
      <c r="J147" s="935">
        <f>Sheet1!DB152</f>
        <v>956</v>
      </c>
      <c r="K147" s="935">
        <f>Sheet1!CZ152</f>
        <v>1010</v>
      </c>
      <c r="L147" s="959">
        <f>Calculation!F150</f>
        <v>250</v>
      </c>
      <c r="M147" s="959">
        <f>Calculation!E150</f>
        <v>250</v>
      </c>
      <c r="N147" s="959">
        <f>Calculation!D150</f>
        <v>300</v>
      </c>
      <c r="O147" s="985">
        <f>Sheet1!DC152</f>
        <v>1164.2</v>
      </c>
      <c r="P147" s="986" t="e">
        <f>Calculation!FD150</f>
        <v>#N/A</v>
      </c>
      <c r="Q147" s="1096">
        <f>Calculation!DP150</f>
        <v>46133.000000112297</v>
      </c>
      <c r="R147" s="985">
        <f t="shared" si="34"/>
        <v>45514.000000112297</v>
      </c>
      <c r="S147" s="987">
        <f t="shared" si="39"/>
        <v>264.60000000126456</v>
      </c>
      <c r="T147" s="994">
        <f ca="1">IF(A147&gt;$A$1,#N/A,VLOOKUP(A147,Calculation!$B$8:$JF$503,40,FALSE))</f>
        <v>15240.805193959461</v>
      </c>
      <c r="U147" s="987">
        <f t="shared" si="40"/>
        <v>0</v>
      </c>
      <c r="V147" s="987">
        <f>Calculation!AZ150</f>
        <v>0</v>
      </c>
      <c r="W147" s="1096">
        <f t="shared" ca="1" si="32"/>
        <v>5000</v>
      </c>
      <c r="X147" s="994">
        <f t="shared" si="37"/>
        <v>0</v>
      </c>
      <c r="Y147" s="1026">
        <f t="shared" ca="1" si="33"/>
        <v>2500</v>
      </c>
      <c r="Z147" s="994">
        <f t="shared" ca="1" si="41"/>
        <v>2500</v>
      </c>
      <c r="AA147" s="1096">
        <f t="shared" ca="1" si="35"/>
        <v>25892.194806152838</v>
      </c>
      <c r="AB147" s="1093">
        <f t="shared" ca="1" si="36"/>
        <v>25273.194806152838</v>
      </c>
      <c r="AC147" s="954" t="e">
        <f ca="1">IF(A147&gt;$A$1, #N/A,VLOOKUP(A147,Calculation!$B$8:$JF$880,165,FALSE))</f>
        <v>#N/A</v>
      </c>
      <c r="AD147" s="418" t="e">
        <f t="shared" ca="1" si="42"/>
        <v>#N/A</v>
      </c>
      <c r="AE147" s="418"/>
      <c r="AF147" s="935">
        <f>Calculation!G150</f>
        <v>1143.4341906209099</v>
      </c>
      <c r="AG147" s="941" t="str">
        <f t="shared" si="43"/>
        <v>Yes</v>
      </c>
      <c r="AH147" s="941" t="str">
        <f t="shared" si="44"/>
        <v>Yes</v>
      </c>
      <c r="AI147" s="963">
        <v>43111.400000104361</v>
      </c>
      <c r="AJ147" s="964">
        <v>40905.500000102424</v>
      </c>
      <c r="AK147" s="964">
        <v>40405.500000100001</v>
      </c>
      <c r="AM147" s="993"/>
      <c r="AN147" s="447"/>
      <c r="AO147" s="430"/>
      <c r="AP147" s="462"/>
      <c r="AQ147" s="461"/>
      <c r="AR147" s="461"/>
      <c r="AS147" s="463"/>
      <c r="AU147" s="453"/>
      <c r="AV147" s="452"/>
      <c r="AW147" s="453"/>
      <c r="AX147" s="452"/>
      <c r="AY147" s="453"/>
      <c r="AZ147" s="452"/>
      <c r="BA147" s="449"/>
    </row>
    <row r="148" spans="1:53" ht="13.5" thickBot="1">
      <c r="A148" s="425">
        <v>41779</v>
      </c>
      <c r="B148" s="954">
        <f t="shared" si="38"/>
        <v>94.212299999999999</v>
      </c>
      <c r="C148" s="954">
        <f>Calculation!AK151</f>
        <v>86.067941830299915</v>
      </c>
      <c r="D148" s="954">
        <f>Calculation!AI151</f>
        <v>0</v>
      </c>
      <c r="E148" s="954">
        <f>Calculation!AE151</f>
        <v>33.832889999999999</v>
      </c>
      <c r="F148" s="954">
        <f>Calculation!AF151</f>
        <v>60.37941</v>
      </c>
      <c r="G148" s="954">
        <f>Calculation!AG151</f>
        <v>0</v>
      </c>
      <c r="H148" s="955">
        <f>Sheet1!H153</f>
        <v>0.87</v>
      </c>
      <c r="I148" s="935">
        <f>Sheet1!DA153</f>
        <v>1290</v>
      </c>
      <c r="J148" s="935">
        <f>Sheet1!DB153</f>
        <v>872</v>
      </c>
      <c r="K148" s="935">
        <f>Sheet1!CZ153</f>
        <v>911</v>
      </c>
      <c r="L148" s="959">
        <f>Calculation!F151</f>
        <v>250</v>
      </c>
      <c r="M148" s="959">
        <f>Calculation!E151</f>
        <v>250</v>
      </c>
      <c r="N148" s="959">
        <f>Calculation!D151</f>
        <v>300</v>
      </c>
      <c r="O148" s="985">
        <f>Sheet1!DC153</f>
        <v>1164.5</v>
      </c>
      <c r="P148" s="986" t="e">
        <f>Calculation!FD151</f>
        <v>#N/A</v>
      </c>
      <c r="Q148" s="1096">
        <f>Calculation!DP151</f>
        <v>46464.000000112552</v>
      </c>
      <c r="R148" s="985">
        <f t="shared" si="34"/>
        <v>45845.000000112552</v>
      </c>
      <c r="S148" s="987">
        <f t="shared" si="39"/>
        <v>331.00000000025466</v>
      </c>
      <c r="T148" s="994">
        <f ca="1">IF(A148&gt;$A$1,#N/A,VLOOKUP(A148,Calculation!$B$8:$JF$503,40,FALSE))</f>
        <v>15411.494557589298</v>
      </c>
      <c r="U148" s="987">
        <f t="shared" si="40"/>
        <v>0</v>
      </c>
      <c r="V148" s="987">
        <f>Calculation!AZ151</f>
        <v>0</v>
      </c>
      <c r="W148" s="1096">
        <f t="shared" ca="1" si="32"/>
        <v>5000</v>
      </c>
      <c r="X148" s="994">
        <f t="shared" si="37"/>
        <v>0</v>
      </c>
      <c r="Y148" s="1026">
        <f t="shared" ca="1" si="33"/>
        <v>2500</v>
      </c>
      <c r="Z148" s="994">
        <f t="shared" ca="1" si="41"/>
        <v>2500</v>
      </c>
      <c r="AA148" s="1096">
        <f t="shared" ca="1" si="35"/>
        <v>26052.505442523252</v>
      </c>
      <c r="AB148" s="1093">
        <f t="shared" ca="1" si="36"/>
        <v>25433.505442523252</v>
      </c>
      <c r="AC148" s="954" t="e">
        <f ca="1">IF(A148&gt;$A$1, #N/A,VLOOKUP(A148,Calculation!$B$8:$JF$880,165,FALSE))</f>
        <v>#N/A</v>
      </c>
      <c r="AD148" s="418" t="e">
        <f t="shared" ca="1" si="42"/>
        <v>#N/A</v>
      </c>
      <c r="AE148" s="418"/>
      <c r="AF148" s="935">
        <f>Calculation!G151</f>
        <v>1077.9188098841425</v>
      </c>
      <c r="AG148" s="941" t="str">
        <f t="shared" si="43"/>
        <v>Yes</v>
      </c>
      <c r="AH148" s="941" t="str">
        <f t="shared" si="44"/>
        <v>Yes</v>
      </c>
      <c r="AI148" s="963">
        <v>42931.200000104116</v>
      </c>
      <c r="AJ148" s="964">
        <v>41240.500000102897</v>
      </c>
      <c r="AK148" s="964">
        <v>41021.000000102656</v>
      </c>
      <c r="AM148" s="993"/>
      <c r="AN148" s="447"/>
      <c r="AO148" s="430"/>
      <c r="AP148" s="462"/>
      <c r="AQ148" s="461"/>
      <c r="AR148" s="461"/>
      <c r="AS148" s="463"/>
      <c r="AU148" s="453"/>
      <c r="AV148" s="452"/>
      <c r="AW148" s="453"/>
      <c r="AX148" s="452"/>
      <c r="AY148" s="453"/>
      <c r="AZ148" s="452"/>
      <c r="BA148" s="449"/>
    </row>
    <row r="149" spans="1:53" ht="13.5" thickBot="1">
      <c r="A149" s="425">
        <v>41780</v>
      </c>
      <c r="B149" s="954">
        <f t="shared" si="38"/>
        <v>94.088539999999995</v>
      </c>
      <c r="C149" s="954">
        <f>Calculation!AK152</f>
        <v>86.031110963114742</v>
      </c>
      <c r="D149" s="954">
        <f>Calculation!AI152</f>
        <v>0</v>
      </c>
      <c r="E149" s="954">
        <f>Calculation!AE152</f>
        <v>33.771009999999997</v>
      </c>
      <c r="F149" s="954">
        <f>Calculation!AF152</f>
        <v>60.317529999999998</v>
      </c>
      <c r="G149" s="954">
        <f>Calculation!AG152</f>
        <v>0</v>
      </c>
      <c r="H149" s="955">
        <f>Sheet1!H154</f>
        <v>0.74</v>
      </c>
      <c r="I149" s="935">
        <f>Sheet1!DA154</f>
        <v>1220</v>
      </c>
      <c r="J149" s="935">
        <f>Sheet1!DB154</f>
        <v>832</v>
      </c>
      <c r="K149" s="935">
        <f>Sheet1!CZ154</f>
        <v>871</v>
      </c>
      <c r="L149" s="959">
        <f>Calculation!F152</f>
        <v>250</v>
      </c>
      <c r="M149" s="959">
        <f>Calculation!E152</f>
        <v>250</v>
      </c>
      <c r="N149" s="959">
        <f>Calculation!D152</f>
        <v>300</v>
      </c>
      <c r="O149" s="985">
        <f>Sheet1!DC154</f>
        <v>1164.9000000000001</v>
      </c>
      <c r="P149" s="986" t="e">
        <f>Calculation!FD152</f>
        <v>#N/A</v>
      </c>
      <c r="Q149" s="1096">
        <f>Calculation!DP152</f>
        <v>46906.000000113054</v>
      </c>
      <c r="R149" s="985">
        <f t="shared" si="34"/>
        <v>46287.000000113054</v>
      </c>
      <c r="S149" s="987">
        <f t="shared" si="39"/>
        <v>442.00000000050204</v>
      </c>
      <c r="T149" s="994">
        <f ca="1">IF(A149&gt;$A$1,#N/A,VLOOKUP(A149,Calculation!$B$8:$JF$503,40,FALSE))</f>
        <v>15582.110878490937</v>
      </c>
      <c r="U149" s="987">
        <f t="shared" si="40"/>
        <v>0</v>
      </c>
      <c r="V149" s="987">
        <f>Calculation!AZ152</f>
        <v>0</v>
      </c>
      <c r="W149" s="1096">
        <f t="shared" ca="1" si="32"/>
        <v>5000</v>
      </c>
      <c r="X149" s="994">
        <f t="shared" si="37"/>
        <v>0</v>
      </c>
      <c r="Y149" s="1026">
        <f t="shared" ca="1" si="33"/>
        <v>2500</v>
      </c>
      <c r="Z149" s="994">
        <f t="shared" ca="1" si="41"/>
        <v>2500</v>
      </c>
      <c r="AA149" s="1096">
        <f t="shared" ca="1" si="35"/>
        <v>26323.889121622116</v>
      </c>
      <c r="AB149" s="1093">
        <f t="shared" ca="1" si="36"/>
        <v>25704.889121622116</v>
      </c>
      <c r="AC149" s="954" t="e">
        <f ca="1">IF(A149&gt;$A$1, #N/A,VLOOKUP(A149,Calculation!$B$8:$JF$880,165,FALSE))</f>
        <v>#N/A</v>
      </c>
      <c r="AD149" s="418" t="e">
        <f t="shared" ca="1" si="42"/>
        <v>#N/A</v>
      </c>
      <c r="AE149" s="418"/>
      <c r="AF149" s="935">
        <f>Calculation!G152</f>
        <v>1093.894604135402</v>
      </c>
      <c r="AG149" s="941" t="str">
        <f t="shared" si="43"/>
        <v>Yes</v>
      </c>
      <c r="AH149" s="941" t="str">
        <f t="shared" si="44"/>
        <v>Yes</v>
      </c>
      <c r="AI149" s="963">
        <v>43196.200000104363</v>
      </c>
      <c r="AJ149" s="964">
        <v>41460.400000101916</v>
      </c>
      <c r="AK149" s="964">
        <v>41819.000000104359</v>
      </c>
      <c r="AM149" s="993"/>
      <c r="AN149" s="447"/>
      <c r="AO149" s="430"/>
      <c r="AP149" s="462"/>
      <c r="AQ149" s="461"/>
      <c r="AR149" s="461"/>
      <c r="AS149" s="463"/>
      <c r="AU149" s="453"/>
      <c r="AV149" s="452"/>
      <c r="AW149" s="453"/>
      <c r="AX149" s="452"/>
      <c r="AY149" s="453"/>
      <c r="AZ149" s="452"/>
      <c r="BA149" s="449"/>
    </row>
    <row r="150" spans="1:53" ht="13.5" thickBot="1">
      <c r="A150" s="425">
        <v>41781</v>
      </c>
      <c r="B150" s="954">
        <f t="shared" si="38"/>
        <v>94.181359999999984</v>
      </c>
      <c r="C150" s="954">
        <f>Calculation!AK153</f>
        <v>86.040559312291506</v>
      </c>
      <c r="D150" s="954">
        <f>Calculation!AI153</f>
        <v>0</v>
      </c>
      <c r="E150" s="954">
        <f>Calculation!AE153</f>
        <v>33.879299999999994</v>
      </c>
      <c r="F150" s="954">
        <f>Calculation!AF153</f>
        <v>60.30205999999999</v>
      </c>
      <c r="G150" s="954">
        <f>Calculation!AG153</f>
        <v>0</v>
      </c>
      <c r="H150" s="955">
        <f>Sheet1!H155</f>
        <v>0.83</v>
      </c>
      <c r="I150" s="935">
        <f>Sheet1!DA155</f>
        <v>1160</v>
      </c>
      <c r="J150" s="935">
        <f>Sheet1!DB155</f>
        <v>832</v>
      </c>
      <c r="K150" s="935">
        <f>Sheet1!CZ155</f>
        <v>871</v>
      </c>
      <c r="L150" s="959">
        <f>Calculation!F153</f>
        <v>250</v>
      </c>
      <c r="M150" s="959">
        <f>Calculation!E153</f>
        <v>250</v>
      </c>
      <c r="N150" s="959">
        <f>Calculation!D153</f>
        <v>300</v>
      </c>
      <c r="O150" s="985">
        <f>Sheet1!DC155</f>
        <v>1165.26</v>
      </c>
      <c r="P150" s="986" t="e">
        <f>Calculation!FD153</f>
        <v>#N/A</v>
      </c>
      <c r="Q150" s="1096">
        <f>Calculation!DP153</f>
        <v>47306.200000115357</v>
      </c>
      <c r="R150" s="985">
        <f t="shared" si="34"/>
        <v>46687.200000115357</v>
      </c>
      <c r="S150" s="987">
        <f t="shared" si="39"/>
        <v>400.20000000230357</v>
      </c>
      <c r="T150" s="994">
        <f ca="1">IF(A150&gt;$A$1,#N/A,VLOOKUP(A150,Calculation!$B$8:$JF$503,40,FALSE))</f>
        <v>15752.745937295145</v>
      </c>
      <c r="U150" s="987">
        <f t="shared" si="40"/>
        <v>0</v>
      </c>
      <c r="V150" s="987">
        <f>Calculation!AZ153</f>
        <v>0</v>
      </c>
      <c r="W150" s="1096">
        <f t="shared" ca="1" si="32"/>
        <v>5000</v>
      </c>
      <c r="X150" s="994">
        <f t="shared" si="37"/>
        <v>0</v>
      </c>
      <c r="Y150" s="1026">
        <f t="shared" ca="1" si="33"/>
        <v>2500</v>
      </c>
      <c r="Z150" s="994">
        <f t="shared" ca="1" si="41"/>
        <v>2500</v>
      </c>
      <c r="AA150" s="1096">
        <f t="shared" ca="1" si="35"/>
        <v>26553.454062820212</v>
      </c>
      <c r="AB150" s="1093">
        <f t="shared" ca="1" si="36"/>
        <v>25934.454062820212</v>
      </c>
      <c r="AC150" s="954" t="e">
        <f ca="1">IF(A150&gt;$A$1, #N/A,VLOOKUP(A150,Calculation!$B$8:$JF$880,165,FALSE))</f>
        <v>#N/A</v>
      </c>
      <c r="AD150" s="418" t="e">
        <f t="shared" ca="1" si="42"/>
        <v>#N/A</v>
      </c>
      <c r="AE150" s="418"/>
      <c r="AF150" s="935">
        <f>Calculation!G153</f>
        <v>1072.8154311660633</v>
      </c>
      <c r="AG150" s="941" t="str">
        <f t="shared" si="43"/>
        <v>Yes</v>
      </c>
      <c r="AH150" s="941" t="str">
        <f t="shared" si="44"/>
        <v>Yes</v>
      </c>
      <c r="AI150" s="963">
        <v>43185.600000104358</v>
      </c>
      <c r="AJ150" s="964">
        <v>41925.000000104359</v>
      </c>
      <c r="AK150" s="964">
        <v>42720.500000106076</v>
      </c>
      <c r="AN150" s="447"/>
      <c r="AO150" s="430"/>
      <c r="AP150" s="462"/>
      <c r="AQ150" s="461"/>
      <c r="AR150" s="461"/>
      <c r="AS150" s="463"/>
      <c r="AU150" s="453"/>
      <c r="AV150" s="452"/>
      <c r="AW150" s="453"/>
      <c r="AX150" s="452"/>
      <c r="AY150" s="453"/>
      <c r="AZ150" s="452"/>
      <c r="BA150" s="449"/>
    </row>
    <row r="151" spans="1:53" ht="13.5" thickBot="1">
      <c r="A151" s="425">
        <v>41782</v>
      </c>
      <c r="B151" s="954">
        <f t="shared" si="38"/>
        <v>94.088539999999995</v>
      </c>
      <c r="C151" s="954">
        <f>Calculation!AK154</f>
        <v>85.887999441282972</v>
      </c>
      <c r="D151" s="954">
        <f>Calculation!AI154</f>
        <v>0</v>
      </c>
      <c r="E151" s="954">
        <f>Calculation!AE154</f>
        <v>33.879299999999994</v>
      </c>
      <c r="F151" s="954">
        <f>Calculation!AF154</f>
        <v>60.209240000000001</v>
      </c>
      <c r="G151" s="954">
        <f>Calculation!AG154</f>
        <v>0</v>
      </c>
      <c r="H151" s="955">
        <f>Sheet1!H156</f>
        <v>0.92</v>
      </c>
      <c r="I151" s="935">
        <f>Sheet1!DA156</f>
        <v>1230</v>
      </c>
      <c r="J151" s="935">
        <f>Sheet1!DB156</f>
        <v>885</v>
      </c>
      <c r="K151" s="935">
        <f>Sheet1!CZ156</f>
        <v>931</v>
      </c>
      <c r="L151" s="959">
        <f>Calculation!F154</f>
        <v>250</v>
      </c>
      <c r="M151" s="959">
        <f>Calculation!E154</f>
        <v>250</v>
      </c>
      <c r="N151" s="959">
        <f>Calculation!D154</f>
        <v>300</v>
      </c>
      <c r="O151" s="985">
        <f>Sheet1!DC156</f>
        <v>1165.8</v>
      </c>
      <c r="P151" s="986" t="e">
        <f>Calculation!FD154</f>
        <v>#N/A</v>
      </c>
      <c r="Q151" s="1096">
        <f>Calculation!DP154</f>
        <v>47908.00000011587</v>
      </c>
      <c r="R151" s="985">
        <f t="shared" si="34"/>
        <v>47289.00000011587</v>
      </c>
      <c r="S151" s="987">
        <f t="shared" si="39"/>
        <v>601.80000000051223</v>
      </c>
      <c r="T151" s="994">
        <f ca="1">IF(A151&gt;$A$1,#N/A,VLOOKUP(A151,Calculation!$B$8:$JF$503,40,FALSE))</f>
        <v>15923.078440388783</v>
      </c>
      <c r="U151" s="987">
        <f t="shared" si="40"/>
        <v>0</v>
      </c>
      <c r="V151" s="987">
        <f>Calculation!AZ154</f>
        <v>0</v>
      </c>
      <c r="W151" s="1096">
        <f t="shared" ca="1" si="32"/>
        <v>5000</v>
      </c>
      <c r="X151" s="994">
        <f t="shared" si="37"/>
        <v>0</v>
      </c>
      <c r="Y151" s="1026">
        <f t="shared" ca="1" si="33"/>
        <v>2500</v>
      </c>
      <c r="Z151" s="994">
        <f t="shared" ca="1" si="41"/>
        <v>2500</v>
      </c>
      <c r="AA151" s="1096">
        <f t="shared" ca="1" si="35"/>
        <v>26984.921559727089</v>
      </c>
      <c r="AB151" s="1093">
        <f t="shared" ca="1" si="36"/>
        <v>26365.921559727089</v>
      </c>
      <c r="AC151" s="954" t="e">
        <f ca="1">IF(A151&gt;$A$1, #N/A,VLOOKUP(A151,Calculation!$B$8:$JF$880,165,FALSE))</f>
        <v>#N/A</v>
      </c>
      <c r="AD151" s="418" t="e">
        <f t="shared" ca="1" si="42"/>
        <v>#N/A</v>
      </c>
      <c r="AE151" s="418"/>
      <c r="AF151" s="935">
        <f>Calculation!G154</f>
        <v>1234.4795763996531</v>
      </c>
      <c r="AG151" s="941" t="str">
        <f t="shared" si="43"/>
        <v>Yes</v>
      </c>
      <c r="AH151" s="941" t="str">
        <f t="shared" si="44"/>
        <v>Yes</v>
      </c>
      <c r="AI151" s="963">
        <v>43217.400000104601</v>
      </c>
      <c r="AJ151" s="964">
        <v>42774.000000106076</v>
      </c>
      <c r="AK151" s="964">
        <v>43330.400000106558</v>
      </c>
      <c r="AN151" s="447"/>
      <c r="AO151" s="430"/>
      <c r="AP151" s="462"/>
      <c r="AQ151" s="461"/>
      <c r="AR151" s="461"/>
      <c r="AS151" s="463"/>
      <c r="AU151" s="453"/>
      <c r="AV151" s="452"/>
      <c r="AW151" s="453"/>
      <c r="AX151" s="452"/>
      <c r="AY151" s="453"/>
      <c r="AZ151" s="452"/>
      <c r="BA151" s="449"/>
    </row>
    <row r="152" spans="1:53" ht="13.5" thickBot="1">
      <c r="A152" s="425">
        <v>41783</v>
      </c>
      <c r="B152" s="954">
        <f t="shared" si="38"/>
        <v>93.918369999999996</v>
      </c>
      <c r="C152" s="954">
        <f>Calculation!AK155</f>
        <v>85.27410515283843</v>
      </c>
      <c r="D152" s="954">
        <f>Calculation!AI155</f>
        <v>0</v>
      </c>
      <c r="E152" s="954">
        <f>Calculation!AE155</f>
        <v>33.771009999999997</v>
      </c>
      <c r="F152" s="954">
        <f>Calculation!AF155</f>
        <v>60.147359999999999</v>
      </c>
      <c r="G152" s="954">
        <f>Calculation!AG155</f>
        <v>0</v>
      </c>
      <c r="H152" s="955">
        <f>Sheet1!H157</f>
        <v>0.82</v>
      </c>
      <c r="I152" s="935">
        <f>Sheet1!DA157</f>
        <v>1210</v>
      </c>
      <c r="J152" s="935">
        <f>Sheet1!DB157</f>
        <v>881</v>
      </c>
      <c r="K152" s="935">
        <f>Sheet1!CZ157</f>
        <v>931</v>
      </c>
      <c r="L152" s="959">
        <f>Calculation!F155</f>
        <v>250</v>
      </c>
      <c r="M152" s="959">
        <f>Calculation!E155</f>
        <v>250</v>
      </c>
      <c r="N152" s="959">
        <f>Calculation!D155</f>
        <v>300</v>
      </c>
      <c r="O152" s="985">
        <f>Sheet1!DC157</f>
        <v>1166.2</v>
      </c>
      <c r="P152" s="986" t="e">
        <f>Calculation!FD155</f>
        <v>#N/A</v>
      </c>
      <c r="Q152" s="1096">
        <f>Calculation!DP155</f>
        <v>48356.000000117419</v>
      </c>
      <c r="R152" s="985">
        <f t="shared" si="34"/>
        <v>47737.000000117419</v>
      </c>
      <c r="S152" s="987">
        <f t="shared" si="39"/>
        <v>448.00000000154978</v>
      </c>
      <c r="T152" s="994">
        <f ca="1">IF(A152&gt;$A$1,#N/A,VLOOKUP(A152,Calculation!$B$8:$JF$503,40,FALSE))</f>
        <v>16092.193472456598</v>
      </c>
      <c r="U152" s="987">
        <f t="shared" si="40"/>
        <v>0</v>
      </c>
      <c r="V152" s="987">
        <f>Calculation!AZ155</f>
        <v>0</v>
      </c>
      <c r="W152" s="1096">
        <f t="shared" ca="1" si="32"/>
        <v>5000</v>
      </c>
      <c r="X152" s="994">
        <f t="shared" si="37"/>
        <v>0</v>
      </c>
      <c r="Y152" s="1026">
        <f t="shared" ca="1" si="33"/>
        <v>2500</v>
      </c>
      <c r="Z152" s="994">
        <f t="shared" ca="1" si="41"/>
        <v>2500</v>
      </c>
      <c r="AA152" s="1096">
        <f t="shared" ca="1" si="35"/>
        <v>27263.806527660821</v>
      </c>
      <c r="AB152" s="1093">
        <f t="shared" ca="1" si="36"/>
        <v>26644.806527660821</v>
      </c>
      <c r="AC152" s="954" t="e">
        <f ca="1">IF(A152&gt;$A$1, #N/A,VLOOKUP(A152,Calculation!$B$8:$JF$880,165,FALSE))</f>
        <v>#N/A</v>
      </c>
      <c r="AD152" s="418" t="e">
        <f t="shared" ca="1" si="42"/>
        <v>#N/A</v>
      </c>
      <c r="AE152" s="418"/>
      <c r="AF152" s="935">
        <f>Calculation!G155</f>
        <v>1156.9203227440996</v>
      </c>
      <c r="AG152" s="941" t="str">
        <f t="shared" si="43"/>
        <v>Yes</v>
      </c>
      <c r="AH152" s="941" t="str">
        <f t="shared" si="44"/>
        <v>Yes</v>
      </c>
      <c r="AI152" s="963">
        <v>43397.600000104598</v>
      </c>
      <c r="AJ152" s="964">
        <v>43801.800000108051</v>
      </c>
      <c r="AK152" s="964">
        <v>44029.300000109295</v>
      </c>
      <c r="AN152" s="447"/>
      <c r="AO152" s="430"/>
      <c r="AP152" s="462"/>
      <c r="AQ152" s="461"/>
      <c r="AR152" s="461"/>
      <c r="AS152" s="463"/>
      <c r="AU152" s="453"/>
      <c r="AV152" s="452"/>
      <c r="AW152" s="453"/>
      <c r="AX152" s="452"/>
      <c r="AY152" s="453"/>
      <c r="AZ152" s="452"/>
      <c r="BA152" s="449"/>
    </row>
    <row r="153" spans="1:53" ht="13.5" thickBot="1">
      <c r="A153" s="425">
        <v>41784</v>
      </c>
      <c r="B153" s="954">
        <f t="shared" si="38"/>
        <v>94.16588999999999</v>
      </c>
      <c r="C153" s="954">
        <f>Calculation!AK156</f>
        <v>85.246924086021508</v>
      </c>
      <c r="D153" s="954">
        <f>Calculation!AI156</f>
        <v>0</v>
      </c>
      <c r="E153" s="954">
        <f>Calculation!AE156</f>
        <v>33.832889999999999</v>
      </c>
      <c r="F153" s="954">
        <f>Calculation!AF156</f>
        <v>60.332999999999998</v>
      </c>
      <c r="G153" s="954">
        <f>Calculation!AG156</f>
        <v>0</v>
      </c>
      <c r="H153" s="955">
        <f>Sheet1!H158</f>
        <v>0.77</v>
      </c>
      <c r="I153" s="935">
        <f>Sheet1!DA158</f>
        <v>1250</v>
      </c>
      <c r="J153" s="935">
        <f>Sheet1!DB158</f>
        <v>881</v>
      </c>
      <c r="K153" s="935">
        <f>Sheet1!CZ158</f>
        <v>926</v>
      </c>
      <c r="L153" s="959">
        <f>Calculation!F156</f>
        <v>250</v>
      </c>
      <c r="M153" s="959">
        <f>Calculation!E156</f>
        <v>250</v>
      </c>
      <c r="N153" s="959">
        <f>Calculation!D156</f>
        <v>300</v>
      </c>
      <c r="O153" s="985">
        <f>Sheet1!DC158</f>
        <v>1166.4000000000001</v>
      </c>
      <c r="P153" s="986" t="e">
        <f>Calculation!FD156</f>
        <v>#N/A</v>
      </c>
      <c r="Q153" s="1096">
        <f>Calculation!DP156</f>
        <v>48581.000000117674</v>
      </c>
      <c r="R153" s="985">
        <f t="shared" si="34"/>
        <v>47962.000000117674</v>
      </c>
      <c r="S153" s="987">
        <f t="shared" si="39"/>
        <v>225.00000000025466</v>
      </c>
      <c r="T153" s="994">
        <f ca="1">IF(A153&gt;$A$1,#N/A,VLOOKUP(A153,Calculation!$B$8:$JF$503,40,FALSE))</f>
        <v>16261.254599215432</v>
      </c>
      <c r="U153" s="987">
        <f t="shared" si="40"/>
        <v>0</v>
      </c>
      <c r="V153" s="987">
        <f>Calculation!AZ156</f>
        <v>0</v>
      </c>
      <c r="W153" s="1096">
        <f t="shared" ca="1" si="32"/>
        <v>5000</v>
      </c>
      <c r="X153" s="994">
        <f t="shared" si="37"/>
        <v>0</v>
      </c>
      <c r="Y153" s="1026">
        <f t="shared" ca="1" si="33"/>
        <v>2500</v>
      </c>
      <c r="Z153" s="994">
        <f t="shared" ca="1" si="41"/>
        <v>2500</v>
      </c>
      <c r="AA153" s="1096">
        <f t="shared" ca="1" si="35"/>
        <v>27319.74540090224</v>
      </c>
      <c r="AB153" s="1093">
        <f t="shared" ca="1" si="36"/>
        <v>26700.74540090224</v>
      </c>
      <c r="AC153" s="954" t="e">
        <f ca="1">IF(A153&gt;$A$1, #N/A,VLOOKUP(A153,Calculation!$B$8:$JF$880,165,FALSE))</f>
        <v>#N/A</v>
      </c>
      <c r="AD153" s="418" t="e">
        <f t="shared" ca="1" si="42"/>
        <v>#N/A</v>
      </c>
      <c r="AE153" s="418"/>
      <c r="AF153" s="935">
        <f>Calculation!G156</f>
        <v>1039.4644478064824</v>
      </c>
      <c r="AG153" s="941" t="str">
        <f t="shared" si="43"/>
        <v>Yes</v>
      </c>
      <c r="AH153" s="941" t="str">
        <f t="shared" si="44"/>
        <v>Yes</v>
      </c>
      <c r="AI153" s="963">
        <v>43652.000000104839</v>
      </c>
      <c r="AJ153" s="964">
        <v>44386.000000108543</v>
      </c>
      <c r="AK153" s="964">
        <v>44732.600000109029</v>
      </c>
      <c r="AN153" s="447"/>
      <c r="AO153" s="430"/>
      <c r="AP153" s="462"/>
      <c r="AQ153" s="461"/>
      <c r="AR153" s="461"/>
      <c r="AS153" s="463"/>
      <c r="AU153" s="453"/>
      <c r="AV153" s="452"/>
      <c r="AW153" s="453"/>
      <c r="AX153" s="452"/>
      <c r="AY153" s="453"/>
      <c r="AZ153" s="452"/>
      <c r="BA153" s="449"/>
    </row>
    <row r="154" spans="1:53" ht="13.5" thickBot="1">
      <c r="A154" s="425">
        <v>41785</v>
      </c>
      <c r="B154" s="954">
        <f t="shared" si="38"/>
        <v>94.16588999999999</v>
      </c>
      <c r="C154" s="954">
        <f>Calculation!AK157</f>
        <v>85.27783396617987</v>
      </c>
      <c r="D154" s="954">
        <f>Calculation!AI157</f>
        <v>0</v>
      </c>
      <c r="E154" s="954">
        <f>Calculation!AE157</f>
        <v>33.879299999999994</v>
      </c>
      <c r="F154" s="954">
        <f>Calculation!AF157</f>
        <v>60.286589999999997</v>
      </c>
      <c r="G154" s="954">
        <f>Calculation!AG157</f>
        <v>0</v>
      </c>
      <c r="H154" s="955">
        <f>Sheet1!H159</f>
        <v>0.81</v>
      </c>
      <c r="I154" s="935">
        <f>Sheet1!DA159</f>
        <v>1230</v>
      </c>
      <c r="J154" s="935">
        <f>Sheet1!DB159</f>
        <v>881</v>
      </c>
      <c r="K154" s="935">
        <f>Sheet1!CZ159</f>
        <v>926</v>
      </c>
      <c r="L154" s="959">
        <f>Calculation!F157</f>
        <v>250</v>
      </c>
      <c r="M154" s="959">
        <f>Calculation!E157</f>
        <v>250</v>
      </c>
      <c r="N154" s="959">
        <f>Calculation!D157</f>
        <v>300</v>
      </c>
      <c r="O154" s="985">
        <f>Sheet1!DC159</f>
        <v>1166.8499999999999</v>
      </c>
      <c r="P154" s="986" t="e">
        <f>Calculation!FD157</f>
        <v>#N/A</v>
      </c>
      <c r="Q154" s="1096">
        <f>Calculation!DP157</f>
        <v>49088.000000116888</v>
      </c>
      <c r="R154" s="985">
        <f t="shared" si="34"/>
        <v>48469.000000116888</v>
      </c>
      <c r="S154" s="987">
        <f t="shared" si="39"/>
        <v>506.9999999992142</v>
      </c>
      <c r="T154" s="994">
        <f ca="1">IF(A154&gt;$A$1,#N/A,VLOOKUP(A154,Calculation!$B$8:$JF$503,40,FALSE))</f>
        <v>16430.3770262408</v>
      </c>
      <c r="U154" s="987">
        <f t="shared" si="40"/>
        <v>0</v>
      </c>
      <c r="V154" s="987">
        <f>Calculation!AZ157</f>
        <v>0</v>
      </c>
      <c r="W154" s="1096">
        <f t="shared" ca="1" si="32"/>
        <v>5000</v>
      </c>
      <c r="X154" s="994">
        <f t="shared" si="37"/>
        <v>0</v>
      </c>
      <c r="Y154" s="1026">
        <f t="shared" ca="1" si="33"/>
        <v>2500</v>
      </c>
      <c r="Z154" s="994">
        <f t="shared" ca="1" si="41"/>
        <v>2500</v>
      </c>
      <c r="AA154" s="1096">
        <f t="shared" ca="1" si="35"/>
        <v>27657.622973876089</v>
      </c>
      <c r="AB154" s="1093">
        <f t="shared" ca="1" si="36"/>
        <v>27038.622973876089</v>
      </c>
      <c r="AC154" s="954" t="e">
        <f ca="1">IF(A154&gt;$A$1, #N/A,VLOOKUP(A154,Calculation!$B$8:$JF$880,165,FALSE))</f>
        <v>#N/A</v>
      </c>
      <c r="AD154" s="418" t="e">
        <f t="shared" ca="1" si="42"/>
        <v>#N/A</v>
      </c>
      <c r="AE154" s="418"/>
      <c r="AF154" s="935">
        <f>Calculation!G157</f>
        <v>1181.6732223899214</v>
      </c>
      <c r="AG154" s="941" t="str">
        <f t="shared" si="43"/>
        <v>Yes</v>
      </c>
      <c r="AH154" s="941" t="str">
        <f t="shared" si="44"/>
        <v>Yes</v>
      </c>
      <c r="AI154" s="963">
        <v>44131.500000106316</v>
      </c>
      <c r="AJ154" s="964">
        <v>44429.200000108787</v>
      </c>
      <c r="AK154" s="964">
        <v>45464.100000110535</v>
      </c>
      <c r="AN154" s="447"/>
      <c r="AO154" s="430"/>
      <c r="AP154" s="462"/>
      <c r="AQ154" s="461"/>
      <c r="AR154" s="461"/>
      <c r="AS154" s="463"/>
      <c r="AU154" s="453"/>
      <c r="AV154" s="452"/>
      <c r="AW154" s="453"/>
      <c r="AX154" s="452"/>
      <c r="AY154" s="453"/>
      <c r="AZ154" s="452"/>
      <c r="BA154" s="449"/>
    </row>
    <row r="155" spans="1:53" ht="13.5" thickBot="1">
      <c r="A155" s="425">
        <v>41786</v>
      </c>
      <c r="B155" s="954">
        <f t="shared" ref="B155:B218" si="45">E155+F155</f>
        <v>94.134950000000003</v>
      </c>
      <c r="C155" s="954">
        <f>Calculation!AK158</f>
        <v>85.262063162612037</v>
      </c>
      <c r="D155" s="954">
        <f>Calculation!AI158</f>
        <v>0</v>
      </c>
      <c r="E155" s="954">
        <f>Calculation!AE158</f>
        <v>33.879299999999994</v>
      </c>
      <c r="F155" s="954">
        <f>Calculation!AF158</f>
        <v>60.255650000000003</v>
      </c>
      <c r="G155" s="954">
        <f>Calculation!AG158</f>
        <v>0</v>
      </c>
      <c r="H155" s="955">
        <f>Sheet1!H160</f>
        <v>0.92</v>
      </c>
      <c r="I155" s="935">
        <f>Sheet1!DA160</f>
        <v>1240</v>
      </c>
      <c r="J155" s="935">
        <f>Sheet1!DB160</f>
        <v>922</v>
      </c>
      <c r="K155" s="935">
        <f>Sheet1!CZ160</f>
        <v>977</v>
      </c>
      <c r="L155" s="959">
        <f>Calculation!F158</f>
        <v>250</v>
      </c>
      <c r="M155" s="959">
        <f>Calculation!E158</f>
        <v>250</v>
      </c>
      <c r="N155" s="959">
        <f>Calculation!D158</f>
        <v>300</v>
      </c>
      <c r="O155" s="1097">
        <f>Sheet1!DC160</f>
        <v>1167.06</v>
      </c>
      <c r="P155" s="986" t="e">
        <f>Calculation!FD158</f>
        <v>#N/A</v>
      </c>
      <c r="Q155" s="1096">
        <f>Calculation!DP158</f>
        <v>49325.400000119233</v>
      </c>
      <c r="R155" s="985">
        <f t="shared" si="34"/>
        <v>48706.400000119233</v>
      </c>
      <c r="S155" s="987">
        <f t="shared" ref="S155:S218" si="46">R155-R154</f>
        <v>237.40000000234431</v>
      </c>
      <c r="T155" s="994">
        <f ca="1">IF(A155&gt;$A$1,#N/A,VLOOKUP(A155,Calculation!$B$8:$JF$503,40,FALSE))</f>
        <v>16599.468176714548</v>
      </c>
      <c r="U155" s="987">
        <f t="shared" ref="U155:U218" si="47">D155</f>
        <v>0</v>
      </c>
      <c r="V155" s="987">
        <f>Calculation!AZ158</f>
        <v>0</v>
      </c>
      <c r="W155" s="1096">
        <f t="shared" ca="1" si="32"/>
        <v>5000</v>
      </c>
      <c r="X155" s="994">
        <f t="shared" si="37"/>
        <v>0</v>
      </c>
      <c r="Y155" s="1026">
        <f t="shared" ca="1" si="33"/>
        <v>2500</v>
      </c>
      <c r="Z155" s="994">
        <f ca="1">W155-Y155</f>
        <v>2500</v>
      </c>
      <c r="AA155" s="1096">
        <f t="shared" ca="1" si="35"/>
        <v>27725.931823404684</v>
      </c>
      <c r="AB155" s="1093">
        <f t="shared" ca="1" si="36"/>
        <v>27106.931823404684</v>
      </c>
      <c r="AC155" s="954" t="e">
        <f ca="1">IF(A155&gt;$A$1, #N/A,VLOOKUP(A155,Calculation!$B$8:$JF$880,165,FALSE))</f>
        <v>#N/A</v>
      </c>
      <c r="AD155" s="418" t="e">
        <f t="shared" ref="AD155:AD218" ca="1" si="48">AC155-AC154</f>
        <v>#N/A</v>
      </c>
      <c r="AE155" s="418"/>
      <c r="AF155" s="935">
        <f>Calculation!G158</f>
        <v>1096.717599597753</v>
      </c>
      <c r="AG155" s="941" t="str">
        <f t="shared" ref="AG155:AG218" si="49">IF(I155&gt;L155,"Yes","No")</f>
        <v>Yes</v>
      </c>
      <c r="AH155" s="941" t="str">
        <f t="shared" ref="AH155:AH218" si="50">IF(AND(I155&gt;M155,J155&gt;N155),"Yes","No")</f>
        <v>Yes</v>
      </c>
      <c r="AI155" s="963">
        <v>44527.400000106558</v>
      </c>
      <c r="AJ155" s="964">
        <v>44797.400000109032</v>
      </c>
      <c r="AK155" s="964">
        <v>46298.500000113323</v>
      </c>
      <c r="AL155" s="1011">
        <v>16600</v>
      </c>
      <c r="AN155" s="447"/>
      <c r="AO155" s="430"/>
      <c r="AP155" s="462"/>
      <c r="AQ155" s="461"/>
      <c r="AR155" s="461"/>
      <c r="AS155" s="463"/>
      <c r="AU155" s="453"/>
      <c r="AV155" s="452"/>
      <c r="AW155" s="453"/>
      <c r="AX155" s="452"/>
      <c r="AY155" s="453"/>
      <c r="AZ155" s="452"/>
      <c r="BA155" s="449"/>
    </row>
    <row r="156" spans="1:53" ht="13.5" thickBot="1">
      <c r="A156" s="425">
        <v>41787</v>
      </c>
      <c r="B156" s="954">
        <f t="shared" si="45"/>
        <v>94.088539999999995</v>
      </c>
      <c r="C156" s="954">
        <f>Calculation!AK159</f>
        <v>85.289506820394564</v>
      </c>
      <c r="D156" s="954">
        <f>Calculation!AI159</f>
        <v>0</v>
      </c>
      <c r="E156" s="954">
        <f>Calculation!AE159</f>
        <v>33.786479999999997</v>
      </c>
      <c r="F156" s="954">
        <f>Calculation!AF159</f>
        <v>60.30205999999999</v>
      </c>
      <c r="G156" s="954">
        <f>Calculation!AG159</f>
        <v>0</v>
      </c>
      <c r="H156" s="955">
        <f>Sheet1!H161</f>
        <v>0.89</v>
      </c>
      <c r="I156" s="935">
        <f>Sheet1!DA161</f>
        <v>1230</v>
      </c>
      <c r="J156" s="935">
        <f>Sheet1!DB161</f>
        <v>974</v>
      </c>
      <c r="K156" s="935">
        <f>Sheet1!CZ161</f>
        <v>1040</v>
      </c>
      <c r="L156" s="959">
        <f>Calculation!F159</f>
        <v>250</v>
      </c>
      <c r="M156" s="959">
        <f>Calculation!E159</f>
        <v>250</v>
      </c>
      <c r="N156" s="959">
        <f>Calculation!D159</f>
        <v>300</v>
      </c>
      <c r="O156" s="985">
        <f>Sheet1!DC161</f>
        <v>1167.1300000000001</v>
      </c>
      <c r="P156" s="986" t="e">
        <f>Calculation!FD159</f>
        <v>#N/A</v>
      </c>
      <c r="Q156" s="1096">
        <f>Calculation!DP159</f>
        <v>49405.200000119497</v>
      </c>
      <c r="R156" s="985">
        <f t="shared" si="34"/>
        <v>48786.200000119497</v>
      </c>
      <c r="S156" s="987">
        <f t="shared" si="46"/>
        <v>79.800000000264845</v>
      </c>
      <c r="T156" s="994">
        <f ca="1">IF(A156&gt;$A$1,#N/A,VLOOKUP(A156,Calculation!$B$8:$JF$503,40,FALSE))</f>
        <v>16768.61375326592</v>
      </c>
      <c r="U156" s="987">
        <f t="shared" si="47"/>
        <v>0</v>
      </c>
      <c r="V156" s="987">
        <f>Calculation!AZ159</f>
        <v>0</v>
      </c>
      <c r="W156" s="1096">
        <f t="shared" ca="1" si="32"/>
        <v>5000</v>
      </c>
      <c r="X156" s="994">
        <f t="shared" si="37"/>
        <v>0</v>
      </c>
      <c r="Y156" s="1026">
        <f t="shared" ca="1" si="33"/>
        <v>2500</v>
      </c>
      <c r="Z156" s="994">
        <f t="shared" ref="Z156:Z218" ca="1" si="51">W156-Y156</f>
        <v>2500</v>
      </c>
      <c r="AA156" s="1096">
        <f t="shared" ca="1" si="35"/>
        <v>27636.586246853578</v>
      </c>
      <c r="AB156" s="1093">
        <f t="shared" ca="1" si="36"/>
        <v>27017.586246853578</v>
      </c>
      <c r="AC156" s="954" t="e">
        <f ca="1">IF(A156&gt;$A$1, #N/A,VLOOKUP(A156,Calculation!$B$8:$JF$880,165,FALSE))</f>
        <v>#N/A</v>
      </c>
      <c r="AD156" s="418" t="e">
        <f t="shared" ca="1" si="48"/>
        <v>#N/A</v>
      </c>
      <c r="AE156" s="418"/>
      <c r="AF156" s="935">
        <f>Calculation!G159</f>
        <v>1080.2420574887872</v>
      </c>
      <c r="AG156" s="941" t="str">
        <f t="shared" si="49"/>
        <v>Yes</v>
      </c>
      <c r="AH156" s="941" t="str">
        <f t="shared" si="50"/>
        <v>Yes</v>
      </c>
      <c r="AI156" s="963">
        <v>44816.300000107047</v>
      </c>
      <c r="AJ156" s="964">
        <v>45311.000000111548</v>
      </c>
      <c r="AK156" s="964">
        <v>47128.00000011408</v>
      </c>
      <c r="AL156" s="1011">
        <v>20000</v>
      </c>
      <c r="AN156" s="447"/>
      <c r="AO156" s="430"/>
      <c r="AP156" s="462"/>
      <c r="AQ156" s="461"/>
      <c r="AR156" s="461"/>
      <c r="AS156" s="463"/>
      <c r="AU156" s="453"/>
      <c r="AV156" s="452"/>
      <c r="AW156" s="453"/>
      <c r="AX156" s="452"/>
      <c r="AY156" s="453"/>
      <c r="AZ156" s="452"/>
      <c r="BA156" s="449"/>
    </row>
    <row r="157" spans="1:53" ht="13.5" thickBot="1">
      <c r="A157" s="425">
        <v>41788</v>
      </c>
      <c r="B157" s="954">
        <f t="shared" si="45"/>
        <v>93.841019999999986</v>
      </c>
      <c r="C157" s="954">
        <f>Calculation!AK160</f>
        <v>85.254899155509776</v>
      </c>
      <c r="D157" s="954">
        <f>Calculation!AI160</f>
        <v>0</v>
      </c>
      <c r="E157" s="954">
        <f>Calculation!AE160</f>
        <v>33.817419999999998</v>
      </c>
      <c r="F157" s="954">
        <f>Calculation!AF160</f>
        <v>60.023599999999995</v>
      </c>
      <c r="G157" s="954">
        <f>Calculation!AG160</f>
        <v>0</v>
      </c>
      <c r="H157" s="955">
        <f>Sheet1!H162</f>
        <v>0.94</v>
      </c>
      <c r="I157" s="935">
        <f>Sheet1!DA162</f>
        <v>1260</v>
      </c>
      <c r="J157" s="935">
        <f>Sheet1!DB162</f>
        <v>918</v>
      </c>
      <c r="K157" s="935">
        <f>Sheet1!CZ162</f>
        <v>972</v>
      </c>
      <c r="L157" s="959">
        <f>Calculation!F160</f>
        <v>250</v>
      </c>
      <c r="M157" s="959">
        <f>Calculation!E160</f>
        <v>250</v>
      </c>
      <c r="N157" s="959">
        <f>Calculation!D160</f>
        <v>300</v>
      </c>
      <c r="O157" s="985">
        <f>Sheet1!DC162</f>
        <v>1167.06</v>
      </c>
      <c r="P157" s="986" t="e">
        <f>Calculation!FD160</f>
        <v>#N/A</v>
      </c>
      <c r="Q157" s="1096">
        <f>Calculation!DP160</f>
        <v>49325.400000119233</v>
      </c>
      <c r="R157" s="985">
        <f t="shared" si="34"/>
        <v>48706.400000119233</v>
      </c>
      <c r="S157" s="987">
        <f t="shared" si="46"/>
        <v>-79.800000000264845</v>
      </c>
      <c r="T157" s="994">
        <f ca="1">IF(A157&gt;$A$1,#N/A,VLOOKUP(A157,Calculation!$B$8:$JF$503,40,FALSE))</f>
        <v>16937.69069612895</v>
      </c>
      <c r="U157" s="987">
        <f t="shared" si="47"/>
        <v>0</v>
      </c>
      <c r="V157" s="987">
        <f>Calculation!AZ160</f>
        <v>0</v>
      </c>
      <c r="W157" s="1096">
        <f t="shared" ca="1" si="32"/>
        <v>5000</v>
      </c>
      <c r="X157" s="994">
        <f t="shared" si="37"/>
        <v>0</v>
      </c>
      <c r="Y157" s="1026">
        <f t="shared" ca="1" si="33"/>
        <v>2500</v>
      </c>
      <c r="Z157" s="994">
        <f t="shared" ca="1" si="51"/>
        <v>2500</v>
      </c>
      <c r="AA157" s="1096">
        <f t="shared" ca="1" si="35"/>
        <v>27387.709303990283</v>
      </c>
      <c r="AB157" s="1093">
        <f t="shared" ca="1" si="36"/>
        <v>26768.709303990283</v>
      </c>
      <c r="AC157" s="954" t="e">
        <f ca="1">IF(A157&gt;$A$1, #N/A,VLOOKUP(A157,Calculation!$B$8:$JF$880,165,FALSE))</f>
        <v>#N/A</v>
      </c>
      <c r="AD157" s="418" t="e">
        <f t="shared" ca="1" si="48"/>
        <v>#N/A</v>
      </c>
      <c r="AE157" s="418"/>
      <c r="AF157" s="935">
        <f>Calculation!G160</f>
        <v>931.75794251121295</v>
      </c>
      <c r="AG157" s="941" t="str">
        <f t="shared" si="49"/>
        <v>Yes</v>
      </c>
      <c r="AH157" s="941" t="str">
        <f t="shared" si="50"/>
        <v>Yes</v>
      </c>
      <c r="AI157" s="963">
        <v>44988.100000108243</v>
      </c>
      <c r="AJ157" s="964">
        <v>45605.800000110787</v>
      </c>
      <c r="AK157" s="964">
        <v>47930.400000115871</v>
      </c>
      <c r="AL157" s="1011">
        <v>20000</v>
      </c>
      <c r="AN157" s="447"/>
      <c r="AO157" s="430"/>
      <c r="AP157" s="462"/>
      <c r="AQ157" s="461"/>
      <c r="AR157" s="461"/>
      <c r="AS157" s="463"/>
      <c r="AU157" s="453"/>
      <c r="AV157" s="452"/>
      <c r="AW157" s="453"/>
      <c r="AX157" s="452"/>
      <c r="AY157" s="453"/>
      <c r="AZ157" s="452"/>
      <c r="BA157" s="449"/>
    </row>
    <row r="158" spans="1:53" ht="13.5" thickBot="1">
      <c r="A158" s="425">
        <v>41789</v>
      </c>
      <c r="B158" s="954">
        <f t="shared" si="45"/>
        <v>97.306299999999993</v>
      </c>
      <c r="C158" s="954">
        <f>Calculation!AK161</f>
        <v>85.753531590457257</v>
      </c>
      <c r="D158" s="954">
        <f>Calculation!AI161</f>
        <v>0</v>
      </c>
      <c r="E158" s="954">
        <f>Calculation!AE161</f>
        <v>35.271599999999999</v>
      </c>
      <c r="F158" s="954">
        <f>Calculation!AF161</f>
        <v>62.034700000000001</v>
      </c>
      <c r="G158" s="954">
        <f>Calculation!AG161</f>
        <v>0</v>
      </c>
      <c r="H158" s="955">
        <f>Sheet1!H163</f>
        <v>0.91</v>
      </c>
      <c r="I158" s="935">
        <f>Sheet1!DA163</f>
        <v>1110</v>
      </c>
      <c r="J158" s="935">
        <f>Sheet1!DB163</f>
        <v>772</v>
      </c>
      <c r="K158" s="935">
        <f>Sheet1!CZ163</f>
        <v>827</v>
      </c>
      <c r="L158" s="959">
        <f>Calculation!F161</f>
        <v>250</v>
      </c>
      <c r="M158" s="959">
        <f>Calculation!E161</f>
        <v>250</v>
      </c>
      <c r="N158" s="959">
        <f>Calculation!D161</f>
        <v>300</v>
      </c>
      <c r="O158" s="985">
        <f>Sheet1!DC163</f>
        <v>1167.05</v>
      </c>
      <c r="P158" s="986" t="e">
        <f>Calculation!FD161</f>
        <v>#N/A</v>
      </c>
      <c r="Q158" s="1096">
        <f>Calculation!DP161</f>
        <v>49314.000000119238</v>
      </c>
      <c r="R158" s="985">
        <f t="shared" si="34"/>
        <v>48695.000000119238</v>
      </c>
      <c r="S158" s="987">
        <f t="shared" si="46"/>
        <v>-11.399999999994179</v>
      </c>
      <c r="T158" s="994">
        <f ca="1">IF(A158&gt;$A$1,#N/A,VLOOKUP(A158,Calculation!$B$8:$JF$503,40,FALSE))</f>
        <v>17107.756523484812</v>
      </c>
      <c r="U158" s="987">
        <f t="shared" si="47"/>
        <v>0</v>
      </c>
      <c r="V158" s="987">
        <f>Calculation!AZ161</f>
        <v>0</v>
      </c>
      <c r="W158" s="1096">
        <f t="shared" ca="1" si="32"/>
        <v>5000</v>
      </c>
      <c r="X158" s="994">
        <f t="shared" si="37"/>
        <v>0</v>
      </c>
      <c r="Y158" s="1026">
        <f t="shared" ca="1" si="33"/>
        <v>2500</v>
      </c>
      <c r="Z158" s="994">
        <f t="shared" ca="1" si="51"/>
        <v>2500</v>
      </c>
      <c r="AA158" s="1096">
        <f t="shared" ca="1" si="35"/>
        <v>27206.243476634427</v>
      </c>
      <c r="AB158" s="1093">
        <f t="shared" ca="1" si="36"/>
        <v>26587.243476634427</v>
      </c>
      <c r="AC158" s="954" t="e">
        <f ca="1">IF(A158&gt;$A$1, #N/A,VLOOKUP(A158,Calculation!$B$8:$JF$880,165,FALSE))</f>
        <v>#N/A</v>
      </c>
      <c r="AD158" s="418" t="e">
        <f t="shared" ca="1" si="48"/>
        <v>#N/A</v>
      </c>
      <c r="AE158" s="418"/>
      <c r="AF158" s="935">
        <f>Calculation!G161</f>
        <v>821.251134644481</v>
      </c>
      <c r="AG158" s="941" t="str">
        <f t="shared" si="49"/>
        <v>Yes</v>
      </c>
      <c r="AH158" s="941" t="str">
        <f t="shared" si="50"/>
        <v>Yes</v>
      </c>
      <c r="AI158" s="963">
        <v>45388.440000108742</v>
      </c>
      <c r="AJ158" s="964">
        <v>45803.000000111031</v>
      </c>
      <c r="AK158" s="964">
        <v>48829.400000116635</v>
      </c>
      <c r="AL158" s="1011">
        <v>20000</v>
      </c>
      <c r="AN158" s="447"/>
      <c r="AO158" s="430"/>
      <c r="AP158" s="462"/>
      <c r="AQ158" s="461"/>
      <c r="AR158" s="461"/>
      <c r="AS158" s="463"/>
      <c r="AU158" s="453"/>
      <c r="AV158" s="452"/>
      <c r="AW158" s="453"/>
      <c r="AX158" s="452"/>
      <c r="AY158" s="453"/>
      <c r="AZ158" s="452"/>
      <c r="BA158" s="449"/>
    </row>
    <row r="159" spans="1:53" ht="13.5" thickBot="1">
      <c r="A159" s="425">
        <v>41790</v>
      </c>
      <c r="B159" s="954">
        <f t="shared" si="45"/>
        <v>101.60696</v>
      </c>
      <c r="C159" s="954">
        <f>Calculation!AK162</f>
        <v>85.963462684372772</v>
      </c>
      <c r="D159" s="954">
        <f>Calculation!AI162</f>
        <v>0</v>
      </c>
      <c r="E159" s="954">
        <f>Calculation!AE162</f>
        <v>36.354500000000002</v>
      </c>
      <c r="F159" s="954">
        <f>Calculation!AF162</f>
        <v>65.252459999999999</v>
      </c>
      <c r="G159" s="954">
        <f>Calculation!AG162</f>
        <v>0</v>
      </c>
      <c r="H159" s="955">
        <f>Sheet1!H164</f>
        <v>0.89</v>
      </c>
      <c r="I159" s="935">
        <f>Sheet1!DA164</f>
        <v>1030</v>
      </c>
      <c r="J159" s="935">
        <f>Sheet1!DB164</f>
        <v>765</v>
      </c>
      <c r="K159" s="935">
        <f>Sheet1!CZ164</f>
        <v>827</v>
      </c>
      <c r="L159" s="959">
        <f>Calculation!F162</f>
        <v>250</v>
      </c>
      <c r="M159" s="959">
        <f>Calculation!E162</f>
        <v>250</v>
      </c>
      <c r="N159" s="959">
        <f>Calculation!D162</f>
        <v>300</v>
      </c>
      <c r="O159" s="985">
        <f>Sheet1!DC164</f>
        <v>1167.1199999999999</v>
      </c>
      <c r="P159" s="986" t="e">
        <f>Calculation!FD162</f>
        <v>#N/A</v>
      </c>
      <c r="Q159" s="1096">
        <f>Calculation!DP162</f>
        <v>49393.800000119234</v>
      </c>
      <c r="R159" s="985">
        <f t="shared" si="34"/>
        <v>48774.800000119234</v>
      </c>
      <c r="S159" s="987">
        <f t="shared" si="46"/>
        <v>79.799999999995634</v>
      </c>
      <c r="T159" s="994">
        <f ca="1">IF(A159&gt;$A$1,#N/A,VLOOKUP(A159,Calculation!$B$8:$JF$503,40,FALSE))</f>
        <v>17278.238684774831</v>
      </c>
      <c r="U159" s="987">
        <f t="shared" si="47"/>
        <v>0</v>
      </c>
      <c r="V159" s="987">
        <f>Calculation!AZ162</f>
        <v>0</v>
      </c>
      <c r="W159" s="1096">
        <f t="shared" ca="1" si="32"/>
        <v>5000</v>
      </c>
      <c r="X159" s="994">
        <f t="shared" si="37"/>
        <v>0</v>
      </c>
      <c r="Y159" s="1026">
        <f t="shared" ca="1" si="33"/>
        <v>2500</v>
      </c>
      <c r="Z159" s="994">
        <f t="shared" ca="1" si="51"/>
        <v>2500</v>
      </c>
      <c r="AA159" s="1096">
        <f t="shared" ca="1" si="35"/>
        <v>27115.561315344403</v>
      </c>
      <c r="AB159" s="1093">
        <f t="shared" ca="1" si="36"/>
        <v>26496.561315344403</v>
      </c>
      <c r="AC159" s="954" t="e">
        <f ca="1">IF(A159&gt;$A$1, #N/A,VLOOKUP(A159,Calculation!$B$8:$JF$880,165,FALSE))</f>
        <v>#N/A</v>
      </c>
      <c r="AD159" s="418" t="e">
        <f t="shared" ca="1" si="48"/>
        <v>#N/A</v>
      </c>
      <c r="AE159" s="418"/>
      <c r="AF159" s="935">
        <f>Calculation!G162</f>
        <v>867.24205748865131</v>
      </c>
      <c r="AG159" s="941" t="str">
        <f t="shared" si="49"/>
        <v>Yes</v>
      </c>
      <c r="AH159" s="941" t="str">
        <f t="shared" si="50"/>
        <v>Yes</v>
      </c>
      <c r="AI159" s="963">
        <v>45886.160000109237</v>
      </c>
      <c r="AJ159" s="964">
        <v>46210.000000112297</v>
      </c>
      <c r="AK159" s="964">
        <v>49359.600000119237</v>
      </c>
      <c r="AL159" s="1011">
        <v>20000</v>
      </c>
      <c r="AN159" s="447"/>
      <c r="AO159" s="430"/>
      <c r="AP159" s="462"/>
      <c r="AQ159" s="461"/>
      <c r="AR159" s="461"/>
      <c r="AS159" s="463"/>
      <c r="AU159" s="453"/>
      <c r="AV159" s="452"/>
      <c r="AW159" s="453"/>
      <c r="AX159" s="452"/>
      <c r="AY159" s="453"/>
      <c r="AZ159" s="452"/>
      <c r="BA159" s="449"/>
    </row>
    <row r="160" spans="1:53" ht="13.5" thickBot="1">
      <c r="A160" s="425">
        <v>41791</v>
      </c>
      <c r="B160" s="954">
        <f t="shared" si="45"/>
        <v>105.55181</v>
      </c>
      <c r="C160" s="954">
        <f>Calculation!AK163</f>
        <v>86.099831999999992</v>
      </c>
      <c r="D160" s="954">
        <f>Calculation!AI163</f>
        <v>0</v>
      </c>
      <c r="E160" s="954">
        <f>Calculation!AE163</f>
        <v>36.060569999999998</v>
      </c>
      <c r="F160" s="954">
        <f>Calculation!AF163</f>
        <v>69.491240000000005</v>
      </c>
      <c r="G160" s="954">
        <f>Calculation!AG163</f>
        <v>0</v>
      </c>
      <c r="H160" s="955">
        <f>Sheet1!H165</f>
        <v>0.93</v>
      </c>
      <c r="I160" s="935">
        <f>Sheet1!DA165</f>
        <v>1010</v>
      </c>
      <c r="J160" s="935">
        <f>Sheet1!DB165</f>
        <v>762</v>
      </c>
      <c r="K160" s="935">
        <f>Sheet1!CZ165</f>
        <v>827</v>
      </c>
      <c r="L160" s="959">
        <f>Calculation!F163</f>
        <v>250</v>
      </c>
      <c r="M160" s="959">
        <f>Calculation!E163</f>
        <v>250</v>
      </c>
      <c r="N160" s="959">
        <f>Calculation!D163</f>
        <v>300</v>
      </c>
      <c r="O160" s="985">
        <f>Sheet1!DC165</f>
        <v>1167.1500000000001</v>
      </c>
      <c r="P160" s="986" t="e">
        <f>Calculation!FD163</f>
        <v>#N/A</v>
      </c>
      <c r="Q160" s="1096">
        <f>Calculation!DP163</f>
        <v>49428.000000119493</v>
      </c>
      <c r="R160" s="985">
        <f t="shared" si="34"/>
        <v>48809.000000119493</v>
      </c>
      <c r="S160" s="987">
        <f t="shared" si="46"/>
        <v>34.200000000259024</v>
      </c>
      <c r="T160" s="994">
        <f ca="1">IF(A160&gt;$A$1,#N/A,VLOOKUP(A160,Calculation!$B$8:$JF$503,40,FALSE))</f>
        <v>17551.922692774824</v>
      </c>
      <c r="U160" s="987">
        <f t="shared" si="47"/>
        <v>0</v>
      </c>
      <c r="V160" s="987">
        <f>Calculation!AZ163</f>
        <v>0</v>
      </c>
      <c r="W160" s="1096">
        <f t="shared" ca="1" si="32"/>
        <v>5000</v>
      </c>
      <c r="X160" s="994">
        <f t="shared" si="37"/>
        <v>0</v>
      </c>
      <c r="Y160" s="1026">
        <f t="shared" ca="1" si="33"/>
        <v>2500</v>
      </c>
      <c r="Z160" s="994">
        <f t="shared" ca="1" si="51"/>
        <v>2500</v>
      </c>
      <c r="AA160" s="1096">
        <f t="shared" ca="1" si="35"/>
        <v>26876.077307344669</v>
      </c>
      <c r="AB160" s="1093">
        <f t="shared" ca="1" si="36"/>
        <v>26257.077307344669</v>
      </c>
      <c r="AC160" s="954" t="e">
        <f ca="1">IF(A160&gt;$A$1, #N/A,VLOOKUP(A160,Calculation!$B$8:$JF$880,165,FALSE))</f>
        <v>#N/A</v>
      </c>
      <c r="AD160" s="418" t="e">
        <f t="shared" ca="1" si="48"/>
        <v>#N/A</v>
      </c>
      <c r="AE160" s="418"/>
      <c r="AF160" s="935">
        <f>Calculation!G163</f>
        <v>844.24659606669638</v>
      </c>
      <c r="AG160" s="941" t="str">
        <f t="shared" si="49"/>
        <v>Yes</v>
      </c>
      <c r="AH160" s="941" t="str">
        <f t="shared" si="50"/>
        <v>Yes</v>
      </c>
      <c r="AI160" s="963">
        <v>46485.99000011084</v>
      </c>
      <c r="AJ160" s="964">
        <v>46707.000000112799</v>
      </c>
      <c r="AK160" s="964">
        <v>49279.800000119234</v>
      </c>
      <c r="AL160" s="1011">
        <v>20000</v>
      </c>
      <c r="AN160" s="447"/>
      <c r="AO160" s="430"/>
      <c r="AP160" s="462"/>
      <c r="AQ160" s="461"/>
      <c r="AR160" s="461"/>
      <c r="AS160" s="463"/>
      <c r="AU160" s="453"/>
      <c r="AV160" s="452"/>
      <c r="AW160" s="453"/>
      <c r="AX160" s="452"/>
      <c r="AY160" s="453"/>
      <c r="AZ160" s="452"/>
      <c r="BA160" s="449"/>
    </row>
    <row r="161" spans="1:53" ht="13.5" thickBot="1">
      <c r="A161" s="425">
        <v>41792</v>
      </c>
      <c r="B161" s="954">
        <f t="shared" si="45"/>
        <v>105.64462999999999</v>
      </c>
      <c r="C161" s="954">
        <f>Calculation!AK164</f>
        <v>86.007407329192532</v>
      </c>
      <c r="D161" s="954">
        <f>Calculation!AI164</f>
        <v>0</v>
      </c>
      <c r="E161" s="954">
        <f>Calculation!AE164</f>
        <v>36.184330000000003</v>
      </c>
      <c r="F161" s="954">
        <f>Calculation!AF164</f>
        <v>69.460299999999989</v>
      </c>
      <c r="G161" s="954">
        <f>Calculation!AG164</f>
        <v>0</v>
      </c>
      <c r="H161" s="955">
        <f>Sheet1!H166</f>
        <v>0.8</v>
      </c>
      <c r="I161" s="935">
        <f>Sheet1!DA166</f>
        <v>968</v>
      </c>
      <c r="J161" s="935">
        <f>Sheet1!DB166</f>
        <v>762</v>
      </c>
      <c r="K161" s="935">
        <f>Sheet1!CZ166</f>
        <v>827</v>
      </c>
      <c r="L161" s="959">
        <f>Calculation!F164</f>
        <v>250</v>
      </c>
      <c r="M161" s="959">
        <f>Calculation!E164</f>
        <v>250</v>
      </c>
      <c r="N161" s="959">
        <f>Calculation!D164</f>
        <v>300</v>
      </c>
      <c r="O161" s="985">
        <f>Sheet1!DC166</f>
        <v>1167.1400000000001</v>
      </c>
      <c r="P161" s="986" t="e">
        <f>Calculation!FD164</f>
        <v>#N/A</v>
      </c>
      <c r="Q161" s="1096">
        <f>Calculation!DP164</f>
        <v>49416.600000119492</v>
      </c>
      <c r="R161" s="985">
        <f t="shared" si="34"/>
        <v>48797.600000119492</v>
      </c>
      <c r="S161" s="987">
        <f t="shared" si="46"/>
        <v>-11.400000000001455</v>
      </c>
      <c r="T161" s="994">
        <f ca="1">IF(A161&gt;$A$1,#N/A,VLOOKUP(A161,Calculation!$B$8:$JF$503,40,FALSE))</f>
        <v>17722.492004789019</v>
      </c>
      <c r="U161" s="987">
        <f t="shared" si="47"/>
        <v>0</v>
      </c>
      <c r="V161" s="987">
        <f>Calculation!AZ164</f>
        <v>0</v>
      </c>
      <c r="W161" s="1096">
        <f t="shared" ca="1" si="32"/>
        <v>5000</v>
      </c>
      <c r="X161" s="994">
        <f t="shared" si="37"/>
        <v>0</v>
      </c>
      <c r="Y161" s="994">
        <f t="shared" ref="Y161:Y176" ca="1" si="52">0.5*W161</f>
        <v>2500</v>
      </c>
      <c r="Z161" s="994">
        <f t="shared" ca="1" si="51"/>
        <v>2500</v>
      </c>
      <c r="AA161" s="1096">
        <f t="shared" ca="1" si="35"/>
        <v>26694.107995330472</v>
      </c>
      <c r="AB161" s="1093">
        <f t="shared" ca="1" si="36"/>
        <v>26075.107995330472</v>
      </c>
      <c r="AC161" s="954" t="e">
        <f ca="1">IF(A161&gt;$A$1, #N/A,VLOOKUP(A161,Calculation!$B$8:$JF$880,165,FALSE))</f>
        <v>#N/A</v>
      </c>
      <c r="AD161" s="418" t="e">
        <f t="shared" ca="1" si="48"/>
        <v>#N/A</v>
      </c>
      <c r="AE161" s="418"/>
      <c r="AF161" s="935">
        <f>Calculation!G164</f>
        <v>821.25113464447736</v>
      </c>
      <c r="AG161" s="941" t="str">
        <f t="shared" si="49"/>
        <v>Yes</v>
      </c>
      <c r="AH161" s="941" t="str">
        <f t="shared" si="50"/>
        <v>Yes</v>
      </c>
      <c r="AI161" s="963">
        <v>46726.450000111086</v>
      </c>
      <c r="AJ161" s="964">
        <v>47205.700000114331</v>
      </c>
      <c r="AK161" s="964">
        <v>49020.700000117933</v>
      </c>
      <c r="AL161" s="1011">
        <v>20000</v>
      </c>
      <c r="AN161" s="447"/>
      <c r="AO161" s="430"/>
      <c r="AP161" s="462"/>
      <c r="AQ161" s="461"/>
      <c r="AR161" s="461"/>
      <c r="AS161" s="463"/>
      <c r="AU161" s="453"/>
      <c r="AV161" s="452"/>
      <c r="AW161" s="453"/>
      <c r="AX161" s="452"/>
      <c r="AY161" s="453"/>
      <c r="AZ161" s="452"/>
      <c r="BA161" s="449"/>
    </row>
    <row r="162" spans="1:53" ht="13.5" thickBot="1">
      <c r="A162" s="425">
        <v>41793</v>
      </c>
      <c r="B162" s="954">
        <f t="shared" si="45"/>
        <v>107.6712</v>
      </c>
      <c r="C162" s="954">
        <f>Calculation!AK165</f>
        <v>85.651192640449437</v>
      </c>
      <c r="D162" s="954">
        <f>Calculation!AI165</f>
        <v>0</v>
      </c>
      <c r="E162" s="954">
        <f>Calculation!AE165</f>
        <v>36.045099999999998</v>
      </c>
      <c r="F162" s="954">
        <f>Calculation!AF165</f>
        <v>71.626099999999994</v>
      </c>
      <c r="G162" s="954">
        <f>Calculation!AG165</f>
        <v>0</v>
      </c>
      <c r="H162" s="955">
        <f>Sheet1!H167</f>
        <v>0.82</v>
      </c>
      <c r="I162" s="935">
        <f>Sheet1!DA167</f>
        <v>955</v>
      </c>
      <c r="J162" s="935">
        <f>Sheet1!DB167</f>
        <v>754</v>
      </c>
      <c r="K162" s="935">
        <f>Sheet1!CZ167</f>
        <v>823</v>
      </c>
      <c r="L162" s="959">
        <f>Calculation!F165</f>
        <v>250</v>
      </c>
      <c r="M162" s="959">
        <f>Calculation!E165</f>
        <v>250</v>
      </c>
      <c r="N162" s="959">
        <f>Calculation!D165</f>
        <v>300</v>
      </c>
      <c r="O162" s="985">
        <f>Sheet1!DC167</f>
        <v>1167.0899999999999</v>
      </c>
      <c r="P162" s="986" t="e">
        <f>Calculation!FD165</f>
        <v>#N/A</v>
      </c>
      <c r="Q162" s="994">
        <f>Calculation!DP165</f>
        <v>49359.600000119237</v>
      </c>
      <c r="R162" s="985">
        <f t="shared" si="34"/>
        <v>48740.600000119237</v>
      </c>
      <c r="S162" s="987">
        <f t="shared" si="46"/>
        <v>-57.000000000254659</v>
      </c>
      <c r="T162" s="994">
        <f ca="1">IF(A162&gt;$A$1,#N/A,VLOOKUP(A162,Calculation!$B$8:$JF$503,40,FALSE))</f>
        <v>17892.354874227221</v>
      </c>
      <c r="U162" s="987">
        <f t="shared" si="47"/>
        <v>0</v>
      </c>
      <c r="V162" s="987">
        <f>Calculation!AZ165</f>
        <v>0</v>
      </c>
      <c r="W162" s="1026">
        <f t="shared" ref="W162:W163" ca="1" si="53">IF(T162&lt;=0,0,MIN(MAX(Q162-T162-23559-619-(X162*1.983),0),5000))</f>
        <v>5000</v>
      </c>
      <c r="X162" s="994">
        <f t="shared" si="37"/>
        <v>0</v>
      </c>
      <c r="Y162" s="994">
        <f t="shared" ca="1" si="52"/>
        <v>2500</v>
      </c>
      <c r="Z162" s="994">
        <f t="shared" ca="1" si="51"/>
        <v>2500</v>
      </c>
      <c r="AA162" s="994">
        <f t="shared" ca="1" si="35"/>
        <v>26467.245125892015</v>
      </c>
      <c r="AB162" s="1093">
        <f t="shared" ca="1" si="36"/>
        <v>25848.245125892015</v>
      </c>
      <c r="AC162" s="954" t="e">
        <f ca="1">IF(A162&gt;$A$1, #N/A,VLOOKUP(A162,Calculation!$B$8:$JF$880,165,FALSE))</f>
        <v>#N/A</v>
      </c>
      <c r="AD162" s="418" t="e">
        <f t="shared" ca="1" si="48"/>
        <v>#N/A</v>
      </c>
      <c r="AE162" s="418"/>
      <c r="AF162" s="935">
        <f>Calculation!G165</f>
        <v>794.25567322226186</v>
      </c>
      <c r="AG162" s="941" t="str">
        <f t="shared" si="49"/>
        <v>Yes</v>
      </c>
      <c r="AH162" s="941" t="str">
        <f t="shared" si="50"/>
        <v>Yes</v>
      </c>
      <c r="AI162" s="963">
        <v>46988.770000111334</v>
      </c>
      <c r="AJ162" s="964">
        <v>47997.600000116123</v>
      </c>
      <c r="AK162" s="964">
        <v>48930.300000117932</v>
      </c>
      <c r="AL162" s="1011">
        <v>20000</v>
      </c>
      <c r="AN162" s="447"/>
      <c r="AO162" s="430"/>
      <c r="AP162" s="462"/>
      <c r="AQ162" s="461"/>
      <c r="AR162" s="461"/>
      <c r="AS162" s="463"/>
      <c r="AU162" s="453"/>
      <c r="AV162" s="452"/>
      <c r="AW162" s="453"/>
      <c r="AX162" s="452"/>
      <c r="AY162" s="453"/>
      <c r="AZ162" s="452"/>
      <c r="BA162" s="449"/>
    </row>
    <row r="163" spans="1:53" ht="13.5" thickBot="1">
      <c r="A163" s="425">
        <v>41794</v>
      </c>
      <c r="B163" s="954">
        <f t="shared" si="45"/>
        <v>110.1464</v>
      </c>
      <c r="C163" s="954">
        <f>Calculation!AK166</f>
        <v>85.233457888819487</v>
      </c>
      <c r="D163" s="954">
        <f>Calculation!AI166</f>
        <v>0</v>
      </c>
      <c r="E163" s="954">
        <f>Calculation!AE166</f>
        <v>35.8904</v>
      </c>
      <c r="F163" s="954">
        <f>Calculation!AF166</f>
        <v>74.256</v>
      </c>
      <c r="G163" s="954">
        <f>Calculation!AG166</f>
        <v>0</v>
      </c>
      <c r="H163" s="955">
        <f>Sheet1!H168</f>
        <v>0.83</v>
      </c>
      <c r="I163" s="935">
        <f>Sheet1!DA168</f>
        <v>917</v>
      </c>
      <c r="J163" s="935">
        <f>Sheet1!DB168</f>
        <v>709</v>
      </c>
      <c r="K163" s="935">
        <f>Sheet1!CZ168</f>
        <v>776</v>
      </c>
      <c r="L163" s="959">
        <f>Calculation!F166</f>
        <v>250</v>
      </c>
      <c r="M163" s="959">
        <f>Calculation!E166</f>
        <v>250</v>
      </c>
      <c r="N163" s="959">
        <f>Calculation!D166</f>
        <v>300</v>
      </c>
      <c r="O163" s="985">
        <f>Sheet1!DC168</f>
        <v>1167.01</v>
      </c>
      <c r="P163" s="986" t="e">
        <f>Calculation!FD166</f>
        <v>#N/A</v>
      </c>
      <c r="Q163" s="994">
        <f>Calculation!DP166</f>
        <v>49268.400000119233</v>
      </c>
      <c r="R163" s="985">
        <f t="shared" si="34"/>
        <v>48649.400000119233</v>
      </c>
      <c r="S163" s="987">
        <f t="shared" si="46"/>
        <v>-91.200000000004366</v>
      </c>
      <c r="T163" s="994">
        <f ca="1">IF(A163&gt;$A$1,#N/A,VLOOKUP(A163,Calculation!$B$8:$JF$503,40,FALSE))</f>
        <v>18061.389294914294</v>
      </c>
      <c r="U163" s="987">
        <f t="shared" si="47"/>
        <v>0</v>
      </c>
      <c r="V163" s="987">
        <f>Calculation!AZ166</f>
        <v>0</v>
      </c>
      <c r="W163" s="1026">
        <f t="shared" ca="1" si="53"/>
        <v>5000</v>
      </c>
      <c r="X163" s="994">
        <f t="shared" si="37"/>
        <v>0</v>
      </c>
      <c r="Y163" s="994">
        <f t="shared" ca="1" si="52"/>
        <v>2500</v>
      </c>
      <c r="Z163" s="994">
        <f t="shared" ca="1" si="51"/>
        <v>2500</v>
      </c>
      <c r="AA163" s="994">
        <f t="shared" ca="1" si="35"/>
        <v>26207.010705204939</v>
      </c>
      <c r="AB163" s="1093">
        <f t="shared" ca="1" si="36"/>
        <v>25588.010705204939</v>
      </c>
      <c r="AC163" s="954" t="e">
        <f ca="1">IF(A163&gt;$A$1, #N/A,VLOOKUP(A163,Calculation!$B$8:$JF$880,165,FALSE))</f>
        <v>#N/A</v>
      </c>
      <c r="AD163" s="418" t="e">
        <f t="shared" ca="1" si="48"/>
        <v>#N/A</v>
      </c>
      <c r="AE163" s="418"/>
      <c r="AF163" s="935">
        <f>Calculation!G166</f>
        <v>730.0090771558223</v>
      </c>
      <c r="AG163" s="941" t="str">
        <f t="shared" si="49"/>
        <v>Yes</v>
      </c>
      <c r="AH163" s="941" t="str">
        <f t="shared" si="50"/>
        <v>Yes</v>
      </c>
      <c r="AI163" s="963">
        <v>47473.320000112704</v>
      </c>
      <c r="AJ163" s="964">
        <v>48142.30000011716</v>
      </c>
      <c r="AK163" s="964">
        <v>49155.300000118186</v>
      </c>
      <c r="AL163" s="1011">
        <v>20000</v>
      </c>
      <c r="AN163" s="447"/>
      <c r="AO163" s="430"/>
      <c r="AP163" s="462"/>
      <c r="AQ163" s="461"/>
      <c r="AR163" s="461"/>
      <c r="AS163" s="463"/>
      <c r="AU163" s="453"/>
      <c r="AV163" s="452"/>
      <c r="AW163" s="453"/>
      <c r="AX163" s="452"/>
      <c r="AY163" s="453"/>
      <c r="AZ163" s="452"/>
      <c r="BA163" s="449"/>
    </row>
    <row r="164" spans="1:53" ht="13.5" thickBot="1">
      <c r="A164" s="425">
        <v>41795</v>
      </c>
      <c r="B164" s="954">
        <f t="shared" si="45"/>
        <v>113.3951</v>
      </c>
      <c r="C164" s="954">
        <f>Calculation!AK167</f>
        <v>85.342104065889913</v>
      </c>
      <c r="D164" s="954">
        <f>Calculation!AI167</f>
        <v>0</v>
      </c>
      <c r="E164" s="954">
        <f>Calculation!AE167</f>
        <v>36.354500000000002</v>
      </c>
      <c r="F164" s="954">
        <f>Calculation!AF167</f>
        <v>77.040599999999998</v>
      </c>
      <c r="G164" s="954">
        <f>Calculation!AG167</f>
        <v>0</v>
      </c>
      <c r="H164" s="955">
        <f>Sheet1!H169</f>
        <v>1.02</v>
      </c>
      <c r="I164" s="935">
        <f>Sheet1!DA169</f>
        <v>831</v>
      </c>
      <c r="J164" s="935">
        <f>Sheet1!DB169</f>
        <v>543</v>
      </c>
      <c r="K164" s="935">
        <f>Sheet1!CZ169</f>
        <v>625</v>
      </c>
      <c r="L164" s="959">
        <f>Calculation!F167</f>
        <v>250</v>
      </c>
      <c r="M164" s="959">
        <f>Calculation!E167</f>
        <v>250</v>
      </c>
      <c r="N164" s="959">
        <f>Calculation!D167</f>
        <v>300</v>
      </c>
      <c r="O164" s="985">
        <f>Sheet1!DC169</f>
        <v>1167.04</v>
      </c>
      <c r="P164" s="986" t="e">
        <f>Calculation!FD167</f>
        <v>#N/A</v>
      </c>
      <c r="Q164" s="994">
        <f>Calculation!DP167</f>
        <v>49302.600000119237</v>
      </c>
      <c r="R164" s="985">
        <f t="shared" si="34"/>
        <v>48683.600000119237</v>
      </c>
      <c r="S164" s="987">
        <f t="shared" si="46"/>
        <v>34.200000000004366</v>
      </c>
      <c r="T164" s="994">
        <f ca="1">IF(A164&gt;$A$1,#N/A,VLOOKUP(A164,Calculation!$B$8:$JF$503,40,FALSE))</f>
        <v>18229.718781969335</v>
      </c>
      <c r="U164" s="987">
        <f t="shared" si="47"/>
        <v>0</v>
      </c>
      <c r="V164" s="987">
        <f>Calculation!AZ167</f>
        <v>0</v>
      </c>
      <c r="W164" s="994">
        <f t="shared" ref="W164:W194" ca="1" si="54">IF(A164&gt;=$A$1,#N/A,W163-X164*1.983)</f>
        <v>5000</v>
      </c>
      <c r="X164" s="994">
        <f>IF(U164&lt;=0,0,MIN(MAX(R164-U164-25000-619-Y164*1.983,0),5000))</f>
        <v>0</v>
      </c>
      <c r="Y164" s="994">
        <f t="shared" ca="1" si="52"/>
        <v>2500</v>
      </c>
      <c r="Z164" s="994">
        <f t="shared" ca="1" si="51"/>
        <v>2500</v>
      </c>
      <c r="AA164" s="994">
        <f t="shared" ca="1" si="35"/>
        <v>26072.881218149902</v>
      </c>
      <c r="AB164" s="1093">
        <f t="shared" ca="1" si="36"/>
        <v>25453.881218149902</v>
      </c>
      <c r="AC164" s="954" t="e">
        <f ca="1">IF(A164&gt;$A$1, #N/A,VLOOKUP(A164,Calculation!$B$8:$JF$880,165,FALSE))</f>
        <v>#N/A</v>
      </c>
      <c r="AD164" s="418" t="e">
        <f t="shared" ca="1" si="48"/>
        <v>#N/A</v>
      </c>
      <c r="AE164" s="418"/>
      <c r="AF164" s="935">
        <f>Calculation!G167</f>
        <v>642.24659606656803</v>
      </c>
      <c r="AG164" s="941" t="str">
        <f t="shared" si="49"/>
        <v>Yes</v>
      </c>
      <c r="AH164" s="941" t="str">
        <f t="shared" si="50"/>
        <v>Yes</v>
      </c>
      <c r="AI164" s="963">
        <v>48014.280000113205</v>
      </c>
      <c r="AJ164" s="964">
        <v>47896.900000114838</v>
      </c>
      <c r="AK164" s="964">
        <v>49382.400000119233</v>
      </c>
      <c r="AL164" s="1011">
        <v>20000</v>
      </c>
      <c r="AN164" s="447"/>
      <c r="AO164" s="430"/>
      <c r="AP164" s="462"/>
      <c r="AQ164" s="461"/>
      <c r="AR164" s="461"/>
      <c r="AS164" s="463"/>
      <c r="AU164" s="453"/>
      <c r="AV164" s="452"/>
      <c r="AW164" s="453"/>
      <c r="AX164" s="452"/>
      <c r="AY164" s="453"/>
      <c r="AZ164" s="452"/>
      <c r="BA164" s="449"/>
    </row>
    <row r="165" spans="1:53" ht="13.5" thickBot="1">
      <c r="A165" s="425">
        <v>41796</v>
      </c>
      <c r="B165" s="954">
        <f t="shared" si="45"/>
        <v>118.1908</v>
      </c>
      <c r="C165" s="954">
        <f>Calculation!AK168</f>
        <v>83.58161111279334</v>
      </c>
      <c r="D165" s="954">
        <f>Calculation!AI168</f>
        <v>0</v>
      </c>
      <c r="E165" s="954">
        <f>Calculation!AE168</f>
        <v>36.663899999999998</v>
      </c>
      <c r="F165" s="954">
        <f>Calculation!AF168</f>
        <v>81.526899999999998</v>
      </c>
      <c r="G165" s="954">
        <f>Calculation!AG168</f>
        <v>0</v>
      </c>
      <c r="H165" s="955">
        <f>Sheet1!H170</f>
        <v>0.83</v>
      </c>
      <c r="I165" s="935">
        <f>Sheet1!DA170</f>
        <v>731</v>
      </c>
      <c r="J165" s="935">
        <f>Sheet1!DB170</f>
        <v>536</v>
      </c>
      <c r="K165" s="935">
        <f>Sheet1!CZ170</f>
        <v>625</v>
      </c>
      <c r="L165" s="959">
        <f>Calculation!F168</f>
        <v>250</v>
      </c>
      <c r="M165" s="959">
        <f>Calculation!E168</f>
        <v>250</v>
      </c>
      <c r="N165" s="959">
        <f>Calculation!D168</f>
        <v>300</v>
      </c>
      <c r="O165" s="985">
        <f>Sheet1!DC170</f>
        <v>1167.2</v>
      </c>
      <c r="P165" s="986" t="e">
        <f>Calculation!FD168</f>
        <v>#N/A</v>
      </c>
      <c r="Q165" s="994">
        <f>Calculation!DP168</f>
        <v>49485.000000118445</v>
      </c>
      <c r="R165" s="985">
        <f t="shared" si="34"/>
        <v>48866.000000118445</v>
      </c>
      <c r="S165" s="987">
        <f t="shared" si="46"/>
        <v>182.39999999920838</v>
      </c>
      <c r="T165" s="994">
        <f ca="1">IF(A165&gt;$A$1,#N/A,VLOOKUP(A165,Calculation!$B$8:$JF$503,40,FALSE))</f>
        <v>18385.046071235043</v>
      </c>
      <c r="U165" s="987">
        <f t="shared" si="47"/>
        <v>0</v>
      </c>
      <c r="V165" s="987">
        <f>Calculation!AZ168</f>
        <v>0</v>
      </c>
      <c r="W165" s="994">
        <f t="shared" ca="1" si="54"/>
        <v>5000</v>
      </c>
      <c r="X165" s="994">
        <f t="shared" ref="X165:X180" si="55">IF(U165&lt;=0,0,MIN(MAX(R165-U165-25000-619-Y165*1.983,0),5000))</f>
        <v>0</v>
      </c>
      <c r="Y165" s="994">
        <f t="shared" ca="1" si="52"/>
        <v>2500</v>
      </c>
      <c r="Z165" s="994">
        <f t="shared" ca="1" si="51"/>
        <v>2500</v>
      </c>
      <c r="AA165" s="994">
        <f t="shared" ca="1" si="35"/>
        <v>26099.953928883402</v>
      </c>
      <c r="AB165" s="1093">
        <f t="shared" ca="1" si="36"/>
        <v>25480.953928883402</v>
      </c>
      <c r="AC165" s="954" t="e">
        <f ca="1">IF(A165&gt;$A$1, #N/A,VLOOKUP(A165,Calculation!$B$8:$JF$880,165,FALSE))</f>
        <v>#N/A</v>
      </c>
      <c r="AD165" s="418" t="e">
        <f t="shared" ca="1" si="48"/>
        <v>#N/A</v>
      </c>
      <c r="AE165" s="418"/>
      <c r="AF165" s="935">
        <f>Calculation!G168</f>
        <v>716.98184568795182</v>
      </c>
      <c r="AG165" s="941" t="str">
        <f t="shared" si="49"/>
        <v>Yes</v>
      </c>
      <c r="AH165" s="941" t="str">
        <f t="shared" si="50"/>
        <v>Yes</v>
      </c>
      <c r="AI165" s="963">
        <v>48369.100000114842</v>
      </c>
      <c r="AJ165" s="964">
        <v>48053.300000115087</v>
      </c>
      <c r="AK165" s="964">
        <v>49518.900000118447</v>
      </c>
      <c r="AL165" s="1011">
        <v>20000</v>
      </c>
      <c r="AN165" s="447"/>
      <c r="AO165" s="430"/>
      <c r="AP165" s="462"/>
      <c r="AQ165" s="461"/>
      <c r="AR165" s="461"/>
      <c r="AS165" s="463"/>
      <c r="AU165" s="453"/>
      <c r="AV165" s="452"/>
      <c r="AW165" s="453"/>
      <c r="AX165" s="452"/>
      <c r="AY165" s="453"/>
      <c r="AZ165" s="452"/>
      <c r="BA165" s="449"/>
    </row>
    <row r="166" spans="1:53" ht="13.5" thickBot="1">
      <c r="A166" s="425">
        <v>41797</v>
      </c>
      <c r="B166" s="954">
        <f t="shared" si="45"/>
        <v>119.89249999999998</v>
      </c>
      <c r="C166" s="954">
        <f>Calculation!AK169</f>
        <v>82.931865094549494</v>
      </c>
      <c r="D166" s="954">
        <f>Calculation!AI169</f>
        <v>0</v>
      </c>
      <c r="E166" s="954">
        <f>Calculation!AE169</f>
        <v>36.5092</v>
      </c>
      <c r="F166" s="954">
        <f>Calculation!AF169</f>
        <v>83.383299999999991</v>
      </c>
      <c r="G166" s="954">
        <f>Calculation!AG169</f>
        <v>0</v>
      </c>
      <c r="H166" s="955">
        <f>Sheet1!H171</f>
        <v>0.87</v>
      </c>
      <c r="I166" s="935">
        <f>Sheet1!DA171</f>
        <v>719</v>
      </c>
      <c r="J166" s="935">
        <f>Sheet1!DB171</f>
        <v>536</v>
      </c>
      <c r="K166" s="935">
        <f>Sheet1!CZ171</f>
        <v>625</v>
      </c>
      <c r="L166" s="959">
        <f>Calculation!F169</f>
        <v>250</v>
      </c>
      <c r="M166" s="959">
        <f>Calculation!E169</f>
        <v>250</v>
      </c>
      <c r="N166" s="959">
        <f>Calculation!D169</f>
        <v>300</v>
      </c>
      <c r="O166" s="985">
        <f>Sheet1!DC171</f>
        <v>1167.2</v>
      </c>
      <c r="P166" s="986" t="e">
        <f>Calculation!FD169</f>
        <v>#N/A</v>
      </c>
      <c r="Q166" s="994">
        <f>Calculation!DP169</f>
        <v>49485.000000118445</v>
      </c>
      <c r="R166" s="985">
        <f t="shared" si="34"/>
        <v>48866.000000118445</v>
      </c>
      <c r="S166" s="987">
        <f t="shared" si="46"/>
        <v>0</v>
      </c>
      <c r="T166" s="994">
        <f ca="1">IF(A166&gt;$A$1,#N/A,VLOOKUP(A166,Calculation!$B$8:$JF$503,40,FALSE))</f>
        <v>18535.70998856541</v>
      </c>
      <c r="U166" s="987">
        <f t="shared" si="47"/>
        <v>0</v>
      </c>
      <c r="V166" s="987">
        <f>Calculation!AZ169</f>
        <v>0</v>
      </c>
      <c r="W166" s="994">
        <f t="shared" ca="1" si="54"/>
        <v>5000</v>
      </c>
      <c r="X166" s="994">
        <f t="shared" si="55"/>
        <v>0</v>
      </c>
      <c r="Y166" s="994">
        <f t="shared" ca="1" si="52"/>
        <v>2500</v>
      </c>
      <c r="Z166" s="994">
        <f t="shared" ca="1" si="51"/>
        <v>2500</v>
      </c>
      <c r="AA166" s="994">
        <f t="shared" ca="1" si="35"/>
        <v>25949.290011553036</v>
      </c>
      <c r="AB166" s="1093">
        <f t="shared" ca="1" si="36"/>
        <v>25330.290011553036</v>
      </c>
      <c r="AC166" s="954" t="e">
        <f ca="1">IF(A166&gt;$A$1, #N/A,VLOOKUP(A166,Calculation!$B$8:$JF$880,165,FALSE))</f>
        <v>#N/A</v>
      </c>
      <c r="AD166" s="418" t="e">
        <f t="shared" ca="1" si="48"/>
        <v>#N/A</v>
      </c>
      <c r="AE166" s="418"/>
      <c r="AF166" s="935">
        <f>Calculation!G169</f>
        <v>625</v>
      </c>
      <c r="AG166" s="941" t="str">
        <f t="shared" si="49"/>
        <v>Yes</v>
      </c>
      <c r="AH166" s="941" t="str">
        <f t="shared" si="50"/>
        <v>Yes</v>
      </c>
      <c r="AI166" s="963">
        <v>48636.700000115095</v>
      </c>
      <c r="AJ166" s="964">
        <v>48232.700000117162</v>
      </c>
      <c r="AK166" s="964">
        <v>49598.000000119493</v>
      </c>
      <c r="AL166" s="1011">
        <v>20000</v>
      </c>
      <c r="AN166" s="447"/>
      <c r="AO166" s="430"/>
      <c r="AP166" s="462"/>
      <c r="AQ166" s="461"/>
      <c r="AR166" s="461"/>
      <c r="AS166" s="463"/>
      <c r="AU166" s="453"/>
      <c r="AV166" s="452"/>
      <c r="AW166" s="453"/>
      <c r="AX166" s="452"/>
      <c r="AY166" s="453"/>
      <c r="AZ166" s="452"/>
      <c r="BA166" s="449"/>
    </row>
    <row r="167" spans="1:53" ht="13.5" thickBot="1">
      <c r="A167" s="425">
        <v>41798</v>
      </c>
      <c r="B167" s="954">
        <f t="shared" si="45"/>
        <v>119.95438</v>
      </c>
      <c r="C167" s="954">
        <f>Calculation!AK170</f>
        <v>83.012904900037029</v>
      </c>
      <c r="D167" s="954">
        <f>Calculation!AI170</f>
        <v>0</v>
      </c>
      <c r="E167" s="954">
        <f>Calculation!AE170</f>
        <v>36.617490000000004</v>
      </c>
      <c r="F167" s="954">
        <f>Calculation!AF170</f>
        <v>83.336889999999997</v>
      </c>
      <c r="G167" s="954">
        <f>Calculation!AG170</f>
        <v>0</v>
      </c>
      <c r="H167" s="955">
        <f>Sheet1!H172</f>
        <v>0.94</v>
      </c>
      <c r="I167" s="935">
        <f>Sheet1!DA172</f>
        <v>685</v>
      </c>
      <c r="J167" s="935">
        <f>Sheet1!DB172</f>
        <v>533</v>
      </c>
      <c r="K167" s="935">
        <f>Sheet1!CZ172</f>
        <v>625</v>
      </c>
      <c r="L167" s="959">
        <f>Calculation!F170</f>
        <v>250</v>
      </c>
      <c r="M167" s="959">
        <f>Calculation!E170</f>
        <v>250</v>
      </c>
      <c r="N167" s="959">
        <f>Calculation!D170</f>
        <v>300</v>
      </c>
      <c r="O167" s="985">
        <f>Sheet1!DC172</f>
        <v>1167.21</v>
      </c>
      <c r="P167" s="986" t="e">
        <f>Calculation!FD170</f>
        <v>#N/A</v>
      </c>
      <c r="Q167" s="994">
        <f>Calculation!DP170</f>
        <v>49496.300000118448</v>
      </c>
      <c r="R167" s="985">
        <f t="shared" si="34"/>
        <v>48877.300000118448</v>
      </c>
      <c r="S167" s="987">
        <f t="shared" si="46"/>
        <v>11.30000000000291</v>
      </c>
      <c r="T167" s="994">
        <f ca="1">IF(A167&gt;$A$1,#N/A,VLOOKUP(A167,Calculation!$B$8:$JF$503,40,FALSE))</f>
        <v>18686.411903493216</v>
      </c>
      <c r="U167" s="987">
        <f t="shared" si="47"/>
        <v>0</v>
      </c>
      <c r="V167" s="987">
        <f>Calculation!AZ170</f>
        <v>0</v>
      </c>
      <c r="W167" s="994">
        <f t="shared" ca="1" si="54"/>
        <v>5000</v>
      </c>
      <c r="X167" s="994">
        <f t="shared" si="55"/>
        <v>0</v>
      </c>
      <c r="Y167" s="994">
        <f t="shared" ca="1" si="52"/>
        <v>2500</v>
      </c>
      <c r="Z167" s="994">
        <f t="shared" ca="1" si="51"/>
        <v>2500</v>
      </c>
      <c r="AA167" s="994">
        <f t="shared" ca="1" si="35"/>
        <v>25809.888096625233</v>
      </c>
      <c r="AB167" s="1093">
        <f t="shared" ca="1" si="36"/>
        <v>25190.888096625233</v>
      </c>
      <c r="AC167" s="954" t="e">
        <f ca="1">IF(A167&gt;$A$1, #N/A,VLOOKUP(A167,Calculation!$B$8:$JF$880,165,FALSE))</f>
        <v>#N/A</v>
      </c>
      <c r="AD167" s="418" t="e">
        <f t="shared" ca="1" si="48"/>
        <v>#N/A</v>
      </c>
      <c r="AE167" s="418"/>
      <c r="AF167" s="935">
        <f>Calculation!G170</f>
        <v>630.69843671205388</v>
      </c>
      <c r="AG167" s="941" t="str">
        <f t="shared" si="49"/>
        <v>Yes</v>
      </c>
      <c r="AH167" s="941" t="str">
        <f t="shared" si="50"/>
        <v>Yes</v>
      </c>
      <c r="AI167" s="963">
        <v>48781.6500001151</v>
      </c>
      <c r="AJ167" s="964">
        <v>48525.000000116379</v>
      </c>
      <c r="AK167" s="964">
        <v>49586.700000118442</v>
      </c>
      <c r="AL167" s="1011">
        <v>20000</v>
      </c>
      <c r="AN167" s="447"/>
      <c r="AO167" s="430"/>
      <c r="AP167" s="462"/>
      <c r="AQ167" s="461"/>
      <c r="AR167" s="461"/>
      <c r="AS167" s="463"/>
      <c r="AU167" s="453"/>
      <c r="AV167" s="452"/>
      <c r="AW167" s="453"/>
      <c r="AX167" s="452"/>
      <c r="AY167" s="453"/>
      <c r="AZ167" s="452"/>
      <c r="BA167" s="449"/>
    </row>
    <row r="168" spans="1:53" ht="13.5" thickBot="1">
      <c r="A168" s="425">
        <v>41799</v>
      </c>
      <c r="B168" s="954">
        <f t="shared" si="45"/>
        <v>118.23720999999999</v>
      </c>
      <c r="C168" s="954">
        <f>Calculation!AK171</f>
        <v>84.082846999430629</v>
      </c>
      <c r="D168" s="954">
        <f>Calculation!AI171</f>
        <v>0</v>
      </c>
      <c r="E168" s="954">
        <f>Calculation!AE171</f>
        <v>36.663899999999998</v>
      </c>
      <c r="F168" s="954">
        <f>Calculation!AF171</f>
        <v>81.573309999999992</v>
      </c>
      <c r="G168" s="954">
        <f>Calculation!AG171</f>
        <v>1.6552899999995496</v>
      </c>
      <c r="H168" s="955">
        <f>Sheet1!H173</f>
        <v>4.1500000000000004</v>
      </c>
      <c r="I168" s="935">
        <f>Sheet1!DA173</f>
        <v>657</v>
      </c>
      <c r="J168" s="935">
        <f>Sheet1!DB173</f>
        <v>527</v>
      </c>
      <c r="K168" s="935">
        <f>Sheet1!CZ173</f>
        <v>608</v>
      </c>
      <c r="L168" s="959">
        <f>Calculation!F171</f>
        <v>250</v>
      </c>
      <c r="M168" s="959">
        <f>Calculation!E171</f>
        <v>250</v>
      </c>
      <c r="N168" s="959">
        <f>Calculation!D171</f>
        <v>300</v>
      </c>
      <c r="O168" s="985">
        <f>Sheet1!DC173</f>
        <v>1167.18</v>
      </c>
      <c r="P168" s="986" t="e">
        <f>Calculation!FD171</f>
        <v>#N/A</v>
      </c>
      <c r="Q168" s="994">
        <f>Calculation!DP171</f>
        <v>49462.200000119497</v>
      </c>
      <c r="R168" s="985">
        <f t="shared" si="34"/>
        <v>48843.200000119497</v>
      </c>
      <c r="S168" s="987">
        <f t="shared" si="46"/>
        <v>-34.099999998950807</v>
      </c>
      <c r="T168" s="994">
        <f ca="1">IF(A168&gt;$A$1,#N/A,VLOOKUP(A168,Calculation!$B$8:$JF$503,40,FALSE))</f>
        <v>18842.641200399645</v>
      </c>
      <c r="U168" s="987">
        <f t="shared" si="47"/>
        <v>0</v>
      </c>
      <c r="V168" s="987">
        <f>Calculation!AZ171</f>
        <v>0</v>
      </c>
      <c r="W168" s="994">
        <f t="shared" ca="1" si="54"/>
        <v>5000</v>
      </c>
      <c r="X168" s="994">
        <f t="shared" si="55"/>
        <v>0</v>
      </c>
      <c r="Y168" s="994">
        <f t="shared" ca="1" si="52"/>
        <v>2500</v>
      </c>
      <c r="Z168" s="994">
        <f t="shared" ca="1" si="51"/>
        <v>2500</v>
      </c>
      <c r="AA168" s="994">
        <f t="shared" ca="1" si="35"/>
        <v>25619.558799719853</v>
      </c>
      <c r="AB168" s="1093">
        <f t="shared" ca="1" si="36"/>
        <v>25000.558799719853</v>
      </c>
      <c r="AC168" s="954" t="e">
        <f ca="1">IF(A168&gt;$A$1, #N/A,VLOOKUP(A168,Calculation!$B$8:$JF$880,165,FALSE))</f>
        <v>#N/A</v>
      </c>
      <c r="AD168" s="418" t="e">
        <f t="shared" ca="1" si="48"/>
        <v>#N/A</v>
      </c>
      <c r="AE168" s="418"/>
      <c r="AF168" s="935">
        <f>Calculation!G171</f>
        <v>590.80383257743279</v>
      </c>
      <c r="AG168" s="941" t="str">
        <f t="shared" si="49"/>
        <v>Yes</v>
      </c>
      <c r="AH168" s="941" t="str">
        <f t="shared" si="50"/>
        <v>Yes</v>
      </c>
      <c r="AI168" s="963">
        <v>48748.200000115095</v>
      </c>
      <c r="AJ168" s="964">
        <v>48907.800000116891</v>
      </c>
      <c r="AK168" s="964">
        <v>49462.200000119497</v>
      </c>
      <c r="AL168" s="1011">
        <v>20000</v>
      </c>
      <c r="AN168" s="447"/>
      <c r="AO168" s="430"/>
      <c r="AP168" s="462"/>
      <c r="AQ168" s="461"/>
      <c r="AR168" s="461"/>
      <c r="AS168" s="463"/>
      <c r="AU168" s="453"/>
      <c r="AV168" s="452"/>
      <c r="AW168" s="453"/>
      <c r="AX168" s="452"/>
      <c r="AY168" s="453"/>
      <c r="AZ168" s="452"/>
      <c r="BA168" s="449"/>
    </row>
    <row r="169" spans="1:53" ht="13.5" thickBot="1">
      <c r="A169" s="425">
        <v>41800</v>
      </c>
      <c r="B169" s="954">
        <f t="shared" si="45"/>
        <v>113.44150999999999</v>
      </c>
      <c r="C169" s="954">
        <f>Calculation!AK172</f>
        <v>84.538835058969582</v>
      </c>
      <c r="D169" s="954">
        <f>Calculation!AI172</f>
        <v>0</v>
      </c>
      <c r="E169" s="954">
        <f>Calculation!AE172</f>
        <v>38.876109999999997</v>
      </c>
      <c r="F169" s="954">
        <f>Calculation!AF172</f>
        <v>74.565399999999997</v>
      </c>
      <c r="G169" s="954">
        <f>Calculation!AG172</f>
        <v>0</v>
      </c>
      <c r="H169" s="955">
        <f>Sheet1!H174</f>
        <v>0.82</v>
      </c>
      <c r="I169" s="935">
        <f>Sheet1!DA174</f>
        <v>657</v>
      </c>
      <c r="J169" s="935">
        <f>Sheet1!DB174</f>
        <v>527</v>
      </c>
      <c r="K169" s="935">
        <f>Sheet1!CZ174</f>
        <v>608</v>
      </c>
      <c r="L169" s="959">
        <f>Calculation!F172</f>
        <v>250</v>
      </c>
      <c r="M169" s="959">
        <f>Calculation!E172</f>
        <v>250</v>
      </c>
      <c r="N169" s="959">
        <f>Calculation!D172</f>
        <v>300</v>
      </c>
      <c r="O169" s="985">
        <f>Sheet1!DC174</f>
        <v>1167.1099999999999</v>
      </c>
      <c r="P169" s="986" t="e">
        <f>Calculation!FD172</f>
        <v>#N/A</v>
      </c>
      <c r="Q169" s="994">
        <f>Calculation!DP172</f>
        <v>49382.400000119233</v>
      </c>
      <c r="R169" s="985">
        <f t="shared" si="34"/>
        <v>48763.400000119233</v>
      </c>
      <c r="S169" s="987">
        <f t="shared" si="46"/>
        <v>-79.800000000264845</v>
      </c>
      <c r="T169" s="994">
        <f ca="1">IF(A169&gt;$A$1,#N/A,VLOOKUP(A169,Calculation!$B$8:$JF$503,40,FALSE))</f>
        <v>18973.669611842077</v>
      </c>
      <c r="U169" s="987">
        <f t="shared" si="47"/>
        <v>0</v>
      </c>
      <c r="V169" s="987">
        <f>Calculation!AZ172</f>
        <v>0</v>
      </c>
      <c r="W169" s="994">
        <f t="shared" ca="1" si="54"/>
        <v>5000</v>
      </c>
      <c r="X169" s="1080">
        <f t="shared" si="55"/>
        <v>0</v>
      </c>
      <c r="Y169" s="994">
        <f t="shared" ca="1" si="52"/>
        <v>2500</v>
      </c>
      <c r="Z169" s="987">
        <f ca="1">W169-Y169</f>
        <v>2500</v>
      </c>
      <c r="AA169" s="994">
        <f t="shared" ca="1" si="35"/>
        <v>25408.730388277156</v>
      </c>
      <c r="AB169" s="1093">
        <f t="shared" ca="1" si="36"/>
        <v>24789.730388277156</v>
      </c>
      <c r="AC169" s="954" t="e">
        <f ca="1">IF(A169&gt;$A$1, #N/A,VLOOKUP(A169,Calculation!$B$8:$JF$880,165,FALSE))</f>
        <v>#N/A</v>
      </c>
      <c r="AD169" s="418" t="e">
        <f t="shared" ca="1" si="48"/>
        <v>#N/A</v>
      </c>
      <c r="AE169" s="418"/>
      <c r="AF169" s="935">
        <f>Calculation!G172</f>
        <v>567.75794251121295</v>
      </c>
      <c r="AG169" s="941" t="str">
        <f t="shared" si="49"/>
        <v>Yes</v>
      </c>
      <c r="AH169" s="941" t="str">
        <f t="shared" si="50"/>
        <v>Yes</v>
      </c>
      <c r="AI169" s="963">
        <v>49105.000000115353</v>
      </c>
      <c r="AJ169" s="964">
        <v>49314.000000119238</v>
      </c>
      <c r="AK169" s="964">
        <v>49359.600000119237</v>
      </c>
      <c r="AL169" s="1011">
        <v>20000</v>
      </c>
      <c r="AN169" s="447"/>
      <c r="AO169" s="430"/>
      <c r="AP169" s="462"/>
      <c r="AQ169" s="461"/>
      <c r="AR169" s="461"/>
      <c r="AS169" s="463"/>
      <c r="AU169" s="453"/>
      <c r="AV169" s="452"/>
      <c r="AW169" s="453"/>
      <c r="AX169" s="452"/>
      <c r="AY169" s="453"/>
      <c r="AZ169" s="452"/>
      <c r="BA169" s="449"/>
    </row>
    <row r="170" spans="1:53" ht="13.5" thickBot="1">
      <c r="A170" s="425">
        <v>41801</v>
      </c>
      <c r="B170" s="954">
        <f t="shared" si="45"/>
        <v>111.52323</v>
      </c>
      <c r="C170" s="954">
        <f>Calculation!AK173</f>
        <v>84.419554826603317</v>
      </c>
      <c r="D170" s="954">
        <f>Calculation!AI173</f>
        <v>0</v>
      </c>
      <c r="E170" s="954">
        <f>Calculation!AE173</f>
        <v>46.843159999999997</v>
      </c>
      <c r="F170" s="954">
        <f>Calculation!AF173</f>
        <v>64.680070000000001</v>
      </c>
      <c r="G170" s="954">
        <f>Calculation!AG173</f>
        <v>0</v>
      </c>
      <c r="H170" s="955">
        <f>Sheet1!H175</f>
        <v>0.77</v>
      </c>
      <c r="I170" s="935">
        <f>Sheet1!DA175</f>
        <v>674</v>
      </c>
      <c r="J170" s="935">
        <f>Sheet1!DB175</f>
        <v>521</v>
      </c>
      <c r="K170" s="935">
        <f>Sheet1!CZ175</f>
        <v>604</v>
      </c>
      <c r="L170" s="959">
        <f>Calculation!F173</f>
        <v>250</v>
      </c>
      <c r="M170" s="959">
        <f>Calculation!E173</f>
        <v>250</v>
      </c>
      <c r="N170" s="959">
        <f>Calculation!D173</f>
        <v>300</v>
      </c>
      <c r="O170" s="985">
        <f>Sheet1!DC175</f>
        <v>1167</v>
      </c>
      <c r="P170" s="986" t="e">
        <f>Calculation!FD173</f>
        <v>#N/A</v>
      </c>
      <c r="Q170" s="994">
        <f>Calculation!DP173</f>
        <v>49257.000000119238</v>
      </c>
      <c r="R170" s="985">
        <f t="shared" si="34"/>
        <v>48638.000000119238</v>
      </c>
      <c r="S170" s="987">
        <f t="shared" si="46"/>
        <v>-125.39999999999418</v>
      </c>
      <c r="T170" s="994">
        <f ca="1">IF(A170&gt;$A$1,#N/A,VLOOKUP(A170,Calculation!$B$8:$JF$503,40,FALSE))</f>
        <v>19141.089905447774</v>
      </c>
      <c r="U170" s="987">
        <f t="shared" si="47"/>
        <v>0</v>
      </c>
      <c r="V170" s="987">
        <f>Calculation!AZ173</f>
        <v>0</v>
      </c>
      <c r="W170" s="994">
        <f t="shared" ca="1" si="54"/>
        <v>5000</v>
      </c>
      <c r="X170" s="1080">
        <f t="shared" si="55"/>
        <v>0</v>
      </c>
      <c r="Y170" s="994">
        <f t="shared" ca="1" si="52"/>
        <v>2500</v>
      </c>
      <c r="Z170" s="987">
        <f t="shared" ca="1" si="51"/>
        <v>2500</v>
      </c>
      <c r="AA170" s="994">
        <f t="shared" ca="1" si="35"/>
        <v>25115.910094671464</v>
      </c>
      <c r="AB170" s="1093">
        <f t="shared" ca="1" si="36"/>
        <v>24496.910094671464</v>
      </c>
      <c r="AC170" s="954" t="e">
        <f ca="1">IF(A170&gt;$A$1, #N/A,VLOOKUP(A170,Calculation!$B$8:$JF$880,165,FALSE))</f>
        <v>#N/A</v>
      </c>
      <c r="AD170" s="418" t="e">
        <f t="shared" ca="1" si="48"/>
        <v>#N/A</v>
      </c>
      <c r="AE170" s="418"/>
      <c r="AF170" s="935">
        <f>Calculation!G173</f>
        <v>540.76248108926166</v>
      </c>
      <c r="AG170" s="941" t="str">
        <f t="shared" si="49"/>
        <v>Yes</v>
      </c>
      <c r="AH170" s="941" t="str">
        <f t="shared" si="50"/>
        <v>Yes</v>
      </c>
      <c r="AI170" s="963">
        <v>49598.240000117003</v>
      </c>
      <c r="AJ170" s="964">
        <v>49575.400000118447</v>
      </c>
      <c r="AK170" s="964">
        <v>49336.800000119234</v>
      </c>
      <c r="AL170" s="1011">
        <v>20000</v>
      </c>
      <c r="AN170" s="447"/>
      <c r="AO170" s="430"/>
      <c r="AP170" s="462"/>
      <c r="AQ170" s="461"/>
      <c r="AR170" s="461"/>
      <c r="AS170" s="463"/>
      <c r="AU170" s="453"/>
      <c r="AV170" s="452"/>
      <c r="AW170" s="453"/>
      <c r="AX170" s="452"/>
      <c r="AY170" s="453"/>
      <c r="AZ170" s="452"/>
      <c r="BA170" s="449"/>
    </row>
    <row r="171" spans="1:53" ht="13.5" thickBot="1">
      <c r="A171" s="425">
        <v>41802</v>
      </c>
      <c r="B171" s="954">
        <f t="shared" si="45"/>
        <v>111.87904</v>
      </c>
      <c r="C171" s="954">
        <f>Calculation!AK174</f>
        <v>84.361364466019424</v>
      </c>
      <c r="D171" s="954">
        <f>Calculation!AI174</f>
        <v>0</v>
      </c>
      <c r="E171" s="954">
        <f>Calculation!AE174</f>
        <v>56.341740000000001</v>
      </c>
      <c r="F171" s="954">
        <f>Calculation!AF174</f>
        <v>55.537299999999995</v>
      </c>
      <c r="G171" s="954">
        <f>Calculation!AG174</f>
        <v>0</v>
      </c>
      <c r="H171" s="955">
        <f>Sheet1!H176</f>
        <v>0.76</v>
      </c>
      <c r="I171" s="935">
        <f>Sheet1!DA176</f>
        <v>657</v>
      </c>
      <c r="J171" s="935">
        <f>Sheet1!DB176</f>
        <v>464</v>
      </c>
      <c r="K171" s="935">
        <f>Sheet1!CZ176</f>
        <v>546</v>
      </c>
      <c r="L171" s="959">
        <f>Calculation!F174</f>
        <v>250</v>
      </c>
      <c r="M171" s="959">
        <f>Calculation!E174</f>
        <v>250</v>
      </c>
      <c r="N171" s="959">
        <f>Calculation!D174</f>
        <v>300</v>
      </c>
      <c r="O171" s="985">
        <f>Sheet1!DC176</f>
        <v>1166.9100000000001</v>
      </c>
      <c r="P171" s="986" t="e">
        <f>Calculation!FD174</f>
        <v>#N/A</v>
      </c>
      <c r="Q171" s="994">
        <f>Calculation!DP174</f>
        <v>49155.300000118186</v>
      </c>
      <c r="R171" s="985">
        <f t="shared" si="34"/>
        <v>48536.300000118186</v>
      </c>
      <c r="S171" s="987">
        <f t="shared" si="46"/>
        <v>-101.7000000010521</v>
      </c>
      <c r="T171" s="994">
        <f ca="1">IF(A171&gt;$A$1,#N/A,VLOOKUP(A171,Calculation!$B$8:$JF$503,40,FALSE))</f>
        <v>19308.394796321565</v>
      </c>
      <c r="U171" s="987">
        <f t="shared" si="47"/>
        <v>0</v>
      </c>
      <c r="V171" s="987">
        <f>Calculation!AZ174</f>
        <v>0</v>
      </c>
      <c r="W171" s="994">
        <f t="shared" ca="1" si="54"/>
        <v>5000</v>
      </c>
      <c r="X171" s="1080">
        <f t="shared" si="55"/>
        <v>0</v>
      </c>
      <c r="Y171" s="994">
        <f t="shared" ca="1" si="52"/>
        <v>2500</v>
      </c>
      <c r="Z171" s="987">
        <f t="shared" ca="1" si="51"/>
        <v>2500</v>
      </c>
      <c r="AA171" s="994">
        <f t="shared" ca="1" si="35"/>
        <v>24846.905203796621</v>
      </c>
      <c r="AB171" s="1093">
        <f t="shared" ca="1" si="36"/>
        <v>24227.905203796621</v>
      </c>
      <c r="AC171" s="954" t="e">
        <f ca="1">IF(A171&gt;$A$1, #N/A,VLOOKUP(A171,Calculation!$B$8:$JF$880,165,FALSE))</f>
        <v>#N/A</v>
      </c>
      <c r="AD171" s="418" t="e">
        <f t="shared" ca="1" si="48"/>
        <v>#N/A</v>
      </c>
      <c r="AE171" s="418"/>
      <c r="AF171" s="935">
        <f>Calculation!G174</f>
        <v>494.71406959099744</v>
      </c>
      <c r="AG171" s="941" t="str">
        <f t="shared" si="49"/>
        <v>Yes</v>
      </c>
      <c r="AH171" s="941" t="str">
        <f t="shared" si="50"/>
        <v>Yes</v>
      </c>
      <c r="AI171" s="963">
        <v>49778.400000117261</v>
      </c>
      <c r="AJ171" s="964">
        <v>49530.200000118442</v>
      </c>
      <c r="AK171" s="964">
        <v>49291.200000119235</v>
      </c>
      <c r="AL171" s="1011">
        <v>20000</v>
      </c>
      <c r="AN171" s="447"/>
      <c r="AO171" s="430"/>
      <c r="AP171" s="462"/>
      <c r="AQ171" s="461"/>
      <c r="AR171" s="461"/>
      <c r="AS171" s="463"/>
      <c r="AU171" s="453"/>
      <c r="AV171" s="452"/>
      <c r="AW171" s="453"/>
      <c r="AX171" s="452"/>
      <c r="AY171" s="453"/>
      <c r="AZ171" s="452"/>
      <c r="BA171" s="449"/>
    </row>
    <row r="172" spans="1:53" ht="13.5" thickBot="1">
      <c r="A172" s="425">
        <v>41803</v>
      </c>
      <c r="B172" s="954">
        <f t="shared" si="45"/>
        <v>111.56964000000001</v>
      </c>
      <c r="C172" s="954">
        <f>Calculation!AK175</f>
        <v>83.251158260869559</v>
      </c>
      <c r="D172" s="954">
        <f>Calculation!AI175</f>
        <v>0</v>
      </c>
      <c r="E172" s="954">
        <f>Calculation!AE175</f>
        <v>56.341740000000001</v>
      </c>
      <c r="F172" s="954">
        <f>Calculation!AF175</f>
        <v>55.227900000000005</v>
      </c>
      <c r="G172" s="954">
        <f>Calculation!AG175</f>
        <v>0</v>
      </c>
      <c r="H172" s="955">
        <f>Sheet1!H177</f>
        <v>0.95</v>
      </c>
      <c r="I172" s="935">
        <f>Sheet1!DA177</f>
        <v>685</v>
      </c>
      <c r="J172" s="935">
        <f>Sheet1!DB177</f>
        <v>455</v>
      </c>
      <c r="K172" s="935">
        <f>Sheet1!CZ177</f>
        <v>608</v>
      </c>
      <c r="L172" s="959">
        <f>Calculation!F175</f>
        <v>250</v>
      </c>
      <c r="M172" s="959">
        <f>Calculation!E175</f>
        <v>250</v>
      </c>
      <c r="N172" s="959">
        <f>Calculation!D175</f>
        <v>300</v>
      </c>
      <c r="O172" s="985">
        <f>Sheet1!DC177</f>
        <v>1167.0899999999999</v>
      </c>
      <c r="P172" s="986" t="e">
        <f>Calculation!FD175</f>
        <v>#N/A</v>
      </c>
      <c r="Q172" s="994">
        <f>Calculation!DP175</f>
        <v>49359.600000119237</v>
      </c>
      <c r="R172" s="985">
        <f t="shared" si="34"/>
        <v>48740.600000119237</v>
      </c>
      <c r="S172" s="987">
        <f t="shared" si="46"/>
        <v>204.30000000105065</v>
      </c>
      <c r="T172" s="994">
        <f ca="1">IF(A172&gt;$A$1,#N/A,VLOOKUP(A172,Calculation!$B$8:$JF$503,40,FALSE))</f>
        <v>19473.497933712864</v>
      </c>
      <c r="U172" s="987">
        <f t="shared" si="47"/>
        <v>0</v>
      </c>
      <c r="V172" s="987">
        <f>Calculation!AZ175</f>
        <v>0</v>
      </c>
      <c r="W172" s="994">
        <f t="shared" ca="1" si="54"/>
        <v>5000</v>
      </c>
      <c r="X172" s="1080">
        <f t="shared" si="55"/>
        <v>0</v>
      </c>
      <c r="Y172" s="994">
        <f t="shared" ca="1" si="52"/>
        <v>2500</v>
      </c>
      <c r="Z172" s="987">
        <f t="shared" ca="1" si="51"/>
        <v>2500</v>
      </c>
      <c r="AA172" s="994">
        <f t="shared" ca="1" si="35"/>
        <v>24886.102066406373</v>
      </c>
      <c r="AB172" s="1093">
        <f t="shared" ca="1" si="36"/>
        <v>24267.102066406373</v>
      </c>
      <c r="AC172" s="954" t="e">
        <f ca="1">IF(A172&gt;$A$1, #N/A,VLOOKUP(A172,Calculation!$B$8:$JF$880,165,FALSE))</f>
        <v>#N/A</v>
      </c>
      <c r="AD172" s="418" t="e">
        <f t="shared" ca="1" si="48"/>
        <v>#N/A</v>
      </c>
      <c r="AE172" s="418"/>
      <c r="AF172" s="935">
        <f>Calculation!G175</f>
        <v>711.02571860869921</v>
      </c>
      <c r="AG172" s="941" t="str">
        <f t="shared" si="49"/>
        <v>Yes</v>
      </c>
      <c r="AH172" s="941" t="str">
        <f t="shared" si="50"/>
        <v>Yes</v>
      </c>
      <c r="AI172" s="963">
        <v>49969.820000117259</v>
      </c>
      <c r="AJ172" s="964">
        <v>49257.000000119238</v>
      </c>
      <c r="AK172" s="964">
        <v>49211.800000118186</v>
      </c>
      <c r="AL172" s="1011">
        <v>20000</v>
      </c>
      <c r="AN172" s="447"/>
      <c r="AO172" s="430"/>
      <c r="AP172" s="462"/>
      <c r="AQ172" s="461"/>
      <c r="AR172" s="461"/>
      <c r="AS172" s="463"/>
      <c r="AU172" s="453"/>
      <c r="AV172" s="452"/>
      <c r="AW172" s="453"/>
      <c r="AX172" s="452"/>
      <c r="AY172" s="453"/>
      <c r="AZ172" s="452"/>
      <c r="BA172" s="449"/>
    </row>
    <row r="173" spans="1:53" ht="13.5" thickBot="1">
      <c r="A173" s="425">
        <v>41804</v>
      </c>
      <c r="B173" s="954">
        <f t="shared" si="45"/>
        <v>105.14958999999999</v>
      </c>
      <c r="C173" s="954">
        <f>Calculation!AK176</f>
        <v>82.399028659003818</v>
      </c>
      <c r="D173" s="954">
        <f>Calculation!AI176</f>
        <v>0</v>
      </c>
      <c r="E173" s="954">
        <f>Calculation!AE176</f>
        <v>56.883189999999999</v>
      </c>
      <c r="F173" s="954">
        <f>Calculation!AF176</f>
        <v>48.266399999999997</v>
      </c>
      <c r="G173" s="954">
        <f>Calculation!AG176</f>
        <v>0</v>
      </c>
      <c r="H173" s="955">
        <f>Sheet1!H178</f>
        <v>0.81</v>
      </c>
      <c r="I173" s="935">
        <f>Sheet1!DA178</f>
        <v>641</v>
      </c>
      <c r="J173" s="935">
        <f>Sheet1!DB178</f>
        <v>452</v>
      </c>
      <c r="K173" s="935">
        <f>Sheet1!CZ178</f>
        <v>608</v>
      </c>
      <c r="L173" s="959">
        <f>Calculation!F176</f>
        <v>250</v>
      </c>
      <c r="M173" s="959">
        <f>Calculation!E176</f>
        <v>250</v>
      </c>
      <c r="N173" s="959">
        <f>Calculation!D176</f>
        <v>300</v>
      </c>
      <c r="O173" s="985">
        <f>Sheet1!DC178</f>
        <v>1167.1300000000001</v>
      </c>
      <c r="P173" s="986" t="e">
        <f>Calculation!FD176</f>
        <v>#N/A</v>
      </c>
      <c r="Q173" s="994">
        <f>Calculation!DP176</f>
        <v>49405.200000119497</v>
      </c>
      <c r="R173" s="985">
        <f t="shared" si="34"/>
        <v>48786.200000119497</v>
      </c>
      <c r="S173" s="987">
        <f t="shared" si="46"/>
        <v>45.600000000260479</v>
      </c>
      <c r="T173" s="994">
        <f ca="1">IF(A173&gt;$A$1,#N/A,VLOOKUP(A173,Calculation!$B$8:$JF$503,40,FALSE))</f>
        <v>19636.911133406353</v>
      </c>
      <c r="U173" s="987">
        <f t="shared" si="47"/>
        <v>0</v>
      </c>
      <c r="V173" s="987">
        <f>Calculation!AZ176</f>
        <v>0</v>
      </c>
      <c r="W173" s="994">
        <f t="shared" ca="1" si="54"/>
        <v>5000</v>
      </c>
      <c r="X173" s="1080">
        <f t="shared" si="55"/>
        <v>0</v>
      </c>
      <c r="Y173" s="994">
        <f t="shared" ca="1" si="52"/>
        <v>2500</v>
      </c>
      <c r="Z173" s="987">
        <f t="shared" ca="1" si="51"/>
        <v>2500</v>
      </c>
      <c r="AA173" s="994">
        <f t="shared" ca="1" si="35"/>
        <v>24768.288866713145</v>
      </c>
      <c r="AB173" s="1093">
        <f t="shared" ca="1" si="36"/>
        <v>24149.288866713145</v>
      </c>
      <c r="AC173" s="954" t="e">
        <f ca="1">IF(A173&gt;$A$1, #N/A,VLOOKUP(A173,Calculation!$B$8:$JF$880,165,FALSE))</f>
        <v>#N/A</v>
      </c>
      <c r="AD173" s="418" t="e">
        <f t="shared" ca="1" si="48"/>
        <v>#N/A</v>
      </c>
      <c r="AE173" s="418"/>
      <c r="AF173" s="935">
        <f>Calculation!G176</f>
        <v>630.99546142221914</v>
      </c>
      <c r="AG173" s="941" t="str">
        <f t="shared" si="49"/>
        <v>Yes</v>
      </c>
      <c r="AH173" s="941" t="str">
        <f t="shared" si="50"/>
        <v>Yes</v>
      </c>
      <c r="AI173" s="963">
        <v>50262.580000117516</v>
      </c>
      <c r="AJ173" s="964">
        <v>49245.700000118188</v>
      </c>
      <c r="AK173" s="964">
        <v>49268.400000119233</v>
      </c>
      <c r="AL173" s="1011">
        <v>20000</v>
      </c>
      <c r="AN173" s="447"/>
      <c r="AO173" s="430"/>
      <c r="AP173" s="462"/>
      <c r="AQ173" s="461"/>
      <c r="AR173" s="461"/>
      <c r="AS173" s="463"/>
      <c r="AU173" s="453"/>
      <c r="AV173" s="452"/>
      <c r="AW173" s="453"/>
      <c r="AX173" s="452"/>
      <c r="AY173" s="453"/>
      <c r="AZ173" s="452"/>
      <c r="BA173" s="449"/>
    </row>
    <row r="174" spans="1:53" ht="13.5" thickBot="1">
      <c r="A174" s="425">
        <v>41805</v>
      </c>
      <c r="B174" s="954">
        <f t="shared" si="45"/>
        <v>99.472099999999983</v>
      </c>
      <c r="C174" s="954">
        <f>Calculation!AK177</f>
        <v>83.274315766912252</v>
      </c>
      <c r="D174" s="954">
        <f>Calculation!AI177</f>
        <v>0</v>
      </c>
      <c r="E174" s="954">
        <f>Calculation!AE177</f>
        <v>53.062099999999994</v>
      </c>
      <c r="F174" s="954">
        <f>Calculation!AF177</f>
        <v>46.41</v>
      </c>
      <c r="G174" s="954">
        <f>Calculation!AG177</f>
        <v>0</v>
      </c>
      <c r="H174" s="955">
        <f>Sheet1!H179</f>
        <v>0.77</v>
      </c>
      <c r="I174" s="935">
        <f>Sheet1!DA179</f>
        <v>668</v>
      </c>
      <c r="J174" s="935">
        <f>Sheet1!DB179</f>
        <v>473</v>
      </c>
      <c r="K174" s="935">
        <f>Sheet1!CZ179</f>
        <v>531</v>
      </c>
      <c r="L174" s="959">
        <f>Calculation!F177</f>
        <v>250</v>
      </c>
      <c r="M174" s="959">
        <f>Calculation!E177</f>
        <v>250</v>
      </c>
      <c r="N174" s="959">
        <f>Calculation!D177</f>
        <v>300</v>
      </c>
      <c r="O174" s="985">
        <f>Sheet1!DC179</f>
        <v>1167.2</v>
      </c>
      <c r="P174" s="986" t="e">
        <f>Calculation!FD177</f>
        <v>#N/A</v>
      </c>
      <c r="Q174" s="994">
        <f>Calculation!DP177</f>
        <v>49485.000000118445</v>
      </c>
      <c r="R174" s="985">
        <f t="shared" si="34"/>
        <v>48866.000000118445</v>
      </c>
      <c r="S174" s="987">
        <f t="shared" si="46"/>
        <v>79.799999998947897</v>
      </c>
      <c r="T174" s="994">
        <f ca="1">IF(A174&gt;$A$1,#N/A,VLOOKUP(A174,Calculation!$B$8:$JF$503,40,FALSE))</f>
        <v>19802.060196607959</v>
      </c>
      <c r="U174" s="987">
        <f t="shared" si="47"/>
        <v>0</v>
      </c>
      <c r="V174" s="987">
        <f>Calculation!AZ177</f>
        <v>0</v>
      </c>
      <c r="W174" s="994">
        <f t="shared" ca="1" si="54"/>
        <v>5000</v>
      </c>
      <c r="X174" s="1080">
        <f t="shared" si="55"/>
        <v>0</v>
      </c>
      <c r="Y174" s="994">
        <f t="shared" ca="1" si="52"/>
        <v>2500</v>
      </c>
      <c r="Z174" s="987">
        <f t="shared" ca="1" si="51"/>
        <v>2500</v>
      </c>
      <c r="AA174" s="994">
        <f t="shared" ca="1" si="35"/>
        <v>24682.939803510486</v>
      </c>
      <c r="AB174" s="1093">
        <f t="shared" ca="1" si="36"/>
        <v>24063.939803510486</v>
      </c>
      <c r="AC174" s="954" t="e">
        <f ca="1">IF(A174&gt;$A$1, #N/A,VLOOKUP(A174,Calculation!$B$8:$JF$880,165,FALSE))</f>
        <v>#N/A</v>
      </c>
      <c r="AD174" s="418" t="e">
        <f t="shared" ca="1" si="48"/>
        <v>#N/A</v>
      </c>
      <c r="AE174" s="418"/>
      <c r="AF174" s="935">
        <f>Calculation!G177</f>
        <v>571.24205748812301</v>
      </c>
      <c r="AG174" s="941" t="str">
        <f t="shared" si="49"/>
        <v>Yes</v>
      </c>
      <c r="AH174" s="941" t="str">
        <f t="shared" si="50"/>
        <v>Yes</v>
      </c>
      <c r="AI174" s="963">
        <v>50533.660000119031</v>
      </c>
      <c r="AJ174" s="964">
        <v>49110.40000011689</v>
      </c>
      <c r="AK174" s="964">
        <v>49200.500000118191</v>
      </c>
      <c r="AL174" s="1011"/>
      <c r="AN174" s="447"/>
      <c r="AO174" s="430"/>
      <c r="AP174" s="462"/>
      <c r="AQ174" s="461"/>
      <c r="AR174" s="461"/>
      <c r="AS174" s="463"/>
      <c r="AU174" s="453"/>
      <c r="AV174" s="452"/>
      <c r="AW174" s="453"/>
      <c r="AX174" s="452"/>
      <c r="AY174" s="453"/>
      <c r="AZ174" s="452"/>
      <c r="BA174" s="449"/>
    </row>
    <row r="175" spans="1:53" ht="13.5" thickBot="1">
      <c r="A175" s="425">
        <v>41806</v>
      </c>
      <c r="B175" s="954">
        <f t="shared" si="45"/>
        <v>97.785869999999989</v>
      </c>
      <c r="C175" s="954">
        <f>Calculation!AK178</f>
        <v>83.092302222222216</v>
      </c>
      <c r="D175" s="954">
        <f>Calculation!AI178</f>
        <v>0</v>
      </c>
      <c r="E175" s="954">
        <f>Calculation!AE178</f>
        <v>50.757069999999999</v>
      </c>
      <c r="F175" s="954">
        <f>Calculation!AF178</f>
        <v>47.028799999999997</v>
      </c>
      <c r="G175" s="954">
        <f>Calculation!AG178</f>
        <v>0</v>
      </c>
      <c r="H175" s="955">
        <f>Sheet1!H180</f>
        <v>2</v>
      </c>
      <c r="I175" s="935">
        <f>Sheet1!DA180</f>
        <v>754</v>
      </c>
      <c r="J175" s="935">
        <f>Sheet1!DB180</f>
        <v>611</v>
      </c>
      <c r="K175" s="935">
        <f>Sheet1!CZ180</f>
        <v>608</v>
      </c>
      <c r="L175" s="959">
        <f>Calculation!F178</f>
        <v>250</v>
      </c>
      <c r="M175" s="959">
        <f>Calculation!E178</f>
        <v>250</v>
      </c>
      <c r="N175" s="959">
        <f>Calculation!D178</f>
        <v>300</v>
      </c>
      <c r="O175" s="985">
        <f>Sheet1!DC180</f>
        <v>1167.3599999999999</v>
      </c>
      <c r="P175" s="986" t="e">
        <f>Calculation!FD178</f>
        <v>#N/A</v>
      </c>
      <c r="Q175" s="994">
        <f>Calculation!DP178</f>
        <v>49666.400000119495</v>
      </c>
      <c r="R175" s="985">
        <f t="shared" si="34"/>
        <v>49047.400000119495</v>
      </c>
      <c r="S175" s="987">
        <f t="shared" si="46"/>
        <v>181.40000000104919</v>
      </c>
      <c r="T175" s="994">
        <f ca="1">IF(A175&gt;$A$1,#N/A,VLOOKUP(A175,Calculation!$B$8:$JF$503,40,FALSE))</f>
        <v>19966.848291771359</v>
      </c>
      <c r="U175" s="987">
        <f t="shared" si="47"/>
        <v>0</v>
      </c>
      <c r="V175" s="987">
        <f>Calculation!AZ178</f>
        <v>0</v>
      </c>
      <c r="W175" s="994">
        <f t="shared" ca="1" si="54"/>
        <v>5000</v>
      </c>
      <c r="X175" s="1080">
        <f t="shared" si="55"/>
        <v>0</v>
      </c>
      <c r="Y175" s="994">
        <f t="shared" ca="1" si="52"/>
        <v>2500</v>
      </c>
      <c r="Z175" s="987">
        <f t="shared" ca="1" si="51"/>
        <v>2500</v>
      </c>
      <c r="AA175" s="994">
        <f t="shared" ca="1" si="35"/>
        <v>24699.551708348135</v>
      </c>
      <c r="AB175" s="1093">
        <f t="shared" ca="1" si="36"/>
        <v>24080.551708348135</v>
      </c>
      <c r="AC175" s="954" t="e">
        <f ca="1">IF(A175&gt;$A$1, #N/A,VLOOKUP(A175,Calculation!$B$8:$JF$880,165,FALSE))</f>
        <v>#N/A</v>
      </c>
      <c r="AD175" s="418" t="e">
        <f t="shared" ca="1" si="48"/>
        <v>#N/A</v>
      </c>
      <c r="AE175" s="418"/>
      <c r="AF175" s="935">
        <f>Calculation!G178</f>
        <v>699.47755925418517</v>
      </c>
      <c r="AG175" s="941" t="str">
        <f t="shared" si="49"/>
        <v>Yes</v>
      </c>
      <c r="AH175" s="941" t="str">
        <f t="shared" si="50"/>
        <v>Yes</v>
      </c>
      <c r="AI175" s="963">
        <v>50613.320000119289</v>
      </c>
      <c r="AJ175" s="964">
        <v>49155.300000118186</v>
      </c>
      <c r="AK175" s="964">
        <v>49020.700000117933</v>
      </c>
      <c r="AL175" s="1011"/>
      <c r="AN175" s="447"/>
      <c r="AO175" s="430"/>
      <c r="AP175" s="462"/>
      <c r="AQ175" s="461"/>
      <c r="AR175" s="461"/>
      <c r="AS175" s="463"/>
      <c r="AU175" s="453"/>
      <c r="AV175" s="452"/>
      <c r="AW175" s="453"/>
      <c r="AX175" s="452"/>
      <c r="AY175" s="453"/>
      <c r="AZ175" s="452"/>
      <c r="BA175" s="449"/>
    </row>
    <row r="176" spans="1:53" ht="13.5" thickBot="1">
      <c r="A176" s="425">
        <v>41807</v>
      </c>
      <c r="B176" s="954">
        <f t="shared" si="45"/>
        <v>101.79259999999999</v>
      </c>
      <c r="C176" s="954">
        <f>Calculation!AK179</f>
        <v>83.078938050847455</v>
      </c>
      <c r="D176" s="954">
        <f>Calculation!AI179</f>
        <v>0</v>
      </c>
      <c r="E176" s="954">
        <f>Calculation!AE179</f>
        <v>50.741599999999991</v>
      </c>
      <c r="F176" s="954">
        <f>Calculation!AF179</f>
        <v>51.050999999999995</v>
      </c>
      <c r="G176" s="954">
        <f>Calculation!AG179</f>
        <v>0</v>
      </c>
      <c r="H176" s="955">
        <f>Sheet1!H181</f>
        <v>0.93</v>
      </c>
      <c r="I176" s="935">
        <f>Sheet1!DA181</f>
        <v>825</v>
      </c>
      <c r="J176" s="935">
        <f>Sheet1!DB181</f>
        <v>604</v>
      </c>
      <c r="K176" s="935">
        <f>Sheet1!CZ181</f>
        <v>658</v>
      </c>
      <c r="L176" s="959">
        <f>Calculation!F179</f>
        <v>250</v>
      </c>
      <c r="M176" s="959">
        <f>Calculation!E179</f>
        <v>250</v>
      </c>
      <c r="N176" s="959">
        <f>Calculation!D179</f>
        <v>300</v>
      </c>
      <c r="O176" s="985">
        <f>Sheet1!DC181</f>
        <v>1167.3699999999999</v>
      </c>
      <c r="P176" s="986" t="e">
        <f>Calculation!FD179</f>
        <v>#N/A</v>
      </c>
      <c r="Q176" s="994">
        <f>Calculation!DP179</f>
        <v>49677.800000119496</v>
      </c>
      <c r="R176" s="985">
        <f t="shared" si="34"/>
        <v>49058.800000119496</v>
      </c>
      <c r="S176" s="987">
        <f t="shared" si="46"/>
        <v>11.400000000001455</v>
      </c>
      <c r="T176" s="994">
        <f ca="1">IF(A176&gt;$A$1,#N/A,VLOOKUP(A176,Calculation!$B$8:$JF$503,40,FALSE))</f>
        <v>19999.985199999999</v>
      </c>
      <c r="U176" s="987">
        <f t="shared" si="47"/>
        <v>0</v>
      </c>
      <c r="V176" s="987">
        <f>Calculation!AZ179</f>
        <v>0</v>
      </c>
      <c r="W176" s="994">
        <f t="shared" ca="1" si="54"/>
        <v>5000</v>
      </c>
      <c r="X176" s="1080">
        <f t="shared" si="55"/>
        <v>0</v>
      </c>
      <c r="Y176" s="994">
        <f t="shared" ca="1" si="52"/>
        <v>2500</v>
      </c>
      <c r="Z176" s="987">
        <f t="shared" ca="1" si="51"/>
        <v>2500</v>
      </c>
      <c r="AA176" s="994">
        <f t="shared" ca="1" si="35"/>
        <v>24677.814800119497</v>
      </c>
      <c r="AB176" s="1093">
        <f t="shared" ca="1" si="36"/>
        <v>24058.814800119497</v>
      </c>
      <c r="AC176" s="954" t="e">
        <f ca="1">IF(A176&gt;$A$1, #N/A,VLOOKUP(A176,Calculation!$B$8:$JF$880,165,FALSE))</f>
        <v>#N/A</v>
      </c>
      <c r="AD176" s="418" t="e">
        <f t="shared" ca="1" si="48"/>
        <v>#N/A</v>
      </c>
      <c r="AE176" s="418"/>
      <c r="AF176" s="935">
        <f>Calculation!G179</f>
        <v>663.74886535552264</v>
      </c>
      <c r="AG176" s="941" t="str">
        <f t="shared" si="49"/>
        <v>Yes</v>
      </c>
      <c r="AH176" s="941" t="str">
        <f t="shared" si="50"/>
        <v>Yes</v>
      </c>
      <c r="AI176" s="963">
        <v>50499.520000119024</v>
      </c>
      <c r="AJ176" s="964">
        <v>49371.000000119238</v>
      </c>
      <c r="AK176" s="964">
        <v>48851.800000116891</v>
      </c>
      <c r="AL176" s="1011"/>
      <c r="AN176" s="447"/>
      <c r="AO176" s="430"/>
      <c r="AP176" s="462"/>
      <c r="AQ176" s="461"/>
      <c r="AR176" s="461"/>
      <c r="AS176" s="463"/>
      <c r="AU176" s="453"/>
      <c r="AV176" s="452"/>
      <c r="AW176" s="453"/>
      <c r="AX176" s="452"/>
      <c r="AY176" s="453"/>
      <c r="AZ176" s="452"/>
      <c r="BA176" s="449"/>
    </row>
    <row r="177" spans="1:53" ht="13.5" thickBot="1">
      <c r="A177" s="425">
        <v>41808</v>
      </c>
      <c r="B177" s="954">
        <f t="shared" si="45"/>
        <v>104.5772</v>
      </c>
      <c r="C177" s="954">
        <f>Calculation!AK180</f>
        <v>0</v>
      </c>
      <c r="D177" s="954">
        <f>Calculation!AI180</f>
        <v>0</v>
      </c>
      <c r="E177" s="954">
        <f>Calculation!AE180</f>
        <v>50.5869</v>
      </c>
      <c r="F177" s="954">
        <f>Calculation!AF180</f>
        <v>53.990299999999998</v>
      </c>
      <c r="G177" s="954">
        <f>Calculation!AG180</f>
        <v>0</v>
      </c>
      <c r="H177" s="955">
        <f>Sheet1!H182</f>
        <v>0.7</v>
      </c>
      <c r="I177" s="935">
        <f>Sheet1!DA182</f>
        <v>801</v>
      </c>
      <c r="J177" s="935">
        <f>Sheet1!DB182</f>
        <v>598</v>
      </c>
      <c r="K177" s="935">
        <f>Sheet1!CZ182</f>
        <v>608</v>
      </c>
      <c r="L177" s="959">
        <f>Calculation!F180</f>
        <v>250</v>
      </c>
      <c r="M177" s="959">
        <f>Calculation!E180</f>
        <v>250</v>
      </c>
      <c r="N177" s="959">
        <f>Calculation!D180</f>
        <v>300</v>
      </c>
      <c r="O177" s="985">
        <f>Sheet1!DC182</f>
        <v>1167.3599999999999</v>
      </c>
      <c r="P177" s="986" t="e">
        <f>Calculation!FD180</f>
        <v>#N/A</v>
      </c>
      <c r="Q177" s="994">
        <f>Calculation!DP180</f>
        <v>49666.400000119495</v>
      </c>
      <c r="R177" s="985">
        <f t="shared" si="34"/>
        <v>49047.400000119495</v>
      </c>
      <c r="S177" s="987">
        <f t="shared" si="46"/>
        <v>-11.400000000001455</v>
      </c>
      <c r="T177" s="994">
        <f ca="1">IF(A177&gt;$A$1,#N/A,VLOOKUP(A177,Calculation!$B$8:$JF$503,40,FALSE))</f>
        <v>9998.612000000001</v>
      </c>
      <c r="U177" s="987">
        <f t="shared" si="47"/>
        <v>0</v>
      </c>
      <c r="V177" s="987">
        <f>Calculation!AZ180</f>
        <v>0</v>
      </c>
      <c r="W177" s="1026">
        <f ca="1">IF(A177&gt;=$A$1,#N/A,W176-X177*1.983+10000)</f>
        <v>15000</v>
      </c>
      <c r="X177" s="1080">
        <f t="shared" si="55"/>
        <v>0</v>
      </c>
      <c r="Y177" s="1026">
        <f ca="1">MIN(0.5*W177, 2500)</f>
        <v>2500</v>
      </c>
      <c r="Z177" s="987">
        <f t="shared" ca="1" si="51"/>
        <v>12500</v>
      </c>
      <c r="AA177" s="994">
        <f t="shared" ca="1" si="35"/>
        <v>24667.788000119494</v>
      </c>
      <c r="AB177" s="1093">
        <f t="shared" ca="1" si="36"/>
        <v>24048.788000119494</v>
      </c>
      <c r="AC177" s="954" t="e">
        <f ca="1">IF(A177&gt;$A$1, #N/A,VLOOKUP(A177,Calculation!$B$8:$JF$880,165,FALSE))</f>
        <v>#N/A</v>
      </c>
      <c r="AD177" s="418" t="e">
        <f t="shared" ca="1" si="48"/>
        <v>#N/A</v>
      </c>
      <c r="AE177" s="418"/>
      <c r="AF177" s="935">
        <f>Calculation!G180</f>
        <v>602.25113464447736</v>
      </c>
      <c r="AG177" s="941" t="str">
        <f t="shared" si="49"/>
        <v>Yes</v>
      </c>
      <c r="AH177" s="941" t="str">
        <f t="shared" si="50"/>
        <v>Yes</v>
      </c>
      <c r="AI177" s="963">
        <v>50465.380000119025</v>
      </c>
      <c r="AJ177" s="964">
        <v>49643.600000119492</v>
      </c>
      <c r="AK177" s="964">
        <v>48682.700000117678</v>
      </c>
      <c r="AL177" s="1011"/>
      <c r="AN177" s="447"/>
      <c r="AO177" s="430"/>
      <c r="AP177" s="462"/>
      <c r="AQ177" s="461"/>
      <c r="AR177" s="461"/>
      <c r="AS177" s="463"/>
      <c r="AU177" s="453"/>
      <c r="AV177" s="452"/>
      <c r="AW177" s="453"/>
      <c r="AX177" s="452"/>
      <c r="AY177" s="453"/>
      <c r="AZ177" s="452"/>
      <c r="BA177" s="449"/>
    </row>
    <row r="178" spans="1:53" ht="13.5" thickBot="1">
      <c r="A178" s="425">
        <v>41809</v>
      </c>
      <c r="B178" s="954">
        <f t="shared" si="45"/>
        <v>109.52759999999999</v>
      </c>
      <c r="C178" s="954">
        <f>Calculation!AK181</f>
        <v>0</v>
      </c>
      <c r="D178" s="954">
        <f>Calculation!AI181</f>
        <v>0</v>
      </c>
      <c r="E178" s="954">
        <f>Calculation!AE181</f>
        <v>50.122799999999998</v>
      </c>
      <c r="F178" s="954">
        <f>Calculation!AF181</f>
        <v>59.404799999999994</v>
      </c>
      <c r="G178" s="954">
        <f>Calculation!AG181</f>
        <v>0</v>
      </c>
      <c r="H178" s="955">
        <f>Sheet1!H183</f>
        <v>0.66</v>
      </c>
      <c r="I178" s="935">
        <f>Sheet1!DA183</f>
        <v>772</v>
      </c>
      <c r="J178" s="935">
        <f>Sheet1!DB183</f>
        <v>536</v>
      </c>
      <c r="K178" s="935">
        <f>Sheet1!CZ183</f>
        <v>612</v>
      </c>
      <c r="L178" s="959">
        <f>Calculation!F181</f>
        <v>250</v>
      </c>
      <c r="M178" s="959">
        <f>Calculation!E181</f>
        <v>250</v>
      </c>
      <c r="N178" s="959">
        <f>Calculation!D181</f>
        <v>300</v>
      </c>
      <c r="O178" s="985">
        <f>Sheet1!DC183</f>
        <v>1167.08</v>
      </c>
      <c r="P178" s="986" t="e">
        <f>Calculation!FD181</f>
        <v>#N/A</v>
      </c>
      <c r="Q178" s="994">
        <f>Calculation!DP181</f>
        <v>49348.200000119235</v>
      </c>
      <c r="R178" s="985">
        <f t="shared" si="34"/>
        <v>48729.200000119235</v>
      </c>
      <c r="S178" s="987">
        <f t="shared" si="46"/>
        <v>-318.20000000025902</v>
      </c>
      <c r="T178" s="1026">
        <f ca="1">IF(A178&gt;$A$1,#N/A,VLOOKUP(A178,Calculation!$B$8:$JF$503,40,FALSE))</f>
        <v>9998.612000000001</v>
      </c>
      <c r="U178" s="987">
        <f t="shared" si="47"/>
        <v>0</v>
      </c>
      <c r="V178" s="987">
        <f>Calculation!AZ181</f>
        <v>0</v>
      </c>
      <c r="W178" s="994">
        <f ca="1">IF(A178&gt;=$A$1,#N/A,W177-X178*1.983)</f>
        <v>15000</v>
      </c>
      <c r="X178" s="1080">
        <f>IF(U178&lt;=0,0,MIN(MAX(R178-U178-25000-619-Y178*1.983,0),5000))</f>
        <v>0</v>
      </c>
      <c r="Y178" s="994">
        <f ca="1">MIN(0.5*W178, 2500)</f>
        <v>2500</v>
      </c>
      <c r="Z178" s="987">
        <f t="shared" ca="1" si="51"/>
        <v>12500</v>
      </c>
      <c r="AA178" s="994">
        <f t="shared" ca="1" si="35"/>
        <v>24349.588000119234</v>
      </c>
      <c r="AB178" s="1093">
        <f t="shared" ca="1" si="36"/>
        <v>23730.588000119234</v>
      </c>
      <c r="AC178" s="954" t="e">
        <f ca="1">IF(A178&gt;$A$1, #N/A,VLOOKUP(A178,Calculation!$B$8:$JF$880,165,FALSE))</f>
        <v>#N/A</v>
      </c>
      <c r="AD178" s="418" t="e">
        <f t="shared" ca="1" si="48"/>
        <v>#N/A</v>
      </c>
      <c r="AE178" s="418"/>
      <c r="AF178" s="935">
        <f>Calculation!G181</f>
        <v>451.53605647995005</v>
      </c>
      <c r="AG178" s="941" t="str">
        <f t="shared" si="49"/>
        <v>Yes</v>
      </c>
      <c r="AH178" s="941" t="str">
        <f t="shared" si="50"/>
        <v>Yes</v>
      </c>
      <c r="AI178" s="963">
        <v>50670.220000119283</v>
      </c>
      <c r="AJ178" s="964">
        <v>49848.800000119751</v>
      </c>
      <c r="AK178" s="964">
        <v>48469.000000116379</v>
      </c>
      <c r="AL178" s="1011"/>
      <c r="AN178" s="447"/>
      <c r="AO178" s="430"/>
      <c r="AP178" s="462"/>
      <c r="AQ178" s="461"/>
      <c r="AR178" s="461"/>
      <c r="AS178" s="463"/>
      <c r="AU178" s="453"/>
      <c r="AV178" s="452"/>
      <c r="AW178" s="453"/>
      <c r="AX178" s="452"/>
      <c r="AY178" s="453"/>
      <c r="AZ178" s="452"/>
      <c r="BA178" s="449"/>
    </row>
    <row r="179" spans="1:53" ht="13.5" thickBot="1">
      <c r="A179" s="425">
        <v>41810</v>
      </c>
      <c r="B179" s="954">
        <f t="shared" si="45"/>
        <v>113.24039999999999</v>
      </c>
      <c r="C179" s="954">
        <f>Calculation!AK182</f>
        <v>0</v>
      </c>
      <c r="D179" s="954">
        <f>Calculation!AI182</f>
        <v>0</v>
      </c>
      <c r="E179" s="954">
        <f>Calculation!AE182</f>
        <v>49.968099999999993</v>
      </c>
      <c r="F179" s="954">
        <f>Calculation!AF182</f>
        <v>63.272299999999994</v>
      </c>
      <c r="G179" s="954">
        <f>Calculation!AG182</f>
        <v>0</v>
      </c>
      <c r="H179" s="955">
        <f>Sheet1!H184</f>
        <v>0.66</v>
      </c>
      <c r="I179" s="935">
        <f>Sheet1!DA184</f>
        <v>714</v>
      </c>
      <c r="J179" s="935">
        <f>Sheet1!DB184</f>
        <v>470</v>
      </c>
      <c r="K179" s="935">
        <f>Sheet1!CZ184</f>
        <v>542</v>
      </c>
      <c r="L179" s="959">
        <f>Calculation!F182</f>
        <v>250</v>
      </c>
      <c r="M179" s="959">
        <f>Calculation!E182</f>
        <v>250</v>
      </c>
      <c r="N179" s="959">
        <f>Calculation!D182</f>
        <v>300</v>
      </c>
      <c r="O179" s="985">
        <f>Sheet1!DC184</f>
        <v>1167</v>
      </c>
      <c r="P179" s="986" t="e">
        <f>Calculation!FD182</f>
        <v>#N/A</v>
      </c>
      <c r="Q179" s="994">
        <f>Calculation!DP182</f>
        <v>49257.000000119238</v>
      </c>
      <c r="R179" s="985">
        <f t="shared" si="34"/>
        <v>48638.000000119238</v>
      </c>
      <c r="S179" s="987">
        <f t="shared" si="46"/>
        <v>-91.19999999999709</v>
      </c>
      <c r="T179" s="1026">
        <f ca="1">IF(A179&gt;$A$1,#N/A,VLOOKUP(A179,Calculation!$B$8:$JF$503,40,FALSE))</f>
        <v>9998.612000000001</v>
      </c>
      <c r="U179" s="987">
        <f t="shared" si="47"/>
        <v>0</v>
      </c>
      <c r="V179" s="987">
        <f>Calculation!AZ182</f>
        <v>0</v>
      </c>
      <c r="W179" s="994">
        <f ca="1">IF(A179&gt;=$A$1,#N/A,W178-X179*1.983)</f>
        <v>15000</v>
      </c>
      <c r="X179" s="1080">
        <f t="shared" si="55"/>
        <v>0</v>
      </c>
      <c r="Y179" s="994">
        <f t="shared" ref="Y179:Y242" ca="1" si="56">MIN(0.5*W179, 2500)</f>
        <v>2500</v>
      </c>
      <c r="Z179" s="987">
        <f t="shared" ca="1" si="51"/>
        <v>12500</v>
      </c>
      <c r="AA179" s="994">
        <f t="shared" ca="1" si="35"/>
        <v>24258.388000119237</v>
      </c>
      <c r="AB179" s="1093">
        <f t="shared" ca="1" si="36"/>
        <v>23639.388000119237</v>
      </c>
      <c r="AC179" s="954" t="e">
        <f ca="1">IF(A179&gt;$A$1, #N/A,VLOOKUP(A179,Calculation!$B$8:$JF$880,165,FALSE))</f>
        <v>#N/A</v>
      </c>
      <c r="AD179" s="418" t="e">
        <f t="shared" ca="1" si="48"/>
        <v>#N/A</v>
      </c>
      <c r="AE179" s="418"/>
      <c r="AF179" s="935">
        <f>Calculation!G182</f>
        <v>496.00907715582599</v>
      </c>
      <c r="AG179" s="941" t="str">
        <f t="shared" si="49"/>
        <v>Yes</v>
      </c>
      <c r="AH179" s="941" t="str">
        <f t="shared" si="50"/>
        <v>Yes</v>
      </c>
      <c r="AI179" s="963">
        <v>50670.220000119283</v>
      </c>
      <c r="AJ179" s="964">
        <v>49700.600000119754</v>
      </c>
      <c r="AK179" s="964">
        <v>48389.900000117421</v>
      </c>
      <c r="AL179" s="1011"/>
      <c r="AN179" s="447"/>
      <c r="AO179" s="430"/>
      <c r="AP179" s="462"/>
      <c r="AQ179" s="461"/>
      <c r="AR179" s="461"/>
      <c r="AS179" s="463"/>
      <c r="AU179" s="453"/>
      <c r="AV179" s="452"/>
      <c r="AW179" s="453"/>
      <c r="AX179" s="452"/>
      <c r="AY179" s="453"/>
      <c r="AZ179" s="452"/>
      <c r="BA179" s="449"/>
    </row>
    <row r="180" spans="1:53" ht="13.5" thickBot="1">
      <c r="A180" s="425">
        <v>41811</v>
      </c>
      <c r="B180" s="954">
        <f t="shared" si="45"/>
        <v>113.24039999999999</v>
      </c>
      <c r="C180" s="954">
        <f>Calculation!AK183</f>
        <v>0</v>
      </c>
      <c r="D180" s="954">
        <f>Calculation!AI183</f>
        <v>0</v>
      </c>
      <c r="E180" s="954">
        <f>Calculation!AE183</f>
        <v>49.813400000000001</v>
      </c>
      <c r="F180" s="954">
        <f>Calculation!AF183</f>
        <v>63.427</v>
      </c>
      <c r="G180" s="954">
        <f>Calculation!AG183</f>
        <v>0</v>
      </c>
      <c r="H180" s="955">
        <f>Sheet1!H185</f>
        <v>0.7</v>
      </c>
      <c r="I180" s="935">
        <f>Sheet1!DA185</f>
        <v>772</v>
      </c>
      <c r="J180" s="935">
        <f>Sheet1!DB185</f>
        <v>464</v>
      </c>
      <c r="K180" s="935">
        <f>Sheet1!CZ185</f>
        <v>542</v>
      </c>
      <c r="L180" s="959">
        <f>Calculation!F183</f>
        <v>250</v>
      </c>
      <c r="M180" s="959">
        <f>Calculation!E183</f>
        <v>250</v>
      </c>
      <c r="N180" s="959">
        <f>Calculation!D183</f>
        <v>300</v>
      </c>
      <c r="O180" s="985">
        <f>Sheet1!DC185</f>
        <v>1166.8</v>
      </c>
      <c r="P180" s="986" t="e">
        <f>Calculation!FD183</f>
        <v>#N/A</v>
      </c>
      <c r="Q180" s="994">
        <f>Calculation!DP183</f>
        <v>49032.000000116888</v>
      </c>
      <c r="R180" s="985">
        <f t="shared" si="34"/>
        <v>48413.000000116888</v>
      </c>
      <c r="S180" s="987">
        <f t="shared" si="46"/>
        <v>-225.00000000235013</v>
      </c>
      <c r="T180" s="1026">
        <f ca="1">IF(A180&gt;$A$1,#N/A,VLOOKUP(A180,Calculation!$B$8:$JF$503,40,FALSE))</f>
        <v>9998.612000000001</v>
      </c>
      <c r="U180" s="987">
        <f t="shared" si="47"/>
        <v>0</v>
      </c>
      <c r="V180" s="987">
        <f>Calculation!AZ183</f>
        <v>0</v>
      </c>
      <c r="W180" s="994">
        <f t="shared" ca="1" si="54"/>
        <v>15000</v>
      </c>
      <c r="X180" s="1080">
        <f t="shared" si="55"/>
        <v>0</v>
      </c>
      <c r="Y180" s="994">
        <f t="shared" ca="1" si="56"/>
        <v>2500</v>
      </c>
      <c r="Z180" s="987">
        <f t="shared" ca="1" si="51"/>
        <v>12500</v>
      </c>
      <c r="AA180" s="994">
        <f t="shared" ca="1" si="35"/>
        <v>24033.388000116887</v>
      </c>
      <c r="AB180" s="1093">
        <f t="shared" ca="1" si="36"/>
        <v>23414.388000116887</v>
      </c>
      <c r="AC180" s="954" t="e">
        <f ca="1">IF(A180&gt;$A$1, #N/A,VLOOKUP(A180,Calculation!$B$8:$JF$880,165,FALSE))</f>
        <v>#N/A</v>
      </c>
      <c r="AD180" s="418" t="e">
        <f t="shared" ca="1" si="48"/>
        <v>#N/A</v>
      </c>
      <c r="AE180" s="418"/>
      <c r="AF180" s="935">
        <f>Calculation!G183</f>
        <v>428.53555219246084</v>
      </c>
      <c r="AG180" s="941" t="str">
        <f t="shared" si="49"/>
        <v>Yes</v>
      </c>
      <c r="AH180" s="941" t="str">
        <f t="shared" si="50"/>
        <v>Yes</v>
      </c>
      <c r="AI180" s="963">
        <v>50681.600000119281</v>
      </c>
      <c r="AJ180" s="964">
        <v>49393.800000119234</v>
      </c>
      <c r="AK180" s="964">
        <v>48525.000000116379</v>
      </c>
      <c r="AL180" s="1011"/>
      <c r="AN180" s="447"/>
      <c r="AO180" s="430"/>
      <c r="AP180" s="462"/>
      <c r="AQ180" s="461"/>
      <c r="AR180" s="461"/>
      <c r="AS180" s="463"/>
      <c r="AU180" s="453"/>
      <c r="AV180" s="452"/>
      <c r="AW180" s="453"/>
      <c r="AX180" s="452"/>
      <c r="AY180" s="453"/>
      <c r="AZ180" s="452"/>
      <c r="BA180" s="449"/>
    </row>
    <row r="181" spans="1:53" ht="13.5" thickBot="1">
      <c r="A181" s="425">
        <v>41812</v>
      </c>
      <c r="B181" s="954">
        <f t="shared" si="45"/>
        <v>113.39509999999999</v>
      </c>
      <c r="C181" s="954">
        <f>Calculation!AK184</f>
        <v>0</v>
      </c>
      <c r="D181" s="954">
        <f>Calculation!AI184</f>
        <v>0</v>
      </c>
      <c r="E181" s="954">
        <f>Calculation!AE184</f>
        <v>49.968099999999993</v>
      </c>
      <c r="F181" s="954">
        <f>Calculation!AF184</f>
        <v>63.427</v>
      </c>
      <c r="G181" s="954">
        <f>Calculation!AG184</f>
        <v>0</v>
      </c>
      <c r="H181" s="955">
        <f>Sheet1!H186</f>
        <v>0.77</v>
      </c>
      <c r="I181" s="935">
        <f>Sheet1!DA186</f>
        <v>760</v>
      </c>
      <c r="J181" s="935">
        <f>Sheet1!DB186</f>
        <v>533</v>
      </c>
      <c r="K181" s="935">
        <f>Sheet1!CZ186</f>
        <v>612</v>
      </c>
      <c r="L181" s="959">
        <f>Calculation!F184</f>
        <v>250</v>
      </c>
      <c r="M181" s="959">
        <f>Calculation!E184</f>
        <v>250</v>
      </c>
      <c r="N181" s="959">
        <f>Calculation!D184</f>
        <v>300</v>
      </c>
      <c r="O181" s="985">
        <f>Sheet1!DC186</f>
        <v>1166.8499999999999</v>
      </c>
      <c r="P181" s="986" t="e">
        <f>Calculation!FD184</f>
        <v>#N/A</v>
      </c>
      <c r="Q181" s="994">
        <f>Calculation!DP184</f>
        <v>49088.000000116888</v>
      </c>
      <c r="R181" s="985">
        <f t="shared" si="34"/>
        <v>48469.000000116888</v>
      </c>
      <c r="S181" s="987">
        <f t="shared" si="46"/>
        <v>56</v>
      </c>
      <c r="T181" s="1026">
        <f ca="1">IF(A181&gt;$A$1,#N/A,VLOOKUP(A181,Calculation!$B$8:$JF$503,40,FALSE))</f>
        <v>9998.612000000001</v>
      </c>
      <c r="U181" s="987">
        <f t="shared" si="47"/>
        <v>0</v>
      </c>
      <c r="V181" s="987">
        <f>Calculation!AZ184</f>
        <v>0</v>
      </c>
      <c r="W181" s="994">
        <f t="shared" ca="1" si="54"/>
        <v>14801.7</v>
      </c>
      <c r="X181" s="1080">
        <v>100</v>
      </c>
      <c r="Y181" s="994">
        <f t="shared" ca="1" si="56"/>
        <v>2500</v>
      </c>
      <c r="Z181" s="987">
        <f t="shared" ca="1" si="51"/>
        <v>12301.7</v>
      </c>
      <c r="AA181" s="994">
        <f t="shared" ca="1" si="35"/>
        <v>24287.688000116887</v>
      </c>
      <c r="AB181" s="1093">
        <f t="shared" ca="1" si="36"/>
        <v>23668.688000116887</v>
      </c>
      <c r="AC181" s="954" t="e">
        <f ca="1">IF(A181&gt;$A$1, #N/A,VLOOKUP(A181,Calculation!$B$8:$JF$880,165,FALSE))</f>
        <v>#N/A</v>
      </c>
      <c r="AD181" s="418" t="e">
        <f t="shared" ca="1" si="48"/>
        <v>#N/A</v>
      </c>
      <c r="AE181" s="418"/>
      <c r="AF181" s="935">
        <f>Calculation!G184</f>
        <v>640.24004034291477</v>
      </c>
      <c r="AG181" s="941" t="str">
        <f t="shared" si="49"/>
        <v>Yes</v>
      </c>
      <c r="AH181" s="941" t="str">
        <f t="shared" si="50"/>
        <v>Yes</v>
      </c>
      <c r="AI181" s="963">
        <v>50852.300000119285</v>
      </c>
      <c r="AJ181" s="964">
        <v>49371.000000119238</v>
      </c>
      <c r="AK181" s="964">
        <v>48389.900000117421</v>
      </c>
      <c r="AL181" s="1011"/>
      <c r="AN181" s="447"/>
      <c r="AO181" s="430"/>
      <c r="AP181" s="462"/>
      <c r="AQ181" s="461"/>
      <c r="AR181" s="461"/>
      <c r="AS181" s="463"/>
      <c r="AU181" s="453"/>
      <c r="AV181" s="452"/>
      <c r="AW181" s="453"/>
      <c r="AX181" s="452"/>
      <c r="AY181" s="453"/>
      <c r="AZ181" s="452"/>
      <c r="BA181" s="449"/>
    </row>
    <row r="182" spans="1:53" ht="13.5" thickBot="1">
      <c r="A182" s="425">
        <v>41813</v>
      </c>
      <c r="B182" s="954">
        <f t="shared" si="45"/>
        <v>122.12017999999999</v>
      </c>
      <c r="C182" s="954">
        <f>Calculation!AK185</f>
        <v>0</v>
      </c>
      <c r="D182" s="954">
        <f>Calculation!AI185</f>
        <v>0</v>
      </c>
      <c r="E182" s="954">
        <f>Calculation!AE185</f>
        <v>49.256479999999996</v>
      </c>
      <c r="F182" s="954">
        <f>Calculation!AF185</f>
        <v>72.863699999999994</v>
      </c>
      <c r="G182" s="954">
        <f>Calculation!AG185</f>
        <v>0</v>
      </c>
      <c r="H182" s="955">
        <f>Sheet1!H187</f>
        <v>0.74</v>
      </c>
      <c r="I182" s="935">
        <f>Sheet1!DA187</f>
        <v>737</v>
      </c>
      <c r="J182" s="935">
        <f>Sheet1!DB187</f>
        <v>497</v>
      </c>
      <c r="K182" s="935">
        <f>Sheet1!CZ187</f>
        <v>596</v>
      </c>
      <c r="L182" s="959">
        <f>Calculation!F185</f>
        <v>250</v>
      </c>
      <c r="M182" s="959">
        <f>Calculation!E185</f>
        <v>250</v>
      </c>
      <c r="N182" s="959">
        <f>Calculation!D185</f>
        <v>300</v>
      </c>
      <c r="O182" s="985">
        <f>Sheet1!DC187</f>
        <v>1166.6500000000001</v>
      </c>
      <c r="P182" s="986" t="e">
        <f>Calculation!FD185</f>
        <v>#N/A</v>
      </c>
      <c r="Q182" s="994">
        <f>Calculation!DP185</f>
        <v>48863.000000116888</v>
      </c>
      <c r="R182" s="985">
        <f t="shared" si="34"/>
        <v>48244.000000116888</v>
      </c>
      <c r="S182" s="987">
        <f t="shared" si="46"/>
        <v>-225</v>
      </c>
      <c r="T182" s="1026">
        <f ca="1">IF(A182&gt;$A$1,#N/A,VLOOKUP(A182,Calculation!$B$8:$JF$503,40,FALSE))</f>
        <v>9998.612000000001</v>
      </c>
      <c r="U182" s="987">
        <f t="shared" si="47"/>
        <v>0</v>
      </c>
      <c r="V182" s="987">
        <f>Calculation!AZ185</f>
        <v>0</v>
      </c>
      <c r="W182" s="994">
        <f t="shared" ca="1" si="54"/>
        <v>14603.400000000001</v>
      </c>
      <c r="X182" s="1080">
        <v>100</v>
      </c>
      <c r="Y182" s="994">
        <f t="shared" ca="1" si="56"/>
        <v>2500</v>
      </c>
      <c r="Z182" s="987">
        <f t="shared" ca="1" si="51"/>
        <v>12103.400000000001</v>
      </c>
      <c r="AA182" s="994">
        <f t="shared" ca="1" si="35"/>
        <v>24260.988000116886</v>
      </c>
      <c r="AB182" s="1093">
        <f t="shared" ca="1" si="36"/>
        <v>23641.988000116886</v>
      </c>
      <c r="AC182" s="954" t="e">
        <f ca="1">IF(A182&gt;$A$1, #N/A,VLOOKUP(A182,Calculation!$B$8:$JF$880,165,FALSE))</f>
        <v>#N/A</v>
      </c>
      <c r="AD182" s="418" t="e">
        <f t="shared" ca="1" si="48"/>
        <v>#N/A</v>
      </c>
      <c r="AE182" s="418"/>
      <c r="AF182" s="935">
        <f>Calculation!G185</f>
        <v>482.53555219364603</v>
      </c>
      <c r="AG182" s="941" t="str">
        <f t="shared" si="49"/>
        <v>Yes</v>
      </c>
      <c r="AH182" s="941" t="str">
        <f t="shared" si="50"/>
        <v>Yes</v>
      </c>
      <c r="AI182" s="963">
        <v>50727.120000119285</v>
      </c>
      <c r="AJ182" s="964">
        <v>49712.000000119755</v>
      </c>
      <c r="AK182" s="964">
        <v>48232.700000117162</v>
      </c>
      <c r="AL182" s="1011"/>
      <c r="AN182" s="447"/>
      <c r="AO182" s="430"/>
      <c r="AP182" s="462"/>
      <c r="AQ182" s="461"/>
      <c r="AR182" s="461"/>
      <c r="AS182" s="463"/>
      <c r="AU182" s="453"/>
      <c r="AV182" s="452"/>
      <c r="AW182" s="453"/>
      <c r="AX182" s="452"/>
      <c r="AY182" s="453"/>
      <c r="AZ182" s="452"/>
      <c r="BA182" s="449"/>
    </row>
    <row r="183" spans="1:53" ht="13.5" thickBot="1">
      <c r="A183" s="425">
        <v>41814</v>
      </c>
      <c r="B183" s="954">
        <f t="shared" si="45"/>
        <v>127.78219999999999</v>
      </c>
      <c r="C183" s="954">
        <f>Calculation!AK186</f>
        <v>0</v>
      </c>
      <c r="D183" s="954">
        <f>Calculation!AI186</f>
        <v>0</v>
      </c>
      <c r="E183" s="954">
        <f>Calculation!AE186</f>
        <v>48.885199999999998</v>
      </c>
      <c r="F183" s="954">
        <f>Calculation!AF186</f>
        <v>78.896999999999991</v>
      </c>
      <c r="G183" s="954">
        <f>Calculation!AG186</f>
        <v>0</v>
      </c>
      <c r="H183" s="955">
        <f>Sheet1!H188</f>
        <v>0.67</v>
      </c>
      <c r="I183" s="935">
        <f>Sheet1!DA188</f>
        <v>731</v>
      </c>
      <c r="J183" s="935">
        <f>Sheet1!DB188</f>
        <v>493</v>
      </c>
      <c r="K183" s="935">
        <f>Sheet1!CZ188</f>
        <v>589</v>
      </c>
      <c r="L183" s="959">
        <f>Calculation!F186</f>
        <v>250</v>
      </c>
      <c r="M183" s="959">
        <f>Calculation!E186</f>
        <v>250</v>
      </c>
      <c r="N183" s="959">
        <f>Calculation!D186</f>
        <v>300</v>
      </c>
      <c r="O183" s="985">
        <f>Sheet1!DC188</f>
        <v>1166.3699999999999</v>
      </c>
      <c r="P183" s="986" t="e">
        <f>Calculation!FD186</f>
        <v>#N/A</v>
      </c>
      <c r="Q183" s="994">
        <f>Calculation!DP186</f>
        <v>48547.40000011638</v>
      </c>
      <c r="R183" s="985">
        <f t="shared" si="34"/>
        <v>47928.40000011638</v>
      </c>
      <c r="S183" s="987">
        <f t="shared" si="46"/>
        <v>-315.60000000050786</v>
      </c>
      <c r="T183" s="1026">
        <f ca="1">IF(A183&gt;$A$1,#N/A,VLOOKUP(A183,Calculation!$B$8:$JF$503,40,FALSE))</f>
        <v>9998.612000000001</v>
      </c>
      <c r="U183" s="987">
        <f t="shared" si="47"/>
        <v>0</v>
      </c>
      <c r="V183" s="987">
        <f>Calculation!AZ186</f>
        <v>0</v>
      </c>
      <c r="W183" s="994">
        <f t="shared" ca="1" si="54"/>
        <v>14405.100000000002</v>
      </c>
      <c r="X183" s="1080">
        <v>100</v>
      </c>
      <c r="Y183" s="994">
        <f t="shared" ca="1" si="56"/>
        <v>2500</v>
      </c>
      <c r="Z183" s="987">
        <f t="shared" ca="1" si="51"/>
        <v>11905.100000000002</v>
      </c>
      <c r="AA183" s="994">
        <f t="shared" ca="1" si="35"/>
        <v>24143.688000116377</v>
      </c>
      <c r="AB183" s="1093">
        <f t="shared" ca="1" si="36"/>
        <v>23524.688000116377</v>
      </c>
      <c r="AC183" s="954" t="e">
        <f ca="1">IF(A183&gt;$A$1, #N/A,VLOOKUP(A183,Calculation!$B$8:$JF$880,165,FALSE))</f>
        <v>#N/A</v>
      </c>
      <c r="AD183" s="418" t="e">
        <f t="shared" ca="1" si="48"/>
        <v>#N/A</v>
      </c>
      <c r="AE183" s="418"/>
      <c r="AF183" s="935">
        <f>Calculation!G186</f>
        <v>429.84720121003136</v>
      </c>
      <c r="AG183" s="941" t="str">
        <f t="shared" si="49"/>
        <v>Yes</v>
      </c>
      <c r="AH183" s="941" t="str">
        <f t="shared" si="50"/>
        <v>Yes</v>
      </c>
      <c r="AI183" s="963">
        <v>50658.840000119286</v>
      </c>
      <c r="AJ183" s="964">
        <v>50031.200000120014</v>
      </c>
      <c r="AK183" s="964">
        <v>48198.80000011716</v>
      </c>
      <c r="AL183" s="1011"/>
      <c r="AN183" s="447"/>
      <c r="AO183" s="430"/>
      <c r="AP183" s="462"/>
      <c r="AQ183" s="461"/>
      <c r="AR183" s="461"/>
      <c r="AS183" s="463"/>
      <c r="AU183" s="453"/>
      <c r="AV183" s="452"/>
      <c r="AW183" s="453"/>
      <c r="AX183" s="452"/>
      <c r="AY183" s="453"/>
      <c r="AZ183" s="452"/>
      <c r="BA183" s="449"/>
    </row>
    <row r="184" spans="1:53" ht="13.5" thickBot="1">
      <c r="A184" s="425">
        <v>41815</v>
      </c>
      <c r="B184" s="954">
        <f t="shared" si="45"/>
        <v>129.26731999999998</v>
      </c>
      <c r="C184" s="954">
        <f>Calculation!AK187</f>
        <v>0</v>
      </c>
      <c r="D184" s="954">
        <f>Calculation!AI187</f>
        <v>0</v>
      </c>
      <c r="E184" s="954">
        <f>Calculation!AE187</f>
        <v>54.39251999999999</v>
      </c>
      <c r="F184" s="954">
        <f>Calculation!AF187</f>
        <v>74.874799999999993</v>
      </c>
      <c r="G184" s="954">
        <f>Calculation!AG187</f>
        <v>0</v>
      </c>
      <c r="H184" s="955">
        <f>Sheet1!H189</f>
        <v>0.51</v>
      </c>
      <c r="I184" s="935">
        <f>Sheet1!DA189</f>
        <v>708</v>
      </c>
      <c r="J184" s="935">
        <f>Sheet1!DB189</f>
        <v>487</v>
      </c>
      <c r="K184" s="935">
        <f>Sheet1!CZ189</f>
        <v>589</v>
      </c>
      <c r="L184" s="959">
        <f>Calculation!F187</f>
        <v>250</v>
      </c>
      <c r="M184" s="959">
        <f>Calculation!E187</f>
        <v>250</v>
      </c>
      <c r="N184" s="959">
        <f>Calculation!D187</f>
        <v>300</v>
      </c>
      <c r="O184" s="985">
        <f>Sheet1!DC189</f>
        <v>1166.1099999999999</v>
      </c>
      <c r="P184" s="986" t="e">
        <f>Calculation!FD187</f>
        <v>#N/A</v>
      </c>
      <c r="Q184" s="994">
        <f>Calculation!DP187</f>
        <v>48255.200000116121</v>
      </c>
      <c r="R184" s="985">
        <f t="shared" si="34"/>
        <v>47636.200000116121</v>
      </c>
      <c r="S184" s="987">
        <f t="shared" si="46"/>
        <v>-292.20000000025902</v>
      </c>
      <c r="T184" s="1026">
        <f ca="1">IF(A184&gt;$A$1,#N/A,VLOOKUP(A184,Calculation!$B$8:$JF$503,40,FALSE))</f>
        <v>9998.612000000001</v>
      </c>
      <c r="U184" s="987">
        <f t="shared" si="47"/>
        <v>0</v>
      </c>
      <c r="V184" s="987">
        <f>Calculation!AZ187</f>
        <v>0</v>
      </c>
      <c r="W184" s="994">
        <f t="shared" ca="1" si="54"/>
        <v>14206.800000000003</v>
      </c>
      <c r="X184" s="1080">
        <v>100</v>
      </c>
      <c r="Y184" s="994">
        <f t="shared" ca="1" si="56"/>
        <v>2500</v>
      </c>
      <c r="Z184" s="987">
        <f t="shared" ca="1" si="51"/>
        <v>11706.800000000003</v>
      </c>
      <c r="AA184" s="994">
        <f t="shared" ca="1" si="35"/>
        <v>24049.788000116117</v>
      </c>
      <c r="AB184" s="1093">
        <f t="shared" ca="1" si="36"/>
        <v>23430.788000116117</v>
      </c>
      <c r="AC184" s="954" t="e">
        <f ca="1">IF(A184&gt;$A$1, #N/A,VLOOKUP(A184,Calculation!$B$8:$JF$880,165,FALSE))</f>
        <v>#N/A</v>
      </c>
      <c r="AD184" s="418" t="e">
        <f t="shared" ca="1" si="48"/>
        <v>#N/A</v>
      </c>
      <c r="AE184" s="418"/>
      <c r="AF184" s="935">
        <f>Calculation!G187</f>
        <v>441.64750378201768</v>
      </c>
      <c r="AG184" s="941" t="str">
        <f t="shared" si="49"/>
        <v>Yes</v>
      </c>
      <c r="AH184" s="941" t="str">
        <f t="shared" si="50"/>
        <v>Yes</v>
      </c>
      <c r="AI184" s="963">
        <v>50613.320000119289</v>
      </c>
      <c r="AJ184" s="964">
        <v>50110.500000118962</v>
      </c>
      <c r="AK184" s="964">
        <v>48131.000000117157</v>
      </c>
      <c r="AL184" s="1011"/>
      <c r="AN184" s="447"/>
      <c r="AO184" s="430"/>
      <c r="AP184" s="462"/>
      <c r="AQ184" s="461"/>
      <c r="AR184" s="461"/>
      <c r="AS184" s="463"/>
      <c r="AU184" s="453"/>
      <c r="AV184" s="452"/>
      <c r="AW184" s="453"/>
      <c r="AX184" s="452"/>
      <c r="AY184" s="453"/>
      <c r="AZ184" s="452"/>
      <c r="BA184" s="449"/>
    </row>
    <row r="185" spans="1:53" ht="13.5" thickBot="1">
      <c r="A185" s="425">
        <v>41816</v>
      </c>
      <c r="B185" s="954">
        <f t="shared" si="45"/>
        <v>129.36014</v>
      </c>
      <c r="C185" s="954">
        <f>Calculation!AK188</f>
        <v>0</v>
      </c>
      <c r="D185" s="954">
        <f>Calculation!AI188</f>
        <v>0</v>
      </c>
      <c r="E185" s="954">
        <f>Calculation!AE188</f>
        <v>64.478960000000001</v>
      </c>
      <c r="F185" s="954">
        <f>Calculation!AF188</f>
        <v>64.881180000000001</v>
      </c>
      <c r="G185" s="954">
        <f>Calculation!AG188</f>
        <v>0</v>
      </c>
      <c r="H185" s="955">
        <f>Sheet1!H190</f>
        <v>0.62</v>
      </c>
      <c r="I185" s="935">
        <f>Sheet1!DA190</f>
        <v>719</v>
      </c>
      <c r="J185" s="935">
        <f>Sheet1!DB190</f>
        <v>490</v>
      </c>
      <c r="K185" s="935">
        <f>Sheet1!CZ190</f>
        <v>589</v>
      </c>
      <c r="L185" s="959">
        <f>Calculation!F188</f>
        <v>250</v>
      </c>
      <c r="M185" s="959">
        <f>Calculation!E188</f>
        <v>250</v>
      </c>
      <c r="N185" s="959">
        <f>Calculation!D188</f>
        <v>300</v>
      </c>
      <c r="O185" s="985">
        <f>Sheet1!DC190</f>
        <v>1165.83</v>
      </c>
      <c r="P185" s="986" t="e">
        <f>Calculation!FD188</f>
        <v>#N/A</v>
      </c>
      <c r="Q185" s="994">
        <f>Calculation!DP188</f>
        <v>47941.600000115868</v>
      </c>
      <c r="R185" s="985">
        <f t="shared" si="34"/>
        <v>47322.600000115868</v>
      </c>
      <c r="S185" s="987">
        <f t="shared" si="46"/>
        <v>-313.6000000002532</v>
      </c>
      <c r="T185" s="1026">
        <f ca="1">IF(A185&gt;$A$1,#N/A,VLOOKUP(A185,Calculation!$B$8:$JF$503,40,FALSE))</f>
        <v>9998.612000000001</v>
      </c>
      <c r="U185" s="987">
        <f t="shared" si="47"/>
        <v>0</v>
      </c>
      <c r="V185" s="987">
        <f>Calculation!AZ188</f>
        <v>0</v>
      </c>
      <c r="W185" s="994">
        <f t="shared" ca="1" si="54"/>
        <v>14008.500000000004</v>
      </c>
      <c r="X185" s="1080">
        <v>100</v>
      </c>
      <c r="Y185" s="994">
        <f t="shared" ca="1" si="56"/>
        <v>2500</v>
      </c>
      <c r="Z185" s="987">
        <f t="shared" ca="1" si="51"/>
        <v>11508.500000000004</v>
      </c>
      <c r="AA185" s="994">
        <f t="shared" ca="1" si="35"/>
        <v>23934.488000115864</v>
      </c>
      <c r="AB185" s="1093">
        <f t="shared" ca="1" si="36"/>
        <v>23315.488000115864</v>
      </c>
      <c r="AC185" s="954" t="e">
        <f ca="1">IF(A185&gt;$A$1, #N/A,VLOOKUP(A185,Calculation!$B$8:$JF$880,165,FALSE))</f>
        <v>#N/A</v>
      </c>
      <c r="AD185" s="418" t="e">
        <f t="shared" ca="1" si="48"/>
        <v>#N/A</v>
      </c>
      <c r="AE185" s="418"/>
      <c r="AF185" s="935">
        <f>Calculation!G188</f>
        <v>430.85577407954963</v>
      </c>
      <c r="AG185" s="941" t="str">
        <f t="shared" si="49"/>
        <v>Yes</v>
      </c>
      <c r="AH185" s="941" t="str">
        <f t="shared" si="50"/>
        <v>Yes</v>
      </c>
      <c r="AI185" s="963">
        <v>50341.40000011777</v>
      </c>
      <c r="AJ185" s="964">
        <v>49997.00000012001</v>
      </c>
      <c r="AK185" s="964">
        <v>48097.700000115088</v>
      </c>
      <c r="AL185" s="1011"/>
      <c r="AN185" s="447"/>
      <c r="AO185" s="430"/>
      <c r="AP185" s="462"/>
      <c r="AQ185" s="461"/>
      <c r="AR185" s="461"/>
      <c r="AS185" s="463"/>
      <c r="AU185" s="453"/>
      <c r="AV185" s="452"/>
      <c r="AW185" s="453"/>
      <c r="AX185" s="452"/>
      <c r="AY185" s="453"/>
      <c r="AZ185" s="452"/>
      <c r="BA185" s="449"/>
    </row>
    <row r="186" spans="1:53" ht="13.5" thickBot="1">
      <c r="A186" s="425">
        <v>41817</v>
      </c>
      <c r="B186" s="954">
        <f t="shared" si="45"/>
        <v>125.74016</v>
      </c>
      <c r="C186" s="954">
        <f>Calculation!AK189</f>
        <v>0</v>
      </c>
      <c r="D186" s="954">
        <f>Calculation!AI189</f>
        <v>0</v>
      </c>
      <c r="E186" s="954">
        <f>Calculation!AE189</f>
        <v>64.850239999999999</v>
      </c>
      <c r="F186" s="954">
        <f>Calculation!AF189</f>
        <v>60.889919999999996</v>
      </c>
      <c r="G186" s="954">
        <f>Calculation!AG189</f>
        <v>0</v>
      </c>
      <c r="H186" s="955">
        <f>Sheet1!H191</f>
        <v>0.82</v>
      </c>
      <c r="I186" s="935">
        <f>Sheet1!DA191</f>
        <v>760</v>
      </c>
      <c r="J186" s="935">
        <f>Sheet1!DB191</f>
        <v>533</v>
      </c>
      <c r="K186" s="935">
        <f>Sheet1!CZ191</f>
        <v>620</v>
      </c>
      <c r="L186" s="959">
        <f>Calculation!F189</f>
        <v>250</v>
      </c>
      <c r="M186" s="959">
        <f>Calculation!E189</f>
        <v>250</v>
      </c>
      <c r="N186" s="959">
        <f>Calculation!D189</f>
        <v>300</v>
      </c>
      <c r="O186" s="985">
        <f>Sheet1!DC191</f>
        <v>1165.5999999999999</v>
      </c>
      <c r="P186" s="986" t="e">
        <f>Calculation!FD189</f>
        <v>#N/A</v>
      </c>
      <c r="Q186" s="994">
        <f>Calculation!DP189</f>
        <v>47685.000000115615</v>
      </c>
      <c r="R186" s="985">
        <f t="shared" si="34"/>
        <v>47066.000000115615</v>
      </c>
      <c r="S186" s="987">
        <f t="shared" si="46"/>
        <v>-256.6000000002532</v>
      </c>
      <c r="T186" s="1026">
        <f ca="1">IF(A186&gt;$A$1,#N/A,VLOOKUP(A186,Calculation!$B$8:$JF$503,40,FALSE))</f>
        <v>9998.612000000001</v>
      </c>
      <c r="U186" s="987">
        <f t="shared" si="47"/>
        <v>0</v>
      </c>
      <c r="V186" s="987">
        <f>Calculation!AZ189</f>
        <v>0</v>
      </c>
      <c r="W186" s="994">
        <f t="shared" ca="1" si="54"/>
        <v>13810.200000000004</v>
      </c>
      <c r="X186" s="1080">
        <v>100</v>
      </c>
      <c r="Y186" s="994">
        <f t="shared" ca="1" si="56"/>
        <v>2500</v>
      </c>
      <c r="Z186" s="987">
        <f t="shared" ca="1" si="51"/>
        <v>11310.200000000004</v>
      </c>
      <c r="AA186" s="994">
        <f t="shared" ca="1" si="35"/>
        <v>23876.18800011561</v>
      </c>
      <c r="AB186" s="1093">
        <f t="shared" ca="1" si="36"/>
        <v>23257.18800011561</v>
      </c>
      <c r="AC186" s="954" t="e">
        <f ca="1">IF(A186&gt;$A$1, #N/A,VLOOKUP(A186,Calculation!$B$8:$JF$880,165,FALSE))</f>
        <v>#N/A</v>
      </c>
      <c r="AD186" s="418" t="e">
        <f t="shared" ca="1" si="48"/>
        <v>#N/A</v>
      </c>
      <c r="AE186" s="418"/>
      <c r="AF186" s="935">
        <f>Calculation!G189</f>
        <v>490.6001008571593</v>
      </c>
      <c r="AG186" s="941" t="str">
        <f t="shared" si="49"/>
        <v>Yes</v>
      </c>
      <c r="AH186" s="941" t="str">
        <f t="shared" si="50"/>
        <v>Yes</v>
      </c>
      <c r="AI186" s="963">
        <v>50262.580000117516</v>
      </c>
      <c r="AJ186" s="964">
        <v>49791.800000119751</v>
      </c>
      <c r="AK186" s="964">
        <v>48008.800000116127</v>
      </c>
      <c r="AL186" s="1011"/>
      <c r="AN186" s="447"/>
      <c r="AO186" s="430"/>
      <c r="AP186" s="462"/>
      <c r="AQ186" s="461"/>
      <c r="AR186" s="461"/>
      <c r="AS186" s="463"/>
      <c r="AU186" s="453"/>
      <c r="AV186" s="452"/>
      <c r="AW186" s="453"/>
      <c r="AX186" s="452"/>
      <c r="AY186" s="453"/>
      <c r="AZ186" s="452"/>
      <c r="BA186" s="449"/>
    </row>
    <row r="187" spans="1:53" ht="13.5" thickBot="1">
      <c r="A187" s="425">
        <v>41818</v>
      </c>
      <c r="B187" s="954">
        <f t="shared" si="45"/>
        <v>115.62278000000001</v>
      </c>
      <c r="C187" s="954">
        <f>Calculation!AK190</f>
        <v>0</v>
      </c>
      <c r="D187" s="954">
        <f>Calculation!AI190</f>
        <v>0</v>
      </c>
      <c r="E187" s="954">
        <f>Calculation!AE190</f>
        <v>63.179480000000005</v>
      </c>
      <c r="F187" s="954">
        <f>Calculation!AF190</f>
        <v>52.443299999999994</v>
      </c>
      <c r="G187" s="954">
        <f>Calculation!AG190</f>
        <v>0</v>
      </c>
      <c r="H187" s="955">
        <f>Sheet1!H192</f>
        <v>0.77</v>
      </c>
      <c r="I187" s="935">
        <f>Sheet1!DA192</f>
        <v>825</v>
      </c>
      <c r="J187" s="935">
        <f>Sheet1!DB192</f>
        <v>581</v>
      </c>
      <c r="K187" s="935">
        <f>Sheet1!CZ192</f>
        <v>620</v>
      </c>
      <c r="L187" s="959">
        <f>Calculation!F190</f>
        <v>250</v>
      </c>
      <c r="M187" s="959">
        <f>Calculation!E190</f>
        <v>250</v>
      </c>
      <c r="N187" s="959">
        <f>Calculation!D190</f>
        <v>300</v>
      </c>
      <c r="O187" s="985">
        <f>Sheet1!DC192</f>
        <v>1165.5</v>
      </c>
      <c r="P187" s="986" t="e">
        <f>Calculation!FD190</f>
        <v>#N/A</v>
      </c>
      <c r="Q187" s="994">
        <f>Calculation!DP190</f>
        <v>47574.000000114582</v>
      </c>
      <c r="R187" s="985">
        <f t="shared" si="34"/>
        <v>46955.000000114582</v>
      </c>
      <c r="S187" s="987">
        <f t="shared" si="46"/>
        <v>-111.00000000103319</v>
      </c>
      <c r="T187" s="1026">
        <f ca="1">IF(A187&gt;$A$1,#N/A,VLOOKUP(A187,Calculation!$B$8:$JF$503,40,FALSE))</f>
        <v>9998.612000000001</v>
      </c>
      <c r="U187" s="987">
        <f t="shared" si="47"/>
        <v>0</v>
      </c>
      <c r="V187" s="987">
        <f>Calculation!AZ190</f>
        <v>0</v>
      </c>
      <c r="W187" s="994">
        <f t="shared" ca="1" si="54"/>
        <v>13711.050000000005</v>
      </c>
      <c r="X187" s="1080">
        <v>50</v>
      </c>
      <c r="Y187" s="994">
        <f t="shared" ca="1" si="56"/>
        <v>2500</v>
      </c>
      <c r="Z187" s="987">
        <f t="shared" ca="1" si="51"/>
        <v>11211.050000000005</v>
      </c>
      <c r="AA187" s="994">
        <f t="shared" ca="1" si="35"/>
        <v>23864.338000114578</v>
      </c>
      <c r="AB187" s="1093">
        <f t="shared" ca="1" si="36"/>
        <v>23245.338000114578</v>
      </c>
      <c r="AC187" s="954" t="e">
        <f ca="1">IF(A187&gt;$A$1, #N/A,VLOOKUP(A187,Calculation!$B$8:$JF$880,165,FALSE))</f>
        <v>#N/A</v>
      </c>
      <c r="AD187" s="418" t="e">
        <f t="shared" ca="1" si="48"/>
        <v>#N/A</v>
      </c>
      <c r="AE187" s="418"/>
      <c r="AF187" s="935">
        <f>Calculation!G190</f>
        <v>564.02420574834434</v>
      </c>
      <c r="AG187" s="941" t="str">
        <f t="shared" si="49"/>
        <v>Yes</v>
      </c>
      <c r="AH187" s="941" t="str">
        <f t="shared" si="50"/>
        <v>Yes</v>
      </c>
      <c r="AI187" s="963">
        <v>50352.660000117772</v>
      </c>
      <c r="AJ187" s="964">
        <v>49485.000000118445</v>
      </c>
      <c r="AK187" s="964">
        <v>47785.800000115873</v>
      </c>
      <c r="AL187" s="1011"/>
      <c r="AN187" s="447"/>
      <c r="AO187" s="430"/>
      <c r="AP187" s="462"/>
      <c r="AQ187" s="461"/>
      <c r="AR187" s="461"/>
      <c r="AS187" s="463"/>
      <c r="AU187" s="453"/>
      <c r="AV187" s="452"/>
      <c r="AW187" s="453"/>
      <c r="AX187" s="452"/>
      <c r="AY187" s="453"/>
      <c r="AZ187" s="452"/>
      <c r="BA187" s="449"/>
    </row>
    <row r="188" spans="1:53" ht="13.5" thickBot="1">
      <c r="A188" s="425">
        <v>41819</v>
      </c>
      <c r="B188" s="954">
        <f t="shared" si="45"/>
        <v>99.874320000000012</v>
      </c>
      <c r="C188" s="954">
        <f>Calculation!AK191</f>
        <v>0</v>
      </c>
      <c r="D188" s="954">
        <f>Calculation!AI191</f>
        <v>0</v>
      </c>
      <c r="E188" s="954">
        <f>Calculation!AE191</f>
        <v>59.652320000000003</v>
      </c>
      <c r="F188" s="954">
        <f>Calculation!AF191</f>
        <v>40.222000000000001</v>
      </c>
      <c r="G188" s="954">
        <f>Calculation!AG191</f>
        <v>0</v>
      </c>
      <c r="H188" s="955">
        <f>Sheet1!H193</f>
        <v>0.71</v>
      </c>
      <c r="I188" s="935">
        <f>Sheet1!DA193</f>
        <v>837</v>
      </c>
      <c r="J188" s="935">
        <f>Sheet1!DB193</f>
        <v>575</v>
      </c>
      <c r="K188" s="935">
        <f>Sheet1!CZ193</f>
        <v>616</v>
      </c>
      <c r="L188" s="959">
        <f>Calculation!F191</f>
        <v>250</v>
      </c>
      <c r="M188" s="959">
        <f>Calculation!E191</f>
        <v>250</v>
      </c>
      <c r="N188" s="959">
        <f>Calculation!D191</f>
        <v>300</v>
      </c>
      <c r="O188" s="985">
        <f>Sheet1!DC193</f>
        <v>1165.54</v>
      </c>
      <c r="P188" s="986" t="e">
        <f>Calculation!FD191</f>
        <v>#N/A</v>
      </c>
      <c r="Q188" s="994">
        <f>Calculation!DP191</f>
        <v>47618.400000114583</v>
      </c>
      <c r="R188" s="985">
        <f t="shared" si="34"/>
        <v>46999.400000114583</v>
      </c>
      <c r="S188" s="987">
        <f t="shared" si="46"/>
        <v>44.400000000001455</v>
      </c>
      <c r="T188" s="1026">
        <f ca="1">IF(A188&gt;$A$1,#N/A,VLOOKUP(A188,Calculation!$B$8:$JF$503,40,FALSE))</f>
        <v>9998.612000000001</v>
      </c>
      <c r="U188" s="987">
        <f t="shared" si="47"/>
        <v>0</v>
      </c>
      <c r="V188" s="987">
        <f>Calculation!AZ191</f>
        <v>0</v>
      </c>
      <c r="W188" s="994">
        <f t="shared" ca="1" si="54"/>
        <v>13611.900000000005</v>
      </c>
      <c r="X188" s="1080">
        <v>50</v>
      </c>
      <c r="Y188" s="994">
        <f t="shared" ca="1" si="56"/>
        <v>2500</v>
      </c>
      <c r="Z188" s="987">
        <f t="shared" ca="1" si="51"/>
        <v>11111.900000000005</v>
      </c>
      <c r="AA188" s="994">
        <f t="shared" ca="1" si="35"/>
        <v>24007.888000114577</v>
      </c>
      <c r="AB188" s="1093">
        <f t="shared" ca="1" si="36"/>
        <v>23388.888000114577</v>
      </c>
      <c r="AC188" s="954" t="e">
        <f ca="1">IF(A188&gt;$A$1, #N/A,VLOOKUP(A188,Calculation!$B$8:$JF$880,165,FALSE))</f>
        <v>#N/A</v>
      </c>
      <c r="AD188" s="418" t="e">
        <f t="shared" ca="1" si="48"/>
        <v>#N/A</v>
      </c>
      <c r="AE188" s="418"/>
      <c r="AF188" s="935">
        <f>Calculation!G191</f>
        <v>638.3903177004546</v>
      </c>
      <c r="AG188" s="941" t="str">
        <f t="shared" si="49"/>
        <v>Yes</v>
      </c>
      <c r="AH188" s="941" t="str">
        <f t="shared" si="50"/>
        <v>Yes</v>
      </c>
      <c r="AI188" s="963">
        <v>50476.760000119029</v>
      </c>
      <c r="AJ188" s="964">
        <v>49314.000000119238</v>
      </c>
      <c r="AK188" s="964">
        <v>47428.700000114331</v>
      </c>
      <c r="AL188" s="1011"/>
      <c r="AN188" s="447"/>
      <c r="AO188" s="430"/>
      <c r="AP188" s="462"/>
      <c r="AQ188" s="461"/>
      <c r="AR188" s="461"/>
      <c r="AS188" s="463"/>
      <c r="AU188" s="453"/>
      <c r="AV188" s="452"/>
      <c r="AW188" s="453"/>
      <c r="AX188" s="452"/>
      <c r="AY188" s="453"/>
      <c r="AZ188" s="452"/>
      <c r="BA188" s="449"/>
    </row>
    <row r="189" spans="1:53" ht="13.5" thickBot="1">
      <c r="A189" s="425">
        <v>41820</v>
      </c>
      <c r="B189" s="954">
        <f t="shared" si="45"/>
        <v>113.39510000000001</v>
      </c>
      <c r="C189" s="954">
        <f>Calculation!AK192</f>
        <v>0</v>
      </c>
      <c r="D189" s="954">
        <f>Calculation!AI192</f>
        <v>0</v>
      </c>
      <c r="E189" s="954">
        <f>Calculation!AE192</f>
        <v>62.034700000000001</v>
      </c>
      <c r="F189" s="954">
        <f>Calculation!AF192</f>
        <v>51.360400000000006</v>
      </c>
      <c r="G189" s="954">
        <f>Calculation!AG192</f>
        <v>0</v>
      </c>
      <c r="H189" s="955">
        <f>Sheet1!H194</f>
        <v>0.66</v>
      </c>
      <c r="I189" s="935">
        <f>Sheet1!DA194</f>
        <v>737</v>
      </c>
      <c r="J189" s="935">
        <f>Sheet1!DB194</f>
        <v>470</v>
      </c>
      <c r="K189" s="935">
        <f>Sheet1!CZ194</f>
        <v>539</v>
      </c>
      <c r="L189" s="959">
        <f>Calculation!F192</f>
        <v>250</v>
      </c>
      <c r="M189" s="959">
        <f>Calculation!E192</f>
        <v>250</v>
      </c>
      <c r="N189" s="959">
        <f>Calculation!D192</f>
        <v>300</v>
      </c>
      <c r="O189" s="985">
        <f>Sheet1!DC194</f>
        <v>1165.48</v>
      </c>
      <c r="P189" s="986" t="e">
        <f>Calculation!FD192</f>
        <v>#N/A</v>
      </c>
      <c r="Q189" s="994">
        <f>Calculation!DP192</f>
        <v>47551.600000115614</v>
      </c>
      <c r="R189" s="985">
        <f t="shared" si="34"/>
        <v>46932.600000115614</v>
      </c>
      <c r="S189" s="987">
        <f t="shared" si="46"/>
        <v>-66.799999998969724</v>
      </c>
      <c r="T189" s="1026">
        <f ca="1">IF(A189&gt;$A$1,#N/A,VLOOKUP(A189,Calculation!$B$8:$JF$503,40,FALSE))</f>
        <v>9998.612000000001</v>
      </c>
      <c r="U189" s="987">
        <f t="shared" si="47"/>
        <v>0</v>
      </c>
      <c r="V189" s="987">
        <f>Calculation!AZ192</f>
        <v>0</v>
      </c>
      <c r="W189" s="994">
        <f t="shared" ca="1" si="54"/>
        <v>13512.750000000005</v>
      </c>
      <c r="X189" s="1080">
        <v>50</v>
      </c>
      <c r="Y189" s="994">
        <f t="shared" ca="1" si="56"/>
        <v>2500</v>
      </c>
      <c r="Z189" s="987">
        <f t="shared" ca="1" si="51"/>
        <v>11012.750000000005</v>
      </c>
      <c r="AA189" s="994">
        <f t="shared" ca="1" si="35"/>
        <v>24040.238000115605</v>
      </c>
      <c r="AB189" s="1093">
        <f t="shared" ca="1" si="36"/>
        <v>23421.238000115605</v>
      </c>
      <c r="AC189" s="954">
        <f ca="1">IF(A189&gt;$A$1, #N/A,VLOOKUP(A189,Calculation!$B$8:$JF$880,165,FALSE))</f>
        <v>23500</v>
      </c>
      <c r="AD189" s="418" t="e">
        <f t="shared" ca="1" si="48"/>
        <v>#N/A</v>
      </c>
      <c r="AE189" s="418"/>
      <c r="AF189" s="935">
        <f>Calculation!G192</f>
        <v>505.31366616289978</v>
      </c>
      <c r="AG189" s="941" t="str">
        <f t="shared" si="49"/>
        <v>Yes</v>
      </c>
      <c r="AH189" s="941" t="str">
        <f t="shared" si="50"/>
        <v>Yes</v>
      </c>
      <c r="AI189" s="963">
        <v>50363.920000117774</v>
      </c>
      <c r="AJ189" s="964">
        <v>49405.200000119497</v>
      </c>
      <c r="AK189" s="964">
        <v>47016.000000115106</v>
      </c>
      <c r="AL189" s="1011"/>
      <c r="AN189" s="447"/>
      <c r="AO189" s="430"/>
      <c r="AP189" s="462"/>
      <c r="AQ189" s="461"/>
      <c r="AR189" s="461"/>
      <c r="AS189" s="463"/>
      <c r="AU189" s="453"/>
      <c r="AV189" s="452"/>
      <c r="AW189" s="453"/>
      <c r="AX189" s="452"/>
      <c r="AY189" s="453"/>
      <c r="AZ189" s="452"/>
      <c r="BA189" s="449"/>
    </row>
    <row r="190" spans="1:53" ht="13.5" thickBot="1">
      <c r="A190" s="425">
        <v>41821</v>
      </c>
      <c r="B190" s="954">
        <f t="shared" si="45"/>
        <v>124.37879999999998</v>
      </c>
      <c r="C190" s="954">
        <f>Calculation!AK193</f>
        <v>0</v>
      </c>
      <c r="D190" s="954">
        <f>Calculation!AI193</f>
        <v>0</v>
      </c>
      <c r="E190" s="954">
        <f>Calculation!AE193</f>
        <v>65.592799999999997</v>
      </c>
      <c r="F190" s="954">
        <f>Calculation!AF193</f>
        <v>58.785999999999994</v>
      </c>
      <c r="G190" s="954">
        <f>Calculation!AG193</f>
        <v>0</v>
      </c>
      <c r="H190" s="955">
        <f>Sheet1!H195</f>
        <v>0.55000000000000004</v>
      </c>
      <c r="I190" s="935">
        <f>Sheet1!DA195</f>
        <v>646</v>
      </c>
      <c r="J190" s="935">
        <f>Sheet1!DB195</f>
        <v>416</v>
      </c>
      <c r="K190" s="935">
        <f>Sheet1!CZ195</f>
        <v>495</v>
      </c>
      <c r="L190" s="959">
        <f>Calculation!F193</f>
        <v>250</v>
      </c>
      <c r="M190" s="959">
        <f>Calculation!E193</f>
        <v>250</v>
      </c>
      <c r="N190" s="959">
        <f>Calculation!D193</f>
        <v>300</v>
      </c>
      <c r="O190" s="985">
        <f>Sheet1!DC195</f>
        <v>1165.47</v>
      </c>
      <c r="P190" s="986" t="e">
        <f>Calculation!FD193</f>
        <v>#REF!</v>
      </c>
      <c r="Q190" s="994">
        <f>Calculation!DP193</f>
        <v>47540.400000115616</v>
      </c>
      <c r="R190" s="985">
        <f t="shared" si="34"/>
        <v>46921.400000115616</v>
      </c>
      <c r="S190" s="987">
        <f t="shared" si="46"/>
        <v>-11.19999999999709</v>
      </c>
      <c r="T190" s="1026">
        <f ca="1">IF(A190&gt;$A$1,#N/A,VLOOKUP(A190,Calculation!$B$8:$JF$503,40,FALSE))</f>
        <v>9998.612000000001</v>
      </c>
      <c r="U190" s="987">
        <f t="shared" si="47"/>
        <v>0</v>
      </c>
      <c r="V190" s="987">
        <f>Calculation!AZ193</f>
        <v>0</v>
      </c>
      <c r="W190" s="994">
        <f t="shared" ca="1" si="54"/>
        <v>13413.600000000006</v>
      </c>
      <c r="X190" s="1080">
        <v>50</v>
      </c>
      <c r="Y190" s="994">
        <f t="shared" ca="1" si="56"/>
        <v>2500</v>
      </c>
      <c r="Z190" s="987">
        <f t="shared" ca="1" si="51"/>
        <v>10913.600000000006</v>
      </c>
      <c r="AA190" s="994">
        <f t="shared" ca="1" si="35"/>
        <v>24128.18800011561</v>
      </c>
      <c r="AB190" s="1093">
        <f t="shared" ca="1" si="36"/>
        <v>23509.18800011561</v>
      </c>
      <c r="AC190" s="954">
        <f ca="1">IF(A190&gt;$A$1, #N/A,VLOOKUP(A190,Calculation!$B$8:$JF$880,165,FALSE))</f>
        <v>23416</v>
      </c>
      <c r="AD190" s="418">
        <f t="shared" ca="1" si="48"/>
        <v>-84</v>
      </c>
      <c r="AE190" s="418"/>
      <c r="AF190" s="935">
        <f>Calculation!G193</f>
        <v>489.35199193141852</v>
      </c>
      <c r="AG190" s="941" t="str">
        <f t="shared" si="49"/>
        <v>Yes</v>
      </c>
      <c r="AH190" s="941" t="str">
        <f t="shared" si="50"/>
        <v>Yes</v>
      </c>
      <c r="AI190" s="963">
        <v>50228.800000117517</v>
      </c>
      <c r="AJ190" s="964">
        <v>49586.700000118442</v>
      </c>
      <c r="AK190" s="964">
        <v>46541.000000112552</v>
      </c>
      <c r="AL190" s="1011"/>
      <c r="AN190" s="447"/>
      <c r="AO190" s="430"/>
      <c r="AP190" s="462"/>
      <c r="AQ190" s="461"/>
      <c r="AR190" s="461"/>
      <c r="AS190" s="463"/>
      <c r="AU190" s="453"/>
      <c r="AV190" s="452"/>
      <c r="AW190" s="453"/>
      <c r="AX190" s="452"/>
      <c r="AY190" s="453"/>
      <c r="AZ190" s="452"/>
      <c r="BA190" s="449"/>
    </row>
    <row r="191" spans="1:53" ht="13.5" thickBot="1">
      <c r="A191" s="425">
        <v>41822</v>
      </c>
      <c r="B191" s="954">
        <f t="shared" si="45"/>
        <v>124.19315999999998</v>
      </c>
      <c r="C191" s="954">
        <f>Calculation!AK194</f>
        <v>0</v>
      </c>
      <c r="D191" s="954">
        <f>Calculation!AI194</f>
        <v>0</v>
      </c>
      <c r="E191" s="954">
        <f>Calculation!AE194</f>
        <v>65.438099999999991</v>
      </c>
      <c r="F191" s="954">
        <f>Calculation!AF194</f>
        <v>58.755059999999993</v>
      </c>
      <c r="G191" s="954">
        <f>Calculation!AG194</f>
        <v>0</v>
      </c>
      <c r="H191" s="955">
        <f>Sheet1!H196</f>
        <v>0.56999999999999995</v>
      </c>
      <c r="I191" s="935">
        <f>Sheet1!DA196</f>
        <v>608</v>
      </c>
      <c r="J191" s="935">
        <f>Sheet1!DB196</f>
        <v>413</v>
      </c>
      <c r="K191" s="935">
        <f>Sheet1!CZ196</f>
        <v>495</v>
      </c>
      <c r="L191" s="959">
        <f>Calculation!F194</f>
        <v>250</v>
      </c>
      <c r="M191" s="959">
        <f>Calculation!E194</f>
        <v>250</v>
      </c>
      <c r="N191" s="959">
        <f>Calculation!D194</f>
        <v>300</v>
      </c>
      <c r="O191" s="985">
        <f>Sheet1!DC196</f>
        <v>1165.45</v>
      </c>
      <c r="P191" s="986" t="e">
        <f>Calculation!FD194</f>
        <v>#REF!</v>
      </c>
      <c r="Q191" s="994">
        <f>Calculation!DP194</f>
        <v>47518.000000115615</v>
      </c>
      <c r="R191" s="985">
        <f t="shared" si="34"/>
        <v>46899.000000115615</v>
      </c>
      <c r="S191" s="987">
        <f t="shared" si="46"/>
        <v>-22.400000000001455</v>
      </c>
      <c r="T191" s="994">
        <f ca="1">IF(A191&gt;$A$1,#N/A,VLOOKUP(A191,Calculation!$B$8:$JF$503,40,FALSE))</f>
        <v>9998.612000000001</v>
      </c>
      <c r="U191" s="987">
        <f t="shared" si="47"/>
        <v>0</v>
      </c>
      <c r="V191" s="987">
        <f>Calculation!AZ194</f>
        <v>0</v>
      </c>
      <c r="W191" s="994">
        <f t="shared" ca="1" si="54"/>
        <v>13314.450000000006</v>
      </c>
      <c r="X191" s="1080">
        <v>50</v>
      </c>
      <c r="Y191" s="994">
        <f t="shared" ca="1" si="56"/>
        <v>2500</v>
      </c>
      <c r="Z191" s="987">
        <f t="shared" ca="1" si="51"/>
        <v>10814.450000000006</v>
      </c>
      <c r="AA191" s="994">
        <f t="shared" ca="1" si="35"/>
        <v>24204.93800011561</v>
      </c>
      <c r="AB191" s="1093">
        <f t="shared" ca="1" si="36"/>
        <v>23585.93800011561</v>
      </c>
      <c r="AC191" s="954">
        <f ca="1">IF(A191&gt;$A$1, #N/A,VLOOKUP(A191,Calculation!$B$8:$JF$880,165,FALSE))</f>
        <v>23332</v>
      </c>
      <c r="AD191" s="418">
        <f t="shared" ca="1" si="48"/>
        <v>-84</v>
      </c>
      <c r="AE191" s="418"/>
      <c r="AF191" s="935">
        <f>Calculation!G194</f>
        <v>483.70398386283335</v>
      </c>
      <c r="AG191" s="941" t="str">
        <f t="shared" si="49"/>
        <v>Yes</v>
      </c>
      <c r="AH191" s="941" t="str">
        <f t="shared" si="50"/>
        <v>Yes</v>
      </c>
      <c r="AI191" s="963">
        <v>50059.900000117515</v>
      </c>
      <c r="AJ191" s="964">
        <v>49586.700000118442</v>
      </c>
      <c r="AK191" s="964">
        <v>46033.100000113067</v>
      </c>
      <c r="AL191" s="1011"/>
      <c r="AN191" s="447"/>
      <c r="AO191" s="430"/>
      <c r="AP191" s="462"/>
      <c r="AQ191" s="461"/>
      <c r="AR191" s="461"/>
      <c r="AS191" s="463"/>
      <c r="AU191" s="453"/>
      <c r="AV191" s="452"/>
      <c r="AW191" s="453"/>
      <c r="AX191" s="452"/>
      <c r="AY191" s="453"/>
      <c r="AZ191" s="452"/>
      <c r="BA191" s="449"/>
    </row>
    <row r="192" spans="1:53" ht="13.5" thickBot="1">
      <c r="A192" s="425">
        <v>41823</v>
      </c>
      <c r="B192" s="954">
        <f t="shared" si="45"/>
        <v>130.70603</v>
      </c>
      <c r="C192" s="954">
        <f>Calculation!AK195</f>
        <v>0</v>
      </c>
      <c r="D192" s="954">
        <f>Calculation!AI195</f>
        <v>0</v>
      </c>
      <c r="E192" s="954">
        <f>Calculation!AE195</f>
        <v>64.741950000000003</v>
      </c>
      <c r="F192" s="954">
        <f>Calculation!AF195</f>
        <v>65.964079999999996</v>
      </c>
      <c r="G192" s="954">
        <f>Calculation!AG195</f>
        <v>0</v>
      </c>
      <c r="H192" s="955">
        <f>Sheet1!H197</f>
        <v>0.57999999999999996</v>
      </c>
      <c r="I192" s="935">
        <f>Sheet1!DA197</f>
        <v>562</v>
      </c>
      <c r="J192" s="935">
        <f>Sheet1!DB197</f>
        <v>355</v>
      </c>
      <c r="K192" s="935">
        <f>Sheet1!CZ197</f>
        <v>449</v>
      </c>
      <c r="L192" s="959">
        <f>Calculation!F195</f>
        <v>250</v>
      </c>
      <c r="M192" s="959">
        <f>Calculation!E195</f>
        <v>250</v>
      </c>
      <c r="N192" s="959">
        <f>Calculation!D195</f>
        <v>300</v>
      </c>
      <c r="O192" s="985">
        <f>Sheet1!DC197</f>
        <v>1165.3800000000001</v>
      </c>
      <c r="P192" s="986">
        <f>Calculation!FD195</f>
        <v>1140.0999999999199</v>
      </c>
      <c r="Q192" s="994">
        <f>Calculation!DP195</f>
        <v>47439.800000114585</v>
      </c>
      <c r="R192" s="985">
        <f t="shared" si="34"/>
        <v>46820.800000114585</v>
      </c>
      <c r="S192" s="987">
        <f t="shared" si="46"/>
        <v>-78.200000001030276</v>
      </c>
      <c r="T192" s="994">
        <f ca="1">IF(A192&gt;$A$1,#N/A,VLOOKUP(A192,Calculation!$B$8:$JF$503,40,FALSE))</f>
        <v>9998.612000000001</v>
      </c>
      <c r="U192" s="987">
        <f t="shared" si="47"/>
        <v>0</v>
      </c>
      <c r="V192" s="987">
        <f>Calculation!AZ195</f>
        <v>0</v>
      </c>
      <c r="W192" s="994">
        <f t="shared" ca="1" si="54"/>
        <v>13314.450000000006</v>
      </c>
      <c r="X192" s="1080">
        <v>0</v>
      </c>
      <c r="Y192" s="994">
        <f t="shared" ca="1" si="56"/>
        <v>2500</v>
      </c>
      <c r="Z192" s="987">
        <f t="shared" ca="1" si="51"/>
        <v>10814.450000000006</v>
      </c>
      <c r="AA192" s="994">
        <f t="shared" ca="1" si="35"/>
        <v>24126.738000114579</v>
      </c>
      <c r="AB192" s="1093">
        <f t="shared" ca="1" si="36"/>
        <v>23507.738000114579</v>
      </c>
      <c r="AC192" s="954">
        <f ca="1">IF(A192&gt;$A$1, #N/A,VLOOKUP(A192,Calculation!$B$8:$JF$880,165,FALSE))</f>
        <v>23248</v>
      </c>
      <c r="AD192" s="418">
        <f t="shared" ca="1" si="48"/>
        <v>-84</v>
      </c>
      <c r="AE192" s="418"/>
      <c r="AF192" s="935">
        <f>Calculation!G195</f>
        <v>409.56480080633872</v>
      </c>
      <c r="AG192" s="941" t="str">
        <f t="shared" si="49"/>
        <v>Yes</v>
      </c>
      <c r="AH192" s="941" t="str">
        <f t="shared" si="50"/>
        <v>Yes</v>
      </c>
      <c r="AI192" s="963">
        <v>49947.300000117255</v>
      </c>
      <c r="AJ192" s="964">
        <v>49348.200000119235</v>
      </c>
      <c r="AK192" s="964">
        <v>45573.100000110782</v>
      </c>
      <c r="AL192" s="1011"/>
      <c r="AN192" s="447"/>
      <c r="AO192" s="430"/>
      <c r="AP192" s="462"/>
      <c r="AQ192" s="461"/>
      <c r="AR192" s="461"/>
      <c r="AS192" s="463"/>
      <c r="AU192" s="453"/>
      <c r="AV192" s="452"/>
      <c r="AW192" s="453"/>
      <c r="AX192" s="452"/>
      <c r="AY192" s="453"/>
      <c r="AZ192" s="452"/>
      <c r="BA192" s="449"/>
    </row>
    <row r="193" spans="1:53" ht="13.5" thickBot="1">
      <c r="A193" s="425">
        <v>41824</v>
      </c>
      <c r="B193" s="954">
        <f t="shared" si="45"/>
        <v>135.40890999999999</v>
      </c>
      <c r="C193" s="954">
        <f>Calculation!AK196</f>
        <v>0</v>
      </c>
      <c r="D193" s="954">
        <f>Calculation!AI196</f>
        <v>0</v>
      </c>
      <c r="E193" s="954">
        <f>Calculation!AE196</f>
        <v>64.277849999999987</v>
      </c>
      <c r="F193" s="954">
        <f>Calculation!AF196</f>
        <v>71.131059999999991</v>
      </c>
      <c r="G193" s="954">
        <f>Calculation!AG196</f>
        <v>0</v>
      </c>
      <c r="H193" s="955">
        <f>Sheet1!H198</f>
        <v>0.66</v>
      </c>
      <c r="I193" s="935">
        <f>Sheet1!DA198</f>
        <v>555</v>
      </c>
      <c r="J193" s="935">
        <f>Sheet1!DB198</f>
        <v>351</v>
      </c>
      <c r="K193" s="935">
        <f>Sheet1!CZ198</f>
        <v>449</v>
      </c>
      <c r="L193" s="959">
        <f>Calculation!F196</f>
        <v>250</v>
      </c>
      <c r="M193" s="959">
        <f>Calculation!E196</f>
        <v>250</v>
      </c>
      <c r="N193" s="959">
        <f>Calculation!D196</f>
        <v>300</v>
      </c>
      <c r="O193" s="985">
        <f>Sheet1!DC198</f>
        <v>1165.33</v>
      </c>
      <c r="P193" s="986">
        <f>Calculation!FD196</f>
        <v>1139.9878378377578</v>
      </c>
      <c r="Q193" s="994">
        <f>Calculation!DP196</f>
        <v>47384.30000011433</v>
      </c>
      <c r="R193" s="985">
        <f t="shared" si="34"/>
        <v>46765.30000011433</v>
      </c>
      <c r="S193" s="987">
        <f t="shared" si="46"/>
        <v>-55.500000000254659</v>
      </c>
      <c r="T193" s="994">
        <f ca="1">IF(A193&gt;$A$1,#N/A,VLOOKUP(A193,Calculation!$B$8:$JF$503,40,FALSE))</f>
        <v>9998.612000000001</v>
      </c>
      <c r="U193" s="987">
        <f t="shared" si="47"/>
        <v>0</v>
      </c>
      <c r="V193" s="987">
        <f>Calculation!AZ196</f>
        <v>0</v>
      </c>
      <c r="W193" s="994">
        <f t="shared" ca="1" si="54"/>
        <v>13314.450000000006</v>
      </c>
      <c r="X193" s="1080">
        <v>0</v>
      </c>
      <c r="Y193" s="994">
        <f t="shared" ca="1" si="56"/>
        <v>2500</v>
      </c>
      <c r="Z193" s="987">
        <f t="shared" ca="1" si="51"/>
        <v>10814.450000000006</v>
      </c>
      <c r="AA193" s="994">
        <f t="shared" ca="1" si="35"/>
        <v>24071.238000114325</v>
      </c>
      <c r="AB193" s="1093">
        <f t="shared" ca="1" si="36"/>
        <v>23452.238000114325</v>
      </c>
      <c r="AC193" s="954">
        <f ca="1">IF(A193&gt;$A$1, #N/A,VLOOKUP(A193,Calculation!$B$8:$JF$880,165,FALSE))</f>
        <v>23164</v>
      </c>
      <c r="AD193" s="418">
        <f t="shared" ca="1" si="48"/>
        <v>-84</v>
      </c>
      <c r="AE193" s="418"/>
      <c r="AF193" s="935">
        <f>Calculation!G196</f>
        <v>421.01210287430428</v>
      </c>
      <c r="AG193" s="941" t="str">
        <f t="shared" si="49"/>
        <v>Yes</v>
      </c>
      <c r="AH193" s="941" t="str">
        <f t="shared" si="50"/>
        <v>Yes</v>
      </c>
      <c r="AI193" s="963">
        <v>49699.580000117006</v>
      </c>
      <c r="AJ193" s="964">
        <v>49382.400000119233</v>
      </c>
      <c r="AK193" s="964">
        <v>45081.600000110288</v>
      </c>
      <c r="AL193" s="1011"/>
      <c r="AN193" s="447"/>
      <c r="AO193" s="430"/>
      <c r="AP193" s="462"/>
      <c r="AQ193" s="461"/>
      <c r="AR193" s="461"/>
      <c r="AS193" s="463"/>
      <c r="AU193" s="453"/>
      <c r="AV193" s="452"/>
      <c r="AW193" s="453"/>
      <c r="AX193" s="452"/>
      <c r="AY193" s="453"/>
      <c r="AZ193" s="452"/>
      <c r="BA193" s="449"/>
    </row>
    <row r="194" spans="1:53" ht="13.5" thickBot="1">
      <c r="A194" s="425">
        <v>41825</v>
      </c>
      <c r="B194" s="954">
        <f t="shared" si="45"/>
        <v>135.36249999999998</v>
      </c>
      <c r="C194" s="954">
        <f>Calculation!AK197</f>
        <v>0</v>
      </c>
      <c r="D194" s="954">
        <f>Calculation!AI197</f>
        <v>0</v>
      </c>
      <c r="E194" s="954">
        <f>Calculation!AE197</f>
        <v>64.200499999999991</v>
      </c>
      <c r="F194" s="954">
        <f>Calculation!AF197</f>
        <v>71.161999999999992</v>
      </c>
      <c r="G194" s="954">
        <f>Calculation!AG197</f>
        <v>0</v>
      </c>
      <c r="H194" s="955">
        <f>Sheet1!H199</f>
        <v>0.67</v>
      </c>
      <c r="I194" s="935">
        <f>Sheet1!DA199</f>
        <v>544</v>
      </c>
      <c r="J194" s="935">
        <f>Sheet1!DB199</f>
        <v>350</v>
      </c>
      <c r="K194" s="935">
        <f>Sheet1!CZ199</f>
        <v>449</v>
      </c>
      <c r="L194" s="959">
        <f>Calculation!F197</f>
        <v>250</v>
      </c>
      <c r="M194" s="959">
        <f>Calculation!E197</f>
        <v>250</v>
      </c>
      <c r="N194" s="959">
        <f>Calculation!D197</f>
        <v>300</v>
      </c>
      <c r="O194" s="985">
        <f>Sheet1!DC199</f>
        <v>1165.25</v>
      </c>
      <c r="P194" s="986">
        <f>Calculation!FD197</f>
        <v>1139.8739726026597</v>
      </c>
      <c r="Q194" s="994">
        <f>Calculation!DP197</f>
        <v>47295.00000011536</v>
      </c>
      <c r="R194" s="985">
        <f t="shared" si="34"/>
        <v>46676.00000011536</v>
      </c>
      <c r="S194" s="987">
        <f t="shared" si="46"/>
        <v>-89.299999998969724</v>
      </c>
      <c r="T194" s="994">
        <f ca="1">IF(A194&gt;$A$1,#N/A,VLOOKUP(A194,Calculation!$B$8:$JF$503,40,FALSE))</f>
        <v>9998.612000000001</v>
      </c>
      <c r="U194" s="987">
        <f t="shared" si="47"/>
        <v>0</v>
      </c>
      <c r="V194" s="987">
        <f>Calculation!AZ197</f>
        <v>0</v>
      </c>
      <c r="W194" s="994">
        <f t="shared" ca="1" si="54"/>
        <v>13314.450000000006</v>
      </c>
      <c r="X194" s="1080">
        <v>0</v>
      </c>
      <c r="Y194" s="994">
        <f t="shared" ca="1" si="56"/>
        <v>2500</v>
      </c>
      <c r="Z194" s="987">
        <f t="shared" ca="1" si="51"/>
        <v>10814.450000000006</v>
      </c>
      <c r="AA194" s="994">
        <f t="shared" ca="1" si="35"/>
        <v>23981.938000115355</v>
      </c>
      <c r="AB194" s="1093">
        <f t="shared" ca="1" si="36"/>
        <v>23362.938000115355</v>
      </c>
      <c r="AC194" s="954">
        <f ca="1">IF(A194&gt;$A$1, #N/A,VLOOKUP(A194,Calculation!$B$8:$JF$880,165,FALSE))</f>
        <v>23080</v>
      </c>
      <c r="AD194" s="418">
        <f t="shared" ca="1" si="48"/>
        <v>-84</v>
      </c>
      <c r="AE194" s="418"/>
      <c r="AF194" s="935">
        <f>Calculation!G197</f>
        <v>403.96722138226437</v>
      </c>
      <c r="AG194" s="941" t="str">
        <f t="shared" si="49"/>
        <v>Yes</v>
      </c>
      <c r="AH194" s="941" t="str">
        <f t="shared" si="50"/>
        <v>Yes</v>
      </c>
      <c r="AI194" s="963">
        <v>49519.420000117003</v>
      </c>
      <c r="AJ194" s="964">
        <v>49382.400000119233</v>
      </c>
      <c r="AK194" s="964">
        <v>44624.600000108781</v>
      </c>
      <c r="AL194" s="1011"/>
      <c r="AN194" s="447"/>
      <c r="AO194" s="430"/>
      <c r="AP194" s="462"/>
      <c r="AQ194" s="461"/>
      <c r="AR194" s="461"/>
      <c r="AS194" s="463"/>
      <c r="AU194" s="453"/>
      <c r="AV194" s="452"/>
      <c r="AW194" s="453"/>
      <c r="AX194" s="452"/>
      <c r="AY194" s="453"/>
      <c r="AZ194" s="452"/>
      <c r="BA194" s="449"/>
    </row>
    <row r="195" spans="1:53" ht="13.5" thickBot="1">
      <c r="A195" s="425">
        <v>41826</v>
      </c>
      <c r="B195" s="954">
        <f t="shared" si="45"/>
        <v>133.19669999999999</v>
      </c>
      <c r="C195" s="954">
        <f>Calculation!AK198</f>
        <v>0</v>
      </c>
      <c r="D195" s="954">
        <f>Calculation!AI198</f>
        <v>0</v>
      </c>
      <c r="E195" s="954">
        <f>Calculation!AE198</f>
        <v>64.509900000000002</v>
      </c>
      <c r="F195" s="954">
        <f>Calculation!AF198</f>
        <v>68.686799999999991</v>
      </c>
      <c r="G195" s="954">
        <f>Calculation!AG198</f>
        <v>0</v>
      </c>
      <c r="H195" s="955">
        <f>Sheet1!H200</f>
        <v>0.61</v>
      </c>
      <c r="I195" s="935">
        <f>Sheet1!DA200</f>
        <v>534</v>
      </c>
      <c r="J195" s="935">
        <f>Sheet1!DB200</f>
        <v>351</v>
      </c>
      <c r="K195" s="935">
        <f>Sheet1!CZ200</f>
        <v>449</v>
      </c>
      <c r="L195" s="959">
        <f>Calculation!F198</f>
        <v>250</v>
      </c>
      <c r="M195" s="959">
        <f>Calculation!E198</f>
        <v>250</v>
      </c>
      <c r="N195" s="959">
        <f>Calculation!D198</f>
        <v>300</v>
      </c>
      <c r="O195" s="985">
        <f>Sheet1!DC200</f>
        <v>1165.1400000000001</v>
      </c>
      <c r="P195" s="986">
        <f>Calculation!FD198</f>
        <v>1139.7589041095093</v>
      </c>
      <c r="Q195" s="994">
        <f>Calculation!DP198</f>
        <v>47172.400000114329</v>
      </c>
      <c r="R195" s="985">
        <f t="shared" si="34"/>
        <v>46553.400000114329</v>
      </c>
      <c r="S195" s="987">
        <f t="shared" si="46"/>
        <v>-122.60000000103173</v>
      </c>
      <c r="T195" s="994">
        <f ca="1">IF(A195&gt;$A$1,#N/A,VLOOKUP(A195,Calculation!$B$8:$JF$503,40,FALSE))</f>
        <v>9998.612000000001</v>
      </c>
      <c r="U195" s="987">
        <f t="shared" si="47"/>
        <v>0</v>
      </c>
      <c r="V195" s="987">
        <f>Calculation!AZ198</f>
        <v>0</v>
      </c>
      <c r="W195" s="994">
        <f t="shared" ref="W195:W221" ca="1" si="57">IF(A195&gt;=$A$1,#N/A,W194-X195*1.983)</f>
        <v>13314.450000000006</v>
      </c>
      <c r="X195" s="1080">
        <v>0</v>
      </c>
      <c r="Y195" s="994">
        <f t="shared" ca="1" si="56"/>
        <v>2500</v>
      </c>
      <c r="Z195" s="987">
        <f t="shared" ca="1" si="51"/>
        <v>10814.450000000006</v>
      </c>
      <c r="AA195" s="994">
        <f t="shared" ca="1" si="35"/>
        <v>23859.338000114323</v>
      </c>
      <c r="AB195" s="1093">
        <f t="shared" ca="1" si="36"/>
        <v>23240.338000114323</v>
      </c>
      <c r="AC195" s="954">
        <f ca="1">IF(A195&gt;$A$1, #N/A,VLOOKUP(A195,Calculation!$B$8:$JF$880,165,FALSE))</f>
        <v>22996</v>
      </c>
      <c r="AD195" s="418">
        <f t="shared" ca="1" si="48"/>
        <v>-84</v>
      </c>
      <c r="AE195" s="418"/>
      <c r="AF195" s="935">
        <f>Calculation!G198</f>
        <v>387.17448310588418</v>
      </c>
      <c r="AG195" s="941" t="str">
        <f t="shared" si="49"/>
        <v>Yes</v>
      </c>
      <c r="AH195" s="941" t="str">
        <f t="shared" si="50"/>
        <v>Yes</v>
      </c>
      <c r="AI195" s="963">
        <v>49384.300000116746</v>
      </c>
      <c r="AJ195" s="964">
        <v>49405.200000119497</v>
      </c>
      <c r="AK195" s="964">
        <v>44202.400000108537</v>
      </c>
      <c r="AN195" s="447"/>
      <c r="AO195" s="430"/>
      <c r="AP195" s="462"/>
      <c r="AQ195" s="461"/>
      <c r="AR195" s="461"/>
      <c r="AS195" s="463"/>
      <c r="AU195" s="453"/>
      <c r="AV195" s="452"/>
      <c r="AW195" s="453"/>
      <c r="AX195" s="452"/>
      <c r="AY195" s="453"/>
      <c r="AZ195" s="452"/>
      <c r="BA195" s="449"/>
    </row>
    <row r="196" spans="1:53" ht="13.5" thickBot="1">
      <c r="A196" s="425">
        <v>41827</v>
      </c>
      <c r="B196" s="954">
        <f t="shared" si="45"/>
        <v>135.59455</v>
      </c>
      <c r="C196" s="954">
        <f>Calculation!AK199</f>
        <v>0</v>
      </c>
      <c r="D196" s="954">
        <f>Calculation!AI199</f>
        <v>25.737524174135721</v>
      </c>
      <c r="E196" s="954">
        <f>Calculation!AE199</f>
        <v>63.767339999999997</v>
      </c>
      <c r="F196" s="954">
        <f>Calculation!AF199</f>
        <v>71.827209999999994</v>
      </c>
      <c r="G196" s="954">
        <f>Calculation!AG199</f>
        <v>0</v>
      </c>
      <c r="H196" s="955">
        <f>Sheet1!H201</f>
        <v>0.56000000000000005</v>
      </c>
      <c r="I196" s="935">
        <f>Sheet1!DA201</f>
        <v>483</v>
      </c>
      <c r="J196" s="935">
        <f>Sheet1!DB201</f>
        <v>301</v>
      </c>
      <c r="K196" s="935">
        <f>Sheet1!CZ201</f>
        <v>406</v>
      </c>
      <c r="L196" s="959">
        <f>Calculation!F199</f>
        <v>250</v>
      </c>
      <c r="M196" s="959">
        <f>Calculation!E199</f>
        <v>250</v>
      </c>
      <c r="N196" s="959">
        <f>Calculation!D199</f>
        <v>300</v>
      </c>
      <c r="O196" s="985">
        <f>Sheet1!DC201</f>
        <v>1165.06</v>
      </c>
      <c r="P196" s="986">
        <f>Calculation!FD199</f>
        <v>1139.6438356163587</v>
      </c>
      <c r="Q196" s="994">
        <f>Calculation!DP199</f>
        <v>47083.200000115103</v>
      </c>
      <c r="R196" s="985">
        <f t="shared" si="34"/>
        <v>46464.200000115103</v>
      </c>
      <c r="S196" s="987">
        <f t="shared" si="46"/>
        <v>-89.199999999225838</v>
      </c>
      <c r="T196" s="994">
        <f ca="1">IF(A196&gt;$A$1,#N/A,VLOOKUP(A196,Calculation!$B$8:$JF$503,40,FALSE))</f>
        <v>9947.5695150832271</v>
      </c>
      <c r="U196" s="987">
        <f t="shared" si="47"/>
        <v>25.737524174135721</v>
      </c>
      <c r="V196" s="987">
        <f>Calculation!AZ199</f>
        <v>0</v>
      </c>
      <c r="W196" s="994">
        <f t="shared" ca="1" si="57"/>
        <v>13314.450000000006</v>
      </c>
      <c r="X196" s="1080">
        <v>0</v>
      </c>
      <c r="Y196" s="994">
        <f t="shared" ca="1" si="56"/>
        <v>2500</v>
      </c>
      <c r="Z196" s="987">
        <f t="shared" ca="1" si="51"/>
        <v>10814.450000000006</v>
      </c>
      <c r="AA196" s="994">
        <f t="shared" ca="1" si="35"/>
        <v>23821.180485031873</v>
      </c>
      <c r="AB196" s="1093">
        <f t="shared" ca="1" si="36"/>
        <v>23202.180485031873</v>
      </c>
      <c r="AC196" s="954">
        <f ca="1">IF(A196&gt;$A$1, #N/A,VLOOKUP(A196,Calculation!$B$8:$JF$880,165,FALSE))</f>
        <v>22912</v>
      </c>
      <c r="AD196" s="418">
        <f t="shared" ca="1" si="48"/>
        <v>-84</v>
      </c>
      <c r="AE196" s="418"/>
      <c r="AF196" s="935">
        <f>Calculation!G199</f>
        <v>361.01765002560472</v>
      </c>
      <c r="AG196" s="941" t="str">
        <f t="shared" si="49"/>
        <v>Yes</v>
      </c>
      <c r="AH196" s="941" t="str">
        <f t="shared" si="50"/>
        <v>Yes</v>
      </c>
      <c r="AI196" s="963">
        <v>49205.350000115606</v>
      </c>
      <c r="AJ196" s="964">
        <v>49279.800000119234</v>
      </c>
      <c r="AK196" s="964">
        <v>43737.000000108048</v>
      </c>
      <c r="AN196" s="447"/>
      <c r="AO196" s="430"/>
      <c r="AP196" s="462"/>
      <c r="AQ196" s="461"/>
      <c r="AR196" s="461"/>
      <c r="AS196" s="463"/>
      <c r="AU196" s="453"/>
      <c r="AV196" s="452"/>
      <c r="AW196" s="453"/>
      <c r="AX196" s="452"/>
      <c r="AY196" s="453"/>
      <c r="AZ196" s="452"/>
      <c r="BA196" s="449"/>
    </row>
    <row r="197" spans="1:53" ht="13.5" thickBot="1">
      <c r="A197" s="425">
        <v>41828</v>
      </c>
      <c r="B197" s="954">
        <f t="shared" si="45"/>
        <v>139.46205</v>
      </c>
      <c r="C197" s="954">
        <f>Calculation!AK200</f>
        <v>0</v>
      </c>
      <c r="D197" s="954">
        <f>Calculation!AI200</f>
        <v>30.388785092348286</v>
      </c>
      <c r="E197" s="954">
        <f>Calculation!AE200</f>
        <v>63.736400000000003</v>
      </c>
      <c r="F197" s="954">
        <f>Calculation!AF200</f>
        <v>75.725650000000002</v>
      </c>
      <c r="G197" s="954">
        <f>Calculation!AG200</f>
        <v>0</v>
      </c>
      <c r="H197" s="955">
        <f>Sheet1!H202</f>
        <v>0.57999999999999996</v>
      </c>
      <c r="I197" s="935">
        <f>Sheet1!DA202</f>
        <v>473</v>
      </c>
      <c r="J197" s="935">
        <f>Sheet1!DB202</f>
        <v>326</v>
      </c>
      <c r="K197" s="935">
        <f>Sheet1!CZ202</f>
        <v>433</v>
      </c>
      <c r="L197" s="959">
        <f>Calculation!F200</f>
        <v>250</v>
      </c>
      <c r="M197" s="959">
        <f>Calculation!E200</f>
        <v>250</v>
      </c>
      <c r="N197" s="959">
        <f>Calculation!D200</f>
        <v>300</v>
      </c>
      <c r="O197" s="985">
        <f>Sheet1!DC202</f>
        <v>1164.95</v>
      </c>
      <c r="P197" s="986">
        <f>Calculation!FD200</f>
        <v>1139.5287671232081</v>
      </c>
      <c r="Q197" s="994">
        <f>Calculation!DP200</f>
        <v>46961.000000113054</v>
      </c>
      <c r="R197" s="985">
        <f t="shared" si="34"/>
        <v>46342.000000113054</v>
      </c>
      <c r="S197" s="987">
        <f t="shared" si="46"/>
        <v>-122.20000000204891</v>
      </c>
      <c r="T197" s="994">
        <f ca="1">IF(A197&gt;$A$1,#N/A,VLOOKUP(A197,Calculation!$B$8:$JF$503,40,FALSE))</f>
        <v>9887.3026807824353</v>
      </c>
      <c r="U197" s="987">
        <f t="shared" si="47"/>
        <v>30.388785092348286</v>
      </c>
      <c r="V197" s="987">
        <f>Calculation!AZ200</f>
        <v>0</v>
      </c>
      <c r="W197" s="994">
        <f t="shared" ca="1" si="57"/>
        <v>13314.450000000006</v>
      </c>
      <c r="X197" s="1080">
        <v>0</v>
      </c>
      <c r="Y197" s="994">
        <f t="shared" ca="1" si="56"/>
        <v>2500</v>
      </c>
      <c r="Z197" s="987">
        <f t="shared" ca="1" si="51"/>
        <v>10814.450000000006</v>
      </c>
      <c r="AA197" s="994">
        <f t="shared" ca="1" si="35"/>
        <v>23759.247319330614</v>
      </c>
      <c r="AB197" s="1093">
        <f t="shared" ca="1" si="36"/>
        <v>23140.247319330614</v>
      </c>
      <c r="AC197" s="954">
        <f ca="1">IF(A197&gt;$A$1, #N/A,VLOOKUP(A197,Calculation!$B$8:$JF$880,165,FALSE))</f>
        <v>22829</v>
      </c>
      <c r="AD197" s="418">
        <f t="shared" ca="1" si="48"/>
        <v>-83</v>
      </c>
      <c r="AE197" s="418"/>
      <c r="AF197" s="935">
        <f>Calculation!G200</f>
        <v>371.37619767924917</v>
      </c>
      <c r="AG197" s="941" t="str">
        <f t="shared" si="49"/>
        <v>Yes</v>
      </c>
      <c r="AH197" s="941" t="str">
        <f t="shared" si="50"/>
        <v>Yes</v>
      </c>
      <c r="AI197" s="963">
        <v>48915.45000011535</v>
      </c>
      <c r="AJ197" s="964">
        <v>49245.700000118188</v>
      </c>
      <c r="AK197" s="964">
        <v>43373.200000106801</v>
      </c>
      <c r="AN197" s="447"/>
      <c r="AO197" s="430"/>
      <c r="AP197" s="462"/>
      <c r="AQ197" s="461"/>
      <c r="AR197" s="461"/>
      <c r="AS197" s="463"/>
      <c r="AU197" s="453"/>
      <c r="AV197" s="452"/>
      <c r="AW197" s="453"/>
      <c r="AX197" s="452"/>
      <c r="AY197" s="453"/>
      <c r="AZ197" s="452"/>
      <c r="BA197" s="449"/>
    </row>
    <row r="198" spans="1:53" ht="13.5" thickBot="1">
      <c r="A198" s="425">
        <v>41829</v>
      </c>
      <c r="B198" s="954">
        <f t="shared" si="45"/>
        <v>140.65323999999998</v>
      </c>
      <c r="C198" s="954">
        <f>Calculation!AK201</f>
        <v>0</v>
      </c>
      <c r="D198" s="954">
        <f>Calculation!AI201</f>
        <v>30.185603106060604</v>
      </c>
      <c r="E198" s="954">
        <f>Calculation!AE201</f>
        <v>67.418259999999989</v>
      </c>
      <c r="F198" s="954">
        <f>Calculation!AF201</f>
        <v>73.234980000000007</v>
      </c>
      <c r="G198" s="954">
        <f>Calculation!AG201</f>
        <v>0</v>
      </c>
      <c r="H198" s="955">
        <f>Sheet1!H203</f>
        <v>1.07</v>
      </c>
      <c r="I198" s="935">
        <f>Sheet1!DA203</f>
        <v>488</v>
      </c>
      <c r="J198" s="935">
        <f>Sheet1!DB203</f>
        <v>303</v>
      </c>
      <c r="K198" s="935">
        <f>Sheet1!CZ203</f>
        <v>416</v>
      </c>
      <c r="L198" s="959">
        <f>Calculation!F201</f>
        <v>250</v>
      </c>
      <c r="M198" s="959">
        <f>Calculation!E201</f>
        <v>250</v>
      </c>
      <c r="N198" s="959">
        <f>Calculation!D201</f>
        <v>300</v>
      </c>
      <c r="O198" s="985">
        <f>Sheet1!DC203</f>
        <v>1164.81</v>
      </c>
      <c r="P198" s="986">
        <f>Calculation!FD201</f>
        <v>1139.4136986300575</v>
      </c>
      <c r="Q198" s="994">
        <f>Calculation!DP201</f>
        <v>46806.100000113824</v>
      </c>
      <c r="R198" s="985">
        <f t="shared" ref="R198:R261" si="58">Q198-619</f>
        <v>46187.100000113824</v>
      </c>
      <c r="S198" s="987">
        <f t="shared" si="46"/>
        <v>-154.8999999992302</v>
      </c>
      <c r="T198" s="994">
        <f ca="1">IF(A198&gt;$A$1,#N/A,VLOOKUP(A198,Calculation!$B$8:$JF$503,40,FALSE))</f>
        <v>9827.4387956309183</v>
      </c>
      <c r="U198" s="987">
        <f t="shared" si="47"/>
        <v>30.185603106060604</v>
      </c>
      <c r="V198" s="987">
        <f>Calculation!AZ201</f>
        <v>0</v>
      </c>
      <c r="W198" s="994">
        <f t="shared" ca="1" si="57"/>
        <v>13314.450000000006</v>
      </c>
      <c r="X198" s="1080">
        <v>0</v>
      </c>
      <c r="Y198" s="994">
        <f t="shared" ca="1" si="56"/>
        <v>2500</v>
      </c>
      <c r="Z198" s="987">
        <f t="shared" ca="1" si="51"/>
        <v>10814.450000000006</v>
      </c>
      <c r="AA198" s="994">
        <f t="shared" ref="AA198:AA261" ca="1" si="59">IF(Q198-T198-W198&lt;0,0,Q198-T198-W198)</f>
        <v>23664.211204482905</v>
      </c>
      <c r="AB198" s="1093">
        <f t="shared" ref="AB198:AB261" ca="1" si="60">AA198-619</f>
        <v>23045.211204482905</v>
      </c>
      <c r="AC198" s="954">
        <f ca="1">IF(A198&gt;$A$1, #N/A,VLOOKUP(A198,Calculation!$B$8:$JF$880,165,FALSE))</f>
        <v>22745</v>
      </c>
      <c r="AD198" s="418">
        <f t="shared" ca="1" si="48"/>
        <v>-84</v>
      </c>
      <c r="AE198" s="418"/>
      <c r="AF198" s="935">
        <f>Calculation!G201</f>
        <v>337.88603126614714</v>
      </c>
      <c r="AG198" s="941" t="str">
        <f t="shared" si="49"/>
        <v>Yes</v>
      </c>
      <c r="AH198" s="941" t="str">
        <f t="shared" si="50"/>
        <v>Yes</v>
      </c>
      <c r="AI198" s="963">
        <v>48447.150000114845</v>
      </c>
      <c r="AJ198" s="964">
        <v>49144.000000118191</v>
      </c>
      <c r="AK198" s="964">
        <v>43169.900000106558</v>
      </c>
      <c r="AN198" s="447"/>
      <c r="AO198" s="430"/>
      <c r="AP198" s="462"/>
      <c r="AQ198" s="461"/>
      <c r="AR198" s="461"/>
      <c r="AS198" s="463"/>
      <c r="AU198" s="453"/>
      <c r="AV198" s="452"/>
      <c r="AW198" s="453"/>
      <c r="AX198" s="452"/>
      <c r="AY198" s="453"/>
      <c r="AZ198" s="452"/>
      <c r="BA198" s="449"/>
    </row>
    <row r="199" spans="1:53" ht="13.5" thickBot="1">
      <c r="A199" s="425">
        <v>41830</v>
      </c>
      <c r="B199" s="954">
        <f t="shared" si="45"/>
        <v>144.98483999999999</v>
      </c>
      <c r="C199" s="954">
        <f>Calculation!AK202</f>
        <v>0</v>
      </c>
      <c r="D199" s="954">
        <f>Calculation!AI202</f>
        <v>32.504916560649256</v>
      </c>
      <c r="E199" s="954">
        <f>Calculation!AE202</f>
        <v>74.751040000000003</v>
      </c>
      <c r="F199" s="954">
        <f>Calculation!AF202</f>
        <v>70.233799999999988</v>
      </c>
      <c r="G199" s="954">
        <f>Calculation!AG202</f>
        <v>0</v>
      </c>
      <c r="H199" s="955">
        <f>Sheet1!H204</f>
        <v>0.65</v>
      </c>
      <c r="I199" s="935">
        <f>Sheet1!DA204</f>
        <v>458</v>
      </c>
      <c r="J199" s="935">
        <f>Sheet1!DB204</f>
        <v>289</v>
      </c>
      <c r="K199" s="935">
        <f>Sheet1!CZ204</f>
        <v>416</v>
      </c>
      <c r="L199" s="959">
        <f>Calculation!F202</f>
        <v>250</v>
      </c>
      <c r="M199" s="959">
        <f>Calculation!E202</f>
        <v>250</v>
      </c>
      <c r="N199" s="959">
        <f>Calculation!D202</f>
        <v>300</v>
      </c>
      <c r="O199" s="985">
        <f>Sheet1!DC204</f>
        <v>1164.6500000000001</v>
      </c>
      <c r="P199" s="986">
        <f>Calculation!FD202</f>
        <v>1139.2999999999206</v>
      </c>
      <c r="Q199" s="994">
        <f>Calculation!DP202</f>
        <v>46629.500000113825</v>
      </c>
      <c r="R199" s="985">
        <f t="shared" si="58"/>
        <v>46010.500000113825</v>
      </c>
      <c r="S199" s="987">
        <f t="shared" si="46"/>
        <v>-176.59999999999854</v>
      </c>
      <c r="T199" s="994">
        <f ca="1">IF(A199&gt;$A$1,#N/A,VLOOKUP(A199,Calculation!$B$8:$JF$503,40,FALSE))</f>
        <v>9762.9752636282883</v>
      </c>
      <c r="U199" s="987">
        <f t="shared" si="47"/>
        <v>32.504916560649256</v>
      </c>
      <c r="V199" s="987">
        <f>Calculation!AZ202</f>
        <v>0</v>
      </c>
      <c r="W199" s="994">
        <f t="shared" ca="1" si="57"/>
        <v>13314.450000000006</v>
      </c>
      <c r="X199" s="1080">
        <v>0</v>
      </c>
      <c r="Y199" s="994">
        <f t="shared" ca="1" si="56"/>
        <v>2500</v>
      </c>
      <c r="Z199" s="987">
        <f t="shared" ca="1" si="51"/>
        <v>10814.450000000006</v>
      </c>
      <c r="AA199" s="994">
        <f t="shared" ca="1" si="59"/>
        <v>23552.074736485534</v>
      </c>
      <c r="AB199" s="1093">
        <f t="shared" ca="1" si="60"/>
        <v>22933.074736485534</v>
      </c>
      <c r="AC199" s="954">
        <f ca="1">IF(A199&gt;$A$1, #N/A,VLOOKUP(A199,Calculation!$B$8:$JF$880,165,FALSE))</f>
        <v>22661</v>
      </c>
      <c r="AD199" s="418">
        <f t="shared" ca="1" si="48"/>
        <v>-84</v>
      </c>
      <c r="AE199" s="418"/>
      <c r="AF199" s="935">
        <f>Calculation!G202</f>
        <v>326.94301563288025</v>
      </c>
      <c r="AG199" s="941" t="str">
        <f t="shared" si="49"/>
        <v>Yes</v>
      </c>
      <c r="AH199" s="941" t="str">
        <f t="shared" si="50"/>
        <v>No</v>
      </c>
      <c r="AI199" s="963">
        <v>48014.280000113205</v>
      </c>
      <c r="AJ199" s="964">
        <v>48975.500000117929</v>
      </c>
      <c r="AK199" s="964">
        <v>43020.100000106315</v>
      </c>
      <c r="AN199" s="447"/>
      <c r="AO199" s="430"/>
      <c r="AP199" s="462"/>
      <c r="AQ199" s="461"/>
      <c r="AR199" s="461"/>
      <c r="AS199" s="463"/>
      <c r="AU199" s="453"/>
      <c r="AV199" s="452"/>
      <c r="AW199" s="453"/>
      <c r="AX199" s="452"/>
      <c r="AY199" s="453"/>
      <c r="AZ199" s="452"/>
      <c r="BA199" s="449"/>
    </row>
    <row r="200" spans="1:53" ht="13.5" thickBot="1">
      <c r="A200" s="425">
        <v>41831</v>
      </c>
      <c r="B200" s="954">
        <f t="shared" si="45"/>
        <v>155.16409999999999</v>
      </c>
      <c r="C200" s="954">
        <f>Calculation!AK203</f>
        <v>0</v>
      </c>
      <c r="D200" s="954">
        <f>Calculation!AI203</f>
        <v>43.33516998116761</v>
      </c>
      <c r="E200" s="954">
        <f>Calculation!AE203</f>
        <v>73.327799999999996</v>
      </c>
      <c r="F200" s="954">
        <f>Calculation!AF203</f>
        <v>81.836299999999994</v>
      </c>
      <c r="G200" s="954">
        <f>Calculation!AG203</f>
        <v>0</v>
      </c>
      <c r="H200" s="955">
        <f>Sheet1!H205</f>
        <v>0.7</v>
      </c>
      <c r="I200" s="935">
        <f>Sheet1!DA205</f>
        <v>444</v>
      </c>
      <c r="J200" s="935">
        <f>Sheet1!DB205</f>
        <v>243</v>
      </c>
      <c r="K200" s="935">
        <f>Sheet1!CZ205</f>
        <v>372</v>
      </c>
      <c r="L200" s="959">
        <f>Calculation!F203</f>
        <v>250</v>
      </c>
      <c r="M200" s="959">
        <f>Calculation!E203</f>
        <v>250</v>
      </c>
      <c r="N200" s="959">
        <f>Calculation!D203</f>
        <v>300</v>
      </c>
      <c r="O200" s="985">
        <f>Sheet1!DC205</f>
        <v>1164.5</v>
      </c>
      <c r="P200" s="986">
        <f>Calculation!FD203</f>
        <v>1139.1863013697837</v>
      </c>
      <c r="Q200" s="994">
        <f>Calculation!DP203</f>
        <v>46464.000000112552</v>
      </c>
      <c r="R200" s="985">
        <f t="shared" si="58"/>
        <v>45845.000000112552</v>
      </c>
      <c r="S200" s="987">
        <f t="shared" si="46"/>
        <v>-165.50000000127329</v>
      </c>
      <c r="T200" s="994">
        <f ca="1">IF(A200&gt;$A$1,#N/A,VLOOKUP(A200,Calculation!$B$8:$JF$503,40,FALSE))</f>
        <v>9677.033245850509</v>
      </c>
      <c r="U200" s="987">
        <f t="shared" si="47"/>
        <v>43.33516998116761</v>
      </c>
      <c r="V200" s="987">
        <f>Calculation!AZ203</f>
        <v>0</v>
      </c>
      <c r="W200" s="994">
        <f t="shared" ca="1" si="57"/>
        <v>13314.450000000006</v>
      </c>
      <c r="X200" s="1080">
        <v>0</v>
      </c>
      <c r="Y200" s="994">
        <f t="shared" ca="1" si="56"/>
        <v>2500</v>
      </c>
      <c r="Z200" s="987">
        <f t="shared" ca="1" si="51"/>
        <v>10814.450000000006</v>
      </c>
      <c r="AA200" s="994">
        <f t="shared" ca="1" si="59"/>
        <v>23472.51675426204</v>
      </c>
      <c r="AB200" s="1093">
        <f t="shared" ca="1" si="60"/>
        <v>22853.51675426204</v>
      </c>
      <c r="AC200" s="954">
        <f ca="1">IF(A200&gt;$A$1, #N/A,VLOOKUP(A200,Calculation!$B$8:$JF$880,165,FALSE))</f>
        <v>22577</v>
      </c>
      <c r="AD200" s="418">
        <f t="shared" ca="1" si="48"/>
        <v>-84</v>
      </c>
      <c r="AE200" s="418"/>
      <c r="AF200" s="935">
        <f>Calculation!G203</f>
        <v>288.54059505735086</v>
      </c>
      <c r="AG200" s="941" t="str">
        <f t="shared" si="49"/>
        <v>Yes</v>
      </c>
      <c r="AH200" s="941" t="str">
        <f t="shared" si="50"/>
        <v>No</v>
      </c>
      <c r="AI200" s="963">
        <v>47550.600000112958</v>
      </c>
      <c r="AJ200" s="964">
        <v>48784.400000117676</v>
      </c>
      <c r="AK200" s="964">
        <v>42891.700000106321</v>
      </c>
      <c r="AN200" s="447"/>
      <c r="AO200" s="430"/>
      <c r="AP200" s="462"/>
      <c r="AQ200" s="461"/>
      <c r="AR200" s="461"/>
      <c r="AS200" s="463"/>
      <c r="AU200" s="453"/>
      <c r="AV200" s="452"/>
      <c r="AW200" s="453"/>
      <c r="AX200" s="452"/>
      <c r="AY200" s="453"/>
      <c r="AZ200" s="452"/>
      <c r="BA200" s="449"/>
    </row>
    <row r="201" spans="1:53" ht="13.5" thickBot="1">
      <c r="A201" s="425">
        <v>41832</v>
      </c>
      <c r="B201" s="954">
        <f t="shared" si="45"/>
        <v>155.19504000000001</v>
      </c>
      <c r="C201" s="954">
        <f>Calculation!AK204</f>
        <v>0</v>
      </c>
      <c r="D201" s="954">
        <f>Calculation!AI204</f>
        <v>43.328157490608561</v>
      </c>
      <c r="E201" s="954">
        <f>Calculation!AE204</f>
        <v>73.327799999999996</v>
      </c>
      <c r="F201" s="954">
        <f>Calculation!AF204</f>
        <v>81.867239999999995</v>
      </c>
      <c r="G201" s="954">
        <f>Calculation!AG204</f>
        <v>0</v>
      </c>
      <c r="H201" s="955">
        <f>Sheet1!H206</f>
        <v>0.72</v>
      </c>
      <c r="I201" s="935">
        <f>Sheet1!DA206</f>
        <v>401</v>
      </c>
      <c r="J201" s="935">
        <f>Sheet1!DB206</f>
        <v>241</v>
      </c>
      <c r="K201" s="935">
        <f>Sheet1!CZ206</f>
        <v>372</v>
      </c>
      <c r="L201" s="959">
        <f>Calculation!F204</f>
        <v>250</v>
      </c>
      <c r="M201" s="959">
        <f>Calculation!E204</f>
        <v>250</v>
      </c>
      <c r="N201" s="959">
        <f>Calculation!D204</f>
        <v>300</v>
      </c>
      <c r="O201" s="985">
        <f>Sheet1!DC206</f>
        <v>1164.3699999999999</v>
      </c>
      <c r="P201" s="986">
        <f>Calculation!FD204</f>
        <v>1139.0712328766331</v>
      </c>
      <c r="Q201" s="994">
        <f>Calculation!DP204</f>
        <v>46320.70000011332</v>
      </c>
      <c r="R201" s="985">
        <f t="shared" si="58"/>
        <v>45701.70000011332</v>
      </c>
      <c r="S201" s="987">
        <f t="shared" si="46"/>
        <v>-143.29999999923166</v>
      </c>
      <c r="T201" s="994">
        <f ca="1">IF(A201&gt;$A$1,#N/A,VLOOKUP(A201,Calculation!$B$8:$JF$503,40,FALSE))</f>
        <v>9591.1051351968672</v>
      </c>
      <c r="U201" s="987">
        <f t="shared" si="47"/>
        <v>43.328157490608561</v>
      </c>
      <c r="V201" s="987">
        <f>Calculation!AZ204</f>
        <v>0</v>
      </c>
      <c r="W201" s="994">
        <f t="shared" ca="1" si="57"/>
        <v>13314.450000000006</v>
      </c>
      <c r="X201" s="1080">
        <v>0</v>
      </c>
      <c r="Y201" s="994">
        <f t="shared" ca="1" si="56"/>
        <v>2500</v>
      </c>
      <c r="Z201" s="987">
        <f t="shared" ca="1" si="51"/>
        <v>10814.450000000006</v>
      </c>
      <c r="AA201" s="994">
        <f t="shared" ca="1" si="59"/>
        <v>23415.144864916445</v>
      </c>
      <c r="AB201" s="1093">
        <f t="shared" ca="1" si="60"/>
        <v>22796.144864916445</v>
      </c>
      <c r="AC201" s="954">
        <f ca="1">IF(A201&gt;$A$1, #N/A,VLOOKUP(A201,Calculation!$B$8:$JF$880,165,FALSE))</f>
        <v>22493</v>
      </c>
      <c r="AD201" s="418">
        <f t="shared" ca="1" si="48"/>
        <v>-84</v>
      </c>
      <c r="AE201" s="418"/>
      <c r="AF201" s="935">
        <f>Calculation!G204</f>
        <v>299.73575390860731</v>
      </c>
      <c r="AG201" s="941" t="str">
        <f t="shared" si="49"/>
        <v>Yes</v>
      </c>
      <c r="AH201" s="941" t="str">
        <f t="shared" si="50"/>
        <v>No</v>
      </c>
      <c r="AI201" s="963">
        <v>47076.210000111336</v>
      </c>
      <c r="AJ201" s="964">
        <v>48581.000000117674</v>
      </c>
      <c r="AK201" s="964">
        <v>42774.000000106076</v>
      </c>
      <c r="AN201" s="447"/>
      <c r="AO201" s="430"/>
      <c r="AP201" s="462"/>
      <c r="AQ201" s="461"/>
      <c r="AR201" s="461"/>
      <c r="AS201" s="463"/>
      <c r="AU201" s="453"/>
      <c r="AV201" s="452"/>
      <c r="AW201" s="453"/>
      <c r="AX201" s="452"/>
      <c r="AY201" s="453"/>
      <c r="AZ201" s="452"/>
      <c r="BA201" s="449"/>
    </row>
    <row r="202" spans="1:53" ht="13.5" thickBot="1">
      <c r="A202" s="425">
        <v>41833</v>
      </c>
      <c r="B202" s="954">
        <f t="shared" si="45"/>
        <v>155.19504000000001</v>
      </c>
      <c r="C202" s="954">
        <f>Calculation!AK205</f>
        <v>0</v>
      </c>
      <c r="D202" s="954">
        <f>Calculation!AI205</f>
        <v>43.346240000000002</v>
      </c>
      <c r="E202" s="954">
        <f>Calculation!AE205</f>
        <v>73.327799999999996</v>
      </c>
      <c r="F202" s="954">
        <f>Calculation!AF205</f>
        <v>81.867239999999995</v>
      </c>
      <c r="G202" s="954">
        <f>Calculation!AG205</f>
        <v>0</v>
      </c>
      <c r="H202" s="955">
        <f>Sheet1!H207</f>
        <v>0.81</v>
      </c>
      <c r="I202" s="935">
        <f>Sheet1!DA207</f>
        <v>392</v>
      </c>
      <c r="J202" s="935">
        <f>Sheet1!DB207</f>
        <v>251</v>
      </c>
      <c r="K202" s="935">
        <f>Sheet1!CZ207</f>
        <v>372</v>
      </c>
      <c r="L202" s="959">
        <f>Calculation!F205</f>
        <v>250</v>
      </c>
      <c r="M202" s="959">
        <f>Calculation!E205</f>
        <v>250</v>
      </c>
      <c r="N202" s="959">
        <f>Calculation!D205</f>
        <v>300</v>
      </c>
      <c r="O202" s="985">
        <f>Sheet1!DC207</f>
        <v>1164.26</v>
      </c>
      <c r="P202" s="986">
        <f>Calculation!FD205</f>
        <v>1138.9555555554764</v>
      </c>
      <c r="Q202" s="994">
        <f>Calculation!DP205</f>
        <v>46199.000000112297</v>
      </c>
      <c r="R202" s="985">
        <f t="shared" si="58"/>
        <v>45580.000000112297</v>
      </c>
      <c r="S202" s="987">
        <f t="shared" si="46"/>
        <v>-121.700000001023</v>
      </c>
      <c r="T202" s="994">
        <f ca="1">IF(A202&gt;$A$1,#N/A,VLOOKUP(A202,Calculation!$B$8:$JF$503,40,FALSE))</f>
        <v>9505.1411634321612</v>
      </c>
      <c r="U202" s="987">
        <f t="shared" si="47"/>
        <v>43.346240000000002</v>
      </c>
      <c r="V202" s="987">
        <f>Calculation!AZ205</f>
        <v>0</v>
      </c>
      <c r="W202" s="994">
        <f t="shared" ca="1" si="57"/>
        <v>13314.450000000006</v>
      </c>
      <c r="X202" s="1080">
        <v>0</v>
      </c>
      <c r="Y202" s="994">
        <f t="shared" ca="1" si="56"/>
        <v>2500</v>
      </c>
      <c r="Z202" s="987">
        <f t="shared" ca="1" si="51"/>
        <v>10814.450000000006</v>
      </c>
      <c r="AA202" s="994">
        <f t="shared" ca="1" si="59"/>
        <v>23379.40883668013</v>
      </c>
      <c r="AB202" s="1093">
        <f t="shared" ca="1" si="60"/>
        <v>22760.40883668013</v>
      </c>
      <c r="AC202" s="954">
        <f ca="1">IF(A202&gt;$A$1, #N/A,VLOOKUP(A202,Calculation!$B$8:$JF$880,165,FALSE))</f>
        <v>22409</v>
      </c>
      <c r="AD202" s="418">
        <f t="shared" ca="1" si="48"/>
        <v>-84</v>
      </c>
      <c r="AE202" s="418"/>
      <c r="AF202" s="935">
        <f>Calculation!G205</f>
        <v>310.62834089711396</v>
      </c>
      <c r="AG202" s="941" t="str">
        <f t="shared" si="49"/>
        <v>Yes</v>
      </c>
      <c r="AH202" s="941" t="str">
        <f t="shared" si="50"/>
        <v>No</v>
      </c>
      <c r="AI202" s="963">
        <v>46846.68000011109</v>
      </c>
      <c r="AJ202" s="964">
        <v>48300.000000116379</v>
      </c>
      <c r="AK202" s="964">
        <v>42645.800000105082</v>
      </c>
      <c r="AN202" s="447"/>
      <c r="AO202" s="430"/>
      <c r="AP202" s="462"/>
      <c r="AQ202" s="461"/>
      <c r="AR202" s="461"/>
      <c r="AS202" s="463"/>
      <c r="AU202" s="453"/>
      <c r="AV202" s="452"/>
      <c r="AW202" s="453"/>
      <c r="AX202" s="452"/>
      <c r="AY202" s="453"/>
      <c r="AZ202" s="452"/>
      <c r="BA202" s="449"/>
    </row>
    <row r="203" spans="1:53" ht="13.5" thickBot="1">
      <c r="A203" s="425">
        <v>41834</v>
      </c>
      <c r="B203" s="954">
        <f t="shared" si="45"/>
        <v>155.21051</v>
      </c>
      <c r="C203" s="954">
        <f>Calculation!AK206</f>
        <v>0</v>
      </c>
      <c r="D203" s="954">
        <f>Calculation!AI206</f>
        <v>43.440488342749525</v>
      </c>
      <c r="E203" s="954">
        <f>Calculation!AE206</f>
        <v>73.327799999999996</v>
      </c>
      <c r="F203" s="954">
        <f>Calculation!AF206</f>
        <v>81.882710000000003</v>
      </c>
      <c r="G203" s="954">
        <f>Calculation!AG206</f>
        <v>0</v>
      </c>
      <c r="H203" s="955">
        <f>Sheet1!H208</f>
        <v>0.56000000000000005</v>
      </c>
      <c r="I203" s="935">
        <f>Sheet1!DA208</f>
        <v>392</v>
      </c>
      <c r="J203" s="935">
        <f>Sheet1!DB208</f>
        <v>259</v>
      </c>
      <c r="K203" s="935">
        <f>Sheet1!CZ208</f>
        <v>372</v>
      </c>
      <c r="L203" s="959">
        <f>Calculation!F206</f>
        <v>250</v>
      </c>
      <c r="M203" s="959">
        <f>Calculation!E206</f>
        <v>250</v>
      </c>
      <c r="N203" s="959">
        <f>Calculation!D206</f>
        <v>300</v>
      </c>
      <c r="O203" s="985">
        <f>Sheet1!DC208</f>
        <v>1164.1300000000001</v>
      </c>
      <c r="P203" s="986">
        <f>Calculation!FD206</f>
        <v>1138.8388888888098</v>
      </c>
      <c r="Q203" s="994">
        <f>Calculation!DP206</f>
        <v>46055.300000113319</v>
      </c>
      <c r="R203" s="985">
        <f t="shared" si="58"/>
        <v>45436.300000113319</v>
      </c>
      <c r="S203" s="987">
        <f t="shared" si="46"/>
        <v>-143.69999999897846</v>
      </c>
      <c r="T203" s="994">
        <f ca="1">IF(A203&gt;$A$1,#N/A,VLOOKUP(A203,Calculation!$B$8:$JF$503,40,FALSE))</f>
        <v>9418.990278987716</v>
      </c>
      <c r="U203" s="987">
        <f t="shared" si="47"/>
        <v>43.440488342749525</v>
      </c>
      <c r="V203" s="987">
        <f>Calculation!AZ206</f>
        <v>0</v>
      </c>
      <c r="W203" s="994">
        <f t="shared" ca="1" si="57"/>
        <v>13314.450000000006</v>
      </c>
      <c r="X203" s="1080">
        <v>0</v>
      </c>
      <c r="Y203" s="994">
        <f t="shared" ca="1" si="56"/>
        <v>2500</v>
      </c>
      <c r="Z203" s="987">
        <f t="shared" ca="1" si="51"/>
        <v>10814.450000000006</v>
      </c>
      <c r="AA203" s="994">
        <f t="shared" ca="1" si="59"/>
        <v>23321.859721125598</v>
      </c>
      <c r="AB203" s="1093">
        <f t="shared" ca="1" si="60"/>
        <v>22702.859721125598</v>
      </c>
      <c r="AC203" s="954">
        <f ca="1">IF(A203&gt;$A$1, #N/A,VLOOKUP(A203,Calculation!$B$8:$JF$880,165,FALSE))</f>
        <v>22325</v>
      </c>
      <c r="AD203" s="418">
        <f t="shared" ca="1" si="48"/>
        <v>-84</v>
      </c>
      <c r="AE203" s="418"/>
      <c r="AF203" s="935">
        <f>Calculation!G206</f>
        <v>299.53403933485708</v>
      </c>
      <c r="AG203" s="941" t="str">
        <f t="shared" si="49"/>
        <v>Yes</v>
      </c>
      <c r="AH203" s="941" t="str">
        <f t="shared" si="50"/>
        <v>No</v>
      </c>
      <c r="AI203" s="963">
        <v>46715.520000111086</v>
      </c>
      <c r="AJ203" s="964">
        <v>47941.600000115868</v>
      </c>
      <c r="AK203" s="964">
        <v>42497.400000104841</v>
      </c>
      <c r="AN203" s="447"/>
      <c r="AO203" s="430"/>
      <c r="AP203" s="462"/>
      <c r="AQ203" s="461"/>
      <c r="AR203" s="461"/>
      <c r="AS203" s="463"/>
      <c r="AU203" s="453"/>
      <c r="AV203" s="452"/>
      <c r="AW203" s="453"/>
      <c r="AX203" s="452"/>
      <c r="AY203" s="453"/>
      <c r="AZ203" s="452"/>
      <c r="BA203" s="449"/>
    </row>
    <row r="204" spans="1:53" ht="13.5" thickBot="1">
      <c r="A204" s="425">
        <v>41835</v>
      </c>
      <c r="B204" s="954">
        <f t="shared" si="45"/>
        <v>155.21051</v>
      </c>
      <c r="C204" s="954">
        <f>Calculation!AK207</f>
        <v>0</v>
      </c>
      <c r="D204" s="954">
        <f>Calculation!AI207</f>
        <v>43.315999999999995</v>
      </c>
      <c r="E204" s="954">
        <f>Calculation!AE207</f>
        <v>73.327799999999996</v>
      </c>
      <c r="F204" s="954">
        <f>Calculation!AF207</f>
        <v>81.882710000000003</v>
      </c>
      <c r="G204" s="954">
        <f>Calculation!AG207</f>
        <v>0</v>
      </c>
      <c r="H204" s="955">
        <f>Sheet1!H209</f>
        <v>0.82</v>
      </c>
      <c r="I204" s="935">
        <f>Sheet1!DA209</f>
        <v>387</v>
      </c>
      <c r="J204" s="935">
        <f>Sheet1!DB209</f>
        <v>253</v>
      </c>
      <c r="K204" s="935">
        <f>Sheet1!CZ209</f>
        <v>360</v>
      </c>
      <c r="L204" s="959">
        <f>Calculation!F207</f>
        <v>250</v>
      </c>
      <c r="M204" s="959">
        <f>Calculation!E207</f>
        <v>400</v>
      </c>
      <c r="N204" s="959">
        <f>Calculation!D207</f>
        <v>200</v>
      </c>
      <c r="O204" s="985">
        <f>Sheet1!DC209</f>
        <v>1163.97</v>
      </c>
      <c r="P204" s="986">
        <f>Calculation!FD207</f>
        <v>1138.7222222221433</v>
      </c>
      <c r="Q204" s="994">
        <f>Calculation!DP207</f>
        <v>45879.300000111034</v>
      </c>
      <c r="R204" s="985">
        <f t="shared" si="58"/>
        <v>45260.300000111034</v>
      </c>
      <c r="S204" s="987">
        <f t="shared" si="46"/>
        <v>-176.00000000228465</v>
      </c>
      <c r="T204" s="994">
        <f ca="1">IF(A204&gt;$A$1,#N/A,VLOOKUP(A204,Calculation!$B$8:$JF$503,40,FALSE))</f>
        <v>9333.0862789877156</v>
      </c>
      <c r="U204" s="987">
        <f t="shared" si="47"/>
        <v>43.315999999999995</v>
      </c>
      <c r="V204" s="987">
        <f>Calculation!AZ207</f>
        <v>0</v>
      </c>
      <c r="W204" s="994">
        <f t="shared" ca="1" si="57"/>
        <v>13314.450000000006</v>
      </c>
      <c r="X204" s="1080">
        <v>0</v>
      </c>
      <c r="Y204" s="994">
        <f t="shared" ca="1" si="56"/>
        <v>2500</v>
      </c>
      <c r="Z204" s="987">
        <f t="shared" ca="1" si="51"/>
        <v>10814.450000000006</v>
      </c>
      <c r="AA204" s="994">
        <f t="shared" ca="1" si="59"/>
        <v>23231.763721123316</v>
      </c>
      <c r="AB204" s="1093">
        <f t="shared" ca="1" si="60"/>
        <v>22612.763721123316</v>
      </c>
      <c r="AC204" s="954">
        <f ca="1">IF(A204&gt;$A$1, #N/A,VLOOKUP(A204,Calculation!$B$8:$JF$880,165,FALSE))</f>
        <v>22241</v>
      </c>
      <c r="AD204" s="418">
        <f t="shared" ca="1" si="48"/>
        <v>-84</v>
      </c>
      <c r="AE204" s="418"/>
      <c r="AF204" s="935">
        <f>Calculation!G207</f>
        <v>271.2455874925443</v>
      </c>
      <c r="AG204" s="941" t="str">
        <f t="shared" si="49"/>
        <v>Yes</v>
      </c>
      <c r="AH204" s="941" t="str">
        <f t="shared" si="50"/>
        <v>No</v>
      </c>
      <c r="AI204" s="963">
        <v>46431.340000110838</v>
      </c>
      <c r="AJ204" s="964">
        <v>47551.600000115614</v>
      </c>
      <c r="AK204" s="964">
        <v>42338.400000104841</v>
      </c>
      <c r="AN204" s="447"/>
      <c r="AO204" s="430"/>
      <c r="AP204" s="462"/>
      <c r="AQ204" s="461"/>
      <c r="AR204" s="461"/>
      <c r="AS204" s="463"/>
      <c r="AU204" s="453"/>
      <c r="AV204" s="452"/>
      <c r="AW204" s="453"/>
      <c r="AX204" s="452"/>
      <c r="AY204" s="453"/>
      <c r="AZ204" s="452"/>
      <c r="BA204" s="449"/>
    </row>
    <row r="205" spans="1:53" ht="13.5" thickBot="1">
      <c r="A205" s="425">
        <v>41836</v>
      </c>
      <c r="B205" s="954">
        <f t="shared" si="45"/>
        <v>155.00939999999997</v>
      </c>
      <c r="C205" s="954">
        <f>Calculation!AK208</f>
        <v>0</v>
      </c>
      <c r="D205" s="954">
        <f>Calculation!AI208</f>
        <v>43.315999999999995</v>
      </c>
      <c r="E205" s="954">
        <f>Calculation!AE208</f>
        <v>73.173099999999991</v>
      </c>
      <c r="F205" s="954">
        <f>Calculation!AF208</f>
        <v>81.836299999999994</v>
      </c>
      <c r="G205" s="954">
        <f>Calculation!AG208</f>
        <v>0</v>
      </c>
      <c r="H205" s="955">
        <f>Sheet1!H210</f>
        <v>0.67</v>
      </c>
      <c r="I205" s="935">
        <f>Sheet1!DA210</f>
        <v>369</v>
      </c>
      <c r="J205" s="935">
        <f>Sheet1!DB210</f>
        <v>253</v>
      </c>
      <c r="K205" s="935">
        <f>Sheet1!CZ210</f>
        <v>360</v>
      </c>
      <c r="L205" s="959">
        <f>Calculation!F208</f>
        <v>250</v>
      </c>
      <c r="M205" s="959">
        <f>Calculation!E208</f>
        <v>400</v>
      </c>
      <c r="N205" s="959">
        <f>Calculation!D208</f>
        <v>200</v>
      </c>
      <c r="O205" s="985">
        <f>Sheet1!DC210</f>
        <v>1163.81</v>
      </c>
      <c r="P205" s="986">
        <f>Calculation!FD208</f>
        <v>1138.6055555554767</v>
      </c>
      <c r="Q205" s="994">
        <f>Calculation!DP208</f>
        <v>45704.000000111802</v>
      </c>
      <c r="R205" s="985">
        <f t="shared" si="58"/>
        <v>45085.000000111802</v>
      </c>
      <c r="S205" s="987">
        <f t="shared" si="46"/>
        <v>-175.29999999923166</v>
      </c>
      <c r="T205" s="994">
        <f ca="1">IF(A205&gt;$A$1,#N/A,VLOOKUP(A205,Calculation!$B$8:$JF$503,40,FALSE))</f>
        <v>9247.1822789877151</v>
      </c>
      <c r="U205" s="987">
        <f t="shared" si="47"/>
        <v>43.315999999999995</v>
      </c>
      <c r="V205" s="987">
        <f>Calculation!AZ208</f>
        <v>0</v>
      </c>
      <c r="W205" s="994">
        <f t="shared" ca="1" si="57"/>
        <v>13314.450000000006</v>
      </c>
      <c r="X205" s="1080">
        <v>0</v>
      </c>
      <c r="Y205" s="994">
        <f t="shared" ca="1" si="56"/>
        <v>2500</v>
      </c>
      <c r="Z205" s="987">
        <f t="shared" ca="1" si="51"/>
        <v>10814.450000000006</v>
      </c>
      <c r="AA205" s="994">
        <f t="shared" ca="1" si="59"/>
        <v>23142.367721124079</v>
      </c>
      <c r="AB205" s="1093">
        <f t="shared" ca="1" si="60"/>
        <v>22523.367721124079</v>
      </c>
      <c r="AC205" s="954">
        <f ca="1">IF(A205&gt;$A$1, #N/A,VLOOKUP(A205,Calculation!$B$8:$JF$880,165,FALSE))</f>
        <v>22158</v>
      </c>
      <c r="AD205" s="418">
        <f t="shared" ca="1" si="48"/>
        <v>-83</v>
      </c>
      <c r="AE205" s="418"/>
      <c r="AF205" s="935">
        <f>Calculation!G208</f>
        <v>271.59858799837036</v>
      </c>
      <c r="AG205" s="941" t="str">
        <f t="shared" si="49"/>
        <v>Yes</v>
      </c>
      <c r="AH205" s="941" t="str">
        <f t="shared" si="50"/>
        <v>No</v>
      </c>
      <c r="AI205" s="963">
        <v>46201.810000110592</v>
      </c>
      <c r="AJ205" s="964">
        <v>47060.800000115109</v>
      </c>
      <c r="AK205" s="964">
        <v>42179.400000104601</v>
      </c>
      <c r="AN205" s="447"/>
      <c r="AO205" s="430"/>
      <c r="AP205" s="462"/>
      <c r="AQ205" s="461"/>
      <c r="AR205" s="461"/>
      <c r="AS205" s="463"/>
      <c r="AU205" s="453"/>
      <c r="AV205" s="452"/>
      <c r="AW205" s="453"/>
      <c r="AX205" s="452"/>
      <c r="AY205" s="453"/>
      <c r="AZ205" s="452"/>
      <c r="BA205" s="449"/>
    </row>
    <row r="206" spans="1:53" ht="13.5" thickBot="1">
      <c r="A206" s="425">
        <v>41837</v>
      </c>
      <c r="B206" s="954">
        <f t="shared" si="45"/>
        <v>153.09111999999999</v>
      </c>
      <c r="C206" s="954">
        <f>Calculation!AK209</f>
        <v>0</v>
      </c>
      <c r="D206" s="954">
        <f>Calculation!AI209</f>
        <v>43.315999999999995</v>
      </c>
      <c r="E206" s="954">
        <f>Calculation!AE209</f>
        <v>72.244900000000001</v>
      </c>
      <c r="F206" s="954">
        <f>Calculation!AF209</f>
        <v>80.846219999999988</v>
      </c>
      <c r="G206" s="954">
        <f>Calculation!AG209</f>
        <v>0</v>
      </c>
      <c r="H206" s="955">
        <f>Sheet1!H211</f>
        <v>0.73</v>
      </c>
      <c r="I206" s="935">
        <f>Sheet1!DA211</f>
        <v>360</v>
      </c>
      <c r="J206" s="935">
        <f>Sheet1!DB211</f>
        <v>229</v>
      </c>
      <c r="K206" s="935">
        <f>Sheet1!CZ211</f>
        <v>336</v>
      </c>
      <c r="L206" s="959">
        <f>Calculation!F209</f>
        <v>250</v>
      </c>
      <c r="M206" s="959">
        <f>Calculation!E209</f>
        <v>400</v>
      </c>
      <c r="N206" s="959">
        <f>Calculation!D209</f>
        <v>200</v>
      </c>
      <c r="O206" s="985">
        <f>Sheet1!DC211</f>
        <v>1163.6500000000001</v>
      </c>
      <c r="P206" s="986">
        <f>Calculation!FD209</f>
        <v>1138.4888888888102</v>
      </c>
      <c r="Q206" s="994">
        <f>Calculation!DP209</f>
        <v>45529.500000110784</v>
      </c>
      <c r="R206" s="985">
        <f t="shared" si="58"/>
        <v>44910.500000110784</v>
      </c>
      <c r="S206" s="987">
        <f t="shared" si="46"/>
        <v>-174.50000000101863</v>
      </c>
      <c r="T206" s="994">
        <f ca="1">IF(A206&gt;$A$1,#N/A,VLOOKUP(A206,Calculation!$B$8:$JF$503,40,FALSE))</f>
        <v>9161.2782789877165</v>
      </c>
      <c r="U206" s="987">
        <f t="shared" si="47"/>
        <v>43.315999999999995</v>
      </c>
      <c r="V206" s="987">
        <f>Calculation!AZ209</f>
        <v>0</v>
      </c>
      <c r="W206" s="994">
        <f t="shared" ca="1" si="57"/>
        <v>13314.450000000006</v>
      </c>
      <c r="X206" s="1080">
        <v>0</v>
      </c>
      <c r="Y206" s="994">
        <f t="shared" ca="1" si="56"/>
        <v>2500</v>
      </c>
      <c r="Z206" s="987">
        <f t="shared" ca="1" si="51"/>
        <v>10814.450000000006</v>
      </c>
      <c r="AA206" s="994">
        <f t="shared" ca="1" si="59"/>
        <v>23053.771721123063</v>
      </c>
      <c r="AB206" s="1093">
        <f t="shared" ca="1" si="60"/>
        <v>22434.771721123063</v>
      </c>
      <c r="AC206" s="954">
        <f ca="1">IF(A206&gt;$A$1, #N/A,VLOOKUP(A206,Calculation!$B$8:$JF$880,165,FALSE))</f>
        <v>22074</v>
      </c>
      <c r="AD206" s="418">
        <f t="shared" ca="1" si="48"/>
        <v>-84</v>
      </c>
      <c r="AE206" s="418"/>
      <c r="AF206" s="935">
        <f>Calculation!G209</f>
        <v>248.00201714522512</v>
      </c>
      <c r="AG206" s="941" t="str">
        <f t="shared" si="49"/>
        <v>Yes</v>
      </c>
      <c r="AH206" s="941" t="str">
        <f t="shared" si="50"/>
        <v>No</v>
      </c>
      <c r="AI206" s="963">
        <v>45907.800000109237</v>
      </c>
      <c r="AJ206" s="964">
        <v>46651.700000113822</v>
      </c>
      <c r="AK206" s="964">
        <v>42031.000000104599</v>
      </c>
      <c r="AN206" s="447"/>
      <c r="AO206" s="430"/>
      <c r="AP206" s="462"/>
      <c r="AQ206" s="461"/>
      <c r="AR206" s="461"/>
      <c r="AS206" s="463"/>
      <c r="AU206" s="453"/>
      <c r="AV206" s="452"/>
      <c r="AW206" s="453"/>
      <c r="AX206" s="452"/>
      <c r="AY206" s="453"/>
      <c r="AZ206" s="452"/>
      <c r="BA206" s="449"/>
    </row>
    <row r="207" spans="1:53" ht="13.5" thickBot="1">
      <c r="A207" s="425">
        <v>41838</v>
      </c>
      <c r="B207" s="954">
        <f t="shared" si="45"/>
        <v>148.79046</v>
      </c>
      <c r="C207" s="954">
        <f>Calculation!AK210</f>
        <v>0</v>
      </c>
      <c r="D207" s="954">
        <f>Calculation!AI210</f>
        <v>37.128</v>
      </c>
      <c r="E207" s="954">
        <f>Calculation!AE210</f>
        <v>73.760959999999997</v>
      </c>
      <c r="F207" s="954">
        <f>Calculation!AF210</f>
        <v>75.029499999999999</v>
      </c>
      <c r="G207" s="954">
        <f>Calculation!AG210</f>
        <v>0.51051000000270141</v>
      </c>
      <c r="H207" s="955">
        <f>Sheet1!H212</f>
        <v>0.82</v>
      </c>
      <c r="I207" s="935">
        <f>Sheet1!DA212</f>
        <v>346</v>
      </c>
      <c r="J207" s="935">
        <f>Sheet1!DB212</f>
        <v>241</v>
      </c>
      <c r="K207" s="935">
        <f>Sheet1!CZ212</f>
        <v>336</v>
      </c>
      <c r="L207" s="959">
        <f>Calculation!F210</f>
        <v>250</v>
      </c>
      <c r="M207" s="959">
        <f>Calculation!E210</f>
        <v>400</v>
      </c>
      <c r="N207" s="959">
        <f>Calculation!D210</f>
        <v>200</v>
      </c>
      <c r="O207" s="985">
        <f>Sheet1!DC212</f>
        <v>1163.5</v>
      </c>
      <c r="P207" s="986">
        <f>Calculation!FD210</f>
        <v>1138.3722222221436</v>
      </c>
      <c r="Q207" s="994">
        <f>Calculation!DP210</f>
        <v>45366.000000110536</v>
      </c>
      <c r="R207" s="985">
        <f t="shared" si="58"/>
        <v>44747.000000110536</v>
      </c>
      <c r="S207" s="987">
        <f t="shared" si="46"/>
        <v>-163.50000000024738</v>
      </c>
      <c r="T207" s="994">
        <f ca="1">IF(A207&gt;$A$1,#N/A,VLOOKUP(A207,Calculation!$B$8:$JF$503,40,FALSE))</f>
        <v>9087.646278987715</v>
      </c>
      <c r="U207" s="987">
        <f t="shared" si="47"/>
        <v>37.128</v>
      </c>
      <c r="V207" s="987">
        <f>Calculation!AZ210</f>
        <v>0</v>
      </c>
      <c r="W207" s="994">
        <f t="shared" ca="1" si="57"/>
        <v>13314.450000000006</v>
      </c>
      <c r="X207" s="1080">
        <v>0</v>
      </c>
      <c r="Y207" s="994">
        <f t="shared" ca="1" si="56"/>
        <v>2500</v>
      </c>
      <c r="Z207" s="987">
        <f t="shared" ca="1" si="51"/>
        <v>10814.450000000006</v>
      </c>
      <c r="AA207" s="994">
        <f t="shared" ca="1" si="59"/>
        <v>22963.903721122821</v>
      </c>
      <c r="AB207" s="1093">
        <f t="shared" ca="1" si="60"/>
        <v>22344.903721122821</v>
      </c>
      <c r="AC207" s="954">
        <f ca="1">IF(A207&gt;$A$1, #N/A,VLOOKUP(A207,Calculation!$B$8:$JF$880,165,FALSE))</f>
        <v>21990</v>
      </c>
      <c r="AD207" s="418">
        <f t="shared" ca="1" si="48"/>
        <v>-84</v>
      </c>
      <c r="AE207" s="418"/>
      <c r="AF207" s="935">
        <f>Calculation!G210</f>
        <v>253.549167927258</v>
      </c>
      <c r="AG207" s="941" t="str">
        <f t="shared" si="49"/>
        <v>Yes</v>
      </c>
      <c r="AH207" s="941" t="str">
        <f t="shared" si="50"/>
        <v>No</v>
      </c>
      <c r="AI207" s="963">
        <v>45518.280000108738</v>
      </c>
      <c r="AJ207" s="964">
        <v>46155.000000112297</v>
      </c>
      <c r="AK207" s="964">
        <v>41861.400000104361</v>
      </c>
      <c r="AN207" s="447"/>
      <c r="AO207" s="430"/>
      <c r="AP207" s="462"/>
      <c r="AQ207" s="461"/>
      <c r="AR207" s="461"/>
      <c r="AS207" s="463"/>
      <c r="AU207" s="453"/>
      <c r="AV207" s="452"/>
      <c r="AW207" s="453"/>
      <c r="AX207" s="452"/>
      <c r="AY207" s="453"/>
      <c r="AZ207" s="452"/>
      <c r="BA207" s="449"/>
    </row>
    <row r="208" spans="1:53" ht="13.5" thickBot="1">
      <c r="A208" s="425">
        <v>41839</v>
      </c>
      <c r="B208" s="954">
        <f t="shared" si="45"/>
        <v>143.43783999999999</v>
      </c>
      <c r="C208" s="954">
        <f>Calculation!AK211</f>
        <v>0</v>
      </c>
      <c r="D208" s="954">
        <f>Calculation!AI211</f>
        <v>30.939999999999998</v>
      </c>
      <c r="E208" s="954">
        <f>Calculation!AE211</f>
        <v>73.977539999999991</v>
      </c>
      <c r="F208" s="954">
        <f>Calculation!AF211</f>
        <v>69.460299999999989</v>
      </c>
      <c r="G208" s="954">
        <f>Calculation!AG211</f>
        <v>0</v>
      </c>
      <c r="H208" s="955">
        <f>Sheet1!H213</f>
        <v>0.75</v>
      </c>
      <c r="I208" s="935">
        <f>Sheet1!DA213</f>
        <v>355</v>
      </c>
      <c r="J208" s="935">
        <f>Sheet1!DB213</f>
        <v>236</v>
      </c>
      <c r="K208" s="935">
        <f>Sheet1!CZ213</f>
        <v>357</v>
      </c>
      <c r="L208" s="959">
        <f>Calculation!F211</f>
        <v>250</v>
      </c>
      <c r="M208" s="959">
        <f>Calculation!E211</f>
        <v>400</v>
      </c>
      <c r="N208" s="959">
        <f>Calculation!D211</f>
        <v>200</v>
      </c>
      <c r="O208" s="985">
        <f>Sheet1!DC213</f>
        <v>1163.4000000000001</v>
      </c>
      <c r="P208" s="986">
        <f>Calculation!FD211</f>
        <v>1138.2569444443659</v>
      </c>
      <c r="Q208" s="994">
        <f>Calculation!DP211</f>
        <v>45256.000000111548</v>
      </c>
      <c r="R208" s="985">
        <f t="shared" si="58"/>
        <v>44637.000000111548</v>
      </c>
      <c r="S208" s="987">
        <f t="shared" si="46"/>
        <v>-109.99999999898864</v>
      </c>
      <c r="T208" s="994">
        <f ca="1">IF(A208&gt;$A$1,#N/A,VLOOKUP(A208,Calculation!$B$8:$JF$503,40,FALSE))</f>
        <v>9026.2862789877163</v>
      </c>
      <c r="U208" s="987">
        <f t="shared" si="47"/>
        <v>30.939999999999998</v>
      </c>
      <c r="V208" s="987">
        <f>Calculation!AZ211</f>
        <v>0</v>
      </c>
      <c r="W208" s="994">
        <f t="shared" ca="1" si="57"/>
        <v>13314.450000000006</v>
      </c>
      <c r="X208" s="1080">
        <v>0</v>
      </c>
      <c r="Y208" s="994">
        <f t="shared" ca="1" si="56"/>
        <v>2500</v>
      </c>
      <c r="Z208" s="987">
        <f t="shared" ca="1" si="51"/>
        <v>10814.450000000006</v>
      </c>
      <c r="AA208" s="994">
        <f t="shared" ca="1" si="59"/>
        <v>22915.263721123825</v>
      </c>
      <c r="AB208" s="1093">
        <f t="shared" ca="1" si="60"/>
        <v>22296.263721123825</v>
      </c>
      <c r="AC208" s="954">
        <f ca="1">IF(A208&gt;$A$1, #N/A,VLOOKUP(A208,Calculation!$B$8:$JF$880,165,FALSE))</f>
        <v>21906</v>
      </c>
      <c r="AD208" s="418">
        <f t="shared" ca="1" si="48"/>
        <v>-84</v>
      </c>
      <c r="AE208" s="418"/>
      <c r="AF208" s="935">
        <f>Calculation!G211</f>
        <v>301.52849218407027</v>
      </c>
      <c r="AG208" s="941" t="str">
        <f t="shared" si="49"/>
        <v>Yes</v>
      </c>
      <c r="AH208" s="941" t="str">
        <f t="shared" si="50"/>
        <v>No</v>
      </c>
      <c r="AI208" s="963">
        <v>45020.560000108249</v>
      </c>
      <c r="AJ208" s="964">
        <v>45748.000000111802</v>
      </c>
      <c r="AK208" s="964">
        <v>41723.600000104117</v>
      </c>
      <c r="AN208" s="447"/>
      <c r="AO208" s="430"/>
      <c r="AP208" s="462"/>
      <c r="AQ208" s="461"/>
      <c r="AR208" s="461"/>
      <c r="AS208" s="463"/>
      <c r="AU208" s="453"/>
      <c r="AV208" s="452"/>
      <c r="AW208" s="453"/>
      <c r="AX208" s="452"/>
      <c r="AY208" s="453"/>
      <c r="AZ208" s="452"/>
      <c r="BA208" s="449"/>
    </row>
    <row r="209" spans="1:53" ht="13.5" thickBot="1">
      <c r="A209" s="425">
        <v>41840</v>
      </c>
      <c r="B209" s="954">
        <f t="shared" si="45"/>
        <v>143.63894999999999</v>
      </c>
      <c r="C209" s="954">
        <f>Calculation!AK212</f>
        <v>0</v>
      </c>
      <c r="D209" s="954">
        <f>Calculation!AI212</f>
        <v>30.939999999999998</v>
      </c>
      <c r="E209" s="954">
        <f>Calculation!AE212</f>
        <v>74.101299999999995</v>
      </c>
      <c r="F209" s="954">
        <f>Calculation!AF212</f>
        <v>69.537649999999999</v>
      </c>
      <c r="G209" s="954">
        <f>Calculation!AG212</f>
        <v>0</v>
      </c>
      <c r="H209" s="955">
        <f>Sheet1!H214</f>
        <v>0.7</v>
      </c>
      <c r="I209" s="935">
        <f>Sheet1!DA214</f>
        <v>357</v>
      </c>
      <c r="J209" s="935">
        <f>Sheet1!DB214</f>
        <v>231</v>
      </c>
      <c r="K209" s="935">
        <f>Sheet1!CZ214</f>
        <v>357</v>
      </c>
      <c r="L209" s="959">
        <f>Calculation!F212</f>
        <v>250</v>
      </c>
      <c r="M209" s="959">
        <f>Calculation!E212</f>
        <v>400</v>
      </c>
      <c r="N209" s="959">
        <f>Calculation!D212</f>
        <v>200</v>
      </c>
      <c r="O209" s="985">
        <f>Sheet1!DC214</f>
        <v>1163.26</v>
      </c>
      <c r="P209" s="986">
        <f>Calculation!FD212</f>
        <v>1138.1402777776993</v>
      </c>
      <c r="Q209" s="994">
        <f>Calculation!DP212</f>
        <v>45103.40000011029</v>
      </c>
      <c r="R209" s="985">
        <f t="shared" si="58"/>
        <v>44484.40000011029</v>
      </c>
      <c r="S209" s="987">
        <f t="shared" si="46"/>
        <v>-152.60000000125729</v>
      </c>
      <c r="T209" s="994">
        <f ca="1">IF(A209&gt;$A$1,#N/A,VLOOKUP(A209,Calculation!$B$8:$JF$503,40,FALSE))</f>
        <v>8964.9262789877157</v>
      </c>
      <c r="U209" s="987">
        <f t="shared" si="47"/>
        <v>30.939999999999998</v>
      </c>
      <c r="V209" s="987">
        <f>Calculation!AZ212</f>
        <v>0</v>
      </c>
      <c r="W209" s="994">
        <f t="shared" ca="1" si="57"/>
        <v>13314.450000000006</v>
      </c>
      <c r="X209" s="1080">
        <v>0</v>
      </c>
      <c r="Y209" s="994">
        <f t="shared" ca="1" si="56"/>
        <v>2500</v>
      </c>
      <c r="Z209" s="987">
        <f t="shared" ca="1" si="51"/>
        <v>10814.450000000006</v>
      </c>
      <c r="AA209" s="994">
        <f t="shared" ca="1" si="59"/>
        <v>22824.023721122569</v>
      </c>
      <c r="AB209" s="1093">
        <f t="shared" ca="1" si="60"/>
        <v>22205.023721122569</v>
      </c>
      <c r="AC209" s="954">
        <f ca="1">IF(A209&gt;$A$1, #N/A,VLOOKUP(A209,Calculation!$B$8:$JF$880,165,FALSE))</f>
        <v>21822</v>
      </c>
      <c r="AD209" s="418">
        <f t="shared" ca="1" si="48"/>
        <v>-84</v>
      </c>
      <c r="AE209" s="418"/>
      <c r="AF209" s="935">
        <f>Calculation!G212</f>
        <v>280.04589006492324</v>
      </c>
      <c r="AG209" s="941" t="str">
        <f t="shared" si="49"/>
        <v>Yes</v>
      </c>
      <c r="AH209" s="941" t="str">
        <f t="shared" si="50"/>
        <v>No</v>
      </c>
      <c r="AI209" s="963">
        <v>44538.100000106802</v>
      </c>
      <c r="AJ209" s="964">
        <v>45420.500000110536</v>
      </c>
      <c r="AK209" s="964">
        <v>41586.000000103137</v>
      </c>
      <c r="AN209" s="447"/>
      <c r="AO209" s="430"/>
      <c r="AP209" s="462"/>
      <c r="AQ209" s="461"/>
      <c r="AR209" s="461"/>
      <c r="AS209" s="463"/>
      <c r="AU209" s="453"/>
      <c r="AV209" s="452"/>
      <c r="AW209" s="453"/>
      <c r="AX209" s="452"/>
      <c r="AY209" s="453"/>
      <c r="AZ209" s="452"/>
      <c r="BA209" s="449"/>
    </row>
    <row r="210" spans="1:53" ht="13.5" thickBot="1">
      <c r="A210" s="425">
        <v>41841</v>
      </c>
      <c r="B210" s="954">
        <f t="shared" si="45"/>
        <v>143.60800999999998</v>
      </c>
      <c r="C210" s="954">
        <f>Calculation!AK213</f>
        <v>0</v>
      </c>
      <c r="D210" s="954">
        <f>Calculation!AI213</f>
        <v>31.0947</v>
      </c>
      <c r="E210" s="954">
        <f>Calculation!AE213</f>
        <v>74.070359999999994</v>
      </c>
      <c r="F210" s="954">
        <f>Calculation!AF213</f>
        <v>69.537649999999999</v>
      </c>
      <c r="G210" s="954">
        <f>Calculation!AG213</f>
        <v>0</v>
      </c>
      <c r="H210" s="955">
        <f>Sheet1!H215</f>
        <v>0.8</v>
      </c>
      <c r="I210" s="935">
        <f>Sheet1!DA215</f>
        <v>333</v>
      </c>
      <c r="J210" s="935">
        <f>Sheet1!DB215</f>
        <v>227</v>
      </c>
      <c r="K210" s="935">
        <f>Sheet1!CZ215</f>
        <v>333</v>
      </c>
      <c r="L210" s="959">
        <f>Calculation!F213</f>
        <v>250</v>
      </c>
      <c r="M210" s="959">
        <f>Calculation!E213</f>
        <v>400</v>
      </c>
      <c r="N210" s="959">
        <f>Calculation!D213</f>
        <v>200</v>
      </c>
      <c r="O210" s="985">
        <f>Sheet1!DC215</f>
        <v>1163.1400000000001</v>
      </c>
      <c r="P210" s="986">
        <f>Calculation!FD213</f>
        <v>1138.0236111110328</v>
      </c>
      <c r="Q210" s="994">
        <f>Calculation!DP213</f>
        <v>44972.0000001113</v>
      </c>
      <c r="R210" s="985">
        <f t="shared" si="58"/>
        <v>44353.0000001113</v>
      </c>
      <c r="S210" s="987">
        <f t="shared" si="46"/>
        <v>-131.3999999989901</v>
      </c>
      <c r="T210" s="994">
        <f ca="1">IF(A210&gt;$A$1,#N/A,VLOOKUP(A210,Calculation!$B$8:$JF$503,40,FALSE))</f>
        <v>8903.2594789877166</v>
      </c>
      <c r="U210" s="987">
        <f t="shared" si="47"/>
        <v>31.0947</v>
      </c>
      <c r="V210" s="987">
        <f>Calculation!AZ213</f>
        <v>0</v>
      </c>
      <c r="W210" s="994">
        <f t="shared" ca="1" si="57"/>
        <v>13314.450000000006</v>
      </c>
      <c r="X210" s="1080">
        <v>0</v>
      </c>
      <c r="Y210" s="994">
        <f t="shared" ca="1" si="56"/>
        <v>2500</v>
      </c>
      <c r="Z210" s="987">
        <f t="shared" ca="1" si="51"/>
        <v>10814.450000000006</v>
      </c>
      <c r="AA210" s="994">
        <f t="shared" ca="1" si="59"/>
        <v>22754.290521123577</v>
      </c>
      <c r="AB210" s="1093">
        <f t="shared" ca="1" si="60"/>
        <v>22135.290521123577</v>
      </c>
      <c r="AC210" s="954">
        <f ca="1">IF(A210&gt;$A$1, #N/A,VLOOKUP(A210,Calculation!$B$8:$JF$880,165,FALSE))</f>
        <v>21738</v>
      </c>
      <c r="AD210" s="418">
        <f t="shared" ca="1" si="48"/>
        <v>-84</v>
      </c>
      <c r="AE210" s="418"/>
      <c r="AF210" s="935">
        <f>Calculation!G213</f>
        <v>266.73676248159853</v>
      </c>
      <c r="AG210" s="941" t="str">
        <f t="shared" si="49"/>
        <v>Yes</v>
      </c>
      <c r="AH210" s="941" t="str">
        <f t="shared" si="50"/>
        <v>No</v>
      </c>
      <c r="AI210" s="963">
        <v>44067.300000106319</v>
      </c>
      <c r="AJ210" s="964">
        <v>45267.000000111548</v>
      </c>
      <c r="AK210" s="964">
        <v>41429.200000101919</v>
      </c>
      <c r="AN210" s="447"/>
      <c r="AO210" s="430"/>
      <c r="AP210" s="462"/>
      <c r="AQ210" s="461"/>
      <c r="AR210" s="461"/>
      <c r="AS210" s="463"/>
      <c r="AU210" s="453"/>
      <c r="AV210" s="452"/>
      <c r="AW210" s="453"/>
      <c r="AX210" s="452"/>
      <c r="AY210" s="453"/>
      <c r="AZ210" s="452"/>
      <c r="BA210" s="449"/>
    </row>
    <row r="211" spans="1:53" ht="13.5" thickBot="1">
      <c r="A211" s="425">
        <v>41842</v>
      </c>
      <c r="B211" s="954">
        <f t="shared" si="45"/>
        <v>136.07411999999999</v>
      </c>
      <c r="C211" s="954">
        <f>Calculation!AK214</f>
        <v>0</v>
      </c>
      <c r="D211" s="954">
        <f>Calculation!AI214</f>
        <v>30.166499999999999</v>
      </c>
      <c r="E211" s="954">
        <f>Calculation!AE214</f>
        <v>73.730019999999996</v>
      </c>
      <c r="F211" s="954">
        <f>Calculation!AF214</f>
        <v>62.34409999999999</v>
      </c>
      <c r="G211" s="954">
        <f>Calculation!AG214</f>
        <v>0</v>
      </c>
      <c r="H211" s="955">
        <f>Sheet1!H216</f>
        <v>0.74</v>
      </c>
      <c r="I211" s="935">
        <f>Sheet1!DA216</f>
        <v>338</v>
      </c>
      <c r="J211" s="935">
        <f>Sheet1!DB216</f>
        <v>239</v>
      </c>
      <c r="K211" s="935">
        <f>Sheet1!CZ216</f>
        <v>333</v>
      </c>
      <c r="L211" s="959">
        <f>Calculation!F214</f>
        <v>250</v>
      </c>
      <c r="M211" s="959">
        <f>Calculation!E214</f>
        <v>400</v>
      </c>
      <c r="N211" s="959">
        <f>Calculation!D214</f>
        <v>200</v>
      </c>
      <c r="O211" s="985">
        <f>Sheet1!DC216</f>
        <v>1162.99</v>
      </c>
      <c r="P211" s="986">
        <f>Calculation!FD214</f>
        <v>1137.9056338027387</v>
      </c>
      <c r="Q211" s="994">
        <f>Calculation!DP214</f>
        <v>44808.200000109027</v>
      </c>
      <c r="R211" s="985">
        <f t="shared" si="58"/>
        <v>44189.200000109027</v>
      </c>
      <c r="S211" s="987">
        <f t="shared" si="46"/>
        <v>-163.80000000227301</v>
      </c>
      <c r="T211" s="994">
        <f ca="1">IF(A211&gt;$A$1,#N/A,VLOOKUP(A211,Calculation!$B$8:$JF$503,40,FALSE))</f>
        <v>8843.4334789877175</v>
      </c>
      <c r="U211" s="987">
        <f t="shared" si="47"/>
        <v>30.166499999999999</v>
      </c>
      <c r="V211" s="987">
        <f>Calculation!AZ214</f>
        <v>0</v>
      </c>
      <c r="W211" s="994">
        <f t="shared" ca="1" si="57"/>
        <v>13314.450000000006</v>
      </c>
      <c r="X211" s="1080">
        <v>0</v>
      </c>
      <c r="Y211" s="994">
        <f t="shared" ca="1" si="56"/>
        <v>2500</v>
      </c>
      <c r="Z211" s="987">
        <f t="shared" ca="1" si="51"/>
        <v>10814.450000000006</v>
      </c>
      <c r="AA211" s="994">
        <f t="shared" ca="1" si="59"/>
        <v>22650.316521121305</v>
      </c>
      <c r="AB211" s="1093">
        <f t="shared" ca="1" si="60"/>
        <v>22031.316521121305</v>
      </c>
      <c r="AC211" s="954">
        <f ca="1">IF(A211&gt;$A$1, #N/A,VLOOKUP(A211,Calculation!$B$8:$JF$880,165,FALSE))</f>
        <v>21654</v>
      </c>
      <c r="AD211" s="418">
        <f t="shared" ca="1" si="48"/>
        <v>-84</v>
      </c>
      <c r="AE211" s="418"/>
      <c r="AF211" s="935">
        <f>Calculation!G214</f>
        <v>250.39788199582804</v>
      </c>
      <c r="AG211" s="941" t="str">
        <f t="shared" si="49"/>
        <v>Yes</v>
      </c>
      <c r="AH211" s="941" t="str">
        <f t="shared" si="50"/>
        <v>No</v>
      </c>
      <c r="AI211" s="963">
        <v>43535.400000104841</v>
      </c>
      <c r="AJ211" s="964">
        <v>45038.000000110289</v>
      </c>
      <c r="AK211" s="964">
        <v>41282.500000102897</v>
      </c>
      <c r="AN211" s="447"/>
      <c r="AO211" s="430"/>
      <c r="AP211" s="462"/>
      <c r="AQ211" s="461"/>
      <c r="AR211" s="461"/>
      <c r="AS211" s="463"/>
      <c r="AU211" s="453"/>
      <c r="AV211" s="452"/>
      <c r="AW211" s="453"/>
      <c r="AX211" s="452"/>
      <c r="AY211" s="453"/>
      <c r="AZ211" s="452"/>
      <c r="BA211" s="449"/>
    </row>
    <row r="212" spans="1:53" ht="13.5" thickBot="1">
      <c r="A212" s="425">
        <v>41843</v>
      </c>
      <c r="B212" s="954">
        <f t="shared" si="45"/>
        <v>131.21654000000001</v>
      </c>
      <c r="C212" s="954">
        <f>Calculation!AK215</f>
        <v>0</v>
      </c>
      <c r="D212" s="954">
        <f>Calculation!AI215</f>
        <v>30.166499999999999</v>
      </c>
      <c r="E212" s="954">
        <f>Calculation!AE215</f>
        <v>74.039419999999993</v>
      </c>
      <c r="F212" s="954">
        <f>Calculation!AF215</f>
        <v>57.177120000000002</v>
      </c>
      <c r="G212" s="954">
        <f>Calculation!AG215</f>
        <v>0</v>
      </c>
      <c r="H212" s="955">
        <f>Sheet1!H217</f>
        <v>0.94</v>
      </c>
      <c r="I212" s="935">
        <f>Sheet1!DA217</f>
        <v>503</v>
      </c>
      <c r="J212" s="935">
        <f>Sheet1!DB217</f>
        <v>255</v>
      </c>
      <c r="K212" s="935">
        <f>Sheet1!CZ217</f>
        <v>336</v>
      </c>
      <c r="L212" s="959">
        <f>Calculation!F215</f>
        <v>250</v>
      </c>
      <c r="M212" s="959">
        <f>Calculation!E215</f>
        <v>400</v>
      </c>
      <c r="N212" s="959">
        <f>Calculation!D215</f>
        <v>200</v>
      </c>
      <c r="O212" s="985">
        <f>Sheet1!DC217</f>
        <v>1163.0999999999999</v>
      </c>
      <c r="P212" s="986">
        <f>Calculation!FD215</f>
        <v>1137.7871428570647</v>
      </c>
      <c r="Q212" s="994">
        <f>Calculation!DP215</f>
        <v>44928.000000111046</v>
      </c>
      <c r="R212" s="985">
        <f t="shared" si="58"/>
        <v>44309.000000111046</v>
      </c>
      <c r="S212" s="987">
        <f t="shared" si="46"/>
        <v>119.80000000201835</v>
      </c>
      <c r="T212" s="994">
        <f ca="1">IF(A212&gt;$A$1,#N/A,VLOOKUP(A212,Calculation!$B$8:$JF$503,40,FALSE))</f>
        <v>8783.6074789877166</v>
      </c>
      <c r="U212" s="987">
        <f t="shared" si="47"/>
        <v>30.166499999999999</v>
      </c>
      <c r="V212" s="987">
        <f>Calculation!AZ215</f>
        <v>0</v>
      </c>
      <c r="W212" s="994">
        <f t="shared" ca="1" si="57"/>
        <v>13314.450000000006</v>
      </c>
      <c r="X212" s="1080">
        <v>0</v>
      </c>
      <c r="Y212" s="994">
        <f t="shared" ca="1" si="56"/>
        <v>2500</v>
      </c>
      <c r="Z212" s="987">
        <f t="shared" ca="1" si="51"/>
        <v>10814.450000000006</v>
      </c>
      <c r="AA212" s="994">
        <f t="shared" ca="1" si="59"/>
        <v>22829.942521123325</v>
      </c>
      <c r="AB212" s="1093">
        <f t="shared" ca="1" si="60"/>
        <v>22210.942521123325</v>
      </c>
      <c r="AC212" s="954">
        <f ca="1">IF(A212&gt;$A$1, #N/A,VLOOKUP(A212,Calculation!$B$8:$JF$880,165,FALSE))</f>
        <v>21570</v>
      </c>
      <c r="AD212" s="418">
        <f t="shared" ca="1" si="48"/>
        <v>-84</v>
      </c>
      <c r="AE212" s="418"/>
      <c r="AF212" s="935">
        <f>Calculation!G215</f>
        <v>396.41351487746766</v>
      </c>
      <c r="AG212" s="941" t="str">
        <f t="shared" si="49"/>
        <v>Yes</v>
      </c>
      <c r="AH212" s="941" t="str">
        <f t="shared" si="50"/>
        <v>Yes</v>
      </c>
      <c r="AI212" s="963">
        <v>42963.000000104359</v>
      </c>
      <c r="AJ212" s="964">
        <v>44743.400000109032</v>
      </c>
      <c r="AK212" s="964">
        <v>41146.400000101683</v>
      </c>
      <c r="AN212" s="447"/>
      <c r="AO212" s="430"/>
      <c r="AP212" s="462"/>
      <c r="AQ212" s="461"/>
      <c r="AR212" s="461"/>
      <c r="AS212" s="463"/>
      <c r="AU212" s="453"/>
      <c r="AV212" s="452"/>
      <c r="AW212" s="453"/>
      <c r="AX212" s="452"/>
      <c r="AY212" s="453"/>
      <c r="AZ212" s="452"/>
      <c r="BA212" s="449"/>
    </row>
    <row r="213" spans="1:53" ht="13.5" thickBot="1">
      <c r="A213" s="425">
        <v>41844</v>
      </c>
      <c r="B213" s="954">
        <f t="shared" si="45"/>
        <v>119.79968</v>
      </c>
      <c r="C213" s="954">
        <f>Calculation!AK216</f>
        <v>0</v>
      </c>
      <c r="D213" s="954">
        <f>Calculation!AI216</f>
        <v>30.939999999999998</v>
      </c>
      <c r="E213" s="954">
        <f>Calculation!AE216</f>
        <v>65.592799999999997</v>
      </c>
      <c r="F213" s="954">
        <f>Calculation!AF216</f>
        <v>54.206879999999998</v>
      </c>
      <c r="G213" s="954">
        <f>Calculation!AG216</f>
        <v>0</v>
      </c>
      <c r="H213" s="955">
        <f>Sheet1!H218</f>
        <v>0.79</v>
      </c>
      <c r="I213" s="935">
        <f>Sheet1!DA218</f>
        <v>429</v>
      </c>
      <c r="J213" s="935">
        <f>Sheet1!DB218</f>
        <v>236</v>
      </c>
      <c r="K213" s="935">
        <f>Sheet1!CZ218</f>
        <v>339</v>
      </c>
      <c r="L213" s="959">
        <f>Calculation!F216</f>
        <v>250</v>
      </c>
      <c r="M213" s="959">
        <f>Calculation!E216</f>
        <v>400</v>
      </c>
      <c r="N213" s="959">
        <f>Calculation!D216</f>
        <v>200</v>
      </c>
      <c r="O213" s="985">
        <f>Sheet1!DC218</f>
        <v>1163.1600000000001</v>
      </c>
      <c r="P213" s="986">
        <f>Calculation!FD216</f>
        <v>1137.6676056337249</v>
      </c>
      <c r="Q213" s="994">
        <f>Calculation!DP216</f>
        <v>44994.0000001113</v>
      </c>
      <c r="R213" s="985">
        <f t="shared" si="58"/>
        <v>44375.0000001113</v>
      </c>
      <c r="S213" s="987">
        <f t="shared" si="46"/>
        <v>66.000000000254659</v>
      </c>
      <c r="T213" s="994">
        <f ca="1">IF(A213&gt;$A$1,#N/A,VLOOKUP(A213,Calculation!$B$8:$JF$503,40,FALSE))</f>
        <v>8722.2474789877178</v>
      </c>
      <c r="U213" s="987">
        <f t="shared" si="47"/>
        <v>30.939999999999998</v>
      </c>
      <c r="V213" s="987">
        <f>Calculation!AZ216</f>
        <v>0</v>
      </c>
      <c r="W213" s="994">
        <f t="shared" ca="1" si="57"/>
        <v>13314.450000000006</v>
      </c>
      <c r="X213" s="1080">
        <v>0</v>
      </c>
      <c r="Y213" s="994">
        <f t="shared" ca="1" si="56"/>
        <v>2500</v>
      </c>
      <c r="Z213" s="987">
        <f t="shared" ca="1" si="51"/>
        <v>10814.450000000006</v>
      </c>
      <c r="AA213" s="994">
        <f t="shared" ca="1" si="59"/>
        <v>22957.30252112358</v>
      </c>
      <c r="AB213" s="1093">
        <f t="shared" ca="1" si="60"/>
        <v>22338.30252112358</v>
      </c>
      <c r="AC213" s="954">
        <f ca="1">IF(A213&gt;$A$1, #N/A,VLOOKUP(A213,Calculation!$B$8:$JF$880,165,FALSE))</f>
        <v>21487</v>
      </c>
      <c r="AD213" s="418">
        <f t="shared" ca="1" si="48"/>
        <v>-83</v>
      </c>
      <c r="AE213" s="418"/>
      <c r="AF213" s="935">
        <f>Calculation!G216</f>
        <v>372.28290468999228</v>
      </c>
      <c r="AG213" s="941" t="str">
        <f t="shared" si="49"/>
        <v>Yes</v>
      </c>
      <c r="AH213" s="941" t="str">
        <f t="shared" si="50"/>
        <v>Yes</v>
      </c>
      <c r="AI213" s="963">
        <v>42374.730000102361</v>
      </c>
      <c r="AJ213" s="964">
        <v>44450.800000108786</v>
      </c>
      <c r="AK213" s="964">
        <v>40989.500000102656</v>
      </c>
      <c r="AN213" s="447"/>
      <c r="AO213" s="430"/>
      <c r="AP213" s="462"/>
      <c r="AQ213" s="461"/>
      <c r="AR213" s="461"/>
      <c r="AS213" s="463"/>
      <c r="AU213" s="453"/>
      <c r="AV213" s="452"/>
      <c r="AW213" s="453"/>
      <c r="AX213" s="452"/>
      <c r="AY213" s="453"/>
      <c r="AZ213" s="452"/>
      <c r="BA213" s="449"/>
    </row>
    <row r="214" spans="1:53" ht="13.5" thickBot="1">
      <c r="A214" s="425">
        <v>41845</v>
      </c>
      <c r="B214" s="954">
        <f t="shared" si="45"/>
        <v>118.22174</v>
      </c>
      <c r="C214" s="954">
        <f>Calculation!AK217</f>
        <v>0</v>
      </c>
      <c r="D214" s="954">
        <f>Calculation!AI217</f>
        <v>29.392999999999997</v>
      </c>
      <c r="E214" s="954">
        <f>Calculation!AE217</f>
        <v>62.529739999999997</v>
      </c>
      <c r="F214" s="954">
        <f>Calculation!AF217</f>
        <v>55.692</v>
      </c>
      <c r="G214" s="954">
        <f>Calculation!AG217</f>
        <v>0</v>
      </c>
      <c r="H214" s="955">
        <f>Sheet1!H219</f>
        <v>0.83</v>
      </c>
      <c r="I214" s="935">
        <f>Sheet1!DA219</f>
        <v>415</v>
      </c>
      <c r="J214" s="935">
        <f>Sheet1!DB219</f>
        <v>195</v>
      </c>
      <c r="K214" s="935">
        <f>Sheet1!CZ219</f>
        <v>339</v>
      </c>
      <c r="L214" s="959">
        <f>Calculation!F217</f>
        <v>250</v>
      </c>
      <c r="M214" s="959">
        <f>Calculation!E217</f>
        <v>400</v>
      </c>
      <c r="N214" s="959">
        <f>Calculation!D217</f>
        <v>200</v>
      </c>
      <c r="O214" s="985">
        <f>Sheet1!DC219</f>
        <v>1163.0899999999999</v>
      </c>
      <c r="P214" s="986">
        <f>Calculation!FD217</f>
        <v>1137.5485714284937</v>
      </c>
      <c r="Q214" s="994">
        <f>Calculation!DP217</f>
        <v>44917.10000011004</v>
      </c>
      <c r="R214" s="985">
        <f t="shared" si="58"/>
        <v>44298.10000011004</v>
      </c>
      <c r="S214" s="987">
        <f t="shared" si="46"/>
        <v>-76.900000001260196</v>
      </c>
      <c r="T214" s="994">
        <f ca="1">IF(A214&gt;$A$1,#N/A,VLOOKUP(A214,Calculation!$B$8:$JF$503,40,FALSE))</f>
        <v>8663.9554789877166</v>
      </c>
      <c r="U214" s="987">
        <f t="shared" si="47"/>
        <v>29.392999999999997</v>
      </c>
      <c r="V214" s="987">
        <f>Calculation!AZ217</f>
        <v>0</v>
      </c>
      <c r="W214" s="994">
        <f t="shared" ca="1" si="57"/>
        <v>13314.450000000006</v>
      </c>
      <c r="X214" s="1080">
        <v>0</v>
      </c>
      <c r="Y214" s="994">
        <f t="shared" ca="1" si="56"/>
        <v>2500</v>
      </c>
      <c r="Z214" s="987">
        <f t="shared" ca="1" si="51"/>
        <v>10814.450000000006</v>
      </c>
      <c r="AA214" s="994">
        <f t="shared" ca="1" si="59"/>
        <v>22938.694521122321</v>
      </c>
      <c r="AB214" s="1093">
        <f t="shared" ca="1" si="60"/>
        <v>22319.694521122321</v>
      </c>
      <c r="AC214" s="954">
        <f ca="1">IF(A214&gt;$A$1, #N/A,VLOOKUP(A214,Calculation!$B$8:$JF$880,165,FALSE))</f>
        <v>21403</v>
      </c>
      <c r="AD214" s="418">
        <f t="shared" ca="1" si="48"/>
        <v>-84</v>
      </c>
      <c r="AE214" s="418"/>
      <c r="AF214" s="935">
        <f>Calculation!G217</f>
        <v>300.22037317132617</v>
      </c>
      <c r="AG214" s="941" t="str">
        <f t="shared" si="49"/>
        <v>Yes</v>
      </c>
      <c r="AH214" s="941" t="str">
        <f t="shared" si="50"/>
        <v>No</v>
      </c>
      <c r="AI214" s="963">
        <v>41798.88000010189</v>
      </c>
      <c r="AJ214" s="964">
        <v>44051.100000109298</v>
      </c>
      <c r="AK214" s="964">
        <v>40853.000000102424</v>
      </c>
      <c r="AN214" s="447"/>
      <c r="AO214" s="430"/>
      <c r="AP214" s="462"/>
      <c r="AQ214" s="461"/>
      <c r="AR214" s="461"/>
      <c r="AS214" s="463"/>
      <c r="AU214" s="453"/>
      <c r="AV214" s="452"/>
      <c r="AW214" s="453"/>
      <c r="AX214" s="452"/>
      <c r="AY214" s="453"/>
      <c r="AZ214" s="452"/>
      <c r="BA214" s="449"/>
    </row>
    <row r="215" spans="1:53" ht="13.5" thickBot="1">
      <c r="A215" s="425">
        <v>41846</v>
      </c>
      <c r="B215" s="954">
        <f t="shared" si="45"/>
        <v>131.34030000000001</v>
      </c>
      <c r="C215" s="954">
        <f>Calculation!AK218</f>
        <v>0</v>
      </c>
      <c r="D215" s="954">
        <f>Calculation!AI218</f>
        <v>30.166499999999999</v>
      </c>
      <c r="E215" s="954">
        <f>Calculation!AE218</f>
        <v>66.598349999999996</v>
      </c>
      <c r="F215" s="954">
        <f>Calculation!AF218</f>
        <v>64.741950000000003</v>
      </c>
      <c r="G215" s="954">
        <f>Calculation!AG218</f>
        <v>0</v>
      </c>
      <c r="H215" s="955">
        <f>Sheet1!H220</f>
        <v>0.8</v>
      </c>
      <c r="I215" s="935">
        <f>Sheet1!DA220</f>
        <v>373</v>
      </c>
      <c r="J215" s="935">
        <f>Sheet1!DB220</f>
        <v>193</v>
      </c>
      <c r="K215" s="935">
        <f>Sheet1!CZ220</f>
        <v>339</v>
      </c>
      <c r="L215" s="959">
        <f>Calculation!F218</f>
        <v>250</v>
      </c>
      <c r="M215" s="959">
        <f>Calculation!E218</f>
        <v>400</v>
      </c>
      <c r="N215" s="959">
        <f>Calculation!D218</f>
        <v>200</v>
      </c>
      <c r="O215" s="985">
        <f>Sheet1!DC220</f>
        <v>1162.99</v>
      </c>
      <c r="P215" s="986">
        <f>Calculation!FD218</f>
        <v>1137.429577464711</v>
      </c>
      <c r="Q215" s="994">
        <f>Calculation!DP218</f>
        <v>44808.200000109027</v>
      </c>
      <c r="R215" s="985">
        <f t="shared" si="58"/>
        <v>44189.200000109027</v>
      </c>
      <c r="S215" s="987">
        <f t="shared" si="46"/>
        <v>-108.90000000101281</v>
      </c>
      <c r="T215" s="994">
        <f ca="1">IF(A215&gt;$A$1,#N/A,VLOOKUP(A215,Calculation!$B$8:$JF$503,40,FALSE))</f>
        <v>8604.1294789877174</v>
      </c>
      <c r="U215" s="987">
        <f t="shared" si="47"/>
        <v>30.166499999999999</v>
      </c>
      <c r="V215" s="987">
        <f>Calculation!AZ218</f>
        <v>0</v>
      </c>
      <c r="W215" s="994">
        <f t="shared" ca="1" si="57"/>
        <v>13314.450000000006</v>
      </c>
      <c r="X215" s="1080">
        <v>0</v>
      </c>
      <c r="Y215" s="994">
        <f t="shared" ca="1" si="56"/>
        <v>2500</v>
      </c>
      <c r="Z215" s="987">
        <f t="shared" ca="1" si="51"/>
        <v>10814.450000000006</v>
      </c>
      <c r="AA215" s="994">
        <f t="shared" ca="1" si="59"/>
        <v>22889.620521121302</v>
      </c>
      <c r="AB215" s="1093">
        <f t="shared" ca="1" si="60"/>
        <v>22270.620521121302</v>
      </c>
      <c r="AC215" s="954">
        <f ca="1">IF(A215&gt;$A$1, #N/A,VLOOKUP(A215,Calculation!$B$8:$JF$880,165,FALSE))</f>
        <v>21319</v>
      </c>
      <c r="AD215" s="418">
        <f t="shared" ca="1" si="48"/>
        <v>-84</v>
      </c>
      <c r="AE215" s="418"/>
      <c r="AF215" s="935">
        <f>Calculation!G218</f>
        <v>284.08320726121394</v>
      </c>
      <c r="AG215" s="941" t="str">
        <f t="shared" si="49"/>
        <v>Yes</v>
      </c>
      <c r="AH215" s="941" t="str">
        <f t="shared" si="50"/>
        <v>No</v>
      </c>
      <c r="AI215" s="963">
        <v>41488.680000100198</v>
      </c>
      <c r="AJ215" s="964">
        <v>43544.400000106805</v>
      </c>
      <c r="AK215" s="964">
        <v>40665.000000101209</v>
      </c>
      <c r="AN215" s="447"/>
      <c r="AO215" s="430"/>
      <c r="AP215" s="462"/>
      <c r="AQ215" s="461"/>
      <c r="AR215" s="461"/>
      <c r="AS215" s="463"/>
      <c r="AU215" s="453"/>
      <c r="AV215" s="452"/>
      <c r="AW215" s="453"/>
      <c r="AX215" s="452"/>
      <c r="AY215" s="453"/>
      <c r="AZ215" s="452"/>
      <c r="BA215" s="449"/>
    </row>
    <row r="216" spans="1:53" ht="13.5" thickBot="1">
      <c r="A216" s="425">
        <v>41847</v>
      </c>
      <c r="B216" s="954">
        <f t="shared" si="45"/>
        <v>131.44859000000002</v>
      </c>
      <c r="C216" s="954">
        <f>Calculation!AK219</f>
        <v>0</v>
      </c>
      <c r="D216" s="954">
        <f>Calculation!AI219</f>
        <v>29.392999999999997</v>
      </c>
      <c r="E216" s="954">
        <f>Calculation!AE219</f>
        <v>66.551940000000002</v>
      </c>
      <c r="F216" s="954">
        <f>Calculation!AF219</f>
        <v>64.896650000000008</v>
      </c>
      <c r="G216" s="954">
        <f>Calculation!AG219</f>
        <v>0</v>
      </c>
      <c r="H216" s="955">
        <f>Sheet1!H221</f>
        <v>0.8</v>
      </c>
      <c r="I216" s="935">
        <f>Sheet1!DA221</f>
        <v>360</v>
      </c>
      <c r="J216" s="935">
        <f>Sheet1!DB221</f>
        <v>195</v>
      </c>
      <c r="K216" s="935">
        <f>Sheet1!CZ221</f>
        <v>339</v>
      </c>
      <c r="L216" s="959">
        <f>Calculation!F219</f>
        <v>250</v>
      </c>
      <c r="M216" s="959">
        <f>Calculation!E219</f>
        <v>400</v>
      </c>
      <c r="N216" s="959">
        <f>Calculation!D219</f>
        <v>200</v>
      </c>
      <c r="O216" s="985">
        <f>Sheet1!DC221</f>
        <v>1162.8800000000001</v>
      </c>
      <c r="P216" s="986">
        <f>Calculation!FD219</f>
        <v>1137.3126760562604</v>
      </c>
      <c r="Q216" s="994">
        <f>Calculation!DP219</f>
        <v>44689.400000109032</v>
      </c>
      <c r="R216" s="985">
        <f t="shared" si="58"/>
        <v>44070.400000109032</v>
      </c>
      <c r="S216" s="987">
        <f t="shared" si="46"/>
        <v>-118.79999999999563</v>
      </c>
      <c r="T216" s="994">
        <f ca="1">IF(A216&gt;$A$1,#N/A,VLOOKUP(A216,Calculation!$B$8:$JF$503,40,FALSE))</f>
        <v>8545.837478987718</v>
      </c>
      <c r="U216" s="987">
        <f t="shared" si="47"/>
        <v>29.392999999999997</v>
      </c>
      <c r="V216" s="987">
        <f>Calculation!AZ219</f>
        <v>0</v>
      </c>
      <c r="W216" s="994">
        <f t="shared" ca="1" si="57"/>
        <v>13314.450000000006</v>
      </c>
      <c r="X216" s="1080">
        <v>0</v>
      </c>
      <c r="Y216" s="994">
        <f t="shared" ca="1" si="56"/>
        <v>2500</v>
      </c>
      <c r="Z216" s="987">
        <f t="shared" ca="1" si="51"/>
        <v>10814.450000000006</v>
      </c>
      <c r="AA216" s="994">
        <f t="shared" ca="1" si="59"/>
        <v>22829.112521121308</v>
      </c>
      <c r="AB216" s="1093">
        <f t="shared" ca="1" si="60"/>
        <v>22210.112521121308</v>
      </c>
      <c r="AC216" s="954">
        <f ca="1">IF(A216&gt;$A$1, #N/A,VLOOKUP(A216,Calculation!$B$8:$JF$880,165,FALSE))</f>
        <v>21235</v>
      </c>
      <c r="AD216" s="418">
        <f t="shared" ca="1" si="48"/>
        <v>-84</v>
      </c>
      <c r="AE216" s="418"/>
      <c r="AF216" s="935">
        <f>Calculation!G219</f>
        <v>279.0907715582473</v>
      </c>
      <c r="AG216" s="941" t="str">
        <f t="shared" si="49"/>
        <v>Yes</v>
      </c>
      <c r="AH216" s="941" t="str">
        <f t="shared" si="50"/>
        <v>No</v>
      </c>
      <c r="AI216" s="963">
        <v>41199.720000099958</v>
      </c>
      <c r="AJ216" s="964">
        <v>43095.000000106564</v>
      </c>
      <c r="AK216" s="964">
        <v>40457.000000100234</v>
      </c>
      <c r="AN216" s="447"/>
      <c r="AO216" s="430"/>
      <c r="AP216" s="462"/>
      <c r="AQ216" s="461"/>
      <c r="AR216" s="461"/>
      <c r="AS216" s="463"/>
      <c r="AU216" s="453"/>
      <c r="AV216" s="452"/>
      <c r="AW216" s="453"/>
      <c r="AX216" s="452"/>
      <c r="AY216" s="453"/>
      <c r="AZ216" s="452"/>
      <c r="BA216" s="449"/>
    </row>
    <row r="217" spans="1:53" ht="13.5" thickBot="1">
      <c r="A217" s="425">
        <v>41848</v>
      </c>
      <c r="B217" s="954">
        <f t="shared" si="45"/>
        <v>144.86107999999999</v>
      </c>
      <c r="C217" s="954">
        <f>Calculation!AK220</f>
        <v>0</v>
      </c>
      <c r="D217" s="954">
        <f>Calculation!AI220</f>
        <v>39.448499999999996</v>
      </c>
      <c r="E217" s="954">
        <f>Calculation!AE220</f>
        <v>70.403969999999987</v>
      </c>
      <c r="F217" s="954">
        <f>Calculation!AF220</f>
        <v>74.45711</v>
      </c>
      <c r="G217" s="954">
        <f>Calculation!AG220</f>
        <v>0</v>
      </c>
      <c r="H217" s="955">
        <f>Sheet1!H222</f>
        <v>0.85</v>
      </c>
      <c r="I217" s="935">
        <f>Sheet1!DA222</f>
        <v>333</v>
      </c>
      <c r="J217" s="935">
        <f>Sheet1!DB222</f>
        <v>191</v>
      </c>
      <c r="K217" s="935">
        <f>Sheet1!CZ222</f>
        <v>351</v>
      </c>
      <c r="L217" s="959">
        <f>Calculation!F220</f>
        <v>250</v>
      </c>
      <c r="M217" s="959">
        <f>Calculation!E220</f>
        <v>400</v>
      </c>
      <c r="N217" s="959">
        <f>Calculation!D220</f>
        <v>200</v>
      </c>
      <c r="O217" s="985">
        <f>Sheet1!DC222</f>
        <v>1162.7</v>
      </c>
      <c r="P217" s="986">
        <f>Calculation!FD220</f>
        <v>1137.1929577464014</v>
      </c>
      <c r="Q217" s="994">
        <f>Calculation!DP220</f>
        <v>44494.000000109794</v>
      </c>
      <c r="R217" s="985">
        <f t="shared" si="58"/>
        <v>43875.000000109794</v>
      </c>
      <c r="S217" s="987">
        <f t="shared" si="46"/>
        <v>-195.39999999923748</v>
      </c>
      <c r="T217" s="994">
        <f ca="1">IF(A217&gt;$A$1,#N/A,VLOOKUP(A217,Calculation!$B$8:$JF$503,40,FALSE))</f>
        <v>8467.6034789877176</v>
      </c>
      <c r="U217" s="987">
        <f t="shared" si="47"/>
        <v>39.448499999999996</v>
      </c>
      <c r="V217" s="987">
        <f>Calculation!AZ220</f>
        <v>0</v>
      </c>
      <c r="W217" s="994">
        <f t="shared" ca="1" si="57"/>
        <v>13314.450000000006</v>
      </c>
      <c r="X217" s="1080">
        <v>0</v>
      </c>
      <c r="Y217" s="994">
        <f t="shared" ca="1" si="56"/>
        <v>2500</v>
      </c>
      <c r="Z217" s="987">
        <f t="shared" ca="1" si="51"/>
        <v>10814.450000000006</v>
      </c>
      <c r="AA217" s="994">
        <f t="shared" ca="1" si="59"/>
        <v>22711.946521122074</v>
      </c>
      <c r="AB217" s="1093">
        <f t="shared" ca="1" si="60"/>
        <v>22092.946521122074</v>
      </c>
      <c r="AC217" s="954">
        <f ca="1">IF(A217&gt;$A$1, #N/A,VLOOKUP(A217,Calculation!$B$8:$JF$880,165,FALSE))</f>
        <v>21151</v>
      </c>
      <c r="AD217" s="418">
        <f t="shared" ca="1" si="48"/>
        <v>-84</v>
      </c>
      <c r="AE217" s="418"/>
      <c r="AF217" s="935">
        <f>Calculation!G220</f>
        <v>252.46243066099976</v>
      </c>
      <c r="AG217" s="941" t="str">
        <f t="shared" si="49"/>
        <v>Yes</v>
      </c>
      <c r="AH217" s="941" t="str">
        <f t="shared" si="50"/>
        <v>No</v>
      </c>
      <c r="AI217" s="963">
        <v>41044.920000099723</v>
      </c>
      <c r="AJ217" s="964">
        <v>42433.800000104842</v>
      </c>
      <c r="AK217" s="964">
        <v>40239.700000099998</v>
      </c>
      <c r="AN217" s="447"/>
      <c r="AO217" s="430"/>
      <c r="AP217" s="462"/>
      <c r="AQ217" s="461"/>
      <c r="AR217" s="461"/>
      <c r="AS217" s="463"/>
      <c r="AU217" s="453"/>
      <c r="AV217" s="452"/>
      <c r="AW217" s="453"/>
      <c r="AX217" s="452"/>
      <c r="AY217" s="453"/>
      <c r="AZ217" s="452"/>
      <c r="BA217" s="449"/>
    </row>
    <row r="218" spans="1:53" ht="13.5" thickBot="1">
      <c r="A218" s="425">
        <v>41849</v>
      </c>
      <c r="B218" s="954">
        <f t="shared" si="45"/>
        <v>155.98400999999998</v>
      </c>
      <c r="C218" s="954">
        <f>Calculation!AK221</f>
        <v>0</v>
      </c>
      <c r="D218" s="954">
        <f>Calculation!AI221</f>
        <v>48.272660637227496</v>
      </c>
      <c r="E218" s="954">
        <f>Calculation!AE221</f>
        <v>74.116769999999988</v>
      </c>
      <c r="F218" s="954">
        <f>Calculation!AF221</f>
        <v>81.867239999999995</v>
      </c>
      <c r="G218" s="954">
        <f>Calculation!AG221</f>
        <v>0</v>
      </c>
      <c r="H218" s="955">
        <f>Sheet1!H223</f>
        <v>1.08</v>
      </c>
      <c r="I218" s="935">
        <f>Sheet1!DA223</f>
        <v>333</v>
      </c>
      <c r="J218" s="935">
        <f>Sheet1!DB223</f>
        <v>174</v>
      </c>
      <c r="K218" s="935">
        <f>Sheet1!CZ223</f>
        <v>348</v>
      </c>
      <c r="L218" s="959">
        <f>Calculation!F221</f>
        <v>250</v>
      </c>
      <c r="M218" s="959">
        <f>Calculation!E221</f>
        <v>400</v>
      </c>
      <c r="N218" s="959">
        <f>Calculation!D221</f>
        <v>200</v>
      </c>
      <c r="O218" s="985">
        <f>Sheet1!DC223</f>
        <v>1162.52</v>
      </c>
      <c r="P218" s="986">
        <f>Calculation!FD221</f>
        <v>1137.0742857142084</v>
      </c>
      <c r="Q218" s="994">
        <f>Calculation!DP221</f>
        <v>44299.600000108541</v>
      </c>
      <c r="R218" s="985">
        <f t="shared" si="58"/>
        <v>43680.600000108541</v>
      </c>
      <c r="S218" s="987">
        <f t="shared" si="46"/>
        <v>-194.40000000125292</v>
      </c>
      <c r="T218" s="994">
        <f ca="1">IF(A218&gt;$A$1,#N/A,VLOOKUP(A218,Calculation!$B$8:$JF$503,40,FALSE))</f>
        <v>8371.8694629340553</v>
      </c>
      <c r="U218" s="987">
        <f t="shared" si="47"/>
        <v>48.272660637227496</v>
      </c>
      <c r="V218" s="987">
        <f>Calculation!AZ221</f>
        <v>0</v>
      </c>
      <c r="W218" s="994">
        <f t="shared" ca="1" si="57"/>
        <v>13314.450000000006</v>
      </c>
      <c r="X218" s="1080">
        <v>0</v>
      </c>
      <c r="Y218" s="994">
        <f t="shared" ca="1" si="56"/>
        <v>2500</v>
      </c>
      <c r="Z218" s="987">
        <f t="shared" ca="1" si="51"/>
        <v>10814.450000000006</v>
      </c>
      <c r="AA218" s="994">
        <f t="shared" ca="1" si="59"/>
        <v>22613.280537174483</v>
      </c>
      <c r="AB218" s="1093">
        <f t="shared" ca="1" si="60"/>
        <v>21994.280537174483</v>
      </c>
      <c r="AC218" s="954">
        <f ca="1">IF(A218&gt;$A$1, #N/A,VLOOKUP(A218,Calculation!$B$8:$JF$880,165,FALSE))</f>
        <v>21067</v>
      </c>
      <c r="AD218" s="418">
        <f t="shared" ca="1" si="48"/>
        <v>-84</v>
      </c>
      <c r="AE218" s="418"/>
      <c r="AF218" s="935">
        <f>Calculation!G221</f>
        <v>249.9667170946783</v>
      </c>
      <c r="AG218" s="941" t="str">
        <f t="shared" si="49"/>
        <v>Yes</v>
      </c>
      <c r="AH218" s="941" t="str">
        <f t="shared" si="50"/>
        <v>No</v>
      </c>
      <c r="AI218" s="963">
        <v>40962.360000099725</v>
      </c>
      <c r="AJ218" s="964">
        <v>41914.400000104361</v>
      </c>
      <c r="AK218" s="964">
        <v>40033.700000099765</v>
      </c>
      <c r="AN218" s="447"/>
      <c r="AO218" s="430"/>
      <c r="AP218" s="462"/>
      <c r="AQ218" s="461"/>
      <c r="AR218" s="461"/>
      <c r="AS218" s="463"/>
      <c r="AU218" s="453"/>
      <c r="AV218" s="452"/>
      <c r="AW218" s="453"/>
      <c r="AX218" s="452"/>
      <c r="AY218" s="453"/>
      <c r="AZ218" s="452"/>
      <c r="BA218" s="449"/>
    </row>
    <row r="219" spans="1:53" ht="13.5" thickBot="1">
      <c r="A219" s="425">
        <v>41850</v>
      </c>
      <c r="B219" s="954">
        <f t="shared" ref="B219:B282" si="61">E219+F219</f>
        <v>155.93759999999997</v>
      </c>
      <c r="C219" s="954">
        <f>Calculation!AK222</f>
        <v>0</v>
      </c>
      <c r="D219" s="954">
        <f>Calculation!AI222</f>
        <v>50.741599999999991</v>
      </c>
      <c r="E219" s="954">
        <f>Calculation!AE222</f>
        <v>77.643929999999997</v>
      </c>
      <c r="F219" s="954">
        <f>Calculation!AF222</f>
        <v>78.293669999999992</v>
      </c>
      <c r="G219" s="954">
        <f>Calculation!AG222</f>
        <v>0</v>
      </c>
      <c r="H219" s="955">
        <f>Sheet1!H224</f>
        <v>0.97</v>
      </c>
      <c r="I219" s="935">
        <f>Sheet1!DA224</f>
        <v>324</v>
      </c>
      <c r="J219" s="935">
        <f>Sheet1!DB224</f>
        <v>172</v>
      </c>
      <c r="K219" s="935">
        <f>Sheet1!CZ224</f>
        <v>348</v>
      </c>
      <c r="L219" s="959">
        <f>Calculation!F222</f>
        <v>250</v>
      </c>
      <c r="M219" s="959">
        <f>Calculation!E222</f>
        <v>400</v>
      </c>
      <c r="N219" s="959">
        <f>Calculation!D222</f>
        <v>200</v>
      </c>
      <c r="O219" s="985">
        <f>Sheet1!DC224</f>
        <v>1162.3</v>
      </c>
      <c r="P219" s="986">
        <f>Calculation!FD222</f>
        <v>1136.9536231883285</v>
      </c>
      <c r="Q219" s="994">
        <f>Calculation!DP222</f>
        <v>44062.000000108295</v>
      </c>
      <c r="R219" s="985">
        <f t="shared" si="58"/>
        <v>43443.000000108295</v>
      </c>
      <c r="S219" s="987">
        <f t="shared" ref="S219:S282" si="62">R219-R218</f>
        <v>-237.60000000024593</v>
      </c>
      <c r="T219" s="994">
        <f ca="1">IF(A219&gt;$A$1,#N/A,VLOOKUP(A219,Calculation!$B$8:$JF$503,40,FALSE))</f>
        <v>8271.2390629340553</v>
      </c>
      <c r="U219" s="987">
        <f t="shared" ref="U219:U282" si="63">D219</f>
        <v>50.741599999999991</v>
      </c>
      <c r="V219" s="987">
        <f>Calculation!AZ222</f>
        <v>0</v>
      </c>
      <c r="W219" s="994">
        <f t="shared" ca="1" si="57"/>
        <v>13314.450000000006</v>
      </c>
      <c r="X219" s="1080">
        <v>0</v>
      </c>
      <c r="Y219" s="994">
        <f t="shared" ca="1" si="56"/>
        <v>2500</v>
      </c>
      <c r="Z219" s="987">
        <f t="shared" ref="Z219:Z282" ca="1" si="64">W219-Y219</f>
        <v>10814.450000000006</v>
      </c>
      <c r="AA219" s="994">
        <f t="shared" ca="1" si="59"/>
        <v>22476.310937174239</v>
      </c>
      <c r="AB219" s="1093">
        <f t="shared" ca="1" si="60"/>
        <v>21857.310937174239</v>
      </c>
      <c r="AC219" s="954">
        <f ca="1">IF(A219&gt;$A$1, #N/A,VLOOKUP(A219,Calculation!$B$8:$JF$880,165,FALSE))</f>
        <v>20983</v>
      </c>
      <c r="AD219" s="418">
        <f t="shared" ref="AD219:AD282" ca="1" si="65">AC219-AC218</f>
        <v>-84</v>
      </c>
      <c r="AE219" s="418"/>
      <c r="AF219" s="935">
        <f>Calculation!G222</f>
        <v>228.18154311636619</v>
      </c>
      <c r="AG219" s="941" t="str">
        <f t="shared" ref="AG219:AG282" si="66">IF(I219&gt;L219,"Yes","No")</f>
        <v>Yes</v>
      </c>
      <c r="AH219" s="941" t="str">
        <f t="shared" ref="AH219:AH282" si="67">IF(AND(I219&gt;M219,J219&gt;N219),"Yes","No")</f>
        <v>No</v>
      </c>
      <c r="AI219" s="963">
        <v>40879.800000099727</v>
      </c>
      <c r="AJ219" s="964">
        <v>41398.000000101922</v>
      </c>
      <c r="AK219" s="964">
        <v>39858.600000099534</v>
      </c>
      <c r="AN219" s="447"/>
      <c r="AO219" s="430"/>
      <c r="AP219" s="462"/>
      <c r="AQ219" s="461"/>
      <c r="AR219" s="461"/>
      <c r="AS219" s="463"/>
      <c r="AU219" s="453"/>
      <c r="AV219" s="452"/>
      <c r="AW219" s="453"/>
      <c r="AX219" s="452"/>
      <c r="AY219" s="453"/>
      <c r="AZ219" s="452"/>
      <c r="BA219" s="449"/>
    </row>
    <row r="220" spans="1:53" ht="13.5" thickBot="1">
      <c r="A220" s="425">
        <v>41851</v>
      </c>
      <c r="B220" s="954">
        <f t="shared" si="61"/>
        <v>155.96853999999999</v>
      </c>
      <c r="C220" s="954">
        <f>Calculation!AK223</f>
        <v>0</v>
      </c>
      <c r="D220" s="954">
        <f>Calculation!AI223</f>
        <v>43.315999999999995</v>
      </c>
      <c r="E220" s="954">
        <f>Calculation!AE223</f>
        <v>83.228599999999986</v>
      </c>
      <c r="F220" s="954">
        <f>Calculation!AF223</f>
        <v>72.739940000000004</v>
      </c>
      <c r="G220" s="954">
        <f>Calculation!AG223</f>
        <v>0</v>
      </c>
      <c r="H220" s="955">
        <f>Sheet1!H225</f>
        <v>0.85</v>
      </c>
      <c r="I220" s="935">
        <f>Sheet1!DA225</f>
        <v>333</v>
      </c>
      <c r="J220" s="935">
        <f>Sheet1!DB225</f>
        <v>191</v>
      </c>
      <c r="K220" s="935">
        <f>Sheet1!CZ225</f>
        <v>348</v>
      </c>
      <c r="L220" s="959">
        <f>Calculation!F223</f>
        <v>250</v>
      </c>
      <c r="M220" s="959">
        <f>Calculation!E223</f>
        <v>400</v>
      </c>
      <c r="N220" s="959">
        <f>Calculation!D223</f>
        <v>200</v>
      </c>
      <c r="O220" s="985">
        <f>Sheet1!DC225</f>
        <v>1162.05</v>
      </c>
      <c r="P220" s="986">
        <f>Calculation!FD223</f>
        <v>1136.8318840578938</v>
      </c>
      <c r="Q220" s="994">
        <f>Calculation!DP223</f>
        <v>43791.000000108048</v>
      </c>
      <c r="R220" s="985">
        <f t="shared" si="58"/>
        <v>43172.000000108048</v>
      </c>
      <c r="S220" s="987">
        <f t="shared" si="62"/>
        <v>-271.00000000024738</v>
      </c>
      <c r="T220" s="994">
        <f ca="1">IF(A220&gt;$A$1,#N/A,VLOOKUP(A220,Calculation!$B$8:$JF$503,40,FALSE))</f>
        <v>8185.3350629340548</v>
      </c>
      <c r="U220" s="987">
        <f t="shared" si="63"/>
        <v>43.315999999999995</v>
      </c>
      <c r="V220" s="987">
        <f>Calculation!AZ223</f>
        <v>0</v>
      </c>
      <c r="W220" s="994">
        <f t="shared" ca="1" si="57"/>
        <v>13314.450000000006</v>
      </c>
      <c r="X220" s="1080">
        <v>0</v>
      </c>
      <c r="Y220" s="994">
        <f t="shared" ca="1" si="56"/>
        <v>2500</v>
      </c>
      <c r="Z220" s="987">
        <f t="shared" ca="1" si="64"/>
        <v>10814.450000000006</v>
      </c>
      <c r="AA220" s="994">
        <f t="shared" ca="1" si="59"/>
        <v>22291.214937173987</v>
      </c>
      <c r="AB220" s="1093">
        <f t="shared" ca="1" si="60"/>
        <v>21672.214937173987</v>
      </c>
      <c r="AC220" s="954">
        <f ca="1">IF(A220&gt;$A$1, #N/A,VLOOKUP(A220,Calculation!$B$8:$JF$880,165,FALSE))</f>
        <v>20900</v>
      </c>
      <c r="AD220" s="418">
        <f t="shared" ca="1" si="65"/>
        <v>-83</v>
      </c>
      <c r="AE220" s="418"/>
      <c r="AF220" s="935">
        <f>Calculation!G223</f>
        <v>211.33837619755556</v>
      </c>
      <c r="AG220" s="941" t="str">
        <f t="shared" si="66"/>
        <v>Yes</v>
      </c>
      <c r="AH220" s="941" t="str">
        <f t="shared" si="67"/>
        <v>No</v>
      </c>
      <c r="AI220" s="963">
        <v>40786.92000009949</v>
      </c>
      <c r="AJ220" s="964">
        <v>40842.500000102424</v>
      </c>
      <c r="AK220" s="964">
        <v>39661.900000099529</v>
      </c>
      <c r="AN220" s="447"/>
      <c r="AO220" s="430"/>
      <c r="AP220" s="462"/>
      <c r="AQ220" s="461"/>
      <c r="AR220" s="461"/>
      <c r="AS220" s="463"/>
      <c r="AU220" s="453"/>
      <c r="AV220" s="452"/>
      <c r="AW220" s="453"/>
      <c r="AX220" s="452"/>
      <c r="AY220" s="453"/>
      <c r="AZ220" s="452"/>
      <c r="BA220" s="449"/>
    </row>
    <row r="221" spans="1:53" ht="13.5" thickBot="1">
      <c r="A221" s="425">
        <v>41852</v>
      </c>
      <c r="B221" s="954">
        <f t="shared" si="61"/>
        <v>153.33864</v>
      </c>
      <c r="C221" s="954">
        <f>Calculation!AK224</f>
        <v>0</v>
      </c>
      <c r="D221" s="954">
        <f>Calculation!AI224</f>
        <v>42.542499999999997</v>
      </c>
      <c r="E221" s="954">
        <f>Calculation!AE224</f>
        <v>83.537999999999997</v>
      </c>
      <c r="F221" s="954">
        <f>Calculation!AF224</f>
        <v>69.800639999999987</v>
      </c>
      <c r="G221" s="954">
        <f>Calculation!AG224</f>
        <v>0</v>
      </c>
      <c r="H221" s="955">
        <f>Sheet1!H226</f>
        <v>0.88</v>
      </c>
      <c r="I221" s="935">
        <f>Sheet1!DA226</f>
        <v>333</v>
      </c>
      <c r="J221" s="935">
        <f>Sheet1!DB226</f>
        <v>191</v>
      </c>
      <c r="K221" s="935">
        <f>Sheet1!CZ226</f>
        <v>348</v>
      </c>
      <c r="L221" s="959">
        <f>Calculation!F224</f>
        <v>250</v>
      </c>
      <c r="M221" s="959">
        <f>Calculation!E224</f>
        <v>400</v>
      </c>
      <c r="N221" s="959">
        <f>Calculation!D224</f>
        <v>200</v>
      </c>
      <c r="O221" s="985">
        <f>Sheet1!DC226</f>
        <v>1161.8</v>
      </c>
      <c r="P221" s="986">
        <f>Calculation!FD224</f>
        <v>1136.7101449274592</v>
      </c>
      <c r="Q221" s="994">
        <f>Calculation!DP224</f>
        <v>43523.000000106804</v>
      </c>
      <c r="R221" s="985">
        <f t="shared" si="58"/>
        <v>42904.000000106804</v>
      </c>
      <c r="S221" s="987">
        <f t="shared" si="62"/>
        <v>-268.00000000124419</v>
      </c>
      <c r="T221" s="994">
        <f ca="1">IF(A221&gt;$A$1,#N/A,VLOOKUP(A221,Calculation!$B$8:$JF$503,40,FALSE))</f>
        <v>8100.9650629340549</v>
      </c>
      <c r="U221" s="987">
        <f t="shared" si="63"/>
        <v>42.542499999999997</v>
      </c>
      <c r="V221" s="987">
        <f>Calculation!AZ224</f>
        <v>0</v>
      </c>
      <c r="W221" s="994">
        <f t="shared" ca="1" si="57"/>
        <v>13314.450000000006</v>
      </c>
      <c r="X221" s="1080">
        <v>0</v>
      </c>
      <c r="Y221" s="994">
        <f t="shared" ca="1" si="56"/>
        <v>2500</v>
      </c>
      <c r="Z221" s="987">
        <f ca="1">W221-Y221</f>
        <v>10814.450000000006</v>
      </c>
      <c r="AA221" s="994">
        <f t="shared" ca="1" si="59"/>
        <v>22107.584937172745</v>
      </c>
      <c r="AB221" s="1093">
        <f t="shared" ca="1" si="60"/>
        <v>21488.584937172745</v>
      </c>
      <c r="AC221" s="954">
        <f ca="1">IF(A221&gt;$A$1, #N/A,VLOOKUP(A221,Calculation!$B$8:$JF$880,165,FALSE))</f>
        <v>20732</v>
      </c>
      <c r="AD221" s="418">
        <f t="shared" ca="1" si="65"/>
        <v>-168</v>
      </c>
      <c r="AE221" s="418"/>
      <c r="AF221" s="935">
        <f>Calculation!G224</f>
        <v>212.85123550113758</v>
      </c>
      <c r="AG221" s="941" t="str">
        <f t="shared" si="66"/>
        <v>Yes</v>
      </c>
      <c r="AH221" s="941" t="str">
        <f t="shared" si="67"/>
        <v>No</v>
      </c>
      <c r="AI221" s="963">
        <v>40684.320000098043</v>
      </c>
      <c r="AJ221" s="964">
        <v>40467.300000100237</v>
      </c>
      <c r="AK221" s="964">
        <v>39466.800000098337</v>
      </c>
      <c r="AN221" s="447"/>
      <c r="AO221" s="430"/>
      <c r="AP221" s="462"/>
      <c r="AQ221" s="461"/>
      <c r="AR221" s="461"/>
      <c r="AS221" s="463"/>
      <c r="AU221" s="453"/>
      <c r="AV221" s="452"/>
      <c r="AW221" s="453"/>
      <c r="AX221" s="452"/>
      <c r="AY221" s="453"/>
      <c r="AZ221" s="452"/>
      <c r="BA221" s="449"/>
    </row>
    <row r="222" spans="1:53" ht="13.5" thickBot="1">
      <c r="A222" s="425">
        <v>41853</v>
      </c>
      <c r="B222" s="954">
        <f t="shared" si="61"/>
        <v>151.4513</v>
      </c>
      <c r="C222" s="954">
        <f>Calculation!AK225</f>
        <v>0</v>
      </c>
      <c r="D222" s="954">
        <f>Calculation!AI225</f>
        <v>38.999870000000001</v>
      </c>
      <c r="E222" s="954">
        <f>Calculation!AE225</f>
        <v>83.692700000000002</v>
      </c>
      <c r="F222" s="954">
        <f>Calculation!AF225</f>
        <v>67.758599999999987</v>
      </c>
      <c r="G222" s="954">
        <f>Calculation!AG225</f>
        <v>0</v>
      </c>
      <c r="H222" s="955">
        <f>Sheet1!H227</f>
        <v>0.89</v>
      </c>
      <c r="I222" s="935">
        <f>Sheet1!DA227</f>
        <v>333</v>
      </c>
      <c r="J222" s="935">
        <f>Sheet1!DB227</f>
        <v>174</v>
      </c>
      <c r="K222" s="935">
        <f>Sheet1!CZ227</f>
        <v>348</v>
      </c>
      <c r="L222" s="959">
        <f>Calculation!F225</f>
        <v>250</v>
      </c>
      <c r="M222" s="959">
        <f>Calculation!E225</f>
        <v>400</v>
      </c>
      <c r="N222" s="959">
        <f>Calculation!D225</f>
        <v>200</v>
      </c>
      <c r="O222" s="985">
        <f>Sheet1!DC227</f>
        <v>1161.5999999999999</v>
      </c>
      <c r="P222" s="986">
        <f>Calculation!FD225</f>
        <v>1136.5882352940407</v>
      </c>
      <c r="Q222" s="994">
        <f>Calculation!DP225</f>
        <v>43309.000000106564</v>
      </c>
      <c r="R222" s="985">
        <f t="shared" si="58"/>
        <v>42690.000000106564</v>
      </c>
      <c r="S222" s="987">
        <f t="shared" si="62"/>
        <v>-214.00000000024011</v>
      </c>
      <c r="T222" s="994">
        <f ca="1">IF(A222&gt;$A$1,#N/A,VLOOKUP(A222,Calculation!$B$8:$JF$503,40,FALSE))</f>
        <v>8023.6207829340547</v>
      </c>
      <c r="U222" s="987">
        <f t="shared" si="63"/>
        <v>38.999870000000001</v>
      </c>
      <c r="V222" s="987">
        <f>Calculation!AZ225</f>
        <v>0</v>
      </c>
      <c r="W222" s="994">
        <f t="shared" ref="W222:W285" ca="1" si="68">IF(A222&gt;=$A$1,#N/A,W221-X222*1.983)</f>
        <v>13314.450000000006</v>
      </c>
      <c r="X222" s="1080">
        <v>0</v>
      </c>
      <c r="Y222" s="994">
        <f t="shared" ca="1" si="56"/>
        <v>2500</v>
      </c>
      <c r="Z222" s="987">
        <f t="shared" ca="1" si="64"/>
        <v>10814.450000000006</v>
      </c>
      <c r="AA222" s="994">
        <f t="shared" ca="1" si="59"/>
        <v>21970.929217172503</v>
      </c>
      <c r="AB222" s="1093">
        <f t="shared" ca="1" si="60"/>
        <v>21351.929217172503</v>
      </c>
      <c r="AC222" s="954">
        <f ca="1">IF(A222&gt;$A$1, #N/A,VLOOKUP(A222,Calculation!$B$8:$JF$880,165,FALSE))</f>
        <v>20564</v>
      </c>
      <c r="AD222" s="418">
        <f t="shared" ca="1" si="65"/>
        <v>-168</v>
      </c>
      <c r="AE222" s="418"/>
      <c r="AF222" s="935">
        <f>Calculation!G225</f>
        <v>240.0827029751689</v>
      </c>
      <c r="AG222" s="941" t="str">
        <f t="shared" si="66"/>
        <v>Yes</v>
      </c>
      <c r="AH222" s="941" t="str">
        <f t="shared" si="67"/>
        <v>No</v>
      </c>
      <c r="AI222" s="963">
        <v>40582.620000097813</v>
      </c>
      <c r="AJ222" s="964">
        <v>40085.200000099765</v>
      </c>
      <c r="AK222" s="964">
        <v>39274.000000098102</v>
      </c>
      <c r="AN222" s="447"/>
      <c r="AO222" s="430"/>
      <c r="AP222" s="462"/>
      <c r="AQ222" s="461"/>
      <c r="AR222" s="461"/>
      <c r="AS222" s="463"/>
      <c r="AU222" s="453"/>
      <c r="AV222" s="452"/>
      <c r="AW222" s="453"/>
      <c r="AX222" s="452"/>
      <c r="AY222" s="453"/>
      <c r="AZ222" s="452"/>
      <c r="BA222" s="449"/>
    </row>
    <row r="223" spans="1:53" ht="13.5" thickBot="1">
      <c r="A223" s="425">
        <v>41854</v>
      </c>
      <c r="B223" s="954">
        <f t="shared" si="61"/>
        <v>151.97728000000001</v>
      </c>
      <c r="C223" s="954">
        <f>Calculation!AK226</f>
        <v>0</v>
      </c>
      <c r="D223" s="954">
        <f>Calculation!AI226</f>
        <v>39.046280000000003</v>
      </c>
      <c r="E223" s="954">
        <f>Calculation!AE226</f>
        <v>83.75457999999999</v>
      </c>
      <c r="F223" s="954">
        <f>Calculation!AF226</f>
        <v>68.222700000000003</v>
      </c>
      <c r="G223" s="954">
        <f>Calculation!AG226</f>
        <v>0</v>
      </c>
      <c r="H223" s="955">
        <f>Sheet1!H228</f>
        <v>0.84</v>
      </c>
      <c r="I223" s="935">
        <f>Sheet1!DA228</f>
        <v>329</v>
      </c>
      <c r="J223" s="935">
        <f>Sheet1!DB228</f>
        <v>174</v>
      </c>
      <c r="K223" s="935">
        <f>Sheet1!CZ228</f>
        <v>348</v>
      </c>
      <c r="L223" s="959">
        <f>Calculation!F226</f>
        <v>250</v>
      </c>
      <c r="M223" s="959">
        <f>Calculation!E226</f>
        <v>400</v>
      </c>
      <c r="N223" s="959">
        <f>Calculation!D226</f>
        <v>200</v>
      </c>
      <c r="O223" s="985">
        <f>Sheet1!DC228</f>
        <v>1161.3399999999999</v>
      </c>
      <c r="P223" s="986">
        <f>Calculation!FD226</f>
        <v>1136.4666666665898</v>
      </c>
      <c r="Q223" s="994">
        <f>Calculation!DP226</f>
        <v>43030.800000106319</v>
      </c>
      <c r="R223" s="985">
        <f t="shared" si="58"/>
        <v>42411.800000106319</v>
      </c>
      <c r="S223" s="987">
        <f t="shared" si="62"/>
        <v>-278.20000000024447</v>
      </c>
      <c r="T223" s="994">
        <f ca="1">IF(A223&gt;$A$1,#N/A,VLOOKUP(A223,Calculation!$B$8:$JF$503,40,FALSE))</f>
        <v>7946.184462934054</v>
      </c>
      <c r="U223" s="987">
        <f t="shared" si="63"/>
        <v>39.046280000000003</v>
      </c>
      <c r="V223" s="987">
        <f>Calculation!AZ226</f>
        <v>0</v>
      </c>
      <c r="W223" s="994">
        <f t="shared" ca="1" si="68"/>
        <v>13314.450000000006</v>
      </c>
      <c r="X223" s="1080">
        <v>0</v>
      </c>
      <c r="Y223" s="994">
        <f t="shared" ca="1" si="56"/>
        <v>2500</v>
      </c>
      <c r="Z223" s="987">
        <f t="shared" ca="1" si="64"/>
        <v>10814.450000000006</v>
      </c>
      <c r="AA223" s="994">
        <f t="shared" ca="1" si="59"/>
        <v>21770.165537172259</v>
      </c>
      <c r="AB223" s="1093">
        <f t="shared" ca="1" si="60"/>
        <v>21151.165537172259</v>
      </c>
      <c r="AC223" s="954">
        <f ca="1">IF(A223&gt;$A$1, #N/A,VLOOKUP(A223,Calculation!$B$8:$JF$880,165,FALSE))</f>
        <v>20396</v>
      </c>
      <c r="AD223" s="418">
        <f t="shared" ca="1" si="65"/>
        <v>-168</v>
      </c>
      <c r="AE223" s="418"/>
      <c r="AF223" s="935">
        <f>Calculation!G226</f>
        <v>207.70751386775368</v>
      </c>
      <c r="AG223" s="941" t="str">
        <f t="shared" si="66"/>
        <v>Yes</v>
      </c>
      <c r="AH223" s="941" t="str">
        <f t="shared" si="67"/>
        <v>No</v>
      </c>
      <c r="AI223" s="963">
        <v>40480.920000097816</v>
      </c>
      <c r="AJ223" s="964">
        <v>39889.500000099535</v>
      </c>
      <c r="AK223" s="964">
        <v>39080.600000096914</v>
      </c>
      <c r="AN223" s="447"/>
      <c r="AO223" s="430"/>
      <c r="AP223" s="462"/>
      <c r="AQ223" s="461"/>
      <c r="AR223" s="461"/>
      <c r="AS223" s="463"/>
      <c r="AU223" s="453"/>
      <c r="AV223" s="452"/>
      <c r="AW223" s="453"/>
      <c r="AX223" s="452"/>
      <c r="AY223" s="453"/>
      <c r="AZ223" s="452"/>
      <c r="BA223" s="449"/>
    </row>
    <row r="224" spans="1:53" ht="13.5" thickBot="1">
      <c r="A224" s="425">
        <v>41855</v>
      </c>
      <c r="B224" s="954">
        <f t="shared" si="61"/>
        <v>148.91422</v>
      </c>
      <c r="C224" s="954">
        <f>Calculation!AK227</f>
        <v>0</v>
      </c>
      <c r="D224" s="954">
        <f>Calculation!AI227</f>
        <v>38.79905722781335</v>
      </c>
      <c r="E224" s="954">
        <f>Calculation!AE227</f>
        <v>83.476119999999995</v>
      </c>
      <c r="F224" s="954">
        <f>Calculation!AF227</f>
        <v>65.438099999999991</v>
      </c>
      <c r="G224" s="954">
        <f>Calculation!AG227</f>
        <v>0</v>
      </c>
      <c r="H224" s="955">
        <f>Sheet1!H229</f>
        <v>0.83</v>
      </c>
      <c r="I224" s="935">
        <f>Sheet1!DA229</f>
        <v>325</v>
      </c>
      <c r="J224" s="935">
        <f>Sheet1!DB229</f>
        <v>166</v>
      </c>
      <c r="K224" s="935">
        <f>Sheet1!CZ229</f>
        <v>325</v>
      </c>
      <c r="L224" s="959">
        <f>Calculation!F227</f>
        <v>250</v>
      </c>
      <c r="M224" s="959">
        <f>Calculation!E227</f>
        <v>400</v>
      </c>
      <c r="N224" s="959">
        <f>Calculation!D227</f>
        <v>200</v>
      </c>
      <c r="O224" s="985">
        <f>Sheet1!DC229</f>
        <v>1161.0999999999999</v>
      </c>
      <c r="P224" s="986">
        <f>Calculation!FD227</f>
        <v>1136.2231884057205</v>
      </c>
      <c r="Q224" s="994">
        <f>Calculation!DP227</f>
        <v>42774.000000106076</v>
      </c>
      <c r="R224" s="985">
        <f t="shared" si="58"/>
        <v>42155.000000106076</v>
      </c>
      <c r="S224" s="987">
        <f t="shared" si="62"/>
        <v>-256.80000000024302</v>
      </c>
      <c r="T224" s="994">
        <f ca="1">IF(A224&gt;$A$1,#N/A,VLOOKUP(A224,Calculation!$B$8:$JF$503,40,FALSE))</f>
        <v>7869.2384334738535</v>
      </c>
      <c r="U224" s="987">
        <f t="shared" si="63"/>
        <v>38.79905722781335</v>
      </c>
      <c r="V224" s="987">
        <f>Calculation!AZ227</f>
        <v>0</v>
      </c>
      <c r="W224" s="994">
        <f t="shared" ca="1" si="68"/>
        <v>13314.450000000006</v>
      </c>
      <c r="X224" s="1080">
        <v>0</v>
      </c>
      <c r="Y224" s="994">
        <f t="shared" ca="1" si="56"/>
        <v>2500</v>
      </c>
      <c r="Z224" s="987">
        <f t="shared" ca="1" si="64"/>
        <v>10814.450000000006</v>
      </c>
      <c r="AA224" s="994">
        <f t="shared" ca="1" si="59"/>
        <v>21590.311566632219</v>
      </c>
      <c r="AB224" s="1093">
        <f t="shared" ca="1" si="60"/>
        <v>20971.311566632219</v>
      </c>
      <c r="AC224" s="954">
        <f ca="1">IF(A224&gt;$A$1, #N/A,VLOOKUP(A224,Calculation!$B$8:$JF$880,165,FALSE))</f>
        <v>20229</v>
      </c>
      <c r="AD224" s="418">
        <f t="shared" ca="1" si="65"/>
        <v>-167</v>
      </c>
      <c r="AE224" s="418"/>
      <c r="AF224" s="935">
        <f>Calculation!G227</f>
        <v>195.49924357022542</v>
      </c>
      <c r="AG224" s="941" t="str">
        <f t="shared" si="66"/>
        <v>Yes</v>
      </c>
      <c r="AH224" s="941" t="str">
        <f t="shared" si="67"/>
        <v>No</v>
      </c>
      <c r="AI224" s="963">
        <v>40358.880000097815</v>
      </c>
      <c r="AJ224" s="964">
        <v>39817.2000001005</v>
      </c>
      <c r="AK224" s="964">
        <v>38897.600000097867</v>
      </c>
      <c r="AN224" s="447"/>
      <c r="AO224" s="430"/>
      <c r="AP224" s="462"/>
      <c r="AQ224" s="461"/>
      <c r="AR224" s="461"/>
      <c r="AS224" s="463"/>
      <c r="AU224" s="453"/>
      <c r="AV224" s="452"/>
      <c r="AW224" s="453"/>
      <c r="AX224" s="452"/>
      <c r="AY224" s="453"/>
      <c r="AZ224" s="452"/>
      <c r="BA224" s="449"/>
    </row>
    <row r="225" spans="1:53" ht="13.5" thickBot="1">
      <c r="A225" s="425">
        <v>41856</v>
      </c>
      <c r="B225" s="954">
        <f t="shared" si="61"/>
        <v>140.4676</v>
      </c>
      <c r="C225" s="954">
        <f>Calculation!AK228</f>
        <v>0</v>
      </c>
      <c r="D225" s="954">
        <f>Calculation!AI228</f>
        <v>29.392999999999997</v>
      </c>
      <c r="E225" s="954">
        <f>Calculation!AE228</f>
        <v>87.250799999999998</v>
      </c>
      <c r="F225" s="954">
        <f>Calculation!AF228</f>
        <v>53.216799999999992</v>
      </c>
      <c r="G225" s="954">
        <f>Calculation!AG228</f>
        <v>0</v>
      </c>
      <c r="H225" s="955">
        <f>Sheet1!H230</f>
        <v>0.75</v>
      </c>
      <c r="I225" s="935">
        <f>Sheet1!DA230</f>
        <v>312</v>
      </c>
      <c r="J225" s="935">
        <f>Sheet1!DB230</f>
        <v>182</v>
      </c>
      <c r="K225" s="935">
        <f>Sheet1!CZ230</f>
        <v>328</v>
      </c>
      <c r="L225" s="959">
        <f>Calculation!F228</f>
        <v>250</v>
      </c>
      <c r="M225" s="959">
        <f>Calculation!E228</f>
        <v>400</v>
      </c>
      <c r="N225" s="959">
        <f>Calculation!D228</f>
        <v>200</v>
      </c>
      <c r="O225" s="985">
        <f>Sheet1!DC230</f>
        <v>1160.8499999999999</v>
      </c>
      <c r="P225" s="986">
        <f>Calculation!FD228</f>
        <v>1135.9791044775357</v>
      </c>
      <c r="Q225" s="994">
        <f>Calculation!DP228</f>
        <v>42508.000000104839</v>
      </c>
      <c r="R225" s="985">
        <f t="shared" si="58"/>
        <v>41889.000000104839</v>
      </c>
      <c r="S225" s="987">
        <f t="shared" si="62"/>
        <v>-266.00000000123691</v>
      </c>
      <c r="T225" s="994">
        <f ca="1">IF(A225&gt;$A$1,#N/A,VLOOKUP(A225,Calculation!$B$8:$JF$503,40,FALSE))</f>
        <v>7810.9464334738532</v>
      </c>
      <c r="U225" s="987">
        <f t="shared" si="63"/>
        <v>29.392999999999997</v>
      </c>
      <c r="V225" s="987">
        <f>Calculation!AZ228</f>
        <v>0</v>
      </c>
      <c r="W225" s="994">
        <f t="shared" ca="1" si="68"/>
        <v>13314.450000000006</v>
      </c>
      <c r="X225" s="1080">
        <v>0</v>
      </c>
      <c r="Y225" s="994">
        <f t="shared" ca="1" si="56"/>
        <v>2500</v>
      </c>
      <c r="Z225" s="987">
        <f t="shared" ca="1" si="64"/>
        <v>10814.450000000006</v>
      </c>
      <c r="AA225" s="994">
        <f t="shared" ca="1" si="59"/>
        <v>21382.603566630984</v>
      </c>
      <c r="AB225" s="1093">
        <f t="shared" ca="1" si="60"/>
        <v>20763.603566630984</v>
      </c>
      <c r="AC225" s="954">
        <f ca="1">IF(A225&gt;$A$1, #N/A,VLOOKUP(A225,Calculation!$B$8:$JF$880,165,FALSE))</f>
        <v>20061</v>
      </c>
      <c r="AD225" s="418">
        <f t="shared" ca="1" si="65"/>
        <v>-168</v>
      </c>
      <c r="AE225" s="418"/>
      <c r="AF225" s="935">
        <f>Calculation!G228</f>
        <v>193.85980837053108</v>
      </c>
      <c r="AG225" s="941" t="str">
        <f t="shared" si="66"/>
        <v>Yes</v>
      </c>
      <c r="AH225" s="941" t="str">
        <f t="shared" si="67"/>
        <v>No</v>
      </c>
      <c r="AI225" s="963">
        <v>40191.075000097466</v>
      </c>
      <c r="AJ225" s="964">
        <v>39775.600000100501</v>
      </c>
      <c r="AK225" s="964">
        <v>38683.70000009668</v>
      </c>
      <c r="AL225" s="962"/>
      <c r="AN225" s="447"/>
      <c r="AO225" s="430"/>
      <c r="AP225" s="462"/>
      <c r="AQ225" s="461"/>
      <c r="AR225" s="461"/>
      <c r="AS225" s="463"/>
      <c r="AU225" s="453"/>
      <c r="AV225" s="452"/>
      <c r="AW225" s="453"/>
      <c r="AX225" s="452"/>
      <c r="AY225" s="453"/>
      <c r="AZ225" s="452"/>
      <c r="BA225" s="449"/>
    </row>
    <row r="226" spans="1:53" ht="13.5" thickBot="1">
      <c r="A226" s="425">
        <v>41857</v>
      </c>
      <c r="B226" s="954">
        <f t="shared" si="61"/>
        <v>139.38469999999998</v>
      </c>
      <c r="C226" s="954">
        <f>Calculation!AK229</f>
        <v>0</v>
      </c>
      <c r="D226" s="954">
        <f>Calculation!AI229</f>
        <v>29.499967117249483</v>
      </c>
      <c r="E226" s="954">
        <f>Calculation!AE229</f>
        <v>86.631999999999991</v>
      </c>
      <c r="F226" s="954">
        <f>Calculation!AF229</f>
        <v>52.752699999999997</v>
      </c>
      <c r="G226" s="954">
        <f>Calculation!AG229</f>
        <v>0</v>
      </c>
      <c r="H226" s="955">
        <f>Sheet1!H231</f>
        <v>0.69</v>
      </c>
      <c r="I226" s="935">
        <f>Sheet1!DA231</f>
        <v>312</v>
      </c>
      <c r="J226" s="935">
        <f>Sheet1!DB231</f>
        <v>193</v>
      </c>
      <c r="K226" s="935">
        <f>Sheet1!CZ231</f>
        <v>325</v>
      </c>
      <c r="L226" s="959">
        <f>Calculation!F229</f>
        <v>250</v>
      </c>
      <c r="M226" s="959">
        <f>Calculation!E229</f>
        <v>400</v>
      </c>
      <c r="N226" s="959">
        <f>Calculation!D229</f>
        <v>200</v>
      </c>
      <c r="O226" s="985">
        <f>Sheet1!DC231</f>
        <v>1160.5999999999999</v>
      </c>
      <c r="P226" s="986">
        <f>Calculation!FD229</f>
        <v>1135.7272727271966</v>
      </c>
      <c r="Q226" s="994">
        <f>Calculation!DP229</f>
        <v>42243.000000104599</v>
      </c>
      <c r="R226" s="985">
        <f t="shared" si="58"/>
        <v>41624.000000104599</v>
      </c>
      <c r="S226" s="987">
        <f t="shared" si="62"/>
        <v>-265.00000000024011</v>
      </c>
      <c r="T226" s="994">
        <f ca="1">IF(A226&gt;$A$1,#N/A,VLOOKUP(A226,Calculation!$B$8:$JF$503,40,FALSE))</f>
        <v>7752.4422970060314</v>
      </c>
      <c r="U226" s="987">
        <f t="shared" si="63"/>
        <v>29.499967117249483</v>
      </c>
      <c r="V226" s="987">
        <f>Calculation!AZ229</f>
        <v>0</v>
      </c>
      <c r="W226" s="994">
        <f t="shared" ca="1" si="68"/>
        <v>13314.450000000006</v>
      </c>
      <c r="X226" s="1080">
        <v>0</v>
      </c>
      <c r="Y226" s="994">
        <f t="shared" ca="1" si="56"/>
        <v>2500</v>
      </c>
      <c r="Z226" s="987">
        <f t="shared" ca="1" si="64"/>
        <v>10814.450000000006</v>
      </c>
      <c r="AA226" s="994">
        <f t="shared" ca="1" si="59"/>
        <v>21176.107703098562</v>
      </c>
      <c r="AB226" s="1093">
        <f t="shared" ca="1" si="60"/>
        <v>20557.107703098562</v>
      </c>
      <c r="AC226" s="954">
        <f ca="1">IF(A226&gt;$A$1,VLOOKUP(A226,Calculation!$B$8:$JF$880,165,FALSE),VLOOKUP(A226,Calculation!$B$8:$JF$880,165,FALSE))</f>
        <v>19893</v>
      </c>
      <c r="AD226" s="418">
        <f t="shared" ca="1" si="65"/>
        <v>-168</v>
      </c>
      <c r="AE226" s="418"/>
      <c r="AF226" s="935">
        <f>Calculation!G229</f>
        <v>191.36409480572866</v>
      </c>
      <c r="AG226" s="941" t="str">
        <f t="shared" si="66"/>
        <v>Yes</v>
      </c>
      <c r="AH226" s="941" t="str">
        <f t="shared" si="67"/>
        <v>No</v>
      </c>
      <c r="AI226" s="963">
        <v>40023.270000097349</v>
      </c>
      <c r="AJ226" s="964">
        <v>39713.400000099529</v>
      </c>
      <c r="AK226" s="964">
        <v>38441.000000095497</v>
      </c>
      <c r="AN226" s="447"/>
      <c r="AO226" s="430"/>
      <c r="AP226" s="462"/>
      <c r="AQ226" s="461"/>
      <c r="AR226" s="461"/>
      <c r="AS226" s="463"/>
      <c r="AU226" s="453"/>
      <c r="AV226" s="452"/>
      <c r="AW226" s="453"/>
      <c r="AX226" s="452"/>
      <c r="AY226" s="453"/>
      <c r="AZ226" s="452"/>
      <c r="BA226" s="449"/>
    </row>
    <row r="227" spans="1:53" ht="13.5" thickBot="1">
      <c r="A227" s="425">
        <v>41858</v>
      </c>
      <c r="B227" s="954">
        <f t="shared" si="61"/>
        <v>130.79884999999999</v>
      </c>
      <c r="C227" s="954">
        <f>Calculation!AK230</f>
        <v>0</v>
      </c>
      <c r="D227" s="954">
        <f>Calculation!AI230</f>
        <v>29.392999999999997</v>
      </c>
      <c r="E227" s="954">
        <f>Calculation!AE230</f>
        <v>48.266399999999997</v>
      </c>
      <c r="F227" s="954">
        <f>Calculation!AF230</f>
        <v>82.532449999999997</v>
      </c>
      <c r="G227" s="954">
        <f>Calculation!AG230</f>
        <v>0</v>
      </c>
      <c r="H227" s="955">
        <f>Sheet1!H232</f>
        <v>0.7</v>
      </c>
      <c r="I227" s="935">
        <f>Sheet1!DA232</f>
        <v>325</v>
      </c>
      <c r="J227" s="935">
        <f>Sheet1!DB232</f>
        <v>211</v>
      </c>
      <c r="K227" s="935">
        <f>Sheet1!CZ232</f>
        <v>345</v>
      </c>
      <c r="L227" s="959">
        <f>Calculation!F230</f>
        <v>250</v>
      </c>
      <c r="M227" s="959">
        <f>Calculation!E230</f>
        <v>400</v>
      </c>
      <c r="N227" s="959">
        <f>Calculation!D230</f>
        <v>200</v>
      </c>
      <c r="O227" s="985">
        <f>Sheet1!DC232</f>
        <v>1160.33</v>
      </c>
      <c r="P227" s="986">
        <f>Calculation!FD230</f>
        <v>1135.4776119402227</v>
      </c>
      <c r="Q227" s="994">
        <f>Calculation!DP230</f>
        <v>41956.800000104362</v>
      </c>
      <c r="R227" s="985">
        <f t="shared" si="58"/>
        <v>41337.800000104362</v>
      </c>
      <c r="S227" s="987">
        <f t="shared" si="62"/>
        <v>-286.2000000002372</v>
      </c>
      <c r="T227" s="994">
        <f ca="1">IF(A227&gt;$A$1,#N/A,VLOOKUP(A227,Calculation!$B$8:$JF$503,40,FALSE))</f>
        <v>7694.150297006031</v>
      </c>
      <c r="U227" s="987">
        <f t="shared" si="63"/>
        <v>29.392999999999997</v>
      </c>
      <c r="V227" s="987">
        <f>Calculation!AZ230</f>
        <v>0</v>
      </c>
      <c r="W227" s="994">
        <f t="shared" ca="1" si="68"/>
        <v>13314.450000000006</v>
      </c>
      <c r="X227" s="1080">
        <v>0</v>
      </c>
      <c r="Y227" s="994">
        <f t="shared" ca="1" si="56"/>
        <v>2500</v>
      </c>
      <c r="Z227" s="987">
        <f t="shared" ca="1" si="64"/>
        <v>10814.450000000006</v>
      </c>
      <c r="AA227" s="994">
        <f t="shared" ca="1" si="59"/>
        <v>20948.199703098326</v>
      </c>
      <c r="AB227" s="1093">
        <f t="shared" ca="1" si="60"/>
        <v>20329.199703098326</v>
      </c>
      <c r="AC227" s="954">
        <f ca="1">IF(A227&gt;$A$1,VLOOKUP(A227,Calculation!$B$8:$JF$880,165,FALSE),VLOOKUP(A227,Calculation!$B$8:$JF$880,165,FALSE))</f>
        <v>19725</v>
      </c>
      <c r="AD227" s="418">
        <f t="shared" ca="1" si="65"/>
        <v>-168</v>
      </c>
      <c r="AE227" s="418"/>
      <c r="AF227" s="935">
        <f>Calculation!G230</f>
        <v>200.67322239019811</v>
      </c>
      <c r="AG227" s="941" t="str">
        <f t="shared" si="66"/>
        <v>Yes</v>
      </c>
      <c r="AH227" s="941" t="str">
        <f t="shared" si="67"/>
        <v>No</v>
      </c>
      <c r="AI227" s="963">
        <v>39850.38000009735</v>
      </c>
      <c r="AJ227" s="964">
        <v>39661.900000099529</v>
      </c>
      <c r="AK227" s="964">
        <v>38210.000000095271</v>
      </c>
      <c r="AN227" s="447"/>
      <c r="AO227" s="430"/>
      <c r="AP227" s="462"/>
      <c r="AQ227" s="461"/>
      <c r="AR227" s="461"/>
      <c r="AS227" s="463"/>
      <c r="AU227" s="453"/>
      <c r="AV227" s="452"/>
      <c r="AW227" s="453"/>
      <c r="AX227" s="452"/>
      <c r="AY227" s="453"/>
      <c r="AZ227" s="452"/>
      <c r="BA227" s="449"/>
    </row>
    <row r="228" spans="1:53" ht="13.5" thickBot="1">
      <c r="A228" s="425">
        <v>41859</v>
      </c>
      <c r="B228" s="954">
        <f t="shared" si="61"/>
        <v>131.72704999999999</v>
      </c>
      <c r="C228" s="954">
        <f>Calculation!AK231</f>
        <v>0</v>
      </c>
      <c r="D228" s="954">
        <f>Calculation!AI231</f>
        <v>27.846</v>
      </c>
      <c r="E228" s="954">
        <f>Calculation!AE231</f>
        <v>48.266399999999997</v>
      </c>
      <c r="F228" s="954">
        <f>Calculation!AF231</f>
        <v>83.460650000000001</v>
      </c>
      <c r="G228" s="954">
        <f>Calculation!AG231</f>
        <v>0</v>
      </c>
      <c r="H228" s="955">
        <f>Sheet1!H233</f>
        <v>0.71</v>
      </c>
      <c r="I228" s="935">
        <f>Sheet1!DA233</f>
        <v>338</v>
      </c>
      <c r="J228" s="935">
        <f>Sheet1!DB233</f>
        <v>204</v>
      </c>
      <c r="K228" s="935">
        <f>Sheet1!CZ233</f>
        <v>345</v>
      </c>
      <c r="L228" s="959">
        <f>Calculation!F231</f>
        <v>250</v>
      </c>
      <c r="M228" s="959">
        <f>Calculation!E231</f>
        <v>400</v>
      </c>
      <c r="N228" s="959">
        <f>Calculation!D231</f>
        <v>200</v>
      </c>
      <c r="O228" s="985">
        <f>Sheet1!DC233</f>
        <v>1160.05</v>
      </c>
      <c r="P228" s="986">
        <f>Calculation!FD231</f>
        <v>1135.2268656715662</v>
      </c>
      <c r="Q228" s="994">
        <f>Calculation!DP231</f>
        <v>41660.000000104119</v>
      </c>
      <c r="R228" s="985">
        <f t="shared" si="58"/>
        <v>41041.000000104119</v>
      </c>
      <c r="S228" s="987">
        <f t="shared" si="62"/>
        <v>-296.80000000024302</v>
      </c>
      <c r="T228" s="994">
        <f ca="1">IF(A228&gt;$A$1,#N/A,VLOOKUP(A228,Calculation!$B$8:$JF$503,40,FALSE))</f>
        <v>7638.9262970060317</v>
      </c>
      <c r="U228" s="987">
        <f t="shared" si="63"/>
        <v>27.846</v>
      </c>
      <c r="V228" s="987">
        <f>Calculation!AZ231</f>
        <v>0</v>
      </c>
      <c r="W228" s="994">
        <f t="shared" ca="1" si="68"/>
        <v>13314.450000000006</v>
      </c>
      <c r="X228" s="1080">
        <v>0</v>
      </c>
      <c r="Y228" s="994">
        <f t="shared" ca="1" si="56"/>
        <v>2500</v>
      </c>
      <c r="Z228" s="987">
        <f t="shared" ca="1" si="64"/>
        <v>10814.450000000006</v>
      </c>
      <c r="AA228" s="994">
        <f t="shared" ca="1" si="59"/>
        <v>20706.623703098085</v>
      </c>
      <c r="AB228" s="1093">
        <f t="shared" ca="1" si="60"/>
        <v>20087.623703098085</v>
      </c>
      <c r="AC228" s="954">
        <f ca="1">IF(A228&gt;$A$1,VLOOKUP(A228,Calculation!$B$8:$JF$880,165,FALSE),VLOOKUP(A228,Calculation!$B$8:$JF$880,165,FALSE))</f>
        <v>19558</v>
      </c>
      <c r="AD228" s="418">
        <f t="shared" ca="1" si="65"/>
        <v>-167</v>
      </c>
      <c r="AE228" s="418"/>
      <c r="AF228" s="935">
        <f>Calculation!G231</f>
        <v>195.32778618242915</v>
      </c>
      <c r="AG228" s="941" t="str">
        <f t="shared" si="66"/>
        <v>Yes</v>
      </c>
      <c r="AH228" s="941" t="str">
        <f t="shared" si="67"/>
        <v>No</v>
      </c>
      <c r="AI228" s="963">
        <v>39779.190000097122</v>
      </c>
      <c r="AJ228" s="964">
        <v>39558.900000099296</v>
      </c>
      <c r="AK228" s="964">
        <v>37919.10000009599</v>
      </c>
      <c r="AN228" s="447"/>
      <c r="AO228" s="430"/>
      <c r="AP228" s="462"/>
      <c r="AQ228" s="461"/>
      <c r="AR228" s="461"/>
      <c r="AS228" s="463"/>
      <c r="AU228" s="453"/>
      <c r="AV228" s="452"/>
      <c r="AW228" s="453"/>
      <c r="AX228" s="452"/>
      <c r="AY228" s="453"/>
      <c r="AZ228" s="452"/>
      <c r="BA228" s="449"/>
    </row>
    <row r="229" spans="1:53" ht="13.5" thickBot="1">
      <c r="A229" s="425">
        <v>41860</v>
      </c>
      <c r="B229" s="954">
        <f t="shared" si="61"/>
        <v>136.49180999999999</v>
      </c>
      <c r="C229" s="954">
        <f>Calculation!AK232</f>
        <v>0</v>
      </c>
      <c r="D229" s="954">
        <f>Calculation!AI232</f>
        <v>28.7742</v>
      </c>
      <c r="E229" s="954">
        <f>Calculation!AE232</f>
        <v>49.503999999999998</v>
      </c>
      <c r="F229" s="954">
        <f>Calculation!AF232</f>
        <v>86.987809999999996</v>
      </c>
      <c r="G229" s="954">
        <f>Calculation!AG232</f>
        <v>0</v>
      </c>
      <c r="H229" s="955">
        <f>Sheet1!H234</f>
        <v>0.78</v>
      </c>
      <c r="I229" s="935">
        <f>Sheet1!DA234</f>
        <v>333</v>
      </c>
      <c r="J229" s="935">
        <f>Sheet1!DB234</f>
        <v>193</v>
      </c>
      <c r="K229" s="935">
        <f>Sheet1!CZ234</f>
        <v>345</v>
      </c>
      <c r="L229" s="959">
        <f>Calculation!F232</f>
        <v>250</v>
      </c>
      <c r="M229" s="959">
        <f>Calculation!E232</f>
        <v>400</v>
      </c>
      <c r="N229" s="959">
        <f>Calculation!D232</f>
        <v>200</v>
      </c>
      <c r="O229" s="985">
        <f>Sheet1!DC234</f>
        <v>1159.7</v>
      </c>
      <c r="P229" s="986">
        <f>Calculation!FD232</f>
        <v>1134.9753846153092</v>
      </c>
      <c r="Q229" s="994">
        <f>Calculation!DP232</f>
        <v>41293.000000102897</v>
      </c>
      <c r="R229" s="985">
        <f t="shared" si="58"/>
        <v>40674.000000102897</v>
      </c>
      <c r="S229" s="987">
        <f t="shared" si="62"/>
        <v>-367.00000000122236</v>
      </c>
      <c r="T229" s="994">
        <f ca="1">IF(A229&gt;$A$1,#N/A,VLOOKUP(A229,Calculation!$B$8:$JF$503,40,FALSE))</f>
        <v>7581.8614970060316</v>
      </c>
      <c r="U229" s="987">
        <f t="shared" si="63"/>
        <v>28.7742</v>
      </c>
      <c r="V229" s="987">
        <f>Calculation!AZ232</f>
        <v>0</v>
      </c>
      <c r="W229" s="994">
        <f t="shared" ca="1" si="68"/>
        <v>13314.450000000006</v>
      </c>
      <c r="X229" s="1080">
        <v>0</v>
      </c>
      <c r="Y229" s="994">
        <f t="shared" ca="1" si="56"/>
        <v>2500</v>
      </c>
      <c r="Z229" s="987">
        <f t="shared" ca="1" si="64"/>
        <v>10814.450000000006</v>
      </c>
      <c r="AA229" s="994">
        <f t="shared" ca="1" si="59"/>
        <v>20396.688503096862</v>
      </c>
      <c r="AB229" s="1093">
        <f t="shared" ca="1" si="60"/>
        <v>19777.688503096862</v>
      </c>
      <c r="AC229" s="954">
        <f ca="1">IF(A229&gt;$A$1,VLOOKUP(A229,Calculation!$B$8:$JF$880,165,FALSE),VLOOKUP(A229,Calculation!$B$8:$JF$880,165,FALSE))</f>
        <v>19390</v>
      </c>
      <c r="AD229" s="418">
        <f t="shared" ca="1" si="65"/>
        <v>-168</v>
      </c>
      <c r="AE229" s="418"/>
      <c r="AF229" s="935">
        <f>Calculation!G232</f>
        <v>159.92687846635283</v>
      </c>
      <c r="AG229" s="941" t="str">
        <f t="shared" si="66"/>
        <v>Yes</v>
      </c>
      <c r="AH229" s="941" t="str">
        <f t="shared" si="67"/>
        <v>No</v>
      </c>
      <c r="AI229" s="963">
        <v>39587.64000009578</v>
      </c>
      <c r="AJ229" s="964">
        <v>39466.800000098337</v>
      </c>
      <c r="AK229" s="964">
        <v>37638.300000095762</v>
      </c>
      <c r="AN229" s="447"/>
      <c r="AO229" s="430"/>
      <c r="AP229" s="462"/>
      <c r="AQ229" s="461"/>
      <c r="AR229" s="461"/>
      <c r="AS229" s="463"/>
      <c r="AU229" s="453"/>
      <c r="AV229" s="452"/>
      <c r="AW229" s="453"/>
      <c r="AX229" s="452"/>
      <c r="AY229" s="453"/>
      <c r="AZ229" s="452"/>
      <c r="BA229" s="449"/>
    </row>
    <row r="230" spans="1:53" ht="13.5" thickBot="1">
      <c r="A230" s="425">
        <v>41861</v>
      </c>
      <c r="B230" s="954">
        <f t="shared" si="61"/>
        <v>141.93725000000001</v>
      </c>
      <c r="C230" s="954">
        <f>Calculation!AK233</f>
        <v>0</v>
      </c>
      <c r="D230" s="954">
        <f>Calculation!AI233</f>
        <v>28.989232999999999</v>
      </c>
      <c r="E230" s="954">
        <f>Calculation!AE233</f>
        <v>50.741599999999991</v>
      </c>
      <c r="F230" s="954">
        <f>Calculation!AF233</f>
        <v>91.195650000000001</v>
      </c>
      <c r="G230" s="954">
        <f>Calculation!AG233</f>
        <v>0</v>
      </c>
      <c r="H230" s="955">
        <f>Sheet1!H235</f>
        <v>0.83</v>
      </c>
      <c r="I230" s="935">
        <f>Sheet1!DA235</f>
        <v>320</v>
      </c>
      <c r="J230" s="935">
        <f>Sheet1!DB235</f>
        <v>193</v>
      </c>
      <c r="K230" s="935">
        <f>Sheet1!CZ235</f>
        <v>345</v>
      </c>
      <c r="L230" s="959">
        <f>Calculation!F233</f>
        <v>250</v>
      </c>
      <c r="M230" s="959">
        <f>Calculation!E233</f>
        <v>400</v>
      </c>
      <c r="N230" s="959">
        <f>Calculation!D233</f>
        <v>200</v>
      </c>
      <c r="O230" s="985">
        <f>Sheet1!DC235</f>
        <v>1159.45</v>
      </c>
      <c r="P230" s="986">
        <f>Calculation!FD233</f>
        <v>1134.7184615383862</v>
      </c>
      <c r="Q230" s="994">
        <f>Calculation!DP233</f>
        <v>41031.500000102656</v>
      </c>
      <c r="R230" s="985">
        <f t="shared" si="58"/>
        <v>40412.500000102656</v>
      </c>
      <c r="S230" s="987">
        <f t="shared" si="62"/>
        <v>-261.50000000024011</v>
      </c>
      <c r="T230" s="994">
        <f ca="1">IF(A230&gt;$A$1,#N/A,VLOOKUP(A230,Calculation!$B$8:$JF$503,40,FALSE))</f>
        <v>7524.3702450060318</v>
      </c>
      <c r="U230" s="987">
        <f t="shared" si="63"/>
        <v>28.989232999999999</v>
      </c>
      <c r="V230" s="987">
        <f>Calculation!AZ233</f>
        <v>0</v>
      </c>
      <c r="W230" s="994">
        <f t="shared" ca="1" si="68"/>
        <v>13314.450000000006</v>
      </c>
      <c r="X230" s="1080">
        <v>0</v>
      </c>
      <c r="Y230" s="994">
        <f t="shared" ca="1" si="56"/>
        <v>2500</v>
      </c>
      <c r="Z230" s="987">
        <f t="shared" ca="1" si="64"/>
        <v>10814.450000000006</v>
      </c>
      <c r="AA230" s="994">
        <f t="shared" ca="1" si="59"/>
        <v>20192.679755096622</v>
      </c>
      <c r="AB230" s="1093">
        <f t="shared" ca="1" si="60"/>
        <v>19573.679755096622</v>
      </c>
      <c r="AC230" s="954">
        <f ca="1">IF(A230&gt;$A$1,VLOOKUP(A230,Calculation!$B$8:$JF$880,165,FALSE),VLOOKUP(A230,Calculation!$B$8:$JF$880,165,FALSE))</f>
        <v>19222</v>
      </c>
      <c r="AD230" s="418">
        <f t="shared" ca="1" si="65"/>
        <v>-168</v>
      </c>
      <c r="AE230" s="418"/>
      <c r="AF230" s="935">
        <f>Calculation!G233</f>
        <v>213.12909732716082</v>
      </c>
      <c r="AG230" s="941" t="str">
        <f t="shared" si="66"/>
        <v>Yes</v>
      </c>
      <c r="AH230" s="941" t="str">
        <f t="shared" si="67"/>
        <v>No</v>
      </c>
      <c r="AI230" s="963">
        <v>39427.160000095551</v>
      </c>
      <c r="AJ230" s="964">
        <v>39365.400000097143</v>
      </c>
      <c r="AK230" s="964">
        <v>37379.300000093419</v>
      </c>
      <c r="AN230" s="447"/>
      <c r="AO230" s="430"/>
      <c r="AP230" s="462"/>
      <c r="AQ230" s="461"/>
      <c r="AR230" s="461"/>
      <c r="AS230" s="463"/>
      <c r="AU230" s="453"/>
      <c r="AV230" s="452"/>
      <c r="AW230" s="453"/>
      <c r="AX230" s="452"/>
      <c r="AY230" s="453"/>
      <c r="AZ230" s="452"/>
      <c r="BA230" s="449"/>
    </row>
    <row r="231" spans="1:53" ht="13.5" thickBot="1">
      <c r="A231" s="425">
        <v>41862</v>
      </c>
      <c r="B231" s="954">
        <f t="shared" si="61"/>
        <v>141.85990000000001</v>
      </c>
      <c r="C231" s="954">
        <f>Calculation!AK234</f>
        <v>0</v>
      </c>
      <c r="D231" s="954">
        <f>Calculation!AI234</f>
        <v>28.97531</v>
      </c>
      <c r="E231" s="954">
        <f>Calculation!AE234</f>
        <v>50.865360000000003</v>
      </c>
      <c r="F231" s="954">
        <f>Calculation!AF234</f>
        <v>90.994540000000001</v>
      </c>
      <c r="G231" s="954">
        <f>Calculation!AG234</f>
        <v>0</v>
      </c>
      <c r="H231" s="955">
        <f>Sheet1!H236</f>
        <v>0.79</v>
      </c>
      <c r="I231" s="935">
        <f>Sheet1!DA236</f>
        <v>351</v>
      </c>
      <c r="J231" s="935">
        <f>Sheet1!DB236</f>
        <v>197</v>
      </c>
      <c r="K231" s="935">
        <f>Sheet1!CZ236</f>
        <v>348</v>
      </c>
      <c r="L231" s="959">
        <f>Calculation!F234</f>
        <v>250</v>
      </c>
      <c r="M231" s="959">
        <f>Calculation!E234</f>
        <v>400</v>
      </c>
      <c r="N231" s="959">
        <f>Calculation!D234</f>
        <v>200</v>
      </c>
      <c r="O231" s="985">
        <f>Sheet1!DC236</f>
        <v>1159.1500000000001</v>
      </c>
      <c r="P231" s="986">
        <f>Calculation!FD234</f>
        <v>1134.4615384614635</v>
      </c>
      <c r="Q231" s="994">
        <f>Calculation!DP234</f>
        <v>40717.000000101441</v>
      </c>
      <c r="R231" s="985">
        <f t="shared" si="58"/>
        <v>40098.000000101441</v>
      </c>
      <c r="S231" s="987">
        <f t="shared" si="62"/>
        <v>-314.50000000121508</v>
      </c>
      <c r="T231" s="994">
        <f ca="1">IF(A231&gt;$A$1,#N/A,VLOOKUP(A231,Calculation!$B$8:$JF$503,40,FALSE))</f>
        <v>7466.9066050060319</v>
      </c>
      <c r="U231" s="987">
        <f t="shared" si="63"/>
        <v>28.97531</v>
      </c>
      <c r="V231" s="987">
        <f>Calculation!AZ234</f>
        <v>0</v>
      </c>
      <c r="W231" s="994">
        <f t="shared" ca="1" si="68"/>
        <v>13314.450000000006</v>
      </c>
      <c r="X231" s="1080">
        <v>0</v>
      </c>
      <c r="Y231" s="994">
        <f t="shared" ca="1" si="56"/>
        <v>2500</v>
      </c>
      <c r="Z231" s="987">
        <f t="shared" ca="1" si="64"/>
        <v>10814.450000000006</v>
      </c>
      <c r="AA231" s="994">
        <f t="shared" ca="1" si="59"/>
        <v>19935.643395095402</v>
      </c>
      <c r="AB231" s="1093">
        <f t="shared" ca="1" si="60"/>
        <v>19316.643395095402</v>
      </c>
      <c r="AC231" s="954">
        <f ca="1">IF(A231&gt;$A$1,VLOOKUP(A231,Calculation!$B$8:$JF$880,165,FALSE),VLOOKUP(A231,Calculation!$B$8:$JF$880,165,FALSE))</f>
        <v>19054</v>
      </c>
      <c r="AD231" s="418">
        <f t="shared" ca="1" si="65"/>
        <v>-168</v>
      </c>
      <c r="AE231" s="418"/>
      <c r="AF231" s="935">
        <f>Calculation!G234</f>
        <v>189.4019162878391</v>
      </c>
      <c r="AG231" s="941" t="str">
        <f t="shared" si="66"/>
        <v>Yes</v>
      </c>
      <c r="AH231" s="941" t="str">
        <f t="shared" si="67"/>
        <v>No</v>
      </c>
      <c r="AI231" s="963">
        <v>39276.710000095329</v>
      </c>
      <c r="AJ231" s="964">
        <v>39192.400000098103</v>
      </c>
      <c r="AK231" s="964">
        <v>37121.900000093192</v>
      </c>
      <c r="AN231" s="447"/>
      <c r="AO231" s="430"/>
      <c r="AP231" s="462"/>
      <c r="AQ231" s="461"/>
      <c r="AR231" s="461"/>
      <c r="AS231" s="463"/>
      <c r="AU231" s="453"/>
      <c r="AV231" s="452"/>
      <c r="AW231" s="453"/>
      <c r="AX231" s="452"/>
      <c r="AY231" s="453"/>
      <c r="AZ231" s="452"/>
      <c r="BA231" s="449"/>
    </row>
    <row r="232" spans="1:53" ht="13.5" thickBot="1">
      <c r="A232" s="425">
        <v>41863</v>
      </c>
      <c r="B232" s="954">
        <f t="shared" si="61"/>
        <v>141.51956000000001</v>
      </c>
      <c r="C232" s="954">
        <f>Calculation!AK235</f>
        <v>0</v>
      </c>
      <c r="D232" s="954">
        <f>Calculation!AI235</f>
        <v>28.97531</v>
      </c>
      <c r="E232" s="954">
        <f>Calculation!AE235</f>
        <v>63.086660000000002</v>
      </c>
      <c r="F232" s="954">
        <f>Calculation!AF235</f>
        <v>78.432900000000004</v>
      </c>
      <c r="G232" s="954">
        <f>Calculation!AG235</f>
        <v>0</v>
      </c>
      <c r="H232" s="955">
        <f>Sheet1!H237</f>
        <v>0.78</v>
      </c>
      <c r="I232" s="935">
        <f>Sheet1!DA237</f>
        <v>396</v>
      </c>
      <c r="J232" s="935">
        <f>Sheet1!DB237</f>
        <v>211</v>
      </c>
      <c r="K232" s="935">
        <f>Sheet1!CZ237</f>
        <v>348</v>
      </c>
      <c r="L232" s="959">
        <f>Calculation!F235</f>
        <v>250</v>
      </c>
      <c r="M232" s="959">
        <f>Calculation!E235</f>
        <v>400</v>
      </c>
      <c r="N232" s="959">
        <f>Calculation!D235</f>
        <v>200</v>
      </c>
      <c r="O232" s="985">
        <f>Sheet1!DC237</f>
        <v>1158.92</v>
      </c>
      <c r="P232" s="986">
        <f>Calculation!FD235</f>
        <v>1134.2030769230021</v>
      </c>
      <c r="Q232" s="994">
        <f>Calculation!DP235</f>
        <v>40477.600000100232</v>
      </c>
      <c r="R232" s="985">
        <f t="shared" si="58"/>
        <v>39858.600000100232</v>
      </c>
      <c r="S232" s="987">
        <f t="shared" si="62"/>
        <v>-239.40000000120926</v>
      </c>
      <c r="T232" s="994">
        <f ca="1">IF(A232&gt;$A$1,#N/A,VLOOKUP(A232,Calculation!$B$8:$JF$503,40,FALSE))</f>
        <v>7409.442965006031</v>
      </c>
      <c r="U232" s="987">
        <f t="shared" si="63"/>
        <v>28.97531</v>
      </c>
      <c r="V232" s="987">
        <f>Calculation!AZ235</f>
        <v>0</v>
      </c>
      <c r="W232" s="994">
        <f t="shared" ca="1" si="68"/>
        <v>13314.450000000006</v>
      </c>
      <c r="X232" s="1080">
        <v>0</v>
      </c>
      <c r="Y232" s="994">
        <f t="shared" ca="1" si="56"/>
        <v>2500</v>
      </c>
      <c r="Z232" s="987">
        <f t="shared" ca="1" si="64"/>
        <v>10814.450000000006</v>
      </c>
      <c r="AA232" s="994">
        <f t="shared" ca="1" si="59"/>
        <v>19753.707035094194</v>
      </c>
      <c r="AB232" s="1093">
        <f t="shared" ca="1" si="60"/>
        <v>19134.707035094194</v>
      </c>
      <c r="AC232" s="954">
        <f ca="1">IF(A232&gt;$A$1,VLOOKUP(A232,Calculation!$B$8:$JF$880,165,FALSE),VLOOKUP(A232,Calculation!$B$8:$JF$880,165,FALSE))</f>
        <v>18887</v>
      </c>
      <c r="AD232" s="418">
        <f t="shared" ca="1" si="65"/>
        <v>-167</v>
      </c>
      <c r="AE232" s="418"/>
      <c r="AF232" s="935">
        <f>Calculation!G235</f>
        <v>227.27382753342954</v>
      </c>
      <c r="AG232" s="941" t="str">
        <f t="shared" si="66"/>
        <v>Yes</v>
      </c>
      <c r="AH232" s="941" t="str">
        <f t="shared" si="67"/>
        <v>No</v>
      </c>
      <c r="AI232" s="963">
        <v>39136.290000095323</v>
      </c>
      <c r="AJ232" s="964">
        <v>38989.40000009787</v>
      </c>
      <c r="AK232" s="964">
        <v>36895.200000093195</v>
      </c>
      <c r="AN232" s="447"/>
      <c r="AO232" s="430"/>
      <c r="AP232" s="462"/>
      <c r="AQ232" s="461"/>
      <c r="AR232" s="461"/>
      <c r="AS232" s="463"/>
      <c r="AU232" s="453"/>
      <c r="AV232" s="452"/>
      <c r="AW232" s="453"/>
      <c r="AX232" s="452"/>
      <c r="AY232" s="453"/>
      <c r="AZ232" s="452"/>
      <c r="BA232" s="449"/>
    </row>
    <row r="233" spans="1:53" ht="13.5" thickBot="1">
      <c r="A233" s="425">
        <v>41864</v>
      </c>
      <c r="B233" s="954">
        <f t="shared" si="61"/>
        <v>141.14828</v>
      </c>
      <c r="C233" s="954">
        <f>Calculation!AK236</f>
        <v>0</v>
      </c>
      <c r="D233" s="954">
        <f>Calculation!AI236</f>
        <v>27.846</v>
      </c>
      <c r="E233" s="954">
        <f>Calculation!AE236</f>
        <v>94.738280000000003</v>
      </c>
      <c r="F233" s="954">
        <f>Calculation!AF236</f>
        <v>46.41</v>
      </c>
      <c r="G233" s="954">
        <f>Calculation!AG236</f>
        <v>0</v>
      </c>
      <c r="H233" s="955">
        <f>Sheet1!H238</f>
        <v>1.01</v>
      </c>
      <c r="I233" s="935">
        <f>Sheet1!DA238</f>
        <v>444</v>
      </c>
      <c r="J233" s="935">
        <f>Sheet1!DB238</f>
        <v>200</v>
      </c>
      <c r="K233" s="935">
        <f>Sheet1!CZ238</f>
        <v>348</v>
      </c>
      <c r="L233" s="959">
        <f>Calculation!F236</f>
        <v>250</v>
      </c>
      <c r="M233" s="959">
        <f>Calculation!E236</f>
        <v>400</v>
      </c>
      <c r="N233" s="959">
        <f>Calculation!D236</f>
        <v>200</v>
      </c>
      <c r="O233" s="985">
        <f>Sheet1!DC238</f>
        <v>1158.94</v>
      </c>
      <c r="P233" s="986">
        <f>Calculation!FD236</f>
        <v>1133.94444444437</v>
      </c>
      <c r="Q233" s="994">
        <f>Calculation!DP236</f>
        <v>40498.200000100238</v>
      </c>
      <c r="R233" s="985">
        <f t="shared" si="58"/>
        <v>39879.200000100238</v>
      </c>
      <c r="S233" s="987">
        <f t="shared" si="62"/>
        <v>20.600000000005821</v>
      </c>
      <c r="T233" s="994">
        <f ca="1">IF(A233&gt;$A$1,#N/A,VLOOKUP(A233,Calculation!$B$8:$JF$503,40,FALSE))</f>
        <v>7354.2189650060318</v>
      </c>
      <c r="U233" s="987">
        <f t="shared" si="63"/>
        <v>27.846</v>
      </c>
      <c r="V233" s="987">
        <f>Calculation!AZ236</f>
        <v>0</v>
      </c>
      <c r="W233" s="994">
        <f t="shared" ca="1" si="68"/>
        <v>13314.450000000006</v>
      </c>
      <c r="X233" s="1080">
        <v>0</v>
      </c>
      <c r="Y233" s="994">
        <f t="shared" ca="1" si="56"/>
        <v>2500</v>
      </c>
      <c r="Z233" s="987">
        <f t="shared" ca="1" si="64"/>
        <v>10814.450000000006</v>
      </c>
      <c r="AA233" s="994">
        <f t="shared" ca="1" si="59"/>
        <v>19829.531035094202</v>
      </c>
      <c r="AB233" s="1093">
        <f t="shared" ca="1" si="60"/>
        <v>19210.531035094202</v>
      </c>
      <c r="AC233" s="954">
        <f ca="1">IF(A233&gt;$A$1,VLOOKUP(A233,Calculation!$B$8:$JF$880,165,FALSE),VLOOKUP(A233,Calculation!$B$8:$JF$880,165,FALSE))</f>
        <v>18719</v>
      </c>
      <c r="AD233" s="418">
        <f t="shared" ca="1" si="65"/>
        <v>-168</v>
      </c>
      <c r="AE233" s="418"/>
      <c r="AF233" s="935">
        <f>Calculation!G236</f>
        <v>358.388300554718</v>
      </c>
      <c r="AG233" s="941" t="str">
        <f t="shared" si="66"/>
        <v>Yes</v>
      </c>
      <c r="AH233" s="941" t="str">
        <f t="shared" si="67"/>
        <v>No</v>
      </c>
      <c r="AI233" s="963">
        <v>38975.810000095102</v>
      </c>
      <c r="AJ233" s="964">
        <v>38775.20000009764</v>
      </c>
      <c r="AK233" s="964">
        <v>36618.000000092739</v>
      </c>
      <c r="AN233" s="447"/>
      <c r="AO233" s="430"/>
      <c r="AP233" s="462"/>
      <c r="AQ233" s="461"/>
      <c r="AR233" s="461"/>
      <c r="AS233" s="463"/>
      <c r="AU233" s="453"/>
      <c r="AV233" s="452"/>
      <c r="AW233" s="453"/>
      <c r="AX233" s="452"/>
      <c r="AY233" s="453"/>
      <c r="AZ233" s="452"/>
      <c r="BA233" s="449"/>
    </row>
    <row r="234" spans="1:53" ht="13.5" thickBot="1">
      <c r="A234" s="425">
        <v>41865</v>
      </c>
      <c r="B234" s="954">
        <f t="shared" si="61"/>
        <v>134.27959999999999</v>
      </c>
      <c r="C234" s="954">
        <f>Calculation!AK237</f>
        <v>0</v>
      </c>
      <c r="D234" s="954">
        <f>Calculation!AI237</f>
        <v>28.97531</v>
      </c>
      <c r="E234" s="954">
        <f>Calculation!AE237</f>
        <v>94.521699999999996</v>
      </c>
      <c r="F234" s="954">
        <f>Calculation!AF237</f>
        <v>39.757899999999999</v>
      </c>
      <c r="G234" s="954">
        <f>Calculation!AG237</f>
        <v>0</v>
      </c>
      <c r="H234" s="955">
        <f>Sheet1!H239</f>
        <v>0.79</v>
      </c>
      <c r="I234" s="935">
        <f>Sheet1!DA239</f>
        <v>396</v>
      </c>
      <c r="J234" s="935">
        <f>Sheet1!DB239</f>
        <v>249</v>
      </c>
      <c r="K234" s="935">
        <f>Sheet1!CZ239</f>
        <v>372</v>
      </c>
      <c r="L234" s="959">
        <f>Calculation!F237</f>
        <v>250</v>
      </c>
      <c r="M234" s="959">
        <f>Calculation!E237</f>
        <v>400</v>
      </c>
      <c r="N234" s="959">
        <f>Calculation!D237</f>
        <v>200</v>
      </c>
      <c r="O234" s="985">
        <f>Sheet1!DC239</f>
        <v>1158.72</v>
      </c>
      <c r="P234" s="986">
        <f>Calculation!FD237</f>
        <v>1133.6793650792908</v>
      </c>
      <c r="Q234" s="994">
        <f>Calculation!DP237</f>
        <v>40270.800000100971</v>
      </c>
      <c r="R234" s="985">
        <f t="shared" si="58"/>
        <v>39651.800000100971</v>
      </c>
      <c r="S234" s="987">
        <f t="shared" si="62"/>
        <v>-227.39999999926658</v>
      </c>
      <c r="T234" s="994">
        <f ca="1">IF(A234&gt;$A$1,#N/A,VLOOKUP(A234,Calculation!$B$8:$JF$503,40,FALSE))</f>
        <v>7296.7553250060309</v>
      </c>
      <c r="U234" s="987">
        <f t="shared" si="63"/>
        <v>28.97531</v>
      </c>
      <c r="V234" s="987">
        <f>Calculation!AZ237</f>
        <v>0</v>
      </c>
      <c r="W234" s="994">
        <f t="shared" ca="1" si="68"/>
        <v>13314.450000000006</v>
      </c>
      <c r="X234" s="1080">
        <v>0</v>
      </c>
      <c r="Y234" s="994">
        <f t="shared" ca="1" si="56"/>
        <v>2500</v>
      </c>
      <c r="Z234" s="987">
        <f t="shared" ca="1" si="64"/>
        <v>10814.450000000006</v>
      </c>
      <c r="AA234" s="994">
        <f t="shared" ca="1" si="59"/>
        <v>19659.594675094937</v>
      </c>
      <c r="AB234" s="1093">
        <f t="shared" ca="1" si="60"/>
        <v>19040.594675094937</v>
      </c>
      <c r="AC234" s="954">
        <f ca="1">IF(A234&gt;$A$1,VLOOKUP(A234,Calculation!$B$8:$JF$880,165,FALSE),VLOOKUP(A234,Calculation!$B$8:$JF$880,165,FALSE))</f>
        <v>18551</v>
      </c>
      <c r="AD234" s="418">
        <f t="shared" ca="1" si="65"/>
        <v>-168</v>
      </c>
      <c r="AE234" s="418"/>
      <c r="AF234" s="935">
        <f>Calculation!G237</f>
        <v>257.32526475074809</v>
      </c>
      <c r="AG234" s="941" t="str">
        <f t="shared" si="66"/>
        <v>Yes</v>
      </c>
      <c r="AH234" s="941" t="str">
        <f t="shared" si="67"/>
        <v>No</v>
      </c>
      <c r="AI234" s="963">
        <v>38835.390000095103</v>
      </c>
      <c r="AJ234" s="964">
        <v>38562.000000097411</v>
      </c>
      <c r="AK234" s="964">
        <v>36333.800000091578</v>
      </c>
      <c r="AN234" s="447"/>
      <c r="AO234" s="430"/>
      <c r="AP234" s="462"/>
      <c r="AQ234" s="461"/>
      <c r="AR234" s="461"/>
      <c r="AS234" s="463"/>
      <c r="AU234" s="453"/>
      <c r="AV234" s="452"/>
      <c r="AW234" s="453"/>
      <c r="AX234" s="452"/>
      <c r="AY234" s="453"/>
      <c r="AZ234" s="452"/>
      <c r="BA234" s="449"/>
    </row>
    <row r="235" spans="1:53" ht="13.5" thickBot="1">
      <c r="A235" s="425">
        <v>41866</v>
      </c>
      <c r="B235" s="954">
        <f t="shared" si="61"/>
        <v>114.83380999999999</v>
      </c>
      <c r="C235" s="954">
        <f>Calculation!AK238</f>
        <v>0</v>
      </c>
      <c r="D235" s="954">
        <f>Calculation!AI238</f>
        <v>26.361734447674415</v>
      </c>
      <c r="E235" s="954">
        <f>Calculation!AE238</f>
        <v>93.33050999999999</v>
      </c>
      <c r="F235" s="954">
        <f>Calculation!AF238</f>
        <v>21.503299999999999</v>
      </c>
      <c r="G235" s="954">
        <f>Calculation!AG238</f>
        <v>1.5469999997523701E-2</v>
      </c>
      <c r="H235" s="955">
        <f>Sheet1!H240</f>
        <v>0.76</v>
      </c>
      <c r="I235" s="935">
        <f>Sheet1!DA240</f>
        <v>434</v>
      </c>
      <c r="J235" s="935">
        <f>Sheet1!DB240</f>
        <v>255</v>
      </c>
      <c r="K235" s="935">
        <f>Sheet1!CZ240</f>
        <v>375</v>
      </c>
      <c r="L235" s="959">
        <f>Calculation!F238</f>
        <v>250</v>
      </c>
      <c r="M235" s="959">
        <f>Calculation!E238</f>
        <v>400</v>
      </c>
      <c r="N235" s="959">
        <f>Calculation!D238</f>
        <v>200</v>
      </c>
      <c r="O235" s="985">
        <f>Sheet1!DC240</f>
        <v>1158.5</v>
      </c>
      <c r="P235" s="986">
        <f>Calculation!FD238</f>
        <v>1133.415873015799</v>
      </c>
      <c r="Q235" s="994">
        <f>Calculation!DP238</f>
        <v>40044.000000099768</v>
      </c>
      <c r="R235" s="985">
        <f t="shared" si="58"/>
        <v>39425.000000099768</v>
      </c>
      <c r="S235" s="987">
        <f t="shared" si="62"/>
        <v>-226.80000000120344</v>
      </c>
      <c r="T235" s="994">
        <f ca="1">IF(A235&gt;$A$1,#N/A,VLOOKUP(A235,Calculation!$B$8:$JF$503,40,FALSE))</f>
        <v>7244.4749104711482</v>
      </c>
      <c r="U235" s="987">
        <f t="shared" si="63"/>
        <v>26.361734447674415</v>
      </c>
      <c r="V235" s="987">
        <f>Calculation!AZ238</f>
        <v>0</v>
      </c>
      <c r="W235" s="994">
        <f t="shared" ca="1" si="68"/>
        <v>13314.450000000006</v>
      </c>
      <c r="X235" s="1080">
        <v>0</v>
      </c>
      <c r="Y235" s="994">
        <f t="shared" ca="1" si="56"/>
        <v>2500</v>
      </c>
      <c r="Z235" s="987">
        <f t="shared" ca="1" si="64"/>
        <v>10814.450000000006</v>
      </c>
      <c r="AA235" s="994">
        <f t="shared" ca="1" si="59"/>
        <v>19485.075089628612</v>
      </c>
      <c r="AB235" s="1093">
        <f t="shared" ca="1" si="60"/>
        <v>18866.075089628612</v>
      </c>
      <c r="AC235" s="954">
        <f ca="1">IF(A235&gt;$A$1,VLOOKUP(A235,Calculation!$B$8:$JF$880,165,FALSE),VLOOKUP(A235,Calculation!$B$8:$JF$880,165,FALSE))</f>
        <v>18383</v>
      </c>
      <c r="AD235" s="418">
        <f t="shared" ca="1" si="65"/>
        <v>-168</v>
      </c>
      <c r="AE235" s="418"/>
      <c r="AF235" s="935">
        <f>Calculation!G238</f>
        <v>260.6278366105883</v>
      </c>
      <c r="AG235" s="941" t="str">
        <f t="shared" si="66"/>
        <v>Yes</v>
      </c>
      <c r="AH235" s="941" t="str">
        <f t="shared" si="67"/>
        <v>Yes</v>
      </c>
      <c r="AI235" s="963">
        <v>38725.060000094869</v>
      </c>
      <c r="AJ235" s="964">
        <v>38360.500000096225</v>
      </c>
      <c r="AK235" s="964">
        <v>36061.100000090424</v>
      </c>
      <c r="AN235" s="447"/>
      <c r="AO235" s="430"/>
      <c r="AP235" s="462"/>
      <c r="AQ235" s="461"/>
      <c r="AR235" s="461"/>
      <c r="AS235" s="463"/>
      <c r="AU235" s="453"/>
      <c r="AV235" s="452"/>
      <c r="AW235" s="453"/>
      <c r="AX235" s="452"/>
      <c r="AY235" s="453"/>
      <c r="AZ235" s="452"/>
      <c r="BA235" s="449"/>
    </row>
    <row r="236" spans="1:53" ht="13.5" thickBot="1">
      <c r="A236" s="425">
        <v>41867</v>
      </c>
      <c r="B236" s="954">
        <f t="shared" si="61"/>
        <v>112.66801</v>
      </c>
      <c r="C236" s="954">
        <f>Calculation!AK239</f>
        <v>0</v>
      </c>
      <c r="D236" s="954">
        <f>Calculation!AI239</f>
        <v>27.072499999999998</v>
      </c>
      <c r="E236" s="954">
        <f>Calculation!AE239</f>
        <v>91.319409999999991</v>
      </c>
      <c r="F236" s="954">
        <f>Calculation!AF239</f>
        <v>21.348600000000001</v>
      </c>
      <c r="G236" s="954">
        <f>Calculation!AG239</f>
        <v>0</v>
      </c>
      <c r="H236" s="955">
        <f>Sheet1!H241</f>
        <v>0.73</v>
      </c>
      <c r="I236" s="935">
        <f>Sheet1!DA241</f>
        <v>429</v>
      </c>
      <c r="J236" s="935">
        <f>Sheet1!DB241</f>
        <v>247</v>
      </c>
      <c r="K236" s="935">
        <f>Sheet1!CZ241</f>
        <v>372</v>
      </c>
      <c r="L236" s="959">
        <f>Calculation!F239</f>
        <v>250</v>
      </c>
      <c r="M236" s="959">
        <f>Calculation!E239</f>
        <v>400</v>
      </c>
      <c r="N236" s="959">
        <f>Calculation!D239</f>
        <v>200</v>
      </c>
      <c r="O236" s="985">
        <f>Sheet1!DC241</f>
        <v>1158.2</v>
      </c>
      <c r="P236" s="986">
        <f>Calculation!FD239</f>
        <v>1133.1507936507198</v>
      </c>
      <c r="Q236" s="994">
        <f>Calculation!DP239</f>
        <v>39734.000000100496</v>
      </c>
      <c r="R236" s="985">
        <f t="shared" si="58"/>
        <v>39115.000000100496</v>
      </c>
      <c r="S236" s="987">
        <f t="shared" si="62"/>
        <v>-309.9999999992724</v>
      </c>
      <c r="T236" s="994">
        <f ca="1">IF(A236&gt;$A$1,#N/A,VLOOKUP(A236,Calculation!$B$8:$JF$503,40,FALSE))</f>
        <v>7190.7849104711477</v>
      </c>
      <c r="U236" s="987">
        <f t="shared" si="63"/>
        <v>27.072499999999998</v>
      </c>
      <c r="V236" s="987">
        <f>Calculation!AZ239</f>
        <v>0</v>
      </c>
      <c r="W236" s="994">
        <f t="shared" ca="1" si="68"/>
        <v>13314.450000000006</v>
      </c>
      <c r="X236" s="1080">
        <v>0</v>
      </c>
      <c r="Y236" s="994">
        <f t="shared" ca="1" si="56"/>
        <v>2500</v>
      </c>
      <c r="Z236" s="987">
        <f t="shared" ca="1" si="64"/>
        <v>10814.450000000006</v>
      </c>
      <c r="AA236" s="994">
        <f t="shared" ca="1" si="59"/>
        <v>19228.765089629342</v>
      </c>
      <c r="AB236" s="1093">
        <f t="shared" ca="1" si="60"/>
        <v>18609.765089629342</v>
      </c>
      <c r="AC236" s="954">
        <f ca="1">IF(A236&gt;$A$1,VLOOKUP(A236,Calculation!$B$8:$JF$880,165,FALSE),VLOOKUP(A236,Calculation!$B$8:$JF$880,165,FALSE))</f>
        <v>18216</v>
      </c>
      <c r="AD236" s="418">
        <f t="shared" ca="1" si="65"/>
        <v>-167</v>
      </c>
      <c r="AE236" s="418"/>
      <c r="AF236" s="935">
        <f>Calculation!G239</f>
        <v>215.67120524494587</v>
      </c>
      <c r="AG236" s="941" t="str">
        <f t="shared" si="66"/>
        <v>Yes</v>
      </c>
      <c r="AH236" s="941" t="str">
        <f t="shared" si="67"/>
        <v>Yes</v>
      </c>
      <c r="AI236" s="963">
        <v>38576.430000093322</v>
      </c>
      <c r="AJ236" s="964">
        <v>38150.000000095271</v>
      </c>
      <c r="AK236" s="964">
        <v>35778.200000091136</v>
      </c>
      <c r="AN236" s="447"/>
      <c r="AO236" s="430"/>
      <c r="AP236" s="462"/>
      <c r="AQ236" s="461"/>
      <c r="AR236" s="461"/>
      <c r="AS236" s="463"/>
      <c r="AU236" s="453"/>
      <c r="AV236" s="452"/>
      <c r="AW236" s="453"/>
      <c r="AX236" s="452"/>
      <c r="AY236" s="453"/>
      <c r="AZ236" s="452"/>
      <c r="BA236" s="449"/>
    </row>
    <row r="237" spans="1:53" ht="13.5" thickBot="1">
      <c r="A237" s="425">
        <v>41868</v>
      </c>
      <c r="B237" s="954">
        <f t="shared" si="61"/>
        <v>119.70685999999999</v>
      </c>
      <c r="C237" s="954">
        <f>Calculation!AK240</f>
        <v>0</v>
      </c>
      <c r="D237" s="954">
        <f>Calculation!AI240</f>
        <v>27.846</v>
      </c>
      <c r="E237" s="954">
        <f>Calculation!AE240</f>
        <v>91.783509999999993</v>
      </c>
      <c r="F237" s="954">
        <f>Calculation!AF240</f>
        <v>27.923349999999999</v>
      </c>
      <c r="G237" s="954">
        <f>Calculation!AG240</f>
        <v>0</v>
      </c>
      <c r="H237" s="955">
        <f>Sheet1!H242</f>
        <v>0.96</v>
      </c>
      <c r="I237" s="935">
        <f>Sheet1!DA242</f>
        <v>369</v>
      </c>
      <c r="J237" s="935">
        <f>Sheet1!DB242</f>
        <v>239</v>
      </c>
      <c r="K237" s="935">
        <f>Sheet1!CZ242</f>
        <v>372</v>
      </c>
      <c r="L237" s="959">
        <f>Calculation!F240</f>
        <v>250</v>
      </c>
      <c r="M237" s="959">
        <f>Calculation!E240</f>
        <v>400</v>
      </c>
      <c r="N237" s="959">
        <f>Calculation!D240</f>
        <v>200</v>
      </c>
      <c r="O237" s="985">
        <f>Sheet1!DC242</f>
        <v>1157.8499999999999</v>
      </c>
      <c r="P237" s="986">
        <f>Calculation!FD240</f>
        <v>1132.8822580644426</v>
      </c>
      <c r="Q237" s="994">
        <f>Calculation!DP240</f>
        <v>39375.500000097141</v>
      </c>
      <c r="R237" s="985">
        <f t="shared" si="58"/>
        <v>38756.500000097141</v>
      </c>
      <c r="S237" s="987">
        <f t="shared" si="62"/>
        <v>-358.50000000335422</v>
      </c>
      <c r="T237" s="994">
        <f ca="1">IF(A237&gt;$A$1,#N/A,VLOOKUP(A237,Calculation!$B$8:$JF$503,40,FALSE))</f>
        <v>7135.5609104711475</v>
      </c>
      <c r="U237" s="987">
        <f t="shared" si="63"/>
        <v>27.846</v>
      </c>
      <c r="V237" s="987">
        <f>Calculation!AZ240</f>
        <v>0</v>
      </c>
      <c r="W237" s="994">
        <f t="shared" ca="1" si="68"/>
        <v>13314.450000000006</v>
      </c>
      <c r="X237" s="1080">
        <v>0</v>
      </c>
      <c r="Y237" s="994">
        <f t="shared" ca="1" si="56"/>
        <v>2500</v>
      </c>
      <c r="Z237" s="987">
        <f t="shared" ca="1" si="64"/>
        <v>10814.450000000006</v>
      </c>
      <c r="AA237" s="994">
        <f t="shared" ca="1" si="59"/>
        <v>18925.489089625989</v>
      </c>
      <c r="AB237" s="1093">
        <f t="shared" ca="1" si="60"/>
        <v>18306.489089625989</v>
      </c>
      <c r="AC237" s="954">
        <f ca="1">IF(A237&gt;$A$1,VLOOKUP(A237,Calculation!$B$8:$JF$880,165,FALSE),VLOOKUP(A237,Calculation!$B$8:$JF$880,165,FALSE))</f>
        <v>18048</v>
      </c>
      <c r="AD237" s="418">
        <f t="shared" ca="1" si="65"/>
        <v>-168</v>
      </c>
      <c r="AE237" s="418"/>
      <c r="AF237" s="935">
        <f>Calculation!G240</f>
        <v>191.2133131601845</v>
      </c>
      <c r="AG237" s="941" t="str">
        <f t="shared" si="66"/>
        <v>Yes</v>
      </c>
      <c r="AH237" s="941" t="str">
        <f t="shared" si="67"/>
        <v>No</v>
      </c>
      <c r="AI237" s="963">
        <v>38428.080000093323</v>
      </c>
      <c r="AJ237" s="964">
        <v>37919.10000009599</v>
      </c>
      <c r="AK237" s="964">
        <v>35476.800000089061</v>
      </c>
      <c r="AM237" s="962" t="s">
        <v>849</v>
      </c>
      <c r="AN237" s="447"/>
      <c r="AO237" s="430"/>
      <c r="AP237" s="462"/>
      <c r="AQ237" s="461"/>
      <c r="AR237" s="461"/>
      <c r="AS237" s="463"/>
      <c r="AU237" s="453"/>
      <c r="AV237" s="452"/>
      <c r="AW237" s="453"/>
      <c r="AX237" s="452"/>
      <c r="AY237" s="453"/>
      <c r="AZ237" s="452"/>
      <c r="BA237" s="449"/>
    </row>
    <row r="238" spans="1:53" ht="13.5" thickBot="1">
      <c r="A238" s="425">
        <v>41869</v>
      </c>
      <c r="B238" s="954">
        <f t="shared" si="61"/>
        <v>130.31927999999999</v>
      </c>
      <c r="C238" s="954">
        <f>Calculation!AK241</f>
        <v>0</v>
      </c>
      <c r="D238" s="954">
        <f>Calculation!AI241</f>
        <v>27.173376075471698</v>
      </c>
      <c r="E238" s="954">
        <f>Calculation!AE241</f>
        <v>90.329329999999999</v>
      </c>
      <c r="F238" s="954">
        <f>Calculation!AF241</f>
        <v>39.98995</v>
      </c>
      <c r="G238" s="954">
        <f>Calculation!AG241</f>
        <v>0</v>
      </c>
      <c r="H238" s="955">
        <f>Sheet1!H243</f>
        <v>0.64</v>
      </c>
      <c r="I238" s="935">
        <f>Sheet1!DA243</f>
        <v>382</v>
      </c>
      <c r="J238" s="935">
        <f>Sheet1!DB243</f>
        <v>209</v>
      </c>
      <c r="K238" s="935">
        <f>Sheet1!CZ243</f>
        <v>357</v>
      </c>
      <c r="L238" s="959">
        <f>Calculation!F241</f>
        <v>250</v>
      </c>
      <c r="M238" s="959">
        <f>Calculation!E241</f>
        <v>400</v>
      </c>
      <c r="N238" s="959">
        <f>Calculation!D241</f>
        <v>200</v>
      </c>
      <c r="O238" s="985">
        <f>Sheet1!DC243</f>
        <v>1157.3499999999999</v>
      </c>
      <c r="P238" s="986">
        <f>Calculation!FD241</f>
        <v>1132.6112903225073</v>
      </c>
      <c r="Q238" s="994">
        <f>Calculation!DP241</f>
        <v>38867.000000097636</v>
      </c>
      <c r="R238" s="985">
        <f t="shared" si="58"/>
        <v>38248.000000097636</v>
      </c>
      <c r="S238" s="987">
        <f t="shared" si="62"/>
        <v>-508.49999999950523</v>
      </c>
      <c r="T238" s="994">
        <f ca="1">IF(A238&gt;$A$1,#N/A,VLOOKUP(A238,Calculation!$B$8:$JF$503,40,FALSE))</f>
        <v>7081.6708537164304</v>
      </c>
      <c r="U238" s="987">
        <f t="shared" si="63"/>
        <v>27.173376075471698</v>
      </c>
      <c r="V238" s="987">
        <f>Calculation!AZ241</f>
        <v>0</v>
      </c>
      <c r="W238" s="994">
        <f t="shared" ca="1" si="68"/>
        <v>13314.450000000006</v>
      </c>
      <c r="X238" s="1080">
        <v>0</v>
      </c>
      <c r="Y238" s="994">
        <f t="shared" ca="1" si="56"/>
        <v>2500</v>
      </c>
      <c r="Z238" s="987">
        <f t="shared" ca="1" si="64"/>
        <v>10814.450000000006</v>
      </c>
      <c r="AA238" s="994">
        <f t="shared" ca="1" si="59"/>
        <v>18470.879146381201</v>
      </c>
      <c r="AB238" s="1093">
        <f t="shared" ca="1" si="60"/>
        <v>17851.879146381201</v>
      </c>
      <c r="AC238" s="954">
        <f ca="1">IF(A238&gt;$A$1,VLOOKUP(A238,Calculation!$B$8:$JF$880,165,FALSE),VLOOKUP(A238,Calculation!$B$8:$JF$880,165,FALSE))</f>
        <v>17880</v>
      </c>
      <c r="AD238" s="418">
        <f t="shared" ca="1" si="65"/>
        <v>-168</v>
      </c>
      <c r="AE238" s="418"/>
      <c r="AF238" s="935">
        <f>Calculation!G241</f>
        <v>100.57034795788945</v>
      </c>
      <c r="AG238" s="941" t="str">
        <f t="shared" si="66"/>
        <v>Yes</v>
      </c>
      <c r="AH238" s="941" t="str">
        <f t="shared" si="67"/>
        <v>No</v>
      </c>
      <c r="AI238" s="963">
        <v>38289.620000093098</v>
      </c>
      <c r="AJ238" s="964">
        <v>37648.40000009576</v>
      </c>
      <c r="AK238" s="964">
        <v>35169.60000008862</v>
      </c>
      <c r="AM238" s="962" t="s">
        <v>850</v>
      </c>
      <c r="AN238" s="447"/>
      <c r="AO238" s="430"/>
      <c r="AP238" s="462"/>
      <c r="AQ238" s="461"/>
      <c r="AR238" s="461"/>
      <c r="AS238" s="463"/>
      <c r="AU238" s="453"/>
      <c r="AV238" s="452"/>
      <c r="AW238" s="453"/>
      <c r="AX238" s="452"/>
      <c r="AY238" s="453"/>
      <c r="AZ238" s="452"/>
      <c r="BA238" s="449"/>
    </row>
    <row r="239" spans="1:53" ht="13.5" thickBot="1">
      <c r="A239" s="425">
        <v>41870</v>
      </c>
      <c r="B239" s="954">
        <f t="shared" si="61"/>
        <v>136.01223999999999</v>
      </c>
      <c r="C239" s="954">
        <f>Calculation!AK242</f>
        <v>0</v>
      </c>
      <c r="D239" s="954">
        <f>Calculation!AI242</f>
        <v>27.072499999999998</v>
      </c>
      <c r="E239" s="954">
        <f>Calculation!AE242</f>
        <v>89.602239999999995</v>
      </c>
      <c r="F239" s="954">
        <f>Calculation!AF242</f>
        <v>46.41</v>
      </c>
      <c r="G239" s="954">
        <f>Calculation!AG242</f>
        <v>0</v>
      </c>
      <c r="H239" s="955">
        <f>Sheet1!H244</f>
        <v>0.69</v>
      </c>
      <c r="I239" s="935">
        <f>Sheet1!DA244</f>
        <v>360</v>
      </c>
      <c r="J239" s="935">
        <f>Sheet1!DB244</f>
        <v>206</v>
      </c>
      <c r="K239" s="935">
        <f>Sheet1!CZ244</f>
        <v>357</v>
      </c>
      <c r="L239" s="959">
        <f>Calculation!F242</f>
        <v>250</v>
      </c>
      <c r="M239" s="959">
        <f>Calculation!E242</f>
        <v>400</v>
      </c>
      <c r="N239" s="959">
        <f>Calculation!D242</f>
        <v>200</v>
      </c>
      <c r="O239" s="985">
        <f>Sheet1!DC244</f>
        <v>1157.21</v>
      </c>
      <c r="P239" s="986">
        <f>Calculation!FD242</f>
        <v>1132.3403225805721</v>
      </c>
      <c r="Q239" s="994">
        <f>Calculation!DP242</f>
        <v>38724.20000009764</v>
      </c>
      <c r="R239" s="985">
        <f t="shared" si="58"/>
        <v>38105.20000009764</v>
      </c>
      <c r="S239" s="987">
        <f t="shared" si="62"/>
        <v>-142.79999999999563</v>
      </c>
      <c r="T239" s="994">
        <f ca="1">IF(A239&gt;$A$1,#N/A,VLOOKUP(A239,Calculation!$B$8:$JF$503,40,FALSE))</f>
        <v>7027.9808537164308</v>
      </c>
      <c r="U239" s="987">
        <f t="shared" si="63"/>
        <v>27.072499999999998</v>
      </c>
      <c r="V239" s="987">
        <f>Calculation!AZ242</f>
        <v>0</v>
      </c>
      <c r="W239" s="994">
        <f t="shared" ca="1" si="68"/>
        <v>13314.450000000006</v>
      </c>
      <c r="X239" s="1080">
        <v>0</v>
      </c>
      <c r="Y239" s="994">
        <f t="shared" ca="1" si="56"/>
        <v>2500</v>
      </c>
      <c r="Z239" s="987">
        <f t="shared" ca="1" si="64"/>
        <v>10814.450000000006</v>
      </c>
      <c r="AA239" s="994">
        <f t="shared" ca="1" si="59"/>
        <v>18381.769146381201</v>
      </c>
      <c r="AB239" s="1093">
        <f t="shared" ca="1" si="60"/>
        <v>17762.769146381201</v>
      </c>
      <c r="AC239" s="954">
        <f ca="1">IF(A239&gt;$A$1,VLOOKUP(A239,Calculation!$B$8:$JF$880,165,FALSE),VLOOKUP(A239,Calculation!$B$8:$JF$880,165,FALSE))</f>
        <v>17712</v>
      </c>
      <c r="AD239" s="418">
        <f t="shared" ca="1" si="65"/>
        <v>-168</v>
      </c>
      <c r="AE239" s="418"/>
      <c r="AF239" s="935">
        <f>Calculation!G242</f>
        <v>284.98789712556953</v>
      </c>
      <c r="AG239" s="941" t="str">
        <f t="shared" si="66"/>
        <v>Yes</v>
      </c>
      <c r="AH239" s="941" t="str">
        <f t="shared" si="67"/>
        <v>No</v>
      </c>
      <c r="AI239" s="963">
        <v>38131.380000093093</v>
      </c>
      <c r="AJ239" s="964">
        <v>37319.900000093417</v>
      </c>
      <c r="AK239" s="964">
        <v>34851.800000088406</v>
      </c>
      <c r="AM239" s="962" t="s">
        <v>851</v>
      </c>
      <c r="AN239" s="447"/>
      <c r="AO239" s="430"/>
      <c r="AP239" s="462"/>
      <c r="AQ239" s="461"/>
      <c r="AR239" s="461"/>
      <c r="AS239" s="463"/>
      <c r="AU239" s="453"/>
      <c r="AV239" s="452"/>
      <c r="AW239" s="453"/>
      <c r="AX239" s="452"/>
      <c r="AY239" s="453"/>
      <c r="AZ239" s="452"/>
      <c r="BA239" s="449"/>
    </row>
    <row r="240" spans="1:53" ht="13.5" thickBot="1">
      <c r="A240" s="425">
        <v>41871</v>
      </c>
      <c r="B240" s="954">
        <f t="shared" si="61"/>
        <v>135.98129999999998</v>
      </c>
      <c r="C240" s="954">
        <f>Calculation!AK243</f>
        <v>0</v>
      </c>
      <c r="D240" s="954">
        <f>Calculation!AI243</f>
        <v>27.072499999999998</v>
      </c>
      <c r="E240" s="954">
        <f>Calculation!AE243</f>
        <v>89.571299999999994</v>
      </c>
      <c r="F240" s="954">
        <f>Calculation!AF243</f>
        <v>46.41</v>
      </c>
      <c r="G240" s="954">
        <f>Calculation!AG243</f>
        <v>0</v>
      </c>
      <c r="H240" s="955">
        <f>Sheet1!H245</f>
        <v>0.64</v>
      </c>
      <c r="I240" s="935">
        <f>Sheet1!DA245</f>
        <v>355</v>
      </c>
      <c r="J240" s="935">
        <f>Sheet1!DB245</f>
        <v>208</v>
      </c>
      <c r="K240" s="935">
        <f>Sheet1!CZ245</f>
        <v>357</v>
      </c>
      <c r="L240" s="959">
        <f>Calculation!F243</f>
        <v>250</v>
      </c>
      <c r="M240" s="959">
        <f>Calculation!E243</f>
        <v>400</v>
      </c>
      <c r="N240" s="959">
        <f>Calculation!D243</f>
        <v>200</v>
      </c>
      <c r="O240" s="985">
        <f>Sheet1!DC245</f>
        <v>1156.82</v>
      </c>
      <c r="P240" s="986">
        <f>Calculation!FD243</f>
        <v>1132.067741935411</v>
      </c>
      <c r="Q240" s="994">
        <f>Calculation!DP243</f>
        <v>38330.200000096222</v>
      </c>
      <c r="R240" s="985">
        <f t="shared" si="58"/>
        <v>37711.200000096222</v>
      </c>
      <c r="S240" s="987">
        <f t="shared" si="62"/>
        <v>-394.00000000141881</v>
      </c>
      <c r="T240" s="994">
        <f ca="1">IF(A240&gt;$A$1,#N/A,VLOOKUP(A240,Calculation!$B$8:$JF$503,40,FALSE))</f>
        <v>6974.2908537164312</v>
      </c>
      <c r="U240" s="987">
        <f t="shared" si="63"/>
        <v>27.072499999999998</v>
      </c>
      <c r="V240" s="987">
        <f>Calculation!AZ243</f>
        <v>0</v>
      </c>
      <c r="W240" s="994">
        <f t="shared" ca="1" si="68"/>
        <v>13241.079000000007</v>
      </c>
      <c r="X240" s="1080">
        <v>37</v>
      </c>
      <c r="Y240" s="994">
        <f t="shared" ca="1" si="56"/>
        <v>2500</v>
      </c>
      <c r="Z240" s="987">
        <f t="shared" ca="1" si="64"/>
        <v>10741.079000000007</v>
      </c>
      <c r="AA240" s="994">
        <f t="shared" ca="1" si="59"/>
        <v>18114.830146379783</v>
      </c>
      <c r="AB240" s="1093">
        <f t="shared" ca="1" si="60"/>
        <v>17495.830146379783</v>
      </c>
      <c r="AC240" s="954">
        <f ca="1">IF(A240&gt;$A$1,VLOOKUP(A240,Calculation!$B$8:$JF$880,165,FALSE),VLOOKUP(A240,Calculation!$B$8:$JF$880,165,FALSE))</f>
        <v>17545</v>
      </c>
      <c r="AD240" s="418">
        <f t="shared" ca="1" si="65"/>
        <v>-167</v>
      </c>
      <c r="AE240" s="418"/>
      <c r="AF240" s="935">
        <f>Calculation!G243</f>
        <v>158.3111447294913</v>
      </c>
      <c r="AG240" s="941" t="str">
        <f t="shared" si="66"/>
        <v>Yes</v>
      </c>
      <c r="AH240" s="941" t="str">
        <f t="shared" si="67"/>
        <v>No</v>
      </c>
      <c r="AI240" s="963">
        <v>37963.25000009287</v>
      </c>
      <c r="AJ240" s="964">
        <v>37004.100000093189</v>
      </c>
      <c r="AK240" s="964">
        <v>34526.000000087268</v>
      </c>
      <c r="AM240" s="1080">
        <v>37</v>
      </c>
      <c r="AN240" s="447"/>
      <c r="AO240" s="430"/>
      <c r="AP240" s="462"/>
      <c r="AQ240" s="461"/>
      <c r="AR240" s="461"/>
      <c r="AS240" s="463"/>
      <c r="AU240" s="453"/>
      <c r="AV240" s="452"/>
      <c r="AW240" s="453"/>
      <c r="AX240" s="452"/>
      <c r="AY240" s="453"/>
      <c r="AZ240" s="452"/>
      <c r="BA240" s="449"/>
    </row>
    <row r="241" spans="1:53" ht="13.5" thickBot="1">
      <c r="A241" s="425">
        <v>41872</v>
      </c>
      <c r="B241" s="954">
        <f t="shared" si="61"/>
        <v>135.78018999999998</v>
      </c>
      <c r="C241" s="954">
        <f>Calculation!AK244</f>
        <v>0</v>
      </c>
      <c r="D241" s="954">
        <f>Calculation!AI244</f>
        <v>27.072499999999998</v>
      </c>
      <c r="E241" s="954">
        <f>Calculation!AE244</f>
        <v>89.524889999999985</v>
      </c>
      <c r="F241" s="954">
        <f>Calculation!AF244</f>
        <v>46.255299999999998</v>
      </c>
      <c r="G241" s="954">
        <f>Calculation!AG244</f>
        <v>0</v>
      </c>
      <c r="H241" s="955">
        <f>Sheet1!H246</f>
        <v>0.7</v>
      </c>
      <c r="I241" s="935">
        <f>Sheet1!DA246</f>
        <v>355</v>
      </c>
      <c r="J241" s="935">
        <f>Sheet1!DB246</f>
        <v>208</v>
      </c>
      <c r="K241" s="935">
        <f>Sheet1!CZ246</f>
        <v>354</v>
      </c>
      <c r="L241" s="959">
        <f>Calculation!F244</f>
        <v>250</v>
      </c>
      <c r="M241" s="959">
        <f>Calculation!E244</f>
        <v>400</v>
      </c>
      <c r="N241" s="959">
        <f>Calculation!D244</f>
        <v>200</v>
      </c>
      <c r="O241" s="985">
        <f>Sheet1!DC246</f>
        <v>1156.51</v>
      </c>
      <c r="P241" s="986">
        <f>Calculation!FD244</f>
        <v>1131.7916666665942</v>
      </c>
      <c r="Q241" s="994">
        <f>Calculation!DP244</f>
        <v>38020.000000095039</v>
      </c>
      <c r="R241" s="985">
        <f t="shared" si="58"/>
        <v>37401.000000095039</v>
      </c>
      <c r="S241" s="987">
        <f t="shared" si="62"/>
        <v>-310.20000000118307</v>
      </c>
      <c r="T241" s="994">
        <f ca="1">IF(A241&gt;$A$1,#N/A,VLOOKUP(A241,Calculation!$B$8:$JF$503,40,FALSE))</f>
        <v>6920.6008537164307</v>
      </c>
      <c r="U241" s="987">
        <f t="shared" si="63"/>
        <v>27.072499999999998</v>
      </c>
      <c r="V241" s="987">
        <f>Calculation!AZ244</f>
        <v>0</v>
      </c>
      <c r="W241" s="994">
        <f t="shared" ca="1" si="68"/>
        <v>13101.674100000007</v>
      </c>
      <c r="X241" s="1110">
        <v>70.3</v>
      </c>
      <c r="Y241" s="994">
        <f t="shared" ca="1" si="56"/>
        <v>2500</v>
      </c>
      <c r="Z241" s="987">
        <f t="shared" ca="1" si="64"/>
        <v>10601.674100000007</v>
      </c>
      <c r="AA241" s="994">
        <f t="shared" ca="1" si="59"/>
        <v>17997.7250463786</v>
      </c>
      <c r="AB241" s="1093">
        <f t="shared" ca="1" si="60"/>
        <v>17378.7250463786</v>
      </c>
      <c r="AC241" s="954">
        <f ca="1">IF(A241&gt;$A$1,VLOOKUP(A241,Calculation!$B$8:$JF$880,165,FALSE),VLOOKUP(A241,Calculation!$B$8:$JF$880,165,FALSE))</f>
        <v>17377</v>
      </c>
      <c r="AD241" s="418">
        <f t="shared" ca="1" si="65"/>
        <v>-168</v>
      </c>
      <c r="AE241" s="418"/>
      <c r="AF241" s="935">
        <f>Calculation!G244</f>
        <v>197.57034795704337</v>
      </c>
      <c r="AG241" s="941" t="str">
        <f t="shared" si="66"/>
        <v>Yes</v>
      </c>
      <c r="AH241" s="941" t="str">
        <f t="shared" si="67"/>
        <v>No</v>
      </c>
      <c r="AI241" s="963">
        <v>37785.230000092648</v>
      </c>
      <c r="AJ241" s="964">
        <v>36717.000000092965</v>
      </c>
      <c r="AK241" s="964">
        <v>34214.400000085923</v>
      </c>
      <c r="AM241" s="1110">
        <v>70.3</v>
      </c>
      <c r="AN241" s="447"/>
      <c r="AO241" s="430"/>
      <c r="AP241" s="462"/>
      <c r="AQ241" s="461"/>
      <c r="AR241" s="461"/>
      <c r="AS241" s="463"/>
      <c r="AU241" s="453"/>
      <c r="AV241" s="452"/>
      <c r="AW241" s="453"/>
      <c r="AX241" s="452"/>
      <c r="AY241" s="453"/>
      <c r="AZ241" s="452"/>
      <c r="BA241" s="449"/>
    </row>
    <row r="242" spans="1:53" ht="13.5" thickBot="1">
      <c r="A242" s="425">
        <v>41873</v>
      </c>
      <c r="B242" s="954">
        <f t="shared" si="61"/>
        <v>136.80121</v>
      </c>
      <c r="C242" s="954">
        <f>Calculation!AK245</f>
        <v>0</v>
      </c>
      <c r="D242" s="954">
        <f>Calculation!AI245</f>
        <v>27.072499999999998</v>
      </c>
      <c r="E242" s="954">
        <f>Calculation!AE245</f>
        <v>89.463009999999997</v>
      </c>
      <c r="F242" s="954">
        <f>Calculation!AF245</f>
        <v>47.338200000000001</v>
      </c>
      <c r="G242" s="954">
        <f>Calculation!AG245</f>
        <v>0</v>
      </c>
      <c r="H242" s="955">
        <f>Sheet1!H247</f>
        <v>0.7</v>
      </c>
      <c r="I242" s="935">
        <f>Sheet1!DA247</f>
        <v>364</v>
      </c>
      <c r="J242" s="935">
        <f>Sheet1!DB247</f>
        <v>219</v>
      </c>
      <c r="K242" s="935">
        <f>Sheet1!CZ247</f>
        <v>372</v>
      </c>
      <c r="L242" s="959">
        <f>Calculation!F245</f>
        <v>250</v>
      </c>
      <c r="M242" s="959">
        <f>Calculation!E245</f>
        <v>400</v>
      </c>
      <c r="N242" s="959">
        <f>Calculation!D245</f>
        <v>200</v>
      </c>
      <c r="O242" s="985">
        <f>Sheet1!DC247</f>
        <v>1156.0999999999999</v>
      </c>
      <c r="P242" s="986">
        <f>Calculation!FD245</f>
        <v>1131.513333333261</v>
      </c>
      <c r="Q242" s="994">
        <f>Calculation!DP245</f>
        <v>37608.000000095533</v>
      </c>
      <c r="R242" s="985">
        <f t="shared" si="58"/>
        <v>36989.000000095533</v>
      </c>
      <c r="S242" s="987">
        <f t="shared" si="62"/>
        <v>-411.99999999950523</v>
      </c>
      <c r="T242" s="994">
        <f ca="1">IF(A242&gt;$A$1,#N/A,VLOOKUP(A242,Calculation!$B$8:$JF$503,40,FALSE))</f>
        <v>6866.9108537164311</v>
      </c>
      <c r="U242" s="987">
        <f t="shared" si="63"/>
        <v>27.072499999999998</v>
      </c>
      <c r="V242" s="987">
        <f>Calculation!AZ245</f>
        <v>0</v>
      </c>
      <c r="W242" s="994">
        <f t="shared" ca="1" si="68"/>
        <v>12951.561000000007</v>
      </c>
      <c r="X242" s="1110">
        <v>75.7</v>
      </c>
      <c r="Y242" s="994">
        <f t="shared" ca="1" si="56"/>
        <v>2500</v>
      </c>
      <c r="Z242" s="987">
        <f t="shared" ca="1" si="64"/>
        <v>10451.561000000007</v>
      </c>
      <c r="AA242" s="994">
        <f t="shared" ca="1" si="59"/>
        <v>17789.528146379096</v>
      </c>
      <c r="AB242" s="1093">
        <f t="shared" ca="1" si="60"/>
        <v>17170.528146379096</v>
      </c>
      <c r="AC242" s="954">
        <f ca="1">IF(A242&gt;$A$1,VLOOKUP(A242,Calculation!$B$8:$JF$880,165,FALSE),VLOOKUP(A242,Calculation!$B$8:$JF$880,165,FALSE))</f>
        <v>17209</v>
      </c>
      <c r="AD242" s="418">
        <f t="shared" ca="1" si="65"/>
        <v>-168</v>
      </c>
      <c r="AE242" s="418"/>
      <c r="AF242" s="935">
        <f>Calculation!G245</f>
        <v>164.23398890594797</v>
      </c>
      <c r="AG242" s="941" t="str">
        <f t="shared" si="66"/>
        <v>Yes</v>
      </c>
      <c r="AH242" s="941" t="str">
        <f t="shared" si="67"/>
        <v>No</v>
      </c>
      <c r="AI242" s="963">
        <v>37618.500000091335</v>
      </c>
      <c r="AJ242" s="964">
        <v>36441.400000090871</v>
      </c>
      <c r="AK242" s="964">
        <v>33873.50000008662</v>
      </c>
      <c r="AM242" s="1110">
        <v>75.7</v>
      </c>
      <c r="AN242" s="447"/>
      <c r="AO242" s="430"/>
      <c r="AP242" s="462"/>
      <c r="AQ242" s="461"/>
      <c r="AR242" s="461"/>
      <c r="AS242" s="463"/>
      <c r="AU242" s="453"/>
      <c r="AV242" s="452"/>
      <c r="AW242" s="453"/>
      <c r="AX242" s="452"/>
      <c r="AY242" s="453"/>
      <c r="AZ242" s="452"/>
      <c r="BA242" s="449"/>
    </row>
    <row r="243" spans="1:53" ht="13.5" thickBot="1">
      <c r="A243" s="425">
        <v>41874</v>
      </c>
      <c r="B243" s="954">
        <f t="shared" si="61"/>
        <v>138.75042999999999</v>
      </c>
      <c r="C243" s="954">
        <f>Calculation!AK246</f>
        <v>0</v>
      </c>
      <c r="D243" s="954">
        <f>Calculation!AI246</f>
        <v>27.072499999999998</v>
      </c>
      <c r="E243" s="954">
        <f>Calculation!AE246</f>
        <v>89.261899999999997</v>
      </c>
      <c r="F243" s="954">
        <f>Calculation!AF246</f>
        <v>49.488529999999997</v>
      </c>
      <c r="G243" s="954">
        <f>Calculation!AG246</f>
        <v>0</v>
      </c>
      <c r="H243" s="955">
        <f>Sheet1!H248</f>
        <v>0.69</v>
      </c>
      <c r="I243" s="935">
        <f>Sheet1!DA248</f>
        <v>373</v>
      </c>
      <c r="J243" s="935">
        <f>Sheet1!DB248</f>
        <v>219</v>
      </c>
      <c r="K243" s="935">
        <f>Sheet1!CZ248</f>
        <v>372</v>
      </c>
      <c r="L243" s="959">
        <f>Calculation!F246</f>
        <v>250</v>
      </c>
      <c r="M243" s="959">
        <f>Calculation!E246</f>
        <v>400</v>
      </c>
      <c r="N243" s="959">
        <f>Calculation!D246</f>
        <v>200</v>
      </c>
      <c r="O243" s="985">
        <f>Sheet1!DC248</f>
        <v>1155.8</v>
      </c>
      <c r="P243" s="986">
        <f>Calculation!FD246</f>
        <v>1131.2366666665946</v>
      </c>
      <c r="Q243" s="994">
        <f>Calculation!DP246</f>
        <v>37310.000000093416</v>
      </c>
      <c r="R243" s="985">
        <f t="shared" si="58"/>
        <v>36691.000000093416</v>
      </c>
      <c r="S243" s="987">
        <f t="shared" si="62"/>
        <v>-298.0000000021173</v>
      </c>
      <c r="T243" s="994">
        <f ca="1">IF(A243&gt;$A$1,#N/A,VLOOKUP(A243,Calculation!$B$8:$JF$503,40,FALSE))</f>
        <v>6813.2208537164306</v>
      </c>
      <c r="U243" s="987">
        <f t="shared" si="63"/>
        <v>27.072499999999998</v>
      </c>
      <c r="V243" s="987">
        <f>Calculation!AZ246</f>
        <v>0</v>
      </c>
      <c r="W243" s="994">
        <f t="shared" ca="1" si="68"/>
        <v>12784.989000000007</v>
      </c>
      <c r="X243" s="1110">
        <v>84</v>
      </c>
      <c r="Y243" s="994">
        <f t="shared" ref="Y243:Y259" ca="1" si="69">MIN(0.5*W243, 2500)</f>
        <v>2500</v>
      </c>
      <c r="Z243" s="987">
        <f t="shared" ca="1" si="64"/>
        <v>10284.989000000007</v>
      </c>
      <c r="AA243" s="994">
        <f t="shared" ca="1" si="59"/>
        <v>17711.790146376981</v>
      </c>
      <c r="AB243" s="1093">
        <f t="shared" ca="1" si="60"/>
        <v>17092.790146376981</v>
      </c>
      <c r="AC243" s="954">
        <f ca="1">IF(A243&gt;$A$1,VLOOKUP(A243,Calculation!$B$8:$JF$880,165,FALSE),VLOOKUP(A243,Calculation!$B$8:$JF$880,165,FALSE))</f>
        <v>17041</v>
      </c>
      <c r="AD243" s="418">
        <f t="shared" ca="1" si="65"/>
        <v>-168</v>
      </c>
      <c r="AE243" s="418"/>
      <c r="AF243" s="935">
        <f>Calculation!G246</f>
        <v>221.72264245985011</v>
      </c>
      <c r="AG243" s="941" t="str">
        <f t="shared" si="66"/>
        <v>Yes</v>
      </c>
      <c r="AH243" s="941" t="str">
        <f t="shared" si="67"/>
        <v>No</v>
      </c>
      <c r="AI243" s="963">
        <v>37530.750000091117</v>
      </c>
      <c r="AJ243" s="964">
        <v>36178.000000091582</v>
      </c>
      <c r="AK243" s="964">
        <v>33515.800000085277</v>
      </c>
      <c r="AM243" s="1110">
        <v>84</v>
      </c>
      <c r="AN243" s="447"/>
      <c r="AO243" s="430"/>
      <c r="AP243" s="462"/>
      <c r="AQ243" s="461"/>
      <c r="AR243" s="461"/>
      <c r="AS243" s="463"/>
      <c r="AU243" s="453"/>
      <c r="AV243" s="452"/>
      <c r="AW243" s="453"/>
      <c r="AX243" s="452"/>
      <c r="AY243" s="453"/>
      <c r="AZ243" s="452"/>
      <c r="BA243" s="449"/>
    </row>
    <row r="244" spans="1:53" ht="13.5" thickBot="1">
      <c r="A244" s="425">
        <v>41875</v>
      </c>
      <c r="B244" s="954">
        <f t="shared" si="61"/>
        <v>138.62666999999999</v>
      </c>
      <c r="C244" s="954">
        <f>Calculation!AK247</f>
        <v>0</v>
      </c>
      <c r="D244" s="954">
        <f>Calculation!AI247</f>
        <v>27.072499999999998</v>
      </c>
      <c r="E244" s="954">
        <f>Calculation!AE247</f>
        <v>89.261899999999997</v>
      </c>
      <c r="F244" s="954">
        <f>Calculation!AF247</f>
        <v>49.36477</v>
      </c>
      <c r="G244" s="954">
        <f>Calculation!AG247</f>
        <v>0</v>
      </c>
      <c r="H244" s="955">
        <f>Sheet1!H249</f>
        <v>0.74</v>
      </c>
      <c r="I244" s="935">
        <f>Sheet1!DA249</f>
        <v>373</v>
      </c>
      <c r="J244" s="935">
        <f>Sheet1!DB249</f>
        <v>219</v>
      </c>
      <c r="K244" s="935">
        <f>Sheet1!CZ249</f>
        <v>372</v>
      </c>
      <c r="L244" s="959">
        <f>Calculation!F247</f>
        <v>250</v>
      </c>
      <c r="M244" s="959">
        <f>Calculation!E247</f>
        <v>400</v>
      </c>
      <c r="N244" s="959">
        <f>Calculation!D247</f>
        <v>200</v>
      </c>
      <c r="O244" s="985">
        <f>Sheet1!DC249</f>
        <v>1155.3499999999999</v>
      </c>
      <c r="P244" s="986">
        <f>Calculation!FD247</f>
        <v>1130.9559322033181</v>
      </c>
      <c r="Q244" s="994">
        <f>Calculation!DP247</f>
        <v>36865.500000092965</v>
      </c>
      <c r="R244" s="985">
        <f t="shared" si="58"/>
        <v>36246.500000092965</v>
      </c>
      <c r="S244" s="987">
        <f t="shared" si="62"/>
        <v>-444.50000000045111</v>
      </c>
      <c r="T244" s="994">
        <f ca="1">IF(A244&gt;$A$1,#N/A,VLOOKUP(A244,Calculation!$B$8:$JF$503,40,FALSE))</f>
        <v>6759.530853716431</v>
      </c>
      <c r="U244" s="987">
        <f t="shared" si="63"/>
        <v>27.072499999999998</v>
      </c>
      <c r="V244" s="987">
        <f>Calculation!AZ247</f>
        <v>0</v>
      </c>
      <c r="W244" s="994">
        <f t="shared" ca="1" si="68"/>
        <v>12611.278200000006</v>
      </c>
      <c r="X244" s="1110">
        <v>87.6</v>
      </c>
      <c r="Y244" s="994">
        <f t="shared" ca="1" si="69"/>
        <v>2500</v>
      </c>
      <c r="Z244" s="987">
        <f t="shared" ca="1" si="64"/>
        <v>10111.278200000006</v>
      </c>
      <c r="AA244" s="994">
        <f t="shared" ca="1" si="59"/>
        <v>17494.690946376526</v>
      </c>
      <c r="AB244" s="1093">
        <f t="shared" ca="1" si="60"/>
        <v>16875.690946376526</v>
      </c>
      <c r="AC244" s="954">
        <f ca="1">IF(A244&gt;$A$1,VLOOKUP(A244,Calculation!$B$8:$JF$880,165,FALSE),VLOOKUP(A244,Calculation!$B$8:$JF$880,165,FALSE))</f>
        <v>16874</v>
      </c>
      <c r="AD244" s="418">
        <f t="shared" ca="1" si="65"/>
        <v>-167</v>
      </c>
      <c r="AE244" s="418"/>
      <c r="AF244" s="935">
        <f>Calculation!G247</f>
        <v>147.84467977788651</v>
      </c>
      <c r="AG244" s="941" t="str">
        <f t="shared" si="66"/>
        <v>Yes</v>
      </c>
      <c r="AH244" s="941" t="str">
        <f t="shared" si="67"/>
        <v>No</v>
      </c>
      <c r="AI244" s="963">
        <v>37384.500000091117</v>
      </c>
      <c r="AJ244" s="964">
        <v>35904.900000090209</v>
      </c>
      <c r="AK244" s="964">
        <v>33152.200000085068</v>
      </c>
      <c r="AM244" s="1110">
        <v>87.6</v>
      </c>
      <c r="AN244" s="447"/>
      <c r="AO244" s="430"/>
      <c r="AP244" s="462"/>
      <c r="AQ244" s="461"/>
      <c r="AR244" s="461"/>
      <c r="AS244" s="463"/>
      <c r="AU244" s="453"/>
      <c r="AV244" s="452"/>
      <c r="AW244" s="453"/>
      <c r="AX244" s="452"/>
      <c r="AY244" s="453"/>
      <c r="AZ244" s="452"/>
      <c r="BA244" s="449"/>
    </row>
    <row r="245" spans="1:53" ht="13.5" thickBot="1">
      <c r="A245" s="425">
        <v>41876</v>
      </c>
      <c r="B245" s="954">
        <f t="shared" si="61"/>
        <v>139.5394</v>
      </c>
      <c r="C245" s="954">
        <f>Calculation!AK248</f>
        <v>0</v>
      </c>
      <c r="D245" s="954">
        <f>Calculation!AI248</f>
        <v>27.072499999999998</v>
      </c>
      <c r="E245" s="954">
        <f>Calculation!AE248</f>
        <v>84.311499999999995</v>
      </c>
      <c r="F245" s="954">
        <f>Calculation!AF248</f>
        <v>55.227900000000005</v>
      </c>
      <c r="G245" s="954">
        <f>Calculation!AG248</f>
        <v>4.6410000003827008E-2</v>
      </c>
      <c r="H245" s="955">
        <f>Sheet1!H250</f>
        <v>0.75</v>
      </c>
      <c r="I245" s="935">
        <f>Sheet1!DA250</f>
        <v>369</v>
      </c>
      <c r="J245" s="935">
        <f>Sheet1!DB250</f>
        <v>217</v>
      </c>
      <c r="K245" s="935">
        <f>Sheet1!CZ250</f>
        <v>372</v>
      </c>
      <c r="L245" s="959">
        <f>Calculation!F248</f>
        <v>250</v>
      </c>
      <c r="M245" s="959">
        <f>Calculation!E248</f>
        <v>400</v>
      </c>
      <c r="N245" s="959">
        <f>Calculation!D248</f>
        <v>200</v>
      </c>
      <c r="O245" s="985">
        <f>Sheet1!DC250</f>
        <v>1154.98</v>
      </c>
      <c r="P245" s="986">
        <f>Calculation!FD248</f>
        <v>1130.6711864406063</v>
      </c>
      <c r="Q245" s="994">
        <f>Calculation!DP248</f>
        <v>36499.600000090868</v>
      </c>
      <c r="R245" s="985">
        <f t="shared" si="58"/>
        <v>35880.600000090868</v>
      </c>
      <c r="S245" s="987">
        <f t="shared" si="62"/>
        <v>-365.90000000209693</v>
      </c>
      <c r="T245" s="994">
        <f ca="1">IF(A245&gt;$A$1,#N/A,VLOOKUP(A245,Calculation!$B$8:$JF$503,40,FALSE))</f>
        <v>6705.8408537164305</v>
      </c>
      <c r="U245" s="987">
        <f t="shared" si="63"/>
        <v>27.072499999999998</v>
      </c>
      <c r="V245" s="987">
        <f>Calculation!AZ248</f>
        <v>0</v>
      </c>
      <c r="W245" s="994">
        <f t="shared" ca="1" si="68"/>
        <v>12466.915800000006</v>
      </c>
      <c r="X245" s="1110">
        <v>72.8</v>
      </c>
      <c r="Y245" s="994">
        <f t="shared" ca="1" si="69"/>
        <v>2500</v>
      </c>
      <c r="Z245" s="987">
        <f t="shared" ca="1" si="64"/>
        <v>9966.9158000000061</v>
      </c>
      <c r="AA245" s="994">
        <f t="shared" ca="1" si="59"/>
        <v>17326.843346374433</v>
      </c>
      <c r="AB245" s="1093">
        <f t="shared" ca="1" si="60"/>
        <v>16707.843346374433</v>
      </c>
      <c r="AC245" s="954">
        <f ca="1">IF(A245&gt;$A$1,VLOOKUP(A245,Calculation!$B$8:$JF$880,165,FALSE),VLOOKUP(A245,Calculation!$B$8:$JF$880,165,FALSE))</f>
        <v>16706</v>
      </c>
      <c r="AD245" s="418">
        <f t="shared" ca="1" si="65"/>
        <v>-168</v>
      </c>
      <c r="AE245" s="418"/>
      <c r="AF245" s="935">
        <f>Calculation!G248</f>
        <v>187.48159354407622</v>
      </c>
      <c r="AG245" s="941" t="str">
        <f t="shared" si="66"/>
        <v>Yes</v>
      </c>
      <c r="AH245" s="941" t="str">
        <f t="shared" si="67"/>
        <v>No</v>
      </c>
      <c r="AI245" s="963">
        <v>37228.500000090891</v>
      </c>
      <c r="AJ245" s="964">
        <v>35612.600000090912</v>
      </c>
      <c r="AK245" s="964">
        <v>32787.700000083736</v>
      </c>
      <c r="AM245" s="1110">
        <v>72.8</v>
      </c>
      <c r="AN245" s="447"/>
      <c r="AO245" s="430"/>
      <c r="AP245" s="462"/>
      <c r="AQ245" s="461"/>
      <c r="AR245" s="461"/>
      <c r="AS245" s="463"/>
      <c r="AU245" s="453"/>
      <c r="AV245" s="452"/>
      <c r="AW245" s="453"/>
      <c r="AX245" s="452"/>
      <c r="AY245" s="453"/>
      <c r="AZ245" s="452"/>
      <c r="BA245" s="449"/>
    </row>
    <row r="246" spans="1:53" ht="13.5" thickBot="1">
      <c r="A246" s="425">
        <v>41877</v>
      </c>
      <c r="B246" s="954">
        <f t="shared" si="61"/>
        <v>139.5394</v>
      </c>
      <c r="C246" s="954">
        <f>Calculation!AK249</f>
        <v>0</v>
      </c>
      <c r="D246" s="954">
        <f>Calculation!AI249</f>
        <v>27.072499999999998</v>
      </c>
      <c r="E246" s="954">
        <f>Calculation!AE249</f>
        <v>80.753399999999999</v>
      </c>
      <c r="F246" s="954">
        <f>Calculation!AF249</f>
        <v>58.785999999999994</v>
      </c>
      <c r="G246" s="954">
        <f>Calculation!AG249</f>
        <v>0</v>
      </c>
      <c r="H246" s="955">
        <f>Sheet1!H251</f>
        <v>0.69</v>
      </c>
      <c r="I246" s="935">
        <f>Sheet1!DA251</f>
        <v>355</v>
      </c>
      <c r="J246" s="935">
        <f>Sheet1!DB251</f>
        <v>225</v>
      </c>
      <c r="K246" s="935">
        <f>Sheet1!CZ251</f>
        <v>378</v>
      </c>
      <c r="L246" s="959">
        <f>Calculation!F249</f>
        <v>250</v>
      </c>
      <c r="M246" s="959">
        <f>Calculation!E249</f>
        <v>400</v>
      </c>
      <c r="N246" s="959">
        <f>Calculation!D249</f>
        <v>200</v>
      </c>
      <c r="O246" s="985">
        <f>Sheet1!DC251</f>
        <v>1154.58</v>
      </c>
      <c r="P246" s="986">
        <f>Calculation!FD249</f>
        <v>1130.3864406778948</v>
      </c>
      <c r="Q246" s="994">
        <f>Calculation!DP249</f>
        <v>36109.600000090424</v>
      </c>
      <c r="R246" s="985">
        <f t="shared" si="58"/>
        <v>35490.600000090424</v>
      </c>
      <c r="S246" s="987">
        <f t="shared" si="62"/>
        <v>-390.00000000044383</v>
      </c>
      <c r="T246" s="994">
        <f ca="1">IF(A246&gt;$A$1,#N/A,VLOOKUP(A246,Calculation!$B$8:$JF$503,40,FALSE))</f>
        <v>6652.1508537164309</v>
      </c>
      <c r="U246" s="987">
        <f t="shared" si="63"/>
        <v>27.072499999999998</v>
      </c>
      <c r="V246" s="987">
        <f>Calculation!AZ249</f>
        <v>0</v>
      </c>
      <c r="W246" s="994">
        <f t="shared" ca="1" si="68"/>
        <v>12298.360800000006</v>
      </c>
      <c r="X246" s="1096">
        <v>85</v>
      </c>
      <c r="Y246" s="994">
        <f t="shared" ca="1" si="69"/>
        <v>2500</v>
      </c>
      <c r="Z246" s="987">
        <f t="shared" ca="1" si="64"/>
        <v>9798.3608000000058</v>
      </c>
      <c r="AA246" s="994">
        <f t="shared" ca="1" si="59"/>
        <v>17159.088346373988</v>
      </c>
      <c r="AB246" s="1093">
        <f t="shared" ca="1" si="60"/>
        <v>16540.088346373988</v>
      </c>
      <c r="AC246" s="954">
        <f ca="1">IF(A246&gt;$A$1,VLOOKUP(A246,Calculation!$B$8:$JF$880,165,FALSE),VLOOKUP(A246,Calculation!$B$8:$JF$880,165,FALSE))</f>
        <v>16538</v>
      </c>
      <c r="AD246" s="418">
        <f t="shared" ca="1" si="65"/>
        <v>-168</v>
      </c>
      <c r="AE246" s="418"/>
      <c r="AF246" s="935">
        <f>Calculation!G249</f>
        <v>181.32829046876259</v>
      </c>
      <c r="AG246" s="941" t="str">
        <f t="shared" si="66"/>
        <v>Yes</v>
      </c>
      <c r="AH246" s="941" t="str">
        <f t="shared" si="67"/>
        <v>No</v>
      </c>
      <c r="AI246" s="963">
        <v>37053.000000090673</v>
      </c>
      <c r="AJ246" s="964">
        <v>35313.600000088838</v>
      </c>
      <c r="AK246" s="964">
        <v>32437.200000082627</v>
      </c>
      <c r="AM246" s="1096">
        <v>85</v>
      </c>
      <c r="AN246" s="447"/>
      <c r="AO246" s="430"/>
      <c r="AP246" s="462"/>
      <c r="AQ246" s="461"/>
      <c r="AR246" s="461"/>
      <c r="AS246" s="463"/>
      <c r="AU246" s="453"/>
      <c r="AV246" s="452"/>
      <c r="AW246" s="453"/>
      <c r="AX246" s="452"/>
      <c r="AY246" s="453"/>
      <c r="AZ246" s="452"/>
      <c r="BA246" s="449"/>
    </row>
    <row r="247" spans="1:53" ht="13.5" thickBot="1">
      <c r="A247" s="425">
        <v>41878</v>
      </c>
      <c r="B247" s="954">
        <f t="shared" si="61"/>
        <v>139.22999999999999</v>
      </c>
      <c r="C247" s="954">
        <f>Calculation!AK250</f>
        <v>0</v>
      </c>
      <c r="D247" s="954">
        <f>Calculation!AI250</f>
        <v>27.072499999999998</v>
      </c>
      <c r="E247" s="954">
        <f>Calculation!AE250</f>
        <v>80.598699999999994</v>
      </c>
      <c r="F247" s="954">
        <f>Calculation!AF250</f>
        <v>58.631299999999996</v>
      </c>
      <c r="G247" s="954">
        <f>Calculation!AG250</f>
        <v>0</v>
      </c>
      <c r="H247" s="955">
        <f>Sheet1!H252</f>
        <v>0.72</v>
      </c>
      <c r="I247" s="935">
        <f>Sheet1!DA252</f>
        <v>369</v>
      </c>
      <c r="J247" s="935">
        <f>Sheet1!DB252</f>
        <v>223</v>
      </c>
      <c r="K247" s="935">
        <f>Sheet1!CZ252</f>
        <v>378</v>
      </c>
      <c r="L247" s="959">
        <f>Calculation!F250</f>
        <v>250</v>
      </c>
      <c r="M247" s="959">
        <f>Calculation!E250</f>
        <v>400</v>
      </c>
      <c r="N247" s="959">
        <f>Calculation!D250</f>
        <v>200</v>
      </c>
      <c r="O247" s="985">
        <f>Sheet1!DC252</f>
        <v>1154.1500000000001</v>
      </c>
      <c r="P247" s="986">
        <f>Calculation!FD250</f>
        <v>1130.1033898304374</v>
      </c>
      <c r="Q247" s="994">
        <f>Calculation!DP250</f>
        <v>35690.500000090207</v>
      </c>
      <c r="R247" s="985">
        <f t="shared" si="58"/>
        <v>35071.500000090207</v>
      </c>
      <c r="S247" s="987">
        <f t="shared" si="62"/>
        <v>-419.10000000021682</v>
      </c>
      <c r="T247" s="994">
        <f ca="1">IF(A247&gt;$A$1,#N/A,VLOOKUP(A247,Calculation!$B$8:$JF$503,40,FALSE))</f>
        <v>6598.4608537164304</v>
      </c>
      <c r="U247" s="987">
        <f t="shared" si="63"/>
        <v>27.072499999999998</v>
      </c>
      <c r="V247" s="987">
        <f>Calculation!AZ250</f>
        <v>0</v>
      </c>
      <c r="W247" s="994">
        <f t="shared" ca="1" si="68"/>
        <v>12100.655700000007</v>
      </c>
      <c r="X247" s="1096">
        <v>99.7</v>
      </c>
      <c r="Y247" s="994">
        <f t="shared" ca="1" si="69"/>
        <v>2500</v>
      </c>
      <c r="Z247" s="987">
        <f t="shared" ca="1" si="64"/>
        <v>9600.6557000000066</v>
      </c>
      <c r="AA247" s="994">
        <f t="shared" ca="1" si="59"/>
        <v>16991.383446373769</v>
      </c>
      <c r="AB247" s="1093">
        <f t="shared" ca="1" si="60"/>
        <v>16372.383446373769</v>
      </c>
      <c r="AC247" s="954">
        <f ca="1">IF(A247&gt;$A$1,VLOOKUP(A247,Calculation!$B$8:$JF$880,165,FALSE),VLOOKUP(A247,Calculation!$B$8:$JF$880,165,FALSE))</f>
        <v>16370</v>
      </c>
      <c r="AD247" s="418">
        <f t="shared" ca="1" si="65"/>
        <v>-168</v>
      </c>
      <c r="AE247" s="418"/>
      <c r="AF247" s="935">
        <f>Calculation!G250</f>
        <v>166.65355521925528</v>
      </c>
      <c r="AG247" s="941" t="str">
        <f t="shared" si="66"/>
        <v>Yes</v>
      </c>
      <c r="AH247" s="941" t="str">
        <f t="shared" si="67"/>
        <v>No</v>
      </c>
      <c r="AI247" s="963">
        <v>36897.000000090673</v>
      </c>
      <c r="AJ247" s="964">
        <v>35015.500000089545</v>
      </c>
      <c r="AK247" s="964">
        <v>32125.400000082209</v>
      </c>
      <c r="AM247" s="1096">
        <v>99.7</v>
      </c>
      <c r="AN247" s="447"/>
      <c r="AO247" s="430"/>
      <c r="AP247" s="462"/>
      <c r="AQ247" s="461"/>
      <c r="AR247" s="461"/>
      <c r="AS247" s="463"/>
      <c r="AU247" s="453"/>
      <c r="AV247" s="452"/>
      <c r="AW247" s="453"/>
      <c r="AX247" s="452"/>
      <c r="AY247" s="453"/>
      <c r="AZ247" s="452"/>
      <c r="BA247" s="449"/>
    </row>
    <row r="248" spans="1:53" ht="13.5" thickBot="1">
      <c r="A248" s="425">
        <v>41879</v>
      </c>
      <c r="B248" s="954">
        <f t="shared" si="61"/>
        <v>139.61675</v>
      </c>
      <c r="C248" s="954">
        <f>Calculation!AK251</f>
        <v>0</v>
      </c>
      <c r="D248" s="954">
        <f>Calculation!AI251</f>
        <v>26.948855942184153</v>
      </c>
      <c r="E248" s="954">
        <f>Calculation!AE251</f>
        <v>81.913650000000004</v>
      </c>
      <c r="F248" s="954">
        <f>Calculation!AF251</f>
        <v>57.703099999999992</v>
      </c>
      <c r="G248" s="954">
        <f>Calculation!AG251</f>
        <v>0</v>
      </c>
      <c r="H248" s="955">
        <f>Sheet1!H253</f>
        <v>0.76</v>
      </c>
      <c r="I248" s="935">
        <f>Sheet1!DA253</f>
        <v>373</v>
      </c>
      <c r="J248" s="935">
        <f>Sheet1!DB253</f>
        <v>211</v>
      </c>
      <c r="K248" s="935">
        <f>Sheet1!CZ253</f>
        <v>378</v>
      </c>
      <c r="L248" s="959">
        <f>Calculation!F251</f>
        <v>250</v>
      </c>
      <c r="M248" s="959">
        <f>Calculation!E251</f>
        <v>400</v>
      </c>
      <c r="N248" s="959">
        <f>Calculation!D251</f>
        <v>200</v>
      </c>
      <c r="O248" s="985">
        <f>Sheet1!DC253</f>
        <v>1153.71</v>
      </c>
      <c r="P248" s="986">
        <f>Calculation!FD251</f>
        <v>1129.8155172413085</v>
      </c>
      <c r="Q248" s="994">
        <f>Calculation!DP251</f>
        <v>35265.600000088838</v>
      </c>
      <c r="R248" s="985">
        <f t="shared" si="58"/>
        <v>34646.600000088838</v>
      </c>
      <c r="S248" s="987">
        <f t="shared" si="62"/>
        <v>-424.90000000136934</v>
      </c>
      <c r="T248" s="994">
        <f ca="1">IF(A248&gt;$A$1,#N/A,VLOOKUP(A248,Calculation!$B$8:$JF$503,40,FALSE))</f>
        <v>6545.0160637806712</v>
      </c>
      <c r="U248" s="987">
        <f t="shared" si="63"/>
        <v>26.948855942184153</v>
      </c>
      <c r="V248" s="987">
        <f>Calculation!AZ251</f>
        <v>0</v>
      </c>
      <c r="W248" s="994">
        <f t="shared" ca="1" si="68"/>
        <v>11897.001600000007</v>
      </c>
      <c r="X248" s="1096">
        <v>102.7</v>
      </c>
      <c r="Y248" s="994">
        <f t="shared" ca="1" si="69"/>
        <v>2500</v>
      </c>
      <c r="Z248" s="987">
        <f t="shared" ca="1" si="64"/>
        <v>9397.0016000000069</v>
      </c>
      <c r="AA248" s="994">
        <f t="shared" ca="1" si="59"/>
        <v>16823.582336308162</v>
      </c>
      <c r="AB248" s="1093">
        <f t="shared" ca="1" si="60"/>
        <v>16204.582336308162</v>
      </c>
      <c r="AC248" s="954">
        <f ca="1">IF(A248&gt;$A$1,VLOOKUP(A248,Calculation!$B$8:$JF$880,165,FALSE),VLOOKUP(A248,Calculation!$B$8:$JF$880,165,FALSE))</f>
        <v>16203</v>
      </c>
      <c r="AD248" s="418">
        <f t="shared" ca="1" si="65"/>
        <v>-167</v>
      </c>
      <c r="AE248" s="418"/>
      <c r="AF248" s="935">
        <f>Calculation!G251</f>
        <v>163.72869389744363</v>
      </c>
      <c r="AG248" s="941" t="str">
        <f t="shared" si="66"/>
        <v>Yes</v>
      </c>
      <c r="AH248" s="941" t="str">
        <f t="shared" si="67"/>
        <v>No</v>
      </c>
      <c r="AI248" s="963">
        <v>36731.390000089152</v>
      </c>
      <c r="AJ248" s="964">
        <v>34755.800000088406</v>
      </c>
      <c r="AK248" s="964">
        <v>31849.400000082001</v>
      </c>
      <c r="AM248" s="1096">
        <v>102.7</v>
      </c>
      <c r="AN248" s="447"/>
      <c r="AO248" s="430"/>
      <c r="AP248" s="462"/>
      <c r="AQ248" s="461"/>
      <c r="AR248" s="461"/>
      <c r="AS248" s="463"/>
      <c r="AU248" s="453"/>
      <c r="AV248" s="452"/>
      <c r="AW248" s="453"/>
      <c r="AX248" s="452"/>
      <c r="AY248" s="453"/>
      <c r="AZ248" s="452"/>
      <c r="BA248" s="449"/>
    </row>
    <row r="249" spans="1:53" ht="13.5" thickBot="1">
      <c r="A249" s="425">
        <v>41880</v>
      </c>
      <c r="B249" s="954">
        <f t="shared" si="61"/>
        <v>126.26613999999999</v>
      </c>
      <c r="C249" s="954">
        <f>Calculation!AK252</f>
        <v>0</v>
      </c>
      <c r="D249" s="954">
        <f>Calculation!AI252</f>
        <v>23.22574278403275</v>
      </c>
      <c r="E249" s="954">
        <f>Calculation!AE252</f>
        <v>81.867239999999995</v>
      </c>
      <c r="F249" s="954">
        <f>Calculation!AF252</f>
        <v>44.398899999999998</v>
      </c>
      <c r="G249" s="954">
        <f>Calculation!AG252</f>
        <v>3.0939999995047401E-2</v>
      </c>
      <c r="H249" s="955">
        <f>Sheet1!H254</f>
        <v>0.74</v>
      </c>
      <c r="I249" s="935">
        <f>Sheet1!DA254</f>
        <v>378</v>
      </c>
      <c r="J249" s="935">
        <f>Sheet1!DB254</f>
        <v>213</v>
      </c>
      <c r="K249" s="935">
        <f>Sheet1!CZ254</f>
        <v>354</v>
      </c>
      <c r="L249" s="959">
        <f>Calculation!F252</f>
        <v>250</v>
      </c>
      <c r="M249" s="959">
        <f>Calculation!E252</f>
        <v>400</v>
      </c>
      <c r="N249" s="959">
        <f>Calculation!D252</f>
        <v>200</v>
      </c>
      <c r="O249" s="985">
        <f>Sheet1!DC254</f>
        <v>1153.3</v>
      </c>
      <c r="P249" s="986">
        <f>Calculation!FD252</f>
        <v>1129.5241379309639</v>
      </c>
      <c r="Q249" s="994">
        <f>Calculation!DP252</f>
        <v>34871.000000088403</v>
      </c>
      <c r="R249" s="985">
        <f t="shared" si="58"/>
        <v>34252.000000088403</v>
      </c>
      <c r="S249" s="987">
        <f t="shared" si="62"/>
        <v>-394.6000000004351</v>
      </c>
      <c r="T249" s="994">
        <f ca="1">IF(A249&gt;$A$1,#N/A,VLOOKUP(A249,Calculation!$B$8:$JF$503,40,FALSE))</f>
        <v>6498.9549268308238</v>
      </c>
      <c r="U249" s="987">
        <f t="shared" si="63"/>
        <v>23.22574278403275</v>
      </c>
      <c r="V249" s="987">
        <f>Calculation!AZ252</f>
        <v>0</v>
      </c>
      <c r="W249" s="994">
        <f t="shared" ca="1" si="68"/>
        <v>11723.687400000006</v>
      </c>
      <c r="X249" s="1096">
        <v>87.4</v>
      </c>
      <c r="Y249" s="994">
        <f t="shared" ca="1" si="69"/>
        <v>2500</v>
      </c>
      <c r="Z249" s="987">
        <f t="shared" ca="1" si="64"/>
        <v>9223.6874000000062</v>
      </c>
      <c r="AA249" s="994">
        <f t="shared" ca="1" si="59"/>
        <v>16648.357673257571</v>
      </c>
      <c r="AB249" s="1093">
        <f t="shared" ca="1" si="60"/>
        <v>16029.357673257571</v>
      </c>
      <c r="AC249" s="954">
        <f ca="1">IF(A249&gt;$A$1,VLOOKUP(A249,Calculation!$B$8:$JF$880,165,FALSE),VLOOKUP(A249,Calculation!$B$8:$JF$880,165,FALSE))</f>
        <v>16035</v>
      </c>
      <c r="AD249" s="418">
        <f t="shared" ca="1" si="65"/>
        <v>-168</v>
      </c>
      <c r="AE249" s="418"/>
      <c r="AF249" s="935">
        <f>Calculation!G252</f>
        <v>155.00857286917042</v>
      </c>
      <c r="AG249" s="941" t="str">
        <f t="shared" si="66"/>
        <v>Yes</v>
      </c>
      <c r="AH249" s="941" t="str">
        <f t="shared" si="67"/>
        <v>No</v>
      </c>
      <c r="AI249" s="963">
        <v>36529.580000088936</v>
      </c>
      <c r="AJ249" s="964">
        <v>34564.000000087268</v>
      </c>
      <c r="AK249" s="964">
        <v>31758.000000080217</v>
      </c>
      <c r="AM249" s="1096">
        <v>87.4</v>
      </c>
      <c r="AN249" s="447"/>
      <c r="AO249" s="430"/>
      <c r="AP249" s="462"/>
      <c r="AQ249" s="461"/>
      <c r="AR249" s="461"/>
      <c r="AS249" s="463"/>
      <c r="AU249" s="453"/>
      <c r="AV249" s="452"/>
      <c r="AW249" s="453"/>
      <c r="AX249" s="452"/>
      <c r="AY249" s="453"/>
      <c r="AZ249" s="452"/>
      <c r="BA249" s="449"/>
    </row>
    <row r="250" spans="1:53" ht="13.5" thickBot="1">
      <c r="A250" s="425">
        <v>41881</v>
      </c>
      <c r="B250" s="954">
        <f t="shared" si="61"/>
        <v>114.83380999999999</v>
      </c>
      <c r="C250" s="954">
        <f>Calculation!AK253</f>
        <v>0</v>
      </c>
      <c r="D250" s="954">
        <f>Calculation!AI253</f>
        <v>22.4315</v>
      </c>
      <c r="E250" s="954">
        <f>Calculation!AE253</f>
        <v>77.705809999999985</v>
      </c>
      <c r="F250" s="954">
        <f>Calculation!AF253</f>
        <v>37.128</v>
      </c>
      <c r="G250" s="954">
        <f>Calculation!AG253</f>
        <v>1.5160600000049524</v>
      </c>
      <c r="H250" s="955">
        <f>Sheet1!H255</f>
        <v>3.31</v>
      </c>
      <c r="I250" s="935">
        <f>Sheet1!DA255</f>
        <v>468</v>
      </c>
      <c r="J250" s="935">
        <f>Sheet1!DB255</f>
        <v>268</v>
      </c>
      <c r="K250" s="935">
        <f>Sheet1!CZ255</f>
        <v>354</v>
      </c>
      <c r="L250" s="959">
        <f>Calculation!F253</f>
        <v>250</v>
      </c>
      <c r="M250" s="959">
        <f>Calculation!E253</f>
        <v>400</v>
      </c>
      <c r="N250" s="959">
        <f>Calculation!D253</f>
        <v>200</v>
      </c>
      <c r="O250" s="985">
        <f>Sheet1!DC255</f>
        <v>1153.2</v>
      </c>
      <c r="P250" s="986">
        <f>Calculation!FD253</f>
        <v>1129.2327586206195</v>
      </c>
      <c r="Q250" s="994">
        <f>Calculation!DP253</f>
        <v>34775.000000088403</v>
      </c>
      <c r="R250" s="985">
        <f t="shared" si="58"/>
        <v>34156.000000088403</v>
      </c>
      <c r="S250" s="987">
        <f t="shared" si="62"/>
        <v>-96</v>
      </c>
      <c r="T250" s="994">
        <f ca="1">IF(A250&gt;$A$1,#N/A,VLOOKUP(A250,Calculation!$B$8:$JF$503,40,FALSE))</f>
        <v>6454.4689268308239</v>
      </c>
      <c r="U250" s="987">
        <f t="shared" si="63"/>
        <v>22.4315</v>
      </c>
      <c r="V250" s="987">
        <f>Calculation!AZ253</f>
        <v>0</v>
      </c>
      <c r="W250" s="994">
        <f t="shared" ca="1" si="68"/>
        <v>11723.687400000006</v>
      </c>
      <c r="X250" s="1096">
        <v>0</v>
      </c>
      <c r="Y250" s="994">
        <f t="shared" ca="1" si="69"/>
        <v>2500</v>
      </c>
      <c r="Z250" s="987">
        <f t="shared" ca="1" si="64"/>
        <v>9223.6874000000062</v>
      </c>
      <c r="AA250" s="994">
        <f t="shared" ca="1" si="59"/>
        <v>16596.843673257572</v>
      </c>
      <c r="AB250" s="1093">
        <f t="shared" ca="1" si="60"/>
        <v>15977.843673257572</v>
      </c>
      <c r="AC250" s="954">
        <f ca="1">IF(A250&gt;$A$1,VLOOKUP(A250,Calculation!$B$8:$JF$880,165,FALSE),VLOOKUP(A250,Calculation!$B$8:$JF$880,165,FALSE))</f>
        <v>15867</v>
      </c>
      <c r="AD250" s="418">
        <f t="shared" ca="1" si="65"/>
        <v>-168</v>
      </c>
      <c r="AE250" s="418"/>
      <c r="AF250" s="935">
        <f>Calculation!G253</f>
        <v>305.58850226928894</v>
      </c>
      <c r="AG250" s="941" t="str">
        <f t="shared" si="66"/>
        <v>Yes</v>
      </c>
      <c r="AH250" s="941" t="str">
        <f t="shared" si="67"/>
        <v>Yes</v>
      </c>
      <c r="AI250" s="963">
        <v>36298.940000088711</v>
      </c>
      <c r="AJ250" s="964">
        <v>34167.000000086831</v>
      </c>
      <c r="AK250" s="964">
        <v>31658.600000080904</v>
      </c>
      <c r="AM250" s="1096">
        <v>0</v>
      </c>
      <c r="AN250" s="447"/>
      <c r="AO250" s="430"/>
      <c r="AP250" s="462"/>
      <c r="AQ250" s="461"/>
      <c r="AR250" s="461"/>
      <c r="AS250" s="463"/>
      <c r="AU250" s="453"/>
      <c r="AV250" s="452"/>
      <c r="AW250" s="453"/>
      <c r="AX250" s="452"/>
      <c r="AY250" s="453"/>
      <c r="AZ250" s="452"/>
      <c r="BA250" s="449"/>
    </row>
    <row r="251" spans="1:53" ht="13.5" thickBot="1">
      <c r="A251" s="425">
        <v>41882</v>
      </c>
      <c r="B251" s="954">
        <f t="shared" si="61"/>
        <v>110.9199</v>
      </c>
      <c r="C251" s="954">
        <f>Calculation!AK254</f>
        <v>0</v>
      </c>
      <c r="D251" s="954">
        <f>Calculation!AI254</f>
        <v>22.4315</v>
      </c>
      <c r="E251" s="954">
        <f>Calculation!AE254</f>
        <v>72.863699999999994</v>
      </c>
      <c r="F251" s="954">
        <f>Calculation!AF254</f>
        <v>38.056200000000004</v>
      </c>
      <c r="G251" s="954">
        <f>Calculation!AG254</f>
        <v>0</v>
      </c>
      <c r="H251" s="955">
        <f>Sheet1!H256</f>
        <v>2.3199999999999998</v>
      </c>
      <c r="I251" s="935">
        <f>Sheet1!DA256</f>
        <v>420</v>
      </c>
      <c r="J251" s="935">
        <f>Sheet1!DB256</f>
        <v>249</v>
      </c>
      <c r="K251" s="935">
        <f>Sheet1!CZ256</f>
        <v>354</v>
      </c>
      <c r="L251" s="959">
        <f>Calculation!F254</f>
        <v>250</v>
      </c>
      <c r="M251" s="959">
        <f>Calculation!E254</f>
        <v>400</v>
      </c>
      <c r="N251" s="959">
        <f>Calculation!D254</f>
        <v>200</v>
      </c>
      <c r="O251" s="985">
        <f>Sheet1!DC256</f>
        <v>1153</v>
      </c>
      <c r="P251" s="986">
        <f>Calculation!FD254</f>
        <v>1128.942105263088</v>
      </c>
      <c r="Q251" s="994">
        <f>Calculation!DP254</f>
        <v>34583.000000088185</v>
      </c>
      <c r="R251" s="985">
        <f t="shared" si="58"/>
        <v>33964.000000088185</v>
      </c>
      <c r="S251" s="987">
        <f t="shared" si="62"/>
        <v>-192.00000000021828</v>
      </c>
      <c r="T251" s="994">
        <f ca="1">IF(A251&gt;$A$1,#N/A,VLOOKUP(A251,Calculation!$B$8:$JF$503,40,FALSE))</f>
        <v>6409.982926830824</v>
      </c>
      <c r="U251" s="987">
        <f t="shared" si="63"/>
        <v>22.4315</v>
      </c>
      <c r="V251" s="987">
        <f>Calculation!AZ254</f>
        <v>0</v>
      </c>
      <c r="W251" s="994">
        <f t="shared" ca="1" si="68"/>
        <v>11723.687400000006</v>
      </c>
      <c r="X251" s="1096">
        <v>0</v>
      </c>
      <c r="Y251" s="994">
        <f t="shared" ca="1" si="69"/>
        <v>2500</v>
      </c>
      <c r="Z251" s="987">
        <f t="shared" ca="1" si="64"/>
        <v>9223.6874000000062</v>
      </c>
      <c r="AA251" s="994">
        <f t="shared" ca="1" si="59"/>
        <v>16449.329673257354</v>
      </c>
      <c r="AB251" s="1093">
        <f t="shared" ca="1" si="60"/>
        <v>15830.329673257354</v>
      </c>
      <c r="AC251" s="954">
        <f ca="1">IF(A251&gt;$A$1,VLOOKUP(A251,Calculation!$B$8:$JF$880,165,FALSE),VLOOKUP(A251,Calculation!$B$8:$JF$880,165,FALSE))</f>
        <v>15700</v>
      </c>
      <c r="AD251" s="418">
        <f t="shared" ca="1" si="65"/>
        <v>-167</v>
      </c>
      <c r="AE251" s="418"/>
      <c r="AF251" s="935">
        <f>Calculation!G254</f>
        <v>257.17700453846783</v>
      </c>
      <c r="AG251" s="941" t="str">
        <f t="shared" si="66"/>
        <v>Yes</v>
      </c>
      <c r="AH251" s="941" t="str">
        <f t="shared" si="67"/>
        <v>Yes</v>
      </c>
      <c r="AI251" s="963">
        <v>36077.910000088501</v>
      </c>
      <c r="AJ251" s="964">
        <v>33996.200000085919</v>
      </c>
      <c r="AK251" s="964">
        <v>31387.00000007981</v>
      </c>
      <c r="AM251" s="1096">
        <v>0</v>
      </c>
      <c r="AN251" s="447"/>
      <c r="AO251" s="430"/>
      <c r="AP251" s="462"/>
      <c r="AQ251" s="461"/>
      <c r="AR251" s="461"/>
      <c r="AS251" s="463"/>
      <c r="AU251" s="453"/>
      <c r="AV251" s="452"/>
      <c r="AW251" s="453"/>
      <c r="AX251" s="452"/>
      <c r="AY251" s="453"/>
      <c r="AZ251" s="452"/>
      <c r="BA251" s="449"/>
    </row>
    <row r="252" spans="1:53" ht="13.5" thickBot="1">
      <c r="A252" s="425">
        <v>41883</v>
      </c>
      <c r="B252" s="954">
        <f t="shared" si="61"/>
        <v>104.19045</v>
      </c>
      <c r="C252" s="954">
        <f>Calculation!AK255</f>
        <v>0</v>
      </c>
      <c r="D252" s="954">
        <f>Calculation!AI255</f>
        <v>22.4315</v>
      </c>
      <c r="E252" s="954">
        <f>Calculation!AE255</f>
        <v>53.216799999999992</v>
      </c>
      <c r="F252" s="954">
        <f>Calculation!AF255</f>
        <v>50.973649999999999</v>
      </c>
      <c r="G252" s="954">
        <f>Calculation!AG255</f>
        <v>0</v>
      </c>
      <c r="H252" s="955">
        <f>Sheet1!H257</f>
        <v>0.8</v>
      </c>
      <c r="I252" s="935">
        <f>Sheet1!DA257</f>
        <v>410</v>
      </c>
      <c r="J252" s="935">
        <f>Sheet1!DB257</f>
        <v>239</v>
      </c>
      <c r="K252" s="935">
        <f>Sheet1!CZ257</f>
        <v>354</v>
      </c>
      <c r="L252" s="959">
        <f>Calculation!F255</f>
        <v>250</v>
      </c>
      <c r="M252" s="959">
        <f>Calculation!E255</f>
        <v>400</v>
      </c>
      <c r="N252" s="959">
        <f>Calculation!D255</f>
        <v>200</v>
      </c>
      <c r="O252" s="985">
        <f>Sheet1!DC257</f>
        <v>1152.73</v>
      </c>
      <c r="P252" s="986">
        <f>Calculation!FD255</f>
        <v>1128.6428571427875</v>
      </c>
      <c r="Q252" s="994">
        <f>Calculation!DP255</f>
        <v>34327.50000008705</v>
      </c>
      <c r="R252" s="985">
        <f t="shared" si="58"/>
        <v>33708.50000008705</v>
      </c>
      <c r="S252" s="987">
        <f t="shared" si="62"/>
        <v>-255.50000000113505</v>
      </c>
      <c r="T252" s="994">
        <f ca="1">IF(A252&gt;$A$1,#N/A,VLOOKUP(A252,Calculation!$B$8:$JF$503,40,FALSE))</f>
        <v>6365.4969268308232</v>
      </c>
      <c r="U252" s="987">
        <f t="shared" si="63"/>
        <v>22.4315</v>
      </c>
      <c r="V252" s="987">
        <f>Calculation!AZ255</f>
        <v>0</v>
      </c>
      <c r="W252" s="994">
        <f t="shared" ca="1" si="68"/>
        <v>11723.687400000006</v>
      </c>
      <c r="X252" s="1096">
        <v>0</v>
      </c>
      <c r="Y252" s="994">
        <f t="shared" ca="1" si="69"/>
        <v>2500</v>
      </c>
      <c r="Z252" s="987">
        <f t="shared" ca="1" si="64"/>
        <v>9223.6874000000062</v>
      </c>
      <c r="AA252" s="994">
        <f t="shared" ca="1" si="59"/>
        <v>16238.31567325622</v>
      </c>
      <c r="AB252" s="1093">
        <f t="shared" ca="1" si="60"/>
        <v>15619.31567325622</v>
      </c>
      <c r="AC252" s="954">
        <f ca="1">IF(A252&gt;$A$1,VLOOKUP(A252,Calculation!$B$8:$JF$880,165,FALSE),VLOOKUP(A252,Calculation!$B$8:$JF$880,165,FALSE))</f>
        <v>15483</v>
      </c>
      <c r="AD252" s="418">
        <f t="shared" ca="1" si="65"/>
        <v>-217</v>
      </c>
      <c r="AE252" s="418"/>
      <c r="AF252" s="935">
        <f>Calculation!G255</f>
        <v>225.15481593487897</v>
      </c>
      <c r="AG252" s="941" t="str">
        <f t="shared" si="66"/>
        <v>Yes</v>
      </c>
      <c r="AH252" s="941" t="str">
        <f t="shared" si="67"/>
        <v>Yes</v>
      </c>
      <c r="AI252" s="963">
        <v>35818.440000088274</v>
      </c>
      <c r="AJ252" s="964">
        <v>33544.000000084583</v>
      </c>
      <c r="AK252" s="964">
        <v>31088.30000008049</v>
      </c>
      <c r="AM252" s="1096">
        <v>0</v>
      </c>
      <c r="AN252" s="447"/>
      <c r="AO252" s="430"/>
      <c r="AP252" s="462"/>
      <c r="AQ252" s="461"/>
      <c r="AR252" s="461"/>
      <c r="AS252" s="463"/>
      <c r="AU252" s="453"/>
      <c r="AV252" s="452"/>
      <c r="AW252" s="453"/>
      <c r="AX252" s="452"/>
      <c r="AY252" s="453"/>
      <c r="AZ252" s="452"/>
      <c r="BA252" s="449"/>
    </row>
    <row r="253" spans="1:53" ht="13.5" thickBot="1">
      <c r="A253" s="425">
        <v>41884</v>
      </c>
      <c r="B253" s="954">
        <f t="shared" si="61"/>
        <v>111.24476999999999</v>
      </c>
      <c r="C253" s="954">
        <f>Calculation!AK256</f>
        <v>0</v>
      </c>
      <c r="D253" s="954">
        <f>Calculation!AI256</f>
        <v>22.443839166666667</v>
      </c>
      <c r="E253" s="954">
        <f>Calculation!AE256</f>
        <v>51.8245</v>
      </c>
      <c r="F253" s="954">
        <f>Calculation!AF256</f>
        <v>59.420269999999995</v>
      </c>
      <c r="G253" s="954">
        <f>Calculation!AG256</f>
        <v>0</v>
      </c>
      <c r="H253" s="955">
        <f>Sheet1!H258</f>
        <v>0.8</v>
      </c>
      <c r="I253" s="935">
        <f>Sheet1!DA258</f>
        <v>392</v>
      </c>
      <c r="J253" s="935">
        <f>Sheet1!DB258</f>
        <v>245</v>
      </c>
      <c r="K253" s="935">
        <f>Sheet1!CZ258</f>
        <v>354</v>
      </c>
      <c r="L253" s="959">
        <f>Calculation!F256</f>
        <v>250</v>
      </c>
      <c r="M253" s="959">
        <f>Calculation!E256</f>
        <v>400</v>
      </c>
      <c r="N253" s="959">
        <f>Calculation!D256</f>
        <v>200</v>
      </c>
      <c r="O253" s="985">
        <f>Sheet1!DC258</f>
        <v>1152.45</v>
      </c>
      <c r="P253" s="986">
        <f>Calculation!FD256</f>
        <v>1128.3428571427878</v>
      </c>
      <c r="Q253" s="994">
        <f>Calculation!DP256</f>
        <v>34062.500000086831</v>
      </c>
      <c r="R253" s="985">
        <f t="shared" si="58"/>
        <v>33443.500000086831</v>
      </c>
      <c r="S253" s="987">
        <f t="shared" si="62"/>
        <v>-265.00000000021828</v>
      </c>
      <c r="T253" s="994">
        <f ca="1">IF(A253&gt;$A$1,#N/A,VLOOKUP(A253,Calculation!$B$8:$JF$503,40,FALSE))</f>
        <v>6320.9864558784438</v>
      </c>
      <c r="U253" s="987">
        <f t="shared" si="63"/>
        <v>22.443839166666667</v>
      </c>
      <c r="V253" s="987">
        <f>Calculation!AZ256</f>
        <v>0</v>
      </c>
      <c r="W253" s="994">
        <f t="shared" ca="1" si="68"/>
        <v>11723.687400000006</v>
      </c>
      <c r="X253" s="1096">
        <v>0</v>
      </c>
      <c r="Y253" s="994">
        <f t="shared" ca="1" si="69"/>
        <v>2500</v>
      </c>
      <c r="Z253" s="987">
        <f t="shared" ca="1" si="64"/>
        <v>9223.6874000000062</v>
      </c>
      <c r="AA253" s="994">
        <f t="shared" ca="1" si="59"/>
        <v>16017.826144208382</v>
      </c>
      <c r="AB253" s="1093">
        <f t="shared" ca="1" si="60"/>
        <v>15398.826144208382</v>
      </c>
      <c r="AC253" s="954">
        <f ca="1">IF(A253&gt;$A$1,VLOOKUP(A253,Calculation!$B$8:$JF$880,165,FALSE),VLOOKUP(A253,Calculation!$B$8:$JF$880,165,FALSE))</f>
        <v>15266</v>
      </c>
      <c r="AD253" s="418">
        <f t="shared" ca="1" si="65"/>
        <v>-217</v>
      </c>
      <c r="AE253" s="418"/>
      <c r="AF253" s="935">
        <f>Calculation!G256</f>
        <v>220.36409480573965</v>
      </c>
      <c r="AG253" s="941" t="str">
        <f t="shared" si="66"/>
        <v>Yes</v>
      </c>
      <c r="AH253" s="941" t="str">
        <f t="shared" si="67"/>
        <v>No</v>
      </c>
      <c r="AI253" s="963">
        <v>35534.040000086679</v>
      </c>
      <c r="AJ253" s="964">
        <v>33217.500000084161</v>
      </c>
      <c r="AK253" s="964">
        <v>30764.300000078314</v>
      </c>
      <c r="AM253" s="1096">
        <v>0</v>
      </c>
      <c r="AN253" s="447"/>
      <c r="AO253" s="430"/>
      <c r="AP253" s="462"/>
      <c r="AQ253" s="461"/>
      <c r="AR253" s="461"/>
      <c r="AS253" s="463"/>
      <c r="AU253" s="453"/>
      <c r="AV253" s="452"/>
      <c r="AW253" s="453"/>
      <c r="AX253" s="452"/>
      <c r="AY253" s="453"/>
      <c r="AZ253" s="452"/>
      <c r="BA253" s="449"/>
    </row>
    <row r="254" spans="1:53" ht="13.5" thickBot="1">
      <c r="A254" s="425">
        <v>41885</v>
      </c>
      <c r="B254" s="954">
        <f t="shared" si="61"/>
        <v>120.75881999999999</v>
      </c>
      <c r="C254" s="954">
        <f>Calculation!AK257</f>
        <v>0</v>
      </c>
      <c r="D254" s="954">
        <f>Calculation!AI257</f>
        <v>22.463245231583585</v>
      </c>
      <c r="E254" s="954">
        <f>Calculation!AE257</f>
        <v>50.741599999999991</v>
      </c>
      <c r="F254" s="954">
        <f>Calculation!AF257</f>
        <v>70.017219999999995</v>
      </c>
      <c r="G254" s="954">
        <f>Calculation!AG257</f>
        <v>0</v>
      </c>
      <c r="H254" s="955">
        <f>Sheet1!H259</f>
        <v>1</v>
      </c>
      <c r="I254" s="935">
        <f>Sheet1!DA259</f>
        <v>420</v>
      </c>
      <c r="J254" s="935">
        <f>Sheet1!DB259</f>
        <v>219</v>
      </c>
      <c r="K254" s="935">
        <f>Sheet1!CZ259</f>
        <v>354</v>
      </c>
      <c r="L254" s="959">
        <f>Calculation!F257</f>
        <v>250</v>
      </c>
      <c r="M254" s="959">
        <f>Calculation!E257</f>
        <v>400</v>
      </c>
      <c r="N254" s="959">
        <f>Calculation!D257</f>
        <v>200</v>
      </c>
      <c r="O254" s="985">
        <f>Sheet1!DC259</f>
        <v>1152.3699999999999</v>
      </c>
      <c r="P254" s="986">
        <f>Calculation!FD257</f>
        <v>1128.0464285713595</v>
      </c>
      <c r="Q254" s="994">
        <f>Calculation!DP257</f>
        <v>33986.800000085706</v>
      </c>
      <c r="R254" s="985">
        <f t="shared" si="58"/>
        <v>33367.800000085706</v>
      </c>
      <c r="S254" s="987">
        <f t="shared" si="62"/>
        <v>-75.700000001124863</v>
      </c>
      <c r="T254" s="994">
        <f ca="1">IF(A254&gt;$A$1,#N/A,VLOOKUP(A254,Calculation!$B$8:$JF$503,40,FALSE))</f>
        <v>6276.4374989485796</v>
      </c>
      <c r="U254" s="987">
        <f t="shared" si="63"/>
        <v>22.463245231583585</v>
      </c>
      <c r="V254" s="987">
        <f>Calculation!AZ257</f>
        <v>0</v>
      </c>
      <c r="W254" s="994">
        <f t="shared" ca="1" si="68"/>
        <v>11723.687400000006</v>
      </c>
      <c r="X254" s="1096">
        <v>0</v>
      </c>
      <c r="Y254" s="994">
        <f t="shared" ca="1" si="69"/>
        <v>2500</v>
      </c>
      <c r="Z254" s="987">
        <f t="shared" ca="1" si="64"/>
        <v>9223.6874000000062</v>
      </c>
      <c r="AA254" s="994">
        <f t="shared" ca="1" si="59"/>
        <v>15986.67510113712</v>
      </c>
      <c r="AB254" s="1093">
        <f t="shared" ca="1" si="60"/>
        <v>15367.67510113712</v>
      </c>
      <c r="AC254" s="954">
        <f ca="1">IF(A254&gt;$A$1,VLOOKUP(A254,Calculation!$B$8:$JF$880,165,FALSE),VLOOKUP(A254,Calculation!$B$8:$JF$880,165,FALSE))</f>
        <v>15050</v>
      </c>
      <c r="AD254" s="418">
        <f t="shared" ca="1" si="65"/>
        <v>-216</v>
      </c>
      <c r="AE254" s="418"/>
      <c r="AF254" s="935">
        <f>Calculation!G257</f>
        <v>315.82551689302829</v>
      </c>
      <c r="AG254" s="941" t="str">
        <f t="shared" si="66"/>
        <v>Yes</v>
      </c>
      <c r="AH254" s="941" t="str">
        <f t="shared" si="67"/>
        <v>Yes</v>
      </c>
      <c r="AI254" s="963">
        <v>35231.320000086467</v>
      </c>
      <c r="AJ254" s="964">
        <v>32891.00000008395</v>
      </c>
      <c r="AK254" s="964">
        <v>30505.200000078112</v>
      </c>
      <c r="AM254" s="1096">
        <v>0</v>
      </c>
      <c r="AN254" s="447"/>
      <c r="AO254" s="430"/>
      <c r="AP254" s="462"/>
      <c r="AQ254" s="461"/>
      <c r="AR254" s="461"/>
      <c r="AS254" s="463"/>
      <c r="AU254" s="453"/>
      <c r="AV254" s="452"/>
      <c r="AW254" s="453"/>
      <c r="AX254" s="452"/>
      <c r="AY254" s="453"/>
      <c r="AZ254" s="452"/>
      <c r="BA254" s="449"/>
    </row>
    <row r="255" spans="1:53" ht="13.5" thickBot="1">
      <c r="A255" s="425">
        <v>41886</v>
      </c>
      <c r="B255" s="954">
        <f t="shared" si="61"/>
        <v>127.37997999999999</v>
      </c>
      <c r="C255" s="954">
        <f>Calculation!AK258</f>
        <v>0</v>
      </c>
      <c r="D255" s="954">
        <f>Calculation!AI258</f>
        <v>22.538601913952551</v>
      </c>
      <c r="E255" s="954">
        <f>Calculation!AE258</f>
        <v>50.277499999999996</v>
      </c>
      <c r="F255" s="954">
        <f>Calculation!AF258</f>
        <v>77.10248</v>
      </c>
      <c r="G255" s="954">
        <f>Calculation!AG258</f>
        <v>0</v>
      </c>
      <c r="H255" s="955">
        <f>Sheet1!H260</f>
        <v>0.85</v>
      </c>
      <c r="I255" s="935">
        <f>Sheet1!DA260</f>
        <v>387</v>
      </c>
      <c r="J255" s="935">
        <f>Sheet1!DB260</f>
        <v>243</v>
      </c>
      <c r="K255" s="935">
        <f>Sheet1!CZ260</f>
        <v>378</v>
      </c>
      <c r="L255" s="959">
        <f>Calculation!F258</f>
        <v>250</v>
      </c>
      <c r="M255" s="959">
        <f>Calculation!E258</f>
        <v>400</v>
      </c>
      <c r="N255" s="959">
        <f>Calculation!D258</f>
        <v>200</v>
      </c>
      <c r="O255" s="985">
        <f>Sheet1!DC260</f>
        <v>1152.1500000000001</v>
      </c>
      <c r="P255" s="986">
        <f>Calculation!FD258</f>
        <v>1127.6509090908403</v>
      </c>
      <c r="Q255" s="994">
        <f>Calculation!DP258</f>
        <v>33779.000000085704</v>
      </c>
      <c r="R255" s="985">
        <f t="shared" si="58"/>
        <v>33160.000000085704</v>
      </c>
      <c r="S255" s="987">
        <f t="shared" si="62"/>
        <v>-207.80000000000291</v>
      </c>
      <c r="T255" s="994">
        <f ca="1">IF(A255&gt;$A$1,#N/A,VLOOKUP(A255,Calculation!$B$8:$JF$503,40,FALSE))</f>
        <v>6231.7390951528423</v>
      </c>
      <c r="U255" s="987">
        <f t="shared" si="63"/>
        <v>22.538601913952551</v>
      </c>
      <c r="V255" s="987">
        <f>Calculation!AZ258</f>
        <v>0</v>
      </c>
      <c r="W255" s="994">
        <f t="shared" ca="1" si="68"/>
        <v>11723.687400000006</v>
      </c>
      <c r="X255" s="1096">
        <v>0</v>
      </c>
      <c r="Y255" s="994">
        <f t="shared" ca="1" si="69"/>
        <v>2500</v>
      </c>
      <c r="Z255" s="987">
        <f t="shared" ca="1" si="64"/>
        <v>9223.6874000000062</v>
      </c>
      <c r="AA255" s="994">
        <f t="shared" ca="1" si="59"/>
        <v>15823.573504932854</v>
      </c>
      <c r="AB255" s="1093">
        <f t="shared" ca="1" si="60"/>
        <v>15204.573504932854</v>
      </c>
      <c r="AC255" s="954">
        <f ca="1">IF(A255&gt;$A$1,VLOOKUP(A255,Calculation!$B$8:$JF$880,165,FALSE),VLOOKUP(A255,Calculation!$B$8:$JF$880,165,FALSE))</f>
        <v>14833</v>
      </c>
      <c r="AD255" s="418">
        <f t="shared" ca="1" si="65"/>
        <v>-217</v>
      </c>
      <c r="AE255" s="418"/>
      <c r="AF255" s="935">
        <f>Calculation!G258</f>
        <v>273.20927887039693</v>
      </c>
      <c r="AG255" s="941" t="str">
        <f t="shared" si="66"/>
        <v>Yes</v>
      </c>
      <c r="AH255" s="941" t="str">
        <f t="shared" si="67"/>
        <v>No</v>
      </c>
      <c r="AI255" s="963">
        <v>34928.600000086037</v>
      </c>
      <c r="AJ255" s="964">
        <v>32566.000000082626</v>
      </c>
      <c r="AK255" s="964">
        <v>30202.000000078784</v>
      </c>
      <c r="AM255" s="1096">
        <v>0</v>
      </c>
      <c r="AN255" s="447"/>
      <c r="AO255" s="430"/>
      <c r="AP255" s="462"/>
      <c r="AQ255" s="461"/>
      <c r="AR255" s="461"/>
      <c r="AS255" s="463"/>
      <c r="AU255" s="453"/>
      <c r="AV255" s="452"/>
      <c r="AW255" s="453"/>
      <c r="AX255" s="452"/>
      <c r="AY255" s="453"/>
      <c r="AZ255" s="452"/>
      <c r="BA255" s="449"/>
    </row>
    <row r="256" spans="1:53" ht="13.5" thickBot="1">
      <c r="A256" s="425">
        <v>41887</v>
      </c>
      <c r="B256" s="954">
        <f t="shared" si="61"/>
        <v>124.81196</v>
      </c>
      <c r="C256" s="954">
        <f>Calculation!AK259</f>
        <v>0</v>
      </c>
      <c r="D256" s="954">
        <f>Calculation!AI259</f>
        <v>21.047448942749686</v>
      </c>
      <c r="E256" s="954">
        <f>Calculation!AE259</f>
        <v>50.525019999999991</v>
      </c>
      <c r="F256" s="954">
        <f>Calculation!AF259</f>
        <v>74.286940000000001</v>
      </c>
      <c r="G256" s="954">
        <f>Calculation!AG259</f>
        <v>0</v>
      </c>
      <c r="H256" s="955">
        <f>Sheet1!H261</f>
        <v>0.92</v>
      </c>
      <c r="I256" s="935">
        <f>Sheet1!DA261</f>
        <v>406</v>
      </c>
      <c r="J256" s="935">
        <f>Sheet1!DB261</f>
        <v>206</v>
      </c>
      <c r="K256" s="935">
        <f>Sheet1!CZ261</f>
        <v>339</v>
      </c>
      <c r="L256" s="959">
        <f>Calculation!F259</f>
        <v>250</v>
      </c>
      <c r="M256" s="959">
        <f>Calculation!E259</f>
        <v>400</v>
      </c>
      <c r="N256" s="959">
        <f>Calculation!D259</f>
        <v>200</v>
      </c>
      <c r="O256" s="985">
        <f>Sheet1!DC261</f>
        <v>1151.8</v>
      </c>
      <c r="P256" s="986">
        <f>Calculation!FD259</f>
        <v>1127.2527272726588</v>
      </c>
      <c r="Q256" s="994">
        <f>Calculation!DP259</f>
        <v>33450.000000085281</v>
      </c>
      <c r="R256" s="985">
        <f t="shared" si="58"/>
        <v>32831.000000085281</v>
      </c>
      <c r="S256" s="987">
        <f t="shared" si="62"/>
        <v>-329.00000000042201</v>
      </c>
      <c r="T256" s="994">
        <f ca="1">IF(A256&gt;$A$1,#N/A,VLOOKUP(A256,Calculation!$B$8:$JF$503,40,FALSE))</f>
        <v>6189.9979359050358</v>
      </c>
      <c r="U256" s="987">
        <f t="shared" si="63"/>
        <v>21.047448942749686</v>
      </c>
      <c r="V256" s="987">
        <f>Calculation!AZ259</f>
        <v>0</v>
      </c>
      <c r="W256" s="994">
        <f t="shared" ca="1" si="68"/>
        <v>11723.687400000006</v>
      </c>
      <c r="X256" s="1096">
        <v>0</v>
      </c>
      <c r="Y256" s="994">
        <f t="shared" ca="1" si="69"/>
        <v>2500</v>
      </c>
      <c r="Z256" s="987">
        <f t="shared" ca="1" si="64"/>
        <v>9223.6874000000062</v>
      </c>
      <c r="AA256" s="994">
        <f t="shared" ca="1" si="59"/>
        <v>15536.314664180241</v>
      </c>
      <c r="AB256" s="1093">
        <f t="shared" ca="1" si="60"/>
        <v>14917.314664180241</v>
      </c>
      <c r="AC256" s="954">
        <f ca="1">IF(A256&gt;$A$1,VLOOKUP(A256,Calculation!$B$8:$JF$880,165,FALSE),VLOOKUP(A256,Calculation!$B$8:$JF$880,165,FALSE))</f>
        <v>14616</v>
      </c>
      <c r="AD256" s="418">
        <f t="shared" ca="1" si="65"/>
        <v>-217</v>
      </c>
      <c r="AE256" s="418"/>
      <c r="AF256" s="935">
        <f>Calculation!G259</f>
        <v>173.08976298516291</v>
      </c>
      <c r="AG256" s="941" t="str">
        <f t="shared" si="66"/>
        <v>Yes</v>
      </c>
      <c r="AH256" s="941" t="str">
        <f t="shared" si="67"/>
        <v>Yes</v>
      </c>
      <c r="AI256" s="963">
        <v>34628.740000084646</v>
      </c>
      <c r="AJ256" s="964">
        <v>32245.000000081523</v>
      </c>
      <c r="AK256" s="964">
        <v>29970.400000076836</v>
      </c>
      <c r="AM256" s="1096">
        <v>0</v>
      </c>
      <c r="AN256" s="447"/>
      <c r="AO256" s="430"/>
      <c r="AP256" s="462"/>
      <c r="AQ256" s="461"/>
      <c r="AR256" s="461"/>
      <c r="AS256" s="463"/>
      <c r="AU256" s="453"/>
      <c r="AV256" s="452"/>
      <c r="AW256" s="453"/>
      <c r="AX256" s="452"/>
      <c r="AY256" s="453"/>
      <c r="AZ256" s="452"/>
      <c r="BA256" s="449"/>
    </row>
    <row r="257" spans="1:53" ht="13.5" thickBot="1">
      <c r="A257" s="425">
        <v>41888</v>
      </c>
      <c r="B257" s="954">
        <f t="shared" si="61"/>
        <v>119.52122</v>
      </c>
      <c r="C257" s="954">
        <f>Calculation!AK260</f>
        <v>0</v>
      </c>
      <c r="D257" s="954">
        <f>Calculation!AI260</f>
        <v>20.177419351935193</v>
      </c>
      <c r="E257" s="954">
        <f>Calculation!AE260</f>
        <v>50.757069999999999</v>
      </c>
      <c r="F257" s="954">
        <f>Calculation!AF260</f>
        <v>68.764150000000001</v>
      </c>
      <c r="G257" s="954">
        <f>Calculation!AG260</f>
        <v>0</v>
      </c>
      <c r="H257" s="955">
        <f>Sheet1!H262</f>
        <v>0.86</v>
      </c>
      <c r="I257" s="935">
        <f>Sheet1!DA262</f>
        <v>369</v>
      </c>
      <c r="J257" s="935">
        <f>Sheet1!DB262</f>
        <v>211</v>
      </c>
      <c r="K257" s="935">
        <f>Sheet1!CZ262</f>
        <v>339</v>
      </c>
      <c r="L257" s="959">
        <f>Calculation!F260</f>
        <v>250</v>
      </c>
      <c r="M257" s="959">
        <f>Calculation!E260</f>
        <v>400</v>
      </c>
      <c r="N257" s="959">
        <f>Calculation!D260</f>
        <v>200</v>
      </c>
      <c r="O257" s="985">
        <f>Sheet1!DC262</f>
        <v>1151.5999999999999</v>
      </c>
      <c r="P257" s="986">
        <f>Calculation!FD260</f>
        <v>1126.854716981064</v>
      </c>
      <c r="Q257" s="994">
        <f>Calculation!DP260</f>
        <v>33264.000000084161</v>
      </c>
      <c r="R257" s="985">
        <f t="shared" si="58"/>
        <v>32645.000000084161</v>
      </c>
      <c r="S257" s="987">
        <f t="shared" si="62"/>
        <v>-186.0000000011205</v>
      </c>
      <c r="T257" s="994">
        <f ca="1">IF(A257&gt;$A$1,#N/A,VLOOKUP(A257,Calculation!$B$8:$JF$503,40,FALSE))</f>
        <v>6149.9822134927945</v>
      </c>
      <c r="U257" s="987">
        <f t="shared" si="63"/>
        <v>20.177419351935193</v>
      </c>
      <c r="V257" s="987">
        <f>Calculation!AZ260</f>
        <v>0</v>
      </c>
      <c r="W257" s="994">
        <f t="shared" ca="1" si="68"/>
        <v>11723.687400000006</v>
      </c>
      <c r="X257" s="1096">
        <v>0</v>
      </c>
      <c r="Y257" s="994">
        <f t="shared" ca="1" si="69"/>
        <v>2500</v>
      </c>
      <c r="Z257" s="987">
        <f t="shared" ca="1" si="64"/>
        <v>9223.6874000000062</v>
      </c>
      <c r="AA257" s="994">
        <f t="shared" ca="1" si="59"/>
        <v>15390.330386591359</v>
      </c>
      <c r="AB257" s="1093">
        <f t="shared" ca="1" si="60"/>
        <v>14771.330386591359</v>
      </c>
      <c r="AC257" s="954">
        <f ca="1">IF(A257&gt;$A$1,VLOOKUP(A257,Calculation!$B$8:$JF$880,165,FALSE),VLOOKUP(A257,Calculation!$B$8:$JF$880,165,FALSE))</f>
        <v>14400</v>
      </c>
      <c r="AD257" s="418">
        <f t="shared" ca="1" si="65"/>
        <v>-216</v>
      </c>
      <c r="AE257" s="418"/>
      <c r="AF257" s="935">
        <f>Calculation!G260</f>
        <v>245.20272314618231</v>
      </c>
      <c r="AG257" s="941" t="str">
        <f t="shared" si="66"/>
        <v>Yes</v>
      </c>
      <c r="AH257" s="941" t="str">
        <f t="shared" si="67"/>
        <v>No</v>
      </c>
      <c r="AI257" s="963">
        <v>34320.850000084429</v>
      </c>
      <c r="AJ257" s="964">
        <v>31913.80000008221</v>
      </c>
      <c r="AK257" s="964">
        <v>30130.400000077909</v>
      </c>
      <c r="AM257" s="1096">
        <v>0</v>
      </c>
      <c r="AN257" s="447"/>
      <c r="AO257" s="430"/>
      <c r="AP257" s="462"/>
      <c r="AQ257" s="461"/>
      <c r="AR257" s="461"/>
      <c r="AS257" s="463"/>
      <c r="AU257" s="453"/>
      <c r="AV257" s="452"/>
      <c r="AW257" s="453"/>
      <c r="AX257" s="452"/>
      <c r="AY257" s="453"/>
      <c r="AZ257" s="452"/>
      <c r="BA257" s="449"/>
    </row>
    <row r="258" spans="1:53" ht="13.5" thickBot="1">
      <c r="A258" s="425">
        <v>41889</v>
      </c>
      <c r="B258" s="954">
        <f t="shared" si="61"/>
        <v>118.77866</v>
      </c>
      <c r="C258" s="954">
        <f>Calculation!AK261</f>
        <v>0</v>
      </c>
      <c r="D258" s="954">
        <f>Calculation!AI261</f>
        <v>20.177471005917159</v>
      </c>
      <c r="E258" s="954">
        <f>Calculation!AE261</f>
        <v>50.788009999999993</v>
      </c>
      <c r="F258" s="954">
        <f>Calculation!AF261</f>
        <v>67.990650000000002</v>
      </c>
      <c r="G258" s="954">
        <f>Calculation!AG261</f>
        <v>0</v>
      </c>
      <c r="H258" s="955">
        <f>Sheet1!H263</f>
        <v>0.99</v>
      </c>
      <c r="I258" s="935">
        <f>Sheet1!DA263</f>
        <v>364</v>
      </c>
      <c r="J258" s="935">
        <f>Sheet1!DB263</f>
        <v>198</v>
      </c>
      <c r="K258" s="935">
        <f>Sheet1!CZ263</f>
        <v>339</v>
      </c>
      <c r="L258" s="959">
        <f>Calculation!F261</f>
        <v>250</v>
      </c>
      <c r="M258" s="959">
        <f>Calculation!E261</f>
        <v>400</v>
      </c>
      <c r="N258" s="959">
        <f>Calculation!D261</f>
        <v>200</v>
      </c>
      <c r="O258" s="985">
        <f>Sheet1!DC263</f>
        <v>1151.25</v>
      </c>
      <c r="P258" s="986">
        <f>Calculation!FD261</f>
        <v>1126.4471698112529</v>
      </c>
      <c r="Q258" s="994">
        <f>Calculation!DP261</f>
        <v>32937.50000008395</v>
      </c>
      <c r="R258" s="985">
        <f t="shared" si="58"/>
        <v>32318.50000008395</v>
      </c>
      <c r="S258" s="987">
        <f t="shared" si="62"/>
        <v>-326.500000000211</v>
      </c>
      <c r="T258" s="994">
        <f ca="1">IF(A258&gt;$A$1,#N/A,VLOOKUP(A258,Calculation!$B$8:$JF$503,40,FALSE))</f>
        <v>6109.9663886407234</v>
      </c>
      <c r="U258" s="987">
        <f t="shared" si="63"/>
        <v>20.177471005917159</v>
      </c>
      <c r="V258" s="987">
        <f>Calculation!AZ261</f>
        <v>0</v>
      </c>
      <c r="W258" s="994">
        <f t="shared" ca="1" si="68"/>
        <v>11723.687400000006</v>
      </c>
      <c r="X258" s="1096">
        <v>0</v>
      </c>
      <c r="Y258" s="994">
        <f t="shared" ca="1" si="69"/>
        <v>2500</v>
      </c>
      <c r="Z258" s="987">
        <f t="shared" ca="1" si="64"/>
        <v>9223.6874000000062</v>
      </c>
      <c r="AA258" s="994">
        <f t="shared" ca="1" si="59"/>
        <v>15103.846211443222</v>
      </c>
      <c r="AB258" s="1093">
        <f t="shared" ca="1" si="60"/>
        <v>14484.846211443222</v>
      </c>
      <c r="AC258" s="954">
        <f ca="1">IF(A258&gt;$A$1,VLOOKUP(A258,Calculation!$B$8:$JF$880,165,FALSE),VLOOKUP(A258,Calculation!$B$8:$JF$880,165,FALSE))</f>
        <v>14183</v>
      </c>
      <c r="AD258" s="418">
        <f t="shared" ca="1" si="65"/>
        <v>-217</v>
      </c>
      <c r="AE258" s="418"/>
      <c r="AF258" s="935">
        <f>Calculation!G261</f>
        <v>174.35047907200658</v>
      </c>
      <c r="AG258" s="941" t="str">
        <f t="shared" si="66"/>
        <v>Yes</v>
      </c>
      <c r="AH258" s="941" t="str">
        <f t="shared" si="67"/>
        <v>No</v>
      </c>
      <c r="AI258" s="963">
        <v>34003.630000084013</v>
      </c>
      <c r="AJ258" s="964">
        <v>31559.000000080014</v>
      </c>
      <c r="AK258" s="964">
        <v>29988.000000077707</v>
      </c>
      <c r="AM258" s="1096">
        <v>0</v>
      </c>
      <c r="AN258" s="447"/>
      <c r="AO258" s="430"/>
      <c r="AP258" s="462"/>
      <c r="AQ258" s="461"/>
      <c r="AR258" s="461"/>
      <c r="AS258" s="463"/>
      <c r="AU258" s="453"/>
      <c r="AV258" s="452"/>
      <c r="AW258" s="453"/>
      <c r="AX258" s="452"/>
      <c r="AY258" s="453"/>
      <c r="AZ258" s="452"/>
      <c r="BA258" s="449"/>
    </row>
    <row r="259" spans="1:53" ht="13.5" thickBot="1">
      <c r="A259" s="425">
        <v>41890</v>
      </c>
      <c r="B259" s="954">
        <f t="shared" si="61"/>
        <v>115.17415</v>
      </c>
      <c r="C259" s="954">
        <f>Calculation!AK262</f>
        <v>0</v>
      </c>
      <c r="D259" s="954">
        <f>Calculation!AI262</f>
        <v>20.252864243323444</v>
      </c>
      <c r="E259" s="954">
        <f>Calculation!AE262</f>
        <v>47.183499999999995</v>
      </c>
      <c r="F259" s="954">
        <f>Calculation!AF262</f>
        <v>67.990650000000002</v>
      </c>
      <c r="G259" s="954">
        <f>Calculation!AG262</f>
        <v>0</v>
      </c>
      <c r="H259" s="955">
        <f>Sheet1!H264</f>
        <v>0.73</v>
      </c>
      <c r="I259" s="935">
        <f>Sheet1!DA264</f>
        <v>360</v>
      </c>
      <c r="J259" s="935">
        <f>Sheet1!DB264</f>
        <v>217</v>
      </c>
      <c r="K259" s="935">
        <f>Sheet1!CZ264</f>
        <v>351</v>
      </c>
      <c r="L259" s="959">
        <f>Calculation!F262</f>
        <v>250</v>
      </c>
      <c r="M259" s="959">
        <f>Calculation!E262</f>
        <v>400</v>
      </c>
      <c r="N259" s="959">
        <f>Calculation!D262</f>
        <v>200</v>
      </c>
      <c r="O259" s="985">
        <f>Sheet1!DC264</f>
        <v>1150.9000000000001</v>
      </c>
      <c r="P259" s="986">
        <f>Calculation!FD262</f>
        <v>1126.0407407406733</v>
      </c>
      <c r="Q259" s="994">
        <f>Calculation!DP262</f>
        <v>32612.000000082837</v>
      </c>
      <c r="R259" s="985">
        <f t="shared" si="58"/>
        <v>31993.000000082837</v>
      </c>
      <c r="S259" s="987">
        <f t="shared" si="62"/>
        <v>-325.50000000111322</v>
      </c>
      <c r="T259" s="994">
        <f ca="1">IF(A259&gt;$A$1,#N/A,VLOOKUP(A259,Calculation!$B$8:$JF$503,40,FALSE))</f>
        <v>6069.8010444270731</v>
      </c>
      <c r="U259" s="987">
        <f t="shared" si="63"/>
        <v>20.252864243323444</v>
      </c>
      <c r="V259" s="987">
        <f>Calculation!AZ262</f>
        <v>0</v>
      </c>
      <c r="W259" s="994">
        <f t="shared" ca="1" si="68"/>
        <v>11723.687400000006</v>
      </c>
      <c r="X259" s="1096">
        <v>0</v>
      </c>
      <c r="Y259" s="994">
        <f t="shared" ca="1" si="69"/>
        <v>2500</v>
      </c>
      <c r="Z259" s="987">
        <f t="shared" ca="1" si="64"/>
        <v>9223.6874000000062</v>
      </c>
      <c r="AA259" s="994">
        <f t="shared" ca="1" si="59"/>
        <v>14818.511555655758</v>
      </c>
      <c r="AB259" s="1093">
        <f t="shared" ca="1" si="60"/>
        <v>14199.511555655758</v>
      </c>
      <c r="AC259" s="954">
        <f ca="1">IF(A259&gt;$A$1,VLOOKUP(A259,Calculation!$B$8:$JF$880,165,FALSE),VLOOKUP(A259,Calculation!$B$8:$JF$880,165,FALSE))</f>
        <v>13966</v>
      </c>
      <c r="AD259" s="418">
        <f t="shared" ca="1" si="65"/>
        <v>-217</v>
      </c>
      <c r="AE259" s="418"/>
      <c r="AF259" s="935">
        <f>Calculation!G262</f>
        <v>186.85476550624651</v>
      </c>
      <c r="AG259" s="941" t="str">
        <f t="shared" si="66"/>
        <v>Yes</v>
      </c>
      <c r="AH259" s="941" t="str">
        <f t="shared" si="67"/>
        <v>No</v>
      </c>
      <c r="AI259" s="963">
        <v>33698.820000082538</v>
      </c>
      <c r="AJ259" s="964">
        <v>31179.000000079603</v>
      </c>
      <c r="AK259" s="964">
        <v>29759.800000075764</v>
      </c>
      <c r="AN259" s="447"/>
      <c r="AO259" s="430"/>
      <c r="AP259" s="462"/>
      <c r="AQ259" s="461"/>
      <c r="AR259" s="461"/>
      <c r="AS259" s="463"/>
      <c r="AU259" s="453"/>
      <c r="AV259" s="452"/>
      <c r="AW259" s="453"/>
      <c r="AX259" s="452"/>
      <c r="AY259" s="453"/>
      <c r="AZ259" s="452"/>
      <c r="BA259" s="449"/>
    </row>
    <row r="260" spans="1:53" ht="13.5" thickBot="1">
      <c r="A260" s="425">
        <v>41891</v>
      </c>
      <c r="B260" s="954">
        <f t="shared" si="61"/>
        <v>116.22611000000001</v>
      </c>
      <c r="C260" s="954">
        <f>Calculation!AK263</f>
        <v>0</v>
      </c>
      <c r="D260" s="954">
        <f>Calculation!AI263</f>
        <v>20.203399984029204</v>
      </c>
      <c r="E260" s="954">
        <f>Calculation!AE263</f>
        <v>48.266399999999997</v>
      </c>
      <c r="F260" s="954">
        <f>Calculation!AF263</f>
        <v>67.959710000000001</v>
      </c>
      <c r="G260" s="954">
        <f>Calculation!AG263</f>
        <v>0</v>
      </c>
      <c r="H260" s="955">
        <f>Sheet1!H265</f>
        <v>0.88</v>
      </c>
      <c r="I260" s="935">
        <f>Sheet1!DA265</f>
        <v>364</v>
      </c>
      <c r="J260" s="935">
        <f>Sheet1!DB265</f>
        <v>211</v>
      </c>
      <c r="K260" s="935">
        <f>Sheet1!CZ265</f>
        <v>351</v>
      </c>
      <c r="L260" s="959">
        <f>Calculation!F263</f>
        <v>250</v>
      </c>
      <c r="M260" s="959">
        <f>Calculation!E263</f>
        <v>400</v>
      </c>
      <c r="N260" s="959">
        <f>Calculation!D263</f>
        <v>200</v>
      </c>
      <c r="O260" s="985">
        <f>Sheet1!DC265</f>
        <v>1150.54</v>
      </c>
      <c r="P260" s="986">
        <f>Calculation!FD263</f>
        <v>1125.6249999999332</v>
      </c>
      <c r="Q260" s="994">
        <f>Calculation!DP263</f>
        <v>32281.400000081521</v>
      </c>
      <c r="R260" s="985">
        <f t="shared" si="58"/>
        <v>31662.400000081521</v>
      </c>
      <c r="S260" s="987">
        <f t="shared" si="62"/>
        <v>-330.60000000131549</v>
      </c>
      <c r="T260" s="994">
        <f ca="1">IF(A260&gt;$A$1,#N/A,VLOOKUP(A260,Calculation!$B$8:$JF$503,40,FALSE))</f>
        <v>5029.5657973999241</v>
      </c>
      <c r="U260" s="987">
        <f t="shared" si="63"/>
        <v>20.203399984029204</v>
      </c>
      <c r="V260" s="987">
        <f>Calculation!AZ263</f>
        <v>0</v>
      </c>
      <c r="W260" s="994">
        <f ca="1">IF(A260&gt;=$A$1,#N/A,W259-X260*1.983)+1000</f>
        <v>12624.537400000007</v>
      </c>
      <c r="X260" s="1096">
        <v>50</v>
      </c>
      <c r="Y260" s="1026">
        <v>0</v>
      </c>
      <c r="Z260" s="987">
        <f t="shared" ca="1" si="64"/>
        <v>12624.537400000007</v>
      </c>
      <c r="AA260" s="994">
        <f t="shared" ca="1" si="59"/>
        <v>14627.296802681589</v>
      </c>
      <c r="AB260" s="1093">
        <f t="shared" ca="1" si="60"/>
        <v>14008.296802681589</v>
      </c>
      <c r="AC260" s="954">
        <f ca="1">IF(A260&gt;$A$1,VLOOKUP(A260,Calculation!$B$8:$JF$880,165,FALSE),VLOOKUP(A260,Calculation!$B$8:$JF$880,165,FALSE))</f>
        <v>13750</v>
      </c>
      <c r="AD260" s="418">
        <f t="shared" ca="1" si="65"/>
        <v>-216</v>
      </c>
      <c r="AE260" s="418"/>
      <c r="AF260" s="935">
        <f>Calculation!G263</f>
        <v>184.28290468920048</v>
      </c>
      <c r="AG260" s="941" t="str">
        <f t="shared" si="66"/>
        <v>Yes</v>
      </c>
      <c r="AH260" s="941" t="str">
        <f t="shared" si="67"/>
        <v>No</v>
      </c>
      <c r="AI260" s="963">
        <v>33395.55000008233</v>
      </c>
      <c r="AJ260" s="964">
        <v>30782.100000078517</v>
      </c>
      <c r="AK260" s="964">
        <v>29522.600000076432</v>
      </c>
      <c r="AN260" s="447"/>
      <c r="AO260" s="430"/>
      <c r="AP260" s="462"/>
      <c r="AQ260" s="461"/>
      <c r="AR260" s="461"/>
      <c r="AS260" s="463"/>
      <c r="AU260" s="453"/>
      <c r="AV260" s="452"/>
      <c r="AW260" s="453"/>
      <c r="AX260" s="452"/>
      <c r="AY260" s="453"/>
      <c r="AZ260" s="452"/>
      <c r="BA260" s="449"/>
    </row>
    <row r="261" spans="1:53" ht="13.5" thickBot="1">
      <c r="A261" s="425">
        <v>41892</v>
      </c>
      <c r="B261" s="954">
        <f t="shared" si="61"/>
        <v>117.1079</v>
      </c>
      <c r="C261" s="954">
        <f>Calculation!AK264</f>
        <v>0</v>
      </c>
      <c r="D261" s="954">
        <f>Calculation!AI264</f>
        <v>20.158717715827336</v>
      </c>
      <c r="E261" s="954">
        <f>Calculation!AE264</f>
        <v>48.111699999999999</v>
      </c>
      <c r="F261" s="954">
        <f>Calculation!AF264</f>
        <v>68.996200000000002</v>
      </c>
      <c r="G261" s="954">
        <f>Calculation!AG264</f>
        <v>0</v>
      </c>
      <c r="H261" s="955">
        <f>Sheet1!H266</f>
        <v>1.34</v>
      </c>
      <c r="I261" s="935">
        <f>Sheet1!DA265</f>
        <v>364</v>
      </c>
      <c r="J261" s="935">
        <f>Sheet1!DB266</f>
        <v>239</v>
      </c>
      <c r="K261" s="935">
        <f>Sheet1!CZ266</f>
        <v>381</v>
      </c>
      <c r="L261" s="959">
        <f>Calculation!F264</f>
        <v>250</v>
      </c>
      <c r="M261" s="959">
        <f>Calculation!E264</f>
        <v>400</v>
      </c>
      <c r="N261" s="959">
        <f>Calculation!D264</f>
        <v>200</v>
      </c>
      <c r="O261" s="985">
        <f>Sheet1!DC266</f>
        <v>1150.1199999999999</v>
      </c>
      <c r="P261" s="986">
        <f>Calculation!FD264</f>
        <v>1125.2057692307026</v>
      </c>
      <c r="Q261" s="994">
        <f>Calculation!DP264</f>
        <v>31895.400000082001</v>
      </c>
      <c r="R261" s="985">
        <f t="shared" si="58"/>
        <v>31276.400000082001</v>
      </c>
      <c r="S261" s="987">
        <f t="shared" si="62"/>
        <v>-385.99999999951979</v>
      </c>
      <c r="T261" s="994">
        <f ca="1">IF(A261&gt;$A$1,#N/A,VLOOKUP(A261,Calculation!$B$8:$JF$503,40,FALSE))</f>
        <v>4989.5871639466859</v>
      </c>
      <c r="U261" s="987">
        <f t="shared" si="63"/>
        <v>20.158717715827336</v>
      </c>
      <c r="V261" s="987">
        <f>Calculation!AZ264</f>
        <v>0</v>
      </c>
      <c r="W261" s="994">
        <f t="shared" ca="1" si="68"/>
        <v>12525.387400000007</v>
      </c>
      <c r="X261" s="1080">
        <v>50</v>
      </c>
      <c r="Y261" s="1026">
        <v>0</v>
      </c>
      <c r="Z261" s="987">
        <f t="shared" ca="1" si="64"/>
        <v>12525.387400000007</v>
      </c>
      <c r="AA261" s="994">
        <f t="shared" ca="1" si="59"/>
        <v>14380.425436135309</v>
      </c>
      <c r="AB261" s="1093">
        <f t="shared" ca="1" si="60"/>
        <v>13761.425436135309</v>
      </c>
      <c r="AC261" s="954">
        <f ca="1">IF(A261&gt;$A$1,VLOOKUP(A261,Calculation!$B$8:$JF$880,165,FALSE),VLOOKUP(A261,Calculation!$B$8:$JF$880,165,FALSE))</f>
        <v>13533</v>
      </c>
      <c r="AD261" s="418">
        <f t="shared" ca="1" si="65"/>
        <v>-217</v>
      </c>
      <c r="AE261" s="418"/>
      <c r="AF261" s="935">
        <f>Calculation!G264</f>
        <v>186.34543620800821</v>
      </c>
      <c r="AG261" s="941" t="str">
        <f t="shared" si="66"/>
        <v>Yes</v>
      </c>
      <c r="AH261" s="941" t="str">
        <f t="shared" si="67"/>
        <v>No</v>
      </c>
      <c r="AI261" s="963">
        <v>33073.900000081914</v>
      </c>
      <c r="AJ261" s="964">
        <v>30398.400000078112</v>
      </c>
      <c r="AK261" s="964">
        <v>29224.400000076235</v>
      </c>
      <c r="AN261" s="447"/>
      <c r="AO261" s="430"/>
      <c r="AP261" s="462"/>
      <c r="AQ261" s="461"/>
      <c r="AR261" s="461"/>
      <c r="AS261" s="463"/>
      <c r="AU261" s="453"/>
      <c r="AV261" s="452"/>
      <c r="AW261" s="453"/>
      <c r="AX261" s="452"/>
      <c r="AY261" s="453"/>
      <c r="AZ261" s="452"/>
      <c r="BA261" s="449"/>
    </row>
    <row r="262" spans="1:53" ht="13.5" thickBot="1">
      <c r="A262" s="425">
        <v>41893</v>
      </c>
      <c r="B262" s="954">
        <f t="shared" si="61"/>
        <v>119.96984999999998</v>
      </c>
      <c r="C262" s="954">
        <f>Calculation!AK265</f>
        <v>0</v>
      </c>
      <c r="D262" s="954">
        <f>Calculation!AI265</f>
        <v>20.111000000000001</v>
      </c>
      <c r="E262" s="954">
        <f>Calculation!AE265</f>
        <v>47.957000000000001</v>
      </c>
      <c r="F262" s="954">
        <f>Calculation!AF265</f>
        <v>72.012849999999986</v>
      </c>
      <c r="G262" s="954">
        <f>Calculation!AG265</f>
        <v>0</v>
      </c>
      <c r="H262" s="955">
        <f>Sheet1!H267</f>
        <v>1.33</v>
      </c>
      <c r="I262" s="935">
        <f>Sheet1!DA267</f>
        <v>378</v>
      </c>
      <c r="J262" s="935">
        <f>Sheet1!DB267</f>
        <v>233</v>
      </c>
      <c r="K262" s="935">
        <f>Sheet1!CZ267</f>
        <v>384</v>
      </c>
      <c r="L262" s="959">
        <f>Calculation!F265</f>
        <v>250</v>
      </c>
      <c r="M262" s="959">
        <f>Calculation!E265</f>
        <v>400</v>
      </c>
      <c r="N262" s="959">
        <f>Calculation!D265</f>
        <v>200</v>
      </c>
      <c r="O262" s="985">
        <f>Sheet1!DC267</f>
        <v>1149.6600000000001</v>
      </c>
      <c r="P262" s="986">
        <f>Calculation!FD265</f>
        <v>1124.7803921567966</v>
      </c>
      <c r="Q262" s="994">
        <f>Calculation!DP265</f>
        <v>31477.600000080904</v>
      </c>
      <c r="R262" s="985">
        <f t="shared" ref="R262:R325" si="70">Q262-619</f>
        <v>30858.600000080904</v>
      </c>
      <c r="S262" s="987">
        <f t="shared" si="62"/>
        <v>-417.80000000109794</v>
      </c>
      <c r="T262" s="994">
        <f ca="1">IF(A262&gt;$A$1,#N/A,VLOOKUP(A262,Calculation!$B$8:$JF$503,40,FALSE))</f>
        <v>4949.7031639466859</v>
      </c>
      <c r="U262" s="987">
        <f t="shared" si="63"/>
        <v>20.111000000000001</v>
      </c>
      <c r="V262" s="987">
        <f>Calculation!AZ265</f>
        <v>0</v>
      </c>
      <c r="W262" s="994">
        <f t="shared" ca="1" si="68"/>
        <v>12426.237400000007</v>
      </c>
      <c r="X262" s="1080">
        <v>50</v>
      </c>
      <c r="Y262" s="1026">
        <v>0</v>
      </c>
      <c r="Z262" s="987">
        <f t="shared" ca="1" si="64"/>
        <v>12426.237400000007</v>
      </c>
      <c r="AA262" s="994">
        <f t="shared" ref="AA262:AA325" ca="1" si="71">IF(Q262-T262-W262&lt;0,0,Q262-T262-W262)</f>
        <v>14101.659436134212</v>
      </c>
      <c r="AB262" s="1093">
        <f t="shared" ref="AB262:AB325" ca="1" si="72">AA262-619</f>
        <v>13482.659436134212</v>
      </c>
      <c r="AC262" s="954">
        <f ca="1">IF(A262&gt;$A$1,VLOOKUP(A262,Calculation!$B$8:$JF$880,165,FALSE),VLOOKUP(A262,Calculation!$B$8:$JF$880,165,FALSE))</f>
        <v>13316</v>
      </c>
      <c r="AD262" s="418">
        <f t="shared" ca="1" si="65"/>
        <v>-217</v>
      </c>
      <c r="AE262" s="418"/>
      <c r="AF262" s="935">
        <f>Calculation!G265</f>
        <v>173.30912758391432</v>
      </c>
      <c r="AG262" s="941" t="str">
        <f t="shared" si="66"/>
        <v>Yes</v>
      </c>
      <c r="AH262" s="941" t="str">
        <f t="shared" si="67"/>
        <v>No</v>
      </c>
      <c r="AI262" s="963">
        <v>32755.750000080458</v>
      </c>
      <c r="AJ262" s="964">
        <v>30094.800000077706</v>
      </c>
      <c r="AK262" s="964">
        <v>28876.800000074109</v>
      </c>
      <c r="AN262" s="447"/>
      <c r="AO262" s="430"/>
      <c r="AP262" s="462"/>
      <c r="AQ262" s="461"/>
      <c r="AR262" s="461"/>
      <c r="AS262" s="463"/>
      <c r="AU262" s="453"/>
      <c r="AV262" s="452"/>
      <c r="AW262" s="453"/>
      <c r="AX262" s="452"/>
      <c r="AY262" s="453"/>
      <c r="AZ262" s="452"/>
      <c r="BA262" s="449"/>
    </row>
    <row r="263" spans="1:53" ht="13.5" thickBot="1">
      <c r="A263" s="425">
        <v>41894</v>
      </c>
      <c r="B263" s="954">
        <f t="shared" si="61"/>
        <v>121.82624999999999</v>
      </c>
      <c r="C263" s="954">
        <f>Calculation!AK266</f>
        <v>0</v>
      </c>
      <c r="D263" s="954">
        <f>Calculation!AI266</f>
        <v>22.468341061686949</v>
      </c>
      <c r="E263" s="954">
        <f>Calculation!AE266</f>
        <v>47.957000000000001</v>
      </c>
      <c r="F263" s="954">
        <f>Calculation!AF266</f>
        <v>73.869249999999994</v>
      </c>
      <c r="G263" s="954">
        <f>Calculation!AG266</f>
        <v>0</v>
      </c>
      <c r="H263" s="955">
        <f>Sheet1!H268</f>
        <v>0.85</v>
      </c>
      <c r="I263" s="935">
        <f>Sheet1!DA268</f>
        <v>387</v>
      </c>
      <c r="J263" s="935">
        <f>Sheet1!DB268</f>
        <v>231</v>
      </c>
      <c r="K263" s="935">
        <f>Sheet1!CZ268</f>
        <v>381</v>
      </c>
      <c r="L263" s="959">
        <f>Calculation!F266</f>
        <v>250</v>
      </c>
      <c r="M263" s="959">
        <f>Calculation!E266</f>
        <v>400</v>
      </c>
      <c r="N263" s="959">
        <f>Calculation!D266</f>
        <v>200</v>
      </c>
      <c r="O263" s="985">
        <f>Sheet1!DC268</f>
        <v>1149.2</v>
      </c>
      <c r="P263" s="986">
        <f>Calculation!FD266</f>
        <v>1124.3519999999342</v>
      </c>
      <c r="Q263" s="994">
        <f>Calculation!DP266</f>
        <v>31061.000000080487</v>
      </c>
      <c r="R263" s="985">
        <f t="shared" si="70"/>
        <v>30442.000000080487</v>
      </c>
      <c r="S263" s="987">
        <f t="shared" si="62"/>
        <v>-416.60000000041691</v>
      </c>
      <c r="T263" s="994">
        <f ca="1">IF(A263&gt;$A$1,#N/A,VLOOKUP(A263,Calculation!$B$8:$JF$503,40,FALSE))</f>
        <v>4905.1441010008202</v>
      </c>
      <c r="U263" s="987">
        <f t="shared" si="63"/>
        <v>22.468341061686949</v>
      </c>
      <c r="V263" s="987">
        <f>Calculation!AZ266</f>
        <v>0</v>
      </c>
      <c r="W263" s="994">
        <f t="shared" ca="1" si="68"/>
        <v>12327.087400000008</v>
      </c>
      <c r="X263" s="1080">
        <v>50</v>
      </c>
      <c r="Y263" s="1026">
        <v>0</v>
      </c>
      <c r="Z263" s="987">
        <f t="shared" ca="1" si="64"/>
        <v>12327.087400000008</v>
      </c>
      <c r="AA263" s="994">
        <f t="shared" ca="1" si="71"/>
        <v>13828.768499079659</v>
      </c>
      <c r="AB263" s="1093">
        <f t="shared" ca="1" si="72"/>
        <v>13209.768499079659</v>
      </c>
      <c r="AC263" s="954">
        <f ca="1">IF(A263&gt;$A$1,VLOOKUP(A263,Calculation!$B$8:$JF$880,165,FALSE),VLOOKUP(A263,Calculation!$B$8:$JF$880,165,FALSE))</f>
        <v>13100</v>
      </c>
      <c r="AD263" s="418">
        <f t="shared" ca="1" si="65"/>
        <v>-216</v>
      </c>
      <c r="AE263" s="418"/>
      <c r="AF263" s="935">
        <f>Calculation!G266</f>
        <v>170.91427130589165</v>
      </c>
      <c r="AG263" s="941" t="str">
        <f t="shared" si="66"/>
        <v>Yes</v>
      </c>
      <c r="AH263" s="941" t="str">
        <f t="shared" si="67"/>
        <v>No</v>
      </c>
      <c r="AI263" s="963">
        <v>32439.00000008025</v>
      </c>
      <c r="AJ263" s="964">
        <v>29777.200000075762</v>
      </c>
      <c r="AK263" s="964">
        <v>28505.00000007372</v>
      </c>
      <c r="AN263" s="447"/>
      <c r="AO263" s="430"/>
      <c r="AP263" s="462"/>
      <c r="AQ263" s="461"/>
      <c r="AR263" s="461"/>
      <c r="AS263" s="463"/>
      <c r="AU263" s="453"/>
      <c r="AV263" s="452"/>
      <c r="AW263" s="453"/>
      <c r="AX263" s="452"/>
      <c r="AY263" s="453"/>
      <c r="AZ263" s="452"/>
      <c r="BA263" s="449"/>
    </row>
    <row r="264" spans="1:53" ht="13.5" thickBot="1">
      <c r="A264" s="425">
        <v>41895</v>
      </c>
      <c r="B264" s="954">
        <f t="shared" si="61"/>
        <v>122.21299999999999</v>
      </c>
      <c r="C264" s="954">
        <f>Calculation!AK267</f>
        <v>0</v>
      </c>
      <c r="D264" s="954">
        <f>Calculation!AI267</f>
        <v>23.244426363066641</v>
      </c>
      <c r="E264" s="954">
        <f>Calculation!AE267</f>
        <v>47.957000000000001</v>
      </c>
      <c r="F264" s="954">
        <f>Calculation!AF267</f>
        <v>74.256</v>
      </c>
      <c r="G264" s="954">
        <f>Calculation!AG267</f>
        <v>0</v>
      </c>
      <c r="H264" s="955">
        <f>Sheet1!H269</f>
        <v>0.81</v>
      </c>
      <c r="I264" s="935">
        <f>Sheet1!DA269</f>
        <v>387</v>
      </c>
      <c r="J264" s="935">
        <f>Sheet1!DB269</f>
        <v>231</v>
      </c>
      <c r="K264" s="935">
        <f>Sheet1!CZ269</f>
        <v>381</v>
      </c>
      <c r="L264" s="959">
        <f>Calculation!F267</f>
        <v>250</v>
      </c>
      <c r="M264" s="959">
        <f>Calculation!E267</f>
        <v>400</v>
      </c>
      <c r="N264" s="959">
        <f>Calculation!D267</f>
        <v>200</v>
      </c>
      <c r="O264" s="985">
        <f>Sheet1!DC269</f>
        <v>1148.7</v>
      </c>
      <c r="P264" s="986">
        <f>Calculation!FD267</f>
        <v>1123.9183673468733</v>
      </c>
      <c r="Q264" s="994">
        <f>Calculation!DP267</f>
        <v>30612.000000079195</v>
      </c>
      <c r="R264" s="985">
        <f t="shared" si="70"/>
        <v>29993.000000079195</v>
      </c>
      <c r="S264" s="987">
        <f t="shared" si="62"/>
        <v>-449.00000000129148</v>
      </c>
      <c r="T264" s="994">
        <f ca="1">IF(A264&gt;$A$1,#N/A,VLOOKUP(A264,Calculation!$B$8:$JF$503,40,FALSE))</f>
        <v>4859.0459109026369</v>
      </c>
      <c r="U264" s="987">
        <f t="shared" si="63"/>
        <v>23.244426363066641</v>
      </c>
      <c r="V264" s="987">
        <f>Calculation!AZ267</f>
        <v>0</v>
      </c>
      <c r="W264" s="994">
        <f t="shared" ca="1" si="68"/>
        <v>12227.937400000008</v>
      </c>
      <c r="X264" s="1080">
        <v>50</v>
      </c>
      <c r="Y264" s="1026">
        <v>0</v>
      </c>
      <c r="Z264" s="987">
        <f t="shared" ca="1" si="64"/>
        <v>12227.937400000008</v>
      </c>
      <c r="AA264" s="994">
        <f t="shared" ca="1" si="71"/>
        <v>13525.016689176549</v>
      </c>
      <c r="AB264" s="1093">
        <f t="shared" ca="1" si="72"/>
        <v>12906.016689176549</v>
      </c>
      <c r="AC264" s="954">
        <f ca="1">IF(A264&gt;$A$1,VLOOKUP(A264,Calculation!$B$8:$JF$880,165,FALSE),VLOOKUP(A264,Calculation!$B$8:$JF$880,165,FALSE))</f>
        <v>12883</v>
      </c>
      <c r="AD264" s="418">
        <f t="shared" ca="1" si="65"/>
        <v>-217</v>
      </c>
      <c r="AE264" s="418"/>
      <c r="AF264" s="935">
        <f>Calculation!G267</f>
        <v>154.57539082133565</v>
      </c>
      <c r="AG264" s="941" t="str">
        <f t="shared" si="66"/>
        <v>Yes</v>
      </c>
      <c r="AH264" s="941" t="str">
        <f t="shared" si="67"/>
        <v>No</v>
      </c>
      <c r="AI264" s="963">
        <v>32140.350000079841</v>
      </c>
      <c r="AJ264" s="964">
        <v>29443.400000076435</v>
      </c>
      <c r="AK264" s="964">
        <v>28075.000000072476</v>
      </c>
      <c r="AN264" s="447"/>
      <c r="AO264" s="430"/>
      <c r="AP264" s="462"/>
      <c r="AQ264" s="461"/>
      <c r="AR264" s="461"/>
      <c r="AS264" s="463"/>
      <c r="AU264" s="453"/>
      <c r="AV264" s="452"/>
      <c r="AW264" s="453"/>
      <c r="AX264" s="452"/>
      <c r="AY264" s="453"/>
      <c r="AZ264" s="452"/>
      <c r="BA264" s="449"/>
    </row>
    <row r="265" spans="1:53" ht="13.5" thickBot="1">
      <c r="A265" s="425">
        <v>41896</v>
      </c>
      <c r="B265" s="954">
        <f t="shared" si="61"/>
        <v>124.88930999999999</v>
      </c>
      <c r="C265" s="954">
        <f>Calculation!AK268</f>
        <v>0</v>
      </c>
      <c r="D265" s="954">
        <f>Calculation!AI268</f>
        <v>23.294200871559632</v>
      </c>
      <c r="E265" s="954">
        <f>Calculation!AE268</f>
        <v>50.354849999999992</v>
      </c>
      <c r="F265" s="954">
        <f>Calculation!AF268</f>
        <v>74.534459999999996</v>
      </c>
      <c r="G265" s="954">
        <f>Calculation!AG268</f>
        <v>0</v>
      </c>
      <c r="H265" s="955">
        <f>Sheet1!H270</f>
        <v>0.85</v>
      </c>
      <c r="I265" s="935">
        <f>Sheet1!DA270</f>
        <v>364</v>
      </c>
      <c r="J265" s="935">
        <f>Sheet1!DB270</f>
        <v>225</v>
      </c>
      <c r="K265" s="935">
        <f>Sheet1!CZ270</f>
        <v>378</v>
      </c>
      <c r="L265" s="959">
        <f>Calculation!F268</f>
        <v>250</v>
      </c>
      <c r="M265" s="959">
        <f>Calculation!E268</f>
        <v>400</v>
      </c>
      <c r="N265" s="959">
        <f>Calculation!D268</f>
        <v>200</v>
      </c>
      <c r="O265" s="985">
        <f>Sheet1!DC270</f>
        <v>1148.24</v>
      </c>
      <c r="P265" s="986">
        <f>Calculation!FD268</f>
        <v>1123.4729166666016</v>
      </c>
      <c r="Q265" s="994">
        <f>Calculation!DP268</f>
        <v>30202.000000078784</v>
      </c>
      <c r="R265" s="985">
        <f t="shared" si="70"/>
        <v>29583.000000078784</v>
      </c>
      <c r="S265" s="987">
        <f t="shared" si="62"/>
        <v>-410.00000000041109</v>
      </c>
      <c r="T265" s="994">
        <f ca="1">IF(A265&gt;$A$1,#N/A,VLOOKUP(A265,Calculation!$B$8:$JF$503,40,FALSE))</f>
        <v>4812.8490083338302</v>
      </c>
      <c r="U265" s="987">
        <f t="shared" si="63"/>
        <v>23.294200871559632</v>
      </c>
      <c r="V265" s="987">
        <f>Calculation!AZ268</f>
        <v>0</v>
      </c>
      <c r="W265" s="994">
        <f t="shared" ca="1" si="68"/>
        <v>12128.787400000008</v>
      </c>
      <c r="X265" s="1080">
        <v>50</v>
      </c>
      <c r="Y265" s="1026">
        <v>0</v>
      </c>
      <c r="Z265" s="987">
        <f t="shared" ca="1" si="64"/>
        <v>12128.787400000008</v>
      </c>
      <c r="AA265" s="994">
        <f t="shared" ca="1" si="71"/>
        <v>13260.363591744946</v>
      </c>
      <c r="AB265" s="1093">
        <f t="shared" ca="1" si="72"/>
        <v>12641.363591744946</v>
      </c>
      <c r="AC265" s="954">
        <f ca="1">IF(A265&gt;$A$1,VLOOKUP(A265,Calculation!$B$8:$JF$880,165,FALSE),VLOOKUP(A265,Calculation!$B$8:$JF$880,165,FALSE))</f>
        <v>12666</v>
      </c>
      <c r="AD265" s="418">
        <f t="shared" ca="1" si="65"/>
        <v>-217</v>
      </c>
      <c r="AE265" s="418"/>
      <c r="AF265" s="935">
        <f>Calculation!G268</f>
        <v>171.24256177488098</v>
      </c>
      <c r="AG265" s="941" t="str">
        <f t="shared" si="66"/>
        <v>Yes</v>
      </c>
      <c r="AH265" s="941" t="str">
        <f t="shared" si="67"/>
        <v>No</v>
      </c>
      <c r="AI265" s="963">
        <v>31854.000000078489</v>
      </c>
      <c r="AJ265" s="964">
        <v>29110.000000076034</v>
      </c>
      <c r="AK265" s="964">
        <v>27649.00000007209</v>
      </c>
      <c r="AN265" s="447"/>
      <c r="AO265" s="430"/>
      <c r="AP265" s="462"/>
      <c r="AQ265" s="461"/>
      <c r="AR265" s="461"/>
      <c r="AS265" s="463"/>
      <c r="AU265" s="453"/>
      <c r="AV265" s="452"/>
      <c r="AW265" s="453"/>
      <c r="AX265" s="452"/>
      <c r="AY265" s="453"/>
      <c r="AZ265" s="452"/>
      <c r="BA265" s="449"/>
    </row>
    <row r="266" spans="1:53" ht="13.5" thickBot="1">
      <c r="A266" s="425">
        <v>41897</v>
      </c>
      <c r="B266" s="954">
        <f t="shared" si="61"/>
        <v>125.94127</v>
      </c>
      <c r="C266" s="954">
        <f>Calculation!AK269</f>
        <v>0</v>
      </c>
      <c r="D266" s="954">
        <f>Calculation!AI269</f>
        <v>23.240511490073146</v>
      </c>
      <c r="E266" s="954">
        <f>Calculation!AE269</f>
        <v>51.80903</v>
      </c>
      <c r="F266" s="954">
        <f>Calculation!AF269</f>
        <v>74.132239999999996</v>
      </c>
      <c r="G266" s="954">
        <f>Calculation!AG269</f>
        <v>0</v>
      </c>
      <c r="H266" s="955">
        <f>Sheet1!H271</f>
        <v>1.3</v>
      </c>
      <c r="I266" s="935">
        <f>Sheet1!DA271</f>
        <v>364</v>
      </c>
      <c r="J266" s="935">
        <f>Sheet1!DB271</f>
        <v>221</v>
      </c>
      <c r="K266" s="935">
        <f>Sheet1!CZ271</f>
        <v>378</v>
      </c>
      <c r="L266" s="959">
        <f>Calculation!F269</f>
        <v>250</v>
      </c>
      <c r="M266" s="959">
        <f>Calculation!E269</f>
        <v>400</v>
      </c>
      <c r="N266" s="959">
        <f>Calculation!D269</f>
        <v>200</v>
      </c>
      <c r="O266" s="985">
        <f>Sheet1!DC271</f>
        <v>1147.76</v>
      </c>
      <c r="P266" s="986">
        <f>Calculation!FD269</f>
        <v>1123.0291666666021</v>
      </c>
      <c r="Q266" s="994">
        <f>Calculation!DP269</f>
        <v>29777.200000075762</v>
      </c>
      <c r="R266" s="985">
        <f t="shared" si="70"/>
        <v>29158.200000075762</v>
      </c>
      <c r="S266" s="987">
        <f t="shared" si="62"/>
        <v>-424.80000000302243</v>
      </c>
      <c r="T266" s="994">
        <f ca="1">IF(A266&gt;$A$1,#N/A,VLOOKUP(A266,Calculation!$B$8:$JF$503,40,FALSE))</f>
        <v>4766.75858218545</v>
      </c>
      <c r="U266" s="987">
        <f t="shared" si="63"/>
        <v>23.240511490073146</v>
      </c>
      <c r="V266" s="987">
        <f>Calculation!AZ269</f>
        <v>0</v>
      </c>
      <c r="W266" s="994">
        <f t="shared" ca="1" si="68"/>
        <v>12029.637400000009</v>
      </c>
      <c r="X266" s="1080">
        <v>50</v>
      </c>
      <c r="Y266" s="1026">
        <v>0</v>
      </c>
      <c r="Z266" s="987">
        <f t="shared" ca="1" si="64"/>
        <v>12029.637400000009</v>
      </c>
      <c r="AA266" s="994">
        <f t="shared" ca="1" si="71"/>
        <v>12980.804017890301</v>
      </c>
      <c r="AB266" s="1093">
        <f t="shared" ca="1" si="72"/>
        <v>12361.804017890301</v>
      </c>
      <c r="AC266" s="954">
        <f ca="1">IF(A266&gt;$A$1,VLOOKUP(A266,Calculation!$B$8:$JF$880,165,FALSE),VLOOKUP(A266,Calculation!$B$8:$JF$880,165,FALSE))</f>
        <v>12450</v>
      </c>
      <c r="AD266" s="418">
        <f t="shared" ca="1" si="65"/>
        <v>-216</v>
      </c>
      <c r="AE266" s="418"/>
      <c r="AF266" s="935">
        <f>Calculation!G269</f>
        <v>163.7791225400795</v>
      </c>
      <c r="AG266" s="941" t="str">
        <f t="shared" si="66"/>
        <v>Yes</v>
      </c>
      <c r="AH266" s="941" t="str">
        <f t="shared" si="67"/>
        <v>No</v>
      </c>
      <c r="AI266" s="963">
        <v>31559.640000078289</v>
      </c>
      <c r="AJ266" s="964">
        <v>28755.400000073914</v>
      </c>
      <c r="AK266" s="964">
        <v>27226.000000070861</v>
      </c>
      <c r="AN266" s="447"/>
      <c r="AO266" s="430"/>
      <c r="AP266" s="462"/>
      <c r="AQ266" s="461"/>
      <c r="AR266" s="461"/>
      <c r="AS266" s="463"/>
      <c r="AU266" s="453"/>
      <c r="AV266" s="452"/>
      <c r="AW266" s="453"/>
      <c r="AX266" s="452"/>
      <c r="AY266" s="453"/>
      <c r="AZ266" s="452"/>
      <c r="BA266" s="449"/>
    </row>
    <row r="267" spans="1:53" ht="13.5" thickBot="1">
      <c r="A267" s="425">
        <v>41898</v>
      </c>
      <c r="B267" s="954">
        <f t="shared" si="61"/>
        <v>125.70921999999999</v>
      </c>
      <c r="C267" s="954">
        <f>Calculation!AK270</f>
        <v>0</v>
      </c>
      <c r="D267" s="954">
        <f>Calculation!AI270</f>
        <v>22.747537400586019</v>
      </c>
      <c r="E267" s="954">
        <f>Calculation!AE270</f>
        <v>51.60792</v>
      </c>
      <c r="F267" s="954">
        <f>Calculation!AF270</f>
        <v>74.101299999999995</v>
      </c>
      <c r="G267" s="954">
        <f>Calculation!AG270</f>
        <v>0</v>
      </c>
      <c r="H267" s="955">
        <f>Sheet1!H272</f>
        <v>1.4</v>
      </c>
      <c r="I267" s="935">
        <f>Sheet1!DA272</f>
        <v>378</v>
      </c>
      <c r="J267" s="935">
        <f>Sheet1!DB272</f>
        <v>225</v>
      </c>
      <c r="K267" s="935">
        <f>Sheet1!CZ272</f>
        <v>378</v>
      </c>
      <c r="L267" s="959">
        <f>Calculation!F270</f>
        <v>250</v>
      </c>
      <c r="M267" s="959">
        <f>Calculation!E270</f>
        <v>250</v>
      </c>
      <c r="N267" s="959">
        <f>Calculation!D270</f>
        <v>300</v>
      </c>
      <c r="O267" s="985">
        <f>Sheet1!DC272</f>
        <v>1147.28</v>
      </c>
      <c r="P267" s="986">
        <f>Calculation!FD270</f>
        <v>1122.5702127658933</v>
      </c>
      <c r="Q267" s="994">
        <f>Calculation!DP270</f>
        <v>29355.600000075367</v>
      </c>
      <c r="R267" s="985">
        <f t="shared" si="70"/>
        <v>28736.600000075367</v>
      </c>
      <c r="S267" s="987">
        <f t="shared" si="62"/>
        <v>-421.60000000039508</v>
      </c>
      <c r="T267" s="994">
        <f ca="1">IF(A267&gt;$A$1,#N/A,VLOOKUP(A267,Calculation!$B$8:$JF$503,40,FALSE))</f>
        <v>4721.6458189372279</v>
      </c>
      <c r="U267" s="987">
        <f t="shared" si="63"/>
        <v>22.747537400586019</v>
      </c>
      <c r="V267" s="987">
        <f>Calculation!AZ270</f>
        <v>0</v>
      </c>
      <c r="W267" s="994">
        <f t="shared" ca="1" si="68"/>
        <v>11930.487400000009</v>
      </c>
      <c r="X267" s="1080">
        <v>50</v>
      </c>
      <c r="Y267" s="1026">
        <v>0</v>
      </c>
      <c r="Z267" s="987">
        <f t="shared" ca="1" si="64"/>
        <v>11930.487400000009</v>
      </c>
      <c r="AA267" s="994">
        <f t="shared" ca="1" si="71"/>
        <v>12703.46678113813</v>
      </c>
      <c r="AB267" s="1093">
        <f t="shared" ca="1" si="72"/>
        <v>12084.46678113813</v>
      </c>
      <c r="AC267" s="954">
        <f ca="1">IF(A267&gt;$A$1,VLOOKUP(A267,Calculation!$B$8:$JF$880,165,FALSE),VLOOKUP(A267,Calculation!$B$8:$JF$880,165,FALSE))</f>
        <v>12233</v>
      </c>
      <c r="AD267" s="418">
        <f t="shared" ca="1" si="65"/>
        <v>-217</v>
      </c>
      <c r="AE267" s="418"/>
      <c r="AF267" s="935">
        <f>Calculation!G270</f>
        <v>165.39283913242812</v>
      </c>
      <c r="AG267" s="941" t="str">
        <f t="shared" si="66"/>
        <v>Yes</v>
      </c>
      <c r="AH267" s="941" t="str">
        <f t="shared" si="67"/>
        <v>No</v>
      </c>
      <c r="AI267" s="963">
        <v>31202.840000077882</v>
      </c>
      <c r="AJ267" s="964">
        <v>28383.600000073719</v>
      </c>
      <c r="AK267" s="964">
        <v>26851.000000070475</v>
      </c>
      <c r="AN267" s="447"/>
      <c r="AO267" s="430"/>
      <c r="AP267" s="462"/>
      <c r="AQ267" s="461"/>
      <c r="AR267" s="461"/>
      <c r="AS267" s="463"/>
      <c r="AU267" s="453"/>
      <c r="AV267" s="452"/>
      <c r="AW267" s="453"/>
      <c r="AX267" s="452"/>
      <c r="AY267" s="453"/>
      <c r="AZ267" s="452"/>
      <c r="BA267" s="449"/>
    </row>
    <row r="268" spans="1:53" ht="13.5" thickBot="1">
      <c r="A268" s="425">
        <v>41899</v>
      </c>
      <c r="B268" s="954">
        <f t="shared" si="61"/>
        <v>125.77109999999999</v>
      </c>
      <c r="C268" s="954">
        <f>Calculation!AK271</f>
        <v>0</v>
      </c>
      <c r="D268" s="954">
        <f>Calculation!AI271</f>
        <v>22.590484599244647</v>
      </c>
      <c r="E268" s="954">
        <f>Calculation!AE271</f>
        <v>51.8245</v>
      </c>
      <c r="F268" s="954">
        <f>Calculation!AF271</f>
        <v>73.946599999999989</v>
      </c>
      <c r="G268" s="954">
        <f>Calculation!AG271</f>
        <v>0</v>
      </c>
      <c r="H268" s="955">
        <f>Sheet1!H273</f>
        <v>0.92</v>
      </c>
      <c r="I268" s="935">
        <f>Sheet1!DA273</f>
        <v>378</v>
      </c>
      <c r="J268" s="935">
        <f>Sheet1!DB273</f>
        <v>255</v>
      </c>
      <c r="K268" s="935">
        <f>Sheet1!CZ273</f>
        <v>378</v>
      </c>
      <c r="L268" s="959">
        <f>Calculation!F271</f>
        <v>250</v>
      </c>
      <c r="M268" s="959">
        <f>Calculation!E271</f>
        <v>250</v>
      </c>
      <c r="N268" s="959">
        <f>Calculation!D271</f>
        <v>300</v>
      </c>
      <c r="O268" s="985">
        <f>Sheet1!DC273</f>
        <v>1146.78</v>
      </c>
      <c r="P268" s="986">
        <f>Calculation!FD271</f>
        <v>1122.1106382978085</v>
      </c>
      <c r="Q268" s="994">
        <f>Calculation!DP271</f>
        <v>28919.800000074109</v>
      </c>
      <c r="R268" s="985">
        <f t="shared" si="70"/>
        <v>28300.800000074109</v>
      </c>
      <c r="S268" s="987">
        <f t="shared" si="62"/>
        <v>-435.80000000125801</v>
      </c>
      <c r="T268" s="994">
        <f ca="1">IF(A268&gt;$A$1,#N/A,VLOOKUP(A268,Calculation!$B$8:$JF$503,40,FALSE))</f>
        <v>4676.8445217488106</v>
      </c>
      <c r="U268" s="987">
        <f t="shared" si="63"/>
        <v>22.590484599244647</v>
      </c>
      <c r="V268" s="987">
        <f>Calculation!AZ271</f>
        <v>0</v>
      </c>
      <c r="W268" s="994">
        <f t="shared" ca="1" si="68"/>
        <v>11831.337400000009</v>
      </c>
      <c r="X268" s="1096">
        <v>50</v>
      </c>
      <c r="Y268" s="1026">
        <v>0</v>
      </c>
      <c r="Z268" s="987">
        <f t="shared" ca="1" si="64"/>
        <v>11831.337400000009</v>
      </c>
      <c r="AA268" s="994">
        <f t="shared" ca="1" si="71"/>
        <v>12411.618078325288</v>
      </c>
      <c r="AB268" s="1093">
        <f t="shared" ca="1" si="72"/>
        <v>11792.618078325288</v>
      </c>
      <c r="AC268" s="954">
        <f ca="1">IF(A268&gt;$A$1,VLOOKUP(A268,Calculation!$B$8:$JF$880,165,FALSE),VLOOKUP(A268,Calculation!$B$8:$JF$880,165,FALSE))</f>
        <v>12016</v>
      </c>
      <c r="AD268" s="418">
        <f t="shared" ca="1" si="65"/>
        <v>-217</v>
      </c>
      <c r="AE268" s="418"/>
      <c r="AF268" s="935">
        <f>Calculation!G271</f>
        <v>158.23197175932529</v>
      </c>
      <c r="AG268" s="941" t="str">
        <f t="shared" si="66"/>
        <v>Yes</v>
      </c>
      <c r="AH268" s="941" t="str">
        <f t="shared" si="67"/>
        <v>No</v>
      </c>
      <c r="AI268" s="963">
        <v>30807.460000076258</v>
      </c>
      <c r="AJ268" s="964">
        <v>27997.600000073329</v>
      </c>
      <c r="AK268" s="964">
        <v>26469.800000068612</v>
      </c>
      <c r="AN268" s="447"/>
      <c r="AO268" s="430"/>
      <c r="AP268" s="462"/>
      <c r="AQ268" s="461"/>
      <c r="AR268" s="461"/>
      <c r="AS268" s="463"/>
      <c r="AU268" s="453"/>
      <c r="AV268" s="452"/>
      <c r="AW268" s="453"/>
      <c r="AX268" s="452"/>
      <c r="AY268" s="453"/>
      <c r="AZ268" s="452"/>
      <c r="BA268" s="449"/>
    </row>
    <row r="269" spans="1:53" ht="13.5" thickBot="1">
      <c r="A269" s="425">
        <v>41900</v>
      </c>
      <c r="B269" s="954">
        <f t="shared" si="61"/>
        <v>120.00078999999999</v>
      </c>
      <c r="C269" s="954">
        <f>Calculation!AK272</f>
        <v>0</v>
      </c>
      <c r="D269" s="954">
        <f>Calculation!AI272</f>
        <v>22.744400908291183</v>
      </c>
      <c r="E269" s="954">
        <f>Calculation!AE272</f>
        <v>49.503999999999998</v>
      </c>
      <c r="F269" s="954">
        <f>Calculation!AF272</f>
        <v>70.496790000000004</v>
      </c>
      <c r="G269" s="954">
        <f>Calculation!AG272</f>
        <v>0</v>
      </c>
      <c r="H269" s="955">
        <f>Sheet1!H274</f>
        <v>0.95</v>
      </c>
      <c r="I269" s="935">
        <f>Sheet1!DA274</f>
        <v>378</v>
      </c>
      <c r="J269" s="935">
        <f>Sheet1!DB274</f>
        <v>296</v>
      </c>
      <c r="K269" s="935">
        <f>Sheet1!CZ274</f>
        <v>400</v>
      </c>
      <c r="L269" s="959">
        <f>Calculation!F272</f>
        <v>250</v>
      </c>
      <c r="M269" s="959">
        <f>Calculation!E272</f>
        <v>250</v>
      </c>
      <c r="N269" s="959">
        <f>Calculation!D272</f>
        <v>300</v>
      </c>
      <c r="O269" s="985">
        <f>Sheet1!DC274</f>
        <v>1146.27</v>
      </c>
      <c r="P269" s="986">
        <f>Calculation!FD272</f>
        <v>1121.6413043477628</v>
      </c>
      <c r="Q269" s="994">
        <f>Calculation!DP272</f>
        <v>28478.900000074576</v>
      </c>
      <c r="R269" s="985">
        <f t="shared" si="70"/>
        <v>27859.900000074576</v>
      </c>
      <c r="S269" s="987">
        <f t="shared" si="62"/>
        <v>-440.89999999953216</v>
      </c>
      <c r="T269" s="994">
        <f ca="1">IF(A269&gt;$A$1,#N/A,VLOOKUP(A269,Calculation!$B$8:$JF$503,40,FALSE))</f>
        <v>4631.7379787710233</v>
      </c>
      <c r="U269" s="987">
        <f t="shared" si="63"/>
        <v>22.744400908291183</v>
      </c>
      <c r="V269" s="987">
        <f>Calculation!AZ272</f>
        <v>0</v>
      </c>
      <c r="W269" s="994">
        <f t="shared" ca="1" si="68"/>
        <v>11732.18740000001</v>
      </c>
      <c r="X269" s="1096">
        <v>50</v>
      </c>
      <c r="Y269" s="1026">
        <v>0</v>
      </c>
      <c r="Z269" s="987">
        <f ca="1">W269-Y269</f>
        <v>11732.18740000001</v>
      </c>
      <c r="AA269" s="994">
        <f t="shared" ca="1" si="71"/>
        <v>12114.974621303543</v>
      </c>
      <c r="AB269" s="1093">
        <f ca="1">AA269-619</f>
        <v>11495.974621303543</v>
      </c>
      <c r="AC269" s="954">
        <f ca="1">IF(A269&gt;$A$1,VLOOKUP(A269,Calculation!$B$8:$JF$880,165,FALSE),VLOOKUP(A269,Calculation!$B$8:$JF$880,165,FALSE))</f>
        <v>11800</v>
      </c>
      <c r="AD269" s="418">
        <f t="shared" ca="1" si="65"/>
        <v>-216</v>
      </c>
      <c r="AE269" s="418"/>
      <c r="AF269" s="935">
        <f>Calculation!G272</f>
        <v>177.6601109432516</v>
      </c>
      <c r="AG269" s="941" t="str">
        <f t="shared" si="66"/>
        <v>Yes</v>
      </c>
      <c r="AH269" s="941" t="str">
        <f t="shared" si="67"/>
        <v>No</v>
      </c>
      <c r="AI269" s="963">
        <v>30544.060000076061</v>
      </c>
      <c r="AJ269" s="964">
        <v>27623.200000072939</v>
      </c>
      <c r="AK269" s="964">
        <v>26095.300000067407</v>
      </c>
      <c r="AN269" s="447"/>
      <c r="AO269" s="430"/>
      <c r="AP269" s="462"/>
      <c r="AQ269" s="461"/>
      <c r="AR269" s="461"/>
      <c r="AS269" s="463"/>
      <c r="AU269" s="453"/>
      <c r="AV269" s="452"/>
      <c r="AW269" s="453"/>
      <c r="AX269" s="452"/>
      <c r="AY269" s="453"/>
      <c r="AZ269" s="452"/>
      <c r="BA269" s="449"/>
    </row>
    <row r="270" spans="1:53" ht="13.5" thickBot="1">
      <c r="A270" s="425">
        <v>41901</v>
      </c>
      <c r="B270" s="954">
        <f t="shared" si="61"/>
        <v>116.53550999999999</v>
      </c>
      <c r="C270" s="954">
        <f>Calculation!AK273</f>
        <v>0</v>
      </c>
      <c r="D270" s="954">
        <f>Calculation!AI273</f>
        <v>22.833682159217258</v>
      </c>
      <c r="E270" s="954">
        <f>Calculation!AE273</f>
        <v>47.028799999999997</v>
      </c>
      <c r="F270" s="954">
        <f>Calculation!AF273</f>
        <v>69.506709999999998</v>
      </c>
      <c r="G270" s="954">
        <f>Calculation!AG273</f>
        <v>0</v>
      </c>
      <c r="H270" s="955">
        <f>Sheet1!H275</f>
        <v>1.1299999999999999</v>
      </c>
      <c r="I270" s="935">
        <f>Sheet1!DA275</f>
        <v>429</v>
      </c>
      <c r="J270" s="935">
        <f>Sheet1!DB275</f>
        <v>353</v>
      </c>
      <c r="K270" s="935">
        <f>Sheet1!CZ275</f>
        <v>463</v>
      </c>
      <c r="L270" s="959">
        <f>Calculation!F273</f>
        <v>250</v>
      </c>
      <c r="M270" s="959">
        <f>Calculation!E273</f>
        <v>250</v>
      </c>
      <c r="N270" s="959">
        <f>Calculation!D273</f>
        <v>300</v>
      </c>
      <c r="O270" s="985">
        <f>Sheet1!DC275</f>
        <v>1145.7</v>
      </c>
      <c r="P270" s="986">
        <f>Calculation!FD273</f>
        <v>1121.1652173912414</v>
      </c>
      <c r="Q270" s="994">
        <f>Calculation!DP273</f>
        <v>27989.000000073327</v>
      </c>
      <c r="R270" s="985">
        <f t="shared" si="70"/>
        <v>27370.000000073327</v>
      </c>
      <c r="S270" s="987">
        <f t="shared" si="62"/>
        <v>-489.90000000124928</v>
      </c>
      <c r="T270" s="994">
        <f ca="1">IF(A270&gt;$A$1,#N/A,VLOOKUP(A270,Calculation!$B$8:$JF$503,40,FALSE))</f>
        <v>4586.4543738166094</v>
      </c>
      <c r="U270" s="987">
        <f t="shared" si="63"/>
        <v>22.833682159217258</v>
      </c>
      <c r="V270" s="987">
        <f>Calculation!AZ273</f>
        <v>0</v>
      </c>
      <c r="W270" s="994">
        <f t="shared" ca="1" si="68"/>
        <v>11533.887400000011</v>
      </c>
      <c r="X270" s="1096">
        <v>100</v>
      </c>
      <c r="Y270" s="987">
        <v>0</v>
      </c>
      <c r="Z270" s="987">
        <f ca="1">W270-Y270</f>
        <v>11533.887400000011</v>
      </c>
      <c r="AA270" s="994">
        <f t="shared" ca="1" si="71"/>
        <v>11868.658226256706</v>
      </c>
      <c r="AB270" s="1093">
        <f t="shared" ca="1" si="72"/>
        <v>11249.658226256706</v>
      </c>
      <c r="AC270" s="954">
        <f ca="1">IF(A270&gt;$A$1,VLOOKUP(A270,Calculation!$B$8:$JF$880,165,FALSE),VLOOKUP(A270,Calculation!$B$8:$JF$880,165,FALSE))</f>
        <v>11583</v>
      </c>
      <c r="AD270" s="418">
        <f t="shared" ca="1" si="65"/>
        <v>-217</v>
      </c>
      <c r="AE270" s="418"/>
      <c r="AF270" s="935">
        <f>Calculation!G273</f>
        <v>215.95007564233524</v>
      </c>
      <c r="AG270" s="941" t="str">
        <f t="shared" si="66"/>
        <v>Yes</v>
      </c>
      <c r="AH270" s="941" t="str">
        <f t="shared" si="67"/>
        <v>Yes</v>
      </c>
      <c r="AI270" s="963">
        <v>30289.700000074739</v>
      </c>
      <c r="AJ270" s="964">
        <v>27242.80000007086</v>
      </c>
      <c r="AK270" s="964">
        <v>25681.800000065385</v>
      </c>
      <c r="AN270" s="447"/>
      <c r="AO270" s="430"/>
      <c r="AP270" s="462"/>
      <c r="AQ270" s="461"/>
      <c r="AR270" s="461"/>
      <c r="AS270" s="463"/>
      <c r="AU270" s="453"/>
      <c r="AV270" s="452"/>
      <c r="AW270" s="453"/>
      <c r="AX270" s="452"/>
      <c r="AY270" s="453"/>
      <c r="AZ270" s="452"/>
      <c r="BA270" s="449"/>
    </row>
    <row r="271" spans="1:53" ht="13.5" thickBot="1">
      <c r="A271" s="425">
        <v>41902</v>
      </c>
      <c r="B271" s="954">
        <f t="shared" si="61"/>
        <v>116.6438</v>
      </c>
      <c r="C271" s="954">
        <f>Calculation!AK274</f>
        <v>0</v>
      </c>
      <c r="D271" s="954">
        <f>Calculation!AI274</f>
        <v>23.541394168706876</v>
      </c>
      <c r="E271" s="954">
        <f>Calculation!AE274</f>
        <v>47.028799999999997</v>
      </c>
      <c r="F271" s="954">
        <f>Calculation!AF274</f>
        <v>69.614999999999995</v>
      </c>
      <c r="G271" s="954">
        <f>Calculation!AG274</f>
        <v>0</v>
      </c>
      <c r="H271" s="955">
        <f>Sheet1!H276</f>
        <v>1.1200000000000001</v>
      </c>
      <c r="I271" s="935">
        <f>Sheet1!DA276</f>
        <v>468</v>
      </c>
      <c r="J271" s="935">
        <f>Sheet1!DB276</f>
        <v>353</v>
      </c>
      <c r="K271" s="935">
        <f>Sheet1!CZ276</f>
        <v>460</v>
      </c>
      <c r="L271" s="959">
        <f>Calculation!F274</f>
        <v>250</v>
      </c>
      <c r="M271" s="959">
        <f>Calculation!E274</f>
        <v>250</v>
      </c>
      <c r="N271" s="959">
        <f>Calculation!D274</f>
        <v>300</v>
      </c>
      <c r="O271" s="985">
        <f>Sheet1!DC276</f>
        <v>1145</v>
      </c>
      <c r="P271" s="986">
        <f>Calculation!FD274</f>
        <v>1120.6795454544831</v>
      </c>
      <c r="Q271" s="994">
        <f>Calculation!DP274</f>
        <v>27393.000000071894</v>
      </c>
      <c r="R271" s="985">
        <f t="shared" si="70"/>
        <v>26774.000000071894</v>
      </c>
      <c r="S271" s="987">
        <f t="shared" si="62"/>
        <v>-596.00000000143336</v>
      </c>
      <c r="T271" s="994">
        <f ca="1">IF(A271&gt;$A$1,#N/A,VLOOKUP(A271,Calculation!$B$8:$JF$503,40,FALSE))</f>
        <v>4539.7672391627029</v>
      </c>
      <c r="U271" s="987">
        <f t="shared" si="63"/>
        <v>23.541394168706876</v>
      </c>
      <c r="V271" s="987">
        <f>Calculation!AZ274</f>
        <v>0</v>
      </c>
      <c r="W271" s="994">
        <f t="shared" ca="1" si="68"/>
        <v>11236.43740000001</v>
      </c>
      <c r="X271" s="1096">
        <v>150</v>
      </c>
      <c r="Y271" s="987">
        <v>0</v>
      </c>
      <c r="Z271" s="987">
        <f t="shared" ca="1" si="64"/>
        <v>11236.43740000001</v>
      </c>
      <c r="AA271" s="994">
        <f t="shared" ca="1" si="71"/>
        <v>11616.795360909182</v>
      </c>
      <c r="AB271" s="1093">
        <f t="shared" ca="1" si="72"/>
        <v>10997.795360909182</v>
      </c>
      <c r="AC271" s="954">
        <f ca="1">IF(A271&gt;$A$1,VLOOKUP(A271,Calculation!$B$8:$JF$880,165,FALSE),VLOOKUP(A271,Calculation!$B$8:$JF$880,165,FALSE))</f>
        <v>11366</v>
      </c>
      <c r="AD271" s="418">
        <f t="shared" ca="1" si="65"/>
        <v>-217</v>
      </c>
      <c r="AE271" s="418"/>
      <c r="AF271" s="935">
        <f>Calculation!G274</f>
        <v>159.44528492111283</v>
      </c>
      <c r="AG271" s="941" t="str">
        <f t="shared" si="66"/>
        <v>Yes</v>
      </c>
      <c r="AH271" s="941" t="str">
        <f t="shared" si="67"/>
        <v>Yes</v>
      </c>
      <c r="AI271" s="963">
        <v>29891.800000074345</v>
      </c>
      <c r="AJ271" s="964">
        <v>26851.000000070475</v>
      </c>
      <c r="AK271" s="964">
        <v>25237.400000064845</v>
      </c>
      <c r="AN271" s="447"/>
      <c r="AO271" s="430"/>
      <c r="AP271" s="462"/>
      <c r="AQ271" s="461"/>
      <c r="AR271" s="461"/>
      <c r="AS271" s="463"/>
      <c r="AU271" s="453"/>
      <c r="AV271" s="452"/>
      <c r="AW271" s="453"/>
      <c r="AX271" s="452"/>
      <c r="AY271" s="453"/>
      <c r="AZ271" s="452"/>
      <c r="BA271" s="449"/>
    </row>
    <row r="272" spans="1:53" ht="13.5" thickBot="1">
      <c r="A272" s="425">
        <v>41903</v>
      </c>
      <c r="B272" s="954">
        <f t="shared" si="61"/>
        <v>116.48909999999998</v>
      </c>
      <c r="C272" s="954">
        <f>Calculation!AK275</f>
        <v>0</v>
      </c>
      <c r="D272" s="954">
        <f>Calculation!AI275</f>
        <v>23.344357566302651</v>
      </c>
      <c r="E272" s="954">
        <f>Calculation!AE275</f>
        <v>47.028799999999997</v>
      </c>
      <c r="F272" s="954">
        <f>Calculation!AF275</f>
        <v>69.460299999999989</v>
      </c>
      <c r="G272" s="954">
        <f>Calculation!AG275</f>
        <v>0</v>
      </c>
      <c r="H272" s="955">
        <f>Sheet1!H277</f>
        <v>1.1399999999999999</v>
      </c>
      <c r="I272" s="935">
        <f>Sheet1!DA277</f>
        <v>463</v>
      </c>
      <c r="J272" s="935">
        <f>Sheet1!DB277</f>
        <v>351</v>
      </c>
      <c r="K272" s="935">
        <f>Sheet1!CZ277</f>
        <v>460</v>
      </c>
      <c r="L272" s="959">
        <f>Calculation!F275</f>
        <v>250</v>
      </c>
      <c r="M272" s="959">
        <f>Calculation!E275</f>
        <v>250</v>
      </c>
      <c r="N272" s="959">
        <f>Calculation!D275</f>
        <v>300</v>
      </c>
      <c r="O272" s="985">
        <f>Sheet1!DC277</f>
        <v>1144.32</v>
      </c>
      <c r="P272" s="986">
        <f>Calculation!FD275</f>
        <v>1120.1909090908471</v>
      </c>
      <c r="Q272" s="994">
        <f>Calculation!DP275</f>
        <v>26825.800000070478</v>
      </c>
      <c r="R272" s="985">
        <f t="shared" si="70"/>
        <v>26206.800000070478</v>
      </c>
      <c r="S272" s="987">
        <f t="shared" si="62"/>
        <v>-567.2000000014159</v>
      </c>
      <c r="T272" s="994">
        <f ca="1">IF(A272&gt;$A$1,#N/A,VLOOKUP(A272,Calculation!$B$8:$JF$503,40,FALSE))</f>
        <v>4493.4708661740697</v>
      </c>
      <c r="U272" s="987">
        <f t="shared" si="63"/>
        <v>23.344357566302651</v>
      </c>
      <c r="V272" s="987">
        <f>Calculation!AZ275</f>
        <v>0</v>
      </c>
      <c r="W272" s="994">
        <f t="shared" ca="1" si="68"/>
        <v>10839.837400000009</v>
      </c>
      <c r="X272" s="1096">
        <v>200</v>
      </c>
      <c r="Y272" s="987">
        <v>0</v>
      </c>
      <c r="Z272" s="987">
        <f t="shared" ca="1" si="64"/>
        <v>10839.837400000009</v>
      </c>
      <c r="AA272" s="994">
        <f t="shared" ca="1" si="71"/>
        <v>11492.491733896399</v>
      </c>
      <c r="AB272" s="1093">
        <f t="shared" ca="1" si="72"/>
        <v>10873.491733896399</v>
      </c>
      <c r="AC272" s="954">
        <f ca="1">IF(A272&gt;$A$1,VLOOKUP(A272,Calculation!$B$8:$JF$880,165,FALSE),VLOOKUP(A272,Calculation!$B$8:$JF$880,165,FALSE))</f>
        <v>11150</v>
      </c>
      <c r="AD272" s="418">
        <f t="shared" ca="1" si="65"/>
        <v>-216</v>
      </c>
      <c r="AE272" s="418"/>
      <c r="AF272" s="935">
        <f>Calculation!G275</f>
        <v>173.96873424033492</v>
      </c>
      <c r="AG272" s="941" t="str">
        <f t="shared" si="66"/>
        <v>Yes</v>
      </c>
      <c r="AH272" s="941" t="str">
        <f t="shared" si="67"/>
        <v>Yes</v>
      </c>
      <c r="AI272" s="963">
        <v>29356.800000072839</v>
      </c>
      <c r="AJ272" s="964">
        <v>26396.000000068427</v>
      </c>
      <c r="AK272" s="964">
        <v>24804.800000063668</v>
      </c>
      <c r="AN272" s="447"/>
      <c r="AO272" s="430"/>
      <c r="AP272" s="462"/>
      <c r="AQ272" s="461"/>
      <c r="AR272" s="461"/>
      <c r="AS272" s="463"/>
      <c r="AU272" s="453"/>
      <c r="AV272" s="452"/>
      <c r="AW272" s="453"/>
      <c r="AX272" s="452"/>
      <c r="AY272" s="453"/>
      <c r="AZ272" s="452"/>
      <c r="BA272" s="449"/>
    </row>
    <row r="273" spans="1:53" ht="13.5" thickBot="1">
      <c r="A273" s="425">
        <v>41904</v>
      </c>
      <c r="B273" s="954">
        <f t="shared" si="61"/>
        <v>116.6438</v>
      </c>
      <c r="C273" s="954">
        <f>Calculation!AK276</f>
        <v>0</v>
      </c>
      <c r="D273" s="954">
        <f>Calculation!AI276</f>
        <v>21.299300379379602</v>
      </c>
      <c r="E273" s="954">
        <f>Calculation!AE276</f>
        <v>47.028799999999997</v>
      </c>
      <c r="F273" s="954">
        <f>Calculation!AF276</f>
        <v>69.614999999999995</v>
      </c>
      <c r="G273" s="954">
        <f>Calculation!AG276</f>
        <v>0</v>
      </c>
      <c r="H273" s="955">
        <f>Sheet1!H278</f>
        <v>1.05</v>
      </c>
      <c r="I273" s="935">
        <f>Sheet1!DA278</f>
        <v>468</v>
      </c>
      <c r="J273" s="935">
        <f>Sheet1!DB278</f>
        <v>356</v>
      </c>
      <c r="K273" s="935">
        <f>Sheet1!CZ278</f>
        <v>463</v>
      </c>
      <c r="L273" s="959">
        <f>Calculation!F276</f>
        <v>250</v>
      </c>
      <c r="M273" s="959">
        <f>Calculation!E276</f>
        <v>250</v>
      </c>
      <c r="N273" s="959">
        <f>Calculation!D276</f>
        <v>300</v>
      </c>
      <c r="O273" s="985">
        <f>Sheet1!DC278</f>
        <v>1143.6099999999999</v>
      </c>
      <c r="P273" s="986">
        <f>Calculation!FD276</f>
        <v>1119.6883720929618</v>
      </c>
      <c r="Q273" s="994">
        <f>Calculation!DP276</f>
        <v>26241.200000068238</v>
      </c>
      <c r="R273" s="985">
        <f t="shared" si="70"/>
        <v>25622.200000068238</v>
      </c>
      <c r="S273" s="987">
        <f t="shared" si="62"/>
        <v>-584.60000000223954</v>
      </c>
      <c r="T273" s="994">
        <f ca="1">IF(A273&gt;$A$1,#N/A,VLOOKUP(A273,Calculation!$B$8:$JF$503,40,FALSE))</f>
        <v>4451.2302368502569</v>
      </c>
      <c r="U273" s="987">
        <f t="shared" si="63"/>
        <v>21.299300379379602</v>
      </c>
      <c r="V273" s="987">
        <f>Calculation!AZ276</f>
        <v>0</v>
      </c>
      <c r="W273" s="994">
        <f t="shared" ca="1" si="68"/>
        <v>10344.087400000009</v>
      </c>
      <c r="X273" s="1096">
        <v>250</v>
      </c>
      <c r="Y273" s="987">
        <v>0</v>
      </c>
      <c r="Z273" s="987">
        <f t="shared" ca="1" si="64"/>
        <v>10344.087400000009</v>
      </c>
      <c r="AA273" s="994">
        <f t="shared" ca="1" si="71"/>
        <v>11445.882363217972</v>
      </c>
      <c r="AB273" s="1093">
        <f t="shared" ca="1" si="72"/>
        <v>10826.882363217972</v>
      </c>
      <c r="AC273" s="954">
        <f ca="1">IF(A273&gt;$A$1,VLOOKUP(A273,Calculation!$B$8:$JF$880,165,FALSE),VLOOKUP(A273,Calculation!$B$8:$JF$880,165,FALSE))</f>
        <v>10933</v>
      </c>
      <c r="AD273" s="418">
        <f t="shared" ca="1" si="65"/>
        <v>-217</v>
      </c>
      <c r="AE273" s="418"/>
      <c r="AF273" s="935">
        <f>Calculation!G276</f>
        <v>168.19415027622819</v>
      </c>
      <c r="AG273" s="941" t="str">
        <f t="shared" si="66"/>
        <v>Yes</v>
      </c>
      <c r="AH273" s="941" t="str">
        <f t="shared" si="67"/>
        <v>Yes</v>
      </c>
      <c r="AI273" s="963">
        <v>28734.840000072261</v>
      </c>
      <c r="AJ273" s="964">
        <v>25826.000000067866</v>
      </c>
      <c r="AK273" s="964">
        <v>24480.200000063491</v>
      </c>
      <c r="AN273" s="447"/>
      <c r="AO273" s="430"/>
      <c r="AP273" s="462"/>
      <c r="AQ273" s="461"/>
      <c r="AR273" s="461"/>
      <c r="AS273" s="463"/>
      <c r="AU273" s="453"/>
      <c r="AV273" s="452"/>
      <c r="AW273" s="453"/>
      <c r="AX273" s="452"/>
      <c r="AY273" s="453"/>
      <c r="AZ273" s="452"/>
      <c r="BA273" s="449"/>
    </row>
    <row r="274" spans="1:53" ht="13.5" thickBot="1">
      <c r="A274" s="425">
        <v>41905</v>
      </c>
      <c r="B274" s="954">
        <f t="shared" si="61"/>
        <v>116.59738999999999</v>
      </c>
      <c r="C274" s="954">
        <f>Calculation!AK277</f>
        <v>0</v>
      </c>
      <c r="D274" s="954">
        <f>Calculation!AI277</f>
        <v>20.220359752397947</v>
      </c>
      <c r="E274" s="954">
        <f>Calculation!AE277</f>
        <v>47.028799999999997</v>
      </c>
      <c r="F274" s="954">
        <f>Calculation!AF277</f>
        <v>69.56859</v>
      </c>
      <c r="G274" s="954">
        <f>Calculation!AG277</f>
        <v>0</v>
      </c>
      <c r="H274" s="955">
        <f>Sheet1!H279</f>
        <v>1.1200000000000001</v>
      </c>
      <c r="I274" s="935">
        <f>Sheet1!DA279</f>
        <v>529</v>
      </c>
      <c r="J274" s="935">
        <f>Sheet1!DB279</f>
        <v>405</v>
      </c>
      <c r="K274" s="935">
        <f>Sheet1!CZ279</f>
        <v>513</v>
      </c>
      <c r="L274" s="959">
        <f>Calculation!F277</f>
        <v>250</v>
      </c>
      <c r="M274" s="959">
        <f>Calculation!E277</f>
        <v>250</v>
      </c>
      <c r="N274" s="959">
        <f>Calculation!D277</f>
        <v>300</v>
      </c>
      <c r="O274" s="985">
        <f>Sheet1!DC279</f>
        <v>1142.8499999999999</v>
      </c>
      <c r="P274" s="986">
        <f>Calculation!FD277</f>
        <v>1119.1790697673807</v>
      </c>
      <c r="Q274" s="994">
        <f>Calculation!DP277</f>
        <v>25626.000000066029</v>
      </c>
      <c r="R274" s="985">
        <f t="shared" si="70"/>
        <v>25007.000000066029</v>
      </c>
      <c r="S274" s="987">
        <f t="shared" si="62"/>
        <v>-615.20000000220898</v>
      </c>
      <c r="T274" s="994">
        <f ca="1">IF(A274&gt;$A$1,#N/A,VLOOKUP(A274,Calculation!$B$8:$JF$503,40,FALSE))</f>
        <v>4411.1293553244932</v>
      </c>
      <c r="U274" s="987">
        <f t="shared" si="63"/>
        <v>20.220359752397947</v>
      </c>
      <c r="V274" s="987">
        <f>Calculation!AZ277</f>
        <v>0</v>
      </c>
      <c r="W274" s="994">
        <f t="shared" ca="1" si="68"/>
        <v>9947.4874000000091</v>
      </c>
      <c r="X274" s="1096">
        <v>200</v>
      </c>
      <c r="Y274" s="987">
        <v>0</v>
      </c>
      <c r="Z274" s="987">
        <f t="shared" ca="1" si="64"/>
        <v>9947.4874000000091</v>
      </c>
      <c r="AA274" s="994">
        <f t="shared" ca="1" si="71"/>
        <v>11267.383244741526</v>
      </c>
      <c r="AB274" s="1093">
        <f t="shared" ca="1" si="72"/>
        <v>10648.383244741526</v>
      </c>
      <c r="AC274" s="954">
        <f ca="1">IF(A274&gt;$A$1,VLOOKUP(A274,Calculation!$B$8:$JF$880,165,FALSE),VLOOKUP(A274,Calculation!$B$8:$JF$880,165,FALSE))</f>
        <v>10716</v>
      </c>
      <c r="AD274" s="418">
        <f t="shared" ca="1" si="65"/>
        <v>-217</v>
      </c>
      <c r="AE274" s="418"/>
      <c r="AF274" s="935">
        <f>Calculation!G277</f>
        <v>202.7629853745795</v>
      </c>
      <c r="AG274" s="941" t="str">
        <f t="shared" si="66"/>
        <v>Yes</v>
      </c>
      <c r="AH274" s="941" t="str">
        <f t="shared" si="67"/>
        <v>Yes</v>
      </c>
      <c r="AI274" s="963">
        <v>28039.560000069974</v>
      </c>
      <c r="AJ274" s="964">
        <v>25150.500000064843</v>
      </c>
      <c r="AK274" s="964">
        <v>24133.000000060711</v>
      </c>
      <c r="AN274" s="447"/>
      <c r="AO274" s="430"/>
      <c r="AP274" s="462"/>
      <c r="AQ274" s="461"/>
      <c r="AR274" s="461"/>
      <c r="AS274" s="463"/>
      <c r="AU274" s="453"/>
      <c r="AV274" s="452"/>
      <c r="AW274" s="453"/>
      <c r="AX274" s="452"/>
      <c r="AY274" s="453"/>
      <c r="AZ274" s="452"/>
      <c r="BA274" s="449"/>
    </row>
    <row r="275" spans="1:53" ht="13.5" thickBot="1">
      <c r="A275" s="425">
        <v>41906</v>
      </c>
      <c r="B275" s="954">
        <f t="shared" si="61"/>
        <v>110.9199</v>
      </c>
      <c r="C275" s="954">
        <f>Calculation!AK278</f>
        <v>0</v>
      </c>
      <c r="D275" s="954">
        <f>Calculation!AI278</f>
        <v>20.223502240623475</v>
      </c>
      <c r="E275" s="954">
        <f>Calculation!AE278</f>
        <v>47.338200000000001</v>
      </c>
      <c r="F275" s="954">
        <f>Calculation!AF278</f>
        <v>63.581699999999998</v>
      </c>
      <c r="G275" s="954">
        <f>Calculation!AG278</f>
        <v>0</v>
      </c>
      <c r="H275" s="955">
        <f>Sheet1!H280</f>
        <v>2.57</v>
      </c>
      <c r="I275" s="935">
        <f>Sheet1!DA280</f>
        <v>742</v>
      </c>
      <c r="J275" s="935">
        <f>Sheet1!DB280</f>
        <v>505</v>
      </c>
      <c r="K275" s="935">
        <f>Sheet1!CZ280</f>
        <v>604</v>
      </c>
      <c r="L275" s="959">
        <f>Calculation!F278</f>
        <v>250</v>
      </c>
      <c r="M275" s="959">
        <f>Calculation!E278</f>
        <v>250</v>
      </c>
      <c r="N275" s="959">
        <f>Calculation!D278</f>
        <v>300</v>
      </c>
      <c r="O275" s="985">
        <f>Sheet1!DC280</f>
        <v>1142.04</v>
      </c>
      <c r="P275" s="986">
        <f>Calculation!FD278</f>
        <v>1118.6634146340857</v>
      </c>
      <c r="Q275" s="994">
        <f>Calculation!DP278</f>
        <v>24983.600000064664</v>
      </c>
      <c r="R275" s="985">
        <f t="shared" si="70"/>
        <v>24364.600000064664</v>
      </c>
      <c r="S275" s="987">
        <f t="shared" si="62"/>
        <v>-642.4000000013657</v>
      </c>
      <c r="T275" s="994">
        <f ca="1">IF(A275&gt;$A$1,#N/A,VLOOKUP(A275,Calculation!$B$8:$JF$503,40,FALSE))</f>
        <v>4371.0222416372071</v>
      </c>
      <c r="U275" s="987">
        <f t="shared" si="63"/>
        <v>20.223502240623475</v>
      </c>
      <c r="V275" s="987">
        <f>Calculation!AZ278</f>
        <v>0</v>
      </c>
      <c r="W275" s="994">
        <f t="shared" ca="1" si="68"/>
        <v>9650.0374000000083</v>
      </c>
      <c r="X275" s="1096">
        <v>150</v>
      </c>
      <c r="Y275" s="987">
        <v>0</v>
      </c>
      <c r="Z275" s="987">
        <f t="shared" ca="1" si="64"/>
        <v>9650.0374000000083</v>
      </c>
      <c r="AA275" s="994">
        <f t="shared" ca="1" si="71"/>
        <v>10962.540358427446</v>
      </c>
      <c r="AB275" s="1093">
        <f t="shared" ca="1" si="72"/>
        <v>10343.540358427446</v>
      </c>
      <c r="AC275" s="954">
        <f ca="1">IF(A275&gt;$A$1,VLOOKUP(A275,Calculation!$B$8:$JF$880,165,FALSE),VLOOKUP(A275,Calculation!$B$8:$JF$880,165,FALSE))</f>
        <v>10500</v>
      </c>
      <c r="AD275" s="418">
        <f t="shared" ca="1" si="65"/>
        <v>-216</v>
      </c>
      <c r="AE275" s="418"/>
      <c r="AF275" s="935">
        <f>Calculation!G278</f>
        <v>280.04639435130326</v>
      </c>
      <c r="AG275" s="941" t="str">
        <f t="shared" si="66"/>
        <v>Yes</v>
      </c>
      <c r="AH275" s="941" t="str">
        <f t="shared" si="67"/>
        <v>Yes</v>
      </c>
      <c r="AI275" s="963">
        <v>27292.02000006774</v>
      </c>
      <c r="AJ275" s="964">
        <v>24449.000000063315</v>
      </c>
      <c r="AK275" s="964">
        <v>23582.600000061</v>
      </c>
      <c r="AN275" s="447"/>
      <c r="AO275" s="430"/>
      <c r="AP275" s="462"/>
      <c r="AQ275" s="461"/>
      <c r="AR275" s="461"/>
      <c r="AS275" s="463"/>
      <c r="AU275" s="453"/>
      <c r="AV275" s="452"/>
      <c r="AW275" s="453"/>
      <c r="AX275" s="452"/>
      <c r="AY275" s="453"/>
      <c r="AZ275" s="452"/>
      <c r="BA275" s="449"/>
    </row>
    <row r="276" spans="1:53" ht="13.5" thickBot="1">
      <c r="A276" s="425">
        <v>41907</v>
      </c>
      <c r="B276" s="954">
        <f t="shared" si="61"/>
        <v>104.84018999999999</v>
      </c>
      <c r="C276" s="954">
        <f>Calculation!AK279</f>
        <v>0</v>
      </c>
      <c r="D276" s="954">
        <f>Calculation!AI279</f>
        <v>20.136002526315789</v>
      </c>
      <c r="E276" s="954">
        <f>Calculation!AE279</f>
        <v>47.647599999999997</v>
      </c>
      <c r="F276" s="954">
        <f>Calculation!AF279</f>
        <v>57.192589999999996</v>
      </c>
      <c r="G276" s="954">
        <f>Calculation!AG279</f>
        <v>0</v>
      </c>
      <c r="H276" s="955">
        <f>Sheet1!H281</f>
        <v>1.1599999999999999</v>
      </c>
      <c r="I276" s="935">
        <f>Sheet1!DA281</f>
        <v>641</v>
      </c>
      <c r="J276" s="935">
        <f>Sheet1!DB281</f>
        <v>476</v>
      </c>
      <c r="K276" s="935">
        <f>Sheet1!CZ281</f>
        <v>561</v>
      </c>
      <c r="L276" s="959">
        <f>Calculation!F279</f>
        <v>250</v>
      </c>
      <c r="M276" s="959">
        <f>Calculation!E279</f>
        <v>250</v>
      </c>
      <c r="N276" s="959">
        <f>Calculation!D279</f>
        <v>300</v>
      </c>
      <c r="O276" s="985">
        <f>Sheet1!DC281</f>
        <v>1141.1600000000001</v>
      </c>
      <c r="P276" s="986">
        <f>Calculation!FD279</f>
        <v>1118.1390243901837</v>
      </c>
      <c r="Q276" s="994">
        <f>Calculation!DP279</f>
        <v>24301.800000063315</v>
      </c>
      <c r="R276" s="985">
        <f t="shared" si="70"/>
        <v>23682.800000063315</v>
      </c>
      <c r="S276" s="987">
        <f t="shared" si="62"/>
        <v>-681.80000000134896</v>
      </c>
      <c r="T276" s="994">
        <f ca="1">IF(A276&gt;$A$1,#N/A,VLOOKUP(A276,Calculation!$B$8:$JF$503,40,FALSE))</f>
        <v>4331.0886567951011</v>
      </c>
      <c r="U276" s="987">
        <f t="shared" si="63"/>
        <v>20.136002526315789</v>
      </c>
      <c r="V276" s="987">
        <f>Calculation!AZ279</f>
        <v>0</v>
      </c>
      <c r="W276" s="994">
        <f t="shared" ca="1" si="68"/>
        <v>9352.5874000000076</v>
      </c>
      <c r="X276" s="1096">
        <v>150</v>
      </c>
      <c r="Y276" s="987">
        <v>0</v>
      </c>
      <c r="Z276" s="987">
        <f t="shared" ca="1" si="64"/>
        <v>9352.5874000000076</v>
      </c>
      <c r="AA276" s="994">
        <f t="shared" ca="1" si="71"/>
        <v>10618.123943268205</v>
      </c>
      <c r="AB276" s="1093">
        <f t="shared" ca="1" si="72"/>
        <v>9999.123943268205</v>
      </c>
      <c r="AC276" s="954">
        <f ca="1">IF(A276&gt;$A$1,VLOOKUP(A276,Calculation!$B$8:$JF$880,165,FALSE),VLOOKUP(A276,Calculation!$B$8:$JF$880,165,FALSE))</f>
        <v>10283</v>
      </c>
      <c r="AD276" s="418">
        <f t="shared" ca="1" si="65"/>
        <v>-217</v>
      </c>
      <c r="AE276" s="418"/>
      <c r="AF276" s="935">
        <f>Calculation!G279</f>
        <v>217.17750882433239</v>
      </c>
      <c r="AG276" s="941" t="str">
        <f t="shared" si="66"/>
        <v>Yes</v>
      </c>
      <c r="AH276" s="941" t="str">
        <f t="shared" si="67"/>
        <v>Yes</v>
      </c>
      <c r="AI276" s="963">
        <v>26601.010000065271</v>
      </c>
      <c r="AJ276" s="964">
        <v>23831.400000061174</v>
      </c>
      <c r="AK276" s="964">
        <v>22882.800000057927</v>
      </c>
      <c r="AN276" s="447"/>
      <c r="AO276" s="430"/>
      <c r="AP276" s="462"/>
      <c r="AQ276" s="461"/>
      <c r="AR276" s="461"/>
      <c r="AS276" s="463"/>
      <c r="AU276" s="453"/>
      <c r="AV276" s="452"/>
      <c r="AW276" s="453"/>
      <c r="AX276" s="452"/>
      <c r="AY276" s="453"/>
      <c r="AZ276" s="452"/>
      <c r="BA276" s="449"/>
    </row>
    <row r="277" spans="1:53" ht="13.5" thickBot="1">
      <c r="A277" s="425">
        <v>41908</v>
      </c>
      <c r="B277" s="954">
        <f t="shared" si="61"/>
        <v>101.09645</v>
      </c>
      <c r="C277" s="954">
        <f>Calculation!AK280</f>
        <v>0</v>
      </c>
      <c r="D277" s="954">
        <f>Calculation!AI280</f>
        <v>19.602118421052634</v>
      </c>
      <c r="E277" s="954">
        <f>Calculation!AE280</f>
        <v>47.802299999999995</v>
      </c>
      <c r="F277" s="954">
        <f>Calculation!AF280</f>
        <v>53.294150000000002</v>
      </c>
      <c r="G277" s="954">
        <f>Calculation!AG280</f>
        <v>0</v>
      </c>
      <c r="H277" s="955">
        <f>Sheet1!H282</f>
        <v>1.25</v>
      </c>
      <c r="I277" s="935">
        <f>Sheet1!DA282</f>
        <v>668</v>
      </c>
      <c r="J277" s="935">
        <f>Sheet1!DB282</f>
        <v>499</v>
      </c>
      <c r="K277" s="935">
        <f>Sheet1!CZ282</f>
        <v>592</v>
      </c>
      <c r="L277" s="959">
        <f>Calculation!F280</f>
        <v>250</v>
      </c>
      <c r="M277" s="959">
        <f>Calculation!E280</f>
        <v>250</v>
      </c>
      <c r="N277" s="959">
        <f>Calculation!D280</f>
        <v>300</v>
      </c>
      <c r="O277" s="985">
        <f>Sheet1!DC282</f>
        <v>1140.3</v>
      </c>
      <c r="P277" s="986">
        <f>Calculation!FD280</f>
        <v>1117.6024999999404</v>
      </c>
      <c r="Q277" s="994">
        <f>Calculation!DP280</f>
        <v>23651.000000060198</v>
      </c>
      <c r="R277" s="985">
        <f t="shared" si="70"/>
        <v>23032.000000060198</v>
      </c>
      <c r="S277" s="987">
        <f t="shared" si="62"/>
        <v>-650.80000000311702</v>
      </c>
      <c r="T277" s="994">
        <f ca="1">IF(A277&gt;$A$1,#N/A,VLOOKUP(A277,Calculation!$B$8:$JF$503,40,FALSE))</f>
        <v>4292.2138673214176</v>
      </c>
      <c r="U277" s="987">
        <f t="shared" si="63"/>
        <v>19.602118421052634</v>
      </c>
      <c r="V277" s="987">
        <f>Calculation!AZ280</f>
        <v>0</v>
      </c>
      <c r="W277" s="994">
        <f t="shared" ca="1" si="68"/>
        <v>9005.562400000008</v>
      </c>
      <c r="X277" s="1096">
        <v>175</v>
      </c>
      <c r="Y277" s="987">
        <v>0</v>
      </c>
      <c r="Z277" s="987">
        <f t="shared" ca="1" si="64"/>
        <v>9005.562400000008</v>
      </c>
      <c r="AA277" s="994">
        <f t="shared" ca="1" si="71"/>
        <v>10353.223732738772</v>
      </c>
      <c r="AB277" s="1093">
        <f t="shared" ca="1" si="72"/>
        <v>9734.223732738772</v>
      </c>
      <c r="AC277" s="954">
        <f ca="1">IF(A277&gt;$A$1,VLOOKUP(A277,Calculation!$B$8:$JF$880,165,FALSE),VLOOKUP(A277,Calculation!$B$8:$JF$880,165,FALSE))</f>
        <v>10066</v>
      </c>
      <c r="AD277" s="418">
        <f t="shared" ca="1" si="65"/>
        <v>-217</v>
      </c>
      <c r="AE277" s="418"/>
      <c r="AF277" s="935">
        <f>Calculation!G280</f>
        <v>263.8103882989829</v>
      </c>
      <c r="AG277" s="941" t="str">
        <f t="shared" si="66"/>
        <v>Yes</v>
      </c>
      <c r="AH277" s="941" t="str">
        <f t="shared" si="67"/>
        <v>Yes</v>
      </c>
      <c r="AI277" s="963">
        <v>25924.540000063178</v>
      </c>
      <c r="AJ277" s="964">
        <v>23175.800000058262</v>
      </c>
      <c r="AK277" s="964">
        <v>22138.600000056478</v>
      </c>
      <c r="AN277" s="447"/>
      <c r="AO277" s="430"/>
      <c r="AP277" s="462"/>
      <c r="AQ277" s="461"/>
      <c r="AR277" s="461"/>
      <c r="AS277" s="463"/>
      <c r="AU277" s="453"/>
      <c r="AV277" s="452"/>
      <c r="AW277" s="453"/>
      <c r="AX277" s="452"/>
      <c r="AY277" s="453"/>
      <c r="AZ277" s="452"/>
      <c r="BA277" s="449"/>
    </row>
    <row r="278" spans="1:53" ht="13.5" thickBot="1">
      <c r="A278" s="425">
        <v>41909</v>
      </c>
      <c r="B278" s="954">
        <f t="shared" si="61"/>
        <v>97.770399999999995</v>
      </c>
      <c r="C278" s="954">
        <f>Calculation!AK281</f>
        <v>0</v>
      </c>
      <c r="D278" s="954">
        <f>Calculation!AI281</f>
        <v>19.708636979969185</v>
      </c>
      <c r="E278" s="954">
        <f>Calculation!AE281</f>
        <v>47.957000000000001</v>
      </c>
      <c r="F278" s="954">
        <f>Calculation!AF281</f>
        <v>49.813400000000001</v>
      </c>
      <c r="G278" s="954">
        <f>Calculation!AG281</f>
        <v>0</v>
      </c>
      <c r="H278" s="955">
        <f>Sheet1!H283</f>
        <v>1.24</v>
      </c>
      <c r="I278" s="935">
        <f>Sheet1!DA283</f>
        <v>657</v>
      </c>
      <c r="J278" s="935">
        <f>Sheet1!DB283</f>
        <v>487</v>
      </c>
      <c r="K278" s="935">
        <f>Sheet1!CZ283</f>
        <v>589</v>
      </c>
      <c r="L278" s="959">
        <f>Calculation!F281</f>
        <v>250</v>
      </c>
      <c r="M278" s="959">
        <f>Calculation!E281</f>
        <v>250</v>
      </c>
      <c r="N278" s="959">
        <f>Calculation!D281</f>
        <v>300</v>
      </c>
      <c r="O278" s="985">
        <f>Sheet1!DC283</f>
        <v>1139.4000000000001</v>
      </c>
      <c r="P278" s="986">
        <f>Calculation!FD281</f>
        <v>1117.0634146340872</v>
      </c>
      <c r="Q278" s="994">
        <f>Calculation!DP281</f>
        <v>22986.000000058095</v>
      </c>
      <c r="R278" s="985">
        <f t="shared" si="70"/>
        <v>22367.000000058095</v>
      </c>
      <c r="S278" s="987">
        <f t="shared" si="62"/>
        <v>-665.00000000210275</v>
      </c>
      <c r="T278" s="994">
        <f ca="1">IF(A278&gt;$A$1,#N/A,VLOOKUP(A278,Calculation!$B$8:$JF$503,40,FALSE))</f>
        <v>4253.127830957781</v>
      </c>
      <c r="U278" s="987">
        <f t="shared" si="63"/>
        <v>19.708636979969185</v>
      </c>
      <c r="V278" s="987">
        <f>Calculation!AZ281</f>
        <v>0</v>
      </c>
      <c r="W278" s="994">
        <f t="shared" ca="1" si="68"/>
        <v>8658.5374000000083</v>
      </c>
      <c r="X278" s="1096">
        <v>175</v>
      </c>
      <c r="Y278" s="987">
        <v>0</v>
      </c>
      <c r="Z278" s="987">
        <f t="shared" ca="1" si="64"/>
        <v>8658.5374000000083</v>
      </c>
      <c r="AA278" s="994">
        <f t="shared" ca="1" si="71"/>
        <v>10074.334769100307</v>
      </c>
      <c r="AB278" s="1093">
        <f t="shared" ca="1" si="72"/>
        <v>9455.3347691003073</v>
      </c>
      <c r="AC278" s="954">
        <f ca="1">IF(A278&gt;$A$1,VLOOKUP(A278,Calculation!$B$8:$JF$880,165,FALSE),VLOOKUP(A278,Calculation!$B$8:$JF$880,165,FALSE))</f>
        <v>9850</v>
      </c>
      <c r="AD278" s="418">
        <f t="shared" ca="1" si="65"/>
        <v>-216</v>
      </c>
      <c r="AE278" s="418"/>
      <c r="AF278" s="935">
        <f>Calculation!G281</f>
        <v>253.64952092682671</v>
      </c>
      <c r="AG278" s="941" t="str">
        <f t="shared" si="66"/>
        <v>Yes</v>
      </c>
      <c r="AH278" s="941" t="str">
        <f t="shared" si="67"/>
        <v>Yes</v>
      </c>
      <c r="AI278" s="963">
        <v>25277.11000006078</v>
      </c>
      <c r="AJ278" s="964">
        <v>22520.200000056808</v>
      </c>
      <c r="AK278" s="964">
        <v>21170.400000053185</v>
      </c>
      <c r="AN278" s="447"/>
      <c r="AO278" s="430"/>
      <c r="AP278" s="462"/>
      <c r="AQ278" s="461"/>
      <c r="AR278" s="461"/>
      <c r="AS278" s="463"/>
      <c r="AU278" s="453"/>
      <c r="AV278" s="452"/>
      <c r="AW278" s="453"/>
      <c r="AX278" s="452"/>
      <c r="AY278" s="453"/>
      <c r="AZ278" s="452"/>
      <c r="BA278" s="449"/>
    </row>
    <row r="279" spans="1:53" ht="13.5" thickBot="1">
      <c r="A279" s="425">
        <v>41910</v>
      </c>
      <c r="B279" s="954">
        <f t="shared" si="61"/>
        <v>94.428879999999992</v>
      </c>
      <c r="C279" s="954">
        <f>Calculation!AK282</f>
        <v>0</v>
      </c>
      <c r="D279" s="954">
        <f>Calculation!AI282</f>
        <v>19.337499999999999</v>
      </c>
      <c r="E279" s="954">
        <f>Calculation!AE282</f>
        <v>48.018879999999996</v>
      </c>
      <c r="F279" s="954">
        <f>Calculation!AF282</f>
        <v>46.41</v>
      </c>
      <c r="G279" s="954">
        <f>Calculation!AG282</f>
        <v>0</v>
      </c>
      <c r="H279" s="955">
        <f>Sheet1!H284</f>
        <v>1.1200000000000001</v>
      </c>
      <c r="I279" s="935">
        <f>Sheet1!DA284</f>
        <v>635</v>
      </c>
      <c r="J279" s="935">
        <f>Sheet1!DB284</f>
        <v>484</v>
      </c>
      <c r="K279" s="935">
        <f>Sheet1!CZ284</f>
        <v>585</v>
      </c>
      <c r="L279" s="959">
        <f>Calculation!F282</f>
        <v>250</v>
      </c>
      <c r="M279" s="959">
        <f>Calculation!E282</f>
        <v>250</v>
      </c>
      <c r="N279" s="959">
        <f>Calculation!D282</f>
        <v>300</v>
      </c>
      <c r="O279" s="985">
        <f>Sheet1!DC284</f>
        <v>1138.3800000000001</v>
      </c>
      <c r="P279" s="986">
        <f>Calculation!FD282</f>
        <v>1116.5076923076335</v>
      </c>
      <c r="Q279" s="994">
        <f>Calculation!DP282</f>
        <v>22246.600000056642</v>
      </c>
      <c r="R279" s="985">
        <f t="shared" si="70"/>
        <v>21627.600000056642</v>
      </c>
      <c r="S279" s="987">
        <f t="shared" si="62"/>
        <v>-739.40000000145301</v>
      </c>
      <c r="T279" s="994">
        <f ca="1">IF(A279&gt;$A$1,#N/A,VLOOKUP(A279,Calculation!$B$8:$JF$503,40,FALSE))</f>
        <v>4214.7778309577807</v>
      </c>
      <c r="U279" s="987">
        <f t="shared" si="63"/>
        <v>19.337499999999999</v>
      </c>
      <c r="V279" s="987">
        <f>Calculation!AZ282</f>
        <v>0</v>
      </c>
      <c r="W279" s="994">
        <f t="shared" ca="1" si="68"/>
        <v>8261.937400000008</v>
      </c>
      <c r="X279" s="1096">
        <v>200</v>
      </c>
      <c r="Y279" s="987">
        <v>0</v>
      </c>
      <c r="Z279" s="987">
        <f t="shared" ca="1" si="64"/>
        <v>8261.937400000008</v>
      </c>
      <c r="AA279" s="994">
        <f t="shared" ca="1" si="71"/>
        <v>9769.8847690988532</v>
      </c>
      <c r="AB279" s="1093">
        <f t="shared" ca="1" si="72"/>
        <v>9150.8847690988532</v>
      </c>
      <c r="AC279" s="954">
        <f ca="1">IF(A279&gt;$A$1,VLOOKUP(A279,Calculation!$B$8:$JF$880,165,FALSE),VLOOKUP(A279,Calculation!$B$8:$JF$880,165,FALSE))</f>
        <v>9633</v>
      </c>
      <c r="AD279" s="418">
        <f t="shared" ca="1" si="65"/>
        <v>-217</v>
      </c>
      <c r="AE279" s="418"/>
      <c r="AF279" s="935">
        <f>Calculation!G282</f>
        <v>212.1306101858533</v>
      </c>
      <c r="AG279" s="941" t="str">
        <f t="shared" si="66"/>
        <v>Yes</v>
      </c>
      <c r="AH279" s="941" t="str">
        <f t="shared" si="67"/>
        <v>Yes</v>
      </c>
      <c r="AI279" s="963">
        <v>24467.860000058579</v>
      </c>
      <c r="AJ279" s="964">
        <v>21859.400000055371</v>
      </c>
      <c r="AK279" s="964">
        <v>20757.400000052872</v>
      </c>
      <c r="AN279" s="447"/>
      <c r="AO279" s="430"/>
      <c r="AP279" s="462"/>
      <c r="AQ279" s="461"/>
      <c r="AR279" s="461"/>
      <c r="AS279" s="463"/>
      <c r="AU279" s="453"/>
      <c r="AV279" s="452"/>
      <c r="AW279" s="453"/>
      <c r="AX279" s="452"/>
      <c r="AY279" s="453"/>
      <c r="AZ279" s="452"/>
      <c r="BA279" s="449"/>
    </row>
    <row r="280" spans="1:53" ht="13.5" thickBot="1">
      <c r="A280" s="425">
        <v>41911</v>
      </c>
      <c r="B280" s="954">
        <f t="shared" si="61"/>
        <v>94.459819999999993</v>
      </c>
      <c r="C280" s="954">
        <f>Calculation!AK283</f>
        <v>0</v>
      </c>
      <c r="D280" s="954">
        <f>Calculation!AI283</f>
        <v>18.564</v>
      </c>
      <c r="E280" s="954">
        <f>Calculation!AE283</f>
        <v>48.049819999999997</v>
      </c>
      <c r="F280" s="954">
        <f>Calculation!AF283</f>
        <v>46.41</v>
      </c>
      <c r="G280" s="954">
        <f>Calculation!AG283</f>
        <v>0</v>
      </c>
      <c r="H280" s="955">
        <f>Sheet1!H285</f>
        <v>1.1000000000000001</v>
      </c>
      <c r="I280" s="935">
        <f>Sheet1!DA285</f>
        <v>581</v>
      </c>
      <c r="J280" s="935">
        <f>Sheet1!DB285</f>
        <v>427</v>
      </c>
      <c r="K280" s="935">
        <f>Sheet1!CZ285</f>
        <v>520</v>
      </c>
      <c r="L280" s="959">
        <f>Calculation!F283</f>
        <v>250</v>
      </c>
      <c r="M280" s="959">
        <f>Calculation!E283</f>
        <v>250</v>
      </c>
      <c r="N280" s="959">
        <f>Calculation!D283</f>
        <v>300</v>
      </c>
      <c r="O280" s="985">
        <f>Sheet1!DC285</f>
        <v>1137.45</v>
      </c>
      <c r="P280" s="986">
        <f>Calculation!FD283</f>
        <v>1115.9473684209945</v>
      </c>
      <c r="Q280" s="994">
        <f>Calculation!DP283</f>
        <v>21584.50000005521</v>
      </c>
      <c r="R280" s="985">
        <f t="shared" si="70"/>
        <v>20965.50000005521</v>
      </c>
      <c r="S280" s="987">
        <f t="shared" si="62"/>
        <v>-662.10000000143191</v>
      </c>
      <c r="T280" s="994">
        <f ca="1">IF(A280&gt;$A$1,#N/A,VLOOKUP(A280,Calculation!$B$8:$JF$503,40,FALSE))</f>
        <v>4177.9618309577809</v>
      </c>
      <c r="U280" s="987">
        <f t="shared" si="63"/>
        <v>18.564</v>
      </c>
      <c r="V280" s="987">
        <f>Calculation!AZ283</f>
        <v>0</v>
      </c>
      <c r="W280" s="994">
        <f t="shared" ca="1" si="68"/>
        <v>7815.7624000000078</v>
      </c>
      <c r="X280" s="1096">
        <v>225</v>
      </c>
      <c r="Y280" s="987">
        <v>0</v>
      </c>
      <c r="Z280" s="987">
        <f t="shared" ca="1" si="64"/>
        <v>7815.7624000000078</v>
      </c>
      <c r="AA280" s="994">
        <f t="shared" ca="1" si="71"/>
        <v>9590.7757690974213</v>
      </c>
      <c r="AB280" s="1093">
        <f t="shared" ca="1" si="72"/>
        <v>8971.7757690974213</v>
      </c>
      <c r="AC280" s="954">
        <f ca="1">IF(A280&gt;$A$1,VLOOKUP(A280,Calculation!$B$8:$JF$880,165,FALSE),VLOOKUP(A280,Calculation!$B$8:$JF$880,165,FALSE))</f>
        <v>9416</v>
      </c>
      <c r="AD280" s="418">
        <f t="shared" ca="1" si="65"/>
        <v>-217</v>
      </c>
      <c r="AE280" s="418"/>
      <c r="AF280" s="935">
        <f>Calculation!G283</f>
        <v>186.1119515877802</v>
      </c>
      <c r="AG280" s="941" t="str">
        <f t="shared" si="66"/>
        <v>Yes</v>
      </c>
      <c r="AH280" s="941" t="str">
        <f t="shared" si="67"/>
        <v>Yes</v>
      </c>
      <c r="AI280" s="963">
        <v>23716.640000056334</v>
      </c>
      <c r="AJ280" s="964">
        <v>21191.100000053342</v>
      </c>
      <c r="AK280" s="964">
        <v>21478.00000005505</v>
      </c>
      <c r="AN280" s="447"/>
      <c r="AO280" s="430"/>
      <c r="AP280" s="462"/>
      <c r="AQ280" s="461"/>
      <c r="AR280" s="461"/>
      <c r="AS280" s="463"/>
      <c r="AU280" s="453"/>
      <c r="AV280" s="452"/>
      <c r="AW280" s="453"/>
      <c r="AX280" s="452"/>
      <c r="AY280" s="453"/>
      <c r="AZ280" s="452"/>
      <c r="BA280" s="449"/>
    </row>
    <row r="281" spans="1:53" ht="13.5" thickBot="1">
      <c r="A281" s="425">
        <v>41912</v>
      </c>
      <c r="B281" s="954">
        <f t="shared" si="61"/>
        <v>94.413409999999999</v>
      </c>
      <c r="C281" s="954">
        <f>Calculation!AK284</f>
        <v>0</v>
      </c>
      <c r="D281" s="954">
        <f>Calculation!AI284</f>
        <v>18.704246425755585</v>
      </c>
      <c r="E281" s="954">
        <f>Calculation!AE284</f>
        <v>48.111699999999999</v>
      </c>
      <c r="F281" s="954">
        <f>Calculation!AF284</f>
        <v>46.30171</v>
      </c>
      <c r="G281" s="954">
        <f>Calculation!AG284</f>
        <v>0</v>
      </c>
      <c r="H281" s="955">
        <f>Sheet1!H286</f>
        <v>1.06</v>
      </c>
      <c r="I281" s="935">
        <f>Sheet1!DA286</f>
        <v>592</v>
      </c>
      <c r="J281" s="935">
        <f>Sheet1!DB286</f>
        <v>452</v>
      </c>
      <c r="K281" s="935">
        <f>Sheet1!CZ286</f>
        <v>546</v>
      </c>
      <c r="L281" s="959">
        <f>Calculation!F284</f>
        <v>250</v>
      </c>
      <c r="M281" s="959">
        <f>Calculation!E284</f>
        <v>250</v>
      </c>
      <c r="N281" s="959">
        <f>Calculation!D284</f>
        <v>300</v>
      </c>
      <c r="O281" s="985">
        <f>Sheet1!DC286</f>
        <v>1136.67</v>
      </c>
      <c r="P281" s="986">
        <f>Calculation!FD284</f>
        <v>1115.3736842104686</v>
      </c>
      <c r="Q281" s="994">
        <f>Calculation!DP284</f>
        <v>21039.300000053187</v>
      </c>
      <c r="R281" s="985">
        <f t="shared" si="70"/>
        <v>20420.300000053187</v>
      </c>
      <c r="S281" s="987">
        <f t="shared" si="62"/>
        <v>-545.20000000202344</v>
      </c>
      <c r="T281" s="994">
        <f ca="1">IF(A281&gt;$A$1,#N/A,VLOOKUP(A281,Calculation!$B$8:$JF$503,40,FALSE))</f>
        <v>4140.8676951890557</v>
      </c>
      <c r="U281" s="987">
        <f t="shared" si="63"/>
        <v>18.704246425755585</v>
      </c>
      <c r="V281" s="987">
        <f>Calculation!AZ284</f>
        <v>0</v>
      </c>
      <c r="W281" s="994">
        <f t="shared" ca="1" si="68"/>
        <v>7369.5874000000076</v>
      </c>
      <c r="X281" s="1096">
        <v>225</v>
      </c>
      <c r="Y281" s="987">
        <v>0</v>
      </c>
      <c r="Z281" s="987">
        <f t="shared" ca="1" si="64"/>
        <v>7369.5874000000076</v>
      </c>
      <c r="AA281" s="994">
        <f t="shared" ca="1" si="71"/>
        <v>9528.8449048641232</v>
      </c>
      <c r="AB281" s="1093">
        <f t="shared" ca="1" si="72"/>
        <v>8909.8449048641232</v>
      </c>
      <c r="AC281" s="954">
        <f ca="1">IF(A281&gt;$A$1,VLOOKUP(A281,Calculation!$B$8:$JF$880,165,FALSE),VLOOKUP(A281,Calculation!$B$8:$JF$880,165,FALSE))</f>
        <v>9200</v>
      </c>
      <c r="AD281" s="418">
        <f t="shared" ca="1" si="65"/>
        <v>-216</v>
      </c>
      <c r="AE281" s="418"/>
      <c r="AF281" s="935">
        <f>Calculation!G284</f>
        <v>271.0630358033165</v>
      </c>
      <c r="AG281" s="941" t="str">
        <f t="shared" si="66"/>
        <v>Yes</v>
      </c>
      <c r="AH281" s="941" t="str">
        <f t="shared" si="67"/>
        <v>Yes</v>
      </c>
      <c r="AI281" s="963">
        <v>22986.350000054201</v>
      </c>
      <c r="AJ281" s="964">
        <v>20524.400000051188</v>
      </c>
      <c r="AK281" s="964">
        <v>23651.000000060198</v>
      </c>
      <c r="AN281" s="447"/>
      <c r="AO281" s="430"/>
      <c r="AP281" s="462"/>
      <c r="AQ281" s="461"/>
      <c r="AR281" s="461"/>
      <c r="AS281" s="463"/>
      <c r="AU281" s="453"/>
      <c r="AV281" s="452"/>
      <c r="AW281" s="453"/>
      <c r="AX281" s="452"/>
      <c r="AY281" s="453"/>
      <c r="AZ281" s="452"/>
      <c r="BA281" s="449"/>
    </row>
    <row r="282" spans="1:53" ht="13.5" thickBot="1">
      <c r="A282" s="425">
        <v>41913</v>
      </c>
      <c r="B282" s="954">
        <f t="shared" si="61"/>
        <v>94.56810999999999</v>
      </c>
      <c r="C282" s="954">
        <f>Calculation!AK285</f>
        <v>0</v>
      </c>
      <c r="D282" s="954">
        <f>Calculation!AI285</f>
        <v>19.066126647173487</v>
      </c>
      <c r="E282" s="954">
        <f>Calculation!AE285</f>
        <v>48.111699999999999</v>
      </c>
      <c r="F282" s="954">
        <f>Calculation!AF285</f>
        <v>46.456409999999998</v>
      </c>
      <c r="G282" s="954">
        <f>Calculation!AG285</f>
        <v>0</v>
      </c>
      <c r="H282" s="955">
        <f>Sheet1!H287</f>
        <v>1.03</v>
      </c>
      <c r="I282" s="935">
        <f>Sheet1!DA287</f>
        <v>608</v>
      </c>
      <c r="J282" s="935">
        <f>Sheet1!DB287</f>
        <v>481</v>
      </c>
      <c r="K282" s="935">
        <f>Sheet1!CZ287</f>
        <v>577</v>
      </c>
      <c r="L282" s="959">
        <f>Calculation!F285</f>
        <v>250</v>
      </c>
      <c r="M282" s="959">
        <f>Calculation!E285</f>
        <v>250</v>
      </c>
      <c r="N282" s="959">
        <f>Calculation!D285</f>
        <v>300</v>
      </c>
      <c r="O282" s="985">
        <f>Sheet1!DC287</f>
        <v>1135.78</v>
      </c>
      <c r="P282" s="986">
        <f>Calculation!FD285</f>
        <v>1114.7918918918349</v>
      </c>
      <c r="Q282" s="994">
        <f>Calculation!DP285</f>
        <v>20430.800000050273</v>
      </c>
      <c r="R282" s="985">
        <f t="shared" si="70"/>
        <v>19811.800000050273</v>
      </c>
      <c r="S282" s="987">
        <f t="shared" si="62"/>
        <v>-608.50000000291402</v>
      </c>
      <c r="T282" s="994">
        <f ca="1">IF(A282&gt;$A$1,#N/A,VLOOKUP(A282,Calculation!$B$8:$JF$503,40,FALSE))</f>
        <v>4103.0558809980221</v>
      </c>
      <c r="U282" s="987">
        <f t="shared" si="63"/>
        <v>19.066126647173487</v>
      </c>
      <c r="V282" s="987">
        <f>Calculation!AZ285</f>
        <v>0</v>
      </c>
      <c r="W282" s="994">
        <f t="shared" ca="1" si="68"/>
        <v>6923.4124000000074</v>
      </c>
      <c r="X282" s="1096">
        <v>225</v>
      </c>
      <c r="Y282" s="987">
        <v>0</v>
      </c>
      <c r="Z282" s="987">
        <f t="shared" ca="1" si="64"/>
        <v>6923.4124000000074</v>
      </c>
      <c r="AA282" s="994">
        <f t="shared" ca="1" si="71"/>
        <v>9404.331719052243</v>
      </c>
      <c r="AB282" s="1093">
        <f t="shared" ca="1" si="72"/>
        <v>8785.331719052243</v>
      </c>
      <c r="AC282" s="954">
        <f ca="1">IF(A282&gt;$A$1,VLOOKUP(A282,Calculation!$B$8:$JF$880,165,FALSE),VLOOKUP(A282,Calculation!$B$8:$JF$880,165,FALSE))</f>
        <v>8990</v>
      </c>
      <c r="AD282" s="418">
        <f t="shared" ca="1" si="65"/>
        <v>-210</v>
      </c>
      <c r="AE282" s="418"/>
      <c r="AF282" s="935">
        <f>Calculation!G285</f>
        <v>270.14170448667983</v>
      </c>
      <c r="AG282" s="941" t="str">
        <f t="shared" si="66"/>
        <v>Yes</v>
      </c>
      <c r="AH282" s="941" t="str">
        <f t="shared" si="67"/>
        <v>Yes</v>
      </c>
      <c r="AI282" s="963">
        <v>22269.130000052184</v>
      </c>
      <c r="AJ282" s="964">
        <v>19863.500000049069</v>
      </c>
      <c r="AK282" s="964">
        <v>24488.000000062679</v>
      </c>
      <c r="AN282" s="447"/>
      <c r="AO282" s="430"/>
      <c r="AP282" s="462"/>
      <c r="AQ282" s="461"/>
      <c r="AR282" s="461"/>
      <c r="AS282" s="463"/>
      <c r="AU282" s="453"/>
      <c r="AV282" s="452"/>
      <c r="AW282" s="453"/>
      <c r="AX282" s="452"/>
      <c r="AY282" s="453"/>
      <c r="AZ282" s="452"/>
      <c r="BA282" s="449"/>
    </row>
    <row r="283" spans="1:53" ht="13.5" thickBot="1">
      <c r="A283" s="425">
        <v>41914</v>
      </c>
      <c r="B283" s="954">
        <f t="shared" ref="B283:B297" si="73">E283+F283</f>
        <v>92.278549999999996</v>
      </c>
      <c r="C283" s="954">
        <f>Calculation!AK286</f>
        <v>0</v>
      </c>
      <c r="D283" s="954">
        <f>Calculation!AI286</f>
        <v>18.578738419054194</v>
      </c>
      <c r="E283" s="954">
        <f>Calculation!AE286</f>
        <v>48.111699999999999</v>
      </c>
      <c r="F283" s="954">
        <f>Calculation!AF286</f>
        <v>44.166849999999997</v>
      </c>
      <c r="G283" s="954">
        <f>Calculation!AG286</f>
        <v>0</v>
      </c>
      <c r="H283" s="955">
        <f>Sheet1!H288</f>
        <v>1.22</v>
      </c>
      <c r="I283" s="935">
        <f>Sheet1!DA288</f>
        <v>608</v>
      </c>
      <c r="J283" s="935">
        <f>Sheet1!DB288</f>
        <v>461</v>
      </c>
      <c r="K283" s="935">
        <f>Sheet1!CZ288</f>
        <v>550</v>
      </c>
      <c r="L283" s="959">
        <f>Calculation!F286</f>
        <v>250</v>
      </c>
      <c r="M283" s="959">
        <f>Calculation!E286</f>
        <v>250</v>
      </c>
      <c r="N283" s="959">
        <f>Calculation!D286</f>
        <v>300</v>
      </c>
      <c r="O283" s="985">
        <f>Sheet1!DC288</f>
        <v>1134.79</v>
      </c>
      <c r="P283" s="986">
        <f>Calculation!FD286</f>
        <v>1114.1999999999434</v>
      </c>
      <c r="Q283" s="994">
        <f>Calculation!DP286</f>
        <v>19771.50000004892</v>
      </c>
      <c r="R283" s="985">
        <f t="shared" si="70"/>
        <v>19152.50000004892</v>
      </c>
      <c r="S283" s="987">
        <f t="shared" ref="S283:S297" si="74">R283-R282</f>
        <v>-659.3000000013526</v>
      </c>
      <c r="T283" s="994">
        <f ca="1">IF(A283&gt;$A$1,#N/A,VLOOKUP(A283,Calculation!$B$8:$JF$503,40,FALSE))</f>
        <v>4066.2106518644359</v>
      </c>
      <c r="U283" s="987">
        <f t="shared" ref="U283:U297" si="75">D283</f>
        <v>18.578738419054194</v>
      </c>
      <c r="V283" s="987">
        <f>Calculation!AZ286</f>
        <v>0</v>
      </c>
      <c r="W283" s="994">
        <f t="shared" ca="1" si="68"/>
        <v>6526.8124000000071</v>
      </c>
      <c r="X283" s="1096">
        <v>200</v>
      </c>
      <c r="Y283" s="987">
        <v>0</v>
      </c>
      <c r="Z283" s="987">
        <f t="shared" ref="Z283:Z297" ca="1" si="76">W283-Y283</f>
        <v>6526.8124000000071</v>
      </c>
      <c r="AA283" s="994">
        <f t="shared" ca="1" si="71"/>
        <v>9178.4769481844778</v>
      </c>
      <c r="AB283" s="1093">
        <f t="shared" ca="1" si="72"/>
        <v>8559.4769481844778</v>
      </c>
      <c r="AC283" s="954">
        <f ca="1">IF(A283&gt;$A$1,VLOOKUP(A283,Calculation!$B$8:$JF$880,165,FALSE),VLOOKUP(A283,Calculation!$B$8:$JF$880,165,FALSE))</f>
        <v>8780</v>
      </c>
      <c r="AD283" s="418">
        <f t="shared" ref="AD283:AD297" ca="1" si="77">AC283-AC282</f>
        <v>-210</v>
      </c>
      <c r="AE283" s="418"/>
      <c r="AF283" s="935">
        <f>Calculation!G286</f>
        <v>217.52395360496598</v>
      </c>
      <c r="AG283" s="941" t="str">
        <f t="shared" ref="AG283:AG297" si="78">IF(I283&gt;L283,"Yes","No")</f>
        <v>Yes</v>
      </c>
      <c r="AH283" s="941" t="str">
        <f t="shared" ref="AH283:AH297" si="79">IF(AND(I283&gt;M283,J283&gt;N283),"Yes","No")</f>
        <v>Yes</v>
      </c>
      <c r="AI283" s="963">
        <v>21565.480000050044</v>
      </c>
      <c r="AJ283" s="964">
        <v>19194.000000046984</v>
      </c>
      <c r="AK283" s="964">
        <v>23658.500000060198</v>
      </c>
      <c r="AN283" s="447"/>
      <c r="AO283" s="430"/>
      <c r="AP283" s="462"/>
      <c r="AQ283" s="461"/>
      <c r="AR283" s="461"/>
      <c r="AS283" s="463"/>
      <c r="AU283" s="453"/>
      <c r="AV283" s="452"/>
      <c r="AW283" s="453"/>
      <c r="AX283" s="452"/>
      <c r="AY283" s="453"/>
      <c r="AZ283" s="452"/>
      <c r="BA283" s="449"/>
    </row>
    <row r="284" spans="1:53" ht="13.5" thickBot="1">
      <c r="A284" s="425">
        <v>41915</v>
      </c>
      <c r="B284" s="954">
        <f t="shared" si="73"/>
        <v>90.174629999999993</v>
      </c>
      <c r="C284" s="954">
        <f>Calculation!AK287</f>
        <v>0</v>
      </c>
      <c r="D284" s="954">
        <f>Calculation!AI287</f>
        <v>17.415407488151658</v>
      </c>
      <c r="E284" s="954">
        <f>Calculation!AE287</f>
        <v>48.266399999999997</v>
      </c>
      <c r="F284" s="954">
        <f>Calculation!AF287</f>
        <v>41.908229999999996</v>
      </c>
      <c r="G284" s="954">
        <f>Calculation!AG287</f>
        <v>0</v>
      </c>
      <c r="H284" s="955">
        <f>Sheet1!H289</f>
        <v>1.25</v>
      </c>
      <c r="I284" s="935">
        <f>Sheet1!DA289</f>
        <v>581</v>
      </c>
      <c r="J284" s="935">
        <f>Sheet1!DB289</f>
        <v>447</v>
      </c>
      <c r="K284" s="935">
        <f>Sheet1!CZ289</f>
        <v>535</v>
      </c>
      <c r="L284" s="959">
        <f>Calculation!F287</f>
        <v>250</v>
      </c>
      <c r="M284" s="959">
        <f>Calculation!E287</f>
        <v>250</v>
      </c>
      <c r="N284" s="959">
        <f>Calculation!D287</f>
        <v>300</v>
      </c>
      <c r="O284" s="985">
        <f>Sheet1!DC289</f>
        <v>1133.8</v>
      </c>
      <c r="P284" s="986">
        <f>Calculation!FD287</f>
        <v>1113.5944444443885</v>
      </c>
      <c r="Q284" s="994">
        <f>Calculation!DP287</f>
        <v>19131.000000046843</v>
      </c>
      <c r="R284" s="985">
        <f t="shared" si="70"/>
        <v>18512.000000046843</v>
      </c>
      <c r="S284" s="987">
        <f t="shared" si="74"/>
        <v>-640.50000000207729</v>
      </c>
      <c r="T284" s="994">
        <f ca="1">IF(A284&gt;$A$1,#N/A,VLOOKUP(A284,Calculation!$B$8:$JF$503,40,FALSE))</f>
        <v>4031.672532812303</v>
      </c>
      <c r="U284" s="987">
        <f t="shared" si="75"/>
        <v>17.415407488151658</v>
      </c>
      <c r="V284" s="987">
        <f>Calculation!AZ287</f>
        <v>0</v>
      </c>
      <c r="W284" s="994">
        <f t="shared" ca="1" si="68"/>
        <v>6150.0424000000066</v>
      </c>
      <c r="X284" s="1096">
        <v>190</v>
      </c>
      <c r="Y284" s="987">
        <v>0</v>
      </c>
      <c r="Z284" s="987">
        <f t="shared" ca="1" si="76"/>
        <v>6150.0424000000066</v>
      </c>
      <c r="AA284" s="994">
        <f t="shared" ca="1" si="71"/>
        <v>8949.2850672345339</v>
      </c>
      <c r="AB284" s="1093">
        <f t="shared" ca="1" si="72"/>
        <v>8330.2850672345339</v>
      </c>
      <c r="AC284" s="954">
        <f ca="1">IF(A284&gt;$A$1,VLOOKUP(A284,Calculation!$B$8:$JF$880,165,FALSE),VLOOKUP(A284,Calculation!$B$8:$JF$880,165,FALSE))</f>
        <v>8570</v>
      </c>
      <c r="AD284" s="418">
        <f t="shared" ca="1" si="77"/>
        <v>-210</v>
      </c>
      <c r="AE284" s="418"/>
      <c r="AF284" s="935">
        <f>Calculation!G287</f>
        <v>212.00453857686477</v>
      </c>
      <c r="AG284" s="941" t="str">
        <f t="shared" si="78"/>
        <v>Yes</v>
      </c>
      <c r="AH284" s="941" t="str">
        <f t="shared" si="79"/>
        <v>Yes</v>
      </c>
      <c r="AI284" s="963">
        <v>20869.800000048021</v>
      </c>
      <c r="AJ284" s="964">
        <v>18524.800000045532</v>
      </c>
      <c r="AK284" s="964">
        <v>22253.800000056643</v>
      </c>
      <c r="AN284" s="447"/>
      <c r="AO284" s="430"/>
      <c r="AP284" s="462"/>
      <c r="AQ284" s="461"/>
      <c r="AR284" s="461"/>
      <c r="AS284" s="463"/>
      <c r="AU284" s="453"/>
      <c r="AV284" s="452"/>
      <c r="AW284" s="453"/>
      <c r="AX284" s="452"/>
      <c r="AY284" s="453"/>
      <c r="AZ284" s="452"/>
      <c r="BA284" s="449"/>
    </row>
    <row r="285" spans="1:53" ht="13.5" thickBot="1">
      <c r="A285" s="425">
        <v>41916</v>
      </c>
      <c r="B285" s="954">
        <f t="shared" si="73"/>
        <v>89.942579999999992</v>
      </c>
      <c r="C285" s="954">
        <f>Calculation!AK288</f>
        <v>0</v>
      </c>
      <c r="D285" s="954">
        <f>Calculation!AI288</f>
        <v>17.016999999999999</v>
      </c>
      <c r="E285" s="954">
        <f>Calculation!AE288</f>
        <v>48.173580000000001</v>
      </c>
      <c r="F285" s="954">
        <f>Calculation!AF288</f>
        <v>41.768999999999998</v>
      </c>
      <c r="G285" s="954">
        <f>Calculation!AG288</f>
        <v>0</v>
      </c>
      <c r="H285" s="955">
        <f>Sheet1!H290</f>
        <v>0.96</v>
      </c>
      <c r="I285" s="935">
        <f>Sheet1!DA290</f>
        <v>581</v>
      </c>
      <c r="J285" s="935">
        <f>Sheet1!DB290</f>
        <v>444</v>
      </c>
      <c r="K285" s="935">
        <f>Sheet1!CZ290</f>
        <v>531</v>
      </c>
      <c r="L285" s="959">
        <f>Calculation!F288</f>
        <v>250</v>
      </c>
      <c r="M285" s="959">
        <f>Calculation!E288</f>
        <v>250</v>
      </c>
      <c r="N285" s="959">
        <f>Calculation!D288</f>
        <v>300</v>
      </c>
      <c r="O285" s="985">
        <f>Sheet1!DC290</f>
        <v>1132.8</v>
      </c>
      <c r="P285" s="986">
        <f>Calculation!FD288</f>
        <v>1113.0028571428018</v>
      </c>
      <c r="Q285" s="994">
        <f>Calculation!DP288</f>
        <v>18500.000000045533</v>
      </c>
      <c r="R285" s="985">
        <f t="shared" si="70"/>
        <v>17881.000000045533</v>
      </c>
      <c r="S285" s="987">
        <f t="shared" si="74"/>
        <v>-631.00000000130967</v>
      </c>
      <c r="T285" s="994">
        <f ca="1">IF(A285&gt;$A$1,#N/A,VLOOKUP(A285,Calculation!$B$8:$JF$503,40,FALSE))</f>
        <v>3997.9245328123029</v>
      </c>
      <c r="U285" s="987">
        <f t="shared" si="75"/>
        <v>17.016999999999999</v>
      </c>
      <c r="V285" s="987">
        <f>Calculation!AZ288</f>
        <v>0</v>
      </c>
      <c r="W285" s="994">
        <f t="shared" ca="1" si="68"/>
        <v>5793.102400000007</v>
      </c>
      <c r="X285" s="1096">
        <v>180</v>
      </c>
      <c r="Y285" s="987">
        <v>0</v>
      </c>
      <c r="Z285" s="987">
        <f t="shared" ca="1" si="76"/>
        <v>5793.102400000007</v>
      </c>
      <c r="AA285" s="994">
        <f t="shared" ca="1" si="71"/>
        <v>8708.9730672332225</v>
      </c>
      <c r="AB285" s="1093">
        <f t="shared" ca="1" si="72"/>
        <v>8089.9730672332225</v>
      </c>
      <c r="AC285" s="954">
        <f ca="1">IF(A285&gt;$A$1,VLOOKUP(A285,Calculation!$B$8:$JF$880,165,FALSE),VLOOKUP(A285,Calculation!$B$8:$JF$880,165,FALSE))</f>
        <v>8361</v>
      </c>
      <c r="AD285" s="418">
        <f t="shared" ca="1" si="77"/>
        <v>-209</v>
      </c>
      <c r="AE285" s="418"/>
      <c r="AF285" s="935">
        <f>Calculation!G288</f>
        <v>212.79525970685347</v>
      </c>
      <c r="AG285" s="941" t="str">
        <f t="shared" si="78"/>
        <v>Yes</v>
      </c>
      <c r="AH285" s="941" t="str">
        <f t="shared" si="79"/>
        <v>Yes</v>
      </c>
      <c r="AI285" s="963">
        <v>20132.400000046033</v>
      </c>
      <c r="AJ285" s="964">
        <v>17849.000000043518</v>
      </c>
      <c r="AK285" s="964">
        <v>20557.900000051188</v>
      </c>
      <c r="AN285" s="447"/>
      <c r="AO285" s="430"/>
      <c r="AP285" s="462"/>
      <c r="AQ285" s="461"/>
      <c r="AR285" s="461"/>
      <c r="AS285" s="463"/>
      <c r="AU285" s="453"/>
      <c r="AV285" s="452"/>
      <c r="AW285" s="453"/>
      <c r="AX285" s="452"/>
      <c r="AY285" s="453"/>
      <c r="AZ285" s="452"/>
      <c r="BA285" s="449"/>
    </row>
    <row r="286" spans="1:53" ht="13.5" thickBot="1">
      <c r="A286" s="425">
        <v>41917</v>
      </c>
      <c r="B286" s="954">
        <f t="shared" si="73"/>
        <v>89.988990000000001</v>
      </c>
      <c r="C286" s="954">
        <f>Calculation!AK289</f>
        <v>0</v>
      </c>
      <c r="D286" s="954">
        <f>Calculation!AI289</f>
        <v>17.016999999999999</v>
      </c>
      <c r="E286" s="954">
        <f>Calculation!AE289</f>
        <v>48.219990000000003</v>
      </c>
      <c r="F286" s="954">
        <f>Calculation!AF289</f>
        <v>41.768999999999998</v>
      </c>
      <c r="G286" s="954">
        <f>Calculation!AG289</f>
        <v>0</v>
      </c>
      <c r="H286" s="955">
        <f>Sheet1!H291</f>
        <v>0.94</v>
      </c>
      <c r="I286" s="935">
        <f>Sheet1!DA291</f>
        <v>576</v>
      </c>
      <c r="J286" s="935">
        <f>Sheet1!DB291</f>
        <v>441</v>
      </c>
      <c r="K286" s="935">
        <f>Sheet1!CZ291</f>
        <v>527</v>
      </c>
      <c r="L286" s="959">
        <f>Calculation!F289</f>
        <v>250</v>
      </c>
      <c r="M286" s="959">
        <f>Calculation!E289</f>
        <v>250</v>
      </c>
      <c r="N286" s="959">
        <f>Calculation!D289</f>
        <v>300</v>
      </c>
      <c r="O286" s="985">
        <f>Sheet1!DC291</f>
        <v>1131.77</v>
      </c>
      <c r="P286" s="986">
        <f>Calculation!FD289</f>
        <v>1112.3911764705333</v>
      </c>
      <c r="Q286" s="994">
        <f>Calculation!DP289</f>
        <v>17867.000000043518</v>
      </c>
      <c r="R286" s="985">
        <f t="shared" si="70"/>
        <v>17248.000000043518</v>
      </c>
      <c r="S286" s="987">
        <f t="shared" si="74"/>
        <v>-633.00000000201544</v>
      </c>
      <c r="T286" s="994">
        <f ca="1">IF(A286&gt;$A$1,#N/A,VLOOKUP(A286,Calculation!$B$8:$JF$503,40,FALSE))</f>
        <v>3964.1765328123029</v>
      </c>
      <c r="U286" s="987">
        <f t="shared" si="75"/>
        <v>17.016999999999999</v>
      </c>
      <c r="V286" s="987">
        <f>Calculation!AZ289</f>
        <v>0</v>
      </c>
      <c r="W286" s="994">
        <f t="shared" ref="W286:W346" ca="1" si="80">IF(A286&gt;=$A$1,#N/A,W285-X286*1.983)</f>
        <v>5436.1624000000074</v>
      </c>
      <c r="X286" s="1096">
        <v>180</v>
      </c>
      <c r="Y286" s="987">
        <v>0</v>
      </c>
      <c r="Z286" s="987">
        <f t="shared" ca="1" si="76"/>
        <v>5436.1624000000074</v>
      </c>
      <c r="AA286" s="994">
        <f t="shared" ca="1" si="71"/>
        <v>8466.6610672312054</v>
      </c>
      <c r="AB286" s="1093">
        <f t="shared" ca="1" si="72"/>
        <v>7847.6610672312054</v>
      </c>
      <c r="AC286" s="954">
        <f ca="1">IF(A286&gt;$A$1,VLOOKUP(A286,Calculation!$B$8:$JF$880,165,FALSE),VLOOKUP(A286,Calculation!$B$8:$JF$880,165,FALSE))</f>
        <v>8151</v>
      </c>
      <c r="AD286" s="418">
        <f t="shared" ca="1" si="77"/>
        <v>-210</v>
      </c>
      <c r="AE286" s="418"/>
      <c r="AF286" s="935">
        <f>Calculation!G289</f>
        <v>207.78668683710777</v>
      </c>
      <c r="AG286" s="941" t="str">
        <f t="shared" si="78"/>
        <v>Yes</v>
      </c>
      <c r="AH286" s="941" t="str">
        <f t="shared" si="79"/>
        <v>Yes</v>
      </c>
      <c r="AI286" s="963">
        <v>19346.440000043949</v>
      </c>
      <c r="AJ286" s="964">
        <v>17202.400000042257</v>
      </c>
      <c r="AK286" s="964">
        <v>18972.000000047439</v>
      </c>
      <c r="AN286" s="447"/>
      <c r="AO286" s="430"/>
      <c r="AP286" s="462"/>
      <c r="AQ286" s="461"/>
      <c r="AR286" s="461"/>
      <c r="AS286" s="463"/>
      <c r="AU286" s="453"/>
      <c r="AV286" s="452"/>
      <c r="AW286" s="453"/>
      <c r="AX286" s="452"/>
      <c r="AY286" s="453"/>
      <c r="AZ286" s="452"/>
      <c r="BA286" s="449"/>
    </row>
    <row r="287" spans="1:53" ht="13.5" thickBot="1">
      <c r="A287" s="425">
        <v>41918</v>
      </c>
      <c r="B287" s="954">
        <f t="shared" si="73"/>
        <v>89.927109999999999</v>
      </c>
      <c r="C287" s="954">
        <f>Calculation!AK290</f>
        <v>0</v>
      </c>
      <c r="D287" s="954">
        <f>Calculation!AI290</f>
        <v>19.337499999999999</v>
      </c>
      <c r="E287" s="954">
        <f>Calculation!AE290</f>
        <v>48.250929999999997</v>
      </c>
      <c r="F287" s="954">
        <f>Calculation!AF290</f>
        <v>41.676180000000002</v>
      </c>
      <c r="G287" s="954">
        <f>Calculation!AG290</f>
        <v>0</v>
      </c>
      <c r="H287" s="955">
        <f>Sheet1!H292</f>
        <v>0.96</v>
      </c>
      <c r="I287" s="935">
        <f>Sheet1!DA292</f>
        <v>570</v>
      </c>
      <c r="J287" s="935">
        <f>Sheet1!DB292</f>
        <v>438</v>
      </c>
      <c r="K287" s="935">
        <f>Sheet1!CZ292</f>
        <v>527</v>
      </c>
      <c r="L287" s="959">
        <f>Calculation!F290</f>
        <v>250</v>
      </c>
      <c r="M287" s="959">
        <f>Calculation!E290</f>
        <v>250</v>
      </c>
      <c r="N287" s="959">
        <f>Calculation!D290</f>
        <v>300</v>
      </c>
      <c r="O287" s="985">
        <f>Sheet1!DC292</f>
        <v>1130.69</v>
      </c>
      <c r="P287" s="986">
        <f>Calculation!FD290</f>
        <v>1111.7705882352398</v>
      </c>
      <c r="Q287" s="994">
        <f>Calculation!DP290</f>
        <v>17220.100000042257</v>
      </c>
      <c r="R287" s="985">
        <f t="shared" si="70"/>
        <v>16601.100000042257</v>
      </c>
      <c r="S287" s="987">
        <f t="shared" si="74"/>
        <v>-646.9000000012602</v>
      </c>
      <c r="T287" s="994">
        <f ca="1">IF(A287&gt;$A$1,#N/A,VLOOKUP(A287,Calculation!$B$8:$JF$503,40,FALSE))</f>
        <v>3925.826532812303</v>
      </c>
      <c r="U287" s="987">
        <f t="shared" si="75"/>
        <v>19.337499999999999</v>
      </c>
      <c r="V287" s="987">
        <f>Calculation!AZ290</f>
        <v>0</v>
      </c>
      <c r="W287" s="994">
        <f t="shared" ca="1" si="80"/>
        <v>5079.2224000000078</v>
      </c>
      <c r="X287" s="1096">
        <v>180</v>
      </c>
      <c r="Y287" s="987">
        <v>0</v>
      </c>
      <c r="Z287" s="987">
        <f t="shared" ca="1" si="76"/>
        <v>5079.2224000000078</v>
      </c>
      <c r="AA287" s="994">
        <f t="shared" ca="1" si="71"/>
        <v>8215.0510672299461</v>
      </c>
      <c r="AB287" s="1093">
        <f t="shared" ca="1" si="72"/>
        <v>7596.0510672299461</v>
      </c>
      <c r="AC287" s="954">
        <f ca="1">IF(A287&gt;$A$1,VLOOKUP(A287,Calculation!$B$8:$JF$880,165,FALSE),VLOOKUP(A287,Calculation!$B$8:$JF$880,165,FALSE))</f>
        <v>7941</v>
      </c>
      <c r="AD287" s="418">
        <f t="shared" ca="1" si="77"/>
        <v>-210</v>
      </c>
      <c r="AE287" s="418"/>
      <c r="AF287" s="935">
        <f>Calculation!G290</f>
        <v>200.7771053952294</v>
      </c>
      <c r="AG287" s="941" t="str">
        <f t="shared" si="78"/>
        <v>Yes</v>
      </c>
      <c r="AH287" s="941" t="str">
        <f t="shared" si="79"/>
        <v>Yes</v>
      </c>
      <c r="AI287" s="963">
        <v>18575.510000040755</v>
      </c>
      <c r="AJ287" s="964">
        <v>16599.100000040307</v>
      </c>
      <c r="AK287" s="964">
        <v>17487.000000043248</v>
      </c>
      <c r="AN287" s="447"/>
      <c r="AO287" s="430"/>
      <c r="AP287" s="462"/>
      <c r="AQ287" s="461"/>
      <c r="AR287" s="461"/>
      <c r="AS287" s="463"/>
      <c r="AU287" s="453"/>
      <c r="AV287" s="452"/>
      <c r="AW287" s="453"/>
      <c r="AX287" s="452"/>
      <c r="AY287" s="453"/>
      <c r="AZ287" s="452"/>
      <c r="BA287" s="449"/>
    </row>
    <row r="288" spans="1:53" ht="13.5" thickBot="1">
      <c r="A288" s="425">
        <v>41919</v>
      </c>
      <c r="B288" s="954">
        <f t="shared" si="73"/>
        <v>92.2012</v>
      </c>
      <c r="C288" s="954">
        <f>Calculation!AK291</f>
        <v>0</v>
      </c>
      <c r="D288" s="954">
        <f>Calculation!AI291</f>
        <v>19.337499999999999</v>
      </c>
      <c r="E288" s="954">
        <f>Calculation!AE291</f>
        <v>48.111699999999999</v>
      </c>
      <c r="F288" s="954">
        <f>Calculation!AF291</f>
        <v>44.089500000000001</v>
      </c>
      <c r="G288" s="954">
        <f>Calculation!AG291</f>
        <v>0</v>
      </c>
      <c r="H288" s="955">
        <f>Sheet1!H293</f>
        <v>1.18</v>
      </c>
      <c r="I288" s="935">
        <f>Sheet1!DA293</f>
        <v>560</v>
      </c>
      <c r="J288" s="935">
        <f>Sheet1!DB293</f>
        <v>455</v>
      </c>
      <c r="K288" s="935">
        <f>Sheet1!CZ293</f>
        <v>600</v>
      </c>
      <c r="L288" s="959">
        <f>Calculation!F291</f>
        <v>250</v>
      </c>
      <c r="M288" s="959">
        <f>Calculation!E291</f>
        <v>250</v>
      </c>
      <c r="N288" s="959">
        <f>Calculation!D291</f>
        <v>300</v>
      </c>
      <c r="O288" s="985">
        <f>Sheet1!DC293</f>
        <v>1129.5</v>
      </c>
      <c r="P288" s="986">
        <f>Calculation!FD291</f>
        <v>1111.1424242423705</v>
      </c>
      <c r="Q288" s="994">
        <f>Calculation!DP291</f>
        <v>16524.000000040884</v>
      </c>
      <c r="R288" s="985">
        <f t="shared" si="70"/>
        <v>15905.000000040884</v>
      </c>
      <c r="S288" s="987">
        <f t="shared" si="74"/>
        <v>-696.1000000013737</v>
      </c>
      <c r="T288" s="994">
        <f ca="1">IF(A288&gt;$A$1,#N/A,VLOOKUP(A288,Calculation!$B$8:$JF$503,40,FALSE))</f>
        <v>2887.3085328123029</v>
      </c>
      <c r="U288" s="987">
        <f t="shared" si="75"/>
        <v>19.337499999999999</v>
      </c>
      <c r="V288" s="987">
        <f>Calculation!AZ291</f>
        <v>0</v>
      </c>
      <c r="W288" s="994">
        <f ca="1">IF(A288&gt;=$A$1,#N/A,W287-X288*1.983)+1000</f>
        <v>5583.4724000000078</v>
      </c>
      <c r="X288" s="994">
        <v>250</v>
      </c>
      <c r="Y288" s="987">
        <v>0</v>
      </c>
      <c r="Z288" s="987">
        <f t="shared" ca="1" si="76"/>
        <v>5583.4724000000078</v>
      </c>
      <c r="AA288" s="994">
        <f t="shared" ca="1" si="71"/>
        <v>8053.2190672285724</v>
      </c>
      <c r="AB288" s="1093">
        <f t="shared" ca="1" si="72"/>
        <v>7434.2190672285724</v>
      </c>
      <c r="AC288" s="954">
        <f ca="1">IF(A288&gt;$A$1,VLOOKUP(A288,Calculation!$B$8:$JF$880,165,FALSE),VLOOKUP(A288,Calculation!$B$8:$JF$880,165,FALSE))</f>
        <v>7732</v>
      </c>
      <c r="AD288" s="418">
        <f t="shared" ca="1" si="77"/>
        <v>-209</v>
      </c>
      <c r="AE288" s="418"/>
      <c r="AF288" s="935">
        <f>Calculation!G291</f>
        <v>248.96621280818277</v>
      </c>
      <c r="AG288" s="941" t="str">
        <f t="shared" si="78"/>
        <v>Yes</v>
      </c>
      <c r="AH288" s="941" t="str">
        <f t="shared" si="79"/>
        <v>Yes</v>
      </c>
      <c r="AI288" s="963">
        <v>17837.920000039048</v>
      </c>
      <c r="AJ288" s="964">
        <v>16011.000000038963</v>
      </c>
      <c r="AK288" s="964">
        <v>16179.000000039918</v>
      </c>
      <c r="AN288" s="447"/>
      <c r="AO288" s="430"/>
      <c r="AP288" s="462"/>
      <c r="AQ288" s="461"/>
      <c r="AR288" s="461"/>
      <c r="AS288" s="463"/>
      <c r="AU288" s="453"/>
      <c r="AV288" s="452"/>
      <c r="AW288" s="453"/>
      <c r="AX288" s="452"/>
      <c r="AY288" s="453"/>
      <c r="AZ288" s="452"/>
      <c r="BA288" s="449"/>
    </row>
    <row r="289" spans="1:53" ht="13.5" thickBot="1">
      <c r="A289" s="425">
        <v>41920</v>
      </c>
      <c r="B289" s="954">
        <f t="shared" si="73"/>
        <v>94.954859999999996</v>
      </c>
      <c r="C289" s="954">
        <f>Calculation!AK292</f>
        <v>0</v>
      </c>
      <c r="D289" s="954">
        <f>Calculation!AI292</f>
        <v>19.473354269918698</v>
      </c>
      <c r="E289" s="954">
        <f>Calculation!AE292</f>
        <v>47.864179999999998</v>
      </c>
      <c r="F289" s="954">
        <f>Calculation!AF292</f>
        <v>47.090679999999999</v>
      </c>
      <c r="G289" s="954">
        <f>Calculation!AG292</f>
        <v>0</v>
      </c>
      <c r="H289" s="955">
        <f>Sheet1!H294</f>
        <v>1.04</v>
      </c>
      <c r="I289" s="935">
        <f>Sheet1!DA294</f>
        <v>624</v>
      </c>
      <c r="J289" s="935">
        <f>Sheet1!DB294</f>
        <v>441</v>
      </c>
      <c r="K289" s="935">
        <f>Sheet1!CZ294</f>
        <v>585</v>
      </c>
      <c r="L289" s="959">
        <f>Calculation!F292</f>
        <v>250</v>
      </c>
      <c r="M289" s="959">
        <f>Calculation!E292</f>
        <v>250</v>
      </c>
      <c r="N289" s="959">
        <f>Calculation!D292</f>
        <v>300</v>
      </c>
      <c r="O289" s="985">
        <f>Sheet1!DC294</f>
        <v>1128.1300000000001</v>
      </c>
      <c r="P289" s="986">
        <f>Calculation!FD292</f>
        <v>1110.4969696969165</v>
      </c>
      <c r="Q289" s="994">
        <f>Calculation!DP292</f>
        <v>15746.800000038835</v>
      </c>
      <c r="R289" s="985">
        <f t="shared" si="70"/>
        <v>15127.800000038835</v>
      </c>
      <c r="S289" s="987">
        <f t="shared" si="74"/>
        <v>-777.20000000204891</v>
      </c>
      <c r="T289" s="994">
        <f ca="1">IF(A289&gt;$A$1,#N/A,VLOOKUP(A289,Calculation!$B$8:$JF$503,40,FALSE))</f>
        <v>2848.6891075375065</v>
      </c>
      <c r="U289" s="987">
        <f t="shared" si="75"/>
        <v>19.473354269918698</v>
      </c>
      <c r="V289" s="987">
        <f>Calculation!AZ292</f>
        <v>0</v>
      </c>
      <c r="W289" s="994">
        <f ca="1">IF(A289&gt;=$A$1,#N/A,W288-X289*1.983)</f>
        <v>5087.7224000000078</v>
      </c>
      <c r="X289" s="994">
        <v>250</v>
      </c>
      <c r="Y289" s="987">
        <v>0</v>
      </c>
      <c r="Z289" s="987">
        <f t="shared" ca="1" si="76"/>
        <v>5087.7224000000078</v>
      </c>
      <c r="AA289" s="994">
        <f t="shared" ca="1" si="71"/>
        <v>7810.3884925013208</v>
      </c>
      <c r="AB289" s="1093">
        <f t="shared" ca="1" si="72"/>
        <v>7191.3884925013208</v>
      </c>
      <c r="AC289" s="954">
        <f ca="1">IF(A289&gt;$A$1,VLOOKUP(A289,Calculation!$B$8:$JF$880,165,FALSE),VLOOKUP(A289,Calculation!$B$8:$JF$880,165,FALSE))</f>
        <v>7522</v>
      </c>
      <c r="AD289" s="418">
        <f t="shared" ca="1" si="77"/>
        <v>-210</v>
      </c>
      <c r="AE289" s="418"/>
      <c r="AF289" s="935">
        <f>Calculation!G292</f>
        <v>193.06858295408534</v>
      </c>
      <c r="AG289" s="941" t="str">
        <f t="shared" si="78"/>
        <v>Yes</v>
      </c>
      <c r="AH289" s="941" t="str">
        <f t="shared" si="79"/>
        <v>Yes</v>
      </c>
      <c r="AI289" s="963">
        <v>17041.820000037394</v>
      </c>
      <c r="AJ289" s="964">
        <v>15438.800000037079</v>
      </c>
      <c r="AK289" s="964">
        <v>15685.200000038709</v>
      </c>
      <c r="AN289" s="447"/>
      <c r="AO289" s="430"/>
      <c r="AP289" s="462"/>
      <c r="AQ289" s="461"/>
      <c r="AR289" s="461"/>
      <c r="AS289" s="463"/>
      <c r="AU289" s="453"/>
      <c r="AV289" s="452"/>
      <c r="AW289" s="453"/>
      <c r="AX289" s="452"/>
      <c r="AY289" s="453"/>
      <c r="AZ289" s="452"/>
      <c r="BA289" s="449"/>
    </row>
    <row r="290" spans="1:53" ht="13.5" thickBot="1">
      <c r="A290" s="425">
        <v>41921</v>
      </c>
      <c r="B290" s="954">
        <f t="shared" si="73"/>
        <v>99.007999999999996</v>
      </c>
      <c r="C290" s="954">
        <f>Calculation!AK293</f>
        <v>0</v>
      </c>
      <c r="D290" s="954">
        <f>Calculation!AI293</f>
        <v>19.575984921402664</v>
      </c>
      <c r="E290" s="954">
        <f>Calculation!AE293</f>
        <v>47.864179999999998</v>
      </c>
      <c r="F290" s="954">
        <f>Calculation!AF293</f>
        <v>51.143819999999998</v>
      </c>
      <c r="G290" s="954">
        <f>Calculation!AG293</f>
        <v>0</v>
      </c>
      <c r="H290" s="955">
        <f>Sheet1!H295</f>
        <v>0.89</v>
      </c>
      <c r="I290" s="935">
        <f>Sheet1!DA295</f>
        <v>613</v>
      </c>
      <c r="J290" s="935">
        <f>Sheet1!DB295</f>
        <v>441</v>
      </c>
      <c r="K290" s="935">
        <f>Sheet1!CZ295</f>
        <v>581</v>
      </c>
      <c r="L290" s="959">
        <f>Calculation!F293</f>
        <v>250</v>
      </c>
      <c r="M290" s="959">
        <f>Calculation!E293</f>
        <v>250</v>
      </c>
      <c r="N290" s="959">
        <f>Calculation!D293</f>
        <v>300</v>
      </c>
      <c r="O290" s="985">
        <f>Sheet1!DC295</f>
        <v>1126.75</v>
      </c>
      <c r="P290" s="986">
        <f>Calculation!FD293</f>
        <v>1109.8437499999475</v>
      </c>
      <c r="Q290" s="994">
        <f>Calculation!DP293</f>
        <v>14994.500000036032</v>
      </c>
      <c r="R290" s="985">
        <f t="shared" si="70"/>
        <v>14375.500000036032</v>
      </c>
      <c r="S290" s="987">
        <f t="shared" si="74"/>
        <v>-752.30000000280234</v>
      </c>
      <c r="T290" s="994">
        <f ca="1">IF(A290&gt;$A$1,#N/A,VLOOKUP(A290,Calculation!$B$8:$JF$503,40,FALSE))</f>
        <v>2809.86614584464</v>
      </c>
      <c r="U290" s="987">
        <f t="shared" si="75"/>
        <v>19.575984921402664</v>
      </c>
      <c r="V290" s="987">
        <f>Calculation!AZ293</f>
        <v>0</v>
      </c>
      <c r="W290" s="994">
        <f t="shared" ca="1" si="80"/>
        <v>4691.1224000000075</v>
      </c>
      <c r="X290" s="994">
        <v>200</v>
      </c>
      <c r="Y290" s="987">
        <v>0</v>
      </c>
      <c r="Z290" s="987">
        <f t="shared" ca="1" si="76"/>
        <v>4691.1224000000075</v>
      </c>
      <c r="AA290" s="994">
        <f ca="1">IF(Q290-T290-W290&lt;0,0,Q290-T290-W290)</f>
        <v>7493.5114541913845</v>
      </c>
      <c r="AB290" s="1093">
        <f t="shared" ca="1" si="72"/>
        <v>6874.5114541913845</v>
      </c>
      <c r="AC290" s="954">
        <f ca="1">IF(A290&gt;$A$1,VLOOKUP(A290,Calculation!$B$8:$JF$880,165,FALSE),VLOOKUP(A290,Calculation!$B$8:$JF$880,165,FALSE))</f>
        <v>7312</v>
      </c>
      <c r="AD290" s="418">
        <f t="shared" ca="1" si="77"/>
        <v>-210</v>
      </c>
      <c r="AE290" s="418"/>
      <c r="AF290" s="935">
        <f>Calculation!G293</f>
        <v>201.62531517760857</v>
      </c>
      <c r="AG290" s="941" t="str">
        <f t="shared" si="78"/>
        <v>Yes</v>
      </c>
      <c r="AH290" s="941" t="str">
        <f t="shared" si="79"/>
        <v>Yes</v>
      </c>
      <c r="AI290" s="963">
        <v>16208.31000003503</v>
      </c>
      <c r="AJ290" s="964">
        <v>14871.600000035911</v>
      </c>
      <c r="AK290" s="964">
        <v>15253.500000037642</v>
      </c>
      <c r="AN290" s="447"/>
      <c r="AO290" s="430"/>
      <c r="AP290" s="462"/>
      <c r="AQ290" s="461"/>
      <c r="AR290" s="461"/>
      <c r="AS290" s="463"/>
      <c r="AU290" s="453"/>
      <c r="AV290" s="452"/>
      <c r="AW290" s="453"/>
      <c r="AX290" s="452"/>
      <c r="AY290" s="453"/>
      <c r="AZ290" s="452"/>
      <c r="BA290" s="449"/>
    </row>
    <row r="291" spans="1:53" ht="13.5" thickBot="1">
      <c r="A291" s="425">
        <v>41922</v>
      </c>
      <c r="B291" s="954">
        <f t="shared" si="73"/>
        <v>98.373729999999995</v>
      </c>
      <c r="C291" s="954">
        <f>Calculation!AK294</f>
        <v>0</v>
      </c>
      <c r="D291" s="954">
        <f>Calculation!AI294</f>
        <v>18.96622</v>
      </c>
      <c r="E291" s="954">
        <f>Calculation!AE294</f>
        <v>47.833240000000004</v>
      </c>
      <c r="F291" s="954">
        <f>Calculation!AF294</f>
        <v>50.540489999999998</v>
      </c>
      <c r="G291" s="954">
        <f>Calculation!AG294</f>
        <v>0</v>
      </c>
      <c r="H291" s="955">
        <f>Sheet1!H296</f>
        <v>0.86</v>
      </c>
      <c r="I291" s="935">
        <f>Sheet1!DA296</f>
        <v>635</v>
      </c>
      <c r="J291" s="935">
        <f>Sheet1!DB296</f>
        <v>455</v>
      </c>
      <c r="K291" s="935">
        <f>Sheet1!CZ296</f>
        <v>596</v>
      </c>
      <c r="L291" s="959">
        <f>Calculation!F294</f>
        <v>250</v>
      </c>
      <c r="M291" s="959">
        <f>Calculation!E294</f>
        <v>250</v>
      </c>
      <c r="N291" s="959">
        <f>Calculation!D294</f>
        <v>300</v>
      </c>
      <c r="O291" s="985">
        <f>Sheet1!DC296</f>
        <v>1125.2</v>
      </c>
      <c r="P291" s="986">
        <f>Calculation!FD294</f>
        <v>1109.1781249999481</v>
      </c>
      <c r="Q291" s="994">
        <f>Calculation!DP294</f>
        <v>14180.000000034643</v>
      </c>
      <c r="R291" s="985">
        <f t="shared" si="70"/>
        <v>13561.000000034643</v>
      </c>
      <c r="S291" s="987">
        <f t="shared" si="74"/>
        <v>-814.50000000138971</v>
      </c>
      <c r="T291" s="994">
        <f ca="1">IF(A291&gt;$A$1,#N/A,VLOOKUP(A291,Calculation!$B$8:$JF$503,40,FALSE))</f>
        <v>2772.25246584464</v>
      </c>
      <c r="U291" s="987">
        <f t="shared" si="75"/>
        <v>18.96622</v>
      </c>
      <c r="V291" s="987">
        <f>Calculation!AZ294</f>
        <v>0</v>
      </c>
      <c r="W291" s="994">
        <f t="shared" ca="1" si="80"/>
        <v>4294.5224000000071</v>
      </c>
      <c r="X291" s="994">
        <v>200</v>
      </c>
      <c r="Y291" s="987">
        <v>0</v>
      </c>
      <c r="Z291" s="987">
        <f t="shared" ca="1" si="76"/>
        <v>4294.5224000000071</v>
      </c>
      <c r="AA291" s="994">
        <f t="shared" ca="1" si="71"/>
        <v>7113.2251341899955</v>
      </c>
      <c r="AB291" s="1093">
        <f t="shared" ca="1" si="72"/>
        <v>6494.2251341899955</v>
      </c>
      <c r="AC291" s="954">
        <f ca="1">IF(A291&gt;$A$1,VLOOKUP(A291,Calculation!$B$8:$JF$880,165,FALSE),VLOOKUP(A291,Calculation!$B$8:$JF$880,165,FALSE))</f>
        <v>7103</v>
      </c>
      <c r="AD291" s="418">
        <f t="shared" ca="1" si="77"/>
        <v>-209</v>
      </c>
      <c r="AE291" s="418"/>
      <c r="AF291" s="935">
        <f>Calculation!G294</f>
        <v>185.25869894029773</v>
      </c>
      <c r="AG291" s="941" t="str">
        <f t="shared" si="78"/>
        <v>Yes</v>
      </c>
      <c r="AH291" s="941" t="str">
        <f t="shared" si="79"/>
        <v>Yes</v>
      </c>
      <c r="AI291" s="963">
        <v>15422.960000032665</v>
      </c>
      <c r="AJ291" s="964">
        <v>14278.80000003476</v>
      </c>
      <c r="AK291" s="964">
        <v>14615.600000036344</v>
      </c>
      <c r="AN291" s="447"/>
      <c r="AO291" s="430"/>
      <c r="AP291" s="462"/>
      <c r="AQ291" s="461"/>
      <c r="AR291" s="461"/>
      <c r="AS291" s="463"/>
      <c r="AU291" s="453"/>
      <c r="AV291" s="452"/>
      <c r="AW291" s="453"/>
      <c r="AX291" s="452"/>
      <c r="AY291" s="453"/>
      <c r="AZ291" s="452"/>
      <c r="BA291" s="449"/>
    </row>
    <row r="292" spans="1:53" ht="13.5" thickBot="1">
      <c r="A292" s="425">
        <v>41923</v>
      </c>
      <c r="B292" s="954">
        <f t="shared" si="73"/>
        <v>94.258710000000008</v>
      </c>
      <c r="C292" s="954">
        <f>Calculation!AK295</f>
        <v>0</v>
      </c>
      <c r="D292" s="954">
        <f>Calculation!AI295</f>
        <v>18.625017131474102</v>
      </c>
      <c r="E292" s="954">
        <f>Calculation!AE295</f>
        <v>47.957000000000001</v>
      </c>
      <c r="F292" s="954">
        <f>Calculation!AF295</f>
        <v>46.30171</v>
      </c>
      <c r="G292" s="954">
        <f>Calculation!AG295</f>
        <v>2.0420399999995498</v>
      </c>
      <c r="H292" s="955">
        <f>Sheet1!H297</f>
        <v>4.8</v>
      </c>
      <c r="I292" s="935">
        <f>Sheet1!DA297</f>
        <v>652</v>
      </c>
      <c r="J292" s="935">
        <f>Sheet1!DB297</f>
        <v>478</v>
      </c>
      <c r="K292" s="935">
        <f>Sheet1!CZ297</f>
        <v>592</v>
      </c>
      <c r="L292" s="959">
        <f>Calculation!F295</f>
        <v>250</v>
      </c>
      <c r="M292" s="959">
        <f>Calculation!E295</f>
        <v>250</v>
      </c>
      <c r="N292" s="959">
        <f>Calculation!D295</f>
        <v>300</v>
      </c>
      <c r="O292" s="985">
        <f>Sheet1!DC297</f>
        <v>1124.0999999999999</v>
      </c>
      <c r="P292" s="986">
        <f>Calculation!FD295</f>
        <v>1108.4999999999486</v>
      </c>
      <c r="Q292" s="994">
        <f>Calculation!DP295</f>
        <v>13624.000000032742</v>
      </c>
      <c r="R292" s="985">
        <f t="shared" si="70"/>
        <v>13005.000000032742</v>
      </c>
      <c r="S292" s="987">
        <f t="shared" si="74"/>
        <v>-556.00000000190084</v>
      </c>
      <c r="T292" s="994">
        <f ca="1">IF(A292&gt;$A$1,#N/A,VLOOKUP(A292,Calculation!$B$8:$JF$503,40,FALSE))</f>
        <v>2735.3154570797001</v>
      </c>
      <c r="U292" s="987">
        <f t="shared" si="75"/>
        <v>18.625017131474102</v>
      </c>
      <c r="V292" s="987">
        <f>Calculation!AZ295</f>
        <v>0</v>
      </c>
      <c r="W292" s="994">
        <f t="shared" ca="1" si="80"/>
        <v>3897.9224000000072</v>
      </c>
      <c r="X292" s="994">
        <v>200</v>
      </c>
      <c r="Y292" s="987">
        <v>0</v>
      </c>
      <c r="Z292" s="987">
        <f t="shared" ca="1" si="76"/>
        <v>3897.9224000000072</v>
      </c>
      <c r="AA292" s="994">
        <f t="shared" ca="1" si="71"/>
        <v>6990.7621429530354</v>
      </c>
      <c r="AB292" s="1093">
        <f t="shared" ca="1" si="72"/>
        <v>6371.7621429530354</v>
      </c>
      <c r="AC292" s="954">
        <f ca="1">IF(A292&gt;$A$1,VLOOKUP(A292,Calculation!$B$8:$JF$880,165,FALSE),VLOOKUP(A292,Calculation!$B$8:$JF$880,165,FALSE))</f>
        <v>6893</v>
      </c>
      <c r="AD292" s="418">
        <f t="shared" ca="1" si="77"/>
        <v>-210</v>
      </c>
      <c r="AE292" s="418"/>
      <c r="AF292" s="935">
        <f>Calculation!G295</f>
        <v>311.61674230867334</v>
      </c>
      <c r="AG292" s="941" t="str">
        <f t="shared" si="78"/>
        <v>Yes</v>
      </c>
      <c r="AH292" s="941" t="str">
        <f t="shared" si="79"/>
        <v>Yes</v>
      </c>
      <c r="AI292" s="963">
        <v>15009.680000032218</v>
      </c>
      <c r="AJ292" s="964">
        <v>13618.900000033396</v>
      </c>
      <c r="AK292" s="964">
        <v>14081.200000034525</v>
      </c>
      <c r="AN292" s="447"/>
      <c r="AO292" s="430"/>
      <c r="AP292" s="462"/>
      <c r="AQ292" s="461"/>
      <c r="AR292" s="461"/>
      <c r="AS292" s="463"/>
      <c r="AU292" s="453"/>
      <c r="AV292" s="452"/>
      <c r="AW292" s="453"/>
      <c r="AX292" s="452"/>
      <c r="AY292" s="453"/>
      <c r="AZ292" s="452"/>
      <c r="BA292" s="449"/>
    </row>
    <row r="293" spans="1:53" ht="13.5" thickBot="1">
      <c r="A293" s="425">
        <v>41924</v>
      </c>
      <c r="B293" s="954">
        <f t="shared" si="73"/>
        <v>90.267449999999997</v>
      </c>
      <c r="C293" s="954">
        <f>Calculation!AK296</f>
        <v>0</v>
      </c>
      <c r="D293" s="954">
        <f>Calculation!AI296</f>
        <v>18.564</v>
      </c>
      <c r="E293" s="954">
        <f>Calculation!AE296</f>
        <v>48.189049999999995</v>
      </c>
      <c r="F293" s="954">
        <f>Calculation!AF296</f>
        <v>42.078399999999995</v>
      </c>
      <c r="G293" s="954">
        <f>Calculation!AG296</f>
        <v>0</v>
      </c>
      <c r="H293" s="955">
        <f>Sheet1!H298</f>
        <v>4.8</v>
      </c>
      <c r="I293" s="935">
        <f>Sheet1!DA298</f>
        <v>657</v>
      </c>
      <c r="J293" s="935">
        <f>Sheet1!DB298</f>
        <v>455</v>
      </c>
      <c r="K293" s="935">
        <f>Sheet1!CZ298</f>
        <v>589</v>
      </c>
      <c r="L293" s="959">
        <f>Calculation!F296</f>
        <v>250</v>
      </c>
      <c r="M293" s="959">
        <f>Calculation!E296</f>
        <v>250</v>
      </c>
      <c r="N293" s="959">
        <f>Calculation!D296</f>
        <v>300</v>
      </c>
      <c r="O293" s="985">
        <f>Sheet1!DC298</f>
        <v>1123.04</v>
      </c>
      <c r="P293" s="986">
        <f>Calculation!FD296</f>
        <v>1107.8099999999492</v>
      </c>
      <c r="Q293" s="994">
        <f>Calculation!DP296</f>
        <v>13105.200000030996</v>
      </c>
      <c r="R293" s="985">
        <f t="shared" si="70"/>
        <v>12486.200000030996</v>
      </c>
      <c r="S293" s="987">
        <f t="shared" si="74"/>
        <v>-518.8000000017455</v>
      </c>
      <c r="T293" s="994">
        <f ca="1">IF(A293&gt;$A$1,#N/A,VLOOKUP(A293,Calculation!$B$8:$JF$503,40,FALSE))</f>
        <v>2698.4994570796998</v>
      </c>
      <c r="U293" s="987">
        <f t="shared" si="75"/>
        <v>18.564</v>
      </c>
      <c r="V293" s="987">
        <f>Calculation!AZ296</f>
        <v>0</v>
      </c>
      <c r="W293" s="994">
        <f t="shared" ca="1" si="80"/>
        <v>3600.4724000000074</v>
      </c>
      <c r="X293" s="994">
        <v>150</v>
      </c>
      <c r="Y293" s="987">
        <v>0</v>
      </c>
      <c r="Z293" s="987">
        <f t="shared" ca="1" si="76"/>
        <v>3600.4724000000074</v>
      </c>
      <c r="AA293" s="994">
        <f t="shared" ca="1" si="71"/>
        <v>6806.2281429512896</v>
      </c>
      <c r="AB293" s="1093">
        <f t="shared" ca="1" si="72"/>
        <v>6187.2281429512896</v>
      </c>
      <c r="AC293" s="954">
        <f ca="1">IF(A293&gt;$A$1,VLOOKUP(A293,Calculation!$B$8:$JF$880,165,FALSE),VLOOKUP(A293,Calculation!$B$8:$JF$880,165,FALSE))</f>
        <v>6683</v>
      </c>
      <c r="AD293" s="418">
        <f t="shared" ca="1" si="77"/>
        <v>-210</v>
      </c>
      <c r="AE293" s="418"/>
      <c r="AF293" s="935">
        <f>Calculation!G296</f>
        <v>327.3761976794022</v>
      </c>
      <c r="AG293" s="941" t="str">
        <f t="shared" si="78"/>
        <v>Yes</v>
      </c>
      <c r="AH293" s="941" t="str">
        <f t="shared" si="79"/>
        <v>Yes</v>
      </c>
      <c r="AI293" s="963">
        <v>14615.600000031105</v>
      </c>
      <c r="AJ293" s="964">
        <v>12925.200000030243</v>
      </c>
      <c r="AK293" s="964">
        <v>13563.200000032088</v>
      </c>
      <c r="AN293" s="447"/>
      <c r="AO293" s="430"/>
      <c r="AP293" s="462"/>
      <c r="AQ293" s="461"/>
      <c r="AR293" s="461"/>
      <c r="AS293" s="463"/>
      <c r="AU293" s="453"/>
      <c r="AV293" s="452"/>
      <c r="AW293" s="453"/>
      <c r="AX293" s="452"/>
      <c r="AY293" s="453"/>
      <c r="AZ293" s="452"/>
      <c r="BA293" s="449"/>
    </row>
    <row r="294" spans="1:53" ht="13.5" thickBot="1">
      <c r="A294" s="425">
        <v>41925</v>
      </c>
      <c r="B294" s="954">
        <f t="shared" si="73"/>
        <v>89.958049999999986</v>
      </c>
      <c r="C294" s="954">
        <f>Calculation!AK297</f>
        <v>0</v>
      </c>
      <c r="D294" s="954">
        <f>Calculation!AI297</f>
        <v>17.933824999999999</v>
      </c>
      <c r="E294" s="954">
        <f>Calculation!AE297</f>
        <v>48.189049999999995</v>
      </c>
      <c r="F294" s="954">
        <f>Calculation!AF297</f>
        <v>41.768999999999998</v>
      </c>
      <c r="G294" s="954">
        <f>Calculation!AG297</f>
        <v>0</v>
      </c>
      <c r="H294" s="955">
        <f>Sheet1!H299</f>
        <v>3.5</v>
      </c>
      <c r="I294" s="935">
        <f>Sheet1!DA299</f>
        <v>657</v>
      </c>
      <c r="J294" s="935">
        <f>Sheet1!DB299</f>
        <v>464</v>
      </c>
      <c r="K294" s="935">
        <f>Sheet1!CZ299</f>
        <v>581</v>
      </c>
      <c r="L294" s="959">
        <f>Calculation!F297</f>
        <v>250</v>
      </c>
      <c r="M294" s="959">
        <f>Calculation!E297</f>
        <v>250</v>
      </c>
      <c r="N294" s="959">
        <f>Calculation!D297</f>
        <v>300</v>
      </c>
      <c r="O294" s="985">
        <f>Sheet1!DC299</f>
        <v>1121.75</v>
      </c>
      <c r="P294" s="986">
        <f>Calculation!FD297</f>
        <v>1107.1133333332832</v>
      </c>
      <c r="Q294" s="994">
        <f>Calculation!DP297</f>
        <v>12499.500000028547</v>
      </c>
      <c r="R294" s="985">
        <f t="shared" si="70"/>
        <v>11880.500000028547</v>
      </c>
      <c r="S294" s="987">
        <f t="shared" si="74"/>
        <v>-605.70000000244909</v>
      </c>
      <c r="T294" s="994">
        <f ca="1">IF(A294&gt;$A$1,#N/A,VLOOKUP(A294,Calculation!$B$8:$JF$503,40,FALSE))</f>
        <v>2662.9332159032292</v>
      </c>
      <c r="U294" s="987">
        <f t="shared" si="75"/>
        <v>17.933824999999999</v>
      </c>
      <c r="V294" s="987">
        <f>Calculation!AZ297</f>
        <v>0</v>
      </c>
      <c r="W294" s="994">
        <f t="shared" ca="1" si="80"/>
        <v>3253.4474000000073</v>
      </c>
      <c r="X294" s="994">
        <v>175</v>
      </c>
      <c r="Y294" s="987">
        <v>0</v>
      </c>
      <c r="Z294" s="987">
        <f t="shared" ca="1" si="76"/>
        <v>3253.4474000000073</v>
      </c>
      <c r="AA294" s="994">
        <f t="shared" ca="1" si="71"/>
        <v>6583.1193841253107</v>
      </c>
      <c r="AB294" s="1093">
        <f t="shared" ca="1" si="72"/>
        <v>5964.1193841253107</v>
      </c>
      <c r="AC294" s="954">
        <f ca="1">IF(A294&gt;$A$1,VLOOKUP(A294,Calculation!$B$8:$JF$880,165,FALSE),VLOOKUP(A294,Calculation!$B$8:$JF$880,165,FALSE))</f>
        <v>6474</v>
      </c>
      <c r="AD294" s="418">
        <f t="shared" ca="1" si="77"/>
        <v>-209</v>
      </c>
      <c r="AE294" s="418"/>
      <c r="AF294" s="935">
        <f>Calculation!G297</f>
        <v>275.55370650406002</v>
      </c>
      <c r="AG294" s="941" t="str">
        <f t="shared" si="78"/>
        <v>Yes</v>
      </c>
      <c r="AH294" s="941" t="str">
        <f t="shared" si="79"/>
        <v>Yes</v>
      </c>
      <c r="AI294" s="963">
        <v>13955.170000028991</v>
      </c>
      <c r="AJ294" s="964">
        <v>12212.200000028868</v>
      </c>
      <c r="AK294" s="964">
        <v>13066.800000030995</v>
      </c>
      <c r="AN294" s="447"/>
      <c r="AO294" s="430"/>
      <c r="AP294" s="462"/>
      <c r="AQ294" s="461"/>
      <c r="AR294" s="461"/>
      <c r="AS294" s="463"/>
      <c r="AU294" s="453"/>
      <c r="AV294" s="452"/>
      <c r="AW294" s="453"/>
      <c r="AX294" s="452"/>
      <c r="AY294" s="453"/>
      <c r="AZ294" s="452"/>
      <c r="BA294" s="449"/>
    </row>
    <row r="295" spans="1:53" ht="13.5" thickBot="1">
      <c r="A295" s="425">
        <v>41926</v>
      </c>
      <c r="B295" s="954">
        <f t="shared" si="73"/>
        <v>90.112749999999991</v>
      </c>
      <c r="C295" s="954">
        <f>Calculation!AK298</f>
        <v>0</v>
      </c>
      <c r="D295" s="954">
        <f>Calculation!AI298</f>
        <v>17.791708415622697</v>
      </c>
      <c r="E295" s="954">
        <f>Calculation!AE298</f>
        <v>48.250929999999997</v>
      </c>
      <c r="F295" s="954">
        <f>Calculation!AF298</f>
        <v>41.861819999999994</v>
      </c>
      <c r="G295" s="954">
        <f>Calculation!AG298</f>
        <v>0</v>
      </c>
      <c r="H295" s="955">
        <f>Sheet1!H300</f>
        <v>2.96</v>
      </c>
      <c r="I295" s="935">
        <f>Sheet1!DA300</f>
        <v>855</v>
      </c>
      <c r="J295" s="935">
        <f>Sheet1!DB300</f>
        <v>614</v>
      </c>
      <c r="K295" s="935">
        <f>Sheet1!CZ300</f>
        <v>740</v>
      </c>
      <c r="L295" s="959">
        <f>Calculation!F298</f>
        <v>250</v>
      </c>
      <c r="M295" s="959">
        <f>Calculation!E298</f>
        <v>250</v>
      </c>
      <c r="N295" s="959">
        <f>Calculation!D298</f>
        <v>300</v>
      </c>
      <c r="O295" s="985">
        <f>Sheet1!DC300</f>
        <v>1120.22</v>
      </c>
      <c r="P295" s="986">
        <f>Calculation!FD298</f>
        <v>1106.3999999999505</v>
      </c>
      <c r="Q295" s="994">
        <f>Calculation!DP298</f>
        <v>11812.800000027311</v>
      </c>
      <c r="R295" s="985">
        <f t="shared" si="70"/>
        <v>11193.800000027311</v>
      </c>
      <c r="S295" s="987">
        <f t="shared" si="74"/>
        <v>-686.70000000123582</v>
      </c>
      <c r="T295" s="994">
        <f ca="1">IF(A295&gt;$A$1,#N/A,VLOOKUP(A295,Calculation!$B$8:$JF$503,40,FALSE))</f>
        <v>2627.6488193814903</v>
      </c>
      <c r="U295" s="987">
        <f t="shared" si="75"/>
        <v>17.791708415622697</v>
      </c>
      <c r="V295" s="987">
        <f>Calculation!AZ298</f>
        <v>0</v>
      </c>
      <c r="W295" s="994">
        <f t="shared" ca="1" si="80"/>
        <v>2856.8474000000074</v>
      </c>
      <c r="X295" s="994">
        <v>200</v>
      </c>
      <c r="Y295" s="987">
        <v>0</v>
      </c>
      <c r="Z295" s="987">
        <f t="shared" ca="1" si="76"/>
        <v>2856.8474000000074</v>
      </c>
      <c r="AA295" s="994">
        <f t="shared" ca="1" si="71"/>
        <v>6328.3037806458142</v>
      </c>
      <c r="AB295" s="1093">
        <f t="shared" ca="1" si="72"/>
        <v>5709.3037806458142</v>
      </c>
      <c r="AC295" s="954">
        <f ca="1">IF(A295&gt;$A$1,VLOOKUP(A295,Calculation!$B$8:$JF$880,165,FALSE),VLOOKUP(A295,Calculation!$B$8:$JF$880,165,FALSE))</f>
        <v>6264</v>
      </c>
      <c r="AD295" s="418">
        <f t="shared" ca="1" si="77"/>
        <v>-210</v>
      </c>
      <c r="AE295" s="418"/>
      <c r="AF295" s="935">
        <f>Calculation!G298</f>
        <v>393.70650529438439</v>
      </c>
      <c r="AG295" s="941" t="str">
        <f t="shared" si="78"/>
        <v>Yes</v>
      </c>
      <c r="AH295" s="941" t="str">
        <f t="shared" si="79"/>
        <v>Yes</v>
      </c>
      <c r="AI295" s="963">
        <v>13157.800000027521</v>
      </c>
      <c r="AJ295" s="964">
        <v>11553.600000026398</v>
      </c>
      <c r="AK295" s="964">
        <v>12380.500000028445</v>
      </c>
      <c r="AN295" s="447"/>
      <c r="AO295" s="430"/>
      <c r="AP295" s="462"/>
      <c r="AQ295" s="461"/>
      <c r="AR295" s="461"/>
      <c r="AS295" s="463"/>
      <c r="AU295" s="453"/>
      <c r="AV295" s="452"/>
      <c r="AW295" s="453"/>
      <c r="AX295" s="452"/>
      <c r="AY295" s="453"/>
      <c r="AZ295" s="452"/>
      <c r="BA295" s="449"/>
    </row>
    <row r="296" spans="1:53" ht="13.5" thickBot="1">
      <c r="A296" s="425">
        <v>41927</v>
      </c>
      <c r="B296" s="954">
        <f t="shared" si="73"/>
        <v>86.090549999999993</v>
      </c>
      <c r="C296" s="954">
        <f>Calculation!AK299</f>
        <v>0</v>
      </c>
      <c r="D296" s="954">
        <f>Calculation!AI299</f>
        <v>13.923</v>
      </c>
      <c r="E296" s="954">
        <f>Calculation!AE299</f>
        <v>46.116069999999993</v>
      </c>
      <c r="F296" s="954">
        <f>Calculation!AF299</f>
        <v>39.97448</v>
      </c>
      <c r="G296" s="954">
        <f>Calculation!AG299</f>
        <v>0</v>
      </c>
      <c r="H296" s="955">
        <f>Sheet1!H301</f>
        <v>1.94</v>
      </c>
      <c r="I296" s="935">
        <f>Sheet1!DA301</f>
        <v>807</v>
      </c>
      <c r="J296" s="935">
        <f>Sheet1!DB301</f>
        <v>533</v>
      </c>
      <c r="K296" s="935">
        <f>Sheet1!CZ301</f>
        <v>653</v>
      </c>
      <c r="L296" s="959">
        <f>Calculation!F299</f>
        <v>250</v>
      </c>
      <c r="M296" s="959">
        <f>Calculation!E299</f>
        <v>250</v>
      </c>
      <c r="N296" s="959">
        <f>Calculation!D299</f>
        <v>300</v>
      </c>
      <c r="O296" s="985">
        <f>Sheet1!DC301</f>
        <v>1118.55</v>
      </c>
      <c r="P296" s="986">
        <f>Calculation!FD299</f>
        <v>1105.6793103447787</v>
      </c>
      <c r="Q296" s="994">
        <f>Calculation!DP299</f>
        <v>11103.000000025402</v>
      </c>
      <c r="R296" s="985">
        <f t="shared" si="70"/>
        <v>10484.000000025402</v>
      </c>
      <c r="S296" s="987">
        <f t="shared" si="74"/>
        <v>-709.80000000190921</v>
      </c>
      <c r="T296" s="994">
        <f ca="1">IF(A296&gt;$A$1,#N/A,VLOOKUP(A296,Calculation!$B$8:$JF$503,40,FALSE))</f>
        <v>2600.0368193814902</v>
      </c>
      <c r="U296" s="987">
        <f t="shared" si="75"/>
        <v>13.923</v>
      </c>
      <c r="V296" s="987">
        <f>Calculation!AZ299</f>
        <v>0</v>
      </c>
      <c r="W296" s="994">
        <f t="shared" ca="1" si="80"/>
        <v>2460.2474000000075</v>
      </c>
      <c r="X296" s="994">
        <v>200</v>
      </c>
      <c r="Y296" s="987">
        <v>0</v>
      </c>
      <c r="Z296" s="987">
        <f t="shared" ca="1" si="76"/>
        <v>2460.2474000000075</v>
      </c>
      <c r="AA296" s="994">
        <f t="shared" ca="1" si="71"/>
        <v>6042.7157806439045</v>
      </c>
      <c r="AB296" s="1093">
        <f t="shared" ca="1" si="72"/>
        <v>5423.7157806439045</v>
      </c>
      <c r="AC296" s="954">
        <f ca="1">IF(A296&gt;$A$1,VLOOKUP(A296,Calculation!$B$8:$JF$880,165,FALSE),VLOOKUP(A296,Calculation!$B$8:$JF$880,165,FALSE))</f>
        <v>6054</v>
      </c>
      <c r="AD296" s="418">
        <f t="shared" ca="1" si="77"/>
        <v>-210</v>
      </c>
      <c r="AE296" s="418"/>
      <c r="AF296" s="935">
        <f>Calculation!G299</f>
        <v>295.0574886525925</v>
      </c>
      <c r="AG296" s="941" t="str">
        <f t="shared" si="78"/>
        <v>Yes</v>
      </c>
      <c r="AH296" s="941" t="str">
        <f t="shared" si="79"/>
        <v>Yes</v>
      </c>
      <c r="AI296" s="963">
        <v>12266.520000024731</v>
      </c>
      <c r="AJ296" s="964">
        <v>10945.700000024704</v>
      </c>
      <c r="AK296" s="964">
        <v>11777.600000027312</v>
      </c>
      <c r="AN296" s="447"/>
      <c r="AO296" s="430"/>
      <c r="AP296" s="462"/>
      <c r="AQ296" s="461"/>
      <c r="AR296" s="461"/>
      <c r="AS296" s="463"/>
      <c r="AU296" s="453"/>
      <c r="AV296" s="452"/>
      <c r="AW296" s="453"/>
      <c r="AX296" s="452"/>
      <c r="AY296" s="453"/>
      <c r="AZ296" s="452"/>
      <c r="BA296" s="449"/>
    </row>
    <row r="297" spans="1:53" ht="13.5" thickBot="1">
      <c r="A297" s="425">
        <v>41928</v>
      </c>
      <c r="B297" s="954">
        <f t="shared" si="73"/>
        <v>83.785519999999991</v>
      </c>
      <c r="C297" s="954">
        <f>Calculation!AK300</f>
        <v>0</v>
      </c>
      <c r="D297" s="954">
        <f>Calculation!AI300</f>
        <v>13.929246793349169</v>
      </c>
      <c r="E297" s="954">
        <f>Calculation!AE300</f>
        <v>44.955819999999996</v>
      </c>
      <c r="F297" s="954">
        <f>Calculation!AF300</f>
        <v>38.829700000000003</v>
      </c>
      <c r="G297" s="954">
        <f>Calculation!AG300</f>
        <v>0</v>
      </c>
      <c r="H297" s="955">
        <f>Sheet1!H302</f>
        <v>2.1</v>
      </c>
      <c r="I297" s="935">
        <f>Sheet1!DA302</f>
        <v>719</v>
      </c>
      <c r="J297" s="935">
        <f>Sheet1!DB302</f>
        <v>508</v>
      </c>
      <c r="K297" s="935">
        <f>Sheet1!CZ302</f>
        <v>616</v>
      </c>
      <c r="L297" s="959">
        <f>Calculation!F300</f>
        <v>250</v>
      </c>
      <c r="M297" s="959">
        <f>Calculation!E300</f>
        <v>250</v>
      </c>
      <c r="N297" s="959">
        <f>Calculation!D300</f>
        <v>300</v>
      </c>
      <c r="O297" s="985">
        <f>Sheet1!DC302</f>
        <v>1117.03</v>
      </c>
      <c r="P297" s="986">
        <f>Calculation!FD300</f>
        <v>1104.9517241378828</v>
      </c>
      <c r="Q297" s="994">
        <f>Calculation!DP300</f>
        <v>10486.300000024237</v>
      </c>
      <c r="R297" s="985">
        <f t="shared" si="70"/>
        <v>9867.3000000242373</v>
      </c>
      <c r="S297" s="987">
        <f t="shared" si="74"/>
        <v>-616.70000000116488</v>
      </c>
      <c r="T297" s="994">
        <f ca="1">IF(A297&gt;$A$1,#N/A,VLOOKUP(A297,Calculation!$B$8:$JF$503,40,FALSE))</f>
        <v>2572.4124307829156</v>
      </c>
      <c r="U297" s="987">
        <f t="shared" si="75"/>
        <v>13.929246793349169</v>
      </c>
      <c r="V297" s="987">
        <f>Calculation!AZ300</f>
        <v>0</v>
      </c>
      <c r="W297" s="994">
        <f t="shared" ca="1" si="80"/>
        <v>2063.6474000000076</v>
      </c>
      <c r="X297" s="994">
        <v>200</v>
      </c>
      <c r="Y297" s="987">
        <v>0</v>
      </c>
      <c r="Z297" s="987">
        <f t="shared" ca="1" si="76"/>
        <v>2063.6474000000076</v>
      </c>
      <c r="AA297" s="994">
        <f t="shared" ca="1" si="71"/>
        <v>5850.240169241315</v>
      </c>
      <c r="AB297" s="1093">
        <f t="shared" ca="1" si="72"/>
        <v>5231.240169241315</v>
      </c>
      <c r="AC297" s="954">
        <f ca="1">IF(A297&gt;$A$1,VLOOKUP(A297,Calculation!$B$8:$JF$880,165,FALSE),VLOOKUP(A297,Calculation!$B$8:$JF$880,165,FALSE))</f>
        <v>5845</v>
      </c>
      <c r="AD297" s="418">
        <f t="shared" ca="1" si="77"/>
        <v>-209</v>
      </c>
      <c r="AE297" s="418"/>
      <c r="AF297" s="935">
        <f>Calculation!G300</f>
        <v>305.00655572306363</v>
      </c>
      <c r="AG297" s="941" t="str">
        <f t="shared" si="78"/>
        <v>Yes</v>
      </c>
      <c r="AH297" s="941" t="str">
        <f t="shared" si="79"/>
        <v>Yes</v>
      </c>
      <c r="AI297" s="963">
        <v>11337.060000022671</v>
      </c>
      <c r="AJ297" s="964">
        <v>10381.400000022966</v>
      </c>
      <c r="AK297" s="964">
        <v>11301.900000026202</v>
      </c>
      <c r="AN297" s="447"/>
      <c r="AO297" s="430"/>
      <c r="AP297" s="462"/>
      <c r="AQ297" s="461"/>
      <c r="AR297" s="461"/>
      <c r="AS297" s="463"/>
      <c r="AU297" s="453"/>
      <c r="AV297" s="452"/>
      <c r="AW297" s="453"/>
      <c r="AX297" s="452"/>
      <c r="AY297" s="453"/>
      <c r="AZ297" s="452"/>
      <c r="BA297" s="449"/>
    </row>
    <row r="298" spans="1:53" ht="13.5" thickBot="1">
      <c r="A298" s="425">
        <v>41929</v>
      </c>
      <c r="B298" s="954">
        <f t="shared" ref="B298:B361" si="81">E298+F298</f>
        <v>83.491590000000002</v>
      </c>
      <c r="C298" s="954">
        <f>Calculation!AK301</f>
        <v>0</v>
      </c>
      <c r="D298" s="954">
        <f>Calculation!AI301</f>
        <v>13.957183212435231</v>
      </c>
      <c r="E298" s="954">
        <f>Calculation!AE301</f>
        <v>44.924879999999995</v>
      </c>
      <c r="F298" s="954">
        <f>Calculation!AF301</f>
        <v>38.56671</v>
      </c>
      <c r="G298" s="954">
        <f>Calculation!AG301</f>
        <v>0</v>
      </c>
      <c r="H298" s="955">
        <f>Sheet1!H303</f>
        <v>1.65</v>
      </c>
      <c r="I298" s="935">
        <f>Sheet1!DA303</f>
        <v>831</v>
      </c>
      <c r="J298" s="935">
        <f>Sheet1!DB303</f>
        <v>581</v>
      </c>
      <c r="K298" s="935">
        <f>Sheet1!CZ303</f>
        <v>683</v>
      </c>
      <c r="L298" s="959">
        <f>Calculation!F301</f>
        <v>250</v>
      </c>
      <c r="M298" s="959">
        <f>Calculation!E301</f>
        <v>250</v>
      </c>
      <c r="N298" s="959">
        <f>Calculation!D301</f>
        <v>300</v>
      </c>
      <c r="O298" s="985">
        <f>Sheet1!DC303</f>
        <v>1115.5999999999999</v>
      </c>
      <c r="P298" s="986">
        <f>Calculation!FD301</f>
        <v>1104.2035714285239</v>
      </c>
      <c r="Q298" s="994">
        <f>Calculation!DP301</f>
        <v>9935.0000000219461</v>
      </c>
      <c r="R298" s="985">
        <f t="shared" si="70"/>
        <v>9316.0000000219461</v>
      </c>
      <c r="S298" s="987">
        <f t="shared" ref="S298:S361" si="82">R298-R297</f>
        <v>-551.3000000022912</v>
      </c>
      <c r="T298" s="994">
        <f ca="1">IF(A298&gt;$A$1,#N/A,VLOOKUP(A298,Calculation!$B$8:$JF$503,40,FALSE))</f>
        <v>2544.7326388658171</v>
      </c>
      <c r="U298" s="987">
        <f t="shared" ref="U298:U361" si="83">D298</f>
        <v>13.957183212435231</v>
      </c>
      <c r="V298" s="987">
        <f>Calculation!AZ301</f>
        <v>0</v>
      </c>
      <c r="W298" s="994">
        <f t="shared" ca="1" si="80"/>
        <v>1667.0474000000077</v>
      </c>
      <c r="X298" s="994">
        <v>200</v>
      </c>
      <c r="Y298" s="987">
        <v>0</v>
      </c>
      <c r="Z298" s="987">
        <f t="shared" ref="Z298:Z361" ca="1" si="84">W298-Y298</f>
        <v>1667.0474000000077</v>
      </c>
      <c r="AA298" s="994">
        <f t="shared" ca="1" si="71"/>
        <v>5723.2199611561218</v>
      </c>
      <c r="AB298" s="1093">
        <f t="shared" ca="1" si="72"/>
        <v>5104.2199611561218</v>
      </c>
      <c r="AC298" s="954">
        <f ca="1">IF(A298&gt;$A$1,VLOOKUP(A298,Calculation!$B$8:$JF$880,165,FALSE),VLOOKUP(A298,Calculation!$B$8:$JF$880,165,FALSE))</f>
        <v>5635</v>
      </c>
      <c r="AD298" s="418">
        <f t="shared" ref="AD298:AD361" ca="1" si="85">AC298-AC297</f>
        <v>-210</v>
      </c>
      <c r="AE298" s="418"/>
      <c r="AF298" s="935">
        <f>Calculation!G301</f>
        <v>404.98688855154256</v>
      </c>
      <c r="AG298" s="941" t="str">
        <f t="shared" ref="AG298:AG361" si="86">IF(I298&gt;L298,"Yes","No")</f>
        <v>Yes</v>
      </c>
      <c r="AH298" s="941" t="str">
        <f t="shared" ref="AH298:AH361" si="87">IF(AND(I298&gt;M298,J298&gt;N298),"Yes","No")</f>
        <v>Yes</v>
      </c>
      <c r="AI298" s="963">
        <v>10376.230000020667</v>
      </c>
      <c r="AJ298" s="964">
        <v>9871.100000021368</v>
      </c>
      <c r="AK298" s="964">
        <v>10856.000000024011</v>
      </c>
      <c r="AN298" s="447"/>
      <c r="AO298" s="430"/>
      <c r="AP298" s="462"/>
      <c r="AQ298" s="461"/>
      <c r="AR298" s="461"/>
      <c r="AS298" s="463"/>
      <c r="AU298" s="453"/>
      <c r="AV298" s="452"/>
      <c r="AW298" s="453"/>
      <c r="AX298" s="452"/>
      <c r="AY298" s="453"/>
      <c r="AZ298" s="452"/>
      <c r="BA298" s="449"/>
    </row>
    <row r="299" spans="1:53" ht="13.5" thickBot="1">
      <c r="A299" s="425">
        <v>41930</v>
      </c>
      <c r="B299" s="954">
        <f t="shared" si="81"/>
        <v>83.646289999999993</v>
      </c>
      <c r="C299" s="954">
        <f>Calculation!AK302</f>
        <v>0</v>
      </c>
      <c r="D299" s="954">
        <f>Calculation!AI302</f>
        <v>13.923</v>
      </c>
      <c r="E299" s="954">
        <f>Calculation!AE302</f>
        <v>45.017699999999998</v>
      </c>
      <c r="F299" s="954">
        <f>Calculation!AF302</f>
        <v>38.628589999999996</v>
      </c>
      <c r="G299" s="954">
        <f>Calculation!AG302</f>
        <v>0</v>
      </c>
      <c r="H299" s="955">
        <f>Sheet1!H304</f>
        <v>2.65</v>
      </c>
      <c r="I299" s="935">
        <f>Sheet1!DA304</f>
        <v>819</v>
      </c>
      <c r="J299" s="935">
        <f>Sheet1!DB304</f>
        <v>565</v>
      </c>
      <c r="K299" s="935">
        <f>Sheet1!CZ304</f>
        <v>683</v>
      </c>
      <c r="L299" s="959">
        <f>Calculation!F302</f>
        <v>250</v>
      </c>
      <c r="M299" s="959">
        <f>Calculation!E302</f>
        <v>250</v>
      </c>
      <c r="N299" s="959">
        <f>Calculation!D302</f>
        <v>300</v>
      </c>
      <c r="O299" s="985">
        <f>Sheet1!DC304</f>
        <v>1115.3</v>
      </c>
      <c r="P299" s="986">
        <f>Calculation!FD302</f>
        <v>1103.4464285713818</v>
      </c>
      <c r="Q299" s="994">
        <f>Calculation!DP302</f>
        <v>9822.0000000218606</v>
      </c>
      <c r="R299" s="985">
        <f t="shared" si="70"/>
        <v>9203.0000000218606</v>
      </c>
      <c r="S299" s="987">
        <f t="shared" si="82"/>
        <v>-113.00000000008549</v>
      </c>
      <c r="T299" s="994">
        <f ca="1">IF(A299&gt;$A$1,#N/A,VLOOKUP(A299,Calculation!$B$8:$JF$503,40,FALSE))</f>
        <v>2517.120638865817</v>
      </c>
      <c r="U299" s="987">
        <f t="shared" si="83"/>
        <v>13.923</v>
      </c>
      <c r="V299" s="987">
        <f>Calculation!AZ302</f>
        <v>0</v>
      </c>
      <c r="W299" s="994">
        <f t="shared" ca="1" si="80"/>
        <v>1270.4474000000077</v>
      </c>
      <c r="X299" s="994">
        <v>200</v>
      </c>
      <c r="Y299" s="987">
        <v>0</v>
      </c>
      <c r="Z299" s="987">
        <f t="shared" ca="1" si="84"/>
        <v>1270.4474000000077</v>
      </c>
      <c r="AA299" s="994">
        <f t="shared" ca="1" si="71"/>
        <v>6034.431961156035</v>
      </c>
      <c r="AB299" s="1093">
        <f t="shared" ca="1" si="72"/>
        <v>5415.431961156035</v>
      </c>
      <c r="AC299" s="954">
        <f ca="1">IF(A299&gt;$A$1,VLOOKUP(A299,Calculation!$B$8:$JF$880,165,FALSE),VLOOKUP(A299,Calculation!$B$8:$JF$880,165,FALSE))</f>
        <v>5425</v>
      </c>
      <c r="AD299" s="418">
        <f t="shared" ca="1" si="85"/>
        <v>-210</v>
      </c>
      <c r="AE299" s="418"/>
      <c r="AF299" s="935">
        <f>Calculation!G302</f>
        <v>626.01563287943247</v>
      </c>
      <c r="AG299" s="941" t="str">
        <f t="shared" si="86"/>
        <v>Yes</v>
      </c>
      <c r="AH299" s="941" t="str">
        <f t="shared" si="87"/>
        <v>Yes</v>
      </c>
      <c r="AI299" s="963">
        <v>9477.4000000183023</v>
      </c>
      <c r="AJ299" s="964">
        <v>9308.000000019736</v>
      </c>
      <c r="AK299" s="964">
        <v>10474.000000024238</v>
      </c>
      <c r="AN299" s="447"/>
      <c r="AO299" s="430"/>
      <c r="AP299" s="462"/>
      <c r="AQ299" s="461"/>
      <c r="AR299" s="461"/>
      <c r="AS299" s="463"/>
      <c r="AU299" s="453"/>
      <c r="AV299" s="452"/>
      <c r="AW299" s="453"/>
      <c r="AX299" s="452"/>
      <c r="AY299" s="453"/>
      <c r="AZ299" s="452"/>
      <c r="BA299" s="449"/>
    </row>
    <row r="300" spans="1:53" ht="13.5" thickBot="1">
      <c r="A300" s="425">
        <v>41931</v>
      </c>
      <c r="B300" s="954">
        <f t="shared" si="81"/>
        <v>83.692700000000002</v>
      </c>
      <c r="C300" s="954">
        <f>Calculation!AK303</f>
        <v>0</v>
      </c>
      <c r="D300" s="954">
        <f>Calculation!AI303</f>
        <v>13.928761410459588</v>
      </c>
      <c r="E300" s="954">
        <f>Calculation!AE303</f>
        <v>44.863</v>
      </c>
      <c r="F300" s="954">
        <f>Calculation!AF303</f>
        <v>38.829700000000003</v>
      </c>
      <c r="G300" s="954">
        <f>Calculation!AG303</f>
        <v>0</v>
      </c>
      <c r="H300" s="955">
        <f>Sheet1!H305</f>
        <v>2.52</v>
      </c>
      <c r="I300" s="935">
        <f>Sheet1!DA305</f>
        <v>795</v>
      </c>
      <c r="J300" s="935">
        <f>Sheet1!DB305</f>
        <v>558</v>
      </c>
      <c r="K300" s="935">
        <f>Sheet1!CZ305</f>
        <v>679</v>
      </c>
      <c r="L300" s="959">
        <f>Calculation!F303</f>
        <v>250</v>
      </c>
      <c r="M300" s="959">
        <f>Calculation!E303</f>
        <v>250</v>
      </c>
      <c r="N300" s="959">
        <f>Calculation!D303</f>
        <v>300</v>
      </c>
      <c r="O300" s="985">
        <f>Sheet1!DC305</f>
        <v>1114.26</v>
      </c>
      <c r="P300" s="986">
        <f>Calculation!FD303</f>
        <v>1102.6807692307232</v>
      </c>
      <c r="Q300" s="994">
        <f>Calculation!DP303</f>
        <v>9438.2000000209482</v>
      </c>
      <c r="R300" s="985">
        <f t="shared" si="70"/>
        <v>8819.2000000209482</v>
      </c>
      <c r="S300" s="987">
        <f t="shared" si="82"/>
        <v>-383.80000000091241</v>
      </c>
      <c r="T300" s="994">
        <f ca="1">IF(A300&gt;$A$1,#N/A,VLOOKUP(A300,Calculation!$B$8:$JF$503,40,FALSE))</f>
        <v>2489.4972128753257</v>
      </c>
      <c r="U300" s="987">
        <f t="shared" si="83"/>
        <v>13.928761410459588</v>
      </c>
      <c r="V300" s="987">
        <f>Calculation!AZ303</f>
        <v>0</v>
      </c>
      <c r="W300" s="994">
        <f ca="1">IF(A300&gt;=$A$1,#N/A,W299-X300*1.983)</f>
        <v>873.84740000000772</v>
      </c>
      <c r="X300" s="994">
        <v>200</v>
      </c>
      <c r="Y300" s="987">
        <v>0</v>
      </c>
      <c r="Z300" s="987">
        <f t="shared" ca="1" si="84"/>
        <v>873.84740000000772</v>
      </c>
      <c r="AA300" s="994">
        <f t="shared" ca="1" si="71"/>
        <v>6074.8553871456152</v>
      </c>
      <c r="AB300" s="1093">
        <f t="shared" ca="1" si="72"/>
        <v>5455.8553871456152</v>
      </c>
      <c r="AC300" s="954">
        <f ca="1">IF(A300&gt;$A$1,VLOOKUP(A300,Calculation!$B$8:$JF$880,165,FALSE),VLOOKUP(A300,Calculation!$B$8:$JF$880,165,FALSE))</f>
        <v>5216</v>
      </c>
      <c r="AD300" s="418">
        <f t="shared" ca="1" si="85"/>
        <v>-209</v>
      </c>
      <c r="AE300" s="418"/>
      <c r="AF300" s="935">
        <f>Calculation!G303</f>
        <v>485.45486636363472</v>
      </c>
      <c r="AG300" s="941" t="str">
        <f t="shared" si="86"/>
        <v>Yes</v>
      </c>
      <c r="AH300" s="941" t="str">
        <f t="shared" si="87"/>
        <v>Yes</v>
      </c>
      <c r="AI300" s="963">
        <v>8664.0000000166274</v>
      </c>
      <c r="AJ300" s="964">
        <v>8797.0000000192595</v>
      </c>
      <c r="AK300" s="964">
        <v>10010.000000022032</v>
      </c>
      <c r="AN300" s="447"/>
      <c r="AO300" s="430"/>
      <c r="AP300" s="462"/>
      <c r="AQ300" s="461"/>
      <c r="AR300" s="461"/>
      <c r="AS300" s="463"/>
      <c r="AU300" s="453"/>
      <c r="AV300" s="452"/>
      <c r="AW300" s="453"/>
      <c r="AX300" s="452"/>
      <c r="AY300" s="453"/>
      <c r="AZ300" s="452"/>
      <c r="BA300" s="449"/>
    </row>
    <row r="301" spans="1:53" ht="13.5" thickBot="1">
      <c r="A301" s="425">
        <v>41932</v>
      </c>
      <c r="B301" s="954">
        <f t="shared" si="81"/>
        <v>86.477299999999985</v>
      </c>
      <c r="C301" s="954">
        <f>Calculation!AK304</f>
        <v>0</v>
      </c>
      <c r="D301" s="954">
        <f>Calculation!AI304</f>
        <v>14.228737106918238</v>
      </c>
      <c r="E301" s="954">
        <f>Calculation!AE304</f>
        <v>44.863</v>
      </c>
      <c r="F301" s="954">
        <f>Calculation!AF304</f>
        <v>41.614299999999993</v>
      </c>
      <c r="G301" s="954">
        <f>Calculation!AG304</f>
        <v>0</v>
      </c>
      <c r="H301" s="955">
        <f>Sheet1!H306</f>
        <v>2</v>
      </c>
      <c r="I301" s="935">
        <f>Sheet1!DA306</f>
        <v>886</v>
      </c>
      <c r="J301" s="935">
        <f>Sheet1!DB306</f>
        <v>625</v>
      </c>
      <c r="K301" s="935">
        <f>Sheet1!CZ306</f>
        <v>753</v>
      </c>
      <c r="L301" s="959">
        <f>Calculation!F304</f>
        <v>250</v>
      </c>
      <c r="M301" s="959">
        <f>Calculation!E304</f>
        <v>250</v>
      </c>
      <c r="N301" s="959">
        <f>Calculation!D304</f>
        <v>300</v>
      </c>
      <c r="O301" s="985">
        <f>Sheet1!DC306</f>
        <v>1112.58</v>
      </c>
      <c r="P301" s="986">
        <f>Calculation!FD304</f>
        <v>1101.896296296251</v>
      </c>
      <c r="Q301" s="994">
        <f>Calculation!DP304</f>
        <v>8845.200000018709</v>
      </c>
      <c r="R301" s="985">
        <f t="shared" si="70"/>
        <v>8226.200000018709</v>
      </c>
      <c r="S301" s="987">
        <f t="shared" si="82"/>
        <v>-593.00000000223918</v>
      </c>
      <c r="T301" s="994">
        <f ca="1">IF(A301&gt;$A$1,#N/A,VLOOKUP(A301,Calculation!$B$8:$JF$503,40,FALSE))</f>
        <v>2461.2788771002611</v>
      </c>
      <c r="U301" s="987">
        <f t="shared" si="83"/>
        <v>14.228737106918238</v>
      </c>
      <c r="V301" s="987">
        <f>Calculation!AZ304</f>
        <v>0</v>
      </c>
      <c r="W301" s="994">
        <f t="shared" ca="1" si="80"/>
        <v>477.2474000000077</v>
      </c>
      <c r="X301" s="994">
        <v>200</v>
      </c>
      <c r="Y301" s="987">
        <v>0</v>
      </c>
      <c r="Z301" s="987">
        <f t="shared" ca="1" si="84"/>
        <v>477.2474000000077</v>
      </c>
      <c r="AA301" s="994">
        <f t="shared" ca="1" si="71"/>
        <v>5906.67372291844</v>
      </c>
      <c r="AB301" s="1093">
        <f t="shared" ca="1" si="72"/>
        <v>5287.67372291844</v>
      </c>
      <c r="AC301" s="954">
        <f ca="1">IF(A301&gt;$A$1,VLOOKUP(A301,Calculation!$B$8:$JF$880,165,FALSE),VLOOKUP(A301,Calculation!$B$8:$JF$880,165,FALSE))</f>
        <v>5006</v>
      </c>
      <c r="AD301" s="418">
        <f t="shared" ca="1" si="85"/>
        <v>-210</v>
      </c>
      <c r="AE301" s="418"/>
      <c r="AF301" s="935">
        <f>Calculation!G304</f>
        <v>453.95814422479117</v>
      </c>
      <c r="AG301" s="941" t="str">
        <f t="shared" si="86"/>
        <v>Yes</v>
      </c>
      <c r="AH301" s="941" t="str">
        <f t="shared" si="87"/>
        <v>Yes</v>
      </c>
      <c r="AI301" s="963">
        <v>7987.0000000151267</v>
      </c>
      <c r="AJ301" s="964">
        <v>8532.8000000179327</v>
      </c>
      <c r="AK301" s="964">
        <v>9577.4000000205451</v>
      </c>
      <c r="AN301" s="447"/>
      <c r="AO301" s="430"/>
      <c r="AP301" s="462"/>
      <c r="AQ301" s="461"/>
      <c r="AR301" s="461"/>
      <c r="AS301" s="463"/>
      <c r="AU301" s="453"/>
      <c r="AV301" s="452"/>
      <c r="AW301" s="453"/>
      <c r="AX301" s="452"/>
      <c r="AY301" s="453"/>
      <c r="AZ301" s="452"/>
      <c r="BA301" s="449"/>
    </row>
    <row r="302" spans="1:53" ht="13.5" thickBot="1">
      <c r="A302" s="425">
        <v>41933</v>
      </c>
      <c r="B302" s="954">
        <f t="shared" si="81"/>
        <v>87.761310000000009</v>
      </c>
      <c r="C302" s="954">
        <f>Calculation!AK305</f>
        <v>0</v>
      </c>
      <c r="D302" s="954">
        <f>Calculation!AI305</f>
        <v>14.303023913043479</v>
      </c>
      <c r="E302" s="954">
        <f>Calculation!AE305</f>
        <v>39.757899999999999</v>
      </c>
      <c r="F302" s="954">
        <f>Calculation!AF305</f>
        <v>48.003410000000002</v>
      </c>
      <c r="G302" s="954">
        <f>Calculation!AG305</f>
        <v>0</v>
      </c>
      <c r="H302" s="955">
        <f>Sheet1!H307</f>
        <v>1.7</v>
      </c>
      <c r="I302" s="935">
        <f>Sheet1!DA307</f>
        <v>880</v>
      </c>
      <c r="J302" s="935">
        <f>Sheet1!DB307</f>
        <v>625</v>
      </c>
      <c r="K302" s="935">
        <f>Sheet1!CZ307</f>
        <v>744</v>
      </c>
      <c r="L302" s="959">
        <f>Calculation!F305</f>
        <v>250</v>
      </c>
      <c r="M302" s="959">
        <f>Calculation!E305</f>
        <v>250</v>
      </c>
      <c r="N302" s="959">
        <f>Calculation!D305</f>
        <v>300</v>
      </c>
      <c r="O302" s="985">
        <f>Sheet1!DC307</f>
        <v>1110.3</v>
      </c>
      <c r="P302" s="986">
        <f>Calculation!FD305</f>
        <v>1101.103703703659</v>
      </c>
      <c r="Q302" s="994">
        <f>Calculation!DP305</f>
        <v>8087.000000016953</v>
      </c>
      <c r="R302" s="985">
        <f t="shared" si="70"/>
        <v>7468.000000016953</v>
      </c>
      <c r="S302" s="987">
        <f t="shared" si="82"/>
        <v>-758.20000000175605</v>
      </c>
      <c r="T302" s="994">
        <f ca="1">IF(A302&gt;$A$1,#N/A,VLOOKUP(A302,Calculation!$B$8:$JF$503,40,FALSE))</f>
        <v>1532.762016230696</v>
      </c>
      <c r="U302" s="987">
        <f t="shared" si="83"/>
        <v>14.303023913043479</v>
      </c>
      <c r="V302" s="987">
        <f>Calculation!AZ305</f>
        <v>0</v>
      </c>
      <c r="W302" s="994">
        <f ca="1">IF(A302&gt;=$A$1,#N/A,W301-X302*1.983)+900</f>
        <v>980.64740000000768</v>
      </c>
      <c r="X302" s="994">
        <v>200</v>
      </c>
      <c r="Y302" s="987">
        <v>0</v>
      </c>
      <c r="Z302" s="987">
        <f t="shared" ca="1" si="84"/>
        <v>980.64740000000768</v>
      </c>
      <c r="AA302" s="994">
        <f t="shared" ca="1" si="71"/>
        <v>5573.5905837862492</v>
      </c>
      <c r="AB302" s="1093">
        <f t="shared" ca="1" si="72"/>
        <v>4954.5905837862492</v>
      </c>
      <c r="AC302" s="954">
        <f ca="1">IF(A302&gt;$A$1,VLOOKUP(A302,Calculation!$B$8:$JF$880,165,FALSE),VLOOKUP(A302,Calculation!$B$8:$JF$880,165,FALSE))</f>
        <v>4796</v>
      </c>
      <c r="AD302" s="418">
        <f t="shared" ca="1" si="85"/>
        <v>-210</v>
      </c>
      <c r="AE302" s="418"/>
      <c r="AF302" s="935">
        <f>Calculation!G305</f>
        <v>361.65002521343621</v>
      </c>
      <c r="AG302" s="941" t="str">
        <f t="shared" si="86"/>
        <v>Yes</v>
      </c>
      <c r="AH302" s="941" t="str">
        <f t="shared" si="87"/>
        <v>Yes</v>
      </c>
      <c r="AI302" s="963">
        <v>7445.4700000138282</v>
      </c>
      <c r="AJ302" s="964">
        <v>8499.8000000178581</v>
      </c>
      <c r="AK302" s="964">
        <v>9155.500000019576</v>
      </c>
      <c r="AN302" s="447"/>
      <c r="AO302" s="430"/>
      <c r="AP302" s="462"/>
      <c r="AQ302" s="461"/>
      <c r="AR302" s="461"/>
      <c r="AS302" s="463"/>
      <c r="AU302" s="453"/>
      <c r="AV302" s="452"/>
      <c r="AW302" s="453"/>
      <c r="AX302" s="452"/>
      <c r="AY302" s="453"/>
      <c r="AZ302" s="452"/>
      <c r="BA302" s="449"/>
    </row>
    <row r="303" spans="1:53" ht="13.5" thickBot="1">
      <c r="A303" s="425">
        <v>41934</v>
      </c>
      <c r="B303" s="954">
        <f t="shared" si="81"/>
        <v>72.971990000000005</v>
      </c>
      <c r="C303" s="954">
        <f>Calculation!AK306</f>
        <v>0</v>
      </c>
      <c r="D303" s="954">
        <f>Calculation!AI306</f>
        <v>14.124710104438643</v>
      </c>
      <c r="E303" s="954">
        <f>Calculation!AE306</f>
        <v>31.4041</v>
      </c>
      <c r="F303" s="954">
        <f>Calculation!AF306</f>
        <v>41.567889999999998</v>
      </c>
      <c r="G303" s="954">
        <f>Calculation!AG306</f>
        <v>0</v>
      </c>
      <c r="H303" s="955">
        <f>Sheet1!H308</f>
        <v>0</v>
      </c>
      <c r="I303" s="935">
        <f>Sheet1!DA308</f>
        <v>1360</v>
      </c>
      <c r="J303" s="935">
        <f>Sheet1!DB308</f>
        <v>1030</v>
      </c>
      <c r="K303" s="935">
        <f>Sheet1!CZ308</f>
        <v>1080</v>
      </c>
      <c r="L303" s="959">
        <f>Calculation!F306</f>
        <v>250</v>
      </c>
      <c r="M303" s="959">
        <f>Calculation!E306</f>
        <v>250</v>
      </c>
      <c r="N303" s="959">
        <f>Calculation!D306</f>
        <v>300</v>
      </c>
      <c r="O303" s="985">
        <f>Sheet1!DC308</f>
        <v>1109.8</v>
      </c>
      <c r="P303" s="986">
        <f>Calculation!FD306</f>
        <v>1100.29615384611</v>
      </c>
      <c r="Q303" s="994">
        <f>Calculation!DP306</f>
        <v>7927.0000000168075</v>
      </c>
      <c r="R303" s="985">
        <f t="shared" si="70"/>
        <v>7308.0000000168075</v>
      </c>
      <c r="S303" s="987">
        <f t="shared" si="82"/>
        <v>-160.00000000014552</v>
      </c>
      <c r="T303" s="994">
        <f ca="1">IF(A303&gt;$A$1,#N/A,VLOOKUP(A303,Calculation!$B$8:$JF$503,40,FALSE))</f>
        <v>0</v>
      </c>
      <c r="U303" s="987">
        <f t="shared" si="83"/>
        <v>14.124710104438643</v>
      </c>
      <c r="V303" s="987">
        <f>Calculation!AZ306</f>
        <v>0</v>
      </c>
      <c r="W303" s="994">
        <f t="shared" ca="1" si="80"/>
        <v>584.04740000000766</v>
      </c>
      <c r="X303" s="994">
        <v>200</v>
      </c>
      <c r="Y303" s="987">
        <v>0</v>
      </c>
      <c r="Z303" s="987">
        <f t="shared" ca="1" si="84"/>
        <v>584.04740000000766</v>
      </c>
      <c r="AA303" s="994">
        <f t="shared" ca="1" si="71"/>
        <v>7342.9526000167998</v>
      </c>
      <c r="AB303" s="1093">
        <f t="shared" ca="1" si="72"/>
        <v>6723.9526000167998</v>
      </c>
      <c r="AC303" s="954">
        <f ca="1">IF(A303&gt;$A$1,VLOOKUP(A303,Calculation!$B$8:$JF$880,165,FALSE),VLOOKUP(A303,Calculation!$B$8:$JF$880,165,FALSE))</f>
        <v>4587</v>
      </c>
      <c r="AD303" s="418">
        <f t="shared" ca="1" si="85"/>
        <v>-209</v>
      </c>
      <c r="AE303" s="418"/>
      <c r="AF303" s="935">
        <f>Calculation!G306</f>
        <v>999.31417044874161</v>
      </c>
      <c r="AG303" s="941" t="str">
        <f t="shared" si="86"/>
        <v>Yes</v>
      </c>
      <c r="AH303" s="941" t="str">
        <f t="shared" si="87"/>
        <v>Yes</v>
      </c>
      <c r="AI303" s="963">
        <v>7705.000000014461</v>
      </c>
      <c r="AJ303" s="964">
        <v>8190.4000000170254</v>
      </c>
      <c r="AK303" s="964">
        <v>8783.0000000192595</v>
      </c>
      <c r="AN303" s="447"/>
      <c r="AO303" s="430"/>
      <c r="AP303" s="462"/>
      <c r="AQ303" s="461"/>
      <c r="AR303" s="461"/>
      <c r="AS303" s="463"/>
      <c r="AU303" s="453"/>
      <c r="AV303" s="452"/>
      <c r="AW303" s="453"/>
      <c r="AX303" s="452"/>
      <c r="AY303" s="453"/>
      <c r="AZ303" s="452"/>
      <c r="BA303" s="449"/>
    </row>
    <row r="304" spans="1:53" ht="13.5" thickBot="1">
      <c r="A304" s="425">
        <v>41935</v>
      </c>
      <c r="B304" s="954">
        <f t="shared" si="81"/>
        <v>67.913299999999992</v>
      </c>
      <c r="C304" s="954">
        <f>Calculation!AK307</f>
        <v>0</v>
      </c>
      <c r="D304" s="954">
        <f>Calculation!AI307</f>
        <v>0</v>
      </c>
      <c r="E304" s="954">
        <f>Calculation!AE307</f>
        <v>36.973299999999995</v>
      </c>
      <c r="F304" s="954">
        <f>Calculation!AF307</f>
        <v>30.939999999999998</v>
      </c>
      <c r="G304" s="954">
        <f>Calculation!AG307</f>
        <v>18.192720000003153</v>
      </c>
      <c r="H304" s="955">
        <f>Sheet1!H309</f>
        <v>5.0999999999999996</v>
      </c>
      <c r="I304" s="935">
        <f>Sheet1!DA309</f>
        <v>1620</v>
      </c>
      <c r="J304" s="935">
        <f>Sheet1!DB309</f>
        <v>1180</v>
      </c>
      <c r="K304" s="935">
        <f>Sheet1!CZ309</f>
        <v>1220</v>
      </c>
      <c r="L304" s="959">
        <f>Calculation!F307</f>
        <v>250</v>
      </c>
      <c r="M304" s="959">
        <f>Calculation!E307</f>
        <v>250</v>
      </c>
      <c r="N304" s="959">
        <f>Calculation!D307</f>
        <v>300</v>
      </c>
      <c r="O304" s="985">
        <f>Sheet1!DC309</f>
        <v>1111.17</v>
      </c>
      <c r="P304" s="986">
        <f>Calculation!FD307</f>
        <v>1099.4759999999569</v>
      </c>
      <c r="Q304" s="994">
        <f>Calculation!DP307</f>
        <v>8370.1000000177828</v>
      </c>
      <c r="R304" s="985">
        <f t="shared" si="70"/>
        <v>7751.1000000177828</v>
      </c>
      <c r="S304" s="987">
        <f t="shared" si="82"/>
        <v>443.10000000097534</v>
      </c>
      <c r="T304" s="994">
        <f ca="1">IF(A304&gt;$A$1,#N/A,VLOOKUP(A304,Calculation!$B$8:$JF$503,40,FALSE))</f>
        <v>0</v>
      </c>
      <c r="U304" s="987">
        <f t="shared" si="83"/>
        <v>0</v>
      </c>
      <c r="V304" s="987">
        <f>Calculation!AZ307</f>
        <v>0</v>
      </c>
      <c r="W304" s="994">
        <f t="shared" ca="1" si="80"/>
        <v>187.44740000000763</v>
      </c>
      <c r="X304" s="994">
        <v>200</v>
      </c>
      <c r="Y304" s="987">
        <v>0</v>
      </c>
      <c r="Z304" s="987">
        <f t="shared" ca="1" si="84"/>
        <v>187.44740000000763</v>
      </c>
      <c r="AA304" s="994">
        <f t="shared" ca="1" si="71"/>
        <v>8182.6526000177755</v>
      </c>
      <c r="AB304" s="1093">
        <f t="shared" ca="1" si="72"/>
        <v>7563.6526000177755</v>
      </c>
      <c r="AC304" s="954">
        <f ca="1">IF(A304&gt;$A$1,VLOOKUP(A304,Calculation!$B$8:$JF$880,165,FALSE),VLOOKUP(A304,Calculation!$B$8:$JF$880,165,FALSE))</f>
        <v>4377</v>
      </c>
      <c r="AD304" s="418">
        <f t="shared" ca="1" si="85"/>
        <v>-210</v>
      </c>
      <c r="AE304" s="418"/>
      <c r="AF304" s="935">
        <f>Calculation!G307</f>
        <v>1443.449319213805</v>
      </c>
      <c r="AG304" s="941" t="str">
        <f t="shared" si="86"/>
        <v>Yes</v>
      </c>
      <c r="AH304" s="941" t="str">
        <f t="shared" si="87"/>
        <v>Yes</v>
      </c>
      <c r="AI304" s="963">
        <v>8885.0000000167747</v>
      </c>
      <c r="AJ304" s="964">
        <v>7707.0000000165892</v>
      </c>
      <c r="AK304" s="964">
        <v>8413.0000000183209</v>
      </c>
      <c r="AN304" s="447"/>
      <c r="AO304" s="430"/>
      <c r="AP304" s="462"/>
      <c r="AQ304" s="461"/>
      <c r="AR304" s="461"/>
      <c r="AS304" s="463"/>
      <c r="AU304" s="453"/>
      <c r="AV304" s="452"/>
      <c r="AW304" s="453"/>
      <c r="AX304" s="452"/>
      <c r="AY304" s="453"/>
      <c r="AZ304" s="452"/>
      <c r="BA304" s="449"/>
    </row>
    <row r="305" spans="1:53" ht="13.5" thickBot="1">
      <c r="A305" s="425">
        <v>41936</v>
      </c>
      <c r="B305" s="954">
        <f t="shared" si="81"/>
        <v>73.946599999999989</v>
      </c>
      <c r="C305" s="954">
        <f>Calculation!AK308</f>
        <v>0</v>
      </c>
      <c r="D305" s="954">
        <f>Calculation!AI308</f>
        <v>0</v>
      </c>
      <c r="E305" s="954">
        <f>Calculation!AE308</f>
        <v>35.580999999999996</v>
      </c>
      <c r="F305" s="954">
        <f>Calculation!AF308</f>
        <v>38.365600000000001</v>
      </c>
      <c r="G305" s="954">
        <f>Calculation!AG308</f>
        <v>25.989599999998873</v>
      </c>
      <c r="H305" s="955">
        <f>Sheet1!H310</f>
        <v>5.78</v>
      </c>
      <c r="I305" s="935">
        <f>Sheet1!DA310</f>
        <v>1990</v>
      </c>
      <c r="J305" s="935">
        <f>Sheet1!DB310</f>
        <v>1520</v>
      </c>
      <c r="K305" s="935">
        <f>Sheet1!CZ310</f>
        <v>1640</v>
      </c>
      <c r="L305" s="959">
        <f>Calculation!F308</f>
        <v>250</v>
      </c>
      <c r="M305" s="959">
        <f>Calculation!E308</f>
        <v>250</v>
      </c>
      <c r="N305" s="959">
        <f>Calculation!D308</f>
        <v>300</v>
      </c>
      <c r="O305" s="985">
        <f>Sheet1!DC310</f>
        <v>1110.7</v>
      </c>
      <c r="P305" s="986">
        <f>Calculation!FD308</f>
        <v>1098.6374999999575</v>
      </c>
      <c r="Q305" s="994">
        <f>Calculation!DP308</f>
        <v>8216.0000000176333</v>
      </c>
      <c r="R305" s="985">
        <f t="shared" si="70"/>
        <v>7597.0000000176333</v>
      </c>
      <c r="S305" s="987">
        <f t="shared" si="82"/>
        <v>-154.10000000014952</v>
      </c>
      <c r="T305" s="994">
        <f ca="1">IF(A305&gt;$A$1,#N/A,VLOOKUP(A305,Calculation!$B$8:$JF$503,40,FALSE))</f>
        <v>0</v>
      </c>
      <c r="U305" s="987">
        <f t="shared" si="83"/>
        <v>0</v>
      </c>
      <c r="V305" s="987">
        <f>Calculation!AZ308</f>
        <v>0</v>
      </c>
      <c r="W305" s="994">
        <f t="shared" ca="1" si="80"/>
        <v>-2.5419999992379871E-2</v>
      </c>
      <c r="X305" s="994">
        <v>94.54</v>
      </c>
      <c r="Y305" s="987">
        <v>0</v>
      </c>
      <c r="Z305" s="987">
        <f t="shared" ca="1" si="84"/>
        <v>-2.5419999992379871E-2</v>
      </c>
      <c r="AA305" s="994">
        <f t="shared" ca="1" si="71"/>
        <v>8216.0254200176259</v>
      </c>
      <c r="AB305" s="1093">
        <f t="shared" ca="1" si="72"/>
        <v>7597.0254200176259</v>
      </c>
      <c r="AC305" s="954">
        <f ca="1">IF(A305&gt;$A$1,VLOOKUP(A305,Calculation!$B$8:$JF$880,165,FALSE),VLOOKUP(A305,Calculation!$B$8:$JF$880,165,FALSE))</f>
        <v>4167</v>
      </c>
      <c r="AD305" s="418">
        <f t="shared" ca="1" si="85"/>
        <v>-210</v>
      </c>
      <c r="AE305" s="418"/>
      <c r="AF305" s="935">
        <f>Calculation!G308</f>
        <v>1562.2894604134394</v>
      </c>
      <c r="AG305" s="941" t="str">
        <f t="shared" si="86"/>
        <v>Yes</v>
      </c>
      <c r="AH305" s="941" t="str">
        <f t="shared" si="87"/>
        <v>Yes</v>
      </c>
      <c r="AI305" s="963">
        <v>8755.0000000167001</v>
      </c>
      <c r="AJ305" s="964">
        <v>7177.0000000150749</v>
      </c>
      <c r="AK305" s="964">
        <v>8055.000000016953</v>
      </c>
      <c r="AN305" s="447"/>
      <c r="AO305" s="430"/>
      <c r="AP305" s="462"/>
      <c r="AQ305" s="461"/>
      <c r="AR305" s="461"/>
      <c r="AS305" s="463"/>
      <c r="AU305" s="453"/>
      <c r="AV305" s="452"/>
      <c r="AW305" s="453"/>
      <c r="AX305" s="452"/>
      <c r="AY305" s="453"/>
      <c r="AZ305" s="452"/>
      <c r="BA305" s="449"/>
    </row>
    <row r="306" spans="1:53" ht="13.5" thickBot="1">
      <c r="A306" s="425">
        <v>41937</v>
      </c>
      <c r="B306" s="954">
        <f t="shared" si="81"/>
        <v>81.526899999999983</v>
      </c>
      <c r="C306" s="954">
        <f>Calculation!AK309</f>
        <v>0</v>
      </c>
      <c r="D306" s="954">
        <f>Calculation!AI309</f>
        <v>0</v>
      </c>
      <c r="E306" s="954">
        <f>Calculation!AE309</f>
        <v>34.343399999999995</v>
      </c>
      <c r="F306" s="954">
        <f>Calculation!AF309</f>
        <v>47.183499999999995</v>
      </c>
      <c r="G306" s="954">
        <f>Calculation!AG309</f>
        <v>5.5537300000002245</v>
      </c>
      <c r="H306" s="955">
        <f>Sheet1!H311</f>
        <v>3.72</v>
      </c>
      <c r="I306" s="935">
        <f>Sheet1!DA311</f>
        <v>1910</v>
      </c>
      <c r="J306" s="935">
        <f>Sheet1!DB311</f>
        <v>1460</v>
      </c>
      <c r="K306" s="935">
        <f>Sheet1!CZ311</f>
        <v>1600</v>
      </c>
      <c r="L306" s="959">
        <f>Calculation!F309</f>
        <v>250</v>
      </c>
      <c r="M306" s="959">
        <f>Calculation!E309</f>
        <v>250</v>
      </c>
      <c r="N306" s="959">
        <f>Calculation!D309</f>
        <v>300</v>
      </c>
      <c r="O306" s="985">
        <f>Sheet1!DC311</f>
        <v>1107.2</v>
      </c>
      <c r="P306" s="986">
        <f>Calculation!FD309</f>
        <v>1097.7916666666251</v>
      </c>
      <c r="Q306" s="994">
        <f>Calculation!DP309</f>
        <v>7129.0000000150749</v>
      </c>
      <c r="R306" s="985">
        <f t="shared" si="70"/>
        <v>6510.0000000150749</v>
      </c>
      <c r="S306" s="987">
        <f t="shared" si="82"/>
        <v>-1087.0000000025584</v>
      </c>
      <c r="T306" s="994">
        <f ca="1">IF(A306&gt;$A$1,#N/A,VLOOKUP(A306,Calculation!$B$8:$JF$503,40,FALSE))</f>
        <v>0</v>
      </c>
      <c r="U306" s="987">
        <f t="shared" si="83"/>
        <v>0</v>
      </c>
      <c r="V306" s="987">
        <f>Calculation!AZ309</f>
        <v>0</v>
      </c>
      <c r="W306" s="994">
        <f t="shared" ca="1" si="80"/>
        <v>-2.5419999992379871E-2</v>
      </c>
      <c r="X306" s="994">
        <v>0</v>
      </c>
      <c r="Y306" s="987">
        <v>0</v>
      </c>
      <c r="Z306" s="987">
        <f t="shared" ca="1" si="84"/>
        <v>-2.5419999992379871E-2</v>
      </c>
      <c r="AA306" s="994">
        <f t="shared" ca="1" si="71"/>
        <v>7129.0254200150675</v>
      </c>
      <c r="AB306" s="1093">
        <f t="shared" ca="1" si="72"/>
        <v>6510.0254200150675</v>
      </c>
      <c r="AC306" s="954">
        <f ca="1">IF(A306&gt;$A$1,VLOOKUP(A306,Calculation!$B$8:$JF$880,165,FALSE),VLOOKUP(A306,Calculation!$B$8:$JF$880,165,FALSE))</f>
        <v>3958</v>
      </c>
      <c r="AD306" s="418">
        <f t="shared" ca="1" si="85"/>
        <v>-209</v>
      </c>
      <c r="AE306" s="418"/>
      <c r="AF306" s="935">
        <f>Calculation!G309</f>
        <v>1051.8406454853462</v>
      </c>
      <c r="AG306" s="941" t="str">
        <f t="shared" si="86"/>
        <v>Yes</v>
      </c>
      <c r="AH306" s="941" t="str">
        <f t="shared" si="87"/>
        <v>Yes</v>
      </c>
      <c r="AI306" s="963">
        <v>8165.6400000152671</v>
      </c>
      <c r="AJ306" s="964">
        <v>6657.200000013624</v>
      </c>
      <c r="AK306" s="964">
        <v>7707.0000000165892</v>
      </c>
      <c r="AN306" s="447"/>
      <c r="AO306" s="430"/>
      <c r="AP306" s="462"/>
      <c r="AQ306" s="461"/>
      <c r="AR306" s="461"/>
      <c r="AS306" s="463"/>
      <c r="AU306" s="453"/>
      <c r="AV306" s="452"/>
      <c r="AW306" s="453"/>
      <c r="AX306" s="452"/>
      <c r="AY306" s="453"/>
      <c r="AZ306" s="452"/>
      <c r="BA306" s="449"/>
    </row>
    <row r="307" spans="1:53" ht="13.5" thickBot="1">
      <c r="A307" s="425">
        <v>41938</v>
      </c>
      <c r="B307" s="954">
        <f t="shared" si="81"/>
        <v>85.301579999999987</v>
      </c>
      <c r="C307" s="954">
        <f>Calculation!AK310</f>
        <v>0</v>
      </c>
      <c r="D307" s="954">
        <f>Calculation!AI310</f>
        <v>0</v>
      </c>
      <c r="E307" s="954">
        <f>Calculation!AE310</f>
        <v>34.343399999999995</v>
      </c>
      <c r="F307" s="954">
        <f>Calculation!AF310</f>
        <v>50.958179999999992</v>
      </c>
      <c r="G307" s="954">
        <f>Calculation!AG310</f>
        <v>6.2189400000006749</v>
      </c>
      <c r="H307" s="955">
        <f>Sheet1!H312</f>
        <v>4.08</v>
      </c>
      <c r="I307" s="935">
        <f>Sheet1!DA312</f>
        <v>1910</v>
      </c>
      <c r="J307" s="935">
        <f>Sheet1!DB312</f>
        <v>1460</v>
      </c>
      <c r="K307" s="935">
        <f>Sheet1!CZ312</f>
        <v>1560</v>
      </c>
      <c r="L307" s="959">
        <f>Calculation!F310</f>
        <v>250</v>
      </c>
      <c r="M307" s="959">
        <f>Calculation!E310</f>
        <v>250</v>
      </c>
      <c r="N307" s="959">
        <f>Calculation!D310</f>
        <v>300</v>
      </c>
      <c r="O307" s="985">
        <f>Sheet1!DC312</f>
        <v>1104.67</v>
      </c>
      <c r="P307" s="986">
        <f>Calculation!FD310</f>
        <v>1096.9249999999593</v>
      </c>
      <c r="Q307" s="994">
        <f>Calculation!DP310</f>
        <v>6394.6000000134336</v>
      </c>
      <c r="R307" s="985">
        <f t="shared" si="70"/>
        <v>5775.6000000134336</v>
      </c>
      <c r="S307" s="987">
        <f t="shared" si="82"/>
        <v>-734.40000000164127</v>
      </c>
      <c r="T307" s="994">
        <f ca="1">IF(A307&gt;$A$1,#N/A,VLOOKUP(A307,Calculation!$B$8:$JF$503,40,FALSE))</f>
        <v>0</v>
      </c>
      <c r="U307" s="987">
        <f t="shared" si="83"/>
        <v>0</v>
      </c>
      <c r="V307" s="987">
        <f>Calculation!AZ310</f>
        <v>0</v>
      </c>
      <c r="W307" s="994">
        <f t="shared" ca="1" si="80"/>
        <v>-2.5419999992379871E-2</v>
      </c>
      <c r="X307" s="994">
        <v>0</v>
      </c>
      <c r="Y307" s="987">
        <v>0</v>
      </c>
      <c r="Z307" s="987">
        <f t="shared" ca="1" si="84"/>
        <v>-2.5419999992379871E-2</v>
      </c>
      <c r="AA307" s="994">
        <f t="shared" ca="1" si="71"/>
        <v>6394.6254200134263</v>
      </c>
      <c r="AB307" s="1093">
        <f t="shared" ca="1" si="72"/>
        <v>5775.6254200134263</v>
      </c>
      <c r="AC307" s="954">
        <f ca="1">IF(A307&gt;$A$1,VLOOKUP(A307,Calculation!$B$8:$JF$880,165,FALSE),VLOOKUP(A307,Calculation!$B$8:$JF$880,165,FALSE))</f>
        <v>3748</v>
      </c>
      <c r="AD307" s="418">
        <f t="shared" ca="1" si="85"/>
        <v>-210</v>
      </c>
      <c r="AE307" s="418"/>
      <c r="AF307" s="935">
        <f>Calculation!G310</f>
        <v>1189.6520423592328</v>
      </c>
      <c r="AG307" s="941" t="str">
        <f t="shared" si="86"/>
        <v>Yes</v>
      </c>
      <c r="AH307" s="941" t="str">
        <f t="shared" si="87"/>
        <v>Yes</v>
      </c>
      <c r="AI307" s="963">
        <v>7413.4600000137625</v>
      </c>
      <c r="AJ307" s="964">
        <v>6121.2000000131784</v>
      </c>
      <c r="AK307" s="964">
        <v>7369.0000000157888</v>
      </c>
      <c r="AN307" s="447"/>
      <c r="AO307" s="430"/>
      <c r="AP307" s="462"/>
      <c r="AQ307" s="461"/>
      <c r="AR307" s="461"/>
      <c r="AS307" s="463"/>
      <c r="AU307" s="453"/>
      <c r="AV307" s="452"/>
      <c r="AW307" s="453"/>
      <c r="AX307" s="452"/>
      <c r="AY307" s="453"/>
      <c r="AZ307" s="452"/>
      <c r="BA307" s="449"/>
    </row>
    <row r="308" spans="1:53" ht="13.5" thickBot="1">
      <c r="A308" s="425">
        <v>41939</v>
      </c>
      <c r="B308" s="954">
        <f t="shared" si="81"/>
        <v>86.817639999999997</v>
      </c>
      <c r="C308" s="954">
        <f>Calculation!AK311</f>
        <v>0</v>
      </c>
      <c r="D308" s="954">
        <f>Calculation!AI311</f>
        <v>0</v>
      </c>
      <c r="E308" s="954">
        <f>Calculation!AE311</f>
        <v>34.188699999999997</v>
      </c>
      <c r="F308" s="954">
        <f>Calculation!AF311</f>
        <v>52.62894</v>
      </c>
      <c r="G308" s="954">
        <f>Calculation!AG311</f>
        <v>22.88012999999572</v>
      </c>
      <c r="H308" s="955">
        <f>Sheet1!H313</f>
        <v>4.99</v>
      </c>
      <c r="I308" s="935">
        <f>Sheet1!DA313</f>
        <v>2280</v>
      </c>
      <c r="J308" s="935">
        <f>Sheet1!DB313</f>
        <v>1800</v>
      </c>
      <c r="K308" s="935">
        <f>Sheet1!CZ313</f>
        <v>1980</v>
      </c>
      <c r="L308" s="959">
        <f>Calculation!F311</f>
        <v>250</v>
      </c>
      <c r="M308" s="959">
        <f>Calculation!E311</f>
        <v>250</v>
      </c>
      <c r="N308" s="959">
        <f>Calculation!D311</f>
        <v>300</v>
      </c>
      <c r="O308" s="985">
        <f>Sheet1!DC313</f>
        <v>1103.0999999999999</v>
      </c>
      <c r="P308" s="986">
        <f>Calculation!FD311</f>
        <v>1096.0416666666265</v>
      </c>
      <c r="Q308" s="994">
        <f>Calculation!DP311</f>
        <v>5959.0000000125237</v>
      </c>
      <c r="R308" s="985">
        <f t="shared" si="70"/>
        <v>5340.0000000125237</v>
      </c>
      <c r="S308" s="987">
        <f t="shared" si="82"/>
        <v>-435.60000000090986</v>
      </c>
      <c r="T308" s="994">
        <f ca="1">IF(A308&gt;$A$1,#N/A,VLOOKUP(A308,Calculation!$B$8:$JF$503,40,FALSE))</f>
        <v>0</v>
      </c>
      <c r="U308" s="987">
        <f t="shared" si="83"/>
        <v>0</v>
      </c>
      <c r="V308" s="987">
        <f>Calculation!AZ311</f>
        <v>0</v>
      </c>
      <c r="W308" s="994">
        <f t="shared" ca="1" si="80"/>
        <v>-2.5419999992379871E-2</v>
      </c>
      <c r="X308" s="994">
        <v>0</v>
      </c>
      <c r="Y308" s="987">
        <v>0</v>
      </c>
      <c r="Z308" s="987">
        <f t="shared" ca="1" si="84"/>
        <v>-2.5419999992379871E-2</v>
      </c>
      <c r="AA308" s="994">
        <f t="shared" ca="1" si="71"/>
        <v>5959.0254200125164</v>
      </c>
      <c r="AB308" s="1093">
        <f t="shared" ca="1" si="72"/>
        <v>5340.0254200125164</v>
      </c>
      <c r="AC308" s="954">
        <f ca="1">IF(A308&gt;$A$1,VLOOKUP(A308,Calculation!$B$8:$JF$880,165,FALSE),VLOOKUP(A308,Calculation!$B$8:$JF$880,165,FALSE))</f>
        <v>3538</v>
      </c>
      <c r="AD308" s="418">
        <f t="shared" ca="1" si="85"/>
        <v>-210</v>
      </c>
      <c r="AE308" s="418"/>
      <c r="AF308" s="935">
        <f>Calculation!G311</f>
        <v>1760.3328290464399</v>
      </c>
      <c r="AG308" s="941" t="str">
        <f t="shared" si="86"/>
        <v>Yes</v>
      </c>
      <c r="AH308" s="941" t="str">
        <f t="shared" si="87"/>
        <v>Yes</v>
      </c>
      <c r="AI308" s="963">
        <v>6611.9000000119149</v>
      </c>
      <c r="AJ308" s="964">
        <v>5601.2000000117641</v>
      </c>
      <c r="AK308" s="964">
        <v>7040.0000000145064</v>
      </c>
      <c r="AN308" s="447"/>
      <c r="AO308" s="430"/>
      <c r="AP308" s="462"/>
      <c r="AQ308" s="461"/>
      <c r="AR308" s="461"/>
      <c r="AS308" s="463"/>
      <c r="AU308" s="453"/>
      <c r="AV308" s="452"/>
      <c r="AW308" s="453"/>
      <c r="AX308" s="452"/>
      <c r="AY308" s="453"/>
      <c r="AZ308" s="452"/>
      <c r="BA308" s="449"/>
    </row>
    <row r="309" spans="1:53" ht="13.5" thickBot="1">
      <c r="A309" s="425">
        <v>41940</v>
      </c>
      <c r="B309" s="954">
        <f t="shared" si="81"/>
        <v>88.457459999999998</v>
      </c>
      <c r="C309" s="954">
        <f>Calculation!AK312</f>
        <v>0</v>
      </c>
      <c r="D309" s="954">
        <f>Calculation!AI312</f>
        <v>0</v>
      </c>
      <c r="E309" s="954">
        <f>Calculation!AE312</f>
        <v>34.266049999999993</v>
      </c>
      <c r="F309" s="954">
        <f>Calculation!AF312</f>
        <v>54.191409999999998</v>
      </c>
      <c r="G309" s="954">
        <f>Calculation!AG312</f>
        <v>10.364900000001125</v>
      </c>
      <c r="H309" s="955">
        <f>Sheet1!H314</f>
        <v>4.09</v>
      </c>
      <c r="I309" s="935">
        <f>Sheet1!DA314</f>
        <v>2390</v>
      </c>
      <c r="J309" s="935">
        <f>Sheet1!DB314</f>
        <v>1800</v>
      </c>
      <c r="K309" s="935">
        <f>Sheet1!CZ314</f>
        <v>2010</v>
      </c>
      <c r="L309" s="959">
        <f>Calculation!F312</f>
        <v>250</v>
      </c>
      <c r="M309" s="959">
        <f>Calculation!E312</f>
        <v>250</v>
      </c>
      <c r="N309" s="959">
        <f>Calculation!D312</f>
        <v>300</v>
      </c>
      <c r="O309" s="985">
        <f>Sheet1!DC314</f>
        <v>1098.2</v>
      </c>
      <c r="P309" s="986">
        <f>Calculation!FD312</f>
        <v>1095.1434782608303</v>
      </c>
      <c r="Q309" s="994">
        <f>Calculation!DP312</f>
        <v>4687.0000000105156</v>
      </c>
      <c r="R309" s="985">
        <f t="shared" si="70"/>
        <v>4068.0000000105156</v>
      </c>
      <c r="S309" s="987">
        <f t="shared" si="82"/>
        <v>-1272.0000000020082</v>
      </c>
      <c r="T309" s="994">
        <f ca="1">IF(A309&gt;$A$1,#N/A,VLOOKUP(A309,Calculation!$B$8:$JF$503,40,FALSE))</f>
        <v>0</v>
      </c>
      <c r="U309" s="987">
        <f t="shared" si="83"/>
        <v>0</v>
      </c>
      <c r="V309" s="987">
        <f>Calculation!AZ312</f>
        <v>0</v>
      </c>
      <c r="W309" s="994">
        <f t="shared" ca="1" si="80"/>
        <v>-2.5419999992379871E-2</v>
      </c>
      <c r="X309" s="994">
        <v>0</v>
      </c>
      <c r="Y309" s="987">
        <v>0</v>
      </c>
      <c r="Z309" s="987">
        <f t="shared" ca="1" si="84"/>
        <v>-2.5419999992379871E-2</v>
      </c>
      <c r="AA309" s="994">
        <f t="shared" ca="1" si="71"/>
        <v>4687.0254200105082</v>
      </c>
      <c r="AB309" s="1093">
        <f t="shared" ca="1" si="72"/>
        <v>4068.0254200105082</v>
      </c>
      <c r="AC309" s="954">
        <f ca="1">IF(A309&gt;$A$1,VLOOKUP(A309,Calculation!$B$8:$JF$880,165,FALSE),VLOOKUP(A309,Calculation!$B$8:$JF$880,165,FALSE))</f>
        <v>3329</v>
      </c>
      <c r="AD309" s="418">
        <f t="shared" ca="1" si="85"/>
        <v>-209</v>
      </c>
      <c r="AE309" s="418"/>
      <c r="AF309" s="935">
        <f>Calculation!G312</f>
        <v>1368.547655067066</v>
      </c>
      <c r="AG309" s="941" t="str">
        <f t="shared" si="86"/>
        <v>Yes</v>
      </c>
      <c r="AH309" s="941" t="str">
        <f t="shared" si="87"/>
        <v>Yes</v>
      </c>
      <c r="AI309" s="963">
        <v>5882.150000010306</v>
      </c>
      <c r="AJ309" s="964">
        <v>5572.2000000122171</v>
      </c>
      <c r="AK309" s="964">
        <v>6674.5000000141772</v>
      </c>
      <c r="AN309" s="447"/>
      <c r="AO309" s="430"/>
      <c r="AP309" s="462"/>
      <c r="AQ309" s="461"/>
      <c r="AR309" s="461"/>
      <c r="AS309" s="463"/>
      <c r="AU309" s="453"/>
      <c r="AV309" s="452"/>
      <c r="AW309" s="453"/>
      <c r="AX309" s="452"/>
      <c r="AY309" s="453"/>
      <c r="AZ309" s="452"/>
      <c r="BA309" s="449"/>
    </row>
    <row r="310" spans="1:53" ht="13.5" thickBot="1">
      <c r="A310" s="425">
        <v>41941</v>
      </c>
      <c r="B310" s="954">
        <f t="shared" si="81"/>
        <v>88.132589999999993</v>
      </c>
      <c r="C310" s="954">
        <f>Calculation!AK313</f>
        <v>0</v>
      </c>
      <c r="D310" s="954">
        <f>Calculation!AI313</f>
        <v>0</v>
      </c>
      <c r="E310" s="954">
        <f>Calculation!AE313</f>
        <v>34.126819999999995</v>
      </c>
      <c r="F310" s="954">
        <f>Calculation!AF313</f>
        <v>54.005769999999991</v>
      </c>
      <c r="G310" s="954">
        <f>Calculation!AG313</f>
        <v>23.607220000003149</v>
      </c>
      <c r="H310" s="955">
        <f>Sheet1!H315</f>
        <v>4.8</v>
      </c>
      <c r="I310" s="935">
        <f>Sheet1!DA315</f>
        <v>2450</v>
      </c>
      <c r="J310" s="935">
        <f>Sheet1!DB315</f>
        <v>1860</v>
      </c>
      <c r="K310" s="935">
        <f>Sheet1!CZ315</f>
        <v>2020</v>
      </c>
      <c r="L310" s="959">
        <f>Calculation!F313</f>
        <v>250</v>
      </c>
      <c r="M310" s="959">
        <f>Calculation!E313</f>
        <v>250</v>
      </c>
      <c r="N310" s="959">
        <f>Calculation!D313</f>
        <v>300</v>
      </c>
      <c r="O310" s="985">
        <f>Sheet1!DC315</f>
        <v>1093.0999999999999</v>
      </c>
      <c r="P310" s="986">
        <f>Calculation!FD313</f>
        <v>1094.2260869564834</v>
      </c>
      <c r="Q310" s="994">
        <f>Calculation!DP313</f>
        <v>3497.0000000082036</v>
      </c>
      <c r="R310" s="985">
        <f t="shared" si="70"/>
        <v>2878.0000000082036</v>
      </c>
      <c r="S310" s="987">
        <f t="shared" si="82"/>
        <v>-1190.0000000023119</v>
      </c>
      <c r="T310" s="994">
        <f ca="1">IF(A310&gt;$A$1,#N/A,VLOOKUP(A310,Calculation!$B$8:$JF$503,40,FALSE))</f>
        <v>0</v>
      </c>
      <c r="U310" s="987">
        <f t="shared" si="83"/>
        <v>0</v>
      </c>
      <c r="V310" s="987">
        <f>Calculation!AZ313</f>
        <v>0</v>
      </c>
      <c r="W310" s="994">
        <f t="shared" ca="1" si="80"/>
        <v>-2.5419999992379871E-2</v>
      </c>
      <c r="X310" s="994">
        <v>0</v>
      </c>
      <c r="Y310" s="987">
        <v>0</v>
      </c>
      <c r="Z310" s="987">
        <f t="shared" ca="1" si="84"/>
        <v>-2.5419999992379871E-2</v>
      </c>
      <c r="AA310" s="994">
        <f t="shared" ca="1" si="71"/>
        <v>3497.0254200081959</v>
      </c>
      <c r="AB310" s="1093">
        <f t="shared" ca="1" si="72"/>
        <v>2878.0254200081959</v>
      </c>
      <c r="AC310" s="954">
        <f ca="1">IF(A310&gt;$A$1,VLOOKUP(A310,Calculation!$B$8:$JF$880,165,FALSE),VLOOKUP(A310,Calculation!$B$8:$JF$880,165,FALSE))</f>
        <v>3119</v>
      </c>
      <c r="AD310" s="418">
        <f t="shared" ca="1" si="85"/>
        <v>-210</v>
      </c>
      <c r="AE310" s="418"/>
      <c r="AF310" s="935">
        <f>Calculation!G313</f>
        <v>1419.8991427118954</v>
      </c>
      <c r="AG310" s="941" t="str">
        <f t="shared" si="86"/>
        <v>Yes</v>
      </c>
      <c r="AH310" s="941" t="str">
        <f t="shared" si="87"/>
        <v>Yes</v>
      </c>
      <c r="AI310" s="963">
        <v>5241.0400000089412</v>
      </c>
      <c r="AJ310" s="964">
        <v>6703.5000000141772</v>
      </c>
      <c r="AK310" s="964">
        <v>6324.6000000133699</v>
      </c>
      <c r="AN310" s="447"/>
      <c r="AO310" s="430"/>
      <c r="AP310" s="462"/>
      <c r="AQ310" s="461"/>
      <c r="AR310" s="461"/>
      <c r="AS310" s="463"/>
      <c r="AU310" s="453"/>
      <c r="AV310" s="452"/>
      <c r="AW310" s="453"/>
      <c r="AX310" s="452"/>
      <c r="AY310" s="453"/>
      <c r="AZ310" s="452"/>
      <c r="BA310" s="449"/>
    </row>
    <row r="311" spans="1:53" ht="13.5" thickBot="1">
      <c r="A311" s="425">
        <v>41942</v>
      </c>
      <c r="B311" s="954">
        <f t="shared" si="81"/>
        <v>88.179000000000002</v>
      </c>
      <c r="C311" s="954">
        <f>Calculation!AK314</f>
        <v>0</v>
      </c>
      <c r="D311" s="954">
        <f>Calculation!AI314</f>
        <v>0</v>
      </c>
      <c r="E311" s="954">
        <f>Calculation!AE314</f>
        <v>34.033999999999999</v>
      </c>
      <c r="F311" s="954">
        <f>Calculation!AF314</f>
        <v>54.144999999999996</v>
      </c>
      <c r="G311" s="954">
        <f>Calculation!AG314</f>
        <v>41.521480000000224</v>
      </c>
      <c r="H311" s="955">
        <f>Sheet1!H316</f>
        <v>7.55</v>
      </c>
      <c r="I311" s="935">
        <f>Sheet1!DA316</f>
        <v>2400</v>
      </c>
      <c r="J311" s="935">
        <f>Sheet1!DB316</f>
        <v>1780</v>
      </c>
      <c r="K311" s="935">
        <f>Sheet1!CZ316</f>
        <v>1910</v>
      </c>
      <c r="L311" s="959">
        <f>Calculation!F314</f>
        <v>250</v>
      </c>
      <c r="M311" s="959">
        <f>Calculation!E314</f>
        <v>250</v>
      </c>
      <c r="N311" s="959">
        <f>Calculation!D314</f>
        <v>300</v>
      </c>
      <c r="O311" s="985">
        <f>Sheet1!DC316</f>
        <v>1086.3</v>
      </c>
      <c r="P311" s="986">
        <f>Calculation!FD314</f>
        <v>1093.2826086956147</v>
      </c>
      <c r="Q311" s="994">
        <f>Calculation!DP314</f>
        <v>2168.0000000052955</v>
      </c>
      <c r="R311" s="985">
        <f t="shared" si="70"/>
        <v>1549.0000000052955</v>
      </c>
      <c r="S311" s="987">
        <f t="shared" si="82"/>
        <v>-1329.0000000029081</v>
      </c>
      <c r="T311" s="994">
        <f ca="1">IF(A311&gt;$A$1,#N/A,VLOOKUP(A311,Calculation!$B$8:$JF$503,40,FALSE))</f>
        <v>0</v>
      </c>
      <c r="U311" s="987">
        <f t="shared" si="83"/>
        <v>0</v>
      </c>
      <c r="V311" s="987">
        <f>Calculation!AZ314</f>
        <v>0</v>
      </c>
      <c r="W311" s="994">
        <f ca="1">IF(A311&gt;=$A$1,#N/A,W310-X311*1.983)</f>
        <v>-2.5419999992379871E-2</v>
      </c>
      <c r="X311" s="994">
        <v>0</v>
      </c>
      <c r="Y311" s="987">
        <v>0</v>
      </c>
      <c r="Z311" s="987">
        <f t="shared" ca="1" si="84"/>
        <v>-2.5419999992379871E-2</v>
      </c>
      <c r="AA311" s="994">
        <f t="shared" ca="1" si="71"/>
        <v>2168.0254200052877</v>
      </c>
      <c r="AB311" s="1093">
        <f t="shared" ca="1" si="72"/>
        <v>1549.0254200052877</v>
      </c>
      <c r="AC311" s="954">
        <f ca="1">IF(A311&gt;$A$1,VLOOKUP(A311,Calculation!$B$8:$JF$880,165,FALSE),VLOOKUP(A311,Calculation!$B$8:$JF$880,165,FALSE))</f>
        <v>2909</v>
      </c>
      <c r="AD311" s="418">
        <f t="shared" ca="1" si="85"/>
        <v>-210</v>
      </c>
      <c r="AE311" s="418"/>
      <c r="AF311" s="935">
        <f>Calculation!G314</f>
        <v>1239.8033282890026</v>
      </c>
      <c r="AG311" s="941" t="str">
        <f t="shared" si="86"/>
        <v>Yes</v>
      </c>
      <c r="AH311" s="941" t="str">
        <f t="shared" si="87"/>
        <v>Yes</v>
      </c>
      <c r="AI311" s="963">
        <v>4845.7500000080881</v>
      </c>
      <c r="AJ311" s="964">
        <v>5770.000000012401</v>
      </c>
      <c r="AK311" s="964">
        <v>5956.2000000129874</v>
      </c>
      <c r="AN311" s="447"/>
      <c r="AO311" s="430"/>
      <c r="AP311" s="462"/>
      <c r="AQ311" s="461"/>
      <c r="AR311" s="461"/>
      <c r="AS311" s="463"/>
      <c r="AU311" s="453"/>
      <c r="AV311" s="452"/>
      <c r="AW311" s="453"/>
      <c r="AX311" s="452"/>
      <c r="AY311" s="453"/>
      <c r="AZ311" s="452"/>
      <c r="BA311" s="449"/>
    </row>
    <row r="312" spans="1:53" ht="13.5" thickBot="1">
      <c r="A312" s="425">
        <v>41943</v>
      </c>
      <c r="B312" s="954">
        <f t="shared" si="81"/>
        <v>76.282569999999993</v>
      </c>
      <c r="C312" s="954">
        <f>Calculation!AK315</f>
        <v>0</v>
      </c>
      <c r="D312" s="954">
        <f>Calculation!AI315</f>
        <v>0</v>
      </c>
      <c r="E312" s="954">
        <f>Calculation!AE315</f>
        <v>34.513569999999994</v>
      </c>
      <c r="F312" s="954">
        <f>Calculation!AF315</f>
        <v>41.768999999999998</v>
      </c>
      <c r="G312" s="954">
        <f>Calculation!AG315</f>
        <v>51.855439999995042</v>
      </c>
      <c r="H312" s="955">
        <f>Sheet1!H317</f>
        <v>9.0399999999999991</v>
      </c>
      <c r="I312" s="935">
        <f>Sheet1!DA317</f>
        <v>1790</v>
      </c>
      <c r="J312" s="935">
        <f>Sheet1!DB317</f>
        <v>1020</v>
      </c>
      <c r="K312" s="935">
        <f>Sheet1!CZ317</f>
        <v>1110</v>
      </c>
      <c r="L312" s="959">
        <f>Calculation!F315</f>
        <v>250</v>
      </c>
      <c r="M312" s="959">
        <f>Calculation!E315</f>
        <v>250</v>
      </c>
      <c r="N312" s="959">
        <f>Calculation!D315</f>
        <v>300</v>
      </c>
      <c r="O312" s="985">
        <f>Sheet1!DC317</f>
        <v>1083</v>
      </c>
      <c r="P312" s="986">
        <f>Calculation!FD315</f>
        <v>1092.3238095237728</v>
      </c>
      <c r="Q312" s="994">
        <f>Calculation!DP315</f>
        <v>1640.0000000042292</v>
      </c>
      <c r="R312" s="985">
        <f t="shared" si="70"/>
        <v>1021.0000000042292</v>
      </c>
      <c r="S312" s="987">
        <f t="shared" si="82"/>
        <v>-528.00000000106638</v>
      </c>
      <c r="T312" s="994">
        <f ca="1">IF(A312&gt;$A$1,#N/A,VLOOKUP(A312,Calculation!$B$8:$JF$503,40,FALSE))</f>
        <v>0</v>
      </c>
      <c r="U312" s="987">
        <f t="shared" si="83"/>
        <v>0</v>
      </c>
      <c r="V312" s="987">
        <f>Calculation!AZ315</f>
        <v>0</v>
      </c>
      <c r="W312" s="994">
        <f t="shared" ref="W312:W314" ca="1" si="88">IF(A312&gt;=$A$1,#N/A,W311-X312*1.983)</f>
        <v>-2.5419999992379871E-2</v>
      </c>
      <c r="X312" s="994">
        <v>0</v>
      </c>
      <c r="Y312" s="987">
        <v>0</v>
      </c>
      <c r="Z312" s="987">
        <f t="shared" ca="1" si="84"/>
        <v>-2.5419999992379871E-2</v>
      </c>
      <c r="AA312" s="994">
        <f t="shared" ca="1" si="71"/>
        <v>1640.0254200042216</v>
      </c>
      <c r="AB312" s="1093">
        <f t="shared" ca="1" si="72"/>
        <v>1021.0254200042216</v>
      </c>
      <c r="AC312" s="954">
        <f ca="1">IF(A312&gt;$A$1,VLOOKUP(A312,Calculation!$B$8:$JF$880,165,FALSE),VLOOKUP(A312,Calculation!$B$8:$JF$880,165,FALSE))</f>
        <v>2700</v>
      </c>
      <c r="AD312" s="418">
        <f t="shared" ca="1" si="85"/>
        <v>-209</v>
      </c>
      <c r="AE312" s="418"/>
      <c r="AF312" s="935">
        <f>Calculation!G315</f>
        <v>843.73676248055153</v>
      </c>
      <c r="AG312" s="941" t="str">
        <f t="shared" si="86"/>
        <v>Yes</v>
      </c>
      <c r="AH312" s="941" t="str">
        <f t="shared" si="87"/>
        <v>Yes</v>
      </c>
      <c r="AI312" s="963">
        <v>5024.4000000085034</v>
      </c>
      <c r="AJ312" s="964">
        <v>3324.0000000076875</v>
      </c>
      <c r="AK312" s="964">
        <v>5598.6000000117647</v>
      </c>
      <c r="AN312" s="447"/>
      <c r="AO312" s="430"/>
      <c r="AP312" s="462"/>
      <c r="AQ312" s="461"/>
      <c r="AR312" s="461"/>
      <c r="AS312" s="463"/>
      <c r="AU312" s="453"/>
      <c r="AV312" s="452"/>
      <c r="AW312" s="453"/>
      <c r="AX312" s="452"/>
      <c r="AY312" s="453"/>
      <c r="AZ312" s="452"/>
      <c r="BA312" s="449"/>
    </row>
    <row r="313" spans="1:53" ht="13.5" thickBot="1">
      <c r="A313" s="425">
        <v>41944</v>
      </c>
      <c r="B313" s="954">
        <f t="shared" si="81"/>
        <v>75.029499999999999</v>
      </c>
      <c r="C313" s="954">
        <f>Calculation!AK316</f>
        <v>0</v>
      </c>
      <c r="D313" s="954">
        <f>Calculation!AI316</f>
        <v>0</v>
      </c>
      <c r="E313" s="954">
        <f>Calculation!AE316</f>
        <v>34.498100000000001</v>
      </c>
      <c r="F313" s="954">
        <f>Calculation!AF316</f>
        <v>40.531399999999998</v>
      </c>
      <c r="G313" s="954">
        <f>Calculation!AG316</f>
        <v>8.5703800000013501</v>
      </c>
      <c r="H313" s="955">
        <f>Sheet1!H318</f>
        <v>5.51</v>
      </c>
      <c r="I313" s="935">
        <f>Sheet1!DA318</f>
        <v>1508</v>
      </c>
      <c r="J313" s="935">
        <f>Sheet1!DB318</f>
        <v>978</v>
      </c>
      <c r="K313" s="935">
        <f>Sheet1!CZ318</f>
        <v>1110</v>
      </c>
      <c r="L313" s="959">
        <f>Calculation!F316</f>
        <v>250</v>
      </c>
      <c r="M313" s="959">
        <f>Calculation!E316</f>
        <v>250</v>
      </c>
      <c r="N313" s="959">
        <f>Calculation!D316</f>
        <v>300</v>
      </c>
      <c r="O313" s="985">
        <f>Sheet1!DC318</f>
        <v>1083.5</v>
      </c>
      <c r="P313" s="986">
        <f>Calculation!FD316</f>
        <v>1091.3333333332976</v>
      </c>
      <c r="Q313" s="994">
        <f>Calculation!DP316</f>
        <v>1717.0000000042974</v>
      </c>
      <c r="R313" s="985">
        <f t="shared" si="70"/>
        <v>1098.0000000042974</v>
      </c>
      <c r="S313" s="987">
        <f t="shared" si="82"/>
        <v>77.000000000068212</v>
      </c>
      <c r="T313" s="994">
        <f ca="1">IF(A313&gt;$A$1,#N/A,VLOOKUP(A313,Calculation!$B$8:$JF$503,40,FALSE))</f>
        <v>0</v>
      </c>
      <c r="U313" s="987">
        <f t="shared" si="83"/>
        <v>0</v>
      </c>
      <c r="V313" s="987">
        <f>Calculation!AZ316</f>
        <v>0</v>
      </c>
      <c r="W313" s="994">
        <f t="shared" ca="1" si="88"/>
        <v>-2.5419999992379871E-2</v>
      </c>
      <c r="X313" s="994">
        <v>0</v>
      </c>
      <c r="Y313" s="987">
        <v>0</v>
      </c>
      <c r="Z313" s="987">
        <f t="shared" ca="1" si="84"/>
        <v>-2.5419999992379871E-2</v>
      </c>
      <c r="AA313" s="994">
        <f t="shared" ca="1" si="71"/>
        <v>1717.0254200042898</v>
      </c>
      <c r="AB313" s="1093">
        <f t="shared" ca="1" si="72"/>
        <v>1098.0254200042898</v>
      </c>
      <c r="AC313" s="954">
        <f ca="1">IF(A313&gt;$A$1,VLOOKUP(A313,Calculation!$B$8:$JF$880,165,FALSE),VLOOKUP(A313,Calculation!$B$8:$JF$880,165,FALSE))</f>
        <v>2610</v>
      </c>
      <c r="AD313" s="418">
        <f t="shared" ca="1" si="85"/>
        <v>-90</v>
      </c>
      <c r="AE313" s="418"/>
      <c r="AF313" s="935">
        <f>Calculation!G316</f>
        <v>1148.8300554715422</v>
      </c>
      <c r="AG313" s="941" t="str">
        <f t="shared" si="86"/>
        <v>Yes</v>
      </c>
      <c r="AH313" s="941" t="str">
        <f t="shared" si="87"/>
        <v>Yes</v>
      </c>
      <c r="AI313" s="963">
        <v>4764.8100000079912</v>
      </c>
      <c r="AJ313" s="964">
        <v>2376.0000000058117</v>
      </c>
      <c r="AK313" s="964">
        <v>5063.0000000108575</v>
      </c>
      <c r="AN313" s="447"/>
      <c r="AO313" s="430"/>
      <c r="AP313" s="462"/>
      <c r="AQ313" s="461"/>
      <c r="AR313" s="461"/>
      <c r="AS313" s="463"/>
      <c r="AU313" s="453"/>
      <c r="AV313" s="452"/>
      <c r="AW313" s="453"/>
      <c r="AX313" s="452"/>
      <c r="AY313" s="453"/>
      <c r="AZ313" s="452"/>
      <c r="BA313" s="449"/>
    </row>
    <row r="314" spans="1:53" ht="13.5" thickBot="1">
      <c r="A314" s="425">
        <v>41945</v>
      </c>
      <c r="B314" s="954">
        <f t="shared" si="81"/>
        <v>80.753399999999999</v>
      </c>
      <c r="C314" s="954">
        <f>Calculation!AK317</f>
        <v>0</v>
      </c>
      <c r="D314" s="954">
        <f>Calculation!AI317</f>
        <v>0</v>
      </c>
      <c r="E314" s="954">
        <f>Calculation!AE317</f>
        <v>34.343399999999995</v>
      </c>
      <c r="F314" s="954">
        <f>Calculation!AF317</f>
        <v>46.41</v>
      </c>
      <c r="G314" s="954">
        <f>Calculation!AG317</f>
        <v>0</v>
      </c>
      <c r="H314" s="955">
        <f>Sheet1!H319</f>
        <v>2.54</v>
      </c>
      <c r="I314" s="935">
        <f>Sheet1!DA319</f>
        <v>1380</v>
      </c>
      <c r="J314" s="935">
        <f>Sheet1!DB319</f>
        <v>893</v>
      </c>
      <c r="K314" s="935">
        <f>Sheet1!CZ319</f>
        <v>1000</v>
      </c>
      <c r="L314" s="959">
        <f>Calculation!F317</f>
        <v>250</v>
      </c>
      <c r="M314" s="959">
        <f>Calculation!E317</f>
        <v>250</v>
      </c>
      <c r="N314" s="959">
        <f>Calculation!D317</f>
        <v>300</v>
      </c>
      <c r="O314" s="985">
        <f>Sheet1!DC319</f>
        <v>1081.6500000000001</v>
      </c>
      <c r="P314" s="986">
        <f>Calculation!FD317</f>
        <v>1090.3099999999652</v>
      </c>
      <c r="Q314" s="994">
        <f>Calculation!DP317</f>
        <v>1444.000000003788</v>
      </c>
      <c r="R314" s="985">
        <f t="shared" si="70"/>
        <v>825.00000000378805</v>
      </c>
      <c r="S314" s="987">
        <f t="shared" si="82"/>
        <v>-273.00000000050932</v>
      </c>
      <c r="T314" s="994">
        <f ca="1">IF(A314&gt;$A$1,#N/A,VLOOKUP(A314,Calculation!$B$8:$JF$503,40,FALSE))</f>
        <v>0</v>
      </c>
      <c r="U314" s="987">
        <f t="shared" si="83"/>
        <v>0</v>
      </c>
      <c r="V314" s="987">
        <f>Calculation!AZ317</f>
        <v>0</v>
      </c>
      <c r="W314" s="994">
        <f t="shared" ca="1" si="88"/>
        <v>-2.5419999992379871E-2</v>
      </c>
      <c r="X314" s="994">
        <v>0</v>
      </c>
      <c r="Y314" s="987">
        <v>0</v>
      </c>
      <c r="Z314" s="987">
        <f t="shared" ca="1" si="84"/>
        <v>-2.5419999992379871E-2</v>
      </c>
      <c r="AA314" s="994">
        <f t="shared" ca="1" si="71"/>
        <v>1444.0254200037805</v>
      </c>
      <c r="AB314" s="1093">
        <f t="shared" ca="1" si="72"/>
        <v>825.02542000378048</v>
      </c>
      <c r="AC314" s="954">
        <f ca="1">IF(A314&gt;$A$1,VLOOKUP(A314,Calculation!$B$8:$JF$880,165,FALSE),VLOOKUP(A314,Calculation!$B$8:$JF$880,165,FALSE))</f>
        <v>2520</v>
      </c>
      <c r="AD314" s="418">
        <f t="shared" ca="1" si="85"/>
        <v>-90</v>
      </c>
      <c r="AE314" s="418"/>
      <c r="AF314" s="935">
        <f>Calculation!G317</f>
        <v>862.32980332803368</v>
      </c>
      <c r="AG314" s="941" t="str">
        <f t="shared" si="86"/>
        <v>Yes</v>
      </c>
      <c r="AH314" s="941" t="str">
        <f t="shared" si="87"/>
        <v>Yes</v>
      </c>
      <c r="AI314" s="963">
        <v>4287.0500000071297</v>
      </c>
      <c r="AJ314" s="964">
        <v>1496.0000000040927</v>
      </c>
      <c r="AK314" s="964">
        <v>4638.0000000104592</v>
      </c>
      <c r="AN314" s="447"/>
      <c r="AO314" s="430"/>
      <c r="AP314" s="462"/>
      <c r="AQ314" s="461"/>
      <c r="AR314" s="461"/>
      <c r="AS314" s="463"/>
      <c r="AU314" s="453"/>
      <c r="AV314" s="452"/>
      <c r="AW314" s="453"/>
      <c r="AX314" s="452"/>
      <c r="AY314" s="453"/>
      <c r="AZ314" s="452"/>
      <c r="BA314" s="449"/>
    </row>
    <row r="315" spans="1:53" ht="13.5" thickBot="1">
      <c r="A315" s="425">
        <v>41946</v>
      </c>
      <c r="B315" s="954">
        <f t="shared" si="81"/>
        <v>80.676049999999989</v>
      </c>
      <c r="C315" s="954">
        <f>Calculation!AK318</f>
        <v>0</v>
      </c>
      <c r="D315" s="954">
        <f>Calculation!AI318</f>
        <v>0</v>
      </c>
      <c r="E315" s="954">
        <f>Calculation!AE318</f>
        <v>34.343399999999995</v>
      </c>
      <c r="F315" s="954">
        <f>Calculation!AF318</f>
        <v>46.332649999999994</v>
      </c>
      <c r="G315" s="954">
        <f>Calculation!AG318</f>
        <v>0.5723899999984241</v>
      </c>
      <c r="H315" s="955">
        <f>Sheet1!H320</f>
        <v>3.84</v>
      </c>
      <c r="I315" s="935">
        <f>Sheet1!DA320</f>
        <v>1710</v>
      </c>
      <c r="J315" s="935">
        <f>Sheet1!DB320</f>
        <v>1180</v>
      </c>
      <c r="K315" s="935">
        <f>Sheet1!CZ320</f>
        <v>1280</v>
      </c>
      <c r="L315" s="959">
        <f>Calculation!F318</f>
        <v>250</v>
      </c>
      <c r="M315" s="959">
        <f>Calculation!E318</f>
        <v>250</v>
      </c>
      <c r="N315" s="959">
        <f>Calculation!D318</f>
        <v>300</v>
      </c>
      <c r="O315" s="985">
        <f>Sheet1!DC320</f>
        <v>1082.3699999999999</v>
      </c>
      <c r="P315" s="986">
        <f>Calculation!FD318</f>
        <v>1089.2499999999661</v>
      </c>
      <c r="Q315" s="994">
        <f>Calculation!DP318</f>
        <v>1547.5000000041268</v>
      </c>
      <c r="R315" s="985">
        <f t="shared" si="70"/>
        <v>928.50000000412683</v>
      </c>
      <c r="S315" s="987">
        <f t="shared" si="82"/>
        <v>103.50000000033879</v>
      </c>
      <c r="T315" s="994">
        <f ca="1">IF(A315&gt;$A$1,#N/A,VLOOKUP(A315,Calculation!$B$8:$JF$503,40,FALSE))</f>
        <v>0</v>
      </c>
      <c r="U315" s="987">
        <f t="shared" si="83"/>
        <v>0</v>
      </c>
      <c r="V315" s="987">
        <f>Calculation!AZ318</f>
        <v>0</v>
      </c>
      <c r="W315" s="994">
        <f t="shared" ca="1" si="80"/>
        <v>-2.5419999992379871E-2</v>
      </c>
      <c r="X315" s="994">
        <v>0</v>
      </c>
      <c r="Y315" s="987">
        <v>0</v>
      </c>
      <c r="Z315" s="987">
        <f t="shared" ca="1" si="84"/>
        <v>-2.5419999992379871E-2</v>
      </c>
      <c r="AA315" s="994">
        <f t="shared" ca="1" si="71"/>
        <v>1547.5254200041193</v>
      </c>
      <c r="AB315" s="1093">
        <f t="shared" ca="1" si="72"/>
        <v>928.52542000411927</v>
      </c>
      <c r="AC315" s="954">
        <f ca="1">IF(A315&gt;$A$1,VLOOKUP(A315,Calculation!$B$8:$JF$880,165,FALSE),VLOOKUP(A315,Calculation!$B$8:$JF$880,165,FALSE))</f>
        <v>2430</v>
      </c>
      <c r="AD315" s="418">
        <f t="shared" ca="1" si="85"/>
        <v>-90</v>
      </c>
      <c r="AE315" s="418"/>
      <c r="AF315" s="935">
        <f>Calculation!G318</f>
        <v>1332.1936459910937</v>
      </c>
      <c r="AG315" s="941" t="str">
        <f t="shared" si="86"/>
        <v>Yes</v>
      </c>
      <c r="AH315" s="941" t="str">
        <f t="shared" si="87"/>
        <v>Yes</v>
      </c>
      <c r="AI315" s="963">
        <v>3769.5600000060663</v>
      </c>
      <c r="AJ315" s="964">
        <v>1329.2000000036608</v>
      </c>
      <c r="AK315" s="964">
        <v>4266.400000009713</v>
      </c>
      <c r="AN315" s="447"/>
      <c r="AO315" s="430"/>
      <c r="AP315" s="462"/>
      <c r="AQ315" s="461"/>
      <c r="AR315" s="461"/>
      <c r="AS315" s="463"/>
      <c r="AU315" s="453"/>
      <c r="AV315" s="452"/>
      <c r="AW315" s="453"/>
      <c r="AX315" s="452"/>
      <c r="AY315" s="453"/>
      <c r="AZ315" s="452"/>
      <c r="BA315" s="449"/>
    </row>
    <row r="316" spans="1:53" ht="13.5" thickBot="1">
      <c r="A316" s="425">
        <v>41947</v>
      </c>
      <c r="B316" s="954">
        <f t="shared" si="81"/>
        <v>80.691519999999997</v>
      </c>
      <c r="C316" s="954">
        <f>Calculation!AK319</f>
        <v>0</v>
      </c>
      <c r="D316" s="954">
        <f>Calculation!AI319</f>
        <v>0</v>
      </c>
      <c r="E316" s="954">
        <f>Calculation!AE319</f>
        <v>34.436219999999999</v>
      </c>
      <c r="F316" s="954">
        <f>Calculation!AF319</f>
        <v>46.255299999999998</v>
      </c>
      <c r="G316" s="954">
        <f>Calculation!AG319</f>
        <v>43.594460000000446</v>
      </c>
      <c r="H316" s="955">
        <f>Sheet1!H321</f>
        <v>15.9</v>
      </c>
      <c r="I316" s="935">
        <f>Sheet1!DA321</f>
        <v>2700</v>
      </c>
      <c r="J316" s="935">
        <f>Sheet1!DB321</f>
        <v>2130</v>
      </c>
      <c r="K316" s="935">
        <f>Sheet1!CZ321</f>
        <v>2180</v>
      </c>
      <c r="L316" s="959">
        <f>Calculation!F319</f>
        <v>250</v>
      </c>
      <c r="M316" s="959">
        <f>Calculation!E319</f>
        <v>250</v>
      </c>
      <c r="N316" s="959">
        <f>Calculation!D319</f>
        <v>300</v>
      </c>
      <c r="O316" s="985">
        <f>Sheet1!DC321</f>
        <v>1089.55</v>
      </c>
      <c r="P316" s="986">
        <f>Calculation!FD319</f>
        <v>1088.7789473683877</v>
      </c>
      <c r="Q316" s="994">
        <f>Calculation!DP319</f>
        <v>2758.0000000068212</v>
      </c>
      <c r="R316" s="985">
        <f t="shared" si="70"/>
        <v>2139.0000000068212</v>
      </c>
      <c r="S316" s="987">
        <f t="shared" si="82"/>
        <v>1210.5000000026944</v>
      </c>
      <c r="T316" s="994">
        <f ca="1">IF(A316&gt;$A$1,#N/A,VLOOKUP(A316,Calculation!$B$8:$JF$503,40,FALSE))</f>
        <v>0</v>
      </c>
      <c r="U316" s="987">
        <f t="shared" si="83"/>
        <v>0</v>
      </c>
      <c r="V316" s="987">
        <f>Calculation!AZ319</f>
        <v>0</v>
      </c>
      <c r="W316" s="994">
        <f t="shared" ca="1" si="80"/>
        <v>-2.5419999992379871E-2</v>
      </c>
      <c r="X316" s="994">
        <v>0</v>
      </c>
      <c r="Y316" s="987">
        <v>0</v>
      </c>
      <c r="Z316" s="987">
        <f t="shared" ca="1" si="84"/>
        <v>-2.5419999992379871E-2</v>
      </c>
      <c r="AA316" s="994">
        <f t="shared" ca="1" si="71"/>
        <v>2758.0254200068134</v>
      </c>
      <c r="AB316" s="1093">
        <f t="shared" ca="1" si="72"/>
        <v>2139.0254200068134</v>
      </c>
      <c r="AC316" s="954">
        <f ca="1">IF(A316&gt;$A$1,VLOOKUP(A316,Calculation!$B$8:$JF$880,165,FALSE),VLOOKUP(A316,Calculation!$B$8:$JF$880,165,FALSE))</f>
        <v>2340</v>
      </c>
      <c r="AD316" s="418">
        <f t="shared" ca="1" si="85"/>
        <v>-90</v>
      </c>
      <c r="AE316" s="418"/>
      <c r="AF316" s="935">
        <f>Calculation!G319</f>
        <v>2790.4387291995431</v>
      </c>
      <c r="AG316" s="941" t="str">
        <f t="shared" si="86"/>
        <v>Yes</v>
      </c>
      <c r="AH316" s="941" t="str">
        <f t="shared" si="87"/>
        <v>Yes</v>
      </c>
      <c r="AI316" s="963">
        <v>3262.6000000051185</v>
      </c>
      <c r="AJ316" s="964">
        <v>1236.5000000033401</v>
      </c>
      <c r="AK316" s="964">
        <v>3915.2000000086036</v>
      </c>
      <c r="AN316" s="447"/>
      <c r="AO316" s="430"/>
      <c r="AP316" s="462"/>
      <c r="AQ316" s="461"/>
      <c r="AR316" s="461"/>
      <c r="AS316" s="463"/>
      <c r="AU316" s="453"/>
      <c r="AV316" s="452"/>
      <c r="AW316" s="453"/>
      <c r="AX316" s="452"/>
      <c r="AY316" s="453"/>
      <c r="AZ316" s="452"/>
      <c r="BA316" s="449"/>
    </row>
    <row r="317" spans="1:53" ht="13.5" thickBot="1">
      <c r="A317" s="425">
        <v>41948</v>
      </c>
      <c r="B317" s="954">
        <f t="shared" si="81"/>
        <v>80.954509999999999</v>
      </c>
      <c r="C317" s="954">
        <f>Calculation!AK320</f>
        <v>0</v>
      </c>
      <c r="D317" s="954">
        <f>Calculation!AI320</f>
        <v>0</v>
      </c>
      <c r="E317" s="954">
        <f>Calculation!AE320</f>
        <v>34.451689999999999</v>
      </c>
      <c r="F317" s="954">
        <f>Calculation!AF320</f>
        <v>46.502819999999993</v>
      </c>
      <c r="G317" s="954">
        <f>Calculation!AG320</f>
        <v>50.277499999999996</v>
      </c>
      <c r="H317" s="955">
        <f>Sheet1!H322</f>
        <v>11.19</v>
      </c>
      <c r="I317" s="935">
        <f>Sheet1!DA322</f>
        <v>2760</v>
      </c>
      <c r="J317" s="935">
        <f>Sheet1!DB322</f>
        <v>2040</v>
      </c>
      <c r="K317" s="935">
        <f>Sheet1!CZ322</f>
        <v>2210</v>
      </c>
      <c r="L317" s="959">
        <f>Calculation!F320</f>
        <v>250</v>
      </c>
      <c r="M317" s="959">
        <f>Calculation!E320</f>
        <v>250</v>
      </c>
      <c r="N317" s="959">
        <f>Calculation!D320</f>
        <v>300</v>
      </c>
      <c r="O317" s="985">
        <f>Sheet1!DC322</f>
        <v>1090.6199999999999</v>
      </c>
      <c r="P317" s="986">
        <f>Calculation!FD320</f>
        <v>1088.2947368420723</v>
      </c>
      <c r="Q317" s="994">
        <f>Calculation!DP320</f>
        <v>2971.2000000073531</v>
      </c>
      <c r="R317" s="985">
        <f t="shared" si="70"/>
        <v>2352.2000000073531</v>
      </c>
      <c r="S317" s="987">
        <f t="shared" si="82"/>
        <v>213.20000000053187</v>
      </c>
      <c r="T317" s="994">
        <f ca="1">IF(A317&gt;$A$1,#N/A,VLOOKUP(A317,Calculation!$B$8:$JF$503,40,FALSE))</f>
        <v>0</v>
      </c>
      <c r="U317" s="987">
        <f t="shared" si="83"/>
        <v>0</v>
      </c>
      <c r="V317" s="987">
        <f>Calculation!AZ320</f>
        <v>0</v>
      </c>
      <c r="W317" s="994">
        <f t="shared" ca="1" si="80"/>
        <v>-2.5419999992379871E-2</v>
      </c>
      <c r="X317" s="994">
        <v>0</v>
      </c>
      <c r="Y317" s="987">
        <v>0</v>
      </c>
      <c r="Z317" s="987">
        <f t="shared" ca="1" si="84"/>
        <v>-2.5419999992379871E-2</v>
      </c>
      <c r="AA317" s="994">
        <f t="shared" ca="1" si="71"/>
        <v>2971.2254200073453</v>
      </c>
      <c r="AB317" s="1093">
        <f t="shared" ca="1" si="72"/>
        <v>2352.2254200073453</v>
      </c>
      <c r="AC317" s="954">
        <f ca="1">IF(A317&gt;$A$1,VLOOKUP(A317,Calculation!$B$8:$JF$880,165,FALSE),VLOOKUP(A317,Calculation!$B$8:$JF$880,165,FALSE))</f>
        <v>2250</v>
      </c>
      <c r="AD317" s="418">
        <f t="shared" ca="1" si="85"/>
        <v>-90</v>
      </c>
      <c r="AE317" s="418"/>
      <c r="AF317" s="935">
        <f>Calculation!G320</f>
        <v>2317.5138678772223</v>
      </c>
      <c r="AG317" s="941" t="str">
        <f t="shared" si="86"/>
        <v>Yes</v>
      </c>
      <c r="AH317" s="941" t="str">
        <f t="shared" si="87"/>
        <v>Yes</v>
      </c>
      <c r="AI317" s="963">
        <v>2778.2600000042439</v>
      </c>
      <c r="AJ317" s="964">
        <v>976.4000000028376</v>
      </c>
      <c r="AK317" s="964">
        <v>3677.2000000084035</v>
      </c>
      <c r="AN317" s="447"/>
      <c r="AO317" s="430"/>
      <c r="AP317" s="462"/>
      <c r="AQ317" s="461"/>
      <c r="AR317" s="461"/>
      <c r="AS317" s="463"/>
      <c r="AU317" s="453"/>
      <c r="AV317" s="452"/>
      <c r="AW317" s="453"/>
      <c r="AX317" s="452"/>
      <c r="AY317" s="453"/>
      <c r="AZ317" s="452"/>
      <c r="BA317" s="449"/>
    </row>
    <row r="318" spans="1:53" ht="13.5" thickBot="1">
      <c r="A318" s="425">
        <v>41949</v>
      </c>
      <c r="B318" s="954">
        <f t="shared" si="81"/>
        <v>80.366649999999993</v>
      </c>
      <c r="C318" s="954">
        <f>Calculation!AK321</f>
        <v>0</v>
      </c>
      <c r="D318" s="954">
        <f>Calculation!AI321</f>
        <v>0</v>
      </c>
      <c r="E318" s="954">
        <f>Calculation!AE321</f>
        <v>33.2605</v>
      </c>
      <c r="F318" s="954">
        <f>Calculation!AF321</f>
        <v>47.10615</v>
      </c>
      <c r="G318" s="954">
        <f>Calculation!AG321</f>
        <v>14.448980000000224</v>
      </c>
      <c r="H318" s="955">
        <f>Sheet1!H323</f>
        <v>5.75</v>
      </c>
      <c r="I318" s="935">
        <f>Sheet1!DA323</f>
        <v>2540</v>
      </c>
      <c r="J318" s="935">
        <f>Sheet1!DB323</f>
        <v>2090</v>
      </c>
      <c r="K318" s="935">
        <f>Sheet1!CZ323</f>
        <v>1990</v>
      </c>
      <c r="L318" s="959">
        <f>Calculation!F321</f>
        <v>250</v>
      </c>
      <c r="M318" s="959">
        <f>Calculation!E321</f>
        <v>250</v>
      </c>
      <c r="N318" s="959">
        <f>Calculation!D321</f>
        <v>300</v>
      </c>
      <c r="O318" s="985">
        <f>Sheet1!DC323</f>
        <v>1088.42</v>
      </c>
      <c r="P318" s="986">
        <f>Calculation!FD321</f>
        <v>1087.7999999999674</v>
      </c>
      <c r="Q318" s="994">
        <f>Calculation!DP321</f>
        <v>2543.6000000059753</v>
      </c>
      <c r="R318" s="985">
        <f t="shared" si="70"/>
        <v>1924.6000000059753</v>
      </c>
      <c r="S318" s="987">
        <f t="shared" si="82"/>
        <v>-427.60000000137779</v>
      </c>
      <c r="T318" s="994">
        <f ca="1">IF(A318&gt;$A$1,#N/A,VLOOKUP(A318,Calculation!$B$8:$JF$503,40,FALSE))</f>
        <v>0</v>
      </c>
      <c r="U318" s="987">
        <f t="shared" si="83"/>
        <v>0</v>
      </c>
      <c r="V318" s="987">
        <f>Calculation!AZ321</f>
        <v>0</v>
      </c>
      <c r="W318" s="994">
        <f t="shared" ca="1" si="80"/>
        <v>-2.5419999992379871E-2</v>
      </c>
      <c r="X318" s="994">
        <v>0</v>
      </c>
      <c r="Y318" s="987">
        <v>0</v>
      </c>
      <c r="Z318" s="987">
        <f t="shared" ca="1" si="84"/>
        <v>-2.5419999992379871E-2</v>
      </c>
      <c r="AA318" s="994">
        <f t="shared" ca="1" si="71"/>
        <v>2543.6254200059675</v>
      </c>
      <c r="AB318" s="1093">
        <f t="shared" ca="1" si="72"/>
        <v>1924.6254200059675</v>
      </c>
      <c r="AC318" s="954">
        <f ca="1">IF(A318&gt;$A$1,VLOOKUP(A318,Calculation!$B$8:$JF$880,165,FALSE),VLOOKUP(A318,Calculation!$B$8:$JF$880,165,FALSE))</f>
        <v>2160</v>
      </c>
      <c r="AD318" s="418">
        <f t="shared" ca="1" si="85"/>
        <v>-90</v>
      </c>
      <c r="AE318" s="418"/>
      <c r="AF318" s="935">
        <f>Calculation!G321</f>
        <v>1774.3671205237631</v>
      </c>
      <c r="AG318" s="941" t="str">
        <f t="shared" si="86"/>
        <v>Yes</v>
      </c>
      <c r="AH318" s="941" t="str">
        <f t="shared" si="87"/>
        <v>Yes</v>
      </c>
      <c r="AI318" s="963">
        <v>2345.0000000035016</v>
      </c>
      <c r="AJ318" s="964">
        <v>995.10000000310367</v>
      </c>
      <c r="AK318" s="964">
        <v>3414.4000000081537</v>
      </c>
      <c r="AN318" s="447"/>
      <c r="AO318" s="430"/>
      <c r="AP318" s="462"/>
      <c r="AQ318" s="461"/>
      <c r="AR318" s="461"/>
      <c r="AS318" s="463"/>
      <c r="AU318" s="453"/>
      <c r="AV318" s="452"/>
      <c r="AW318" s="453"/>
      <c r="AX318" s="452"/>
      <c r="AY318" s="453"/>
      <c r="AZ318" s="452"/>
      <c r="BA318" s="449"/>
    </row>
    <row r="319" spans="1:53" ht="13.5" thickBot="1">
      <c r="A319" s="425">
        <v>41950</v>
      </c>
      <c r="B319" s="954">
        <f t="shared" si="81"/>
        <v>79.670500000000004</v>
      </c>
      <c r="C319" s="954">
        <f>Calculation!AK322</f>
        <v>0</v>
      </c>
      <c r="D319" s="954">
        <f>Calculation!AI322</f>
        <v>0</v>
      </c>
      <c r="E319" s="954">
        <f>Calculation!AE322</f>
        <v>30.166499999999999</v>
      </c>
      <c r="F319" s="954">
        <f>Calculation!AF322</f>
        <v>49.503999999999998</v>
      </c>
      <c r="G319" s="954">
        <f>Calculation!AG322</f>
        <v>13.892059999999324</v>
      </c>
      <c r="H319" s="955">
        <f>Sheet1!H324</f>
        <v>3.57</v>
      </c>
      <c r="I319" s="935">
        <f>Sheet1!DA324</f>
        <v>2020</v>
      </c>
      <c r="J319" s="935">
        <f>Sheet1!DB324</f>
        <v>1600</v>
      </c>
      <c r="K319" s="935">
        <f>Sheet1!CZ324</f>
        <v>1570</v>
      </c>
      <c r="L319" s="959">
        <f>Calculation!F322</f>
        <v>250</v>
      </c>
      <c r="M319" s="959">
        <f>Calculation!E322</f>
        <v>250</v>
      </c>
      <c r="N319" s="959">
        <f>Calculation!D322</f>
        <v>300</v>
      </c>
      <c r="O319" s="985">
        <f>Sheet1!DC324</f>
        <v>1087.3</v>
      </c>
      <c r="P319" s="986">
        <f>Calculation!FD322</f>
        <v>1087.2944444444124</v>
      </c>
      <c r="Q319" s="994">
        <f>Calculation!DP322</f>
        <v>2341.0000000054501</v>
      </c>
      <c r="R319" s="985">
        <f t="shared" si="70"/>
        <v>1722.0000000054501</v>
      </c>
      <c r="S319" s="987">
        <f t="shared" si="82"/>
        <v>-202.60000000052514</v>
      </c>
      <c r="T319" s="994">
        <f ca="1">IF(A319&gt;$A$1,#N/A,VLOOKUP(A319,Calculation!$B$8:$JF$503,40,FALSE))</f>
        <v>0</v>
      </c>
      <c r="U319" s="987">
        <f t="shared" si="83"/>
        <v>0</v>
      </c>
      <c r="V319" s="987">
        <f>Calculation!AZ322</f>
        <v>0</v>
      </c>
      <c r="W319" s="994">
        <f t="shared" ca="1" si="80"/>
        <v>-2.5419999992379871E-2</v>
      </c>
      <c r="X319" s="994">
        <v>0</v>
      </c>
      <c r="Y319" s="987">
        <v>0</v>
      </c>
      <c r="Z319" s="987">
        <f t="shared" ca="1" si="84"/>
        <v>-2.5419999992379871E-2</v>
      </c>
      <c r="AA319" s="994">
        <f t="shared" ca="1" si="71"/>
        <v>2341.0254200054424</v>
      </c>
      <c r="AB319" s="1093">
        <f t="shared" ca="1" si="72"/>
        <v>1722.0254200054424</v>
      </c>
      <c r="AC319" s="954">
        <f ca="1">IF(A319&gt;$A$1,VLOOKUP(A319,Calculation!$B$8:$JF$880,165,FALSE),VLOOKUP(A319,Calculation!$B$8:$JF$880,165,FALSE))</f>
        <v>2070</v>
      </c>
      <c r="AD319" s="418">
        <f t="shared" ca="1" si="85"/>
        <v>-90</v>
      </c>
      <c r="AE319" s="418"/>
      <c r="AF319" s="935">
        <f>Calculation!G322</f>
        <v>1467.831568330547</v>
      </c>
      <c r="AG319" s="941" t="str">
        <f t="shared" si="86"/>
        <v>Yes</v>
      </c>
      <c r="AH319" s="941" t="str">
        <f t="shared" si="87"/>
        <v>Yes</v>
      </c>
      <c r="AI319" s="963">
        <v>2066.4000000030151</v>
      </c>
      <c r="AJ319" s="964">
        <v>1082.4000000029469</v>
      </c>
      <c r="AK319" s="964">
        <v>3291.5000000076875</v>
      </c>
      <c r="AN319" s="447"/>
      <c r="AO319" s="430"/>
      <c r="AP319" s="462"/>
      <c r="AQ319" s="461"/>
      <c r="AR319" s="461"/>
      <c r="AS319" s="463"/>
      <c r="AU319" s="453"/>
      <c r="AV319" s="452"/>
      <c r="AW319" s="453"/>
      <c r="AX319" s="452"/>
      <c r="AY319" s="453"/>
      <c r="AZ319" s="452"/>
      <c r="BA319" s="449"/>
    </row>
    <row r="320" spans="1:53" ht="13.5" thickBot="1">
      <c r="A320" s="425">
        <v>41951</v>
      </c>
      <c r="B320" s="954">
        <f t="shared" si="81"/>
        <v>79.825199999999995</v>
      </c>
      <c r="C320" s="954">
        <f>Calculation!AK323</f>
        <v>0</v>
      </c>
      <c r="D320" s="954">
        <f>Calculation!AI323</f>
        <v>0</v>
      </c>
      <c r="E320" s="954">
        <f>Calculation!AE323</f>
        <v>30.321200000000001</v>
      </c>
      <c r="F320" s="954">
        <f>Calculation!AF323</f>
        <v>49.503999999999998</v>
      </c>
      <c r="G320" s="954">
        <f>Calculation!AG323</f>
        <v>0</v>
      </c>
      <c r="H320" s="955">
        <f>Sheet1!H325</f>
        <v>2.44</v>
      </c>
      <c r="I320" s="935">
        <f>Sheet1!DA325</f>
        <v>1930</v>
      </c>
      <c r="J320" s="935">
        <f>Sheet1!DB325</f>
        <v>1620</v>
      </c>
      <c r="K320" s="935">
        <f>Sheet1!CZ325</f>
        <v>1560</v>
      </c>
      <c r="L320" s="959">
        <f>Calculation!F323</f>
        <v>250</v>
      </c>
      <c r="M320" s="959">
        <f>Calculation!E323</f>
        <v>250</v>
      </c>
      <c r="N320" s="959">
        <f>Calculation!D323</f>
        <v>300</v>
      </c>
      <c r="O320" s="985">
        <f>Sheet1!DC325</f>
        <v>1085.3</v>
      </c>
      <c r="P320" s="986">
        <f>Calculation!FD323</f>
        <v>1086.7823529411448</v>
      </c>
      <c r="Q320" s="994">
        <f>Calculation!DP323</f>
        <v>2001.0000000048385</v>
      </c>
      <c r="R320" s="985">
        <f t="shared" si="70"/>
        <v>1382.0000000048385</v>
      </c>
      <c r="S320" s="987">
        <f t="shared" si="82"/>
        <v>-340.00000000061164</v>
      </c>
      <c r="T320" s="994">
        <f ca="1">IF(A320&gt;$A$1,#N/A,VLOOKUP(A320,Calculation!$B$8:$JF$503,40,FALSE))</f>
        <v>0</v>
      </c>
      <c r="U320" s="987">
        <f t="shared" si="83"/>
        <v>0</v>
      </c>
      <c r="V320" s="987">
        <f>Calculation!AZ323</f>
        <v>0</v>
      </c>
      <c r="W320" s="994">
        <f t="shared" ca="1" si="80"/>
        <v>-2.5419999992379871E-2</v>
      </c>
      <c r="X320" s="994">
        <v>0</v>
      </c>
      <c r="Y320" s="987">
        <v>0</v>
      </c>
      <c r="Z320" s="987">
        <f t="shared" ca="1" si="84"/>
        <v>-2.5419999992379871E-2</v>
      </c>
      <c r="AA320" s="994">
        <f t="shared" ca="1" si="71"/>
        <v>2001.0254200048309</v>
      </c>
      <c r="AB320" s="1093">
        <f t="shared" ca="1" si="72"/>
        <v>1382.0254200048309</v>
      </c>
      <c r="AC320" s="954">
        <f ca="1">IF(A320&gt;$A$1,VLOOKUP(A320,Calculation!$B$8:$JF$880,165,FALSE),VLOOKUP(A320,Calculation!$B$8:$JF$880,165,FALSE))</f>
        <v>1980</v>
      </c>
      <c r="AD320" s="418">
        <f t="shared" ca="1" si="85"/>
        <v>-90</v>
      </c>
      <c r="AE320" s="418"/>
      <c r="AF320" s="935">
        <f>Calculation!G323</f>
        <v>1388.5426122034232</v>
      </c>
      <c r="AG320" s="941" t="str">
        <f t="shared" si="86"/>
        <v>Yes</v>
      </c>
      <c r="AH320" s="941" t="str">
        <f t="shared" si="87"/>
        <v>Yes</v>
      </c>
      <c r="AI320" s="963">
        <v>1916.200000002779</v>
      </c>
      <c r="AJ320" s="964">
        <v>1049.0000000029195</v>
      </c>
      <c r="AK320" s="964">
        <v>3586.0000000083037</v>
      </c>
      <c r="AN320" s="447"/>
      <c r="AO320" s="430"/>
      <c r="AP320" s="462"/>
      <c r="AQ320" s="461"/>
      <c r="AR320" s="461"/>
      <c r="AS320" s="463"/>
      <c r="AU320" s="453"/>
      <c r="AV320" s="452"/>
      <c r="AW320" s="453"/>
      <c r="AX320" s="452"/>
      <c r="AY320" s="453"/>
      <c r="AZ320" s="452"/>
      <c r="BA320" s="449"/>
    </row>
    <row r="321" spans="1:53" ht="13.5" thickBot="1">
      <c r="A321" s="425">
        <v>41952</v>
      </c>
      <c r="B321" s="954">
        <f t="shared" si="81"/>
        <v>80.289299999999997</v>
      </c>
      <c r="C321" s="954">
        <f>Calculation!AK324</f>
        <v>0</v>
      </c>
      <c r="D321" s="954">
        <f>Calculation!AI324</f>
        <v>0</v>
      </c>
      <c r="E321" s="954">
        <f>Calculation!AE324</f>
        <v>30.785299999999996</v>
      </c>
      <c r="F321" s="954">
        <f>Calculation!AF324</f>
        <v>49.503999999999998</v>
      </c>
      <c r="G321" s="954">
        <f>Calculation!AG324</f>
        <v>14.758380000001351</v>
      </c>
      <c r="H321" s="955">
        <f>Sheet1!H326</f>
        <v>17.5</v>
      </c>
      <c r="I321" s="935">
        <f>Sheet1!DA326</f>
        <v>2010</v>
      </c>
      <c r="J321" s="935">
        <f>Sheet1!DB326</f>
        <v>1640</v>
      </c>
      <c r="K321" s="935">
        <f>Sheet1!CZ326</f>
        <v>1540</v>
      </c>
      <c r="L321" s="959">
        <f>Calculation!F324</f>
        <v>250</v>
      </c>
      <c r="M321" s="959">
        <f>Calculation!E324</f>
        <v>250</v>
      </c>
      <c r="N321" s="959">
        <f>Calculation!D324</f>
        <v>300</v>
      </c>
      <c r="O321" s="985">
        <f>Sheet1!DC326</f>
        <v>1085.55</v>
      </c>
      <c r="P321" s="986">
        <f>Calculation!FD324</f>
        <v>1086.2529411764394</v>
      </c>
      <c r="Q321" s="994">
        <f>Calculation!DP324</f>
        <v>2042.0000000048749</v>
      </c>
      <c r="R321" s="985">
        <f t="shared" si="70"/>
        <v>1423.0000000048749</v>
      </c>
      <c r="S321" s="987">
        <f t="shared" si="82"/>
        <v>41.00000000003638</v>
      </c>
      <c r="T321" s="994">
        <f ca="1">IF(A321&gt;$A$1,#N/A,VLOOKUP(A321,Calculation!$B$8:$JF$503,40,FALSE))</f>
        <v>0</v>
      </c>
      <c r="U321" s="987">
        <f t="shared" si="83"/>
        <v>0</v>
      </c>
      <c r="V321" s="987">
        <f>Calculation!AZ324</f>
        <v>0</v>
      </c>
      <c r="W321" s="994">
        <f t="shared" ca="1" si="80"/>
        <v>-2.5419999992379871E-2</v>
      </c>
      <c r="X321" s="994">
        <v>0</v>
      </c>
      <c r="Y321" s="987">
        <v>0</v>
      </c>
      <c r="Z321" s="987">
        <f t="shared" ca="1" si="84"/>
        <v>-2.5419999992379871E-2</v>
      </c>
      <c r="AA321" s="994">
        <f t="shared" ca="1" si="71"/>
        <v>2042.0254200048673</v>
      </c>
      <c r="AB321" s="1093">
        <f t="shared" ca="1" si="72"/>
        <v>1423.0254200048673</v>
      </c>
      <c r="AC321" s="954">
        <f ca="1">IF(A321&gt;$A$1,VLOOKUP(A321,Calculation!$B$8:$JF$880,165,FALSE),VLOOKUP(A321,Calculation!$B$8:$JF$880,165,FALSE))</f>
        <v>1890</v>
      </c>
      <c r="AD321" s="418">
        <f t="shared" ca="1" si="85"/>
        <v>-90</v>
      </c>
      <c r="AE321" s="418"/>
      <c r="AF321" s="935">
        <f>Calculation!G324</f>
        <v>1560.6757438225095</v>
      </c>
      <c r="AG321" s="941" t="str">
        <f t="shared" si="86"/>
        <v>Yes</v>
      </c>
      <c r="AH321" s="941" t="str">
        <f t="shared" si="87"/>
        <v>Yes</v>
      </c>
      <c r="AI321" s="963">
        <v>1825.1200000026074</v>
      </c>
      <c r="AJ321" s="964">
        <v>964.90000000307407</v>
      </c>
      <c r="AK321" s="964">
        <v>3091.0000000074965</v>
      </c>
      <c r="AN321" s="447"/>
      <c r="AO321" s="430"/>
      <c r="AP321" s="462"/>
      <c r="AQ321" s="461"/>
      <c r="AR321" s="461"/>
      <c r="AS321" s="463"/>
      <c r="AU321" s="453"/>
      <c r="AV321" s="452"/>
      <c r="AW321" s="453"/>
      <c r="AX321" s="452"/>
      <c r="AY321" s="453"/>
      <c r="AZ321" s="452"/>
      <c r="BA321" s="449"/>
    </row>
    <row r="322" spans="1:53" ht="13.5" thickBot="1">
      <c r="A322" s="425">
        <v>41953</v>
      </c>
      <c r="B322" s="954">
        <f t="shared" si="81"/>
        <v>84.15679999999999</v>
      </c>
      <c r="C322" s="954">
        <f>Calculation!AK325</f>
        <v>0</v>
      </c>
      <c r="D322" s="954">
        <f>Calculation!AI325</f>
        <v>0</v>
      </c>
      <c r="E322" s="954">
        <f>Calculation!AE325</f>
        <v>30.785299999999996</v>
      </c>
      <c r="F322" s="954">
        <f>Calculation!AF325</f>
        <v>53.371499999999997</v>
      </c>
      <c r="G322" s="954">
        <f>Calculation!AG325</f>
        <v>30.460430000003601</v>
      </c>
      <c r="H322" s="955">
        <f>Sheet1!H327</f>
        <v>10.210000000000001</v>
      </c>
      <c r="I322" s="935">
        <f>Sheet1!DA327</f>
        <v>2300</v>
      </c>
      <c r="J322" s="935">
        <f>Sheet1!DB327</f>
        <v>1890</v>
      </c>
      <c r="K322" s="935">
        <f>Sheet1!CZ327</f>
        <v>1880</v>
      </c>
      <c r="L322" s="959">
        <f>Calculation!F325</f>
        <v>250</v>
      </c>
      <c r="M322" s="959">
        <f>Calculation!E325</f>
        <v>250</v>
      </c>
      <c r="N322" s="959">
        <f>Calculation!D325</f>
        <v>300</v>
      </c>
      <c r="O322" s="985">
        <f>Sheet1!DC327</f>
        <v>1086.5</v>
      </c>
      <c r="P322" s="986">
        <f>Calculation!FD325</f>
        <v>1085.7187499999693</v>
      </c>
      <c r="Q322" s="994">
        <f>Calculation!DP325</f>
        <v>2202.0000000053342</v>
      </c>
      <c r="R322" s="985">
        <f t="shared" si="70"/>
        <v>1583.0000000053342</v>
      </c>
      <c r="S322" s="987">
        <f t="shared" si="82"/>
        <v>160.00000000045929</v>
      </c>
      <c r="T322" s="994">
        <f ca="1">IF(A322&gt;$A$1,#N/A,VLOOKUP(A322,Calculation!$B$8:$JF$503,40,FALSE))</f>
        <v>0</v>
      </c>
      <c r="U322" s="987">
        <f t="shared" si="83"/>
        <v>0</v>
      </c>
      <c r="V322" s="987">
        <f>Calculation!AZ325</f>
        <v>0</v>
      </c>
      <c r="W322" s="994">
        <f t="shared" ca="1" si="80"/>
        <v>-2.5419999992379871E-2</v>
      </c>
      <c r="X322" s="994">
        <v>0</v>
      </c>
      <c r="Y322" s="987">
        <v>0</v>
      </c>
      <c r="Z322" s="987">
        <f t="shared" ca="1" si="84"/>
        <v>-2.5419999992379871E-2</v>
      </c>
      <c r="AA322" s="994">
        <f t="shared" ca="1" si="71"/>
        <v>2202.0254200053264</v>
      </c>
      <c r="AB322" s="1093">
        <f t="shared" ca="1" si="72"/>
        <v>1583.0254200053264</v>
      </c>
      <c r="AC322" s="954">
        <f ca="1">IF(A322&gt;$A$1,VLOOKUP(A322,Calculation!$B$8:$JF$880,165,FALSE),VLOOKUP(A322,Calculation!$B$8:$JF$880,165,FALSE))</f>
        <v>1800</v>
      </c>
      <c r="AD322" s="418">
        <f t="shared" ca="1" si="85"/>
        <v>-90</v>
      </c>
      <c r="AE322" s="418"/>
      <c r="AF322" s="935">
        <f>Calculation!G325</f>
        <v>1960.6858295514166</v>
      </c>
      <c r="AG322" s="941" t="str">
        <f t="shared" si="86"/>
        <v>Yes</v>
      </c>
      <c r="AH322" s="941" t="str">
        <f t="shared" si="87"/>
        <v>Yes</v>
      </c>
      <c r="AI322" s="963">
        <v>1848.3000000026354</v>
      </c>
      <c r="AJ322" s="964">
        <v>992.50000000310365</v>
      </c>
      <c r="AK322" s="964">
        <v>2151.0000000052955</v>
      </c>
      <c r="AN322" s="447"/>
      <c r="AO322" s="430"/>
      <c r="AP322" s="462"/>
      <c r="AQ322" s="461"/>
      <c r="AR322" s="461"/>
      <c r="AS322" s="463"/>
      <c r="AU322" s="453"/>
      <c r="AV322" s="452"/>
      <c r="AW322" s="453"/>
      <c r="AX322" s="452"/>
      <c r="AY322" s="453"/>
      <c r="AZ322" s="452"/>
      <c r="BA322" s="449"/>
    </row>
    <row r="323" spans="1:53" ht="13.5" thickBot="1">
      <c r="A323" s="425">
        <v>41954</v>
      </c>
      <c r="B323" s="954">
        <f t="shared" si="81"/>
        <v>86.616529999999997</v>
      </c>
      <c r="C323" s="954">
        <f>Calculation!AK326</f>
        <v>0</v>
      </c>
      <c r="D323" s="954">
        <f>Calculation!AI326</f>
        <v>0</v>
      </c>
      <c r="E323" s="954">
        <f>Calculation!AE326</f>
        <v>30.785299999999996</v>
      </c>
      <c r="F323" s="954">
        <f>Calculation!AF326</f>
        <v>55.831230000000005</v>
      </c>
      <c r="G323" s="954">
        <f>Calculation!AG326</f>
        <v>25.262509999997071</v>
      </c>
      <c r="H323" s="955">
        <f>Sheet1!H328</f>
        <v>9.8699999999999992</v>
      </c>
      <c r="I323" s="935">
        <f>Sheet1!DA328</f>
        <v>2220</v>
      </c>
      <c r="J323" s="935">
        <f>Sheet1!DB328</f>
        <v>1840</v>
      </c>
      <c r="K323" s="935">
        <f>Sheet1!CZ328</f>
        <v>1800</v>
      </c>
      <c r="L323" s="959">
        <f>Calculation!F326</f>
        <v>250</v>
      </c>
      <c r="M323" s="959">
        <f>Calculation!E326</f>
        <v>250</v>
      </c>
      <c r="N323" s="959">
        <f>Calculation!D326</f>
        <v>300</v>
      </c>
      <c r="O323" s="985">
        <f>Sheet1!DC328</f>
        <v>1082.78</v>
      </c>
      <c r="P323" s="986">
        <f>Calculation!FD326</f>
        <v>1085.1749999999697</v>
      </c>
      <c r="Q323" s="994">
        <f>Calculation!DP326</f>
        <v>1608.000000004195</v>
      </c>
      <c r="R323" s="985">
        <f t="shared" si="70"/>
        <v>989.00000000419504</v>
      </c>
      <c r="S323" s="987">
        <f t="shared" si="82"/>
        <v>-594.00000000113914</v>
      </c>
      <c r="T323" s="994">
        <f ca="1">IF(A323&gt;$A$1,#N/A,VLOOKUP(A323,Calculation!$B$8:$JF$503,40,FALSE))</f>
        <v>0</v>
      </c>
      <c r="U323" s="987">
        <f t="shared" si="83"/>
        <v>0</v>
      </c>
      <c r="V323" s="987">
        <f>Calculation!AZ326</f>
        <v>0</v>
      </c>
      <c r="W323" s="994">
        <f t="shared" ca="1" si="80"/>
        <v>-2.5419999992379871E-2</v>
      </c>
      <c r="X323" s="994">
        <v>0</v>
      </c>
      <c r="Y323" s="987">
        <v>0</v>
      </c>
      <c r="Z323" s="987">
        <f t="shared" ca="1" si="84"/>
        <v>-2.5419999992379871E-2</v>
      </c>
      <c r="AA323" s="994">
        <f t="shared" ca="1" si="71"/>
        <v>1608.0254200041875</v>
      </c>
      <c r="AB323" s="1093">
        <f t="shared" ca="1" si="72"/>
        <v>989.02542000418748</v>
      </c>
      <c r="AC323" s="954">
        <f ca="1">IF(A323&gt;$A$1,VLOOKUP(A323,Calculation!$B$8:$JF$880,165,FALSE),VLOOKUP(A323,Calculation!$B$8:$JF$880,165,FALSE))</f>
        <v>1710</v>
      </c>
      <c r="AD323" s="418">
        <f t="shared" ca="1" si="85"/>
        <v>-90</v>
      </c>
      <c r="AE323" s="418"/>
      <c r="AF323" s="935">
        <f>Calculation!G326</f>
        <v>1500.453857790651</v>
      </c>
      <c r="AG323" s="941" t="str">
        <f t="shared" si="86"/>
        <v>Yes</v>
      </c>
      <c r="AH323" s="941" t="str">
        <f t="shared" si="87"/>
        <v>Yes</v>
      </c>
      <c r="AI323" s="963">
        <v>1974.1600000028363</v>
      </c>
      <c r="AJ323" s="964">
        <v>1046.4000000031629</v>
      </c>
      <c r="AK323" s="964">
        <v>1339.0000000034288</v>
      </c>
      <c r="AN323" s="447"/>
      <c r="AO323" s="430"/>
      <c r="AP323" s="462"/>
      <c r="AQ323" s="461"/>
      <c r="AR323" s="461"/>
      <c r="AS323" s="463"/>
      <c r="AU323" s="453"/>
      <c r="AV323" s="452"/>
      <c r="AW323" s="453"/>
      <c r="AX323" s="452"/>
      <c r="AY323" s="453"/>
      <c r="AZ323" s="452"/>
      <c r="BA323" s="449"/>
    </row>
    <row r="324" spans="1:53" ht="13.5" thickBot="1">
      <c r="A324" s="425">
        <v>41955</v>
      </c>
      <c r="B324" s="954">
        <f t="shared" si="81"/>
        <v>68.392870000000002</v>
      </c>
      <c r="C324" s="954">
        <f>Calculation!AK327</f>
        <v>0</v>
      </c>
      <c r="D324" s="954">
        <f>Calculation!AI327</f>
        <v>0</v>
      </c>
      <c r="E324" s="954">
        <f>Calculation!AE327</f>
        <v>31.249399999999998</v>
      </c>
      <c r="F324" s="954">
        <f>Calculation!AF327</f>
        <v>37.143470000000001</v>
      </c>
      <c r="G324" s="954">
        <f>Calculation!AG327</f>
        <v>52.89192999999797</v>
      </c>
      <c r="H324" s="955">
        <f>Sheet1!H329</f>
        <v>16.100000000000001</v>
      </c>
      <c r="I324" s="935">
        <f>Sheet1!DA329</f>
        <v>1790</v>
      </c>
      <c r="J324" s="935">
        <f>Sheet1!DB329</f>
        <v>1440</v>
      </c>
      <c r="K324" s="935">
        <f>Sheet1!CZ329</f>
        <v>1370</v>
      </c>
      <c r="L324" s="959">
        <f>Calculation!F327</f>
        <v>250</v>
      </c>
      <c r="M324" s="959">
        <f>Calculation!E327</f>
        <v>250</v>
      </c>
      <c r="N324" s="959">
        <f>Calculation!D327</f>
        <v>300</v>
      </c>
      <c r="O324" s="985">
        <f>Sheet1!DC329</f>
        <v>1077.51</v>
      </c>
      <c r="P324" s="986">
        <f>Calculation!FD327</f>
        <v>1084.6124999999704</v>
      </c>
      <c r="Q324" s="994">
        <f>Calculation!DP327</f>
        <v>903.2000000027831</v>
      </c>
      <c r="R324" s="985">
        <f t="shared" si="70"/>
        <v>284.2000000027831</v>
      </c>
      <c r="S324" s="987">
        <f t="shared" si="82"/>
        <v>-704.80000000141195</v>
      </c>
      <c r="T324" s="994">
        <f ca="1">IF(A324&gt;$A$1,#N/A,VLOOKUP(A324,Calculation!$B$8:$JF$503,40,FALSE))</f>
        <v>0</v>
      </c>
      <c r="U324" s="987">
        <f t="shared" si="83"/>
        <v>0</v>
      </c>
      <c r="V324" s="987">
        <f>Calculation!AZ327</f>
        <v>0</v>
      </c>
      <c r="W324" s="994">
        <f t="shared" ca="1" si="80"/>
        <v>-2.5419999992379871E-2</v>
      </c>
      <c r="X324" s="994">
        <v>0</v>
      </c>
      <c r="Y324" s="987">
        <v>0</v>
      </c>
      <c r="Z324" s="987">
        <f t="shared" ca="1" si="84"/>
        <v>-2.5419999992379871E-2</v>
      </c>
      <c r="AA324" s="994">
        <f t="shared" ca="1" si="71"/>
        <v>903.22542000277554</v>
      </c>
      <c r="AB324" s="1093">
        <f t="shared" ca="1" si="72"/>
        <v>284.22542000277554</v>
      </c>
      <c r="AC324" s="954">
        <f ca="1">IF(A324&gt;$A$1,VLOOKUP(A324,Calculation!$B$8:$JF$880,165,FALSE),VLOOKUP(A324,Calculation!$B$8:$JF$880,165,FALSE))</f>
        <v>1620</v>
      </c>
      <c r="AD324" s="418">
        <f t="shared" ca="1" si="85"/>
        <v>-90</v>
      </c>
      <c r="AE324" s="418"/>
      <c r="AF324" s="935">
        <f>Calculation!G327</f>
        <v>1014.5789208263177</v>
      </c>
      <c r="AG324" s="941" t="str">
        <f t="shared" si="86"/>
        <v>Yes</v>
      </c>
      <c r="AH324" s="941" t="str">
        <f t="shared" si="87"/>
        <v>Yes</v>
      </c>
      <c r="AI324" s="963">
        <v>1942.6600000028077</v>
      </c>
      <c r="AJ324" s="964">
        <v>1097.7000000031924</v>
      </c>
      <c r="AK324" s="964">
        <v>910.40000000278303</v>
      </c>
      <c r="AN324" s="447"/>
      <c r="AO324" s="430"/>
      <c r="AP324" s="462"/>
      <c r="AQ324" s="461"/>
      <c r="AR324" s="461"/>
      <c r="AS324" s="463"/>
      <c r="AU324" s="453"/>
      <c r="AV324" s="452"/>
      <c r="AW324" s="453"/>
      <c r="AX324" s="452"/>
      <c r="AY324" s="453"/>
      <c r="AZ324" s="452"/>
      <c r="BA324" s="449"/>
    </row>
    <row r="325" spans="1:53" ht="13.5" thickBot="1">
      <c r="A325" s="425">
        <v>41956</v>
      </c>
      <c r="B325" s="954">
        <f t="shared" si="81"/>
        <v>59.76061</v>
      </c>
      <c r="C325" s="954">
        <f>Calculation!AK328</f>
        <v>0</v>
      </c>
      <c r="D325" s="954">
        <f>Calculation!AI328</f>
        <v>0</v>
      </c>
      <c r="E325" s="954">
        <f>Calculation!AE328</f>
        <v>31.435040000000001</v>
      </c>
      <c r="F325" s="954">
        <f>Calculation!AF328</f>
        <v>28.325569999999995</v>
      </c>
      <c r="G325" s="954">
        <f>Calculation!AG328</f>
        <v>53.093040000005175</v>
      </c>
      <c r="H325" s="955">
        <f>Sheet1!H330</f>
        <v>34</v>
      </c>
      <c r="I325" s="935">
        <f>Sheet1!DA330</f>
        <v>1220</v>
      </c>
      <c r="J325" s="935">
        <f>Sheet1!DB330</f>
        <v>885</v>
      </c>
      <c r="K325" s="935">
        <f>Sheet1!CZ330</f>
        <v>827</v>
      </c>
      <c r="L325" s="959">
        <f>Calculation!F328</f>
        <v>250</v>
      </c>
      <c r="M325" s="959">
        <f>Calculation!E328</f>
        <v>250</v>
      </c>
      <c r="N325" s="959">
        <f>Calculation!D328</f>
        <v>300</v>
      </c>
      <c r="O325" s="985">
        <f>Sheet1!DC330</f>
        <v>1076.5</v>
      </c>
      <c r="P325" s="986">
        <f>Calculation!FD328</f>
        <v>1084.0437499999709</v>
      </c>
      <c r="Q325" s="994">
        <f>Calculation!DP328</f>
        <v>784.00000000267391</v>
      </c>
      <c r="R325" s="985">
        <f t="shared" si="70"/>
        <v>165.00000000267391</v>
      </c>
      <c r="S325" s="987">
        <f t="shared" si="82"/>
        <v>-119.20000000010918</v>
      </c>
      <c r="T325" s="994">
        <f ca="1">IF(A325&gt;$A$1,#N/A,VLOOKUP(A325,Calculation!$B$8:$JF$503,40,FALSE))</f>
        <v>0</v>
      </c>
      <c r="U325" s="987">
        <f t="shared" si="83"/>
        <v>0</v>
      </c>
      <c r="V325" s="987">
        <f>Calculation!AZ328</f>
        <v>0</v>
      </c>
      <c r="W325" s="994">
        <f t="shared" ca="1" si="80"/>
        <v>-2.5419999992379871E-2</v>
      </c>
      <c r="X325" s="994">
        <v>0</v>
      </c>
      <c r="Y325" s="987">
        <v>0</v>
      </c>
      <c r="Z325" s="987">
        <f t="shared" ca="1" si="84"/>
        <v>-2.5419999992379871E-2</v>
      </c>
      <c r="AA325" s="994">
        <f t="shared" ca="1" si="71"/>
        <v>784.02542000266635</v>
      </c>
      <c r="AB325" s="1093">
        <f t="shared" ca="1" si="72"/>
        <v>165.02542000266635</v>
      </c>
      <c r="AC325" s="954">
        <f ca="1">IF(A325&gt;$A$1,VLOOKUP(A325,Calculation!$B$8:$JF$880,165,FALSE),VLOOKUP(A325,Calculation!$B$8:$JF$880,165,FALSE))</f>
        <v>1530</v>
      </c>
      <c r="AD325" s="418">
        <f t="shared" ca="1" si="85"/>
        <v>-90</v>
      </c>
      <c r="AE325" s="418"/>
      <c r="AF325" s="935">
        <f>Calculation!G328</f>
        <v>766.88905698431211</v>
      </c>
      <c r="AG325" s="941" t="str">
        <f t="shared" si="86"/>
        <v>Yes</v>
      </c>
      <c r="AH325" s="941" t="str">
        <f t="shared" si="87"/>
        <v>Yes</v>
      </c>
      <c r="AI325" s="963">
        <v>2426.2900000036416</v>
      </c>
      <c r="AJ325" s="964">
        <v>1212.1000000033105</v>
      </c>
      <c r="AK325" s="964">
        <v>742.30000000242603</v>
      </c>
      <c r="AN325" s="447"/>
      <c r="AO325" s="430"/>
      <c r="AP325" s="462"/>
      <c r="AQ325" s="461"/>
      <c r="AR325" s="461"/>
      <c r="AS325" s="463"/>
      <c r="AU325" s="453"/>
      <c r="AV325" s="452"/>
      <c r="AW325" s="453"/>
      <c r="AX325" s="452"/>
      <c r="AY325" s="453"/>
      <c r="AZ325" s="452"/>
      <c r="BA325" s="449"/>
    </row>
    <row r="326" spans="1:53" ht="13.5" thickBot="1">
      <c r="A326" s="425">
        <v>41957</v>
      </c>
      <c r="B326" s="954">
        <f t="shared" si="81"/>
        <v>70.744309999999999</v>
      </c>
      <c r="C326" s="954">
        <f>Calculation!AK329</f>
        <v>0</v>
      </c>
      <c r="D326" s="954">
        <f>Calculation!AI329</f>
        <v>0</v>
      </c>
      <c r="E326" s="954">
        <f>Calculation!AE329</f>
        <v>31.141109999999998</v>
      </c>
      <c r="F326" s="954">
        <f>Calculation!AF329</f>
        <v>39.603200000000001</v>
      </c>
      <c r="G326" s="954">
        <f>Calculation!AG329</f>
        <v>37.653980000000224</v>
      </c>
      <c r="H326" s="955">
        <f>Sheet1!H331</f>
        <v>8.76</v>
      </c>
      <c r="I326" s="935">
        <f>Sheet1!DA331</f>
        <v>1110</v>
      </c>
      <c r="J326" s="935">
        <f>Sheet1!DB331</f>
        <v>816</v>
      </c>
      <c r="K326" s="935">
        <f>Sheet1!CZ331</f>
        <v>790</v>
      </c>
      <c r="L326" s="959">
        <f>Calculation!F329</f>
        <v>250</v>
      </c>
      <c r="M326" s="959">
        <f>Calculation!E329</f>
        <v>250</v>
      </c>
      <c r="N326" s="959">
        <f>Calculation!D329</f>
        <v>300</v>
      </c>
      <c r="O326" s="985">
        <f>Sheet1!DC331</f>
        <v>1078.4000000000001</v>
      </c>
      <c r="P326" s="986">
        <f>Calculation!FD329</f>
        <v>1083.4562499999713</v>
      </c>
      <c r="Q326" s="994">
        <f>Calculation!DP329</f>
        <v>1011.0000000031332</v>
      </c>
      <c r="R326" s="985">
        <f t="shared" ref="R326:R384" si="89">Q326-619</f>
        <v>392.00000000313321</v>
      </c>
      <c r="S326" s="987">
        <f t="shared" si="82"/>
        <v>227.00000000045929</v>
      </c>
      <c r="T326" s="994">
        <f ca="1">IF(A326&gt;$A$1,#N/A,VLOOKUP(A326,Calculation!$B$8:$JF$503,40,FALSE))</f>
        <v>0</v>
      </c>
      <c r="U326" s="987">
        <f t="shared" si="83"/>
        <v>0</v>
      </c>
      <c r="V326" s="987">
        <f>Calculation!AZ329</f>
        <v>0</v>
      </c>
      <c r="W326" s="994">
        <f t="shared" ca="1" si="80"/>
        <v>-2.5419999992379871E-2</v>
      </c>
      <c r="X326" s="994">
        <v>0</v>
      </c>
      <c r="Y326" s="987">
        <v>0</v>
      </c>
      <c r="Z326" s="987">
        <f t="shared" ca="1" si="84"/>
        <v>-2.5419999992379871E-2</v>
      </c>
      <c r="AA326" s="994">
        <f t="shared" ref="AA326:AA384" ca="1" si="90">IF(Q326-T326-W326&lt;0,0,Q326-T326-W326)</f>
        <v>1011.0254200031256</v>
      </c>
      <c r="AB326" s="1093">
        <f t="shared" ref="AB326:AB384" ca="1" si="91">AA326-619</f>
        <v>392.02542000312565</v>
      </c>
      <c r="AC326" s="954">
        <f ca="1">IF(A326&gt;$A$1,VLOOKUP(A326,Calculation!$B$8:$JF$880,165,FALSE),VLOOKUP(A326,Calculation!$B$8:$JF$880,165,FALSE))</f>
        <v>1440</v>
      </c>
      <c r="AD326" s="418">
        <f t="shared" ca="1" si="85"/>
        <v>-90</v>
      </c>
      <c r="AE326" s="418"/>
      <c r="AF326" s="935">
        <f>Calculation!G329</f>
        <v>904.47302067597548</v>
      </c>
      <c r="AG326" s="941" t="str">
        <f t="shared" si="86"/>
        <v>Yes</v>
      </c>
      <c r="AH326" s="941" t="str">
        <f t="shared" si="87"/>
        <v>Yes</v>
      </c>
      <c r="AI326" s="963">
        <v>3006.0400000045984</v>
      </c>
      <c r="AJ326" s="964">
        <v>993.80000000310361</v>
      </c>
      <c r="AK326" s="964">
        <v>686.20000000235109</v>
      </c>
      <c r="AN326" s="447"/>
      <c r="AO326" s="430"/>
      <c r="AP326" s="462"/>
      <c r="AQ326" s="461"/>
      <c r="AR326" s="461"/>
      <c r="AS326" s="463"/>
      <c r="AU326" s="453"/>
      <c r="AV326" s="452"/>
      <c r="AW326" s="453"/>
      <c r="AX326" s="452"/>
      <c r="AY326" s="453"/>
      <c r="AZ326" s="452"/>
      <c r="BA326" s="449"/>
    </row>
    <row r="327" spans="1:53" ht="13.5" thickBot="1">
      <c r="A327" s="425">
        <v>41958</v>
      </c>
      <c r="B327" s="954">
        <f t="shared" si="81"/>
        <v>80.443999999999988</v>
      </c>
      <c r="C327" s="954">
        <f>Calculation!AK330</f>
        <v>0</v>
      </c>
      <c r="D327" s="954">
        <f>Calculation!AI330</f>
        <v>0</v>
      </c>
      <c r="E327" s="954">
        <f>Calculation!AE330</f>
        <v>30.939999999999998</v>
      </c>
      <c r="F327" s="954">
        <f>Calculation!AF330</f>
        <v>49.503999999999998</v>
      </c>
      <c r="G327" s="954">
        <f>Calculation!AG330</f>
        <v>22.895599999998872</v>
      </c>
      <c r="H327" s="955">
        <f>Sheet1!H332</f>
        <v>2.72</v>
      </c>
      <c r="I327" s="935">
        <f>Sheet1!DA332</f>
        <v>1050</v>
      </c>
      <c r="J327" s="935">
        <f>Sheet1!DB332</f>
        <v>773</v>
      </c>
      <c r="K327" s="935">
        <f>Sheet1!CZ332</f>
        <v>790</v>
      </c>
      <c r="L327" s="959">
        <f>Calculation!F330</f>
        <v>250</v>
      </c>
      <c r="M327" s="959">
        <f>Calculation!E330</f>
        <v>250</v>
      </c>
      <c r="N327" s="959">
        <f>Calculation!D330</f>
        <v>300</v>
      </c>
      <c r="O327" s="985">
        <f>Sheet1!DC332</f>
        <v>1078.5</v>
      </c>
      <c r="P327" s="986">
        <f>Calculation!FD330</f>
        <v>1082.8642857142577</v>
      </c>
      <c r="Q327" s="994">
        <f>Calculation!DP330</f>
        <v>1024.0000000028922</v>
      </c>
      <c r="R327" s="985">
        <f t="shared" si="89"/>
        <v>405.00000000289219</v>
      </c>
      <c r="S327" s="987">
        <f t="shared" si="82"/>
        <v>12.999999999758984</v>
      </c>
      <c r="T327" s="994">
        <f ca="1">IF(A327&gt;$A$1,#N/A,VLOOKUP(A327,Calculation!$B$8:$JF$503,40,FALSE))</f>
        <v>0</v>
      </c>
      <c r="U327" s="987">
        <f t="shared" si="83"/>
        <v>0</v>
      </c>
      <c r="V327" s="987">
        <f>Calculation!AZ330</f>
        <v>0</v>
      </c>
      <c r="W327" s="994">
        <f t="shared" ca="1" si="80"/>
        <v>-2.5419999992379871E-2</v>
      </c>
      <c r="X327" s="994">
        <v>0</v>
      </c>
      <c r="Y327" s="987">
        <v>0</v>
      </c>
      <c r="Z327" s="987">
        <f t="shared" ca="1" si="84"/>
        <v>-2.5419999992379871E-2</v>
      </c>
      <c r="AA327" s="994">
        <f t="shared" ca="1" si="90"/>
        <v>1024.0254200028846</v>
      </c>
      <c r="AB327" s="1093">
        <f t="shared" ca="1" si="91"/>
        <v>405.02542000288463</v>
      </c>
      <c r="AC327" s="954">
        <f ca="1">IF(A327&gt;$A$1,VLOOKUP(A327,Calculation!$B$8:$JF$880,165,FALSE),VLOOKUP(A327,Calculation!$B$8:$JF$880,165,FALSE))</f>
        <v>1350</v>
      </c>
      <c r="AD327" s="418">
        <f t="shared" ca="1" si="85"/>
        <v>-90</v>
      </c>
      <c r="AE327" s="418"/>
      <c r="AF327" s="935">
        <f>Calculation!G330</f>
        <v>796.55572365091223</v>
      </c>
      <c r="AG327" s="941" t="str">
        <f t="shared" si="86"/>
        <v>Yes</v>
      </c>
      <c r="AH327" s="941" t="str">
        <f t="shared" si="87"/>
        <v>Yes</v>
      </c>
      <c r="AI327" s="963">
        <v>2291.8000000034381</v>
      </c>
      <c r="AJ327" s="964">
        <v>995.10000000310367</v>
      </c>
      <c r="AK327" s="964">
        <v>926.00000000257614</v>
      </c>
      <c r="AN327" s="447"/>
      <c r="AO327" s="430"/>
      <c r="AP327" s="462"/>
      <c r="AQ327" s="461"/>
      <c r="AR327" s="461"/>
      <c r="AS327" s="463"/>
      <c r="AU327" s="453"/>
      <c r="AV327" s="452"/>
      <c r="AW327" s="453"/>
      <c r="AX327" s="452"/>
      <c r="AY327" s="453"/>
      <c r="AZ327" s="452"/>
      <c r="BA327" s="449"/>
    </row>
    <row r="328" spans="1:53" ht="13.5" thickBot="1">
      <c r="A328" s="425">
        <v>41959</v>
      </c>
      <c r="B328" s="954">
        <f t="shared" si="81"/>
        <v>82.919199999999989</v>
      </c>
      <c r="C328" s="954">
        <f>Calculation!AK331</f>
        <v>0</v>
      </c>
      <c r="D328" s="954">
        <f>Calculation!AI331</f>
        <v>0</v>
      </c>
      <c r="E328" s="954">
        <f>Calculation!AE331</f>
        <v>30.939999999999998</v>
      </c>
      <c r="F328" s="954">
        <f>Calculation!AF331</f>
        <v>51.979199999999999</v>
      </c>
      <c r="G328" s="954">
        <f>Calculation!AG331</f>
        <v>0</v>
      </c>
      <c r="H328" s="955">
        <f>Sheet1!H333</f>
        <v>2.44</v>
      </c>
      <c r="I328" s="935">
        <f>Sheet1!DA333</f>
        <v>1020</v>
      </c>
      <c r="J328" s="935">
        <f>Sheet1!DB333</f>
        <v>762</v>
      </c>
      <c r="K328" s="935">
        <f>Sheet1!CZ333</f>
        <v>781</v>
      </c>
      <c r="L328" s="959">
        <f>Calculation!F331</f>
        <v>250</v>
      </c>
      <c r="M328" s="959">
        <f>Calculation!E331</f>
        <v>250</v>
      </c>
      <c r="N328" s="959">
        <f>Calculation!D331</f>
        <v>300</v>
      </c>
      <c r="O328" s="985">
        <f>Sheet1!DC333</f>
        <v>1077.71</v>
      </c>
      <c r="P328" s="986">
        <f>Calculation!FD331</f>
        <v>1082.2499999999725</v>
      </c>
      <c r="Q328" s="994">
        <f>Calculation!DP331</f>
        <v>927.10000000257617</v>
      </c>
      <c r="R328" s="985">
        <f t="shared" si="89"/>
        <v>308.10000000257617</v>
      </c>
      <c r="S328" s="987">
        <f t="shared" si="82"/>
        <v>-96.900000000316027</v>
      </c>
      <c r="T328" s="994">
        <f ca="1">IF(A328&gt;$A$1,#N/A,VLOOKUP(A328,Calculation!$B$8:$JF$503,40,FALSE))</f>
        <v>0</v>
      </c>
      <c r="U328" s="987">
        <f t="shared" si="83"/>
        <v>0</v>
      </c>
      <c r="V328" s="987">
        <f>Calculation!AZ331</f>
        <v>0</v>
      </c>
      <c r="W328" s="994">
        <f t="shared" ca="1" si="80"/>
        <v>-2.5419999992379871E-2</v>
      </c>
      <c r="X328" s="994">
        <v>0</v>
      </c>
      <c r="Y328" s="987">
        <v>0</v>
      </c>
      <c r="Z328" s="987">
        <f t="shared" ca="1" si="84"/>
        <v>-2.5419999992379871E-2</v>
      </c>
      <c r="AA328" s="994">
        <f t="shared" ca="1" si="90"/>
        <v>927.12542000256849</v>
      </c>
      <c r="AB328" s="1093">
        <f t="shared" ca="1" si="91"/>
        <v>308.12542000256849</v>
      </c>
      <c r="AC328" s="954">
        <f ca="1">IF(A328&gt;$A$1,VLOOKUP(A328,Calculation!$B$8:$JF$880,165,FALSE),VLOOKUP(A328,Calculation!$B$8:$JF$880,165,FALSE))</f>
        <v>1260</v>
      </c>
      <c r="AD328" s="418">
        <f t="shared" ca="1" si="85"/>
        <v>-90</v>
      </c>
      <c r="AE328" s="418"/>
      <c r="AF328" s="935">
        <f>Calculation!G331</f>
        <v>732.1346444779042</v>
      </c>
      <c r="AG328" s="941" t="str">
        <f t="shared" si="86"/>
        <v>Yes</v>
      </c>
      <c r="AH328" s="941" t="str">
        <f t="shared" si="87"/>
        <v>Yes</v>
      </c>
      <c r="AI328" s="963">
        <v>1991.8000000028362</v>
      </c>
      <c r="AJ328" s="964">
        <v>625.60000000230104</v>
      </c>
      <c r="AK328" s="964">
        <v>1380.0000000037244</v>
      </c>
      <c r="AN328" s="447"/>
      <c r="AO328" s="430"/>
      <c r="AP328" s="462"/>
      <c r="AQ328" s="461"/>
      <c r="AR328" s="461"/>
      <c r="AS328" s="463"/>
      <c r="AU328" s="453"/>
      <c r="AV328" s="452"/>
      <c r="AW328" s="453"/>
      <c r="AX328" s="452"/>
      <c r="AY328" s="453"/>
      <c r="AZ328" s="452"/>
      <c r="BA328" s="449"/>
    </row>
    <row r="329" spans="1:53" ht="13.5" thickBot="1">
      <c r="A329" s="425">
        <v>41960</v>
      </c>
      <c r="B329" s="954">
        <f t="shared" si="81"/>
        <v>85.038589999999999</v>
      </c>
      <c r="C329" s="954">
        <f>Calculation!AK332</f>
        <v>0</v>
      </c>
      <c r="D329" s="954">
        <f>Calculation!AI332</f>
        <v>0</v>
      </c>
      <c r="E329" s="954">
        <f>Calculation!AE332</f>
        <v>30.785299999999996</v>
      </c>
      <c r="F329" s="954">
        <f>Calculation!AF332</f>
        <v>54.25329</v>
      </c>
      <c r="G329" s="954">
        <f>Calculation!AG332</f>
        <v>0</v>
      </c>
      <c r="H329" s="955">
        <f>Sheet1!H334</f>
        <v>4.78</v>
      </c>
      <c r="I329" s="935">
        <f>Sheet1!DA334</f>
        <v>1010</v>
      </c>
      <c r="J329" s="935">
        <f>Sheet1!DB334</f>
        <v>743</v>
      </c>
      <c r="K329" s="935">
        <f>Sheet1!CZ334</f>
        <v>762</v>
      </c>
      <c r="L329" s="959">
        <f>Calculation!F332</f>
        <v>250</v>
      </c>
      <c r="M329" s="959">
        <f>Calculation!E332</f>
        <v>250</v>
      </c>
      <c r="N329" s="959">
        <f>Calculation!D332</f>
        <v>300</v>
      </c>
      <c r="O329" s="985">
        <f>Sheet1!DC334</f>
        <v>1075.9000000000001</v>
      </c>
      <c r="P329" s="986">
        <f>Calculation!FD332</f>
        <v>1081.6214285714016</v>
      </c>
      <c r="Q329" s="994">
        <f>Calculation!DP332</f>
        <v>716.00000000240107</v>
      </c>
      <c r="R329" s="985">
        <f t="shared" si="89"/>
        <v>97.000000002401066</v>
      </c>
      <c r="S329" s="987">
        <f t="shared" si="82"/>
        <v>-211.1000000001751</v>
      </c>
      <c r="T329" s="994">
        <f ca="1">IF(A329&gt;$A$1,#N/A,VLOOKUP(A329,Calculation!$B$8:$JF$503,40,FALSE))</f>
        <v>0</v>
      </c>
      <c r="U329" s="987">
        <f t="shared" si="83"/>
        <v>0</v>
      </c>
      <c r="V329" s="987">
        <f>Calculation!AZ332</f>
        <v>0</v>
      </c>
      <c r="W329" s="994">
        <f t="shared" ca="1" si="80"/>
        <v>-2.5419999992379871E-2</v>
      </c>
      <c r="X329" s="994">
        <v>0</v>
      </c>
      <c r="Y329" s="987">
        <v>0</v>
      </c>
      <c r="Z329" s="987">
        <f t="shared" ca="1" si="84"/>
        <v>-2.5419999992379871E-2</v>
      </c>
      <c r="AA329" s="994">
        <f t="shared" ca="1" si="90"/>
        <v>716.0254200023935</v>
      </c>
      <c r="AB329" s="1093">
        <f t="shared" ca="1" si="91"/>
        <v>97.025420002393503</v>
      </c>
      <c r="AC329" s="954">
        <f ca="1">IF(A329&gt;$A$1,VLOOKUP(A329,Calculation!$B$8:$JF$880,165,FALSE),VLOOKUP(A329,Calculation!$B$8:$JF$880,165,FALSE))</f>
        <v>1170</v>
      </c>
      <c r="AD329" s="418">
        <f t="shared" ca="1" si="85"/>
        <v>-90</v>
      </c>
      <c r="AE329" s="418"/>
      <c r="AF329" s="935">
        <f>Calculation!G332</f>
        <v>655.54513363581691</v>
      </c>
      <c r="AG329" s="941" t="str">
        <f t="shared" si="86"/>
        <v>Yes</v>
      </c>
      <c r="AH329" s="941" t="str">
        <f t="shared" si="87"/>
        <v>Yes</v>
      </c>
      <c r="AI329" s="963">
        <v>2466.3300000036743</v>
      </c>
      <c r="AJ329" s="964">
        <v>619.00000000230102</v>
      </c>
      <c r="AK329" s="964">
        <v>1276.2000000033697</v>
      </c>
      <c r="AN329" s="447"/>
      <c r="AO329" s="430"/>
      <c r="AP329" s="462"/>
      <c r="AQ329" s="461"/>
      <c r="AR329" s="461"/>
      <c r="AS329" s="463"/>
      <c r="AU329" s="453"/>
      <c r="AV329" s="452"/>
      <c r="AW329" s="453"/>
      <c r="AX329" s="452"/>
      <c r="AY329" s="453"/>
      <c r="AZ329" s="452"/>
      <c r="BA329" s="449"/>
    </row>
    <row r="330" spans="1:53" ht="13.5" thickBot="1">
      <c r="A330" s="425">
        <v>41961</v>
      </c>
      <c r="B330" s="954">
        <f t="shared" si="81"/>
        <v>84.899360000000001</v>
      </c>
      <c r="C330" s="954">
        <f>Calculation!AK333</f>
        <v>0</v>
      </c>
      <c r="D330" s="954">
        <f>Calculation!AI333</f>
        <v>0</v>
      </c>
      <c r="E330" s="954">
        <f>Calculation!AE333</f>
        <v>30.862649999999999</v>
      </c>
      <c r="F330" s="954">
        <f>Calculation!AF333</f>
        <v>54.036709999999999</v>
      </c>
      <c r="G330" s="954">
        <f>Calculation!AG333</f>
        <v>38.860639999998419</v>
      </c>
      <c r="H330" s="955">
        <f>Sheet1!H335</f>
        <v>7.89</v>
      </c>
      <c r="I330" s="935">
        <f>Sheet1!DA335</f>
        <v>911</v>
      </c>
      <c r="J330" s="935">
        <f>Sheet1!DB335</f>
        <v>618</v>
      </c>
      <c r="K330" s="935">
        <f>Sheet1!CZ335</f>
        <v>589</v>
      </c>
      <c r="L330" s="959">
        <f>Calculation!F333</f>
        <v>250</v>
      </c>
      <c r="M330" s="959">
        <f>Calculation!E333</f>
        <v>250</v>
      </c>
      <c r="N330" s="959">
        <f>Calculation!D333</f>
        <v>300</v>
      </c>
      <c r="O330" s="985">
        <f>Sheet1!DC335</f>
        <v>1075</v>
      </c>
      <c r="P330" s="986">
        <f>Calculation!FD333</f>
        <v>1080.984615384589</v>
      </c>
      <c r="Q330" s="994">
        <f>Calculation!DP333</f>
        <v>619.00000000230102</v>
      </c>
      <c r="R330" s="985">
        <f t="shared" si="89"/>
        <v>2.3010215954855084E-9</v>
      </c>
      <c r="S330" s="987">
        <f t="shared" si="82"/>
        <v>-97.000000000100044</v>
      </c>
      <c r="T330" s="994">
        <f ca="1">IF(A330&gt;$A$1,#N/A,VLOOKUP(A330,Calculation!$B$8:$JF$503,40,FALSE))</f>
        <v>0</v>
      </c>
      <c r="U330" s="987">
        <f t="shared" si="83"/>
        <v>0</v>
      </c>
      <c r="V330" s="987">
        <f>Calculation!AZ333</f>
        <v>0</v>
      </c>
      <c r="W330" s="994">
        <f t="shared" ca="1" si="80"/>
        <v>-2.5419999992379871E-2</v>
      </c>
      <c r="X330" s="994">
        <v>0</v>
      </c>
      <c r="Y330" s="987">
        <v>0</v>
      </c>
      <c r="Z330" s="987">
        <f t="shared" ca="1" si="84"/>
        <v>-2.5419999992379871E-2</v>
      </c>
      <c r="AA330" s="994">
        <f t="shared" ca="1" si="90"/>
        <v>619.02542000229346</v>
      </c>
      <c r="AB330" s="1093">
        <f t="shared" ca="1" si="91"/>
        <v>2.542000229345831E-2</v>
      </c>
      <c r="AC330" s="954">
        <f ca="1">IF(A330&gt;$A$1,VLOOKUP(A330,Calculation!$B$8:$JF$880,165,FALSE),VLOOKUP(A330,Calculation!$B$8:$JF$880,165,FALSE))</f>
        <v>1080</v>
      </c>
      <c r="AD330" s="418">
        <f t="shared" ca="1" si="85"/>
        <v>-90</v>
      </c>
      <c r="AE330" s="418"/>
      <c r="AF330" s="935">
        <f>Calculation!G333</f>
        <v>540.08421583454356</v>
      </c>
      <c r="AG330" s="941" t="str">
        <f t="shared" si="86"/>
        <v>Yes</v>
      </c>
      <c r="AH330" s="941" t="str">
        <f t="shared" si="87"/>
        <v>Yes</v>
      </c>
      <c r="AI330" s="963">
        <v>2163.2000000031921</v>
      </c>
      <c r="AJ330" s="964">
        <v>599.0000000020691</v>
      </c>
      <c r="AK330" s="964">
        <v>1549.0000000041609</v>
      </c>
      <c r="AN330" s="447"/>
      <c r="AO330" s="430"/>
      <c r="AP330" s="462"/>
      <c r="AQ330" s="461"/>
      <c r="AR330" s="461"/>
      <c r="AS330" s="463"/>
      <c r="AU330" s="453"/>
      <c r="AV330" s="452"/>
      <c r="AW330" s="453"/>
      <c r="AX330" s="452"/>
      <c r="AY330" s="453"/>
      <c r="AZ330" s="452"/>
      <c r="BA330" s="449"/>
    </row>
    <row r="331" spans="1:53" ht="13.5" thickBot="1">
      <c r="A331" s="425">
        <v>41962</v>
      </c>
      <c r="B331" s="954">
        <f t="shared" si="81"/>
        <v>75.66377</v>
      </c>
      <c r="C331" s="954">
        <f>Calculation!AK334</f>
        <v>0</v>
      </c>
      <c r="D331" s="954">
        <f>Calculation!AI334</f>
        <v>0</v>
      </c>
      <c r="E331" s="954">
        <f>Calculation!AE334</f>
        <v>31.0947</v>
      </c>
      <c r="F331" s="954">
        <f>Calculation!AF334</f>
        <v>44.569069999999996</v>
      </c>
      <c r="G331" s="954">
        <f>Calculation!AG334</f>
        <v>61.214789999999546</v>
      </c>
      <c r="H331" s="955">
        <f>Sheet1!H336</f>
        <v>16.93</v>
      </c>
      <c r="I331" s="935">
        <f>Sheet1!DA336</f>
        <v>843</v>
      </c>
      <c r="J331" s="935">
        <f>Sheet1!DB336</f>
        <v>581</v>
      </c>
      <c r="K331" s="935">
        <f>Sheet1!CZ336</f>
        <v>542</v>
      </c>
      <c r="L331" s="959">
        <f>Calculation!F334</f>
        <v>250</v>
      </c>
      <c r="M331" s="959">
        <f>Calculation!E334</f>
        <v>250</v>
      </c>
      <c r="N331" s="959">
        <f>Calculation!D334</f>
        <v>300</v>
      </c>
      <c r="O331" s="985">
        <f>Sheet1!DC336</f>
        <v>1075.2</v>
      </c>
      <c r="P331" s="986">
        <f>Calculation!FD334</f>
        <v>1080.3214285714027</v>
      </c>
      <c r="Q331" s="994">
        <f>Calculation!DP334</f>
        <v>641.00000000211458</v>
      </c>
      <c r="R331" s="985">
        <f t="shared" si="89"/>
        <v>22.000000002114575</v>
      </c>
      <c r="S331" s="987">
        <f t="shared" si="82"/>
        <v>21.999999999813554</v>
      </c>
      <c r="T331" s="994">
        <f ca="1">IF(A331&gt;$A$1,#N/A,VLOOKUP(A331,Calculation!$B$8:$JF$503,40,FALSE))</f>
        <v>0</v>
      </c>
      <c r="U331" s="987">
        <f t="shared" si="83"/>
        <v>0</v>
      </c>
      <c r="V331" s="987">
        <f>Calculation!AZ334</f>
        <v>0</v>
      </c>
      <c r="W331" s="994">
        <f t="shared" ca="1" si="80"/>
        <v>-2.5419999992379871E-2</v>
      </c>
      <c r="X331" s="994">
        <v>0</v>
      </c>
      <c r="Y331" s="987">
        <v>0</v>
      </c>
      <c r="Z331" s="987">
        <f t="shared" ca="1" si="84"/>
        <v>-2.5419999992379871E-2</v>
      </c>
      <c r="AA331" s="994">
        <f t="shared" ca="1" si="90"/>
        <v>641.02542000210701</v>
      </c>
      <c r="AB331" s="1093">
        <f t="shared" ca="1" si="91"/>
        <v>22.025420002107012</v>
      </c>
      <c r="AC331" s="954">
        <f ca="1">IF(A331&gt;$A$1,VLOOKUP(A331,Calculation!$B$8:$JF$880,165,FALSE),VLOOKUP(A331,Calculation!$B$8:$JF$880,165,FALSE))</f>
        <v>990</v>
      </c>
      <c r="AD331" s="418">
        <f t="shared" ca="1" si="85"/>
        <v>-90</v>
      </c>
      <c r="AE331" s="418"/>
      <c r="AF331" s="935">
        <f>Calculation!G334</f>
        <v>553.09430156319388</v>
      </c>
      <c r="AG331" s="941" t="str">
        <f t="shared" si="86"/>
        <v>Yes</v>
      </c>
      <c r="AH331" s="941" t="str">
        <f t="shared" si="87"/>
        <v>Yes</v>
      </c>
      <c r="AI331" s="963">
        <v>1937.6200000027791</v>
      </c>
      <c r="AJ331" s="964">
        <v>716.00000000240107</v>
      </c>
      <c r="AK331" s="964">
        <v>2931.0000000070031</v>
      </c>
      <c r="AN331" s="447"/>
      <c r="AO331" s="430"/>
      <c r="AP331" s="462"/>
      <c r="AQ331" s="461"/>
      <c r="AR331" s="461"/>
      <c r="AS331" s="463"/>
      <c r="AU331" s="453"/>
      <c r="AV331" s="452"/>
      <c r="AW331" s="453"/>
      <c r="AX331" s="452"/>
      <c r="AY331" s="453"/>
      <c r="AZ331" s="452"/>
      <c r="BA331" s="449"/>
    </row>
    <row r="332" spans="1:53" ht="13.5" thickBot="1">
      <c r="A332" s="425">
        <v>41963</v>
      </c>
      <c r="B332" s="954">
        <f t="shared" si="81"/>
        <v>74.410699999999991</v>
      </c>
      <c r="C332" s="954">
        <f>Calculation!AK335</f>
        <v>0</v>
      </c>
      <c r="D332" s="954">
        <f>Calculation!AI335</f>
        <v>0</v>
      </c>
      <c r="E332" s="954">
        <f>Calculation!AE335</f>
        <v>31.0947</v>
      </c>
      <c r="F332" s="954">
        <f>Calculation!AF335</f>
        <v>43.315999999999995</v>
      </c>
      <c r="G332" s="954">
        <f>Calculation!AG335</f>
        <v>54.825679999999991</v>
      </c>
      <c r="H332" s="955">
        <f>Sheet1!H337</f>
        <v>0</v>
      </c>
      <c r="I332" s="935">
        <f>Sheet1!DA337</f>
        <v>831</v>
      </c>
      <c r="J332" s="935">
        <f>Sheet1!DB337</f>
        <v>565</v>
      </c>
      <c r="K332" s="935">
        <f>Sheet1!CZ337</f>
        <v>542</v>
      </c>
      <c r="L332" s="959">
        <f>Calculation!F335</f>
        <v>250</v>
      </c>
      <c r="M332" s="959">
        <f>Calculation!E335</f>
        <v>250</v>
      </c>
      <c r="N332" s="959">
        <f>Calculation!D335</f>
        <v>300</v>
      </c>
      <c r="O332" s="985">
        <f>Sheet1!DC337</f>
        <v>1075.51</v>
      </c>
      <c r="P332" s="986">
        <f>Calculation!FD335</f>
        <v>1079.6461538461288</v>
      </c>
      <c r="Q332" s="994">
        <f>Calculation!DP335</f>
        <v>674.10000000235107</v>
      </c>
      <c r="R332" s="985">
        <f t="shared" si="89"/>
        <v>55.100000002351067</v>
      </c>
      <c r="S332" s="987">
        <f t="shared" si="82"/>
        <v>33.100000000236491</v>
      </c>
      <c r="T332" s="994">
        <f ca="1">IF(A332&gt;$A$1,#N/A,VLOOKUP(A332,Calculation!$B$8:$JF$503,40,FALSE))</f>
        <v>0</v>
      </c>
      <c r="U332" s="987">
        <f t="shared" si="83"/>
        <v>0</v>
      </c>
      <c r="V332" s="987">
        <f>Calculation!AZ335</f>
        <v>0</v>
      </c>
      <c r="W332" s="994">
        <f t="shared" ca="1" si="80"/>
        <v>-2.5419999992379871E-2</v>
      </c>
      <c r="X332" s="994">
        <v>0</v>
      </c>
      <c r="Y332" s="987">
        <v>0</v>
      </c>
      <c r="Z332" s="987">
        <f t="shared" ca="1" si="84"/>
        <v>-2.5419999992379871E-2</v>
      </c>
      <c r="AA332" s="994">
        <f t="shared" ca="1" si="90"/>
        <v>674.12542000234339</v>
      </c>
      <c r="AB332" s="1093">
        <f t="shared" ca="1" si="91"/>
        <v>55.12542000234339</v>
      </c>
      <c r="AC332" s="954">
        <f ca="1">IF(A332&gt;$A$1,VLOOKUP(A332,Calculation!$B$8:$JF$880,165,FALSE),VLOOKUP(A332,Calculation!$B$8:$JF$880,165,FALSE))</f>
        <v>900</v>
      </c>
      <c r="AD332" s="418">
        <f t="shared" ca="1" si="85"/>
        <v>-90</v>
      </c>
      <c r="AE332" s="418"/>
      <c r="AF332" s="935">
        <f>Calculation!G335</f>
        <v>558.69188098852067</v>
      </c>
      <c r="AG332" s="941" t="str">
        <f t="shared" si="86"/>
        <v>Yes</v>
      </c>
      <c r="AH332" s="941" t="str">
        <f t="shared" si="87"/>
        <v>Yes</v>
      </c>
      <c r="AI332" s="963">
        <v>1955.2600000028076</v>
      </c>
      <c r="AJ332" s="964">
        <v>1655.0000000045111</v>
      </c>
      <c r="AK332" s="964">
        <v>2018.7000000051796</v>
      </c>
      <c r="AN332" s="447"/>
      <c r="AO332" s="430"/>
      <c r="AP332" s="462"/>
      <c r="AQ332" s="461"/>
      <c r="AR332" s="461"/>
      <c r="AS332" s="463"/>
      <c r="AU332" s="453"/>
      <c r="AV332" s="452"/>
      <c r="AW332" s="453"/>
      <c r="AX332" s="452"/>
      <c r="AY332" s="453"/>
      <c r="AZ332" s="452"/>
      <c r="BA332" s="449"/>
    </row>
    <row r="333" spans="1:53" ht="13.5" thickBot="1">
      <c r="A333" s="425">
        <v>41964</v>
      </c>
      <c r="B333" s="954">
        <f t="shared" si="81"/>
        <v>73.482500000000002</v>
      </c>
      <c r="C333" s="954">
        <f>Calculation!AK336</f>
        <v>0</v>
      </c>
      <c r="D333" s="954">
        <f>Calculation!AI336</f>
        <v>0</v>
      </c>
      <c r="E333" s="954">
        <f>Calculation!AE336</f>
        <v>31.0947</v>
      </c>
      <c r="F333" s="954">
        <f>Calculation!AF336</f>
        <v>42.387799999999999</v>
      </c>
      <c r="G333" s="954">
        <f>Calculation!AG336</f>
        <v>20.064589999996173</v>
      </c>
      <c r="H333" s="955">
        <f>Sheet1!H338</f>
        <v>18.54</v>
      </c>
      <c r="I333" s="935">
        <f>Sheet1!DA338</f>
        <v>843</v>
      </c>
      <c r="J333" s="935">
        <f>Sheet1!DB338</f>
        <v>649</v>
      </c>
      <c r="K333" s="935">
        <f>Sheet1!CZ338</f>
        <v>561</v>
      </c>
      <c r="L333" s="959">
        <f>Calculation!F336</f>
        <v>250</v>
      </c>
      <c r="M333" s="959">
        <f>Calculation!E336</f>
        <v>250</v>
      </c>
      <c r="N333" s="959">
        <f>Calculation!D336</f>
        <v>300</v>
      </c>
      <c r="O333" s="985">
        <f>Sheet1!DC338</f>
        <v>1078.3</v>
      </c>
      <c r="P333" s="986">
        <f>Calculation!FD336</f>
        <v>1078.9499999999755</v>
      </c>
      <c r="Q333" s="994">
        <f>Calculation!DP336</f>
        <v>999.00000000286491</v>
      </c>
      <c r="R333" s="985">
        <f t="shared" si="89"/>
        <v>380.00000000286491</v>
      </c>
      <c r="S333" s="987">
        <f t="shared" si="82"/>
        <v>324.90000000051384</v>
      </c>
      <c r="T333" s="994">
        <f ca="1">IF(A333&gt;$A$1,#N/A,VLOOKUP(A333,Calculation!$B$8:$JF$503,40,FALSE))</f>
        <v>0</v>
      </c>
      <c r="U333" s="987">
        <f t="shared" si="83"/>
        <v>0</v>
      </c>
      <c r="V333" s="987">
        <f>Calculation!AZ336</f>
        <v>0</v>
      </c>
      <c r="W333" s="994">
        <f t="shared" ca="1" si="80"/>
        <v>-2.5419999992379871E-2</v>
      </c>
      <c r="X333" s="987">
        <f t="shared" ref="X333:X386" ca="1" si="92">-IF(-(Q333-T333-AC333-W332)&gt;0,(Q333-T333-AC333-W332)/1.983,0)</f>
        <v>0</v>
      </c>
      <c r="Y333" s="987">
        <v>0</v>
      </c>
      <c r="Z333" s="987">
        <f t="shared" ca="1" si="84"/>
        <v>-2.5419999992379871E-2</v>
      </c>
      <c r="AA333" s="994">
        <f t="shared" ca="1" si="90"/>
        <v>999.02542000285735</v>
      </c>
      <c r="AB333" s="1093">
        <f t="shared" ca="1" si="91"/>
        <v>380.02542000285735</v>
      </c>
      <c r="AC333" s="954">
        <f ca="1">IF(A333&gt;$A$1,VLOOKUP(A333,Calculation!$B$8:$JF$880,165,FALSE),VLOOKUP(A333,Calculation!$B$8:$JF$880,165,FALSE))</f>
        <v>810</v>
      </c>
      <c r="AD333" s="418">
        <f t="shared" ca="1" si="85"/>
        <v>-90</v>
      </c>
      <c r="AE333" s="418"/>
      <c r="AF333" s="935">
        <f>Calculation!G336</f>
        <v>724.8426626326343</v>
      </c>
      <c r="AG333" s="941" t="str">
        <f t="shared" si="86"/>
        <v>Yes</v>
      </c>
      <c r="AH333" s="941" t="str">
        <f t="shared" si="87"/>
        <v>Yes</v>
      </c>
      <c r="AI333" s="963">
        <v>1906.1200000027502</v>
      </c>
      <c r="AJ333" s="964">
        <v>2073.4000000049114</v>
      </c>
      <c r="AK333" s="964">
        <v>1344.2000000034288</v>
      </c>
      <c r="AN333" s="447"/>
      <c r="AO333" s="430"/>
      <c r="AP333" s="462"/>
      <c r="AQ333" s="461"/>
      <c r="AR333" s="461"/>
      <c r="AS333" s="463"/>
      <c r="AU333" s="453"/>
      <c r="AV333" s="452"/>
      <c r="AW333" s="453"/>
      <c r="AX333" s="452"/>
      <c r="AY333" s="453"/>
      <c r="AZ333" s="452"/>
      <c r="BA333" s="449"/>
    </row>
    <row r="334" spans="1:53" ht="13.5" thickBot="1">
      <c r="A334" s="425">
        <v>41965</v>
      </c>
      <c r="B334" s="954">
        <f t="shared" si="81"/>
        <v>59.5595</v>
      </c>
      <c r="C334" s="954">
        <f>Calculation!AK337</f>
        <v>0</v>
      </c>
      <c r="D334" s="954">
        <f>Calculation!AI337</f>
        <v>0</v>
      </c>
      <c r="E334" s="954">
        <f>Calculation!AE337</f>
        <v>31.4041</v>
      </c>
      <c r="F334" s="954">
        <f>Calculation!AF337</f>
        <v>28.155399999999997</v>
      </c>
      <c r="G334" s="954">
        <f>Calculation!AG337</f>
        <v>49.117249999999999</v>
      </c>
      <c r="H334" s="955">
        <f>Sheet1!H339</f>
        <v>26.98</v>
      </c>
      <c r="I334" s="935">
        <f>Sheet1!DA339</f>
        <v>1520</v>
      </c>
      <c r="J334" s="935">
        <f>Sheet1!DB339</f>
        <v>1180</v>
      </c>
      <c r="K334" s="935">
        <f>Sheet1!CZ339</f>
        <v>1140</v>
      </c>
      <c r="L334" s="959">
        <f>Calculation!F337</f>
        <v>250</v>
      </c>
      <c r="M334" s="959">
        <f>Calculation!E337</f>
        <v>250</v>
      </c>
      <c r="N334" s="959">
        <f>Calculation!D337</f>
        <v>300</v>
      </c>
      <c r="O334" s="985">
        <f>Sheet1!DC339</f>
        <v>1082.9000000000001</v>
      </c>
      <c r="P334" s="986">
        <f>Calculation!FD337</f>
        <v>1078.2307692307454</v>
      </c>
      <c r="Q334" s="994">
        <f>Calculation!DP337</f>
        <v>1625.0000000042292</v>
      </c>
      <c r="R334" s="985">
        <f t="shared" si="89"/>
        <v>1006.0000000042292</v>
      </c>
      <c r="S334" s="987">
        <f t="shared" si="82"/>
        <v>626.00000000136424</v>
      </c>
      <c r="T334" s="994">
        <f ca="1">IF(A334&gt;$A$1,#N/A,VLOOKUP(A334,Calculation!$B$8:$JF$503,40,FALSE))</f>
        <v>0</v>
      </c>
      <c r="U334" s="987">
        <f t="shared" si="83"/>
        <v>0</v>
      </c>
      <c r="V334" s="987">
        <f>Calculation!AZ337</f>
        <v>0</v>
      </c>
      <c r="W334" s="994">
        <f t="shared" ca="1" si="80"/>
        <v>-2.5419999992379871E-2</v>
      </c>
      <c r="X334" s="987">
        <f t="shared" ca="1" si="92"/>
        <v>0</v>
      </c>
      <c r="Y334" s="987">
        <v>0</v>
      </c>
      <c r="Z334" s="987">
        <f t="shared" ca="1" si="84"/>
        <v>-2.5419999992379871E-2</v>
      </c>
      <c r="AA334" s="994">
        <f t="shared" ca="1" si="90"/>
        <v>1625.0254200042216</v>
      </c>
      <c r="AB334" s="1093">
        <f t="shared" ca="1" si="91"/>
        <v>1006.0254200042216</v>
      </c>
      <c r="AC334" s="954">
        <f ca="1">IF(A334&gt;$A$1,VLOOKUP(A334,Calculation!$B$8:$JF$880,165,FALSE),VLOOKUP(A334,Calculation!$B$8:$JF$880,165,FALSE))</f>
        <v>720</v>
      </c>
      <c r="AD334" s="418">
        <f t="shared" ca="1" si="85"/>
        <v>-90</v>
      </c>
      <c r="AE334" s="418"/>
      <c r="AF334" s="935">
        <f>Calculation!G337</f>
        <v>1455.6833081196996</v>
      </c>
      <c r="AG334" s="941" t="str">
        <f t="shared" si="86"/>
        <v>Yes</v>
      </c>
      <c r="AH334" s="941" t="str">
        <f t="shared" si="87"/>
        <v>Yes</v>
      </c>
      <c r="AI334" s="963">
        <v>2026.1000000029558</v>
      </c>
      <c r="AJ334" s="964">
        <v>1687.5000000042633</v>
      </c>
      <c r="AK334" s="964">
        <v>1311.0000000036607</v>
      </c>
      <c r="AN334" s="447"/>
      <c r="AO334" s="430"/>
      <c r="AP334" s="462"/>
      <c r="AQ334" s="461"/>
      <c r="AR334" s="461"/>
      <c r="AS334" s="463"/>
      <c r="AU334" s="453"/>
      <c r="AV334" s="452"/>
      <c r="AW334" s="453"/>
      <c r="AX334" s="452"/>
      <c r="AY334" s="453"/>
      <c r="AZ334" s="452"/>
      <c r="BA334" s="449"/>
    </row>
    <row r="335" spans="1:53" ht="13.5" thickBot="1">
      <c r="A335" s="425">
        <v>41966</v>
      </c>
      <c r="B335" s="954">
        <f t="shared" si="81"/>
        <v>71.517809999999997</v>
      </c>
      <c r="C335" s="954">
        <f>Calculation!AK338</f>
        <v>0</v>
      </c>
      <c r="D335" s="954">
        <f>Calculation!AI338</f>
        <v>0</v>
      </c>
      <c r="E335" s="954">
        <f>Calculation!AE338</f>
        <v>31.0947</v>
      </c>
      <c r="F335" s="954">
        <f>Calculation!AF338</f>
        <v>40.423109999999994</v>
      </c>
      <c r="G335" s="954">
        <f>Calculation!AG338</f>
        <v>38.133550000002252</v>
      </c>
      <c r="H335" s="955">
        <f>Sheet1!H340</f>
        <v>14.16</v>
      </c>
      <c r="I335" s="935">
        <f>Sheet1!DA340</f>
        <v>2400</v>
      </c>
      <c r="J335" s="935">
        <f>Sheet1!DB340</f>
        <v>2060</v>
      </c>
      <c r="K335" s="935">
        <f>Sheet1!CZ340</f>
        <v>1930</v>
      </c>
      <c r="L335" s="959">
        <f>Calculation!F338</f>
        <v>250</v>
      </c>
      <c r="M335" s="959">
        <f>Calculation!E338</f>
        <v>250</v>
      </c>
      <c r="N335" s="959">
        <f>Calculation!D338</f>
        <v>300</v>
      </c>
      <c r="O335" s="985">
        <f>Sheet1!DC340</f>
        <v>1088.17</v>
      </c>
      <c r="P335" s="986">
        <f>Calculation!FD338</f>
        <v>1077.4833333333102</v>
      </c>
      <c r="Q335" s="994">
        <f>Calculation!DP338</f>
        <v>2496.6000000059344</v>
      </c>
      <c r="R335" s="985">
        <f t="shared" si="89"/>
        <v>1877.6000000059344</v>
      </c>
      <c r="S335" s="987">
        <f t="shared" si="82"/>
        <v>871.60000000170521</v>
      </c>
      <c r="T335" s="994">
        <f ca="1">IF(A335&gt;$A$1,#N/A,VLOOKUP(A335,Calculation!$B$8:$JF$503,40,FALSE))</f>
        <v>0</v>
      </c>
      <c r="U335" s="987">
        <f t="shared" si="83"/>
        <v>0</v>
      </c>
      <c r="V335" s="987">
        <f>Calculation!AZ338</f>
        <v>0</v>
      </c>
      <c r="W335" s="994">
        <f t="shared" ca="1" si="80"/>
        <v>-2.5419999992379871E-2</v>
      </c>
      <c r="X335" s="987">
        <f t="shared" ca="1" si="92"/>
        <v>0</v>
      </c>
      <c r="Y335" s="987">
        <v>0</v>
      </c>
      <c r="Z335" s="987">
        <f t="shared" ca="1" si="84"/>
        <v>-2.5419999992379871E-2</v>
      </c>
      <c r="AA335" s="994">
        <f t="shared" ca="1" si="90"/>
        <v>2496.6254200059266</v>
      </c>
      <c r="AB335" s="1093">
        <f t="shared" ca="1" si="91"/>
        <v>1877.6254200059266</v>
      </c>
      <c r="AC335" s="954">
        <f ca="1">IF(A335&gt;$A$1,VLOOKUP(A335,Calculation!$B$8:$JF$880,165,FALSE),VLOOKUP(A335,Calculation!$B$8:$JF$880,165,FALSE))</f>
        <v>630</v>
      </c>
      <c r="AD335" s="418">
        <f t="shared" ca="1" si="85"/>
        <v>-90</v>
      </c>
      <c r="AE335" s="418"/>
      <c r="AF335" s="935">
        <f>Calculation!G338</f>
        <v>2369.5360564809407</v>
      </c>
      <c r="AG335" s="941" t="str">
        <f t="shared" si="86"/>
        <v>Yes</v>
      </c>
      <c r="AH335" s="941" t="str">
        <f t="shared" si="87"/>
        <v>Yes</v>
      </c>
      <c r="AI335" s="963">
        <v>2403.8000000035336</v>
      </c>
      <c r="AJ335" s="964">
        <v>1056.2000000029195</v>
      </c>
      <c r="AK335" s="964">
        <v>1271.0000000033697</v>
      </c>
      <c r="AN335" s="447"/>
      <c r="AO335" s="430"/>
      <c r="AP335" s="462"/>
      <c r="AQ335" s="461"/>
      <c r="AR335" s="461"/>
      <c r="AS335" s="463"/>
      <c r="AU335" s="453"/>
      <c r="AV335" s="452"/>
      <c r="AW335" s="453"/>
      <c r="AX335" s="452"/>
      <c r="AY335" s="453"/>
      <c r="AZ335" s="452"/>
      <c r="BA335" s="449"/>
    </row>
    <row r="336" spans="1:53" ht="13.5" thickBot="1">
      <c r="A336" s="425">
        <v>41967</v>
      </c>
      <c r="B336" s="954">
        <f t="shared" si="81"/>
        <v>74.534459999999996</v>
      </c>
      <c r="C336" s="954">
        <f>Calculation!AK339</f>
        <v>0</v>
      </c>
      <c r="D336" s="954">
        <f>Calculation!AI339</f>
        <v>0</v>
      </c>
      <c r="E336" s="954">
        <f>Calculation!AE339</f>
        <v>31.0947</v>
      </c>
      <c r="F336" s="954">
        <f>Calculation!AF339</f>
        <v>43.439759999999993</v>
      </c>
      <c r="G336" s="954">
        <f>Calculation!AG339</f>
        <v>41.490539999999548</v>
      </c>
      <c r="H336" s="955">
        <f>Sheet1!H341</f>
        <v>11.26</v>
      </c>
      <c r="I336" s="935">
        <f>Sheet1!DA341</f>
        <v>2970</v>
      </c>
      <c r="J336" s="935">
        <f>Sheet1!DB341</f>
        <v>2540</v>
      </c>
      <c r="K336" s="935">
        <f>Sheet1!CZ341</f>
        <v>2440</v>
      </c>
      <c r="L336" s="959">
        <f>Calculation!F339</f>
        <v>250</v>
      </c>
      <c r="M336" s="959">
        <f>Calculation!E339</f>
        <v>250</v>
      </c>
      <c r="N336" s="959">
        <f>Calculation!D339</f>
        <v>300</v>
      </c>
      <c r="O336" s="985">
        <f>Sheet1!DC341</f>
        <v>1086.46</v>
      </c>
      <c r="P336" s="986">
        <f>Calculation!FD339</f>
        <v>1076.7249999999776</v>
      </c>
      <c r="Q336" s="994">
        <f>Calculation!DP339</f>
        <v>2195.200000005334</v>
      </c>
      <c r="R336" s="985">
        <f t="shared" si="89"/>
        <v>1576.200000005334</v>
      </c>
      <c r="S336" s="987">
        <f t="shared" si="82"/>
        <v>-301.40000000060036</v>
      </c>
      <c r="T336" s="994">
        <f ca="1">IF(A336&gt;$A$1,#N/A,VLOOKUP(A336,Calculation!$B$8:$JF$503,40,FALSE))</f>
        <v>0</v>
      </c>
      <c r="U336" s="987">
        <f t="shared" si="83"/>
        <v>0</v>
      </c>
      <c r="V336" s="987">
        <f>Calculation!AZ339</f>
        <v>0</v>
      </c>
      <c r="W336" s="994">
        <f t="shared" ca="1" si="80"/>
        <v>-2.5419999992379871E-2</v>
      </c>
      <c r="X336" s="987">
        <f t="shared" ca="1" si="92"/>
        <v>0</v>
      </c>
      <c r="Y336" s="987">
        <v>0</v>
      </c>
      <c r="Z336" s="987">
        <f t="shared" ca="1" si="84"/>
        <v>-2.5419999992379871E-2</v>
      </c>
      <c r="AA336" s="994">
        <f t="shared" ca="1" si="90"/>
        <v>2195.2254200053262</v>
      </c>
      <c r="AB336" s="1093">
        <f t="shared" ca="1" si="91"/>
        <v>1576.2254200053262</v>
      </c>
      <c r="AC336" s="954">
        <f ca="1">IF(A336&gt;$A$1,VLOOKUP(A336,Calculation!$B$8:$JF$880,165,FALSE),VLOOKUP(A336,Calculation!$B$8:$JF$880,165,FALSE))</f>
        <v>540</v>
      </c>
      <c r="AD336" s="418">
        <f t="shared" ca="1" si="85"/>
        <v>-90</v>
      </c>
      <c r="AE336" s="418"/>
      <c r="AF336" s="935">
        <f>Calculation!G339</f>
        <v>2288.0080685826524</v>
      </c>
      <c r="AG336" s="941" t="str">
        <f t="shared" si="86"/>
        <v>Yes</v>
      </c>
      <c r="AH336" s="941" t="str">
        <f t="shared" si="87"/>
        <v>Yes</v>
      </c>
      <c r="AI336" s="963">
        <v>2100.2000000030444</v>
      </c>
      <c r="AJ336" s="964">
        <v>1337.6000000036925</v>
      </c>
      <c r="AK336" s="964">
        <v>982.40000000286489</v>
      </c>
      <c r="AN336" s="447"/>
      <c r="AO336" s="430"/>
      <c r="AP336" s="462"/>
      <c r="AQ336" s="461"/>
      <c r="AR336" s="461"/>
      <c r="AS336" s="463"/>
      <c r="AU336" s="453"/>
      <c r="AV336" s="452"/>
      <c r="AW336" s="453"/>
      <c r="AX336" s="452"/>
      <c r="AY336" s="453"/>
      <c r="AZ336" s="452"/>
      <c r="BA336" s="449"/>
    </row>
    <row r="337" spans="1:53" ht="13.5" thickBot="1">
      <c r="A337" s="425">
        <v>41968</v>
      </c>
      <c r="B337" s="954">
        <f t="shared" si="81"/>
        <v>63.798280000000005</v>
      </c>
      <c r="C337" s="954">
        <f>Calculation!AK340</f>
        <v>0</v>
      </c>
      <c r="D337" s="954">
        <f>Calculation!AI340</f>
        <v>0</v>
      </c>
      <c r="E337" s="954">
        <f>Calculation!AE340</f>
        <v>31.868200000000002</v>
      </c>
      <c r="F337" s="954">
        <f>Calculation!AF340</f>
        <v>31.93008</v>
      </c>
      <c r="G337" s="954">
        <f>Calculation!AG340</f>
        <v>59.358389999998423</v>
      </c>
      <c r="H337" s="955">
        <f>Sheet1!H342</f>
        <v>61.7</v>
      </c>
      <c r="I337" s="935">
        <f>Sheet1!DA342</f>
        <v>7230</v>
      </c>
      <c r="J337" s="935">
        <f>Sheet1!DB342</f>
        <v>6180</v>
      </c>
      <c r="K337" s="935">
        <f>Sheet1!CZ342</f>
        <v>6910</v>
      </c>
      <c r="L337" s="959">
        <f>Calculation!F340</f>
        <v>250</v>
      </c>
      <c r="M337" s="959">
        <f>Calculation!E340</f>
        <v>250</v>
      </c>
      <c r="N337" s="959">
        <f>Calculation!D340</f>
        <v>300</v>
      </c>
      <c r="O337" s="985">
        <f>Sheet1!DC342</f>
        <v>1110.1099999999999</v>
      </c>
      <c r="P337" s="986">
        <f>Calculation!FD340</f>
        <v>1075.9363636363419</v>
      </c>
      <c r="Q337" s="994">
        <f>Calculation!DP340</f>
        <v>8025.3000000174079</v>
      </c>
      <c r="R337" s="985">
        <f t="shared" si="89"/>
        <v>7406.3000000174079</v>
      </c>
      <c r="S337" s="987">
        <f t="shared" si="82"/>
        <v>5830.1000000120739</v>
      </c>
      <c r="T337" s="994">
        <f ca="1">IF(A337&gt;$A$1,#N/A,VLOOKUP(A337,Calculation!$B$8:$JF$503,40,FALSE))</f>
        <v>0</v>
      </c>
      <c r="U337" s="987">
        <f t="shared" si="83"/>
        <v>0</v>
      </c>
      <c r="V337" s="987">
        <f>Calculation!AZ340</f>
        <v>0</v>
      </c>
      <c r="W337" s="994">
        <f t="shared" ca="1" si="80"/>
        <v>-2.5419999992379871E-2</v>
      </c>
      <c r="X337" s="987">
        <f t="shared" ca="1" si="92"/>
        <v>0</v>
      </c>
      <c r="Y337" s="987">
        <v>0</v>
      </c>
      <c r="Z337" s="987">
        <f t="shared" ca="1" si="84"/>
        <v>-2.5419999992379871E-2</v>
      </c>
      <c r="AA337" s="994">
        <f t="shared" ca="1" si="90"/>
        <v>8025.3254200174006</v>
      </c>
      <c r="AB337" s="1093">
        <f t="shared" ca="1" si="91"/>
        <v>7406.3254200174006</v>
      </c>
      <c r="AC337" s="954">
        <f ca="1">IF(A337&gt;$A$1,VLOOKUP(A337,Calculation!$B$8:$JF$880,165,FALSE),VLOOKUP(A337,Calculation!$B$8:$JF$880,165,FALSE))</f>
        <v>450</v>
      </c>
      <c r="AD337" s="418">
        <f t="shared" ca="1" si="85"/>
        <v>-90</v>
      </c>
      <c r="AE337" s="418"/>
      <c r="AF337" s="935">
        <f>Calculation!G340</f>
        <v>9850.0403429208636</v>
      </c>
      <c r="AG337" s="941" t="str">
        <f t="shared" si="86"/>
        <v>Yes</v>
      </c>
      <c r="AH337" s="941" t="str">
        <f t="shared" si="87"/>
        <v>Yes</v>
      </c>
      <c r="AI337" s="963">
        <v>2152.4000000031924</v>
      </c>
      <c r="AJ337" s="964">
        <v>3283.1000000076397</v>
      </c>
      <c r="AK337" s="964">
        <v>706.00000000216005</v>
      </c>
      <c r="AN337" s="447"/>
      <c r="AO337" s="430"/>
      <c r="AP337" s="462"/>
      <c r="AQ337" s="461"/>
      <c r="AR337" s="461"/>
      <c r="AS337" s="463"/>
      <c r="AU337" s="453"/>
      <c r="AV337" s="452"/>
      <c r="AW337" s="453"/>
      <c r="AX337" s="452"/>
      <c r="AY337" s="453"/>
      <c r="AZ337" s="452"/>
      <c r="BA337" s="449"/>
    </row>
    <row r="338" spans="1:53" ht="13.5" thickBot="1">
      <c r="A338" s="425">
        <v>41969</v>
      </c>
      <c r="B338" s="954">
        <f t="shared" si="81"/>
        <v>61.40043</v>
      </c>
      <c r="C338" s="954">
        <f>Calculation!AK341</f>
        <v>0</v>
      </c>
      <c r="D338" s="954">
        <f>Calculation!AI341</f>
        <v>0</v>
      </c>
      <c r="E338" s="954">
        <f>Calculation!AE341</f>
        <v>32.0229</v>
      </c>
      <c r="F338" s="954">
        <f>Calculation!AF341</f>
        <v>29.377529999999997</v>
      </c>
      <c r="G338" s="954">
        <f>Calculation!AG341</f>
        <v>66.691170000000895</v>
      </c>
      <c r="H338" s="955">
        <f>Sheet1!H343</f>
        <v>86.6</v>
      </c>
      <c r="I338" s="935">
        <f>Sheet1!DA343</f>
        <v>8520</v>
      </c>
      <c r="J338" s="935">
        <f>Sheet1!DB343</f>
        <v>6130</v>
      </c>
      <c r="K338" s="935">
        <f>Sheet1!CZ343</f>
        <v>7060</v>
      </c>
      <c r="L338" s="959">
        <f>Calculation!F341</f>
        <v>250</v>
      </c>
      <c r="M338" s="959">
        <f>Calculation!E341</f>
        <v>250</v>
      </c>
      <c r="N338" s="959">
        <f>Calculation!D341</f>
        <v>300</v>
      </c>
      <c r="O338" s="985">
        <f>Sheet1!DC343</f>
        <v>1119.9000000000001</v>
      </c>
      <c r="P338" s="986">
        <f>Calculation!FD341</f>
        <v>1075.099999999979</v>
      </c>
      <c r="Q338" s="994">
        <f>Calculation!DP341</f>
        <v>11673.000000026594</v>
      </c>
      <c r="R338" s="985">
        <f t="shared" si="89"/>
        <v>11054.000000026594</v>
      </c>
      <c r="S338" s="987">
        <f t="shared" si="82"/>
        <v>3647.7000000091857</v>
      </c>
      <c r="T338" s="994">
        <f ca="1">IF(A338&gt;$A$1,#N/A,VLOOKUP(A338,Calculation!$B$8:$JF$503,40,FALSE))</f>
        <v>0</v>
      </c>
      <c r="U338" s="987">
        <f t="shared" si="83"/>
        <v>0</v>
      </c>
      <c r="V338" s="987">
        <f>Calculation!AZ341</f>
        <v>0</v>
      </c>
      <c r="W338" s="994">
        <f t="shared" ca="1" si="80"/>
        <v>-2.5419999992379871E-2</v>
      </c>
      <c r="X338" s="987">
        <f t="shared" ca="1" si="92"/>
        <v>0</v>
      </c>
      <c r="Y338" s="987">
        <v>0</v>
      </c>
      <c r="Z338" s="987">
        <f t="shared" ca="1" si="84"/>
        <v>-2.5419999992379871E-2</v>
      </c>
      <c r="AA338" s="994">
        <f t="shared" ca="1" si="90"/>
        <v>11673.025420026586</v>
      </c>
      <c r="AB338" s="1093">
        <f t="shared" ca="1" si="91"/>
        <v>11054.025420026586</v>
      </c>
      <c r="AC338" s="954">
        <f ca="1">IF(A338&gt;$A$1,VLOOKUP(A338,Calculation!$B$8:$JF$880,165,FALSE),VLOOKUP(A338,Calculation!$B$8:$JF$880,165,FALSE))</f>
        <v>360</v>
      </c>
      <c r="AD338" s="418">
        <f t="shared" ca="1" si="85"/>
        <v>-90</v>
      </c>
      <c r="AE338" s="418"/>
      <c r="AF338" s="935">
        <f>Calculation!G341</f>
        <v>8899.4856278412426</v>
      </c>
      <c r="AG338" s="941" t="str">
        <f t="shared" si="86"/>
        <v>Yes</v>
      </c>
      <c r="AH338" s="941" t="str">
        <f t="shared" si="87"/>
        <v>Yes</v>
      </c>
      <c r="AI338" s="963">
        <v>2353.4000000035016</v>
      </c>
      <c r="AJ338" s="964">
        <v>2907.0000000069576</v>
      </c>
      <c r="AK338" s="964">
        <v>696.10000000237608</v>
      </c>
      <c r="AN338" s="447"/>
      <c r="AO338" s="430"/>
      <c r="AP338" s="462"/>
      <c r="AQ338" s="461"/>
      <c r="AR338" s="461"/>
      <c r="AS338" s="463"/>
      <c r="AU338" s="453"/>
      <c r="AV338" s="452"/>
      <c r="AW338" s="453"/>
      <c r="AX338" s="452"/>
      <c r="AY338" s="453"/>
      <c r="AZ338" s="452"/>
      <c r="BA338" s="449"/>
    </row>
    <row r="339" spans="1:53" ht="13.5" thickBot="1">
      <c r="A339" s="425">
        <v>41970</v>
      </c>
      <c r="B339" s="954">
        <f t="shared" si="81"/>
        <v>61.895469999999996</v>
      </c>
      <c r="C339" s="954">
        <f>Calculation!AK342</f>
        <v>0</v>
      </c>
      <c r="D339" s="954">
        <f>Calculation!AI342</f>
        <v>0</v>
      </c>
      <c r="E339" s="954">
        <f>Calculation!AE342</f>
        <v>32.332299999999996</v>
      </c>
      <c r="F339" s="954">
        <f>Calculation!AF342</f>
        <v>29.56317</v>
      </c>
      <c r="G339" s="954">
        <f>Calculation!AG342</f>
        <v>61.400430000003603</v>
      </c>
      <c r="H339" s="955">
        <f>Sheet1!H344</f>
        <v>50</v>
      </c>
      <c r="I339" s="935">
        <f>Sheet1!DA344</f>
        <v>7850</v>
      </c>
      <c r="J339" s="935">
        <f>Sheet1!DB344</f>
        <v>5610</v>
      </c>
      <c r="K339" s="935">
        <f>Sheet1!CZ344</f>
        <v>6350</v>
      </c>
      <c r="L339" s="959">
        <f>Calculation!F342</f>
        <v>250</v>
      </c>
      <c r="M339" s="959">
        <f>Calculation!E342</f>
        <v>250</v>
      </c>
      <c r="N339" s="959">
        <f>Calculation!D342</f>
        <v>300</v>
      </c>
      <c r="O339" s="985">
        <f>Sheet1!DC344</f>
        <v>1105.3</v>
      </c>
      <c r="P339" s="986">
        <f>Calculation!FD342</f>
        <v>1074.2199999999798</v>
      </c>
      <c r="Q339" s="994">
        <f>Calculation!DP342</f>
        <v>6574.0000000140444</v>
      </c>
      <c r="R339" s="985">
        <f t="shared" si="89"/>
        <v>5955.0000000140444</v>
      </c>
      <c r="S339" s="987">
        <f t="shared" si="82"/>
        <v>-5099.0000000125492</v>
      </c>
      <c r="T339" s="994">
        <f ca="1">IF(A339&gt;$A$1,#N/A,VLOOKUP(A339,Calculation!$B$8:$JF$503,40,FALSE))</f>
        <v>0</v>
      </c>
      <c r="U339" s="987">
        <f t="shared" si="83"/>
        <v>0</v>
      </c>
      <c r="V339" s="987">
        <f>Calculation!AZ342</f>
        <v>0</v>
      </c>
      <c r="W339" s="994">
        <f t="shared" ca="1" si="80"/>
        <v>-2.5419999992379871E-2</v>
      </c>
      <c r="X339" s="987">
        <f t="shared" ca="1" si="92"/>
        <v>0</v>
      </c>
      <c r="Y339" s="987">
        <v>0</v>
      </c>
      <c r="Z339" s="987">
        <f t="shared" ca="1" si="84"/>
        <v>-2.5419999992379871E-2</v>
      </c>
      <c r="AA339" s="994">
        <f t="shared" ca="1" si="90"/>
        <v>6574.0254200140371</v>
      </c>
      <c r="AB339" s="1093">
        <f t="shared" ca="1" si="91"/>
        <v>5955.0254200140371</v>
      </c>
      <c r="AC339" s="954">
        <f ca="1">IF(A339&gt;$A$1,VLOOKUP(A339,Calculation!$B$8:$JF$880,165,FALSE),VLOOKUP(A339,Calculation!$B$8:$JF$880,165,FALSE))</f>
        <v>270</v>
      </c>
      <c r="AD339" s="418">
        <f t="shared" ca="1" si="85"/>
        <v>-90</v>
      </c>
      <c r="AE339" s="418"/>
      <c r="AF339" s="935">
        <f>Calculation!G342</f>
        <v>3778.6434694843429</v>
      </c>
      <c r="AG339" s="941" t="str">
        <f t="shared" si="86"/>
        <v>Yes</v>
      </c>
      <c r="AH339" s="941" t="str">
        <f t="shared" si="87"/>
        <v>Yes</v>
      </c>
      <c r="AI339" s="963">
        <v>2773.6700000042438</v>
      </c>
      <c r="AJ339" s="964">
        <v>1672.5000000042633</v>
      </c>
      <c r="AK339" s="964">
        <v>777.40000000245107</v>
      </c>
      <c r="AN339" s="447"/>
      <c r="AO339" s="430"/>
      <c r="AP339" s="462"/>
      <c r="AQ339" s="461"/>
      <c r="AR339" s="461"/>
      <c r="AS339" s="463"/>
      <c r="AU339" s="453"/>
      <c r="AV339" s="452"/>
      <c r="AW339" s="453"/>
      <c r="AX339" s="452"/>
      <c r="AY339" s="453"/>
      <c r="AZ339" s="452"/>
      <c r="BA339" s="449"/>
    </row>
    <row r="340" spans="1:53" ht="13.5" thickBot="1">
      <c r="A340" s="425">
        <v>41971</v>
      </c>
      <c r="B340" s="954">
        <f t="shared" si="81"/>
        <v>60.023600000000002</v>
      </c>
      <c r="C340" s="954">
        <f>Calculation!AK343</f>
        <v>0</v>
      </c>
      <c r="D340" s="954">
        <f>Calculation!AI343</f>
        <v>0</v>
      </c>
      <c r="E340" s="954">
        <f>Calculation!AE343</f>
        <v>30.475899999999996</v>
      </c>
      <c r="F340" s="954">
        <f>Calculation!AF343</f>
        <v>29.547700000000003</v>
      </c>
      <c r="G340" s="954">
        <f>Calculation!AG343</f>
        <v>60.750689999995046</v>
      </c>
      <c r="H340" s="955">
        <f>Sheet1!H345</f>
        <v>27.99</v>
      </c>
      <c r="I340" s="935">
        <f>Sheet1!DA345</f>
        <v>5830</v>
      </c>
      <c r="J340" s="935">
        <f>Sheet1!DB345</f>
        <v>4150</v>
      </c>
      <c r="K340" s="935">
        <f>Sheet1!CZ345</f>
        <v>4190</v>
      </c>
      <c r="L340" s="959">
        <f>Calculation!F343</f>
        <v>250</v>
      </c>
      <c r="M340" s="959">
        <f>Calculation!E343</f>
        <v>250</v>
      </c>
      <c r="N340" s="959">
        <f>Calculation!D343</f>
        <v>300</v>
      </c>
      <c r="O340" s="985">
        <f>Sheet1!DC345</f>
        <v>1087</v>
      </c>
      <c r="P340" s="986">
        <f>Calculation!FD343</f>
        <v>1073.2899999999806</v>
      </c>
      <c r="Q340" s="994">
        <f>Calculation!DP343</f>
        <v>2287.0000000057298</v>
      </c>
      <c r="R340" s="985">
        <f t="shared" si="89"/>
        <v>1668.0000000057298</v>
      </c>
      <c r="S340" s="987">
        <f t="shared" si="82"/>
        <v>-4287.0000000083146</v>
      </c>
      <c r="T340" s="994">
        <f ca="1">IF(A340&gt;$A$1,#N/A,VLOOKUP(A340,Calculation!$B$8:$JF$503,40,FALSE))</f>
        <v>0</v>
      </c>
      <c r="U340" s="987">
        <f t="shared" si="83"/>
        <v>0</v>
      </c>
      <c r="V340" s="987">
        <f>Calculation!AZ343</f>
        <v>0</v>
      </c>
      <c r="W340" s="994">
        <f t="shared" ca="1" si="80"/>
        <v>-2.5419999992379871E-2</v>
      </c>
      <c r="X340" s="987">
        <f t="shared" ca="1" si="92"/>
        <v>0</v>
      </c>
      <c r="Y340" s="987">
        <v>0</v>
      </c>
      <c r="Z340" s="987">
        <f t="shared" ca="1" si="84"/>
        <v>-2.5419999992379871E-2</v>
      </c>
      <c r="AA340" s="994">
        <f t="shared" ca="1" si="90"/>
        <v>2287.025420005722</v>
      </c>
      <c r="AB340" s="1093">
        <f t="shared" ca="1" si="91"/>
        <v>1668.025420005722</v>
      </c>
      <c r="AC340" s="954">
        <f ca="1">IF(A340&gt;$A$1,VLOOKUP(A340,Calculation!$B$8:$JF$880,165,FALSE),VLOOKUP(A340,Calculation!$B$8:$JF$880,165,FALSE))</f>
        <v>180</v>
      </c>
      <c r="AD340" s="418">
        <f t="shared" ca="1" si="85"/>
        <v>-90</v>
      </c>
      <c r="AE340" s="418"/>
      <c r="AF340" s="935">
        <f>Calculation!G343</f>
        <v>2028.1240544587422</v>
      </c>
      <c r="AG340" s="941" t="str">
        <f t="shared" si="86"/>
        <v>Yes</v>
      </c>
      <c r="AH340" s="941" t="str">
        <f t="shared" si="87"/>
        <v>Yes</v>
      </c>
      <c r="AI340" s="963">
        <v>3143.2600000048255</v>
      </c>
      <c r="AJ340" s="964">
        <v>991.2000000031037</v>
      </c>
      <c r="AK340" s="964">
        <v>821.20000000247614</v>
      </c>
      <c r="AN340" s="447"/>
      <c r="AO340" s="430"/>
      <c r="AP340" s="462"/>
      <c r="AQ340" s="461"/>
      <c r="AR340" s="461"/>
      <c r="AS340" s="463"/>
      <c r="AU340" s="453"/>
      <c r="AV340" s="452"/>
      <c r="AW340" s="453"/>
      <c r="AX340" s="452"/>
      <c r="AY340" s="453"/>
      <c r="AZ340" s="452"/>
      <c r="BA340" s="449"/>
    </row>
    <row r="341" spans="1:53" ht="13.5" thickBot="1">
      <c r="A341" s="425">
        <v>41972</v>
      </c>
      <c r="B341" s="954">
        <f t="shared" si="81"/>
        <v>60.16283</v>
      </c>
      <c r="C341" s="954">
        <f>Calculation!AK344</f>
        <v>0</v>
      </c>
      <c r="D341" s="954">
        <f>Calculation!AI344</f>
        <v>0</v>
      </c>
      <c r="E341" s="954">
        <f>Calculation!AE344</f>
        <v>30.475899999999996</v>
      </c>
      <c r="F341" s="954">
        <f>Calculation!AF344</f>
        <v>29.68693</v>
      </c>
      <c r="G341" s="954">
        <f>Calculation!AG344</f>
        <v>60.843510000002702</v>
      </c>
      <c r="H341" s="955">
        <f>Sheet1!H346</f>
        <v>112</v>
      </c>
      <c r="I341" s="935">
        <f>Sheet1!DA346</f>
        <v>3000</v>
      </c>
      <c r="J341" s="935">
        <f>Sheet1!DB346</f>
        <v>2050</v>
      </c>
      <c r="K341" s="935">
        <f>Sheet1!CZ346</f>
        <v>1970</v>
      </c>
      <c r="L341" s="959">
        <f>Calculation!F344</f>
        <v>250</v>
      </c>
      <c r="M341" s="959">
        <f>Calculation!E344</f>
        <v>250</v>
      </c>
      <c r="N341" s="959">
        <f>Calculation!D344</f>
        <v>300</v>
      </c>
      <c r="O341" s="985">
        <f>Sheet1!DC346</f>
        <v>1076</v>
      </c>
      <c r="P341" s="986">
        <f>Calculation!FD344</f>
        <v>1072.2624999999816</v>
      </c>
      <c r="Q341" s="994">
        <f>Calculation!DP344</f>
        <v>727.00000000261934</v>
      </c>
      <c r="R341" s="985">
        <f t="shared" si="89"/>
        <v>108.00000000261934</v>
      </c>
      <c r="S341" s="987">
        <f t="shared" si="82"/>
        <v>-1560.0000000031105</v>
      </c>
      <c r="T341" s="994">
        <f ca="1">IF(A341&gt;$A$1,#N/A,VLOOKUP(A341,Calculation!$B$8:$JF$503,40,FALSE))</f>
        <v>0</v>
      </c>
      <c r="U341" s="987">
        <f t="shared" si="83"/>
        <v>0</v>
      </c>
      <c r="V341" s="987">
        <f>Calculation!AZ344</f>
        <v>0</v>
      </c>
      <c r="W341" s="994">
        <f t="shared" ca="1" si="80"/>
        <v>-2.5419999992379871E-2</v>
      </c>
      <c r="X341" s="987">
        <f t="shared" ca="1" si="92"/>
        <v>0</v>
      </c>
      <c r="Y341" s="987">
        <v>0</v>
      </c>
      <c r="Z341" s="987">
        <f t="shared" ca="1" si="84"/>
        <v>-2.5419999992379871E-2</v>
      </c>
      <c r="AA341" s="994">
        <f t="shared" ca="1" si="90"/>
        <v>727.02542000261178</v>
      </c>
      <c r="AB341" s="1093">
        <f t="shared" ca="1" si="91"/>
        <v>108.02542000261178</v>
      </c>
      <c r="AC341" s="954">
        <f ca="1">IF(A341&gt;$A$1,VLOOKUP(A341,Calculation!$B$8:$JF$880,165,FALSE),VLOOKUP(A341,Calculation!$B$8:$JF$880,165,FALSE))</f>
        <v>90</v>
      </c>
      <c r="AD341" s="418">
        <f t="shared" ca="1" si="85"/>
        <v>-90</v>
      </c>
      <c r="AE341" s="418"/>
      <c r="AF341" s="935">
        <f>Calculation!G344</f>
        <v>1183.3131618743771</v>
      </c>
      <c r="AG341" s="941" t="str">
        <f t="shared" si="86"/>
        <v>Yes</v>
      </c>
      <c r="AH341" s="941" t="str">
        <f t="shared" si="87"/>
        <v>Yes</v>
      </c>
      <c r="AI341" s="963">
        <v>2462.0400000036743</v>
      </c>
      <c r="AJ341" s="964">
        <v>866.00000000275577</v>
      </c>
      <c r="AK341" s="964">
        <v>765.30000000242603</v>
      </c>
      <c r="AN341" s="447"/>
      <c r="AO341" s="430"/>
      <c r="AP341" s="462"/>
      <c r="AQ341" s="461"/>
      <c r="AR341" s="461"/>
      <c r="AS341" s="463"/>
      <c r="AU341" s="453"/>
      <c r="AV341" s="452"/>
      <c r="AW341" s="453"/>
      <c r="AX341" s="452"/>
      <c r="AY341" s="453"/>
      <c r="AZ341" s="452"/>
      <c r="BA341" s="449"/>
    </row>
    <row r="342" spans="1:53" ht="13.5" thickBot="1">
      <c r="A342" s="425">
        <v>41973</v>
      </c>
      <c r="B342" s="954">
        <f t="shared" si="81"/>
        <v>60.193770000000001</v>
      </c>
      <c r="C342" s="954">
        <f>Calculation!AK345</f>
        <v>0</v>
      </c>
      <c r="D342" s="954">
        <f>Calculation!AI345</f>
        <v>0</v>
      </c>
      <c r="E342" s="954">
        <f>Calculation!AE345</f>
        <v>30.630600000000001</v>
      </c>
      <c r="F342" s="954">
        <f>Calculation!AF345</f>
        <v>29.56317</v>
      </c>
      <c r="G342" s="954">
        <f>Calculation!AG345</f>
        <v>60.750690000000674</v>
      </c>
      <c r="H342" s="955">
        <f>Sheet1!H347</f>
        <v>17.28</v>
      </c>
      <c r="I342" s="935">
        <f>Sheet1!DA347</f>
        <v>2650</v>
      </c>
      <c r="J342" s="935">
        <f>Sheet1!DB347</f>
        <v>1960</v>
      </c>
      <c r="K342" s="935">
        <f>Sheet1!CZ347</f>
        <v>1880</v>
      </c>
      <c r="L342" s="959">
        <f>Calculation!F345</f>
        <v>250</v>
      </c>
      <c r="M342" s="959">
        <f>Calculation!E345</f>
        <v>250</v>
      </c>
      <c r="N342" s="959">
        <f>Calculation!D345</f>
        <v>300</v>
      </c>
      <c r="O342" s="985">
        <f>Sheet1!DC347</f>
        <v>1077.49</v>
      </c>
      <c r="P342" s="986">
        <f>Calculation!FD345</f>
        <v>1070.9999999999827</v>
      </c>
      <c r="Q342" s="994">
        <f>Calculation!DP345</f>
        <v>900.80000000278301</v>
      </c>
      <c r="R342" s="985">
        <f t="shared" si="89"/>
        <v>281.80000000278301</v>
      </c>
      <c r="S342" s="987">
        <f t="shared" si="82"/>
        <v>173.80000000016366</v>
      </c>
      <c r="T342" s="994">
        <f ca="1">IF(A342&gt;$A$1,#N/A,VLOOKUP(A342,Calculation!$B$8:$JF$503,40,FALSE))</f>
        <v>0</v>
      </c>
      <c r="U342" s="987">
        <f t="shared" si="83"/>
        <v>0</v>
      </c>
      <c r="V342" s="987">
        <f>Calculation!AZ345</f>
        <v>0</v>
      </c>
      <c r="W342" s="994">
        <f t="shared" ca="1" si="80"/>
        <v>-2.5419999992379871E-2</v>
      </c>
      <c r="X342" s="987">
        <f t="shared" ca="1" si="92"/>
        <v>0</v>
      </c>
      <c r="Y342" s="987">
        <v>0</v>
      </c>
      <c r="Z342" s="987">
        <f t="shared" ca="1" si="84"/>
        <v>-2.5419999992379871E-2</v>
      </c>
      <c r="AA342" s="994">
        <f t="shared" ca="1" si="90"/>
        <v>900.82542000277545</v>
      </c>
      <c r="AB342" s="1093">
        <f t="shared" ca="1" si="91"/>
        <v>281.82542000277545</v>
      </c>
      <c r="AC342" s="954">
        <f ca="1">IF(A342&gt;$A$1,VLOOKUP(A342,Calculation!$B$8:$JF$880,165,FALSE),VLOOKUP(A342,Calculation!$B$8:$JF$880,165,FALSE))</f>
        <v>0</v>
      </c>
      <c r="AD342" s="418">
        <f t="shared" ca="1" si="85"/>
        <v>-90</v>
      </c>
      <c r="AE342" s="418"/>
      <c r="AF342" s="935">
        <f>Calculation!G345</f>
        <v>1967.6449823500573</v>
      </c>
      <c r="AG342" s="941" t="str">
        <f t="shared" si="86"/>
        <v>Yes</v>
      </c>
      <c r="AH342" s="941" t="str">
        <f t="shared" si="87"/>
        <v>Yes</v>
      </c>
      <c r="AI342" s="963">
        <v>1964.0800000028075</v>
      </c>
      <c r="AJ342" s="964">
        <v>773.00000000245109</v>
      </c>
      <c r="AK342" s="964">
        <v>679.60000000235107</v>
      </c>
      <c r="AN342" s="447"/>
      <c r="AO342" s="430"/>
      <c r="AP342" s="462"/>
      <c r="AQ342" s="461"/>
      <c r="AR342" s="461"/>
      <c r="AS342" s="463"/>
      <c r="AU342" s="453"/>
      <c r="AV342" s="452"/>
      <c r="AW342" s="453"/>
      <c r="AX342" s="452"/>
      <c r="AY342" s="453"/>
      <c r="AZ342" s="452"/>
      <c r="BA342" s="449"/>
    </row>
    <row r="343" spans="1:53" ht="13.5" thickBot="1">
      <c r="A343" s="425">
        <v>41974</v>
      </c>
      <c r="B343" s="954">
        <f t="shared" si="81"/>
        <v>60.023600000000002</v>
      </c>
      <c r="C343" s="954">
        <f>Calculation!AK346</f>
        <v>0</v>
      </c>
      <c r="D343" s="954">
        <f>Calculation!AI346</f>
        <v>0</v>
      </c>
      <c r="E343" s="954">
        <f>Calculation!AE346</f>
        <v>30.630600000000001</v>
      </c>
      <c r="F343" s="954">
        <f>Calculation!AF346</f>
        <v>29.392999999999997</v>
      </c>
      <c r="G343" s="954">
        <f>Calculation!AG346</f>
        <v>61.152909999998194</v>
      </c>
      <c r="H343" s="955">
        <f>Sheet1!H348</f>
        <v>30</v>
      </c>
      <c r="I343" s="935">
        <f>Sheet1!DA348</f>
        <v>2000</v>
      </c>
      <c r="J343" s="935">
        <f>Sheet1!DB348</f>
        <v>1360</v>
      </c>
      <c r="K343" s="935">
        <f>Sheet1!CZ348</f>
        <v>1320</v>
      </c>
      <c r="L343" s="959">
        <f>Calculation!F346</f>
        <v>250</v>
      </c>
      <c r="M343" s="959">
        <f>Calculation!E346</f>
        <v>250</v>
      </c>
      <c r="N343" s="959">
        <f>Calculation!D346</f>
        <v>300</v>
      </c>
      <c r="O343" s="985">
        <f>Sheet1!DC348</f>
        <v>1078.28</v>
      </c>
      <c r="P343" s="986">
        <f>Calculation!FD346</f>
        <v>1069.2199999999843</v>
      </c>
      <c r="Q343" s="994">
        <f>Calculation!DP346</f>
        <v>996.40000000310363</v>
      </c>
      <c r="R343" s="985">
        <f t="shared" si="89"/>
        <v>377.40000000310363</v>
      </c>
      <c r="S343" s="987">
        <f t="shared" si="82"/>
        <v>95.60000000032062</v>
      </c>
      <c r="T343" s="994">
        <f ca="1">IF(A343&gt;$A$1,#N/A,VLOOKUP(A343,Calculation!$B$8:$JF$503,40,FALSE))</f>
        <v>0</v>
      </c>
      <c r="U343" s="987">
        <f t="shared" si="83"/>
        <v>0</v>
      </c>
      <c r="V343" s="987">
        <f>Calculation!AZ346</f>
        <v>0</v>
      </c>
      <c r="W343" s="994" t="e">
        <f t="shared" ca="1" si="80"/>
        <v>#N/A</v>
      </c>
      <c r="X343" s="987" t="e">
        <f t="shared" ca="1" si="92"/>
        <v>#N/A</v>
      </c>
      <c r="Y343" s="987">
        <v>0</v>
      </c>
      <c r="Z343" s="987" t="e">
        <f t="shared" ca="1" si="84"/>
        <v>#N/A</v>
      </c>
      <c r="AA343" s="994" t="e">
        <f t="shared" ca="1" si="90"/>
        <v>#N/A</v>
      </c>
      <c r="AB343" s="1093" t="e">
        <f t="shared" ca="1" si="91"/>
        <v>#N/A</v>
      </c>
      <c r="AC343" s="954" t="e">
        <f ca="1">IF(A343&gt;$A$1,VLOOKUP(A343,Calculation!$B$8:$JF$880,165,FALSE),VLOOKUP(A343,Calculation!$B$8:$JF$880,165,FALSE))</f>
        <v>#N/A</v>
      </c>
      <c r="AD343" s="418" t="e">
        <f t="shared" ca="1" si="85"/>
        <v>#N/A</v>
      </c>
      <c r="AE343" s="418"/>
      <c r="AF343" s="935">
        <f>Calculation!G346</f>
        <v>1368.2097831569947</v>
      </c>
      <c r="AG343" s="941" t="str">
        <f t="shared" si="86"/>
        <v>Yes</v>
      </c>
      <c r="AH343" s="941" t="str">
        <f t="shared" si="87"/>
        <v>Yes</v>
      </c>
      <c r="AI343" s="963">
        <v>1898.5600000027503</v>
      </c>
      <c r="AJ343" s="964">
        <v>743.40000000242605</v>
      </c>
      <c r="AK343" s="964">
        <v>2692.0000000067757</v>
      </c>
      <c r="AN343" s="447"/>
      <c r="AO343" s="430"/>
      <c r="AP343" s="462"/>
      <c r="AQ343" s="461"/>
      <c r="AR343" s="461"/>
      <c r="AS343" s="463"/>
      <c r="AU343" s="453"/>
      <c r="AV343" s="452"/>
      <c r="AW343" s="453"/>
      <c r="AX343" s="452"/>
      <c r="AY343" s="453"/>
      <c r="AZ343" s="452"/>
      <c r="BA343" s="449"/>
    </row>
    <row r="344" spans="1:53" ht="13.5" thickBot="1">
      <c r="A344" s="425">
        <v>41975</v>
      </c>
      <c r="B344" s="954">
        <f t="shared" si="81"/>
        <v>70.079099999999997</v>
      </c>
      <c r="C344" s="954">
        <f>Calculation!AK347</f>
        <v>0</v>
      </c>
      <c r="D344" s="954">
        <f>Calculation!AI347</f>
        <v>0</v>
      </c>
      <c r="E344" s="954">
        <f>Calculation!AE347</f>
        <v>30.630600000000001</v>
      </c>
      <c r="F344" s="954">
        <f>Calculation!AF347</f>
        <v>39.448499999999996</v>
      </c>
      <c r="G344" s="954">
        <f>Calculation!AG347</f>
        <v>12.1594200000009</v>
      </c>
      <c r="H344" s="955">
        <f>Sheet1!H349</f>
        <v>4.92</v>
      </c>
      <c r="I344" s="935">
        <f>Sheet1!DA349</f>
        <v>1860</v>
      </c>
      <c r="J344" s="935">
        <f>Sheet1!DB349</f>
        <v>1300</v>
      </c>
      <c r="K344" s="935">
        <f>Sheet1!CZ349</f>
        <v>1330</v>
      </c>
      <c r="L344" s="959">
        <f>Calculation!F347</f>
        <v>250</v>
      </c>
      <c r="M344" s="959">
        <f>Calculation!E347</f>
        <v>250</v>
      </c>
      <c r="N344" s="959">
        <f>Calculation!D347</f>
        <v>300</v>
      </c>
      <c r="O344" s="985">
        <f>Sheet1!DC349</f>
        <v>1078.53</v>
      </c>
      <c r="P344" s="986">
        <f>Calculation!FD347</f>
        <v>1066.3999999999869</v>
      </c>
      <c r="Q344" s="994">
        <f>Calculation!DP347</f>
        <v>1027.6000000028921</v>
      </c>
      <c r="R344" s="985">
        <f t="shared" si="89"/>
        <v>408.6000000028921</v>
      </c>
      <c r="S344" s="987">
        <f t="shared" si="82"/>
        <v>31.199999999788474</v>
      </c>
      <c r="T344" s="994">
        <f ca="1">IF(A344&gt;$A$1,#N/A,VLOOKUP(A344,Calculation!$B$8:$JF$503,40,FALSE))</f>
        <v>0</v>
      </c>
      <c r="U344" s="987">
        <f t="shared" si="83"/>
        <v>0</v>
      </c>
      <c r="V344" s="987">
        <f>Calculation!AZ347</f>
        <v>0</v>
      </c>
      <c r="W344" s="994" t="e">
        <f t="shared" ca="1" si="80"/>
        <v>#N/A</v>
      </c>
      <c r="X344" s="987" t="e">
        <f t="shared" ca="1" si="92"/>
        <v>#N/A</v>
      </c>
      <c r="Y344" s="987">
        <v>0</v>
      </c>
      <c r="Z344" s="987" t="e">
        <f t="shared" ca="1" si="84"/>
        <v>#N/A</v>
      </c>
      <c r="AA344" s="994" t="e">
        <f t="shared" ca="1" si="90"/>
        <v>#N/A</v>
      </c>
      <c r="AB344" s="1093" t="e">
        <f t="shared" ca="1" si="91"/>
        <v>#N/A</v>
      </c>
      <c r="AC344" s="954" t="e">
        <f ca="1">IF(A344&gt;$A$1,VLOOKUP(A344,Calculation!$B$8:$JF$880,165,FALSE),VLOOKUP(A344,Calculation!$B$8:$JF$880,165,FALSE))</f>
        <v>#N/A</v>
      </c>
      <c r="AD344" s="418" t="e">
        <f t="shared" ca="1" si="85"/>
        <v>#N/A</v>
      </c>
      <c r="AE344" s="418"/>
      <c r="AF344" s="935">
        <f>Calculation!G347</f>
        <v>1345.7337367623745</v>
      </c>
      <c r="AG344" s="941" t="str">
        <f t="shared" si="86"/>
        <v>Yes</v>
      </c>
      <c r="AH344" s="941" t="str">
        <f t="shared" si="87"/>
        <v>Yes</v>
      </c>
      <c r="AI344" s="963">
        <v>1972.9000000028364</v>
      </c>
      <c r="AJ344" s="964">
        <v>724.80000000240102</v>
      </c>
      <c r="AK344" s="964">
        <v>4380.6000000098229</v>
      </c>
      <c r="AN344" s="447"/>
      <c r="AO344" s="430"/>
      <c r="AP344" s="462"/>
      <c r="AQ344" s="461"/>
      <c r="AR344" s="461"/>
      <c r="AS344" s="463"/>
      <c r="AU344" s="453"/>
      <c r="AV344" s="452"/>
      <c r="AW344" s="453"/>
      <c r="AX344" s="452"/>
      <c r="AY344" s="453"/>
      <c r="AZ344" s="452"/>
      <c r="BA344" s="449"/>
    </row>
    <row r="345" spans="1:53" ht="13.5" thickBot="1">
      <c r="A345" s="425">
        <v>41976</v>
      </c>
      <c r="B345" s="954">
        <f t="shared" si="81"/>
        <v>79.500329999999991</v>
      </c>
      <c r="C345" s="954">
        <f>Calculation!AK348</f>
        <v>0</v>
      </c>
      <c r="D345" s="954">
        <f>Calculation!AI348</f>
        <v>0</v>
      </c>
      <c r="E345" s="954">
        <f>Calculation!AE348</f>
        <v>30.151029999999995</v>
      </c>
      <c r="F345" s="954">
        <f>Calculation!AF348</f>
        <v>49.349299999999992</v>
      </c>
      <c r="G345" s="954">
        <f>Calculation!AG348</f>
        <v>10.28755000000225</v>
      </c>
      <c r="H345" s="955">
        <f>Sheet1!H350</f>
        <v>5.0599999999999996</v>
      </c>
      <c r="I345" s="935">
        <f>Sheet1!DA350</f>
        <v>1710</v>
      </c>
      <c r="J345" s="935">
        <f>Sheet1!DB350</f>
        <v>1170</v>
      </c>
      <c r="K345" s="935">
        <f>Sheet1!CZ350</f>
        <v>1190</v>
      </c>
      <c r="L345" s="959">
        <f>Calculation!F348</f>
        <v>250</v>
      </c>
      <c r="M345" s="959">
        <f>Calculation!E348</f>
        <v>250</v>
      </c>
      <c r="N345" s="959">
        <f>Calculation!D348</f>
        <v>300</v>
      </c>
      <c r="O345" s="985">
        <f>Sheet1!DC350</f>
        <v>1077.52</v>
      </c>
      <c r="P345" s="986">
        <f>Calculation!FD348</f>
        <v>1049</v>
      </c>
      <c r="Q345" s="994">
        <f>Calculation!DP348</f>
        <v>904.40000000278303</v>
      </c>
      <c r="R345" s="985">
        <f t="shared" si="89"/>
        <v>285.40000000278303</v>
      </c>
      <c r="S345" s="987">
        <f t="shared" si="82"/>
        <v>-123.20000000010907</v>
      </c>
      <c r="T345" s="994">
        <f ca="1">IF(A345&gt;$A$1,#N/A,VLOOKUP(A345,Calculation!$B$8:$JF$503,40,FALSE))</f>
        <v>0</v>
      </c>
      <c r="U345" s="987">
        <f t="shared" si="83"/>
        <v>0</v>
      </c>
      <c r="V345" s="987">
        <f>Calculation!AZ348</f>
        <v>0</v>
      </c>
      <c r="W345" s="994" t="e">
        <f t="shared" ca="1" si="80"/>
        <v>#N/A</v>
      </c>
      <c r="X345" s="987" t="e">
        <f t="shared" ca="1" si="92"/>
        <v>#N/A</v>
      </c>
      <c r="Y345" s="987">
        <v>0</v>
      </c>
      <c r="Z345" s="987" t="e">
        <f t="shared" ca="1" si="84"/>
        <v>#N/A</v>
      </c>
      <c r="AA345" s="994" t="e">
        <f t="shared" ca="1" si="90"/>
        <v>#N/A</v>
      </c>
      <c r="AB345" s="1093" t="e">
        <f t="shared" ca="1" si="91"/>
        <v>#N/A</v>
      </c>
      <c r="AC345" s="954" t="e">
        <f ca="1">IF(A345&gt;$A$1,VLOOKUP(A345,Calculation!$B$8:$JF$880,165,FALSE),VLOOKUP(A345,Calculation!$B$8:$JF$880,165,FALSE))</f>
        <v>#N/A</v>
      </c>
      <c r="AD345" s="418" t="e">
        <f t="shared" ca="1" si="85"/>
        <v>#N/A</v>
      </c>
      <c r="AE345" s="418"/>
      <c r="AF345" s="935">
        <f>Calculation!G348</f>
        <v>1127.8719112455326</v>
      </c>
      <c r="AG345" s="941" t="str">
        <f t="shared" si="86"/>
        <v>Yes</v>
      </c>
      <c r="AH345" s="941" t="str">
        <f t="shared" si="87"/>
        <v>Yes</v>
      </c>
      <c r="AI345" s="963">
        <v>1933.8400000027789</v>
      </c>
      <c r="AJ345" s="964">
        <v>981.20000000286495</v>
      </c>
      <c r="AK345" s="964">
        <v>2394.0000000058117</v>
      </c>
      <c r="AN345" s="447"/>
      <c r="AO345" s="430"/>
      <c r="AP345" s="462"/>
      <c r="AQ345" s="461"/>
      <c r="AR345" s="461"/>
      <c r="AS345" s="463"/>
      <c r="AU345" s="453"/>
      <c r="AV345" s="452"/>
      <c r="AW345" s="453"/>
      <c r="AX345" s="452"/>
      <c r="AY345" s="453"/>
      <c r="AZ345" s="452"/>
      <c r="BA345" s="449"/>
    </row>
    <row r="346" spans="1:53" ht="13.5" thickBot="1">
      <c r="A346" s="425">
        <v>41977</v>
      </c>
      <c r="B346" s="954">
        <f t="shared" si="81"/>
        <v>82.779969999999992</v>
      </c>
      <c r="C346" s="954">
        <f>Calculation!AK349</f>
        <v>0</v>
      </c>
      <c r="D346" s="954">
        <f>Calculation!AI349</f>
        <v>0</v>
      </c>
      <c r="E346" s="954">
        <f>Calculation!AE349</f>
        <v>30.18197</v>
      </c>
      <c r="F346" s="954">
        <f>Calculation!AF349</f>
        <v>52.597999999999999</v>
      </c>
      <c r="G346" s="954">
        <f>Calculation!AG349</f>
        <v>32.502469999997523</v>
      </c>
      <c r="H346" s="955">
        <f>Sheet1!H351</f>
        <v>6.88</v>
      </c>
      <c r="I346" s="935">
        <f>Sheet1!DA351</f>
        <v>1580</v>
      </c>
      <c r="J346" s="935">
        <f>Sheet1!DB351</f>
        <v>1070</v>
      </c>
      <c r="K346" s="935">
        <f>Sheet1!CZ351</f>
        <v>1070</v>
      </c>
      <c r="L346" s="959">
        <f>Calculation!F349</f>
        <v>250</v>
      </c>
      <c r="M346" s="959">
        <f>Calculation!E349</f>
        <v>250</v>
      </c>
      <c r="N346" s="959">
        <f>Calculation!D349</f>
        <v>300</v>
      </c>
      <c r="O346" s="985">
        <f>Sheet1!DC351</f>
        <v>1076.32</v>
      </c>
      <c r="P346" s="986" t="e">
        <f>Calculation!FD349</f>
        <v>#N/A</v>
      </c>
      <c r="Q346" s="994">
        <f>Calculation!DP349</f>
        <v>764.20000000242612</v>
      </c>
      <c r="R346" s="985">
        <f t="shared" si="89"/>
        <v>145.20000000242612</v>
      </c>
      <c r="S346" s="987">
        <f t="shared" si="82"/>
        <v>-140.20000000035691</v>
      </c>
      <c r="T346" s="994">
        <f ca="1">IF(A346&gt;$A$1,#N/A,VLOOKUP(A346,Calculation!$B$8:$JF$503,40,FALSE))</f>
        <v>0</v>
      </c>
      <c r="U346" s="987">
        <f t="shared" si="83"/>
        <v>0</v>
      </c>
      <c r="V346" s="987">
        <f>Calculation!AZ349</f>
        <v>0</v>
      </c>
      <c r="W346" s="994" t="e">
        <f t="shared" ca="1" si="80"/>
        <v>#N/A</v>
      </c>
      <c r="X346" s="987" t="e">
        <f t="shared" ca="1" si="92"/>
        <v>#N/A</v>
      </c>
      <c r="Y346" s="987">
        <v>0</v>
      </c>
      <c r="Z346" s="987" t="e">
        <f t="shared" ca="1" si="84"/>
        <v>#N/A</v>
      </c>
      <c r="AA346" s="994" t="e">
        <f t="shared" ca="1" si="90"/>
        <v>#N/A</v>
      </c>
      <c r="AB346" s="1093" t="e">
        <f t="shared" ca="1" si="91"/>
        <v>#N/A</v>
      </c>
      <c r="AC346" s="954" t="e">
        <f ca="1">IF(A346&gt;$A$1,VLOOKUP(A346,Calculation!$B$8:$JF$880,165,FALSE),VLOOKUP(A346,Calculation!$B$8:$JF$880,165,FALSE))</f>
        <v>#N/A</v>
      </c>
      <c r="AD346" s="418" t="e">
        <f t="shared" ca="1" si="85"/>
        <v>#N/A</v>
      </c>
      <c r="AE346" s="418"/>
      <c r="AF346" s="935">
        <f>Calculation!G349</f>
        <v>999.29904185559417</v>
      </c>
      <c r="AG346" s="941" t="str">
        <f t="shared" si="86"/>
        <v>Yes</v>
      </c>
      <c r="AH346" s="941" t="str">
        <f t="shared" si="87"/>
        <v>Yes</v>
      </c>
      <c r="AI346" s="963">
        <v>1844.6400000026076</v>
      </c>
      <c r="AJ346" s="964">
        <v>1250.0000000035971</v>
      </c>
      <c r="AK346" s="964">
        <v>1089.9000000031924</v>
      </c>
      <c r="AN346" s="447"/>
      <c r="AO346" s="430"/>
      <c r="AP346" s="462"/>
      <c r="AQ346" s="461"/>
      <c r="AR346" s="461"/>
      <c r="AS346" s="463"/>
      <c r="AU346" s="453"/>
      <c r="AV346" s="452"/>
      <c r="AW346" s="453"/>
      <c r="AX346" s="452"/>
      <c r="AY346" s="453"/>
      <c r="AZ346" s="452"/>
      <c r="BA346" s="449"/>
    </row>
    <row r="347" spans="1:53" ht="13.5" thickBot="1">
      <c r="A347" s="425">
        <v>41978</v>
      </c>
      <c r="B347" s="954">
        <f t="shared" si="81"/>
        <v>82.609799999999993</v>
      </c>
      <c r="C347" s="954">
        <f>Calculation!AK350</f>
        <v>0</v>
      </c>
      <c r="D347" s="954">
        <f>Calculation!AI350</f>
        <v>0</v>
      </c>
      <c r="E347" s="954">
        <f>Calculation!AE350</f>
        <v>30.166499999999999</v>
      </c>
      <c r="F347" s="954">
        <f>Calculation!AF350</f>
        <v>52.443299999999994</v>
      </c>
      <c r="G347" s="954">
        <f>Calculation!AG350</f>
        <v>56.310800000002246</v>
      </c>
      <c r="H347" s="955">
        <f>Sheet1!H352</f>
        <v>11.63</v>
      </c>
      <c r="I347" s="935">
        <f>Sheet1!DA352</f>
        <v>1430</v>
      </c>
      <c r="J347" s="935">
        <f>Sheet1!DB352</f>
        <v>885</v>
      </c>
      <c r="K347" s="935">
        <f>Sheet1!CZ352</f>
        <v>861</v>
      </c>
      <c r="L347" s="959">
        <f>Calculation!F350</f>
        <v>250</v>
      </c>
      <c r="M347" s="959">
        <f>Calculation!E350</f>
        <v>250</v>
      </c>
      <c r="N347" s="959">
        <f>Calculation!D350</f>
        <v>300</v>
      </c>
      <c r="O347" s="985">
        <f>Sheet1!DC352</f>
        <v>1076.2</v>
      </c>
      <c r="P347" s="986" t="e">
        <f>Calculation!FD350</f>
        <v>#N/A</v>
      </c>
      <c r="Q347" s="994">
        <f>Calculation!DP350</f>
        <v>750.00000000264663</v>
      </c>
      <c r="R347" s="985">
        <f t="shared" si="89"/>
        <v>131.00000000264663</v>
      </c>
      <c r="S347" s="987">
        <f t="shared" si="82"/>
        <v>-14.199999999779493</v>
      </c>
      <c r="T347" s="994">
        <f ca="1">IF(A347&gt;$A$1,#N/A,VLOOKUP(A347,Calculation!$B$8:$JF$503,40,FALSE))</f>
        <v>0</v>
      </c>
      <c r="U347" s="987">
        <f t="shared" si="83"/>
        <v>0</v>
      </c>
      <c r="V347" s="987">
        <f>Calculation!AZ350</f>
        <v>0</v>
      </c>
      <c r="W347" s="994" t="e">
        <f t="shared" ref="W347" ca="1" si="93">IF(A347&gt;=$A$1,#N/A,W346-X347*1.983)</f>
        <v>#N/A</v>
      </c>
      <c r="X347" s="987" t="e">
        <f t="shared" ca="1" si="92"/>
        <v>#N/A</v>
      </c>
      <c r="Y347" s="987">
        <v>0</v>
      </c>
      <c r="Z347" s="987" t="e">
        <f t="shared" ca="1" si="84"/>
        <v>#N/A</v>
      </c>
      <c r="AA347" s="994" t="e">
        <f t="shared" ca="1" si="90"/>
        <v>#N/A</v>
      </c>
      <c r="AB347" s="1093" t="e">
        <f t="shared" ca="1" si="91"/>
        <v>#N/A</v>
      </c>
      <c r="AC347" s="954" t="e">
        <f ca="1">IF(A347&gt;$A$1,VLOOKUP(A347,Calculation!$B$8:$JF$880,165,FALSE),VLOOKUP(A347,Calculation!$B$8:$JF$880,165,FALSE))</f>
        <v>#N/A</v>
      </c>
      <c r="AD347" s="418" t="e">
        <f t="shared" ca="1" si="85"/>
        <v>#N/A</v>
      </c>
      <c r="AE347" s="418"/>
      <c r="AF347" s="935">
        <f>Calculation!G350</f>
        <v>853.83913262744352</v>
      </c>
      <c r="AG347" s="941" t="str">
        <f t="shared" si="86"/>
        <v>Yes</v>
      </c>
      <c r="AH347" s="941" t="str">
        <f t="shared" si="87"/>
        <v>Yes</v>
      </c>
      <c r="AI347" s="963">
        <v>1856.8400000026354</v>
      </c>
      <c r="AJ347" s="964">
        <v>1787.0000000043656</v>
      </c>
      <c r="AK347" s="964">
        <v>809.40000000270118</v>
      </c>
      <c r="AN347" s="447"/>
      <c r="AO347" s="430"/>
      <c r="AP347" s="462"/>
      <c r="AQ347" s="461"/>
      <c r="AR347" s="461"/>
      <c r="AS347" s="463"/>
      <c r="AU347" s="453"/>
      <c r="AV347" s="452"/>
      <c r="AW347" s="453"/>
      <c r="AX347" s="452"/>
      <c r="AY347" s="453"/>
      <c r="AZ347" s="452"/>
      <c r="BA347" s="449"/>
    </row>
    <row r="348" spans="1:53" ht="13.5" thickBot="1">
      <c r="A348" s="425">
        <v>41979</v>
      </c>
      <c r="B348" s="954">
        <f t="shared" si="81"/>
        <v>74.874799999999993</v>
      </c>
      <c r="C348" s="954">
        <f>Calculation!AK351</f>
        <v>0</v>
      </c>
      <c r="D348" s="954">
        <f>Calculation!AI351</f>
        <v>0</v>
      </c>
      <c r="E348" s="954">
        <f>Calculation!AE351</f>
        <v>22.276799999999998</v>
      </c>
      <c r="F348" s="954">
        <f>Calculation!AF351</f>
        <v>52.597999999999999</v>
      </c>
      <c r="G348" s="954">
        <f>Calculation!AG351</f>
        <v>30.909059999999322</v>
      </c>
      <c r="H348" s="955">
        <f>Sheet1!H353</f>
        <v>6.39</v>
      </c>
      <c r="I348" s="935">
        <f>Sheet1!DA353</f>
        <v>1430</v>
      </c>
      <c r="J348" s="935">
        <f>Sheet1!DB353</f>
        <v>889</v>
      </c>
      <c r="K348" s="935">
        <f>Sheet1!CZ353</f>
        <v>891</v>
      </c>
      <c r="L348" s="959">
        <f>Calculation!F351</f>
        <v>250</v>
      </c>
      <c r="M348" s="959">
        <f>Calculation!E351</f>
        <v>250</v>
      </c>
      <c r="N348" s="959">
        <f>Calculation!D351</f>
        <v>300</v>
      </c>
      <c r="O348" s="985">
        <f>Sheet1!DC353</f>
        <v>1079</v>
      </c>
      <c r="P348" s="986" t="e">
        <f>Calculation!FD351</f>
        <v>#N/A</v>
      </c>
      <c r="Q348" s="994">
        <f>Calculation!DP351</f>
        <v>1086.0000000031923</v>
      </c>
      <c r="R348" s="985">
        <f t="shared" si="89"/>
        <v>467.00000000319233</v>
      </c>
      <c r="S348" s="987">
        <f t="shared" si="82"/>
        <v>336.0000000005457</v>
      </c>
      <c r="T348" s="994">
        <f ca="1">IF(A348&gt;$A$1,#N/A,VLOOKUP(A348,Calculation!$B$8:$JF$503,40,FALSE))</f>
        <v>0</v>
      </c>
      <c r="U348" s="987">
        <f t="shared" si="83"/>
        <v>0</v>
      </c>
      <c r="V348" s="987">
        <f>Calculation!AZ351</f>
        <v>0</v>
      </c>
      <c r="W348" s="994" t="e">
        <f t="shared" ref="W348:W384" ca="1" si="94">IF(A348&gt;=$A$1,#N/A,W347-X348*1.983)</f>
        <v>#N/A</v>
      </c>
      <c r="X348" s="987" t="e">
        <f t="shared" ca="1" si="92"/>
        <v>#N/A</v>
      </c>
      <c r="Y348" s="987">
        <v>0</v>
      </c>
      <c r="Z348" s="987" t="e">
        <f t="shared" ca="1" si="84"/>
        <v>#N/A</v>
      </c>
      <c r="AA348" s="994" t="e">
        <f t="shared" ca="1" si="90"/>
        <v>#N/A</v>
      </c>
      <c r="AB348" s="1093" t="e">
        <f t="shared" ca="1" si="91"/>
        <v>#N/A</v>
      </c>
      <c r="AC348" s="954" t="e">
        <f ca="1">IF(A348&gt;$A$1,VLOOKUP(A348,Calculation!$B$8:$JF$880,165,FALSE),VLOOKUP(A348,Calculation!$B$8:$JF$880,165,FALSE))</f>
        <v>#N/A</v>
      </c>
      <c r="AD348" s="418" t="e">
        <f t="shared" ca="1" si="85"/>
        <v>#N/A</v>
      </c>
      <c r="AE348" s="418"/>
      <c r="AF348" s="935">
        <f>Calculation!G351</f>
        <v>1060.4402420577637</v>
      </c>
      <c r="AG348" s="941" t="str">
        <f t="shared" si="86"/>
        <v>Yes</v>
      </c>
      <c r="AH348" s="941" t="str">
        <f t="shared" si="87"/>
        <v>Yes</v>
      </c>
      <c r="AI348" s="963">
        <v>1865.3800000026351</v>
      </c>
      <c r="AJ348" s="964">
        <v>2149.2000000056069</v>
      </c>
      <c r="AK348" s="964">
        <v>784.00000000267391</v>
      </c>
      <c r="AN348" s="447"/>
      <c r="AO348" s="430"/>
      <c r="AP348" s="462"/>
      <c r="AQ348" s="461"/>
      <c r="AR348" s="461"/>
      <c r="AS348" s="463"/>
      <c r="AU348" s="453"/>
      <c r="AV348" s="452"/>
      <c r="AW348" s="453"/>
      <c r="AX348" s="452"/>
      <c r="AY348" s="453"/>
      <c r="AZ348" s="452"/>
      <c r="BA348" s="449"/>
    </row>
    <row r="349" spans="1:53" ht="13.5" thickBot="1">
      <c r="A349" s="425">
        <v>41980</v>
      </c>
      <c r="B349" s="954">
        <f t="shared" si="81"/>
        <v>65.2834</v>
      </c>
      <c r="C349" s="954">
        <f>Calculation!AK352</f>
        <v>0</v>
      </c>
      <c r="D349" s="954">
        <f>Calculation!AI352</f>
        <v>0</v>
      </c>
      <c r="E349" s="954">
        <f>Calculation!AE352</f>
        <v>11.602499999999999</v>
      </c>
      <c r="F349" s="954">
        <f>Calculation!AF352</f>
        <v>53.680900000000001</v>
      </c>
      <c r="G349" s="954">
        <f>Calculation!AG352</f>
        <v>0</v>
      </c>
      <c r="H349" s="955">
        <f>Sheet1!H354</f>
        <v>3.45</v>
      </c>
      <c r="I349" s="935">
        <f>Sheet1!DA354</f>
        <v>1380</v>
      </c>
      <c r="J349" s="935">
        <f>Sheet1!DB354</f>
        <v>910</v>
      </c>
      <c r="K349" s="935">
        <f>Sheet1!CZ354</f>
        <v>906</v>
      </c>
      <c r="L349" s="959">
        <f>Calculation!F352</f>
        <v>250</v>
      </c>
      <c r="M349" s="959">
        <f>Calculation!E352</f>
        <v>250</v>
      </c>
      <c r="N349" s="959">
        <f>Calculation!D352</f>
        <v>300</v>
      </c>
      <c r="O349" s="985">
        <f>Sheet1!DC354</f>
        <v>1080.7</v>
      </c>
      <c r="P349" s="986" t="e">
        <f>Calculation!FD352</f>
        <v>#N/A</v>
      </c>
      <c r="Q349" s="994">
        <f>Calculation!DP352</f>
        <v>1311.0000000036607</v>
      </c>
      <c r="R349" s="985">
        <f t="shared" si="89"/>
        <v>692.00000000366072</v>
      </c>
      <c r="S349" s="987">
        <f t="shared" si="82"/>
        <v>225.00000000046839</v>
      </c>
      <c r="T349" s="994">
        <f ca="1">IF(A349&gt;$A$1,#N/A,VLOOKUP(A349,Calculation!$B$8:$JF$503,40,FALSE))</f>
        <v>0</v>
      </c>
      <c r="U349" s="987">
        <f t="shared" si="83"/>
        <v>0</v>
      </c>
      <c r="V349" s="987">
        <f>Calculation!AZ352</f>
        <v>0</v>
      </c>
      <c r="W349" s="994" t="e">
        <f t="shared" ca="1" si="94"/>
        <v>#N/A</v>
      </c>
      <c r="X349" s="987" t="e">
        <f t="shared" ca="1" si="92"/>
        <v>#N/A</v>
      </c>
      <c r="Y349" s="987">
        <v>0</v>
      </c>
      <c r="Z349" s="987" t="e">
        <f t="shared" ca="1" si="84"/>
        <v>#N/A</v>
      </c>
      <c r="AA349" s="994" t="e">
        <f t="shared" ca="1" si="90"/>
        <v>#N/A</v>
      </c>
      <c r="AB349" s="1093" t="e">
        <f t="shared" ca="1" si="91"/>
        <v>#N/A</v>
      </c>
      <c r="AC349" s="954" t="e">
        <f ca="1">IF(A349&gt;$A$1,VLOOKUP(A349,Calculation!$B$8:$JF$880,165,FALSE),VLOOKUP(A349,Calculation!$B$8:$JF$880,165,FALSE))</f>
        <v>#N/A</v>
      </c>
      <c r="AD349" s="418" t="e">
        <f t="shared" ca="1" si="85"/>
        <v>#N/A</v>
      </c>
      <c r="AE349" s="418"/>
      <c r="AF349" s="935">
        <f>Calculation!G352</f>
        <v>1019.4644478065902</v>
      </c>
      <c r="AG349" s="941" t="str">
        <f t="shared" si="86"/>
        <v>Yes</v>
      </c>
      <c r="AH349" s="941" t="str">
        <f t="shared" si="87"/>
        <v>Yes</v>
      </c>
      <c r="AI349" s="963">
        <v>1860.5000000026353</v>
      </c>
      <c r="AJ349" s="964">
        <v>1776.4000000046567</v>
      </c>
      <c r="AK349" s="964">
        <v>762.00000000242608</v>
      </c>
      <c r="AN349" s="447"/>
      <c r="AO349" s="430"/>
      <c r="AP349" s="462"/>
      <c r="AQ349" s="461"/>
      <c r="AR349" s="461"/>
      <c r="AS349" s="463"/>
      <c r="AU349" s="453"/>
      <c r="AV349" s="452"/>
      <c r="AW349" s="453"/>
      <c r="AX349" s="452"/>
      <c r="AY349" s="453"/>
      <c r="AZ349" s="452"/>
      <c r="BA349" s="449"/>
    </row>
    <row r="350" spans="1:53" ht="13.5" thickBot="1">
      <c r="A350" s="425">
        <v>41981</v>
      </c>
      <c r="B350" s="954">
        <f t="shared" si="81"/>
        <v>55.692</v>
      </c>
      <c r="C350" s="954">
        <f>Calculation!AK353</f>
        <v>0</v>
      </c>
      <c r="D350" s="954">
        <f>Calculation!AI353</f>
        <v>0</v>
      </c>
      <c r="E350" s="954">
        <f>Calculation!AE353</f>
        <v>0</v>
      </c>
      <c r="F350" s="954">
        <f>Calculation!AF353</f>
        <v>55.692</v>
      </c>
      <c r="G350" s="954">
        <f>Calculation!AG353</f>
        <v>0</v>
      </c>
      <c r="H350" s="955">
        <f>Sheet1!H355</f>
        <v>2.38</v>
      </c>
      <c r="I350" s="935">
        <f>Sheet1!DA355</f>
        <v>1520</v>
      </c>
      <c r="J350" s="935">
        <f>Sheet1!DB355</f>
        <v>1040</v>
      </c>
      <c r="K350" s="935">
        <f>Sheet1!CZ355</f>
        <v>1060</v>
      </c>
      <c r="L350" s="959">
        <f>Calculation!F353</f>
        <v>250</v>
      </c>
      <c r="M350" s="959">
        <f>Calculation!E353</f>
        <v>250</v>
      </c>
      <c r="N350" s="959">
        <f>Calculation!D353</f>
        <v>300</v>
      </c>
      <c r="O350" s="985">
        <f>Sheet1!DC355</f>
        <v>1080.08</v>
      </c>
      <c r="P350" s="986" t="e">
        <f>Calculation!FD353</f>
        <v>#N/A</v>
      </c>
      <c r="Q350" s="994">
        <f>Calculation!DP353</f>
        <v>1227.2000000035653</v>
      </c>
      <c r="R350" s="985">
        <f t="shared" si="89"/>
        <v>608.20000000356526</v>
      </c>
      <c r="S350" s="987">
        <f t="shared" si="82"/>
        <v>-83.800000000095451</v>
      </c>
      <c r="T350" s="994">
        <f ca="1">IF(A350&gt;$A$1,#N/A,VLOOKUP(A350,Calculation!$B$8:$JF$503,40,FALSE))</f>
        <v>0</v>
      </c>
      <c r="U350" s="987">
        <f t="shared" si="83"/>
        <v>0</v>
      </c>
      <c r="V350" s="987">
        <f>Calculation!AZ353</f>
        <v>0</v>
      </c>
      <c r="W350" s="994" t="e">
        <f t="shared" ca="1" si="94"/>
        <v>#N/A</v>
      </c>
      <c r="X350" s="987" t="e">
        <f t="shared" ca="1" si="92"/>
        <v>#N/A</v>
      </c>
      <c r="Y350" s="987">
        <v>0</v>
      </c>
      <c r="Z350" s="987" t="e">
        <f t="shared" ca="1" si="84"/>
        <v>#N/A</v>
      </c>
      <c r="AA350" s="994" t="e">
        <f t="shared" ca="1" si="90"/>
        <v>#N/A</v>
      </c>
      <c r="AB350" s="1093" t="e">
        <f t="shared" ca="1" si="91"/>
        <v>#N/A</v>
      </c>
      <c r="AC350" s="954" t="e">
        <f ca="1">IF(A350&gt;$A$1,VLOOKUP(A350,Calculation!$B$8:$JF$880,165,FALSE),VLOOKUP(A350,Calculation!$B$8:$JF$880,165,FALSE))</f>
        <v>#N/A</v>
      </c>
      <c r="AD350" s="418" t="e">
        <f t="shared" ca="1" si="85"/>
        <v>#N/A</v>
      </c>
      <c r="AE350" s="418"/>
      <c r="AF350" s="935">
        <f>Calculation!G353</f>
        <v>1017.7407967725187</v>
      </c>
      <c r="AG350" s="941" t="str">
        <f t="shared" si="86"/>
        <v>Yes</v>
      </c>
      <c r="AH350" s="941" t="str">
        <f t="shared" si="87"/>
        <v>Yes</v>
      </c>
      <c r="AI350" s="963">
        <v>1817.8000000026075</v>
      </c>
      <c r="AJ350" s="964">
        <v>1931.2000000047658</v>
      </c>
      <c r="AK350" s="964">
        <v>857.60000000275579</v>
      </c>
      <c r="AN350" s="447"/>
      <c r="AO350" s="430"/>
      <c r="AP350" s="462"/>
      <c r="AQ350" s="461"/>
      <c r="AR350" s="461"/>
      <c r="AS350" s="463"/>
      <c r="AU350" s="453"/>
      <c r="AV350" s="452"/>
      <c r="AW350" s="453"/>
      <c r="AX350" s="452"/>
      <c r="AY350" s="453"/>
      <c r="AZ350" s="452"/>
      <c r="BA350" s="449"/>
    </row>
    <row r="351" spans="1:53" ht="13.5" thickBot="1">
      <c r="A351" s="425">
        <v>41982</v>
      </c>
      <c r="B351" s="954">
        <f t="shared" si="81"/>
        <v>55.614650000000005</v>
      </c>
      <c r="C351" s="954">
        <f>Calculation!AK354</f>
        <v>0</v>
      </c>
      <c r="D351" s="954">
        <f>Calculation!AI354</f>
        <v>0</v>
      </c>
      <c r="E351" s="954">
        <f>Calculation!AE354</f>
        <v>0</v>
      </c>
      <c r="F351" s="954">
        <f>Calculation!AF354</f>
        <v>55.614650000000005</v>
      </c>
      <c r="G351" s="954">
        <f>Calculation!AG354</f>
        <v>4.5481799999979735</v>
      </c>
      <c r="H351" s="955">
        <f>Sheet1!H356</f>
        <v>5.4</v>
      </c>
      <c r="I351" s="935">
        <f>Sheet1!DA356</f>
        <v>1580</v>
      </c>
      <c r="J351" s="935">
        <f>Sheet1!DB356</f>
        <v>1040</v>
      </c>
      <c r="K351" s="935">
        <f>Sheet1!CZ356</f>
        <v>1050</v>
      </c>
      <c r="L351" s="959">
        <f>Calculation!F354</f>
        <v>250</v>
      </c>
      <c r="M351" s="959">
        <f>Calculation!E354</f>
        <v>250</v>
      </c>
      <c r="N351" s="959">
        <f>Calculation!D354</f>
        <v>300</v>
      </c>
      <c r="O351" s="985">
        <f>Sheet1!DC356</f>
        <v>1079.2</v>
      </c>
      <c r="P351" s="986" t="e">
        <f>Calculation!FD354</f>
        <v>#N/A</v>
      </c>
      <c r="Q351" s="994">
        <f>Calculation!DP354</f>
        <v>1112.0000000032219</v>
      </c>
      <c r="R351" s="985">
        <f t="shared" si="89"/>
        <v>493.00000000322188</v>
      </c>
      <c r="S351" s="987">
        <f t="shared" si="82"/>
        <v>-115.20000000034338</v>
      </c>
      <c r="T351" s="994">
        <f ca="1">IF(A351&gt;$A$1,#N/A,VLOOKUP(A351,Calculation!$B$8:$JF$503,40,FALSE))</f>
        <v>0</v>
      </c>
      <c r="U351" s="987">
        <f t="shared" si="83"/>
        <v>0</v>
      </c>
      <c r="V351" s="987">
        <f>Calculation!AZ354</f>
        <v>0</v>
      </c>
      <c r="W351" s="994" t="e">
        <f t="shared" ca="1" si="94"/>
        <v>#N/A</v>
      </c>
      <c r="X351" s="987" t="e">
        <f t="shared" ca="1" si="92"/>
        <v>#N/A</v>
      </c>
      <c r="Y351" s="987">
        <v>0</v>
      </c>
      <c r="Z351" s="987" t="e">
        <f t="shared" ca="1" si="84"/>
        <v>#N/A</v>
      </c>
      <c r="AA351" s="994" t="e">
        <f t="shared" ca="1" si="90"/>
        <v>#N/A</v>
      </c>
      <c r="AB351" s="1093" t="e">
        <f t="shared" ca="1" si="91"/>
        <v>#N/A</v>
      </c>
      <c r="AC351" s="954" t="e">
        <f ca="1">IF(A351&gt;$A$1,VLOOKUP(A351,Calculation!$B$8:$JF$880,165,FALSE),VLOOKUP(A351,Calculation!$B$8:$JF$880,165,FALSE))</f>
        <v>#N/A</v>
      </c>
      <c r="AD351" s="418" t="e">
        <f t="shared" ca="1" si="85"/>
        <v>#N/A</v>
      </c>
      <c r="AE351" s="418"/>
      <c r="AF351" s="935">
        <f>Calculation!G354</f>
        <v>991.9062027229736</v>
      </c>
      <c r="AG351" s="941" t="str">
        <f t="shared" si="86"/>
        <v>Yes</v>
      </c>
      <c r="AH351" s="941" t="str">
        <f t="shared" si="87"/>
        <v>Yes</v>
      </c>
      <c r="AI351" s="963">
        <v>1908.6400000027788</v>
      </c>
      <c r="AJ351" s="964">
        <v>1672.5000000042633</v>
      </c>
      <c r="AK351" s="964">
        <v>868.40000000275575</v>
      </c>
      <c r="AN351" s="447"/>
      <c r="AO351" s="430"/>
      <c r="AP351" s="462"/>
      <c r="AQ351" s="461"/>
      <c r="AR351" s="461"/>
      <c r="AS351" s="463"/>
      <c r="AU351" s="453"/>
      <c r="AV351" s="452"/>
      <c r="AW351" s="453"/>
      <c r="AX351" s="452"/>
      <c r="AY351" s="453"/>
      <c r="AZ351" s="452"/>
      <c r="BA351" s="449"/>
    </row>
    <row r="352" spans="1:53" ht="13.5" thickBot="1">
      <c r="A352" s="425">
        <v>41983</v>
      </c>
      <c r="B352" s="954">
        <f t="shared" si="81"/>
        <v>55.738410000000002</v>
      </c>
      <c r="C352" s="954">
        <f>Calculation!AK355</f>
        <v>0</v>
      </c>
      <c r="D352" s="954">
        <f>Calculation!AI355</f>
        <v>0</v>
      </c>
      <c r="E352" s="954">
        <f>Calculation!AE355</f>
        <v>0</v>
      </c>
      <c r="F352" s="954">
        <f>Calculation!AF355</f>
        <v>55.738410000000002</v>
      </c>
      <c r="G352" s="954">
        <f>Calculation!AG355</f>
        <v>0</v>
      </c>
      <c r="H352" s="955">
        <f>Sheet1!H357</f>
        <v>2.89</v>
      </c>
      <c r="I352" s="935">
        <f>Sheet1!DA357</f>
        <v>1760</v>
      </c>
      <c r="J352" s="935">
        <f>Sheet1!DB357</f>
        <v>1110</v>
      </c>
      <c r="K352" s="935">
        <f>Sheet1!CZ357</f>
        <v>1130</v>
      </c>
      <c r="L352" s="959">
        <f>Calculation!F355</f>
        <v>250</v>
      </c>
      <c r="M352" s="959">
        <f>Calculation!E355</f>
        <v>250</v>
      </c>
      <c r="N352" s="959">
        <f>Calculation!D355</f>
        <v>300</v>
      </c>
      <c r="O352" s="985">
        <f>Sheet1!DC357</f>
        <v>1078.75</v>
      </c>
      <c r="P352" s="986" t="e">
        <f>Calculation!FD355</f>
        <v>#N/A</v>
      </c>
      <c r="Q352" s="994">
        <f>Calculation!DP355</f>
        <v>1055.0000000029195</v>
      </c>
      <c r="R352" s="985">
        <f t="shared" si="89"/>
        <v>436.00000000291948</v>
      </c>
      <c r="S352" s="987">
        <f t="shared" si="82"/>
        <v>-57.000000000302407</v>
      </c>
      <c r="T352" s="994">
        <f ca="1">IF(A352&gt;$A$1,#N/A,VLOOKUP(A352,Calculation!$B$8:$JF$503,40,FALSE))</f>
        <v>0</v>
      </c>
      <c r="U352" s="987">
        <f t="shared" si="83"/>
        <v>0</v>
      </c>
      <c r="V352" s="987">
        <f>Calculation!AZ355</f>
        <v>0</v>
      </c>
      <c r="W352" s="994" t="e">
        <f t="shared" ca="1" si="94"/>
        <v>#N/A</v>
      </c>
      <c r="X352" s="987" t="e">
        <f t="shared" ca="1" si="92"/>
        <v>#N/A</v>
      </c>
      <c r="Y352" s="987">
        <v>0</v>
      </c>
      <c r="Z352" s="987" t="e">
        <f t="shared" ca="1" si="84"/>
        <v>#N/A</v>
      </c>
      <c r="AA352" s="994" t="e">
        <f t="shared" ca="1" si="90"/>
        <v>#N/A</v>
      </c>
      <c r="AB352" s="1093" t="e">
        <f t="shared" ca="1" si="91"/>
        <v>#N/A</v>
      </c>
      <c r="AC352" s="954" t="e">
        <f ca="1">IF(A352&gt;$A$1,VLOOKUP(A352,Calculation!$B$8:$JF$880,165,FALSE),VLOOKUP(A352,Calculation!$B$8:$JF$880,165,FALSE))</f>
        <v>#N/A</v>
      </c>
      <c r="AD352" s="418" t="e">
        <f t="shared" ca="1" si="85"/>
        <v>#N/A</v>
      </c>
      <c r="AE352" s="418"/>
      <c r="AF352" s="935">
        <f>Calculation!G355</f>
        <v>1101.2556732222379</v>
      </c>
      <c r="AG352" s="941" t="str">
        <f t="shared" si="86"/>
        <v>Yes</v>
      </c>
      <c r="AH352" s="941" t="str">
        <f t="shared" si="87"/>
        <v>Yes</v>
      </c>
      <c r="AI352" s="963">
        <v>2010.700000002865</v>
      </c>
      <c r="AJ352" s="964">
        <v>926.00000000257614</v>
      </c>
      <c r="AK352" s="964">
        <v>677.40000000235102</v>
      </c>
      <c r="AN352" s="447"/>
      <c r="AO352" s="430"/>
      <c r="AP352" s="462"/>
      <c r="AQ352" s="461"/>
      <c r="AR352" s="461"/>
      <c r="AS352" s="463"/>
      <c r="AU352" s="453"/>
      <c r="AV352" s="452"/>
      <c r="AW352" s="453"/>
      <c r="AX352" s="452"/>
      <c r="AY352" s="453"/>
      <c r="AZ352" s="452"/>
      <c r="BA352" s="449"/>
    </row>
    <row r="353" spans="1:53" ht="13.5" thickBot="1">
      <c r="A353" s="425">
        <v>41984</v>
      </c>
      <c r="B353" s="954">
        <f t="shared" si="81"/>
        <v>71.517809999999997</v>
      </c>
      <c r="C353" s="954">
        <f>Calculation!AK356</f>
        <v>0</v>
      </c>
      <c r="D353" s="954">
        <f>Calculation!AI356</f>
        <v>0</v>
      </c>
      <c r="E353" s="954">
        <f>Calculation!AE356</f>
        <v>16.707599999999999</v>
      </c>
      <c r="F353" s="954">
        <f>Calculation!AF356</f>
        <v>54.810209999999998</v>
      </c>
      <c r="G353" s="954">
        <f>Calculation!AG356</f>
        <v>4.0376700000009</v>
      </c>
      <c r="H353" s="955">
        <f>Sheet1!H358</f>
        <v>3.45</v>
      </c>
      <c r="I353" s="935">
        <f>Sheet1!DA358</f>
        <v>1720</v>
      </c>
      <c r="J353" s="935">
        <f>Sheet1!DB358</f>
        <v>1070</v>
      </c>
      <c r="K353" s="935">
        <f>Sheet1!CZ358</f>
        <v>1120</v>
      </c>
      <c r="L353" s="959">
        <f>Calculation!F356</f>
        <v>250</v>
      </c>
      <c r="M353" s="959">
        <f>Calculation!E356</f>
        <v>250</v>
      </c>
      <c r="N353" s="959">
        <f>Calculation!D356</f>
        <v>300</v>
      </c>
      <c r="O353" s="985">
        <f>Sheet1!DC358</f>
        <v>1078.04</v>
      </c>
      <c r="P353" s="986" t="e">
        <f>Calculation!FD356</f>
        <v>#N/A</v>
      </c>
      <c r="Q353" s="994">
        <f>Calculation!DP356</f>
        <v>966.20000000307414</v>
      </c>
      <c r="R353" s="985">
        <f t="shared" si="89"/>
        <v>347.20000000307414</v>
      </c>
      <c r="S353" s="987">
        <f t="shared" si="82"/>
        <v>-88.79999999984534</v>
      </c>
      <c r="T353" s="994">
        <f ca="1">IF(A353&gt;$A$1,#N/A,VLOOKUP(A353,Calculation!$B$8:$JF$503,40,FALSE))</f>
        <v>0</v>
      </c>
      <c r="U353" s="987">
        <f t="shared" si="83"/>
        <v>0</v>
      </c>
      <c r="V353" s="987">
        <f>Calculation!AZ356</f>
        <v>0</v>
      </c>
      <c r="W353" s="994" t="e">
        <f t="shared" ca="1" si="94"/>
        <v>#N/A</v>
      </c>
      <c r="X353" s="987" t="e">
        <f t="shared" ca="1" si="92"/>
        <v>#N/A</v>
      </c>
      <c r="Y353" s="987">
        <v>0</v>
      </c>
      <c r="Z353" s="987" t="e">
        <f t="shared" ca="1" si="84"/>
        <v>#N/A</v>
      </c>
      <c r="AA353" s="994" t="e">
        <f t="shared" ca="1" si="90"/>
        <v>#N/A</v>
      </c>
      <c r="AB353" s="1093" t="e">
        <f t="shared" ca="1" si="91"/>
        <v>#N/A</v>
      </c>
      <c r="AC353" s="954" t="e">
        <f ca="1">IF(A353&gt;$A$1,VLOOKUP(A353,Calculation!$B$8:$JF$880,165,FALSE),VLOOKUP(A353,Calculation!$B$8:$JF$880,165,FALSE))</f>
        <v>#N/A</v>
      </c>
      <c r="AD353" s="418" t="e">
        <f t="shared" ca="1" si="85"/>
        <v>#N/A</v>
      </c>
      <c r="AE353" s="418"/>
      <c r="AF353" s="935">
        <f>Calculation!G356</f>
        <v>1075.2193645991704</v>
      </c>
      <c r="AG353" s="941" t="str">
        <f t="shared" si="86"/>
        <v>Yes</v>
      </c>
      <c r="AH353" s="941" t="str">
        <f t="shared" si="87"/>
        <v>Yes</v>
      </c>
      <c r="AI353" s="963">
        <v>1940.1400000028077</v>
      </c>
      <c r="AJ353" s="964">
        <v>734.20000000261939</v>
      </c>
      <c r="AK353" s="964">
        <v>668.60000000235107</v>
      </c>
      <c r="AN353" s="447"/>
      <c r="AO353" s="430"/>
      <c r="AP353" s="462"/>
      <c r="AQ353" s="461"/>
      <c r="AR353" s="461"/>
      <c r="AS353" s="463"/>
      <c r="AU353" s="453"/>
      <c r="AV353" s="452"/>
      <c r="AW353" s="453"/>
      <c r="AX353" s="452"/>
      <c r="AY353" s="453"/>
      <c r="AZ353" s="452"/>
      <c r="BA353" s="449"/>
    </row>
    <row r="354" spans="1:53" ht="13.5" thickBot="1">
      <c r="A354" s="425">
        <v>41985</v>
      </c>
      <c r="B354" s="954">
        <f t="shared" si="81"/>
        <v>87.869599999999991</v>
      </c>
      <c r="C354" s="954">
        <f>Calculation!AK357</f>
        <v>0</v>
      </c>
      <c r="D354" s="954">
        <f>Calculation!AI357</f>
        <v>0</v>
      </c>
      <c r="E354" s="954">
        <f>Calculation!AE357</f>
        <v>37.128</v>
      </c>
      <c r="F354" s="954">
        <f>Calculation!AF357</f>
        <v>50.741599999999991</v>
      </c>
      <c r="G354" s="954">
        <f>Calculation!AG357</f>
        <v>0</v>
      </c>
      <c r="H354" s="955">
        <f>Sheet1!H359</f>
        <v>2.37</v>
      </c>
      <c r="I354" s="935">
        <f>Sheet1!DA359</f>
        <v>1400</v>
      </c>
      <c r="J354" s="935">
        <f>Sheet1!DB359</f>
        <v>844</v>
      </c>
      <c r="K354" s="935">
        <f>Sheet1!CZ359</f>
        <v>861</v>
      </c>
      <c r="L354" s="959">
        <f>Calculation!F357</f>
        <v>250</v>
      </c>
      <c r="M354" s="959">
        <f>Calculation!E357</f>
        <v>250</v>
      </c>
      <c r="N354" s="959">
        <f>Calculation!D357</f>
        <v>300</v>
      </c>
      <c r="O354" s="985">
        <f>Sheet1!DC359</f>
        <v>1079.3</v>
      </c>
      <c r="P354" s="986" t="e">
        <f>Calculation!FD357</f>
        <v>#N/A</v>
      </c>
      <c r="Q354" s="994">
        <f>Calculation!DP357</f>
        <v>1125.0000000032219</v>
      </c>
      <c r="R354" s="985">
        <f t="shared" si="89"/>
        <v>506.00000000322188</v>
      </c>
      <c r="S354" s="987">
        <f t="shared" si="82"/>
        <v>158.80000000014775</v>
      </c>
      <c r="T354" s="994">
        <f ca="1">IF(A354&gt;$A$1,#N/A,VLOOKUP(A354,Calculation!$B$8:$JF$503,40,FALSE))</f>
        <v>0</v>
      </c>
      <c r="U354" s="987">
        <f t="shared" si="83"/>
        <v>0</v>
      </c>
      <c r="V354" s="987">
        <f>Calculation!AZ357</f>
        <v>0</v>
      </c>
      <c r="W354" s="994" t="e">
        <f t="shared" ca="1" si="94"/>
        <v>#N/A</v>
      </c>
      <c r="X354" s="987" t="e">
        <f t="shared" ca="1" si="92"/>
        <v>#N/A</v>
      </c>
      <c r="Y354" s="987">
        <v>0</v>
      </c>
      <c r="Z354" s="987" t="e">
        <f t="shared" ca="1" si="84"/>
        <v>#N/A</v>
      </c>
      <c r="AA354" s="994" t="e">
        <f t="shared" ca="1" si="90"/>
        <v>#N/A</v>
      </c>
      <c r="AB354" s="1093" t="e">
        <f t="shared" ca="1" si="91"/>
        <v>#N/A</v>
      </c>
      <c r="AC354" s="954" t="e">
        <f ca="1">IF(A354&gt;$A$1,VLOOKUP(A354,Calculation!$B$8:$JF$880,165,FALSE),VLOOKUP(A354,Calculation!$B$8:$JF$880,165,FALSE))</f>
        <v>#N/A</v>
      </c>
      <c r="AD354" s="418" t="e">
        <f t="shared" ca="1" si="85"/>
        <v>#N/A</v>
      </c>
      <c r="AE354" s="418"/>
      <c r="AF354" s="935">
        <f>Calculation!G357</f>
        <v>941.08068582962574</v>
      </c>
      <c r="AG354" s="941" t="str">
        <f t="shared" si="86"/>
        <v>Yes</v>
      </c>
      <c r="AH354" s="941" t="str">
        <f t="shared" si="87"/>
        <v>Yes</v>
      </c>
      <c r="AI354" s="963">
        <v>1825.1200000026074</v>
      </c>
      <c r="AJ354" s="964">
        <v>810.60000000270122</v>
      </c>
      <c r="AK354" s="964">
        <v>699.40000000237603</v>
      </c>
      <c r="AN354" s="447"/>
      <c r="AO354" s="430"/>
      <c r="AP354" s="462"/>
      <c r="AQ354" s="461"/>
      <c r="AR354" s="461"/>
      <c r="AS354" s="463"/>
      <c r="AU354" s="453"/>
      <c r="AV354" s="452"/>
      <c r="AW354" s="453"/>
      <c r="AX354" s="452"/>
      <c r="AY354" s="453"/>
      <c r="AZ354" s="452"/>
      <c r="BA354" s="449"/>
    </row>
    <row r="355" spans="1:53" ht="13.5" thickBot="1">
      <c r="A355" s="425">
        <v>41986</v>
      </c>
      <c r="B355" s="954">
        <f t="shared" si="81"/>
        <v>79.670500000000004</v>
      </c>
      <c r="C355" s="954">
        <f>Calculation!AK358</f>
        <v>0</v>
      </c>
      <c r="D355" s="954">
        <f>Calculation!AI358</f>
        <v>0</v>
      </c>
      <c r="E355" s="954">
        <f>Calculation!AE358</f>
        <v>37.282699999999998</v>
      </c>
      <c r="F355" s="954">
        <f>Calculation!AF358</f>
        <v>42.387799999999999</v>
      </c>
      <c r="G355" s="954">
        <f>Calculation!AG358</f>
        <v>4.0686100000015752</v>
      </c>
      <c r="H355" s="955">
        <f>Sheet1!H360</f>
        <v>1.57</v>
      </c>
      <c r="I355" s="935">
        <f>Sheet1!DA360</f>
        <v>1380</v>
      </c>
      <c r="J355" s="935">
        <f>Sheet1!DB360</f>
        <v>868</v>
      </c>
      <c r="K355" s="935">
        <f>Sheet1!CZ360</f>
        <v>886</v>
      </c>
      <c r="L355" s="959">
        <f>Calculation!F358</f>
        <v>250</v>
      </c>
      <c r="M355" s="959">
        <f>Calculation!E358</f>
        <v>250</v>
      </c>
      <c r="N355" s="959">
        <f>Calculation!D358</f>
        <v>300</v>
      </c>
      <c r="O355" s="985">
        <f>Sheet1!DC360</f>
        <v>1081.8</v>
      </c>
      <c r="P355" s="986" t="e">
        <f>Calculation!FD358</f>
        <v>#N/A</v>
      </c>
      <c r="Q355" s="994">
        <f>Calculation!DP358</f>
        <v>1465.000000003788</v>
      </c>
      <c r="R355" s="985">
        <f t="shared" si="89"/>
        <v>846.00000000378805</v>
      </c>
      <c r="S355" s="987">
        <f t="shared" si="82"/>
        <v>340.00000000056616</v>
      </c>
      <c r="T355" s="994">
        <f ca="1">IF(A355&gt;$A$1,#N/A,VLOOKUP(A355,Calculation!$B$8:$JF$503,40,FALSE))</f>
        <v>0</v>
      </c>
      <c r="U355" s="987">
        <f t="shared" si="83"/>
        <v>0</v>
      </c>
      <c r="V355" s="987">
        <f>Calculation!AZ358</f>
        <v>0</v>
      </c>
      <c r="W355" s="994" t="e">
        <f t="shared" ca="1" si="94"/>
        <v>#N/A</v>
      </c>
      <c r="X355" s="987" t="e">
        <f t="shared" ca="1" si="92"/>
        <v>#N/A</v>
      </c>
      <c r="Y355" s="987">
        <v>0</v>
      </c>
      <c r="Z355" s="987" t="e">
        <f t="shared" ca="1" si="84"/>
        <v>#N/A</v>
      </c>
      <c r="AA355" s="994" t="e">
        <f t="shared" ca="1" si="90"/>
        <v>#N/A</v>
      </c>
      <c r="AB355" s="1093" t="e">
        <f t="shared" ca="1" si="91"/>
        <v>#N/A</v>
      </c>
      <c r="AC355" s="954" t="e">
        <f ca="1">IF(A355&gt;$A$1,VLOOKUP(A355,Calculation!$B$8:$JF$880,165,FALSE),VLOOKUP(A355,Calculation!$B$8:$JF$880,165,FALSE))</f>
        <v>#N/A</v>
      </c>
      <c r="AD355" s="418" t="e">
        <f t="shared" ca="1" si="85"/>
        <v>#N/A</v>
      </c>
      <c r="AE355" s="418"/>
      <c r="AF355" s="935">
        <f>Calculation!G358</f>
        <v>1057.4573877965538</v>
      </c>
      <c r="AG355" s="941" t="str">
        <f t="shared" si="86"/>
        <v>Yes</v>
      </c>
      <c r="AH355" s="941" t="str">
        <f t="shared" si="87"/>
        <v>Yes</v>
      </c>
      <c r="AI355" s="963">
        <v>1792.1800000025798</v>
      </c>
      <c r="AJ355" s="964">
        <v>931.50000000257614</v>
      </c>
      <c r="AK355" s="964">
        <v>807.0000000027012</v>
      </c>
      <c r="AN355" s="447"/>
      <c r="AO355" s="430"/>
      <c r="AP355" s="462"/>
      <c r="AQ355" s="461"/>
      <c r="AR355" s="461"/>
      <c r="AS355" s="463"/>
      <c r="AU355" s="453"/>
      <c r="AV355" s="452"/>
      <c r="AW355" s="453"/>
      <c r="AX355" s="452"/>
      <c r="AY355" s="453"/>
      <c r="AZ355" s="452"/>
      <c r="BA355" s="449"/>
    </row>
    <row r="356" spans="1:53" ht="13.5" thickBot="1">
      <c r="A356" s="425">
        <v>41987</v>
      </c>
      <c r="B356" s="954">
        <f t="shared" si="81"/>
        <v>77.504699999999985</v>
      </c>
      <c r="C356" s="954">
        <f>Calculation!AK359</f>
        <v>0</v>
      </c>
      <c r="D356" s="954">
        <f>Calculation!AI359</f>
        <v>0</v>
      </c>
      <c r="E356" s="954">
        <f>Calculation!AE359</f>
        <v>37.437399999999997</v>
      </c>
      <c r="F356" s="954">
        <f>Calculation!AF359</f>
        <v>40.067299999999996</v>
      </c>
      <c r="G356" s="954">
        <f>Calculation!AG359</f>
        <v>3.0785299999968481</v>
      </c>
      <c r="H356" s="955">
        <f>Sheet1!H361</f>
        <v>2.1800000000000002</v>
      </c>
      <c r="I356" s="935">
        <f>Sheet1!DA361</f>
        <v>1340</v>
      </c>
      <c r="J356" s="935">
        <f>Sheet1!DB361</f>
        <v>872</v>
      </c>
      <c r="K356" s="935">
        <f>Sheet1!CZ361</f>
        <v>891</v>
      </c>
      <c r="L356" s="959">
        <f>Calculation!F359</f>
        <v>250</v>
      </c>
      <c r="M356" s="959">
        <f>Calculation!E359</f>
        <v>250</v>
      </c>
      <c r="N356" s="959">
        <f>Calculation!D359</f>
        <v>300</v>
      </c>
      <c r="O356" s="985">
        <f>Sheet1!DC361</f>
        <v>1082.9100000000001</v>
      </c>
      <c r="P356" s="986" t="e">
        <f>Calculation!FD359</f>
        <v>#N/A</v>
      </c>
      <c r="Q356" s="994">
        <f>Calculation!DP359</f>
        <v>1626.5000000042292</v>
      </c>
      <c r="R356" s="985">
        <f t="shared" si="89"/>
        <v>1007.5000000042292</v>
      </c>
      <c r="S356" s="987">
        <f t="shared" si="82"/>
        <v>161.5000000004411</v>
      </c>
      <c r="T356" s="994">
        <f ca="1">IF(A356&gt;$A$1,#N/A,VLOOKUP(A356,Calculation!$B$8:$JF$503,40,FALSE))</f>
        <v>0</v>
      </c>
      <c r="U356" s="987">
        <f t="shared" si="83"/>
        <v>0</v>
      </c>
      <c r="V356" s="987">
        <f>Calculation!AZ359</f>
        <v>0</v>
      </c>
      <c r="W356" s="994" t="e">
        <f t="shared" ca="1" si="94"/>
        <v>#N/A</v>
      </c>
      <c r="X356" s="987" t="e">
        <f t="shared" ca="1" si="92"/>
        <v>#N/A</v>
      </c>
      <c r="Y356" s="987">
        <v>0</v>
      </c>
      <c r="Z356" s="987" t="e">
        <f t="shared" ca="1" si="84"/>
        <v>#N/A</v>
      </c>
      <c r="AA356" s="994" t="e">
        <f t="shared" ca="1" si="90"/>
        <v>#N/A</v>
      </c>
      <c r="AB356" s="1093" t="e">
        <f t="shared" ca="1" si="91"/>
        <v>#N/A</v>
      </c>
      <c r="AC356" s="954" t="e">
        <f ca="1">IF(A356&gt;$A$1,VLOOKUP(A356,Calculation!$B$8:$JF$880,165,FALSE),VLOOKUP(A356,Calculation!$B$8:$JF$880,165,FALSE))</f>
        <v>#N/A</v>
      </c>
      <c r="AD356" s="418" t="e">
        <f t="shared" ca="1" si="85"/>
        <v>#N/A</v>
      </c>
      <c r="AE356" s="418"/>
      <c r="AF356" s="935">
        <f>Calculation!G359</f>
        <v>972.44225920344991</v>
      </c>
      <c r="AG356" s="941" t="str">
        <f t="shared" si="86"/>
        <v>Yes</v>
      </c>
      <c r="AH356" s="941" t="str">
        <f t="shared" si="87"/>
        <v>Yes</v>
      </c>
      <c r="AI356" s="963">
        <v>1794.6200000025799</v>
      </c>
      <c r="AJ356" s="964">
        <v>866.00000000275577</v>
      </c>
      <c r="AK356" s="964">
        <v>784.00000000267391</v>
      </c>
      <c r="AN356" s="447"/>
      <c r="AO356" s="430"/>
      <c r="AP356" s="462"/>
      <c r="AQ356" s="461"/>
      <c r="AR356" s="461"/>
      <c r="AS356" s="463"/>
      <c r="AU356" s="453"/>
      <c r="AV356" s="452"/>
      <c r="AW356" s="453"/>
      <c r="AX356" s="452"/>
      <c r="AY356" s="453"/>
      <c r="AZ356" s="452"/>
      <c r="BA356" s="449"/>
    </row>
    <row r="357" spans="1:53" ht="13.5" thickBot="1">
      <c r="A357" s="425">
        <v>41988</v>
      </c>
      <c r="B357" s="954">
        <f t="shared" si="81"/>
        <v>77.396409999999989</v>
      </c>
      <c r="C357" s="954">
        <f>Calculation!AK360</f>
        <v>0</v>
      </c>
      <c r="D357" s="954">
        <f>Calculation!AI360</f>
        <v>0</v>
      </c>
      <c r="E357" s="954">
        <f>Calculation!AE360</f>
        <v>33.879299999999994</v>
      </c>
      <c r="F357" s="954">
        <f>Calculation!AF360</f>
        <v>43.517109999999995</v>
      </c>
      <c r="G357" s="954">
        <f>Calculation!AG360</f>
        <v>3.0940000000675354E-2</v>
      </c>
      <c r="H357" s="955">
        <f>Sheet1!H362</f>
        <v>2.4700000000000002</v>
      </c>
      <c r="I357" s="935">
        <f>Sheet1!DA362</f>
        <v>1355</v>
      </c>
      <c r="J357" s="935">
        <f>Sheet1!DB362</f>
        <v>945</v>
      </c>
      <c r="K357" s="935">
        <f>Sheet1!CZ362</f>
        <v>1000</v>
      </c>
      <c r="L357" s="959">
        <f>Calculation!F360</f>
        <v>250</v>
      </c>
      <c r="M357" s="959">
        <f>Calculation!E360</f>
        <v>250</v>
      </c>
      <c r="N357" s="959">
        <f>Calculation!D360</f>
        <v>300</v>
      </c>
      <c r="O357" s="985">
        <f>Sheet1!DC362</f>
        <v>1082.0999999999999</v>
      </c>
      <c r="P357" s="986" t="e">
        <f>Calculation!FD360</f>
        <v>#N/A</v>
      </c>
      <c r="Q357" s="994">
        <f>Calculation!DP360</f>
        <v>1508.0000000040927</v>
      </c>
      <c r="R357" s="985">
        <f t="shared" si="89"/>
        <v>889.00000000409273</v>
      </c>
      <c r="S357" s="987">
        <f t="shared" si="82"/>
        <v>-118.50000000013642</v>
      </c>
      <c r="T357" s="994">
        <f ca="1">IF(A357&gt;$A$1,#N/A,VLOOKUP(A357,Calculation!$B$8:$JF$503,40,FALSE))</f>
        <v>0</v>
      </c>
      <c r="U357" s="987">
        <f t="shared" si="83"/>
        <v>0</v>
      </c>
      <c r="V357" s="987">
        <f>Calculation!AZ360</f>
        <v>0</v>
      </c>
      <c r="W357" s="994" t="e">
        <f t="shared" ca="1" si="94"/>
        <v>#N/A</v>
      </c>
      <c r="X357" s="987" t="e">
        <f t="shared" ca="1" si="92"/>
        <v>#N/A</v>
      </c>
      <c r="Y357" s="987">
        <v>0</v>
      </c>
      <c r="Z357" s="987" t="e">
        <f t="shared" ca="1" si="84"/>
        <v>#N/A</v>
      </c>
      <c r="AA357" s="994" t="e">
        <f t="shared" ca="1" si="90"/>
        <v>#N/A</v>
      </c>
      <c r="AB357" s="1093" t="e">
        <f t="shared" ca="1" si="91"/>
        <v>#N/A</v>
      </c>
      <c r="AC357" s="954" t="e">
        <f ca="1">IF(A357&gt;$A$1,VLOOKUP(A357,Calculation!$B$8:$JF$880,165,FALSE),VLOOKUP(A357,Calculation!$B$8:$JF$880,165,FALSE))</f>
        <v>#N/A</v>
      </c>
      <c r="AD357" s="418" t="e">
        <f t="shared" ca="1" si="85"/>
        <v>#N/A</v>
      </c>
      <c r="AE357" s="418"/>
      <c r="AF357" s="935">
        <f>Calculation!G360</f>
        <v>940.24205748858481</v>
      </c>
      <c r="AG357" s="941" t="str">
        <f t="shared" si="86"/>
        <v>Yes</v>
      </c>
      <c r="AH357" s="941" t="str">
        <f t="shared" si="87"/>
        <v>Yes</v>
      </c>
      <c r="AI357" s="963">
        <v>1795.8400000025799</v>
      </c>
      <c r="AJ357" s="964">
        <v>974.00000000283762</v>
      </c>
      <c r="AK357" s="964">
        <v>760.80000000264658</v>
      </c>
      <c r="AN357" s="447"/>
      <c r="AO357" s="430"/>
      <c r="AP357" s="462"/>
      <c r="AQ357" s="461"/>
      <c r="AR357" s="461"/>
      <c r="AS357" s="463"/>
      <c r="AU357" s="453"/>
      <c r="AV357" s="452"/>
      <c r="AW357" s="453"/>
      <c r="AX357" s="452"/>
      <c r="AY357" s="453"/>
      <c r="AZ357" s="452"/>
      <c r="BA357" s="449"/>
    </row>
    <row r="358" spans="1:53" ht="13.5" thickBot="1">
      <c r="A358" s="425">
        <v>41989</v>
      </c>
      <c r="B358" s="954">
        <f t="shared" si="81"/>
        <v>82.083820000000003</v>
      </c>
      <c r="C358" s="954">
        <f>Calculation!AK361</f>
        <v>0</v>
      </c>
      <c r="D358" s="954">
        <f>Calculation!AI361</f>
        <v>0</v>
      </c>
      <c r="E358" s="954">
        <f>Calculation!AE361</f>
        <v>30.769829999999999</v>
      </c>
      <c r="F358" s="954">
        <f>Calculation!AF361</f>
        <v>51.313989999999997</v>
      </c>
      <c r="G358" s="954">
        <f>Calculation!AG361</f>
        <v>0</v>
      </c>
      <c r="H358" s="955">
        <f>Sheet1!H363</f>
        <v>2.5499999999999998</v>
      </c>
      <c r="I358" s="935">
        <f>Sheet1!DA363</f>
        <v>1400</v>
      </c>
      <c r="J358" s="935">
        <f>Sheet1!DB363</f>
        <v>969</v>
      </c>
      <c r="K358" s="935">
        <f>Sheet1!CZ363</f>
        <v>1030</v>
      </c>
      <c r="L358" s="959">
        <f>Calculation!F361</f>
        <v>250</v>
      </c>
      <c r="M358" s="959">
        <f>Calculation!E361</f>
        <v>250</v>
      </c>
      <c r="N358" s="959">
        <f>Calculation!D361</f>
        <v>300</v>
      </c>
      <c r="O358" s="985">
        <f>Sheet1!DC363</f>
        <v>1079.51</v>
      </c>
      <c r="P358" s="986" t="e">
        <f>Calculation!FD361</f>
        <v>#N/A</v>
      </c>
      <c r="Q358" s="994">
        <f>Calculation!DP361</f>
        <v>1152.3000000032514</v>
      </c>
      <c r="R358" s="985">
        <f t="shared" si="89"/>
        <v>533.3000000032514</v>
      </c>
      <c r="S358" s="987">
        <f t="shared" si="82"/>
        <v>-355.70000000084133</v>
      </c>
      <c r="T358" s="994">
        <f ca="1">IF(A358&gt;$A$1,#N/A,VLOOKUP(A358,Calculation!$B$8:$JF$503,40,FALSE))</f>
        <v>0</v>
      </c>
      <c r="U358" s="987">
        <f t="shared" si="83"/>
        <v>0</v>
      </c>
      <c r="V358" s="987">
        <f>Calculation!AZ361</f>
        <v>0</v>
      </c>
      <c r="W358" s="994" t="e">
        <f t="shared" ca="1" si="94"/>
        <v>#N/A</v>
      </c>
      <c r="X358" s="987" t="e">
        <f t="shared" ca="1" si="92"/>
        <v>#N/A</v>
      </c>
      <c r="Y358" s="987">
        <v>0</v>
      </c>
      <c r="Z358" s="987" t="e">
        <f t="shared" ca="1" si="84"/>
        <v>#N/A</v>
      </c>
      <c r="AA358" s="994" t="e">
        <f t="shared" ca="1" si="90"/>
        <v>#N/A</v>
      </c>
      <c r="AB358" s="1093" t="e">
        <f t="shared" ca="1" si="91"/>
        <v>#N/A</v>
      </c>
      <c r="AC358" s="954" t="e">
        <f ca="1">IF(A358&gt;$A$1,VLOOKUP(A358,Calculation!$B$8:$JF$880,165,FALSE),VLOOKUP(A358,Calculation!$B$8:$JF$880,165,FALSE))</f>
        <v>#N/A</v>
      </c>
      <c r="AD358" s="418" t="e">
        <f t="shared" ca="1" si="85"/>
        <v>#N/A</v>
      </c>
      <c r="AE358" s="418"/>
      <c r="AF358" s="935">
        <f>Calculation!G361</f>
        <v>850.62531517859748</v>
      </c>
      <c r="AG358" s="941" t="str">
        <f t="shared" si="86"/>
        <v>Yes</v>
      </c>
      <c r="AH358" s="941" t="str">
        <f t="shared" si="87"/>
        <v>Yes</v>
      </c>
      <c r="AI358" s="963">
        <v>1803.1600000025796</v>
      </c>
      <c r="AJ358" s="964">
        <v>937.00000000281034</v>
      </c>
      <c r="AK358" s="964">
        <v>768.6000000024261</v>
      </c>
      <c r="AN358" s="447"/>
      <c r="AO358" s="430"/>
      <c r="AP358" s="462"/>
      <c r="AQ358" s="461"/>
      <c r="AR358" s="461"/>
      <c r="AS358" s="463"/>
      <c r="AU358" s="453"/>
      <c r="AV358" s="452"/>
      <c r="AW358" s="453"/>
      <c r="AX358" s="452"/>
      <c r="AY358" s="453"/>
      <c r="AZ358" s="452"/>
      <c r="BA358" s="449"/>
    </row>
    <row r="359" spans="1:53" ht="13.5" thickBot="1">
      <c r="A359" s="425">
        <v>41990</v>
      </c>
      <c r="B359" s="954">
        <f t="shared" si="81"/>
        <v>82.501509999999996</v>
      </c>
      <c r="C359" s="954">
        <f>Calculation!AK362</f>
        <v>0</v>
      </c>
      <c r="D359" s="954">
        <f>Calculation!AI362</f>
        <v>0</v>
      </c>
      <c r="E359" s="954">
        <f>Calculation!AE362</f>
        <v>41.320369999999997</v>
      </c>
      <c r="F359" s="954">
        <f>Calculation!AF362</f>
        <v>41.181139999999999</v>
      </c>
      <c r="G359" s="954">
        <f>Calculation!AG362</f>
        <v>0</v>
      </c>
      <c r="H359" s="955">
        <f>Sheet1!H364</f>
        <v>1.56</v>
      </c>
      <c r="I359" s="935">
        <f>Sheet1!DA364</f>
        <v>1250</v>
      </c>
      <c r="J359" s="935">
        <f>Sheet1!DB364</f>
        <v>808</v>
      </c>
      <c r="K359" s="935">
        <f>Sheet1!CZ364</f>
        <v>851</v>
      </c>
      <c r="L359" s="959">
        <f>Calculation!F362</f>
        <v>250</v>
      </c>
      <c r="M359" s="959">
        <f>Calculation!E362</f>
        <v>250</v>
      </c>
      <c r="N359" s="959">
        <f>Calculation!D362</f>
        <v>300</v>
      </c>
      <c r="O359" s="985">
        <f>Sheet1!DC364</f>
        <v>1077.3399999999999</v>
      </c>
      <c r="P359" s="986" t="e">
        <f>Calculation!FD362</f>
        <v>#N/A</v>
      </c>
      <c r="Q359" s="994">
        <f>Calculation!DP362</f>
        <v>882.80000000275572</v>
      </c>
      <c r="R359" s="985">
        <f t="shared" si="89"/>
        <v>263.80000000275572</v>
      </c>
      <c r="S359" s="987">
        <f t="shared" si="82"/>
        <v>-269.50000000049567</v>
      </c>
      <c r="T359" s="994">
        <f ca="1">IF(A359&gt;$A$1,#N/A,VLOOKUP(A359,Calculation!$B$8:$JF$503,40,FALSE))</f>
        <v>0</v>
      </c>
      <c r="U359" s="987">
        <f t="shared" si="83"/>
        <v>0</v>
      </c>
      <c r="V359" s="987">
        <f>Calculation!AZ362</f>
        <v>0</v>
      </c>
      <c r="W359" s="994" t="e">
        <f t="shared" ca="1" si="94"/>
        <v>#N/A</v>
      </c>
      <c r="X359" s="987" t="e">
        <f t="shared" ca="1" si="92"/>
        <v>#N/A</v>
      </c>
      <c r="Y359" s="987">
        <v>0</v>
      </c>
      <c r="Z359" s="987" t="e">
        <f t="shared" ca="1" si="84"/>
        <v>#N/A</v>
      </c>
      <c r="AA359" s="994" t="e">
        <f t="shared" ca="1" si="90"/>
        <v>#N/A</v>
      </c>
      <c r="AB359" s="1093" t="e">
        <f t="shared" ca="1" si="91"/>
        <v>#N/A</v>
      </c>
      <c r="AC359" s="954" t="e">
        <f ca="1">IF(A359&gt;$A$1,VLOOKUP(A359,Calculation!$B$8:$JF$880,165,FALSE),VLOOKUP(A359,Calculation!$B$8:$JF$880,165,FALSE))</f>
        <v>#N/A</v>
      </c>
      <c r="AD359" s="418" t="e">
        <f t="shared" ca="1" si="85"/>
        <v>#N/A</v>
      </c>
      <c r="AE359" s="418"/>
      <c r="AF359" s="935">
        <f>Calculation!G362</f>
        <v>715.09480584947266</v>
      </c>
      <c r="AG359" s="941" t="str">
        <f t="shared" si="86"/>
        <v>Yes</v>
      </c>
      <c r="AH359" s="941" t="str">
        <f t="shared" si="87"/>
        <v>Yes</v>
      </c>
      <c r="AI359" s="963">
        <v>1790.9600000025798</v>
      </c>
      <c r="AJ359" s="964">
        <v>926.00000000257614</v>
      </c>
      <c r="AK359" s="964">
        <v>750.00000000264663</v>
      </c>
      <c r="AN359" s="447"/>
      <c r="AO359" s="430"/>
      <c r="AP359" s="462"/>
      <c r="AQ359" s="461"/>
      <c r="AR359" s="461"/>
      <c r="AS359" s="463"/>
      <c r="AU359" s="453"/>
      <c r="AV359" s="452"/>
      <c r="AW359" s="453"/>
      <c r="AX359" s="452"/>
      <c r="AY359" s="453"/>
      <c r="AZ359" s="452"/>
      <c r="BA359" s="449"/>
    </row>
    <row r="360" spans="1:53" ht="13.5" thickBot="1">
      <c r="A360" s="425">
        <v>41991</v>
      </c>
      <c r="B360" s="954">
        <f t="shared" si="81"/>
        <v>93.253159999999994</v>
      </c>
      <c r="C360" s="954">
        <f>Calculation!AK363</f>
        <v>0</v>
      </c>
      <c r="D360" s="954">
        <f>Calculation!AI363</f>
        <v>0</v>
      </c>
      <c r="E360" s="954">
        <f>Calculation!AE363</f>
        <v>62.498799999999996</v>
      </c>
      <c r="F360" s="954">
        <f>Calculation!AF363</f>
        <v>30.754359999999998</v>
      </c>
      <c r="G360" s="954">
        <f>Calculation!AG363</f>
        <v>0</v>
      </c>
      <c r="H360" s="955">
        <f>Sheet1!H365</f>
        <v>2.81</v>
      </c>
      <c r="I360" s="935">
        <f>Sheet1!DA365</f>
        <v>1160</v>
      </c>
      <c r="J360" s="935">
        <f>Sheet1!DB365</f>
        <v>728</v>
      </c>
      <c r="K360" s="935">
        <f>Sheet1!CZ365</f>
        <v>790</v>
      </c>
      <c r="L360" s="959">
        <f>Calculation!F363</f>
        <v>250</v>
      </c>
      <c r="M360" s="959">
        <f>Calculation!E363</f>
        <v>250</v>
      </c>
      <c r="N360" s="959">
        <f>Calculation!D363</f>
        <v>300</v>
      </c>
      <c r="O360" s="985">
        <f>Sheet1!DC365</f>
        <v>1076.0999999999999</v>
      </c>
      <c r="P360" s="986" t="e">
        <f>Calculation!FD363</f>
        <v>#N/A</v>
      </c>
      <c r="Q360" s="994">
        <f>Calculation!DP363</f>
        <v>739.00000000240107</v>
      </c>
      <c r="R360" s="985">
        <f t="shared" si="89"/>
        <v>120.00000000240107</v>
      </c>
      <c r="S360" s="987">
        <f t="shared" si="82"/>
        <v>-143.80000000035466</v>
      </c>
      <c r="T360" s="994">
        <f ca="1">IF(A360&gt;$A$1,#N/A,VLOOKUP(A360,Calculation!$B$8:$JF$503,40,FALSE))</f>
        <v>0</v>
      </c>
      <c r="U360" s="987">
        <f t="shared" si="83"/>
        <v>0</v>
      </c>
      <c r="V360" s="987">
        <f>Calculation!AZ363</f>
        <v>0</v>
      </c>
      <c r="W360" s="994" t="e">
        <f t="shared" ca="1" si="94"/>
        <v>#N/A</v>
      </c>
      <c r="X360" s="987" t="e">
        <f t="shared" ca="1" si="92"/>
        <v>#N/A</v>
      </c>
      <c r="Y360" s="987">
        <v>0</v>
      </c>
      <c r="Z360" s="987" t="e">
        <f t="shared" ca="1" si="84"/>
        <v>#N/A</v>
      </c>
      <c r="AA360" s="994" t="e">
        <f t="shared" ca="1" si="90"/>
        <v>#N/A</v>
      </c>
      <c r="AB360" s="1093" t="e">
        <f t="shared" ca="1" si="91"/>
        <v>#N/A</v>
      </c>
      <c r="AC360" s="954" t="e">
        <f ca="1">IF(A360&gt;$A$1,VLOOKUP(A360,Calculation!$B$8:$JF$880,165,FALSE),VLOOKUP(A360,Calculation!$B$8:$JF$880,165,FALSE))</f>
        <v>#N/A</v>
      </c>
      <c r="AD360" s="418" t="e">
        <f t="shared" ca="1" si="85"/>
        <v>#N/A</v>
      </c>
      <c r="AE360" s="418"/>
      <c r="AF360" s="935">
        <f>Calculation!G363</f>
        <v>717.48361069069358</v>
      </c>
      <c r="AG360" s="941" t="str">
        <f t="shared" si="86"/>
        <v>Yes</v>
      </c>
      <c r="AH360" s="941" t="str">
        <f t="shared" si="87"/>
        <v>Yes</v>
      </c>
      <c r="AI360" s="963">
        <v>1828.7800000026075</v>
      </c>
      <c r="AJ360" s="964">
        <v>937.00000000281034</v>
      </c>
      <c r="AK360" s="964">
        <v>727.00000000261934</v>
      </c>
      <c r="AN360" s="447"/>
      <c r="AO360" s="430"/>
      <c r="AP360" s="462"/>
      <c r="AQ360" s="461"/>
      <c r="AR360" s="461"/>
      <c r="AS360" s="463"/>
      <c r="AU360" s="453"/>
      <c r="AV360" s="452"/>
      <c r="AW360" s="453"/>
      <c r="AX360" s="452"/>
      <c r="AY360" s="453"/>
      <c r="AZ360" s="452"/>
      <c r="BA360" s="449"/>
    </row>
    <row r="361" spans="1:53" ht="13.5" thickBot="1">
      <c r="A361" s="425">
        <v>41992</v>
      </c>
      <c r="B361" s="954">
        <f t="shared" si="81"/>
        <v>93.902899999999988</v>
      </c>
      <c r="C361" s="954">
        <f>Calculation!AK364</f>
        <v>0</v>
      </c>
      <c r="D361" s="954">
        <f>Calculation!AI364</f>
        <v>0</v>
      </c>
      <c r="E361" s="954">
        <f>Calculation!AE364</f>
        <v>63.272299999999994</v>
      </c>
      <c r="F361" s="954">
        <f>Calculation!AF364</f>
        <v>30.630600000000001</v>
      </c>
      <c r="G361" s="954">
        <f>Calculation!AG364</f>
        <v>24.009440000000673</v>
      </c>
      <c r="H361" s="955">
        <f>Sheet1!H366</f>
        <v>7.09</v>
      </c>
      <c r="I361" s="935">
        <f>Sheet1!DA366</f>
        <v>1190</v>
      </c>
      <c r="J361" s="935">
        <f>Sheet1!DB366</f>
        <v>717</v>
      </c>
      <c r="K361" s="935">
        <f>Sheet1!CZ366</f>
        <v>731</v>
      </c>
      <c r="L361" s="959">
        <f>Calculation!F364</f>
        <v>250</v>
      </c>
      <c r="M361" s="959">
        <f>Calculation!E364</f>
        <v>250</v>
      </c>
      <c r="N361" s="959">
        <f>Calculation!D364</f>
        <v>300</v>
      </c>
      <c r="O361" s="985">
        <f>Sheet1!DC366</f>
        <v>1076</v>
      </c>
      <c r="P361" s="986" t="e">
        <f>Calculation!FD364</f>
        <v>#N/A</v>
      </c>
      <c r="Q361" s="994">
        <f>Calculation!DP364</f>
        <v>727.00000000261934</v>
      </c>
      <c r="R361" s="985">
        <f t="shared" si="89"/>
        <v>108.00000000261934</v>
      </c>
      <c r="S361" s="987">
        <f t="shared" si="82"/>
        <v>-11.999999999781721</v>
      </c>
      <c r="T361" s="994">
        <f ca="1">IF(A361&gt;$A$1,#N/A,VLOOKUP(A361,Calculation!$B$8:$JF$503,40,FALSE))</f>
        <v>0</v>
      </c>
      <c r="U361" s="987">
        <f t="shared" si="83"/>
        <v>0</v>
      </c>
      <c r="V361" s="987">
        <f>Calculation!AZ364</f>
        <v>0</v>
      </c>
      <c r="W361" s="994" t="e">
        <f t="shared" ca="1" si="94"/>
        <v>#N/A</v>
      </c>
      <c r="X361" s="987" t="e">
        <f t="shared" ca="1" si="92"/>
        <v>#N/A</v>
      </c>
      <c r="Y361" s="987">
        <v>0</v>
      </c>
      <c r="Z361" s="987" t="e">
        <f t="shared" ca="1" si="84"/>
        <v>#N/A</v>
      </c>
      <c r="AA361" s="994" t="e">
        <f t="shared" ca="1" si="90"/>
        <v>#N/A</v>
      </c>
      <c r="AB361" s="1093" t="e">
        <f t="shared" ca="1" si="91"/>
        <v>#N/A</v>
      </c>
      <c r="AC361" s="954" t="e">
        <f ca="1">IF(A361&gt;$A$1,VLOOKUP(A361,Calculation!$B$8:$JF$880,165,FALSE),VLOOKUP(A361,Calculation!$B$8:$JF$880,165,FALSE))</f>
        <v>#N/A</v>
      </c>
      <c r="AD361" s="418" t="e">
        <f t="shared" ca="1" si="85"/>
        <v>#N/A</v>
      </c>
      <c r="AE361" s="418"/>
      <c r="AF361" s="935">
        <f>Calculation!G364</f>
        <v>724.94856278377119</v>
      </c>
      <c r="AG361" s="941" t="str">
        <f t="shared" si="86"/>
        <v>Yes</v>
      </c>
      <c r="AH361" s="941" t="str">
        <f t="shared" si="87"/>
        <v>Yes</v>
      </c>
      <c r="AI361" s="963">
        <v>1860.5000000026353</v>
      </c>
      <c r="AJ361" s="964">
        <v>916.40000000278303</v>
      </c>
      <c r="AK361" s="964">
        <v>748.90000000242605</v>
      </c>
      <c r="AN361" s="447"/>
      <c r="AO361" s="430"/>
      <c r="AP361" s="462"/>
      <c r="AQ361" s="461"/>
      <c r="AR361" s="461"/>
      <c r="AS361" s="463"/>
      <c r="AU361" s="453"/>
      <c r="AV361" s="452"/>
      <c r="AW361" s="453"/>
      <c r="AX361" s="452"/>
      <c r="AY361" s="453"/>
      <c r="AZ361" s="452"/>
      <c r="BA361" s="449"/>
    </row>
    <row r="362" spans="1:53" ht="13.5" thickBot="1">
      <c r="A362" s="425">
        <v>41993</v>
      </c>
      <c r="B362" s="954">
        <f t="shared" ref="B362:B384" si="95">E362+F362</f>
        <v>77.968799999999987</v>
      </c>
      <c r="C362" s="954">
        <f>Calculation!AK365</f>
        <v>0</v>
      </c>
      <c r="D362" s="954">
        <f>Calculation!AI365</f>
        <v>0</v>
      </c>
      <c r="E362" s="954">
        <f>Calculation!AE365</f>
        <v>47.028799999999997</v>
      </c>
      <c r="F362" s="954">
        <f>Calculation!AF365</f>
        <v>30.939999999999998</v>
      </c>
      <c r="G362" s="954">
        <f>Calculation!AG365</f>
        <v>42.511559999999321</v>
      </c>
      <c r="H362" s="955">
        <f>Sheet1!H367</f>
        <v>26.98</v>
      </c>
      <c r="I362" s="935">
        <f>Sheet1!DA367</f>
        <v>1500</v>
      </c>
      <c r="J362" s="935">
        <f>Sheet1!DB367</f>
        <v>1440</v>
      </c>
      <c r="K362" s="935">
        <f>Sheet1!CZ367</f>
        <v>1340</v>
      </c>
      <c r="L362" s="959">
        <f>Calculation!F365</f>
        <v>250</v>
      </c>
      <c r="M362" s="959">
        <f>Calculation!E365</f>
        <v>250</v>
      </c>
      <c r="N362" s="959">
        <f>Calculation!D365</f>
        <v>300</v>
      </c>
      <c r="O362" s="985">
        <f>Sheet1!DC367</f>
        <v>1078.3</v>
      </c>
      <c r="P362" s="986" t="e">
        <f>Calculation!FD365</f>
        <v>#N/A</v>
      </c>
      <c r="Q362" s="994">
        <f>Calculation!DP365</f>
        <v>999.00000000286491</v>
      </c>
      <c r="R362" s="985">
        <f t="shared" si="89"/>
        <v>380.00000000286491</v>
      </c>
      <c r="S362" s="987">
        <f t="shared" ref="S362:S384" si="96">R362-R361</f>
        <v>272.00000000024556</v>
      </c>
      <c r="T362" s="994">
        <f ca="1">IF(A362&gt;$A$1,#N/A,VLOOKUP(A362,Calculation!$B$8:$JF$503,40,FALSE))</f>
        <v>0</v>
      </c>
      <c r="U362" s="987">
        <f t="shared" ref="U362:U384" si="97">D362</f>
        <v>0</v>
      </c>
      <c r="V362" s="987">
        <f>Calculation!AZ365</f>
        <v>0</v>
      </c>
      <c r="W362" s="994" t="e">
        <f t="shared" ca="1" si="94"/>
        <v>#N/A</v>
      </c>
      <c r="X362" s="987" t="e">
        <f t="shared" ca="1" si="92"/>
        <v>#N/A</v>
      </c>
      <c r="Y362" s="987">
        <v>0</v>
      </c>
      <c r="Z362" s="987" t="e">
        <f t="shared" ref="Z362:Z384" ca="1" si="98">W362-Y362</f>
        <v>#N/A</v>
      </c>
      <c r="AA362" s="994" t="e">
        <f t="shared" ca="1" si="90"/>
        <v>#N/A</v>
      </c>
      <c r="AB362" s="1093" t="e">
        <f t="shared" ca="1" si="91"/>
        <v>#N/A</v>
      </c>
      <c r="AC362" s="954" t="e">
        <f ca="1">IF(A362&gt;$A$1,VLOOKUP(A362,Calculation!$B$8:$JF$880,165,FALSE),VLOOKUP(A362,Calculation!$B$8:$JF$880,165,FALSE))</f>
        <v>#N/A</v>
      </c>
      <c r="AD362" s="418" t="e">
        <f t="shared" ref="AD362:AD384" ca="1" si="99">AC362-AC361</f>
        <v>#N/A</v>
      </c>
      <c r="AE362" s="418"/>
      <c r="AF362" s="935">
        <f>Calculation!G365</f>
        <v>1477.1659102371384</v>
      </c>
      <c r="AG362" s="941" t="str">
        <f t="shared" ref="AG362:AG384" si="100">IF(I362&gt;L362,"Yes","No")</f>
        <v>Yes</v>
      </c>
      <c r="AH362" s="941" t="str">
        <f t="shared" ref="AH362:AH384" si="101">IF(AND(I362&gt;M362,J362&gt;N362),"Yes","No")</f>
        <v>Yes</v>
      </c>
      <c r="AI362" s="963">
        <v>1861.7200000026353</v>
      </c>
      <c r="AJ362" s="964">
        <v>902.00000000278305</v>
      </c>
      <c r="AK362" s="964">
        <v>1074.0000000029468</v>
      </c>
      <c r="AN362" s="447"/>
      <c r="AO362" s="430"/>
      <c r="AP362" s="462"/>
      <c r="AQ362" s="461"/>
      <c r="AR362" s="461"/>
      <c r="AS362" s="463"/>
      <c r="AU362" s="453"/>
      <c r="AV362" s="452"/>
      <c r="AW362" s="453"/>
      <c r="AX362" s="452"/>
      <c r="AY362" s="453"/>
      <c r="AZ362" s="452"/>
      <c r="BA362" s="449"/>
    </row>
    <row r="363" spans="1:53" ht="13.5" thickBot="1">
      <c r="A363" s="425">
        <v>41994</v>
      </c>
      <c r="B363" s="954">
        <f t="shared" si="95"/>
        <v>77.814099999999996</v>
      </c>
      <c r="C363" s="954">
        <f>Calculation!AK366</f>
        <v>0</v>
      </c>
      <c r="D363" s="954">
        <f>Calculation!AI366</f>
        <v>0</v>
      </c>
      <c r="E363" s="954">
        <f>Calculation!AE366</f>
        <v>46.874099999999999</v>
      </c>
      <c r="F363" s="954">
        <f>Calculation!AF366</f>
        <v>30.939999999999998</v>
      </c>
      <c r="G363" s="954">
        <f>Calculation!AG366</f>
        <v>77.643929999997965</v>
      </c>
      <c r="H363" s="955">
        <f>Sheet1!H368</f>
        <v>36.04</v>
      </c>
      <c r="I363" s="935">
        <f>Sheet1!DA368</f>
        <v>3980</v>
      </c>
      <c r="J363" s="935">
        <f>Sheet1!DB368</f>
        <v>3570</v>
      </c>
      <c r="K363" s="935">
        <f>Sheet1!CZ368</f>
        <v>3630</v>
      </c>
      <c r="L363" s="959">
        <f>Calculation!F366</f>
        <v>250</v>
      </c>
      <c r="M363" s="959">
        <f>Calculation!E366</f>
        <v>250</v>
      </c>
      <c r="N363" s="959">
        <f>Calculation!D366</f>
        <v>300</v>
      </c>
      <c r="O363" s="985">
        <f>Sheet1!DC368</f>
        <v>1095.67</v>
      </c>
      <c r="P363" s="986" t="e">
        <f>Calculation!FD366</f>
        <v>#N/A</v>
      </c>
      <c r="Q363" s="994">
        <f>Calculation!DP366</f>
        <v>4080.1000000091517</v>
      </c>
      <c r="R363" s="985">
        <f t="shared" si="89"/>
        <v>3461.1000000091517</v>
      </c>
      <c r="S363" s="987">
        <f t="shared" si="96"/>
        <v>3081.1000000062868</v>
      </c>
      <c r="T363" s="994">
        <f ca="1">IF(A363&gt;$A$1,#N/A,VLOOKUP(A363,Calculation!$B$8:$JF$503,40,FALSE))</f>
        <v>0</v>
      </c>
      <c r="U363" s="987">
        <f t="shared" si="97"/>
        <v>0</v>
      </c>
      <c r="V363" s="987">
        <f>Calculation!AZ366</f>
        <v>0</v>
      </c>
      <c r="W363" s="994" t="e">
        <f t="shared" ca="1" si="94"/>
        <v>#N/A</v>
      </c>
      <c r="X363" s="987" t="e">
        <f t="shared" ca="1" si="92"/>
        <v>#N/A</v>
      </c>
      <c r="Y363" s="987">
        <v>0</v>
      </c>
      <c r="Z363" s="987" t="e">
        <f t="shared" ca="1" si="98"/>
        <v>#N/A</v>
      </c>
      <c r="AA363" s="994" t="e">
        <f t="shared" ca="1" si="90"/>
        <v>#N/A</v>
      </c>
      <c r="AB363" s="1093" t="e">
        <f t="shared" ca="1" si="91"/>
        <v>#N/A</v>
      </c>
      <c r="AC363" s="954" t="e">
        <f ca="1">IF(A363&gt;$A$1,VLOOKUP(A363,Calculation!$B$8:$JF$880,165,FALSE),VLOOKUP(A363,Calculation!$B$8:$JF$880,165,FALSE))</f>
        <v>#N/A</v>
      </c>
      <c r="AD363" s="418" t="e">
        <f t="shared" ca="1" si="99"/>
        <v>#N/A</v>
      </c>
      <c r="AE363" s="418"/>
      <c r="AF363" s="935">
        <f>Calculation!G366</f>
        <v>5183.7569339416477</v>
      </c>
      <c r="AG363" s="941" t="str">
        <f t="shared" si="100"/>
        <v>Yes</v>
      </c>
      <c r="AH363" s="941" t="str">
        <f t="shared" si="101"/>
        <v>Yes</v>
      </c>
      <c r="AI363" s="963">
        <v>1853.1800000026353</v>
      </c>
      <c r="AJ363" s="964">
        <v>920.00000000281034</v>
      </c>
      <c r="AK363" s="964">
        <v>2270.0000000054115</v>
      </c>
      <c r="AN363" s="447"/>
      <c r="AO363" s="430"/>
      <c r="AP363" s="462"/>
      <c r="AQ363" s="461"/>
      <c r="AR363" s="461"/>
      <c r="AS363" s="463"/>
      <c r="AU363" s="453"/>
      <c r="AV363" s="452"/>
      <c r="AW363" s="453"/>
      <c r="AX363" s="452"/>
      <c r="AY363" s="453"/>
      <c r="AZ363" s="452"/>
      <c r="BA363" s="449"/>
    </row>
    <row r="364" spans="1:53" ht="13.5" thickBot="1">
      <c r="A364" s="425">
        <v>41995</v>
      </c>
      <c r="B364" s="954">
        <f t="shared" si="95"/>
        <v>77.5047</v>
      </c>
      <c r="C364" s="954">
        <f>Calculation!AK367</f>
        <v>0</v>
      </c>
      <c r="D364" s="954">
        <f>Calculation!AI367</f>
        <v>0</v>
      </c>
      <c r="E364" s="954">
        <f>Calculation!AE367</f>
        <v>46.874099999999999</v>
      </c>
      <c r="F364" s="954">
        <f>Calculation!AF367</f>
        <v>30.630600000000001</v>
      </c>
      <c r="G364" s="954">
        <f>Calculation!AG367</f>
        <v>70.342090000001804</v>
      </c>
      <c r="H364" s="955">
        <f>Sheet1!H369</f>
        <v>30.78</v>
      </c>
      <c r="I364" s="935">
        <f>Sheet1!DA369</f>
        <v>3990</v>
      </c>
      <c r="J364" s="935">
        <f>Sheet1!DB369</f>
        <v>3220</v>
      </c>
      <c r="K364" s="935">
        <f>Sheet1!CZ369</f>
        <v>3280</v>
      </c>
      <c r="L364" s="959">
        <f>Calculation!F367</f>
        <v>250</v>
      </c>
      <c r="M364" s="959">
        <f>Calculation!E367</f>
        <v>250</v>
      </c>
      <c r="N364" s="959">
        <f>Calculation!D367</f>
        <v>300</v>
      </c>
      <c r="O364" s="985">
        <f>Sheet1!DC369</f>
        <v>1093.1300000000001</v>
      </c>
      <c r="P364" s="986" t="e">
        <f>Calculation!FD367</f>
        <v>#N/A</v>
      </c>
      <c r="Q364" s="994">
        <f>Calculation!DP367</f>
        <v>3503.6000000082536</v>
      </c>
      <c r="R364" s="985">
        <f t="shared" si="89"/>
        <v>2884.6000000082536</v>
      </c>
      <c r="S364" s="987">
        <f t="shared" si="96"/>
        <v>-576.50000000089813</v>
      </c>
      <c r="T364" s="994">
        <f ca="1">IF(A364&gt;$A$1,#N/A,VLOOKUP(A364,Calculation!$B$8:$JF$503,40,FALSE))</f>
        <v>0</v>
      </c>
      <c r="U364" s="987">
        <f t="shared" si="97"/>
        <v>0</v>
      </c>
      <c r="V364" s="987">
        <f>Calculation!AZ367</f>
        <v>0</v>
      </c>
      <c r="W364" s="994" t="e">
        <f t="shared" ca="1" si="94"/>
        <v>#N/A</v>
      </c>
      <c r="X364" s="987" t="e">
        <f t="shared" ca="1" si="92"/>
        <v>#N/A</v>
      </c>
      <c r="Y364" s="987">
        <v>0</v>
      </c>
      <c r="Z364" s="987" t="e">
        <f t="shared" ca="1" si="98"/>
        <v>#N/A</v>
      </c>
      <c r="AA364" s="994" t="e">
        <f t="shared" ca="1" si="90"/>
        <v>#N/A</v>
      </c>
      <c r="AB364" s="1093" t="e">
        <f t="shared" ca="1" si="91"/>
        <v>#N/A</v>
      </c>
      <c r="AC364" s="954" t="e">
        <f ca="1">IF(A364&gt;$A$1,VLOOKUP(A364,Calculation!$B$8:$JF$880,165,FALSE),VLOOKUP(A364,Calculation!$B$8:$JF$880,165,FALSE))</f>
        <v>#N/A</v>
      </c>
      <c r="AD364" s="418" t="e">
        <f t="shared" ca="1" si="99"/>
        <v>#N/A</v>
      </c>
      <c r="AE364" s="418"/>
      <c r="AF364" s="935">
        <f>Calculation!G367</f>
        <v>2989.2788703979336</v>
      </c>
      <c r="AG364" s="941" t="str">
        <f t="shared" si="100"/>
        <v>Yes</v>
      </c>
      <c r="AH364" s="941" t="str">
        <f t="shared" si="101"/>
        <v>Yes</v>
      </c>
      <c r="AI364" s="963">
        <v>1826.3400000026074</v>
      </c>
      <c r="AJ364" s="964">
        <v>999.00000000286491</v>
      </c>
      <c r="AK364" s="964">
        <v>2830.0000000069122</v>
      </c>
      <c r="AN364" s="447"/>
      <c r="AO364" s="430"/>
      <c r="AP364" s="462"/>
      <c r="AQ364" s="461"/>
      <c r="AR364" s="461"/>
      <c r="AS364" s="463"/>
      <c r="AU364" s="453"/>
      <c r="AV364" s="452"/>
      <c r="AW364" s="453"/>
      <c r="AX364" s="452"/>
      <c r="AY364" s="453"/>
      <c r="AZ364" s="452"/>
      <c r="BA364" s="449"/>
    </row>
    <row r="365" spans="1:53" ht="13.5" thickBot="1">
      <c r="A365" s="425">
        <v>41996</v>
      </c>
      <c r="B365" s="954">
        <f t="shared" si="95"/>
        <v>76.298039999999986</v>
      </c>
      <c r="C365" s="954">
        <f>Calculation!AK368</f>
        <v>0</v>
      </c>
      <c r="D365" s="954">
        <f>Calculation!AI368</f>
        <v>0</v>
      </c>
      <c r="E365" s="954">
        <f>Calculation!AE368</f>
        <v>44.120439999999995</v>
      </c>
      <c r="F365" s="954">
        <f>Calculation!AF368</f>
        <v>32.177599999999998</v>
      </c>
      <c r="G365" s="954">
        <f>Calculation!AG368</f>
        <v>66.938690000000676</v>
      </c>
      <c r="H365" s="955">
        <f>Sheet1!H370</f>
        <v>14.97</v>
      </c>
      <c r="I365" s="935">
        <f>Sheet1!DA370</f>
        <v>3520</v>
      </c>
      <c r="J365" s="935">
        <f>Sheet1!DB370</f>
        <v>2720</v>
      </c>
      <c r="K365" s="935">
        <f>Sheet1!CZ370</f>
        <v>2530</v>
      </c>
      <c r="L365" s="959">
        <f>Calculation!F368</f>
        <v>250</v>
      </c>
      <c r="M365" s="959">
        <f>Calculation!E368</f>
        <v>250</v>
      </c>
      <c r="N365" s="959">
        <f>Calculation!D368</f>
        <v>300</v>
      </c>
      <c r="O365" s="985">
        <f>Sheet1!DC370</f>
        <v>1100.55</v>
      </c>
      <c r="P365" s="986" t="e">
        <f>Calculation!FD368</f>
        <v>#N/A</v>
      </c>
      <c r="Q365" s="994">
        <f>Calculation!DP368</f>
        <v>5281.0000000114687</v>
      </c>
      <c r="R365" s="985">
        <f t="shared" si="89"/>
        <v>4662.0000000114687</v>
      </c>
      <c r="S365" s="987">
        <f t="shared" si="96"/>
        <v>1777.4000000032152</v>
      </c>
      <c r="T365" s="994">
        <f ca="1">IF(A365&gt;$A$1,#N/A,VLOOKUP(A365,Calculation!$B$8:$JF$503,40,FALSE))</f>
        <v>0</v>
      </c>
      <c r="U365" s="987">
        <f t="shared" si="97"/>
        <v>0</v>
      </c>
      <c r="V365" s="987">
        <f>Calculation!AZ368</f>
        <v>0</v>
      </c>
      <c r="W365" s="994" t="e">
        <f t="shared" ca="1" si="94"/>
        <v>#N/A</v>
      </c>
      <c r="X365" s="987" t="e">
        <f t="shared" ca="1" si="92"/>
        <v>#N/A</v>
      </c>
      <c r="Y365" s="987">
        <v>0</v>
      </c>
      <c r="Z365" s="987" t="e">
        <f t="shared" ca="1" si="98"/>
        <v>#N/A</v>
      </c>
      <c r="AA365" s="994" t="e">
        <f t="shared" ca="1" si="90"/>
        <v>#N/A</v>
      </c>
      <c r="AB365" s="1093" t="e">
        <f t="shared" ca="1" si="91"/>
        <v>#N/A</v>
      </c>
      <c r="AC365" s="954" t="e">
        <f ca="1">IF(A365&gt;$A$1,VLOOKUP(A365,Calculation!$B$8:$JF$880,165,FALSE),VLOOKUP(A365,Calculation!$B$8:$JF$880,165,FALSE))</f>
        <v>#N/A</v>
      </c>
      <c r="AD365" s="418" t="e">
        <f t="shared" ca="1" si="99"/>
        <v>#N/A</v>
      </c>
      <c r="AE365" s="418"/>
      <c r="AF365" s="935">
        <f>Calculation!G368</f>
        <v>3426.3187090283482</v>
      </c>
      <c r="AG365" s="941" t="str">
        <f t="shared" si="100"/>
        <v>Yes</v>
      </c>
      <c r="AH365" s="941" t="str">
        <f t="shared" si="101"/>
        <v>Yes</v>
      </c>
      <c r="AI365" s="963">
        <v>1854.4000000026354</v>
      </c>
      <c r="AJ365" s="964">
        <v>1132.8000000032218</v>
      </c>
      <c r="AK365" s="964">
        <v>4064.0000000090995</v>
      </c>
      <c r="AN365" s="447"/>
      <c r="AO365" s="430"/>
      <c r="AP365" s="462"/>
      <c r="AQ365" s="461"/>
      <c r="AR365" s="461"/>
      <c r="AS365" s="463"/>
      <c r="AU365" s="453"/>
      <c r="AV365" s="452"/>
      <c r="AW365" s="453"/>
      <c r="AX365" s="452"/>
      <c r="AY365" s="453"/>
      <c r="AZ365" s="452"/>
      <c r="BA365" s="449"/>
    </row>
    <row r="366" spans="1:53" ht="13.5" thickBot="1">
      <c r="A366" s="425">
        <v>41997</v>
      </c>
      <c r="B366" s="954">
        <f t="shared" si="95"/>
        <v>77.62845999999999</v>
      </c>
      <c r="C366" s="954">
        <f>Calculation!AK369</f>
        <v>0</v>
      </c>
      <c r="D366" s="954">
        <f>Calculation!AI369</f>
        <v>0</v>
      </c>
      <c r="E366" s="954">
        <f>Calculation!AE369</f>
        <v>45.605559999999997</v>
      </c>
      <c r="F366" s="954">
        <f>Calculation!AF369</f>
        <v>32.0229</v>
      </c>
      <c r="G366" s="954">
        <f>Calculation!AG369</f>
        <v>60.5031700000009</v>
      </c>
      <c r="H366" s="955">
        <f>Sheet1!H371</f>
        <v>15.9</v>
      </c>
      <c r="I366" s="935">
        <f>Sheet1!DA371</f>
        <v>4200</v>
      </c>
      <c r="J366" s="935">
        <f>Sheet1!DB371</f>
        <v>3040</v>
      </c>
      <c r="K366" s="935">
        <f>Sheet1!CZ371</f>
        <v>2950</v>
      </c>
      <c r="L366" s="959">
        <f>Calculation!F369</f>
        <v>250</v>
      </c>
      <c r="M366" s="959">
        <f>Calculation!E369</f>
        <v>250</v>
      </c>
      <c r="N366" s="959">
        <f>Calculation!D369</f>
        <v>300</v>
      </c>
      <c r="O366" s="985">
        <f>Sheet1!DC371</f>
        <v>1116.9000000000001</v>
      </c>
      <c r="P366" s="986" t="e">
        <f>Calculation!FD369</f>
        <v>#N/A</v>
      </c>
      <c r="Q366" s="994">
        <f>Calculation!DP369</f>
        <v>10436.000000022465</v>
      </c>
      <c r="R366" s="985">
        <f t="shared" si="89"/>
        <v>9817.0000000224645</v>
      </c>
      <c r="S366" s="987">
        <f t="shared" si="96"/>
        <v>5155.0000000109958</v>
      </c>
      <c r="T366" s="994">
        <f ca="1">IF(A366&gt;$A$1,#N/A,VLOOKUP(A366,Calculation!$B$8:$JF$503,40,FALSE))</f>
        <v>0</v>
      </c>
      <c r="U366" s="987">
        <f t="shared" si="97"/>
        <v>0</v>
      </c>
      <c r="V366" s="987">
        <f>Calculation!AZ369</f>
        <v>0</v>
      </c>
      <c r="W366" s="994" t="e">
        <f t="shared" ca="1" si="94"/>
        <v>#N/A</v>
      </c>
      <c r="X366" s="987" t="e">
        <f t="shared" ca="1" si="92"/>
        <v>#N/A</v>
      </c>
      <c r="Y366" s="987">
        <v>0</v>
      </c>
      <c r="Z366" s="987" t="e">
        <f t="shared" ca="1" si="98"/>
        <v>#N/A</v>
      </c>
      <c r="AA366" s="994" t="e">
        <f t="shared" ca="1" si="90"/>
        <v>#N/A</v>
      </c>
      <c r="AB366" s="1093" t="e">
        <f t="shared" ca="1" si="91"/>
        <v>#N/A</v>
      </c>
      <c r="AC366" s="954" t="e">
        <f ca="1">IF(A366&gt;$A$1,VLOOKUP(A366,Calculation!$B$8:$JF$880,165,FALSE),VLOOKUP(A366,Calculation!$B$8:$JF$880,165,FALSE))</f>
        <v>#N/A</v>
      </c>
      <c r="AD366" s="418" t="e">
        <f t="shared" ca="1" si="99"/>
        <v>#N/A</v>
      </c>
      <c r="AE366" s="418"/>
      <c r="AF366" s="935">
        <f>Calculation!G369</f>
        <v>5549.5965708577887</v>
      </c>
      <c r="AG366" s="941" t="str">
        <f t="shared" si="100"/>
        <v>Yes</v>
      </c>
      <c r="AH366" s="941" t="str">
        <f t="shared" si="101"/>
        <v>Yes</v>
      </c>
      <c r="AI366" s="963">
        <v>1902.3400000027502</v>
      </c>
      <c r="AJ366" s="964">
        <v>1182.200000003281</v>
      </c>
      <c r="AK366" s="964">
        <v>3653.0000000083537</v>
      </c>
      <c r="AN366" s="447"/>
      <c r="AO366" s="430"/>
      <c r="AP366" s="462"/>
      <c r="AQ366" s="461"/>
      <c r="AR366" s="461"/>
      <c r="AS366" s="463"/>
      <c r="AU366" s="453"/>
      <c r="AV366" s="452"/>
      <c r="AW366" s="453"/>
      <c r="AX366" s="452"/>
      <c r="AY366" s="453"/>
      <c r="AZ366" s="452"/>
      <c r="BA366" s="449"/>
    </row>
    <row r="367" spans="1:53" ht="13.5" thickBot="1">
      <c r="A367" s="425">
        <v>41998</v>
      </c>
      <c r="B367" s="954">
        <f t="shared" si="95"/>
        <v>77.5047</v>
      </c>
      <c r="C367" s="954">
        <f>Calculation!AK370</f>
        <v>0</v>
      </c>
      <c r="D367" s="954">
        <f>Calculation!AI370</f>
        <v>0</v>
      </c>
      <c r="E367" s="954">
        <f>Calculation!AE370</f>
        <v>46.595639999999996</v>
      </c>
      <c r="F367" s="954">
        <f>Calculation!AF370</f>
        <v>30.90906</v>
      </c>
      <c r="G367" s="954">
        <f>Calculation!AG370</f>
        <v>59.868900000001126</v>
      </c>
      <c r="H367" s="955">
        <f>Sheet1!H372</f>
        <v>9.86</v>
      </c>
      <c r="I367" s="935">
        <f>Sheet1!DA372</f>
        <v>3880</v>
      </c>
      <c r="J367" s="935">
        <f>Sheet1!DB372</f>
        <v>2960</v>
      </c>
      <c r="K367" s="935">
        <f>Sheet1!CZ372</f>
        <v>2930</v>
      </c>
      <c r="L367" s="959">
        <f>Calculation!F370</f>
        <v>250</v>
      </c>
      <c r="M367" s="959">
        <f>Calculation!E370</f>
        <v>250</v>
      </c>
      <c r="N367" s="959">
        <f>Calculation!D370</f>
        <v>300</v>
      </c>
      <c r="O367" s="985">
        <f>Sheet1!DC372</f>
        <v>1115.51</v>
      </c>
      <c r="P367" s="986" t="e">
        <f>Calculation!FD370</f>
        <v>#N/A</v>
      </c>
      <c r="Q367" s="994">
        <f>Calculation!DP370</f>
        <v>9900.8000000219454</v>
      </c>
      <c r="R367" s="985">
        <f t="shared" si="89"/>
        <v>9281.8000000219454</v>
      </c>
      <c r="S367" s="987">
        <f t="shared" si="96"/>
        <v>-535.20000000051914</v>
      </c>
      <c r="T367" s="994">
        <f ca="1">IF(A367&gt;$A$1,#N/A,VLOOKUP(A367,Calculation!$B$8:$JF$503,40,FALSE))</f>
        <v>0</v>
      </c>
      <c r="U367" s="987">
        <f t="shared" si="97"/>
        <v>0</v>
      </c>
      <c r="V367" s="987">
        <f>Calculation!AZ370</f>
        <v>0</v>
      </c>
      <c r="W367" s="994" t="e">
        <f t="shared" ca="1" si="94"/>
        <v>#N/A</v>
      </c>
      <c r="X367" s="987" t="e">
        <f t="shared" ca="1" si="92"/>
        <v>#N/A</v>
      </c>
      <c r="Y367" s="987">
        <v>0</v>
      </c>
      <c r="Z367" s="987" t="e">
        <f t="shared" ca="1" si="98"/>
        <v>#N/A</v>
      </c>
      <c r="AA367" s="994" t="e">
        <f t="shared" ca="1" si="90"/>
        <v>#N/A</v>
      </c>
      <c r="AB367" s="1093" t="e">
        <f t="shared" ca="1" si="91"/>
        <v>#N/A</v>
      </c>
      <c r="AC367" s="954" t="e">
        <f ca="1">IF(A367&gt;$A$1,VLOOKUP(A367,Calculation!$B$8:$JF$880,165,FALSE),VLOOKUP(A367,Calculation!$B$8:$JF$880,165,FALSE))</f>
        <v>#N/A</v>
      </c>
      <c r="AD367" s="418" t="e">
        <f t="shared" ca="1" si="99"/>
        <v>#N/A</v>
      </c>
      <c r="AE367" s="418"/>
      <c r="AF367" s="935">
        <f>Calculation!G370</f>
        <v>2660.1059001510243</v>
      </c>
      <c r="AG367" s="941" t="str">
        <f t="shared" si="100"/>
        <v>Yes</v>
      </c>
      <c r="AH367" s="941" t="str">
        <f t="shared" si="101"/>
        <v>Yes</v>
      </c>
      <c r="AI367" s="963">
        <v>2022.2000000029559</v>
      </c>
      <c r="AJ367" s="964">
        <v>1216.0000000035652</v>
      </c>
      <c r="AK367" s="964">
        <v>1809.0000000046566</v>
      </c>
      <c r="AN367" s="447"/>
      <c r="AO367" s="430"/>
      <c r="AP367" s="462"/>
      <c r="AQ367" s="461"/>
      <c r="AR367" s="461"/>
      <c r="AS367" s="463"/>
      <c r="AU367" s="453"/>
      <c r="AV367" s="452"/>
      <c r="AW367" s="453"/>
      <c r="AX367" s="452"/>
      <c r="AY367" s="453"/>
      <c r="AZ367" s="452"/>
      <c r="BA367" s="449"/>
    </row>
    <row r="368" spans="1:53" ht="13.5" thickBot="1">
      <c r="A368" s="425">
        <v>41999</v>
      </c>
      <c r="B368" s="954">
        <f t="shared" si="95"/>
        <v>70.666959999999989</v>
      </c>
      <c r="C368" s="954">
        <f>Calculation!AK371</f>
        <v>0</v>
      </c>
      <c r="D368" s="954">
        <f>Calculation!AI371</f>
        <v>0</v>
      </c>
      <c r="E368" s="954">
        <f>Calculation!AE371</f>
        <v>46.657519999999998</v>
      </c>
      <c r="F368" s="954">
        <f>Calculation!AF371</f>
        <v>24.009439999999998</v>
      </c>
      <c r="G368" s="954">
        <f>Calculation!AG371</f>
        <v>49.844339999996173</v>
      </c>
      <c r="H368" s="955">
        <f>Sheet1!H373</f>
        <v>6.33</v>
      </c>
      <c r="I368" s="935">
        <f>Sheet1!DA373</f>
        <v>3690</v>
      </c>
      <c r="J368" s="935">
        <f>Sheet1!DB373</f>
        <v>2800</v>
      </c>
      <c r="K368" s="935">
        <f>Sheet1!CZ373</f>
        <v>2810</v>
      </c>
      <c r="L368" s="959">
        <f>Calculation!F371</f>
        <v>250</v>
      </c>
      <c r="M368" s="959">
        <f>Calculation!E371</f>
        <v>250</v>
      </c>
      <c r="N368" s="959">
        <f>Calculation!D371</f>
        <v>300</v>
      </c>
      <c r="O368" s="985">
        <f>Sheet1!DC373</f>
        <v>1110.2</v>
      </c>
      <c r="P368" s="986" t="e">
        <f>Calculation!FD371</f>
        <v>#N/A</v>
      </c>
      <c r="Q368" s="994">
        <f>Calculation!DP371</f>
        <v>8055.000000016953</v>
      </c>
      <c r="R368" s="985">
        <f t="shared" si="89"/>
        <v>7436.000000016953</v>
      </c>
      <c r="S368" s="987">
        <f t="shared" si="96"/>
        <v>-1845.8000000049924</v>
      </c>
      <c r="T368" s="994">
        <f ca="1">IF(A368&gt;$A$1,#N/A,VLOOKUP(A368,Calculation!$B$8:$JF$503,40,FALSE))</f>
        <v>0</v>
      </c>
      <c r="U368" s="987">
        <f t="shared" si="97"/>
        <v>0</v>
      </c>
      <c r="V368" s="987">
        <f>Calculation!AZ371</f>
        <v>0</v>
      </c>
      <c r="W368" s="994" t="e">
        <f t="shared" ca="1" si="94"/>
        <v>#N/A</v>
      </c>
      <c r="X368" s="987" t="e">
        <f t="shared" ca="1" si="92"/>
        <v>#N/A</v>
      </c>
      <c r="Y368" s="987">
        <v>0</v>
      </c>
      <c r="Z368" s="987" t="e">
        <f t="shared" ca="1" si="98"/>
        <v>#N/A</v>
      </c>
      <c r="AA368" s="994" t="e">
        <f t="shared" ca="1" si="90"/>
        <v>#N/A</v>
      </c>
      <c r="AB368" s="1093" t="e">
        <f t="shared" ca="1" si="91"/>
        <v>#N/A</v>
      </c>
      <c r="AC368" s="954" t="e">
        <f ca="1">IF(A368&gt;$A$1,VLOOKUP(A368,Calculation!$B$8:$JF$880,165,FALSE),VLOOKUP(A368,Calculation!$B$8:$JF$880,165,FALSE))</f>
        <v>#N/A</v>
      </c>
      <c r="AD368" s="418" t="e">
        <f t="shared" ca="1" si="99"/>
        <v>#N/A</v>
      </c>
      <c r="AE368" s="418"/>
      <c r="AF368" s="935">
        <f>Calculation!G371</f>
        <v>1879.1880988376238</v>
      </c>
      <c r="AG368" s="941" t="str">
        <f t="shared" si="100"/>
        <v>Yes</v>
      </c>
      <c r="AH368" s="941" t="str">
        <f t="shared" si="101"/>
        <v>Yes</v>
      </c>
      <c r="AI368" s="963">
        <v>2032.6000000029558</v>
      </c>
      <c r="AJ368" s="964">
        <v>1192.6000000032809</v>
      </c>
      <c r="AK368" s="964">
        <v>1021.4000000031332</v>
      </c>
      <c r="AN368" s="447"/>
      <c r="AO368" s="430"/>
      <c r="AP368" s="462"/>
      <c r="AQ368" s="461"/>
      <c r="AR368" s="461"/>
      <c r="AS368" s="463"/>
      <c r="AU368" s="453"/>
      <c r="AV368" s="452"/>
      <c r="AW368" s="453"/>
      <c r="AX368" s="452"/>
      <c r="AY368" s="453"/>
      <c r="AZ368" s="452"/>
      <c r="BA368" s="449"/>
    </row>
    <row r="369" spans="1:53" ht="13.5" thickBot="1">
      <c r="A369" s="425">
        <v>42000</v>
      </c>
      <c r="B369" s="954">
        <f t="shared" si="95"/>
        <v>66.644759999999991</v>
      </c>
      <c r="C369" s="954">
        <f>Calculation!AK372</f>
        <v>0</v>
      </c>
      <c r="D369" s="954">
        <f>Calculation!AI372</f>
        <v>0</v>
      </c>
      <c r="E369" s="954">
        <f>Calculation!AE372</f>
        <v>46.70393</v>
      </c>
      <c r="F369" s="954">
        <f>Calculation!AF372</f>
        <v>19.940829999999998</v>
      </c>
      <c r="G369" s="954">
        <f>Calculation!AG372</f>
        <v>41.366780000002471</v>
      </c>
      <c r="H369" s="955">
        <f>Sheet1!H374</f>
        <v>5.01</v>
      </c>
      <c r="I369" s="935">
        <f>Sheet1!DA374</f>
        <v>3590</v>
      </c>
      <c r="J369" s="935">
        <f>Sheet1!DB374</f>
        <v>2700</v>
      </c>
      <c r="K369" s="935">
        <f>Sheet1!CZ374</f>
        <v>2700</v>
      </c>
      <c r="L369" s="959">
        <f>Calculation!F372</f>
        <v>250</v>
      </c>
      <c r="M369" s="959">
        <f>Calculation!E372</f>
        <v>250</v>
      </c>
      <c r="N369" s="959">
        <f>Calculation!D372</f>
        <v>300</v>
      </c>
      <c r="O369" s="985">
        <f>Sheet1!DC374</f>
        <v>1104.5</v>
      </c>
      <c r="P369" s="986" t="e">
        <f>Calculation!FD372</f>
        <v>#N/A</v>
      </c>
      <c r="Q369" s="994">
        <f>Calculation!DP372</f>
        <v>6347.0000000133696</v>
      </c>
      <c r="R369" s="985">
        <f t="shared" si="89"/>
        <v>5728.0000000133696</v>
      </c>
      <c r="S369" s="987">
        <f t="shared" si="96"/>
        <v>-1708.0000000035834</v>
      </c>
      <c r="T369" s="994">
        <f ca="1">IF(A369&gt;$A$1,#N/A,VLOOKUP(A369,Calculation!$B$8:$JF$503,40,FALSE))</f>
        <v>0</v>
      </c>
      <c r="U369" s="987">
        <f t="shared" si="97"/>
        <v>0</v>
      </c>
      <c r="V369" s="987">
        <f>Calculation!AZ372</f>
        <v>0</v>
      </c>
      <c r="W369" s="994" t="e">
        <f t="shared" ca="1" si="94"/>
        <v>#N/A</v>
      </c>
      <c r="X369" s="987" t="e">
        <f t="shared" ca="1" si="92"/>
        <v>#N/A</v>
      </c>
      <c r="Y369" s="987">
        <v>0</v>
      </c>
      <c r="Z369" s="987" t="e">
        <f t="shared" ca="1" si="98"/>
        <v>#N/A</v>
      </c>
      <c r="AA369" s="994" t="e">
        <f t="shared" ca="1" si="90"/>
        <v>#N/A</v>
      </c>
      <c r="AB369" s="1093" t="e">
        <f t="shared" ca="1" si="91"/>
        <v>#N/A</v>
      </c>
      <c r="AC369" s="954" t="e">
        <f ca="1">IF(A369&gt;$A$1,VLOOKUP(A369,Calculation!$B$8:$JF$880,165,FALSE),VLOOKUP(A369,Calculation!$B$8:$JF$880,165,FALSE))</f>
        <v>#N/A</v>
      </c>
      <c r="AD369" s="418" t="e">
        <f t="shared" ca="1" si="99"/>
        <v>#N/A</v>
      </c>
      <c r="AE369" s="418"/>
      <c r="AF369" s="935">
        <f>Calculation!G372</f>
        <v>1838.6787695392923</v>
      </c>
      <c r="AG369" s="941" t="str">
        <f t="shared" si="100"/>
        <v>Yes</v>
      </c>
      <c r="AH369" s="941" t="str">
        <f t="shared" si="101"/>
        <v>Yes</v>
      </c>
      <c r="AI369" s="963">
        <v>2030.0000000029559</v>
      </c>
      <c r="AJ369" s="964">
        <v>1119.8000000032218</v>
      </c>
      <c r="AK369" s="964">
        <v>1437.0000000037562</v>
      </c>
      <c r="AN369" s="447"/>
      <c r="AO369" s="430"/>
      <c r="AP369" s="462"/>
      <c r="AQ369" s="461"/>
      <c r="AR369" s="461"/>
      <c r="AS369" s="463"/>
      <c r="AU369" s="453"/>
      <c r="AV369" s="452"/>
      <c r="AW369" s="453"/>
      <c r="AX369" s="452"/>
      <c r="AY369" s="453"/>
      <c r="AZ369" s="452"/>
      <c r="BA369" s="449"/>
    </row>
    <row r="370" spans="1:53" ht="13.5" thickBot="1">
      <c r="A370" s="425">
        <v>42001</v>
      </c>
      <c r="B370" s="954">
        <f t="shared" si="95"/>
        <v>67.201679999999996</v>
      </c>
      <c r="C370" s="954">
        <f>Calculation!AK373</f>
        <v>0</v>
      </c>
      <c r="D370" s="954">
        <f>Calculation!AI373</f>
        <v>0</v>
      </c>
      <c r="E370" s="954">
        <f>Calculation!AE373</f>
        <v>46.611109999999996</v>
      </c>
      <c r="F370" s="954">
        <f>Calculation!AF373</f>
        <v>20.59057</v>
      </c>
      <c r="G370" s="954">
        <f>Calculation!AG373</f>
        <v>40.020889999998424</v>
      </c>
      <c r="H370" s="955">
        <f>Sheet1!H375</f>
        <v>5.17</v>
      </c>
      <c r="I370" s="935">
        <f>Sheet1!DA375</f>
        <v>3500</v>
      </c>
      <c r="J370" s="935">
        <f>Sheet1!DB375</f>
        <v>2590</v>
      </c>
      <c r="K370" s="935">
        <f>Sheet1!CZ375</f>
        <v>2610</v>
      </c>
      <c r="L370" s="959">
        <f>Calculation!F373</f>
        <v>250</v>
      </c>
      <c r="M370" s="959">
        <f>Calculation!E373</f>
        <v>250</v>
      </c>
      <c r="N370" s="959">
        <f>Calculation!D373</f>
        <v>300</v>
      </c>
      <c r="O370" s="985">
        <f>Sheet1!DC375</f>
        <v>1100.4100000000001</v>
      </c>
      <c r="P370" s="986" t="e">
        <f>Calculation!FD373</f>
        <v>#N/A</v>
      </c>
      <c r="Q370" s="994">
        <f>Calculation!DP373</f>
        <v>5244.6000000114691</v>
      </c>
      <c r="R370" s="985">
        <f t="shared" si="89"/>
        <v>4625.6000000114691</v>
      </c>
      <c r="S370" s="987">
        <f t="shared" si="96"/>
        <v>-1102.4000000019005</v>
      </c>
      <c r="T370" s="994">
        <f ca="1">IF(A370&gt;$A$1,#N/A,VLOOKUP(A370,Calculation!$B$8:$JF$503,40,FALSE))</f>
        <v>0</v>
      </c>
      <c r="U370" s="987">
        <f t="shared" si="97"/>
        <v>0</v>
      </c>
      <c r="V370" s="987">
        <f>Calculation!AZ373</f>
        <v>0</v>
      </c>
      <c r="W370" s="994" t="e">
        <f t="shared" ca="1" si="94"/>
        <v>#N/A</v>
      </c>
      <c r="X370" s="987" t="e">
        <f t="shared" ca="1" si="92"/>
        <v>#N/A</v>
      </c>
      <c r="Y370" s="987">
        <v>0</v>
      </c>
      <c r="Z370" s="987" t="e">
        <f t="shared" ca="1" si="98"/>
        <v>#N/A</v>
      </c>
      <c r="AA370" s="994" t="e">
        <f t="shared" ca="1" si="90"/>
        <v>#N/A</v>
      </c>
      <c r="AB370" s="1093" t="e">
        <f t="shared" ca="1" si="91"/>
        <v>#N/A</v>
      </c>
      <c r="AC370" s="954" t="e">
        <f ca="1">IF(A370&gt;$A$1,VLOOKUP(A370,Calculation!$B$8:$JF$880,165,FALSE),VLOOKUP(A370,Calculation!$B$8:$JF$880,165,FALSE))</f>
        <v>#N/A</v>
      </c>
      <c r="AD370" s="418" t="e">
        <f t="shared" ca="1" si="99"/>
        <v>#N/A</v>
      </c>
      <c r="AE370" s="418"/>
      <c r="AF370" s="935">
        <f>Calculation!G373</f>
        <v>2054.0746343913765</v>
      </c>
      <c r="AG370" s="941" t="str">
        <f t="shared" si="100"/>
        <v>Yes</v>
      </c>
      <c r="AH370" s="941" t="str">
        <f t="shared" si="101"/>
        <v>Yes</v>
      </c>
      <c r="AI370" s="963">
        <v>4873.4400000081359</v>
      </c>
      <c r="AJ370" s="964">
        <v>1131.5000000032219</v>
      </c>
      <c r="AK370" s="964">
        <v>1625.0000000042292</v>
      </c>
      <c r="AN370" s="447"/>
      <c r="AO370" s="430"/>
      <c r="AP370" s="462"/>
      <c r="AQ370" s="461"/>
      <c r="AR370" s="461"/>
      <c r="AS370" s="463"/>
      <c r="AU370" s="453"/>
      <c r="AV370" s="452"/>
      <c r="AW370" s="453"/>
      <c r="AX370" s="452"/>
      <c r="AY370" s="453"/>
      <c r="AZ370" s="452"/>
      <c r="BA370" s="449"/>
    </row>
    <row r="371" spans="1:53" ht="13.5" thickBot="1">
      <c r="A371" s="425">
        <v>42002</v>
      </c>
      <c r="B371" s="954">
        <f t="shared" si="95"/>
        <v>73.173100000000005</v>
      </c>
      <c r="C371" s="954">
        <f>Calculation!AK374</f>
        <v>0</v>
      </c>
      <c r="D371" s="954">
        <f>Calculation!AI374</f>
        <v>0</v>
      </c>
      <c r="E371" s="954">
        <f>Calculation!AE374</f>
        <v>46.41</v>
      </c>
      <c r="F371" s="954">
        <f>Calculation!AF374</f>
        <v>26.763100000000001</v>
      </c>
      <c r="G371" s="954">
        <f>Calculation!AG374</f>
        <v>34.250579999999097</v>
      </c>
      <c r="H371" s="955">
        <f>Sheet1!H376</f>
        <v>4.62</v>
      </c>
      <c r="I371" s="935">
        <f>Sheet1!DA376</f>
        <v>2440</v>
      </c>
      <c r="J371" s="935">
        <f>Sheet1!DB376</f>
        <v>1640</v>
      </c>
      <c r="K371" s="935">
        <f>Sheet1!CZ376</f>
        <v>1630</v>
      </c>
      <c r="L371" s="959">
        <f>Calculation!F374</f>
        <v>250</v>
      </c>
      <c r="M371" s="959">
        <f>Calculation!E374</f>
        <v>250</v>
      </c>
      <c r="N371" s="959">
        <f>Calculation!D374</f>
        <v>300</v>
      </c>
      <c r="O371" s="985">
        <f>Sheet1!DC376</f>
        <v>1098.2</v>
      </c>
      <c r="P371" s="986" t="e">
        <f>Calculation!FD374</f>
        <v>#N/A</v>
      </c>
      <c r="Q371" s="994">
        <f>Calculation!DP374</f>
        <v>4687.0000000105156</v>
      </c>
      <c r="R371" s="985">
        <f t="shared" si="89"/>
        <v>4068.0000000105156</v>
      </c>
      <c r="S371" s="987">
        <f t="shared" si="96"/>
        <v>-557.60000000095351</v>
      </c>
      <c r="T371" s="994">
        <f ca="1">IF(A371&gt;$A$1,#N/A,VLOOKUP(A371,Calculation!$B$8:$JF$503,40,FALSE))</f>
        <v>0</v>
      </c>
      <c r="U371" s="987">
        <f t="shared" si="97"/>
        <v>0</v>
      </c>
      <c r="V371" s="987">
        <f>Calculation!AZ374</f>
        <v>0</v>
      </c>
      <c r="W371" s="994" t="e">
        <f t="shared" ca="1" si="94"/>
        <v>#N/A</v>
      </c>
      <c r="X371" s="987" t="e">
        <f t="shared" ca="1" si="92"/>
        <v>#N/A</v>
      </c>
      <c r="Y371" s="987">
        <v>0</v>
      </c>
      <c r="Z371" s="987" t="e">
        <f t="shared" ca="1" si="98"/>
        <v>#N/A</v>
      </c>
      <c r="AA371" s="994" t="e">
        <f t="shared" ca="1" si="90"/>
        <v>#N/A</v>
      </c>
      <c r="AB371" s="1093" t="e">
        <f t="shared" ca="1" si="91"/>
        <v>#N/A</v>
      </c>
      <c r="AC371" s="954" t="e">
        <f ca="1">IF(A371&gt;$A$1,VLOOKUP(A371,Calculation!$B$8:$JF$880,165,FALSE),VLOOKUP(A371,Calculation!$B$8:$JF$880,165,FALSE))</f>
        <v>#N/A</v>
      </c>
      <c r="AD371" s="418" t="e">
        <f t="shared" ca="1" si="99"/>
        <v>#N/A</v>
      </c>
      <c r="AE371" s="418"/>
      <c r="AF371" s="935">
        <f>Calculation!G374</f>
        <v>1348.8098840136392</v>
      </c>
      <c r="AG371" s="941" t="str">
        <f t="shared" si="100"/>
        <v>Yes</v>
      </c>
      <c r="AH371" s="941" t="str">
        <f t="shared" si="101"/>
        <v>Yes</v>
      </c>
      <c r="AI371" s="963">
        <v>5345.0000000092841</v>
      </c>
      <c r="AJ371" s="964">
        <v>1114.6000000032218</v>
      </c>
      <c r="AK371" s="964">
        <v>1467.800000003788</v>
      </c>
      <c r="AN371" s="447"/>
      <c r="AO371" s="430"/>
      <c r="AP371" s="462"/>
      <c r="AQ371" s="461"/>
      <c r="AR371" s="461"/>
      <c r="AS371" s="463"/>
      <c r="AU371" s="453"/>
      <c r="AV371" s="452"/>
      <c r="AW371" s="453"/>
      <c r="AX371" s="452"/>
      <c r="AY371" s="453"/>
      <c r="AZ371" s="452"/>
      <c r="BA371" s="449"/>
    </row>
    <row r="372" spans="1:53" ht="13.5" thickBot="1">
      <c r="A372" s="425">
        <v>42003</v>
      </c>
      <c r="B372" s="954">
        <f t="shared" si="95"/>
        <v>77.349999999999994</v>
      </c>
      <c r="C372" s="954">
        <f>Calculation!AK375</f>
        <v>0</v>
      </c>
      <c r="D372" s="954">
        <f>Calculation!AI375</f>
        <v>0</v>
      </c>
      <c r="E372" s="954">
        <f>Calculation!AE375</f>
        <v>46.41</v>
      </c>
      <c r="F372" s="954">
        <f>Calculation!AF375</f>
        <v>30.939999999999998</v>
      </c>
      <c r="G372" s="954">
        <f>Calculation!AG375</f>
        <v>8.4775599999993236</v>
      </c>
      <c r="H372" s="955">
        <f>Sheet1!H377</f>
        <v>3.57</v>
      </c>
      <c r="I372" s="935">
        <f>Sheet1!DA377</f>
        <v>2150</v>
      </c>
      <c r="J372" s="935">
        <f>Sheet1!DB377</f>
        <v>1470</v>
      </c>
      <c r="K372" s="935">
        <f>Sheet1!CZ377</f>
        <v>1520</v>
      </c>
      <c r="L372" s="959">
        <f>Calculation!F375</f>
        <v>250</v>
      </c>
      <c r="M372" s="959">
        <f>Calculation!E375</f>
        <v>250</v>
      </c>
      <c r="N372" s="959">
        <f>Calculation!D375</f>
        <v>300</v>
      </c>
      <c r="O372" s="985">
        <f>Sheet1!DC377</f>
        <v>1089.3</v>
      </c>
      <c r="P372" s="986" t="e">
        <f>Calculation!FD375</f>
        <v>#N/A</v>
      </c>
      <c r="Q372" s="994">
        <f>Calculation!DP375</f>
        <v>2710.0000000064369</v>
      </c>
      <c r="R372" s="985">
        <f t="shared" si="89"/>
        <v>2091.0000000064369</v>
      </c>
      <c r="S372" s="987">
        <f t="shared" si="96"/>
        <v>-1977.0000000040786</v>
      </c>
      <c r="T372" s="994">
        <f ca="1">IF(A372&gt;$A$1,#N/A,VLOOKUP(A372,Calculation!$B$8:$JF$503,40,FALSE))</f>
        <v>0</v>
      </c>
      <c r="U372" s="987">
        <f t="shared" si="97"/>
        <v>0</v>
      </c>
      <c r="V372" s="987">
        <f>Calculation!AZ375</f>
        <v>0</v>
      </c>
      <c r="W372" s="994" t="e">
        <f t="shared" ca="1" si="94"/>
        <v>#N/A</v>
      </c>
      <c r="X372" s="987" t="e">
        <f t="shared" ca="1" si="92"/>
        <v>#N/A</v>
      </c>
      <c r="Y372" s="987">
        <v>0</v>
      </c>
      <c r="Z372" s="987" t="e">
        <f t="shared" ca="1" si="98"/>
        <v>#N/A</v>
      </c>
      <c r="AA372" s="994" t="e">
        <f t="shared" ca="1" si="90"/>
        <v>#N/A</v>
      </c>
      <c r="AB372" s="1093" t="e">
        <f t="shared" ca="1" si="91"/>
        <v>#N/A</v>
      </c>
      <c r="AC372" s="954" t="e">
        <f ca="1">IF(A372&gt;$A$1,VLOOKUP(A372,Calculation!$B$8:$JF$880,165,FALSE),VLOOKUP(A372,Calculation!$B$8:$JF$880,165,FALSE))</f>
        <v>#N/A</v>
      </c>
      <c r="AD372" s="418" t="e">
        <f t="shared" ca="1" si="99"/>
        <v>#N/A</v>
      </c>
      <c r="AE372" s="418"/>
      <c r="AF372" s="935">
        <f>Calculation!G375</f>
        <v>523.02571860611283</v>
      </c>
      <c r="AG372" s="941" t="str">
        <f t="shared" si="100"/>
        <v>Yes</v>
      </c>
      <c r="AH372" s="941" t="str">
        <f t="shared" si="101"/>
        <v>Yes</v>
      </c>
      <c r="AI372" s="963">
        <v>6144.1600000108301</v>
      </c>
      <c r="AJ372" s="964">
        <v>1095.1000000031922</v>
      </c>
      <c r="AK372" s="964">
        <v>1164.0000000032514</v>
      </c>
      <c r="AN372" s="447"/>
      <c r="AO372" s="430"/>
      <c r="AP372" s="462"/>
      <c r="AQ372" s="461"/>
      <c r="AR372" s="461"/>
      <c r="AS372" s="463"/>
      <c r="AU372" s="453"/>
      <c r="AV372" s="452"/>
      <c r="AW372" s="453"/>
      <c r="AX372" s="452"/>
      <c r="AY372" s="453"/>
      <c r="AZ372" s="452"/>
      <c r="BA372" s="449"/>
    </row>
    <row r="373" spans="1:53" ht="13.5" thickBot="1">
      <c r="A373" s="425">
        <v>42004</v>
      </c>
      <c r="B373" s="954">
        <f t="shared" si="95"/>
        <v>77.349999999999994</v>
      </c>
      <c r="C373" s="954">
        <f>Calculation!AK376</f>
        <v>0</v>
      </c>
      <c r="D373" s="954">
        <f>Calculation!AI376</f>
        <v>0</v>
      </c>
      <c r="E373" s="954">
        <f>Calculation!AE376</f>
        <v>46.41</v>
      </c>
      <c r="F373" s="954">
        <f>Calculation!AF376</f>
        <v>30.939999999999998</v>
      </c>
      <c r="G373" s="954">
        <f>Calculation!AG376</f>
        <v>0</v>
      </c>
      <c r="H373" s="955">
        <f>Sheet1!H378</f>
        <v>2.27</v>
      </c>
      <c r="I373" s="935">
        <f>Sheet1!DA378</f>
        <v>1870</v>
      </c>
      <c r="J373" s="935">
        <f>Sheet1!DB378</f>
        <v>1230</v>
      </c>
      <c r="K373" s="935">
        <f>Sheet1!CZ378</f>
        <v>1280</v>
      </c>
      <c r="L373" s="959">
        <f>Calculation!F376</f>
        <v>250</v>
      </c>
      <c r="M373" s="959">
        <f>Calculation!E376</f>
        <v>250</v>
      </c>
      <c r="N373" s="959">
        <f>Calculation!D376</f>
        <v>300</v>
      </c>
      <c r="O373" s="985">
        <f>Sheet1!DC378</f>
        <v>1088.4000000000001</v>
      </c>
      <c r="P373" s="986" t="e">
        <f>Calculation!FD376</f>
        <v>#N/A</v>
      </c>
      <c r="Q373" s="994">
        <f>Calculation!DP376</f>
        <v>2540.0000000059754</v>
      </c>
      <c r="R373" s="985">
        <f t="shared" si="89"/>
        <v>1921.0000000059754</v>
      </c>
      <c r="S373" s="987">
        <f t="shared" si="96"/>
        <v>-170.00000000046157</v>
      </c>
      <c r="T373" s="994">
        <f ca="1">IF(A373&gt;$A$1,#N/A,VLOOKUP(A373,Calculation!$B$8:$JF$503,40,FALSE))</f>
        <v>0</v>
      </c>
      <c r="U373" s="987">
        <f t="shared" si="97"/>
        <v>0</v>
      </c>
      <c r="V373" s="987">
        <f>Calculation!AZ376</f>
        <v>0</v>
      </c>
      <c r="W373" s="994" t="e">
        <f t="shared" ca="1" si="94"/>
        <v>#N/A</v>
      </c>
      <c r="X373" s="987" t="e">
        <f t="shared" ca="1" si="92"/>
        <v>#N/A</v>
      </c>
      <c r="Y373" s="987">
        <v>0</v>
      </c>
      <c r="Z373" s="987" t="e">
        <f t="shared" ca="1" si="98"/>
        <v>#N/A</v>
      </c>
      <c r="AA373" s="994" t="e">
        <f t="shared" ca="1" si="90"/>
        <v>#N/A</v>
      </c>
      <c r="AB373" s="1093" t="e">
        <f t="shared" ca="1" si="91"/>
        <v>#N/A</v>
      </c>
      <c r="AC373" s="954" t="e">
        <f ca="1">IF(A373&gt;$A$1,VLOOKUP(A373,Calculation!$B$8:$JF$880,165,FALSE),VLOOKUP(A373,Calculation!$B$8:$JF$880,165,FALSE))</f>
        <v>#N/A</v>
      </c>
      <c r="AD373" s="418" t="e">
        <f t="shared" ca="1" si="99"/>
        <v>#N/A</v>
      </c>
      <c r="AE373" s="418"/>
      <c r="AF373" s="935">
        <f>Calculation!G376</f>
        <v>1194.2713061016332</v>
      </c>
      <c r="AG373" s="941" t="str">
        <f t="shared" si="100"/>
        <v>Yes</v>
      </c>
      <c r="AH373" s="941" t="str">
        <f t="shared" si="101"/>
        <v>Yes</v>
      </c>
      <c r="AI373" s="963">
        <v>4686.0000000079426</v>
      </c>
      <c r="AJ373" s="964">
        <v>1020.1000000031332</v>
      </c>
      <c r="AK373" s="964">
        <v>974.00000000283762</v>
      </c>
      <c r="AN373" s="447"/>
      <c r="AO373" s="430"/>
      <c r="AP373" s="462"/>
      <c r="AQ373" s="461"/>
      <c r="AR373" s="461"/>
      <c r="AS373" s="463"/>
      <c r="AU373" s="453"/>
      <c r="AV373" s="452"/>
      <c r="AW373" s="453"/>
      <c r="AX373" s="452"/>
      <c r="AY373" s="453"/>
      <c r="AZ373" s="452"/>
      <c r="BA373" s="449"/>
    </row>
    <row r="374" spans="1:53" ht="13.5" thickBot="1">
      <c r="A374" s="425">
        <v>42005</v>
      </c>
      <c r="B374" s="954">
        <f t="shared" si="95"/>
        <v>76.576499999999996</v>
      </c>
      <c r="C374" s="954">
        <f>Calculation!AK377</f>
        <v>0</v>
      </c>
      <c r="D374" s="954">
        <f>Calculation!AI377</f>
        <v>0</v>
      </c>
      <c r="E374" s="954">
        <f>Calculation!AE377</f>
        <v>45.636499999999998</v>
      </c>
      <c r="F374" s="954">
        <f>Calculation!AF377</f>
        <v>30.939999999999998</v>
      </c>
      <c r="G374" s="954">
        <f>Calculation!AG377</f>
        <v>0</v>
      </c>
      <c r="H374" s="955">
        <f>Sheet1!H379</f>
        <v>2.21</v>
      </c>
      <c r="I374" s="935">
        <f>Sheet1!DA379</f>
        <v>1800</v>
      </c>
      <c r="J374" s="935">
        <f>Sheet1!DB379</f>
        <v>1190</v>
      </c>
      <c r="K374" s="935">
        <f>Sheet1!CZ379</f>
        <v>1260</v>
      </c>
      <c r="L374" s="959">
        <f>Calculation!F377</f>
        <v>250</v>
      </c>
      <c r="M374" s="959">
        <f>Calculation!E377</f>
        <v>250</v>
      </c>
      <c r="N374" s="959">
        <f>Calculation!D377</f>
        <v>300</v>
      </c>
      <c r="O374" s="985">
        <f>Sheet1!DC379</f>
        <v>1087.2</v>
      </c>
      <c r="P374" s="986" t="e">
        <f>Calculation!FD377</f>
        <v>#N/A</v>
      </c>
      <c r="Q374" s="994">
        <f>Calculation!DP377</f>
        <v>2323.0000000057707</v>
      </c>
      <c r="R374" s="985">
        <f t="shared" si="89"/>
        <v>1704.0000000057707</v>
      </c>
      <c r="S374" s="987">
        <f t="shared" si="96"/>
        <v>-217.00000000020464</v>
      </c>
      <c r="T374" s="994">
        <f ca="1">IF(A374&gt;$A$1,#N/A,VLOOKUP(A374,Calculation!$B$8:$JF$503,40,FALSE))</f>
        <v>0</v>
      </c>
      <c r="U374" s="987">
        <f t="shared" si="97"/>
        <v>0</v>
      </c>
      <c r="V374" s="987">
        <f>Calculation!AZ377</f>
        <v>0</v>
      </c>
      <c r="W374" s="994" t="e">
        <f t="shared" ca="1" si="94"/>
        <v>#N/A</v>
      </c>
      <c r="X374" s="987" t="e">
        <f t="shared" ca="1" si="92"/>
        <v>#N/A</v>
      </c>
      <c r="Y374" s="987">
        <v>0</v>
      </c>
      <c r="Z374" s="987" t="e">
        <f t="shared" ca="1" si="98"/>
        <v>#N/A</v>
      </c>
      <c r="AA374" s="994" t="e">
        <f t="shared" ca="1" si="90"/>
        <v>#N/A</v>
      </c>
      <c r="AB374" s="1093" t="e">
        <f t="shared" ca="1" si="91"/>
        <v>#N/A</v>
      </c>
      <c r="AC374" s="954" t="e">
        <f ca="1">IF(A374&gt;$A$1,VLOOKUP(A374,Calculation!$B$8:$JF$880,165,FALSE),VLOOKUP(A374,Calculation!$B$8:$JF$880,165,FALSE))</f>
        <v>#N/A</v>
      </c>
      <c r="AD374" s="418" t="e">
        <f t="shared" ca="1" si="99"/>
        <v>#N/A</v>
      </c>
      <c r="AE374" s="418"/>
      <c r="AF374" s="935">
        <f>Calculation!G377</f>
        <v>1150.569843671102</v>
      </c>
      <c r="AG374" s="941" t="str">
        <f t="shared" si="100"/>
        <v>Yes</v>
      </c>
      <c r="AH374" s="941" t="str">
        <f t="shared" si="101"/>
        <v>Yes</v>
      </c>
      <c r="AI374" s="963"/>
      <c r="AJ374" s="964">
        <v>971.40000000307407</v>
      </c>
      <c r="AK374" s="964"/>
      <c r="AN374" s="447"/>
      <c r="AO374" s="430"/>
      <c r="AP374" s="462"/>
      <c r="AQ374" s="461"/>
      <c r="AR374" s="461"/>
      <c r="AS374" s="463"/>
      <c r="AU374" s="453"/>
      <c r="AV374" s="452"/>
      <c r="AW374" s="453"/>
      <c r="AX374" s="452"/>
      <c r="AY374" s="453"/>
      <c r="AZ374" s="452"/>
      <c r="BA374" s="449"/>
    </row>
    <row r="375" spans="1:53" ht="13.5" thickBot="1">
      <c r="A375" s="425">
        <v>42006</v>
      </c>
      <c r="B375" s="954">
        <f t="shared" si="95"/>
        <v>76.638379999999984</v>
      </c>
      <c r="C375" s="954">
        <f>Calculation!AK378</f>
        <v>0</v>
      </c>
      <c r="D375" s="954">
        <f>Calculation!AI378</f>
        <v>0</v>
      </c>
      <c r="E375" s="954">
        <f>Calculation!AE378</f>
        <v>45.698379999999993</v>
      </c>
      <c r="F375" s="954">
        <f>Calculation!AF378</f>
        <v>30.939999999999998</v>
      </c>
      <c r="G375" s="954">
        <f>Calculation!AG378</f>
        <v>0</v>
      </c>
      <c r="H375" s="955">
        <f>Sheet1!H380</f>
        <v>2.5099999999999998</v>
      </c>
      <c r="I375" s="935">
        <f>Sheet1!DA380</f>
        <v>1780</v>
      </c>
      <c r="J375" s="935">
        <f>Sheet1!DB380</f>
        <v>1180</v>
      </c>
      <c r="K375" s="935">
        <f>Sheet1!CZ380</f>
        <v>1230</v>
      </c>
      <c r="L375" s="959">
        <f>Calculation!F378</f>
        <v>250</v>
      </c>
      <c r="M375" s="959">
        <f>Calculation!E378</f>
        <v>250</v>
      </c>
      <c r="N375" s="959">
        <f>Calculation!D378</f>
        <v>300</v>
      </c>
      <c r="O375" s="985">
        <f>Sheet1!DC380</f>
        <v>1085.0999999999999</v>
      </c>
      <c r="P375" s="986" t="e">
        <f>Calculation!FD378</f>
        <v>#N/A</v>
      </c>
      <c r="Q375" s="994">
        <f>Calculation!DP378</f>
        <v>1968.0000000048021</v>
      </c>
      <c r="R375" s="985">
        <f t="shared" si="89"/>
        <v>1349.0000000048021</v>
      </c>
      <c r="S375" s="987">
        <f t="shared" si="96"/>
        <v>-355.00000000096861</v>
      </c>
      <c r="T375" s="994">
        <f ca="1">IF(A375&gt;$A$1,#N/A,VLOOKUP(A375,Calculation!$B$8:$JF$503,40,FALSE))</f>
        <v>0</v>
      </c>
      <c r="U375" s="987">
        <f t="shared" si="97"/>
        <v>0</v>
      </c>
      <c r="V375" s="987">
        <f>Calculation!AZ378</f>
        <v>0</v>
      </c>
      <c r="W375" s="994" t="e">
        <f t="shared" ca="1" si="94"/>
        <v>#N/A</v>
      </c>
      <c r="X375" s="987" t="e">
        <f t="shared" ca="1" si="92"/>
        <v>#N/A</v>
      </c>
      <c r="Y375" s="987">
        <v>0</v>
      </c>
      <c r="Z375" s="987" t="e">
        <f t="shared" ca="1" si="98"/>
        <v>#N/A</v>
      </c>
      <c r="AA375" s="994" t="e">
        <f t="shared" ca="1" si="90"/>
        <v>#N/A</v>
      </c>
      <c r="AB375" s="1093" t="e">
        <f t="shared" ca="1" si="91"/>
        <v>#N/A</v>
      </c>
      <c r="AC375" s="954" t="e">
        <f ca="1">IF(A375&gt;$A$1,VLOOKUP(A375,Calculation!$B$8:$JF$880,165,FALSE),VLOOKUP(A375,Calculation!$B$8:$JF$880,165,FALSE))</f>
        <v>#N/A</v>
      </c>
      <c r="AD375" s="418" t="e">
        <f t="shared" ca="1" si="99"/>
        <v>#N/A</v>
      </c>
      <c r="AE375" s="418"/>
      <c r="AF375" s="935">
        <f>Calculation!G378</f>
        <v>1050.9783156828198</v>
      </c>
      <c r="AG375" s="941" t="str">
        <f t="shared" si="100"/>
        <v>Yes</v>
      </c>
      <c r="AH375" s="941" t="str">
        <f t="shared" si="101"/>
        <v>Yes</v>
      </c>
      <c r="AI375" s="961"/>
      <c r="AJ375" s="962"/>
      <c r="AK375" s="962"/>
      <c r="AN375" s="447"/>
      <c r="AO375" s="430"/>
      <c r="AP375" s="462"/>
      <c r="AQ375" s="461"/>
      <c r="AR375" s="461"/>
      <c r="AS375" s="463"/>
      <c r="AU375" s="453"/>
      <c r="AV375" s="452"/>
      <c r="AW375" s="453"/>
      <c r="AX375" s="452"/>
      <c r="AY375" s="453"/>
      <c r="AZ375" s="452"/>
      <c r="BA375" s="449"/>
    </row>
    <row r="376" spans="1:53" ht="13.5" thickBot="1">
      <c r="A376" s="425">
        <v>42007</v>
      </c>
      <c r="B376" s="954">
        <f t="shared" si="95"/>
        <v>76.514619999999994</v>
      </c>
      <c r="C376" s="954">
        <f>Calculation!AK379</f>
        <v>0</v>
      </c>
      <c r="D376" s="954">
        <f>Calculation!AI379</f>
        <v>0</v>
      </c>
      <c r="E376" s="954">
        <f>Calculation!AE379</f>
        <v>45.729319999999994</v>
      </c>
      <c r="F376" s="954">
        <f>Calculation!AF379</f>
        <v>30.785299999999996</v>
      </c>
      <c r="G376" s="954">
        <f>Calculation!AG379</f>
        <v>0</v>
      </c>
      <c r="H376" s="955">
        <f>Sheet1!H381</f>
        <v>2.48</v>
      </c>
      <c r="I376" s="935">
        <f>Sheet1!DA381</f>
        <v>1720</v>
      </c>
      <c r="J376" s="935">
        <f>Sheet1!DB381</f>
        <v>1130</v>
      </c>
      <c r="K376" s="935">
        <f>Sheet1!CZ381</f>
        <v>1190</v>
      </c>
      <c r="L376" s="959">
        <f>Calculation!F379</f>
        <v>250</v>
      </c>
      <c r="M376" s="959">
        <f>Calculation!E379</f>
        <v>250</v>
      </c>
      <c r="N376" s="959">
        <f>Calculation!D379</f>
        <v>300</v>
      </c>
      <c r="O376" s="985">
        <f>Sheet1!DC381</f>
        <v>1082.2</v>
      </c>
      <c r="P376" s="986" t="e">
        <f>Calculation!FD379</f>
        <v>#N/A</v>
      </c>
      <c r="Q376" s="994">
        <f>Calculation!DP379</f>
        <v>1523.0000000038517</v>
      </c>
      <c r="R376" s="985">
        <f t="shared" si="89"/>
        <v>904.00000000385171</v>
      </c>
      <c r="S376" s="987">
        <f t="shared" si="96"/>
        <v>-445.00000000095042</v>
      </c>
      <c r="T376" s="994">
        <f ca="1">IF(A376&gt;$A$1,#N/A,VLOOKUP(A376,Calculation!$B$8:$JF$503,40,FALSE))</f>
        <v>0</v>
      </c>
      <c r="U376" s="987">
        <f t="shared" si="97"/>
        <v>0</v>
      </c>
      <c r="V376" s="987">
        <f>Calculation!AZ379</f>
        <v>0</v>
      </c>
      <c r="W376" s="994" t="e">
        <f t="shared" ca="1" si="94"/>
        <v>#N/A</v>
      </c>
      <c r="X376" s="987" t="e">
        <f t="shared" ca="1" si="92"/>
        <v>#N/A</v>
      </c>
      <c r="Y376" s="987">
        <v>0</v>
      </c>
      <c r="Z376" s="987" t="e">
        <f t="shared" ca="1" si="98"/>
        <v>#N/A</v>
      </c>
      <c r="AA376" s="994" t="e">
        <f t="shared" ca="1" si="90"/>
        <v>#N/A</v>
      </c>
      <c r="AB376" s="1093" t="e">
        <f t="shared" ca="1" si="91"/>
        <v>#N/A</v>
      </c>
      <c r="AC376" s="954" t="e">
        <f ca="1">IF(A376&gt;$A$1,VLOOKUP(A376,Calculation!$B$8:$JF$880,165,FALSE),VLOOKUP(A376,Calculation!$B$8:$JF$880,165,FALSE))</f>
        <v>#N/A</v>
      </c>
      <c r="AD376" s="418" t="e">
        <f t="shared" ca="1" si="99"/>
        <v>#N/A</v>
      </c>
      <c r="AE376" s="418"/>
      <c r="AF376" s="935">
        <f>Calculation!G379</f>
        <v>965.59253656028727</v>
      </c>
      <c r="AG376" s="941" t="str">
        <f t="shared" si="100"/>
        <v>Yes</v>
      </c>
      <c r="AH376" s="941" t="str">
        <f t="shared" si="101"/>
        <v>Yes</v>
      </c>
      <c r="AI376" s="962"/>
      <c r="AJ376" s="962"/>
      <c r="AK376" s="962"/>
      <c r="AN376" s="447"/>
      <c r="AO376" s="430"/>
      <c r="AP376" s="462"/>
      <c r="AQ376" s="461"/>
      <c r="AR376" s="461"/>
      <c r="AS376" s="463"/>
      <c r="AU376" s="453"/>
      <c r="AV376" s="452"/>
      <c r="AW376" s="453"/>
      <c r="AX376" s="452"/>
      <c r="AY376" s="453"/>
      <c r="AZ376" s="452"/>
      <c r="BA376" s="449"/>
    </row>
    <row r="377" spans="1:53" ht="13.5" thickBot="1">
      <c r="A377" s="425">
        <v>42008</v>
      </c>
      <c r="B377" s="954">
        <f t="shared" si="95"/>
        <v>76.591970000000003</v>
      </c>
      <c r="C377" s="954">
        <f>Calculation!AK380</f>
        <v>0</v>
      </c>
      <c r="D377" s="954">
        <f>Calculation!AI380</f>
        <v>0</v>
      </c>
      <c r="E377" s="954">
        <f>Calculation!AE380</f>
        <v>45.651969999999999</v>
      </c>
      <c r="F377" s="954">
        <f>Calculation!AF380</f>
        <v>30.939999999999998</v>
      </c>
      <c r="G377" s="954" t="e">
        <f>Calculation!AG380</f>
        <v>#N/A</v>
      </c>
      <c r="H377" s="955">
        <f>Sheet1!H382</f>
        <v>9.1300000000000008</v>
      </c>
      <c r="I377" s="935">
        <f>Sheet1!DA382</f>
        <v>1790</v>
      </c>
      <c r="J377" s="935">
        <f>Sheet1!DB382</f>
        <v>1460</v>
      </c>
      <c r="K377" s="935">
        <f>Sheet1!CZ382</f>
        <v>1420</v>
      </c>
      <c r="L377" s="959">
        <f>Calculation!F380</f>
        <v>250</v>
      </c>
      <c r="M377" s="959">
        <f>Calculation!E380</f>
        <v>250</v>
      </c>
      <c r="N377" s="959">
        <f>Calculation!D380</f>
        <v>300</v>
      </c>
      <c r="O377" s="985">
        <f>Sheet1!DC382</f>
        <v>1079.9000000000001</v>
      </c>
      <c r="P377" s="986" t="e">
        <f>Calculation!FD380</f>
        <v>#N/A</v>
      </c>
      <c r="Q377" s="994">
        <f>Calculation!DP380</f>
        <v>1203.0000000033106</v>
      </c>
      <c r="R377" s="985">
        <f t="shared" si="89"/>
        <v>584.00000000331056</v>
      </c>
      <c r="S377" s="987">
        <f t="shared" si="96"/>
        <v>-320.00000000054115</v>
      </c>
      <c r="T377" s="994">
        <f ca="1">IF(A377&gt;$A$1,#N/A,VLOOKUP(A377,Calculation!$B$8:$JF$503,40,FALSE))</f>
        <v>0</v>
      </c>
      <c r="U377" s="987">
        <f t="shared" si="97"/>
        <v>0</v>
      </c>
      <c r="V377" s="987">
        <f>Calculation!AZ380</f>
        <v>0</v>
      </c>
      <c r="W377" s="994" t="e">
        <f t="shared" ca="1" si="94"/>
        <v>#N/A</v>
      </c>
      <c r="X377" s="987" t="e">
        <f t="shared" ca="1" si="92"/>
        <v>#N/A</v>
      </c>
      <c r="Y377" s="987">
        <v>0</v>
      </c>
      <c r="Z377" s="987" t="e">
        <f t="shared" ca="1" si="98"/>
        <v>#N/A</v>
      </c>
      <c r="AA377" s="994" t="e">
        <f t="shared" ca="1" si="90"/>
        <v>#N/A</v>
      </c>
      <c r="AB377" s="1093" t="e">
        <f t="shared" ca="1" si="91"/>
        <v>#N/A</v>
      </c>
      <c r="AC377" s="954">
        <f ca="1">IF(A377&gt;$A$1,VLOOKUP(A377,Calculation!$B$8:$JF$880,165,FALSE),VLOOKUP(A377,Calculation!$B$8:$JF$880,165,FALSE))</f>
        <v>0</v>
      </c>
      <c r="AD377" s="418" t="e">
        <f t="shared" ca="1" si="99"/>
        <v>#N/A</v>
      </c>
      <c r="AE377" s="418"/>
      <c r="AF377" s="935">
        <f>Calculation!G380</f>
        <v>1258.628340897357</v>
      </c>
      <c r="AG377" s="941" t="str">
        <f t="shared" si="100"/>
        <v>Yes</v>
      </c>
      <c r="AH377" s="941" t="str">
        <f t="shared" si="101"/>
        <v>Yes</v>
      </c>
      <c r="AI377" s="962"/>
      <c r="AJ377" s="962"/>
      <c r="AK377" s="962"/>
      <c r="AN377" s="447"/>
      <c r="AO377" s="430"/>
      <c r="AP377" s="462"/>
      <c r="AQ377" s="461"/>
      <c r="AR377" s="461"/>
      <c r="AS377" s="463"/>
      <c r="AU377" s="453"/>
      <c r="AV377" s="452"/>
      <c r="AW377" s="453"/>
      <c r="AX377" s="452"/>
      <c r="AY377" s="453"/>
      <c r="AZ377" s="452"/>
      <c r="BA377" s="449"/>
    </row>
    <row r="378" spans="1:53" ht="13.5" thickBot="1">
      <c r="A378" s="425">
        <v>42009</v>
      </c>
      <c r="B378" s="954">
        <f t="shared" si="95"/>
        <v>0</v>
      </c>
      <c r="C378" s="954">
        <f>Calculation!AK381</f>
        <v>0</v>
      </c>
      <c r="D378" s="954" t="e">
        <f>Calculation!AI381</f>
        <v>#N/A</v>
      </c>
      <c r="E378" s="954">
        <f>Calculation!AE381</f>
        <v>0</v>
      </c>
      <c r="F378" s="954">
        <f>Calculation!AF381</f>
        <v>0</v>
      </c>
      <c r="G378" s="954">
        <f>Calculation!AG381</f>
        <v>0</v>
      </c>
      <c r="H378" s="955">
        <f>Sheet1!H383</f>
        <v>0</v>
      </c>
      <c r="I378" s="935">
        <f>Sheet1!DA383</f>
        <v>0</v>
      </c>
      <c r="J378" s="935">
        <f>Sheet1!DB383</f>
        <v>0</v>
      </c>
      <c r="K378" s="935">
        <f>Sheet1!CZ383</f>
        <v>0</v>
      </c>
      <c r="L378" s="959">
        <f>Calculation!F381</f>
        <v>250</v>
      </c>
      <c r="M378" s="959">
        <f>Calculation!E381</f>
        <v>250</v>
      </c>
      <c r="N378" s="959">
        <f>Calculation!D381</f>
        <v>300</v>
      </c>
      <c r="O378" s="985">
        <f>Sheet1!DC383</f>
        <v>0</v>
      </c>
      <c r="P378" s="986" t="e">
        <f>Calculation!FD381</f>
        <v>#N/A</v>
      </c>
      <c r="Q378" s="994" t="e">
        <f>Calculation!DP381</f>
        <v>#N/A</v>
      </c>
      <c r="R378" s="985" t="e">
        <f t="shared" si="89"/>
        <v>#N/A</v>
      </c>
      <c r="S378" s="987" t="e">
        <f t="shared" si="96"/>
        <v>#N/A</v>
      </c>
      <c r="T378" s="994">
        <f ca="1">IF(A378&gt;$A$1,#N/A,VLOOKUP(A378,Calculation!$B$8:$JF$503,40,FALSE))</f>
        <v>0</v>
      </c>
      <c r="U378" s="987" t="e">
        <f t="shared" si="97"/>
        <v>#N/A</v>
      </c>
      <c r="V378" s="987">
        <f>Calculation!AZ381</f>
        <v>0</v>
      </c>
      <c r="W378" s="994" t="e">
        <f t="shared" ca="1" si="94"/>
        <v>#N/A</v>
      </c>
      <c r="X378" s="987" t="e">
        <f t="shared" ca="1" si="92"/>
        <v>#N/A</v>
      </c>
      <c r="Y378" s="987">
        <v>0</v>
      </c>
      <c r="Z378" s="987" t="e">
        <f t="shared" ca="1" si="98"/>
        <v>#N/A</v>
      </c>
      <c r="AA378" s="994" t="e">
        <f t="shared" ca="1" si="90"/>
        <v>#N/A</v>
      </c>
      <c r="AB378" s="1093" t="e">
        <f t="shared" ca="1" si="91"/>
        <v>#N/A</v>
      </c>
      <c r="AC378" s="954">
        <f ca="1">IF(A378&gt;$A$1,VLOOKUP(A378,Calculation!$B$8:$JF$880,165,FALSE),VLOOKUP(A378,Calculation!$B$8:$JF$880,165,FALSE))</f>
        <v>0</v>
      </c>
      <c r="AD378" s="418">
        <f t="shared" ca="1" si="99"/>
        <v>0</v>
      </c>
      <c r="AE378" s="418"/>
      <c r="AF378" s="935" t="e">
        <f>Calculation!G381</f>
        <v>#N/A</v>
      </c>
      <c r="AG378" s="941" t="str">
        <f t="shared" si="100"/>
        <v>No</v>
      </c>
      <c r="AH378" s="941" t="str">
        <f t="shared" si="101"/>
        <v>No</v>
      </c>
      <c r="AI378" s="962"/>
      <c r="AJ378" s="962"/>
      <c r="AK378" s="962"/>
      <c r="AN378" s="447"/>
      <c r="AO378" s="430"/>
      <c r="AP378" s="462"/>
      <c r="AQ378" s="461"/>
      <c r="AR378" s="461"/>
      <c r="AS378" s="463"/>
      <c r="AU378" s="453"/>
      <c r="AV378" s="452"/>
      <c r="AW378" s="453"/>
      <c r="AX378" s="452"/>
      <c r="AY378" s="453"/>
      <c r="AZ378" s="452"/>
      <c r="BA378" s="449"/>
    </row>
    <row r="379" spans="1:53" ht="13.5" thickBot="1">
      <c r="A379" s="425">
        <v>42010</v>
      </c>
      <c r="B379" s="954" t="e">
        <f t="shared" si="95"/>
        <v>#REF!</v>
      </c>
      <c r="C379" s="954" t="e">
        <f>Calculation!#REF!</f>
        <v>#REF!</v>
      </c>
      <c r="D379" s="954">
        <f>Calculation!AI382</f>
        <v>0</v>
      </c>
      <c r="E379" s="954" t="e">
        <f>Calculation!#REF!</f>
        <v>#REF!</v>
      </c>
      <c r="F379" s="954" t="e">
        <f>Calculation!#REF!</f>
        <v>#REF!</v>
      </c>
      <c r="G379" s="954" t="e">
        <f>Calculation!#REF!</f>
        <v>#REF!</v>
      </c>
      <c r="H379" s="955" t="e">
        <f>Sheet1!#REF!</f>
        <v>#REF!</v>
      </c>
      <c r="I379" s="935" t="e">
        <f>Sheet1!#REF!</f>
        <v>#REF!</v>
      </c>
      <c r="J379" s="935" t="e">
        <f>Sheet1!#REF!</f>
        <v>#REF!</v>
      </c>
      <c r="K379" s="935" t="e">
        <f>Sheet1!#REF!</f>
        <v>#REF!</v>
      </c>
      <c r="L379" s="959" t="e">
        <f>Calculation!#REF!</f>
        <v>#REF!</v>
      </c>
      <c r="M379" s="959" t="e">
        <f>Calculation!#REF!</f>
        <v>#REF!</v>
      </c>
      <c r="N379" s="959" t="e">
        <f>Calculation!#REF!</f>
        <v>#REF!</v>
      </c>
      <c r="O379" s="985">
        <f>Sheet1!DC384</f>
        <v>0</v>
      </c>
      <c r="P379" s="986" t="e">
        <f>Calculation!#REF!</f>
        <v>#REF!</v>
      </c>
      <c r="Q379" s="994" t="e">
        <f>Calculation!#REF!</f>
        <v>#REF!</v>
      </c>
      <c r="R379" s="985" t="e">
        <f t="shared" si="89"/>
        <v>#REF!</v>
      </c>
      <c r="S379" s="987" t="e">
        <f t="shared" si="96"/>
        <v>#REF!</v>
      </c>
      <c r="T379" s="994" t="e">
        <f ca="1">IF(A379&gt;$A$1,#N/A,VLOOKUP(A379,Calculation!$B$8:$JF$503,40,FALSE))</f>
        <v>#N/A</v>
      </c>
      <c r="U379" s="987">
        <f t="shared" si="97"/>
        <v>0</v>
      </c>
      <c r="V379" s="987" t="e">
        <f>Calculation!#REF!</f>
        <v>#REF!</v>
      </c>
      <c r="W379" s="994" t="e">
        <f t="shared" ca="1" si="94"/>
        <v>#N/A</v>
      </c>
      <c r="X379" s="987" t="e">
        <f t="shared" ca="1" si="92"/>
        <v>#REF!</v>
      </c>
      <c r="Y379" s="987">
        <v>0</v>
      </c>
      <c r="Z379" s="987" t="e">
        <f t="shared" ca="1" si="98"/>
        <v>#N/A</v>
      </c>
      <c r="AA379" s="994" t="e">
        <f t="shared" ca="1" si="90"/>
        <v>#REF!</v>
      </c>
      <c r="AB379" s="1093" t="e">
        <f t="shared" ca="1" si="91"/>
        <v>#REF!</v>
      </c>
      <c r="AC379" s="954" t="e">
        <f ca="1">IF(A379&gt;$A$1,VLOOKUP(A379,Calculation!$B$8:$JF$880,165,FALSE),VLOOKUP(A379,Calculation!$B$8:$JF$880,165,FALSE))</f>
        <v>#N/A</v>
      </c>
      <c r="AD379" s="418" t="e">
        <f t="shared" ca="1" si="99"/>
        <v>#N/A</v>
      </c>
      <c r="AE379" s="418"/>
      <c r="AF379" s="935" t="e">
        <f>Calculation!#REF!</f>
        <v>#REF!</v>
      </c>
      <c r="AG379" s="941" t="e">
        <f t="shared" si="100"/>
        <v>#REF!</v>
      </c>
      <c r="AH379" s="941" t="e">
        <f t="shared" si="101"/>
        <v>#REF!</v>
      </c>
      <c r="AI379" s="962"/>
      <c r="AJ379" s="962"/>
      <c r="AK379" s="962"/>
      <c r="AN379" s="447"/>
      <c r="AO379" s="430"/>
      <c r="AP379" s="462"/>
      <c r="AQ379" s="461"/>
      <c r="AR379" s="461"/>
      <c r="AS379" s="463"/>
      <c r="AU379" s="453"/>
      <c r="AV379" s="452"/>
      <c r="AW379" s="453"/>
      <c r="AX379" s="452"/>
      <c r="AY379" s="453"/>
      <c r="AZ379" s="452"/>
      <c r="BA379" s="449"/>
    </row>
    <row r="380" spans="1:53" ht="13.5" thickBot="1">
      <c r="A380" s="425">
        <v>42011</v>
      </c>
      <c r="B380" s="954">
        <f t="shared" si="95"/>
        <v>0</v>
      </c>
      <c r="C380" s="954">
        <f>Calculation!AK382</f>
        <v>0</v>
      </c>
      <c r="D380" s="954">
        <f>Calculation!AI383</f>
        <v>0</v>
      </c>
      <c r="E380" s="954">
        <f>Calculation!AE382</f>
        <v>0</v>
      </c>
      <c r="F380" s="954">
        <f>Calculation!AF382</f>
        <v>0</v>
      </c>
      <c r="G380" s="954">
        <f>Calculation!AG382</f>
        <v>0</v>
      </c>
      <c r="H380" s="955">
        <f>Sheet1!H384</f>
        <v>0</v>
      </c>
      <c r="I380" s="935">
        <f>Sheet1!DA384</f>
        <v>0</v>
      </c>
      <c r="J380" s="935">
        <f>Sheet1!DB384</f>
        <v>0</v>
      </c>
      <c r="K380" s="935">
        <f>Sheet1!CZ384</f>
        <v>0</v>
      </c>
      <c r="L380" s="959">
        <f>Calculation!F382</f>
        <v>0</v>
      </c>
      <c r="M380" s="959">
        <f>Calculation!E382</f>
        <v>0</v>
      </c>
      <c r="N380" s="959">
        <f>Calculation!D382</f>
        <v>0</v>
      </c>
      <c r="O380" s="985">
        <f>Sheet1!DC385</f>
        <v>0</v>
      </c>
      <c r="P380" s="986">
        <f>Calculation!FD382</f>
        <v>0</v>
      </c>
      <c r="Q380" s="994">
        <f>Calculation!DP382</f>
        <v>0</v>
      </c>
      <c r="R380" s="985">
        <f t="shared" si="89"/>
        <v>-619</v>
      </c>
      <c r="S380" s="987" t="e">
        <f t="shared" si="96"/>
        <v>#REF!</v>
      </c>
      <c r="T380" s="994" t="e">
        <f ca="1">IF(A380&gt;$A$1,#N/A,VLOOKUP(A380,Calculation!$B$8:$JF$503,40,FALSE))</f>
        <v>#N/A</v>
      </c>
      <c r="U380" s="987">
        <f t="shared" si="97"/>
        <v>0</v>
      </c>
      <c r="V380" s="987">
        <f>Calculation!AZ382</f>
        <v>0</v>
      </c>
      <c r="W380" s="994" t="e">
        <f t="shared" ca="1" si="94"/>
        <v>#N/A</v>
      </c>
      <c r="X380" s="987" t="e">
        <f t="shared" ca="1" si="92"/>
        <v>#N/A</v>
      </c>
      <c r="Y380" s="987">
        <v>0</v>
      </c>
      <c r="Z380" s="987" t="e">
        <f t="shared" ca="1" si="98"/>
        <v>#N/A</v>
      </c>
      <c r="AA380" s="994" t="e">
        <f t="shared" ca="1" si="90"/>
        <v>#N/A</v>
      </c>
      <c r="AB380" s="1093" t="e">
        <f t="shared" ca="1" si="91"/>
        <v>#N/A</v>
      </c>
      <c r="AC380" s="954" t="e">
        <f ca="1">IF(A380&gt;$A$1,VLOOKUP(A380,Calculation!$B$8:$JF$880,165,FALSE),VLOOKUP(A380,Calculation!$B$8:$JF$880,165,FALSE))</f>
        <v>#N/A</v>
      </c>
      <c r="AD380" s="418" t="e">
        <f t="shared" ca="1" si="99"/>
        <v>#N/A</v>
      </c>
      <c r="AE380" s="418"/>
      <c r="AF380" s="935">
        <f>Calculation!G382</f>
        <v>0</v>
      </c>
      <c r="AG380" s="941" t="str">
        <f t="shared" si="100"/>
        <v>No</v>
      </c>
      <c r="AH380" s="941" t="str">
        <f t="shared" si="101"/>
        <v>No</v>
      </c>
      <c r="AI380" s="962"/>
      <c r="AJ380" s="962"/>
      <c r="AK380" s="962"/>
      <c r="AN380" s="447"/>
      <c r="AO380" s="430"/>
      <c r="AP380" s="462"/>
      <c r="AQ380" s="461"/>
      <c r="AR380" s="461"/>
      <c r="AS380" s="463"/>
      <c r="AU380" s="453"/>
      <c r="AV380" s="452"/>
      <c r="AW380" s="453"/>
      <c r="AX380" s="452"/>
      <c r="AY380" s="453"/>
      <c r="AZ380" s="452"/>
      <c r="BA380" s="449"/>
    </row>
    <row r="381" spans="1:53" ht="13.5" thickBot="1">
      <c r="A381" s="425">
        <v>42012</v>
      </c>
      <c r="B381" s="954">
        <f t="shared" si="95"/>
        <v>0</v>
      </c>
      <c r="C381" s="954">
        <f>Calculation!AK383</f>
        <v>0</v>
      </c>
      <c r="D381" s="954">
        <f>Calculation!AI384</f>
        <v>0</v>
      </c>
      <c r="E381" s="954">
        <f>Calculation!AE383</f>
        <v>0</v>
      </c>
      <c r="F381" s="954">
        <f>Calculation!AF383</f>
        <v>0</v>
      </c>
      <c r="G381" s="954">
        <f>Calculation!AG383</f>
        <v>0</v>
      </c>
      <c r="H381" s="955">
        <f>Sheet1!H385</f>
        <v>0</v>
      </c>
      <c r="I381" s="935">
        <f>Sheet1!DA385</f>
        <v>0</v>
      </c>
      <c r="J381" s="935">
        <f>Sheet1!DB385</f>
        <v>0</v>
      </c>
      <c r="K381" s="935">
        <f>Sheet1!CZ385</f>
        <v>0</v>
      </c>
      <c r="L381" s="959">
        <f>Calculation!F383</f>
        <v>0</v>
      </c>
      <c r="M381" s="959">
        <f>Calculation!E383</f>
        <v>0</v>
      </c>
      <c r="N381" s="959">
        <f>Calculation!D383</f>
        <v>0</v>
      </c>
      <c r="O381" s="985">
        <f>Sheet1!DC386</f>
        <v>0</v>
      </c>
      <c r="P381" s="986">
        <f>Calculation!FD383</f>
        <v>0</v>
      </c>
      <c r="Q381" s="994">
        <f>Calculation!DP383</f>
        <v>0</v>
      </c>
      <c r="R381" s="985">
        <f t="shared" si="89"/>
        <v>-619</v>
      </c>
      <c r="S381" s="987">
        <f t="shared" si="96"/>
        <v>0</v>
      </c>
      <c r="T381" s="994" t="e">
        <f ca="1">IF(A381&gt;$A$1,#N/A,VLOOKUP(A381,Calculation!$B$8:$JF$503,40,FALSE))</f>
        <v>#N/A</v>
      </c>
      <c r="U381" s="987">
        <f t="shared" si="97"/>
        <v>0</v>
      </c>
      <c r="V381" s="987">
        <f>Calculation!AZ383</f>
        <v>0</v>
      </c>
      <c r="W381" s="994" t="e">
        <f t="shared" ca="1" si="94"/>
        <v>#N/A</v>
      </c>
      <c r="X381" s="987" t="e">
        <f t="shared" ca="1" si="92"/>
        <v>#N/A</v>
      </c>
      <c r="Y381" s="987">
        <v>0</v>
      </c>
      <c r="Z381" s="987" t="e">
        <f t="shared" ca="1" si="98"/>
        <v>#N/A</v>
      </c>
      <c r="AA381" s="994" t="e">
        <f t="shared" ca="1" si="90"/>
        <v>#N/A</v>
      </c>
      <c r="AB381" s="1093" t="e">
        <f t="shared" ca="1" si="91"/>
        <v>#N/A</v>
      </c>
      <c r="AC381" s="954" t="e">
        <f ca="1">IF(A381&gt;$A$1,VLOOKUP(A381,Calculation!$B$8:$JF$880,165,FALSE),VLOOKUP(A381,Calculation!$B$8:$JF$880,165,FALSE))</f>
        <v>#N/A</v>
      </c>
      <c r="AD381" s="418" t="e">
        <f t="shared" ca="1" si="99"/>
        <v>#N/A</v>
      </c>
      <c r="AE381" s="418"/>
      <c r="AF381" s="935">
        <f>Calculation!G383</f>
        <v>0</v>
      </c>
      <c r="AG381" s="941" t="str">
        <f t="shared" si="100"/>
        <v>No</v>
      </c>
      <c r="AH381" s="941" t="str">
        <f t="shared" si="101"/>
        <v>No</v>
      </c>
      <c r="AI381" s="962"/>
      <c r="AJ381" s="962"/>
      <c r="AK381" s="962"/>
      <c r="AN381" s="447"/>
      <c r="AO381" s="430"/>
      <c r="AP381" s="462"/>
      <c r="AQ381" s="461"/>
      <c r="AR381" s="461"/>
      <c r="AS381" s="463"/>
      <c r="AU381" s="453"/>
      <c r="AV381" s="452"/>
      <c r="AW381" s="453"/>
      <c r="AX381" s="452"/>
      <c r="AY381" s="453"/>
      <c r="AZ381" s="452"/>
      <c r="BA381" s="449"/>
    </row>
    <row r="382" spans="1:53" ht="13.5" thickBot="1">
      <c r="A382" s="425">
        <v>42013</v>
      </c>
      <c r="B382" s="954">
        <f t="shared" si="95"/>
        <v>0</v>
      </c>
      <c r="C382" s="954">
        <f>Calculation!AK384</f>
        <v>0</v>
      </c>
      <c r="D382" s="954">
        <f>Calculation!AI385</f>
        <v>0</v>
      </c>
      <c r="E382" s="954">
        <f>Calculation!AE384</f>
        <v>0</v>
      </c>
      <c r="F382" s="954">
        <f>Calculation!AF384</f>
        <v>0</v>
      </c>
      <c r="G382" s="954">
        <f>Calculation!AG384</f>
        <v>0</v>
      </c>
      <c r="H382" s="955">
        <f>Sheet1!H386</f>
        <v>0</v>
      </c>
      <c r="I382" s="935">
        <f>Sheet1!DA386</f>
        <v>0</v>
      </c>
      <c r="J382" s="935">
        <f>Sheet1!DB386</f>
        <v>0</v>
      </c>
      <c r="K382" s="935">
        <f>Sheet1!CZ386</f>
        <v>0</v>
      </c>
      <c r="L382" s="959">
        <f>Calculation!F384</f>
        <v>0</v>
      </c>
      <c r="M382" s="959">
        <f>Calculation!E384</f>
        <v>0</v>
      </c>
      <c r="N382" s="959">
        <f>Calculation!D384</f>
        <v>0</v>
      </c>
      <c r="O382" s="985">
        <f>Sheet1!DC387</f>
        <v>0</v>
      </c>
      <c r="P382" s="986">
        <f>Calculation!FD384</f>
        <v>0</v>
      </c>
      <c r="Q382" s="994">
        <f>Calculation!DP384</f>
        <v>0</v>
      </c>
      <c r="R382" s="985">
        <f t="shared" si="89"/>
        <v>-619</v>
      </c>
      <c r="S382" s="987">
        <f t="shared" si="96"/>
        <v>0</v>
      </c>
      <c r="T382" s="994" t="e">
        <f ca="1">IF(A382&gt;$A$1,#N/A,VLOOKUP(A382,Calculation!$B$8:$JF$503,40,FALSE))</f>
        <v>#N/A</v>
      </c>
      <c r="U382" s="987">
        <f t="shared" si="97"/>
        <v>0</v>
      </c>
      <c r="V382" s="987">
        <f>Calculation!AZ384</f>
        <v>0</v>
      </c>
      <c r="W382" s="994" t="e">
        <f t="shared" ca="1" si="94"/>
        <v>#N/A</v>
      </c>
      <c r="X382" s="987" t="e">
        <f t="shared" ca="1" si="92"/>
        <v>#N/A</v>
      </c>
      <c r="Y382" s="987">
        <v>0</v>
      </c>
      <c r="Z382" s="987" t="e">
        <f t="shared" ca="1" si="98"/>
        <v>#N/A</v>
      </c>
      <c r="AA382" s="994" t="e">
        <f t="shared" ca="1" si="90"/>
        <v>#N/A</v>
      </c>
      <c r="AB382" s="1093" t="e">
        <f t="shared" ca="1" si="91"/>
        <v>#N/A</v>
      </c>
      <c r="AC382" s="954" t="e">
        <f ca="1">IF(A382&gt;$A$1,VLOOKUP(A382,Calculation!$B$8:$JF$880,165,FALSE),VLOOKUP(A382,Calculation!$B$8:$JF$880,165,FALSE))</f>
        <v>#N/A</v>
      </c>
      <c r="AD382" s="418" t="e">
        <f t="shared" ca="1" si="99"/>
        <v>#N/A</v>
      </c>
      <c r="AE382" s="418"/>
      <c r="AF382" s="935">
        <f>Calculation!G384</f>
        <v>0</v>
      </c>
      <c r="AG382" s="941" t="str">
        <f t="shared" si="100"/>
        <v>No</v>
      </c>
      <c r="AH382" s="941" t="str">
        <f t="shared" si="101"/>
        <v>No</v>
      </c>
      <c r="AI382" s="962"/>
      <c r="AJ382" s="962"/>
      <c r="AK382" s="962"/>
      <c r="AN382" s="447"/>
      <c r="AO382" s="430"/>
      <c r="AP382" s="462"/>
      <c r="AQ382" s="461"/>
      <c r="AR382" s="461"/>
      <c r="AS382" s="463"/>
      <c r="AU382" s="453"/>
      <c r="AV382" s="452"/>
      <c r="AW382" s="453"/>
      <c r="AX382" s="452"/>
      <c r="AY382" s="453"/>
      <c r="AZ382" s="452"/>
      <c r="BA382" s="449"/>
    </row>
    <row r="383" spans="1:53" ht="13.5" thickBot="1">
      <c r="A383" s="425">
        <v>42014</v>
      </c>
      <c r="B383" s="954">
        <f t="shared" si="95"/>
        <v>0</v>
      </c>
      <c r="C383" s="954">
        <f>Calculation!AK385</f>
        <v>0</v>
      </c>
      <c r="D383" s="954">
        <f>Calculation!AI386</f>
        <v>0</v>
      </c>
      <c r="E383" s="954">
        <f>Calculation!AE385</f>
        <v>0</v>
      </c>
      <c r="F383" s="954">
        <f>Calculation!AF385</f>
        <v>0</v>
      </c>
      <c r="G383" s="954">
        <f>Calculation!AG385</f>
        <v>0</v>
      </c>
      <c r="H383" s="955">
        <f>Sheet1!H387</f>
        <v>0</v>
      </c>
      <c r="I383" s="935">
        <f>Sheet1!DA387</f>
        <v>0</v>
      </c>
      <c r="J383" s="935">
        <f>Sheet1!DB387</f>
        <v>0</v>
      </c>
      <c r="K383" s="935">
        <f>Sheet1!CZ387</f>
        <v>0</v>
      </c>
      <c r="L383" s="959">
        <f>Calculation!F385</f>
        <v>0</v>
      </c>
      <c r="M383" s="959">
        <f>Calculation!E385</f>
        <v>0</v>
      </c>
      <c r="N383" s="959">
        <f>Calculation!D385</f>
        <v>0</v>
      </c>
      <c r="O383" s="985">
        <f>Sheet1!DC388</f>
        <v>0</v>
      </c>
      <c r="P383" s="986">
        <f>Calculation!FD385</f>
        <v>0</v>
      </c>
      <c r="Q383" s="994">
        <f>Calculation!DP385</f>
        <v>0</v>
      </c>
      <c r="R383" s="985">
        <f t="shared" si="89"/>
        <v>-619</v>
      </c>
      <c r="S383" s="987">
        <f t="shared" si="96"/>
        <v>0</v>
      </c>
      <c r="T383" s="994" t="e">
        <f ca="1">IF(A383&gt;$A$1,#N/A,VLOOKUP(A383,Calculation!$B$8:$JF$503,40,FALSE))</f>
        <v>#N/A</v>
      </c>
      <c r="U383" s="987">
        <f t="shared" si="97"/>
        <v>0</v>
      </c>
      <c r="V383" s="987">
        <f>Calculation!AZ385</f>
        <v>0</v>
      </c>
      <c r="W383" s="994" t="e">
        <f t="shared" ca="1" si="94"/>
        <v>#N/A</v>
      </c>
      <c r="X383" s="987" t="e">
        <f t="shared" ca="1" si="92"/>
        <v>#N/A</v>
      </c>
      <c r="Y383" s="987">
        <v>0</v>
      </c>
      <c r="Z383" s="987" t="e">
        <f t="shared" ca="1" si="98"/>
        <v>#N/A</v>
      </c>
      <c r="AA383" s="994" t="e">
        <f t="shared" ca="1" si="90"/>
        <v>#N/A</v>
      </c>
      <c r="AB383" s="1093" t="e">
        <f t="shared" ca="1" si="91"/>
        <v>#N/A</v>
      </c>
      <c r="AC383" s="954" t="e">
        <f ca="1">IF(A383&gt;$A$1,VLOOKUP(A383,Calculation!$B$8:$JF$880,165,FALSE),VLOOKUP(A383,Calculation!$B$8:$JF$880,165,FALSE))</f>
        <v>#N/A</v>
      </c>
      <c r="AD383" s="418" t="e">
        <f t="shared" ca="1" si="99"/>
        <v>#N/A</v>
      </c>
      <c r="AE383" s="418"/>
      <c r="AF383" s="935">
        <f>Calculation!G385</f>
        <v>0</v>
      </c>
      <c r="AG383" s="941" t="str">
        <f t="shared" si="100"/>
        <v>No</v>
      </c>
      <c r="AH383" s="941" t="str">
        <f t="shared" si="101"/>
        <v>No</v>
      </c>
      <c r="AI383" s="962"/>
      <c r="AJ383" s="962"/>
      <c r="AK383" s="962"/>
      <c r="AN383" s="447"/>
      <c r="AO383" s="430"/>
      <c r="AP383" s="462"/>
      <c r="AQ383" s="461"/>
      <c r="AR383" s="461"/>
      <c r="AS383" s="463"/>
      <c r="AU383" s="453"/>
      <c r="AV383" s="452"/>
      <c r="AW383" s="453"/>
      <c r="AX383" s="452"/>
      <c r="AY383" s="453"/>
      <c r="AZ383" s="452"/>
      <c r="BA383" s="449"/>
    </row>
    <row r="384" spans="1:53" ht="13.5" thickBot="1">
      <c r="A384" s="425">
        <v>42015</v>
      </c>
      <c r="B384" s="954">
        <f t="shared" si="95"/>
        <v>0</v>
      </c>
      <c r="C384" s="954">
        <f>Calculation!AK386</f>
        <v>0</v>
      </c>
      <c r="D384" s="954">
        <f>Calculation!AI387</f>
        <v>0</v>
      </c>
      <c r="E384" s="954">
        <f>Calculation!AE386</f>
        <v>0</v>
      </c>
      <c r="F384" s="954">
        <f>Calculation!AF386</f>
        <v>0</v>
      </c>
      <c r="G384" s="954">
        <f>Calculation!AG386</f>
        <v>0</v>
      </c>
      <c r="H384" s="955">
        <f>Sheet1!H388</f>
        <v>0</v>
      </c>
      <c r="I384" s="935">
        <f>Sheet1!DA388</f>
        <v>0</v>
      </c>
      <c r="J384" s="935">
        <f>Sheet1!DB388</f>
        <v>0</v>
      </c>
      <c r="K384" s="935">
        <f>Sheet1!CZ388</f>
        <v>0</v>
      </c>
      <c r="L384" s="959">
        <f>Calculation!F386</f>
        <v>0</v>
      </c>
      <c r="M384" s="959">
        <f>Calculation!E386</f>
        <v>0</v>
      </c>
      <c r="N384" s="959">
        <f>Calculation!D386</f>
        <v>0</v>
      </c>
      <c r="O384" s="985">
        <f>Sheet1!DC389</f>
        <v>0</v>
      </c>
      <c r="P384" s="986">
        <f>Calculation!FD386</f>
        <v>0</v>
      </c>
      <c r="Q384" s="994">
        <f>Calculation!DP386</f>
        <v>0</v>
      </c>
      <c r="R384" s="985">
        <f t="shared" si="89"/>
        <v>-619</v>
      </c>
      <c r="S384" s="987">
        <f t="shared" si="96"/>
        <v>0</v>
      </c>
      <c r="T384" s="994" t="e">
        <f ca="1">IF(A384&gt;$A$1,#N/A,VLOOKUP(A384,Calculation!$B$8:$JF$503,40,FALSE))</f>
        <v>#N/A</v>
      </c>
      <c r="U384" s="987">
        <f t="shared" si="97"/>
        <v>0</v>
      </c>
      <c r="V384" s="987">
        <f>Calculation!AZ386</f>
        <v>0</v>
      </c>
      <c r="W384" s="994" t="e">
        <f t="shared" ca="1" si="94"/>
        <v>#N/A</v>
      </c>
      <c r="X384" s="987" t="e">
        <f t="shared" ca="1" si="92"/>
        <v>#N/A</v>
      </c>
      <c r="Y384" s="987">
        <v>0</v>
      </c>
      <c r="Z384" s="987" t="e">
        <f t="shared" ca="1" si="98"/>
        <v>#N/A</v>
      </c>
      <c r="AA384" s="994" t="e">
        <f t="shared" ca="1" si="90"/>
        <v>#N/A</v>
      </c>
      <c r="AB384" s="1093" t="e">
        <f t="shared" ca="1" si="91"/>
        <v>#N/A</v>
      </c>
      <c r="AC384" s="954" t="e">
        <f ca="1">IF(A384&gt;$A$1,VLOOKUP(A384,Calculation!$B$8:$JF$880,165,FALSE),VLOOKUP(A384,Calculation!$B$8:$JF$880,165,FALSE))</f>
        <v>#N/A</v>
      </c>
      <c r="AD384" s="418" t="e">
        <f t="shared" ca="1" si="99"/>
        <v>#N/A</v>
      </c>
      <c r="AE384" s="418"/>
      <c r="AF384" s="935">
        <f>Calculation!G386</f>
        <v>0</v>
      </c>
      <c r="AG384" s="941" t="str">
        <f t="shared" si="100"/>
        <v>No</v>
      </c>
      <c r="AH384" s="941" t="str">
        <f t="shared" si="101"/>
        <v>No</v>
      </c>
      <c r="AI384" s="962"/>
      <c r="AJ384" s="962"/>
      <c r="AK384" s="962"/>
      <c r="AN384" s="447"/>
      <c r="AO384" s="430"/>
      <c r="AP384" s="462"/>
      <c r="AQ384" s="461"/>
      <c r="AR384" s="461"/>
      <c r="AS384" s="463"/>
      <c r="AU384" s="453"/>
      <c r="AV384" s="452"/>
      <c r="AW384" s="453"/>
      <c r="AX384" s="452"/>
      <c r="AY384" s="453"/>
      <c r="AZ384" s="452"/>
      <c r="BA384" s="449"/>
    </row>
    <row r="385" spans="1:53" ht="13.5" thickBot="1">
      <c r="B385" s="954"/>
      <c r="C385" s="954"/>
      <c r="D385" s="954"/>
      <c r="E385" s="954"/>
      <c r="F385" s="954"/>
      <c r="G385" s="954"/>
      <c r="H385" s="955"/>
      <c r="I385" s="935"/>
      <c r="J385" s="935"/>
      <c r="K385" s="935"/>
      <c r="L385" s="959"/>
      <c r="M385" s="959"/>
      <c r="N385" s="959"/>
      <c r="O385" s="985"/>
      <c r="P385" s="986"/>
      <c r="Q385" s="994"/>
      <c r="R385" s="985"/>
      <c r="S385" s="987"/>
      <c r="T385" s="994"/>
      <c r="U385" s="987"/>
      <c r="V385" s="987"/>
      <c r="W385" s="994"/>
      <c r="X385" s="987" t="e">
        <f t="shared" ca="1" si="92"/>
        <v>#N/A</v>
      </c>
      <c r="Y385" s="987"/>
      <c r="Z385" s="987"/>
      <c r="AA385" s="994"/>
      <c r="AB385" s="420"/>
      <c r="AC385" s="954"/>
      <c r="AD385" s="418"/>
      <c r="AE385" s="418"/>
      <c r="AF385" s="935"/>
      <c r="AG385" s="941"/>
      <c r="AH385" s="941"/>
      <c r="AI385" s="572"/>
      <c r="AN385" s="447"/>
      <c r="AO385" s="430"/>
      <c r="AP385" s="462"/>
      <c r="AQ385" s="461"/>
      <c r="AR385" s="461"/>
      <c r="AS385" s="463"/>
      <c r="AU385" s="453"/>
      <c r="AV385" s="452"/>
      <c r="AW385" s="453"/>
      <c r="AX385" s="452"/>
      <c r="AY385" s="453"/>
      <c r="AZ385" s="452"/>
      <c r="BA385" s="449"/>
    </row>
    <row r="386" spans="1:53" ht="13.5" thickBot="1">
      <c r="B386" s="954"/>
      <c r="C386" s="954"/>
      <c r="D386" s="954"/>
      <c r="E386" s="954"/>
      <c r="F386" s="954"/>
      <c r="G386" s="954"/>
      <c r="H386" s="955"/>
      <c r="I386" s="935"/>
      <c r="J386" s="935"/>
      <c r="K386" s="935"/>
      <c r="L386" s="959"/>
      <c r="M386" s="959"/>
      <c r="N386" s="959"/>
      <c r="O386" s="985"/>
      <c r="P386" s="986"/>
      <c r="Q386" s="994"/>
      <c r="R386" s="985"/>
      <c r="S386" s="987"/>
      <c r="T386" s="994"/>
      <c r="U386" s="987"/>
      <c r="V386" s="987"/>
      <c r="W386" s="994"/>
      <c r="X386" s="987">
        <f t="shared" si="92"/>
        <v>0</v>
      </c>
      <c r="Y386" s="987"/>
      <c r="Z386" s="987"/>
      <c r="AA386" s="994"/>
      <c r="AB386" s="420"/>
      <c r="AC386" s="954"/>
      <c r="AD386" s="418"/>
      <c r="AE386" s="418"/>
      <c r="AF386" s="935"/>
      <c r="AG386" s="941"/>
      <c r="AH386" s="941"/>
      <c r="AI386" s="572"/>
      <c r="AN386" s="447"/>
      <c r="AO386" s="430"/>
      <c r="AP386" s="462"/>
      <c r="AQ386" s="461"/>
      <c r="AR386" s="461"/>
      <c r="AS386" s="463"/>
      <c r="AU386" s="453"/>
      <c r="AV386" s="452"/>
      <c r="AW386" s="453"/>
      <c r="AX386" s="452"/>
      <c r="AY386" s="453"/>
      <c r="AZ386" s="452"/>
      <c r="BA386" s="449"/>
    </row>
    <row r="387" spans="1:53" ht="13.5" thickBot="1">
      <c r="B387" s="954">
        <f>E387+F387</f>
        <v>54.377049999999997</v>
      </c>
      <c r="C387" s="954">
        <f>Calculation!AK15</f>
        <v>0</v>
      </c>
      <c r="D387" s="954">
        <f>Calculation!AI15</f>
        <v>0</v>
      </c>
      <c r="E387" s="954">
        <f>Calculation!AE15</f>
        <v>32.564349999999997</v>
      </c>
      <c r="F387" s="954">
        <f>Calculation!AF15</f>
        <v>21.8127</v>
      </c>
      <c r="G387" s="954">
        <f>Calculation!AG15</f>
        <v>54.377049999999997</v>
      </c>
      <c r="H387" s="955" t="str">
        <f>Sheet1!H17</f>
        <v>o/s</v>
      </c>
      <c r="I387" s="935">
        <f>Sheet1!DA17</f>
        <v>1460</v>
      </c>
      <c r="J387" s="935">
        <f>Sheet1!DB17</f>
        <v>952</v>
      </c>
      <c r="K387" s="935">
        <f>Sheet1!CZ17</f>
        <v>1020</v>
      </c>
      <c r="L387" s="959">
        <f>Calculation!F15</f>
        <v>250</v>
      </c>
      <c r="M387" s="959">
        <f>Calculation!E15</f>
        <v>250</v>
      </c>
      <c r="N387" s="959">
        <f>Calculation!D15</f>
        <v>300</v>
      </c>
      <c r="O387" s="985">
        <f>Sheet1!DC17</f>
        <v>1081.9000000000001</v>
      </c>
      <c r="P387" s="986" t="e">
        <f>Calculation!FD15</f>
        <v>#N/A</v>
      </c>
      <c r="Q387" s="994">
        <f>Calculation!DP15</f>
        <v>1479.0000000038199</v>
      </c>
      <c r="R387" s="985">
        <f>Q387-1220</f>
        <v>259.00000000381988</v>
      </c>
      <c r="S387" s="987">
        <f>R387-R11</f>
        <v>-446.99999999984084</v>
      </c>
      <c r="T387" s="994" t="e">
        <f ca="1">IF(A387&gt;$A$1,#N/A,VLOOKUP(A387,Calculation!$B$8:$JF$503,30,FALSE))</f>
        <v>#N/A</v>
      </c>
      <c r="U387" s="987">
        <f>D387</f>
        <v>0</v>
      </c>
      <c r="V387" s="987">
        <f>Calculation!AZ15</f>
        <v>0</v>
      </c>
      <c r="W387" s="994" t="e">
        <f ca="1">IF(A387&gt;=$A$1,#N/A,W11-X387*1.983)</f>
        <v>#N/A</v>
      </c>
      <c r="X387" s="987" t="e">
        <f t="shared" ref="X387:X389" ca="1" si="102">-IF(-(Q387-T387-AC387-W386)&gt;0,(Q387-T387-AC387-W386)/1.983,0)</f>
        <v>#N/A</v>
      </c>
      <c r="Y387" s="987">
        <f ca="1">IF((A387+1)&gt;$A$1,#N/A,0)</f>
        <v>0</v>
      </c>
      <c r="Z387" s="987" t="e">
        <f ca="1">W387-Y387</f>
        <v>#N/A</v>
      </c>
      <c r="AA387" s="994" t="e">
        <f ca="1">IF(Q387-T387-W387&lt;0,0,Q387-T387-W387)</f>
        <v>#N/A</v>
      </c>
      <c r="AB387" s="420" t="e">
        <f ca="1">AA387-1220</f>
        <v>#N/A</v>
      </c>
      <c r="AC387" s="954"/>
      <c r="AD387" s="418" t="e">
        <f ca="1">AC387-AC11</f>
        <v>#N/A</v>
      </c>
      <c r="AE387" s="418"/>
      <c r="AF387" s="935">
        <f>Calculation!G15</f>
        <v>1097.6601109430958</v>
      </c>
      <c r="AG387" s="941" t="str">
        <f>IF(I387&gt;L387,"Yes","No")</f>
        <v>Yes</v>
      </c>
      <c r="AH387" s="941" t="str">
        <f>IF(AND(I387&gt;M387,J387&gt;N387),"Yes","No")</f>
        <v>Yes</v>
      </c>
      <c r="AI387" s="572"/>
      <c r="AN387" s="448"/>
      <c r="AO387" s="460"/>
      <c r="AP387" s="464"/>
      <c r="AQ387" s="465"/>
      <c r="AR387" s="465"/>
      <c r="AS387" s="466"/>
      <c r="AT387" s="450"/>
      <c r="AU387" s="454"/>
      <c r="AV387" s="455"/>
      <c r="AW387" s="454"/>
      <c r="AX387" s="455"/>
      <c r="AY387" s="454"/>
      <c r="AZ387" s="455"/>
      <c r="BA387" s="451"/>
    </row>
    <row r="388" spans="1:53">
      <c r="A388" s="390">
        <v>1</v>
      </c>
      <c r="B388" s="956">
        <v>1</v>
      </c>
      <c r="C388" s="956">
        <v>1</v>
      </c>
      <c r="D388" s="956">
        <v>1</v>
      </c>
      <c r="E388" s="956">
        <v>1</v>
      </c>
      <c r="F388" s="956">
        <v>1</v>
      </c>
      <c r="G388" s="956">
        <v>1</v>
      </c>
      <c r="H388" s="956">
        <v>1</v>
      </c>
      <c r="I388" s="936">
        <v>1</v>
      </c>
      <c r="J388" s="936">
        <v>1</v>
      </c>
      <c r="K388" s="936">
        <v>1</v>
      </c>
      <c r="L388" s="956">
        <v>1</v>
      </c>
      <c r="M388" s="956">
        <v>1</v>
      </c>
      <c r="N388" s="956">
        <v>1</v>
      </c>
      <c r="O388" s="988">
        <v>1</v>
      </c>
      <c r="P388" s="988">
        <v>1</v>
      </c>
      <c r="Q388" s="1016">
        <v>1</v>
      </c>
      <c r="R388" s="988">
        <v>1</v>
      </c>
      <c r="S388" s="988">
        <v>1</v>
      </c>
      <c r="T388" s="1016">
        <v>1</v>
      </c>
      <c r="U388" s="988">
        <v>1</v>
      </c>
      <c r="V388" s="988">
        <v>1</v>
      </c>
      <c r="W388" s="1016">
        <v>1</v>
      </c>
      <c r="X388" s="987" t="e">
        <f t="shared" ca="1" si="102"/>
        <v>#N/A</v>
      </c>
      <c r="Y388" s="988">
        <v>1</v>
      </c>
      <c r="Z388" s="988">
        <v>1</v>
      </c>
      <c r="AA388" s="1016">
        <v>1</v>
      </c>
      <c r="AB388" s="390">
        <v>1</v>
      </c>
      <c r="AC388" s="956">
        <v>1</v>
      </c>
      <c r="AD388" s="390">
        <v>1</v>
      </c>
      <c r="AE388" s="390">
        <v>1</v>
      </c>
      <c r="AF388" s="936">
        <v>1</v>
      </c>
      <c r="AG388" s="936">
        <v>1</v>
      </c>
      <c r="AH388" s="936">
        <v>1</v>
      </c>
      <c r="AI388" s="572">
        <v>1</v>
      </c>
      <c r="AJ388" s="573">
        <v>1</v>
      </c>
      <c r="AL388" s="390">
        <v>1</v>
      </c>
      <c r="AM388" s="390">
        <v>1</v>
      </c>
      <c r="AN388" s="390" t="e">
        <f ca="1">SUM(A388:AM388)+1</f>
        <v>#N/A</v>
      </c>
      <c r="AO388" s="390" t="e">
        <f ca="1">AN388+1</f>
        <v>#N/A</v>
      </c>
      <c r="AP388" s="390" t="e">
        <f t="shared" ref="AP388:BA388" ca="1" si="103">AO388+1</f>
        <v>#N/A</v>
      </c>
      <c r="AQ388" s="390" t="e">
        <f t="shared" ca="1" si="103"/>
        <v>#N/A</v>
      </c>
      <c r="AR388" s="390" t="e">
        <f t="shared" ca="1" si="103"/>
        <v>#N/A</v>
      </c>
      <c r="AS388" s="390" t="e">
        <f t="shared" ca="1" si="103"/>
        <v>#N/A</v>
      </c>
      <c r="AT388" s="390" t="e">
        <f t="shared" ca="1" si="103"/>
        <v>#N/A</v>
      </c>
      <c r="AU388" s="390" t="e">
        <f t="shared" ca="1" si="103"/>
        <v>#N/A</v>
      </c>
      <c r="AV388" s="390" t="e">
        <f t="shared" ca="1" si="103"/>
        <v>#N/A</v>
      </c>
      <c r="AW388" s="390" t="e">
        <f t="shared" ca="1" si="103"/>
        <v>#N/A</v>
      </c>
      <c r="AX388" s="390" t="e">
        <f t="shared" ca="1" si="103"/>
        <v>#N/A</v>
      </c>
      <c r="AY388" s="390" t="e">
        <f t="shared" ca="1" si="103"/>
        <v>#N/A</v>
      </c>
      <c r="AZ388" s="390" t="e">
        <f t="shared" ca="1" si="103"/>
        <v>#N/A</v>
      </c>
      <c r="BA388" s="390" t="e">
        <f t="shared" ca="1" si="103"/>
        <v>#N/A</v>
      </c>
    </row>
    <row r="389" spans="1:53">
      <c r="B389" s="957">
        <f>E389+F389</f>
        <v>52.335009999999997</v>
      </c>
      <c r="C389" s="957">
        <f>Calculation!AK17</f>
        <v>0</v>
      </c>
      <c r="D389" s="957">
        <f>Calculation!AI17</f>
        <v>0</v>
      </c>
      <c r="E389" s="957">
        <f>Calculation!AE17</f>
        <v>30.522310000000001</v>
      </c>
      <c r="F389" s="957">
        <f>Calculation!AF17</f>
        <v>21.8127</v>
      </c>
      <c r="G389" s="957">
        <f>Calculation!AG17</f>
        <v>52.335009999999997</v>
      </c>
      <c r="H389" s="958" t="str">
        <f>Sheet1!H19</f>
        <v>o/s</v>
      </c>
      <c r="I389" s="937">
        <f>Sheet1!DA19</f>
        <v>1490</v>
      </c>
      <c r="J389" s="937">
        <f>Sheet1!DB19</f>
        <v>1000</v>
      </c>
      <c r="K389" s="937">
        <f>Sheet1!CZ19</f>
        <v>1100</v>
      </c>
      <c r="L389" s="960">
        <f>Calculation!F17</f>
        <v>250</v>
      </c>
      <c r="M389" s="960">
        <f>Calculation!E17</f>
        <v>250</v>
      </c>
      <c r="N389" s="960">
        <f>Calculation!D17</f>
        <v>300</v>
      </c>
      <c r="O389" s="989">
        <f>Sheet1!DC19</f>
        <v>1079.56</v>
      </c>
      <c r="P389" s="989" t="e">
        <f>Calculation!FD17</f>
        <v>#N/A</v>
      </c>
      <c r="Q389" s="1017">
        <f>Calculation!DP17</f>
        <v>1158.8000000032514</v>
      </c>
      <c r="R389" s="989">
        <f>Q389-1220</f>
        <v>-61.199999996748602</v>
      </c>
      <c r="S389" s="990">
        <f>R389-R388</f>
        <v>-62.199999996748602</v>
      </c>
      <c r="T389" s="1017" t="e">
        <f ca="1">IF(A389&gt;$A$1,#N/A,VLOOKUP(A389,Calculation!$B$8:$JF$503,30,FALSE))</f>
        <v>#N/A</v>
      </c>
      <c r="U389" s="990">
        <f>D389</f>
        <v>0</v>
      </c>
      <c r="V389" s="990">
        <f>Calculation!AZ17</f>
        <v>0</v>
      </c>
      <c r="W389" s="1017" t="e">
        <f ca="1">IF(A389&gt;=$A$1,#N/A,W388-X389*1.983)</f>
        <v>#N/A</v>
      </c>
      <c r="X389" s="987" t="e">
        <f t="shared" ca="1" si="102"/>
        <v>#N/A</v>
      </c>
      <c r="Y389" s="990">
        <f ca="1">IF((A389+1)&gt;$A$1,#N/A,2500)</f>
        <v>2500</v>
      </c>
      <c r="Z389" s="990" t="e">
        <f ca="1">W389-Y389</f>
        <v>#N/A</v>
      </c>
      <c r="AA389" s="1017" t="e">
        <f ca="1">IF(Q389-T389-W389&lt;0,0,Q389-T389-W389)</f>
        <v>#N/A</v>
      </c>
      <c r="AB389" s="599" t="e">
        <f ca="1">AA389-1220</f>
        <v>#N/A</v>
      </c>
      <c r="AC389" s="957"/>
      <c r="AD389" s="598">
        <f>AC389-AC388</f>
        <v>-1</v>
      </c>
      <c r="AE389" s="598"/>
      <c r="AF389" s="937">
        <f>Calculation!G17</f>
        <v>959.70751386762242</v>
      </c>
      <c r="AG389" s="942" t="str">
        <f>IF(I389&gt;L389,"Yes","No")</f>
        <v>Yes</v>
      </c>
      <c r="AH389" s="942" t="str">
        <f>IF(AND(I389&gt;M389,J389&gt;N389),"Yes","No")</f>
        <v>Yes</v>
      </c>
      <c r="AI389" s="572"/>
      <c r="AN389" s="399" t="s">
        <v>129</v>
      </c>
      <c r="AO389" s="399"/>
      <c r="AT389" s="1117" t="s">
        <v>160</v>
      </c>
      <c r="AU389" s="1118"/>
      <c r="AV389" s="1117" t="s">
        <v>259</v>
      </c>
      <c r="AW389" s="1118"/>
      <c r="AX389" s="1117" t="s">
        <v>258</v>
      </c>
      <c r="AY389" s="1118"/>
      <c r="AZ389" s="1117" t="s">
        <v>257</v>
      </c>
      <c r="BA389" s="1118"/>
    </row>
    <row r="390" spans="1:53">
      <c r="AI390" s="572"/>
      <c r="AN390" s="399" t="e">
        <f ca="1">IF(VLOOKUP($A$1-1,$A$5:AN$387,AN388)&lt;A1,"no Prediction yet",VLOOKUP($A$1-1,$A$5:AN$387,AN388))</f>
        <v>#REF!</v>
      </c>
      <c r="AO390" s="399" t="e">
        <f ca="1">IF(VLOOKUP($A$1-1,$A$5:AO$387,AO388)&lt;B1,"no Prediction yet",VLOOKUP($A$1-1,$A$5:AO$387,AO388))</f>
        <v>#REF!</v>
      </c>
      <c r="AP390" s="400"/>
      <c r="AQ390" s="400"/>
      <c r="AR390" s="400"/>
      <c r="AS390" s="400"/>
      <c r="AT390" s="601" t="e">
        <f ca="1">IF(VLOOKUP($A$1-1,$A$5:AT$387,AT388)&lt;A1,"no Prediction yet",VLOOKUP($A$1-1,$A$5:AT$387,AT388))</f>
        <v>#REF!</v>
      </c>
      <c r="AU390" s="601" t="e">
        <f ca="1">IF(VLOOKUP($A$1-1,$A$5:AU$387,AU388)&lt;B1,"no Prediction yet",VLOOKUP($A$1-1,$A$5:AU$387,AU388))</f>
        <v>#REF!</v>
      </c>
      <c r="AV390" s="437" t="e">
        <f ca="1">IF(VLOOKUP($A$1-1,$A$5:AV$387,AV388)&lt;C1,"no Prediction yet",VLOOKUP($A$1-1,$A$5:AV$387,AV388))</f>
        <v>#REF!</v>
      </c>
      <c r="AW390" s="437" t="e">
        <f ca="1">IF(VLOOKUP($A$1-1,$A$5:AW$387,AW388)&lt;D1,"no Prediction yet",VLOOKUP($A$1-1,$A$5:AW$387,AW388))</f>
        <v>#REF!</v>
      </c>
      <c r="AX390" s="600" t="e">
        <f ca="1">IF(VLOOKUP($A$1-1,$A$5:AX$387,AX388)&lt;E1,"no Prediction yet",VLOOKUP($A$1-1,$A$5:AX$387,AX388))</f>
        <v>#REF!</v>
      </c>
      <c r="AY390" s="600" t="e">
        <f ca="1">IF(VLOOKUP($A$1-1,$A$5:AY$387,AY388)&lt;F1,"no Prediction yet",VLOOKUP($A$1-1,$A$5:AY$387,AY388))</f>
        <v>#REF!</v>
      </c>
      <c r="AZ390" s="621" t="e">
        <f ca="1">IF(VLOOKUP($A$1-1,$A$5:AZ$387,AZ388)&lt;G1,"no Prediction yet",VLOOKUP($A$1-1,$A$5:AZ$387,AZ388))</f>
        <v>#REF!</v>
      </c>
      <c r="BA390" s="621" t="e">
        <f ca="1">IF(VLOOKUP($A$1-1,$A$5:BA$387,BA388)&lt;H1,"no Prediction yet",VLOOKUP($A$1-1,$A$5:BA$387,BA388))</f>
        <v>#REF!</v>
      </c>
    </row>
    <row r="391" spans="1:53">
      <c r="AI391" s="572"/>
      <c r="AN391" s="399" t="e">
        <f ca="1">TEXT(AN390,"d-mmm-y")</f>
        <v>#REF!</v>
      </c>
      <c r="AO391" s="399" t="e">
        <f ca="1">TEXT(AO390,"d-mmm-y")</f>
        <v>#REF!</v>
      </c>
      <c r="AP391" s="400"/>
      <c r="AQ391" s="400"/>
      <c r="AR391" s="400"/>
      <c r="AS391" s="400"/>
      <c r="AT391" s="601" t="e">
        <f t="shared" ref="AT391:BA391" ca="1" si="104">TEXT(AT390,"d-mmm-y")</f>
        <v>#REF!</v>
      </c>
      <c r="AU391" s="601" t="e">
        <f t="shared" ca="1" si="104"/>
        <v>#REF!</v>
      </c>
      <c r="AV391" s="437" t="e">
        <f t="shared" ca="1" si="104"/>
        <v>#REF!</v>
      </c>
      <c r="AW391" s="437" t="e">
        <f t="shared" ca="1" si="104"/>
        <v>#REF!</v>
      </c>
      <c r="AX391" s="600" t="e">
        <f t="shared" ca="1" si="104"/>
        <v>#REF!</v>
      </c>
      <c r="AY391" s="600" t="e">
        <f t="shared" ca="1" si="104"/>
        <v>#REF!</v>
      </c>
      <c r="AZ391" s="621" t="e">
        <f t="shared" ca="1" si="104"/>
        <v>#REF!</v>
      </c>
      <c r="BA391" s="621" t="e">
        <f t="shared" ca="1" si="104"/>
        <v>#REF!</v>
      </c>
    </row>
    <row r="392" spans="1:53">
      <c r="AI392" s="572"/>
      <c r="AJ392" s="885"/>
      <c r="AK392" s="885"/>
      <c r="AL392" s="480"/>
      <c r="AM392" s="480"/>
      <c r="AN392" s="431"/>
      <c r="AO392" s="401" t="e">
        <f ca="1">IF(NOW()&lt;Calculation!#REF!,CONCATENATE("Current Predicted date for Municipal Storage to be at 20000AF is ",AO391),CONCATENATE("Current Predicted date for Municipal Storage to be at 0AF is ",AN391))</f>
        <v>#REF!</v>
      </c>
    </row>
    <row r="393" spans="1:53">
      <c r="AI393" s="572"/>
      <c r="AP393" s="602"/>
      <c r="AQ393" s="603"/>
      <c r="AR393" s="603"/>
      <c r="AS393" s="603"/>
      <c r="AT393" s="602"/>
      <c r="AU393" s="604" t="e">
        <f ca="1">IF(NOW()&lt;Calculation!#REF!,CONCATENATE("Current Predicted date for Tacoma Storage to be at 20000AF is ",AU391),CONCATENATE("Current Predicted date for Tacoma Storage to be at 0AF is ",AT391))</f>
        <v>#REF!</v>
      </c>
    </row>
    <row r="394" spans="1:53">
      <c r="AI394" s="572"/>
      <c r="AR394" s="434"/>
      <c r="AS394" s="435"/>
      <c r="AT394" s="392"/>
      <c r="AU394" s="436"/>
      <c r="AV394" s="432"/>
      <c r="AW394" s="433" t="e">
        <f ca="1">IF(NOW()&lt;Calculation!#REF!,CONCATENATE("Current Predicted date for Lakehaven Storage to be at 20000AF is ",AW391),CONCATENATE("Current Predicted date for Lakehaven Storage to be at 0AF is ",AV391))</f>
        <v>#REF!</v>
      </c>
    </row>
    <row r="395" spans="1:53">
      <c r="AI395" s="572"/>
      <c r="AT395" s="613"/>
      <c r="AU395" s="614"/>
      <c r="AV395" s="614"/>
      <c r="AW395" s="615"/>
      <c r="AX395" s="616"/>
      <c r="AY395" s="617" t="e">
        <f ca="1">IF(NOW()&lt;Calculation!#REF!,CONCATENATE("Current Predicted date for Covington Storage to be at 200000AF is ",AY391),CONCATENATE("Current Predicted date for Covington Storage to be at 0AF is ",AX391))</f>
        <v>#REF!</v>
      </c>
    </row>
    <row r="396" spans="1:53">
      <c r="AI396" s="572"/>
      <c r="AW396" s="618"/>
      <c r="AX396" s="619"/>
      <c r="AY396" s="619"/>
      <c r="AZ396" s="618"/>
      <c r="BA396" s="620" t="e">
        <f ca="1">IF(NOW()&lt;Calculation!#REF!,CONCATENATE("Current Predicted date for Kent Storage to be at 200000AF is ",BA391),CONCATENATE("Current Predicted date for Kent Storage to be at 0AF is ",AZ391))</f>
        <v>#REF!</v>
      </c>
    </row>
    <row r="397" spans="1:53">
      <c r="AI397" s="572"/>
    </row>
    <row r="398" spans="1:53">
      <c r="AI398" s="572"/>
    </row>
    <row r="399" spans="1:53">
      <c r="AI399" s="572"/>
    </row>
    <row r="400" spans="1:53">
      <c r="AI400" s="572"/>
    </row>
    <row r="401" spans="35:35">
      <c r="AI401" s="572"/>
    </row>
    <row r="402" spans="35:35">
      <c r="AI402" s="572"/>
    </row>
    <row r="403" spans="35:35">
      <c r="AI403" s="572"/>
    </row>
    <row r="404" spans="35:35">
      <c r="AI404" s="572"/>
    </row>
    <row r="405" spans="35:35">
      <c r="AI405" s="572"/>
    </row>
    <row r="406" spans="35:35">
      <c r="AI406" s="572"/>
    </row>
    <row r="407" spans="35:35">
      <c r="AI407" s="572"/>
    </row>
    <row r="408" spans="35:35">
      <c r="AI408" s="572"/>
    </row>
    <row r="409" spans="35:35">
      <c r="AI409" s="572"/>
    </row>
    <row r="410" spans="35:35">
      <c r="AI410" s="572"/>
    </row>
    <row r="411" spans="35:35">
      <c r="AI411" s="572"/>
    </row>
    <row r="412" spans="35:35">
      <c r="AI412" s="572"/>
    </row>
    <row r="413" spans="35:35">
      <c r="AI413" s="572"/>
    </row>
    <row r="414" spans="35:35">
      <c r="AI414" s="572"/>
    </row>
    <row r="415" spans="35:35">
      <c r="AI415" s="572"/>
    </row>
    <row r="416" spans="35:35">
      <c r="AI416" s="572"/>
    </row>
    <row r="417" spans="35:35">
      <c r="AI417" s="572"/>
    </row>
    <row r="418" spans="35:35">
      <c r="AI418" s="572"/>
    </row>
    <row r="419" spans="35:35">
      <c r="AI419" s="572"/>
    </row>
    <row r="420" spans="35:35">
      <c r="AI420" s="572"/>
    </row>
    <row r="421" spans="35:35">
      <c r="AI421" s="572"/>
    </row>
    <row r="422" spans="35:35">
      <c r="AI422" s="572"/>
    </row>
    <row r="423" spans="35:35">
      <c r="AI423" s="572"/>
    </row>
    <row r="424" spans="35:35">
      <c r="AI424" s="572"/>
    </row>
    <row r="425" spans="35:35">
      <c r="AI425" s="572"/>
    </row>
  </sheetData>
  <mergeCells count="10">
    <mergeCell ref="L1:N1"/>
    <mergeCell ref="B1:H1"/>
    <mergeCell ref="O1:AA1"/>
    <mergeCell ref="I1:K1"/>
    <mergeCell ref="AC1:AE1"/>
    <mergeCell ref="AZ389:BA389"/>
    <mergeCell ref="AT389:AU389"/>
    <mergeCell ref="AV389:AW389"/>
    <mergeCell ref="AX389:AY389"/>
    <mergeCell ref="AF1:AH1"/>
  </mergeCells>
  <phoneticPr fontId="41" type="noConversion"/>
  <conditionalFormatting sqref="AB389:AH389 B389:Z389 X304:X389 AB5:AH387 B5:Z387">
    <cfRule type="expression" dxfId="1583" priority="40" stopIfTrue="1">
      <formula>ISERROR(B5)</formula>
    </cfRule>
    <cfRule type="expression" dxfId="1582" priority="42" stopIfTrue="1">
      <formula>OR(B5=0,$B5&lt;=0)</formula>
    </cfRule>
  </conditionalFormatting>
  <conditionalFormatting sqref="AC6 AA389 AA6:AA384">
    <cfRule type="expression" dxfId="1581" priority="43" stopIfTrue="1">
      <formula>ISERROR(AA6)</formula>
    </cfRule>
    <cfRule type="expression" dxfId="1580" priority="44" stopIfTrue="1">
      <formula>AND($B5&gt;0,AA6=0)</formula>
    </cfRule>
    <cfRule type="expression" dxfId="1579" priority="45" stopIfTrue="1">
      <formula>OR(AA6=0,$B5&lt;=0)</formula>
    </cfRule>
  </conditionalFormatting>
  <conditionalFormatting sqref="AN3:AN4">
    <cfRule type="expression" dxfId="1578" priority="46" stopIfTrue="1">
      <formula>ISERROR(AN3)</formula>
    </cfRule>
    <cfRule type="expression" dxfId="1577" priority="47" stopIfTrue="1">
      <formula>AND($B1048223&gt;0,AN3=0)</formula>
    </cfRule>
    <cfRule type="expression" dxfId="1576" priority="48" stopIfTrue="1">
      <formula>OR(AN3=0,$B1048223&lt;=0)</formula>
    </cfRule>
  </conditionalFormatting>
  <conditionalFormatting sqref="AA17:AA386">
    <cfRule type="expression" dxfId="1575" priority="173" stopIfTrue="1">
      <formula>ISERROR(AA17)</formula>
    </cfRule>
    <cfRule type="expression" dxfId="1574" priority="174" stopIfTrue="1">
      <formula>AND(#REF!&gt;0,AA17=0)</formula>
    </cfRule>
    <cfRule type="expression" dxfId="1573" priority="175" stopIfTrue="1">
      <formula>OR(AA17=0,#REF!&lt;=0)</formula>
    </cfRule>
  </conditionalFormatting>
  <conditionalFormatting sqref="AA387">
    <cfRule type="expression" dxfId="1572" priority="179" stopIfTrue="1">
      <formula>ISERROR(AA387)</formula>
    </cfRule>
    <cfRule type="expression" dxfId="1571" priority="180" stopIfTrue="1">
      <formula>AND($B11&gt;0,AA387=0)</formula>
    </cfRule>
    <cfRule type="expression" dxfId="1570" priority="181" stopIfTrue="1">
      <formula>OR(AA387=0,$B11&lt;=0)</formula>
    </cfRule>
  </conditionalFormatting>
  <conditionalFormatting sqref="AA23 AA161">
    <cfRule type="expression" dxfId="1569" priority="503" stopIfTrue="1">
      <formula>ISERROR(AA23)</formula>
    </cfRule>
    <cfRule type="expression" dxfId="1568" priority="504" stopIfTrue="1">
      <formula>AND($B12&gt;0,AA23=0)</formula>
    </cfRule>
    <cfRule type="expression" dxfId="1567" priority="505" stopIfTrue="1">
      <formula>OR(AA23=0,$B12&lt;=0)</formula>
    </cfRule>
  </conditionalFormatting>
  <conditionalFormatting sqref="AA22 AA160:AA161">
    <cfRule type="expression" dxfId="1566" priority="509" stopIfTrue="1">
      <formula>ISERROR(AA22)</formula>
    </cfRule>
    <cfRule type="expression" dxfId="1565" priority="510" stopIfTrue="1">
      <formula>AND($B12&gt;0,AA22=0)</formula>
    </cfRule>
    <cfRule type="expression" dxfId="1564" priority="511" stopIfTrue="1">
      <formula>OR(AA22=0,$B12&lt;=0)</formula>
    </cfRule>
  </conditionalFormatting>
  <conditionalFormatting sqref="AA21 AA159">
    <cfRule type="expression" dxfId="1563" priority="515" stopIfTrue="1">
      <formula>ISERROR(AA21)</formula>
    </cfRule>
    <cfRule type="expression" dxfId="1562" priority="516" stopIfTrue="1">
      <formula>AND($B12&gt;0,AA21=0)</formula>
    </cfRule>
    <cfRule type="expression" dxfId="1561" priority="517" stopIfTrue="1">
      <formula>OR(AA21=0,$B12&lt;=0)</formula>
    </cfRule>
  </conditionalFormatting>
  <conditionalFormatting sqref="AA20 AA158">
    <cfRule type="expression" dxfId="1560" priority="521" stopIfTrue="1">
      <formula>ISERROR(AA20)</formula>
    </cfRule>
    <cfRule type="expression" dxfId="1559" priority="522" stopIfTrue="1">
      <formula>AND($B12&gt;0,AA20=0)</formula>
    </cfRule>
    <cfRule type="expression" dxfId="1558" priority="523" stopIfTrue="1">
      <formula>OR(AA20=0,$B12&lt;=0)</formula>
    </cfRule>
  </conditionalFormatting>
  <conditionalFormatting sqref="AA296 AA159 AA301">
    <cfRule type="expression" dxfId="1557" priority="539" stopIfTrue="1">
      <formula>ISERROR(AA159)</formula>
    </cfRule>
    <cfRule type="expression" dxfId="1556" priority="540" stopIfTrue="1">
      <formula>AND($B13&gt;0,AA159=0)</formula>
    </cfRule>
    <cfRule type="expression" dxfId="1555" priority="541" stopIfTrue="1">
      <formula>OR(AA159=0,$B13&lt;=0)</formula>
    </cfRule>
  </conditionalFormatting>
  <conditionalFormatting sqref="AA15 AA158">
    <cfRule type="expression" dxfId="1554" priority="545" stopIfTrue="1">
      <formula>ISERROR(AA15)</formula>
    </cfRule>
    <cfRule type="expression" dxfId="1553" priority="546" stopIfTrue="1">
      <formula>AND($B11&gt;0,AA15=0)</formula>
    </cfRule>
    <cfRule type="expression" dxfId="1552" priority="547" stopIfTrue="1">
      <formula>OR(AA15=0,$B11&lt;=0)</formula>
    </cfRule>
  </conditionalFormatting>
  <conditionalFormatting sqref="AA14 AA157:AA161">
    <cfRule type="expression" dxfId="1551" priority="551" stopIfTrue="1">
      <formula>ISERROR(AA14)</formula>
    </cfRule>
    <cfRule type="expression" dxfId="1550" priority="552" stopIfTrue="1">
      <formula>AND($B11&gt;0,AA14=0)</formula>
    </cfRule>
    <cfRule type="expression" dxfId="1549" priority="553" stopIfTrue="1">
      <formula>OR(AA14=0,$B11&lt;=0)</formula>
    </cfRule>
  </conditionalFormatting>
  <conditionalFormatting sqref="AA13 AA156:AA161">
    <cfRule type="expression" dxfId="1548" priority="557" stopIfTrue="1">
      <formula>ISERROR(AA13)</formula>
    </cfRule>
    <cfRule type="expression" dxfId="1547" priority="558" stopIfTrue="1">
      <formula>AND($B11&gt;0,AA13=0)</formula>
    </cfRule>
    <cfRule type="expression" dxfId="1546" priority="559" stopIfTrue="1">
      <formula>OR(AA13=0,$B11&lt;=0)</formula>
    </cfRule>
  </conditionalFormatting>
  <conditionalFormatting sqref="AA386">
    <cfRule type="expression" dxfId="1545" priority="569" stopIfTrue="1">
      <formula>ISERROR(AA386)</formula>
    </cfRule>
    <cfRule type="expression" dxfId="1544" priority="570" stopIfTrue="1">
      <formula>AND($B12&gt;0,AA386=0)</formula>
    </cfRule>
    <cfRule type="expression" dxfId="1543" priority="571" stopIfTrue="1">
      <formula>OR(AA386=0,$B12&lt;=0)</formula>
    </cfRule>
  </conditionalFormatting>
  <conditionalFormatting sqref="AA163 AA301 AA305">
    <cfRule type="expression" dxfId="1542" priority="581" stopIfTrue="1">
      <formula>ISERROR(AA163)</formula>
    </cfRule>
    <cfRule type="expression" dxfId="1541" priority="582" stopIfTrue="1">
      <formula>AND($B13&gt;0,AA163=0)</formula>
    </cfRule>
    <cfRule type="expression" dxfId="1540" priority="583" stopIfTrue="1">
      <formula>OR(AA163=0,$B13&lt;=0)</formula>
    </cfRule>
  </conditionalFormatting>
  <conditionalFormatting sqref="AA153 AA291">
    <cfRule type="expression" dxfId="1539" priority="593" stopIfTrue="1">
      <formula>ISERROR(AA153)</formula>
    </cfRule>
    <cfRule type="expression" dxfId="1538" priority="594" stopIfTrue="1">
      <formula>AND($B12&gt;0,AA153=0)</formula>
    </cfRule>
    <cfRule type="expression" dxfId="1537" priority="595" stopIfTrue="1">
      <formula>OR(AA153=0,$B12&lt;=0)</formula>
    </cfRule>
  </conditionalFormatting>
  <conditionalFormatting sqref="AA152 AA290">
    <cfRule type="expression" dxfId="1536" priority="605" stopIfTrue="1">
      <formula>ISERROR(AA152)</formula>
    </cfRule>
    <cfRule type="expression" dxfId="1535" priority="606" stopIfTrue="1">
      <formula>AND($B12&gt;0,AA152=0)</formula>
    </cfRule>
    <cfRule type="expression" dxfId="1534" priority="607" stopIfTrue="1">
      <formula>OR(AA152=0,$B12&lt;=0)</formula>
    </cfRule>
  </conditionalFormatting>
  <conditionalFormatting sqref="AA151 AA277:AA289">
    <cfRule type="expression" dxfId="1533" priority="617" stopIfTrue="1">
      <formula>ISERROR(AA151)</formula>
    </cfRule>
    <cfRule type="expression" dxfId="1532" priority="618" stopIfTrue="1">
      <formula>AND($B12&gt;0,AA151=0)</formula>
    </cfRule>
    <cfRule type="expression" dxfId="1531" priority="619" stopIfTrue="1">
      <formula>OR(AA151=0,$B12&lt;=0)</formula>
    </cfRule>
  </conditionalFormatting>
  <conditionalFormatting sqref="AA288 AA150:AA161">
    <cfRule type="expression" dxfId="1530" priority="629" stopIfTrue="1">
      <formula>ISERROR(AA150)</formula>
    </cfRule>
    <cfRule type="expression" dxfId="1529" priority="630" stopIfTrue="1">
      <formula>AND($B12&gt;0,AA150=0)</formula>
    </cfRule>
    <cfRule type="expression" dxfId="1528" priority="631" stopIfTrue="1">
      <formula>OR(AA150=0,$B12&lt;=0)</formula>
    </cfRule>
  </conditionalFormatting>
  <conditionalFormatting sqref="AA149 AA287">
    <cfRule type="expression" dxfId="1527" priority="641" stopIfTrue="1">
      <formula>ISERROR(AA149)</formula>
    </cfRule>
    <cfRule type="expression" dxfId="1526" priority="642" stopIfTrue="1">
      <formula>AND($B12&gt;0,AA149=0)</formula>
    </cfRule>
    <cfRule type="expression" dxfId="1525" priority="643" stopIfTrue="1">
      <formula>OR(AA149=0,$B12&lt;=0)</formula>
    </cfRule>
  </conditionalFormatting>
  <conditionalFormatting sqref="AA148 AA286">
    <cfRule type="expression" dxfId="1524" priority="674" stopIfTrue="1">
      <formula>ISERROR(AA148)</formula>
    </cfRule>
    <cfRule type="expression" dxfId="1523" priority="675" stopIfTrue="1">
      <formula>AND($B12&gt;0,AA148=0)</formula>
    </cfRule>
    <cfRule type="expression" dxfId="1522" priority="676" stopIfTrue="1">
      <formula>OR(AA148=0,$B12&lt;=0)</formula>
    </cfRule>
  </conditionalFormatting>
  <conditionalFormatting sqref="AA285 AA147:AA161">
    <cfRule type="expression" dxfId="1521" priority="710" stopIfTrue="1">
      <formula>ISERROR(AA147)</formula>
    </cfRule>
    <cfRule type="expression" dxfId="1520" priority="711" stopIfTrue="1">
      <formula>AND($B12&gt;0,AA147=0)</formula>
    </cfRule>
    <cfRule type="expression" dxfId="1519" priority="712" stopIfTrue="1">
      <formula>OR(AA147=0,$B12&lt;=0)</formula>
    </cfRule>
  </conditionalFormatting>
  <conditionalFormatting sqref="AA146 AA284">
    <cfRule type="expression" dxfId="1518" priority="749" stopIfTrue="1">
      <formula>ISERROR(AA146)</formula>
    </cfRule>
    <cfRule type="expression" dxfId="1517" priority="750" stopIfTrue="1">
      <formula>AND($B12&gt;0,AA146=0)</formula>
    </cfRule>
    <cfRule type="expression" dxfId="1516" priority="751" stopIfTrue="1">
      <formula>OR(AA146=0,$B12&lt;=0)</formula>
    </cfRule>
  </conditionalFormatting>
  <conditionalFormatting sqref="AA145 AA283">
    <cfRule type="expression" dxfId="1515" priority="791" stopIfTrue="1">
      <formula>ISERROR(AA145)</formula>
    </cfRule>
    <cfRule type="expression" dxfId="1514" priority="792" stopIfTrue="1">
      <formula>AND($B12&gt;0,AA145=0)</formula>
    </cfRule>
    <cfRule type="expression" dxfId="1513" priority="793" stopIfTrue="1">
      <formula>OR(AA145=0,$B12&lt;=0)</formula>
    </cfRule>
  </conditionalFormatting>
  <conditionalFormatting sqref="AA144 AA282">
    <cfRule type="expression" dxfId="1512" priority="836" stopIfTrue="1">
      <formula>ISERROR(AA144)</formula>
    </cfRule>
    <cfRule type="expression" dxfId="1511" priority="837" stopIfTrue="1">
      <formula>AND($B12&gt;0,AA144=0)</formula>
    </cfRule>
    <cfRule type="expression" dxfId="1510" priority="838" stopIfTrue="1">
      <formula>OR(AA144=0,$B12&lt;=0)</formula>
    </cfRule>
  </conditionalFormatting>
  <conditionalFormatting sqref="AA143 AA281">
    <cfRule type="expression" dxfId="1509" priority="884" stopIfTrue="1">
      <formula>ISERROR(AA143)</formula>
    </cfRule>
    <cfRule type="expression" dxfId="1508" priority="885" stopIfTrue="1">
      <formula>AND($B12&gt;0,AA143=0)</formula>
    </cfRule>
    <cfRule type="expression" dxfId="1507" priority="886" stopIfTrue="1">
      <formula>OR(AA143=0,$B12&lt;=0)</formula>
    </cfRule>
  </conditionalFormatting>
  <conditionalFormatting sqref="AA142 AA280">
    <cfRule type="expression" dxfId="1506" priority="935" stopIfTrue="1">
      <formula>ISERROR(AA142)</formula>
    </cfRule>
    <cfRule type="expression" dxfId="1505" priority="936" stopIfTrue="1">
      <formula>AND($B12&gt;0,AA142=0)</formula>
    </cfRule>
    <cfRule type="expression" dxfId="1504" priority="937" stopIfTrue="1">
      <formula>OR(AA142=0,$B12&lt;=0)</formula>
    </cfRule>
  </conditionalFormatting>
  <conditionalFormatting sqref="AA279 AA141:AA161">
    <cfRule type="expression" dxfId="1503" priority="989" stopIfTrue="1">
      <formula>ISERROR(AA141)</formula>
    </cfRule>
    <cfRule type="expression" dxfId="1502" priority="990" stopIfTrue="1">
      <formula>AND($B12&gt;0,AA141=0)</formula>
    </cfRule>
    <cfRule type="expression" dxfId="1501" priority="991" stopIfTrue="1">
      <formula>OR(AA141=0,$B12&lt;=0)</formula>
    </cfRule>
  </conditionalFormatting>
  <conditionalFormatting sqref="AA140 AA278">
    <cfRule type="expression" dxfId="1500" priority="1046" stopIfTrue="1">
      <formula>ISERROR(AA140)</formula>
    </cfRule>
    <cfRule type="expression" dxfId="1499" priority="1047" stopIfTrue="1">
      <formula>AND($B12&gt;0,AA140=0)</formula>
    </cfRule>
    <cfRule type="expression" dxfId="1498" priority="1048" stopIfTrue="1">
      <formula>OR(AA140=0,$B12&lt;=0)</formula>
    </cfRule>
  </conditionalFormatting>
  <conditionalFormatting sqref="AA139 AA277">
    <cfRule type="expression" dxfId="1497" priority="1106" stopIfTrue="1">
      <formula>ISERROR(AA139)</formula>
    </cfRule>
    <cfRule type="expression" dxfId="1496" priority="1107" stopIfTrue="1">
      <formula>AND($B12&gt;0,AA139=0)</formula>
    </cfRule>
    <cfRule type="expression" dxfId="1495" priority="1108" stopIfTrue="1">
      <formula>OR(AA139=0,$B12&lt;=0)</formula>
    </cfRule>
  </conditionalFormatting>
  <conditionalFormatting sqref="AA138 AA276">
    <cfRule type="expression" dxfId="1494" priority="1169" stopIfTrue="1">
      <formula>ISERROR(AA138)</formula>
    </cfRule>
    <cfRule type="expression" dxfId="1493" priority="1170" stopIfTrue="1">
      <formula>AND($B12&gt;0,AA138=0)</formula>
    </cfRule>
    <cfRule type="expression" dxfId="1492" priority="1171" stopIfTrue="1">
      <formula>OR(AA138=0,$B12&lt;=0)</formula>
    </cfRule>
  </conditionalFormatting>
  <conditionalFormatting sqref="AA137 AA275">
    <cfRule type="expression" dxfId="1491" priority="1235" stopIfTrue="1">
      <formula>ISERROR(AA137)</formula>
    </cfRule>
    <cfRule type="expression" dxfId="1490" priority="1236" stopIfTrue="1">
      <formula>AND($B12&gt;0,AA137=0)</formula>
    </cfRule>
    <cfRule type="expression" dxfId="1489" priority="1237" stopIfTrue="1">
      <formula>OR(AA137=0,$B12&lt;=0)</formula>
    </cfRule>
  </conditionalFormatting>
  <conditionalFormatting sqref="AA136 AA274">
    <cfRule type="expression" dxfId="1488" priority="1304" stopIfTrue="1">
      <formula>ISERROR(AA136)</formula>
    </cfRule>
    <cfRule type="expression" dxfId="1487" priority="1305" stopIfTrue="1">
      <formula>AND($B12&gt;0,AA136=0)</formula>
    </cfRule>
    <cfRule type="expression" dxfId="1486" priority="1306" stopIfTrue="1">
      <formula>OR(AA136=0,$B12&lt;=0)</formula>
    </cfRule>
  </conditionalFormatting>
  <conditionalFormatting sqref="AA135 AA273">
    <cfRule type="expression" dxfId="1485" priority="1376" stopIfTrue="1">
      <formula>ISERROR(AA135)</formula>
    </cfRule>
    <cfRule type="expression" dxfId="1484" priority="1377" stopIfTrue="1">
      <formula>AND($B12&gt;0,AA135=0)</formula>
    </cfRule>
    <cfRule type="expression" dxfId="1483" priority="1378" stopIfTrue="1">
      <formula>OR(AA135=0,$B12&lt;=0)</formula>
    </cfRule>
  </conditionalFormatting>
  <conditionalFormatting sqref="AA134 AA272">
    <cfRule type="expression" dxfId="1482" priority="1451" stopIfTrue="1">
      <formula>ISERROR(AA134)</formula>
    </cfRule>
    <cfRule type="expression" dxfId="1481" priority="1452" stopIfTrue="1">
      <formula>AND($B12&gt;0,AA134=0)</formula>
    </cfRule>
    <cfRule type="expression" dxfId="1480" priority="1453" stopIfTrue="1">
      <formula>OR(AA134=0,$B12&lt;=0)</formula>
    </cfRule>
  </conditionalFormatting>
  <conditionalFormatting sqref="AA133 AA271">
    <cfRule type="expression" dxfId="1479" priority="1529" stopIfTrue="1">
      <formula>ISERROR(AA133)</formula>
    </cfRule>
    <cfRule type="expression" dxfId="1478" priority="1530" stopIfTrue="1">
      <formula>AND($B12&gt;0,AA133=0)</formula>
    </cfRule>
    <cfRule type="expression" dxfId="1477" priority="1531" stopIfTrue="1">
      <formula>OR(AA133=0,$B12&lt;=0)</formula>
    </cfRule>
  </conditionalFormatting>
  <conditionalFormatting sqref="AA132 AA270">
    <cfRule type="expression" dxfId="1476" priority="1610" stopIfTrue="1">
      <formula>ISERROR(AA132)</formula>
    </cfRule>
    <cfRule type="expression" dxfId="1475" priority="1611" stopIfTrue="1">
      <formula>AND($B12&gt;0,AA132=0)</formula>
    </cfRule>
    <cfRule type="expression" dxfId="1474" priority="1612" stopIfTrue="1">
      <formula>OR(AA132=0,$B12&lt;=0)</formula>
    </cfRule>
  </conditionalFormatting>
  <conditionalFormatting sqref="AA131 AA269">
    <cfRule type="expression" dxfId="1473" priority="1694" stopIfTrue="1">
      <formula>ISERROR(AA131)</formula>
    </cfRule>
    <cfRule type="expression" dxfId="1472" priority="1695" stopIfTrue="1">
      <formula>AND($B12&gt;0,AA131=0)</formula>
    </cfRule>
    <cfRule type="expression" dxfId="1471" priority="1696" stopIfTrue="1">
      <formula>OR(AA131=0,$B12&lt;=0)</formula>
    </cfRule>
  </conditionalFormatting>
  <conditionalFormatting sqref="AA130 AA268">
    <cfRule type="expression" dxfId="1470" priority="1781" stopIfTrue="1">
      <formula>ISERROR(AA130)</formula>
    </cfRule>
    <cfRule type="expression" dxfId="1469" priority="1782" stopIfTrue="1">
      <formula>AND($B12&gt;0,AA130=0)</formula>
    </cfRule>
    <cfRule type="expression" dxfId="1468" priority="1783" stopIfTrue="1">
      <formula>OR(AA130=0,$B12&lt;=0)</formula>
    </cfRule>
  </conditionalFormatting>
  <conditionalFormatting sqref="AA129 AA267">
    <cfRule type="expression" dxfId="1467" priority="1871" stopIfTrue="1">
      <formula>ISERROR(AA129)</formula>
    </cfRule>
    <cfRule type="expression" dxfId="1466" priority="1872" stopIfTrue="1">
      <formula>AND($B12&gt;0,AA129=0)</formula>
    </cfRule>
    <cfRule type="expression" dxfId="1465" priority="1873" stopIfTrue="1">
      <formula>OR(AA129=0,$B12&lt;=0)</formula>
    </cfRule>
  </conditionalFormatting>
  <conditionalFormatting sqref="AA128 AA266">
    <cfRule type="expression" dxfId="1464" priority="1964" stopIfTrue="1">
      <formula>ISERROR(AA128)</formula>
    </cfRule>
    <cfRule type="expression" dxfId="1463" priority="1965" stopIfTrue="1">
      <formula>AND($B12&gt;0,AA128=0)</formula>
    </cfRule>
    <cfRule type="expression" dxfId="1462" priority="1966" stopIfTrue="1">
      <formula>OR(AA128=0,$B12&lt;=0)</formula>
    </cfRule>
  </conditionalFormatting>
  <conditionalFormatting sqref="AA127 AA265">
    <cfRule type="expression" dxfId="1461" priority="2060" stopIfTrue="1">
      <formula>ISERROR(AA127)</formula>
    </cfRule>
    <cfRule type="expression" dxfId="1460" priority="2061" stopIfTrue="1">
      <formula>AND($B12&gt;0,AA127=0)</formula>
    </cfRule>
    <cfRule type="expression" dxfId="1459" priority="2062" stopIfTrue="1">
      <formula>OR(AA127=0,$B12&lt;=0)</formula>
    </cfRule>
  </conditionalFormatting>
  <conditionalFormatting sqref="AA126 AA264">
    <cfRule type="expression" dxfId="1458" priority="2159" stopIfTrue="1">
      <formula>ISERROR(AA126)</formula>
    </cfRule>
    <cfRule type="expression" dxfId="1457" priority="2160" stopIfTrue="1">
      <formula>AND($B12&gt;0,AA126=0)</formula>
    </cfRule>
    <cfRule type="expression" dxfId="1456" priority="2161" stopIfTrue="1">
      <formula>OR(AA126=0,$B12&lt;=0)</formula>
    </cfRule>
  </conditionalFormatting>
  <conditionalFormatting sqref="AA125 AA263">
    <cfRule type="expression" dxfId="1455" priority="2261" stopIfTrue="1">
      <formula>ISERROR(AA125)</formula>
    </cfRule>
    <cfRule type="expression" dxfId="1454" priority="2262" stopIfTrue="1">
      <formula>AND($B12&gt;0,AA125=0)</formula>
    </cfRule>
    <cfRule type="expression" dxfId="1453" priority="2263" stopIfTrue="1">
      <formula>OR(AA125=0,$B12&lt;=0)</formula>
    </cfRule>
  </conditionalFormatting>
  <conditionalFormatting sqref="AA124 AA262">
    <cfRule type="expression" dxfId="1452" priority="2366" stopIfTrue="1">
      <formula>ISERROR(AA124)</formula>
    </cfRule>
    <cfRule type="expression" dxfId="1451" priority="2367" stopIfTrue="1">
      <formula>AND($B12&gt;0,AA124=0)</formula>
    </cfRule>
    <cfRule type="expression" dxfId="1450" priority="2368" stopIfTrue="1">
      <formula>OR(AA124=0,$B12&lt;=0)</formula>
    </cfRule>
  </conditionalFormatting>
  <conditionalFormatting sqref="AA123 AA261:AA262">
    <cfRule type="expression" dxfId="1449" priority="2474" stopIfTrue="1">
      <formula>ISERROR(AA123)</formula>
    </cfRule>
    <cfRule type="expression" dxfId="1448" priority="2475" stopIfTrue="1">
      <formula>AND($B12&gt;0,AA123=0)</formula>
    </cfRule>
    <cfRule type="expression" dxfId="1447" priority="2476" stopIfTrue="1">
      <formula>OR(AA123=0,$B12&lt;=0)</formula>
    </cfRule>
  </conditionalFormatting>
  <conditionalFormatting sqref="AA122 AA260">
    <cfRule type="expression" dxfId="1446" priority="2585" stopIfTrue="1">
      <formula>ISERROR(AA122)</formula>
    </cfRule>
    <cfRule type="expression" dxfId="1445" priority="2586" stopIfTrue="1">
      <formula>AND($B12&gt;0,AA122=0)</formula>
    </cfRule>
    <cfRule type="expression" dxfId="1444" priority="2587" stopIfTrue="1">
      <formula>OR(AA122=0,$B12&lt;=0)</formula>
    </cfRule>
  </conditionalFormatting>
  <conditionalFormatting sqref="AA121 AA259">
    <cfRule type="expression" dxfId="1443" priority="2699" stopIfTrue="1">
      <formula>ISERROR(AA121)</formula>
    </cfRule>
    <cfRule type="expression" dxfId="1442" priority="2700" stopIfTrue="1">
      <formula>AND($B12&gt;0,AA121=0)</formula>
    </cfRule>
    <cfRule type="expression" dxfId="1441" priority="2701" stopIfTrue="1">
      <formula>OR(AA121=0,$B12&lt;=0)</formula>
    </cfRule>
  </conditionalFormatting>
  <conditionalFormatting sqref="AA120 AA258">
    <cfRule type="expression" dxfId="1440" priority="2816" stopIfTrue="1">
      <formula>ISERROR(AA120)</formula>
    </cfRule>
    <cfRule type="expression" dxfId="1439" priority="2817" stopIfTrue="1">
      <formula>AND($B12&gt;0,AA120=0)</formula>
    </cfRule>
    <cfRule type="expression" dxfId="1438" priority="2818" stopIfTrue="1">
      <formula>OR(AA120=0,$B12&lt;=0)</formula>
    </cfRule>
  </conditionalFormatting>
  <conditionalFormatting sqref="AA119 AA257">
    <cfRule type="expression" dxfId="1437" priority="2936" stopIfTrue="1">
      <formula>ISERROR(AA119)</formula>
    </cfRule>
    <cfRule type="expression" dxfId="1436" priority="2937" stopIfTrue="1">
      <formula>AND($B12&gt;0,AA119=0)</formula>
    </cfRule>
    <cfRule type="expression" dxfId="1435" priority="2938" stopIfTrue="1">
      <formula>OR(AA119=0,$B12&lt;=0)</formula>
    </cfRule>
  </conditionalFormatting>
  <conditionalFormatting sqref="AA118 AA256">
    <cfRule type="expression" dxfId="1434" priority="3059" stopIfTrue="1">
      <formula>ISERROR(AA118)</formula>
    </cfRule>
    <cfRule type="expression" dxfId="1433" priority="3060" stopIfTrue="1">
      <formula>AND($B12&gt;0,AA118=0)</formula>
    </cfRule>
    <cfRule type="expression" dxfId="1432" priority="3061" stopIfTrue="1">
      <formula>OR(AA118=0,$B12&lt;=0)</formula>
    </cfRule>
  </conditionalFormatting>
  <conditionalFormatting sqref="AA117 AA255">
    <cfRule type="expression" dxfId="1431" priority="3185" stopIfTrue="1">
      <formula>ISERROR(AA117)</formula>
    </cfRule>
    <cfRule type="expression" dxfId="1430" priority="3186" stopIfTrue="1">
      <formula>AND($B12&gt;0,AA117=0)</formula>
    </cfRule>
    <cfRule type="expression" dxfId="1429" priority="3187" stopIfTrue="1">
      <formula>OR(AA117=0,$B12&lt;=0)</formula>
    </cfRule>
  </conditionalFormatting>
  <conditionalFormatting sqref="AA116 AA254">
    <cfRule type="expression" dxfId="1428" priority="3314" stopIfTrue="1">
      <formula>ISERROR(AA116)</formula>
    </cfRule>
    <cfRule type="expression" dxfId="1427" priority="3315" stopIfTrue="1">
      <formula>AND($B12&gt;0,AA116=0)</formula>
    </cfRule>
    <cfRule type="expression" dxfId="1426" priority="3316" stopIfTrue="1">
      <formula>OR(AA116=0,$B12&lt;=0)</formula>
    </cfRule>
  </conditionalFormatting>
  <conditionalFormatting sqref="AA115 AA253">
    <cfRule type="expression" dxfId="1425" priority="3446" stopIfTrue="1">
      <formula>ISERROR(AA115)</formula>
    </cfRule>
    <cfRule type="expression" dxfId="1424" priority="3447" stopIfTrue="1">
      <formula>AND($B12&gt;0,AA115=0)</formula>
    </cfRule>
    <cfRule type="expression" dxfId="1423" priority="3448" stopIfTrue="1">
      <formula>OR(AA115=0,$B12&lt;=0)</formula>
    </cfRule>
  </conditionalFormatting>
  <conditionalFormatting sqref="AA114 AA252">
    <cfRule type="expression" dxfId="1422" priority="3581" stopIfTrue="1">
      <formula>ISERROR(AA114)</formula>
    </cfRule>
    <cfRule type="expression" dxfId="1421" priority="3582" stopIfTrue="1">
      <formula>AND($B12&gt;0,AA114=0)</formula>
    </cfRule>
    <cfRule type="expression" dxfId="1420" priority="3583" stopIfTrue="1">
      <formula>OR(AA114=0,$B12&lt;=0)</formula>
    </cfRule>
  </conditionalFormatting>
  <conditionalFormatting sqref="AA113 AA251">
    <cfRule type="expression" dxfId="1419" priority="3719" stopIfTrue="1">
      <formula>ISERROR(AA113)</formula>
    </cfRule>
    <cfRule type="expression" dxfId="1418" priority="3720" stopIfTrue="1">
      <formula>AND($B12&gt;0,AA113=0)</formula>
    </cfRule>
    <cfRule type="expression" dxfId="1417" priority="3721" stopIfTrue="1">
      <formula>OR(AA113=0,$B12&lt;=0)</formula>
    </cfRule>
  </conditionalFormatting>
  <conditionalFormatting sqref="AA112 AA250">
    <cfRule type="expression" dxfId="1416" priority="3860" stopIfTrue="1">
      <formula>ISERROR(AA112)</formula>
    </cfRule>
    <cfRule type="expression" dxfId="1415" priority="3861" stopIfTrue="1">
      <formula>AND($B12&gt;0,AA112=0)</formula>
    </cfRule>
    <cfRule type="expression" dxfId="1414" priority="3862" stopIfTrue="1">
      <formula>OR(AA112=0,$B12&lt;=0)</formula>
    </cfRule>
  </conditionalFormatting>
  <conditionalFormatting sqref="AA111 AA249">
    <cfRule type="expression" dxfId="1413" priority="4004" stopIfTrue="1">
      <formula>ISERROR(AA111)</formula>
    </cfRule>
    <cfRule type="expression" dxfId="1412" priority="4005" stopIfTrue="1">
      <formula>AND($B12&gt;0,AA111=0)</formula>
    </cfRule>
    <cfRule type="expression" dxfId="1411" priority="4006" stopIfTrue="1">
      <formula>OR(AA111=0,$B12&lt;=0)</formula>
    </cfRule>
  </conditionalFormatting>
  <conditionalFormatting sqref="AA110 AA248">
    <cfRule type="expression" dxfId="1410" priority="4151" stopIfTrue="1">
      <formula>ISERROR(AA110)</formula>
    </cfRule>
    <cfRule type="expression" dxfId="1409" priority="4152" stopIfTrue="1">
      <formula>AND($B12&gt;0,AA110=0)</formula>
    </cfRule>
    <cfRule type="expression" dxfId="1408" priority="4153" stopIfTrue="1">
      <formula>OR(AA110=0,$B12&lt;=0)</formula>
    </cfRule>
  </conditionalFormatting>
  <conditionalFormatting sqref="AA109 AA247">
    <cfRule type="expression" dxfId="1407" priority="4301" stopIfTrue="1">
      <formula>ISERROR(AA109)</formula>
    </cfRule>
    <cfRule type="expression" dxfId="1406" priority="4302" stopIfTrue="1">
      <formula>AND($B12&gt;0,AA109=0)</formula>
    </cfRule>
    <cfRule type="expression" dxfId="1405" priority="4303" stopIfTrue="1">
      <formula>OR(AA109=0,$B12&lt;=0)</formula>
    </cfRule>
  </conditionalFormatting>
  <conditionalFormatting sqref="AA108 AA246">
    <cfRule type="expression" dxfId="1404" priority="4454" stopIfTrue="1">
      <formula>ISERROR(AA108)</formula>
    </cfRule>
    <cfRule type="expression" dxfId="1403" priority="4455" stopIfTrue="1">
      <formula>AND($B12&gt;0,AA108=0)</formula>
    </cfRule>
    <cfRule type="expression" dxfId="1402" priority="4456" stopIfTrue="1">
      <formula>OR(AA108=0,$B12&lt;=0)</formula>
    </cfRule>
  </conditionalFormatting>
  <conditionalFormatting sqref="AA107 AA245">
    <cfRule type="expression" dxfId="1401" priority="4610" stopIfTrue="1">
      <formula>ISERROR(AA107)</formula>
    </cfRule>
    <cfRule type="expression" dxfId="1400" priority="4611" stopIfTrue="1">
      <formula>AND($B12&gt;0,AA107=0)</formula>
    </cfRule>
    <cfRule type="expression" dxfId="1399" priority="4612" stopIfTrue="1">
      <formula>OR(AA107=0,$B12&lt;=0)</formula>
    </cfRule>
  </conditionalFormatting>
  <conditionalFormatting sqref="AA106 AA244">
    <cfRule type="expression" dxfId="1398" priority="4769" stopIfTrue="1">
      <formula>ISERROR(AA106)</formula>
    </cfRule>
    <cfRule type="expression" dxfId="1397" priority="4770" stopIfTrue="1">
      <formula>AND($B12&gt;0,AA106=0)</formula>
    </cfRule>
    <cfRule type="expression" dxfId="1396" priority="4771" stopIfTrue="1">
      <formula>OR(AA106=0,$B12&lt;=0)</formula>
    </cfRule>
  </conditionalFormatting>
  <conditionalFormatting sqref="AA105 AA243">
    <cfRule type="expression" dxfId="1395" priority="4931" stopIfTrue="1">
      <formula>ISERROR(AA105)</formula>
    </cfRule>
    <cfRule type="expression" dxfId="1394" priority="4932" stopIfTrue="1">
      <formula>AND($B12&gt;0,AA105=0)</formula>
    </cfRule>
    <cfRule type="expression" dxfId="1393" priority="4933" stopIfTrue="1">
      <formula>OR(AA105=0,$B12&lt;=0)</formula>
    </cfRule>
  </conditionalFormatting>
  <conditionalFormatting sqref="AA104 AA242:AA243">
    <cfRule type="expression" dxfId="1392" priority="5096" stopIfTrue="1">
      <formula>ISERROR(AA104)</formula>
    </cfRule>
    <cfRule type="expression" dxfId="1391" priority="5097" stopIfTrue="1">
      <formula>AND($B12&gt;0,AA104=0)</formula>
    </cfRule>
    <cfRule type="expression" dxfId="1390" priority="5098" stopIfTrue="1">
      <formula>OR(AA104=0,$B12&lt;=0)</formula>
    </cfRule>
  </conditionalFormatting>
  <conditionalFormatting sqref="AA103 AA241:AA243">
    <cfRule type="expression" dxfId="1389" priority="5264" stopIfTrue="1">
      <formula>ISERROR(AA103)</formula>
    </cfRule>
    <cfRule type="expression" dxfId="1388" priority="5265" stopIfTrue="1">
      <formula>AND($B12&gt;0,AA103=0)</formula>
    </cfRule>
    <cfRule type="expression" dxfId="1387" priority="5266" stopIfTrue="1">
      <formula>OR(AA103=0,$B12&lt;=0)</formula>
    </cfRule>
  </conditionalFormatting>
  <conditionalFormatting sqref="AA102 AA240:AA244">
    <cfRule type="expression" dxfId="1386" priority="5435" stopIfTrue="1">
      <formula>ISERROR(AA102)</formula>
    </cfRule>
    <cfRule type="expression" dxfId="1385" priority="5436" stopIfTrue="1">
      <formula>AND($B12&gt;0,AA102=0)</formula>
    </cfRule>
    <cfRule type="expression" dxfId="1384" priority="5437" stopIfTrue="1">
      <formula>OR(AA102=0,$B12&lt;=0)</formula>
    </cfRule>
  </conditionalFormatting>
  <conditionalFormatting sqref="AA101 AA239:AA247">
    <cfRule type="expression" dxfId="1383" priority="5609" stopIfTrue="1">
      <formula>ISERROR(AA101)</formula>
    </cfRule>
    <cfRule type="expression" dxfId="1382" priority="5610" stopIfTrue="1">
      <formula>AND($B12&gt;0,AA101=0)</formula>
    </cfRule>
    <cfRule type="expression" dxfId="1381" priority="5611" stopIfTrue="1">
      <formula>OR(AA101=0,$B12&lt;=0)</formula>
    </cfRule>
  </conditionalFormatting>
  <conditionalFormatting sqref="AA100 AA238">
    <cfRule type="expression" dxfId="1380" priority="5786" stopIfTrue="1">
      <formula>ISERROR(AA100)</formula>
    </cfRule>
    <cfRule type="expression" dxfId="1379" priority="5787" stopIfTrue="1">
      <formula>AND($B12&gt;0,AA100=0)</formula>
    </cfRule>
    <cfRule type="expression" dxfId="1378" priority="5788" stopIfTrue="1">
      <formula>OR(AA100=0,$B12&lt;=0)</formula>
    </cfRule>
  </conditionalFormatting>
  <conditionalFormatting sqref="AA99 AA237">
    <cfRule type="expression" dxfId="1377" priority="5966" stopIfTrue="1">
      <formula>ISERROR(AA99)</formula>
    </cfRule>
    <cfRule type="expression" dxfId="1376" priority="5967" stopIfTrue="1">
      <formula>AND($B12&gt;0,AA99=0)</formula>
    </cfRule>
    <cfRule type="expression" dxfId="1375" priority="5968" stopIfTrue="1">
      <formula>OR(AA99=0,$B12&lt;=0)</formula>
    </cfRule>
  </conditionalFormatting>
  <conditionalFormatting sqref="AA98 AA236">
    <cfRule type="expression" dxfId="1374" priority="22124" stopIfTrue="1">
      <formula>ISERROR(AA98)</formula>
    </cfRule>
    <cfRule type="expression" dxfId="1373" priority="22125" stopIfTrue="1">
      <formula>AND($B12&gt;0,AA98=0)</formula>
    </cfRule>
    <cfRule type="expression" dxfId="1372" priority="22126" stopIfTrue="1">
      <formula>OR(AA98=0,$B12&lt;=0)</formula>
    </cfRule>
  </conditionalFormatting>
  <conditionalFormatting sqref="AA92 AA230">
    <cfRule type="expression" dxfId="1371" priority="22130" stopIfTrue="1">
      <formula>ISERROR(AA92)</formula>
    </cfRule>
    <cfRule type="expression" dxfId="1370" priority="22131" stopIfTrue="1">
      <formula>AND($B12&gt;0,AA92=0)</formula>
    </cfRule>
    <cfRule type="expression" dxfId="1369" priority="22132" stopIfTrue="1">
      <formula>OR(AA92=0,$B12&lt;=0)</formula>
    </cfRule>
  </conditionalFormatting>
  <conditionalFormatting sqref="AA91 AA229">
    <cfRule type="expression" dxfId="1368" priority="22136" stopIfTrue="1">
      <formula>ISERROR(AA91)</formula>
    </cfRule>
    <cfRule type="expression" dxfId="1367" priority="22137" stopIfTrue="1">
      <formula>AND($B12&gt;0,AA91=0)</formula>
    </cfRule>
    <cfRule type="expression" dxfId="1366" priority="22138" stopIfTrue="1">
      <formula>OR(AA91=0,$B12&lt;=0)</formula>
    </cfRule>
  </conditionalFormatting>
  <conditionalFormatting sqref="AA90 AA228">
    <cfRule type="expression" dxfId="1365" priority="22142" stopIfTrue="1">
      <formula>ISERROR(AA90)</formula>
    </cfRule>
    <cfRule type="expression" dxfId="1364" priority="22143" stopIfTrue="1">
      <formula>AND($B12&gt;0,AA90=0)</formula>
    </cfRule>
    <cfRule type="expression" dxfId="1363" priority="22144" stopIfTrue="1">
      <formula>OR(AA90=0,$B12&lt;=0)</formula>
    </cfRule>
  </conditionalFormatting>
  <conditionalFormatting sqref="AA89 AA227">
    <cfRule type="expression" dxfId="1362" priority="22148" stopIfTrue="1">
      <formula>ISERROR(AA89)</formula>
    </cfRule>
    <cfRule type="expression" dxfId="1361" priority="22149" stopIfTrue="1">
      <formula>AND($B12&gt;0,AA89=0)</formula>
    </cfRule>
    <cfRule type="expression" dxfId="1360" priority="22150" stopIfTrue="1">
      <formula>OR(AA89=0,$B12&lt;=0)</formula>
    </cfRule>
  </conditionalFormatting>
  <conditionalFormatting sqref="AA88 AA226">
    <cfRule type="expression" dxfId="1359" priority="22154" stopIfTrue="1">
      <formula>ISERROR(AA88)</formula>
    </cfRule>
    <cfRule type="expression" dxfId="1358" priority="22155" stopIfTrue="1">
      <formula>AND($B12&gt;0,AA88=0)</formula>
    </cfRule>
    <cfRule type="expression" dxfId="1357" priority="22156" stopIfTrue="1">
      <formula>OR(AA88=0,$B12&lt;=0)</formula>
    </cfRule>
  </conditionalFormatting>
  <conditionalFormatting sqref="AA87:AA247">
    <cfRule type="expression" dxfId="1356" priority="22160" stopIfTrue="1">
      <formula>ISERROR(AA87)</formula>
    </cfRule>
    <cfRule type="expression" dxfId="1355" priority="22161" stopIfTrue="1">
      <formula>AND($B12&gt;0,AA87=0)</formula>
    </cfRule>
    <cfRule type="expression" dxfId="1354" priority="22162" stopIfTrue="1">
      <formula>OR(AA87=0,$B12&lt;=0)</formula>
    </cfRule>
  </conditionalFormatting>
  <conditionalFormatting sqref="AA86 AA224">
    <cfRule type="expression" dxfId="1353" priority="22166" stopIfTrue="1">
      <formula>ISERROR(AA86)</formula>
    </cfRule>
    <cfRule type="expression" dxfId="1352" priority="22167" stopIfTrue="1">
      <formula>AND($B12&gt;0,AA86=0)</formula>
    </cfRule>
    <cfRule type="expression" dxfId="1351" priority="22168" stopIfTrue="1">
      <formula>OR(AA86=0,$B12&lt;=0)</formula>
    </cfRule>
  </conditionalFormatting>
  <conditionalFormatting sqref="AA85 AA223">
    <cfRule type="expression" dxfId="1350" priority="22172" stopIfTrue="1">
      <formula>ISERROR(AA85)</formula>
    </cfRule>
    <cfRule type="expression" dxfId="1349" priority="22173" stopIfTrue="1">
      <formula>AND($B12&gt;0,AA85=0)</formula>
    </cfRule>
    <cfRule type="expression" dxfId="1348" priority="22174" stopIfTrue="1">
      <formula>OR(AA85=0,$B12&lt;=0)</formula>
    </cfRule>
  </conditionalFormatting>
  <conditionalFormatting sqref="AA84 AA222">
    <cfRule type="expression" dxfId="1347" priority="22178" stopIfTrue="1">
      <formula>ISERROR(AA84)</formula>
    </cfRule>
    <cfRule type="expression" dxfId="1346" priority="22179" stopIfTrue="1">
      <formula>AND($B12&gt;0,AA84=0)</formula>
    </cfRule>
    <cfRule type="expression" dxfId="1345" priority="22180" stopIfTrue="1">
      <formula>OR(AA84=0,$B12&lt;=0)</formula>
    </cfRule>
  </conditionalFormatting>
  <conditionalFormatting sqref="AA83 AA221">
    <cfRule type="expression" dxfId="1344" priority="22184" stopIfTrue="1">
      <formula>ISERROR(AA83)</formula>
    </cfRule>
    <cfRule type="expression" dxfId="1343" priority="22185" stopIfTrue="1">
      <formula>AND($B12&gt;0,AA83=0)</formula>
    </cfRule>
    <cfRule type="expression" dxfId="1342" priority="22186" stopIfTrue="1">
      <formula>OR(AA83=0,$B12&lt;=0)</formula>
    </cfRule>
  </conditionalFormatting>
  <conditionalFormatting sqref="AA82 AA220">
    <cfRule type="expression" dxfId="1341" priority="22190" stopIfTrue="1">
      <formula>ISERROR(AA82)</formula>
    </cfRule>
    <cfRule type="expression" dxfId="1340" priority="22191" stopIfTrue="1">
      <formula>AND($B12&gt;0,AA82=0)</formula>
    </cfRule>
    <cfRule type="expression" dxfId="1339" priority="22192" stopIfTrue="1">
      <formula>OR(AA82=0,$B12&lt;=0)</formula>
    </cfRule>
  </conditionalFormatting>
  <conditionalFormatting sqref="AA81 AA219">
    <cfRule type="expression" dxfId="1338" priority="22196" stopIfTrue="1">
      <formula>ISERROR(AA81)</formula>
    </cfRule>
    <cfRule type="expression" dxfId="1337" priority="22197" stopIfTrue="1">
      <formula>AND($B12&gt;0,AA81=0)</formula>
    </cfRule>
    <cfRule type="expression" dxfId="1336" priority="22198" stopIfTrue="1">
      <formula>OR(AA81=0,$B12&lt;=0)</formula>
    </cfRule>
  </conditionalFormatting>
  <conditionalFormatting sqref="AA80 AA218">
    <cfRule type="expression" dxfId="1335" priority="22202" stopIfTrue="1">
      <formula>ISERROR(AA80)</formula>
    </cfRule>
    <cfRule type="expression" dxfId="1334" priority="22203" stopIfTrue="1">
      <formula>AND($B12&gt;0,AA80=0)</formula>
    </cfRule>
    <cfRule type="expression" dxfId="1333" priority="22204" stopIfTrue="1">
      <formula>OR(AA80=0,$B12&lt;=0)</formula>
    </cfRule>
  </conditionalFormatting>
  <conditionalFormatting sqref="AA79 AA217">
    <cfRule type="expression" dxfId="1332" priority="22208" stopIfTrue="1">
      <formula>ISERROR(AA79)</formula>
    </cfRule>
    <cfRule type="expression" dxfId="1331" priority="22209" stopIfTrue="1">
      <formula>AND($B12&gt;0,AA79=0)</formula>
    </cfRule>
    <cfRule type="expression" dxfId="1330" priority="22210" stopIfTrue="1">
      <formula>OR(AA79=0,$B12&lt;=0)</formula>
    </cfRule>
  </conditionalFormatting>
  <conditionalFormatting sqref="AA78 AA216">
    <cfRule type="expression" dxfId="1329" priority="22214" stopIfTrue="1">
      <formula>ISERROR(AA78)</formula>
    </cfRule>
    <cfRule type="expression" dxfId="1328" priority="22215" stopIfTrue="1">
      <formula>AND($B12&gt;0,AA78=0)</formula>
    </cfRule>
    <cfRule type="expression" dxfId="1327" priority="22216" stopIfTrue="1">
      <formula>OR(AA78=0,$B12&lt;=0)</formula>
    </cfRule>
  </conditionalFormatting>
  <conditionalFormatting sqref="AA77 AA215">
    <cfRule type="expression" dxfId="1326" priority="22220" stopIfTrue="1">
      <formula>ISERROR(AA77)</formula>
    </cfRule>
    <cfRule type="expression" dxfId="1325" priority="22221" stopIfTrue="1">
      <formula>AND($B12&gt;0,AA77=0)</formula>
    </cfRule>
    <cfRule type="expression" dxfId="1324" priority="22222" stopIfTrue="1">
      <formula>OR(AA77=0,$B12&lt;=0)</formula>
    </cfRule>
  </conditionalFormatting>
  <conditionalFormatting sqref="AA76 AA214">
    <cfRule type="expression" dxfId="1323" priority="22226" stopIfTrue="1">
      <formula>ISERROR(AA76)</formula>
    </cfRule>
    <cfRule type="expression" dxfId="1322" priority="22227" stopIfTrue="1">
      <formula>AND($B12&gt;0,AA76=0)</formula>
    </cfRule>
    <cfRule type="expression" dxfId="1321" priority="22228" stopIfTrue="1">
      <formula>OR(AA76=0,$B12&lt;=0)</formula>
    </cfRule>
  </conditionalFormatting>
  <conditionalFormatting sqref="AA75 AA213">
    <cfRule type="expression" dxfId="1320" priority="22232" stopIfTrue="1">
      <formula>ISERROR(AA75)</formula>
    </cfRule>
    <cfRule type="expression" dxfId="1319" priority="22233" stopIfTrue="1">
      <formula>AND($B12&gt;0,AA75=0)</formula>
    </cfRule>
    <cfRule type="expression" dxfId="1318" priority="22234" stopIfTrue="1">
      <formula>OR(AA75=0,$B12&lt;=0)</formula>
    </cfRule>
  </conditionalFormatting>
  <conditionalFormatting sqref="AA74 AA212">
    <cfRule type="expression" dxfId="1317" priority="22238" stopIfTrue="1">
      <formula>ISERROR(AA74)</formula>
    </cfRule>
    <cfRule type="expression" dxfId="1316" priority="22239" stopIfTrue="1">
      <formula>AND($B12&gt;0,AA74=0)</formula>
    </cfRule>
    <cfRule type="expression" dxfId="1315" priority="22240" stopIfTrue="1">
      <formula>OR(AA74=0,$B12&lt;=0)</formula>
    </cfRule>
  </conditionalFormatting>
  <conditionalFormatting sqref="AA73 AA211">
    <cfRule type="expression" dxfId="1314" priority="22244" stopIfTrue="1">
      <formula>ISERROR(AA73)</formula>
    </cfRule>
    <cfRule type="expression" dxfId="1313" priority="22245" stopIfTrue="1">
      <formula>AND($B12&gt;0,AA73=0)</formula>
    </cfRule>
    <cfRule type="expression" dxfId="1312" priority="22246" stopIfTrue="1">
      <formula>OR(AA73=0,$B12&lt;=0)</formula>
    </cfRule>
  </conditionalFormatting>
  <conditionalFormatting sqref="AA72 AA210">
    <cfRule type="expression" dxfId="1311" priority="22250" stopIfTrue="1">
      <formula>ISERROR(AA72)</formula>
    </cfRule>
    <cfRule type="expression" dxfId="1310" priority="22251" stopIfTrue="1">
      <formula>AND($B12&gt;0,AA72=0)</formula>
    </cfRule>
    <cfRule type="expression" dxfId="1309" priority="22252" stopIfTrue="1">
      <formula>OR(AA72=0,$B12&lt;=0)</formula>
    </cfRule>
  </conditionalFormatting>
  <conditionalFormatting sqref="AA71 AA209">
    <cfRule type="expression" dxfId="1308" priority="22256" stopIfTrue="1">
      <formula>ISERROR(AA71)</formula>
    </cfRule>
    <cfRule type="expression" dxfId="1307" priority="22257" stopIfTrue="1">
      <formula>AND($B12&gt;0,AA71=0)</formula>
    </cfRule>
    <cfRule type="expression" dxfId="1306" priority="22258" stopIfTrue="1">
      <formula>OR(AA71=0,$B12&lt;=0)</formula>
    </cfRule>
  </conditionalFormatting>
  <conditionalFormatting sqref="AA70 AA208">
    <cfRule type="expression" dxfId="1305" priority="22262" stopIfTrue="1">
      <formula>ISERROR(AA70)</formula>
    </cfRule>
    <cfRule type="expression" dxfId="1304" priority="22263" stopIfTrue="1">
      <formula>AND($B12&gt;0,AA70=0)</formula>
    </cfRule>
    <cfRule type="expression" dxfId="1303" priority="22264" stopIfTrue="1">
      <formula>OR(AA70=0,$B12&lt;=0)</formula>
    </cfRule>
  </conditionalFormatting>
  <conditionalFormatting sqref="AA69 AA207">
    <cfRule type="expression" dxfId="1302" priority="22268" stopIfTrue="1">
      <formula>ISERROR(AA69)</formula>
    </cfRule>
    <cfRule type="expression" dxfId="1301" priority="22269" stopIfTrue="1">
      <formula>AND($B12&gt;0,AA69=0)</formula>
    </cfRule>
    <cfRule type="expression" dxfId="1300" priority="22270" stopIfTrue="1">
      <formula>OR(AA69=0,$B12&lt;=0)</formula>
    </cfRule>
  </conditionalFormatting>
  <conditionalFormatting sqref="AA68 AA206">
    <cfRule type="expression" dxfId="1299" priority="22274" stopIfTrue="1">
      <formula>ISERROR(AA68)</formula>
    </cfRule>
    <cfRule type="expression" dxfId="1298" priority="22275" stopIfTrue="1">
      <formula>AND($B12&gt;0,AA68=0)</formula>
    </cfRule>
    <cfRule type="expression" dxfId="1297" priority="22276" stopIfTrue="1">
      <formula>OR(AA68=0,$B12&lt;=0)</formula>
    </cfRule>
  </conditionalFormatting>
  <conditionalFormatting sqref="AA67 AA205:AA219">
    <cfRule type="expression" dxfId="1296" priority="22280" stopIfTrue="1">
      <formula>ISERROR(AA67)</formula>
    </cfRule>
    <cfRule type="expression" dxfId="1295" priority="22281" stopIfTrue="1">
      <formula>AND($B12&gt;0,AA67=0)</formula>
    </cfRule>
    <cfRule type="expression" dxfId="1294" priority="22282" stopIfTrue="1">
      <formula>OR(AA67=0,$B12&lt;=0)</formula>
    </cfRule>
  </conditionalFormatting>
  <conditionalFormatting sqref="AA66 AA204:AA219">
    <cfRule type="expression" dxfId="1293" priority="22286" stopIfTrue="1">
      <formula>ISERROR(AA66)</formula>
    </cfRule>
    <cfRule type="expression" dxfId="1292" priority="22287" stopIfTrue="1">
      <formula>AND($B12&gt;0,AA66=0)</formula>
    </cfRule>
    <cfRule type="expression" dxfId="1291" priority="22288" stopIfTrue="1">
      <formula>OR(AA66=0,$B12&lt;=0)</formula>
    </cfRule>
  </conditionalFormatting>
  <conditionalFormatting sqref="AA65 AA203">
    <cfRule type="expression" dxfId="1290" priority="22292" stopIfTrue="1">
      <formula>ISERROR(AA65)</formula>
    </cfRule>
    <cfRule type="expression" dxfId="1289" priority="22293" stopIfTrue="1">
      <formula>AND($B12&gt;0,AA65=0)</formula>
    </cfRule>
    <cfRule type="expression" dxfId="1288" priority="22294" stopIfTrue="1">
      <formula>OR(AA65=0,$B12&lt;=0)</formula>
    </cfRule>
  </conditionalFormatting>
  <conditionalFormatting sqref="AA64 AA202">
    <cfRule type="expression" dxfId="1287" priority="22298" stopIfTrue="1">
      <formula>ISERROR(AA64)</formula>
    </cfRule>
    <cfRule type="expression" dxfId="1286" priority="22299" stopIfTrue="1">
      <formula>AND($B12&gt;0,AA64=0)</formula>
    </cfRule>
    <cfRule type="expression" dxfId="1285" priority="22300" stopIfTrue="1">
      <formula>OR(AA64=0,$B12&lt;=0)</formula>
    </cfRule>
  </conditionalFormatting>
  <conditionalFormatting sqref="AA63 AA201">
    <cfRule type="expression" dxfId="1284" priority="22304" stopIfTrue="1">
      <formula>ISERROR(AA63)</formula>
    </cfRule>
    <cfRule type="expression" dxfId="1283" priority="22305" stopIfTrue="1">
      <formula>AND($B12&gt;0,AA63=0)</formula>
    </cfRule>
    <cfRule type="expression" dxfId="1282" priority="22306" stopIfTrue="1">
      <formula>OR(AA63=0,$B12&lt;=0)</formula>
    </cfRule>
  </conditionalFormatting>
  <conditionalFormatting sqref="AA62 AA200">
    <cfRule type="expression" dxfId="1281" priority="22310" stopIfTrue="1">
      <formula>ISERROR(AA62)</formula>
    </cfRule>
    <cfRule type="expression" dxfId="1280" priority="22311" stopIfTrue="1">
      <formula>AND($B12&gt;0,AA62=0)</formula>
    </cfRule>
    <cfRule type="expression" dxfId="1279" priority="22312" stopIfTrue="1">
      <formula>OR(AA62=0,$B12&lt;=0)</formula>
    </cfRule>
  </conditionalFormatting>
  <conditionalFormatting sqref="AA61 AA199">
    <cfRule type="expression" dxfId="1278" priority="22316" stopIfTrue="1">
      <formula>ISERROR(AA61)</formula>
    </cfRule>
    <cfRule type="expression" dxfId="1277" priority="22317" stopIfTrue="1">
      <formula>AND($B12&gt;0,AA61=0)</formula>
    </cfRule>
    <cfRule type="expression" dxfId="1276" priority="22318" stopIfTrue="1">
      <formula>OR(AA61=0,$B12&lt;=0)</formula>
    </cfRule>
  </conditionalFormatting>
  <conditionalFormatting sqref="AA60 AA198">
    <cfRule type="expression" dxfId="1275" priority="22322" stopIfTrue="1">
      <formula>ISERROR(AA60)</formula>
    </cfRule>
    <cfRule type="expression" dxfId="1274" priority="22323" stopIfTrue="1">
      <formula>AND($B12&gt;0,AA60=0)</formula>
    </cfRule>
    <cfRule type="expression" dxfId="1273" priority="22324" stopIfTrue="1">
      <formula>OR(AA60=0,$B12&lt;=0)</formula>
    </cfRule>
  </conditionalFormatting>
  <conditionalFormatting sqref="AA59 AA197">
    <cfRule type="expression" dxfId="1272" priority="22328" stopIfTrue="1">
      <formula>ISERROR(AA59)</formula>
    </cfRule>
    <cfRule type="expression" dxfId="1271" priority="22329" stopIfTrue="1">
      <formula>AND($B12&gt;0,AA59=0)</formula>
    </cfRule>
    <cfRule type="expression" dxfId="1270" priority="22330" stopIfTrue="1">
      <formula>OR(AA59=0,$B12&lt;=0)</formula>
    </cfRule>
  </conditionalFormatting>
  <conditionalFormatting sqref="AA58 AA196">
    <cfRule type="expression" dxfId="1269" priority="22334" stopIfTrue="1">
      <formula>ISERROR(AA58)</formula>
    </cfRule>
    <cfRule type="expression" dxfId="1268" priority="22335" stopIfTrue="1">
      <formula>AND($B12&gt;0,AA58=0)</formula>
    </cfRule>
    <cfRule type="expression" dxfId="1267" priority="22336" stopIfTrue="1">
      <formula>OR(AA58=0,$B12&lt;=0)</formula>
    </cfRule>
  </conditionalFormatting>
  <conditionalFormatting sqref="AA57 AA195">
    <cfRule type="expression" dxfId="1266" priority="22340" stopIfTrue="1">
      <formula>ISERROR(AA57)</formula>
    </cfRule>
    <cfRule type="expression" dxfId="1265" priority="22341" stopIfTrue="1">
      <formula>AND($B12&gt;0,AA57=0)</formula>
    </cfRule>
    <cfRule type="expression" dxfId="1264" priority="22342" stopIfTrue="1">
      <formula>OR(AA57=0,$B12&lt;=0)</formula>
    </cfRule>
  </conditionalFormatting>
  <conditionalFormatting sqref="AA56 AA194">
    <cfRule type="expression" dxfId="1263" priority="22346" stopIfTrue="1">
      <formula>ISERROR(AA56)</formula>
    </cfRule>
    <cfRule type="expression" dxfId="1262" priority="22347" stopIfTrue="1">
      <formula>AND($B12&gt;0,AA56=0)</formula>
    </cfRule>
    <cfRule type="expression" dxfId="1261" priority="22348" stopIfTrue="1">
      <formula>OR(AA56=0,$B12&lt;=0)</formula>
    </cfRule>
  </conditionalFormatting>
  <conditionalFormatting sqref="AA55 AA193">
    <cfRule type="expression" dxfId="1260" priority="22352" stopIfTrue="1">
      <formula>ISERROR(AA55)</formula>
    </cfRule>
    <cfRule type="expression" dxfId="1259" priority="22353" stopIfTrue="1">
      <formula>AND($B12&gt;0,AA55=0)</formula>
    </cfRule>
    <cfRule type="expression" dxfId="1258" priority="22354" stopIfTrue="1">
      <formula>OR(AA55=0,$B12&lt;=0)</formula>
    </cfRule>
  </conditionalFormatting>
  <conditionalFormatting sqref="AA54 AA192">
    <cfRule type="expression" dxfId="1257" priority="22358" stopIfTrue="1">
      <formula>ISERROR(AA54)</formula>
    </cfRule>
    <cfRule type="expression" dxfId="1256" priority="22359" stopIfTrue="1">
      <formula>AND($B12&gt;0,AA54=0)</formula>
    </cfRule>
    <cfRule type="expression" dxfId="1255" priority="22360" stopIfTrue="1">
      <formula>OR(AA54=0,$B12&lt;=0)</formula>
    </cfRule>
  </conditionalFormatting>
  <conditionalFormatting sqref="AA53 AA191">
    <cfRule type="expression" dxfId="1254" priority="22364" stopIfTrue="1">
      <formula>ISERROR(AA53)</formula>
    </cfRule>
    <cfRule type="expression" dxfId="1253" priority="22365" stopIfTrue="1">
      <formula>AND($B12&gt;0,AA53=0)</formula>
    </cfRule>
    <cfRule type="expression" dxfId="1252" priority="22366" stopIfTrue="1">
      <formula>OR(AA53=0,$B12&lt;=0)</formula>
    </cfRule>
  </conditionalFormatting>
  <conditionalFormatting sqref="AA52 AA190">
    <cfRule type="expression" dxfId="1251" priority="22370" stopIfTrue="1">
      <formula>ISERROR(AA52)</formula>
    </cfRule>
    <cfRule type="expression" dxfId="1250" priority="22371" stopIfTrue="1">
      <formula>AND($B12&gt;0,AA52=0)</formula>
    </cfRule>
    <cfRule type="expression" dxfId="1249" priority="22372" stopIfTrue="1">
      <formula>OR(AA52=0,$B12&lt;=0)</formula>
    </cfRule>
  </conditionalFormatting>
  <conditionalFormatting sqref="AA51 AA189">
    <cfRule type="expression" dxfId="1248" priority="22376" stopIfTrue="1">
      <formula>ISERROR(AA51)</formula>
    </cfRule>
    <cfRule type="expression" dxfId="1247" priority="22377" stopIfTrue="1">
      <formula>AND($B12&gt;0,AA51=0)</formula>
    </cfRule>
    <cfRule type="expression" dxfId="1246" priority="22378" stopIfTrue="1">
      <formula>OR(AA51=0,$B12&lt;=0)</formula>
    </cfRule>
  </conditionalFormatting>
  <conditionalFormatting sqref="AA50 AA188">
    <cfRule type="expression" dxfId="1245" priority="22382" stopIfTrue="1">
      <formula>ISERROR(AA50)</formula>
    </cfRule>
    <cfRule type="expression" dxfId="1244" priority="22383" stopIfTrue="1">
      <formula>AND($B12&gt;0,AA50=0)</formula>
    </cfRule>
    <cfRule type="expression" dxfId="1243" priority="22384" stopIfTrue="1">
      <formula>OR(AA50=0,$B12&lt;=0)</formula>
    </cfRule>
  </conditionalFormatting>
  <conditionalFormatting sqref="AA49 AA187">
    <cfRule type="expression" dxfId="1242" priority="22388" stopIfTrue="1">
      <formula>ISERROR(AA49)</formula>
    </cfRule>
    <cfRule type="expression" dxfId="1241" priority="22389" stopIfTrue="1">
      <formula>AND($B12&gt;0,AA49=0)</formula>
    </cfRule>
    <cfRule type="expression" dxfId="1240" priority="22390" stopIfTrue="1">
      <formula>OR(AA49=0,$B12&lt;=0)</formula>
    </cfRule>
  </conditionalFormatting>
  <conditionalFormatting sqref="AA48 AA186">
    <cfRule type="expression" dxfId="1239" priority="22394" stopIfTrue="1">
      <formula>ISERROR(AA48)</formula>
    </cfRule>
    <cfRule type="expression" dxfId="1238" priority="22395" stopIfTrue="1">
      <formula>AND($B12&gt;0,AA48=0)</formula>
    </cfRule>
    <cfRule type="expression" dxfId="1237" priority="22396" stopIfTrue="1">
      <formula>OR(AA48=0,$B12&lt;=0)</formula>
    </cfRule>
  </conditionalFormatting>
  <conditionalFormatting sqref="AA47 AA185">
    <cfRule type="expression" dxfId="1236" priority="22400" stopIfTrue="1">
      <formula>ISERROR(AA47)</formula>
    </cfRule>
    <cfRule type="expression" dxfId="1235" priority="22401" stopIfTrue="1">
      <formula>AND($B12&gt;0,AA47=0)</formula>
    </cfRule>
    <cfRule type="expression" dxfId="1234" priority="22402" stopIfTrue="1">
      <formula>OR(AA47=0,$B12&lt;=0)</formula>
    </cfRule>
  </conditionalFormatting>
  <conditionalFormatting sqref="AA46 AA184">
    <cfRule type="expression" dxfId="1233" priority="22406" stopIfTrue="1">
      <formula>ISERROR(AA46)</formula>
    </cfRule>
    <cfRule type="expression" dxfId="1232" priority="22407" stopIfTrue="1">
      <formula>AND($B12&gt;0,AA46=0)</formula>
    </cfRule>
    <cfRule type="expression" dxfId="1231" priority="22408" stopIfTrue="1">
      <formula>OR(AA46=0,$B12&lt;=0)</formula>
    </cfRule>
  </conditionalFormatting>
  <conditionalFormatting sqref="AA45 AA183">
    <cfRule type="expression" dxfId="1230" priority="22412" stopIfTrue="1">
      <formula>ISERROR(AA45)</formula>
    </cfRule>
    <cfRule type="expression" dxfId="1229" priority="22413" stopIfTrue="1">
      <formula>AND($B12&gt;0,AA45=0)</formula>
    </cfRule>
    <cfRule type="expression" dxfId="1228" priority="22414" stopIfTrue="1">
      <formula>OR(AA45=0,$B12&lt;=0)</formula>
    </cfRule>
  </conditionalFormatting>
  <conditionalFormatting sqref="AA44 AA182">
    <cfRule type="expression" dxfId="1227" priority="22418" stopIfTrue="1">
      <formula>ISERROR(AA44)</formula>
    </cfRule>
    <cfRule type="expression" dxfId="1226" priority="22419" stopIfTrue="1">
      <formula>AND($B12&gt;0,AA44=0)</formula>
    </cfRule>
    <cfRule type="expression" dxfId="1225" priority="22420" stopIfTrue="1">
      <formula>OR(AA44=0,$B12&lt;=0)</formula>
    </cfRule>
  </conditionalFormatting>
  <conditionalFormatting sqref="AA43 AA181">
    <cfRule type="expression" dxfId="1224" priority="22424" stopIfTrue="1">
      <formula>ISERROR(AA43)</formula>
    </cfRule>
    <cfRule type="expression" dxfId="1223" priority="22425" stopIfTrue="1">
      <formula>AND($B12&gt;0,AA43=0)</formula>
    </cfRule>
    <cfRule type="expression" dxfId="1222" priority="22426" stopIfTrue="1">
      <formula>OR(AA43=0,$B12&lt;=0)</formula>
    </cfRule>
  </conditionalFormatting>
  <conditionalFormatting sqref="AA42 AA180">
    <cfRule type="expression" dxfId="1221" priority="22430" stopIfTrue="1">
      <formula>ISERROR(AA42)</formula>
    </cfRule>
    <cfRule type="expression" dxfId="1220" priority="22431" stopIfTrue="1">
      <formula>AND($B12&gt;0,AA42=0)</formula>
    </cfRule>
    <cfRule type="expression" dxfId="1219" priority="22432" stopIfTrue="1">
      <formula>OR(AA42=0,$B12&lt;=0)</formula>
    </cfRule>
  </conditionalFormatting>
  <conditionalFormatting sqref="AA41 AA179">
    <cfRule type="expression" dxfId="1218" priority="22436" stopIfTrue="1">
      <formula>ISERROR(AA41)</formula>
    </cfRule>
    <cfRule type="expression" dxfId="1217" priority="22437" stopIfTrue="1">
      <formula>AND($B12&gt;0,AA41=0)</formula>
    </cfRule>
    <cfRule type="expression" dxfId="1216" priority="22438" stopIfTrue="1">
      <formula>OR(AA41=0,$B12&lt;=0)</formula>
    </cfRule>
  </conditionalFormatting>
  <conditionalFormatting sqref="AA97 AA235">
    <cfRule type="expression" dxfId="1215" priority="22439" stopIfTrue="1">
      <formula>ISERROR(AA97)</formula>
    </cfRule>
    <cfRule type="expression" dxfId="1214" priority="22440" stopIfTrue="1">
      <formula>AND($B12&gt;0,AA97=0)</formula>
    </cfRule>
    <cfRule type="expression" dxfId="1213" priority="22441" stopIfTrue="1">
      <formula>OR(AA97=0,$B12&lt;=0)</formula>
    </cfRule>
  </conditionalFormatting>
  <conditionalFormatting sqref="AA40 AA178">
    <cfRule type="expression" dxfId="1212" priority="22445" stopIfTrue="1">
      <formula>ISERROR(AA40)</formula>
    </cfRule>
    <cfRule type="expression" dxfId="1211" priority="22446" stopIfTrue="1">
      <formula>AND($B12&gt;0,AA40=0)</formula>
    </cfRule>
    <cfRule type="expression" dxfId="1210" priority="22447" stopIfTrue="1">
      <formula>OR(AA40=0,$B12&lt;=0)</formula>
    </cfRule>
  </conditionalFormatting>
  <conditionalFormatting sqref="AA96 AA234">
    <cfRule type="expression" dxfId="1209" priority="22448" stopIfTrue="1">
      <formula>ISERROR(AA96)</formula>
    </cfRule>
    <cfRule type="expression" dxfId="1208" priority="22449" stopIfTrue="1">
      <formula>AND($B12&gt;0,AA96=0)</formula>
    </cfRule>
    <cfRule type="expression" dxfId="1207" priority="22450" stopIfTrue="1">
      <formula>OR(AA96=0,$B12&lt;=0)</formula>
    </cfRule>
  </conditionalFormatting>
  <conditionalFormatting sqref="AA39 AA177">
    <cfRule type="expression" dxfId="1206" priority="22454" stopIfTrue="1">
      <formula>ISERROR(AA39)</formula>
    </cfRule>
    <cfRule type="expression" dxfId="1205" priority="22455" stopIfTrue="1">
      <formula>AND($B12&gt;0,AA39=0)</formula>
    </cfRule>
    <cfRule type="expression" dxfId="1204" priority="22456" stopIfTrue="1">
      <formula>OR(AA39=0,$B12&lt;=0)</formula>
    </cfRule>
  </conditionalFormatting>
  <conditionalFormatting sqref="AA95 AA233">
    <cfRule type="expression" dxfId="1203" priority="22457" stopIfTrue="1">
      <formula>ISERROR(AA95)</formula>
    </cfRule>
    <cfRule type="expression" dxfId="1202" priority="22458" stopIfTrue="1">
      <formula>AND($B12&gt;0,AA95=0)</formula>
    </cfRule>
    <cfRule type="expression" dxfId="1201" priority="22459" stopIfTrue="1">
      <formula>OR(AA95=0,$B12&lt;=0)</formula>
    </cfRule>
  </conditionalFormatting>
  <conditionalFormatting sqref="AA38 AA176">
    <cfRule type="expression" dxfId="1200" priority="22463" stopIfTrue="1">
      <formula>ISERROR(AA38)</formula>
    </cfRule>
    <cfRule type="expression" dxfId="1199" priority="22464" stopIfTrue="1">
      <formula>AND($B12&gt;0,AA38=0)</formula>
    </cfRule>
    <cfRule type="expression" dxfId="1198" priority="22465" stopIfTrue="1">
      <formula>OR(AA38=0,$B12&lt;=0)</formula>
    </cfRule>
  </conditionalFormatting>
  <conditionalFormatting sqref="AA94 AA232">
    <cfRule type="expression" dxfId="1197" priority="22466" stopIfTrue="1">
      <formula>ISERROR(AA94)</formula>
    </cfRule>
    <cfRule type="expression" dxfId="1196" priority="22467" stopIfTrue="1">
      <formula>AND($B12&gt;0,AA94=0)</formula>
    </cfRule>
    <cfRule type="expression" dxfId="1195" priority="22468" stopIfTrue="1">
      <formula>OR(AA94=0,$B12&lt;=0)</formula>
    </cfRule>
  </conditionalFormatting>
  <conditionalFormatting sqref="AA37 AA175">
    <cfRule type="expression" dxfId="1194" priority="22472" stopIfTrue="1">
      <formula>ISERROR(AA37)</formula>
    </cfRule>
    <cfRule type="expression" dxfId="1193" priority="22473" stopIfTrue="1">
      <formula>AND($B12&gt;0,AA37=0)</formula>
    </cfRule>
    <cfRule type="expression" dxfId="1192" priority="22474" stopIfTrue="1">
      <formula>OR(AA37=0,$B12&lt;=0)</formula>
    </cfRule>
  </conditionalFormatting>
  <conditionalFormatting sqref="AA93 AA231">
    <cfRule type="expression" dxfId="1191" priority="22475" stopIfTrue="1">
      <formula>ISERROR(AA93)</formula>
    </cfRule>
    <cfRule type="expression" dxfId="1190" priority="22476" stopIfTrue="1">
      <formula>AND($B12&gt;0,AA93=0)</formula>
    </cfRule>
    <cfRule type="expression" dxfId="1189" priority="22477" stopIfTrue="1">
      <formula>OR(AA93=0,$B12&lt;=0)</formula>
    </cfRule>
  </conditionalFormatting>
  <conditionalFormatting sqref="AA36 AA174">
    <cfRule type="expression" dxfId="1188" priority="22481" stopIfTrue="1">
      <formula>ISERROR(AA36)</formula>
    </cfRule>
    <cfRule type="expression" dxfId="1187" priority="22482" stopIfTrue="1">
      <formula>AND($B12&gt;0,AA36=0)</formula>
    </cfRule>
    <cfRule type="expression" dxfId="1186" priority="22483" stopIfTrue="1">
      <formula>OR(AA36=0,$B12&lt;=0)</formula>
    </cfRule>
  </conditionalFormatting>
  <conditionalFormatting sqref="AA35 AA173">
    <cfRule type="expression" dxfId="1185" priority="22487" stopIfTrue="1">
      <formula>ISERROR(AA35)</formula>
    </cfRule>
    <cfRule type="expression" dxfId="1184" priority="22488" stopIfTrue="1">
      <formula>AND($B12&gt;0,AA35=0)</formula>
    </cfRule>
    <cfRule type="expression" dxfId="1183" priority="22489" stopIfTrue="1">
      <formula>OR(AA35=0,$B12&lt;=0)</formula>
    </cfRule>
  </conditionalFormatting>
  <conditionalFormatting sqref="AA34 AA172">
    <cfRule type="expression" dxfId="1182" priority="22493" stopIfTrue="1">
      <formula>ISERROR(AA34)</formula>
    </cfRule>
    <cfRule type="expression" dxfId="1181" priority="22494" stopIfTrue="1">
      <formula>AND($B12&gt;0,AA34=0)</formula>
    </cfRule>
    <cfRule type="expression" dxfId="1180" priority="22495" stopIfTrue="1">
      <formula>OR(AA34=0,$B12&lt;=0)</formula>
    </cfRule>
  </conditionalFormatting>
  <conditionalFormatting sqref="AA33 AA171">
    <cfRule type="expression" dxfId="1179" priority="22499" stopIfTrue="1">
      <formula>ISERROR(AA33)</formula>
    </cfRule>
    <cfRule type="expression" dxfId="1178" priority="22500" stopIfTrue="1">
      <formula>AND($B12&gt;0,AA33=0)</formula>
    </cfRule>
    <cfRule type="expression" dxfId="1177" priority="22501" stopIfTrue="1">
      <formula>OR(AA33=0,$B12&lt;=0)</formula>
    </cfRule>
  </conditionalFormatting>
  <conditionalFormatting sqref="AA32 AA170">
    <cfRule type="expression" dxfId="1176" priority="22505" stopIfTrue="1">
      <formula>ISERROR(AA32)</formula>
    </cfRule>
    <cfRule type="expression" dxfId="1175" priority="22506" stopIfTrue="1">
      <formula>AND($B12&gt;0,AA32=0)</formula>
    </cfRule>
    <cfRule type="expression" dxfId="1174" priority="22507" stopIfTrue="1">
      <formula>OR(AA32=0,$B12&lt;=0)</formula>
    </cfRule>
  </conditionalFormatting>
  <conditionalFormatting sqref="AA31 AA169">
    <cfRule type="expression" dxfId="1173" priority="22511" stopIfTrue="1">
      <formula>ISERROR(AA31)</formula>
    </cfRule>
    <cfRule type="expression" dxfId="1172" priority="22512" stopIfTrue="1">
      <formula>AND($B12&gt;0,AA31=0)</formula>
    </cfRule>
    <cfRule type="expression" dxfId="1171" priority="22513" stopIfTrue="1">
      <formula>OR(AA31=0,$B12&lt;=0)</formula>
    </cfRule>
  </conditionalFormatting>
  <conditionalFormatting sqref="AA30 AA168">
    <cfRule type="expression" dxfId="1170" priority="22517" stopIfTrue="1">
      <formula>ISERROR(AA30)</formula>
    </cfRule>
    <cfRule type="expression" dxfId="1169" priority="22518" stopIfTrue="1">
      <formula>AND($B12&gt;0,AA30=0)</formula>
    </cfRule>
    <cfRule type="expression" dxfId="1168" priority="22519" stopIfTrue="1">
      <formula>OR(AA30=0,$B12&lt;=0)</formula>
    </cfRule>
  </conditionalFormatting>
  <conditionalFormatting sqref="AA29 AA167">
    <cfRule type="expression" dxfId="1167" priority="22523" stopIfTrue="1">
      <formula>ISERROR(AA29)</formula>
    </cfRule>
    <cfRule type="expression" dxfId="1166" priority="22524" stopIfTrue="1">
      <formula>AND($B12&gt;0,AA29=0)</formula>
    </cfRule>
    <cfRule type="expression" dxfId="1165" priority="22525" stopIfTrue="1">
      <formula>OR(AA29=0,$B12&lt;=0)</formula>
    </cfRule>
  </conditionalFormatting>
  <conditionalFormatting sqref="AA28 AA166">
    <cfRule type="expression" dxfId="1164" priority="22529" stopIfTrue="1">
      <formula>ISERROR(AA28)</formula>
    </cfRule>
    <cfRule type="expression" dxfId="1163" priority="22530" stopIfTrue="1">
      <formula>AND($B12&gt;0,AA28=0)</formula>
    </cfRule>
    <cfRule type="expression" dxfId="1162" priority="22531" stopIfTrue="1">
      <formula>OR(AA28=0,$B12&lt;=0)</formula>
    </cfRule>
  </conditionalFormatting>
  <conditionalFormatting sqref="AA27 AA165">
    <cfRule type="expression" dxfId="1161" priority="22535" stopIfTrue="1">
      <formula>ISERROR(AA27)</formula>
    </cfRule>
    <cfRule type="expression" dxfId="1160" priority="22536" stopIfTrue="1">
      <formula>AND($B12&gt;0,AA27=0)</formula>
    </cfRule>
    <cfRule type="expression" dxfId="1159" priority="22537" stopIfTrue="1">
      <formula>OR(AA27=0,$B12&lt;=0)</formula>
    </cfRule>
  </conditionalFormatting>
  <conditionalFormatting sqref="AA26 AA164">
    <cfRule type="expression" dxfId="1158" priority="22541" stopIfTrue="1">
      <formula>ISERROR(AA26)</formula>
    </cfRule>
    <cfRule type="expression" dxfId="1157" priority="22542" stopIfTrue="1">
      <formula>AND($B12&gt;0,AA26=0)</formula>
    </cfRule>
    <cfRule type="expression" dxfId="1156" priority="22543" stopIfTrue="1">
      <formula>OR(AA26=0,$B12&lt;=0)</formula>
    </cfRule>
  </conditionalFormatting>
  <conditionalFormatting sqref="AA25 AA163">
    <cfRule type="expression" dxfId="1155" priority="22547" stopIfTrue="1">
      <formula>ISERROR(AA25)</formula>
    </cfRule>
    <cfRule type="expression" dxfId="1154" priority="22548" stopIfTrue="1">
      <formula>AND($B12&gt;0,AA25=0)</formula>
    </cfRule>
    <cfRule type="expression" dxfId="1153" priority="22549" stopIfTrue="1">
      <formula>OR(AA25=0,$B12&lt;=0)</formula>
    </cfRule>
  </conditionalFormatting>
  <conditionalFormatting sqref="AA24 AA162">
    <cfRule type="expression" dxfId="1152" priority="22553" stopIfTrue="1">
      <formula>ISERROR(AA24)</formula>
    </cfRule>
    <cfRule type="expression" dxfId="1151" priority="22554" stopIfTrue="1">
      <formula>AND($B12&gt;0,AA24=0)</formula>
    </cfRule>
    <cfRule type="expression" dxfId="1150" priority="22555" stopIfTrue="1">
      <formula>OR(AA24=0,$B12&lt;=0)</formula>
    </cfRule>
  </conditionalFormatting>
  <conditionalFormatting sqref="AA19 AA157:AA161">
    <cfRule type="expression" dxfId="1149" priority="22583" stopIfTrue="1">
      <formula>ISERROR(AA19)</formula>
    </cfRule>
    <cfRule type="expression" dxfId="1148" priority="22584" stopIfTrue="1">
      <formula>AND($B12&gt;0,AA19=0)</formula>
    </cfRule>
    <cfRule type="expression" dxfId="1147" priority="22585" stopIfTrue="1">
      <formula>OR(AA19=0,$B12&lt;=0)</formula>
    </cfRule>
  </conditionalFormatting>
  <conditionalFormatting sqref="AA18 AA156:AA161">
    <cfRule type="expression" dxfId="1146" priority="22589" stopIfTrue="1">
      <formula>ISERROR(AA18)</formula>
    </cfRule>
    <cfRule type="expression" dxfId="1145" priority="22590" stopIfTrue="1">
      <formula>AND($B12&gt;0,AA18=0)</formula>
    </cfRule>
    <cfRule type="expression" dxfId="1144" priority="22591" stopIfTrue="1">
      <formula>OR(AA18=0,$B12&lt;=0)</formula>
    </cfRule>
  </conditionalFormatting>
  <conditionalFormatting sqref="AA385">
    <cfRule type="expression" dxfId="1143" priority="22607" stopIfTrue="1">
      <formula>ISERROR(AA385)</formula>
    </cfRule>
    <cfRule type="expression" dxfId="1142" priority="22608" stopIfTrue="1">
      <formula>AND($B13&gt;0,AA385=0)</formula>
    </cfRule>
    <cfRule type="expression" dxfId="1141" priority="22609" stopIfTrue="1">
      <formula>OR(AA385=0,$B13&lt;=0)</formula>
    </cfRule>
  </conditionalFormatting>
  <conditionalFormatting sqref="AA299:AA300">
    <cfRule type="expression" dxfId="1140" priority="22628" stopIfTrue="1">
      <formula>ISERROR(AA299)</formula>
    </cfRule>
    <cfRule type="expression" dxfId="1139" priority="22629" stopIfTrue="1">
      <formula>AND($B13&gt;0,AA299=0)</formula>
    </cfRule>
    <cfRule type="expression" dxfId="1138" priority="22630" stopIfTrue="1">
      <formula>OR(AA299=0,$B13&lt;=0)</formula>
    </cfRule>
  </conditionalFormatting>
  <conditionalFormatting sqref="AA298">
    <cfRule type="expression" dxfId="1137" priority="22652" stopIfTrue="1">
      <formula>ISERROR(AA298)</formula>
    </cfRule>
    <cfRule type="expression" dxfId="1136" priority="22653" stopIfTrue="1">
      <formula>AND($B13&gt;0,AA298=0)</formula>
    </cfRule>
    <cfRule type="expression" dxfId="1135" priority="22654" stopIfTrue="1">
      <formula>OR(AA298=0,$B13&lt;=0)</formula>
    </cfRule>
  </conditionalFormatting>
  <conditionalFormatting sqref="AA297:AA384">
    <cfRule type="expression" dxfId="1134" priority="22682" stopIfTrue="1">
      <formula>ISERROR(AA297)</formula>
    </cfRule>
    <cfRule type="expression" dxfId="1133" priority="22683" stopIfTrue="1">
      <formula>AND($B13&gt;0,AA297=0)</formula>
    </cfRule>
    <cfRule type="expression" dxfId="1132" priority="22684" stopIfTrue="1">
      <formula>OR(AA297=0,$B13&lt;=0)</formula>
    </cfRule>
  </conditionalFormatting>
  <conditionalFormatting sqref="AA158 AA295 AA299:AA300">
    <cfRule type="expression" dxfId="1131" priority="22697" stopIfTrue="1">
      <formula>ISERROR(AA158)</formula>
    </cfRule>
    <cfRule type="expression" dxfId="1130" priority="22698" stopIfTrue="1">
      <formula>AND($B13&gt;0,AA158=0)</formula>
    </cfRule>
    <cfRule type="expression" dxfId="1129" priority="22699" stopIfTrue="1">
      <formula>OR(AA158=0,$B13&lt;=0)</formula>
    </cfRule>
  </conditionalFormatting>
  <conditionalFormatting sqref="AA296">
    <cfRule type="expression" dxfId="1128" priority="22715" stopIfTrue="1">
      <formula>ISERROR(AA296)</formula>
    </cfRule>
    <cfRule type="expression" dxfId="1127" priority="22716" stopIfTrue="1">
      <formula>AND($B13&gt;0,AA296=0)</formula>
    </cfRule>
    <cfRule type="expression" dxfId="1126" priority="22717" stopIfTrue="1">
      <formula>OR(AA296=0,$B13&lt;=0)</formula>
    </cfRule>
  </conditionalFormatting>
  <conditionalFormatting sqref="AA298 AA294 AA157:AA161">
    <cfRule type="expression" dxfId="1125" priority="22736" stopIfTrue="1">
      <formula>ISERROR(AA157)</formula>
    </cfRule>
    <cfRule type="expression" dxfId="1124" priority="22737" stopIfTrue="1">
      <formula>AND($B13&gt;0,AA157=0)</formula>
    </cfRule>
    <cfRule type="expression" dxfId="1123" priority="22738" stopIfTrue="1">
      <formula>OR(AA157=0,$B13&lt;=0)</formula>
    </cfRule>
  </conditionalFormatting>
  <conditionalFormatting sqref="AA295">
    <cfRule type="expression" dxfId="1122" priority="22748" stopIfTrue="1">
      <formula>ISERROR(AA295)</formula>
    </cfRule>
    <cfRule type="expression" dxfId="1121" priority="22749" stopIfTrue="1">
      <formula>AND($B13&gt;0,AA295=0)</formula>
    </cfRule>
    <cfRule type="expression" dxfId="1120" priority="22750" stopIfTrue="1">
      <formula>OR(AA295=0,$B13&lt;=0)</formula>
    </cfRule>
  </conditionalFormatting>
  <conditionalFormatting sqref="AA293 AA156:AA161 AA297:AA384">
    <cfRule type="expression" dxfId="1119" priority="22772" stopIfTrue="1">
      <formula>ISERROR(AA156)</formula>
    </cfRule>
    <cfRule type="expression" dxfId="1118" priority="22773" stopIfTrue="1">
      <formula>AND($B13&gt;0,AA156=0)</formula>
    </cfRule>
    <cfRule type="expression" dxfId="1117" priority="22774" stopIfTrue="1">
      <formula>OR(AA156=0,$B13&lt;=0)</formula>
    </cfRule>
  </conditionalFormatting>
  <conditionalFormatting sqref="AA294">
    <cfRule type="expression" dxfId="1116" priority="22784" stopIfTrue="1">
      <formula>ISERROR(AA294)</formula>
    </cfRule>
    <cfRule type="expression" dxfId="1115" priority="22785" stopIfTrue="1">
      <formula>AND($B13&gt;0,AA294=0)</formula>
    </cfRule>
    <cfRule type="expression" dxfId="1114" priority="22786" stopIfTrue="1">
      <formula>OR(AA294=0,$B13&lt;=0)</formula>
    </cfRule>
  </conditionalFormatting>
  <conditionalFormatting sqref="AA154:AA384">
    <cfRule type="expression" dxfId="1113" priority="22805" stopIfTrue="1">
      <formula>ISERROR(AA154)</formula>
    </cfRule>
    <cfRule type="expression" dxfId="1112" priority="22806" stopIfTrue="1">
      <formula>AND($B12&gt;0,AA154=0)</formula>
    </cfRule>
    <cfRule type="expression" dxfId="1111" priority="22807" stopIfTrue="1">
      <formula>OR(AA154=0,$B12&lt;=0)</formula>
    </cfRule>
  </conditionalFormatting>
  <conditionalFormatting sqref="AA293">
    <cfRule type="expression" dxfId="1110" priority="22817" stopIfTrue="1">
      <formula>ISERROR(AA293)</formula>
    </cfRule>
    <cfRule type="expression" dxfId="1109" priority="22818" stopIfTrue="1">
      <formula>AND($B13&gt;0,AA293=0)</formula>
    </cfRule>
    <cfRule type="expression" dxfId="1108" priority="22819" stopIfTrue="1">
      <formula>OR(AA293=0,$B13&lt;=0)</formula>
    </cfRule>
  </conditionalFormatting>
  <conditionalFormatting sqref="AA295">
    <cfRule type="expression" dxfId="1107" priority="22838" stopIfTrue="1">
      <formula>ISERROR(AA295)</formula>
    </cfRule>
    <cfRule type="expression" dxfId="1106" priority="22839" stopIfTrue="1">
      <formula>AND($B154&gt;0,AA295=0)</formula>
    </cfRule>
    <cfRule type="expression" dxfId="1105" priority="22840" stopIfTrue="1">
      <formula>OR(AA295=0,$B154&lt;=0)</formula>
    </cfRule>
  </conditionalFormatting>
  <conditionalFormatting sqref="AA292">
    <cfRule type="expression" dxfId="1104" priority="22850" stopIfTrue="1">
      <formula>ISERROR(AA292)</formula>
    </cfRule>
    <cfRule type="expression" dxfId="1103" priority="22851" stopIfTrue="1">
      <formula>AND($B13&gt;0,AA292=0)</formula>
    </cfRule>
    <cfRule type="expression" dxfId="1102" priority="22852" stopIfTrue="1">
      <formula>OR(AA292=0,$B13&lt;=0)</formula>
    </cfRule>
  </conditionalFormatting>
  <conditionalFormatting sqref="AA294">
    <cfRule type="expression" dxfId="1101" priority="22871" stopIfTrue="1">
      <formula>ISERROR(AA294)</formula>
    </cfRule>
    <cfRule type="expression" dxfId="1100" priority="22872" stopIfTrue="1">
      <formula>AND($B154&gt;0,AA294=0)</formula>
    </cfRule>
    <cfRule type="expression" dxfId="1099" priority="22873" stopIfTrue="1">
      <formula>OR(AA294=0,$B154&lt;=0)</formula>
    </cfRule>
  </conditionalFormatting>
  <conditionalFormatting sqref="AA291">
    <cfRule type="expression" dxfId="1098" priority="22883" stopIfTrue="1">
      <formula>ISERROR(AA291)</formula>
    </cfRule>
    <cfRule type="expression" dxfId="1097" priority="22884" stopIfTrue="1">
      <formula>AND($B13&gt;0,AA291=0)</formula>
    </cfRule>
    <cfRule type="expression" dxfId="1096" priority="22885" stopIfTrue="1">
      <formula>OR(AA291=0,$B13&lt;=0)</formula>
    </cfRule>
  </conditionalFormatting>
  <conditionalFormatting sqref="AA293">
    <cfRule type="expression" dxfId="1095" priority="22904" stopIfTrue="1">
      <formula>ISERROR(AA293)</formula>
    </cfRule>
    <cfRule type="expression" dxfId="1094" priority="22905" stopIfTrue="1">
      <formula>AND($B154&gt;0,AA293=0)</formula>
    </cfRule>
    <cfRule type="expression" dxfId="1093" priority="22906" stopIfTrue="1">
      <formula>OR(AA293=0,$B154&lt;=0)</formula>
    </cfRule>
  </conditionalFormatting>
  <conditionalFormatting sqref="AA290">
    <cfRule type="expression" dxfId="1092" priority="22916" stopIfTrue="1">
      <formula>ISERROR(AA290)</formula>
    </cfRule>
    <cfRule type="expression" dxfId="1091" priority="22917" stopIfTrue="1">
      <formula>AND($B13&gt;0,AA290=0)</formula>
    </cfRule>
    <cfRule type="expression" dxfId="1090" priority="22918" stopIfTrue="1">
      <formula>OR(AA290=0,$B13&lt;=0)</formula>
    </cfRule>
  </conditionalFormatting>
  <conditionalFormatting sqref="AA292">
    <cfRule type="expression" dxfId="1089" priority="22940" stopIfTrue="1">
      <formula>ISERROR(AA292)</formula>
    </cfRule>
    <cfRule type="expression" dxfId="1088" priority="22941" stopIfTrue="1">
      <formula>AND($B154&gt;0,AA292=0)</formula>
    </cfRule>
    <cfRule type="expression" dxfId="1087" priority="22942" stopIfTrue="1">
      <formula>OR(AA292=0,$B154&lt;=0)</formula>
    </cfRule>
  </conditionalFormatting>
  <conditionalFormatting sqref="AA281:AA289">
    <cfRule type="expression" dxfId="1086" priority="22952" stopIfTrue="1">
      <formula>ISERROR(AA281)</formula>
    </cfRule>
    <cfRule type="expression" dxfId="1085" priority="22953" stopIfTrue="1">
      <formula>AND($B5&gt;0,AA281=0)</formula>
    </cfRule>
    <cfRule type="expression" dxfId="1084" priority="22954" stopIfTrue="1">
      <formula>OR(AA281=0,$B5&lt;=0)</formula>
    </cfRule>
  </conditionalFormatting>
  <conditionalFormatting sqref="AA291">
    <cfRule type="expression" dxfId="1083" priority="22976" stopIfTrue="1">
      <formula>ISERROR(AA291)</formula>
    </cfRule>
    <cfRule type="expression" dxfId="1082" priority="22977" stopIfTrue="1">
      <formula>AND($B154&gt;0,AA291=0)</formula>
    </cfRule>
    <cfRule type="expression" dxfId="1081" priority="22978" stopIfTrue="1">
      <formula>OR(AA291=0,$B154&lt;=0)</formula>
    </cfRule>
  </conditionalFormatting>
  <conditionalFormatting sqref="AA288 AA277:AA279">
    <cfRule type="expression" dxfId="1080" priority="22988" stopIfTrue="1">
      <formula>ISERROR(AA277)</formula>
    </cfRule>
    <cfRule type="expression" dxfId="1079" priority="22989" stopIfTrue="1">
      <formula>AND($B2&gt;0,AA277=0)</formula>
    </cfRule>
    <cfRule type="expression" dxfId="1078" priority="22990" stopIfTrue="1">
      <formula>OR(AA277=0,$B2&lt;=0)</formula>
    </cfRule>
  </conditionalFormatting>
  <conditionalFormatting sqref="AA290">
    <cfRule type="expression" dxfId="1077" priority="23012" stopIfTrue="1">
      <formula>ISERROR(AA290)</formula>
    </cfRule>
    <cfRule type="expression" dxfId="1076" priority="23013" stopIfTrue="1">
      <formula>AND($B154&gt;0,AA290=0)</formula>
    </cfRule>
    <cfRule type="expression" dxfId="1075" priority="23014" stopIfTrue="1">
      <formula>OR(AA290=0,$B154&lt;=0)</formula>
    </cfRule>
  </conditionalFormatting>
  <conditionalFormatting sqref="AA287">
    <cfRule type="expression" dxfId="1074" priority="23024" stopIfTrue="1">
      <formula>ISERROR(AA287)</formula>
    </cfRule>
    <cfRule type="expression" dxfId="1073" priority="23025" stopIfTrue="1">
      <formula>AND($B13&gt;0,AA287=0)</formula>
    </cfRule>
    <cfRule type="expression" dxfId="1072" priority="23026" stopIfTrue="1">
      <formula>OR(AA287=0,$B13&lt;=0)</formula>
    </cfRule>
  </conditionalFormatting>
  <conditionalFormatting sqref="AA277:AA289">
    <cfRule type="expression" dxfId="1071" priority="23048" stopIfTrue="1">
      <formula>ISERROR(AA277)</formula>
    </cfRule>
    <cfRule type="expression" dxfId="1070" priority="23049" stopIfTrue="1">
      <formula>AND($B142&gt;0,AA277=0)</formula>
    </cfRule>
    <cfRule type="expression" dxfId="1069" priority="23050" stopIfTrue="1">
      <formula>OR(AA277=0,$B142&lt;=0)</formula>
    </cfRule>
  </conditionalFormatting>
  <conditionalFormatting sqref="AA286">
    <cfRule type="expression" dxfId="1068" priority="23060" stopIfTrue="1">
      <formula>ISERROR(AA286)</formula>
    </cfRule>
    <cfRule type="expression" dxfId="1067" priority="23061" stopIfTrue="1">
      <formula>AND($B13&gt;0,AA286=0)</formula>
    </cfRule>
    <cfRule type="expression" dxfId="1066" priority="23062" stopIfTrue="1">
      <formula>OR(AA286=0,$B13&lt;=0)</formula>
    </cfRule>
  </conditionalFormatting>
  <conditionalFormatting sqref="AA288">
    <cfRule type="expression" dxfId="1065" priority="23084" stopIfTrue="1">
      <formula>ISERROR(AA288)</formula>
    </cfRule>
    <cfRule type="expression" dxfId="1064" priority="23085" stopIfTrue="1">
      <formula>AND($B154&gt;0,AA288=0)</formula>
    </cfRule>
    <cfRule type="expression" dxfId="1063" priority="23086" stopIfTrue="1">
      <formula>OR(AA288=0,$B154&lt;=0)</formula>
    </cfRule>
  </conditionalFormatting>
  <conditionalFormatting sqref="AA285">
    <cfRule type="expression" dxfId="1062" priority="23096" stopIfTrue="1">
      <formula>ISERROR(AA285)</formula>
    </cfRule>
    <cfRule type="expression" dxfId="1061" priority="23097" stopIfTrue="1">
      <formula>AND($B13&gt;0,AA285=0)</formula>
    </cfRule>
    <cfRule type="expression" dxfId="1060" priority="23098" stopIfTrue="1">
      <formula>OR(AA285=0,$B13&lt;=0)</formula>
    </cfRule>
  </conditionalFormatting>
  <conditionalFormatting sqref="AA287">
    <cfRule type="expression" dxfId="1059" priority="23120" stopIfTrue="1">
      <formula>ISERROR(AA287)</formula>
    </cfRule>
    <cfRule type="expression" dxfId="1058" priority="23121" stopIfTrue="1">
      <formula>AND($B154&gt;0,AA287=0)</formula>
    </cfRule>
    <cfRule type="expression" dxfId="1057" priority="23122" stopIfTrue="1">
      <formula>OR(AA287=0,$B154&lt;=0)</formula>
    </cfRule>
  </conditionalFormatting>
  <conditionalFormatting sqref="AA284">
    <cfRule type="expression" dxfId="1056" priority="23132" stopIfTrue="1">
      <formula>ISERROR(AA284)</formula>
    </cfRule>
    <cfRule type="expression" dxfId="1055" priority="23133" stopIfTrue="1">
      <formula>AND($B13&gt;0,AA284=0)</formula>
    </cfRule>
    <cfRule type="expression" dxfId="1054" priority="23134" stopIfTrue="1">
      <formula>OR(AA284=0,$B13&lt;=0)</formula>
    </cfRule>
  </conditionalFormatting>
  <conditionalFormatting sqref="AA286">
    <cfRule type="expression" dxfId="1053" priority="23156" stopIfTrue="1">
      <formula>ISERROR(AA286)</formula>
    </cfRule>
    <cfRule type="expression" dxfId="1052" priority="23157" stopIfTrue="1">
      <formula>AND($B154&gt;0,AA286=0)</formula>
    </cfRule>
    <cfRule type="expression" dxfId="1051" priority="23158" stopIfTrue="1">
      <formula>OR(AA286=0,$B154&lt;=0)</formula>
    </cfRule>
  </conditionalFormatting>
  <conditionalFormatting sqref="AA283">
    <cfRule type="expression" dxfId="1050" priority="23168" stopIfTrue="1">
      <formula>ISERROR(AA283)</formula>
    </cfRule>
    <cfRule type="expression" dxfId="1049" priority="23169" stopIfTrue="1">
      <formula>AND($B13&gt;0,AA283=0)</formula>
    </cfRule>
    <cfRule type="expression" dxfId="1048" priority="23170" stopIfTrue="1">
      <formula>OR(AA283=0,$B13&lt;=0)</formula>
    </cfRule>
  </conditionalFormatting>
  <conditionalFormatting sqref="AA285">
    <cfRule type="expression" dxfId="1047" priority="23192" stopIfTrue="1">
      <formula>ISERROR(AA285)</formula>
    </cfRule>
    <cfRule type="expression" dxfId="1046" priority="23193" stopIfTrue="1">
      <formula>AND($B154&gt;0,AA285=0)</formula>
    </cfRule>
    <cfRule type="expression" dxfId="1045" priority="23194" stopIfTrue="1">
      <formula>OR(AA285=0,$B154&lt;=0)</formula>
    </cfRule>
  </conditionalFormatting>
  <conditionalFormatting sqref="AA282">
    <cfRule type="expression" dxfId="1044" priority="23204" stopIfTrue="1">
      <formula>ISERROR(AA282)</formula>
    </cfRule>
    <cfRule type="expression" dxfId="1043" priority="23205" stopIfTrue="1">
      <formula>AND($B13&gt;0,AA282=0)</formula>
    </cfRule>
    <cfRule type="expression" dxfId="1042" priority="23206" stopIfTrue="1">
      <formula>OR(AA282=0,$B13&lt;=0)</formula>
    </cfRule>
  </conditionalFormatting>
  <conditionalFormatting sqref="AA284">
    <cfRule type="expression" dxfId="1041" priority="23228" stopIfTrue="1">
      <formula>ISERROR(AA284)</formula>
    </cfRule>
    <cfRule type="expression" dxfId="1040" priority="23229" stopIfTrue="1">
      <formula>AND($B154&gt;0,AA284=0)</formula>
    </cfRule>
    <cfRule type="expression" dxfId="1039" priority="23230" stopIfTrue="1">
      <formula>OR(AA284=0,$B154&lt;=0)</formula>
    </cfRule>
  </conditionalFormatting>
  <conditionalFormatting sqref="AA281">
    <cfRule type="expression" dxfId="1038" priority="23240" stopIfTrue="1">
      <formula>ISERROR(AA281)</formula>
    </cfRule>
    <cfRule type="expression" dxfId="1037" priority="23241" stopIfTrue="1">
      <formula>AND($B13&gt;0,AA281=0)</formula>
    </cfRule>
    <cfRule type="expression" dxfId="1036" priority="23242" stopIfTrue="1">
      <formula>OR(AA281=0,$B13&lt;=0)</formula>
    </cfRule>
  </conditionalFormatting>
  <conditionalFormatting sqref="AA283">
    <cfRule type="expression" dxfId="1035" priority="23264" stopIfTrue="1">
      <formula>ISERROR(AA283)</formula>
    </cfRule>
    <cfRule type="expression" dxfId="1034" priority="23265" stopIfTrue="1">
      <formula>AND($B154&gt;0,AA283=0)</formula>
    </cfRule>
    <cfRule type="expression" dxfId="1033" priority="23266" stopIfTrue="1">
      <formula>OR(AA283=0,$B154&lt;=0)</formula>
    </cfRule>
  </conditionalFormatting>
  <conditionalFormatting sqref="AA280">
    <cfRule type="expression" dxfId="1032" priority="23276" stopIfTrue="1">
      <formula>ISERROR(AA280)</formula>
    </cfRule>
    <cfRule type="expression" dxfId="1031" priority="23277" stopIfTrue="1">
      <formula>AND($B13&gt;0,AA280=0)</formula>
    </cfRule>
    <cfRule type="expression" dxfId="1030" priority="23278" stopIfTrue="1">
      <formula>OR(AA280=0,$B13&lt;=0)</formula>
    </cfRule>
  </conditionalFormatting>
  <conditionalFormatting sqref="AA282">
    <cfRule type="expression" dxfId="1029" priority="23300" stopIfTrue="1">
      <formula>ISERROR(AA282)</formula>
    </cfRule>
    <cfRule type="expression" dxfId="1028" priority="23301" stopIfTrue="1">
      <formula>AND($B154&gt;0,AA282=0)</formula>
    </cfRule>
    <cfRule type="expression" dxfId="1027" priority="23302" stopIfTrue="1">
      <formula>OR(AA282=0,$B154&lt;=0)</formula>
    </cfRule>
  </conditionalFormatting>
  <conditionalFormatting sqref="AA279">
    <cfRule type="expression" dxfId="1026" priority="23312" stopIfTrue="1">
      <formula>ISERROR(AA279)</formula>
    </cfRule>
    <cfRule type="expression" dxfId="1025" priority="23313" stopIfTrue="1">
      <formula>AND($B13&gt;0,AA279=0)</formula>
    </cfRule>
    <cfRule type="expression" dxfId="1024" priority="23314" stopIfTrue="1">
      <formula>OR(AA279=0,$B13&lt;=0)</formula>
    </cfRule>
  </conditionalFormatting>
  <conditionalFormatting sqref="AA281">
    <cfRule type="expression" dxfId="1023" priority="23336" stopIfTrue="1">
      <formula>ISERROR(AA281)</formula>
    </cfRule>
    <cfRule type="expression" dxfId="1022" priority="23337" stopIfTrue="1">
      <formula>AND($B154&gt;0,AA281=0)</formula>
    </cfRule>
    <cfRule type="expression" dxfId="1021" priority="23338" stopIfTrue="1">
      <formula>OR(AA281=0,$B154&lt;=0)</formula>
    </cfRule>
  </conditionalFormatting>
  <conditionalFormatting sqref="AA278">
    <cfRule type="expression" dxfId="1020" priority="23348" stopIfTrue="1">
      <formula>ISERROR(AA278)</formula>
    </cfRule>
    <cfRule type="expression" dxfId="1019" priority="23349" stopIfTrue="1">
      <formula>AND($B13&gt;0,AA278=0)</formula>
    </cfRule>
    <cfRule type="expression" dxfId="1018" priority="23350" stopIfTrue="1">
      <formula>OR(AA278=0,$B13&lt;=0)</formula>
    </cfRule>
  </conditionalFormatting>
  <conditionalFormatting sqref="AA280">
    <cfRule type="expression" dxfId="1017" priority="23372" stopIfTrue="1">
      <formula>ISERROR(AA280)</formula>
    </cfRule>
    <cfRule type="expression" dxfId="1016" priority="23373" stopIfTrue="1">
      <formula>AND($B154&gt;0,AA280=0)</formula>
    </cfRule>
    <cfRule type="expression" dxfId="1015" priority="23374" stopIfTrue="1">
      <formula>OR(AA280=0,$B154&lt;=0)</formula>
    </cfRule>
  </conditionalFormatting>
  <conditionalFormatting sqref="AA277">
    <cfRule type="expression" dxfId="1014" priority="23384" stopIfTrue="1">
      <formula>ISERROR(AA277)</formula>
    </cfRule>
    <cfRule type="expression" dxfId="1013" priority="23385" stopIfTrue="1">
      <formula>AND($B13&gt;0,AA277=0)</formula>
    </cfRule>
    <cfRule type="expression" dxfId="1012" priority="23386" stopIfTrue="1">
      <formula>OR(AA277=0,$B13&lt;=0)</formula>
    </cfRule>
  </conditionalFormatting>
  <conditionalFormatting sqref="AA279">
    <cfRule type="expression" dxfId="1011" priority="23408" stopIfTrue="1">
      <formula>ISERROR(AA279)</formula>
    </cfRule>
    <cfRule type="expression" dxfId="1010" priority="23409" stopIfTrue="1">
      <formula>AND($B154&gt;0,AA279=0)</formula>
    </cfRule>
    <cfRule type="expression" dxfId="1009" priority="23410" stopIfTrue="1">
      <formula>OR(AA279=0,$B154&lt;=0)</formula>
    </cfRule>
  </conditionalFormatting>
  <conditionalFormatting sqref="AA276">
    <cfRule type="expression" dxfId="1008" priority="23420" stopIfTrue="1">
      <formula>ISERROR(AA276)</formula>
    </cfRule>
    <cfRule type="expression" dxfId="1007" priority="23421" stopIfTrue="1">
      <formula>AND($B13&gt;0,AA276=0)</formula>
    </cfRule>
    <cfRule type="expression" dxfId="1006" priority="23422" stopIfTrue="1">
      <formula>OR(AA276=0,$B13&lt;=0)</formula>
    </cfRule>
  </conditionalFormatting>
  <conditionalFormatting sqref="AA278">
    <cfRule type="expression" dxfId="1005" priority="23444" stopIfTrue="1">
      <formula>ISERROR(AA278)</formula>
    </cfRule>
    <cfRule type="expression" dxfId="1004" priority="23445" stopIfTrue="1">
      <formula>AND($B154&gt;0,AA278=0)</formula>
    </cfRule>
    <cfRule type="expression" dxfId="1003" priority="23446" stopIfTrue="1">
      <formula>OR(AA278=0,$B154&lt;=0)</formula>
    </cfRule>
  </conditionalFormatting>
  <conditionalFormatting sqref="AA275">
    <cfRule type="expression" dxfId="1002" priority="23456" stopIfTrue="1">
      <formula>ISERROR(AA275)</formula>
    </cfRule>
    <cfRule type="expression" dxfId="1001" priority="23457" stopIfTrue="1">
      <formula>AND($B13&gt;0,AA275=0)</formula>
    </cfRule>
    <cfRule type="expression" dxfId="1000" priority="23458" stopIfTrue="1">
      <formula>OR(AA275=0,$B13&lt;=0)</formula>
    </cfRule>
  </conditionalFormatting>
  <conditionalFormatting sqref="AA277">
    <cfRule type="expression" dxfId="999" priority="23480" stopIfTrue="1">
      <formula>ISERROR(AA277)</formula>
    </cfRule>
    <cfRule type="expression" dxfId="998" priority="23481" stopIfTrue="1">
      <formula>AND($B154&gt;0,AA277=0)</formula>
    </cfRule>
    <cfRule type="expression" dxfId="997" priority="23482" stopIfTrue="1">
      <formula>OR(AA277=0,$B154&lt;=0)</formula>
    </cfRule>
  </conditionalFormatting>
  <conditionalFormatting sqref="AA274">
    <cfRule type="expression" dxfId="996" priority="23492" stopIfTrue="1">
      <formula>ISERROR(AA274)</formula>
    </cfRule>
    <cfRule type="expression" dxfId="995" priority="23493" stopIfTrue="1">
      <formula>AND($B13&gt;0,AA274=0)</formula>
    </cfRule>
    <cfRule type="expression" dxfId="994" priority="23494" stopIfTrue="1">
      <formula>OR(AA274=0,$B13&lt;=0)</formula>
    </cfRule>
  </conditionalFormatting>
  <conditionalFormatting sqref="AA276">
    <cfRule type="expression" dxfId="993" priority="23516" stopIfTrue="1">
      <formula>ISERROR(AA276)</formula>
    </cfRule>
    <cfRule type="expression" dxfId="992" priority="23517" stopIfTrue="1">
      <formula>AND($B154&gt;0,AA276=0)</formula>
    </cfRule>
    <cfRule type="expression" dxfId="991" priority="23518" stopIfTrue="1">
      <formula>OR(AA276=0,$B154&lt;=0)</formula>
    </cfRule>
  </conditionalFormatting>
  <conditionalFormatting sqref="AA273">
    <cfRule type="expression" dxfId="990" priority="23528" stopIfTrue="1">
      <formula>ISERROR(AA273)</formula>
    </cfRule>
    <cfRule type="expression" dxfId="989" priority="23529" stopIfTrue="1">
      <formula>AND($B13&gt;0,AA273=0)</formula>
    </cfRule>
    <cfRule type="expression" dxfId="988" priority="23530" stopIfTrue="1">
      <formula>OR(AA273=0,$B13&lt;=0)</formula>
    </cfRule>
  </conditionalFormatting>
  <conditionalFormatting sqref="AA275">
    <cfRule type="expression" dxfId="987" priority="23552" stopIfTrue="1">
      <formula>ISERROR(AA275)</formula>
    </cfRule>
    <cfRule type="expression" dxfId="986" priority="23553" stopIfTrue="1">
      <formula>AND($B154&gt;0,AA275=0)</formula>
    </cfRule>
    <cfRule type="expression" dxfId="985" priority="23554" stopIfTrue="1">
      <formula>OR(AA275=0,$B154&lt;=0)</formula>
    </cfRule>
  </conditionalFormatting>
  <conditionalFormatting sqref="AA272">
    <cfRule type="expression" dxfId="984" priority="23564" stopIfTrue="1">
      <formula>ISERROR(AA272)</formula>
    </cfRule>
    <cfRule type="expression" dxfId="983" priority="23565" stopIfTrue="1">
      <formula>AND($B13&gt;0,AA272=0)</formula>
    </cfRule>
    <cfRule type="expression" dxfId="982" priority="23566" stopIfTrue="1">
      <formula>OR(AA272=0,$B13&lt;=0)</formula>
    </cfRule>
  </conditionalFormatting>
  <conditionalFormatting sqref="AA274">
    <cfRule type="expression" dxfId="981" priority="23588" stopIfTrue="1">
      <formula>ISERROR(AA274)</formula>
    </cfRule>
    <cfRule type="expression" dxfId="980" priority="23589" stopIfTrue="1">
      <formula>AND($B154&gt;0,AA274=0)</formula>
    </cfRule>
    <cfRule type="expression" dxfId="979" priority="23590" stopIfTrue="1">
      <formula>OR(AA274=0,$B154&lt;=0)</formula>
    </cfRule>
  </conditionalFormatting>
  <conditionalFormatting sqref="AA271">
    <cfRule type="expression" dxfId="978" priority="23600" stopIfTrue="1">
      <formula>ISERROR(AA271)</formula>
    </cfRule>
    <cfRule type="expression" dxfId="977" priority="23601" stopIfTrue="1">
      <formula>AND($B13&gt;0,AA271=0)</formula>
    </cfRule>
    <cfRule type="expression" dxfId="976" priority="23602" stopIfTrue="1">
      <formula>OR(AA271=0,$B13&lt;=0)</formula>
    </cfRule>
  </conditionalFormatting>
  <conditionalFormatting sqref="AA273">
    <cfRule type="expression" dxfId="975" priority="23624" stopIfTrue="1">
      <formula>ISERROR(AA273)</formula>
    </cfRule>
    <cfRule type="expression" dxfId="974" priority="23625" stopIfTrue="1">
      <formula>AND($B154&gt;0,AA273=0)</formula>
    </cfRule>
    <cfRule type="expression" dxfId="973" priority="23626" stopIfTrue="1">
      <formula>OR(AA273=0,$B154&lt;=0)</formula>
    </cfRule>
  </conditionalFormatting>
  <conditionalFormatting sqref="AA270">
    <cfRule type="expression" dxfId="972" priority="23636" stopIfTrue="1">
      <formula>ISERROR(AA270)</formula>
    </cfRule>
    <cfRule type="expression" dxfId="971" priority="23637" stopIfTrue="1">
      <formula>AND($B13&gt;0,AA270=0)</formula>
    </cfRule>
    <cfRule type="expression" dxfId="970" priority="23638" stopIfTrue="1">
      <formula>OR(AA270=0,$B13&lt;=0)</formula>
    </cfRule>
  </conditionalFormatting>
  <conditionalFormatting sqref="AA272">
    <cfRule type="expression" dxfId="969" priority="23660" stopIfTrue="1">
      <formula>ISERROR(AA272)</formula>
    </cfRule>
    <cfRule type="expression" dxfId="968" priority="23661" stopIfTrue="1">
      <formula>AND($B154&gt;0,AA272=0)</formula>
    </cfRule>
    <cfRule type="expression" dxfId="967" priority="23662" stopIfTrue="1">
      <formula>OR(AA272=0,$B154&lt;=0)</formula>
    </cfRule>
  </conditionalFormatting>
  <conditionalFormatting sqref="AA269">
    <cfRule type="expression" dxfId="966" priority="23672" stopIfTrue="1">
      <formula>ISERROR(AA269)</formula>
    </cfRule>
    <cfRule type="expression" dxfId="965" priority="23673" stopIfTrue="1">
      <formula>AND($B13&gt;0,AA269=0)</formula>
    </cfRule>
    <cfRule type="expression" dxfId="964" priority="23674" stopIfTrue="1">
      <formula>OR(AA269=0,$B13&lt;=0)</formula>
    </cfRule>
  </conditionalFormatting>
  <conditionalFormatting sqref="AA271">
    <cfRule type="expression" dxfId="963" priority="23696" stopIfTrue="1">
      <formula>ISERROR(AA271)</formula>
    </cfRule>
    <cfRule type="expression" dxfId="962" priority="23697" stopIfTrue="1">
      <formula>AND($B154&gt;0,AA271=0)</formula>
    </cfRule>
    <cfRule type="expression" dxfId="961" priority="23698" stopIfTrue="1">
      <formula>OR(AA271=0,$B154&lt;=0)</formula>
    </cfRule>
  </conditionalFormatting>
  <conditionalFormatting sqref="AA268">
    <cfRule type="expression" dxfId="960" priority="23708" stopIfTrue="1">
      <formula>ISERROR(AA268)</formula>
    </cfRule>
    <cfRule type="expression" dxfId="959" priority="23709" stopIfTrue="1">
      <formula>AND($B13&gt;0,AA268=0)</formula>
    </cfRule>
    <cfRule type="expression" dxfId="958" priority="23710" stopIfTrue="1">
      <formula>OR(AA268=0,$B13&lt;=0)</formula>
    </cfRule>
  </conditionalFormatting>
  <conditionalFormatting sqref="AA270">
    <cfRule type="expression" dxfId="957" priority="23732" stopIfTrue="1">
      <formula>ISERROR(AA270)</formula>
    </cfRule>
    <cfRule type="expression" dxfId="956" priority="23733" stopIfTrue="1">
      <formula>AND($B154&gt;0,AA270=0)</formula>
    </cfRule>
    <cfRule type="expression" dxfId="955" priority="23734" stopIfTrue="1">
      <formula>OR(AA270=0,$B154&lt;=0)</formula>
    </cfRule>
  </conditionalFormatting>
  <conditionalFormatting sqref="AA267">
    <cfRule type="expression" dxfId="954" priority="23744" stopIfTrue="1">
      <formula>ISERROR(AA267)</formula>
    </cfRule>
    <cfRule type="expression" dxfId="953" priority="23745" stopIfTrue="1">
      <formula>AND($B13&gt;0,AA267=0)</formula>
    </cfRule>
    <cfRule type="expression" dxfId="952" priority="23746" stopIfTrue="1">
      <formula>OR(AA267=0,$B13&lt;=0)</formula>
    </cfRule>
  </conditionalFormatting>
  <conditionalFormatting sqref="AA269">
    <cfRule type="expression" dxfId="951" priority="23768" stopIfTrue="1">
      <formula>ISERROR(AA269)</formula>
    </cfRule>
    <cfRule type="expression" dxfId="950" priority="23769" stopIfTrue="1">
      <formula>AND($B154&gt;0,AA269=0)</formula>
    </cfRule>
    <cfRule type="expression" dxfId="949" priority="23770" stopIfTrue="1">
      <formula>OR(AA269=0,$B154&lt;=0)</formula>
    </cfRule>
  </conditionalFormatting>
  <conditionalFormatting sqref="AA266">
    <cfRule type="expression" dxfId="948" priority="23780" stopIfTrue="1">
      <formula>ISERROR(AA266)</formula>
    </cfRule>
    <cfRule type="expression" dxfId="947" priority="23781" stopIfTrue="1">
      <formula>AND($B13&gt;0,AA266=0)</formula>
    </cfRule>
    <cfRule type="expression" dxfId="946" priority="23782" stopIfTrue="1">
      <formula>OR(AA266=0,$B13&lt;=0)</formula>
    </cfRule>
  </conditionalFormatting>
  <conditionalFormatting sqref="AA268">
    <cfRule type="expression" dxfId="945" priority="23804" stopIfTrue="1">
      <formula>ISERROR(AA268)</formula>
    </cfRule>
    <cfRule type="expression" dxfId="944" priority="23805" stopIfTrue="1">
      <formula>AND($B154&gt;0,AA268=0)</formula>
    </cfRule>
    <cfRule type="expression" dxfId="943" priority="23806" stopIfTrue="1">
      <formula>OR(AA268=0,$B154&lt;=0)</formula>
    </cfRule>
  </conditionalFormatting>
  <conditionalFormatting sqref="AA265">
    <cfRule type="expression" dxfId="942" priority="23816" stopIfTrue="1">
      <formula>ISERROR(AA265)</formula>
    </cfRule>
    <cfRule type="expression" dxfId="941" priority="23817" stopIfTrue="1">
      <formula>AND($B13&gt;0,AA265=0)</formula>
    </cfRule>
    <cfRule type="expression" dxfId="940" priority="23818" stopIfTrue="1">
      <formula>OR(AA265=0,$B13&lt;=0)</formula>
    </cfRule>
  </conditionalFormatting>
  <conditionalFormatting sqref="AA267">
    <cfRule type="expression" dxfId="939" priority="23840" stopIfTrue="1">
      <formula>ISERROR(AA267)</formula>
    </cfRule>
    <cfRule type="expression" dxfId="938" priority="23841" stopIfTrue="1">
      <formula>AND($B154&gt;0,AA267=0)</formula>
    </cfRule>
    <cfRule type="expression" dxfId="937" priority="23842" stopIfTrue="1">
      <formula>OR(AA267=0,$B154&lt;=0)</formula>
    </cfRule>
  </conditionalFormatting>
  <conditionalFormatting sqref="AA264">
    <cfRule type="expression" dxfId="936" priority="23852" stopIfTrue="1">
      <formula>ISERROR(AA264)</formula>
    </cfRule>
    <cfRule type="expression" dxfId="935" priority="23853" stopIfTrue="1">
      <formula>AND($B13&gt;0,AA264=0)</formula>
    </cfRule>
    <cfRule type="expression" dxfId="934" priority="23854" stopIfTrue="1">
      <formula>OR(AA264=0,$B13&lt;=0)</formula>
    </cfRule>
  </conditionalFormatting>
  <conditionalFormatting sqref="AA266">
    <cfRule type="expression" dxfId="933" priority="23876" stopIfTrue="1">
      <formula>ISERROR(AA266)</formula>
    </cfRule>
    <cfRule type="expression" dxfId="932" priority="23877" stopIfTrue="1">
      <formula>AND($B154&gt;0,AA266=0)</formula>
    </cfRule>
    <cfRule type="expression" dxfId="931" priority="23878" stopIfTrue="1">
      <formula>OR(AA266=0,$B154&lt;=0)</formula>
    </cfRule>
  </conditionalFormatting>
  <conditionalFormatting sqref="AA263">
    <cfRule type="expression" dxfId="930" priority="23888" stopIfTrue="1">
      <formula>ISERROR(AA263)</formula>
    </cfRule>
    <cfRule type="expression" dxfId="929" priority="23889" stopIfTrue="1">
      <formula>AND($B13&gt;0,AA263=0)</formula>
    </cfRule>
    <cfRule type="expression" dxfId="928" priority="23890" stopIfTrue="1">
      <formula>OR(AA263=0,$B13&lt;=0)</formula>
    </cfRule>
  </conditionalFormatting>
  <conditionalFormatting sqref="AA265">
    <cfRule type="expression" dxfId="927" priority="23912" stopIfTrue="1">
      <formula>ISERROR(AA265)</formula>
    </cfRule>
    <cfRule type="expression" dxfId="926" priority="23913" stopIfTrue="1">
      <formula>AND($B154&gt;0,AA265=0)</formula>
    </cfRule>
    <cfRule type="expression" dxfId="925" priority="23914" stopIfTrue="1">
      <formula>OR(AA265=0,$B154&lt;=0)</formula>
    </cfRule>
  </conditionalFormatting>
  <conditionalFormatting sqref="AA262">
    <cfRule type="expression" dxfId="924" priority="23924" stopIfTrue="1">
      <formula>ISERROR(AA262)</formula>
    </cfRule>
    <cfRule type="expression" dxfId="923" priority="23925" stopIfTrue="1">
      <formula>AND($B13&gt;0,AA262=0)</formula>
    </cfRule>
    <cfRule type="expression" dxfId="922" priority="23926" stopIfTrue="1">
      <formula>OR(AA262=0,$B13&lt;=0)</formula>
    </cfRule>
  </conditionalFormatting>
  <conditionalFormatting sqref="AA264">
    <cfRule type="expression" dxfId="921" priority="23948" stopIfTrue="1">
      <formula>ISERROR(AA264)</formula>
    </cfRule>
    <cfRule type="expression" dxfId="920" priority="23949" stopIfTrue="1">
      <formula>AND($B154&gt;0,AA264=0)</formula>
    </cfRule>
    <cfRule type="expression" dxfId="919" priority="23950" stopIfTrue="1">
      <formula>OR(AA264=0,$B154&lt;=0)</formula>
    </cfRule>
  </conditionalFormatting>
  <conditionalFormatting sqref="AA261:AA262">
    <cfRule type="expression" dxfId="918" priority="23960" stopIfTrue="1">
      <formula>ISERROR(AA261)</formula>
    </cfRule>
    <cfRule type="expression" dxfId="917" priority="23961" stopIfTrue="1">
      <formula>AND($B13&gt;0,AA261=0)</formula>
    </cfRule>
    <cfRule type="expression" dxfId="916" priority="23962" stopIfTrue="1">
      <formula>OR(AA261=0,$B13&lt;=0)</formula>
    </cfRule>
  </conditionalFormatting>
  <conditionalFormatting sqref="AA263">
    <cfRule type="expression" dxfId="915" priority="23984" stopIfTrue="1">
      <formula>ISERROR(AA263)</formula>
    </cfRule>
    <cfRule type="expression" dxfId="914" priority="23985" stopIfTrue="1">
      <formula>AND($B154&gt;0,AA263=0)</formula>
    </cfRule>
    <cfRule type="expression" dxfId="913" priority="23986" stopIfTrue="1">
      <formula>OR(AA263=0,$B154&lt;=0)</formula>
    </cfRule>
  </conditionalFormatting>
  <conditionalFormatting sqref="AA260">
    <cfRule type="expression" dxfId="912" priority="23996" stopIfTrue="1">
      <formula>ISERROR(AA260)</formula>
    </cfRule>
    <cfRule type="expression" dxfId="911" priority="23997" stopIfTrue="1">
      <formula>AND($B13&gt;0,AA260=0)</formula>
    </cfRule>
    <cfRule type="expression" dxfId="910" priority="23998" stopIfTrue="1">
      <formula>OR(AA260=0,$B13&lt;=0)</formula>
    </cfRule>
  </conditionalFormatting>
  <conditionalFormatting sqref="AA262">
    <cfRule type="expression" dxfId="909" priority="24020" stopIfTrue="1">
      <formula>ISERROR(AA262)</formula>
    </cfRule>
    <cfRule type="expression" dxfId="908" priority="24021" stopIfTrue="1">
      <formula>AND($B154&gt;0,AA262=0)</formula>
    </cfRule>
    <cfRule type="expression" dxfId="907" priority="24022" stopIfTrue="1">
      <formula>OR(AA262=0,$B154&lt;=0)</formula>
    </cfRule>
  </conditionalFormatting>
  <conditionalFormatting sqref="AA259">
    <cfRule type="expression" dxfId="906" priority="24032" stopIfTrue="1">
      <formula>ISERROR(AA259)</formula>
    </cfRule>
    <cfRule type="expression" dxfId="905" priority="24033" stopIfTrue="1">
      <formula>AND($B13&gt;0,AA259=0)</formula>
    </cfRule>
    <cfRule type="expression" dxfId="904" priority="24034" stopIfTrue="1">
      <formula>OR(AA259=0,$B13&lt;=0)</formula>
    </cfRule>
  </conditionalFormatting>
  <conditionalFormatting sqref="AA261:AA262">
    <cfRule type="expression" dxfId="903" priority="24056" stopIfTrue="1">
      <formula>ISERROR(AA261)</formula>
    </cfRule>
    <cfRule type="expression" dxfId="902" priority="24057" stopIfTrue="1">
      <formula>AND($B154&gt;0,AA261=0)</formula>
    </cfRule>
    <cfRule type="expression" dxfId="901" priority="24058" stopIfTrue="1">
      <formula>OR(AA261=0,$B154&lt;=0)</formula>
    </cfRule>
  </conditionalFormatting>
  <conditionalFormatting sqref="AA258">
    <cfRule type="expression" dxfId="900" priority="24068" stopIfTrue="1">
      <formula>ISERROR(AA258)</formula>
    </cfRule>
    <cfRule type="expression" dxfId="899" priority="24069" stopIfTrue="1">
      <formula>AND($B13&gt;0,AA258=0)</formula>
    </cfRule>
    <cfRule type="expression" dxfId="898" priority="24070" stopIfTrue="1">
      <formula>OR(AA258=0,$B13&lt;=0)</formula>
    </cfRule>
  </conditionalFormatting>
  <conditionalFormatting sqref="AA260">
    <cfRule type="expression" dxfId="897" priority="24092" stopIfTrue="1">
      <formula>ISERROR(AA260)</formula>
    </cfRule>
    <cfRule type="expression" dxfId="896" priority="24093" stopIfTrue="1">
      <formula>AND($B154&gt;0,AA260=0)</formula>
    </cfRule>
    <cfRule type="expression" dxfId="895" priority="24094" stopIfTrue="1">
      <formula>OR(AA260=0,$B154&lt;=0)</formula>
    </cfRule>
  </conditionalFormatting>
  <conditionalFormatting sqref="AA257">
    <cfRule type="expression" dxfId="894" priority="24104" stopIfTrue="1">
      <formula>ISERROR(AA257)</formula>
    </cfRule>
    <cfRule type="expression" dxfId="893" priority="24105" stopIfTrue="1">
      <formula>AND($B13&gt;0,AA257=0)</formula>
    </cfRule>
    <cfRule type="expression" dxfId="892" priority="24106" stopIfTrue="1">
      <formula>OR(AA257=0,$B13&lt;=0)</formula>
    </cfRule>
  </conditionalFormatting>
  <conditionalFormatting sqref="AA259">
    <cfRule type="expression" dxfId="891" priority="24128" stopIfTrue="1">
      <formula>ISERROR(AA259)</formula>
    </cfRule>
    <cfRule type="expression" dxfId="890" priority="24129" stopIfTrue="1">
      <formula>AND($B154&gt;0,AA259=0)</formula>
    </cfRule>
    <cfRule type="expression" dxfId="889" priority="24130" stopIfTrue="1">
      <formula>OR(AA259=0,$B154&lt;=0)</formula>
    </cfRule>
  </conditionalFormatting>
  <conditionalFormatting sqref="AA256">
    <cfRule type="expression" dxfId="888" priority="24140" stopIfTrue="1">
      <formula>ISERROR(AA256)</formula>
    </cfRule>
    <cfRule type="expression" dxfId="887" priority="24141" stopIfTrue="1">
      <formula>AND($B13&gt;0,AA256=0)</formula>
    </cfRule>
    <cfRule type="expression" dxfId="886" priority="24142" stopIfTrue="1">
      <formula>OR(AA256=0,$B13&lt;=0)</formula>
    </cfRule>
  </conditionalFormatting>
  <conditionalFormatting sqref="AA258">
    <cfRule type="expression" dxfId="885" priority="24164" stopIfTrue="1">
      <formula>ISERROR(AA258)</formula>
    </cfRule>
    <cfRule type="expression" dxfId="884" priority="24165" stopIfTrue="1">
      <formula>AND($B154&gt;0,AA258=0)</formula>
    </cfRule>
    <cfRule type="expression" dxfId="883" priority="24166" stopIfTrue="1">
      <formula>OR(AA258=0,$B154&lt;=0)</formula>
    </cfRule>
  </conditionalFormatting>
  <conditionalFormatting sqref="AA255">
    <cfRule type="expression" dxfId="882" priority="24176" stopIfTrue="1">
      <formula>ISERROR(AA255)</formula>
    </cfRule>
    <cfRule type="expression" dxfId="881" priority="24177" stopIfTrue="1">
      <formula>AND($B13&gt;0,AA255=0)</formula>
    </cfRule>
    <cfRule type="expression" dxfId="880" priority="24178" stopIfTrue="1">
      <formula>OR(AA255=0,$B13&lt;=0)</formula>
    </cfRule>
  </conditionalFormatting>
  <conditionalFormatting sqref="AA257">
    <cfRule type="expression" dxfId="879" priority="24200" stopIfTrue="1">
      <formula>ISERROR(AA257)</formula>
    </cfRule>
    <cfRule type="expression" dxfId="878" priority="24201" stopIfTrue="1">
      <formula>AND($B154&gt;0,AA257=0)</formula>
    </cfRule>
    <cfRule type="expression" dxfId="877" priority="24202" stopIfTrue="1">
      <formula>OR(AA257=0,$B154&lt;=0)</formula>
    </cfRule>
  </conditionalFormatting>
  <conditionalFormatting sqref="AA254">
    <cfRule type="expression" dxfId="876" priority="24212" stopIfTrue="1">
      <formula>ISERROR(AA254)</formula>
    </cfRule>
    <cfRule type="expression" dxfId="875" priority="24213" stopIfTrue="1">
      <formula>AND($B13&gt;0,AA254=0)</formula>
    </cfRule>
    <cfRule type="expression" dxfId="874" priority="24214" stopIfTrue="1">
      <formula>OR(AA254=0,$B13&lt;=0)</formula>
    </cfRule>
  </conditionalFormatting>
  <conditionalFormatting sqref="AA256">
    <cfRule type="expression" dxfId="873" priority="24236" stopIfTrue="1">
      <formula>ISERROR(AA256)</formula>
    </cfRule>
    <cfRule type="expression" dxfId="872" priority="24237" stopIfTrue="1">
      <formula>AND($B154&gt;0,AA256=0)</formula>
    </cfRule>
    <cfRule type="expression" dxfId="871" priority="24238" stopIfTrue="1">
      <formula>OR(AA256=0,$B154&lt;=0)</formula>
    </cfRule>
  </conditionalFormatting>
  <conditionalFormatting sqref="AA253">
    <cfRule type="expression" dxfId="870" priority="24248" stopIfTrue="1">
      <formula>ISERROR(AA253)</formula>
    </cfRule>
    <cfRule type="expression" dxfId="869" priority="24249" stopIfTrue="1">
      <formula>AND($B13&gt;0,AA253=0)</formula>
    </cfRule>
    <cfRule type="expression" dxfId="868" priority="24250" stopIfTrue="1">
      <formula>OR(AA253=0,$B13&lt;=0)</formula>
    </cfRule>
  </conditionalFormatting>
  <conditionalFormatting sqref="AA255">
    <cfRule type="expression" dxfId="867" priority="24272" stopIfTrue="1">
      <formula>ISERROR(AA255)</formula>
    </cfRule>
    <cfRule type="expression" dxfId="866" priority="24273" stopIfTrue="1">
      <formula>AND($B154&gt;0,AA255=0)</formula>
    </cfRule>
    <cfRule type="expression" dxfId="865" priority="24274" stopIfTrue="1">
      <formula>OR(AA255=0,$B154&lt;=0)</formula>
    </cfRule>
  </conditionalFormatting>
  <conditionalFormatting sqref="AA252">
    <cfRule type="expression" dxfId="864" priority="24284" stopIfTrue="1">
      <formula>ISERROR(AA252)</formula>
    </cfRule>
    <cfRule type="expression" dxfId="863" priority="24285" stopIfTrue="1">
      <formula>AND($B13&gt;0,AA252=0)</formula>
    </cfRule>
    <cfRule type="expression" dxfId="862" priority="24286" stopIfTrue="1">
      <formula>OR(AA252=0,$B13&lt;=0)</formula>
    </cfRule>
  </conditionalFormatting>
  <conditionalFormatting sqref="AA254">
    <cfRule type="expression" dxfId="861" priority="24308" stopIfTrue="1">
      <formula>ISERROR(AA254)</formula>
    </cfRule>
    <cfRule type="expression" dxfId="860" priority="24309" stopIfTrue="1">
      <formula>AND($B154&gt;0,AA254=0)</formula>
    </cfRule>
    <cfRule type="expression" dxfId="859" priority="24310" stopIfTrue="1">
      <formula>OR(AA254=0,$B154&lt;=0)</formula>
    </cfRule>
  </conditionalFormatting>
  <conditionalFormatting sqref="AA251">
    <cfRule type="expression" dxfId="858" priority="24320" stopIfTrue="1">
      <formula>ISERROR(AA251)</formula>
    </cfRule>
    <cfRule type="expression" dxfId="857" priority="24321" stopIfTrue="1">
      <formula>AND($B13&gt;0,AA251=0)</formula>
    </cfRule>
    <cfRule type="expression" dxfId="856" priority="24322" stopIfTrue="1">
      <formula>OR(AA251=0,$B13&lt;=0)</formula>
    </cfRule>
  </conditionalFormatting>
  <conditionalFormatting sqref="AA253">
    <cfRule type="expression" dxfId="855" priority="24344" stopIfTrue="1">
      <formula>ISERROR(AA253)</formula>
    </cfRule>
    <cfRule type="expression" dxfId="854" priority="24345" stopIfTrue="1">
      <formula>AND($B154&gt;0,AA253=0)</formula>
    </cfRule>
    <cfRule type="expression" dxfId="853" priority="24346" stopIfTrue="1">
      <formula>OR(AA253=0,$B154&lt;=0)</formula>
    </cfRule>
  </conditionalFormatting>
  <conditionalFormatting sqref="AA250">
    <cfRule type="expression" dxfId="852" priority="24356" stopIfTrue="1">
      <formula>ISERROR(AA250)</formula>
    </cfRule>
    <cfRule type="expression" dxfId="851" priority="24357" stopIfTrue="1">
      <formula>AND($B13&gt;0,AA250=0)</formula>
    </cfRule>
    <cfRule type="expression" dxfId="850" priority="24358" stopIfTrue="1">
      <formula>OR(AA250=0,$B13&lt;=0)</formula>
    </cfRule>
  </conditionalFormatting>
  <conditionalFormatting sqref="AA252">
    <cfRule type="expression" dxfId="849" priority="24380" stopIfTrue="1">
      <formula>ISERROR(AA252)</formula>
    </cfRule>
    <cfRule type="expression" dxfId="848" priority="24381" stopIfTrue="1">
      <formula>AND($B154&gt;0,AA252=0)</formula>
    </cfRule>
    <cfRule type="expression" dxfId="847" priority="24382" stopIfTrue="1">
      <formula>OR(AA252=0,$B154&lt;=0)</formula>
    </cfRule>
  </conditionalFormatting>
  <conditionalFormatting sqref="AA249">
    <cfRule type="expression" dxfId="846" priority="24392" stopIfTrue="1">
      <formula>ISERROR(AA249)</formula>
    </cfRule>
    <cfRule type="expression" dxfId="845" priority="24393" stopIfTrue="1">
      <formula>AND($B13&gt;0,AA249=0)</formula>
    </cfRule>
    <cfRule type="expression" dxfId="844" priority="24394" stopIfTrue="1">
      <formula>OR(AA249=0,$B13&lt;=0)</formula>
    </cfRule>
  </conditionalFormatting>
  <conditionalFormatting sqref="AA251">
    <cfRule type="expression" dxfId="843" priority="24416" stopIfTrue="1">
      <formula>ISERROR(AA251)</formula>
    </cfRule>
    <cfRule type="expression" dxfId="842" priority="24417" stopIfTrue="1">
      <formula>AND($B154&gt;0,AA251=0)</formula>
    </cfRule>
    <cfRule type="expression" dxfId="841" priority="24418" stopIfTrue="1">
      <formula>OR(AA251=0,$B154&lt;=0)</formula>
    </cfRule>
  </conditionalFormatting>
  <conditionalFormatting sqref="AA248 AA385">
    <cfRule type="expression" dxfId="840" priority="24428" stopIfTrue="1">
      <formula>ISERROR(AA248)</formula>
    </cfRule>
    <cfRule type="expression" dxfId="839" priority="24429" stopIfTrue="1">
      <formula>AND($B13&gt;0,AA248=0)</formula>
    </cfRule>
    <cfRule type="expression" dxfId="838" priority="24430" stopIfTrue="1">
      <formula>OR(AA248=0,$B13&lt;=0)</formula>
    </cfRule>
  </conditionalFormatting>
  <conditionalFormatting sqref="AA250">
    <cfRule type="expression" dxfId="837" priority="24452" stopIfTrue="1">
      <formula>ISERROR(AA250)</formula>
    </cfRule>
    <cfRule type="expression" dxfId="836" priority="24453" stopIfTrue="1">
      <formula>AND($B154&gt;0,AA250=0)</formula>
    </cfRule>
    <cfRule type="expression" dxfId="835" priority="24454" stopIfTrue="1">
      <formula>OR(AA250=0,$B154&lt;=0)</formula>
    </cfRule>
  </conditionalFormatting>
  <conditionalFormatting sqref="AA247">
    <cfRule type="expression" dxfId="834" priority="24464" stopIfTrue="1">
      <formula>ISERROR(AA247)</formula>
    </cfRule>
    <cfRule type="expression" dxfId="833" priority="24465" stopIfTrue="1">
      <formula>AND($B13&gt;0,AA247=0)</formula>
    </cfRule>
    <cfRule type="expression" dxfId="832" priority="24466" stopIfTrue="1">
      <formula>OR(AA247=0,$B13&lt;=0)</formula>
    </cfRule>
  </conditionalFormatting>
  <conditionalFormatting sqref="AA249">
    <cfRule type="expression" dxfId="831" priority="24488" stopIfTrue="1">
      <formula>ISERROR(AA249)</formula>
    </cfRule>
    <cfRule type="expression" dxfId="830" priority="24489" stopIfTrue="1">
      <formula>AND($B154&gt;0,AA249=0)</formula>
    </cfRule>
    <cfRule type="expression" dxfId="829" priority="24490" stopIfTrue="1">
      <formula>OR(AA249=0,$B154&lt;=0)</formula>
    </cfRule>
  </conditionalFormatting>
  <conditionalFormatting sqref="AA246 AA384">
    <cfRule type="expression" dxfId="828" priority="24500" stopIfTrue="1">
      <formula>ISERROR(AA246)</formula>
    </cfRule>
    <cfRule type="expression" dxfId="827" priority="24501" stopIfTrue="1">
      <formula>AND($B13&gt;0,AA246=0)</formula>
    </cfRule>
    <cfRule type="expression" dxfId="826" priority="24502" stopIfTrue="1">
      <formula>OR(AA246=0,$B13&lt;=0)</formula>
    </cfRule>
  </conditionalFormatting>
  <conditionalFormatting sqref="AA248">
    <cfRule type="expression" dxfId="825" priority="24524" stopIfTrue="1">
      <formula>ISERROR(AA248)</formula>
    </cfRule>
    <cfRule type="expression" dxfId="824" priority="24525" stopIfTrue="1">
      <formula>AND($B154&gt;0,AA248=0)</formula>
    </cfRule>
    <cfRule type="expression" dxfId="823" priority="24526" stopIfTrue="1">
      <formula>OR(AA248=0,$B154&lt;=0)</formula>
    </cfRule>
  </conditionalFormatting>
  <conditionalFormatting sqref="AA245 AA383">
    <cfRule type="expression" dxfId="822" priority="24536" stopIfTrue="1">
      <formula>ISERROR(AA245)</formula>
    </cfRule>
    <cfRule type="expression" dxfId="821" priority="24537" stopIfTrue="1">
      <formula>AND($B13&gt;0,AA245=0)</formula>
    </cfRule>
    <cfRule type="expression" dxfId="820" priority="24538" stopIfTrue="1">
      <formula>OR(AA245=0,$B13&lt;=0)</formula>
    </cfRule>
  </conditionalFormatting>
  <conditionalFormatting sqref="AA247">
    <cfRule type="expression" dxfId="819" priority="24560" stopIfTrue="1">
      <formula>ISERROR(AA247)</formula>
    </cfRule>
    <cfRule type="expression" dxfId="818" priority="24561" stopIfTrue="1">
      <formula>AND($B154&gt;0,AA247=0)</formula>
    </cfRule>
    <cfRule type="expression" dxfId="817" priority="24562" stopIfTrue="1">
      <formula>OR(AA247=0,$B154&lt;=0)</formula>
    </cfRule>
  </conditionalFormatting>
  <conditionalFormatting sqref="AA244 AA382 AA385">
    <cfRule type="expression" dxfId="816" priority="24572" stopIfTrue="1">
      <formula>ISERROR(AA244)</formula>
    </cfRule>
    <cfRule type="expression" dxfId="815" priority="24573" stopIfTrue="1">
      <formula>AND($B13&gt;0,AA244=0)</formula>
    </cfRule>
    <cfRule type="expression" dxfId="814" priority="24574" stopIfTrue="1">
      <formula>OR(AA244=0,$B13&lt;=0)</formula>
    </cfRule>
  </conditionalFormatting>
  <conditionalFormatting sqref="AA246">
    <cfRule type="expression" dxfId="813" priority="24596" stopIfTrue="1">
      <formula>ISERROR(AA246)</formula>
    </cfRule>
    <cfRule type="expression" dxfId="812" priority="24597" stopIfTrue="1">
      <formula>AND($B154&gt;0,AA246=0)</formula>
    </cfRule>
    <cfRule type="expression" dxfId="811" priority="24598" stopIfTrue="1">
      <formula>OR(AA246=0,$B154&lt;=0)</formula>
    </cfRule>
  </conditionalFormatting>
  <conditionalFormatting sqref="AA243 AA381">
    <cfRule type="expression" dxfId="810" priority="24608" stopIfTrue="1">
      <formula>ISERROR(AA243)</formula>
    </cfRule>
    <cfRule type="expression" dxfId="809" priority="24609" stopIfTrue="1">
      <formula>AND($B13&gt;0,AA243=0)</formula>
    </cfRule>
    <cfRule type="expression" dxfId="808" priority="24610" stopIfTrue="1">
      <formula>OR(AA243=0,$B13&lt;=0)</formula>
    </cfRule>
  </conditionalFormatting>
  <conditionalFormatting sqref="AA245">
    <cfRule type="expression" dxfId="807" priority="24632" stopIfTrue="1">
      <formula>ISERROR(AA245)</formula>
    </cfRule>
    <cfRule type="expression" dxfId="806" priority="24633" stopIfTrue="1">
      <formula>AND($B154&gt;0,AA245=0)</formula>
    </cfRule>
    <cfRule type="expression" dxfId="805" priority="24634" stopIfTrue="1">
      <formula>OR(AA245=0,$B154&lt;=0)</formula>
    </cfRule>
  </conditionalFormatting>
  <conditionalFormatting sqref="AA384 AA380 AA242:AA243">
    <cfRule type="expression" dxfId="804" priority="24644" stopIfTrue="1">
      <formula>ISERROR(AA242)</formula>
    </cfRule>
    <cfRule type="expression" dxfId="803" priority="24645" stopIfTrue="1">
      <formula>AND($B13&gt;0,AA242=0)</formula>
    </cfRule>
    <cfRule type="expression" dxfId="802" priority="24646" stopIfTrue="1">
      <formula>OR(AA242=0,$B13&lt;=0)</formula>
    </cfRule>
  </conditionalFormatting>
  <conditionalFormatting sqref="AA244">
    <cfRule type="expression" dxfId="801" priority="24668" stopIfTrue="1">
      <formula>ISERROR(AA244)</formula>
    </cfRule>
    <cfRule type="expression" dxfId="800" priority="24669" stopIfTrue="1">
      <formula>AND($B154&gt;0,AA244=0)</formula>
    </cfRule>
    <cfRule type="expression" dxfId="799" priority="24670" stopIfTrue="1">
      <formula>OR(AA244=0,$B154&lt;=0)</formula>
    </cfRule>
  </conditionalFormatting>
  <conditionalFormatting sqref="AA379 AA383 AA241:AA243">
    <cfRule type="expression" dxfId="798" priority="24680" stopIfTrue="1">
      <formula>ISERROR(AA241)</formula>
    </cfRule>
    <cfRule type="expression" dxfId="797" priority="24681" stopIfTrue="1">
      <formula>AND($B13&gt;0,AA241=0)</formula>
    </cfRule>
    <cfRule type="expression" dxfId="796" priority="24682" stopIfTrue="1">
      <formula>OR(AA241=0,$B13&lt;=0)</formula>
    </cfRule>
  </conditionalFormatting>
  <conditionalFormatting sqref="AA243">
    <cfRule type="expression" dxfId="795" priority="24704" stopIfTrue="1">
      <formula>ISERROR(AA243)</formula>
    </cfRule>
    <cfRule type="expression" dxfId="794" priority="24705" stopIfTrue="1">
      <formula>AND($B154&gt;0,AA243=0)</formula>
    </cfRule>
    <cfRule type="expression" dxfId="793" priority="24706" stopIfTrue="1">
      <formula>OR(AA243=0,$B154&lt;=0)</formula>
    </cfRule>
  </conditionalFormatting>
  <conditionalFormatting sqref="AA382 AA378 AA240:AA244">
    <cfRule type="expression" dxfId="792" priority="24716" stopIfTrue="1">
      <formula>ISERROR(AA240)</formula>
    </cfRule>
    <cfRule type="expression" dxfId="791" priority="24717" stopIfTrue="1">
      <formula>AND($B13&gt;0,AA240=0)</formula>
    </cfRule>
    <cfRule type="expression" dxfId="790" priority="24718" stopIfTrue="1">
      <formula>OR(AA240=0,$B13&lt;=0)</formula>
    </cfRule>
  </conditionalFormatting>
  <conditionalFormatting sqref="AA242:AA243">
    <cfRule type="expression" dxfId="789" priority="24740" stopIfTrue="1">
      <formula>ISERROR(AA242)</formula>
    </cfRule>
    <cfRule type="expression" dxfId="788" priority="24741" stopIfTrue="1">
      <formula>AND($B154&gt;0,AA242=0)</formula>
    </cfRule>
    <cfRule type="expression" dxfId="787" priority="24742" stopIfTrue="1">
      <formula>OR(AA242=0,$B154&lt;=0)</formula>
    </cfRule>
  </conditionalFormatting>
  <conditionalFormatting sqref="AA377 AA381 AA239:AA247">
    <cfRule type="expression" dxfId="786" priority="24752" stopIfTrue="1">
      <formula>ISERROR(AA239)</formula>
    </cfRule>
    <cfRule type="expression" dxfId="785" priority="24753" stopIfTrue="1">
      <formula>AND($B13&gt;0,AA239=0)</formula>
    </cfRule>
    <cfRule type="expression" dxfId="784" priority="24754" stopIfTrue="1">
      <formula>OR(AA239=0,$B13&lt;=0)</formula>
    </cfRule>
  </conditionalFormatting>
  <conditionalFormatting sqref="AA241:AA243">
    <cfRule type="expression" dxfId="783" priority="24776" stopIfTrue="1">
      <formula>ISERROR(AA241)</formula>
    </cfRule>
    <cfRule type="expression" dxfId="782" priority="24777" stopIfTrue="1">
      <formula>AND($B154&gt;0,AA241=0)</formula>
    </cfRule>
    <cfRule type="expression" dxfId="781" priority="24778" stopIfTrue="1">
      <formula>OR(AA241=0,$B154&lt;=0)</formula>
    </cfRule>
  </conditionalFormatting>
  <conditionalFormatting sqref="AA238 AA380 AA376">
    <cfRule type="expression" dxfId="780" priority="24788" stopIfTrue="1">
      <formula>ISERROR(AA238)</formula>
    </cfRule>
    <cfRule type="expression" dxfId="779" priority="24789" stopIfTrue="1">
      <formula>AND($B13&gt;0,AA238=0)</formula>
    </cfRule>
    <cfRule type="expression" dxfId="778" priority="24790" stopIfTrue="1">
      <formula>OR(AA238=0,$B13&lt;=0)</formula>
    </cfRule>
  </conditionalFormatting>
  <conditionalFormatting sqref="AA240:AA244">
    <cfRule type="expression" dxfId="777" priority="24812" stopIfTrue="1">
      <formula>ISERROR(AA240)</formula>
    </cfRule>
    <cfRule type="expression" dxfId="776" priority="24813" stopIfTrue="1">
      <formula>AND($B154&gt;0,AA240=0)</formula>
    </cfRule>
    <cfRule type="expression" dxfId="775" priority="24814" stopIfTrue="1">
      <formula>OR(AA240=0,$B154&lt;=0)</formula>
    </cfRule>
  </conditionalFormatting>
  <conditionalFormatting sqref="AA237 AA375 AA379">
    <cfRule type="expression" dxfId="774" priority="24824" stopIfTrue="1">
      <formula>ISERROR(AA237)</formula>
    </cfRule>
    <cfRule type="expression" dxfId="773" priority="24825" stopIfTrue="1">
      <formula>AND($B13&gt;0,AA237=0)</formula>
    </cfRule>
    <cfRule type="expression" dxfId="772" priority="24826" stopIfTrue="1">
      <formula>OR(AA237=0,$B13&lt;=0)</formula>
    </cfRule>
  </conditionalFormatting>
  <conditionalFormatting sqref="AA239:AA247">
    <cfRule type="expression" dxfId="771" priority="24848" stopIfTrue="1">
      <formula>ISERROR(AA239)</formula>
    </cfRule>
    <cfRule type="expression" dxfId="770" priority="24849" stopIfTrue="1">
      <formula>AND($B154&gt;0,AA239=0)</formula>
    </cfRule>
    <cfRule type="expression" dxfId="769" priority="24850" stopIfTrue="1">
      <formula>OR(AA239=0,$B154&lt;=0)</formula>
    </cfRule>
  </conditionalFormatting>
  <conditionalFormatting sqref="AA236 AA378 AA374">
    <cfRule type="expression" dxfId="768" priority="24860" stopIfTrue="1">
      <formula>ISERROR(AA236)</formula>
    </cfRule>
    <cfRule type="expression" dxfId="767" priority="24861" stopIfTrue="1">
      <formula>AND($B13&gt;0,AA236=0)</formula>
    </cfRule>
    <cfRule type="expression" dxfId="766" priority="24862" stopIfTrue="1">
      <formula>OR(AA236=0,$B13&lt;=0)</formula>
    </cfRule>
  </conditionalFormatting>
  <conditionalFormatting sqref="AA238">
    <cfRule type="expression" dxfId="765" priority="24884" stopIfTrue="1">
      <formula>ISERROR(AA238)</formula>
    </cfRule>
    <cfRule type="expression" dxfId="764" priority="24885" stopIfTrue="1">
      <formula>AND($B154&gt;0,AA238=0)</formula>
    </cfRule>
    <cfRule type="expression" dxfId="763" priority="24886" stopIfTrue="1">
      <formula>OR(AA238=0,$B154&lt;=0)</formula>
    </cfRule>
  </conditionalFormatting>
  <conditionalFormatting sqref="AA235 AA373 AA377">
    <cfRule type="expression" dxfId="762" priority="24896" stopIfTrue="1">
      <formula>ISERROR(AA235)</formula>
    </cfRule>
    <cfRule type="expression" dxfId="761" priority="24897" stopIfTrue="1">
      <formula>AND($B13&gt;0,AA235=0)</formula>
    </cfRule>
    <cfRule type="expression" dxfId="760" priority="24898" stopIfTrue="1">
      <formula>OR(AA235=0,$B13&lt;=0)</formula>
    </cfRule>
  </conditionalFormatting>
  <conditionalFormatting sqref="AA237">
    <cfRule type="expression" dxfId="759" priority="24920" stopIfTrue="1">
      <formula>ISERROR(AA237)</formula>
    </cfRule>
    <cfRule type="expression" dxfId="758" priority="24921" stopIfTrue="1">
      <formula>AND($B154&gt;0,AA237=0)</formula>
    </cfRule>
    <cfRule type="expression" dxfId="757" priority="24922" stopIfTrue="1">
      <formula>OR(AA237=0,$B154&lt;=0)</formula>
    </cfRule>
  </conditionalFormatting>
  <conditionalFormatting sqref="AA234 AA376 AA372">
    <cfRule type="expression" dxfId="756" priority="24932" stopIfTrue="1">
      <formula>ISERROR(AA234)</formula>
    </cfRule>
    <cfRule type="expression" dxfId="755" priority="24933" stopIfTrue="1">
      <formula>AND($B13&gt;0,AA234=0)</formula>
    </cfRule>
    <cfRule type="expression" dxfId="754" priority="24934" stopIfTrue="1">
      <formula>OR(AA234=0,$B13&lt;=0)</formula>
    </cfRule>
  </conditionalFormatting>
  <conditionalFormatting sqref="AA236">
    <cfRule type="expression" dxfId="753" priority="24956" stopIfTrue="1">
      <formula>ISERROR(AA236)</formula>
    </cfRule>
    <cfRule type="expression" dxfId="752" priority="24957" stopIfTrue="1">
      <formula>AND($B154&gt;0,AA236=0)</formula>
    </cfRule>
    <cfRule type="expression" dxfId="751" priority="24958" stopIfTrue="1">
      <formula>OR(AA236=0,$B154&lt;=0)</formula>
    </cfRule>
  </conditionalFormatting>
  <conditionalFormatting sqref="AA233 AA371 AA375">
    <cfRule type="expression" dxfId="750" priority="24968" stopIfTrue="1">
      <formula>ISERROR(AA233)</formula>
    </cfRule>
    <cfRule type="expression" dxfId="749" priority="24969" stopIfTrue="1">
      <formula>AND($B13&gt;0,AA233=0)</formula>
    </cfRule>
    <cfRule type="expression" dxfId="748" priority="24970" stopIfTrue="1">
      <formula>OR(AA233=0,$B13&lt;=0)</formula>
    </cfRule>
  </conditionalFormatting>
  <conditionalFormatting sqref="AA235">
    <cfRule type="expression" dxfId="747" priority="24992" stopIfTrue="1">
      <formula>ISERROR(AA235)</formula>
    </cfRule>
    <cfRule type="expression" dxfId="746" priority="24993" stopIfTrue="1">
      <formula>AND($B154&gt;0,AA235=0)</formula>
    </cfRule>
    <cfRule type="expression" dxfId="745" priority="24994" stopIfTrue="1">
      <formula>OR(AA235=0,$B154&lt;=0)</formula>
    </cfRule>
  </conditionalFormatting>
  <conditionalFormatting sqref="AA232 AA374 AA370">
    <cfRule type="expression" dxfId="744" priority="25004" stopIfTrue="1">
      <formula>ISERROR(AA232)</formula>
    </cfRule>
    <cfRule type="expression" dxfId="743" priority="25005" stopIfTrue="1">
      <formula>AND($B13&gt;0,AA232=0)</formula>
    </cfRule>
    <cfRule type="expression" dxfId="742" priority="25006" stopIfTrue="1">
      <formula>OR(AA232=0,$B13&lt;=0)</formula>
    </cfRule>
  </conditionalFormatting>
  <conditionalFormatting sqref="AA234">
    <cfRule type="expression" dxfId="741" priority="25028" stopIfTrue="1">
      <formula>ISERROR(AA234)</formula>
    </cfRule>
    <cfRule type="expression" dxfId="740" priority="25029" stopIfTrue="1">
      <formula>AND($B154&gt;0,AA234=0)</formula>
    </cfRule>
    <cfRule type="expression" dxfId="739" priority="25030" stopIfTrue="1">
      <formula>OR(AA234=0,$B154&lt;=0)</formula>
    </cfRule>
  </conditionalFormatting>
  <conditionalFormatting sqref="AA231 AA369 AA373">
    <cfRule type="expression" dxfId="738" priority="25040" stopIfTrue="1">
      <formula>ISERROR(AA231)</formula>
    </cfRule>
    <cfRule type="expression" dxfId="737" priority="25041" stopIfTrue="1">
      <formula>AND($B13&gt;0,AA231=0)</formula>
    </cfRule>
    <cfRule type="expression" dxfId="736" priority="25042" stopIfTrue="1">
      <formula>OR(AA231=0,$B13&lt;=0)</formula>
    </cfRule>
  </conditionalFormatting>
  <conditionalFormatting sqref="AA233">
    <cfRule type="expression" dxfId="735" priority="25064" stopIfTrue="1">
      <formula>ISERROR(AA233)</formula>
    </cfRule>
    <cfRule type="expression" dxfId="734" priority="25065" stopIfTrue="1">
      <formula>AND($B154&gt;0,AA233=0)</formula>
    </cfRule>
    <cfRule type="expression" dxfId="733" priority="25066" stopIfTrue="1">
      <formula>OR(AA233=0,$B154&lt;=0)</formula>
    </cfRule>
  </conditionalFormatting>
  <conditionalFormatting sqref="AA230 AA372 AA368">
    <cfRule type="expression" dxfId="732" priority="25076" stopIfTrue="1">
      <formula>ISERROR(AA230)</formula>
    </cfRule>
    <cfRule type="expression" dxfId="731" priority="25077" stopIfTrue="1">
      <formula>AND($B13&gt;0,AA230=0)</formula>
    </cfRule>
    <cfRule type="expression" dxfId="730" priority="25078" stopIfTrue="1">
      <formula>OR(AA230=0,$B13&lt;=0)</formula>
    </cfRule>
  </conditionalFormatting>
  <conditionalFormatting sqref="AA232">
    <cfRule type="expression" dxfId="729" priority="25100" stopIfTrue="1">
      <formula>ISERROR(AA232)</formula>
    </cfRule>
    <cfRule type="expression" dxfId="728" priority="25101" stopIfTrue="1">
      <formula>AND($B154&gt;0,AA232=0)</formula>
    </cfRule>
    <cfRule type="expression" dxfId="727" priority="25102" stopIfTrue="1">
      <formula>OR(AA232=0,$B154&lt;=0)</formula>
    </cfRule>
  </conditionalFormatting>
  <conditionalFormatting sqref="AA229 AA367 AA371">
    <cfRule type="expression" dxfId="726" priority="25112" stopIfTrue="1">
      <formula>ISERROR(AA229)</formula>
    </cfRule>
    <cfRule type="expression" dxfId="725" priority="25113" stopIfTrue="1">
      <formula>AND($B13&gt;0,AA229=0)</formula>
    </cfRule>
    <cfRule type="expression" dxfId="724" priority="25114" stopIfTrue="1">
      <formula>OR(AA229=0,$B13&lt;=0)</formula>
    </cfRule>
  </conditionalFormatting>
  <conditionalFormatting sqref="AA231">
    <cfRule type="expression" dxfId="723" priority="25136" stopIfTrue="1">
      <formula>ISERROR(AA231)</formula>
    </cfRule>
    <cfRule type="expression" dxfId="722" priority="25137" stopIfTrue="1">
      <formula>AND($B154&gt;0,AA231=0)</formula>
    </cfRule>
    <cfRule type="expression" dxfId="721" priority="25138" stopIfTrue="1">
      <formula>OR(AA231=0,$B154&lt;=0)</formula>
    </cfRule>
  </conditionalFormatting>
  <conditionalFormatting sqref="AA228 AA370 AA366">
    <cfRule type="expression" dxfId="720" priority="25148" stopIfTrue="1">
      <formula>ISERROR(AA228)</formula>
    </cfRule>
    <cfRule type="expression" dxfId="719" priority="25149" stopIfTrue="1">
      <formula>AND($B13&gt;0,AA228=0)</formula>
    </cfRule>
    <cfRule type="expression" dxfId="718" priority="25150" stopIfTrue="1">
      <formula>OR(AA228=0,$B13&lt;=0)</formula>
    </cfRule>
  </conditionalFormatting>
  <conditionalFormatting sqref="AA230">
    <cfRule type="expression" dxfId="717" priority="25172" stopIfTrue="1">
      <formula>ISERROR(AA230)</formula>
    </cfRule>
    <cfRule type="expression" dxfId="716" priority="25173" stopIfTrue="1">
      <formula>AND($B154&gt;0,AA230=0)</formula>
    </cfRule>
    <cfRule type="expression" dxfId="715" priority="25174" stopIfTrue="1">
      <formula>OR(AA230=0,$B154&lt;=0)</formula>
    </cfRule>
  </conditionalFormatting>
  <conditionalFormatting sqref="AA227 AA365 AA369">
    <cfRule type="expression" dxfId="714" priority="25184" stopIfTrue="1">
      <formula>ISERROR(AA227)</formula>
    </cfRule>
    <cfRule type="expression" dxfId="713" priority="25185" stopIfTrue="1">
      <formula>AND($B13&gt;0,AA227=0)</formula>
    </cfRule>
    <cfRule type="expression" dxfId="712" priority="25186" stopIfTrue="1">
      <formula>OR(AA227=0,$B13&lt;=0)</formula>
    </cfRule>
  </conditionalFormatting>
  <conditionalFormatting sqref="AA229">
    <cfRule type="expression" dxfId="711" priority="25208" stopIfTrue="1">
      <formula>ISERROR(AA229)</formula>
    </cfRule>
    <cfRule type="expression" dxfId="710" priority="25209" stopIfTrue="1">
      <formula>AND($B154&gt;0,AA229=0)</formula>
    </cfRule>
    <cfRule type="expression" dxfId="709" priority="25210" stopIfTrue="1">
      <formula>OR(AA229=0,$B154&lt;=0)</formula>
    </cfRule>
  </conditionalFormatting>
  <conditionalFormatting sqref="AA226 AA368 AA364">
    <cfRule type="expression" dxfId="708" priority="25220" stopIfTrue="1">
      <formula>ISERROR(AA226)</formula>
    </cfRule>
    <cfRule type="expression" dxfId="707" priority="25221" stopIfTrue="1">
      <formula>AND($B13&gt;0,AA226=0)</formula>
    </cfRule>
    <cfRule type="expression" dxfId="706" priority="25222" stopIfTrue="1">
      <formula>OR(AA226=0,$B13&lt;=0)</formula>
    </cfRule>
  </conditionalFormatting>
  <conditionalFormatting sqref="AA228">
    <cfRule type="expression" dxfId="705" priority="25244" stopIfTrue="1">
      <formula>ISERROR(AA228)</formula>
    </cfRule>
    <cfRule type="expression" dxfId="704" priority="25245" stopIfTrue="1">
      <formula>AND($B154&gt;0,AA228=0)</formula>
    </cfRule>
    <cfRule type="expression" dxfId="703" priority="25246" stopIfTrue="1">
      <formula>OR(AA228=0,$B154&lt;=0)</formula>
    </cfRule>
  </conditionalFormatting>
  <conditionalFormatting sqref="AA225 AA363 AA367">
    <cfRule type="expression" dxfId="702" priority="25256" stopIfTrue="1">
      <formula>ISERROR(AA225)</formula>
    </cfRule>
    <cfRule type="expression" dxfId="701" priority="25257" stopIfTrue="1">
      <formula>AND($B13&gt;0,AA225=0)</formula>
    </cfRule>
    <cfRule type="expression" dxfId="700" priority="25258" stopIfTrue="1">
      <formula>OR(AA225=0,$B13&lt;=0)</formula>
    </cfRule>
  </conditionalFormatting>
  <conditionalFormatting sqref="AA227">
    <cfRule type="expression" dxfId="699" priority="25280" stopIfTrue="1">
      <formula>ISERROR(AA227)</formula>
    </cfRule>
    <cfRule type="expression" dxfId="698" priority="25281" stopIfTrue="1">
      <formula>AND($B154&gt;0,AA227=0)</formula>
    </cfRule>
    <cfRule type="expression" dxfId="697" priority="25282" stopIfTrue="1">
      <formula>OR(AA227=0,$B154&lt;=0)</formula>
    </cfRule>
  </conditionalFormatting>
  <conditionalFormatting sqref="AA224 AA366 AA362">
    <cfRule type="expression" dxfId="696" priority="25292" stopIfTrue="1">
      <formula>ISERROR(AA224)</formula>
    </cfRule>
    <cfRule type="expression" dxfId="695" priority="25293" stopIfTrue="1">
      <formula>AND($B13&gt;0,AA224=0)</formula>
    </cfRule>
    <cfRule type="expression" dxfId="694" priority="25294" stopIfTrue="1">
      <formula>OR(AA224=0,$B13&lt;=0)</formula>
    </cfRule>
  </conditionalFormatting>
  <conditionalFormatting sqref="AA226">
    <cfRule type="expression" dxfId="693" priority="25316" stopIfTrue="1">
      <formula>ISERROR(AA226)</formula>
    </cfRule>
    <cfRule type="expression" dxfId="692" priority="25317" stopIfTrue="1">
      <formula>AND($B154&gt;0,AA226=0)</formula>
    </cfRule>
    <cfRule type="expression" dxfId="691" priority="25318" stopIfTrue="1">
      <formula>OR(AA226=0,$B154&lt;=0)</formula>
    </cfRule>
  </conditionalFormatting>
  <conditionalFormatting sqref="AA223 AA361 AA365">
    <cfRule type="expression" dxfId="690" priority="25328" stopIfTrue="1">
      <formula>ISERROR(AA223)</formula>
    </cfRule>
    <cfRule type="expression" dxfId="689" priority="25329" stopIfTrue="1">
      <formula>AND($B13&gt;0,AA223=0)</formula>
    </cfRule>
    <cfRule type="expression" dxfId="688" priority="25330" stopIfTrue="1">
      <formula>OR(AA223=0,$B13&lt;=0)</formula>
    </cfRule>
  </conditionalFormatting>
  <conditionalFormatting sqref="AA225">
    <cfRule type="expression" dxfId="687" priority="25352" stopIfTrue="1">
      <formula>ISERROR(AA225)</formula>
    </cfRule>
    <cfRule type="expression" dxfId="686" priority="25353" stopIfTrue="1">
      <formula>AND($B154&gt;0,AA225=0)</formula>
    </cfRule>
    <cfRule type="expression" dxfId="685" priority="25354" stopIfTrue="1">
      <formula>OR(AA225=0,$B154&lt;=0)</formula>
    </cfRule>
  </conditionalFormatting>
  <conditionalFormatting sqref="AA222 AA364 AA360">
    <cfRule type="expression" dxfId="684" priority="25364" stopIfTrue="1">
      <formula>ISERROR(AA222)</formula>
    </cfRule>
    <cfRule type="expression" dxfId="683" priority="25365" stopIfTrue="1">
      <formula>AND($B13&gt;0,AA222=0)</formula>
    </cfRule>
    <cfRule type="expression" dxfId="682" priority="25366" stopIfTrue="1">
      <formula>OR(AA222=0,$B13&lt;=0)</formula>
    </cfRule>
  </conditionalFormatting>
  <conditionalFormatting sqref="AA224">
    <cfRule type="expression" dxfId="681" priority="25388" stopIfTrue="1">
      <formula>ISERROR(AA224)</formula>
    </cfRule>
    <cfRule type="expression" dxfId="680" priority="25389" stopIfTrue="1">
      <formula>AND($B154&gt;0,AA224=0)</formula>
    </cfRule>
    <cfRule type="expression" dxfId="679" priority="25390" stopIfTrue="1">
      <formula>OR(AA224=0,$B154&lt;=0)</formula>
    </cfRule>
  </conditionalFormatting>
  <conditionalFormatting sqref="AA221 AA359 AA363">
    <cfRule type="expression" dxfId="678" priority="25400" stopIfTrue="1">
      <formula>ISERROR(AA221)</formula>
    </cfRule>
    <cfRule type="expression" dxfId="677" priority="25401" stopIfTrue="1">
      <formula>AND($B13&gt;0,AA221=0)</formula>
    </cfRule>
    <cfRule type="expression" dxfId="676" priority="25402" stopIfTrue="1">
      <formula>OR(AA221=0,$B13&lt;=0)</formula>
    </cfRule>
  </conditionalFormatting>
  <conditionalFormatting sqref="AA223">
    <cfRule type="expression" dxfId="675" priority="25424" stopIfTrue="1">
      <formula>ISERROR(AA223)</formula>
    </cfRule>
    <cfRule type="expression" dxfId="674" priority="25425" stopIfTrue="1">
      <formula>AND($B154&gt;0,AA223=0)</formula>
    </cfRule>
    <cfRule type="expression" dxfId="673" priority="25426" stopIfTrue="1">
      <formula>OR(AA223=0,$B154&lt;=0)</formula>
    </cfRule>
  </conditionalFormatting>
  <conditionalFormatting sqref="AA220 AA362 AA358">
    <cfRule type="expression" dxfId="672" priority="25436" stopIfTrue="1">
      <formula>ISERROR(AA220)</formula>
    </cfRule>
    <cfRule type="expression" dxfId="671" priority="25437" stopIfTrue="1">
      <formula>AND($B13&gt;0,AA220=0)</formula>
    </cfRule>
    <cfRule type="expression" dxfId="670" priority="25438" stopIfTrue="1">
      <formula>OR(AA220=0,$B13&lt;=0)</formula>
    </cfRule>
  </conditionalFormatting>
  <conditionalFormatting sqref="AA222">
    <cfRule type="expression" dxfId="669" priority="25460" stopIfTrue="1">
      <formula>ISERROR(AA222)</formula>
    </cfRule>
    <cfRule type="expression" dxfId="668" priority="25461" stopIfTrue="1">
      <formula>AND($B154&gt;0,AA222=0)</formula>
    </cfRule>
    <cfRule type="expression" dxfId="667" priority="25462" stopIfTrue="1">
      <formula>OR(AA222=0,$B154&lt;=0)</formula>
    </cfRule>
  </conditionalFormatting>
  <conditionalFormatting sqref="AA219 AA357 AA361">
    <cfRule type="expression" dxfId="666" priority="25472" stopIfTrue="1">
      <formula>ISERROR(AA219)</formula>
    </cfRule>
    <cfRule type="expression" dxfId="665" priority="25473" stopIfTrue="1">
      <formula>AND($B13&gt;0,AA219=0)</formula>
    </cfRule>
    <cfRule type="expression" dxfId="664" priority="25474" stopIfTrue="1">
      <formula>OR(AA219=0,$B13&lt;=0)</formula>
    </cfRule>
  </conditionalFormatting>
  <conditionalFormatting sqref="AA221">
    <cfRule type="expression" dxfId="663" priority="25496" stopIfTrue="1">
      <formula>ISERROR(AA221)</formula>
    </cfRule>
    <cfRule type="expression" dxfId="662" priority="25497" stopIfTrue="1">
      <formula>AND($B154&gt;0,AA221=0)</formula>
    </cfRule>
    <cfRule type="expression" dxfId="661" priority="25498" stopIfTrue="1">
      <formula>OR(AA221=0,$B154&lt;=0)</formula>
    </cfRule>
  </conditionalFormatting>
  <conditionalFormatting sqref="AA218 AA360 AA356">
    <cfRule type="expression" dxfId="660" priority="25508" stopIfTrue="1">
      <formula>ISERROR(AA218)</formula>
    </cfRule>
    <cfRule type="expression" dxfId="659" priority="25509" stopIfTrue="1">
      <formula>AND($B13&gt;0,AA218=0)</formula>
    </cfRule>
    <cfRule type="expression" dxfId="658" priority="25510" stopIfTrue="1">
      <formula>OR(AA218=0,$B13&lt;=0)</formula>
    </cfRule>
  </conditionalFormatting>
  <conditionalFormatting sqref="AA220">
    <cfRule type="expression" dxfId="657" priority="25532" stopIfTrue="1">
      <formula>ISERROR(AA220)</formula>
    </cfRule>
    <cfRule type="expression" dxfId="656" priority="25533" stopIfTrue="1">
      <formula>AND($B154&gt;0,AA220=0)</formula>
    </cfRule>
    <cfRule type="expression" dxfId="655" priority="25534" stopIfTrue="1">
      <formula>OR(AA220=0,$B154&lt;=0)</formula>
    </cfRule>
  </conditionalFormatting>
  <conditionalFormatting sqref="AA217 AA355 AA359">
    <cfRule type="expression" dxfId="654" priority="25544" stopIfTrue="1">
      <formula>ISERROR(AA217)</formula>
    </cfRule>
    <cfRule type="expression" dxfId="653" priority="25545" stopIfTrue="1">
      <formula>AND($B13&gt;0,AA217=0)</formula>
    </cfRule>
    <cfRule type="expression" dxfId="652" priority="25546" stopIfTrue="1">
      <formula>OR(AA217=0,$B13&lt;=0)</formula>
    </cfRule>
  </conditionalFormatting>
  <conditionalFormatting sqref="AA219">
    <cfRule type="expression" dxfId="651" priority="25568" stopIfTrue="1">
      <formula>ISERROR(AA219)</formula>
    </cfRule>
    <cfRule type="expression" dxfId="650" priority="25569" stopIfTrue="1">
      <formula>AND($B154&gt;0,AA219=0)</formula>
    </cfRule>
    <cfRule type="expression" dxfId="649" priority="25570" stopIfTrue="1">
      <formula>OR(AA219=0,$B154&lt;=0)</formula>
    </cfRule>
  </conditionalFormatting>
  <conditionalFormatting sqref="AA216 AA358 AA354">
    <cfRule type="expression" dxfId="648" priority="25580" stopIfTrue="1">
      <formula>ISERROR(AA216)</formula>
    </cfRule>
    <cfRule type="expression" dxfId="647" priority="25581" stopIfTrue="1">
      <formula>AND($B13&gt;0,AA216=0)</formula>
    </cfRule>
    <cfRule type="expression" dxfId="646" priority="25582" stopIfTrue="1">
      <formula>OR(AA216=0,$B13&lt;=0)</formula>
    </cfRule>
  </conditionalFormatting>
  <conditionalFormatting sqref="AA218">
    <cfRule type="expression" dxfId="645" priority="25604" stopIfTrue="1">
      <formula>ISERROR(AA218)</formula>
    </cfRule>
    <cfRule type="expression" dxfId="644" priority="25605" stopIfTrue="1">
      <formula>AND($B154&gt;0,AA218=0)</formula>
    </cfRule>
    <cfRule type="expression" dxfId="643" priority="25606" stopIfTrue="1">
      <formula>OR(AA218=0,$B154&lt;=0)</formula>
    </cfRule>
  </conditionalFormatting>
  <conditionalFormatting sqref="AA215 AA353 AA357">
    <cfRule type="expression" dxfId="642" priority="25616" stopIfTrue="1">
      <formula>ISERROR(AA215)</formula>
    </cfRule>
    <cfRule type="expression" dxfId="641" priority="25617" stopIfTrue="1">
      <formula>AND($B13&gt;0,AA215=0)</formula>
    </cfRule>
    <cfRule type="expression" dxfId="640" priority="25618" stopIfTrue="1">
      <formula>OR(AA215=0,$B13&lt;=0)</formula>
    </cfRule>
  </conditionalFormatting>
  <conditionalFormatting sqref="AA217">
    <cfRule type="expression" dxfId="639" priority="25640" stopIfTrue="1">
      <formula>ISERROR(AA217)</formula>
    </cfRule>
    <cfRule type="expression" dxfId="638" priority="25641" stopIfTrue="1">
      <formula>AND($B154&gt;0,AA217=0)</formula>
    </cfRule>
    <cfRule type="expression" dxfId="637" priority="25642" stopIfTrue="1">
      <formula>OR(AA217=0,$B154&lt;=0)</formula>
    </cfRule>
  </conditionalFormatting>
  <conditionalFormatting sqref="AA214 AA356 AA352">
    <cfRule type="expression" dxfId="636" priority="25652" stopIfTrue="1">
      <formula>ISERROR(AA214)</formula>
    </cfRule>
    <cfRule type="expression" dxfId="635" priority="25653" stopIfTrue="1">
      <formula>AND($B13&gt;0,AA214=0)</formula>
    </cfRule>
    <cfRule type="expression" dxfId="634" priority="25654" stopIfTrue="1">
      <formula>OR(AA214=0,$B13&lt;=0)</formula>
    </cfRule>
  </conditionalFormatting>
  <conditionalFormatting sqref="AA216">
    <cfRule type="expression" dxfId="633" priority="25676" stopIfTrue="1">
      <formula>ISERROR(AA216)</formula>
    </cfRule>
    <cfRule type="expression" dxfId="632" priority="25677" stopIfTrue="1">
      <formula>AND($B154&gt;0,AA216=0)</formula>
    </cfRule>
    <cfRule type="expression" dxfId="631" priority="25678" stopIfTrue="1">
      <formula>OR(AA216=0,$B154&lt;=0)</formula>
    </cfRule>
  </conditionalFormatting>
  <conditionalFormatting sqref="AA213 AA351 AA355">
    <cfRule type="expression" dxfId="630" priority="25688" stopIfTrue="1">
      <formula>ISERROR(AA213)</formula>
    </cfRule>
    <cfRule type="expression" dxfId="629" priority="25689" stopIfTrue="1">
      <formula>AND($B13&gt;0,AA213=0)</formula>
    </cfRule>
    <cfRule type="expression" dxfId="628" priority="25690" stopIfTrue="1">
      <formula>OR(AA213=0,$B13&lt;=0)</formula>
    </cfRule>
  </conditionalFormatting>
  <conditionalFormatting sqref="AA215">
    <cfRule type="expression" dxfId="627" priority="25712" stopIfTrue="1">
      <formula>ISERROR(AA215)</formula>
    </cfRule>
    <cfRule type="expression" dxfId="626" priority="25713" stopIfTrue="1">
      <formula>AND($B154&gt;0,AA215=0)</formula>
    </cfRule>
    <cfRule type="expression" dxfId="625" priority="25714" stopIfTrue="1">
      <formula>OR(AA215=0,$B154&lt;=0)</formula>
    </cfRule>
  </conditionalFormatting>
  <conditionalFormatting sqref="AA212 AA354 AA350">
    <cfRule type="expression" dxfId="624" priority="25724" stopIfTrue="1">
      <formula>ISERROR(AA212)</formula>
    </cfRule>
    <cfRule type="expression" dxfId="623" priority="25725" stopIfTrue="1">
      <formula>AND($B13&gt;0,AA212=0)</formula>
    </cfRule>
    <cfRule type="expression" dxfId="622" priority="25726" stopIfTrue="1">
      <formula>OR(AA212=0,$B13&lt;=0)</formula>
    </cfRule>
  </conditionalFormatting>
  <conditionalFormatting sqref="AA214">
    <cfRule type="expression" dxfId="621" priority="25748" stopIfTrue="1">
      <formula>ISERROR(AA214)</formula>
    </cfRule>
    <cfRule type="expression" dxfId="620" priority="25749" stopIfTrue="1">
      <formula>AND($B154&gt;0,AA214=0)</formula>
    </cfRule>
    <cfRule type="expression" dxfId="619" priority="25750" stopIfTrue="1">
      <formula>OR(AA214=0,$B154&lt;=0)</formula>
    </cfRule>
  </conditionalFormatting>
  <conditionalFormatting sqref="AA211 AA349 AA353">
    <cfRule type="expression" dxfId="618" priority="25760" stopIfTrue="1">
      <formula>ISERROR(AA211)</formula>
    </cfRule>
    <cfRule type="expression" dxfId="617" priority="25761" stopIfTrue="1">
      <formula>AND($B13&gt;0,AA211=0)</formula>
    </cfRule>
    <cfRule type="expression" dxfId="616" priority="25762" stopIfTrue="1">
      <formula>OR(AA211=0,$B13&lt;=0)</formula>
    </cfRule>
  </conditionalFormatting>
  <conditionalFormatting sqref="AA213">
    <cfRule type="expression" dxfId="615" priority="25784" stopIfTrue="1">
      <formula>ISERROR(AA213)</formula>
    </cfRule>
    <cfRule type="expression" dxfId="614" priority="25785" stopIfTrue="1">
      <formula>AND($B154&gt;0,AA213=0)</formula>
    </cfRule>
    <cfRule type="expression" dxfId="613" priority="25786" stopIfTrue="1">
      <formula>OR(AA213=0,$B154&lt;=0)</formula>
    </cfRule>
  </conditionalFormatting>
  <conditionalFormatting sqref="AA210 AA352 AA348">
    <cfRule type="expression" dxfId="612" priority="25796" stopIfTrue="1">
      <formula>ISERROR(AA210)</formula>
    </cfRule>
    <cfRule type="expression" dxfId="611" priority="25797" stopIfTrue="1">
      <formula>AND($B13&gt;0,AA210=0)</formula>
    </cfRule>
    <cfRule type="expression" dxfId="610" priority="25798" stopIfTrue="1">
      <formula>OR(AA210=0,$B13&lt;=0)</formula>
    </cfRule>
  </conditionalFormatting>
  <conditionalFormatting sqref="AA212">
    <cfRule type="expression" dxfId="609" priority="25820" stopIfTrue="1">
      <formula>ISERROR(AA212)</formula>
    </cfRule>
    <cfRule type="expression" dxfId="608" priority="25821" stopIfTrue="1">
      <formula>AND($B154&gt;0,AA212=0)</formula>
    </cfRule>
    <cfRule type="expression" dxfId="607" priority="25822" stopIfTrue="1">
      <formula>OR(AA212=0,$B154&lt;=0)</formula>
    </cfRule>
  </conditionalFormatting>
  <conditionalFormatting sqref="AA209 AA347 AA351">
    <cfRule type="expression" dxfId="606" priority="25832" stopIfTrue="1">
      <formula>ISERROR(AA209)</formula>
    </cfRule>
    <cfRule type="expression" dxfId="605" priority="25833" stopIfTrue="1">
      <formula>AND($B13&gt;0,AA209=0)</formula>
    </cfRule>
    <cfRule type="expression" dxfId="604" priority="25834" stopIfTrue="1">
      <formula>OR(AA209=0,$B13&lt;=0)</formula>
    </cfRule>
  </conditionalFormatting>
  <conditionalFormatting sqref="AA211">
    <cfRule type="expression" dxfId="603" priority="25856" stopIfTrue="1">
      <formula>ISERROR(AA211)</formula>
    </cfRule>
    <cfRule type="expression" dxfId="602" priority="25857" stopIfTrue="1">
      <formula>AND($B154&gt;0,AA211=0)</formula>
    </cfRule>
    <cfRule type="expression" dxfId="601" priority="25858" stopIfTrue="1">
      <formula>OR(AA211=0,$B154&lt;=0)</formula>
    </cfRule>
  </conditionalFormatting>
  <conditionalFormatting sqref="AA208 AA350 AA346">
    <cfRule type="expression" dxfId="600" priority="25868" stopIfTrue="1">
      <formula>ISERROR(AA208)</formula>
    </cfRule>
    <cfRule type="expression" dxfId="599" priority="25869" stopIfTrue="1">
      <formula>AND($B13&gt;0,AA208=0)</formula>
    </cfRule>
    <cfRule type="expression" dxfId="598" priority="25870" stopIfTrue="1">
      <formula>OR(AA208=0,$B13&lt;=0)</formula>
    </cfRule>
  </conditionalFormatting>
  <conditionalFormatting sqref="AA210">
    <cfRule type="expression" dxfId="597" priority="25892" stopIfTrue="1">
      <formula>ISERROR(AA210)</formula>
    </cfRule>
    <cfRule type="expression" dxfId="596" priority="25893" stopIfTrue="1">
      <formula>AND($B154&gt;0,AA210=0)</formula>
    </cfRule>
    <cfRule type="expression" dxfId="595" priority="25894" stopIfTrue="1">
      <formula>OR(AA210=0,$B154&lt;=0)</formula>
    </cfRule>
  </conditionalFormatting>
  <conditionalFormatting sqref="AA207 AA345 AA349">
    <cfRule type="expression" dxfId="594" priority="25904" stopIfTrue="1">
      <formula>ISERROR(AA207)</formula>
    </cfRule>
    <cfRule type="expression" dxfId="593" priority="25905" stopIfTrue="1">
      <formula>AND($B13&gt;0,AA207=0)</formula>
    </cfRule>
    <cfRule type="expression" dxfId="592" priority="25906" stopIfTrue="1">
      <formula>OR(AA207=0,$B13&lt;=0)</formula>
    </cfRule>
  </conditionalFormatting>
  <conditionalFormatting sqref="AA209">
    <cfRule type="expression" dxfId="591" priority="25928" stopIfTrue="1">
      <formula>ISERROR(AA209)</formula>
    </cfRule>
    <cfRule type="expression" dxfId="590" priority="25929" stopIfTrue="1">
      <formula>AND($B154&gt;0,AA209=0)</formula>
    </cfRule>
    <cfRule type="expression" dxfId="589" priority="25930" stopIfTrue="1">
      <formula>OR(AA209=0,$B154&lt;=0)</formula>
    </cfRule>
  </conditionalFormatting>
  <conditionalFormatting sqref="AA206 AA348 AA344">
    <cfRule type="expression" dxfId="588" priority="25940" stopIfTrue="1">
      <formula>ISERROR(AA206)</formula>
    </cfRule>
    <cfRule type="expression" dxfId="587" priority="25941" stopIfTrue="1">
      <formula>AND($B13&gt;0,AA206=0)</formula>
    </cfRule>
    <cfRule type="expression" dxfId="586" priority="25942" stopIfTrue="1">
      <formula>OR(AA206=0,$B13&lt;=0)</formula>
    </cfRule>
  </conditionalFormatting>
  <conditionalFormatting sqref="AA208">
    <cfRule type="expression" dxfId="585" priority="25964" stopIfTrue="1">
      <formula>ISERROR(AA208)</formula>
    </cfRule>
    <cfRule type="expression" dxfId="584" priority="25965" stopIfTrue="1">
      <formula>AND($B154&gt;0,AA208=0)</formula>
    </cfRule>
    <cfRule type="expression" dxfId="583" priority="25966" stopIfTrue="1">
      <formula>OR(AA208=0,$B154&lt;=0)</formula>
    </cfRule>
  </conditionalFormatting>
  <conditionalFormatting sqref="AA343 AA347 AA205:AA219">
    <cfRule type="expression" dxfId="582" priority="25976" stopIfTrue="1">
      <formula>ISERROR(AA205)</formula>
    </cfRule>
    <cfRule type="expression" dxfId="581" priority="25977" stopIfTrue="1">
      <formula>AND($B13&gt;0,AA205=0)</formula>
    </cfRule>
    <cfRule type="expression" dxfId="580" priority="25978" stopIfTrue="1">
      <formula>OR(AA205=0,$B13&lt;=0)</formula>
    </cfRule>
  </conditionalFormatting>
  <conditionalFormatting sqref="AA207">
    <cfRule type="expression" dxfId="579" priority="26000" stopIfTrue="1">
      <formula>ISERROR(AA207)</formula>
    </cfRule>
    <cfRule type="expression" dxfId="578" priority="26001" stopIfTrue="1">
      <formula>AND($B154&gt;0,AA207=0)</formula>
    </cfRule>
    <cfRule type="expression" dxfId="577" priority="26002" stopIfTrue="1">
      <formula>OR(AA207=0,$B154&lt;=0)</formula>
    </cfRule>
  </conditionalFormatting>
  <conditionalFormatting sqref="AA204:AA219 AA342:AA346">
    <cfRule type="expression" dxfId="576" priority="26012" stopIfTrue="1">
      <formula>ISERROR(AA204)</formula>
    </cfRule>
    <cfRule type="expression" dxfId="575" priority="26013" stopIfTrue="1">
      <formula>AND($B13&gt;0,AA204=0)</formula>
    </cfRule>
    <cfRule type="expression" dxfId="574" priority="26014" stopIfTrue="1">
      <formula>OR(AA204=0,$B13&lt;=0)</formula>
    </cfRule>
  </conditionalFormatting>
  <conditionalFormatting sqref="AA206">
    <cfRule type="expression" dxfId="573" priority="26036" stopIfTrue="1">
      <formula>ISERROR(AA206)</formula>
    </cfRule>
    <cfRule type="expression" dxfId="572" priority="26037" stopIfTrue="1">
      <formula>AND($B154&gt;0,AA206=0)</formula>
    </cfRule>
    <cfRule type="expression" dxfId="571" priority="26038" stopIfTrue="1">
      <formula>OR(AA206=0,$B154&lt;=0)</formula>
    </cfRule>
  </conditionalFormatting>
  <conditionalFormatting sqref="AA203 AA341 AA345">
    <cfRule type="expression" dxfId="570" priority="26048" stopIfTrue="1">
      <formula>ISERROR(AA203)</formula>
    </cfRule>
    <cfRule type="expression" dxfId="569" priority="26049" stopIfTrue="1">
      <formula>AND($B13&gt;0,AA203=0)</formula>
    </cfRule>
    <cfRule type="expression" dxfId="568" priority="26050" stopIfTrue="1">
      <formula>OR(AA203=0,$B13&lt;=0)</formula>
    </cfRule>
  </conditionalFormatting>
  <conditionalFormatting sqref="AA205:AA219">
    <cfRule type="expression" dxfId="567" priority="26072" stopIfTrue="1">
      <formula>ISERROR(AA205)</formula>
    </cfRule>
    <cfRule type="expression" dxfId="566" priority="26073" stopIfTrue="1">
      <formula>AND($B154&gt;0,AA205=0)</formula>
    </cfRule>
    <cfRule type="expression" dxfId="565" priority="26074" stopIfTrue="1">
      <formula>OR(AA205=0,$B154&lt;=0)</formula>
    </cfRule>
  </conditionalFormatting>
  <conditionalFormatting sqref="AA202 AA344 AA340">
    <cfRule type="expression" dxfId="564" priority="26084" stopIfTrue="1">
      <formula>ISERROR(AA202)</formula>
    </cfRule>
    <cfRule type="expression" dxfId="563" priority="26085" stopIfTrue="1">
      <formula>AND($B13&gt;0,AA202=0)</formula>
    </cfRule>
    <cfRule type="expression" dxfId="562" priority="26086" stopIfTrue="1">
      <formula>OR(AA202=0,$B13&lt;=0)</formula>
    </cfRule>
  </conditionalFormatting>
  <conditionalFormatting sqref="AA204:AA219">
    <cfRule type="expression" dxfId="561" priority="26108" stopIfTrue="1">
      <formula>ISERROR(AA204)</formula>
    </cfRule>
    <cfRule type="expression" dxfId="560" priority="26109" stopIfTrue="1">
      <formula>AND($B154&gt;0,AA204=0)</formula>
    </cfRule>
    <cfRule type="expression" dxfId="559" priority="26110" stopIfTrue="1">
      <formula>OR(AA204=0,$B154&lt;=0)</formula>
    </cfRule>
  </conditionalFormatting>
  <conditionalFormatting sqref="AA201 AA339 AA343">
    <cfRule type="expression" dxfId="558" priority="26120" stopIfTrue="1">
      <formula>ISERROR(AA201)</formula>
    </cfRule>
    <cfRule type="expression" dxfId="557" priority="26121" stopIfTrue="1">
      <formula>AND($B13&gt;0,AA201=0)</formula>
    </cfRule>
    <cfRule type="expression" dxfId="556" priority="26122" stopIfTrue="1">
      <formula>OR(AA201=0,$B13&lt;=0)</formula>
    </cfRule>
  </conditionalFormatting>
  <conditionalFormatting sqref="AA203">
    <cfRule type="expression" dxfId="555" priority="26144" stopIfTrue="1">
      <formula>ISERROR(AA203)</formula>
    </cfRule>
    <cfRule type="expression" dxfId="554" priority="26145" stopIfTrue="1">
      <formula>AND($B154&gt;0,AA203=0)</formula>
    </cfRule>
    <cfRule type="expression" dxfId="553" priority="26146" stopIfTrue="1">
      <formula>OR(AA203=0,$B154&lt;=0)</formula>
    </cfRule>
  </conditionalFormatting>
  <conditionalFormatting sqref="AA200 AA338 AA342:AA346">
    <cfRule type="expression" dxfId="552" priority="26156" stopIfTrue="1">
      <formula>ISERROR(AA200)</formula>
    </cfRule>
    <cfRule type="expression" dxfId="551" priority="26157" stopIfTrue="1">
      <formula>AND($B13&gt;0,AA200=0)</formula>
    </cfRule>
    <cfRule type="expression" dxfId="550" priority="26158" stopIfTrue="1">
      <formula>OR(AA200=0,$B13&lt;=0)</formula>
    </cfRule>
  </conditionalFormatting>
  <conditionalFormatting sqref="AA202">
    <cfRule type="expression" dxfId="549" priority="26180" stopIfTrue="1">
      <formula>ISERROR(AA202)</formula>
    </cfRule>
    <cfRule type="expression" dxfId="548" priority="26181" stopIfTrue="1">
      <formula>AND($B154&gt;0,AA202=0)</formula>
    </cfRule>
    <cfRule type="expression" dxfId="547" priority="26182" stopIfTrue="1">
      <formula>OR(AA202=0,$B154&lt;=0)</formula>
    </cfRule>
  </conditionalFormatting>
  <conditionalFormatting sqref="AA199 AA337 AA341">
    <cfRule type="expression" dxfId="546" priority="26192" stopIfTrue="1">
      <formula>ISERROR(AA199)</formula>
    </cfRule>
    <cfRule type="expression" dxfId="545" priority="26193" stopIfTrue="1">
      <formula>AND($B13&gt;0,AA199=0)</formula>
    </cfRule>
    <cfRule type="expression" dxfId="544" priority="26194" stopIfTrue="1">
      <formula>OR(AA199=0,$B13&lt;=0)</formula>
    </cfRule>
  </conditionalFormatting>
  <conditionalFormatting sqref="AA201">
    <cfRule type="expression" dxfId="543" priority="26216" stopIfTrue="1">
      <formula>ISERROR(AA201)</formula>
    </cfRule>
    <cfRule type="expression" dxfId="542" priority="26217" stopIfTrue="1">
      <formula>AND($B154&gt;0,AA201=0)</formula>
    </cfRule>
    <cfRule type="expression" dxfId="541" priority="26218" stopIfTrue="1">
      <formula>OR(AA201=0,$B154&lt;=0)</formula>
    </cfRule>
  </conditionalFormatting>
  <conditionalFormatting sqref="AA198 AA340 AA336">
    <cfRule type="expression" dxfId="540" priority="26228" stopIfTrue="1">
      <formula>ISERROR(AA198)</formula>
    </cfRule>
    <cfRule type="expression" dxfId="539" priority="26229" stopIfTrue="1">
      <formula>AND($B13&gt;0,AA198=0)</formula>
    </cfRule>
    <cfRule type="expression" dxfId="538" priority="26230" stopIfTrue="1">
      <formula>OR(AA198=0,$B13&lt;=0)</formula>
    </cfRule>
  </conditionalFormatting>
  <conditionalFormatting sqref="AA200">
    <cfRule type="expression" dxfId="537" priority="26252" stopIfTrue="1">
      <formula>ISERROR(AA200)</formula>
    </cfRule>
    <cfRule type="expression" dxfId="536" priority="26253" stopIfTrue="1">
      <formula>AND($B154&gt;0,AA200=0)</formula>
    </cfRule>
    <cfRule type="expression" dxfId="535" priority="26254" stopIfTrue="1">
      <formula>OR(AA200=0,$B154&lt;=0)</formula>
    </cfRule>
  </conditionalFormatting>
  <conditionalFormatting sqref="AA197 AA335 AA339">
    <cfRule type="expression" dxfId="534" priority="26264" stopIfTrue="1">
      <formula>ISERROR(AA197)</formula>
    </cfRule>
    <cfRule type="expression" dxfId="533" priority="26265" stopIfTrue="1">
      <formula>AND($B13&gt;0,AA197=0)</formula>
    </cfRule>
    <cfRule type="expression" dxfId="532" priority="26266" stopIfTrue="1">
      <formula>OR(AA197=0,$B13&lt;=0)</formula>
    </cfRule>
  </conditionalFormatting>
  <conditionalFormatting sqref="AA199">
    <cfRule type="expression" dxfId="531" priority="26288" stopIfTrue="1">
      <formula>ISERROR(AA199)</formula>
    </cfRule>
    <cfRule type="expression" dxfId="530" priority="26289" stopIfTrue="1">
      <formula>AND($B154&gt;0,AA199=0)</formula>
    </cfRule>
    <cfRule type="expression" dxfId="529" priority="26290" stopIfTrue="1">
      <formula>OR(AA199=0,$B154&lt;=0)</formula>
    </cfRule>
  </conditionalFormatting>
  <conditionalFormatting sqref="AA196 AA338 AA334">
    <cfRule type="expression" dxfId="528" priority="26300" stopIfTrue="1">
      <formula>ISERROR(AA196)</formula>
    </cfRule>
    <cfRule type="expression" dxfId="527" priority="26301" stopIfTrue="1">
      <formula>AND($B13&gt;0,AA196=0)</formula>
    </cfRule>
    <cfRule type="expression" dxfId="526" priority="26302" stopIfTrue="1">
      <formula>OR(AA196=0,$B13&lt;=0)</formula>
    </cfRule>
  </conditionalFormatting>
  <conditionalFormatting sqref="AA198">
    <cfRule type="expression" dxfId="525" priority="26324" stopIfTrue="1">
      <formula>ISERROR(AA198)</formula>
    </cfRule>
    <cfRule type="expression" dxfId="524" priority="26325" stopIfTrue="1">
      <formula>AND($B154&gt;0,AA198=0)</formula>
    </cfRule>
    <cfRule type="expression" dxfId="523" priority="26326" stopIfTrue="1">
      <formula>OR(AA198=0,$B154&lt;=0)</formula>
    </cfRule>
  </conditionalFormatting>
  <conditionalFormatting sqref="AA195 AA333 AA337">
    <cfRule type="expression" dxfId="522" priority="26336" stopIfTrue="1">
      <formula>ISERROR(AA195)</formula>
    </cfRule>
    <cfRule type="expression" dxfId="521" priority="26337" stopIfTrue="1">
      <formula>AND($B13&gt;0,AA195=0)</formula>
    </cfRule>
    <cfRule type="expression" dxfId="520" priority="26338" stopIfTrue="1">
      <formula>OR(AA195=0,$B13&lt;=0)</formula>
    </cfRule>
  </conditionalFormatting>
  <conditionalFormatting sqref="AA197">
    <cfRule type="expression" dxfId="519" priority="26360" stopIfTrue="1">
      <formula>ISERROR(AA197)</formula>
    </cfRule>
    <cfRule type="expression" dxfId="518" priority="26361" stopIfTrue="1">
      <formula>AND($B154&gt;0,AA197=0)</formula>
    </cfRule>
    <cfRule type="expression" dxfId="517" priority="26362" stopIfTrue="1">
      <formula>OR(AA197=0,$B154&lt;=0)</formula>
    </cfRule>
  </conditionalFormatting>
  <conditionalFormatting sqref="AA194 AA336 AA332">
    <cfRule type="expression" dxfId="516" priority="26372" stopIfTrue="1">
      <formula>ISERROR(AA194)</formula>
    </cfRule>
    <cfRule type="expression" dxfId="515" priority="26373" stopIfTrue="1">
      <formula>AND($B13&gt;0,AA194=0)</formula>
    </cfRule>
    <cfRule type="expression" dxfId="514" priority="26374" stopIfTrue="1">
      <formula>OR(AA194=0,$B13&lt;=0)</formula>
    </cfRule>
  </conditionalFormatting>
  <conditionalFormatting sqref="AA196">
    <cfRule type="expression" dxfId="513" priority="26396" stopIfTrue="1">
      <formula>ISERROR(AA196)</formula>
    </cfRule>
    <cfRule type="expression" dxfId="512" priority="26397" stopIfTrue="1">
      <formula>AND($B154&gt;0,AA196=0)</formula>
    </cfRule>
    <cfRule type="expression" dxfId="511" priority="26398" stopIfTrue="1">
      <formula>OR(AA196=0,$B154&lt;=0)</formula>
    </cfRule>
  </conditionalFormatting>
  <conditionalFormatting sqref="AA193 AA331 AA335">
    <cfRule type="expression" dxfId="510" priority="26408" stopIfTrue="1">
      <formula>ISERROR(AA193)</formula>
    </cfRule>
    <cfRule type="expression" dxfId="509" priority="26409" stopIfTrue="1">
      <formula>AND($B13&gt;0,AA193=0)</formula>
    </cfRule>
    <cfRule type="expression" dxfId="508" priority="26410" stopIfTrue="1">
      <formula>OR(AA193=0,$B13&lt;=0)</formula>
    </cfRule>
  </conditionalFormatting>
  <conditionalFormatting sqref="AA195">
    <cfRule type="expression" dxfId="507" priority="26432" stopIfTrue="1">
      <formula>ISERROR(AA195)</formula>
    </cfRule>
    <cfRule type="expression" dxfId="506" priority="26433" stopIfTrue="1">
      <formula>AND($B154&gt;0,AA195=0)</formula>
    </cfRule>
    <cfRule type="expression" dxfId="505" priority="26434" stopIfTrue="1">
      <formula>OR(AA195=0,$B154&lt;=0)</formula>
    </cfRule>
  </conditionalFormatting>
  <conditionalFormatting sqref="AA192 AA334 AA330">
    <cfRule type="expression" dxfId="504" priority="26444" stopIfTrue="1">
      <formula>ISERROR(AA192)</formula>
    </cfRule>
    <cfRule type="expression" dxfId="503" priority="26445" stopIfTrue="1">
      <formula>AND($B13&gt;0,AA192=0)</formula>
    </cfRule>
    <cfRule type="expression" dxfId="502" priority="26446" stopIfTrue="1">
      <formula>OR(AA192=0,$B13&lt;=0)</formula>
    </cfRule>
  </conditionalFormatting>
  <conditionalFormatting sqref="AA194">
    <cfRule type="expression" dxfId="501" priority="26468" stopIfTrue="1">
      <formula>ISERROR(AA194)</formula>
    </cfRule>
    <cfRule type="expression" dxfId="500" priority="26469" stopIfTrue="1">
      <formula>AND($B154&gt;0,AA194=0)</formula>
    </cfRule>
    <cfRule type="expression" dxfId="499" priority="26470" stopIfTrue="1">
      <formula>OR(AA194=0,$B154&lt;=0)</formula>
    </cfRule>
  </conditionalFormatting>
  <conditionalFormatting sqref="AA191 AA329 AA333">
    <cfRule type="expression" dxfId="498" priority="26480" stopIfTrue="1">
      <formula>ISERROR(AA191)</formula>
    </cfRule>
    <cfRule type="expression" dxfId="497" priority="26481" stopIfTrue="1">
      <formula>AND($B13&gt;0,AA191=0)</formula>
    </cfRule>
    <cfRule type="expression" dxfId="496" priority="26482" stopIfTrue="1">
      <formula>OR(AA191=0,$B13&lt;=0)</formula>
    </cfRule>
  </conditionalFormatting>
  <conditionalFormatting sqref="AA193">
    <cfRule type="expression" dxfId="495" priority="26504" stopIfTrue="1">
      <formula>ISERROR(AA193)</formula>
    </cfRule>
    <cfRule type="expression" dxfId="494" priority="26505" stopIfTrue="1">
      <formula>AND($B154&gt;0,AA193=0)</formula>
    </cfRule>
    <cfRule type="expression" dxfId="493" priority="26506" stopIfTrue="1">
      <formula>OR(AA193=0,$B154&lt;=0)</formula>
    </cfRule>
  </conditionalFormatting>
  <conditionalFormatting sqref="AA190 AA332 AA328">
    <cfRule type="expression" dxfId="492" priority="26516" stopIfTrue="1">
      <formula>ISERROR(AA190)</formula>
    </cfRule>
    <cfRule type="expression" dxfId="491" priority="26517" stopIfTrue="1">
      <formula>AND($B13&gt;0,AA190=0)</formula>
    </cfRule>
    <cfRule type="expression" dxfId="490" priority="26518" stopIfTrue="1">
      <formula>OR(AA190=0,$B13&lt;=0)</formula>
    </cfRule>
  </conditionalFormatting>
  <conditionalFormatting sqref="AA192">
    <cfRule type="expression" dxfId="489" priority="26540" stopIfTrue="1">
      <formula>ISERROR(AA192)</formula>
    </cfRule>
    <cfRule type="expression" dxfId="488" priority="26541" stopIfTrue="1">
      <formula>AND($B154&gt;0,AA192=0)</formula>
    </cfRule>
    <cfRule type="expression" dxfId="487" priority="26542" stopIfTrue="1">
      <formula>OR(AA192=0,$B154&lt;=0)</formula>
    </cfRule>
  </conditionalFormatting>
  <conditionalFormatting sqref="AA189 AA327 AA331">
    <cfRule type="expression" dxfId="486" priority="26552" stopIfTrue="1">
      <formula>ISERROR(AA189)</formula>
    </cfRule>
    <cfRule type="expression" dxfId="485" priority="26553" stopIfTrue="1">
      <formula>AND($B13&gt;0,AA189=0)</formula>
    </cfRule>
    <cfRule type="expression" dxfId="484" priority="26554" stopIfTrue="1">
      <formula>OR(AA189=0,$B13&lt;=0)</formula>
    </cfRule>
  </conditionalFormatting>
  <conditionalFormatting sqref="AA191">
    <cfRule type="expression" dxfId="483" priority="26576" stopIfTrue="1">
      <formula>ISERROR(AA191)</formula>
    </cfRule>
    <cfRule type="expression" dxfId="482" priority="26577" stopIfTrue="1">
      <formula>AND($B154&gt;0,AA191=0)</formula>
    </cfRule>
    <cfRule type="expression" dxfId="481" priority="26578" stopIfTrue="1">
      <formula>OR(AA191=0,$B154&lt;=0)</formula>
    </cfRule>
  </conditionalFormatting>
  <conditionalFormatting sqref="AA188 AA330 AA326">
    <cfRule type="expression" dxfId="480" priority="26588" stopIfTrue="1">
      <formula>ISERROR(AA188)</formula>
    </cfRule>
    <cfRule type="expression" dxfId="479" priority="26589" stopIfTrue="1">
      <formula>AND($B13&gt;0,AA188=0)</formula>
    </cfRule>
    <cfRule type="expression" dxfId="478" priority="26590" stopIfTrue="1">
      <formula>OR(AA188=0,$B13&lt;=0)</formula>
    </cfRule>
  </conditionalFormatting>
  <conditionalFormatting sqref="AA190">
    <cfRule type="expression" dxfId="477" priority="26612" stopIfTrue="1">
      <formula>ISERROR(AA190)</formula>
    </cfRule>
    <cfRule type="expression" dxfId="476" priority="26613" stopIfTrue="1">
      <formula>AND($B154&gt;0,AA190=0)</formula>
    </cfRule>
    <cfRule type="expression" dxfId="475" priority="26614" stopIfTrue="1">
      <formula>OR(AA190=0,$B154&lt;=0)</formula>
    </cfRule>
  </conditionalFormatting>
  <conditionalFormatting sqref="AA187 AA325 AA329">
    <cfRule type="expression" dxfId="474" priority="26624" stopIfTrue="1">
      <formula>ISERROR(AA187)</formula>
    </cfRule>
    <cfRule type="expression" dxfId="473" priority="26625" stopIfTrue="1">
      <formula>AND($B13&gt;0,AA187=0)</formula>
    </cfRule>
    <cfRule type="expression" dxfId="472" priority="26626" stopIfTrue="1">
      <formula>OR(AA187=0,$B13&lt;=0)</formula>
    </cfRule>
  </conditionalFormatting>
  <conditionalFormatting sqref="AA189">
    <cfRule type="expression" dxfId="471" priority="26648" stopIfTrue="1">
      <formula>ISERROR(AA189)</formula>
    </cfRule>
    <cfRule type="expression" dxfId="470" priority="26649" stopIfTrue="1">
      <formula>AND($B154&gt;0,AA189=0)</formula>
    </cfRule>
    <cfRule type="expression" dxfId="469" priority="26650" stopIfTrue="1">
      <formula>OR(AA189=0,$B154&lt;=0)</formula>
    </cfRule>
  </conditionalFormatting>
  <conditionalFormatting sqref="AA186 AA328 AA324">
    <cfRule type="expression" dxfId="468" priority="26660" stopIfTrue="1">
      <formula>ISERROR(AA186)</formula>
    </cfRule>
    <cfRule type="expression" dxfId="467" priority="26661" stopIfTrue="1">
      <formula>AND($B13&gt;0,AA186=0)</formula>
    </cfRule>
    <cfRule type="expression" dxfId="466" priority="26662" stopIfTrue="1">
      <formula>OR(AA186=0,$B13&lt;=0)</formula>
    </cfRule>
  </conditionalFormatting>
  <conditionalFormatting sqref="AA188">
    <cfRule type="expression" dxfId="465" priority="26684" stopIfTrue="1">
      <formula>ISERROR(AA188)</formula>
    </cfRule>
    <cfRule type="expression" dxfId="464" priority="26685" stopIfTrue="1">
      <formula>AND($B154&gt;0,AA188=0)</formula>
    </cfRule>
    <cfRule type="expression" dxfId="463" priority="26686" stopIfTrue="1">
      <formula>OR(AA188=0,$B154&lt;=0)</formula>
    </cfRule>
  </conditionalFormatting>
  <conditionalFormatting sqref="AA185 AA323 AA327">
    <cfRule type="expression" dxfId="462" priority="26696" stopIfTrue="1">
      <formula>ISERROR(AA185)</formula>
    </cfRule>
    <cfRule type="expression" dxfId="461" priority="26697" stopIfTrue="1">
      <formula>AND($B13&gt;0,AA185=0)</formula>
    </cfRule>
    <cfRule type="expression" dxfId="460" priority="26698" stopIfTrue="1">
      <formula>OR(AA185=0,$B13&lt;=0)</formula>
    </cfRule>
  </conditionalFormatting>
  <conditionalFormatting sqref="AA187">
    <cfRule type="expression" dxfId="459" priority="26720" stopIfTrue="1">
      <formula>ISERROR(AA187)</formula>
    </cfRule>
    <cfRule type="expression" dxfId="458" priority="26721" stopIfTrue="1">
      <formula>AND($B154&gt;0,AA187=0)</formula>
    </cfRule>
    <cfRule type="expression" dxfId="457" priority="26722" stopIfTrue="1">
      <formula>OR(AA187=0,$B154&lt;=0)</formula>
    </cfRule>
  </conditionalFormatting>
  <conditionalFormatting sqref="AA184 AA326 AA322">
    <cfRule type="expression" dxfId="456" priority="26732" stopIfTrue="1">
      <formula>ISERROR(AA184)</formula>
    </cfRule>
    <cfRule type="expression" dxfId="455" priority="26733" stopIfTrue="1">
      <formula>AND($B13&gt;0,AA184=0)</formula>
    </cfRule>
    <cfRule type="expression" dxfId="454" priority="26734" stopIfTrue="1">
      <formula>OR(AA184=0,$B13&lt;=0)</formula>
    </cfRule>
  </conditionalFormatting>
  <conditionalFormatting sqref="AA186">
    <cfRule type="expression" dxfId="453" priority="26756" stopIfTrue="1">
      <formula>ISERROR(AA186)</formula>
    </cfRule>
    <cfRule type="expression" dxfId="452" priority="26757" stopIfTrue="1">
      <formula>AND($B154&gt;0,AA186=0)</formula>
    </cfRule>
    <cfRule type="expression" dxfId="451" priority="26758" stopIfTrue="1">
      <formula>OR(AA186=0,$B154&lt;=0)</formula>
    </cfRule>
  </conditionalFormatting>
  <conditionalFormatting sqref="AA183 AA321 AA325">
    <cfRule type="expression" dxfId="450" priority="26768" stopIfTrue="1">
      <formula>ISERROR(AA183)</formula>
    </cfRule>
    <cfRule type="expression" dxfId="449" priority="26769" stopIfTrue="1">
      <formula>AND($B13&gt;0,AA183=0)</formula>
    </cfRule>
    <cfRule type="expression" dxfId="448" priority="26770" stopIfTrue="1">
      <formula>OR(AA183=0,$B13&lt;=0)</formula>
    </cfRule>
  </conditionalFormatting>
  <conditionalFormatting sqref="AA185">
    <cfRule type="expression" dxfId="447" priority="26792" stopIfTrue="1">
      <formula>ISERROR(AA185)</formula>
    </cfRule>
    <cfRule type="expression" dxfId="446" priority="26793" stopIfTrue="1">
      <formula>AND($B154&gt;0,AA185=0)</formula>
    </cfRule>
    <cfRule type="expression" dxfId="445" priority="26794" stopIfTrue="1">
      <formula>OR(AA185=0,$B154&lt;=0)</formula>
    </cfRule>
  </conditionalFormatting>
  <conditionalFormatting sqref="AA182 AA324 AA320">
    <cfRule type="expression" dxfId="444" priority="26804" stopIfTrue="1">
      <formula>ISERROR(AA182)</formula>
    </cfRule>
    <cfRule type="expression" dxfId="443" priority="26805" stopIfTrue="1">
      <formula>AND($B13&gt;0,AA182=0)</formula>
    </cfRule>
    <cfRule type="expression" dxfId="442" priority="26806" stopIfTrue="1">
      <formula>OR(AA182=0,$B13&lt;=0)</formula>
    </cfRule>
  </conditionalFormatting>
  <conditionalFormatting sqref="AA184">
    <cfRule type="expression" dxfId="441" priority="26828" stopIfTrue="1">
      <formula>ISERROR(AA184)</formula>
    </cfRule>
    <cfRule type="expression" dxfId="440" priority="26829" stopIfTrue="1">
      <formula>AND($B154&gt;0,AA184=0)</formula>
    </cfRule>
    <cfRule type="expression" dxfId="439" priority="26830" stopIfTrue="1">
      <formula>OR(AA184=0,$B154&lt;=0)</formula>
    </cfRule>
  </conditionalFormatting>
  <conditionalFormatting sqref="AA181 AA319 AA323">
    <cfRule type="expression" dxfId="438" priority="26840" stopIfTrue="1">
      <formula>ISERROR(AA181)</formula>
    </cfRule>
    <cfRule type="expression" dxfId="437" priority="26841" stopIfTrue="1">
      <formula>AND($B13&gt;0,AA181=0)</formula>
    </cfRule>
    <cfRule type="expression" dxfId="436" priority="26842" stopIfTrue="1">
      <formula>OR(AA181=0,$B13&lt;=0)</formula>
    </cfRule>
  </conditionalFormatting>
  <conditionalFormatting sqref="AA183">
    <cfRule type="expression" dxfId="435" priority="26864" stopIfTrue="1">
      <formula>ISERROR(AA183)</formula>
    </cfRule>
    <cfRule type="expression" dxfId="434" priority="26865" stopIfTrue="1">
      <formula>AND($B154&gt;0,AA183=0)</formula>
    </cfRule>
    <cfRule type="expression" dxfId="433" priority="26866" stopIfTrue="1">
      <formula>OR(AA183=0,$B154&lt;=0)</formula>
    </cfRule>
  </conditionalFormatting>
  <conditionalFormatting sqref="AA180 AA322 AA318">
    <cfRule type="expression" dxfId="432" priority="26876" stopIfTrue="1">
      <formula>ISERROR(AA180)</formula>
    </cfRule>
    <cfRule type="expression" dxfId="431" priority="26877" stopIfTrue="1">
      <formula>AND($B13&gt;0,AA180=0)</formula>
    </cfRule>
    <cfRule type="expression" dxfId="430" priority="26878" stopIfTrue="1">
      <formula>OR(AA180=0,$B13&lt;=0)</formula>
    </cfRule>
  </conditionalFormatting>
  <conditionalFormatting sqref="AA182">
    <cfRule type="expression" dxfId="429" priority="26900" stopIfTrue="1">
      <formula>ISERROR(AA182)</formula>
    </cfRule>
    <cfRule type="expression" dxfId="428" priority="26901" stopIfTrue="1">
      <formula>AND($B154&gt;0,AA182=0)</formula>
    </cfRule>
    <cfRule type="expression" dxfId="427" priority="26902" stopIfTrue="1">
      <formula>OR(AA182=0,$B154&lt;=0)</formula>
    </cfRule>
  </conditionalFormatting>
  <conditionalFormatting sqref="AA179 AA317 AA321">
    <cfRule type="expression" dxfId="426" priority="26912" stopIfTrue="1">
      <formula>ISERROR(AA179)</formula>
    </cfRule>
    <cfRule type="expression" dxfId="425" priority="26913" stopIfTrue="1">
      <formula>AND($B13&gt;0,AA179=0)</formula>
    </cfRule>
    <cfRule type="expression" dxfId="424" priority="26914" stopIfTrue="1">
      <formula>OR(AA179=0,$B13&lt;=0)</formula>
    </cfRule>
  </conditionalFormatting>
  <conditionalFormatting sqref="AA181">
    <cfRule type="expression" dxfId="423" priority="26936" stopIfTrue="1">
      <formula>ISERROR(AA181)</formula>
    </cfRule>
    <cfRule type="expression" dxfId="422" priority="26937" stopIfTrue="1">
      <formula>AND($B154&gt;0,AA181=0)</formula>
    </cfRule>
    <cfRule type="expression" dxfId="421" priority="26938" stopIfTrue="1">
      <formula>OR(AA181=0,$B154&lt;=0)</formula>
    </cfRule>
  </conditionalFormatting>
  <conditionalFormatting sqref="AA178 AA320 AA316">
    <cfRule type="expression" dxfId="420" priority="26948" stopIfTrue="1">
      <formula>ISERROR(AA178)</formula>
    </cfRule>
    <cfRule type="expression" dxfId="419" priority="26949" stopIfTrue="1">
      <formula>AND($B13&gt;0,AA178=0)</formula>
    </cfRule>
    <cfRule type="expression" dxfId="418" priority="26950" stopIfTrue="1">
      <formula>OR(AA178=0,$B13&lt;=0)</formula>
    </cfRule>
  </conditionalFormatting>
  <conditionalFormatting sqref="AA180">
    <cfRule type="expression" dxfId="417" priority="26972" stopIfTrue="1">
      <formula>ISERROR(AA180)</formula>
    </cfRule>
    <cfRule type="expression" dxfId="416" priority="26973" stopIfTrue="1">
      <formula>AND($B154&gt;0,AA180=0)</formula>
    </cfRule>
    <cfRule type="expression" dxfId="415" priority="26974" stopIfTrue="1">
      <formula>OR(AA180=0,$B154&lt;=0)</formula>
    </cfRule>
  </conditionalFormatting>
  <conditionalFormatting sqref="AA177 AA315 AA319">
    <cfRule type="expression" dxfId="414" priority="26984" stopIfTrue="1">
      <formula>ISERROR(AA177)</formula>
    </cfRule>
    <cfRule type="expression" dxfId="413" priority="26985" stopIfTrue="1">
      <formula>AND($B13&gt;0,AA177=0)</formula>
    </cfRule>
    <cfRule type="expression" dxfId="412" priority="26986" stopIfTrue="1">
      <formula>OR(AA177=0,$B13&lt;=0)</formula>
    </cfRule>
  </conditionalFormatting>
  <conditionalFormatting sqref="AA179">
    <cfRule type="expression" dxfId="411" priority="27008" stopIfTrue="1">
      <formula>ISERROR(AA179)</formula>
    </cfRule>
    <cfRule type="expression" dxfId="410" priority="27009" stopIfTrue="1">
      <formula>AND($B154&gt;0,AA179=0)</formula>
    </cfRule>
    <cfRule type="expression" dxfId="409" priority="27010" stopIfTrue="1">
      <formula>OR(AA179=0,$B154&lt;=0)</formula>
    </cfRule>
  </conditionalFormatting>
  <conditionalFormatting sqref="AA176 AA318 AA314">
    <cfRule type="expression" dxfId="408" priority="27020" stopIfTrue="1">
      <formula>ISERROR(AA176)</formula>
    </cfRule>
    <cfRule type="expression" dxfId="407" priority="27021" stopIfTrue="1">
      <formula>AND($B13&gt;0,AA176=0)</formula>
    </cfRule>
    <cfRule type="expression" dxfId="406" priority="27022" stopIfTrue="1">
      <formula>OR(AA176=0,$B13&lt;=0)</formula>
    </cfRule>
  </conditionalFormatting>
  <conditionalFormatting sqref="AA178">
    <cfRule type="expression" dxfId="405" priority="27044" stopIfTrue="1">
      <formula>ISERROR(AA178)</formula>
    </cfRule>
    <cfRule type="expression" dxfId="404" priority="27045" stopIfTrue="1">
      <formula>AND($B154&gt;0,AA178=0)</formula>
    </cfRule>
    <cfRule type="expression" dxfId="403" priority="27046" stopIfTrue="1">
      <formula>OR(AA178=0,$B154&lt;=0)</formula>
    </cfRule>
  </conditionalFormatting>
  <conditionalFormatting sqref="AA175 AA313 AA317">
    <cfRule type="expression" dxfId="402" priority="27056" stopIfTrue="1">
      <formula>ISERROR(AA175)</formula>
    </cfRule>
    <cfRule type="expression" dxfId="401" priority="27057" stopIfTrue="1">
      <formula>AND($B13&gt;0,AA175=0)</formula>
    </cfRule>
    <cfRule type="expression" dxfId="400" priority="27058" stopIfTrue="1">
      <formula>OR(AA175=0,$B13&lt;=0)</formula>
    </cfRule>
  </conditionalFormatting>
  <conditionalFormatting sqref="AA177">
    <cfRule type="expression" dxfId="399" priority="27080" stopIfTrue="1">
      <formula>ISERROR(AA177)</formula>
    </cfRule>
    <cfRule type="expression" dxfId="398" priority="27081" stopIfTrue="1">
      <formula>AND($B154&gt;0,AA177=0)</formula>
    </cfRule>
    <cfRule type="expression" dxfId="397" priority="27082" stopIfTrue="1">
      <formula>OR(AA177=0,$B154&lt;=0)</formula>
    </cfRule>
  </conditionalFormatting>
  <conditionalFormatting sqref="AA174 AA316 AA312">
    <cfRule type="expression" dxfId="396" priority="27092" stopIfTrue="1">
      <formula>ISERROR(AA174)</formula>
    </cfRule>
    <cfRule type="expression" dxfId="395" priority="27093" stopIfTrue="1">
      <formula>AND($B13&gt;0,AA174=0)</formula>
    </cfRule>
    <cfRule type="expression" dxfId="394" priority="27094" stopIfTrue="1">
      <formula>OR(AA174=0,$B13&lt;=0)</formula>
    </cfRule>
  </conditionalFormatting>
  <conditionalFormatting sqref="AA176">
    <cfRule type="expression" dxfId="393" priority="27116" stopIfTrue="1">
      <formula>ISERROR(AA176)</formula>
    </cfRule>
    <cfRule type="expression" dxfId="392" priority="27117" stopIfTrue="1">
      <formula>AND($B154&gt;0,AA176=0)</formula>
    </cfRule>
    <cfRule type="expression" dxfId="391" priority="27118" stopIfTrue="1">
      <formula>OR(AA176=0,$B154&lt;=0)</formula>
    </cfRule>
  </conditionalFormatting>
  <conditionalFormatting sqref="AA173 AA311 AA315">
    <cfRule type="expression" dxfId="390" priority="27128" stopIfTrue="1">
      <formula>ISERROR(AA173)</formula>
    </cfRule>
    <cfRule type="expression" dxfId="389" priority="27129" stopIfTrue="1">
      <formula>AND($B13&gt;0,AA173=0)</formula>
    </cfRule>
    <cfRule type="expression" dxfId="388" priority="27130" stopIfTrue="1">
      <formula>OR(AA173=0,$B13&lt;=0)</formula>
    </cfRule>
  </conditionalFormatting>
  <conditionalFormatting sqref="AA175">
    <cfRule type="expression" dxfId="387" priority="27152" stopIfTrue="1">
      <formula>ISERROR(AA175)</formula>
    </cfRule>
    <cfRule type="expression" dxfId="386" priority="27153" stopIfTrue="1">
      <formula>AND($B154&gt;0,AA175=0)</formula>
    </cfRule>
    <cfRule type="expression" dxfId="385" priority="27154" stopIfTrue="1">
      <formula>OR(AA175=0,$B154&lt;=0)</formula>
    </cfRule>
  </conditionalFormatting>
  <conditionalFormatting sqref="AA172 AA314 AA310">
    <cfRule type="expression" dxfId="384" priority="27164" stopIfTrue="1">
      <formula>ISERROR(AA172)</formula>
    </cfRule>
    <cfRule type="expression" dxfId="383" priority="27165" stopIfTrue="1">
      <formula>AND($B13&gt;0,AA172=0)</formula>
    </cfRule>
    <cfRule type="expression" dxfId="382" priority="27166" stopIfTrue="1">
      <formula>OR(AA172=0,$B13&lt;=0)</formula>
    </cfRule>
  </conditionalFormatting>
  <conditionalFormatting sqref="AA174">
    <cfRule type="expression" dxfId="381" priority="27188" stopIfTrue="1">
      <formula>ISERROR(AA174)</formula>
    </cfRule>
    <cfRule type="expression" dxfId="380" priority="27189" stopIfTrue="1">
      <formula>AND($B154&gt;0,AA174=0)</formula>
    </cfRule>
    <cfRule type="expression" dxfId="379" priority="27190" stopIfTrue="1">
      <formula>OR(AA174=0,$B154&lt;=0)</formula>
    </cfRule>
  </conditionalFormatting>
  <conditionalFormatting sqref="AA171 AA309 AA313">
    <cfRule type="expression" dxfId="378" priority="27200" stopIfTrue="1">
      <formula>ISERROR(AA171)</formula>
    </cfRule>
    <cfRule type="expression" dxfId="377" priority="27201" stopIfTrue="1">
      <formula>AND($B13&gt;0,AA171=0)</formula>
    </cfRule>
    <cfRule type="expression" dxfId="376" priority="27202" stopIfTrue="1">
      <formula>OR(AA171=0,$B13&lt;=0)</formula>
    </cfRule>
  </conditionalFormatting>
  <conditionalFormatting sqref="AA173">
    <cfRule type="expression" dxfId="375" priority="27224" stopIfTrue="1">
      <formula>ISERROR(AA173)</formula>
    </cfRule>
    <cfRule type="expression" dxfId="374" priority="27225" stopIfTrue="1">
      <formula>AND($B154&gt;0,AA173=0)</formula>
    </cfRule>
    <cfRule type="expression" dxfId="373" priority="27226" stopIfTrue="1">
      <formula>OR(AA173=0,$B154&lt;=0)</formula>
    </cfRule>
  </conditionalFormatting>
  <conditionalFormatting sqref="AA170 AA312 AA308">
    <cfRule type="expression" dxfId="372" priority="27236" stopIfTrue="1">
      <formula>ISERROR(AA170)</formula>
    </cfRule>
    <cfRule type="expression" dxfId="371" priority="27237" stopIfTrue="1">
      <formula>AND($B13&gt;0,AA170=0)</formula>
    </cfRule>
    <cfRule type="expression" dxfId="370" priority="27238" stopIfTrue="1">
      <formula>OR(AA170=0,$B13&lt;=0)</formula>
    </cfRule>
  </conditionalFormatting>
  <conditionalFormatting sqref="AA172">
    <cfRule type="expression" dxfId="369" priority="27260" stopIfTrue="1">
      <formula>ISERROR(AA172)</formula>
    </cfRule>
    <cfRule type="expression" dxfId="368" priority="27261" stopIfTrue="1">
      <formula>AND($B154&gt;0,AA172=0)</formula>
    </cfRule>
    <cfRule type="expression" dxfId="367" priority="27262" stopIfTrue="1">
      <formula>OR(AA172=0,$B154&lt;=0)</formula>
    </cfRule>
  </conditionalFormatting>
  <conditionalFormatting sqref="AA169 AA307 AA311">
    <cfRule type="expression" dxfId="366" priority="27272" stopIfTrue="1">
      <formula>ISERROR(AA169)</formula>
    </cfRule>
    <cfRule type="expression" dxfId="365" priority="27273" stopIfTrue="1">
      <formula>AND($B13&gt;0,AA169=0)</formula>
    </cfRule>
    <cfRule type="expression" dxfId="364" priority="27274" stopIfTrue="1">
      <formula>OR(AA169=0,$B13&lt;=0)</formula>
    </cfRule>
  </conditionalFormatting>
  <conditionalFormatting sqref="AA171">
    <cfRule type="expression" dxfId="363" priority="27296" stopIfTrue="1">
      <formula>ISERROR(AA171)</formula>
    </cfRule>
    <cfRule type="expression" dxfId="362" priority="27297" stopIfTrue="1">
      <formula>AND($B154&gt;0,AA171=0)</formula>
    </cfRule>
    <cfRule type="expression" dxfId="361" priority="27298" stopIfTrue="1">
      <formula>OR(AA171=0,$B154&lt;=0)</formula>
    </cfRule>
  </conditionalFormatting>
  <conditionalFormatting sqref="AA168 AA310 AA306">
    <cfRule type="expression" dxfId="360" priority="27308" stopIfTrue="1">
      <formula>ISERROR(AA168)</formula>
    </cfRule>
    <cfRule type="expression" dxfId="359" priority="27309" stopIfTrue="1">
      <formula>AND($B13&gt;0,AA168=0)</formula>
    </cfRule>
    <cfRule type="expression" dxfId="358" priority="27310" stopIfTrue="1">
      <formula>OR(AA168=0,$B13&lt;=0)</formula>
    </cfRule>
  </conditionalFormatting>
  <conditionalFormatting sqref="AA170">
    <cfRule type="expression" dxfId="357" priority="27332" stopIfTrue="1">
      <formula>ISERROR(AA170)</formula>
    </cfRule>
    <cfRule type="expression" dxfId="356" priority="27333" stopIfTrue="1">
      <formula>AND($B154&gt;0,AA170=0)</formula>
    </cfRule>
    <cfRule type="expression" dxfId="355" priority="27334" stopIfTrue="1">
      <formula>OR(AA170=0,$B154&lt;=0)</formula>
    </cfRule>
  </conditionalFormatting>
  <conditionalFormatting sqref="AA167 AA305 AA309">
    <cfRule type="expression" dxfId="354" priority="27344" stopIfTrue="1">
      <formula>ISERROR(AA167)</formula>
    </cfRule>
    <cfRule type="expression" dxfId="353" priority="27345" stopIfTrue="1">
      <formula>AND($B13&gt;0,AA167=0)</formula>
    </cfRule>
    <cfRule type="expression" dxfId="352" priority="27346" stopIfTrue="1">
      <formula>OR(AA167=0,$B13&lt;=0)</formula>
    </cfRule>
  </conditionalFormatting>
  <conditionalFormatting sqref="AA169">
    <cfRule type="expression" dxfId="351" priority="27368" stopIfTrue="1">
      <formula>ISERROR(AA169)</formula>
    </cfRule>
    <cfRule type="expression" dxfId="350" priority="27369" stopIfTrue="1">
      <formula>AND($B154&gt;0,AA169=0)</formula>
    </cfRule>
    <cfRule type="expression" dxfId="349" priority="27370" stopIfTrue="1">
      <formula>OR(AA169=0,$B154&lt;=0)</formula>
    </cfRule>
  </conditionalFormatting>
  <conditionalFormatting sqref="AA166 AA308 AA304">
    <cfRule type="expression" dxfId="348" priority="27380" stopIfTrue="1">
      <formula>ISERROR(AA166)</formula>
    </cfRule>
    <cfRule type="expression" dxfId="347" priority="27381" stopIfTrue="1">
      <formula>AND($B13&gt;0,AA166=0)</formula>
    </cfRule>
    <cfRule type="expression" dxfId="346" priority="27382" stopIfTrue="1">
      <formula>OR(AA166=0,$B13&lt;=0)</formula>
    </cfRule>
  </conditionalFormatting>
  <conditionalFormatting sqref="AA168">
    <cfRule type="expression" dxfId="345" priority="27404" stopIfTrue="1">
      <formula>ISERROR(AA168)</formula>
    </cfRule>
    <cfRule type="expression" dxfId="344" priority="27405" stopIfTrue="1">
      <formula>AND($B154&gt;0,AA168=0)</formula>
    </cfRule>
    <cfRule type="expression" dxfId="343" priority="27406" stopIfTrue="1">
      <formula>OR(AA168=0,$B154&lt;=0)</formula>
    </cfRule>
  </conditionalFormatting>
  <conditionalFormatting sqref="AA165 AA303 AA307">
    <cfRule type="expression" dxfId="342" priority="27416" stopIfTrue="1">
      <formula>ISERROR(AA165)</formula>
    </cfRule>
    <cfRule type="expression" dxfId="341" priority="27417" stopIfTrue="1">
      <formula>AND($B13&gt;0,AA165=0)</formula>
    </cfRule>
    <cfRule type="expression" dxfId="340" priority="27418" stopIfTrue="1">
      <formula>OR(AA165=0,$B13&lt;=0)</formula>
    </cfRule>
  </conditionalFormatting>
  <conditionalFormatting sqref="AA167">
    <cfRule type="expression" dxfId="339" priority="27440" stopIfTrue="1">
      <formula>ISERROR(AA167)</formula>
    </cfRule>
    <cfRule type="expression" dxfId="338" priority="27441" stopIfTrue="1">
      <formula>AND($B154&gt;0,AA167=0)</formula>
    </cfRule>
    <cfRule type="expression" dxfId="337" priority="27442" stopIfTrue="1">
      <formula>OR(AA167=0,$B154&lt;=0)</formula>
    </cfRule>
  </conditionalFormatting>
  <conditionalFormatting sqref="AA164 AA306 AA302">
    <cfRule type="expression" dxfId="336" priority="27452" stopIfTrue="1">
      <formula>ISERROR(AA164)</formula>
    </cfRule>
    <cfRule type="expression" dxfId="335" priority="27453" stopIfTrue="1">
      <formula>AND($B13&gt;0,AA164=0)</formula>
    </cfRule>
    <cfRule type="expression" dxfId="334" priority="27454" stopIfTrue="1">
      <formula>OR(AA164=0,$B13&lt;=0)</formula>
    </cfRule>
  </conditionalFormatting>
  <conditionalFormatting sqref="AA166">
    <cfRule type="expression" dxfId="333" priority="27476" stopIfTrue="1">
      <formula>ISERROR(AA166)</formula>
    </cfRule>
    <cfRule type="expression" dxfId="332" priority="27477" stopIfTrue="1">
      <formula>AND($B154&gt;0,AA166=0)</formula>
    </cfRule>
    <cfRule type="expression" dxfId="331" priority="27478" stopIfTrue="1">
      <formula>OR(AA166=0,$B154&lt;=0)</formula>
    </cfRule>
  </conditionalFormatting>
  <conditionalFormatting sqref="AA162 AA299:AA300 AA304">
    <cfRule type="expression" dxfId="330" priority="27485" stopIfTrue="1">
      <formula>ISERROR(AA162)</formula>
    </cfRule>
    <cfRule type="expression" dxfId="329" priority="27486" stopIfTrue="1">
      <formula>AND($B13&gt;0,AA162=0)</formula>
    </cfRule>
    <cfRule type="expression" dxfId="328" priority="27487" stopIfTrue="1">
      <formula>OR(AA162=0,$B13&lt;=0)</formula>
    </cfRule>
  </conditionalFormatting>
  <conditionalFormatting sqref="AA165">
    <cfRule type="expression" dxfId="327" priority="27509" stopIfTrue="1">
      <formula>ISERROR(AA165)</formula>
    </cfRule>
    <cfRule type="expression" dxfId="326" priority="27510" stopIfTrue="1">
      <formula>AND($B154&gt;0,AA165=0)</formula>
    </cfRule>
    <cfRule type="expression" dxfId="325" priority="27511" stopIfTrue="1">
      <formula>OR(AA165=0,$B154&lt;=0)</formula>
    </cfRule>
  </conditionalFormatting>
  <conditionalFormatting sqref="AA298 AA161 AA303">
    <cfRule type="expression" dxfId="324" priority="27521" stopIfTrue="1">
      <formula>ISERROR(AA161)</formula>
    </cfRule>
    <cfRule type="expression" dxfId="323" priority="27522" stopIfTrue="1">
      <formula>AND($B13&gt;0,AA161=0)</formula>
    </cfRule>
    <cfRule type="expression" dxfId="322" priority="27523" stopIfTrue="1">
      <formula>OR(AA161=0,$B13&lt;=0)</formula>
    </cfRule>
  </conditionalFormatting>
  <conditionalFormatting sqref="AA164">
    <cfRule type="expression" dxfId="321" priority="27545" stopIfTrue="1">
      <formula>ISERROR(AA164)</formula>
    </cfRule>
    <cfRule type="expression" dxfId="320" priority="27546" stopIfTrue="1">
      <formula>AND($B154&gt;0,AA164=0)</formula>
    </cfRule>
    <cfRule type="expression" dxfId="319" priority="27547" stopIfTrue="1">
      <formula>OR(AA164=0,$B154&lt;=0)</formula>
    </cfRule>
  </conditionalFormatting>
  <conditionalFormatting sqref="AA160:AA161 AA297:AA384">
    <cfRule type="expression" dxfId="318" priority="27557" stopIfTrue="1">
      <formula>ISERROR(AA160)</formula>
    </cfRule>
    <cfRule type="expression" dxfId="317" priority="27558" stopIfTrue="1">
      <formula>AND($B13&gt;0,AA160=0)</formula>
    </cfRule>
    <cfRule type="expression" dxfId="316" priority="27559" stopIfTrue="1">
      <formula>OR(AA160=0,$B13&lt;=0)</formula>
    </cfRule>
  </conditionalFormatting>
  <conditionalFormatting sqref="AA163">
    <cfRule type="expression" dxfId="315" priority="27581" stopIfTrue="1">
      <formula>ISERROR(AA163)</formula>
    </cfRule>
    <cfRule type="expression" dxfId="314" priority="27582" stopIfTrue="1">
      <formula>AND($B154&gt;0,AA163=0)</formula>
    </cfRule>
    <cfRule type="expression" dxfId="313" priority="27583" stopIfTrue="1">
      <formula>OR(AA163=0,$B154&lt;=0)</formula>
    </cfRule>
  </conditionalFormatting>
  <conditionalFormatting sqref="AA162">
    <cfRule type="expression" dxfId="312" priority="27611" stopIfTrue="1">
      <formula>ISERROR(AA162)</formula>
    </cfRule>
    <cfRule type="expression" dxfId="311" priority="27612" stopIfTrue="1">
      <formula>AND($B154&gt;0,AA162=0)</formula>
    </cfRule>
    <cfRule type="expression" dxfId="310" priority="27613" stopIfTrue="1">
      <formula>OR(AA162=0,$B154&lt;=0)</formula>
    </cfRule>
  </conditionalFormatting>
  <conditionalFormatting sqref="AA161">
    <cfRule type="expression" dxfId="309" priority="27638" stopIfTrue="1">
      <formula>ISERROR(AA161)</formula>
    </cfRule>
    <cfRule type="expression" dxfId="308" priority="27639" stopIfTrue="1">
      <formula>AND($B154&gt;0,AA161=0)</formula>
    </cfRule>
    <cfRule type="expression" dxfId="307" priority="27640" stopIfTrue="1">
      <formula>OR(AA161=0,$B154&lt;=0)</formula>
    </cfRule>
  </conditionalFormatting>
  <conditionalFormatting sqref="AA160:AA161">
    <cfRule type="expression" dxfId="306" priority="27665" stopIfTrue="1">
      <formula>ISERROR(AA160)</formula>
    </cfRule>
    <cfRule type="expression" dxfId="305" priority="27666" stopIfTrue="1">
      <formula>AND($B154&gt;0,AA160=0)</formula>
    </cfRule>
    <cfRule type="expression" dxfId="304" priority="27667" stopIfTrue="1">
      <formula>OR(AA160=0,$B154&lt;=0)</formula>
    </cfRule>
  </conditionalFormatting>
  <conditionalFormatting sqref="AA16:AA384">
    <cfRule type="expression" dxfId="303" priority="27692" stopIfTrue="1">
      <formula>ISERROR(AA16)</formula>
    </cfRule>
    <cfRule type="expression" dxfId="302" priority="27693" stopIfTrue="1">
      <formula>AND($B11&gt;0,AA16=0)</formula>
    </cfRule>
    <cfRule type="expression" dxfId="301" priority="27694" stopIfTrue="1">
      <formula>OR(AA16=0,$B11&lt;=0)</formula>
    </cfRule>
  </conditionalFormatting>
  <conditionalFormatting sqref="AA384">
    <cfRule type="expression" dxfId="300" priority="28124" stopIfTrue="1">
      <formula>ISERROR(AA384)</formula>
    </cfRule>
    <cfRule type="expression" dxfId="299" priority="28125" stopIfTrue="1">
      <formula>AND($B14&gt;0,AA384=0)</formula>
    </cfRule>
    <cfRule type="expression" dxfId="298" priority="28126" stopIfTrue="1">
      <formula>OR(AA384=0,$B14&lt;=0)</formula>
    </cfRule>
  </conditionalFormatting>
  <conditionalFormatting sqref="AA383">
    <cfRule type="expression" dxfId="297" priority="28139" stopIfTrue="1">
      <formula>ISERROR(AA383)</formula>
    </cfRule>
    <cfRule type="expression" dxfId="296" priority="28140" stopIfTrue="1">
      <formula>AND($B14&gt;0,AA383=0)</formula>
    </cfRule>
    <cfRule type="expression" dxfId="295" priority="28141" stopIfTrue="1">
      <formula>OR(AA383=0,$B14&lt;=0)</formula>
    </cfRule>
  </conditionalFormatting>
  <conditionalFormatting sqref="AA382">
    <cfRule type="expression" dxfId="294" priority="28154" stopIfTrue="1">
      <formula>ISERROR(AA382)</formula>
    </cfRule>
    <cfRule type="expression" dxfId="293" priority="28155" stopIfTrue="1">
      <formula>AND($B14&gt;0,AA382=0)</formula>
    </cfRule>
    <cfRule type="expression" dxfId="292" priority="28156" stopIfTrue="1">
      <formula>OR(AA382=0,$B14&lt;=0)</formula>
    </cfRule>
  </conditionalFormatting>
  <conditionalFormatting sqref="AA381">
    <cfRule type="expression" dxfId="291" priority="28169" stopIfTrue="1">
      <formula>ISERROR(AA381)</formula>
    </cfRule>
    <cfRule type="expression" dxfId="290" priority="28170" stopIfTrue="1">
      <formula>AND($B14&gt;0,AA381=0)</formula>
    </cfRule>
    <cfRule type="expression" dxfId="289" priority="28171" stopIfTrue="1">
      <formula>OR(AA381=0,$B14&lt;=0)</formula>
    </cfRule>
  </conditionalFormatting>
  <conditionalFormatting sqref="AA380">
    <cfRule type="expression" dxfId="288" priority="28184" stopIfTrue="1">
      <formula>ISERROR(AA380)</formula>
    </cfRule>
    <cfRule type="expression" dxfId="287" priority="28185" stopIfTrue="1">
      <formula>AND($B14&gt;0,AA380=0)</formula>
    </cfRule>
    <cfRule type="expression" dxfId="286" priority="28186" stopIfTrue="1">
      <formula>OR(AA380=0,$B14&lt;=0)</formula>
    </cfRule>
  </conditionalFormatting>
  <conditionalFormatting sqref="AA379">
    <cfRule type="expression" dxfId="285" priority="28199" stopIfTrue="1">
      <formula>ISERROR(AA379)</formula>
    </cfRule>
    <cfRule type="expression" dxfId="284" priority="28200" stopIfTrue="1">
      <formula>AND($B14&gt;0,AA379=0)</formula>
    </cfRule>
    <cfRule type="expression" dxfId="283" priority="28201" stopIfTrue="1">
      <formula>OR(AA379=0,$B14&lt;=0)</formula>
    </cfRule>
  </conditionalFormatting>
  <conditionalFormatting sqref="AA378">
    <cfRule type="expression" dxfId="282" priority="28214" stopIfTrue="1">
      <formula>ISERROR(AA378)</formula>
    </cfRule>
    <cfRule type="expression" dxfId="281" priority="28215" stopIfTrue="1">
      <formula>AND($B14&gt;0,AA378=0)</formula>
    </cfRule>
    <cfRule type="expression" dxfId="280" priority="28216" stopIfTrue="1">
      <formula>OR(AA378=0,$B14&lt;=0)</formula>
    </cfRule>
  </conditionalFormatting>
  <conditionalFormatting sqref="AA377">
    <cfRule type="expression" dxfId="279" priority="28229" stopIfTrue="1">
      <formula>ISERROR(AA377)</formula>
    </cfRule>
    <cfRule type="expression" dxfId="278" priority="28230" stopIfTrue="1">
      <formula>AND($B14&gt;0,AA377=0)</formula>
    </cfRule>
    <cfRule type="expression" dxfId="277" priority="28231" stopIfTrue="1">
      <formula>OR(AA377=0,$B14&lt;=0)</formula>
    </cfRule>
  </conditionalFormatting>
  <conditionalFormatting sqref="AA376">
    <cfRule type="expression" dxfId="276" priority="28244" stopIfTrue="1">
      <formula>ISERROR(AA376)</formula>
    </cfRule>
    <cfRule type="expression" dxfId="275" priority="28245" stopIfTrue="1">
      <formula>AND($B14&gt;0,AA376=0)</formula>
    </cfRule>
    <cfRule type="expression" dxfId="274" priority="28246" stopIfTrue="1">
      <formula>OR(AA376=0,$B14&lt;=0)</formula>
    </cfRule>
  </conditionalFormatting>
  <conditionalFormatting sqref="AA375">
    <cfRule type="expression" dxfId="273" priority="28259" stopIfTrue="1">
      <formula>ISERROR(AA375)</formula>
    </cfRule>
    <cfRule type="expression" dxfId="272" priority="28260" stopIfTrue="1">
      <formula>AND($B14&gt;0,AA375=0)</formula>
    </cfRule>
    <cfRule type="expression" dxfId="271" priority="28261" stopIfTrue="1">
      <formula>OR(AA375=0,$B14&lt;=0)</formula>
    </cfRule>
  </conditionalFormatting>
  <conditionalFormatting sqref="AA374">
    <cfRule type="expression" dxfId="270" priority="28274" stopIfTrue="1">
      <formula>ISERROR(AA374)</formula>
    </cfRule>
    <cfRule type="expression" dxfId="269" priority="28275" stopIfTrue="1">
      <formula>AND($B14&gt;0,AA374=0)</formula>
    </cfRule>
    <cfRule type="expression" dxfId="268" priority="28276" stopIfTrue="1">
      <formula>OR(AA374=0,$B14&lt;=0)</formula>
    </cfRule>
  </conditionalFormatting>
  <conditionalFormatting sqref="AA373">
    <cfRule type="expression" dxfId="267" priority="28289" stopIfTrue="1">
      <formula>ISERROR(AA373)</formula>
    </cfRule>
    <cfRule type="expression" dxfId="266" priority="28290" stopIfTrue="1">
      <formula>AND($B14&gt;0,AA373=0)</formula>
    </cfRule>
    <cfRule type="expression" dxfId="265" priority="28291" stopIfTrue="1">
      <formula>OR(AA373=0,$B14&lt;=0)</formula>
    </cfRule>
  </conditionalFormatting>
  <conditionalFormatting sqref="AA372">
    <cfRule type="expression" dxfId="264" priority="28304" stopIfTrue="1">
      <formula>ISERROR(AA372)</formula>
    </cfRule>
    <cfRule type="expression" dxfId="263" priority="28305" stopIfTrue="1">
      <formula>AND($B14&gt;0,AA372=0)</formula>
    </cfRule>
    <cfRule type="expression" dxfId="262" priority="28306" stopIfTrue="1">
      <formula>OR(AA372=0,$B14&lt;=0)</formula>
    </cfRule>
  </conditionalFormatting>
  <conditionalFormatting sqref="AA371">
    <cfRule type="expression" dxfId="261" priority="28319" stopIfTrue="1">
      <formula>ISERROR(AA371)</formula>
    </cfRule>
    <cfRule type="expression" dxfId="260" priority="28320" stopIfTrue="1">
      <formula>AND($B14&gt;0,AA371=0)</formula>
    </cfRule>
    <cfRule type="expression" dxfId="259" priority="28321" stopIfTrue="1">
      <formula>OR(AA371=0,$B14&lt;=0)</formula>
    </cfRule>
  </conditionalFormatting>
  <conditionalFormatting sqref="AA370">
    <cfRule type="expression" dxfId="258" priority="28334" stopIfTrue="1">
      <formula>ISERROR(AA370)</formula>
    </cfRule>
    <cfRule type="expression" dxfId="257" priority="28335" stopIfTrue="1">
      <formula>AND($B14&gt;0,AA370=0)</formula>
    </cfRule>
    <cfRule type="expression" dxfId="256" priority="28336" stopIfTrue="1">
      <formula>OR(AA370=0,$B14&lt;=0)</formula>
    </cfRule>
  </conditionalFormatting>
  <conditionalFormatting sqref="AA369">
    <cfRule type="expression" dxfId="255" priority="28349" stopIfTrue="1">
      <formula>ISERROR(AA369)</formula>
    </cfRule>
    <cfRule type="expression" dxfId="254" priority="28350" stopIfTrue="1">
      <formula>AND($B14&gt;0,AA369=0)</formula>
    </cfRule>
    <cfRule type="expression" dxfId="253" priority="28351" stopIfTrue="1">
      <formula>OR(AA369=0,$B14&lt;=0)</formula>
    </cfRule>
  </conditionalFormatting>
  <conditionalFormatting sqref="AA368">
    <cfRule type="expression" dxfId="252" priority="28364" stopIfTrue="1">
      <formula>ISERROR(AA368)</formula>
    </cfRule>
    <cfRule type="expression" dxfId="251" priority="28365" stopIfTrue="1">
      <formula>AND($B14&gt;0,AA368=0)</formula>
    </cfRule>
    <cfRule type="expression" dxfId="250" priority="28366" stopIfTrue="1">
      <formula>OR(AA368=0,$B14&lt;=0)</formula>
    </cfRule>
  </conditionalFormatting>
  <conditionalFormatting sqref="AA367">
    <cfRule type="expression" dxfId="249" priority="28379" stopIfTrue="1">
      <formula>ISERROR(AA367)</formula>
    </cfRule>
    <cfRule type="expression" dxfId="248" priority="28380" stopIfTrue="1">
      <formula>AND($B14&gt;0,AA367=0)</formula>
    </cfRule>
    <cfRule type="expression" dxfId="247" priority="28381" stopIfTrue="1">
      <formula>OR(AA367=0,$B14&lt;=0)</formula>
    </cfRule>
  </conditionalFormatting>
  <conditionalFormatting sqref="AA366">
    <cfRule type="expression" dxfId="246" priority="28394" stopIfTrue="1">
      <formula>ISERROR(AA366)</formula>
    </cfRule>
    <cfRule type="expression" dxfId="245" priority="28395" stopIfTrue="1">
      <formula>AND($B14&gt;0,AA366=0)</formula>
    </cfRule>
    <cfRule type="expression" dxfId="244" priority="28396" stopIfTrue="1">
      <formula>OR(AA366=0,$B14&lt;=0)</formula>
    </cfRule>
  </conditionalFormatting>
  <conditionalFormatting sqref="AA365">
    <cfRule type="expression" dxfId="243" priority="28409" stopIfTrue="1">
      <formula>ISERROR(AA365)</formula>
    </cfRule>
    <cfRule type="expression" dxfId="242" priority="28410" stopIfTrue="1">
      <formula>AND($B14&gt;0,AA365=0)</formula>
    </cfRule>
    <cfRule type="expression" dxfId="241" priority="28411" stopIfTrue="1">
      <formula>OR(AA365=0,$B14&lt;=0)</formula>
    </cfRule>
  </conditionalFormatting>
  <conditionalFormatting sqref="AA364">
    <cfRule type="expression" dxfId="240" priority="28424" stopIfTrue="1">
      <formula>ISERROR(AA364)</formula>
    </cfRule>
    <cfRule type="expression" dxfId="239" priority="28425" stopIfTrue="1">
      <formula>AND($B14&gt;0,AA364=0)</formula>
    </cfRule>
    <cfRule type="expression" dxfId="238" priority="28426" stopIfTrue="1">
      <formula>OR(AA364=0,$B14&lt;=0)</formula>
    </cfRule>
  </conditionalFormatting>
  <conditionalFormatting sqref="AA363">
    <cfRule type="expression" dxfId="237" priority="28439" stopIfTrue="1">
      <formula>ISERROR(AA363)</formula>
    </cfRule>
    <cfRule type="expression" dxfId="236" priority="28440" stopIfTrue="1">
      <formula>AND($B14&gt;0,AA363=0)</formula>
    </cfRule>
    <cfRule type="expression" dxfId="235" priority="28441" stopIfTrue="1">
      <formula>OR(AA363=0,$B14&lt;=0)</formula>
    </cfRule>
  </conditionalFormatting>
  <conditionalFormatting sqref="AA362">
    <cfRule type="expression" dxfId="234" priority="28454" stopIfTrue="1">
      <formula>ISERROR(AA362)</formula>
    </cfRule>
    <cfRule type="expression" dxfId="233" priority="28455" stopIfTrue="1">
      <formula>AND($B14&gt;0,AA362=0)</formula>
    </cfRule>
    <cfRule type="expression" dxfId="232" priority="28456" stopIfTrue="1">
      <formula>OR(AA362=0,$B14&lt;=0)</formula>
    </cfRule>
  </conditionalFormatting>
  <conditionalFormatting sqref="AA361">
    <cfRule type="expression" dxfId="231" priority="28469" stopIfTrue="1">
      <formula>ISERROR(AA361)</formula>
    </cfRule>
    <cfRule type="expression" dxfId="230" priority="28470" stopIfTrue="1">
      <formula>AND($B14&gt;0,AA361=0)</formula>
    </cfRule>
    <cfRule type="expression" dxfId="229" priority="28471" stopIfTrue="1">
      <formula>OR(AA361=0,$B14&lt;=0)</formula>
    </cfRule>
  </conditionalFormatting>
  <conditionalFormatting sqref="AA360">
    <cfRule type="expression" dxfId="228" priority="28484" stopIfTrue="1">
      <formula>ISERROR(AA360)</formula>
    </cfRule>
    <cfRule type="expression" dxfId="227" priority="28485" stopIfTrue="1">
      <formula>AND($B14&gt;0,AA360=0)</formula>
    </cfRule>
    <cfRule type="expression" dxfId="226" priority="28486" stopIfTrue="1">
      <formula>OR(AA360=0,$B14&lt;=0)</formula>
    </cfRule>
  </conditionalFormatting>
  <conditionalFormatting sqref="AA359">
    <cfRule type="expression" dxfId="225" priority="28499" stopIfTrue="1">
      <formula>ISERROR(AA359)</formula>
    </cfRule>
    <cfRule type="expression" dxfId="224" priority="28500" stopIfTrue="1">
      <formula>AND($B14&gt;0,AA359=0)</formula>
    </cfRule>
    <cfRule type="expression" dxfId="223" priority="28501" stopIfTrue="1">
      <formula>OR(AA359=0,$B14&lt;=0)</formula>
    </cfRule>
  </conditionalFormatting>
  <conditionalFormatting sqref="AA358">
    <cfRule type="expression" dxfId="222" priority="28514" stopIfTrue="1">
      <formula>ISERROR(AA358)</formula>
    </cfRule>
    <cfRule type="expression" dxfId="221" priority="28515" stopIfTrue="1">
      <formula>AND($B14&gt;0,AA358=0)</formula>
    </cfRule>
    <cfRule type="expression" dxfId="220" priority="28516" stopIfTrue="1">
      <formula>OR(AA358=0,$B14&lt;=0)</formula>
    </cfRule>
  </conditionalFormatting>
  <conditionalFormatting sqref="AA357">
    <cfRule type="expression" dxfId="219" priority="28529" stopIfTrue="1">
      <formula>ISERROR(AA357)</formula>
    </cfRule>
    <cfRule type="expression" dxfId="218" priority="28530" stopIfTrue="1">
      <formula>AND($B14&gt;0,AA357=0)</formula>
    </cfRule>
    <cfRule type="expression" dxfId="217" priority="28531" stopIfTrue="1">
      <formula>OR(AA357=0,$B14&lt;=0)</formula>
    </cfRule>
  </conditionalFormatting>
  <conditionalFormatting sqref="AA356">
    <cfRule type="expression" dxfId="216" priority="28544" stopIfTrue="1">
      <formula>ISERROR(AA356)</formula>
    </cfRule>
    <cfRule type="expression" dxfId="215" priority="28545" stopIfTrue="1">
      <formula>AND($B14&gt;0,AA356=0)</formula>
    </cfRule>
    <cfRule type="expression" dxfId="214" priority="28546" stopIfTrue="1">
      <formula>OR(AA356=0,$B14&lt;=0)</formula>
    </cfRule>
  </conditionalFormatting>
  <conditionalFormatting sqref="AA355">
    <cfRule type="expression" dxfId="213" priority="28559" stopIfTrue="1">
      <formula>ISERROR(AA355)</formula>
    </cfRule>
    <cfRule type="expression" dxfId="212" priority="28560" stopIfTrue="1">
      <formula>AND($B14&gt;0,AA355=0)</formula>
    </cfRule>
    <cfRule type="expression" dxfId="211" priority="28561" stopIfTrue="1">
      <formula>OR(AA355=0,$B14&lt;=0)</formula>
    </cfRule>
  </conditionalFormatting>
  <conditionalFormatting sqref="AA354">
    <cfRule type="expression" dxfId="210" priority="28574" stopIfTrue="1">
      <formula>ISERROR(AA354)</formula>
    </cfRule>
    <cfRule type="expression" dxfId="209" priority="28575" stopIfTrue="1">
      <formula>AND($B14&gt;0,AA354=0)</formula>
    </cfRule>
    <cfRule type="expression" dxfId="208" priority="28576" stopIfTrue="1">
      <formula>OR(AA354=0,$B14&lt;=0)</formula>
    </cfRule>
  </conditionalFormatting>
  <conditionalFormatting sqref="AA353">
    <cfRule type="expression" dxfId="207" priority="28589" stopIfTrue="1">
      <formula>ISERROR(AA353)</formula>
    </cfRule>
    <cfRule type="expression" dxfId="206" priority="28590" stopIfTrue="1">
      <formula>AND($B14&gt;0,AA353=0)</formula>
    </cfRule>
    <cfRule type="expression" dxfId="205" priority="28591" stopIfTrue="1">
      <formula>OR(AA353=0,$B14&lt;=0)</formula>
    </cfRule>
  </conditionalFormatting>
  <conditionalFormatting sqref="AA352">
    <cfRule type="expression" dxfId="204" priority="28604" stopIfTrue="1">
      <formula>ISERROR(AA352)</formula>
    </cfRule>
    <cfRule type="expression" dxfId="203" priority="28605" stopIfTrue="1">
      <formula>AND($B14&gt;0,AA352=0)</formula>
    </cfRule>
    <cfRule type="expression" dxfId="202" priority="28606" stopIfTrue="1">
      <formula>OR(AA352=0,$B14&lt;=0)</formula>
    </cfRule>
  </conditionalFormatting>
  <conditionalFormatting sqref="AA351">
    <cfRule type="expression" dxfId="201" priority="28619" stopIfTrue="1">
      <formula>ISERROR(AA351)</formula>
    </cfRule>
    <cfRule type="expression" dxfId="200" priority="28620" stopIfTrue="1">
      <formula>AND($B14&gt;0,AA351=0)</formula>
    </cfRule>
    <cfRule type="expression" dxfId="199" priority="28621" stopIfTrue="1">
      <formula>OR(AA351=0,$B14&lt;=0)</formula>
    </cfRule>
  </conditionalFormatting>
  <conditionalFormatting sqref="AA350">
    <cfRule type="expression" dxfId="198" priority="28634" stopIfTrue="1">
      <formula>ISERROR(AA350)</formula>
    </cfRule>
    <cfRule type="expression" dxfId="197" priority="28635" stopIfTrue="1">
      <formula>AND($B14&gt;0,AA350=0)</formula>
    </cfRule>
    <cfRule type="expression" dxfId="196" priority="28636" stopIfTrue="1">
      <formula>OR(AA350=0,$B14&lt;=0)</formula>
    </cfRule>
  </conditionalFormatting>
  <conditionalFormatting sqref="AA349">
    <cfRule type="expression" dxfId="195" priority="28649" stopIfTrue="1">
      <formula>ISERROR(AA349)</formula>
    </cfRule>
    <cfRule type="expression" dxfId="194" priority="28650" stopIfTrue="1">
      <formula>AND($B14&gt;0,AA349=0)</formula>
    </cfRule>
    <cfRule type="expression" dxfId="193" priority="28651" stopIfTrue="1">
      <formula>OR(AA349=0,$B14&lt;=0)</formula>
    </cfRule>
  </conditionalFormatting>
  <conditionalFormatting sqref="AA348">
    <cfRule type="expression" dxfId="192" priority="28664" stopIfTrue="1">
      <formula>ISERROR(AA348)</formula>
    </cfRule>
    <cfRule type="expression" dxfId="191" priority="28665" stopIfTrue="1">
      <formula>AND($B14&gt;0,AA348=0)</formula>
    </cfRule>
    <cfRule type="expression" dxfId="190" priority="28666" stopIfTrue="1">
      <formula>OR(AA348=0,$B14&lt;=0)</formula>
    </cfRule>
  </conditionalFormatting>
  <conditionalFormatting sqref="AA347">
    <cfRule type="expression" dxfId="189" priority="28679" stopIfTrue="1">
      <formula>ISERROR(AA347)</formula>
    </cfRule>
    <cfRule type="expression" dxfId="188" priority="28680" stopIfTrue="1">
      <formula>AND($B14&gt;0,AA347=0)</formula>
    </cfRule>
    <cfRule type="expression" dxfId="187" priority="28681" stopIfTrue="1">
      <formula>OR(AA347=0,$B14&lt;=0)</formula>
    </cfRule>
  </conditionalFormatting>
  <conditionalFormatting sqref="AA346">
    <cfRule type="expression" dxfId="186" priority="28694" stopIfTrue="1">
      <formula>ISERROR(AA346)</formula>
    </cfRule>
    <cfRule type="expression" dxfId="185" priority="28695" stopIfTrue="1">
      <formula>AND($B14&gt;0,AA346=0)</formula>
    </cfRule>
    <cfRule type="expression" dxfId="184" priority="28696" stopIfTrue="1">
      <formula>OR(AA346=0,$B14&lt;=0)</formula>
    </cfRule>
  </conditionalFormatting>
  <conditionalFormatting sqref="AA345">
    <cfRule type="expression" dxfId="183" priority="28709" stopIfTrue="1">
      <formula>ISERROR(AA345)</formula>
    </cfRule>
    <cfRule type="expression" dxfId="182" priority="28710" stopIfTrue="1">
      <formula>AND($B14&gt;0,AA345=0)</formula>
    </cfRule>
    <cfRule type="expression" dxfId="181" priority="28711" stopIfTrue="1">
      <formula>OR(AA345=0,$B14&lt;=0)</formula>
    </cfRule>
  </conditionalFormatting>
  <conditionalFormatting sqref="AA344">
    <cfRule type="expression" dxfId="180" priority="28724" stopIfTrue="1">
      <formula>ISERROR(AA344)</formula>
    </cfRule>
    <cfRule type="expression" dxfId="179" priority="28725" stopIfTrue="1">
      <formula>AND($B14&gt;0,AA344=0)</formula>
    </cfRule>
    <cfRule type="expression" dxfId="178" priority="28726" stopIfTrue="1">
      <formula>OR(AA344=0,$B14&lt;=0)</formula>
    </cfRule>
  </conditionalFormatting>
  <conditionalFormatting sqref="AA343">
    <cfRule type="expression" dxfId="177" priority="28739" stopIfTrue="1">
      <formula>ISERROR(AA343)</formula>
    </cfRule>
    <cfRule type="expression" dxfId="176" priority="28740" stopIfTrue="1">
      <formula>AND($B14&gt;0,AA343=0)</formula>
    </cfRule>
    <cfRule type="expression" dxfId="175" priority="28741" stopIfTrue="1">
      <formula>OR(AA343=0,$B14&lt;=0)</formula>
    </cfRule>
  </conditionalFormatting>
  <conditionalFormatting sqref="AA342:AA346">
    <cfRule type="expression" dxfId="174" priority="28754" stopIfTrue="1">
      <formula>ISERROR(AA342)</formula>
    </cfRule>
    <cfRule type="expression" dxfId="173" priority="28755" stopIfTrue="1">
      <formula>AND($B14&gt;0,AA342=0)</formula>
    </cfRule>
    <cfRule type="expression" dxfId="172" priority="28756" stopIfTrue="1">
      <formula>OR(AA342=0,$B14&lt;=0)</formula>
    </cfRule>
  </conditionalFormatting>
  <conditionalFormatting sqref="AA341">
    <cfRule type="expression" dxfId="171" priority="28769" stopIfTrue="1">
      <formula>ISERROR(AA341)</formula>
    </cfRule>
    <cfRule type="expression" dxfId="170" priority="28770" stopIfTrue="1">
      <formula>AND($B14&gt;0,AA341=0)</formula>
    </cfRule>
    <cfRule type="expression" dxfId="169" priority="28771" stopIfTrue="1">
      <formula>OR(AA341=0,$B14&lt;=0)</formula>
    </cfRule>
  </conditionalFormatting>
  <conditionalFormatting sqref="AA340">
    <cfRule type="expression" dxfId="168" priority="28784" stopIfTrue="1">
      <formula>ISERROR(AA340)</formula>
    </cfRule>
    <cfRule type="expression" dxfId="167" priority="28785" stopIfTrue="1">
      <formula>AND($B14&gt;0,AA340=0)</formula>
    </cfRule>
    <cfRule type="expression" dxfId="166" priority="28786" stopIfTrue="1">
      <formula>OR(AA340=0,$B14&lt;=0)</formula>
    </cfRule>
  </conditionalFormatting>
  <conditionalFormatting sqref="AA339">
    <cfRule type="expression" dxfId="165" priority="28799" stopIfTrue="1">
      <formula>ISERROR(AA339)</formula>
    </cfRule>
    <cfRule type="expression" dxfId="164" priority="28800" stopIfTrue="1">
      <formula>AND($B14&gt;0,AA339=0)</formula>
    </cfRule>
    <cfRule type="expression" dxfId="163" priority="28801" stopIfTrue="1">
      <formula>OR(AA339=0,$B14&lt;=0)</formula>
    </cfRule>
  </conditionalFormatting>
  <conditionalFormatting sqref="AA338">
    <cfRule type="expression" dxfId="162" priority="28814" stopIfTrue="1">
      <formula>ISERROR(AA338)</formula>
    </cfRule>
    <cfRule type="expression" dxfId="161" priority="28815" stopIfTrue="1">
      <formula>AND($B14&gt;0,AA338=0)</formula>
    </cfRule>
    <cfRule type="expression" dxfId="160" priority="28816" stopIfTrue="1">
      <formula>OR(AA338=0,$B14&lt;=0)</formula>
    </cfRule>
  </conditionalFormatting>
  <conditionalFormatting sqref="AA337">
    <cfRule type="expression" dxfId="159" priority="28829" stopIfTrue="1">
      <formula>ISERROR(AA337)</formula>
    </cfRule>
    <cfRule type="expression" dxfId="158" priority="28830" stopIfTrue="1">
      <formula>AND($B14&gt;0,AA337=0)</formula>
    </cfRule>
    <cfRule type="expression" dxfId="157" priority="28831" stopIfTrue="1">
      <formula>OR(AA337=0,$B14&lt;=0)</formula>
    </cfRule>
  </conditionalFormatting>
  <conditionalFormatting sqref="AA336">
    <cfRule type="expression" dxfId="156" priority="28844" stopIfTrue="1">
      <formula>ISERROR(AA336)</formula>
    </cfRule>
    <cfRule type="expression" dxfId="155" priority="28845" stopIfTrue="1">
      <formula>AND($B14&gt;0,AA336=0)</formula>
    </cfRule>
    <cfRule type="expression" dxfId="154" priority="28846" stopIfTrue="1">
      <formula>OR(AA336=0,$B14&lt;=0)</formula>
    </cfRule>
  </conditionalFormatting>
  <conditionalFormatting sqref="AA335">
    <cfRule type="expression" dxfId="153" priority="28859" stopIfTrue="1">
      <formula>ISERROR(AA335)</formula>
    </cfRule>
    <cfRule type="expression" dxfId="152" priority="28860" stopIfTrue="1">
      <formula>AND($B14&gt;0,AA335=0)</formula>
    </cfRule>
    <cfRule type="expression" dxfId="151" priority="28861" stopIfTrue="1">
      <formula>OR(AA335=0,$B14&lt;=0)</formula>
    </cfRule>
  </conditionalFormatting>
  <conditionalFormatting sqref="AA334">
    <cfRule type="expression" dxfId="150" priority="28874" stopIfTrue="1">
      <formula>ISERROR(AA334)</formula>
    </cfRule>
    <cfRule type="expression" dxfId="149" priority="28875" stopIfTrue="1">
      <formula>AND($B14&gt;0,AA334=0)</formula>
    </cfRule>
    <cfRule type="expression" dxfId="148" priority="28876" stopIfTrue="1">
      <formula>OR(AA334=0,$B14&lt;=0)</formula>
    </cfRule>
  </conditionalFormatting>
  <conditionalFormatting sqref="AA333">
    <cfRule type="expression" dxfId="147" priority="28889" stopIfTrue="1">
      <formula>ISERROR(AA333)</formula>
    </cfRule>
    <cfRule type="expression" dxfId="146" priority="28890" stopIfTrue="1">
      <formula>AND($B14&gt;0,AA333=0)</formula>
    </cfRule>
    <cfRule type="expression" dxfId="145" priority="28891" stopIfTrue="1">
      <formula>OR(AA333=0,$B14&lt;=0)</formula>
    </cfRule>
  </conditionalFormatting>
  <conditionalFormatting sqref="AA332">
    <cfRule type="expression" dxfId="144" priority="28904" stopIfTrue="1">
      <formula>ISERROR(AA332)</formula>
    </cfRule>
    <cfRule type="expression" dxfId="143" priority="28905" stopIfTrue="1">
      <formula>AND($B14&gt;0,AA332=0)</formula>
    </cfRule>
    <cfRule type="expression" dxfId="142" priority="28906" stopIfTrue="1">
      <formula>OR(AA332=0,$B14&lt;=0)</formula>
    </cfRule>
  </conditionalFormatting>
  <conditionalFormatting sqref="AA331">
    <cfRule type="expression" dxfId="141" priority="28919" stopIfTrue="1">
      <formula>ISERROR(AA331)</formula>
    </cfRule>
    <cfRule type="expression" dxfId="140" priority="28920" stopIfTrue="1">
      <formula>AND($B14&gt;0,AA331=0)</formula>
    </cfRule>
    <cfRule type="expression" dxfId="139" priority="28921" stopIfTrue="1">
      <formula>OR(AA331=0,$B14&lt;=0)</formula>
    </cfRule>
  </conditionalFormatting>
  <conditionalFormatting sqref="AA330">
    <cfRule type="expression" dxfId="138" priority="28934" stopIfTrue="1">
      <formula>ISERROR(AA330)</formula>
    </cfRule>
    <cfRule type="expression" dxfId="137" priority="28935" stopIfTrue="1">
      <formula>AND($B14&gt;0,AA330=0)</formula>
    </cfRule>
    <cfRule type="expression" dxfId="136" priority="28936" stopIfTrue="1">
      <formula>OR(AA330=0,$B14&lt;=0)</formula>
    </cfRule>
  </conditionalFormatting>
  <conditionalFormatting sqref="AA329">
    <cfRule type="expression" dxfId="135" priority="28949" stopIfTrue="1">
      <formula>ISERROR(AA329)</formula>
    </cfRule>
    <cfRule type="expression" dxfId="134" priority="28950" stopIfTrue="1">
      <formula>AND($B14&gt;0,AA329=0)</formula>
    </cfRule>
    <cfRule type="expression" dxfId="133" priority="28951" stopIfTrue="1">
      <formula>OR(AA329=0,$B14&lt;=0)</formula>
    </cfRule>
  </conditionalFormatting>
  <conditionalFormatting sqref="AA328">
    <cfRule type="expression" dxfId="132" priority="28964" stopIfTrue="1">
      <formula>ISERROR(AA328)</formula>
    </cfRule>
    <cfRule type="expression" dxfId="131" priority="28965" stopIfTrue="1">
      <formula>AND($B14&gt;0,AA328=0)</formula>
    </cfRule>
    <cfRule type="expression" dxfId="130" priority="28966" stopIfTrue="1">
      <formula>OR(AA328=0,$B14&lt;=0)</formula>
    </cfRule>
  </conditionalFormatting>
  <conditionalFormatting sqref="AA327">
    <cfRule type="expression" dxfId="129" priority="28979" stopIfTrue="1">
      <formula>ISERROR(AA327)</formula>
    </cfRule>
    <cfRule type="expression" dxfId="128" priority="28980" stopIfTrue="1">
      <formula>AND($B14&gt;0,AA327=0)</formula>
    </cfRule>
    <cfRule type="expression" dxfId="127" priority="28981" stopIfTrue="1">
      <formula>OR(AA327=0,$B14&lt;=0)</formula>
    </cfRule>
  </conditionalFormatting>
  <conditionalFormatting sqref="AA326">
    <cfRule type="expression" dxfId="126" priority="28994" stopIfTrue="1">
      <formula>ISERROR(AA326)</formula>
    </cfRule>
    <cfRule type="expression" dxfId="125" priority="28995" stopIfTrue="1">
      <formula>AND($B14&gt;0,AA326=0)</formula>
    </cfRule>
    <cfRule type="expression" dxfId="124" priority="28996" stopIfTrue="1">
      <formula>OR(AA326=0,$B14&lt;=0)</formula>
    </cfRule>
  </conditionalFormatting>
  <conditionalFormatting sqref="AA325">
    <cfRule type="expression" dxfId="123" priority="29009" stopIfTrue="1">
      <formula>ISERROR(AA325)</formula>
    </cfRule>
    <cfRule type="expression" dxfId="122" priority="29010" stopIfTrue="1">
      <formula>AND($B14&gt;0,AA325=0)</formula>
    </cfRule>
    <cfRule type="expression" dxfId="121" priority="29011" stopIfTrue="1">
      <formula>OR(AA325=0,$B14&lt;=0)</formula>
    </cfRule>
  </conditionalFormatting>
  <conditionalFormatting sqref="AA324">
    <cfRule type="expression" dxfId="120" priority="29024" stopIfTrue="1">
      <formula>ISERROR(AA324)</formula>
    </cfRule>
    <cfRule type="expression" dxfId="119" priority="29025" stopIfTrue="1">
      <formula>AND($B14&gt;0,AA324=0)</formula>
    </cfRule>
    <cfRule type="expression" dxfId="118" priority="29026" stopIfTrue="1">
      <formula>OR(AA324=0,$B14&lt;=0)</formula>
    </cfRule>
  </conditionalFormatting>
  <conditionalFormatting sqref="AA323">
    <cfRule type="expression" dxfId="117" priority="29039" stopIfTrue="1">
      <formula>ISERROR(AA323)</formula>
    </cfRule>
    <cfRule type="expression" dxfId="116" priority="29040" stopIfTrue="1">
      <formula>AND($B14&gt;0,AA323=0)</formula>
    </cfRule>
    <cfRule type="expression" dxfId="115" priority="29041" stopIfTrue="1">
      <formula>OR(AA323=0,$B14&lt;=0)</formula>
    </cfRule>
  </conditionalFormatting>
  <conditionalFormatting sqref="AA322">
    <cfRule type="expression" dxfId="114" priority="29054" stopIfTrue="1">
      <formula>ISERROR(AA322)</formula>
    </cfRule>
    <cfRule type="expression" dxfId="113" priority="29055" stopIfTrue="1">
      <formula>AND($B14&gt;0,AA322=0)</formula>
    </cfRule>
    <cfRule type="expression" dxfId="112" priority="29056" stopIfTrue="1">
      <formula>OR(AA322=0,$B14&lt;=0)</formula>
    </cfRule>
  </conditionalFormatting>
  <conditionalFormatting sqref="AA321">
    <cfRule type="expression" dxfId="111" priority="29069" stopIfTrue="1">
      <formula>ISERROR(AA321)</formula>
    </cfRule>
    <cfRule type="expression" dxfId="110" priority="29070" stopIfTrue="1">
      <formula>AND($B14&gt;0,AA321=0)</formula>
    </cfRule>
    <cfRule type="expression" dxfId="109" priority="29071" stopIfTrue="1">
      <formula>OR(AA321=0,$B14&lt;=0)</formula>
    </cfRule>
  </conditionalFormatting>
  <conditionalFormatting sqref="AA320">
    <cfRule type="expression" dxfId="108" priority="29084" stopIfTrue="1">
      <formula>ISERROR(AA320)</formula>
    </cfRule>
    <cfRule type="expression" dxfId="107" priority="29085" stopIfTrue="1">
      <formula>AND($B14&gt;0,AA320=0)</formula>
    </cfRule>
    <cfRule type="expression" dxfId="106" priority="29086" stopIfTrue="1">
      <formula>OR(AA320=0,$B14&lt;=0)</formula>
    </cfRule>
  </conditionalFormatting>
  <conditionalFormatting sqref="AA319">
    <cfRule type="expression" dxfId="105" priority="29099" stopIfTrue="1">
      <formula>ISERROR(AA319)</formula>
    </cfRule>
    <cfRule type="expression" dxfId="104" priority="29100" stopIfTrue="1">
      <formula>AND($B14&gt;0,AA319=0)</formula>
    </cfRule>
    <cfRule type="expression" dxfId="103" priority="29101" stopIfTrue="1">
      <formula>OR(AA319=0,$B14&lt;=0)</formula>
    </cfRule>
  </conditionalFormatting>
  <conditionalFormatting sqref="AA318">
    <cfRule type="expression" dxfId="102" priority="29114" stopIfTrue="1">
      <formula>ISERROR(AA318)</formula>
    </cfRule>
    <cfRule type="expression" dxfId="101" priority="29115" stopIfTrue="1">
      <formula>AND($B14&gt;0,AA318=0)</formula>
    </cfRule>
    <cfRule type="expression" dxfId="100" priority="29116" stopIfTrue="1">
      <formula>OR(AA318=0,$B14&lt;=0)</formula>
    </cfRule>
  </conditionalFormatting>
  <conditionalFormatting sqref="AA317">
    <cfRule type="expression" dxfId="99" priority="29129" stopIfTrue="1">
      <formula>ISERROR(AA317)</formula>
    </cfRule>
    <cfRule type="expression" dxfId="98" priority="29130" stopIfTrue="1">
      <formula>AND($B14&gt;0,AA317=0)</formula>
    </cfRule>
    <cfRule type="expression" dxfId="97" priority="29131" stopIfTrue="1">
      <formula>OR(AA317=0,$B14&lt;=0)</formula>
    </cfRule>
  </conditionalFormatting>
  <conditionalFormatting sqref="AA316">
    <cfRule type="expression" dxfId="96" priority="29144" stopIfTrue="1">
      <formula>ISERROR(AA316)</formula>
    </cfRule>
    <cfRule type="expression" dxfId="95" priority="29145" stopIfTrue="1">
      <formula>AND($B14&gt;0,AA316=0)</formula>
    </cfRule>
    <cfRule type="expression" dxfId="94" priority="29146" stopIfTrue="1">
      <formula>OR(AA316=0,$B14&lt;=0)</formula>
    </cfRule>
  </conditionalFormatting>
  <conditionalFormatting sqref="AA315">
    <cfRule type="expression" dxfId="93" priority="29159" stopIfTrue="1">
      <formula>ISERROR(AA315)</formula>
    </cfRule>
    <cfRule type="expression" dxfId="92" priority="29160" stopIfTrue="1">
      <formula>AND($B14&gt;0,AA315=0)</formula>
    </cfRule>
    <cfRule type="expression" dxfId="91" priority="29161" stopIfTrue="1">
      <formula>OR(AA315=0,$B14&lt;=0)</formula>
    </cfRule>
  </conditionalFormatting>
  <conditionalFormatting sqref="AA314">
    <cfRule type="expression" dxfId="90" priority="29174" stopIfTrue="1">
      <formula>ISERROR(AA314)</formula>
    </cfRule>
    <cfRule type="expression" dxfId="89" priority="29175" stopIfTrue="1">
      <formula>AND($B14&gt;0,AA314=0)</formula>
    </cfRule>
    <cfRule type="expression" dxfId="88" priority="29176" stopIfTrue="1">
      <formula>OR(AA314=0,$B14&lt;=0)</formula>
    </cfRule>
  </conditionalFormatting>
  <conditionalFormatting sqref="AA313">
    <cfRule type="expression" dxfId="87" priority="29189" stopIfTrue="1">
      <formula>ISERROR(AA313)</formula>
    </cfRule>
    <cfRule type="expression" dxfId="86" priority="29190" stopIfTrue="1">
      <formula>AND($B14&gt;0,AA313=0)</formula>
    </cfRule>
    <cfRule type="expression" dxfId="85" priority="29191" stopIfTrue="1">
      <formula>OR(AA313=0,$B14&lt;=0)</formula>
    </cfRule>
  </conditionalFormatting>
  <conditionalFormatting sqref="AA312">
    <cfRule type="expression" dxfId="84" priority="29204" stopIfTrue="1">
      <formula>ISERROR(AA312)</formula>
    </cfRule>
    <cfRule type="expression" dxfId="83" priority="29205" stopIfTrue="1">
      <formula>AND($B14&gt;0,AA312=0)</formula>
    </cfRule>
    <cfRule type="expression" dxfId="82" priority="29206" stopIfTrue="1">
      <formula>OR(AA312=0,$B14&lt;=0)</formula>
    </cfRule>
  </conditionalFormatting>
  <conditionalFormatting sqref="AA311">
    <cfRule type="expression" dxfId="81" priority="29219" stopIfTrue="1">
      <formula>ISERROR(AA311)</formula>
    </cfRule>
    <cfRule type="expression" dxfId="80" priority="29220" stopIfTrue="1">
      <formula>AND($B14&gt;0,AA311=0)</formula>
    </cfRule>
    <cfRule type="expression" dxfId="79" priority="29221" stopIfTrue="1">
      <formula>OR(AA311=0,$B14&lt;=0)</formula>
    </cfRule>
  </conditionalFormatting>
  <conditionalFormatting sqref="AA310">
    <cfRule type="expression" dxfId="78" priority="29234" stopIfTrue="1">
      <formula>ISERROR(AA310)</formula>
    </cfRule>
    <cfRule type="expression" dxfId="77" priority="29235" stopIfTrue="1">
      <formula>AND($B14&gt;0,AA310=0)</formula>
    </cfRule>
    <cfRule type="expression" dxfId="76" priority="29236" stopIfTrue="1">
      <formula>OR(AA310=0,$B14&lt;=0)</formula>
    </cfRule>
  </conditionalFormatting>
  <conditionalFormatting sqref="AA309">
    <cfRule type="expression" dxfId="75" priority="29249" stopIfTrue="1">
      <formula>ISERROR(AA309)</formula>
    </cfRule>
    <cfRule type="expression" dxfId="74" priority="29250" stopIfTrue="1">
      <formula>AND($B14&gt;0,AA309=0)</formula>
    </cfRule>
    <cfRule type="expression" dxfId="73" priority="29251" stopIfTrue="1">
      <formula>OR(AA309=0,$B14&lt;=0)</formula>
    </cfRule>
  </conditionalFormatting>
  <conditionalFormatting sqref="AA308">
    <cfRule type="expression" dxfId="72" priority="29264" stopIfTrue="1">
      <formula>ISERROR(AA308)</formula>
    </cfRule>
    <cfRule type="expression" dxfId="71" priority="29265" stopIfTrue="1">
      <formula>AND($B14&gt;0,AA308=0)</formula>
    </cfRule>
    <cfRule type="expression" dxfId="70" priority="29266" stopIfTrue="1">
      <formula>OR(AA308=0,$B14&lt;=0)</formula>
    </cfRule>
  </conditionalFormatting>
  <conditionalFormatting sqref="AA307">
    <cfRule type="expression" dxfId="69" priority="29279" stopIfTrue="1">
      <formula>ISERROR(AA307)</formula>
    </cfRule>
    <cfRule type="expression" dxfId="68" priority="29280" stopIfTrue="1">
      <formula>AND($B14&gt;0,AA307=0)</formula>
    </cfRule>
    <cfRule type="expression" dxfId="67" priority="29281" stopIfTrue="1">
      <formula>OR(AA307=0,$B14&lt;=0)</formula>
    </cfRule>
  </conditionalFormatting>
  <conditionalFormatting sqref="AA306">
    <cfRule type="expression" dxfId="66" priority="29294" stopIfTrue="1">
      <formula>ISERROR(AA306)</formula>
    </cfRule>
    <cfRule type="expression" dxfId="65" priority="29295" stopIfTrue="1">
      <formula>AND($B14&gt;0,AA306=0)</formula>
    </cfRule>
    <cfRule type="expression" dxfId="64" priority="29296" stopIfTrue="1">
      <formula>OR(AA306=0,$B14&lt;=0)</formula>
    </cfRule>
  </conditionalFormatting>
  <conditionalFormatting sqref="AA305">
    <cfRule type="expression" dxfId="63" priority="29309" stopIfTrue="1">
      <formula>ISERROR(AA305)</formula>
    </cfRule>
    <cfRule type="expression" dxfId="62" priority="29310" stopIfTrue="1">
      <formula>AND($B14&gt;0,AA305=0)</formula>
    </cfRule>
    <cfRule type="expression" dxfId="61" priority="29311" stopIfTrue="1">
      <formula>OR(AA305=0,$B14&lt;=0)</formula>
    </cfRule>
  </conditionalFormatting>
  <conditionalFormatting sqref="AA304">
    <cfRule type="expression" dxfId="60" priority="29324" stopIfTrue="1">
      <formula>ISERROR(AA304)</formula>
    </cfRule>
    <cfRule type="expression" dxfId="59" priority="29325" stopIfTrue="1">
      <formula>AND($B14&gt;0,AA304=0)</formula>
    </cfRule>
    <cfRule type="expression" dxfId="58" priority="29326" stopIfTrue="1">
      <formula>OR(AA304=0,$B14&lt;=0)</formula>
    </cfRule>
  </conditionalFormatting>
  <conditionalFormatting sqref="AA303">
    <cfRule type="expression" dxfId="57" priority="29339" stopIfTrue="1">
      <formula>ISERROR(AA303)</formula>
    </cfRule>
    <cfRule type="expression" dxfId="56" priority="29340" stopIfTrue="1">
      <formula>AND($B14&gt;0,AA303=0)</formula>
    </cfRule>
    <cfRule type="expression" dxfId="55" priority="29341" stopIfTrue="1">
      <formula>OR(AA303=0,$B14&lt;=0)</formula>
    </cfRule>
  </conditionalFormatting>
  <conditionalFormatting sqref="AA302">
    <cfRule type="expression" dxfId="54" priority="29354" stopIfTrue="1">
      <formula>ISERROR(AA302)</formula>
    </cfRule>
    <cfRule type="expression" dxfId="53" priority="29355" stopIfTrue="1">
      <formula>AND($B14&gt;0,AA302=0)</formula>
    </cfRule>
    <cfRule type="expression" dxfId="52" priority="29356" stopIfTrue="1">
      <formula>OR(AA302=0,$B14&lt;=0)</formula>
    </cfRule>
  </conditionalFormatting>
  <conditionalFormatting sqref="AA301">
    <cfRule type="expression" dxfId="51" priority="29369" stopIfTrue="1">
      <formula>ISERROR(AA301)</formula>
    </cfRule>
    <cfRule type="expression" dxfId="50" priority="29370" stopIfTrue="1">
      <formula>AND($B14&gt;0,AA301=0)</formula>
    </cfRule>
    <cfRule type="expression" dxfId="49" priority="29371" stopIfTrue="1">
      <formula>OR(AA301=0,$B14&lt;=0)</formula>
    </cfRule>
  </conditionalFormatting>
  <conditionalFormatting sqref="AP9:AS67 AP10:AP68">
    <cfRule type="expression" dxfId="48" priority="13" stopIfTrue="1">
      <formula>ISERROR(AP9)</formula>
    </cfRule>
    <cfRule type="expression" dxfId="47" priority="14" stopIfTrue="1">
      <formula>AND($B5&gt;0,AP9=0)</formula>
    </cfRule>
    <cfRule type="expression" dxfId="46" priority="15" stopIfTrue="1">
      <formula>OR(AP9=0,$B5&lt;=0)</formula>
    </cfRule>
  </conditionalFormatting>
  <conditionalFormatting sqref="X140:X332">
    <cfRule type="expression" dxfId="45" priority="10" stopIfTrue="1">
      <formula>ISERROR(X140)</formula>
    </cfRule>
    <cfRule type="expression" dxfId="44" priority="11" stopIfTrue="1">
      <formula>AND($B140&gt;0,X140=0)</formula>
    </cfRule>
    <cfRule type="expression" dxfId="43" priority="12" stopIfTrue="1">
      <formula>OR(X140=0,$B140&lt;=0)</formula>
    </cfRule>
  </conditionalFormatting>
  <conditionalFormatting sqref="AB389:AH389 B389:Z389 X388 AB5:AH387 B5:Z387">
    <cfRule type="expression" dxfId="42" priority="41" stopIfTrue="1">
      <formula>AND($B5&gt;0,B5=0)</formula>
    </cfRule>
  </conditionalFormatting>
  <conditionalFormatting sqref="AA5:AA384">
    <cfRule type="expression" dxfId="41" priority="29376" stopIfTrue="1">
      <formula>ISERROR(AA5)</formula>
    </cfRule>
    <cfRule type="expression" dxfId="40" priority="29377" stopIfTrue="1">
      <formula>AND(#REF!&gt;0,AA5=0)</formula>
    </cfRule>
    <cfRule type="expression" dxfId="39" priority="29378" stopIfTrue="1">
      <formula>OR(AA5=0,#REF!&lt;=0)</formula>
    </cfRule>
  </conditionalFormatting>
  <conditionalFormatting sqref="AA280">
    <cfRule type="expression" dxfId="38" priority="29388" stopIfTrue="1">
      <formula>ISERROR(AA280)</formula>
    </cfRule>
    <cfRule type="expression" dxfId="37" priority="29389" stopIfTrue="1">
      <formula>AND(#REF!&gt;0,AA280=0)</formula>
    </cfRule>
    <cfRule type="expression" dxfId="36" priority="29390" stopIfTrue="1">
      <formula>OR(AA280=0,#REF!&lt;=0)</formula>
    </cfRule>
  </conditionalFormatting>
  <conditionalFormatting sqref="AM240:AM258">
    <cfRule type="expression" dxfId="35" priority="5" stopIfTrue="1">
      <formula>ISERROR(AM240)</formula>
    </cfRule>
    <cfRule type="expression" dxfId="34" priority="6" stopIfTrue="1">
      <formula>OR(AM240=0,$B240&lt;=0)</formula>
    </cfRule>
  </conditionalFormatting>
  <conditionalFormatting sqref="AM240:AM258">
    <cfRule type="expression" dxfId="33" priority="2" stopIfTrue="1">
      <formula>ISERROR(AM240)</formula>
    </cfRule>
    <cfRule type="expression" dxfId="32" priority="3" stopIfTrue="1">
      <formula>AND($B240&gt;0,AM240=0)</formula>
    </cfRule>
    <cfRule type="expression" dxfId="31" priority="4" stopIfTrue="1">
      <formula>OR(AM240=0,$B240&lt;=0)</formula>
    </cfRule>
  </conditionalFormatting>
  <conditionalFormatting sqref="AM240:AM258">
    <cfRule type="expression" dxfId="30" priority="1" stopIfTrue="1">
      <formula>AND($B240&gt;0,AM240=0)</formula>
    </cfRule>
  </conditionalFormatting>
  <pageMargins left="0.75" right="0.75" top="1" bottom="1" header="0.5" footer="0.5"/>
  <pageSetup scale="72"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12"/>
  <dimension ref="A1:AH29"/>
  <sheetViews>
    <sheetView workbookViewId="0">
      <pane xSplit="2" ySplit="2" topLeftCell="C3" activePane="bottomRight" state="frozen"/>
      <selection activeCell="AR9" sqref="AR9"/>
      <selection pane="topRight" activeCell="AR9" sqref="AR9"/>
      <selection pane="bottomLeft" activeCell="AR9" sqref="AR9"/>
      <selection pane="bottomRight" activeCell="F47" sqref="F47"/>
    </sheetView>
  </sheetViews>
  <sheetFormatPr defaultRowHeight="12.75"/>
  <cols>
    <col min="1" max="1" width="32.42578125" customWidth="1"/>
    <col min="2" max="2" width="4.570312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c r="A1" s="1145" t="s">
        <v>61</v>
      </c>
      <c r="B1" s="1145"/>
      <c r="C1" s="1145"/>
      <c r="D1" s="1145"/>
      <c r="E1" s="1145"/>
      <c r="F1" s="1145"/>
      <c r="G1" s="1145"/>
      <c r="H1" s="1145"/>
      <c r="I1" s="1145"/>
    </row>
    <row r="2" spans="1:34" s="7" customFormat="1">
      <c r="A2" s="1213" t="s">
        <v>62</v>
      </c>
      <c r="B2" s="1214"/>
      <c r="C2" s="1214"/>
      <c r="D2" s="1214"/>
      <c r="E2" s="1214"/>
      <c r="F2" s="1214"/>
      <c r="G2" s="1214"/>
      <c r="H2" s="1214"/>
      <c r="I2" s="1214"/>
    </row>
    <row r="3" spans="1:34" s="7" customFormat="1">
      <c r="A3" s="8"/>
      <c r="B3" s="8"/>
      <c r="C3" s="26" t="s">
        <v>261</v>
      </c>
      <c r="D3" s="104">
        <v>41821</v>
      </c>
      <c r="E3" s="9"/>
      <c r="F3" s="9"/>
      <c r="G3" s="9"/>
      <c r="H3" s="9"/>
      <c r="I3" s="5"/>
    </row>
    <row r="4" spans="1:34" s="7" customFormat="1" ht="12" customHeight="1">
      <c r="A4" s="10"/>
      <c r="B4" s="10"/>
      <c r="C4" s="11"/>
      <c r="D4" s="12"/>
      <c r="G4" s="13"/>
      <c r="H4" s="13"/>
    </row>
    <row r="5" spans="1:34" s="17" customFormat="1" ht="12" thickBot="1">
      <c r="A5" s="14" t="s">
        <v>22</v>
      </c>
      <c r="B5" s="14"/>
      <c r="C5" s="15"/>
      <c r="D5" s="15"/>
      <c r="E5" s="16"/>
      <c r="F5" s="16"/>
      <c r="G5" s="16"/>
      <c r="H5" s="16"/>
      <c r="I5" s="16" t="s">
        <v>10</v>
      </c>
    </row>
    <row r="6" spans="1:34" s="17" customFormat="1" ht="13.5" customHeight="1">
      <c r="A6" s="18"/>
      <c r="B6" s="27"/>
      <c r="C6" s="35" t="str">
        <f t="shared" ref="C6:AG6" si="0">CHOOSE(WEEKDAY(C7,2),"Monday","Tuesday","Wednesday","Thursday","Friday","Saturday","Sunday")</f>
        <v>Tuesday</v>
      </c>
      <c r="D6" s="35" t="str">
        <f t="shared" si="0"/>
        <v>Wednesday</v>
      </c>
      <c r="E6" s="35" t="str">
        <f t="shared" si="0"/>
        <v>Thursday</v>
      </c>
      <c r="F6" s="35" t="str">
        <f t="shared" si="0"/>
        <v>Friday</v>
      </c>
      <c r="G6" s="35" t="str">
        <f t="shared" si="0"/>
        <v>Saturday</v>
      </c>
      <c r="H6" s="35" t="str">
        <f t="shared" si="0"/>
        <v>Sunday</v>
      </c>
      <c r="I6" s="35" t="str">
        <f t="shared" si="0"/>
        <v>Monday</v>
      </c>
      <c r="J6" s="35" t="str">
        <f t="shared" si="0"/>
        <v>Tuesday</v>
      </c>
      <c r="K6" s="35" t="str">
        <f t="shared" si="0"/>
        <v>Wednesday</v>
      </c>
      <c r="L6" s="35" t="str">
        <f t="shared" si="0"/>
        <v>Thursday</v>
      </c>
      <c r="M6" s="35" t="str">
        <f t="shared" si="0"/>
        <v>Friday</v>
      </c>
      <c r="N6" s="35" t="str">
        <f t="shared" si="0"/>
        <v>Saturday</v>
      </c>
      <c r="O6" s="35" t="str">
        <f t="shared" si="0"/>
        <v>Sunday</v>
      </c>
      <c r="P6" s="35" t="str">
        <f t="shared" si="0"/>
        <v>Monday</v>
      </c>
      <c r="Q6" s="35" t="str">
        <f t="shared" si="0"/>
        <v>Tuesday</v>
      </c>
      <c r="R6" s="35" t="str">
        <f t="shared" si="0"/>
        <v>Wednesday</v>
      </c>
      <c r="S6" s="35" t="str">
        <f t="shared" si="0"/>
        <v>Thursday</v>
      </c>
      <c r="T6" s="35" t="str">
        <f t="shared" si="0"/>
        <v>Friday</v>
      </c>
      <c r="U6" s="35" t="str">
        <f t="shared" si="0"/>
        <v>Saturday</v>
      </c>
      <c r="V6" s="35" t="str">
        <f t="shared" si="0"/>
        <v>Sunday</v>
      </c>
      <c r="W6" s="35" t="str">
        <f t="shared" si="0"/>
        <v>Monday</v>
      </c>
      <c r="X6" s="35" t="str">
        <f t="shared" si="0"/>
        <v>Tuesday</v>
      </c>
      <c r="Y6" s="35" t="str">
        <f t="shared" si="0"/>
        <v>Wednesday</v>
      </c>
      <c r="Z6" s="35" t="str">
        <f t="shared" si="0"/>
        <v>Thursday</v>
      </c>
      <c r="AA6" s="35" t="str">
        <f t="shared" si="0"/>
        <v>Friday</v>
      </c>
      <c r="AB6" s="35" t="str">
        <f t="shared" si="0"/>
        <v>Saturday</v>
      </c>
      <c r="AC6" s="35" t="str">
        <f t="shared" si="0"/>
        <v>Sunday</v>
      </c>
      <c r="AD6" s="35" t="str">
        <f t="shared" si="0"/>
        <v>Monday</v>
      </c>
      <c r="AE6" s="35" t="str">
        <f t="shared" si="0"/>
        <v>Tuesday</v>
      </c>
      <c r="AF6" s="35" t="str">
        <f t="shared" si="0"/>
        <v>Wednesday</v>
      </c>
      <c r="AG6" s="35" t="str">
        <f t="shared" si="0"/>
        <v>Thursday</v>
      </c>
    </row>
    <row r="7" spans="1:34" s="17" customFormat="1" ht="15" customHeight="1" thickBot="1">
      <c r="A7" s="19"/>
      <c r="B7" s="28"/>
      <c r="C7" s="36">
        <f>D3</f>
        <v>41821</v>
      </c>
      <c r="D7" s="36">
        <f>C7+1</f>
        <v>41822</v>
      </c>
      <c r="E7" s="36">
        <f t="shared" ref="E7:AG7" si="1">D7+1</f>
        <v>41823</v>
      </c>
      <c r="F7" s="36">
        <f t="shared" si="1"/>
        <v>41824</v>
      </c>
      <c r="G7" s="36">
        <f t="shared" si="1"/>
        <v>41825</v>
      </c>
      <c r="H7" s="36">
        <f t="shared" si="1"/>
        <v>41826</v>
      </c>
      <c r="I7" s="36">
        <f t="shared" si="1"/>
        <v>41827</v>
      </c>
      <c r="J7" s="36">
        <f t="shared" si="1"/>
        <v>41828</v>
      </c>
      <c r="K7" s="36">
        <f t="shared" si="1"/>
        <v>41829</v>
      </c>
      <c r="L7" s="36">
        <f t="shared" si="1"/>
        <v>41830</v>
      </c>
      <c r="M7" s="36">
        <f t="shared" si="1"/>
        <v>41831</v>
      </c>
      <c r="N7" s="36">
        <f t="shared" si="1"/>
        <v>41832</v>
      </c>
      <c r="O7" s="36">
        <f t="shared" si="1"/>
        <v>41833</v>
      </c>
      <c r="P7" s="36">
        <f t="shared" si="1"/>
        <v>41834</v>
      </c>
      <c r="Q7" s="36">
        <f t="shared" si="1"/>
        <v>41835</v>
      </c>
      <c r="R7" s="36">
        <f t="shared" si="1"/>
        <v>41836</v>
      </c>
      <c r="S7" s="36">
        <f t="shared" si="1"/>
        <v>41837</v>
      </c>
      <c r="T7" s="36">
        <f t="shared" si="1"/>
        <v>41838</v>
      </c>
      <c r="U7" s="36">
        <f t="shared" si="1"/>
        <v>41839</v>
      </c>
      <c r="V7" s="36">
        <f t="shared" si="1"/>
        <v>41840</v>
      </c>
      <c r="W7" s="36">
        <f t="shared" si="1"/>
        <v>41841</v>
      </c>
      <c r="X7" s="36">
        <f t="shared" si="1"/>
        <v>41842</v>
      </c>
      <c r="Y7" s="36">
        <f t="shared" si="1"/>
        <v>41843</v>
      </c>
      <c r="Z7" s="36">
        <f t="shared" si="1"/>
        <v>41844</v>
      </c>
      <c r="AA7" s="36">
        <f t="shared" si="1"/>
        <v>41845</v>
      </c>
      <c r="AB7" s="36">
        <f t="shared" si="1"/>
        <v>41846</v>
      </c>
      <c r="AC7" s="36">
        <f t="shared" si="1"/>
        <v>41847</v>
      </c>
      <c r="AD7" s="36">
        <f t="shared" si="1"/>
        <v>41848</v>
      </c>
      <c r="AE7" s="36">
        <f t="shared" si="1"/>
        <v>41849</v>
      </c>
      <c r="AF7" s="36">
        <f t="shared" si="1"/>
        <v>41850</v>
      </c>
      <c r="AG7" s="36">
        <f t="shared" si="1"/>
        <v>41851</v>
      </c>
    </row>
    <row r="8" spans="1:34" s="20" customFormat="1" ht="13.5" thickBot="1">
      <c r="A8" s="352" t="s">
        <v>254</v>
      </c>
      <c r="B8" s="352"/>
      <c r="C8" s="351"/>
      <c r="D8" s="351"/>
      <c r="E8" s="351"/>
      <c r="F8" s="351"/>
      <c r="G8" s="351"/>
      <c r="H8" s="351"/>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row>
    <row r="9" spans="1:34">
      <c r="A9" s="21" t="s">
        <v>249</v>
      </c>
      <c r="B9" s="42" t="s">
        <v>13</v>
      </c>
      <c r="C9" s="43">
        <f>VLOOKUP(C7,Sheet1!$B$8:$HT$528,26,FALSE)</f>
        <v>42.4</v>
      </c>
      <c r="D9" s="38">
        <f>VLOOKUP(D7,Sheet1!$B$8:$HT$528,26,FALSE)</f>
        <v>42.3</v>
      </c>
      <c r="E9" s="38">
        <f>VLOOKUP(E7,Sheet1!$B$8:$HT$528,26,FALSE)</f>
        <v>41.85</v>
      </c>
      <c r="F9" s="38">
        <f>VLOOKUP(F7,Sheet1!$B$8:$HT$528,26,FALSE)</f>
        <v>41.55</v>
      </c>
      <c r="G9" s="38">
        <f>VLOOKUP(G7,Sheet1!$B$8:$HT$528,26,FALSE)</f>
        <v>41.5</v>
      </c>
      <c r="H9" s="38">
        <f>VLOOKUP(H7,Sheet1!$B$8:$HT$528,26,FALSE)</f>
        <v>41.7</v>
      </c>
      <c r="I9" s="38">
        <f>VLOOKUP(I7,Sheet1!$B$8:$HT$528,26,FALSE)</f>
        <v>41.22</v>
      </c>
      <c r="J9" s="38">
        <f>VLOOKUP(J7,Sheet1!$B$8:$HT$528,26,FALSE)</f>
        <v>41.2</v>
      </c>
      <c r="K9" s="38">
        <f>VLOOKUP(K7,Sheet1!$B$8:$HT$528,26,FALSE)</f>
        <v>43.58</v>
      </c>
      <c r="L9" s="38">
        <f>VLOOKUP(L7,Sheet1!$B$8:$HT$528,26,FALSE)</f>
        <v>48.32</v>
      </c>
      <c r="M9" s="38">
        <f>VLOOKUP(M7,Sheet1!$B$8:$HT$528,26,FALSE)</f>
        <v>47.4</v>
      </c>
      <c r="N9" s="38">
        <f>VLOOKUP(N7,Sheet1!$B$8:$HT$528,26,FALSE)</f>
        <v>47.4</v>
      </c>
      <c r="O9" s="38">
        <f>VLOOKUP(O7,Sheet1!$B$8:$HT$528,26,FALSE)</f>
        <v>47.4</v>
      </c>
      <c r="P9" s="38">
        <f>VLOOKUP(P7,Sheet1!$B$8:$HT$528,26,FALSE)</f>
        <v>47.4</v>
      </c>
      <c r="Q9" s="38">
        <f>VLOOKUP(Q7,Sheet1!$B$8:$HT$528,26,FALSE)</f>
        <v>47.4</v>
      </c>
      <c r="R9" s="38">
        <f>VLOOKUP(R7,Sheet1!$B$8:$HT$528,26,FALSE)</f>
        <v>47.3</v>
      </c>
      <c r="S9" s="38">
        <f>VLOOKUP(S7,Sheet1!$B$8:$HT$528,26,FALSE)</f>
        <v>46.7</v>
      </c>
      <c r="T9" s="38">
        <f>VLOOKUP(T7,Sheet1!$B$8:$HT$528,26,FALSE)</f>
        <v>47.68</v>
      </c>
      <c r="U9" s="38">
        <f>VLOOKUP(U7,Sheet1!$B$8:$HT$528,26,FALSE)</f>
        <v>47.82</v>
      </c>
      <c r="V9" s="38">
        <f>VLOOKUP(V7,Sheet1!$B$8:$HT$528,26,FALSE)</f>
        <v>47.9</v>
      </c>
      <c r="W9" s="38">
        <f>VLOOKUP(W7,Sheet1!$B$8:$HT$528,26,FALSE)</f>
        <v>47.88</v>
      </c>
      <c r="X9" s="38">
        <f>VLOOKUP(X7,Sheet1!$B$8:$HT$528,26,FALSE)</f>
        <v>47.66</v>
      </c>
      <c r="Y9" s="38">
        <f>VLOOKUP(Y7,Sheet1!$B$8:$HT$528,26,FALSE)</f>
        <v>47.86</v>
      </c>
      <c r="Z9" s="38">
        <f>VLOOKUP(Z7,Sheet1!$B$8:$HT$528,26,FALSE)</f>
        <v>42.4</v>
      </c>
      <c r="AA9" s="38">
        <f>VLOOKUP(AA7,Sheet1!$B$8:$HT$528,26,FALSE)</f>
        <v>40.42</v>
      </c>
      <c r="AB9" s="38">
        <f>VLOOKUP(AB7,Sheet1!$B$8:$HT$528,26,FALSE)</f>
        <v>43.05</v>
      </c>
      <c r="AC9" s="38">
        <f>VLOOKUP(AC7,Sheet1!$B$8:$HT$528,26,FALSE)</f>
        <v>43.02</v>
      </c>
      <c r="AD9" s="38">
        <f>VLOOKUP(AD7,Sheet1!$B$8:$HT$528,26,FALSE)</f>
        <v>45.51</v>
      </c>
      <c r="AE9" s="38">
        <f>VLOOKUP(AE7,Sheet1!$B$8:$HT$528,26,FALSE)</f>
        <v>47.91</v>
      </c>
      <c r="AF9" s="38">
        <f>VLOOKUP(AF7,Sheet1!$B$8:$HT$528,26,FALSE)</f>
        <v>50.19</v>
      </c>
      <c r="AG9" s="860">
        <f>VLOOKUP(AG7,Sheet1!$B$8:$HT$528,26,FALSE)</f>
        <v>53.8</v>
      </c>
    </row>
    <row r="10" spans="1:34">
      <c r="A10" s="21" t="s">
        <v>250</v>
      </c>
      <c r="B10" s="22" t="s">
        <v>13</v>
      </c>
      <c r="C10" s="44">
        <f>VLOOKUP(C7,Calculation!$B$8:$JF$517,42,FALSE)</f>
        <v>22.979057591623036</v>
      </c>
      <c r="D10" s="37">
        <f>VLOOKUP(D7,Calculation!$B$8:$JF$517,42,FALSE)</f>
        <v>22.698826040554962</v>
      </c>
      <c r="E10" s="37">
        <f>VLOOKUP(E7,Calculation!$B$8:$JF$517,42,FALSE)</f>
        <v>27.345106484804973</v>
      </c>
      <c r="F10" s="37">
        <f>VLOOKUP(F7,Calculation!$B$8:$JF$517,42,FALSE)</f>
        <v>29.597009102730816</v>
      </c>
      <c r="G10" s="37">
        <f>VLOOKUP(G7,Calculation!$B$8:$JF$517,42,FALSE)</f>
        <v>29.404117009750813</v>
      </c>
      <c r="H10" s="37">
        <f>VLOOKUP(H7,Calculation!$B$8:$JF$517,42,FALSE)</f>
        <v>27.787348586810229</v>
      </c>
      <c r="I10" s="37">
        <f>VLOOKUP(I7,Calculation!$B$8:$JF$517,42,FALSE)</f>
        <v>29.229300042680325</v>
      </c>
      <c r="J10" s="37">
        <f>VLOOKUP(J7,Calculation!$B$8:$JF$517,42,FALSE)</f>
        <v>30.89801096001624</v>
      </c>
      <c r="K10" s="37">
        <f>VLOOKUP(K7,Calculation!$B$8:$JF$517,42,FALSE)</f>
        <v>29.288636363636368</v>
      </c>
      <c r="L10" s="37">
        <f>VLOOKUP(L7,Calculation!$B$8:$JF$517,42,FALSE)</f>
        <v>27.385391533230969</v>
      </c>
      <c r="M10" s="37">
        <f>VLOOKUP(M7,Calculation!$B$8:$JF$517,42,FALSE)</f>
        <v>32.377589453860637</v>
      </c>
      <c r="N10" s="37">
        <f>VLOOKUP(N7,Calculation!$B$8:$JF$517,42,FALSE)</f>
        <v>31.410067618332086</v>
      </c>
      <c r="O10" s="37">
        <f>VLOOKUP(O7,Calculation!$B$8:$JF$517,42,FALSE)</f>
        <v>31.428733031674209</v>
      </c>
      <c r="P10" s="37">
        <f>VLOOKUP(P7,Calculation!$B$8:$JF$517,42,FALSE)</f>
        <v>31.997231638418079</v>
      </c>
      <c r="Q10" s="37">
        <f>VLOOKUP(Q7,Calculation!$B$8:$JF$517,42,FALSE)</f>
        <v>31.966433169254067</v>
      </c>
      <c r="R10" s="37">
        <f>VLOOKUP(R7,Calculation!$B$8:$JF$517,42,FALSE)</f>
        <v>31.457282649604817</v>
      </c>
      <c r="S10" s="37">
        <f>VLOOKUP(S7,Calculation!$B$8:$JF$517,42,FALSE)</f>
        <v>31.065557641757415</v>
      </c>
      <c r="T10" s="37">
        <f>VLOOKUP(T7,Calculation!$B$8:$JF$517,42,FALSE)</f>
        <v>27.04902962206333</v>
      </c>
      <c r="U10" s="37">
        <f>VLOOKUP(U7,Calculation!$B$8:$JF$517,42,FALSE)</f>
        <v>24.171610635025267</v>
      </c>
      <c r="V10" s="37">
        <f>VLOOKUP(V7,Calculation!$B$8:$JF$517,42,FALSE)</f>
        <v>24.584655968344691</v>
      </c>
      <c r="W10" s="37">
        <f>VLOOKUP(W7,Calculation!$B$8:$JF$517,42,FALSE)</f>
        <v>24.567415115005474</v>
      </c>
      <c r="X10" s="37">
        <f>VLOOKUP(X7,Calculation!$B$8:$JF$517,42,FALSE)</f>
        <v>20.159834065397753</v>
      </c>
      <c r="Y10" s="37">
        <f>VLOOKUP(Y7,Calculation!$B$8:$JF$517,42,FALSE)</f>
        <v>17.871200850159404</v>
      </c>
      <c r="Z10" s="37">
        <f>VLOOKUP(Z7,Calculation!$B$8:$JF$517,42,FALSE)</f>
        <v>16.866777963272121</v>
      </c>
      <c r="AA10" s="37">
        <f>VLOOKUP(AA7,Calculation!$B$8:$JF$517,42,FALSE)</f>
        <v>16.794141578519117</v>
      </c>
      <c r="AB10" s="37">
        <f>VLOOKUP(AB7,Calculation!$B$8:$JF$517,42,FALSE)</f>
        <v>21.496614522530937</v>
      </c>
      <c r="AC10" s="37">
        <f>VLOOKUP(AC7,Calculation!$B$8:$JF$517,42,FALSE)</f>
        <v>21.568123393316196</v>
      </c>
      <c r="AD10" s="37">
        <f>VLOOKUP(AD7,Calculation!$B$8:$JF$517,42,FALSE)</f>
        <v>27.738933169834457</v>
      </c>
      <c r="AE10" s="37">
        <f>VLOOKUP(AE7,Calculation!$B$8:$JF$517,42,FALSE)</f>
        <v>32.440245947456681</v>
      </c>
      <c r="AF10" s="37">
        <f>VLOOKUP(AF7,Calculation!$B$8:$JF$517,42,FALSE)</f>
        <v>30.342433061699648</v>
      </c>
      <c r="AG10" s="39">
        <f>VLOOKUP(AG7,Calculation!$B$8:$JF$517,42,FALSE)</f>
        <v>26.80277198832847</v>
      </c>
    </row>
    <row r="11" spans="1:34">
      <c r="A11" s="46" t="s">
        <v>251</v>
      </c>
      <c r="B11" s="22" t="s">
        <v>13</v>
      </c>
      <c r="C11" s="44">
        <f>VLOOKUP(C7,Calculation!$B$8:$JF$517,69,FALSE)</f>
        <v>0</v>
      </c>
      <c r="D11" s="37">
        <f>VLOOKUP(D7,Calculation!$B$8:$JF$517,69,FALSE)</f>
        <v>0</v>
      </c>
      <c r="E11" s="37">
        <f>VLOOKUP(E7,Calculation!$B$8:$JF$517,69,FALSE)</f>
        <v>1</v>
      </c>
      <c r="F11" s="37">
        <f>VLOOKUP(F7,Calculation!$B$8:$JF$517,69,FALSE)</f>
        <v>1.006497615951452</v>
      </c>
      <c r="G11" s="37">
        <f>VLOOKUP(G7,Calculation!$B$8:$JF$517,69,FALSE)</f>
        <v>0.99674972914409532</v>
      </c>
      <c r="H11" s="37">
        <f>VLOOKUP(H7,Calculation!$B$8:$JF$517,69,FALSE)</f>
        <v>1.0059219380888291</v>
      </c>
      <c r="I11" s="37">
        <f>VLOOKUP(I7,Calculation!$B$8:$JF$517,69,FALSE)</f>
        <v>1.3475202731540761</v>
      </c>
      <c r="J11" s="37">
        <f>VLOOKUP(J7,Calculation!$B$8:$JF$517,69,FALSE)</f>
        <v>2</v>
      </c>
      <c r="K11" s="37">
        <f>VLOOKUP(K7,Calculation!$B$8:$JF$517,69,FALSE)</f>
        <v>2.0123484848484852</v>
      </c>
      <c r="L11" s="37">
        <f>VLOOKUP(L7,Calculation!$B$8:$JF$517,69,FALSE)</f>
        <v>2.0115814871682383</v>
      </c>
      <c r="M11" s="37">
        <f>VLOOKUP(M7,Calculation!$B$8:$JF$517,69,FALSE)</f>
        <v>2.0123917137476459</v>
      </c>
      <c r="N11" s="37">
        <f>VLOOKUP(N7,Calculation!$B$8:$JF$517,69,FALSE)</f>
        <v>2.0078587528174308</v>
      </c>
      <c r="O11" s="37">
        <f>VLOOKUP(O7,Calculation!$B$8:$JF$517,69,FALSE)</f>
        <v>2.0054524886877827</v>
      </c>
      <c r="P11" s="37">
        <f>VLOOKUP(P7,Calculation!$B$8:$JF$517,69,FALSE)</f>
        <v>2.3026045197740115</v>
      </c>
      <c r="Q11" s="37">
        <f>VLOOKUP(Q7,Calculation!$B$8:$JF$517,69,FALSE)</f>
        <v>3</v>
      </c>
      <c r="R11" s="37">
        <f>VLOOKUP(R7,Calculation!$B$8:$JF$517,69,FALSE)</f>
        <v>2.9864508844561533</v>
      </c>
      <c r="S11" s="37">
        <f>VLOOKUP(S7,Calculation!$B$8:$JF$517,69,FALSE)</f>
        <v>2.9436725497559144</v>
      </c>
      <c r="T11" s="37">
        <f>VLOOKUP(T7,Calculation!$B$8:$JF$517,69,FALSE)</f>
        <v>2.9724208375893766</v>
      </c>
      <c r="U11" s="37">
        <f>VLOOKUP(U7,Calculation!$B$8:$JF$517,69,FALSE)</f>
        <v>2.9597890573500325</v>
      </c>
      <c r="V11" s="37">
        <f>VLOOKUP(V7,Calculation!$B$8:$JF$517,69,FALSE)</f>
        <v>2.9643877775335241</v>
      </c>
      <c r="W11" s="37">
        <f>VLOOKUP(W7,Calculation!$B$8:$JF$517,69,FALSE)</f>
        <v>2.9539978094194961</v>
      </c>
      <c r="X11" s="37">
        <f>VLOOKUP(X7,Calculation!$B$8:$JF$517,69,FALSE)</f>
        <v>2.9502196193265005</v>
      </c>
      <c r="Y11" s="37">
        <f>VLOOKUP(Y7,Calculation!$B$8:$JF$517,69,FALSE)</f>
        <v>2.9458023379383635</v>
      </c>
      <c r="Z11" s="37">
        <f>VLOOKUP(Z7,Calculation!$B$8:$JF$517,69,FALSE)</f>
        <v>2.9248747913188651</v>
      </c>
      <c r="AA11" s="37">
        <f>VLOOKUP(AA7,Calculation!$B$8:$JF$517,69,FALSE)</f>
        <v>2.9292107404393812</v>
      </c>
      <c r="AB11" s="37">
        <f>VLOOKUP(AB7,Calculation!$B$8:$JF$517,69,FALSE)</f>
        <v>2.9313565257996732</v>
      </c>
      <c r="AC11" s="37">
        <f>VLOOKUP(AC7,Calculation!$B$8:$JF$517,69,FALSE)</f>
        <v>2.9411077354522086</v>
      </c>
      <c r="AD11" s="37">
        <f>VLOOKUP(AD7,Calculation!$B$8:$JF$517,69,FALSE)</f>
        <v>2.9509503372164319</v>
      </c>
      <c r="AE11" s="37">
        <f>VLOOKUP(AE7,Calculation!$B$8:$JF$517,69,FALSE)</f>
        <v>2.9580771380659585</v>
      </c>
      <c r="AF11" s="37">
        <f>VLOOKUP(AF7,Calculation!$B$8:$JF$517,69,FALSE)</f>
        <v>2.9458672875436553</v>
      </c>
      <c r="AG11" s="39">
        <f>VLOOKUP(AG7,Calculation!$B$8:$JF$517,69,FALSE)</f>
        <v>2.9399749895789911</v>
      </c>
    </row>
    <row r="12" spans="1:34">
      <c r="A12" s="21" t="s">
        <v>252</v>
      </c>
      <c r="B12" s="23" t="s">
        <v>13</v>
      </c>
      <c r="C12" s="44">
        <f>VLOOKUP(C7,Calculation!$B$8:$JF$517,90,FALSE)</f>
        <v>4.4664921465968588</v>
      </c>
      <c r="D12" s="37">
        <f>VLOOKUP(D7,Calculation!$B$8:$JF$517,90,FALSE)</f>
        <v>4.5701654215581637</v>
      </c>
      <c r="E12" s="37">
        <f>VLOOKUP(E7,Calculation!$B$8:$JF$517,90,FALSE)</f>
        <v>4.5915290739411336</v>
      </c>
      <c r="F12" s="37">
        <f>VLOOKUP(F7,Calculation!$B$8:$JF$517,90,FALSE)</f>
        <v>4.7833550065019503</v>
      </c>
      <c r="G12" s="37">
        <f>VLOOKUP(G7,Calculation!$B$8:$JF$517,90,FALSE)</f>
        <v>4.9937161430119179</v>
      </c>
      <c r="H12" s="37">
        <f>VLOOKUP(H7,Calculation!$B$8:$JF$517,90,FALSE)</f>
        <v>4.9798115746971741</v>
      </c>
      <c r="I12" s="37">
        <f>VLOOKUP(I7,Calculation!$B$8:$JF$517,90,FALSE)</f>
        <v>4.6370550576184373</v>
      </c>
      <c r="J12" s="37">
        <f>VLOOKUP(J7,Calculation!$B$8:$JF$517,90,FALSE)</f>
        <v>4.4707732900345034</v>
      </c>
      <c r="K12" s="37">
        <f>VLOOKUP(K7,Calculation!$B$8:$JF$517,90,FALSE)</f>
        <v>4.4829545454545459</v>
      </c>
      <c r="L12" s="37">
        <f>VLOOKUP(L7,Calculation!$B$8:$JF$517,90,FALSE)</f>
        <v>4.4812458872559766</v>
      </c>
      <c r="M12" s="37">
        <f>VLOOKUP(M7,Calculation!$B$8:$JF$517,90,FALSE)</f>
        <v>6.1268361581920905</v>
      </c>
      <c r="N12" s="37">
        <f>VLOOKUP(N7,Calculation!$B$8:$JF$517,90,FALSE)</f>
        <v>6.9579263711495125</v>
      </c>
      <c r="O12" s="37">
        <f>VLOOKUP(O7,Calculation!$B$8:$JF$517,90,FALSE)</f>
        <v>7.014095022624435</v>
      </c>
      <c r="P12" s="37">
        <f>VLOOKUP(P7,Calculation!$B$8:$JF$517,90,FALSE)</f>
        <v>6.0804708097928444</v>
      </c>
      <c r="Q12" s="37">
        <f>VLOOKUP(Q7,Calculation!$B$8:$JF$517,90,FALSE)</f>
        <v>6</v>
      </c>
      <c r="R12" s="37">
        <f>VLOOKUP(R7,Calculation!$B$8:$JF$517,90,FALSE)</f>
        <v>5.9729017689123065</v>
      </c>
      <c r="S12" s="37">
        <f>VLOOKUP(S7,Calculation!$B$8:$JF$517,90,FALSE)</f>
        <v>5.8873450995118288</v>
      </c>
      <c r="T12" s="37">
        <f>VLOOKUP(T7,Calculation!$B$8:$JF$517,90,FALSE)</f>
        <v>5.9547497446373843</v>
      </c>
      <c r="U12" s="37">
        <f>VLOOKUP(U7,Calculation!$B$8:$JF$517,90,FALSE)</f>
        <v>5.2684245220830581</v>
      </c>
      <c r="V12" s="37">
        <f>VLOOKUP(V7,Calculation!$B$8:$JF$517,90,FALSE)</f>
        <v>4.9406462958892066</v>
      </c>
      <c r="W12" s="37">
        <f>VLOOKUP(W7,Calculation!$B$8:$JF$517,90,FALSE)</f>
        <v>4.9233296823658268</v>
      </c>
      <c r="X12" s="37">
        <f>VLOOKUP(X7,Calculation!$B$8:$JF$517,90,FALSE)</f>
        <v>5.5</v>
      </c>
      <c r="Y12" s="37">
        <f>VLOOKUP(Y7,Calculation!$B$8:$JF$517,90,FALSE)</f>
        <v>3.8393623804463339</v>
      </c>
      <c r="Z12" s="37">
        <f>VLOOKUP(Z7,Calculation!$B$8:$JF$517,90,FALSE)</f>
        <v>2.9248747913188651</v>
      </c>
      <c r="AA12" s="37">
        <f>VLOOKUP(AA7,Calculation!$B$8:$JF$517,90,FALSE)</f>
        <v>3.8763222131814477</v>
      </c>
      <c r="AB12" s="37">
        <f>VLOOKUP(AB7,Calculation!$B$8:$JF$517,90,FALSE)</f>
        <v>4.885594209666122</v>
      </c>
      <c r="AC12" s="37">
        <f>VLOOKUP(AC7,Calculation!$B$8:$JF$517,90,FALSE)</f>
        <v>4.911649918205188</v>
      </c>
      <c r="AD12" s="37">
        <f>VLOOKUP(AD7,Calculation!$B$8:$JF$517,90,FALSE)</f>
        <v>4.918250562027386</v>
      </c>
      <c r="AE12" s="37">
        <f>VLOOKUP(AE7,Calculation!$B$8:$JF$517,90,FALSE)</f>
        <v>4.939988820570151</v>
      </c>
      <c r="AF12" s="37">
        <f>VLOOKUP(AF7,Calculation!$B$8:$JF$517,90,FALSE)</f>
        <v>4.9097788125727586</v>
      </c>
      <c r="AG12" s="39">
        <f>VLOOKUP(AG7,Calculation!$B$8:$JF$517,90,FALSE)</f>
        <v>4.8999583159649855</v>
      </c>
    </row>
    <row r="13" spans="1:34">
      <c r="A13" s="21" t="s">
        <v>253</v>
      </c>
      <c r="B13" s="23" t="s">
        <v>13</v>
      </c>
      <c r="C13" s="44">
        <f>VLOOKUP(C7,Calculation!$B$8:$JF$517,109,FALSE)</f>
        <v>9.0026178010471192</v>
      </c>
      <c r="D13" s="37">
        <f>VLOOKUP(D7,Calculation!$B$8:$JF$517,109,FALSE)</f>
        <v>9.0896638207043754</v>
      </c>
      <c r="E13" s="37">
        <f>VLOOKUP(E7,Calculation!$B$8:$JF$517,109,FALSE)</f>
        <v>9</v>
      </c>
      <c r="F13" s="37">
        <f>VLOOKUP(F7,Calculation!$B$8:$JF$517,109,FALSE)</f>
        <v>8.9986866059817938</v>
      </c>
      <c r="G13" s="37">
        <f>VLOOKUP(G7,Calculation!$B$8:$JF$517,109,FALSE)</f>
        <v>9.0106175514626212</v>
      </c>
      <c r="H13" s="37">
        <f>VLOOKUP(H7,Calculation!$B$8:$JF$517,109,FALSE)</f>
        <v>9.0333781965006725</v>
      </c>
      <c r="I13" s="37">
        <f>VLOOKUP(I7,Calculation!$B$8:$JF$517,109,FALSE)</f>
        <v>9.6308066581306022</v>
      </c>
      <c r="J13" s="37">
        <f>VLOOKUP(J7,Calculation!$B$8:$JF$517,109,FALSE)</f>
        <v>10.143687842500508</v>
      </c>
      <c r="K13" s="37">
        <f>VLOOKUP(K7,Calculation!$B$8:$JF$517,109,FALSE)</f>
        <v>9.9621212121212128</v>
      </c>
      <c r="L13" s="37">
        <f>VLOOKUP(L7,Calculation!$B$8:$JF$517,109,FALSE)</f>
        <v>9.9284492213204629</v>
      </c>
      <c r="M13" s="37">
        <f>VLOOKUP(M7,Calculation!$B$8:$JF$517,109,FALSE)</f>
        <v>10.789209039548021</v>
      </c>
      <c r="N13" s="37">
        <f>VLOOKUP(N7,Calculation!$B$8:$JF$517,109,FALSE)</f>
        <v>10.94382419233659</v>
      </c>
      <c r="O13" s="37">
        <f>VLOOKUP(O7,Calculation!$B$8:$JF$517,109,FALSE)</f>
        <v>10.875339366515837</v>
      </c>
      <c r="P13" s="37">
        <f>VLOOKUP(P7,Calculation!$B$8:$JF$517,109,FALSE)</f>
        <v>10.954815442561205</v>
      </c>
      <c r="Q13" s="37">
        <f>VLOOKUP(Q7,Calculation!$B$8:$JF$517,109,FALSE)</f>
        <v>11</v>
      </c>
      <c r="R13" s="37">
        <f>VLOOKUP(R7,Calculation!$B$8:$JF$517,109,FALSE)</f>
        <v>10.89059089198344</v>
      </c>
      <c r="S13" s="37">
        <f>VLOOKUP(S7,Calculation!$B$8:$JF$517,109,FALSE)</f>
        <v>10.793466015771687</v>
      </c>
      <c r="T13" s="37">
        <f>VLOOKUP(T7,Calculation!$B$8:$JF$517,109,FALSE)</f>
        <v>10.938508682328905</v>
      </c>
      <c r="U13" s="37">
        <f>VLOOKUP(U7,Calculation!$B$8:$JF$517,109,FALSE)</f>
        <v>10.92162162162162</v>
      </c>
      <c r="V13" s="37">
        <f>VLOOKUP(V7,Calculation!$B$8:$JF$517,109,FALSE)</f>
        <v>10.879303143548034</v>
      </c>
      <c r="W13" s="37">
        <f>VLOOKUP(W7,Calculation!$B$8:$JF$517,109,FALSE)</f>
        <v>10.929791894852135</v>
      </c>
      <c r="X13" s="37">
        <f>VLOOKUP(X7,Calculation!$B$8:$JF$517,109,FALSE)</f>
        <v>10.837140068326011</v>
      </c>
      <c r="Y13" s="37">
        <f>VLOOKUP(Y7,Calculation!$B$8:$JF$517,109,FALSE)</f>
        <v>10.742359192348566</v>
      </c>
      <c r="Z13" s="37">
        <f>VLOOKUP(Z7,Calculation!$B$8:$JF$517,109,FALSE)</f>
        <v>10.763539232053422</v>
      </c>
      <c r="AA13" s="37">
        <f>VLOOKUP(AA7,Calculation!$B$8:$JF$517,109,FALSE)</f>
        <v>10.83807973962571</v>
      </c>
      <c r="AB13" s="37">
        <f>VLOOKUP(AB7,Calculation!$B$8:$JF$517,109,FALSE)</f>
        <v>10.97304459491011</v>
      </c>
      <c r="AC13" s="37">
        <f>VLOOKUP(AC7,Calculation!$B$8:$JF$517,109,FALSE)</f>
        <v>10.960528160785231</v>
      </c>
      <c r="AD13" s="37">
        <f>VLOOKUP(AD7,Calculation!$B$8:$JF$517,109,FALSE)</f>
        <v>10.948025751072961</v>
      </c>
      <c r="AE13" s="37">
        <f>VLOOKUP(AE7,Calculation!$B$8:$JF$517,109,FALSE)</f>
        <v>11.004046953605366</v>
      </c>
      <c r="AF13" s="37">
        <f>VLOOKUP(AF7,Calculation!$B$8:$JF$517,109,FALSE)</f>
        <v>10.840791618160651</v>
      </c>
      <c r="AG13" s="39">
        <f>VLOOKUP(AG7,Calculation!$B$8:$JF$517,109,FALSE)</f>
        <v>10.809308045018758</v>
      </c>
      <c r="AH13" s="30"/>
    </row>
    <row r="14" spans="1:34">
      <c r="A14" s="21" t="s">
        <v>430</v>
      </c>
      <c r="B14" s="22" t="s">
        <v>13</v>
      </c>
      <c r="C14" s="44">
        <f>VLOOKUP(C7,Calculation!$B$8:$JF$517,59,FALSE)</f>
        <v>0</v>
      </c>
      <c r="D14" s="37">
        <f>VLOOKUP(D7,Calculation!$B$8:$JF$517,59,FALSE)</f>
        <v>0</v>
      </c>
      <c r="E14" s="37">
        <f>VLOOKUP(E7,Calculation!$B$8:$JF$517,59,FALSE)</f>
        <v>0</v>
      </c>
      <c r="F14" s="37">
        <f>VLOOKUP(F7,Calculation!$B$8:$JF$517,59,FALSE)</f>
        <v>0</v>
      </c>
      <c r="G14" s="37">
        <f>VLOOKUP(G7,Calculation!$B$8:$JF$517,59,FALSE)</f>
        <v>0</v>
      </c>
      <c r="H14" s="37">
        <f>VLOOKUP(H7,Calculation!$B$8:$JF$517,59,FALSE)</f>
        <v>0</v>
      </c>
      <c r="I14" s="37">
        <f>VLOOKUP(I7,Calculation!$B$8:$JF$517,59,FALSE)</f>
        <v>0</v>
      </c>
      <c r="J14" s="37">
        <f>VLOOKUP(J7,Calculation!$B$8:$JF$517,59,FALSE)</f>
        <v>0</v>
      </c>
      <c r="K14" s="37">
        <f>VLOOKUP(K7,Calculation!$B$8:$JF$517,59,FALSE)</f>
        <v>0</v>
      </c>
      <c r="L14" s="37">
        <f>VLOOKUP(L7,Calculation!$B$8:$JF$517,59,FALSE)</f>
        <v>0</v>
      </c>
      <c r="M14" s="37">
        <f>VLOOKUP(M7,Calculation!$B$8:$JF$517,59,FALSE)</f>
        <v>0</v>
      </c>
      <c r="N14" s="37">
        <f>VLOOKUP(N7,Calculation!$B$8:$JF$517,59,FALSE)</f>
        <v>0</v>
      </c>
      <c r="O14" s="37">
        <f>VLOOKUP(O7,Calculation!$B$8:$JF$517,59,FALSE)</f>
        <v>0</v>
      </c>
      <c r="P14" s="37">
        <f>VLOOKUP(P7,Calculation!$B$8:$JF$517,59,FALSE)</f>
        <v>0</v>
      </c>
      <c r="Q14" s="37">
        <f>VLOOKUP(Q7,Calculation!$B$8:$JF$517,59,FALSE)</f>
        <v>0</v>
      </c>
      <c r="R14" s="37">
        <f>VLOOKUP(R7,Calculation!$B$8:$JF$517,59,FALSE)</f>
        <v>0</v>
      </c>
      <c r="S14" s="37">
        <f>VLOOKUP(S7,Calculation!$B$8:$JF$517,59,FALSE)</f>
        <v>0</v>
      </c>
      <c r="T14" s="37">
        <f>VLOOKUP(T7,Calculation!$B$8:$JF$517,59,FALSE)</f>
        <v>0</v>
      </c>
      <c r="U14" s="37">
        <f>VLOOKUP(U7,Calculation!$B$8:$JF$517,59,FALSE)</f>
        <v>0</v>
      </c>
      <c r="V14" s="37">
        <f>VLOOKUP(V7,Calculation!$B$8:$JF$517,59,FALSE)</f>
        <v>0</v>
      </c>
      <c r="W14" s="37">
        <f>VLOOKUP(W7,Calculation!$B$8:$JF$517,59,FALSE)</f>
        <v>0</v>
      </c>
      <c r="X14" s="37">
        <f>VLOOKUP(X7,Calculation!$B$8:$JF$517,59,FALSE)</f>
        <v>0</v>
      </c>
      <c r="Y14" s="37">
        <f>VLOOKUP(Y7,Calculation!$B$8:$JF$517,59,FALSE)</f>
        <v>0</v>
      </c>
      <c r="Z14" s="37">
        <f>VLOOKUP(Z7,Calculation!$B$8:$JF$517,59,FALSE)</f>
        <v>0</v>
      </c>
      <c r="AA14" s="37">
        <f>VLOOKUP(AA7,Calculation!$B$8:$JF$517,59,FALSE)</f>
        <v>0</v>
      </c>
      <c r="AB14" s="37">
        <f>VLOOKUP(AB7,Calculation!$B$8:$JF$517,59,FALSE)</f>
        <v>0</v>
      </c>
      <c r="AC14" s="37">
        <f>VLOOKUP(AC7,Calculation!$B$8:$JF$517,59,FALSE)</f>
        <v>0</v>
      </c>
      <c r="AD14" s="37">
        <f>VLOOKUP(AD7,Calculation!$B$8:$JF$517,59,FALSE)</f>
        <v>0</v>
      </c>
      <c r="AE14" s="37">
        <f>VLOOKUP(AE7,Calculation!$B$8:$JF$517,59,FALSE)</f>
        <v>0</v>
      </c>
      <c r="AF14" s="37">
        <f>VLOOKUP(AF7,Calculation!$B$8:$JF$517,59,FALSE)</f>
        <v>0</v>
      </c>
      <c r="AG14" s="39">
        <f>VLOOKUP(AG7,Calculation!$B$8:$JF$517,59,FALSE)</f>
        <v>0</v>
      </c>
    </row>
    <row r="15" spans="1:34">
      <c r="A15" s="21" t="s">
        <v>431</v>
      </c>
      <c r="B15" s="22" t="s">
        <v>13</v>
      </c>
      <c r="C15" s="44">
        <f>VLOOKUP(C7,Calculation!$B$8:$JF$517,78,FALSE)</f>
        <v>0</v>
      </c>
      <c r="D15" s="37">
        <f>VLOOKUP(D7,Calculation!$B$8:$JF$517,78,FALSE)</f>
        <v>0</v>
      </c>
      <c r="E15" s="37">
        <f>VLOOKUP(E7,Calculation!$B$8:$JF$517,78,FALSE)</f>
        <v>0</v>
      </c>
      <c r="F15" s="37">
        <f>VLOOKUP(F7,Calculation!$B$8:$JF$517,78,FALSE)</f>
        <v>0</v>
      </c>
      <c r="G15" s="37">
        <f>VLOOKUP(G7,Calculation!$B$8:$JF$517,78,FALSE)</f>
        <v>0</v>
      </c>
      <c r="H15" s="37">
        <f>VLOOKUP(H7,Calculation!$B$8:$JF$517,78,FALSE)</f>
        <v>0</v>
      </c>
      <c r="I15" s="37">
        <f>VLOOKUP(I7,Calculation!$B$8:$JF$517,78,FALSE)</f>
        <v>0</v>
      </c>
      <c r="J15" s="37">
        <f>VLOOKUP(J7,Calculation!$B$8:$JF$517,78,FALSE)</f>
        <v>0</v>
      </c>
      <c r="K15" s="37">
        <f>VLOOKUP(K7,Calculation!$B$8:$JF$517,78,FALSE)</f>
        <v>0</v>
      </c>
      <c r="L15" s="37">
        <f>VLOOKUP(L7,Calculation!$B$8:$JF$517,78,FALSE)</f>
        <v>0</v>
      </c>
      <c r="M15" s="37">
        <f>VLOOKUP(M7,Calculation!$B$8:$JF$517,78,FALSE)</f>
        <v>0</v>
      </c>
      <c r="N15" s="37">
        <f>VLOOKUP(N7,Calculation!$B$8:$JF$517,78,FALSE)</f>
        <v>0</v>
      </c>
      <c r="O15" s="37">
        <f>VLOOKUP(O7,Calculation!$B$8:$JF$517,78,FALSE)</f>
        <v>0</v>
      </c>
      <c r="P15" s="37">
        <f>VLOOKUP(P7,Calculation!$B$8:$JF$517,78,FALSE)</f>
        <v>0</v>
      </c>
      <c r="Q15" s="37">
        <f>VLOOKUP(Q7,Calculation!$B$8:$JF$517,78,FALSE)</f>
        <v>0</v>
      </c>
      <c r="R15" s="37">
        <f>VLOOKUP(R7,Calculation!$B$8:$JF$517,78,FALSE)</f>
        <v>0</v>
      </c>
      <c r="S15" s="37">
        <f>VLOOKUP(S7,Calculation!$B$8:$JF$517,78,FALSE)</f>
        <v>0</v>
      </c>
      <c r="T15" s="37">
        <f>VLOOKUP(T7,Calculation!$B$8:$JF$517,78,FALSE)</f>
        <v>0</v>
      </c>
      <c r="U15" s="37">
        <f>VLOOKUP(U7,Calculation!$B$8:$JF$517,78,FALSE)</f>
        <v>0</v>
      </c>
      <c r="V15" s="37">
        <f>VLOOKUP(V7,Calculation!$B$8:$JF$517,78,FALSE)</f>
        <v>0</v>
      </c>
      <c r="W15" s="37">
        <f>VLOOKUP(W7,Calculation!$B$8:$JF$517,78,FALSE)</f>
        <v>0</v>
      </c>
      <c r="X15" s="37">
        <f>VLOOKUP(X7,Calculation!$B$8:$JF$517,78,FALSE)</f>
        <v>0</v>
      </c>
      <c r="Y15" s="37">
        <f>VLOOKUP(Y7,Calculation!$B$8:$JF$517,78,FALSE)</f>
        <v>0</v>
      </c>
      <c r="Z15" s="37">
        <f>VLOOKUP(Z7,Calculation!$B$8:$JF$517,78,FALSE)</f>
        <v>0</v>
      </c>
      <c r="AA15" s="37">
        <f>VLOOKUP(AA7,Calculation!$B$8:$JF$517,78,FALSE)</f>
        <v>0</v>
      </c>
      <c r="AB15" s="37">
        <f>VLOOKUP(AB7,Calculation!$B$8:$JF$517,78,FALSE)</f>
        <v>0</v>
      </c>
      <c r="AC15" s="37">
        <f>VLOOKUP(AC7,Calculation!$B$8:$JF$517,78,FALSE)</f>
        <v>0</v>
      </c>
      <c r="AD15" s="37">
        <f>VLOOKUP(AD7,Calculation!$B$8:$JF$517,78,FALSE)</f>
        <v>0</v>
      </c>
      <c r="AE15" s="37">
        <f>VLOOKUP(AE7,Calculation!$B$8:$JF$517,78,FALSE)</f>
        <v>0</v>
      </c>
      <c r="AF15" s="37">
        <f>VLOOKUP(AF7,Calculation!$B$8:$JF$517,78,FALSE)</f>
        <v>0</v>
      </c>
      <c r="AG15" s="39">
        <f>VLOOKUP(AG7,Calculation!$B$8:$JF$517,78,FALSE)</f>
        <v>0</v>
      </c>
    </row>
    <row r="16" spans="1:34">
      <c r="A16" s="21" t="s">
        <v>429</v>
      </c>
      <c r="B16" s="864" t="s">
        <v>13</v>
      </c>
      <c r="C16" s="44">
        <f>VLOOKUP(C7,Calculation!$B$8:$JF$517,99,FALSE)</f>
        <v>0</v>
      </c>
      <c r="D16" s="37">
        <f>VLOOKUP(D7,Calculation!$B$8:$JF$517,99,FALSE)</f>
        <v>0</v>
      </c>
      <c r="E16" s="37">
        <f>VLOOKUP(E7,Calculation!$B$8:$JF$517,99,FALSE)</f>
        <v>0</v>
      </c>
      <c r="F16" s="37">
        <f>VLOOKUP(F7,Calculation!$B$8:$JF$517,99,FALSE)</f>
        <v>0</v>
      </c>
      <c r="G16" s="37">
        <f>VLOOKUP(G7,Calculation!$B$8:$JF$517,99,FALSE)</f>
        <v>0</v>
      </c>
      <c r="H16" s="37">
        <f>VLOOKUP(H7,Calculation!$B$8:$JF$517,99,FALSE)</f>
        <v>0</v>
      </c>
      <c r="I16" s="37">
        <f>VLOOKUP(I7,Calculation!$B$8:$JF$517,99,FALSE)</f>
        <v>0</v>
      </c>
      <c r="J16" s="37">
        <f>VLOOKUP(J7,Calculation!$B$8:$JF$517,99,FALSE)</f>
        <v>0</v>
      </c>
      <c r="K16" s="37">
        <f>VLOOKUP(K7,Calculation!$B$8:$JF$517,99,FALSE)</f>
        <v>0</v>
      </c>
      <c r="L16" s="37">
        <f>VLOOKUP(L7,Calculation!$B$8:$JF$517,99,FALSE)</f>
        <v>0</v>
      </c>
      <c r="M16" s="37">
        <f>VLOOKUP(M7,Calculation!$B$8:$JF$517,99,FALSE)</f>
        <v>0</v>
      </c>
      <c r="N16" s="37">
        <f>VLOOKUP(N7,Calculation!$B$8:$JF$517,99,FALSE)</f>
        <v>0</v>
      </c>
      <c r="O16" s="37">
        <f>VLOOKUP(O7,Calculation!$B$8:$JF$517,99,FALSE)</f>
        <v>0</v>
      </c>
      <c r="P16" s="37">
        <f>VLOOKUP(P7,Calculation!$B$8:$JF$517,99,FALSE)</f>
        <v>0</v>
      </c>
      <c r="Q16" s="37">
        <f>VLOOKUP(Q7,Calculation!$B$8:$JF$517,99,FALSE)</f>
        <v>0</v>
      </c>
      <c r="R16" s="37">
        <f>VLOOKUP(R7,Calculation!$B$8:$JF$517,99,FALSE)</f>
        <v>0</v>
      </c>
      <c r="S16" s="37">
        <f>VLOOKUP(S7,Calculation!$B$8:$JF$517,99,FALSE)</f>
        <v>0</v>
      </c>
      <c r="T16" s="37">
        <f>VLOOKUP(T7,Calculation!$B$8:$JF$517,99,FALSE)</f>
        <v>0</v>
      </c>
      <c r="U16" s="37">
        <f>VLOOKUP(U7,Calculation!$B$8:$JF$517,99,FALSE)</f>
        <v>0</v>
      </c>
      <c r="V16" s="37">
        <f>VLOOKUP(V7,Calculation!$B$8:$JF$517,99,FALSE)</f>
        <v>0</v>
      </c>
      <c r="W16" s="37">
        <f>VLOOKUP(W7,Calculation!$B$8:$JF$517,99,FALSE)</f>
        <v>0</v>
      </c>
      <c r="X16" s="37">
        <f>VLOOKUP(X7,Calculation!$B$8:$JF$517,99,FALSE)</f>
        <v>0</v>
      </c>
      <c r="Y16" s="37">
        <f>VLOOKUP(Y7,Calculation!$B$8:$JF$517,99,FALSE)</f>
        <v>0</v>
      </c>
      <c r="Z16" s="37">
        <f>VLOOKUP(Z7,Calculation!$B$8:$JF$517,99,FALSE)</f>
        <v>0</v>
      </c>
      <c r="AA16" s="37">
        <f>VLOOKUP(AA7,Calculation!$B$8:$JF$517,99,FALSE)</f>
        <v>0</v>
      </c>
      <c r="AB16" s="37">
        <f>VLOOKUP(AB7,Calculation!$B$8:$JF$517,99,FALSE)</f>
        <v>0</v>
      </c>
      <c r="AC16" s="37">
        <f>VLOOKUP(AC7,Calculation!$B$8:$JF$517,99,FALSE)</f>
        <v>0</v>
      </c>
      <c r="AD16" s="37">
        <f>VLOOKUP(AD7,Calculation!$B$8:$JF$517,99,FALSE)</f>
        <v>0</v>
      </c>
      <c r="AE16" s="37">
        <f>VLOOKUP(AE7,Calculation!$B$8:$JF$517,99,FALSE)</f>
        <v>0</v>
      </c>
      <c r="AF16" s="37">
        <f>VLOOKUP(AF7,Calculation!$B$8:$JF$517,99,FALSE)</f>
        <v>0</v>
      </c>
      <c r="AG16" s="39">
        <f>VLOOKUP(AG7,Calculation!$B$8:$JF$517,99,FALSE)</f>
        <v>0</v>
      </c>
    </row>
    <row r="17" spans="1:33" ht="13.5" thickBot="1">
      <c r="A17" s="46" t="s">
        <v>357</v>
      </c>
      <c r="B17" s="864" t="s">
        <v>13</v>
      </c>
      <c r="C17" s="45">
        <f>VLOOKUP(C7,Calculation!$B$8:$JF$517,43,FALSE)</f>
        <v>0</v>
      </c>
      <c r="D17" s="40">
        <f>VLOOKUP(D7,Calculation!$B$8:$JF$517,43,FALSE)</f>
        <v>0</v>
      </c>
      <c r="E17" s="40">
        <f>VLOOKUP(E7,Calculation!$B$8:$JF$517,43,FALSE)</f>
        <v>0</v>
      </c>
      <c r="F17" s="40">
        <f>VLOOKUP(F7,Calculation!$B$8:$JF$517,43,FALSE)</f>
        <v>0</v>
      </c>
      <c r="G17" s="40">
        <f>VLOOKUP(G7,Calculation!$B$8:$JF$517,43,FALSE)</f>
        <v>0</v>
      </c>
      <c r="H17" s="40">
        <f>VLOOKUP(H7,Calculation!$B$8:$JF$517,43,FALSE)</f>
        <v>0</v>
      </c>
      <c r="I17" s="40">
        <f>VLOOKUP(I7,Calculation!$B$8:$JF$517,43,FALSE)</f>
        <v>0</v>
      </c>
      <c r="J17" s="40">
        <f>VLOOKUP(J7,Calculation!$B$8:$JF$517,43,FALSE)</f>
        <v>0</v>
      </c>
      <c r="K17" s="40">
        <f>VLOOKUP(K7,Calculation!$B$8:$JF$517,43,FALSE)</f>
        <v>0</v>
      </c>
      <c r="L17" s="40">
        <f>VLOOKUP(L7,Calculation!$B$8:$JF$517,43,FALSE)</f>
        <v>0</v>
      </c>
      <c r="M17" s="40">
        <f>VLOOKUP(M7,Calculation!$B$8:$JF$517,43,FALSE)</f>
        <v>0</v>
      </c>
      <c r="N17" s="40">
        <f>VLOOKUP(N7,Calculation!$B$8:$JF$517,43,FALSE)</f>
        <v>0</v>
      </c>
      <c r="O17" s="40">
        <f>VLOOKUP(O7,Calculation!$B$8:$JF$517,43,FALSE)</f>
        <v>0</v>
      </c>
      <c r="P17" s="40">
        <f>VLOOKUP(P7,Calculation!$B$8:$JF$517,43,FALSE)</f>
        <v>0</v>
      </c>
      <c r="Q17" s="40">
        <f>VLOOKUP(Q7,Calculation!$B$8:$JF$517,43,FALSE)</f>
        <v>0</v>
      </c>
      <c r="R17" s="40">
        <f>VLOOKUP(R7,Calculation!$B$8:$JF$517,43,FALSE)</f>
        <v>0</v>
      </c>
      <c r="S17" s="40">
        <f>VLOOKUP(S7,Calculation!$B$8:$JF$517,43,FALSE)</f>
        <v>0</v>
      </c>
      <c r="T17" s="40">
        <f>VLOOKUP(T7,Calculation!$B$8:$JF$517,43,FALSE)</f>
        <v>0</v>
      </c>
      <c r="U17" s="40">
        <f>VLOOKUP(U7,Calculation!$B$8:$JF$517,43,FALSE)</f>
        <v>0</v>
      </c>
      <c r="V17" s="40">
        <f>VLOOKUP(V7,Calculation!$B$8:$JF$517,43,FALSE)</f>
        <v>0</v>
      </c>
      <c r="W17" s="40">
        <f>VLOOKUP(W7,Calculation!$B$8:$JF$517,43,FALSE)</f>
        <v>0</v>
      </c>
      <c r="X17" s="40">
        <f>VLOOKUP(X7,Calculation!$B$8:$JF$517,43,FALSE)</f>
        <v>0</v>
      </c>
      <c r="Y17" s="40">
        <f>VLOOKUP(Y7,Calculation!$B$8:$JF$517,43,FALSE)</f>
        <v>0</v>
      </c>
      <c r="Z17" s="40">
        <f>VLOOKUP(Z7,Calculation!$B$8:$JF$517,43,FALSE)</f>
        <v>0</v>
      </c>
      <c r="AA17" s="40">
        <f>VLOOKUP(AA7,Calculation!$B$8:$JF$517,43,FALSE)</f>
        <v>0</v>
      </c>
      <c r="AB17" s="40">
        <f>VLOOKUP(AB7,Calculation!$B$8:$JF$517,43,FALSE)</f>
        <v>0</v>
      </c>
      <c r="AC17" s="40">
        <f>VLOOKUP(AC7,Calculation!$B$8:$JF$517,43,FALSE)</f>
        <v>0</v>
      </c>
      <c r="AD17" s="40">
        <f>VLOOKUP(AD7,Calculation!$B$8:$JF$517,43,FALSE)</f>
        <v>0</v>
      </c>
      <c r="AE17" s="40">
        <f>VLOOKUP(AE7,Calculation!$B$8:$JF$517,43,FALSE)</f>
        <v>0</v>
      </c>
      <c r="AF17" s="40">
        <f>VLOOKUP(AF7,Calculation!$B$8:$JF$517,43,FALSE)</f>
        <v>0</v>
      </c>
      <c r="AG17" s="41">
        <f>VLOOKUP(AG7,Calculation!$B$8:$JF$517,43,FALSE)</f>
        <v>0</v>
      </c>
    </row>
    <row r="18" spans="1:33" ht="13.5" thickBot="1">
      <c r="A18" s="349" t="s">
        <v>255</v>
      </c>
      <c r="B18" s="350"/>
      <c r="C18" s="830"/>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row>
    <row r="19" spans="1:33">
      <c r="A19" s="101" t="s">
        <v>256</v>
      </c>
      <c r="B19" s="103" t="s">
        <v>13</v>
      </c>
      <c r="C19" s="43">
        <f>VLOOKUP(C7,Sheet1!$B$8:$HT$528,137,FALSE)</f>
        <v>0</v>
      </c>
      <c r="D19" s="38">
        <f>VLOOKUP(D7,Sheet1!$B$8:$HT$528,137,FALSE)</f>
        <v>0</v>
      </c>
      <c r="E19" s="38">
        <f>VLOOKUP(E7,Sheet1!$B$8:$HT$528,137,FALSE)</f>
        <v>0</v>
      </c>
      <c r="F19" s="38">
        <f>VLOOKUP(F7,Sheet1!$B$8:$HT$528,137,FALSE)</f>
        <v>0</v>
      </c>
      <c r="G19" s="38">
        <f>VLOOKUP(G7,Sheet1!$B$8:$HT$528,137,FALSE)</f>
        <v>0</v>
      </c>
      <c r="H19" s="38">
        <f>VLOOKUP(H7,Sheet1!$B$8:$HT$528,137,FALSE)</f>
        <v>0</v>
      </c>
      <c r="I19" s="38">
        <f>VLOOKUP(I7,Sheet1!$B$8:$HT$528,137,FALSE)</f>
        <v>0</v>
      </c>
      <c r="J19" s="38">
        <f>VLOOKUP(J7,Sheet1!$B$8:$HT$528,137,FALSE)</f>
        <v>3</v>
      </c>
      <c r="K19" s="38">
        <f>VLOOKUP(K7,Sheet1!$B$8:$HT$528,137,FALSE)</f>
        <v>3</v>
      </c>
      <c r="L19" s="38">
        <f>VLOOKUP(L7,Sheet1!$B$8:$HT$528,137,FALSE)</f>
        <v>4.5</v>
      </c>
      <c r="M19" s="38">
        <f>VLOOKUP(M7,Sheet1!$B$8:$HT$528,137,FALSE)</f>
        <v>8</v>
      </c>
      <c r="N19" s="38">
        <f>VLOOKUP(N7,Sheet1!$B$8:$HT$528,137,FALSE)</f>
        <v>8</v>
      </c>
      <c r="O19" s="38">
        <f>VLOOKUP(O7,Sheet1!$B$8:$HT$528,137,FALSE)</f>
        <v>8</v>
      </c>
      <c r="P19" s="38">
        <f>VLOOKUP(P7,Sheet1!$B$8:$HT$528,137,FALSE)</f>
        <v>8</v>
      </c>
      <c r="Q19" s="38">
        <f>VLOOKUP(Q7,Sheet1!$B$8:$HT$528,137,FALSE)</f>
        <v>8</v>
      </c>
      <c r="R19" s="38">
        <f>VLOOKUP(R7,Sheet1!$B$8:$HT$528,137,FALSE)</f>
        <v>8</v>
      </c>
      <c r="S19" s="38">
        <f>VLOOKUP(S7,Sheet1!$B$8:$HT$528,137,FALSE)</f>
        <v>8</v>
      </c>
      <c r="T19" s="38">
        <f>VLOOKUP(T7,Sheet1!$B$8:$HT$528,137,FALSE)</f>
        <v>4</v>
      </c>
      <c r="U19" s="38">
        <f>VLOOKUP(U7,Sheet1!$B$8:$HT$528,137,FALSE)</f>
        <v>0</v>
      </c>
      <c r="V19" s="38">
        <f>VLOOKUP(V7,Sheet1!$B$8:$HT$528,137,FALSE)</f>
        <v>0</v>
      </c>
      <c r="W19" s="38">
        <f>VLOOKUP(W7,Sheet1!$B$8:$HT$528,137,FALSE)</f>
        <v>0.6</v>
      </c>
      <c r="X19" s="38">
        <f>VLOOKUP(X7,Sheet1!$B$8:$HT$528,137,FALSE)</f>
        <v>0</v>
      </c>
      <c r="Y19" s="38">
        <f>VLOOKUP(Y7,Sheet1!$B$8:$HT$528,137,FALSE)</f>
        <v>0</v>
      </c>
      <c r="Z19" s="38">
        <f>VLOOKUP(Z7,Sheet1!$B$8:$HT$528,137,FALSE)</f>
        <v>0</v>
      </c>
      <c r="AA19" s="38">
        <f>VLOOKUP(AA7,Sheet1!$B$8:$HT$528,137,FALSE)</f>
        <v>0</v>
      </c>
      <c r="AB19" s="38">
        <f>VLOOKUP(AB7,Sheet1!$B$8:$HT$528,137,FALSE)</f>
        <v>0</v>
      </c>
      <c r="AC19" s="38">
        <f>VLOOKUP(AC7,Sheet1!$B$8:$HT$528,137,FALSE)</f>
        <v>0</v>
      </c>
      <c r="AD19" s="38">
        <f>VLOOKUP(AD7,Sheet1!$B$8:$HT$528,137,FALSE)</f>
        <v>6</v>
      </c>
      <c r="AE19" s="38">
        <f>VLOOKUP(AE7,Sheet1!$B$8:$HT$528,137,FALSE)</f>
        <v>12.2</v>
      </c>
      <c r="AF19" s="38">
        <f>VLOOKUP(AF7,Sheet1!$B$8:$HT$528,137,FALSE)</f>
        <v>13.8</v>
      </c>
      <c r="AG19" s="38">
        <f>VLOOKUP(AG7,Sheet1!$B$8:$HT$528,137,FALSE)</f>
        <v>9</v>
      </c>
    </row>
    <row r="20" spans="1:33">
      <c r="A20" s="24" t="s">
        <v>257</v>
      </c>
      <c r="B20" s="23" t="s">
        <v>13</v>
      </c>
      <c r="C20" s="44">
        <f>VLOOKUP(C7,Sheet1!$B$8:$HT$528,138,FALSE)</f>
        <v>0</v>
      </c>
      <c r="D20" s="37">
        <f>VLOOKUP(D7,Sheet1!$B$8:$HT$528,138,FALSE)</f>
        <v>1</v>
      </c>
      <c r="E20" s="37">
        <f>VLOOKUP(E7,Sheet1!$B$8:$HT$528,138,FALSE)</f>
        <v>1</v>
      </c>
      <c r="F20" s="37">
        <f>VLOOKUP(F7,Sheet1!$B$8:$HT$528,138,FALSE)</f>
        <v>1</v>
      </c>
      <c r="G20" s="37">
        <f>VLOOKUP(G7,Sheet1!$B$8:$HT$528,138,FALSE)</f>
        <v>1</v>
      </c>
      <c r="H20" s="37">
        <f>VLOOKUP(H7,Sheet1!$B$8:$HT$528,138,FALSE)</f>
        <v>1</v>
      </c>
      <c r="I20" s="37">
        <f>VLOOKUP(I7,Sheet1!$B$8:$HT$528,138,FALSE)</f>
        <v>2</v>
      </c>
      <c r="J20" s="37">
        <f>VLOOKUP(J7,Sheet1!$B$8:$HT$528,138,FALSE)</f>
        <v>2</v>
      </c>
      <c r="K20" s="37">
        <f>VLOOKUP(K7,Sheet1!$B$8:$HT$528,138,FALSE)</f>
        <v>2</v>
      </c>
      <c r="L20" s="37">
        <f>VLOOKUP(L7,Sheet1!$B$8:$HT$528,138,FALSE)</f>
        <v>2</v>
      </c>
      <c r="M20" s="37">
        <f>VLOOKUP(M7,Sheet1!$B$8:$HT$528,138,FALSE)</f>
        <v>2</v>
      </c>
      <c r="N20" s="37">
        <f>VLOOKUP(N7,Sheet1!$B$8:$HT$528,138,FALSE)</f>
        <v>2</v>
      </c>
      <c r="O20" s="37">
        <f>VLOOKUP(O7,Sheet1!$B$8:$HT$528,138,FALSE)</f>
        <v>2</v>
      </c>
      <c r="P20" s="37">
        <f>VLOOKUP(P7,Sheet1!$B$8:$HT$528,138,FALSE)</f>
        <v>3</v>
      </c>
      <c r="Q20" s="37">
        <f>VLOOKUP(Q7,Sheet1!$B$8:$HT$528,138,FALSE)</f>
        <v>3</v>
      </c>
      <c r="R20" s="37">
        <f>VLOOKUP(R7,Sheet1!$B$8:$HT$528,138,FALSE)</f>
        <v>3</v>
      </c>
      <c r="S20" s="37">
        <f>VLOOKUP(S7,Sheet1!$B$8:$HT$528,138,FALSE)</f>
        <v>3</v>
      </c>
      <c r="T20" s="37">
        <f>VLOOKUP(T7,Sheet1!$B$8:$HT$528,138,FALSE)</f>
        <v>3</v>
      </c>
      <c r="U20" s="37">
        <f>VLOOKUP(U7,Sheet1!$B$8:$HT$528,138,FALSE)</f>
        <v>3</v>
      </c>
      <c r="V20" s="37">
        <f>VLOOKUP(V7,Sheet1!$B$8:$HT$528,138,FALSE)</f>
        <v>3</v>
      </c>
      <c r="W20" s="37">
        <f>VLOOKUP(W7,Sheet1!$B$8:$HT$528,138,FALSE)</f>
        <v>3</v>
      </c>
      <c r="X20" s="37">
        <f>VLOOKUP(X7,Sheet1!$B$8:$HT$528,138,FALSE)</f>
        <v>3</v>
      </c>
      <c r="Y20" s="37">
        <f>VLOOKUP(Y7,Sheet1!$B$8:$HT$528,138,FALSE)</f>
        <v>3</v>
      </c>
      <c r="Z20" s="37">
        <f>VLOOKUP(Z7,Sheet1!$B$8:$HT$528,138,FALSE)</f>
        <v>3</v>
      </c>
      <c r="AA20" s="37">
        <f>VLOOKUP(AA7,Sheet1!$B$8:$HT$528,138,FALSE)</f>
        <v>3</v>
      </c>
      <c r="AB20" s="37">
        <f>VLOOKUP(AB7,Sheet1!$B$8:$HT$528,138,FALSE)</f>
        <v>3</v>
      </c>
      <c r="AC20" s="37">
        <f>VLOOKUP(AC7,Sheet1!$B$8:$HT$528,138,FALSE)</f>
        <v>3</v>
      </c>
      <c r="AD20" s="37">
        <f>VLOOKUP(AD7,Sheet1!$B$8:$HT$528,138,FALSE)</f>
        <v>3</v>
      </c>
      <c r="AE20" s="37">
        <f>VLOOKUP(AE7,Sheet1!$B$8:$HT$528,138,FALSE)</f>
        <v>3</v>
      </c>
      <c r="AF20" s="37">
        <f>VLOOKUP(AF7,Sheet1!$B$8:$HT$528,138,FALSE)</f>
        <v>3</v>
      </c>
      <c r="AG20" s="37">
        <f>VLOOKUP(AG7,Sheet1!$B$8:$HT$528,138,FALSE)</f>
        <v>3</v>
      </c>
    </row>
    <row r="21" spans="1:33">
      <c r="A21" s="34" t="s">
        <v>258</v>
      </c>
      <c r="B21" s="23" t="s">
        <v>13</v>
      </c>
      <c r="C21" s="44">
        <f>VLOOKUP(C7,Sheet1!$B$8:$HT$528,139,FALSE)</f>
        <v>4.5</v>
      </c>
      <c r="D21" s="37">
        <f>VLOOKUP(D7,Sheet1!$B$8:$HT$528,139,FALSE)</f>
        <v>4.5</v>
      </c>
      <c r="E21" s="37">
        <f>VLOOKUP(E7,Sheet1!$B$8:$HT$528,139,FALSE)</f>
        <v>4.5</v>
      </c>
      <c r="F21" s="37">
        <f>VLOOKUP(F7,Sheet1!$B$8:$HT$528,139,FALSE)</f>
        <v>4.5</v>
      </c>
      <c r="G21" s="37">
        <f>VLOOKUP(G7,Sheet1!$B$8:$HT$528,139,FALSE)</f>
        <v>5</v>
      </c>
      <c r="H21" s="37">
        <f>VLOOKUP(H7,Sheet1!$B$8:$HT$528,139,FALSE)</f>
        <v>5</v>
      </c>
      <c r="I21" s="37">
        <f>VLOOKUP(I7,Sheet1!$B$8:$HT$528,139,FALSE)</f>
        <v>4.5</v>
      </c>
      <c r="J21" s="37">
        <f>VLOOKUP(J7,Sheet1!$B$8:$HT$528,139,FALSE)</f>
        <v>4.5</v>
      </c>
      <c r="K21" s="37">
        <f>VLOOKUP(K7,Sheet1!$B$8:$HT$528,139,FALSE)</f>
        <v>4.5</v>
      </c>
      <c r="L21" s="37">
        <f>VLOOKUP(L7,Sheet1!$B$8:$HT$528,139,FALSE)</f>
        <v>4.5</v>
      </c>
      <c r="M21" s="37">
        <f>VLOOKUP(M7,Sheet1!$B$8:$HT$528,139,FALSE)</f>
        <v>7</v>
      </c>
      <c r="N21" s="37">
        <f>VLOOKUP(N7,Sheet1!$B$8:$HT$528,139,FALSE)</f>
        <v>7</v>
      </c>
      <c r="O21" s="37">
        <f>VLOOKUP(O7,Sheet1!$B$8:$HT$528,139,FALSE)</f>
        <v>7</v>
      </c>
      <c r="P21" s="37">
        <f>VLOOKUP(P7,Sheet1!$B$8:$HT$528,139,FALSE)</f>
        <v>6</v>
      </c>
      <c r="Q21" s="37">
        <f>VLOOKUP(Q7,Sheet1!$B$8:$HT$528,139,FALSE)</f>
        <v>6</v>
      </c>
      <c r="R21" s="37">
        <f>VLOOKUP(R7,Sheet1!$B$8:$HT$528,139,FALSE)</f>
        <v>6</v>
      </c>
      <c r="S21" s="37">
        <f>VLOOKUP(S7,Sheet1!$B$8:$HT$528,139,FALSE)</f>
        <v>6</v>
      </c>
      <c r="T21" s="37">
        <f>VLOOKUP(T7,Sheet1!$B$8:$HT$528,139,FALSE)</f>
        <v>6</v>
      </c>
      <c r="U21" s="37">
        <f>VLOOKUP(U7,Sheet1!$B$8:$HT$528,139,FALSE)</f>
        <v>6</v>
      </c>
      <c r="V21" s="37">
        <f>VLOOKUP(V7,Sheet1!$B$8:$HT$528,139,FALSE)</f>
        <v>6</v>
      </c>
      <c r="W21" s="37">
        <f>VLOOKUP(W7,Sheet1!$B$8:$HT$528,139,FALSE)</f>
        <v>5.5</v>
      </c>
      <c r="X21" s="37">
        <f>VLOOKUP(X7,Sheet1!$B$8:$HT$528,139,FALSE)</f>
        <v>5.5</v>
      </c>
      <c r="Y21" s="37">
        <f>VLOOKUP(Y7,Sheet1!$B$8:$HT$528,139,FALSE)</f>
        <v>5.5</v>
      </c>
      <c r="Z21" s="37">
        <f>VLOOKUP(Z7,Sheet1!$B$8:$HT$528,139,FALSE)</f>
        <v>6</v>
      </c>
      <c r="AA21" s="37">
        <f>VLOOKUP(AA7,Sheet1!$B$8:$HT$528,139,FALSE)</f>
        <v>5</v>
      </c>
      <c r="AB21" s="37">
        <f>VLOOKUP(AB7,Sheet1!$B$8:$HT$528,139,FALSE)</f>
        <v>5.5</v>
      </c>
      <c r="AC21" s="37">
        <f>VLOOKUP(AC7,Sheet1!$B$8:$HT$528,139,FALSE)</f>
        <v>5</v>
      </c>
      <c r="AD21" s="37">
        <f>VLOOKUP(AD7,Sheet1!$B$8:$HT$528,139,FALSE)</f>
        <v>5.5</v>
      </c>
      <c r="AE21" s="37">
        <f>VLOOKUP(AE7,Sheet1!$B$8:$HT$528,139,FALSE)</f>
        <v>5</v>
      </c>
      <c r="AF21" s="37">
        <f>VLOOKUP(AF7,Sheet1!$B$8:$HT$528,139,FALSE)</f>
        <v>5</v>
      </c>
      <c r="AG21" s="37">
        <f>VLOOKUP(AG7,Sheet1!$B$8:$HT$528,139,FALSE)</f>
        <v>5</v>
      </c>
    </row>
    <row r="22" spans="1:33">
      <c r="A22" s="226" t="s">
        <v>259</v>
      </c>
      <c r="B22" s="243" t="s">
        <v>36</v>
      </c>
      <c r="C22" s="44">
        <f>VLOOKUP(C7,Sheet1!$B$8:$HT$528,140,FALSE)</f>
        <v>9</v>
      </c>
      <c r="D22" s="37">
        <f>VLOOKUP(D7,Sheet1!$B$8:$HT$528,140,FALSE)</f>
        <v>9</v>
      </c>
      <c r="E22" s="37">
        <f>VLOOKUP(E7,Sheet1!$B$8:$HT$528,140,FALSE)</f>
        <v>9</v>
      </c>
      <c r="F22" s="37">
        <f>VLOOKUP(F7,Sheet1!$B$8:$HT$528,140,FALSE)</f>
        <v>9</v>
      </c>
      <c r="G22" s="37">
        <f>VLOOKUP(G7,Sheet1!$B$8:$HT$528,140,FALSE)</f>
        <v>9</v>
      </c>
      <c r="H22" s="37">
        <f>VLOOKUP(H7,Sheet1!$B$8:$HT$528,140,FALSE)</f>
        <v>9</v>
      </c>
      <c r="I22" s="37">
        <f>VLOOKUP(I7,Sheet1!$B$8:$HT$528,140,FALSE)</f>
        <v>10</v>
      </c>
      <c r="J22" s="37">
        <f>VLOOKUP(J7,Sheet1!$B$8:$HT$528,140,FALSE)</f>
        <v>10</v>
      </c>
      <c r="K22" s="37">
        <f>VLOOKUP(K7,Sheet1!$B$8:$HT$528,140,FALSE)</f>
        <v>10</v>
      </c>
      <c r="L22" s="37">
        <f>VLOOKUP(L7,Sheet1!$B$8:$HT$528,140,FALSE)</f>
        <v>10</v>
      </c>
      <c r="M22" s="37">
        <f>VLOOKUP(M7,Sheet1!$B$8:$HT$528,140,FALSE)</f>
        <v>11</v>
      </c>
      <c r="N22" s="37">
        <f>VLOOKUP(N7,Sheet1!$B$8:$HT$528,140,FALSE)</f>
        <v>11</v>
      </c>
      <c r="O22" s="37">
        <f>VLOOKUP(O7,Sheet1!$B$8:$HT$528,140,FALSE)</f>
        <v>11</v>
      </c>
      <c r="P22" s="37">
        <f>VLOOKUP(P7,Sheet1!$B$8:$HT$528,140,FALSE)</f>
        <v>11</v>
      </c>
      <c r="Q22" s="37">
        <f>VLOOKUP(Q7,Sheet1!$B$8:$HT$528,140,FALSE)</f>
        <v>11</v>
      </c>
      <c r="R22" s="37">
        <f>VLOOKUP(R7,Sheet1!$B$8:$HT$528,140,FALSE)</f>
        <v>11</v>
      </c>
      <c r="S22" s="37">
        <f>VLOOKUP(S7,Sheet1!$B$8:$HT$528,140,FALSE)</f>
        <v>11</v>
      </c>
      <c r="T22" s="37">
        <f>VLOOKUP(T7,Sheet1!$B$8:$HT$528,140,FALSE)</f>
        <v>11</v>
      </c>
      <c r="U22" s="37">
        <f>VLOOKUP(U7,Sheet1!$B$8:$HT$528,140,FALSE)</f>
        <v>11</v>
      </c>
      <c r="V22" s="37">
        <f>VLOOKUP(V7,Sheet1!$B$8:$HT$528,140,FALSE)</f>
        <v>11</v>
      </c>
      <c r="W22" s="37">
        <f>VLOOKUP(W7,Sheet1!$B$8:$HT$528,140,FALSE)</f>
        <v>11</v>
      </c>
      <c r="X22" s="37">
        <f>VLOOKUP(X7,Sheet1!$B$8:$HT$528,140,FALSE)</f>
        <v>11</v>
      </c>
      <c r="Y22" s="37">
        <f>VLOOKUP(Y7,Sheet1!$B$8:$HT$528,140,FALSE)</f>
        <v>11</v>
      </c>
      <c r="Z22" s="37">
        <f>VLOOKUP(Z7,Sheet1!$B$8:$HT$528,140,FALSE)</f>
        <v>11</v>
      </c>
      <c r="AA22" s="37">
        <f>VLOOKUP(AA7,Sheet1!$B$8:$HT$528,140,FALSE)</f>
        <v>11</v>
      </c>
      <c r="AB22" s="37">
        <f>VLOOKUP(AB7,Sheet1!$B$8:$HT$528,140,FALSE)</f>
        <v>11</v>
      </c>
      <c r="AC22" s="37">
        <f>VLOOKUP(AC7,Sheet1!$B$8:$HT$528,140,FALSE)</f>
        <v>11</v>
      </c>
      <c r="AD22" s="37">
        <f>VLOOKUP(AD7,Sheet1!$B$8:$HT$528,140,FALSE)</f>
        <v>11</v>
      </c>
      <c r="AE22" s="37">
        <f>VLOOKUP(AE7,Sheet1!$B$8:$HT$528,140,FALSE)</f>
        <v>11</v>
      </c>
      <c r="AF22" s="37">
        <f>VLOOKUP(AF7,Sheet1!$B$8:$HT$528,140,FALSE)</f>
        <v>11</v>
      </c>
      <c r="AG22" s="37">
        <f>VLOOKUP(AG7,Sheet1!$B$8:$HT$528,140,FALSE)</f>
        <v>11</v>
      </c>
    </row>
    <row r="23" spans="1:33" ht="13.5" thickBot="1">
      <c r="A23" s="102" t="s">
        <v>428</v>
      </c>
      <c r="B23" s="244" t="s">
        <v>36</v>
      </c>
      <c r="C23" s="45">
        <f>VLOOKUP(C7,Sheet1!$B$8:$HT$528,141,FALSE)</f>
        <v>0</v>
      </c>
      <c r="D23" s="40">
        <f>VLOOKUP(D7,Sheet1!$B$8:$HT$528,141,FALSE)</f>
        <v>0</v>
      </c>
      <c r="E23" s="40">
        <f>VLOOKUP(E7,Sheet1!$B$8:$HT$528,141,FALSE)</f>
        <v>0</v>
      </c>
      <c r="F23" s="40">
        <f>VLOOKUP(F7,Sheet1!$B$8:$HT$528,141,FALSE)</f>
        <v>0</v>
      </c>
      <c r="G23" s="40">
        <f>VLOOKUP(G7,Sheet1!$B$8:$HT$528,141,FALSE)</f>
        <v>0</v>
      </c>
      <c r="H23" s="40">
        <f>VLOOKUP(H7,Sheet1!$B$8:$HT$528,141,FALSE)</f>
        <v>0</v>
      </c>
      <c r="I23" s="40">
        <f>VLOOKUP(I7,Sheet1!$B$8:$HT$528,141,FALSE)</f>
        <v>0</v>
      </c>
      <c r="J23" s="40">
        <f>VLOOKUP(J7,Sheet1!$B$8:$HT$528,141,FALSE)</f>
        <v>0</v>
      </c>
      <c r="K23" s="40">
        <f>VLOOKUP(K7,Sheet1!$B$8:$HT$528,141,FALSE)</f>
        <v>0</v>
      </c>
      <c r="L23" s="40">
        <f>VLOOKUP(L7,Sheet1!$B$8:$HT$528,141,FALSE)</f>
        <v>0</v>
      </c>
      <c r="M23" s="40">
        <f>VLOOKUP(M7,Sheet1!$B$8:$HT$528,141,FALSE)</f>
        <v>0</v>
      </c>
      <c r="N23" s="40">
        <f>VLOOKUP(N7,Sheet1!$B$8:$HT$528,141,FALSE)</f>
        <v>0</v>
      </c>
      <c r="O23" s="40">
        <f>VLOOKUP(O7,Sheet1!$B$8:$HT$528,141,FALSE)</f>
        <v>0</v>
      </c>
      <c r="P23" s="40">
        <f>VLOOKUP(P7,Sheet1!$B$8:$HT$528,141,FALSE)</f>
        <v>0</v>
      </c>
      <c r="Q23" s="40">
        <f>VLOOKUP(Q7,Sheet1!$B$8:$HT$528,141,FALSE)</f>
        <v>0</v>
      </c>
      <c r="R23" s="40">
        <f>VLOOKUP(R7,Sheet1!$B$8:$HT$528,141,FALSE)</f>
        <v>0</v>
      </c>
      <c r="S23" s="40">
        <f>VLOOKUP(S7,Sheet1!$B$8:$HT$528,141,FALSE)</f>
        <v>0</v>
      </c>
      <c r="T23" s="40">
        <f>VLOOKUP(T7,Sheet1!$B$8:$HT$528,141,FALSE)</f>
        <v>0</v>
      </c>
      <c r="U23" s="40">
        <f>VLOOKUP(U7,Sheet1!$B$8:$HT$528,141,FALSE)</f>
        <v>0</v>
      </c>
      <c r="V23" s="40">
        <f>VLOOKUP(V7,Sheet1!$B$8:$HT$528,141,FALSE)</f>
        <v>0</v>
      </c>
      <c r="W23" s="40">
        <f>VLOOKUP(W7,Sheet1!$B$8:$HT$528,141,FALSE)</f>
        <v>0</v>
      </c>
      <c r="X23" s="40">
        <f>VLOOKUP(X7,Sheet1!$B$8:$HT$528,141,FALSE)</f>
        <v>0</v>
      </c>
      <c r="Y23" s="40">
        <f>VLOOKUP(Y7,Sheet1!$B$8:$HT$528,141,FALSE)</f>
        <v>0</v>
      </c>
      <c r="Z23" s="40">
        <f>VLOOKUP(Z7,Sheet1!$B$8:$HT$528,141,FALSE)</f>
        <v>0</v>
      </c>
      <c r="AA23" s="40">
        <f>VLOOKUP(AA7,Sheet1!$B$8:$HT$528,141,FALSE)</f>
        <v>0</v>
      </c>
      <c r="AB23" s="40">
        <f>VLOOKUP(AB7,Sheet1!$B$8:$HT$528,141,FALSE)</f>
        <v>0</v>
      </c>
      <c r="AC23" s="40">
        <f>VLOOKUP(AC7,Sheet1!$B$8:$HT$528,141,FALSE)</f>
        <v>0</v>
      </c>
      <c r="AD23" s="40">
        <f>VLOOKUP(AD7,Sheet1!$B$8:$HT$528,141,FALSE)</f>
        <v>0</v>
      </c>
      <c r="AE23" s="40">
        <f>VLOOKUP(AE7,Sheet1!$B$8:$HT$528,141,FALSE)</f>
        <v>0</v>
      </c>
      <c r="AF23" s="40">
        <f>VLOOKUP(AF7,Sheet1!$B$8:$HT$528,141,FALSE)</f>
        <v>0</v>
      </c>
      <c r="AG23" s="40">
        <f>VLOOKUP(AG7,Sheet1!$B$8:$HT$528,141,FALSE)</f>
        <v>0</v>
      </c>
    </row>
    <row r="24" spans="1:33" ht="13.5" thickBot="1">
      <c r="A24" s="477" t="s">
        <v>555</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row>
    <row r="25" spans="1:33">
      <c r="A25" s="101" t="s">
        <v>256</v>
      </c>
      <c r="B25" s="103"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c r="A26" s="24" t="s">
        <v>257</v>
      </c>
      <c r="B26" s="23" t="s">
        <v>13</v>
      </c>
      <c r="C26" s="37">
        <f>VLOOKUP(C7,Calculation!$B$8:$JF$517,68,FALSE)</f>
        <v>0</v>
      </c>
      <c r="D26" s="37">
        <f>VLOOKUP(D7,Calculation!$B$8:$JF$517,68,FALSE)</f>
        <v>0</v>
      </c>
      <c r="E26" s="37">
        <f>VLOOKUP(E7,Calculation!$B$8:$JF$517,68,FALSE)</f>
        <v>0</v>
      </c>
      <c r="F26" s="37">
        <f>VLOOKUP(F7,Calculation!$B$8:$JF$517,68,FALSE)</f>
        <v>0</v>
      </c>
      <c r="G26" s="37">
        <f>VLOOKUP(G7,Calculation!$B$8:$JF$517,68,FALSE)</f>
        <v>0</v>
      </c>
      <c r="H26" s="37">
        <f>VLOOKUP(H7,Calculation!$B$8:$JF$517,68,FALSE)</f>
        <v>0</v>
      </c>
      <c r="I26" s="37">
        <f>VLOOKUP(I7,Calculation!$B$8:$JF$517,68,FALSE)</f>
        <v>0</v>
      </c>
      <c r="J26" s="37">
        <f>VLOOKUP(J7,Calculation!$B$8:$JF$517,68,FALSE)</f>
        <v>0</v>
      </c>
      <c r="K26" s="37">
        <f>VLOOKUP(K7,Calculation!$B$8:$JF$517,68,FALSE)</f>
        <v>0</v>
      </c>
      <c r="L26" s="37">
        <f>VLOOKUP(L7,Calculation!$B$8:$JF$517,68,FALSE)</f>
        <v>0</v>
      </c>
      <c r="M26" s="37">
        <f>VLOOKUP(M7,Calculation!$B$8:$JF$517,68,FALSE)</f>
        <v>0</v>
      </c>
      <c r="N26" s="37">
        <f>VLOOKUP(N7,Calculation!$B$8:$JF$517,68,FALSE)</f>
        <v>0</v>
      </c>
      <c r="O26" s="37">
        <f>VLOOKUP(O7,Calculation!$B$8:$JF$517,68,FALSE)</f>
        <v>0</v>
      </c>
      <c r="P26" s="37">
        <f>VLOOKUP(P7,Calculation!$B$8:$JF$517,68,FALSE)</f>
        <v>0</v>
      </c>
      <c r="Q26" s="37">
        <f>VLOOKUP(Q7,Calculation!$B$8:$JF$517,68,FALSE)</f>
        <v>0</v>
      </c>
      <c r="R26" s="37">
        <f>VLOOKUP(R7,Calculation!$B$8:$JF$517,68,FALSE)</f>
        <v>0</v>
      </c>
      <c r="S26" s="37">
        <f>VLOOKUP(S7,Calculation!$B$8:$JF$517,68,FALSE)</f>
        <v>0</v>
      </c>
      <c r="T26" s="37">
        <f>VLOOKUP(T7,Calculation!$B$8:$JF$517,68,FALSE)</f>
        <v>0</v>
      </c>
      <c r="U26" s="37">
        <f>VLOOKUP(U7,Calculation!$B$8:$JF$517,68,FALSE)</f>
        <v>0</v>
      </c>
      <c r="V26" s="37">
        <f>VLOOKUP(V7,Calculation!$B$8:$JF$517,68,FALSE)</f>
        <v>0</v>
      </c>
      <c r="W26" s="37">
        <f>VLOOKUP(W7,Calculation!$B$8:$JF$517,68,FALSE)</f>
        <v>0</v>
      </c>
      <c r="X26" s="37">
        <f>VLOOKUP(X7,Calculation!$B$8:$JF$517,68,FALSE)</f>
        <v>0</v>
      </c>
      <c r="Y26" s="37">
        <f>VLOOKUP(Y7,Calculation!$B$8:$JF$517,68,FALSE)</f>
        <v>0</v>
      </c>
      <c r="Z26" s="37">
        <f>VLOOKUP(Z7,Calculation!$B$8:$JF$517,68,FALSE)</f>
        <v>0</v>
      </c>
      <c r="AA26" s="37">
        <f>VLOOKUP(AA7,Calculation!$B$8:$JF$517,68,FALSE)</f>
        <v>0</v>
      </c>
      <c r="AB26" s="37">
        <f>VLOOKUP(AB7,Calculation!$B$8:$JF$517,68,FALSE)</f>
        <v>0</v>
      </c>
      <c r="AC26" s="37">
        <f>VLOOKUP(AC7,Calculation!$B$8:$JF$517,68,FALSE)</f>
        <v>0</v>
      </c>
      <c r="AD26" s="37">
        <f>VLOOKUP(AD7,Calculation!$B$8:$JF$517,68,FALSE)</f>
        <v>0</v>
      </c>
      <c r="AE26" s="37">
        <f>VLOOKUP(AE7,Calculation!$B$8:$JF$517,68,FALSE)</f>
        <v>0</v>
      </c>
      <c r="AF26" s="37">
        <f>VLOOKUP(AF7,Calculation!$B$8:$JF$517,68,FALSE)</f>
        <v>0</v>
      </c>
      <c r="AG26" s="37">
        <f>VLOOKUP(AG7,Calculation!$B$8:$JF$517,68,FALSE)</f>
        <v>0</v>
      </c>
    </row>
    <row r="27" spans="1:33">
      <c r="A27" s="34" t="s">
        <v>258</v>
      </c>
      <c r="B27" s="23" t="s">
        <v>13</v>
      </c>
      <c r="C27" s="37">
        <f>VLOOKUP(C7,Calculation!$B$8:$JF$517,89,FALSE)</f>
        <v>0</v>
      </c>
      <c r="D27" s="37">
        <f>VLOOKUP(D7,Calculation!$B$8:$JF$517,89,FALSE)</f>
        <v>0</v>
      </c>
      <c r="E27" s="37">
        <f>VLOOKUP(E7,Calculation!$B$8:$JF$517,89,FALSE)</f>
        <v>0</v>
      </c>
      <c r="F27" s="37">
        <f>VLOOKUP(F7,Calculation!$B$8:$JF$517,89,FALSE)</f>
        <v>0</v>
      </c>
      <c r="G27" s="37">
        <f>VLOOKUP(G7,Calculation!$B$8:$JF$517,89,FALSE)</f>
        <v>0</v>
      </c>
      <c r="H27" s="37">
        <f>VLOOKUP(H7,Calculation!$B$8:$JF$517,89,FALSE)</f>
        <v>0</v>
      </c>
      <c r="I27" s="37">
        <f>VLOOKUP(I7,Calculation!$B$8:$JF$517,89,FALSE)</f>
        <v>0</v>
      </c>
      <c r="J27" s="37">
        <f>VLOOKUP(J7,Calculation!$B$8:$JF$517,89,FALSE)</f>
        <v>0</v>
      </c>
      <c r="K27" s="37">
        <f>VLOOKUP(K7,Calculation!$B$8:$JF$517,89,FALSE)</f>
        <v>0</v>
      </c>
      <c r="L27" s="37">
        <f>VLOOKUP(L7,Calculation!$B$8:$JF$517,89,FALSE)</f>
        <v>0</v>
      </c>
      <c r="M27" s="37">
        <f>VLOOKUP(M7,Calculation!$B$8:$JF$517,89,FALSE)</f>
        <v>0</v>
      </c>
      <c r="N27" s="37">
        <f>VLOOKUP(N7,Calculation!$B$8:$JF$517,89,FALSE)</f>
        <v>0</v>
      </c>
      <c r="O27" s="37">
        <f>VLOOKUP(O7,Calculation!$B$8:$JF$517,89,FALSE)</f>
        <v>0</v>
      </c>
      <c r="P27" s="37">
        <f>VLOOKUP(P7,Calculation!$B$8:$JF$517,89,FALSE)</f>
        <v>0</v>
      </c>
      <c r="Q27" s="37">
        <f>VLOOKUP(Q7,Calculation!$B$8:$JF$517,89,FALSE)</f>
        <v>0</v>
      </c>
      <c r="R27" s="37">
        <f>VLOOKUP(R7,Calculation!$B$8:$JF$517,89,FALSE)</f>
        <v>0</v>
      </c>
      <c r="S27" s="37">
        <f>VLOOKUP(S7,Calculation!$B$8:$JF$517,89,FALSE)</f>
        <v>0</v>
      </c>
      <c r="T27" s="37">
        <f>VLOOKUP(T7,Calculation!$B$8:$JF$517,89,FALSE)</f>
        <v>0</v>
      </c>
      <c r="U27" s="37">
        <f>VLOOKUP(U7,Calculation!$B$8:$JF$517,89,FALSE)</f>
        <v>0</v>
      </c>
      <c r="V27" s="37">
        <f>VLOOKUP(V7,Calculation!$B$8:$JF$517,89,FALSE)</f>
        <v>0</v>
      </c>
      <c r="W27" s="37">
        <f>VLOOKUP(W7,Calculation!$B$8:$JF$517,89,FALSE)</f>
        <v>0</v>
      </c>
      <c r="X27" s="37">
        <f>VLOOKUP(X7,Calculation!$B$8:$JF$517,89,FALSE)</f>
        <v>0</v>
      </c>
      <c r="Y27" s="37">
        <f>VLOOKUP(Y7,Calculation!$B$8:$JF$517,89,FALSE)</f>
        <v>0</v>
      </c>
      <c r="Z27" s="37">
        <f>VLOOKUP(Z7,Calculation!$B$8:$JF$517,89,FALSE)</f>
        <v>0</v>
      </c>
      <c r="AA27" s="37">
        <f>VLOOKUP(AA7,Calculation!$B$8:$JF$517,89,FALSE)</f>
        <v>0</v>
      </c>
      <c r="AB27" s="37">
        <f>VLOOKUP(AB7,Calculation!$B$8:$JF$517,89,FALSE)</f>
        <v>0</v>
      </c>
      <c r="AC27" s="37">
        <f>VLOOKUP(AC7,Calculation!$B$8:$JF$517,89,FALSE)</f>
        <v>0</v>
      </c>
      <c r="AD27" s="37">
        <f>VLOOKUP(AD7,Calculation!$B$8:$JF$517,89,FALSE)</f>
        <v>0</v>
      </c>
      <c r="AE27" s="37">
        <f>VLOOKUP(AE7,Calculation!$B$8:$JF$517,89,FALSE)</f>
        <v>0</v>
      </c>
      <c r="AF27" s="37">
        <f>VLOOKUP(AF7,Calculation!$B$8:$JF$517,89,FALSE)</f>
        <v>0</v>
      </c>
      <c r="AG27" s="37">
        <f>VLOOKUP(AG7,Calculation!$B$8:$JF$517,89,FALSE)</f>
        <v>0</v>
      </c>
    </row>
    <row r="28" spans="1:33">
      <c r="A28" s="226" t="s">
        <v>259</v>
      </c>
      <c r="B28" s="243" t="s">
        <v>36</v>
      </c>
      <c r="C28" s="37">
        <f>VLOOKUP(C7,Calculation!$B$8:$JF$517,108,FALSE)</f>
        <v>0</v>
      </c>
      <c r="D28" s="37">
        <f>VLOOKUP(D7,Calculation!$B$8:$JF$517,108,FALSE)</f>
        <v>0</v>
      </c>
      <c r="E28" s="37">
        <f>VLOOKUP(E7,Calculation!$B$8:$JF$517,108,FALSE)</f>
        <v>0</v>
      </c>
      <c r="F28" s="37">
        <f>VLOOKUP(F7,Calculation!$B$8:$JF$517,108,FALSE)</f>
        <v>0</v>
      </c>
      <c r="G28" s="37">
        <f>VLOOKUP(G7,Calculation!$B$8:$JF$517,108,FALSE)</f>
        <v>0</v>
      </c>
      <c r="H28" s="37">
        <f>VLOOKUP(H7,Calculation!$B$8:$JF$517,108,FALSE)</f>
        <v>0</v>
      </c>
      <c r="I28" s="37">
        <f>VLOOKUP(I7,Calculation!$B$8:$JF$517,108,FALSE)</f>
        <v>0</v>
      </c>
      <c r="J28" s="37">
        <f>VLOOKUP(J7,Calculation!$B$8:$JF$517,108,FALSE)</f>
        <v>0</v>
      </c>
      <c r="K28" s="37">
        <f>VLOOKUP(K7,Calculation!$B$8:$JF$517,108,FALSE)</f>
        <v>0</v>
      </c>
      <c r="L28" s="37">
        <f>VLOOKUP(L7,Calculation!$B$8:$JF$517,108,FALSE)</f>
        <v>0</v>
      </c>
      <c r="M28" s="37">
        <f>VLOOKUP(M7,Calculation!$B$8:$JF$517,108,FALSE)</f>
        <v>0</v>
      </c>
      <c r="N28" s="37">
        <f>VLOOKUP(N7,Calculation!$B$8:$JF$517,108,FALSE)</f>
        <v>0</v>
      </c>
      <c r="O28" s="37">
        <f>VLOOKUP(O7,Calculation!$B$8:$JF$517,108,FALSE)</f>
        <v>0</v>
      </c>
      <c r="P28" s="37">
        <f>VLOOKUP(P7,Calculation!$B$8:$JF$517,108,FALSE)</f>
        <v>0</v>
      </c>
      <c r="Q28" s="37">
        <f>VLOOKUP(Q7,Calculation!$B$8:$JF$517,108,FALSE)</f>
        <v>0</v>
      </c>
      <c r="R28" s="37">
        <f>VLOOKUP(R7,Calculation!$B$8:$JF$517,108,FALSE)</f>
        <v>0</v>
      </c>
      <c r="S28" s="37">
        <f>VLOOKUP(S7,Calculation!$B$8:$JF$517,108,FALSE)</f>
        <v>0</v>
      </c>
      <c r="T28" s="37">
        <f>VLOOKUP(T7,Calculation!$B$8:$JF$517,108,FALSE)</f>
        <v>0</v>
      </c>
      <c r="U28" s="37">
        <f>VLOOKUP(U7,Calculation!$B$8:$JF$517,108,FALSE)</f>
        <v>0</v>
      </c>
      <c r="V28" s="37">
        <f>VLOOKUP(V7,Calculation!$B$8:$JF$517,108,FALSE)</f>
        <v>0</v>
      </c>
      <c r="W28" s="37">
        <f>VLOOKUP(W7,Calculation!$B$8:$JF$517,108,FALSE)</f>
        <v>0</v>
      </c>
      <c r="X28" s="37">
        <f>VLOOKUP(X7,Calculation!$B$8:$JF$517,108,FALSE)</f>
        <v>0</v>
      </c>
      <c r="Y28" s="37">
        <f>VLOOKUP(Y7,Calculation!$B$8:$JF$517,108,FALSE)</f>
        <v>0</v>
      </c>
      <c r="Z28" s="37">
        <f>VLOOKUP(Z7,Calculation!$B$8:$JF$517,108,FALSE)</f>
        <v>0</v>
      </c>
      <c r="AA28" s="37">
        <f>VLOOKUP(AA7,Calculation!$B$8:$JF$517,108,FALSE)</f>
        <v>0</v>
      </c>
      <c r="AB28" s="37">
        <f>VLOOKUP(AB7,Calculation!$B$8:$JF$517,108,FALSE)</f>
        <v>0</v>
      </c>
      <c r="AC28" s="37">
        <f>VLOOKUP(AC7,Calculation!$B$8:$JF$517,108,FALSE)</f>
        <v>0</v>
      </c>
      <c r="AD28" s="37">
        <f>VLOOKUP(AD7,Calculation!$B$8:$JF$517,108,FALSE)</f>
        <v>0</v>
      </c>
      <c r="AE28" s="37">
        <f>VLOOKUP(AE7,Calculation!$B$8:$JF$517,108,FALSE)</f>
        <v>0</v>
      </c>
      <c r="AF28" s="37">
        <f>VLOOKUP(AF7,Calculation!$B$8:$JF$517,108,FALSE)</f>
        <v>0</v>
      </c>
      <c r="AG28" s="37">
        <f>VLOOKUP(AG7,Calculation!$B$8:$JF$517,108,FALSE)</f>
        <v>0</v>
      </c>
    </row>
    <row r="29" spans="1:33" ht="13.5" thickBot="1">
      <c r="A29" s="102" t="s">
        <v>428</v>
      </c>
      <c r="B29" s="244" t="s">
        <v>36</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1" type="noConversion"/>
  <pageMargins left="0.75" right="0.75" top="1" bottom="1" header="0.5" footer="0.5"/>
  <pageSetup paperSize="5" scale="74"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Sheet14"/>
  <dimension ref="A3:N34"/>
  <sheetViews>
    <sheetView workbookViewId="0">
      <selection activeCell="E5" sqref="E5"/>
    </sheetView>
  </sheetViews>
  <sheetFormatPr defaultRowHeight="12.75"/>
  <cols>
    <col min="2" max="2" width="17.5703125" customWidth="1"/>
    <col min="3" max="3" width="10.140625" customWidth="1"/>
  </cols>
  <sheetData>
    <row r="3" spans="1:14">
      <c r="I3" s="47"/>
      <c r="J3" s="47"/>
      <c r="K3" s="47"/>
      <c r="L3" s="47"/>
      <c r="M3" s="47"/>
      <c r="N3" s="48"/>
    </row>
    <row r="4" spans="1:14">
      <c r="A4" t="s">
        <v>63</v>
      </c>
      <c r="I4" s="100"/>
      <c r="J4" s="100"/>
      <c r="K4" s="100"/>
      <c r="L4" s="100"/>
      <c r="M4" s="100"/>
      <c r="N4" s="100"/>
    </row>
    <row r="5" spans="1:14">
      <c r="A5" t="s">
        <v>276</v>
      </c>
    </row>
    <row r="7" spans="1:14">
      <c r="A7">
        <v>1</v>
      </c>
      <c r="B7" t="s">
        <v>64</v>
      </c>
      <c r="C7">
        <v>350</v>
      </c>
      <c r="D7" t="s">
        <v>60</v>
      </c>
    </row>
    <row r="8" spans="1:14">
      <c r="A8">
        <v>2</v>
      </c>
      <c r="B8" s="25" t="s">
        <v>65</v>
      </c>
      <c r="C8">
        <v>300</v>
      </c>
      <c r="D8" t="s">
        <v>60</v>
      </c>
    </row>
    <row r="9" spans="1:14">
      <c r="A9">
        <v>3</v>
      </c>
      <c r="B9" t="s">
        <v>66</v>
      </c>
      <c r="C9">
        <v>250</v>
      </c>
      <c r="D9" t="s">
        <v>60</v>
      </c>
    </row>
    <row r="10" spans="1:14">
      <c r="A10">
        <v>4</v>
      </c>
      <c r="B10" t="s">
        <v>67</v>
      </c>
      <c r="C10">
        <v>250</v>
      </c>
      <c r="D10" t="s">
        <v>60</v>
      </c>
    </row>
    <row r="11" spans="1:14">
      <c r="A11">
        <v>5</v>
      </c>
      <c r="B11" t="s">
        <v>68</v>
      </c>
      <c r="C11">
        <v>250</v>
      </c>
      <c r="D11" t="s">
        <v>60</v>
      </c>
    </row>
    <row r="13" spans="1:14">
      <c r="B13" s="25">
        <v>41981</v>
      </c>
      <c r="C13" s="25">
        <v>41835</v>
      </c>
      <c r="D13">
        <v>250</v>
      </c>
    </row>
    <row r="22" spans="1:5">
      <c r="A22" t="s">
        <v>69</v>
      </c>
    </row>
    <row r="24" spans="1:5">
      <c r="A24" t="s">
        <v>274</v>
      </c>
    </row>
    <row r="26" spans="1:5">
      <c r="A26">
        <v>1</v>
      </c>
      <c r="B26" s="25">
        <v>41898</v>
      </c>
      <c r="C26" s="25">
        <v>41834</v>
      </c>
      <c r="D26" t="s">
        <v>275</v>
      </c>
    </row>
    <row r="27" spans="1:5">
      <c r="A27">
        <v>2</v>
      </c>
      <c r="B27" s="25">
        <v>41835</v>
      </c>
      <c r="C27" s="25">
        <v>41897</v>
      </c>
      <c r="D27">
        <v>400</v>
      </c>
      <c r="E27" t="s">
        <v>60</v>
      </c>
    </row>
    <row r="29" spans="1:5">
      <c r="A29" t="s">
        <v>70</v>
      </c>
    </row>
    <row r="31" spans="1:5">
      <c r="A31">
        <v>1</v>
      </c>
      <c r="B31" s="25">
        <v>41835</v>
      </c>
      <c r="C31" s="29">
        <v>41897</v>
      </c>
      <c r="D31">
        <v>200</v>
      </c>
      <c r="E31" t="s">
        <v>60</v>
      </c>
    </row>
    <row r="32" spans="1:5">
      <c r="A32">
        <v>2</v>
      </c>
      <c r="B32" s="25">
        <v>41898</v>
      </c>
      <c r="C32" s="29">
        <v>41834</v>
      </c>
      <c r="D32">
        <v>300</v>
      </c>
      <c r="E32" t="s">
        <v>60</v>
      </c>
    </row>
    <row r="34" spans="2:3">
      <c r="B34" s="25"/>
      <c r="C34" s="29"/>
    </row>
  </sheetData>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dimension ref="B1:Q262"/>
  <sheetViews>
    <sheetView topLeftCell="A141" workbookViewId="0">
      <selection activeCell="S167" sqref="S167"/>
    </sheetView>
  </sheetViews>
  <sheetFormatPr defaultColWidth="12.5703125" defaultRowHeight="12.75"/>
  <cols>
    <col min="1" max="1" width="4.5703125" style="62" customWidth="1"/>
    <col min="2" max="2" width="14.140625" style="62" customWidth="1"/>
    <col min="3" max="3" width="12.5703125" style="848" customWidth="1"/>
    <col min="4" max="6" width="12.5703125" style="849" customWidth="1"/>
    <col min="7" max="7" width="16.42578125" style="79" customWidth="1"/>
    <col min="8" max="8" width="12.5703125" style="79" customWidth="1"/>
    <col min="9" max="9" width="14.140625" style="62" customWidth="1"/>
    <col min="10" max="10" width="12.5703125" style="75" customWidth="1"/>
    <col min="11" max="11" width="12.5703125" style="62"/>
    <col min="12" max="12" width="20.5703125" style="62" customWidth="1"/>
    <col min="13" max="13" width="12.5703125" style="62" customWidth="1"/>
    <col min="14" max="16384" width="12.5703125" style="62"/>
  </cols>
  <sheetData>
    <row r="1" spans="2:17">
      <c r="B1" s="63"/>
      <c r="C1" s="831" t="s">
        <v>173</v>
      </c>
      <c r="D1" s="832" t="s">
        <v>174</v>
      </c>
      <c r="E1" s="832" t="s">
        <v>175</v>
      </c>
      <c r="F1" s="832" t="s">
        <v>162</v>
      </c>
      <c r="G1" s="50" t="s">
        <v>176</v>
      </c>
      <c r="H1" s="65"/>
      <c r="I1" s="63"/>
      <c r="J1" s="64" t="s">
        <v>177</v>
      </c>
      <c r="P1" s="656" t="s">
        <v>21</v>
      </c>
    </row>
    <row r="2" spans="2:17">
      <c r="B2" s="66" t="s">
        <v>178</v>
      </c>
      <c r="C2" s="833" t="s">
        <v>179</v>
      </c>
      <c r="D2" s="834" t="s">
        <v>179</v>
      </c>
      <c r="E2" s="834" t="s">
        <v>179</v>
      </c>
      <c r="F2" s="834" t="s">
        <v>179</v>
      </c>
      <c r="G2" s="68" t="s">
        <v>180</v>
      </c>
      <c r="H2" s="65"/>
      <c r="I2" s="66" t="s">
        <v>178</v>
      </c>
      <c r="J2" s="67" t="s">
        <v>181</v>
      </c>
      <c r="O2" s="657" t="s">
        <v>178</v>
      </c>
      <c r="P2" s="658" t="s">
        <v>708</v>
      </c>
      <c r="Q2" s="659" t="s">
        <v>709</v>
      </c>
    </row>
    <row r="3" spans="2:17">
      <c r="B3" s="69" t="s">
        <v>59</v>
      </c>
      <c r="C3" s="835" t="s">
        <v>182</v>
      </c>
      <c r="D3" s="836" t="s">
        <v>182</v>
      </c>
      <c r="E3" s="836" t="s">
        <v>182</v>
      </c>
      <c r="F3" s="836" t="s">
        <v>182</v>
      </c>
      <c r="G3" s="71" t="s">
        <v>183</v>
      </c>
      <c r="H3" s="65"/>
      <c r="I3" s="69" t="s">
        <v>59</v>
      </c>
      <c r="J3" s="70" t="s">
        <v>182</v>
      </c>
      <c r="O3" s="660" t="s">
        <v>59</v>
      </c>
      <c r="P3" s="661" t="s">
        <v>182</v>
      </c>
      <c r="Q3" s="662" t="s">
        <v>182</v>
      </c>
    </row>
    <row r="4" spans="2:17">
      <c r="B4" s="63">
        <v>0</v>
      </c>
      <c r="C4" s="837">
        <v>0</v>
      </c>
      <c r="D4" s="838">
        <v>0</v>
      </c>
      <c r="E4" s="838">
        <v>0</v>
      </c>
      <c r="F4" s="837">
        <f t="shared" ref="F4:F67" si="0">C4+D4+E4</f>
        <v>0</v>
      </c>
      <c r="G4" s="50" t="s">
        <v>184</v>
      </c>
      <c r="H4" s="65"/>
      <c r="I4" s="72">
        <v>0</v>
      </c>
      <c r="J4" s="64">
        <v>0</v>
      </c>
      <c r="K4" s="65"/>
      <c r="O4" s="669">
        <v>0</v>
      </c>
      <c r="P4" s="670">
        <v>0</v>
      </c>
      <c r="Q4" s="671">
        <v>0</v>
      </c>
    </row>
    <row r="5" spans="2:17">
      <c r="B5" s="66">
        <v>0.1</v>
      </c>
      <c r="C5" s="839">
        <v>217953</v>
      </c>
      <c r="D5" s="840">
        <v>225078</v>
      </c>
      <c r="E5" s="840">
        <v>430600</v>
      </c>
      <c r="F5" s="840">
        <f t="shared" si="0"/>
        <v>873631</v>
      </c>
      <c r="G5" s="68" t="s">
        <v>184</v>
      </c>
      <c r="H5" s="65"/>
      <c r="I5" s="73">
        <v>0.1</v>
      </c>
      <c r="J5" s="67">
        <v>68422.138547800001</v>
      </c>
      <c r="K5" s="65"/>
      <c r="O5" s="663">
        <v>0.10000000000000142</v>
      </c>
      <c r="P5" s="664">
        <v>8778.5521302802372</v>
      </c>
      <c r="Q5" s="665">
        <v>8778.5521302802372</v>
      </c>
    </row>
    <row r="6" spans="2:17">
      <c r="B6" s="66">
        <v>0.2</v>
      </c>
      <c r="C6" s="839">
        <v>435906</v>
      </c>
      <c r="D6" s="840">
        <v>450156</v>
      </c>
      <c r="E6" s="841">
        <v>861200</v>
      </c>
      <c r="F6" s="840">
        <f t="shared" si="0"/>
        <v>1747262</v>
      </c>
      <c r="G6" s="68" t="s">
        <v>184</v>
      </c>
      <c r="H6" s="65"/>
      <c r="I6" s="73">
        <v>0.2</v>
      </c>
      <c r="J6" s="67">
        <v>136844.2770956</v>
      </c>
      <c r="K6" s="65"/>
      <c r="O6" s="663">
        <v>0.20000000000000284</v>
      </c>
      <c r="P6" s="664">
        <v>17144.756917606952</v>
      </c>
      <c r="Q6" s="665">
        <v>17144.756917606952</v>
      </c>
    </row>
    <row r="7" spans="2:17">
      <c r="B7" s="66">
        <v>0.3</v>
      </c>
      <c r="C7" s="839">
        <v>653859</v>
      </c>
      <c r="D7" s="840">
        <v>675234</v>
      </c>
      <c r="E7" s="841">
        <v>1305400</v>
      </c>
      <c r="F7" s="840">
        <f t="shared" si="0"/>
        <v>2634493</v>
      </c>
      <c r="G7" s="68" t="s">
        <v>184</v>
      </c>
      <c r="H7" s="65"/>
      <c r="I7" s="73">
        <v>0.3</v>
      </c>
      <c r="J7" s="67">
        <v>205266.41564339999</v>
      </c>
      <c r="K7" s="65"/>
      <c r="O7" s="663">
        <v>0.30000000000000426</v>
      </c>
      <c r="P7" s="664">
        <v>33423.729180690556</v>
      </c>
      <c r="Q7" s="665">
        <v>33423.729180690556</v>
      </c>
    </row>
    <row r="8" spans="2:17">
      <c r="B8" s="66">
        <v>0.4</v>
      </c>
      <c r="C8" s="839">
        <v>871813</v>
      </c>
      <c r="D8" s="840">
        <v>900312</v>
      </c>
      <c r="E8" s="841">
        <v>1750000</v>
      </c>
      <c r="F8" s="840">
        <f t="shared" si="0"/>
        <v>3522125</v>
      </c>
      <c r="G8" s="68" t="s">
        <v>184</v>
      </c>
      <c r="H8" s="65"/>
      <c r="I8" s="73">
        <v>0.4</v>
      </c>
      <c r="J8" s="67">
        <v>273688.5541912</v>
      </c>
      <c r="K8" s="160" t="s">
        <v>359</v>
      </c>
      <c r="L8" s="161"/>
      <c r="M8" s="161"/>
      <c r="N8" s="161"/>
      <c r="O8" s="663">
        <v>0.40000000000000568</v>
      </c>
      <c r="P8" s="664">
        <v>55368.605298682531</v>
      </c>
      <c r="Q8" s="665">
        <v>55368.605298682531</v>
      </c>
    </row>
    <row r="9" spans="2:17">
      <c r="B9" s="66">
        <v>0.5</v>
      </c>
      <c r="C9" s="839">
        <v>1089766</v>
      </c>
      <c r="D9" s="840">
        <v>1125390</v>
      </c>
      <c r="E9" s="841">
        <v>2195100</v>
      </c>
      <c r="F9" s="840">
        <f t="shared" si="0"/>
        <v>4410256</v>
      </c>
      <c r="G9" s="68" t="s">
        <v>184</v>
      </c>
      <c r="H9" s="65"/>
      <c r="I9" s="73">
        <v>0.5</v>
      </c>
      <c r="J9" s="67">
        <v>342110.69273900002</v>
      </c>
      <c r="K9" s="162"/>
      <c r="L9" s="163"/>
      <c r="M9" s="164">
        <f>15/7</f>
        <v>2.1428571428571428</v>
      </c>
      <c r="N9" s="164">
        <v>1</v>
      </c>
      <c r="O9" s="663">
        <v>0.50000000000000711</v>
      </c>
      <c r="P9" s="664">
        <v>83695.807846542812</v>
      </c>
      <c r="Q9" s="665">
        <v>83695.807846542812</v>
      </c>
    </row>
    <row r="10" spans="2:17">
      <c r="B10" s="66">
        <v>0.6</v>
      </c>
      <c r="C10" s="839">
        <v>1307719</v>
      </c>
      <c r="D10" s="840">
        <v>1350468</v>
      </c>
      <c r="E10" s="841">
        <v>2644600</v>
      </c>
      <c r="F10" s="840">
        <f t="shared" si="0"/>
        <v>5302787</v>
      </c>
      <c r="G10" s="68" t="s">
        <v>184</v>
      </c>
      <c r="H10" s="65"/>
      <c r="I10" s="73">
        <v>0.6</v>
      </c>
      <c r="J10" s="67">
        <v>410532.83128680004</v>
      </c>
      <c r="K10" s="162"/>
      <c r="L10" s="165">
        <v>1</v>
      </c>
      <c r="M10" s="164">
        <f>15/36</f>
        <v>0.41666666666666669</v>
      </c>
      <c r="N10" s="164">
        <f>7/36</f>
        <v>0.19444444444444445</v>
      </c>
      <c r="O10" s="663">
        <v>0.60000000000000853</v>
      </c>
      <c r="P10" s="664">
        <v>118410.51242969118</v>
      </c>
      <c r="Q10" s="665">
        <v>118410.51242969118</v>
      </c>
    </row>
    <row r="11" spans="2:17">
      <c r="B11" s="66">
        <v>0.7</v>
      </c>
      <c r="C11" s="839">
        <v>1525672</v>
      </c>
      <c r="D11" s="840">
        <v>1575545</v>
      </c>
      <c r="E11" s="841">
        <v>3086500</v>
      </c>
      <c r="F11" s="840">
        <f t="shared" si="0"/>
        <v>6187717</v>
      </c>
      <c r="G11" s="68" t="s">
        <v>184</v>
      </c>
      <c r="H11" s="65"/>
      <c r="I11" s="73">
        <v>0.7</v>
      </c>
      <c r="J11" s="67">
        <v>478954.96983460005</v>
      </c>
      <c r="K11" s="166"/>
      <c r="L11" s="167"/>
      <c r="M11" s="168" t="s">
        <v>160</v>
      </c>
      <c r="N11" s="168" t="s">
        <v>360</v>
      </c>
      <c r="O11" s="663">
        <v>0.70000000000000995</v>
      </c>
      <c r="P11" s="664">
        <v>158994.69862428337</v>
      </c>
      <c r="Q11" s="665">
        <v>158994.69862428337</v>
      </c>
    </row>
    <row r="12" spans="2:17">
      <c r="B12" s="66">
        <v>0.8</v>
      </c>
      <c r="C12" s="839">
        <v>1743625</v>
      </c>
      <c r="D12" s="840">
        <v>1800623</v>
      </c>
      <c r="E12" s="841">
        <v>3532800</v>
      </c>
      <c r="F12" s="840">
        <f t="shared" si="0"/>
        <v>7077048</v>
      </c>
      <c r="G12" s="68" t="s">
        <v>184</v>
      </c>
      <c r="H12" s="65"/>
      <c r="I12" s="73">
        <v>0.8</v>
      </c>
      <c r="J12" s="67">
        <v>547377.10838240001</v>
      </c>
      <c r="K12" s="169" t="s">
        <v>361</v>
      </c>
      <c r="L12" s="169" t="s">
        <v>362</v>
      </c>
      <c r="M12" s="170">
        <v>0</v>
      </c>
      <c r="N12" s="170">
        <f>L10</f>
        <v>1</v>
      </c>
      <c r="O12" s="663">
        <v>0.80000000000001137</v>
      </c>
      <c r="P12" s="664">
        <v>205323.06574371253</v>
      </c>
      <c r="Q12" s="665">
        <v>205323.06574371253</v>
      </c>
    </row>
    <row r="13" spans="2:17">
      <c r="B13" s="66">
        <v>0.9</v>
      </c>
      <c r="C13" s="839">
        <v>1961578</v>
      </c>
      <c r="D13" s="840">
        <v>2025701</v>
      </c>
      <c r="E13" s="841">
        <v>3979600</v>
      </c>
      <c r="F13" s="840">
        <f t="shared" si="0"/>
        <v>7966879</v>
      </c>
      <c r="G13" s="68" t="s">
        <v>184</v>
      </c>
      <c r="H13" s="65"/>
      <c r="I13" s="73">
        <v>0.9</v>
      </c>
      <c r="J13" s="67">
        <v>615799.24693020002</v>
      </c>
      <c r="K13" s="162" t="s">
        <v>363</v>
      </c>
      <c r="L13" s="162" t="s">
        <v>364</v>
      </c>
      <c r="M13" s="164">
        <v>0</v>
      </c>
      <c r="N13" s="164">
        <f>L10/2</f>
        <v>0.5</v>
      </c>
      <c r="O13" s="663">
        <v>0.90000000000001279</v>
      </c>
      <c r="P13" s="664">
        <v>257465.72964833427</v>
      </c>
      <c r="Q13" s="665">
        <v>257465.72964833427</v>
      </c>
    </row>
    <row r="14" spans="2:17">
      <c r="B14" s="66">
        <v>1</v>
      </c>
      <c r="C14" s="839">
        <v>2179532</v>
      </c>
      <c r="D14" s="841">
        <v>2385300</v>
      </c>
      <c r="E14" s="841">
        <v>4426700</v>
      </c>
      <c r="F14" s="840">
        <f t="shared" si="0"/>
        <v>8991532</v>
      </c>
      <c r="G14" s="68" t="s">
        <v>184</v>
      </c>
      <c r="H14" s="65"/>
      <c r="I14" s="73">
        <v>1</v>
      </c>
      <c r="J14" s="67">
        <v>684221.38547800004</v>
      </c>
      <c r="K14" s="162" t="s">
        <v>365</v>
      </c>
      <c r="L14" s="162" t="s">
        <v>366</v>
      </c>
      <c r="M14" s="164">
        <v>0</v>
      </c>
      <c r="N14" s="164">
        <f>L10/3</f>
        <v>0.33333333333333331</v>
      </c>
      <c r="O14" s="663">
        <v>1.0000000000000142</v>
      </c>
      <c r="P14" s="664">
        <v>314916.88344846206</v>
      </c>
      <c r="Q14" s="665">
        <v>314916.88344846206</v>
      </c>
    </row>
    <row r="15" spans="2:17">
      <c r="B15" s="66">
        <v>1.1000000000000001</v>
      </c>
      <c r="C15" s="839">
        <v>2397485</v>
      </c>
      <c r="D15" s="841">
        <v>2601000</v>
      </c>
      <c r="E15" s="841">
        <v>4874400</v>
      </c>
      <c r="F15" s="840">
        <f t="shared" si="0"/>
        <v>9872885</v>
      </c>
      <c r="G15" s="68" t="s">
        <v>184</v>
      </c>
      <c r="H15" s="65"/>
      <c r="I15" s="73">
        <v>1.1000000000000001</v>
      </c>
      <c r="J15" s="67">
        <v>753316.12402580003</v>
      </c>
      <c r="K15" s="162" t="s">
        <v>367</v>
      </c>
      <c r="L15" s="162" t="s">
        <v>368</v>
      </c>
      <c r="M15" s="164">
        <f>L10</f>
        <v>1</v>
      </c>
      <c r="N15" s="164">
        <v>0</v>
      </c>
      <c r="O15" s="663">
        <v>1.1000000000000156</v>
      </c>
      <c r="P15" s="664">
        <v>377531.36705236294</v>
      </c>
      <c r="Q15" s="665">
        <v>377531.36705236294</v>
      </c>
    </row>
    <row r="16" spans="2:17">
      <c r="B16" s="66">
        <v>1.2</v>
      </c>
      <c r="C16" s="839">
        <v>2615438</v>
      </c>
      <c r="D16" s="841">
        <v>2816700</v>
      </c>
      <c r="E16" s="841">
        <v>5322400</v>
      </c>
      <c r="F16" s="840">
        <f t="shared" si="0"/>
        <v>10754538</v>
      </c>
      <c r="G16" s="68" t="s">
        <v>184</v>
      </c>
      <c r="H16" s="65"/>
      <c r="I16" s="73">
        <v>1.2</v>
      </c>
      <c r="J16" s="67">
        <v>822410.86257360002</v>
      </c>
      <c r="K16" s="162" t="s">
        <v>369</v>
      </c>
      <c r="L16" s="162" t="s">
        <v>370</v>
      </c>
      <c r="M16" s="164">
        <f>L10-N16</f>
        <v>0.68181818181818188</v>
      </c>
      <c r="N16" s="164">
        <f>L10/(M9+1)</f>
        <v>0.31818181818181818</v>
      </c>
      <c r="O16" s="663">
        <v>1.2000000000000171</v>
      </c>
      <c r="P16" s="664">
        <v>445243.45798896375</v>
      </c>
      <c r="Q16" s="665">
        <v>445243.45798896375</v>
      </c>
    </row>
    <row r="17" spans="2:17">
      <c r="B17" s="66">
        <v>1.3</v>
      </c>
      <c r="C17" s="839">
        <v>2833391</v>
      </c>
      <c r="D17" s="841">
        <v>3032400</v>
      </c>
      <c r="E17" s="841">
        <v>5770900</v>
      </c>
      <c r="F17" s="840">
        <f t="shared" si="0"/>
        <v>11636691</v>
      </c>
      <c r="G17" s="68" t="s">
        <v>184</v>
      </c>
      <c r="H17" s="65"/>
      <c r="I17" s="73">
        <v>1.3</v>
      </c>
      <c r="J17" s="67">
        <v>891505.60112140002</v>
      </c>
      <c r="K17" s="162" t="s">
        <v>371</v>
      </c>
      <c r="L17" s="162" t="s">
        <v>372</v>
      </c>
      <c r="M17" s="164">
        <f>L10-N17*2</f>
        <v>0.51724137931034475</v>
      </c>
      <c r="N17" s="164">
        <f>L10/(M9+2)</f>
        <v>0.24137931034482762</v>
      </c>
      <c r="O17" s="663">
        <v>1.3000000000000185</v>
      </c>
      <c r="P17" s="664">
        <v>517798.17365593073</v>
      </c>
      <c r="Q17" s="665">
        <v>517798.17365593073</v>
      </c>
    </row>
    <row r="18" spans="2:17">
      <c r="B18" s="66">
        <v>1.4</v>
      </c>
      <c r="C18" s="839">
        <v>3051344</v>
      </c>
      <c r="D18" s="841">
        <v>3248100</v>
      </c>
      <c r="E18" s="841">
        <v>6219800</v>
      </c>
      <c r="F18" s="840">
        <f t="shared" si="0"/>
        <v>12519244</v>
      </c>
      <c r="G18" s="68" t="s">
        <v>184</v>
      </c>
      <c r="H18" s="65"/>
      <c r="I18" s="73">
        <v>1.4</v>
      </c>
      <c r="J18" s="67">
        <v>960600.33966920001</v>
      </c>
      <c r="K18" s="171" t="s">
        <v>373</v>
      </c>
      <c r="L18" s="171" t="s">
        <v>374</v>
      </c>
      <c r="M18" s="172">
        <f>L10*(M10)</f>
        <v>0.41666666666666669</v>
      </c>
      <c r="N18" s="172">
        <f>L10*(N10)</f>
        <v>0.19444444444444445</v>
      </c>
      <c r="O18" s="663">
        <v>1.4000000000000199</v>
      </c>
      <c r="P18" s="664">
        <v>595201.54543990875</v>
      </c>
      <c r="Q18" s="665">
        <v>595201.54543990875</v>
      </c>
    </row>
    <row r="19" spans="2:17">
      <c r="B19" s="66">
        <v>1.5</v>
      </c>
      <c r="C19" s="839">
        <v>3269297</v>
      </c>
      <c r="D19" s="841">
        <v>3463800</v>
      </c>
      <c r="E19" s="841">
        <v>6669100</v>
      </c>
      <c r="F19" s="840">
        <f t="shared" si="0"/>
        <v>13402197</v>
      </c>
      <c r="G19" s="68" t="s">
        <v>184</v>
      </c>
      <c r="H19" s="65"/>
      <c r="I19" s="73">
        <v>1.5</v>
      </c>
      <c r="J19" s="67">
        <v>1029695.078217</v>
      </c>
      <c r="K19" s="65"/>
      <c r="O19" s="663">
        <v>1.5000000000000213</v>
      </c>
      <c r="P19" s="664">
        <v>677373.54580552818</v>
      </c>
      <c r="Q19" s="665">
        <v>677373.54580552818</v>
      </c>
    </row>
    <row r="20" spans="2:17">
      <c r="B20" s="66">
        <v>1.6</v>
      </c>
      <c r="C20" s="839">
        <v>3487250</v>
      </c>
      <c r="D20" s="841">
        <v>3679500</v>
      </c>
      <c r="E20" s="841">
        <v>7118800</v>
      </c>
      <c r="F20" s="840">
        <f t="shared" si="0"/>
        <v>14285550</v>
      </c>
      <c r="G20" s="68" t="s">
        <v>184</v>
      </c>
      <c r="H20" s="65"/>
      <c r="I20" s="73">
        <v>1.6</v>
      </c>
      <c r="J20" s="67">
        <v>1098789.8167648001</v>
      </c>
      <c r="K20" s="65"/>
      <c r="O20" s="663">
        <v>1.6000000000000227</v>
      </c>
      <c r="P20" s="664">
        <v>764385.16795261879</v>
      </c>
      <c r="Q20" s="665">
        <v>764385.16795261879</v>
      </c>
    </row>
    <row r="21" spans="2:17">
      <c r="B21" s="66">
        <v>1.7</v>
      </c>
      <c r="C21" s="842">
        <v>3689900</v>
      </c>
      <c r="D21" s="841">
        <v>3895200</v>
      </c>
      <c r="E21" s="841">
        <v>7569000</v>
      </c>
      <c r="F21" s="841">
        <f t="shared" si="0"/>
        <v>15154100</v>
      </c>
      <c r="G21" s="68" t="s">
        <v>184</v>
      </c>
      <c r="H21" s="65"/>
      <c r="I21" s="73">
        <v>1.7</v>
      </c>
      <c r="J21" s="67">
        <v>1167884.5553126002</v>
      </c>
      <c r="K21" s="65"/>
      <c r="O21" s="663">
        <v>1.7000000000000242</v>
      </c>
      <c r="P21" s="664">
        <v>855882.32085858658</v>
      </c>
      <c r="Q21" s="665">
        <v>855882.32085858658</v>
      </c>
    </row>
    <row r="22" spans="2:17">
      <c r="B22" s="66">
        <v>1.8</v>
      </c>
      <c r="C22" s="843">
        <v>3905700</v>
      </c>
      <c r="D22" s="844">
        <v>4110900</v>
      </c>
      <c r="E22" s="844">
        <v>8019700</v>
      </c>
      <c r="F22" s="844">
        <f t="shared" si="0"/>
        <v>16036300</v>
      </c>
      <c r="G22" s="68" t="s">
        <v>184</v>
      </c>
      <c r="H22" s="65"/>
      <c r="I22" s="73">
        <v>1.8</v>
      </c>
      <c r="J22" s="67">
        <v>1236979.2938604003</v>
      </c>
      <c r="K22" s="65"/>
      <c r="O22" s="663">
        <v>1.8000000000000256</v>
      </c>
      <c r="P22" s="664">
        <v>951399.58743347647</v>
      </c>
      <c r="Q22" s="665">
        <v>951399.58743347647</v>
      </c>
    </row>
    <row r="23" spans="2:17">
      <c r="B23" s="66">
        <v>1.9</v>
      </c>
      <c r="C23" s="843">
        <v>4121500</v>
      </c>
      <c r="D23" s="844">
        <v>4326600</v>
      </c>
      <c r="E23" s="844">
        <v>8470700</v>
      </c>
      <c r="F23" s="844">
        <f t="shared" si="0"/>
        <v>16918800</v>
      </c>
      <c r="G23" s="68" t="s">
        <v>184</v>
      </c>
      <c r="H23" s="65"/>
      <c r="I23" s="73">
        <v>1.9</v>
      </c>
      <c r="J23" s="67">
        <v>1306074.0324082004</v>
      </c>
      <c r="K23" s="65"/>
      <c r="O23" s="663">
        <v>1.900000000000027</v>
      </c>
      <c r="P23" s="664">
        <v>1050995.6485155674</v>
      </c>
      <c r="Q23" s="665">
        <v>1050995.6485155674</v>
      </c>
    </row>
    <row r="24" spans="2:17">
      <c r="B24" s="66">
        <v>2</v>
      </c>
      <c r="C24" s="843">
        <v>4339800</v>
      </c>
      <c r="D24" s="844">
        <v>4542300</v>
      </c>
      <c r="E24" s="844">
        <v>8922200</v>
      </c>
      <c r="F24" s="844">
        <f t="shared" si="0"/>
        <v>17804300</v>
      </c>
      <c r="G24" s="68" t="s">
        <v>184</v>
      </c>
      <c r="H24" s="65"/>
      <c r="I24" s="73">
        <v>2</v>
      </c>
      <c r="J24" s="67">
        <v>1375168.7709560001</v>
      </c>
      <c r="K24" s="65"/>
      <c r="O24" s="663">
        <v>2.0000000000000284</v>
      </c>
      <c r="P24" s="664">
        <v>1154604.9755274386</v>
      </c>
      <c r="Q24" s="665">
        <v>1154604.9755274386</v>
      </c>
    </row>
    <row r="25" spans="2:17">
      <c r="B25" s="66">
        <v>2.1</v>
      </c>
      <c r="C25" s="843">
        <v>4558700</v>
      </c>
      <c r="D25" s="844">
        <v>4761100</v>
      </c>
      <c r="E25" s="844">
        <v>9374100</v>
      </c>
      <c r="F25" s="844">
        <f t="shared" si="0"/>
        <v>18693900</v>
      </c>
      <c r="G25" s="68" t="s">
        <v>184</v>
      </c>
      <c r="H25" s="65"/>
      <c r="I25" s="73">
        <v>2.1</v>
      </c>
      <c r="J25" s="67">
        <v>1444263.5095038002</v>
      </c>
      <c r="K25" s="65"/>
      <c r="O25" s="663">
        <v>2.1000000000000298</v>
      </c>
      <c r="P25" s="664">
        <v>1261680.8876332853</v>
      </c>
      <c r="Q25" s="665">
        <v>1261680.8876332853</v>
      </c>
    </row>
    <row r="26" spans="2:17">
      <c r="B26" s="66">
        <v>2.2000000000000002</v>
      </c>
      <c r="C26" s="843">
        <v>4777600</v>
      </c>
      <c r="D26" s="844">
        <v>4979900</v>
      </c>
      <c r="E26" s="844">
        <v>9826400</v>
      </c>
      <c r="F26" s="844">
        <f t="shared" si="0"/>
        <v>19583900</v>
      </c>
      <c r="G26" s="68" t="s">
        <v>184</v>
      </c>
      <c r="H26" s="65"/>
      <c r="I26" s="73">
        <v>2.2000000000000002</v>
      </c>
      <c r="J26" s="67">
        <v>1513358.2480516003</v>
      </c>
      <c r="K26" s="65"/>
      <c r="O26" s="663">
        <v>2.2000000000000313</v>
      </c>
      <c r="P26" s="664">
        <v>1372044.8679912956</v>
      </c>
      <c r="Q26" s="665">
        <v>1372044.8679912956</v>
      </c>
    </row>
    <row r="27" spans="2:17">
      <c r="B27" s="66">
        <v>2.2999999999999998</v>
      </c>
      <c r="C27" s="843">
        <v>4996500</v>
      </c>
      <c r="D27" s="844">
        <v>5198700</v>
      </c>
      <c r="E27" s="844">
        <v>10279200</v>
      </c>
      <c r="F27" s="844">
        <f t="shared" si="0"/>
        <v>20474400</v>
      </c>
      <c r="G27" s="68" t="s">
        <v>184</v>
      </c>
      <c r="H27" s="49"/>
      <c r="I27" s="73">
        <v>2.2999999999999998</v>
      </c>
      <c r="J27" s="67">
        <v>1582452.9865994004</v>
      </c>
      <c r="K27" s="65"/>
      <c r="O27" s="663">
        <v>2.3000000000000327</v>
      </c>
      <c r="P27" s="664">
        <v>1485738.3608862625</v>
      </c>
      <c r="Q27" s="665">
        <v>1485738.3608862625</v>
      </c>
    </row>
    <row r="28" spans="2:17">
      <c r="B28" s="66">
        <v>2.4</v>
      </c>
      <c r="C28" s="843">
        <v>5215400</v>
      </c>
      <c r="D28" s="844">
        <v>5417500</v>
      </c>
      <c r="E28" s="844">
        <v>10732400</v>
      </c>
      <c r="F28" s="844">
        <f t="shared" si="0"/>
        <v>21365300</v>
      </c>
      <c r="G28" s="68" t="s">
        <v>184</v>
      </c>
      <c r="H28" s="49"/>
      <c r="I28" s="73">
        <v>2.4</v>
      </c>
      <c r="J28" s="67">
        <v>1651547.7251472005</v>
      </c>
      <c r="K28" s="65"/>
      <c r="O28" s="663">
        <v>2.4000000000000341</v>
      </c>
      <c r="P28" s="664">
        <v>1602479.1810312315</v>
      </c>
      <c r="Q28" s="665">
        <v>1602479.1810312315</v>
      </c>
    </row>
    <row r="29" spans="2:17">
      <c r="B29" s="66">
        <v>2.5</v>
      </c>
      <c r="C29" s="843">
        <v>5434300</v>
      </c>
      <c r="D29" s="844">
        <v>5636300</v>
      </c>
      <c r="E29" s="844">
        <v>11186000</v>
      </c>
      <c r="F29" s="844">
        <f t="shared" si="0"/>
        <v>22256600</v>
      </c>
      <c r="G29" s="68" t="s">
        <v>184</v>
      </c>
      <c r="H29" s="49"/>
      <c r="I29" s="73">
        <v>2.5</v>
      </c>
      <c r="J29" s="67">
        <v>1720642.4636950006</v>
      </c>
      <c r="K29" s="65"/>
      <c r="O29" s="663">
        <v>2.5000000000000355</v>
      </c>
      <c r="P29" s="664">
        <v>1721825.388325939</v>
      </c>
      <c r="Q29" s="665">
        <v>1721825.388325939</v>
      </c>
    </row>
    <row r="30" spans="2:17">
      <c r="B30" s="66">
        <v>2.6</v>
      </c>
      <c r="C30" s="843">
        <v>5653200</v>
      </c>
      <c r="D30" s="844">
        <v>5855100</v>
      </c>
      <c r="E30" s="844">
        <v>11640000</v>
      </c>
      <c r="F30" s="844">
        <f t="shared" si="0"/>
        <v>23148300</v>
      </c>
      <c r="G30" s="68" t="s">
        <v>184</v>
      </c>
      <c r="H30" s="49"/>
      <c r="I30" s="73">
        <v>2.6</v>
      </c>
      <c r="J30" s="67">
        <v>1789737.2022428007</v>
      </c>
      <c r="K30" s="65"/>
      <c r="O30" s="663">
        <v>2.6000000000000369</v>
      </c>
      <c r="P30" s="664">
        <v>1843729.8329560589</v>
      </c>
      <c r="Q30" s="665">
        <v>1843729.8329560589</v>
      </c>
    </row>
    <row r="31" spans="2:17">
      <c r="B31" s="66">
        <v>2.7</v>
      </c>
      <c r="C31" s="843">
        <v>5872100</v>
      </c>
      <c r="D31" s="844">
        <v>6073900</v>
      </c>
      <c r="E31" s="844">
        <v>12094500</v>
      </c>
      <c r="F31" s="844">
        <f t="shared" si="0"/>
        <v>24040500</v>
      </c>
      <c r="G31" s="68" t="s">
        <v>184</v>
      </c>
      <c r="H31" s="49"/>
      <c r="I31" s="73">
        <v>2.7</v>
      </c>
      <c r="J31" s="67">
        <v>1858831.9407906008</v>
      </c>
      <c r="K31" s="65"/>
      <c r="O31" s="663">
        <v>2.7000000000000384</v>
      </c>
      <c r="P31" s="664">
        <v>1968175.1160238613</v>
      </c>
      <c r="Q31" s="665">
        <v>1968175.1160238613</v>
      </c>
    </row>
    <row r="32" spans="2:17">
      <c r="B32" s="66">
        <v>2.8</v>
      </c>
      <c r="C32" s="843">
        <v>6091000</v>
      </c>
      <c r="D32" s="844">
        <v>6292700</v>
      </c>
      <c r="E32" s="844">
        <v>12549500</v>
      </c>
      <c r="F32" s="844">
        <f t="shared" si="0"/>
        <v>24933200</v>
      </c>
      <c r="G32" s="68" t="s">
        <v>184</v>
      </c>
      <c r="H32" s="49"/>
      <c r="I32" s="73">
        <v>2.8</v>
      </c>
      <c r="J32" s="67">
        <v>1927926.679338401</v>
      </c>
      <c r="K32" s="65"/>
      <c r="O32" s="663">
        <v>2.8000000000000398</v>
      </c>
      <c r="P32" s="664">
        <v>2094672.4709494247</v>
      </c>
      <c r="Q32" s="665">
        <v>2094672.4709494247</v>
      </c>
    </row>
    <row r="33" spans="2:17">
      <c r="B33" s="66">
        <v>2.9</v>
      </c>
      <c r="C33" s="843">
        <v>6309900</v>
      </c>
      <c r="D33" s="844">
        <v>6511500</v>
      </c>
      <c r="E33" s="844">
        <v>13004800</v>
      </c>
      <c r="F33" s="844">
        <f t="shared" si="0"/>
        <v>25826200</v>
      </c>
      <c r="G33" s="68" t="s">
        <v>184</v>
      </c>
      <c r="H33" s="49"/>
      <c r="I33" s="73">
        <v>2.9</v>
      </c>
      <c r="J33" s="67">
        <v>1997021.4178862011</v>
      </c>
      <c r="K33" s="65"/>
      <c r="O33" s="663">
        <v>2.9000000000000412</v>
      </c>
      <c r="P33" s="664">
        <v>2222996.04029945</v>
      </c>
      <c r="Q33" s="665">
        <v>2222996.04029945</v>
      </c>
    </row>
    <row r="34" spans="2:17">
      <c r="B34" s="66">
        <v>3</v>
      </c>
      <c r="C34" s="843">
        <v>6528800</v>
      </c>
      <c r="D34" s="844">
        <v>6730300</v>
      </c>
      <c r="E34" s="844">
        <v>13460600</v>
      </c>
      <c r="F34" s="844">
        <f t="shared" si="0"/>
        <v>26719700</v>
      </c>
      <c r="G34" s="68" t="s">
        <v>184</v>
      </c>
      <c r="H34" s="49"/>
      <c r="I34" s="73">
        <v>3</v>
      </c>
      <c r="J34" s="67">
        <v>2066116.1564340005</v>
      </c>
      <c r="K34" s="65"/>
      <c r="O34" s="663">
        <v>3.0000000000000426</v>
      </c>
      <c r="P34" s="664">
        <v>2353195.1157615115</v>
      </c>
      <c r="Q34" s="665">
        <v>2353195.1157615115</v>
      </c>
    </row>
    <row r="35" spans="2:17">
      <c r="B35" s="66">
        <v>3.1</v>
      </c>
      <c r="C35" s="843">
        <v>6750800</v>
      </c>
      <c r="D35" s="844">
        <v>6952100</v>
      </c>
      <c r="E35" s="844">
        <v>13916800</v>
      </c>
      <c r="F35" s="844">
        <f t="shared" si="0"/>
        <v>27619700</v>
      </c>
      <c r="G35" s="68" t="s">
        <v>184</v>
      </c>
      <c r="H35" s="49"/>
      <c r="I35" s="73">
        <v>3.1</v>
      </c>
      <c r="J35" s="67">
        <v>2164571.6913851579</v>
      </c>
      <c r="K35" s="65"/>
      <c r="O35" s="663">
        <v>3.1000000000000441</v>
      </c>
      <c r="P35" s="664">
        <v>2484952.2692427295</v>
      </c>
      <c r="Q35" s="665">
        <v>2484952.2692427295</v>
      </c>
    </row>
    <row r="36" spans="2:17">
      <c r="B36" s="66">
        <v>3.2</v>
      </c>
      <c r="C36" s="843">
        <v>6972800</v>
      </c>
      <c r="D36" s="844">
        <v>7173900</v>
      </c>
      <c r="E36" s="844">
        <v>14373400</v>
      </c>
      <c r="F36" s="844">
        <f t="shared" si="0"/>
        <v>28520100</v>
      </c>
      <c r="G36" s="68" t="s">
        <v>184</v>
      </c>
      <c r="H36" s="49"/>
      <c r="I36" s="73">
        <v>3.2</v>
      </c>
      <c r="J36" s="67">
        <v>2263027.2263363153</v>
      </c>
      <c r="K36" s="65"/>
      <c r="O36" s="663">
        <v>3.2000000000000455</v>
      </c>
      <c r="P36" s="664">
        <v>2617903.9095215793</v>
      </c>
      <c r="Q36" s="665">
        <v>2617903.9095215793</v>
      </c>
    </row>
    <row r="37" spans="2:17">
      <c r="B37" s="66">
        <v>3.3</v>
      </c>
      <c r="C37" s="843">
        <v>7194800</v>
      </c>
      <c r="D37" s="844">
        <v>7395700</v>
      </c>
      <c r="E37" s="844">
        <v>14830500</v>
      </c>
      <c r="F37" s="844">
        <f t="shared" si="0"/>
        <v>29421000</v>
      </c>
      <c r="G37" s="68" t="s">
        <v>184</v>
      </c>
      <c r="H37" s="49"/>
      <c r="I37" s="73">
        <v>3.3</v>
      </c>
      <c r="J37" s="67">
        <v>2361482.7612874727</v>
      </c>
      <c r="K37" s="65"/>
      <c r="O37" s="663">
        <v>3.3000000000000469</v>
      </c>
      <c r="P37" s="664">
        <v>2751966.2444185219</v>
      </c>
      <c r="Q37" s="665">
        <v>2751966.2444185219</v>
      </c>
    </row>
    <row r="38" spans="2:17">
      <c r="B38" s="66">
        <v>3.4</v>
      </c>
      <c r="C38" s="843">
        <v>7416800</v>
      </c>
      <c r="D38" s="844">
        <v>7617500</v>
      </c>
      <c r="E38" s="844">
        <v>15288000</v>
      </c>
      <c r="F38" s="844">
        <f t="shared" si="0"/>
        <v>30322300</v>
      </c>
      <c r="G38" s="68" t="s">
        <v>184</v>
      </c>
      <c r="H38" s="49"/>
      <c r="I38" s="73">
        <v>3.4</v>
      </c>
      <c r="J38" s="67">
        <v>2459938.2962386301</v>
      </c>
      <c r="K38" s="65"/>
      <c r="O38" s="663">
        <v>3.4000000000000483</v>
      </c>
      <c r="P38" s="664">
        <v>2887014.7664480852</v>
      </c>
      <c r="Q38" s="665">
        <v>2887014.7664480852</v>
      </c>
    </row>
    <row r="39" spans="2:17">
      <c r="B39" s="66">
        <v>3.5</v>
      </c>
      <c r="C39" s="843">
        <v>7638800</v>
      </c>
      <c r="D39" s="844">
        <v>7839300</v>
      </c>
      <c r="E39" s="844">
        <v>15746000</v>
      </c>
      <c r="F39" s="844">
        <f t="shared" si="0"/>
        <v>31224100</v>
      </c>
      <c r="G39" s="68" t="s">
        <v>184</v>
      </c>
      <c r="H39" s="49"/>
      <c r="I39" s="73">
        <v>3.5</v>
      </c>
      <c r="J39" s="67">
        <v>2558393.8311897875</v>
      </c>
      <c r="K39" s="65"/>
      <c r="O39" s="663">
        <v>3.5000000000000497</v>
      </c>
      <c r="P39" s="664">
        <v>3022759.8324703402</v>
      </c>
      <c r="Q39" s="665">
        <v>3022759.8324703402</v>
      </c>
    </row>
    <row r="40" spans="2:17">
      <c r="B40" s="66">
        <v>3.6</v>
      </c>
      <c r="C40" s="843">
        <v>7860800</v>
      </c>
      <c r="D40" s="844">
        <v>8061100</v>
      </c>
      <c r="E40" s="844">
        <v>16204300</v>
      </c>
      <c r="F40" s="844">
        <f t="shared" si="0"/>
        <v>32126200</v>
      </c>
      <c r="G40" s="68" t="s">
        <v>184</v>
      </c>
      <c r="H40" s="49"/>
      <c r="I40" s="73">
        <v>3.6</v>
      </c>
      <c r="J40" s="67">
        <v>2656849.3661409449</v>
      </c>
      <c r="K40" s="65"/>
      <c r="O40" s="663">
        <v>3.6000000000000512</v>
      </c>
      <c r="P40" s="664">
        <v>3158863.8670845567</v>
      </c>
      <c r="Q40" s="665">
        <v>3158863.8670845567</v>
      </c>
    </row>
    <row r="41" spans="2:17">
      <c r="B41" s="66">
        <v>3.7</v>
      </c>
      <c r="C41" s="843">
        <v>8082800</v>
      </c>
      <c r="D41" s="844">
        <v>8282900</v>
      </c>
      <c r="E41" s="844">
        <v>16663200</v>
      </c>
      <c r="F41" s="844">
        <f t="shared" si="0"/>
        <v>33028900</v>
      </c>
      <c r="G41" s="68" t="s">
        <v>184</v>
      </c>
      <c r="H41" s="49"/>
      <c r="I41" s="73">
        <v>3.7</v>
      </c>
      <c r="J41" s="67">
        <v>2755304.9010921023</v>
      </c>
      <c r="K41" s="65"/>
      <c r="O41" s="663">
        <v>3.7000000000000526</v>
      </c>
      <c r="P41" s="664">
        <v>3295312.6436533453</v>
      </c>
      <c r="Q41" s="665">
        <v>3295312.6436533453</v>
      </c>
    </row>
    <row r="42" spans="2:17">
      <c r="B42" s="66">
        <v>3.8</v>
      </c>
      <c r="C42" s="843">
        <v>8304800</v>
      </c>
      <c r="D42" s="844">
        <v>8504700</v>
      </c>
      <c r="E42" s="844">
        <v>17122400</v>
      </c>
      <c r="F42" s="844">
        <f t="shared" si="0"/>
        <v>33931900</v>
      </c>
      <c r="G42" s="68" t="s">
        <v>184</v>
      </c>
      <c r="H42" s="49"/>
      <c r="I42" s="73">
        <v>3.8</v>
      </c>
      <c r="J42" s="67">
        <v>2853760.4360432597</v>
      </c>
      <c r="K42" s="65"/>
      <c r="O42" s="663">
        <v>3.800000000000054</v>
      </c>
      <c r="P42" s="664">
        <v>3431996.3787232139</v>
      </c>
      <c r="Q42" s="665">
        <v>3431996.3787232139</v>
      </c>
    </row>
    <row r="43" spans="2:17">
      <c r="B43" s="66">
        <v>3.9</v>
      </c>
      <c r="C43" s="843">
        <v>8526800</v>
      </c>
      <c r="D43" s="844">
        <v>8726500</v>
      </c>
      <c r="E43" s="844">
        <v>17582100</v>
      </c>
      <c r="F43" s="844">
        <f t="shared" si="0"/>
        <v>34835400</v>
      </c>
      <c r="G43" s="68" t="s">
        <v>184</v>
      </c>
      <c r="H43" s="49"/>
      <c r="I43" s="73">
        <v>3.9</v>
      </c>
      <c r="J43" s="67">
        <v>2952215.9709944171</v>
      </c>
      <c r="K43" s="65"/>
      <c r="O43" s="663">
        <v>3.9000000000000554</v>
      </c>
      <c r="P43" s="664">
        <v>3568689.0044068703</v>
      </c>
      <c r="Q43" s="665">
        <v>3568689.0044068703</v>
      </c>
    </row>
    <row r="44" spans="2:17">
      <c r="B44" s="66">
        <v>4</v>
      </c>
      <c r="C44" s="843">
        <v>8750800</v>
      </c>
      <c r="D44" s="844">
        <v>8948300</v>
      </c>
      <c r="E44" s="844">
        <v>18042200</v>
      </c>
      <c r="F44" s="844">
        <f t="shared" si="0"/>
        <v>35741300</v>
      </c>
      <c r="G44" s="68" t="s">
        <v>184</v>
      </c>
      <c r="H44" s="49"/>
      <c r="I44" s="73">
        <v>4</v>
      </c>
      <c r="J44" s="67">
        <v>3050671.5059455754</v>
      </c>
      <c r="K44" s="65"/>
      <c r="O44" s="663">
        <v>4.0000000000000568</v>
      </c>
      <c r="P44" s="664">
        <v>3705573.5258583482</v>
      </c>
      <c r="Q44" s="665">
        <v>3705573.5258583482</v>
      </c>
    </row>
    <row r="45" spans="2:17">
      <c r="B45" s="66">
        <v>4.0999999999999996</v>
      </c>
      <c r="C45" s="843">
        <v>8975900</v>
      </c>
      <c r="D45" s="844">
        <v>9173200</v>
      </c>
      <c r="E45" s="844">
        <v>18502700</v>
      </c>
      <c r="F45" s="844">
        <f t="shared" si="0"/>
        <v>36651800</v>
      </c>
      <c r="G45" s="68" t="s">
        <v>184</v>
      </c>
      <c r="H45" s="49"/>
      <c r="I45" s="73">
        <v>4.0999999999999996</v>
      </c>
      <c r="J45" s="67">
        <v>3154662.6444933754</v>
      </c>
      <c r="K45" s="65"/>
      <c r="O45" s="663">
        <v>4.1000000000000583</v>
      </c>
      <c r="P45" s="664">
        <v>3842603.0009971256</v>
      </c>
      <c r="Q45" s="665">
        <v>3842603.0009971256</v>
      </c>
    </row>
    <row r="46" spans="2:17">
      <c r="B46" s="66">
        <v>4.2</v>
      </c>
      <c r="C46" s="843">
        <v>9201000</v>
      </c>
      <c r="D46" s="844">
        <v>9398100</v>
      </c>
      <c r="E46" s="844">
        <v>18963700</v>
      </c>
      <c r="F46" s="844">
        <f t="shared" si="0"/>
        <v>37562800</v>
      </c>
      <c r="G46" s="68" t="s">
        <v>184</v>
      </c>
      <c r="H46" s="49"/>
      <c r="I46" s="73">
        <v>4.2</v>
      </c>
      <c r="J46" s="67">
        <v>3258653.7830411755</v>
      </c>
      <c r="K46" s="65"/>
      <c r="O46" s="663">
        <v>4.2000000000000597</v>
      </c>
      <c r="P46" s="664">
        <v>3979709.7434776425</v>
      </c>
      <c r="Q46" s="665">
        <v>3979709.7434776425</v>
      </c>
    </row>
    <row r="47" spans="2:17">
      <c r="B47" s="66">
        <v>4.3</v>
      </c>
      <c r="C47" s="843">
        <v>9426100</v>
      </c>
      <c r="D47" s="844">
        <v>9623000</v>
      </c>
      <c r="E47" s="844">
        <v>19425100</v>
      </c>
      <c r="F47" s="844">
        <f t="shared" si="0"/>
        <v>38474200</v>
      </c>
      <c r="G47" s="68" t="s">
        <v>184</v>
      </c>
      <c r="H47" s="49"/>
      <c r="I47" s="73">
        <v>4.3</v>
      </c>
      <c r="J47" s="67">
        <v>3362644.9215889755</v>
      </c>
      <c r="K47" s="65"/>
      <c r="O47" s="663">
        <v>4.3000000000000611</v>
      </c>
      <c r="P47" s="664">
        <v>4116895.445610038</v>
      </c>
      <c r="Q47" s="665">
        <v>4116895.445610038</v>
      </c>
    </row>
    <row r="48" spans="2:17">
      <c r="B48" s="66">
        <v>4.4000000000000004</v>
      </c>
      <c r="C48" s="843">
        <v>9651200</v>
      </c>
      <c r="D48" s="844">
        <v>9847900</v>
      </c>
      <c r="E48" s="844">
        <v>19886900</v>
      </c>
      <c r="F48" s="844">
        <f t="shared" si="0"/>
        <v>39386000</v>
      </c>
      <c r="G48" s="68" t="s">
        <v>184</v>
      </c>
      <c r="H48" s="49"/>
      <c r="I48" s="73">
        <v>4.4000000000000004</v>
      </c>
      <c r="J48" s="67">
        <v>3466636.0601367755</v>
      </c>
      <c r="K48" s="65"/>
      <c r="O48" s="663">
        <v>4.4000000000000625</v>
      </c>
      <c r="P48" s="664">
        <v>4254148.4504237939</v>
      </c>
      <c r="Q48" s="665">
        <v>4254148.4504237939</v>
      </c>
    </row>
    <row r="49" spans="2:17">
      <c r="B49" s="66">
        <v>4.5</v>
      </c>
      <c r="C49" s="843">
        <v>9876300</v>
      </c>
      <c r="D49" s="844">
        <v>10072800</v>
      </c>
      <c r="E49" s="844">
        <v>20349200</v>
      </c>
      <c r="F49" s="844">
        <f t="shared" si="0"/>
        <v>40298300</v>
      </c>
      <c r="G49" s="68" t="s">
        <v>184</v>
      </c>
      <c r="H49" s="49"/>
      <c r="I49" s="73">
        <v>4.5</v>
      </c>
      <c r="J49" s="67">
        <v>3570627.1986845755</v>
      </c>
      <c r="K49" s="65"/>
      <c r="O49" s="663">
        <v>4.5000000000000639</v>
      </c>
      <c r="P49" s="664">
        <v>4391534.9404158024</v>
      </c>
      <c r="Q49" s="665">
        <v>4391534.9404158024</v>
      </c>
    </row>
    <row r="50" spans="2:17">
      <c r="B50" s="66">
        <v>4.5999999999999996</v>
      </c>
      <c r="C50" s="843">
        <v>10101400</v>
      </c>
      <c r="D50" s="844">
        <v>10297700</v>
      </c>
      <c r="E50" s="844">
        <v>20811900</v>
      </c>
      <c r="F50" s="844">
        <f t="shared" si="0"/>
        <v>41211000</v>
      </c>
      <c r="G50" s="68" t="s">
        <v>184</v>
      </c>
      <c r="H50" s="49"/>
      <c r="I50" s="73">
        <v>4.5999999999999996</v>
      </c>
      <c r="J50" s="67">
        <v>3674618.3372323755</v>
      </c>
      <c r="K50" s="65"/>
      <c r="O50" s="663">
        <v>4.6000000000000654</v>
      </c>
      <c r="P50" s="664">
        <v>4528927.8155407486</v>
      </c>
      <c r="Q50" s="665">
        <v>4528927.8155407486</v>
      </c>
    </row>
    <row r="51" spans="2:17">
      <c r="B51" s="66">
        <v>4.7</v>
      </c>
      <c r="C51" s="843">
        <v>10326500</v>
      </c>
      <c r="D51" s="844">
        <v>10522600</v>
      </c>
      <c r="E51" s="844">
        <v>21275100</v>
      </c>
      <c r="F51" s="844">
        <f t="shared" si="0"/>
        <v>42124200</v>
      </c>
      <c r="G51" s="68" t="s">
        <v>184</v>
      </c>
      <c r="H51" s="49"/>
      <c r="I51" s="73">
        <v>4.7</v>
      </c>
      <c r="J51" s="67">
        <v>3778609.4757801755</v>
      </c>
      <c r="K51" s="65"/>
      <c r="O51" s="663">
        <v>4.7000000000000668</v>
      </c>
      <c r="P51" s="664">
        <v>4666349.9201379428</v>
      </c>
      <c r="Q51" s="665">
        <v>4666349.9201379428</v>
      </c>
    </row>
    <row r="52" spans="2:17">
      <c r="B52" s="66">
        <v>4.8</v>
      </c>
      <c r="C52" s="843">
        <v>10551600</v>
      </c>
      <c r="D52" s="844">
        <v>10747500</v>
      </c>
      <c r="E52" s="844">
        <v>21738700</v>
      </c>
      <c r="F52" s="844">
        <f t="shared" si="0"/>
        <v>43037800</v>
      </c>
      <c r="G52" s="68" t="s">
        <v>184</v>
      </c>
      <c r="H52" s="49"/>
      <c r="I52" s="73">
        <v>4.8</v>
      </c>
      <c r="J52" s="67">
        <v>3882600.6143279755</v>
      </c>
      <c r="K52" s="65"/>
      <c r="O52" s="663">
        <v>4.8000000000000682</v>
      </c>
      <c r="P52" s="664">
        <v>4803849.5749907335</v>
      </c>
      <c r="Q52" s="665">
        <v>4803849.5749907335</v>
      </c>
    </row>
    <row r="53" spans="2:17">
      <c r="B53" s="66">
        <v>4.9000000000000004</v>
      </c>
      <c r="C53" s="843">
        <v>10776700</v>
      </c>
      <c r="D53" s="844">
        <v>10972400</v>
      </c>
      <c r="E53" s="844">
        <v>22202700</v>
      </c>
      <c r="F53" s="844">
        <f t="shared" si="0"/>
        <v>43951800</v>
      </c>
      <c r="G53" s="68" t="s">
        <v>184</v>
      </c>
      <c r="H53" s="49"/>
      <c r="I53" s="73">
        <v>4.9000000000000004</v>
      </c>
      <c r="J53" s="67">
        <v>3986591.7528757756</v>
      </c>
      <c r="K53" s="65"/>
      <c r="O53" s="663">
        <v>4.9000000000000696</v>
      </c>
      <c r="P53" s="664">
        <v>4941355.6154198665</v>
      </c>
      <c r="Q53" s="665">
        <v>4941355.6154198665</v>
      </c>
    </row>
    <row r="54" spans="2:17">
      <c r="B54" s="66">
        <v>5</v>
      </c>
      <c r="C54" s="843">
        <v>11001800</v>
      </c>
      <c r="D54" s="844">
        <v>11197300</v>
      </c>
      <c r="E54" s="844">
        <v>22667100</v>
      </c>
      <c r="F54" s="844">
        <f t="shared" si="0"/>
        <v>44866200</v>
      </c>
      <c r="G54" s="68" t="s">
        <v>184</v>
      </c>
      <c r="H54" s="49"/>
      <c r="I54" s="73">
        <v>5</v>
      </c>
      <c r="J54" s="67">
        <v>4090582.8914235751</v>
      </c>
      <c r="K54" s="65"/>
      <c r="O54" s="663">
        <v>5.0000000000000711</v>
      </c>
      <c r="P54" s="664">
        <v>5078868.041573138</v>
      </c>
      <c r="Q54" s="665">
        <v>5078868.041573138</v>
      </c>
    </row>
    <row r="55" spans="2:17">
      <c r="B55" s="66">
        <v>5.0999999999999996</v>
      </c>
      <c r="C55" s="843">
        <v>11230000</v>
      </c>
      <c r="D55" s="844">
        <v>11425200</v>
      </c>
      <c r="E55" s="844">
        <v>23132000</v>
      </c>
      <c r="F55" s="844">
        <f t="shared" si="0"/>
        <v>45787200</v>
      </c>
      <c r="G55" s="68" t="s">
        <v>184</v>
      </c>
      <c r="H55" s="49"/>
      <c r="I55" s="73">
        <v>5.0999999999999996</v>
      </c>
      <c r="J55" s="67">
        <v>4194219.8299713754</v>
      </c>
      <c r="K55" s="65"/>
      <c r="O55" s="663">
        <v>5.1000000000000725</v>
      </c>
      <c r="P55" s="664">
        <v>5216386.8535983488</v>
      </c>
      <c r="Q55" s="665">
        <v>5216386.8535983488</v>
      </c>
    </row>
    <row r="56" spans="2:17">
      <c r="B56" s="66">
        <v>5.2</v>
      </c>
      <c r="C56" s="843">
        <v>11458200</v>
      </c>
      <c r="D56" s="844">
        <v>11653100</v>
      </c>
      <c r="E56" s="844">
        <v>23597300</v>
      </c>
      <c r="F56" s="844">
        <f t="shared" si="0"/>
        <v>46708600</v>
      </c>
      <c r="G56" s="68" t="s">
        <v>184</v>
      </c>
      <c r="H56" s="49"/>
      <c r="I56" s="73">
        <v>5.1999999999999904</v>
      </c>
      <c r="J56" s="67">
        <v>4297856.7685191752</v>
      </c>
      <c r="K56" s="65"/>
      <c r="O56" s="663">
        <v>5.2000000000000739</v>
      </c>
      <c r="P56" s="664">
        <v>5353912.0516432999</v>
      </c>
      <c r="Q56" s="665">
        <v>5353912.0516432999</v>
      </c>
    </row>
    <row r="57" spans="2:17">
      <c r="B57" s="66">
        <v>5.3</v>
      </c>
      <c r="C57" s="843">
        <v>11686400</v>
      </c>
      <c r="D57" s="844">
        <v>11881000</v>
      </c>
      <c r="E57" s="844">
        <v>24063100</v>
      </c>
      <c r="F57" s="844">
        <f t="shared" si="0"/>
        <v>47630500</v>
      </c>
      <c r="G57" s="68" t="s">
        <v>184</v>
      </c>
      <c r="H57" s="49"/>
      <c r="I57" s="73">
        <v>5.2999999999999901</v>
      </c>
      <c r="J57" s="67">
        <v>4401493.7070669755</v>
      </c>
      <c r="K57" s="65"/>
      <c r="O57" s="663">
        <v>5.3000000000000753</v>
      </c>
      <c r="P57" s="664">
        <v>5491443.6358557902</v>
      </c>
      <c r="Q57" s="665">
        <v>5491443.6358557902</v>
      </c>
    </row>
    <row r="58" spans="2:17">
      <c r="B58" s="66">
        <v>5.4</v>
      </c>
      <c r="C58" s="843">
        <v>11914600</v>
      </c>
      <c r="D58" s="844">
        <v>12108900</v>
      </c>
      <c r="E58" s="844">
        <v>24529300</v>
      </c>
      <c r="F58" s="844">
        <f t="shared" si="0"/>
        <v>48552800</v>
      </c>
      <c r="G58" s="68" t="s">
        <v>184</v>
      </c>
      <c r="H58" s="49"/>
      <c r="I58" s="73">
        <v>5.3999999999999897</v>
      </c>
      <c r="J58" s="67">
        <v>4505130.6456147758</v>
      </c>
      <c r="K58" s="65"/>
      <c r="O58" s="663">
        <v>5.4000000000000767</v>
      </c>
      <c r="P58" s="664">
        <v>5628981.6063836217</v>
      </c>
      <c r="Q58" s="665">
        <v>5628981.6063836217</v>
      </c>
    </row>
    <row r="59" spans="2:17">
      <c r="B59" s="66">
        <v>5.5</v>
      </c>
      <c r="C59" s="843">
        <v>12142800</v>
      </c>
      <c r="D59" s="844">
        <v>12336800</v>
      </c>
      <c r="E59" s="844">
        <v>24995900</v>
      </c>
      <c r="F59" s="844">
        <f t="shared" si="0"/>
        <v>49475500</v>
      </c>
      <c r="G59" s="68" t="s">
        <v>184</v>
      </c>
      <c r="H59" s="49"/>
      <c r="I59" s="73">
        <v>5.4999999999999902</v>
      </c>
      <c r="J59" s="67">
        <v>4608767.5841625761</v>
      </c>
      <c r="K59" s="65"/>
      <c r="O59" s="663">
        <v>5.5000000000000782</v>
      </c>
      <c r="P59" s="664">
        <v>5766525.9633745914</v>
      </c>
      <c r="Q59" s="665">
        <v>5766525.9633745914</v>
      </c>
    </row>
    <row r="60" spans="2:17">
      <c r="B60" s="66">
        <v>5.6</v>
      </c>
      <c r="C60" s="843">
        <v>12371000</v>
      </c>
      <c r="D60" s="844">
        <v>12564700</v>
      </c>
      <c r="E60" s="844">
        <v>25463000</v>
      </c>
      <c r="F60" s="844">
        <f t="shared" si="0"/>
        <v>50398700</v>
      </c>
      <c r="G60" s="68" t="s">
        <v>184</v>
      </c>
      <c r="H60" s="49"/>
      <c r="I60" s="73">
        <v>5.5999999999999899</v>
      </c>
      <c r="J60" s="67">
        <v>4712404.5227103764</v>
      </c>
      <c r="K60" s="65"/>
      <c r="O60" s="663">
        <v>5.6000000000000796</v>
      </c>
      <c r="P60" s="664">
        <v>5904076.7069765003</v>
      </c>
      <c r="Q60" s="665">
        <v>5904076.7069765003</v>
      </c>
    </row>
    <row r="61" spans="2:17">
      <c r="B61" s="66">
        <v>5.7</v>
      </c>
      <c r="C61" s="843">
        <v>12599200</v>
      </c>
      <c r="D61" s="844">
        <v>12792600</v>
      </c>
      <c r="E61" s="844">
        <v>25930500</v>
      </c>
      <c r="F61" s="844">
        <f t="shared" si="0"/>
        <v>51322300</v>
      </c>
      <c r="G61" s="68" t="s">
        <v>184</v>
      </c>
      <c r="H61" s="49"/>
      <c r="I61" s="73">
        <v>5.6999999999999904</v>
      </c>
      <c r="J61" s="67">
        <v>4816041.4612581767</v>
      </c>
      <c r="K61" s="65"/>
      <c r="O61" s="663">
        <v>5.700000000000081</v>
      </c>
      <c r="P61" s="664">
        <v>6041633.8373371521</v>
      </c>
      <c r="Q61" s="665">
        <v>6041633.8373371521</v>
      </c>
    </row>
    <row r="62" spans="2:17">
      <c r="B62" s="66">
        <v>5.8</v>
      </c>
      <c r="C62" s="843">
        <v>12827400</v>
      </c>
      <c r="D62" s="844">
        <v>13020500</v>
      </c>
      <c r="E62" s="844">
        <v>26398400</v>
      </c>
      <c r="F62" s="844">
        <f t="shared" si="0"/>
        <v>52246300</v>
      </c>
      <c r="G62" s="68" t="s">
        <v>184</v>
      </c>
      <c r="H62" s="49"/>
      <c r="I62" s="73">
        <v>5.7999999999999901</v>
      </c>
      <c r="J62" s="67">
        <v>4919678.399805977</v>
      </c>
      <c r="K62" s="65"/>
      <c r="O62" s="663">
        <v>5.8000000000000824</v>
      </c>
      <c r="P62" s="664">
        <v>6179197.354604343</v>
      </c>
      <c r="Q62" s="665">
        <v>6179197.354604343</v>
      </c>
    </row>
    <row r="63" spans="2:17">
      <c r="B63" s="66">
        <v>5.9</v>
      </c>
      <c r="C63" s="843">
        <v>13055600</v>
      </c>
      <c r="D63" s="844">
        <v>13248400</v>
      </c>
      <c r="E63" s="844">
        <v>26866800</v>
      </c>
      <c r="F63" s="844">
        <f t="shared" si="0"/>
        <v>53170800</v>
      </c>
      <c r="G63" s="68" t="s">
        <v>184</v>
      </c>
      <c r="H63" s="49"/>
      <c r="I63" s="73">
        <v>5.8999999999999897</v>
      </c>
      <c r="J63" s="67">
        <v>5023315.3383537773</v>
      </c>
      <c r="K63" s="65"/>
      <c r="O63" s="663">
        <v>5.9000000000000838</v>
      </c>
      <c r="P63" s="664">
        <v>6316767.2589258701</v>
      </c>
      <c r="Q63" s="665">
        <v>6316767.2589258701</v>
      </c>
    </row>
    <row r="64" spans="2:17">
      <c r="B64" s="66">
        <v>6</v>
      </c>
      <c r="C64" s="843">
        <v>13283800</v>
      </c>
      <c r="D64" s="844">
        <v>13476300</v>
      </c>
      <c r="E64" s="844">
        <v>27335600</v>
      </c>
      <c r="F64" s="844">
        <f t="shared" si="0"/>
        <v>54095700</v>
      </c>
      <c r="G64" s="68" t="s">
        <v>184</v>
      </c>
      <c r="H64" s="49"/>
      <c r="I64" s="73">
        <v>5.9999999999999902</v>
      </c>
      <c r="J64" s="67">
        <v>5126952.2769015767</v>
      </c>
      <c r="K64" s="65"/>
      <c r="O64" s="663">
        <v>6.0000000000000853</v>
      </c>
      <c r="P64" s="664">
        <v>6454343.550449539</v>
      </c>
      <c r="Q64" s="665">
        <v>6454343.550449539</v>
      </c>
    </row>
    <row r="65" spans="2:17">
      <c r="B65" s="66">
        <v>6.1</v>
      </c>
      <c r="C65" s="843">
        <v>13515100</v>
      </c>
      <c r="D65" s="844">
        <v>13707300</v>
      </c>
      <c r="E65" s="844">
        <v>27804900</v>
      </c>
      <c r="F65" s="844">
        <f t="shared" si="0"/>
        <v>55027300</v>
      </c>
      <c r="G65" s="68" t="s">
        <v>184</v>
      </c>
      <c r="H65" s="49"/>
      <c r="I65" s="73">
        <v>6.0999999999999899</v>
      </c>
      <c r="J65" s="67">
        <v>5230589.215449377</v>
      </c>
      <c r="K65" s="65"/>
      <c r="O65" s="663">
        <v>6.1000000000000867</v>
      </c>
      <c r="P65" s="664">
        <v>6591926.2293231497</v>
      </c>
      <c r="Q65" s="665">
        <v>6591926.2293231497</v>
      </c>
    </row>
    <row r="66" spans="2:17">
      <c r="B66" s="66">
        <v>6.2</v>
      </c>
      <c r="C66" s="843">
        <v>13746400</v>
      </c>
      <c r="D66" s="844">
        <v>13938300</v>
      </c>
      <c r="E66" s="844">
        <v>28274600</v>
      </c>
      <c r="F66" s="844">
        <f t="shared" si="0"/>
        <v>55959300</v>
      </c>
      <c r="G66" s="68" t="s">
        <v>184</v>
      </c>
      <c r="H66" s="49"/>
      <c r="I66" s="73">
        <v>6.1999999999999904</v>
      </c>
      <c r="J66" s="67">
        <v>5334226.1539971773</v>
      </c>
      <c r="K66" s="65"/>
      <c r="O66" s="663">
        <v>6.2000000000000881</v>
      </c>
      <c r="P66" s="664">
        <v>6729515.2956944965</v>
      </c>
      <c r="Q66" s="665">
        <v>6729515.2956944965</v>
      </c>
    </row>
    <row r="67" spans="2:17">
      <c r="B67" s="66">
        <v>6.3</v>
      </c>
      <c r="C67" s="843">
        <v>13977700</v>
      </c>
      <c r="D67" s="844">
        <v>14169300</v>
      </c>
      <c r="E67" s="844">
        <v>28774700</v>
      </c>
      <c r="F67" s="844">
        <f t="shared" si="0"/>
        <v>56921700</v>
      </c>
      <c r="G67" s="68" t="s">
        <v>184</v>
      </c>
      <c r="H67" s="49"/>
      <c r="I67" s="73">
        <v>6.2999999999999901</v>
      </c>
      <c r="J67" s="67">
        <v>5437863.0925449776</v>
      </c>
      <c r="K67" s="65"/>
      <c r="O67" s="663">
        <v>6.3000000000000895</v>
      </c>
      <c r="P67" s="664">
        <v>6867110.7497113887</v>
      </c>
      <c r="Q67" s="665">
        <v>6867110.7497113887</v>
      </c>
    </row>
    <row r="68" spans="2:17">
      <c r="B68" s="66">
        <v>6.4</v>
      </c>
      <c r="C68" s="843">
        <v>14209000</v>
      </c>
      <c r="D68" s="844">
        <v>14400300</v>
      </c>
      <c r="E68" s="844">
        <v>29215300</v>
      </c>
      <c r="F68" s="844">
        <f t="shared" ref="F68:F131" si="1">C68+D68+E68</f>
        <v>57824600</v>
      </c>
      <c r="G68" s="68" t="s">
        <v>184</v>
      </c>
      <c r="H68" s="49"/>
      <c r="I68" s="73">
        <v>6.3999999999999897</v>
      </c>
      <c r="J68" s="67">
        <v>5541500.0310927778</v>
      </c>
      <c r="K68" s="65"/>
      <c r="O68" s="663">
        <v>6.4000000000000909</v>
      </c>
      <c r="P68" s="664">
        <v>7004712.5915216161</v>
      </c>
      <c r="Q68" s="665">
        <v>7004712.5915216161</v>
      </c>
    </row>
    <row r="69" spans="2:17">
      <c r="B69" s="66">
        <v>6.5</v>
      </c>
      <c r="C69" s="843">
        <v>14440300</v>
      </c>
      <c r="D69" s="844">
        <v>14631300</v>
      </c>
      <c r="E69" s="844">
        <v>29686300</v>
      </c>
      <c r="F69" s="844">
        <f t="shared" si="1"/>
        <v>58757900</v>
      </c>
      <c r="G69" s="68" t="s">
        <v>184</v>
      </c>
      <c r="H69" s="49"/>
      <c r="I69" s="73">
        <v>6.4999999999999902</v>
      </c>
      <c r="J69" s="67">
        <v>5645136.9696405781</v>
      </c>
      <c r="K69" s="65"/>
      <c r="O69" s="663">
        <v>6.5000000000000924</v>
      </c>
      <c r="P69" s="664">
        <v>7142320.8212729841</v>
      </c>
      <c r="Q69" s="665">
        <v>7142320.8212729841</v>
      </c>
    </row>
    <row r="70" spans="2:17">
      <c r="B70" s="66">
        <v>6.6</v>
      </c>
      <c r="C70" s="843">
        <v>14671600</v>
      </c>
      <c r="D70" s="844">
        <v>14862300</v>
      </c>
      <c r="E70" s="844">
        <v>30157700</v>
      </c>
      <c r="F70" s="844">
        <f t="shared" si="1"/>
        <v>59691600</v>
      </c>
      <c r="G70" s="68" t="s">
        <v>184</v>
      </c>
      <c r="H70" s="49"/>
      <c r="I70" s="73">
        <v>6.5999999999999899</v>
      </c>
      <c r="J70" s="67">
        <v>5748773.9081883784</v>
      </c>
      <c r="K70" s="65"/>
      <c r="O70" s="663">
        <v>6.6000000000000938</v>
      </c>
      <c r="P70" s="664">
        <v>7279935.4391132947</v>
      </c>
      <c r="Q70" s="665">
        <v>7279935.4391132947</v>
      </c>
    </row>
    <row r="71" spans="2:17">
      <c r="B71" s="66">
        <v>6.7</v>
      </c>
      <c r="C71" s="843">
        <v>14902900</v>
      </c>
      <c r="D71" s="844">
        <v>15093300</v>
      </c>
      <c r="E71" s="844">
        <v>30629600</v>
      </c>
      <c r="F71" s="844">
        <f t="shared" si="1"/>
        <v>60625800</v>
      </c>
      <c r="G71" s="68" t="s">
        <v>184</v>
      </c>
      <c r="H71" s="49"/>
      <c r="I71" s="73">
        <v>6.6999999999999904</v>
      </c>
      <c r="J71" s="67">
        <v>5852410.8467361787</v>
      </c>
      <c r="K71" s="65"/>
      <c r="O71" s="663">
        <v>6.7000000000000952</v>
      </c>
      <c r="P71" s="664">
        <v>7417556.4451903393</v>
      </c>
      <c r="Q71" s="665">
        <v>7417556.4451903393</v>
      </c>
    </row>
    <row r="72" spans="2:17">
      <c r="B72" s="66">
        <v>6.8</v>
      </c>
      <c r="C72" s="843">
        <v>15132400</v>
      </c>
      <c r="D72" s="844">
        <v>15324300</v>
      </c>
      <c r="E72" s="844">
        <v>31101900</v>
      </c>
      <c r="F72" s="844">
        <f t="shared" si="1"/>
        <v>61558600</v>
      </c>
      <c r="G72" s="68" t="s">
        <v>184</v>
      </c>
      <c r="H72" s="49"/>
      <c r="I72" s="73">
        <v>6.7999999999999901</v>
      </c>
      <c r="J72" s="67">
        <v>5956047.785283979</v>
      </c>
      <c r="K72" s="65"/>
      <c r="O72" s="663">
        <v>6.8000000000000966</v>
      </c>
      <c r="P72" s="664">
        <v>7555183.8396519292</v>
      </c>
      <c r="Q72" s="665">
        <v>7555183.8396519292</v>
      </c>
    </row>
    <row r="73" spans="2:17">
      <c r="B73" s="66">
        <v>6.9</v>
      </c>
      <c r="C73" s="843">
        <v>15365500</v>
      </c>
      <c r="D73" s="844">
        <v>15555300</v>
      </c>
      <c r="E73" s="844">
        <v>31574700</v>
      </c>
      <c r="F73" s="844">
        <f t="shared" si="1"/>
        <v>62495500</v>
      </c>
      <c r="G73" s="68" t="s">
        <v>184</v>
      </c>
      <c r="H73" s="49"/>
      <c r="I73" s="73">
        <v>6.8999999999999897</v>
      </c>
      <c r="J73" s="67">
        <v>6059684.7238317793</v>
      </c>
      <c r="K73" s="65"/>
      <c r="O73" s="663">
        <v>6.9000000000000981</v>
      </c>
      <c r="P73" s="664">
        <v>7692817.6226458605</v>
      </c>
      <c r="Q73" s="665">
        <v>7692817.6226458605</v>
      </c>
    </row>
    <row r="74" spans="2:17">
      <c r="B74" s="66">
        <v>7</v>
      </c>
      <c r="C74" s="843">
        <v>15596800</v>
      </c>
      <c r="D74" s="844">
        <v>15786300</v>
      </c>
      <c r="E74" s="844">
        <v>32047900</v>
      </c>
      <c r="F74" s="844">
        <f t="shared" si="1"/>
        <v>63431000</v>
      </c>
      <c r="G74" s="68" t="s">
        <v>184</v>
      </c>
      <c r="H74" s="49"/>
      <c r="I74" s="73">
        <v>6.9999999999999902</v>
      </c>
      <c r="J74" s="67">
        <v>6163321.6623795759</v>
      </c>
      <c r="K74" s="65"/>
      <c r="O74" s="663">
        <v>7.0000000000000995</v>
      </c>
      <c r="P74" s="664">
        <v>7830457.7943199268</v>
      </c>
      <c r="Q74" s="665">
        <v>7830457.7943199268</v>
      </c>
    </row>
    <row r="75" spans="2:17">
      <c r="B75" s="66">
        <v>7.1</v>
      </c>
      <c r="C75" s="843">
        <v>15831300</v>
      </c>
      <c r="D75" s="844">
        <v>16020500</v>
      </c>
      <c r="E75" s="844">
        <v>32521500</v>
      </c>
      <c r="F75" s="844">
        <f t="shared" si="1"/>
        <v>64373300</v>
      </c>
      <c r="G75" s="68" t="s">
        <v>184</v>
      </c>
      <c r="H75" s="49"/>
      <c r="I75" s="73">
        <v>7.0999999999999899</v>
      </c>
      <c r="J75" s="67">
        <v>6266958.6009273762</v>
      </c>
      <c r="K75" s="65"/>
      <c r="O75" s="663">
        <v>7.1000000000001009</v>
      </c>
      <c r="P75" s="664">
        <v>7968104.3548219334</v>
      </c>
      <c r="Q75" s="665">
        <v>7968104.3548219334</v>
      </c>
    </row>
    <row r="76" spans="2:17">
      <c r="B76" s="66">
        <v>7.2</v>
      </c>
      <c r="C76" s="843">
        <v>16065800</v>
      </c>
      <c r="D76" s="844">
        <v>16254700</v>
      </c>
      <c r="E76" s="844">
        <v>32995600</v>
      </c>
      <c r="F76" s="844">
        <f t="shared" si="1"/>
        <v>65316100</v>
      </c>
      <c r="G76" s="68" t="s">
        <v>184</v>
      </c>
      <c r="H76" s="49"/>
      <c r="I76" s="73">
        <v>7.1999999999999904</v>
      </c>
      <c r="J76" s="67">
        <v>6370595.5394751765</v>
      </c>
      <c r="K76" s="65"/>
      <c r="O76" s="663">
        <v>7.2000000000001023</v>
      </c>
      <c r="P76" s="664">
        <v>8105757.3042996842</v>
      </c>
      <c r="Q76" s="665">
        <v>8105757.3042996842</v>
      </c>
    </row>
    <row r="77" spans="2:17">
      <c r="B77" s="66">
        <v>7.3</v>
      </c>
      <c r="C77" s="843">
        <v>16300300</v>
      </c>
      <c r="D77" s="844">
        <v>16488900</v>
      </c>
      <c r="E77" s="844">
        <v>33470100</v>
      </c>
      <c r="F77" s="844">
        <f t="shared" si="1"/>
        <v>66259300</v>
      </c>
      <c r="G77" s="68" t="s">
        <v>184</v>
      </c>
      <c r="H77" s="49"/>
      <c r="I77" s="73">
        <v>7.2999999999999901</v>
      </c>
      <c r="J77" s="67">
        <v>6474232.4780229768</v>
      </c>
      <c r="K77" s="65"/>
      <c r="O77" s="663">
        <v>7.3000000000001037</v>
      </c>
      <c r="P77" s="664">
        <v>8243416.6429009726</v>
      </c>
      <c r="Q77" s="665">
        <v>8243416.6429009726</v>
      </c>
    </row>
    <row r="78" spans="2:17">
      <c r="B78" s="66">
        <v>7.4</v>
      </c>
      <c r="C78" s="843">
        <v>16534800</v>
      </c>
      <c r="D78" s="844">
        <v>16723100</v>
      </c>
      <c r="E78" s="844">
        <v>33945000</v>
      </c>
      <c r="F78" s="844">
        <f t="shared" si="1"/>
        <v>67202900</v>
      </c>
      <c r="G78" s="68" t="s">
        <v>184</v>
      </c>
      <c r="H78" s="49"/>
      <c r="I78" s="73">
        <v>7.3999999999999897</v>
      </c>
      <c r="J78" s="67">
        <v>6577869.4165707771</v>
      </c>
      <c r="K78" s="65"/>
      <c r="O78" s="663">
        <v>7.4000000000001052</v>
      </c>
      <c r="P78" s="664">
        <v>8381082.3707736013</v>
      </c>
      <c r="Q78" s="665">
        <v>8381082.3707736013</v>
      </c>
    </row>
    <row r="79" spans="2:17">
      <c r="B79" s="66">
        <v>7.5</v>
      </c>
      <c r="C79" s="843">
        <v>16769300</v>
      </c>
      <c r="D79" s="844">
        <v>16957300</v>
      </c>
      <c r="E79" s="844">
        <v>34420400</v>
      </c>
      <c r="F79" s="844">
        <f t="shared" si="1"/>
        <v>68147000</v>
      </c>
      <c r="G79" s="68" t="s">
        <v>184</v>
      </c>
      <c r="H79" s="49"/>
      <c r="I79" s="73">
        <v>7.4999999999999902</v>
      </c>
      <c r="J79" s="67">
        <v>6681506.3551185774</v>
      </c>
      <c r="K79" s="65"/>
      <c r="O79" s="663">
        <v>7.5000000000001066</v>
      </c>
      <c r="P79" s="664">
        <v>8518754.4880653676</v>
      </c>
      <c r="Q79" s="665">
        <v>8518754.4880653676</v>
      </c>
    </row>
    <row r="80" spans="2:17">
      <c r="B80" s="66">
        <v>7.6</v>
      </c>
      <c r="C80" s="843">
        <v>17003800</v>
      </c>
      <c r="D80" s="844">
        <v>17191500</v>
      </c>
      <c r="E80" s="844">
        <v>34896300</v>
      </c>
      <c r="F80" s="844">
        <f t="shared" si="1"/>
        <v>69091600</v>
      </c>
      <c r="G80" s="68" t="s">
        <v>184</v>
      </c>
      <c r="H80" s="49"/>
      <c r="I80" s="73">
        <v>7.5999999999999899</v>
      </c>
      <c r="J80" s="67">
        <v>6785143.2936663777</v>
      </c>
      <c r="K80" s="65"/>
      <c r="O80" s="663">
        <v>7.600000000000108</v>
      </c>
      <c r="P80" s="664">
        <v>8656432.994924074</v>
      </c>
      <c r="Q80" s="665">
        <v>8656432.994924074</v>
      </c>
    </row>
    <row r="81" spans="2:17">
      <c r="B81" s="66">
        <v>7.7</v>
      </c>
      <c r="C81" s="843">
        <v>17238300</v>
      </c>
      <c r="D81" s="844">
        <v>17425700</v>
      </c>
      <c r="E81" s="844">
        <v>35372500</v>
      </c>
      <c r="F81" s="844">
        <f t="shared" si="1"/>
        <v>70036500</v>
      </c>
      <c r="G81" s="68" t="s">
        <v>184</v>
      </c>
      <c r="H81" s="49"/>
      <c r="I81" s="73">
        <v>7.6999999999999904</v>
      </c>
      <c r="J81" s="67">
        <v>6888780.232214178</v>
      </c>
      <c r="K81" s="65"/>
      <c r="O81" s="663">
        <v>7.7000000000001094</v>
      </c>
      <c r="P81" s="664">
        <v>8794117.8914975245</v>
      </c>
      <c r="Q81" s="665">
        <v>8794117.8914975245</v>
      </c>
    </row>
    <row r="82" spans="2:17">
      <c r="B82" s="66">
        <v>7.8</v>
      </c>
      <c r="C82" s="843">
        <v>17472800</v>
      </c>
      <c r="D82" s="844">
        <v>17659900</v>
      </c>
      <c r="E82" s="844">
        <v>35849300</v>
      </c>
      <c r="F82" s="844">
        <f t="shared" si="1"/>
        <v>70982000</v>
      </c>
      <c r="G82" s="68" t="s">
        <v>184</v>
      </c>
      <c r="H82" s="49"/>
      <c r="I82" s="73">
        <v>7.7999999999999901</v>
      </c>
      <c r="J82" s="67">
        <v>6992417.1707619783</v>
      </c>
      <c r="K82" s="65"/>
      <c r="O82" s="663">
        <v>7.8000000000001108</v>
      </c>
      <c r="P82" s="664">
        <v>8931809.1779335104</v>
      </c>
      <c r="Q82" s="665">
        <v>8931809.1779335104</v>
      </c>
    </row>
    <row r="83" spans="2:17">
      <c r="B83" s="66">
        <v>7.9</v>
      </c>
      <c r="C83" s="843">
        <v>17707300</v>
      </c>
      <c r="D83" s="844">
        <v>17894100</v>
      </c>
      <c r="E83" s="844">
        <v>36326400</v>
      </c>
      <c r="F83" s="844">
        <f t="shared" si="1"/>
        <v>71927800</v>
      </c>
      <c r="G83" s="68" t="s">
        <v>184</v>
      </c>
      <c r="H83" s="49"/>
      <c r="I83" s="73">
        <v>7.8999999999999897</v>
      </c>
      <c r="J83" s="67">
        <v>7096054.1093097785</v>
      </c>
      <c r="K83" s="65"/>
      <c r="O83" s="663">
        <v>7.9000000000001123</v>
      </c>
      <c r="P83" s="664">
        <v>9069506.8543798402</v>
      </c>
      <c r="Q83" s="665">
        <v>9069506.8543798402</v>
      </c>
    </row>
    <row r="84" spans="2:17">
      <c r="B84" s="66">
        <v>8</v>
      </c>
      <c r="C84" s="843">
        <v>17941800</v>
      </c>
      <c r="D84" s="844">
        <v>18128300</v>
      </c>
      <c r="E84" s="844">
        <v>36804000</v>
      </c>
      <c r="F84" s="844">
        <f t="shared" si="1"/>
        <v>72874100</v>
      </c>
      <c r="G84" s="68" t="s">
        <v>184</v>
      </c>
      <c r="H84" s="49"/>
      <c r="I84" s="73">
        <v>7.9999999999999796</v>
      </c>
      <c r="J84" s="67">
        <v>7199691.0478575751</v>
      </c>
      <c r="K84" s="65"/>
      <c r="O84" s="663">
        <v>8.0000000000001137</v>
      </c>
      <c r="P84" s="664">
        <v>9207210.9209843092</v>
      </c>
      <c r="Q84" s="665">
        <v>9207210.9209843092</v>
      </c>
    </row>
    <row r="85" spans="2:17">
      <c r="B85" s="66">
        <v>8.1</v>
      </c>
      <c r="C85" s="843">
        <v>18179500</v>
      </c>
      <c r="D85" s="844">
        <v>18365600</v>
      </c>
      <c r="E85" s="844">
        <v>37282100</v>
      </c>
      <c r="F85" s="844">
        <f t="shared" si="1"/>
        <v>73827200</v>
      </c>
      <c r="G85" s="68" t="s">
        <v>184</v>
      </c>
      <c r="H85" s="49"/>
      <c r="I85" s="73">
        <v>8.0999999999999801</v>
      </c>
      <c r="J85" s="67">
        <v>7303327.9864053754</v>
      </c>
      <c r="K85" s="65"/>
      <c r="O85" s="663">
        <v>8.1000000000001151</v>
      </c>
      <c r="P85" s="664">
        <v>9344921.3778947182</v>
      </c>
      <c r="Q85" s="665">
        <v>9344921.3778947182</v>
      </c>
    </row>
    <row r="86" spans="2:17">
      <c r="B86" s="66">
        <v>8.1999999999999993</v>
      </c>
      <c r="C86" s="843">
        <v>18417200</v>
      </c>
      <c r="D86" s="844">
        <v>18602900</v>
      </c>
      <c r="E86" s="844">
        <v>37760500</v>
      </c>
      <c r="F86" s="844">
        <f t="shared" si="1"/>
        <v>74780600</v>
      </c>
      <c r="G86" s="68" t="s">
        <v>184</v>
      </c>
      <c r="H86" s="49"/>
      <c r="I86" s="73">
        <v>8.1999999999999797</v>
      </c>
      <c r="J86" s="67">
        <v>7406964.9249531757</v>
      </c>
      <c r="K86" s="65"/>
      <c r="O86" s="663">
        <v>8.2000000000001165</v>
      </c>
      <c r="P86" s="664">
        <v>9482638.2252588663</v>
      </c>
      <c r="Q86" s="665">
        <v>9482638.2252588663</v>
      </c>
    </row>
    <row r="87" spans="2:17">
      <c r="B87" s="66">
        <v>8.3000000000000007</v>
      </c>
      <c r="C87" s="843">
        <v>18654900</v>
      </c>
      <c r="D87" s="844">
        <v>18840200</v>
      </c>
      <c r="E87" s="844">
        <v>38239500</v>
      </c>
      <c r="F87" s="844">
        <f t="shared" si="1"/>
        <v>75734600</v>
      </c>
      <c r="G87" s="68" t="s">
        <v>184</v>
      </c>
      <c r="H87" s="49"/>
      <c r="I87" s="73">
        <v>8.2999999999999794</v>
      </c>
      <c r="J87" s="67">
        <v>7510601.863500976</v>
      </c>
      <c r="K87" s="65"/>
      <c r="O87" s="663">
        <v>8.300000000000118</v>
      </c>
      <c r="P87" s="664">
        <v>9620361.4632245544</v>
      </c>
      <c r="Q87" s="665">
        <v>9620361.4632245544</v>
      </c>
    </row>
    <row r="88" spans="2:17">
      <c r="B88" s="66">
        <v>8.4</v>
      </c>
      <c r="C88" s="843">
        <v>18892600</v>
      </c>
      <c r="D88" s="844">
        <v>19077500</v>
      </c>
      <c r="E88" s="844">
        <v>38718800</v>
      </c>
      <c r="F88" s="844">
        <f t="shared" si="1"/>
        <v>76688900</v>
      </c>
      <c r="G88" s="68" t="s">
        <v>184</v>
      </c>
      <c r="H88" s="49"/>
      <c r="I88" s="73">
        <v>8.3999999999999808</v>
      </c>
      <c r="J88" s="67">
        <v>7614238.8020487763</v>
      </c>
      <c r="K88" s="65"/>
      <c r="O88" s="663">
        <v>8.4000000000001194</v>
      </c>
      <c r="P88" s="664">
        <v>9758091.0919395853</v>
      </c>
      <c r="Q88" s="665">
        <v>9758091.0919395853</v>
      </c>
    </row>
    <row r="89" spans="2:17">
      <c r="B89" s="66">
        <v>8.5</v>
      </c>
      <c r="C89" s="843">
        <v>19130300</v>
      </c>
      <c r="D89" s="844">
        <v>19314800</v>
      </c>
      <c r="E89" s="844">
        <v>39198600</v>
      </c>
      <c r="F89" s="844">
        <f t="shared" si="1"/>
        <v>77643700</v>
      </c>
      <c r="G89" s="68" t="s">
        <v>184</v>
      </c>
      <c r="H89" s="49"/>
      <c r="I89" s="73">
        <v>8.4999999999999805</v>
      </c>
      <c r="J89" s="67">
        <v>7717875.7405965766</v>
      </c>
      <c r="K89" s="65"/>
      <c r="O89" s="663">
        <v>8.5000000000001208</v>
      </c>
      <c r="P89" s="664">
        <v>9895827.1115517542</v>
      </c>
      <c r="Q89" s="665">
        <v>9895827.1115517542</v>
      </c>
    </row>
    <row r="90" spans="2:17">
      <c r="B90" s="66">
        <v>8.6</v>
      </c>
      <c r="C90" s="843">
        <v>19368000</v>
      </c>
      <c r="D90" s="844">
        <v>19552100</v>
      </c>
      <c r="E90" s="844">
        <v>39678900</v>
      </c>
      <c r="F90" s="844">
        <f t="shared" si="1"/>
        <v>78599000</v>
      </c>
      <c r="G90" s="68" t="s">
        <v>184</v>
      </c>
      <c r="H90" s="49"/>
      <c r="I90" s="73">
        <v>8.5999999999999801</v>
      </c>
      <c r="J90" s="67">
        <v>7821512.6791443769</v>
      </c>
      <c r="K90" s="65"/>
      <c r="O90" s="663">
        <v>8.6000000000001222</v>
      </c>
      <c r="P90" s="664">
        <v>10033569.522208862</v>
      </c>
      <c r="Q90" s="665">
        <v>10033569.522208862</v>
      </c>
    </row>
    <row r="91" spans="2:17">
      <c r="B91" s="66">
        <v>8.6999999999999993</v>
      </c>
      <c r="C91" s="843">
        <v>19605700</v>
      </c>
      <c r="D91" s="844">
        <v>19789400</v>
      </c>
      <c r="E91" s="844">
        <v>40159600</v>
      </c>
      <c r="F91" s="844">
        <f t="shared" si="1"/>
        <v>79554700</v>
      </c>
      <c r="G91" s="68" t="s">
        <v>184</v>
      </c>
      <c r="H91" s="49"/>
      <c r="I91" s="73">
        <v>8.6999999999999797</v>
      </c>
      <c r="J91" s="67">
        <v>7925149.6176921772</v>
      </c>
      <c r="K91" s="65"/>
      <c r="O91" s="663">
        <v>8.7000000000001236</v>
      </c>
      <c r="P91" s="664">
        <v>10171318.324058712</v>
      </c>
      <c r="Q91" s="665">
        <v>10171318.324058712</v>
      </c>
    </row>
    <row r="92" spans="2:17">
      <c r="B92" s="66">
        <v>8.8000000000000007</v>
      </c>
      <c r="C92" s="843">
        <v>19843400</v>
      </c>
      <c r="D92" s="844">
        <v>20026700</v>
      </c>
      <c r="E92" s="844">
        <v>40640700</v>
      </c>
      <c r="F92" s="844">
        <f t="shared" si="1"/>
        <v>80510800</v>
      </c>
      <c r="G92" s="68" t="s">
        <v>184</v>
      </c>
      <c r="H92" s="49"/>
      <c r="I92" s="73">
        <v>8.7999999999999794</v>
      </c>
      <c r="J92" s="67">
        <v>8028786.5562399775</v>
      </c>
      <c r="K92" s="65"/>
      <c r="O92" s="663">
        <v>8.8000000000001251</v>
      </c>
      <c r="P92" s="664">
        <v>10309073.5172491</v>
      </c>
      <c r="Q92" s="665">
        <v>10309073.5172491</v>
      </c>
    </row>
    <row r="93" spans="2:17">
      <c r="B93" s="66">
        <v>8.9</v>
      </c>
      <c r="C93" s="843">
        <v>20081100</v>
      </c>
      <c r="D93" s="844">
        <v>20264000</v>
      </c>
      <c r="E93" s="844">
        <v>41122300</v>
      </c>
      <c r="F93" s="844">
        <f t="shared" si="1"/>
        <v>81467400</v>
      </c>
      <c r="G93" s="68" t="s">
        <v>184</v>
      </c>
      <c r="H93" s="49"/>
      <c r="I93" s="73">
        <v>8.8999999999999808</v>
      </c>
      <c r="J93" s="67">
        <v>8132423.4947877778</v>
      </c>
      <c r="K93" s="65"/>
      <c r="O93" s="663">
        <v>8.9000000000001265</v>
      </c>
      <c r="P93" s="664">
        <v>10446835.101927832</v>
      </c>
      <c r="Q93" s="665">
        <v>10446835.101927832</v>
      </c>
    </row>
    <row r="94" spans="2:17">
      <c r="B94" s="66">
        <v>9</v>
      </c>
      <c r="C94" s="843">
        <v>20318800</v>
      </c>
      <c r="D94" s="844">
        <v>20501300</v>
      </c>
      <c r="E94" s="844">
        <v>41604300</v>
      </c>
      <c r="F94" s="844">
        <f t="shared" si="1"/>
        <v>82424400</v>
      </c>
      <c r="G94" s="68" t="s">
        <v>184</v>
      </c>
      <c r="H94" s="49"/>
      <c r="I94" s="73">
        <v>8.9999999999999805</v>
      </c>
      <c r="J94" s="67">
        <v>8236060.4333355762</v>
      </c>
      <c r="K94" s="65"/>
      <c r="O94" s="663">
        <v>9.0000000000001279</v>
      </c>
      <c r="P94" s="664">
        <v>10584603.078242701</v>
      </c>
      <c r="Q94" s="665">
        <v>10584603.078242701</v>
      </c>
    </row>
    <row r="95" spans="2:17">
      <c r="B95" s="66">
        <v>9.1</v>
      </c>
      <c r="C95" s="843">
        <v>20559600</v>
      </c>
      <c r="D95" s="844">
        <v>20741800</v>
      </c>
      <c r="E95" s="844">
        <v>42086700</v>
      </c>
      <c r="F95" s="844">
        <f t="shared" si="1"/>
        <v>83388100</v>
      </c>
      <c r="G95" s="68" t="s">
        <v>184</v>
      </c>
      <c r="H95" s="49"/>
      <c r="I95" s="73">
        <v>9.0999999999999801</v>
      </c>
      <c r="J95" s="67">
        <v>8339697.3718833765</v>
      </c>
      <c r="K95" s="65"/>
      <c r="O95" s="663">
        <v>9.1000000000001293</v>
      </c>
      <c r="P95" s="664">
        <v>10722377.446341511</v>
      </c>
      <c r="Q95" s="665">
        <v>10722377.446341511</v>
      </c>
    </row>
    <row r="96" spans="2:17">
      <c r="B96" s="66">
        <v>9.1999999999999993</v>
      </c>
      <c r="C96" s="843">
        <v>20800400</v>
      </c>
      <c r="D96" s="844">
        <v>20982300</v>
      </c>
      <c r="E96" s="844">
        <v>42569700</v>
      </c>
      <c r="F96" s="844">
        <f t="shared" si="1"/>
        <v>84352400</v>
      </c>
      <c r="G96" s="68" t="s">
        <v>184</v>
      </c>
      <c r="H96" s="49"/>
      <c r="I96" s="73">
        <v>9.1999999999999797</v>
      </c>
      <c r="J96" s="67">
        <v>8443334.3104311768</v>
      </c>
      <c r="K96" s="65"/>
      <c r="O96" s="663">
        <v>9.2000000000001307</v>
      </c>
      <c r="P96" s="664">
        <v>10860158.206372062</v>
      </c>
      <c r="Q96" s="665">
        <v>10860158.206372062</v>
      </c>
    </row>
    <row r="97" spans="2:17">
      <c r="B97" s="66">
        <v>9.3000000000000007</v>
      </c>
      <c r="C97" s="843">
        <v>21041200</v>
      </c>
      <c r="D97" s="844">
        <v>21222800</v>
      </c>
      <c r="E97" s="844">
        <v>43053000</v>
      </c>
      <c r="F97" s="844">
        <f t="shared" si="1"/>
        <v>85317000</v>
      </c>
      <c r="G97" s="68" t="s">
        <v>184</v>
      </c>
      <c r="H97" s="49"/>
      <c r="I97" s="73">
        <v>9.2999999999999794</v>
      </c>
      <c r="J97" s="67">
        <v>8546971.2489789762</v>
      </c>
      <c r="K97" s="65"/>
      <c r="O97" s="663">
        <v>9.3000000000001322</v>
      </c>
      <c r="P97" s="664">
        <v>10997945.35848215</v>
      </c>
      <c r="Q97" s="665">
        <v>10997945.35848215</v>
      </c>
    </row>
    <row r="98" spans="2:17">
      <c r="B98" s="66">
        <v>9.4</v>
      </c>
      <c r="C98" s="843">
        <v>21282000</v>
      </c>
      <c r="D98" s="844">
        <v>21463300</v>
      </c>
      <c r="E98" s="844">
        <v>43536800</v>
      </c>
      <c r="F98" s="844">
        <f t="shared" si="1"/>
        <v>86282100</v>
      </c>
      <c r="G98" s="68" t="s">
        <v>184</v>
      </c>
      <c r="H98" s="49"/>
      <c r="I98" s="73">
        <v>9.3999999999999808</v>
      </c>
      <c r="J98" s="67">
        <v>8650608.1875267755</v>
      </c>
      <c r="K98" s="65"/>
      <c r="O98" s="663">
        <v>9.4000000000001336</v>
      </c>
      <c r="P98" s="664">
        <v>11135738.902819583</v>
      </c>
      <c r="Q98" s="665">
        <v>11135738.902819583</v>
      </c>
    </row>
    <row r="99" spans="2:17">
      <c r="B99" s="66">
        <v>9.5</v>
      </c>
      <c r="C99" s="843">
        <v>21522800</v>
      </c>
      <c r="D99" s="844">
        <v>21703800</v>
      </c>
      <c r="E99" s="844">
        <v>44021100</v>
      </c>
      <c r="F99" s="844">
        <f t="shared" si="1"/>
        <v>87247700</v>
      </c>
      <c r="G99" s="68" t="s">
        <v>184</v>
      </c>
      <c r="H99" s="49"/>
      <c r="I99" s="73">
        <v>9.4999999999999805</v>
      </c>
      <c r="J99" s="67">
        <v>8754245.1260745749</v>
      </c>
      <c r="K99" s="65"/>
      <c r="O99" s="663">
        <v>9.500000000000135</v>
      </c>
      <c r="P99" s="664">
        <v>11273538.839532152</v>
      </c>
      <c r="Q99" s="665">
        <v>11273538.839532152</v>
      </c>
    </row>
    <row r="100" spans="2:17">
      <c r="B100" s="66">
        <v>9.6</v>
      </c>
      <c r="C100" s="843">
        <v>21763600</v>
      </c>
      <c r="D100" s="844">
        <v>21944300</v>
      </c>
      <c r="E100" s="844">
        <v>44505700</v>
      </c>
      <c r="F100" s="844">
        <f t="shared" si="1"/>
        <v>88213600</v>
      </c>
      <c r="G100" s="68" t="s">
        <v>184</v>
      </c>
      <c r="H100" s="49"/>
      <c r="I100" s="73">
        <v>9.5999999999999801</v>
      </c>
      <c r="J100" s="67">
        <v>8857882.0646223743</v>
      </c>
      <c r="K100" s="65"/>
      <c r="O100" s="663">
        <v>9.6000000000001364</v>
      </c>
      <c r="P100" s="664">
        <v>11411345.168767666</v>
      </c>
      <c r="Q100" s="665">
        <v>11411345.168767666</v>
      </c>
    </row>
    <row r="101" spans="2:17">
      <c r="B101" s="66">
        <v>9.6999999999999993</v>
      </c>
      <c r="C101" s="843">
        <v>22004400</v>
      </c>
      <c r="D101" s="844">
        <v>22184800</v>
      </c>
      <c r="E101" s="844">
        <v>44990800</v>
      </c>
      <c r="F101" s="844">
        <f t="shared" si="1"/>
        <v>89180000</v>
      </c>
      <c r="G101" s="68" t="s">
        <v>184</v>
      </c>
      <c r="H101" s="49"/>
      <c r="I101" s="73">
        <v>9.6999999999999797</v>
      </c>
      <c r="J101" s="67">
        <v>8961519.0031701736</v>
      </c>
      <c r="K101" s="65"/>
      <c r="O101" s="663">
        <v>9.7000000000001378</v>
      </c>
      <c r="P101" s="664">
        <v>11549157.890673917</v>
      </c>
      <c r="Q101" s="665">
        <v>11549157.890673917</v>
      </c>
    </row>
    <row r="102" spans="2:17">
      <c r="B102" s="66">
        <v>9.8000000000000007</v>
      </c>
      <c r="C102" s="843">
        <v>22245200</v>
      </c>
      <c r="D102" s="844">
        <v>22425300</v>
      </c>
      <c r="E102" s="844">
        <v>45476400</v>
      </c>
      <c r="F102" s="844">
        <f t="shared" si="1"/>
        <v>90146900</v>
      </c>
      <c r="G102" s="68" t="s">
        <v>184</v>
      </c>
      <c r="H102" s="49"/>
      <c r="I102" s="73">
        <v>9.7999999999999794</v>
      </c>
      <c r="J102" s="67">
        <v>9065155.941717973</v>
      </c>
      <c r="K102" s="65"/>
      <c r="O102" s="663">
        <v>9.8000000000001375</v>
      </c>
      <c r="P102" s="664">
        <v>11686977.005398709</v>
      </c>
      <c r="Q102" s="665">
        <v>11686977.005398709</v>
      </c>
    </row>
    <row r="103" spans="2:17">
      <c r="B103" s="66">
        <v>9.9</v>
      </c>
      <c r="C103" s="843">
        <v>22486000</v>
      </c>
      <c r="D103" s="844">
        <v>22665800</v>
      </c>
      <c r="E103" s="844">
        <v>45962400</v>
      </c>
      <c r="F103" s="844">
        <f t="shared" si="1"/>
        <v>91114200</v>
      </c>
      <c r="G103" s="68" t="s">
        <v>184</v>
      </c>
      <c r="H103" s="49"/>
      <c r="I103" s="73">
        <v>9.8999999999999808</v>
      </c>
      <c r="J103" s="67">
        <v>9168792.8802657723</v>
      </c>
      <c r="K103" s="65"/>
      <c r="O103" s="663">
        <v>9.9000000000001371</v>
      </c>
      <c r="P103" s="664">
        <v>11824802.513089841</v>
      </c>
      <c r="Q103" s="665">
        <v>11824802.513089841</v>
      </c>
    </row>
    <row r="104" spans="2:17">
      <c r="B104" s="66">
        <v>10</v>
      </c>
      <c r="C104" s="843">
        <v>22726800</v>
      </c>
      <c r="D104" s="844">
        <v>22906300</v>
      </c>
      <c r="E104" s="844">
        <v>46448900</v>
      </c>
      <c r="F104" s="844">
        <f t="shared" si="1"/>
        <v>92082000</v>
      </c>
      <c r="G104" s="68" t="s">
        <v>184</v>
      </c>
      <c r="H104" s="49"/>
      <c r="I104" s="73">
        <v>9.9999999999999805</v>
      </c>
      <c r="J104" s="67">
        <v>9272429.8188135754</v>
      </c>
      <c r="K104" s="65"/>
      <c r="O104" s="663">
        <v>10.000000000000137</v>
      </c>
      <c r="P104" s="664">
        <v>11962634.413895117</v>
      </c>
      <c r="Q104" s="665">
        <v>11962634.413895117</v>
      </c>
    </row>
    <row r="105" spans="2:17">
      <c r="B105" s="66">
        <v>10.1</v>
      </c>
      <c r="C105" s="843">
        <v>22971200</v>
      </c>
      <c r="D105" s="844">
        <v>23150000</v>
      </c>
      <c r="E105" s="844">
        <v>46935800</v>
      </c>
      <c r="F105" s="844">
        <f t="shared" si="1"/>
        <v>93057000</v>
      </c>
      <c r="G105" s="68" t="s">
        <v>184</v>
      </c>
      <c r="H105" s="49"/>
      <c r="I105" s="73">
        <v>10.1</v>
      </c>
      <c r="J105" s="67">
        <v>9376066.7573613748</v>
      </c>
      <c r="K105" s="65"/>
      <c r="O105" s="663">
        <v>10.100000000000136</v>
      </c>
      <c r="P105" s="664">
        <v>12100472.707962327</v>
      </c>
      <c r="Q105" s="665">
        <v>12100472.707962327</v>
      </c>
    </row>
    <row r="106" spans="2:17">
      <c r="B106" s="66">
        <v>10.199999999999999</v>
      </c>
      <c r="C106" s="843">
        <v>23215600</v>
      </c>
      <c r="D106" s="844">
        <v>23393700</v>
      </c>
      <c r="E106" s="844">
        <v>47423100</v>
      </c>
      <c r="F106" s="844">
        <f t="shared" si="1"/>
        <v>94032400</v>
      </c>
      <c r="G106" s="68" t="s">
        <v>184</v>
      </c>
      <c r="H106" s="49"/>
      <c r="I106" s="73">
        <v>10.199999999999999</v>
      </c>
      <c r="J106" s="67">
        <v>9479703.6959091742</v>
      </c>
      <c r="K106" s="65"/>
      <c r="O106" s="663">
        <v>10.200000000000136</v>
      </c>
      <c r="P106" s="664">
        <v>12238317.395439278</v>
      </c>
      <c r="Q106" s="665">
        <v>12238317.395439278</v>
      </c>
    </row>
    <row r="107" spans="2:17">
      <c r="B107" s="66">
        <v>10.3</v>
      </c>
      <c r="C107" s="843">
        <v>23460000</v>
      </c>
      <c r="D107" s="844">
        <v>23637400</v>
      </c>
      <c r="E107" s="844">
        <v>47910900</v>
      </c>
      <c r="F107" s="844">
        <f t="shared" si="1"/>
        <v>95008300</v>
      </c>
      <c r="G107" s="68" t="s">
        <v>184</v>
      </c>
      <c r="H107" s="49"/>
      <c r="I107" s="73">
        <v>10.3</v>
      </c>
      <c r="J107" s="67">
        <v>9583340.6344569735</v>
      </c>
      <c r="K107" s="65"/>
      <c r="O107" s="663">
        <v>10.300000000000136</v>
      </c>
      <c r="P107" s="664">
        <v>12376168.476473775</v>
      </c>
      <c r="Q107" s="665">
        <v>12376168.476473775</v>
      </c>
    </row>
    <row r="108" spans="2:17">
      <c r="B108" s="66">
        <v>10.4</v>
      </c>
      <c r="C108" s="843">
        <v>23704400</v>
      </c>
      <c r="D108" s="844">
        <v>23881100</v>
      </c>
      <c r="E108" s="844">
        <v>48399100</v>
      </c>
      <c r="F108" s="844">
        <f t="shared" si="1"/>
        <v>95984600</v>
      </c>
      <c r="G108" s="68" t="s">
        <v>184</v>
      </c>
      <c r="H108" s="49"/>
      <c r="I108" s="73">
        <v>10.4</v>
      </c>
      <c r="J108" s="67">
        <v>9686977.5730047729</v>
      </c>
      <c r="K108" s="65"/>
      <c r="O108" s="663">
        <v>10.400000000000135</v>
      </c>
      <c r="P108" s="664">
        <v>12514025.951213606</v>
      </c>
      <c r="Q108" s="665">
        <v>12514025.951213606</v>
      </c>
    </row>
    <row r="109" spans="2:17">
      <c r="B109" s="66">
        <v>10.5</v>
      </c>
      <c r="C109" s="843">
        <v>23948800</v>
      </c>
      <c r="D109" s="844">
        <v>24124800</v>
      </c>
      <c r="E109" s="844">
        <v>48887800</v>
      </c>
      <c r="F109" s="844">
        <f t="shared" si="1"/>
        <v>96961400</v>
      </c>
      <c r="G109" s="68" t="s">
        <v>184</v>
      </c>
      <c r="H109" s="49"/>
      <c r="I109" s="73">
        <v>10.5</v>
      </c>
      <c r="J109" s="67">
        <v>9790614.5115525723</v>
      </c>
      <c r="K109" s="65"/>
      <c r="O109" s="663">
        <v>10.500000000000135</v>
      </c>
      <c r="P109" s="664">
        <v>12651889.819806581</v>
      </c>
      <c r="Q109" s="665">
        <v>12651889.819806581</v>
      </c>
    </row>
    <row r="110" spans="2:17">
      <c r="B110" s="66">
        <v>10.6</v>
      </c>
      <c r="C110" s="843">
        <v>24193200</v>
      </c>
      <c r="D110" s="844">
        <v>24368500</v>
      </c>
      <c r="E110" s="844">
        <v>49376900</v>
      </c>
      <c r="F110" s="844">
        <f t="shared" si="1"/>
        <v>97938600</v>
      </c>
      <c r="G110" s="68" t="s">
        <v>184</v>
      </c>
      <c r="H110" s="49"/>
      <c r="I110" s="73">
        <v>10.6</v>
      </c>
      <c r="J110" s="67">
        <v>9894251.4501003716</v>
      </c>
      <c r="K110" s="65"/>
      <c r="O110" s="663">
        <v>10.600000000000135</v>
      </c>
      <c r="P110" s="664">
        <v>12789760.082400495</v>
      </c>
      <c r="Q110" s="665">
        <v>12789760.082400495</v>
      </c>
    </row>
    <row r="111" spans="2:17">
      <c r="B111" s="66">
        <v>10.7</v>
      </c>
      <c r="C111" s="843">
        <v>24437600</v>
      </c>
      <c r="D111" s="844">
        <v>24612200</v>
      </c>
      <c r="E111" s="844">
        <v>49866500</v>
      </c>
      <c r="F111" s="844">
        <f t="shared" si="1"/>
        <v>98916300</v>
      </c>
      <c r="G111" s="68" t="s">
        <v>184</v>
      </c>
      <c r="H111" s="49"/>
      <c r="I111" s="73">
        <v>10.7</v>
      </c>
      <c r="J111" s="67">
        <v>9997888.388648171</v>
      </c>
      <c r="K111" s="65"/>
      <c r="O111" s="663">
        <v>10.700000000000134</v>
      </c>
      <c r="P111" s="664">
        <v>12927636.73914315</v>
      </c>
      <c r="Q111" s="665">
        <v>12927636.73914315</v>
      </c>
    </row>
    <row r="112" spans="2:17">
      <c r="B112" s="66">
        <v>10.8</v>
      </c>
      <c r="C112" s="843">
        <v>24682000</v>
      </c>
      <c r="D112" s="844">
        <v>24855900</v>
      </c>
      <c r="E112" s="844">
        <v>50356500</v>
      </c>
      <c r="F112" s="844">
        <f t="shared" si="1"/>
        <v>99894400</v>
      </c>
      <c r="G112" s="68" t="s">
        <v>184</v>
      </c>
      <c r="H112" s="49"/>
      <c r="I112" s="73">
        <v>10.8</v>
      </c>
      <c r="J112" s="67">
        <v>10101525.32719597</v>
      </c>
      <c r="K112" s="65"/>
      <c r="O112" s="663">
        <v>10.800000000000134</v>
      </c>
      <c r="P112" s="664">
        <v>13065519.790182348</v>
      </c>
      <c r="Q112" s="665">
        <v>13065519.790182348</v>
      </c>
    </row>
    <row r="113" spans="2:17">
      <c r="B113" s="66">
        <v>10.9</v>
      </c>
      <c r="C113" s="843">
        <v>24926400</v>
      </c>
      <c r="D113" s="844">
        <v>25099600</v>
      </c>
      <c r="E113" s="844">
        <v>50847000</v>
      </c>
      <c r="F113" s="844">
        <f t="shared" si="1"/>
        <v>100873000</v>
      </c>
      <c r="G113" s="68" t="s">
        <v>184</v>
      </c>
      <c r="H113" s="49"/>
      <c r="I113" s="73">
        <v>10.9</v>
      </c>
      <c r="J113" s="67">
        <v>10205162.26574377</v>
      </c>
      <c r="K113" s="65"/>
      <c r="O113" s="663">
        <v>10.900000000000134</v>
      </c>
      <c r="P113" s="664">
        <v>13203409.23566588</v>
      </c>
      <c r="Q113" s="665">
        <v>13203409.23566588</v>
      </c>
    </row>
    <row r="114" spans="2:17">
      <c r="B114" s="66">
        <v>11</v>
      </c>
      <c r="C114" s="843">
        <v>25170800</v>
      </c>
      <c r="D114" s="844">
        <v>25343300</v>
      </c>
      <c r="E114" s="844">
        <v>51337900</v>
      </c>
      <c r="F114" s="844">
        <f t="shared" si="1"/>
        <v>101852000</v>
      </c>
      <c r="G114" s="68" t="s">
        <v>184</v>
      </c>
      <c r="H114" s="49"/>
      <c r="I114" s="73">
        <v>11</v>
      </c>
      <c r="J114" s="67">
        <v>10308799.204291577</v>
      </c>
      <c r="K114" s="65"/>
      <c r="O114" s="663">
        <v>11.000000000000133</v>
      </c>
      <c r="P114" s="664">
        <v>13341305.075741557</v>
      </c>
      <c r="Q114" s="665">
        <v>13341305.075741557</v>
      </c>
    </row>
    <row r="115" spans="2:17">
      <c r="B115" s="66">
        <v>11.1</v>
      </c>
      <c r="C115" s="843">
        <v>25418100</v>
      </c>
      <c r="D115" s="844">
        <v>25590200</v>
      </c>
      <c r="E115" s="844">
        <v>51829300</v>
      </c>
      <c r="F115" s="844">
        <f t="shared" si="1"/>
        <v>102837600</v>
      </c>
      <c r="G115" s="68" t="s">
        <v>184</v>
      </c>
      <c r="H115" s="49"/>
      <c r="I115" s="73">
        <v>11.1</v>
      </c>
      <c r="J115" s="67">
        <v>10412436.142839376</v>
      </c>
      <c r="K115" s="65"/>
      <c r="O115" s="663">
        <v>11.100000000000133</v>
      </c>
      <c r="P115" s="664">
        <v>13479207.310557174</v>
      </c>
      <c r="Q115" s="665">
        <v>13479207.310557174</v>
      </c>
    </row>
    <row r="116" spans="2:17">
      <c r="B116" s="66">
        <v>11.2</v>
      </c>
      <c r="C116" s="843">
        <v>25665400</v>
      </c>
      <c r="D116" s="844">
        <v>25837100</v>
      </c>
      <c r="E116" s="844">
        <v>52321100</v>
      </c>
      <c r="F116" s="844">
        <f t="shared" si="1"/>
        <v>103823600</v>
      </c>
      <c r="G116" s="68" t="s">
        <v>184</v>
      </c>
      <c r="H116" s="49"/>
      <c r="I116" s="73">
        <v>11.2</v>
      </c>
      <c r="J116" s="67">
        <v>10516073.081387175</v>
      </c>
      <c r="K116" s="65"/>
      <c r="O116" s="663">
        <v>11.200000000000133</v>
      </c>
      <c r="P116" s="664">
        <v>13617115.940260531</v>
      </c>
      <c r="Q116" s="665">
        <v>13617115.940260531</v>
      </c>
    </row>
    <row r="117" spans="2:17">
      <c r="B117" s="66">
        <v>11.3</v>
      </c>
      <c r="C117" s="843">
        <v>25912700</v>
      </c>
      <c r="D117" s="844">
        <v>26084000</v>
      </c>
      <c r="E117" s="844">
        <v>52813300</v>
      </c>
      <c r="F117" s="844">
        <f t="shared" si="1"/>
        <v>104810000</v>
      </c>
      <c r="G117" s="68" t="s">
        <v>184</v>
      </c>
      <c r="H117" s="49"/>
      <c r="I117" s="73">
        <v>11.3</v>
      </c>
      <c r="J117" s="67">
        <v>10619710.019934975</v>
      </c>
      <c r="K117" s="65"/>
      <c r="O117" s="663">
        <v>11.300000000000132</v>
      </c>
      <c r="P117" s="664">
        <v>13755030.964999426</v>
      </c>
      <c r="Q117" s="665">
        <v>13755030.964999426</v>
      </c>
    </row>
    <row r="118" spans="2:17">
      <c r="B118" s="66">
        <v>11.4</v>
      </c>
      <c r="C118" s="843">
        <v>26160000</v>
      </c>
      <c r="D118" s="844">
        <v>26330900</v>
      </c>
      <c r="E118" s="844">
        <v>53306000</v>
      </c>
      <c r="F118" s="844">
        <f t="shared" si="1"/>
        <v>105796900</v>
      </c>
      <c r="G118" s="68" t="s">
        <v>184</v>
      </c>
      <c r="H118" s="49"/>
      <c r="I118" s="73">
        <v>11.4</v>
      </c>
      <c r="J118" s="67">
        <v>10723346.958482774</v>
      </c>
      <c r="K118" s="65"/>
      <c r="O118" s="663">
        <v>11.400000000000132</v>
      </c>
      <c r="P118" s="664">
        <v>13892952.384921666</v>
      </c>
      <c r="Q118" s="665">
        <v>13892952.384921666</v>
      </c>
    </row>
    <row r="119" spans="2:17">
      <c r="B119" s="66">
        <v>11.5</v>
      </c>
      <c r="C119" s="843">
        <v>26407300</v>
      </c>
      <c r="D119" s="844">
        <v>26577800</v>
      </c>
      <c r="E119" s="844">
        <v>53799200</v>
      </c>
      <c r="F119" s="844">
        <f t="shared" si="1"/>
        <v>106784300</v>
      </c>
      <c r="G119" s="68" t="s">
        <v>184</v>
      </c>
      <c r="H119" s="49"/>
      <c r="I119" s="73">
        <v>11.5</v>
      </c>
      <c r="J119" s="67">
        <v>10826983.897030573</v>
      </c>
      <c r="K119" s="65"/>
      <c r="O119" s="663">
        <v>11.500000000000131</v>
      </c>
      <c r="P119" s="664">
        <v>14030880.200175049</v>
      </c>
      <c r="Q119" s="665">
        <v>14030880.200175049</v>
      </c>
    </row>
    <row r="120" spans="2:17">
      <c r="B120" s="66">
        <v>11.6</v>
      </c>
      <c r="C120" s="843">
        <v>26654600</v>
      </c>
      <c r="D120" s="844">
        <v>26824700</v>
      </c>
      <c r="E120" s="844">
        <v>54292800</v>
      </c>
      <c r="F120" s="844">
        <f t="shared" si="1"/>
        <v>107772100</v>
      </c>
      <c r="G120" s="68" t="s">
        <v>184</v>
      </c>
      <c r="H120" s="49"/>
      <c r="I120" s="73">
        <v>11.6</v>
      </c>
      <c r="J120" s="67">
        <v>10930620.835578373</v>
      </c>
      <c r="K120" s="65"/>
      <c r="O120" s="663">
        <v>11.600000000000131</v>
      </c>
      <c r="P120" s="664">
        <v>14168814.410907362</v>
      </c>
      <c r="Q120" s="665">
        <v>14168814.410907362</v>
      </c>
    </row>
    <row r="121" spans="2:17">
      <c r="B121" s="66">
        <v>11.7</v>
      </c>
      <c r="C121" s="843">
        <v>26901900</v>
      </c>
      <c r="D121" s="844">
        <v>27071600</v>
      </c>
      <c r="E121" s="844">
        <v>54786800</v>
      </c>
      <c r="F121" s="844">
        <f t="shared" si="1"/>
        <v>108760300</v>
      </c>
      <c r="G121" s="68" t="s">
        <v>184</v>
      </c>
      <c r="H121" s="49"/>
      <c r="I121" s="73">
        <v>11.7</v>
      </c>
      <c r="J121" s="67">
        <v>11034257.774126172</v>
      </c>
      <c r="K121" s="65"/>
      <c r="O121" s="663">
        <v>11.700000000000131</v>
      </c>
      <c r="P121" s="664">
        <v>14306755.017266424</v>
      </c>
      <c r="Q121" s="665">
        <v>14306755.017266424</v>
      </c>
    </row>
    <row r="122" spans="2:17">
      <c r="B122" s="66">
        <v>11.8</v>
      </c>
      <c r="C122" s="843">
        <v>27149200</v>
      </c>
      <c r="D122" s="844">
        <v>27318500</v>
      </c>
      <c r="E122" s="844">
        <v>55281300</v>
      </c>
      <c r="F122" s="844">
        <f t="shared" si="1"/>
        <v>109749000</v>
      </c>
      <c r="G122" s="68" t="s">
        <v>184</v>
      </c>
      <c r="H122" s="49"/>
      <c r="I122" s="73">
        <v>11.8</v>
      </c>
      <c r="J122" s="67">
        <v>11137894.712673971</v>
      </c>
      <c r="K122" s="65"/>
      <c r="O122" s="663">
        <v>11.80000000000013</v>
      </c>
      <c r="P122" s="664">
        <v>14444702.019400025</v>
      </c>
      <c r="Q122" s="665">
        <v>14444702.019400025</v>
      </c>
    </row>
    <row r="123" spans="2:17">
      <c r="B123" s="66">
        <v>11.9</v>
      </c>
      <c r="C123" s="843">
        <v>27396500</v>
      </c>
      <c r="D123" s="844">
        <v>27565400</v>
      </c>
      <c r="E123" s="844">
        <v>55776300</v>
      </c>
      <c r="F123" s="844">
        <f t="shared" si="1"/>
        <v>110738200</v>
      </c>
      <c r="G123" s="68" t="s">
        <v>184</v>
      </c>
      <c r="H123" s="49"/>
      <c r="I123" s="73">
        <v>11.9</v>
      </c>
      <c r="J123" s="67">
        <v>11241531.651221771</v>
      </c>
      <c r="K123" s="65"/>
      <c r="O123" s="663">
        <v>11.90000000000013</v>
      </c>
      <c r="P123" s="664">
        <v>14582655.417455964</v>
      </c>
      <c r="Q123" s="665">
        <v>14582655.417455964</v>
      </c>
    </row>
    <row r="124" spans="2:17">
      <c r="B124" s="66">
        <v>12</v>
      </c>
      <c r="C124" s="843">
        <v>27643800</v>
      </c>
      <c r="D124" s="844">
        <v>27812300</v>
      </c>
      <c r="E124" s="844">
        <v>56271700</v>
      </c>
      <c r="F124" s="844">
        <f t="shared" si="1"/>
        <v>111727800</v>
      </c>
      <c r="G124" s="68" t="s">
        <v>184</v>
      </c>
      <c r="H124" s="49"/>
      <c r="I124" s="73">
        <v>12</v>
      </c>
      <c r="J124" s="67">
        <v>11345168.589769578</v>
      </c>
      <c r="K124" s="65"/>
      <c r="O124" s="663">
        <v>12.00000000000013</v>
      </c>
      <c r="P124" s="664">
        <v>14720615.21158205</v>
      </c>
      <c r="Q124" s="665">
        <v>14720615.21158205</v>
      </c>
    </row>
    <row r="125" spans="2:17">
      <c r="B125" s="66">
        <v>12.1</v>
      </c>
      <c r="C125" s="843">
        <v>27894300</v>
      </c>
      <c r="D125" s="844">
        <v>28062400</v>
      </c>
      <c r="E125" s="844">
        <v>56767500</v>
      </c>
      <c r="F125" s="844">
        <f t="shared" si="1"/>
        <v>112724200</v>
      </c>
      <c r="G125" s="68" t="s">
        <v>184</v>
      </c>
      <c r="H125" s="49"/>
      <c r="I125" s="73">
        <v>12.1</v>
      </c>
      <c r="J125" s="67">
        <v>11448805.528317377</v>
      </c>
      <c r="K125" s="65"/>
      <c r="O125" s="663">
        <v>12.100000000000129</v>
      </c>
      <c r="P125" s="664">
        <v>14858581.401926065</v>
      </c>
      <c r="Q125" s="665">
        <v>14858581.401926065</v>
      </c>
    </row>
    <row r="126" spans="2:17">
      <c r="B126" s="66">
        <v>12.2</v>
      </c>
      <c r="C126" s="843">
        <v>28144800</v>
      </c>
      <c r="D126" s="844">
        <v>28312500</v>
      </c>
      <c r="E126" s="844">
        <v>57263800</v>
      </c>
      <c r="F126" s="844">
        <f t="shared" si="1"/>
        <v>113721100</v>
      </c>
      <c r="G126" s="68" t="s">
        <v>184</v>
      </c>
      <c r="H126" s="49"/>
      <c r="I126" s="73">
        <v>12.2</v>
      </c>
      <c r="J126" s="67">
        <v>11552442.466865176</v>
      </c>
      <c r="K126" s="65"/>
      <c r="O126" s="663">
        <v>12.200000000000129</v>
      </c>
      <c r="P126" s="664">
        <v>14996553.988635836</v>
      </c>
      <c r="Q126" s="665">
        <v>14996553.988635836</v>
      </c>
    </row>
    <row r="127" spans="2:17">
      <c r="B127" s="66">
        <v>12.3</v>
      </c>
      <c r="C127" s="843">
        <v>28395300</v>
      </c>
      <c r="D127" s="844">
        <v>28562600</v>
      </c>
      <c r="E127" s="844">
        <v>57760500</v>
      </c>
      <c r="F127" s="844">
        <f t="shared" si="1"/>
        <v>114718400</v>
      </c>
      <c r="G127" s="68" t="s">
        <v>184</v>
      </c>
      <c r="H127" s="49"/>
      <c r="I127" s="73">
        <v>12.3</v>
      </c>
      <c r="J127" s="67">
        <v>11656079.405412976</v>
      </c>
      <c r="K127" s="65"/>
      <c r="O127" s="663">
        <v>12.300000000000129</v>
      </c>
      <c r="P127" s="664">
        <v>15134532.971859127</v>
      </c>
      <c r="Q127" s="665">
        <v>15134532.971859127</v>
      </c>
    </row>
    <row r="128" spans="2:17">
      <c r="B128" s="66">
        <v>12.4</v>
      </c>
      <c r="C128" s="843">
        <v>28645800</v>
      </c>
      <c r="D128" s="844">
        <v>28812700</v>
      </c>
      <c r="E128" s="844">
        <v>58257700</v>
      </c>
      <c r="F128" s="844">
        <f t="shared" si="1"/>
        <v>115716200</v>
      </c>
      <c r="G128" s="68" t="s">
        <v>184</v>
      </c>
      <c r="H128" s="49"/>
      <c r="I128" s="73">
        <v>12.4</v>
      </c>
      <c r="J128" s="67">
        <v>11759716.343960775</v>
      </c>
      <c r="K128" s="65"/>
      <c r="O128" s="663">
        <v>12.400000000000128</v>
      </c>
      <c r="P128" s="664">
        <v>15272518.351743776</v>
      </c>
      <c r="Q128" s="665">
        <v>15272518.351743776</v>
      </c>
    </row>
    <row r="129" spans="2:17">
      <c r="B129" s="66">
        <v>12.5</v>
      </c>
      <c r="C129" s="843">
        <v>28896300</v>
      </c>
      <c r="D129" s="844">
        <v>29062800</v>
      </c>
      <c r="E129" s="844">
        <v>58755300</v>
      </c>
      <c r="F129" s="844">
        <f t="shared" si="1"/>
        <v>116714400</v>
      </c>
      <c r="G129" s="68" t="s">
        <v>184</v>
      </c>
      <c r="H129" s="49"/>
      <c r="I129" s="73">
        <v>12.5</v>
      </c>
      <c r="J129" s="67">
        <v>11863353.282508574</v>
      </c>
      <c r="K129" s="65"/>
      <c r="O129" s="663">
        <v>12.500000000000128</v>
      </c>
      <c r="P129" s="664">
        <v>15410510.128437564</v>
      </c>
      <c r="Q129" s="665">
        <v>15410510.128437564</v>
      </c>
    </row>
    <row r="130" spans="2:17">
      <c r="B130" s="66">
        <v>12.6</v>
      </c>
      <c r="C130" s="843">
        <v>29146800</v>
      </c>
      <c r="D130" s="844">
        <v>29312900</v>
      </c>
      <c r="E130" s="844">
        <v>59253400</v>
      </c>
      <c r="F130" s="844">
        <f t="shared" si="1"/>
        <v>117713100</v>
      </c>
      <c r="G130" s="68" t="s">
        <v>184</v>
      </c>
      <c r="H130" s="49"/>
      <c r="I130" s="73">
        <v>12.6</v>
      </c>
      <c r="J130" s="67">
        <v>11966990.221056374</v>
      </c>
      <c r="K130" s="65"/>
      <c r="O130" s="663">
        <v>12.600000000000128</v>
      </c>
      <c r="P130" s="664">
        <v>15548508.302088285</v>
      </c>
      <c r="Q130" s="665">
        <v>15548508.302088285</v>
      </c>
    </row>
    <row r="131" spans="2:17">
      <c r="B131" s="66">
        <v>12.7</v>
      </c>
      <c r="C131" s="843">
        <v>29397300</v>
      </c>
      <c r="D131" s="844">
        <v>29563000</v>
      </c>
      <c r="E131" s="844">
        <v>59752000</v>
      </c>
      <c r="F131" s="844">
        <f t="shared" si="1"/>
        <v>118712300</v>
      </c>
      <c r="G131" s="68" t="s">
        <v>184</v>
      </c>
      <c r="H131" s="49"/>
      <c r="I131" s="73">
        <v>12.7</v>
      </c>
      <c r="J131" s="67">
        <v>12070627.159604173</v>
      </c>
      <c r="K131" s="65"/>
      <c r="O131" s="663">
        <v>12.700000000000127</v>
      </c>
      <c r="P131" s="664">
        <v>15686512.872843752</v>
      </c>
      <c r="Q131" s="665">
        <v>15686512.872843752</v>
      </c>
    </row>
    <row r="132" spans="2:17">
      <c r="B132" s="66">
        <v>12.8</v>
      </c>
      <c r="C132" s="843">
        <v>29647800</v>
      </c>
      <c r="D132" s="844">
        <v>29813100</v>
      </c>
      <c r="E132" s="844">
        <v>60250900</v>
      </c>
      <c r="F132" s="844">
        <f t="shared" ref="F132:F195" si="2">C132+D132+E132</f>
        <v>119711800</v>
      </c>
      <c r="G132" s="68" t="s">
        <v>184</v>
      </c>
      <c r="H132" s="49"/>
      <c r="I132" s="73">
        <v>12.8</v>
      </c>
      <c r="J132" s="67">
        <v>12174264.098151973</v>
      </c>
      <c r="K132" s="65"/>
      <c r="O132" s="663">
        <v>12.800000000000127</v>
      </c>
      <c r="P132" s="664">
        <v>15824523.840851756</v>
      </c>
      <c r="Q132" s="665">
        <v>15824523.840851756</v>
      </c>
    </row>
    <row r="133" spans="2:17">
      <c r="B133" s="66">
        <v>12.9</v>
      </c>
      <c r="C133" s="843">
        <v>29898300</v>
      </c>
      <c r="D133" s="844">
        <v>30063200</v>
      </c>
      <c r="E133" s="844">
        <v>60750400</v>
      </c>
      <c r="F133" s="844">
        <f t="shared" si="2"/>
        <v>120711900</v>
      </c>
      <c r="G133" s="68" t="s">
        <v>184</v>
      </c>
      <c r="H133" s="49"/>
      <c r="I133" s="73">
        <v>12.9</v>
      </c>
      <c r="J133" s="67">
        <v>12277901.036699772</v>
      </c>
      <c r="K133" s="65"/>
      <c r="O133" s="663">
        <v>12.900000000000126</v>
      </c>
      <c r="P133" s="664">
        <v>15962541.206260104</v>
      </c>
      <c r="Q133" s="665">
        <v>15962541.206260104</v>
      </c>
    </row>
    <row r="134" spans="2:17">
      <c r="B134" s="66">
        <v>13</v>
      </c>
      <c r="C134" s="843">
        <v>30148800</v>
      </c>
      <c r="D134" s="844">
        <v>30313300</v>
      </c>
      <c r="E134" s="844">
        <v>61250300</v>
      </c>
      <c r="F134" s="844">
        <f t="shared" si="2"/>
        <v>121712400</v>
      </c>
      <c r="G134" s="68" t="s">
        <v>184</v>
      </c>
      <c r="H134" s="49"/>
      <c r="I134" s="73">
        <v>13</v>
      </c>
      <c r="J134" s="67">
        <v>12381537.975247577</v>
      </c>
      <c r="K134" s="65"/>
      <c r="O134" s="663">
        <v>13.000000000000126</v>
      </c>
      <c r="P134" s="664">
        <v>16100564.969216589</v>
      </c>
      <c r="Q134" s="665">
        <v>16100564.969216589</v>
      </c>
    </row>
    <row r="135" spans="2:17">
      <c r="B135" s="66">
        <v>13.1</v>
      </c>
      <c r="C135" s="843">
        <v>30402600</v>
      </c>
      <c r="D135" s="844">
        <v>30566700</v>
      </c>
      <c r="E135" s="844">
        <v>61750600</v>
      </c>
      <c r="F135" s="844">
        <f t="shared" si="2"/>
        <v>122719900</v>
      </c>
      <c r="G135" s="68" t="s">
        <v>184</v>
      </c>
      <c r="H135" s="49"/>
      <c r="I135" s="73">
        <v>13.1</v>
      </c>
      <c r="J135" s="67">
        <v>12485174.913795376</v>
      </c>
      <c r="K135" s="65"/>
      <c r="O135" s="663">
        <v>13.100000000000126</v>
      </c>
      <c r="P135" s="664">
        <v>16238595.129869018</v>
      </c>
      <c r="Q135" s="665">
        <v>16238595.129869018</v>
      </c>
    </row>
    <row r="136" spans="2:17">
      <c r="B136" s="66">
        <v>13.2</v>
      </c>
      <c r="C136" s="843">
        <v>30656400</v>
      </c>
      <c r="D136" s="844">
        <v>30820100</v>
      </c>
      <c r="E136" s="844">
        <v>62251400</v>
      </c>
      <c r="F136" s="844">
        <f t="shared" si="2"/>
        <v>123727900</v>
      </c>
      <c r="G136" s="68" t="s">
        <v>184</v>
      </c>
      <c r="H136" s="49"/>
      <c r="I136" s="73">
        <v>13.2</v>
      </c>
      <c r="J136" s="67">
        <v>12588811.852343176</v>
      </c>
      <c r="K136" s="65"/>
      <c r="O136" s="663">
        <v>13.200000000000125</v>
      </c>
      <c r="P136" s="664">
        <v>16376631.688365186</v>
      </c>
      <c r="Q136" s="665">
        <v>16376631.688365186</v>
      </c>
    </row>
    <row r="137" spans="2:17">
      <c r="B137" s="66">
        <v>13.3</v>
      </c>
      <c r="C137" s="843">
        <v>30910200</v>
      </c>
      <c r="D137" s="844">
        <v>31073500</v>
      </c>
      <c r="E137" s="844">
        <v>62752600</v>
      </c>
      <c r="F137" s="844">
        <f t="shared" si="2"/>
        <v>124736300</v>
      </c>
      <c r="G137" s="68" t="s">
        <v>184</v>
      </c>
      <c r="H137" s="49"/>
      <c r="I137" s="73">
        <v>13.3</v>
      </c>
      <c r="J137" s="67">
        <v>12692448.790890975</v>
      </c>
      <c r="K137" s="65"/>
      <c r="O137" s="663">
        <v>13.300000000000125</v>
      </c>
      <c r="P137" s="664">
        <v>16514674.644852897</v>
      </c>
      <c r="Q137" s="665">
        <v>16514674.644852897</v>
      </c>
    </row>
    <row r="138" spans="2:17">
      <c r="B138" s="66">
        <v>13.4</v>
      </c>
      <c r="C138" s="843">
        <v>31164000</v>
      </c>
      <c r="D138" s="844">
        <v>31326900</v>
      </c>
      <c r="E138" s="844">
        <v>63254300</v>
      </c>
      <c r="F138" s="844">
        <f t="shared" si="2"/>
        <v>125745200</v>
      </c>
      <c r="G138" s="68" t="s">
        <v>184</v>
      </c>
      <c r="H138" s="49"/>
      <c r="I138" s="73">
        <v>13.4</v>
      </c>
      <c r="J138" s="67">
        <v>12796085.729438774</v>
      </c>
      <c r="K138" s="65"/>
      <c r="O138" s="663">
        <v>13.400000000000125</v>
      </c>
      <c r="P138" s="664">
        <v>16652723.999479948</v>
      </c>
      <c r="Q138" s="665">
        <v>16652723.999479948</v>
      </c>
    </row>
    <row r="139" spans="2:17">
      <c r="B139" s="66">
        <v>13.5</v>
      </c>
      <c r="C139" s="843">
        <v>31417800</v>
      </c>
      <c r="D139" s="844">
        <v>31580300</v>
      </c>
      <c r="E139" s="844">
        <v>63756500</v>
      </c>
      <c r="F139" s="844">
        <f t="shared" si="2"/>
        <v>126754600</v>
      </c>
      <c r="G139" s="68" t="s">
        <v>184</v>
      </c>
      <c r="H139" s="49"/>
      <c r="I139" s="73">
        <v>13.5</v>
      </c>
      <c r="J139" s="67">
        <v>12899722.667986574</v>
      </c>
      <c r="K139" s="65"/>
      <c r="O139" s="663">
        <v>13.500000000000124</v>
      </c>
      <c r="P139" s="664">
        <v>16790779.752394136</v>
      </c>
      <c r="Q139" s="665">
        <v>16790779.752394136</v>
      </c>
    </row>
    <row r="140" spans="2:17">
      <c r="B140" s="66">
        <v>13.6</v>
      </c>
      <c r="C140" s="843">
        <v>31671600</v>
      </c>
      <c r="D140" s="844">
        <v>31833700</v>
      </c>
      <c r="E140" s="844">
        <v>64259000</v>
      </c>
      <c r="F140" s="844">
        <f t="shared" si="2"/>
        <v>127764300</v>
      </c>
      <c r="G140" s="68" t="s">
        <v>184</v>
      </c>
      <c r="H140" s="49"/>
      <c r="I140" s="73">
        <v>13.6</v>
      </c>
      <c r="J140" s="67">
        <v>13003359.606534373</v>
      </c>
      <c r="K140" s="65"/>
      <c r="O140" s="663">
        <v>13.600000000000124</v>
      </c>
      <c r="P140" s="664">
        <v>16928841.903743267</v>
      </c>
      <c r="Q140" s="665">
        <v>16928841.903743267</v>
      </c>
    </row>
    <row r="141" spans="2:17">
      <c r="B141" s="66">
        <v>13.7</v>
      </c>
      <c r="C141" s="843">
        <v>31925400</v>
      </c>
      <c r="D141" s="844">
        <v>32087100</v>
      </c>
      <c r="E141" s="844">
        <v>64762100</v>
      </c>
      <c r="F141" s="844">
        <f t="shared" si="2"/>
        <v>128774600</v>
      </c>
      <c r="G141" s="68" t="s">
        <v>184</v>
      </c>
      <c r="H141" s="49"/>
      <c r="I141" s="73">
        <v>13.7</v>
      </c>
      <c r="J141" s="67">
        <v>13106996.545082172</v>
      </c>
      <c r="K141" s="65"/>
      <c r="O141" s="663">
        <v>13.700000000000124</v>
      </c>
      <c r="P141" s="664">
        <v>17066910.45367514</v>
      </c>
      <c r="Q141" s="665">
        <v>17066910.45367514</v>
      </c>
    </row>
    <row r="142" spans="2:17">
      <c r="B142" s="66">
        <v>13.8</v>
      </c>
      <c r="C142" s="843">
        <v>32179200</v>
      </c>
      <c r="D142" s="844">
        <v>32340500</v>
      </c>
      <c r="E142" s="844">
        <v>65265600</v>
      </c>
      <c r="F142" s="844">
        <f t="shared" si="2"/>
        <v>129785300</v>
      </c>
      <c r="G142" s="68" t="s">
        <v>184</v>
      </c>
      <c r="H142" s="49"/>
      <c r="I142" s="73">
        <v>13.8</v>
      </c>
      <c r="J142" s="67">
        <v>13210633.483629972</v>
      </c>
      <c r="K142" s="65"/>
      <c r="O142" s="663">
        <v>13.800000000000123</v>
      </c>
      <c r="P142" s="664">
        <v>17204985.402337547</v>
      </c>
      <c r="Q142" s="665">
        <v>17204985.402337547</v>
      </c>
    </row>
    <row r="143" spans="2:17">
      <c r="B143" s="66">
        <v>13.9</v>
      </c>
      <c r="C143" s="843">
        <v>32433000</v>
      </c>
      <c r="D143" s="844">
        <v>32593900</v>
      </c>
      <c r="E143" s="844">
        <v>65769500</v>
      </c>
      <c r="F143" s="844">
        <f t="shared" si="2"/>
        <v>130796400</v>
      </c>
      <c r="G143" s="68" t="s">
        <v>184</v>
      </c>
      <c r="H143" s="49"/>
      <c r="I143" s="73">
        <v>13.9</v>
      </c>
      <c r="J143" s="67">
        <v>13314270.422177771</v>
      </c>
      <c r="K143" s="65"/>
      <c r="O143" s="663">
        <v>13.900000000000123</v>
      </c>
      <c r="P143" s="664">
        <v>17343066.749878306</v>
      </c>
      <c r="Q143" s="665">
        <v>17343066.749878306</v>
      </c>
    </row>
    <row r="144" spans="2:17">
      <c r="B144" s="66">
        <v>14</v>
      </c>
      <c r="C144" s="843">
        <v>32686800</v>
      </c>
      <c r="D144" s="844">
        <v>32847300</v>
      </c>
      <c r="E144" s="844">
        <v>66273900</v>
      </c>
      <c r="F144" s="844">
        <f t="shared" si="2"/>
        <v>131808000</v>
      </c>
      <c r="G144" s="68" t="s">
        <v>184</v>
      </c>
      <c r="H144" s="49"/>
      <c r="I144" s="73">
        <v>14</v>
      </c>
      <c r="J144" s="67">
        <v>13417907.360725576</v>
      </c>
      <c r="K144" s="65"/>
      <c r="O144" s="663">
        <v>14.000000000000123</v>
      </c>
      <c r="P144" s="664">
        <v>17481154.496445198</v>
      </c>
      <c r="Q144" s="665">
        <v>17481154.496445198</v>
      </c>
    </row>
    <row r="145" spans="2:17">
      <c r="B145" s="66">
        <v>14.1</v>
      </c>
      <c r="C145" s="843">
        <v>32943900</v>
      </c>
      <c r="D145" s="844">
        <v>33104000</v>
      </c>
      <c r="E145" s="844">
        <v>66778800</v>
      </c>
      <c r="F145" s="844">
        <f t="shared" si="2"/>
        <v>132826700</v>
      </c>
      <c r="G145" s="68" t="s">
        <v>184</v>
      </c>
      <c r="H145" s="49"/>
      <c r="I145" s="73">
        <v>14.1</v>
      </c>
      <c r="J145" s="67">
        <v>13521544.299273375</v>
      </c>
      <c r="K145" s="65"/>
      <c r="O145" s="663">
        <v>14.100000000000122</v>
      </c>
      <c r="P145" s="664">
        <v>17619248.642186034</v>
      </c>
      <c r="Q145" s="665">
        <v>17619248.642186034</v>
      </c>
    </row>
    <row r="146" spans="2:17">
      <c r="B146" s="66">
        <v>14.2</v>
      </c>
      <c r="C146" s="843">
        <v>33201000</v>
      </c>
      <c r="D146" s="844">
        <v>33360700</v>
      </c>
      <c r="E146" s="844">
        <v>67284100</v>
      </c>
      <c r="F146" s="844">
        <f t="shared" si="2"/>
        <v>133845800</v>
      </c>
      <c r="G146" s="68" t="s">
        <v>184</v>
      </c>
      <c r="H146" s="49"/>
      <c r="I146" s="73">
        <v>14.2</v>
      </c>
      <c r="J146" s="67">
        <v>13625181.237821175</v>
      </c>
      <c r="K146" s="65"/>
      <c r="O146" s="663">
        <v>14.200000000000122</v>
      </c>
      <c r="P146" s="664">
        <v>17757349.18724861</v>
      </c>
      <c r="Q146" s="665">
        <v>17757349.18724861</v>
      </c>
    </row>
    <row r="147" spans="2:17">
      <c r="B147" s="66">
        <v>14.3</v>
      </c>
      <c r="C147" s="843">
        <v>33458100</v>
      </c>
      <c r="D147" s="844">
        <v>33617400</v>
      </c>
      <c r="E147" s="844">
        <v>67789800</v>
      </c>
      <c r="F147" s="844">
        <f t="shared" si="2"/>
        <v>134865300</v>
      </c>
      <c r="G147" s="68" t="s">
        <v>184</v>
      </c>
      <c r="H147" s="49"/>
      <c r="I147" s="73">
        <v>14.3</v>
      </c>
      <c r="J147" s="67">
        <v>13728818.176368974</v>
      </c>
      <c r="K147" s="65"/>
      <c r="O147" s="663">
        <v>14.300000000000122</v>
      </c>
      <c r="P147" s="664">
        <v>17895456.131780729</v>
      </c>
      <c r="Q147" s="665">
        <v>17895456.131780729</v>
      </c>
    </row>
    <row r="148" spans="2:17">
      <c r="B148" s="66">
        <v>14.4</v>
      </c>
      <c r="C148" s="843">
        <v>33715200</v>
      </c>
      <c r="D148" s="844">
        <v>33874100</v>
      </c>
      <c r="E148" s="844">
        <v>68296000</v>
      </c>
      <c r="F148" s="844">
        <f t="shared" si="2"/>
        <v>135885300</v>
      </c>
      <c r="G148" s="68" t="s">
        <v>184</v>
      </c>
      <c r="H148" s="49"/>
      <c r="I148" s="73">
        <v>14.4</v>
      </c>
      <c r="J148" s="67">
        <v>13832455.114916774</v>
      </c>
      <c r="K148" s="65"/>
      <c r="O148" s="663">
        <v>14.400000000000121</v>
      </c>
      <c r="P148" s="664">
        <v>18033569.475930188</v>
      </c>
      <c r="Q148" s="665">
        <v>18033569.475930188</v>
      </c>
    </row>
    <row r="149" spans="2:17">
      <c r="B149" s="66">
        <v>14.5</v>
      </c>
      <c r="C149" s="843">
        <v>33972300</v>
      </c>
      <c r="D149" s="844">
        <v>34130800</v>
      </c>
      <c r="E149" s="844">
        <v>68102700</v>
      </c>
      <c r="F149" s="844">
        <f t="shared" si="2"/>
        <v>136205800</v>
      </c>
      <c r="G149" s="68" t="s">
        <v>184</v>
      </c>
      <c r="H149" s="49"/>
      <c r="I149" s="73">
        <v>14.5</v>
      </c>
      <c r="J149" s="67">
        <v>13936092.053464573</v>
      </c>
      <c r="K149" s="65"/>
      <c r="O149" s="663">
        <v>14.500000000000121</v>
      </c>
      <c r="P149" s="664">
        <v>18171689.219844785</v>
      </c>
      <c r="Q149" s="665">
        <v>18171689.219844785</v>
      </c>
    </row>
    <row r="150" spans="2:17">
      <c r="B150" s="66">
        <v>14.6</v>
      </c>
      <c r="C150" s="843">
        <v>34229400</v>
      </c>
      <c r="D150" s="844">
        <v>34387500</v>
      </c>
      <c r="E150" s="844">
        <v>69309800</v>
      </c>
      <c r="F150" s="844">
        <f t="shared" si="2"/>
        <v>137926700</v>
      </c>
      <c r="G150" s="68" t="s">
        <v>184</v>
      </c>
      <c r="H150" s="49"/>
      <c r="I150" s="73">
        <v>14.6</v>
      </c>
      <c r="J150" s="67">
        <v>14039728.992012372</v>
      </c>
      <c r="K150" s="65"/>
      <c r="O150" s="663">
        <v>14.60000000000012</v>
      </c>
      <c r="P150" s="664">
        <v>18309815.36367232</v>
      </c>
      <c r="Q150" s="665">
        <v>18309815.36367232</v>
      </c>
    </row>
    <row r="151" spans="2:17">
      <c r="B151" s="66">
        <v>14.7</v>
      </c>
      <c r="C151" s="843">
        <v>34486500</v>
      </c>
      <c r="D151" s="844">
        <v>34644200</v>
      </c>
      <c r="E151" s="844">
        <v>69817400</v>
      </c>
      <c r="F151" s="844">
        <f t="shared" si="2"/>
        <v>138948100</v>
      </c>
      <c r="G151" s="68" t="s">
        <v>184</v>
      </c>
      <c r="H151" s="49"/>
      <c r="I151" s="73">
        <v>14.7</v>
      </c>
      <c r="J151" s="67">
        <v>14143365.930560172</v>
      </c>
      <c r="K151" s="65"/>
      <c r="O151" s="663">
        <v>14.70000000000012</v>
      </c>
      <c r="P151" s="664">
        <v>18447947.907560602</v>
      </c>
      <c r="Q151" s="665">
        <v>18447947.907560602</v>
      </c>
    </row>
    <row r="152" spans="2:17">
      <c r="B152" s="66">
        <v>14.8</v>
      </c>
      <c r="C152" s="843">
        <v>34743600</v>
      </c>
      <c r="D152" s="844">
        <v>34900900</v>
      </c>
      <c r="E152" s="844">
        <v>70325400</v>
      </c>
      <c r="F152" s="844">
        <f t="shared" si="2"/>
        <v>139969900</v>
      </c>
      <c r="G152" s="68" t="s">
        <v>184</v>
      </c>
      <c r="H152" s="49"/>
      <c r="I152" s="73">
        <v>14.8</v>
      </c>
      <c r="J152" s="67">
        <v>14247002.869107971</v>
      </c>
      <c r="K152" s="65"/>
      <c r="O152" s="663">
        <v>14.80000000000012</v>
      </c>
      <c r="P152" s="664">
        <v>18586086.851657424</v>
      </c>
      <c r="Q152" s="665">
        <v>18586086.851657424</v>
      </c>
    </row>
    <row r="153" spans="2:17">
      <c r="B153" s="66">
        <v>14.9</v>
      </c>
      <c r="C153" s="843">
        <v>35000700</v>
      </c>
      <c r="D153" s="844">
        <v>35157600</v>
      </c>
      <c r="E153" s="844">
        <v>70833900</v>
      </c>
      <c r="F153" s="844">
        <f t="shared" si="2"/>
        <v>140992200</v>
      </c>
      <c r="G153" s="68" t="s">
        <v>184</v>
      </c>
      <c r="H153" s="49"/>
      <c r="I153" s="73">
        <v>14.9</v>
      </c>
      <c r="J153" s="67">
        <v>14350639.80765577</v>
      </c>
      <c r="K153" s="65"/>
      <c r="O153" s="663">
        <v>14.900000000000119</v>
      </c>
      <c r="P153" s="664">
        <v>18724232.196110584</v>
      </c>
      <c r="Q153" s="665">
        <v>18724232.196110584</v>
      </c>
    </row>
    <row r="154" spans="2:17">
      <c r="B154" s="66">
        <v>15</v>
      </c>
      <c r="C154" s="843">
        <v>35257800</v>
      </c>
      <c r="D154" s="844">
        <v>35414300</v>
      </c>
      <c r="E154" s="844">
        <v>71342800</v>
      </c>
      <c r="F154" s="844">
        <f t="shared" si="2"/>
        <v>142014900</v>
      </c>
      <c r="G154" s="68" t="s">
        <v>184</v>
      </c>
      <c r="H154" s="49"/>
      <c r="I154" s="73">
        <v>15</v>
      </c>
      <c r="J154" s="67">
        <v>14454276.746203575</v>
      </c>
      <c r="K154" s="65"/>
      <c r="O154" s="663">
        <v>15.000000000000119</v>
      </c>
      <c r="P154" s="664">
        <v>18862383.941067889</v>
      </c>
      <c r="Q154" s="665">
        <v>18862383.941067889</v>
      </c>
    </row>
    <row r="155" spans="2:17">
      <c r="B155" s="66">
        <v>15.1</v>
      </c>
      <c r="C155" s="843">
        <v>35518200</v>
      </c>
      <c r="D155" s="844">
        <v>35674300</v>
      </c>
      <c r="E155" s="844">
        <v>71852200</v>
      </c>
      <c r="F155" s="844">
        <f t="shared" si="2"/>
        <v>143044700</v>
      </c>
      <c r="G155" s="68" t="s">
        <v>184</v>
      </c>
      <c r="H155" s="49"/>
      <c r="I155" s="73">
        <v>15.1</v>
      </c>
      <c r="J155" s="67">
        <v>14557913.684751375</v>
      </c>
      <c r="K155" s="65"/>
      <c r="O155" s="663">
        <v>15.100000000000119</v>
      </c>
      <c r="P155" s="664">
        <v>19000542.086677134</v>
      </c>
      <c r="Q155" s="665">
        <v>19000542.086677134</v>
      </c>
    </row>
    <row r="156" spans="2:17">
      <c r="B156" s="66">
        <v>15.2</v>
      </c>
      <c r="C156" s="843">
        <v>35778600</v>
      </c>
      <c r="D156" s="844">
        <v>35934300</v>
      </c>
      <c r="E156" s="844">
        <v>72362100</v>
      </c>
      <c r="F156" s="844">
        <f t="shared" si="2"/>
        <v>144075000</v>
      </c>
      <c r="G156" s="68" t="s">
        <v>184</v>
      </c>
      <c r="H156" s="49"/>
      <c r="I156" s="73">
        <v>15.2</v>
      </c>
      <c r="J156" s="67">
        <v>14661550.623299174</v>
      </c>
      <c r="K156" s="65"/>
      <c r="O156" s="663">
        <v>15.200000000000118</v>
      </c>
      <c r="P156" s="664">
        <v>19138706.633086119</v>
      </c>
      <c r="Q156" s="665">
        <v>19138706.633086119</v>
      </c>
    </row>
    <row r="157" spans="2:17">
      <c r="B157" s="66">
        <v>15.3</v>
      </c>
      <c r="C157" s="843">
        <v>36039000</v>
      </c>
      <c r="D157" s="844">
        <v>36194300</v>
      </c>
      <c r="E157" s="844">
        <v>72872400</v>
      </c>
      <c r="F157" s="844">
        <f t="shared" si="2"/>
        <v>145105700</v>
      </c>
      <c r="G157" s="68" t="s">
        <v>184</v>
      </c>
      <c r="H157" s="49"/>
      <c r="I157" s="73">
        <v>15.3</v>
      </c>
      <c r="J157" s="67">
        <v>14765187.561846973</v>
      </c>
      <c r="K157" s="65"/>
      <c r="O157" s="663">
        <v>15.300000000000118</v>
      </c>
      <c r="P157" s="664">
        <v>19276877.580442641</v>
      </c>
      <c r="Q157" s="665">
        <v>19276877.580442641</v>
      </c>
    </row>
    <row r="158" spans="2:17">
      <c r="B158" s="66">
        <v>15.4</v>
      </c>
      <c r="C158" s="843">
        <v>36299400</v>
      </c>
      <c r="D158" s="844">
        <v>36454300</v>
      </c>
      <c r="E158" s="844">
        <v>73383100</v>
      </c>
      <c r="F158" s="844">
        <f t="shared" si="2"/>
        <v>146136800</v>
      </c>
      <c r="G158" s="68" t="s">
        <v>184</v>
      </c>
      <c r="H158" s="49"/>
      <c r="I158" s="73">
        <v>15.4</v>
      </c>
      <c r="J158" s="67">
        <v>14868824.500394773</v>
      </c>
      <c r="K158" s="65"/>
      <c r="O158" s="663">
        <v>15.400000000000118</v>
      </c>
      <c r="P158" s="664">
        <v>19415054.928894505</v>
      </c>
      <c r="Q158" s="665">
        <v>19415054.928894505</v>
      </c>
    </row>
    <row r="159" spans="2:17">
      <c r="B159" s="66">
        <v>15.5</v>
      </c>
      <c r="C159" s="843">
        <v>36559800</v>
      </c>
      <c r="D159" s="844">
        <v>36714300</v>
      </c>
      <c r="E159" s="844">
        <v>73894300</v>
      </c>
      <c r="F159" s="844">
        <f t="shared" si="2"/>
        <v>147168400</v>
      </c>
      <c r="G159" s="68" t="s">
        <v>184</v>
      </c>
      <c r="H159" s="49"/>
      <c r="I159" s="73">
        <v>15.5</v>
      </c>
      <c r="J159" s="67">
        <v>14972461.438942572</v>
      </c>
      <c r="K159" s="65"/>
      <c r="O159" s="663">
        <v>15.500000000000117</v>
      </c>
      <c r="P159" s="664">
        <v>19553238.678589515</v>
      </c>
      <c r="Q159" s="665">
        <v>19553238.678589515</v>
      </c>
    </row>
    <row r="160" spans="2:17">
      <c r="B160" s="66">
        <v>15.6</v>
      </c>
      <c r="C160" s="843">
        <v>36820200</v>
      </c>
      <c r="D160" s="844">
        <v>36974300</v>
      </c>
      <c r="E160" s="844">
        <v>74406000</v>
      </c>
      <c r="F160" s="844">
        <f t="shared" si="2"/>
        <v>148200500</v>
      </c>
      <c r="G160" s="68" t="s">
        <v>184</v>
      </c>
      <c r="H160" s="49"/>
      <c r="I160" s="73">
        <v>15.6</v>
      </c>
      <c r="J160" s="67">
        <v>15076098.377490371</v>
      </c>
      <c r="K160" s="65"/>
      <c r="O160" s="663">
        <v>15.600000000000117</v>
      </c>
      <c r="P160" s="664">
        <v>19691428.829675462</v>
      </c>
      <c r="Q160" s="665">
        <v>19691428.829675462</v>
      </c>
    </row>
    <row r="161" spans="2:17">
      <c r="B161" s="66">
        <v>15.7</v>
      </c>
      <c r="C161" s="843">
        <v>37080600</v>
      </c>
      <c r="D161" s="844">
        <v>36234300</v>
      </c>
      <c r="E161" s="844">
        <v>74918100</v>
      </c>
      <c r="F161" s="844">
        <f t="shared" si="2"/>
        <v>148233000</v>
      </c>
      <c r="G161" s="68" t="s">
        <v>184</v>
      </c>
      <c r="H161" s="49"/>
      <c r="I161" s="73">
        <v>15.7</v>
      </c>
      <c r="J161" s="67">
        <v>15179735.316038171</v>
      </c>
      <c r="K161" s="65"/>
      <c r="O161" s="663">
        <v>15.700000000000117</v>
      </c>
      <c r="P161" s="664">
        <v>19829625.382300157</v>
      </c>
      <c r="Q161" s="665">
        <v>19829625.382300157</v>
      </c>
    </row>
    <row r="162" spans="2:17">
      <c r="B162" s="66">
        <v>15.8</v>
      </c>
      <c r="C162" s="843">
        <v>37341000</v>
      </c>
      <c r="D162" s="844">
        <v>37494300</v>
      </c>
      <c r="E162" s="844">
        <v>75430600</v>
      </c>
      <c r="F162" s="844">
        <f t="shared" si="2"/>
        <v>150265900</v>
      </c>
      <c r="G162" s="68" t="s">
        <v>184</v>
      </c>
      <c r="H162" s="49"/>
      <c r="I162" s="73">
        <v>15.8</v>
      </c>
      <c r="J162" s="67">
        <v>15283372.25458597</v>
      </c>
      <c r="K162" s="65"/>
      <c r="O162" s="663">
        <v>15.800000000000116</v>
      </c>
      <c r="P162" s="664">
        <v>19967828.336611383</v>
      </c>
      <c r="Q162" s="665">
        <v>19967828.336611383</v>
      </c>
    </row>
    <row r="163" spans="2:17">
      <c r="B163" s="66">
        <v>15.9</v>
      </c>
      <c r="C163" s="843">
        <v>37601400</v>
      </c>
      <c r="D163" s="844">
        <v>37754300</v>
      </c>
      <c r="E163" s="844">
        <v>75943700</v>
      </c>
      <c r="F163" s="844">
        <f t="shared" si="2"/>
        <v>151299400</v>
      </c>
      <c r="G163" s="68" t="s">
        <v>184</v>
      </c>
      <c r="H163" s="49"/>
      <c r="I163" s="73">
        <v>15.9</v>
      </c>
      <c r="J163" s="67">
        <v>15387009.19313377</v>
      </c>
      <c r="K163" s="65"/>
      <c r="O163" s="663">
        <v>15.900000000000116</v>
      </c>
      <c r="P163" s="664">
        <v>20106037.692756951</v>
      </c>
      <c r="Q163" s="665">
        <v>20106037.692756951</v>
      </c>
    </row>
    <row r="164" spans="2:17">
      <c r="B164" s="66">
        <v>16</v>
      </c>
      <c r="C164" s="843">
        <v>37861800</v>
      </c>
      <c r="D164" s="844">
        <v>38014300</v>
      </c>
      <c r="E164" s="844">
        <v>76457200</v>
      </c>
      <c r="F164" s="844">
        <f t="shared" si="2"/>
        <v>152333300</v>
      </c>
      <c r="G164" s="68" t="s">
        <v>184</v>
      </c>
      <c r="H164" s="49"/>
      <c r="I164" s="73">
        <v>16</v>
      </c>
      <c r="J164" s="67">
        <v>15490646.131681576</v>
      </c>
      <c r="K164" s="65"/>
      <c r="O164" s="663">
        <v>16.000000000000114</v>
      </c>
      <c r="P164" s="664">
        <v>20244253.450884666</v>
      </c>
      <c r="Q164" s="665">
        <v>20244253.450884666</v>
      </c>
    </row>
    <row r="165" spans="2:17">
      <c r="B165" s="66">
        <v>16.100000000000001</v>
      </c>
      <c r="C165" s="843">
        <v>38125500</v>
      </c>
      <c r="D165" s="844">
        <v>38277600</v>
      </c>
      <c r="E165" s="844">
        <v>76971100</v>
      </c>
      <c r="F165" s="844">
        <f t="shared" si="2"/>
        <v>153374200</v>
      </c>
      <c r="G165" s="68" t="s">
        <v>184</v>
      </c>
      <c r="H165" s="49"/>
      <c r="I165" s="73">
        <v>16.100000000000001</v>
      </c>
      <c r="J165" s="67">
        <v>15594283.070229376</v>
      </c>
      <c r="K165" s="65"/>
      <c r="O165" s="663">
        <v>16.100000000000115</v>
      </c>
      <c r="P165" s="664">
        <v>20382475.611142326</v>
      </c>
      <c r="Q165" s="665">
        <v>20382475.611142326</v>
      </c>
    </row>
    <row r="166" spans="2:17">
      <c r="B166" s="66">
        <v>16.2</v>
      </c>
      <c r="C166" s="843">
        <v>38389200</v>
      </c>
      <c r="D166" s="844">
        <v>38540900</v>
      </c>
      <c r="E166" s="844">
        <v>77485500</v>
      </c>
      <c r="F166" s="844">
        <f t="shared" si="2"/>
        <v>154415600</v>
      </c>
      <c r="G166" s="68" t="s">
        <v>184</v>
      </c>
      <c r="H166" s="49"/>
      <c r="I166" s="73">
        <v>16.2</v>
      </c>
      <c r="J166" s="67">
        <v>15697920.008777175</v>
      </c>
      <c r="K166" s="65"/>
      <c r="O166" s="663">
        <v>16.200000000000117</v>
      </c>
      <c r="P166" s="664">
        <v>20520704.173677724</v>
      </c>
      <c r="Q166" s="665">
        <v>20520704.173677724</v>
      </c>
    </row>
    <row r="167" spans="2:17">
      <c r="B167" s="66">
        <v>16.3</v>
      </c>
      <c r="C167" s="843">
        <v>38652900</v>
      </c>
      <c r="D167" s="844">
        <v>38804200</v>
      </c>
      <c r="E167" s="844">
        <v>78000300</v>
      </c>
      <c r="F167" s="844">
        <f t="shared" si="2"/>
        <v>155457400</v>
      </c>
      <c r="G167" s="68" t="s">
        <v>184</v>
      </c>
      <c r="H167" s="49"/>
      <c r="I167" s="73">
        <v>16.3</v>
      </c>
      <c r="J167" s="67">
        <v>15801556.947324974</v>
      </c>
      <c r="K167" s="65"/>
      <c r="O167" s="663">
        <v>16.300000000000114</v>
      </c>
      <c r="P167" s="664">
        <v>20658939.138638657</v>
      </c>
      <c r="Q167" s="665">
        <v>20658939.138638657</v>
      </c>
    </row>
    <row r="168" spans="2:17">
      <c r="B168" s="66">
        <v>16.399999999999999</v>
      </c>
      <c r="C168" s="843">
        <v>38916600</v>
      </c>
      <c r="D168" s="844">
        <v>39067500</v>
      </c>
      <c r="E168" s="844">
        <v>78515600</v>
      </c>
      <c r="F168" s="844">
        <f t="shared" si="2"/>
        <v>156499700</v>
      </c>
      <c r="G168" s="68" t="s">
        <v>184</v>
      </c>
      <c r="H168" s="49"/>
      <c r="I168" s="73">
        <v>16.399999999999999</v>
      </c>
      <c r="J168" s="67">
        <v>15905193.885872774</v>
      </c>
      <c r="K168" s="65"/>
      <c r="O168" s="663">
        <v>16.400000000000112</v>
      </c>
      <c r="P168" s="664">
        <v>20797180.506172936</v>
      </c>
      <c r="Q168" s="665">
        <v>20797180.506172936</v>
      </c>
    </row>
    <row r="169" spans="2:17">
      <c r="B169" s="66">
        <v>16.5</v>
      </c>
      <c r="C169" s="843">
        <v>39180300</v>
      </c>
      <c r="D169" s="844">
        <v>39330800</v>
      </c>
      <c r="E169" s="844">
        <v>79031400</v>
      </c>
      <c r="F169" s="844">
        <f t="shared" si="2"/>
        <v>157542500</v>
      </c>
      <c r="G169" s="68" t="s">
        <v>184</v>
      </c>
      <c r="H169" s="49"/>
      <c r="I169" s="73">
        <v>16.5</v>
      </c>
      <c r="J169" s="67">
        <v>16008830.824420573</v>
      </c>
      <c r="K169" s="65"/>
      <c r="O169" s="663">
        <v>16.500000000000114</v>
      </c>
      <c r="P169" s="664">
        <v>20935428.276428353</v>
      </c>
      <c r="Q169" s="665">
        <v>20935428.276428353</v>
      </c>
    </row>
    <row r="170" spans="2:17">
      <c r="B170" s="66">
        <v>16.600000000000001</v>
      </c>
      <c r="C170" s="843">
        <v>39444000</v>
      </c>
      <c r="D170" s="844">
        <v>39594100</v>
      </c>
      <c r="E170" s="844">
        <v>79547600</v>
      </c>
      <c r="F170" s="844">
        <f t="shared" si="2"/>
        <v>158585700</v>
      </c>
      <c r="G170" s="68" t="s">
        <v>184</v>
      </c>
      <c r="H170" s="49"/>
      <c r="I170" s="73">
        <v>16.600000000000001</v>
      </c>
      <c r="J170" s="67">
        <v>16112467.762968373</v>
      </c>
      <c r="K170" s="65"/>
      <c r="O170" s="663">
        <v>16.600000000000115</v>
      </c>
      <c r="P170" s="664">
        <v>21073682.449552715</v>
      </c>
      <c r="Q170" s="665">
        <v>21073682.449552715</v>
      </c>
    </row>
    <row r="171" spans="2:17">
      <c r="B171" s="66">
        <v>16.7</v>
      </c>
      <c r="C171" s="843">
        <v>39707700</v>
      </c>
      <c r="D171" s="844">
        <v>39857400</v>
      </c>
      <c r="E171" s="844">
        <v>80064300</v>
      </c>
      <c r="F171" s="844">
        <f t="shared" si="2"/>
        <v>159629400</v>
      </c>
      <c r="G171" s="68" t="s">
        <v>184</v>
      </c>
      <c r="H171" s="49"/>
      <c r="I171" s="73">
        <v>16.7</v>
      </c>
      <c r="J171" s="67">
        <v>16216104.701516172</v>
      </c>
      <c r="K171" s="65"/>
      <c r="O171" s="663">
        <v>16.700000000000113</v>
      </c>
      <c r="P171" s="664">
        <v>21211943.025693819</v>
      </c>
      <c r="Q171" s="665">
        <v>21211943.025693819</v>
      </c>
    </row>
    <row r="172" spans="2:17">
      <c r="B172" s="66">
        <v>16.8</v>
      </c>
      <c r="C172" s="843">
        <v>39971400</v>
      </c>
      <c r="D172" s="844">
        <v>40120700</v>
      </c>
      <c r="E172" s="844">
        <v>80581500</v>
      </c>
      <c r="F172" s="844">
        <f t="shared" si="2"/>
        <v>160673600</v>
      </c>
      <c r="G172" s="68" t="s">
        <v>184</v>
      </c>
      <c r="H172" s="49"/>
      <c r="I172" s="73">
        <v>16.8</v>
      </c>
      <c r="J172" s="67">
        <v>16319741.640063971</v>
      </c>
      <c r="K172" s="65"/>
      <c r="O172" s="663">
        <v>16.800000000000111</v>
      </c>
      <c r="P172" s="664">
        <v>21350210.004999463</v>
      </c>
      <c r="Q172" s="665">
        <v>21350210.004999463</v>
      </c>
    </row>
    <row r="173" spans="2:17">
      <c r="B173" s="66">
        <v>16.899999999999999</v>
      </c>
      <c r="C173" s="843">
        <v>40235100</v>
      </c>
      <c r="D173" s="844">
        <v>40384000</v>
      </c>
      <c r="E173" s="844">
        <v>81099000</v>
      </c>
      <c r="F173" s="844">
        <f t="shared" si="2"/>
        <v>161718100</v>
      </c>
      <c r="G173" s="68" t="s">
        <v>184</v>
      </c>
      <c r="H173" s="49"/>
      <c r="I173" s="73">
        <v>16.899999999999999</v>
      </c>
      <c r="J173" s="67">
        <v>16423378.578611771</v>
      </c>
      <c r="K173" s="65"/>
      <c r="O173" s="663">
        <v>16.900000000000112</v>
      </c>
      <c r="P173" s="664">
        <v>21488483.38761745</v>
      </c>
      <c r="Q173" s="665">
        <v>21488483.38761745</v>
      </c>
    </row>
    <row r="174" spans="2:17">
      <c r="B174" s="66">
        <v>17</v>
      </c>
      <c r="C174" s="843">
        <v>40498800</v>
      </c>
      <c r="D174" s="844">
        <v>40647300</v>
      </c>
      <c r="E174" s="844">
        <v>81617100</v>
      </c>
      <c r="F174" s="844">
        <f t="shared" si="2"/>
        <v>162763200</v>
      </c>
      <c r="G174" s="68" t="s">
        <v>184</v>
      </c>
      <c r="H174" s="49"/>
      <c r="I174" s="73">
        <v>17</v>
      </c>
      <c r="J174" s="67">
        <v>16527015.517159576</v>
      </c>
      <c r="K174" s="65"/>
      <c r="O174" s="663">
        <v>17.000000000000114</v>
      </c>
      <c r="P174" s="664">
        <v>21626763.173695572</v>
      </c>
      <c r="Q174" s="665">
        <v>21626763.173695572</v>
      </c>
    </row>
    <row r="175" spans="2:17">
      <c r="B175" s="66">
        <v>17.100000000000001</v>
      </c>
      <c r="C175" s="843">
        <v>40765900</v>
      </c>
      <c r="D175" s="844">
        <v>40913800</v>
      </c>
      <c r="E175" s="844">
        <v>82135600</v>
      </c>
      <c r="F175" s="844">
        <f t="shared" si="2"/>
        <v>163815300</v>
      </c>
      <c r="G175" s="68" t="s">
        <v>184</v>
      </c>
      <c r="H175" s="49"/>
      <c r="I175" s="73">
        <v>17.100000000000001</v>
      </c>
      <c r="J175" s="67">
        <v>16630652.455707375</v>
      </c>
      <c r="K175" s="65"/>
      <c r="O175" s="663">
        <v>17.100000000000112</v>
      </c>
      <c r="P175" s="664">
        <v>21765049.363381639</v>
      </c>
      <c r="Q175" s="665">
        <v>21765049.363381639</v>
      </c>
    </row>
    <row r="176" spans="2:17">
      <c r="B176" s="66">
        <v>17.2</v>
      </c>
      <c r="C176" s="843">
        <v>41033000</v>
      </c>
      <c r="D176" s="844">
        <v>41180500</v>
      </c>
      <c r="E176" s="844">
        <v>82654600</v>
      </c>
      <c r="F176" s="844">
        <f t="shared" si="2"/>
        <v>164868100</v>
      </c>
      <c r="G176" s="68" t="s">
        <v>184</v>
      </c>
      <c r="H176" s="49"/>
      <c r="I176" s="73">
        <v>17.2</v>
      </c>
      <c r="J176" s="67">
        <v>16734289.394255174</v>
      </c>
      <c r="K176" s="65"/>
      <c r="O176" s="663">
        <v>17.200000000000109</v>
      </c>
      <c r="P176" s="664">
        <v>21903341.956823438</v>
      </c>
      <c r="Q176" s="665">
        <v>21903341.956823438</v>
      </c>
    </row>
    <row r="177" spans="2:17">
      <c r="B177" s="66">
        <v>17.3</v>
      </c>
      <c r="C177" s="843">
        <v>41300100</v>
      </c>
      <c r="D177" s="844">
        <v>41447100</v>
      </c>
      <c r="E177" s="844">
        <v>83174000</v>
      </c>
      <c r="F177" s="844">
        <f t="shared" si="2"/>
        <v>165921200</v>
      </c>
      <c r="G177" s="68" t="s">
        <v>184</v>
      </c>
      <c r="H177" s="49"/>
      <c r="I177" s="73">
        <v>17.3</v>
      </c>
      <c r="J177" s="67">
        <v>16837926.332802974</v>
      </c>
      <c r="K177" s="65"/>
      <c r="O177" s="663">
        <v>17.300000000000111</v>
      </c>
      <c r="P177" s="664">
        <v>22041640.954168789</v>
      </c>
      <c r="Q177" s="665">
        <v>22041640.954168789</v>
      </c>
    </row>
    <row r="178" spans="2:17">
      <c r="B178" s="66">
        <v>17.399999999999999</v>
      </c>
      <c r="C178" s="843">
        <v>41567200</v>
      </c>
      <c r="D178" s="844">
        <v>41713700</v>
      </c>
      <c r="E178" s="844">
        <v>83693900</v>
      </c>
      <c r="F178" s="844">
        <f t="shared" si="2"/>
        <v>166974800</v>
      </c>
      <c r="G178" s="68" t="s">
        <v>184</v>
      </c>
      <c r="H178" s="49"/>
      <c r="I178" s="73">
        <v>17.399999999999999</v>
      </c>
      <c r="J178" s="67">
        <v>16941563.271350775</v>
      </c>
      <c r="K178" s="65"/>
      <c r="O178" s="663">
        <v>17.400000000000112</v>
      </c>
      <c r="P178" s="664">
        <v>22179946.355565488</v>
      </c>
      <c r="Q178" s="665">
        <v>22179946.355565488</v>
      </c>
    </row>
    <row r="179" spans="2:17">
      <c r="B179" s="66">
        <v>17.5</v>
      </c>
      <c r="C179" s="843">
        <v>41834300</v>
      </c>
      <c r="D179" s="844">
        <v>41980300</v>
      </c>
      <c r="E179" s="844">
        <v>84214200</v>
      </c>
      <c r="F179" s="844">
        <f t="shared" si="2"/>
        <v>168028800</v>
      </c>
      <c r="G179" s="68" t="s">
        <v>184</v>
      </c>
      <c r="H179" s="49"/>
      <c r="I179" s="73">
        <v>17.5</v>
      </c>
      <c r="J179" s="67">
        <v>17045200.209898576</v>
      </c>
      <c r="K179" s="65"/>
      <c r="O179" s="663">
        <v>17.50000000000011</v>
      </c>
      <c r="P179" s="664">
        <v>22318258.161161318</v>
      </c>
      <c r="Q179" s="665">
        <v>22318258.161161318</v>
      </c>
    </row>
    <row r="180" spans="2:17">
      <c r="B180" s="66">
        <v>17.600000000000001</v>
      </c>
      <c r="C180" s="843">
        <v>42101400</v>
      </c>
      <c r="D180" s="844">
        <v>42246900</v>
      </c>
      <c r="E180" s="844">
        <v>84735000</v>
      </c>
      <c r="F180" s="844">
        <f t="shared" si="2"/>
        <v>169083300</v>
      </c>
      <c r="G180" s="68" t="s">
        <v>184</v>
      </c>
      <c r="H180" s="49"/>
      <c r="I180" s="73">
        <v>17.600000000000001</v>
      </c>
      <c r="J180" s="67">
        <v>17148837.148446377</v>
      </c>
      <c r="K180" s="65"/>
      <c r="O180" s="663">
        <v>17.600000000000108</v>
      </c>
      <c r="P180" s="664">
        <v>22456576.371104099</v>
      </c>
      <c r="Q180" s="665">
        <v>22456576.371104099</v>
      </c>
    </row>
    <row r="181" spans="2:17">
      <c r="B181" s="66">
        <v>17.7</v>
      </c>
      <c r="C181" s="843">
        <v>42368500</v>
      </c>
      <c r="D181" s="844">
        <v>42513900</v>
      </c>
      <c r="E181" s="844">
        <v>85256300</v>
      </c>
      <c r="F181" s="844">
        <f t="shared" si="2"/>
        <v>170138700</v>
      </c>
      <c r="G181" s="68" t="s">
        <v>184</v>
      </c>
      <c r="H181" s="49"/>
      <c r="I181" s="73">
        <v>17.7</v>
      </c>
      <c r="J181" s="67">
        <v>17252474.086994179</v>
      </c>
      <c r="K181" s="65"/>
      <c r="O181" s="663">
        <v>17.700000000000109</v>
      </c>
      <c r="P181" s="664">
        <v>22594900.985541601</v>
      </c>
      <c r="Q181" s="665">
        <v>22594900.985541601</v>
      </c>
    </row>
    <row r="182" spans="2:17">
      <c r="B182" s="66">
        <v>17.8</v>
      </c>
      <c r="C182" s="843">
        <v>42635600</v>
      </c>
      <c r="D182" s="844">
        <v>42780100</v>
      </c>
      <c r="E182" s="844">
        <v>85778000</v>
      </c>
      <c r="F182" s="844">
        <f t="shared" si="2"/>
        <v>171193700</v>
      </c>
      <c r="G182" s="68" t="s">
        <v>184</v>
      </c>
      <c r="H182" s="49"/>
      <c r="I182" s="73">
        <v>17.799999999999901</v>
      </c>
      <c r="J182" s="67">
        <v>17356111.02554198</v>
      </c>
      <c r="K182" s="65"/>
      <c r="O182" s="663">
        <v>17.800000000000111</v>
      </c>
      <c r="P182" s="664">
        <v>22733232.004621655</v>
      </c>
      <c r="Q182" s="665">
        <v>22733232.004621655</v>
      </c>
    </row>
    <row r="183" spans="2:17">
      <c r="B183" s="66">
        <v>17.899999999999999</v>
      </c>
      <c r="C183" s="843">
        <v>42902700</v>
      </c>
      <c r="D183" s="844">
        <v>43046700</v>
      </c>
      <c r="E183" s="844">
        <v>86300200</v>
      </c>
      <c r="F183" s="844">
        <f t="shared" si="2"/>
        <v>172249600</v>
      </c>
      <c r="G183" s="68" t="s">
        <v>184</v>
      </c>
      <c r="H183" s="49"/>
      <c r="I183" s="73">
        <v>17.899999999999899</v>
      </c>
      <c r="J183" s="67">
        <v>17459747.964089781</v>
      </c>
      <c r="K183" s="65"/>
      <c r="O183" s="663">
        <v>17.900000000000109</v>
      </c>
      <c r="P183" s="664">
        <v>22871569.428492051</v>
      </c>
      <c r="Q183" s="665">
        <v>22871569.428492051</v>
      </c>
    </row>
    <row r="184" spans="2:17">
      <c r="B184" s="66">
        <v>18</v>
      </c>
      <c r="C184" s="843">
        <v>43169800</v>
      </c>
      <c r="D184" s="844">
        <v>43313300</v>
      </c>
      <c r="E184" s="844">
        <v>86822800</v>
      </c>
      <c r="F184" s="844">
        <f t="shared" si="2"/>
        <v>173305900</v>
      </c>
      <c r="G184" s="68" t="s">
        <v>184</v>
      </c>
      <c r="H184" s="49"/>
      <c r="I184" s="73">
        <v>17.999999999999901</v>
      </c>
      <c r="J184" s="67">
        <v>17563384.902637575</v>
      </c>
      <c r="K184" s="65"/>
      <c r="O184" s="663">
        <v>18.000000000000107</v>
      </c>
      <c r="P184" s="664">
        <v>23009913.257300586</v>
      </c>
      <c r="Q184" s="665">
        <v>23009913.257300586</v>
      </c>
    </row>
    <row r="185" spans="2:17">
      <c r="B185" s="66">
        <v>18.100000000000001</v>
      </c>
      <c r="C185" s="843">
        <v>43440300</v>
      </c>
      <c r="D185" s="844">
        <v>43583300</v>
      </c>
      <c r="E185" s="844">
        <v>87345900</v>
      </c>
      <c r="F185" s="844">
        <f t="shared" si="2"/>
        <v>174369500</v>
      </c>
      <c r="G185" s="68" t="s">
        <v>184</v>
      </c>
      <c r="H185" s="49"/>
      <c r="I185" s="73">
        <v>18.099999999999898</v>
      </c>
      <c r="J185" s="67">
        <v>17667021.841185376</v>
      </c>
      <c r="K185" s="65"/>
      <c r="O185" s="663">
        <v>18.100000000000108</v>
      </c>
      <c r="P185" s="664">
        <v>23148263.491195068</v>
      </c>
      <c r="Q185" s="665">
        <v>23148263.491195068</v>
      </c>
    </row>
    <row r="186" spans="2:17">
      <c r="B186" s="66">
        <v>18.2</v>
      </c>
      <c r="C186" s="843">
        <v>43710800</v>
      </c>
      <c r="D186" s="844">
        <v>43853300</v>
      </c>
      <c r="E186" s="844">
        <v>87869500</v>
      </c>
      <c r="F186" s="844">
        <f t="shared" si="2"/>
        <v>175433600</v>
      </c>
      <c r="G186" s="68" t="s">
        <v>184</v>
      </c>
      <c r="H186" s="49"/>
      <c r="I186" s="73">
        <v>18.1999999999999</v>
      </c>
      <c r="J186" s="67">
        <v>17770658.779733177</v>
      </c>
      <c r="K186" s="65"/>
      <c r="O186" s="663">
        <v>18.200000000000109</v>
      </c>
      <c r="P186" s="664">
        <v>23286620.130323291</v>
      </c>
      <c r="Q186" s="665">
        <v>23286620.130323291</v>
      </c>
    </row>
    <row r="187" spans="2:17">
      <c r="B187" s="66">
        <v>18.3</v>
      </c>
      <c r="C187" s="843">
        <v>43981300</v>
      </c>
      <c r="D187" s="844">
        <v>44123300</v>
      </c>
      <c r="E187" s="844">
        <v>88393500</v>
      </c>
      <c r="F187" s="844">
        <f t="shared" si="2"/>
        <v>176498100</v>
      </c>
      <c r="G187" s="68" t="s">
        <v>184</v>
      </c>
      <c r="H187" s="49"/>
      <c r="I187" s="73">
        <v>18.299999999999901</v>
      </c>
      <c r="J187" s="67">
        <v>17874295.718280979</v>
      </c>
      <c r="K187" s="65"/>
      <c r="O187" s="663">
        <v>18.300000000000107</v>
      </c>
      <c r="P187" s="664">
        <v>23424983.174833052</v>
      </c>
      <c r="Q187" s="665">
        <v>23424983.174833052</v>
      </c>
    </row>
    <row r="188" spans="2:17">
      <c r="B188" s="66">
        <v>18.399999999999999</v>
      </c>
      <c r="C188" s="843">
        <v>44251800</v>
      </c>
      <c r="D188" s="844">
        <v>44393300</v>
      </c>
      <c r="E188" s="844">
        <v>88918000</v>
      </c>
      <c r="F188" s="844">
        <f t="shared" si="2"/>
        <v>177563100</v>
      </c>
      <c r="G188" s="68" t="s">
        <v>184</v>
      </c>
      <c r="H188" s="49"/>
      <c r="I188" s="73">
        <v>18.399999999999899</v>
      </c>
      <c r="J188" s="67">
        <v>17977932.65682878</v>
      </c>
      <c r="K188" s="65"/>
      <c r="O188" s="663">
        <v>18.400000000000105</v>
      </c>
      <c r="P188" s="664">
        <v>23563352.624872155</v>
      </c>
      <c r="Q188" s="665">
        <v>23563352.624872155</v>
      </c>
    </row>
    <row r="189" spans="2:17">
      <c r="B189" s="66">
        <v>18.5</v>
      </c>
      <c r="C189" s="843">
        <v>44522300</v>
      </c>
      <c r="D189" s="844">
        <v>44663300</v>
      </c>
      <c r="E189" s="844">
        <v>89443000</v>
      </c>
      <c r="F189" s="844">
        <f t="shared" si="2"/>
        <v>178628600</v>
      </c>
      <c r="G189" s="68" t="s">
        <v>184</v>
      </c>
      <c r="H189" s="49"/>
      <c r="I189" s="73">
        <v>18.499999999999901</v>
      </c>
      <c r="J189" s="67">
        <v>18081569.595376581</v>
      </c>
      <c r="K189" s="65"/>
      <c r="O189" s="663">
        <v>18.500000000000107</v>
      </c>
      <c r="P189" s="664">
        <v>23701728.480588395</v>
      </c>
      <c r="Q189" s="665">
        <v>23701728.480588395</v>
      </c>
    </row>
    <row r="190" spans="2:17">
      <c r="B190" s="66">
        <v>18.600000000000001</v>
      </c>
      <c r="C190" s="843">
        <v>44792800</v>
      </c>
      <c r="D190" s="844">
        <v>44933300</v>
      </c>
      <c r="E190" s="844">
        <v>89968400</v>
      </c>
      <c r="F190" s="844">
        <f t="shared" si="2"/>
        <v>179694500</v>
      </c>
      <c r="G190" s="68" t="s">
        <v>184</v>
      </c>
      <c r="H190" s="49"/>
      <c r="I190" s="73">
        <v>18.599999999999898</v>
      </c>
      <c r="J190" s="67">
        <v>18185206.533924382</v>
      </c>
      <c r="K190" s="65"/>
      <c r="O190" s="663">
        <v>18.600000000000108</v>
      </c>
      <c r="P190" s="664">
        <v>23840110.742129583</v>
      </c>
      <c r="Q190" s="665">
        <v>23840110.742129583</v>
      </c>
    </row>
    <row r="191" spans="2:17">
      <c r="B191" s="66">
        <v>18.7</v>
      </c>
      <c r="C191" s="843">
        <v>45063300</v>
      </c>
      <c r="D191" s="844">
        <v>45203300</v>
      </c>
      <c r="E191" s="844">
        <v>90494200</v>
      </c>
      <c r="F191" s="844">
        <f t="shared" si="2"/>
        <v>180760800</v>
      </c>
      <c r="G191" s="68" t="s">
        <v>184</v>
      </c>
      <c r="H191" s="49"/>
      <c r="I191" s="73">
        <v>18.6999999999999</v>
      </c>
      <c r="J191" s="67">
        <v>18288843.472472183</v>
      </c>
      <c r="K191" s="65"/>
      <c r="O191" s="663">
        <v>18.700000000000106</v>
      </c>
      <c r="P191" s="664">
        <v>23978499.409643508</v>
      </c>
      <c r="Q191" s="665">
        <v>23978499.409643508</v>
      </c>
    </row>
    <row r="192" spans="2:17">
      <c r="B192" s="66">
        <v>18.8</v>
      </c>
      <c r="C192" s="843">
        <v>45333800</v>
      </c>
      <c r="D192" s="844">
        <v>45473300</v>
      </c>
      <c r="E192" s="844">
        <v>91020600</v>
      </c>
      <c r="F192" s="844">
        <f t="shared" si="2"/>
        <v>181827700</v>
      </c>
      <c r="G192" s="68" t="s">
        <v>184</v>
      </c>
      <c r="H192" s="49"/>
      <c r="I192" s="73">
        <v>18.799999999999901</v>
      </c>
      <c r="J192" s="67">
        <v>18392480.411019985</v>
      </c>
      <c r="K192" s="65"/>
      <c r="O192" s="663">
        <v>18.800000000000104</v>
      </c>
      <c r="P192" s="664">
        <v>24116894.483277977</v>
      </c>
      <c r="Q192" s="665">
        <v>24116894.483277977</v>
      </c>
    </row>
    <row r="193" spans="2:17">
      <c r="B193" s="66">
        <v>18.899999999999999</v>
      </c>
      <c r="C193" s="843">
        <v>45604800</v>
      </c>
      <c r="D193" s="844">
        <v>45743300</v>
      </c>
      <c r="E193" s="844">
        <v>91547300</v>
      </c>
      <c r="F193" s="844">
        <f t="shared" si="2"/>
        <v>182895400</v>
      </c>
      <c r="G193" s="68" t="s">
        <v>184</v>
      </c>
      <c r="H193" s="49"/>
      <c r="I193" s="73">
        <v>18.899999999999899</v>
      </c>
      <c r="J193" s="67">
        <v>18496117.349567786</v>
      </c>
      <c r="K193" s="65"/>
      <c r="O193" s="663">
        <v>18.900000000000105</v>
      </c>
      <c r="P193" s="664">
        <v>24255295.963180792</v>
      </c>
      <c r="Q193" s="665">
        <v>24255295.963180792</v>
      </c>
    </row>
    <row r="194" spans="2:17">
      <c r="B194" s="66">
        <v>19</v>
      </c>
      <c r="C194" s="843">
        <v>45874800</v>
      </c>
      <c r="D194" s="844">
        <v>46013300</v>
      </c>
      <c r="E194" s="844">
        <v>92074600</v>
      </c>
      <c r="F194" s="844">
        <f t="shared" si="2"/>
        <v>183962700</v>
      </c>
      <c r="G194" s="68" t="s">
        <v>184</v>
      </c>
      <c r="H194" s="49"/>
      <c r="I194" s="73">
        <v>18.999999999999901</v>
      </c>
      <c r="J194" s="67">
        <v>18599754.288115572</v>
      </c>
      <c r="K194" s="65"/>
      <c r="O194" s="663">
        <v>19.000000000000107</v>
      </c>
      <c r="P194" s="664">
        <v>24393703.849499736</v>
      </c>
      <c r="Q194" s="665">
        <v>24393703.849499736</v>
      </c>
    </row>
    <row r="195" spans="2:17">
      <c r="B195" s="66">
        <v>19.100000000000001</v>
      </c>
      <c r="C195" s="843">
        <v>46148600</v>
      </c>
      <c r="D195" s="844">
        <v>46286700</v>
      </c>
      <c r="E195" s="844">
        <v>92602300</v>
      </c>
      <c r="F195" s="844">
        <f t="shared" si="2"/>
        <v>185037600</v>
      </c>
      <c r="G195" s="68" t="s">
        <v>184</v>
      </c>
      <c r="H195" s="49"/>
      <c r="I195" s="73">
        <v>19.099999999999898</v>
      </c>
      <c r="J195" s="67">
        <v>18703391.226663373</v>
      </c>
      <c r="K195" s="65"/>
      <c r="O195" s="663">
        <v>19.100000000000104</v>
      </c>
      <c r="P195" s="664">
        <v>24532118.142382625</v>
      </c>
      <c r="Q195" s="665">
        <v>24532118.142382625</v>
      </c>
    </row>
    <row r="196" spans="2:17">
      <c r="B196" s="66">
        <v>19.2</v>
      </c>
      <c r="C196" s="843">
        <v>46422400</v>
      </c>
      <c r="D196" s="844">
        <v>46560100</v>
      </c>
      <c r="E196" s="844">
        <v>93130500</v>
      </c>
      <c r="F196" s="844">
        <f t="shared" ref="F196:F233" si="3">C196+D196+E196</f>
        <v>186113000</v>
      </c>
      <c r="G196" s="68" t="s">
        <v>184</v>
      </c>
      <c r="H196" s="49"/>
      <c r="I196" s="73">
        <v>19.1999999999999</v>
      </c>
      <c r="J196" s="67">
        <v>18807028.165211175</v>
      </c>
      <c r="K196" s="65"/>
      <c r="O196" s="663">
        <v>19.200000000000102</v>
      </c>
      <c r="P196" s="664">
        <v>24670538.841977265</v>
      </c>
      <c r="Q196" s="665">
        <v>24670538.841977265</v>
      </c>
    </row>
    <row r="197" spans="2:17">
      <c r="B197" s="66">
        <v>19.3</v>
      </c>
      <c r="C197" s="843">
        <v>46696200</v>
      </c>
      <c r="D197" s="844">
        <v>46833500</v>
      </c>
      <c r="E197" s="844">
        <v>93659100</v>
      </c>
      <c r="F197" s="844">
        <f t="shared" si="3"/>
        <v>187188800</v>
      </c>
      <c r="G197" s="68" t="s">
        <v>184</v>
      </c>
      <c r="H197" s="49"/>
      <c r="I197" s="73">
        <v>19.299999999999901</v>
      </c>
      <c r="J197" s="67">
        <v>18910665.103758976</v>
      </c>
      <c r="K197" s="65"/>
      <c r="O197" s="663">
        <v>19.300000000000104</v>
      </c>
      <c r="P197" s="664">
        <v>24808965.94843144</v>
      </c>
      <c r="Q197" s="665">
        <v>24808965.94843144</v>
      </c>
    </row>
    <row r="198" spans="2:17">
      <c r="B198" s="66">
        <v>19.399999999999999</v>
      </c>
      <c r="C198" s="843">
        <v>46970000</v>
      </c>
      <c r="D198" s="844">
        <v>47106900</v>
      </c>
      <c r="E198" s="844">
        <v>94188200</v>
      </c>
      <c r="F198" s="844">
        <f t="shared" si="3"/>
        <v>188265100</v>
      </c>
      <c r="G198" s="68" t="s">
        <v>184</v>
      </c>
      <c r="H198" s="49"/>
      <c r="I198" s="73">
        <v>19.399999999999899</v>
      </c>
      <c r="J198" s="67">
        <v>19014302.042306777</v>
      </c>
      <c r="K198" s="65"/>
      <c r="O198" s="663">
        <v>19.400000000000105</v>
      </c>
      <c r="P198" s="664">
        <v>24947399.461892951</v>
      </c>
      <c r="Q198" s="665">
        <v>24947399.461892951</v>
      </c>
    </row>
    <row r="199" spans="2:17">
      <c r="B199" s="66">
        <v>19.5</v>
      </c>
      <c r="C199" s="843">
        <v>47243800</v>
      </c>
      <c r="D199" s="844">
        <v>47380300</v>
      </c>
      <c r="E199" s="844">
        <v>94717800</v>
      </c>
      <c r="F199" s="844">
        <f t="shared" si="3"/>
        <v>189341900</v>
      </c>
      <c r="G199" s="68" t="s">
        <v>184</v>
      </c>
      <c r="H199" s="49"/>
      <c r="I199" s="73">
        <v>19.499999999999901</v>
      </c>
      <c r="J199" s="67">
        <v>19117938.980854578</v>
      </c>
      <c r="K199" s="65"/>
      <c r="O199" s="663">
        <v>19.500000000000103</v>
      </c>
      <c r="P199" s="664">
        <v>25085839.382509612</v>
      </c>
      <c r="Q199" s="665">
        <v>25085839.382509612</v>
      </c>
    </row>
    <row r="200" spans="2:17">
      <c r="B200" s="66">
        <v>19.600000000000001</v>
      </c>
      <c r="C200" s="843">
        <v>47517600</v>
      </c>
      <c r="D200" s="844">
        <v>47653700</v>
      </c>
      <c r="E200" s="844">
        <v>95247800</v>
      </c>
      <c r="F200" s="844">
        <f t="shared" si="3"/>
        <v>190419100</v>
      </c>
      <c r="G200" s="68" t="s">
        <v>184</v>
      </c>
      <c r="H200" s="49"/>
      <c r="I200" s="73">
        <v>19.599999999999898</v>
      </c>
      <c r="J200" s="67">
        <v>19221575.91940238</v>
      </c>
      <c r="K200" s="65"/>
      <c r="O200" s="663">
        <v>19.600000000000101</v>
      </c>
      <c r="P200" s="664">
        <v>25224285.710429206</v>
      </c>
      <c r="Q200" s="665">
        <v>25224285.710429206</v>
      </c>
    </row>
    <row r="201" spans="2:17">
      <c r="B201" s="66">
        <v>19.7</v>
      </c>
      <c r="C201" s="843">
        <v>47791400</v>
      </c>
      <c r="D201" s="844">
        <v>47927100</v>
      </c>
      <c r="E201" s="844">
        <v>95778300</v>
      </c>
      <c r="F201" s="844">
        <f t="shared" si="3"/>
        <v>191496800</v>
      </c>
      <c r="G201" s="68" t="s">
        <v>184</v>
      </c>
      <c r="H201" s="49"/>
      <c r="I201" s="73">
        <v>19.6999999999999</v>
      </c>
      <c r="J201" s="67">
        <v>19325212.857950181</v>
      </c>
      <c r="K201" s="65"/>
      <c r="O201" s="663">
        <v>19.700000000000102</v>
      </c>
      <c r="P201" s="664">
        <v>25362738.445799544</v>
      </c>
      <c r="Q201" s="665">
        <v>25362738.445799544</v>
      </c>
    </row>
    <row r="202" spans="2:17">
      <c r="B202" s="66">
        <v>19.8</v>
      </c>
      <c r="C202" s="843">
        <v>48065200</v>
      </c>
      <c r="D202" s="844">
        <v>48200500</v>
      </c>
      <c r="E202" s="844">
        <v>96309200</v>
      </c>
      <c r="F202" s="844">
        <f t="shared" si="3"/>
        <v>192574900</v>
      </c>
      <c r="G202" s="68" t="s">
        <v>184</v>
      </c>
      <c r="H202" s="49"/>
      <c r="I202" s="73">
        <v>19.799999999999901</v>
      </c>
      <c r="J202" s="67">
        <v>19428849.796497982</v>
      </c>
      <c r="K202" s="65"/>
      <c r="O202" s="663">
        <v>19.800000000000104</v>
      </c>
      <c r="P202" s="664">
        <v>25501197.58876843</v>
      </c>
      <c r="Q202" s="665">
        <v>25501197.58876843</v>
      </c>
    </row>
    <row r="203" spans="2:17">
      <c r="B203" s="66">
        <v>19.899999999999999</v>
      </c>
      <c r="C203" s="843">
        <v>48339000</v>
      </c>
      <c r="D203" s="844">
        <v>48473900</v>
      </c>
      <c r="E203" s="844">
        <v>96840600</v>
      </c>
      <c r="F203" s="844">
        <f t="shared" si="3"/>
        <v>193653500</v>
      </c>
      <c r="G203" s="68" t="s">
        <v>184</v>
      </c>
      <c r="H203" s="49"/>
      <c r="I203" s="73">
        <v>19.899999999999899</v>
      </c>
      <c r="J203" s="67">
        <v>19532486.735045783</v>
      </c>
      <c r="K203" s="65"/>
      <c r="O203" s="663">
        <v>19.900000000000102</v>
      </c>
      <c r="P203" s="664">
        <v>25639663.139483653</v>
      </c>
      <c r="Q203" s="665">
        <v>25639663.139483653</v>
      </c>
    </row>
    <row r="204" spans="2:17">
      <c r="B204" s="66">
        <v>20</v>
      </c>
      <c r="C204" s="843">
        <v>48612800</v>
      </c>
      <c r="D204" s="844">
        <v>48747300</v>
      </c>
      <c r="E204" s="844">
        <v>97372500</v>
      </c>
      <c r="F204" s="844">
        <f t="shared" si="3"/>
        <v>194732600</v>
      </c>
      <c r="G204" s="68" t="s">
        <v>184</v>
      </c>
      <c r="H204" s="49"/>
      <c r="I204" s="73">
        <v>19.999999999999901</v>
      </c>
      <c r="J204" s="67">
        <v>19636123.673593573</v>
      </c>
      <c r="K204" s="65"/>
      <c r="O204" s="663">
        <v>20.000000000000099</v>
      </c>
      <c r="P204" s="664">
        <v>25778135.098093022</v>
      </c>
      <c r="Q204" s="665">
        <v>25778135.098093022</v>
      </c>
    </row>
    <row r="205" spans="2:17">
      <c r="B205" s="66">
        <v>20.100000000000001</v>
      </c>
      <c r="C205" s="843">
        <v>48890000</v>
      </c>
      <c r="D205" s="844">
        <v>49024100</v>
      </c>
      <c r="E205" s="844">
        <v>97904900</v>
      </c>
      <c r="F205" s="844">
        <f t="shared" si="3"/>
        <v>195819000</v>
      </c>
      <c r="G205" s="68" t="s">
        <v>184</v>
      </c>
      <c r="H205" s="49"/>
      <c r="I205" s="73">
        <v>20.099999999999898</v>
      </c>
      <c r="J205" s="67">
        <v>19739760.612141374</v>
      </c>
      <c r="K205" s="65"/>
      <c r="O205" s="663">
        <v>20.100000000000101</v>
      </c>
      <c r="P205" s="664">
        <v>25916613.464744329</v>
      </c>
      <c r="Q205" s="665">
        <v>25916613.464744329</v>
      </c>
    </row>
    <row r="206" spans="2:17">
      <c r="B206" s="66">
        <v>20.2</v>
      </c>
      <c r="C206" s="843">
        <v>49167200</v>
      </c>
      <c r="D206" s="844">
        <v>49300900</v>
      </c>
      <c r="E206" s="844">
        <v>98437700</v>
      </c>
      <c r="F206" s="844">
        <f t="shared" si="3"/>
        <v>196905800</v>
      </c>
      <c r="G206" s="68" t="s">
        <v>184</v>
      </c>
      <c r="H206" s="49"/>
      <c r="I206" s="73">
        <v>20.1999999999999</v>
      </c>
      <c r="J206" s="67">
        <v>19843397.550689176</v>
      </c>
      <c r="K206" s="65"/>
      <c r="O206" s="663">
        <v>20.200000000000102</v>
      </c>
      <c r="P206" s="664">
        <v>26055098.239585374</v>
      </c>
      <c r="Q206" s="665">
        <v>26055098.239585374</v>
      </c>
    </row>
    <row r="207" spans="2:17">
      <c r="B207" s="66">
        <v>20.3</v>
      </c>
      <c r="C207" s="843">
        <v>49444400</v>
      </c>
      <c r="D207" s="844">
        <v>49577700</v>
      </c>
      <c r="E207" s="844">
        <v>98970900</v>
      </c>
      <c r="F207" s="844">
        <f t="shared" si="3"/>
        <v>197993000</v>
      </c>
      <c r="G207" s="68" t="s">
        <v>184</v>
      </c>
      <c r="H207" s="49"/>
      <c r="I207" s="73">
        <v>20.299999999999901</v>
      </c>
      <c r="J207" s="67">
        <v>19947034.489236977</v>
      </c>
      <c r="K207" s="65"/>
      <c r="O207" s="663">
        <v>20.3000000000001</v>
      </c>
      <c r="P207" s="664">
        <v>26193589.422763962</v>
      </c>
      <c r="Q207" s="665">
        <v>26193589.422763962</v>
      </c>
    </row>
    <row r="208" spans="2:17">
      <c r="B208" s="66">
        <v>20.399999999999999</v>
      </c>
      <c r="C208" s="843">
        <v>49721600</v>
      </c>
      <c r="D208" s="844">
        <v>49854500</v>
      </c>
      <c r="E208" s="844">
        <v>99504700</v>
      </c>
      <c r="F208" s="844">
        <f t="shared" si="3"/>
        <v>199080800</v>
      </c>
      <c r="G208" s="68" t="s">
        <v>184</v>
      </c>
      <c r="H208" s="49"/>
      <c r="I208" s="73">
        <v>20.399999999999899</v>
      </c>
      <c r="J208" s="67">
        <v>20050671.427784778</v>
      </c>
      <c r="K208" s="65"/>
      <c r="O208" s="663">
        <v>20.400000000000098</v>
      </c>
      <c r="P208" s="664">
        <v>26332087.014427893</v>
      </c>
      <c r="Q208" s="665">
        <v>26332087.014427893</v>
      </c>
    </row>
    <row r="209" spans="2:17">
      <c r="B209" s="66">
        <v>20.5</v>
      </c>
      <c r="C209" s="843">
        <v>49998800</v>
      </c>
      <c r="D209" s="844">
        <v>50131300</v>
      </c>
      <c r="E209" s="844">
        <v>100038800</v>
      </c>
      <c r="F209" s="844">
        <f t="shared" si="3"/>
        <v>200168900</v>
      </c>
      <c r="G209" s="68" t="s">
        <v>184</v>
      </c>
      <c r="H209" s="49"/>
      <c r="I209" s="73">
        <v>20.499999999999901</v>
      </c>
      <c r="J209" s="67">
        <v>20154308.366332579</v>
      </c>
      <c r="K209" s="65"/>
      <c r="O209" s="663">
        <v>20.500000000000099</v>
      </c>
      <c r="P209" s="664">
        <v>26470591.014724962</v>
      </c>
      <c r="Q209" s="665">
        <v>26470591.014724962</v>
      </c>
    </row>
    <row r="210" spans="2:17">
      <c r="B210" s="66">
        <v>20.6</v>
      </c>
      <c r="C210" s="843">
        <v>50276000</v>
      </c>
      <c r="D210" s="844">
        <v>50408100</v>
      </c>
      <c r="E210" s="844">
        <v>100573300</v>
      </c>
      <c r="F210" s="844">
        <f t="shared" si="3"/>
        <v>201257400</v>
      </c>
      <c r="G210" s="68" t="s">
        <v>184</v>
      </c>
      <c r="H210" s="49"/>
      <c r="I210" s="73">
        <v>20.599999999999898</v>
      </c>
      <c r="J210" s="67">
        <v>20257945.304880381</v>
      </c>
      <c r="K210" s="65"/>
      <c r="O210" s="663">
        <v>20.600000000000101</v>
      </c>
      <c r="P210" s="664">
        <v>26609101.423802976</v>
      </c>
      <c r="Q210" s="665">
        <v>26609101.423802976</v>
      </c>
    </row>
    <row r="211" spans="2:17">
      <c r="B211" s="66">
        <v>20.7</v>
      </c>
      <c r="C211" s="843">
        <v>50553200</v>
      </c>
      <c r="D211" s="844">
        <v>50684900</v>
      </c>
      <c r="E211" s="844">
        <v>101107700</v>
      </c>
      <c r="F211" s="844">
        <f t="shared" si="3"/>
        <v>202345800</v>
      </c>
      <c r="G211" s="68" t="s">
        <v>184</v>
      </c>
      <c r="H211" s="49"/>
      <c r="I211" s="73">
        <v>20.6999999999999</v>
      </c>
      <c r="J211" s="67">
        <v>20361582.243428182</v>
      </c>
      <c r="K211" s="65"/>
      <c r="O211" s="663">
        <v>20.700000000000099</v>
      </c>
      <c r="P211" s="664">
        <v>26747618.241809737</v>
      </c>
      <c r="Q211" s="665">
        <v>26747618.241809737</v>
      </c>
    </row>
    <row r="212" spans="2:17">
      <c r="B212" s="66">
        <v>20.8</v>
      </c>
      <c r="C212" s="843">
        <v>50830400</v>
      </c>
      <c r="D212" s="844">
        <v>50961700</v>
      </c>
      <c r="E212" s="844">
        <v>101642100</v>
      </c>
      <c r="F212" s="844">
        <f t="shared" si="3"/>
        <v>203434200</v>
      </c>
      <c r="G212" s="68" t="s">
        <v>184</v>
      </c>
      <c r="H212" s="49"/>
      <c r="I212" s="73">
        <v>20.799999999999901</v>
      </c>
      <c r="J212" s="67">
        <v>20465219.181975983</v>
      </c>
      <c r="K212" s="65"/>
      <c r="O212" s="663">
        <v>20.800000000000097</v>
      </c>
      <c r="P212" s="664">
        <v>26886141.468893036</v>
      </c>
      <c r="Q212" s="665">
        <v>26886141.468893036</v>
      </c>
    </row>
    <row r="213" spans="2:17">
      <c r="B213" s="66">
        <v>20.9</v>
      </c>
      <c r="C213" s="843">
        <v>51107600</v>
      </c>
      <c r="D213" s="844">
        <v>51238500</v>
      </c>
      <c r="E213" s="844">
        <v>102176600</v>
      </c>
      <c r="F213" s="844">
        <f t="shared" si="3"/>
        <v>204522700</v>
      </c>
      <c r="G213" s="68" t="s">
        <v>184</v>
      </c>
      <c r="H213" s="49"/>
      <c r="I213" s="73">
        <v>20.899999999999899</v>
      </c>
      <c r="J213" s="67">
        <v>20568856.120523784</v>
      </c>
      <c r="K213" s="65"/>
      <c r="O213" s="663">
        <v>20.900000000000098</v>
      </c>
      <c r="P213" s="664">
        <v>27024671.105200671</v>
      </c>
      <c r="Q213" s="665">
        <v>27024671.105200671</v>
      </c>
    </row>
    <row r="214" spans="2:17">
      <c r="B214" s="66">
        <v>21</v>
      </c>
      <c r="C214" s="843">
        <v>51384800</v>
      </c>
      <c r="D214" s="844">
        <v>51515300</v>
      </c>
      <c r="E214" s="844">
        <v>102711000</v>
      </c>
      <c r="F214" s="844">
        <f t="shared" si="3"/>
        <v>205611100</v>
      </c>
      <c r="G214" s="68" t="s">
        <v>184</v>
      </c>
      <c r="H214" s="49"/>
      <c r="I214" s="74"/>
      <c r="J214" s="70"/>
      <c r="O214" s="663">
        <v>21.000000000000099</v>
      </c>
      <c r="P214" s="664">
        <v>27163207.150880445</v>
      </c>
      <c r="Q214" s="665">
        <v>27163207.150880445</v>
      </c>
    </row>
    <row r="215" spans="2:17">
      <c r="B215" s="66">
        <v>21.1</v>
      </c>
      <c r="C215" s="843">
        <v>51662000</v>
      </c>
      <c r="D215" s="844">
        <v>51792100</v>
      </c>
      <c r="E215" s="844">
        <v>103245400</v>
      </c>
      <c r="F215" s="844">
        <f t="shared" si="3"/>
        <v>206699500</v>
      </c>
      <c r="G215" s="68" t="s">
        <v>184</v>
      </c>
      <c r="H215" s="49"/>
      <c r="O215" s="663">
        <v>21.100000000000097</v>
      </c>
      <c r="P215" s="664">
        <v>27301749.606080171</v>
      </c>
      <c r="Q215" s="665">
        <v>27301749.606080171</v>
      </c>
    </row>
    <row r="216" spans="2:17">
      <c r="B216" s="66">
        <v>21.2</v>
      </c>
      <c r="C216" s="843">
        <v>51939200</v>
      </c>
      <c r="D216" s="844">
        <v>52068900</v>
      </c>
      <c r="E216" s="844">
        <v>103780000</v>
      </c>
      <c r="F216" s="844">
        <f t="shared" si="3"/>
        <v>207788100</v>
      </c>
      <c r="G216" s="68" t="s">
        <v>184</v>
      </c>
      <c r="H216" s="49"/>
      <c r="O216" s="663">
        <v>21.200000000000095</v>
      </c>
      <c r="P216" s="664">
        <v>27440298.470947638</v>
      </c>
      <c r="Q216" s="665">
        <v>27440298.470947638</v>
      </c>
    </row>
    <row r="217" spans="2:17">
      <c r="B217" s="66">
        <v>21.3</v>
      </c>
      <c r="C217" s="843">
        <v>52216400</v>
      </c>
      <c r="D217" s="844">
        <v>52345700</v>
      </c>
      <c r="E217" s="844">
        <v>104314300</v>
      </c>
      <c r="F217" s="844">
        <f t="shared" si="3"/>
        <v>208876400</v>
      </c>
      <c r="G217" s="68" t="s">
        <v>184</v>
      </c>
      <c r="H217" s="49"/>
      <c r="O217" s="663">
        <v>21.300000000000097</v>
      </c>
      <c r="P217" s="664">
        <v>27578853.745630641</v>
      </c>
      <c r="Q217" s="665">
        <v>27578853.745630641</v>
      </c>
    </row>
    <row r="218" spans="2:17">
      <c r="B218" s="66">
        <v>21.4</v>
      </c>
      <c r="C218" s="843">
        <v>52493600</v>
      </c>
      <c r="D218" s="844">
        <v>52622500</v>
      </c>
      <c r="E218" s="844">
        <v>104848600</v>
      </c>
      <c r="F218" s="844">
        <f t="shared" si="3"/>
        <v>209964700</v>
      </c>
      <c r="G218" s="68" t="s">
        <v>184</v>
      </c>
      <c r="H218" s="49"/>
      <c r="O218" s="663">
        <v>21.400000000000098</v>
      </c>
      <c r="P218" s="664">
        <v>27717415.43027699</v>
      </c>
      <c r="Q218" s="665">
        <v>27717415.43027699</v>
      </c>
    </row>
    <row r="219" spans="2:17">
      <c r="B219" s="66">
        <v>21.5</v>
      </c>
      <c r="C219" s="843">
        <v>52770800</v>
      </c>
      <c r="D219" s="844">
        <v>52899300</v>
      </c>
      <c r="E219" s="844">
        <v>105383200</v>
      </c>
      <c r="F219" s="844">
        <f t="shared" si="3"/>
        <v>211053300</v>
      </c>
      <c r="G219" s="68" t="s">
        <v>184</v>
      </c>
      <c r="H219" s="76"/>
      <c r="O219" s="663">
        <v>21.500000000000096</v>
      </c>
      <c r="P219" s="664">
        <v>27855983.525034476</v>
      </c>
      <c r="Q219" s="665">
        <v>27855983.525034476</v>
      </c>
    </row>
    <row r="220" spans="2:17">
      <c r="B220" s="66">
        <v>21.6</v>
      </c>
      <c r="C220" s="843">
        <v>53048000</v>
      </c>
      <c r="D220" s="844">
        <v>53176100</v>
      </c>
      <c r="E220" s="844">
        <v>105917600</v>
      </c>
      <c r="F220" s="844">
        <f t="shared" si="3"/>
        <v>212141700</v>
      </c>
      <c r="G220" s="77">
        <f>(F220-F219)/1000000</f>
        <v>1.0884</v>
      </c>
      <c r="H220" s="76"/>
      <c r="O220" s="663">
        <v>21.600000000000094</v>
      </c>
      <c r="P220" s="664">
        <v>27994558.030050904</v>
      </c>
      <c r="Q220" s="665">
        <v>27994558.030050904</v>
      </c>
    </row>
    <row r="221" spans="2:17">
      <c r="B221" s="66">
        <v>21.7</v>
      </c>
      <c r="C221" s="843">
        <v>53325200</v>
      </c>
      <c r="D221" s="844">
        <v>53452900</v>
      </c>
      <c r="E221" s="844">
        <v>106452000</v>
      </c>
      <c r="F221" s="844">
        <f t="shared" si="3"/>
        <v>213230100</v>
      </c>
      <c r="G221" s="77">
        <f>(F221-F220)/1000000</f>
        <v>1.0884</v>
      </c>
      <c r="H221" s="76"/>
      <c r="O221" s="663">
        <v>21.700000000000095</v>
      </c>
      <c r="P221" s="664">
        <v>28133138.945474077</v>
      </c>
      <c r="Q221" s="665">
        <v>28133138.945474077</v>
      </c>
    </row>
    <row r="222" spans="2:17">
      <c r="B222" s="66">
        <v>21.8</v>
      </c>
      <c r="C222" s="843">
        <v>53602400</v>
      </c>
      <c r="D222" s="844">
        <v>53729700</v>
      </c>
      <c r="E222" s="844">
        <v>106986400</v>
      </c>
      <c r="F222" s="844">
        <f t="shared" si="3"/>
        <v>214318500</v>
      </c>
      <c r="G222" s="77">
        <f>(F222-F221)/1000000</f>
        <v>1.0884</v>
      </c>
      <c r="H222" s="76"/>
      <c r="O222" s="663">
        <v>21.800000000000097</v>
      </c>
      <c r="P222" s="664">
        <v>28271726.271451794</v>
      </c>
      <c r="Q222" s="665">
        <v>28271726.271451794</v>
      </c>
    </row>
    <row r="223" spans="2:17">
      <c r="B223" s="66">
        <v>21.9</v>
      </c>
      <c r="C223" s="843">
        <v>53879600</v>
      </c>
      <c r="D223" s="844">
        <v>54006500</v>
      </c>
      <c r="E223" s="844">
        <v>107520800</v>
      </c>
      <c r="F223" s="844">
        <f t="shared" si="3"/>
        <v>215406900</v>
      </c>
      <c r="G223" s="68" t="s">
        <v>184</v>
      </c>
      <c r="H223" s="76"/>
      <c r="O223" s="663">
        <v>21.900000000000095</v>
      </c>
      <c r="P223" s="664">
        <v>28410320.008131843</v>
      </c>
      <c r="Q223" s="665">
        <v>28410320.008131843</v>
      </c>
    </row>
    <row r="224" spans="2:17">
      <c r="B224" s="66">
        <v>22</v>
      </c>
      <c r="C224" s="843">
        <v>54156800</v>
      </c>
      <c r="D224" s="844">
        <v>54283300</v>
      </c>
      <c r="E224" s="844">
        <v>108055300</v>
      </c>
      <c r="F224" s="844">
        <f t="shared" si="3"/>
        <v>216495400</v>
      </c>
      <c r="G224" s="68" t="s">
        <v>184</v>
      </c>
      <c r="H224" s="76"/>
      <c r="O224" s="663">
        <v>22.000000000000096</v>
      </c>
      <c r="P224" s="664">
        <v>28548920.155662041</v>
      </c>
      <c r="Q224" s="665">
        <v>28548920.155662041</v>
      </c>
    </row>
    <row r="225" spans="2:17">
      <c r="B225" s="66">
        <v>22.1</v>
      </c>
      <c r="C225" s="843">
        <v>54434000</v>
      </c>
      <c r="D225" s="844">
        <v>54560100</v>
      </c>
      <c r="E225" s="840">
        <v>108589733.33333333</v>
      </c>
      <c r="F225" s="840">
        <f t="shared" si="3"/>
        <v>217583833.33333331</v>
      </c>
      <c r="G225" s="68" t="s">
        <v>184</v>
      </c>
      <c r="H225" s="49"/>
      <c r="O225" s="663">
        <v>22.100000000000094</v>
      </c>
      <c r="P225" s="664">
        <v>28687526.714190178</v>
      </c>
      <c r="Q225" s="665">
        <v>28687526.714190178</v>
      </c>
    </row>
    <row r="226" spans="2:17">
      <c r="B226" s="66">
        <v>22.2</v>
      </c>
      <c r="C226" s="843">
        <v>54711200</v>
      </c>
      <c r="D226" s="844">
        <v>54836900</v>
      </c>
      <c r="E226" s="840">
        <v>109124183.33333333</v>
      </c>
      <c r="F226" s="840">
        <f t="shared" si="3"/>
        <v>218672283.33333331</v>
      </c>
      <c r="G226" s="68" t="s">
        <v>184</v>
      </c>
      <c r="H226" s="49"/>
      <c r="O226" s="663">
        <v>22.200000000000095</v>
      </c>
      <c r="P226" s="664">
        <v>28826139.683864065</v>
      </c>
      <c r="Q226" s="665">
        <v>28826139.683864065</v>
      </c>
    </row>
    <row r="227" spans="2:17">
      <c r="B227" s="66">
        <v>22.3</v>
      </c>
      <c r="C227" s="843">
        <v>54988400</v>
      </c>
      <c r="D227" s="844">
        <v>55113700</v>
      </c>
      <c r="E227" s="840">
        <v>109658633.33333333</v>
      </c>
      <c r="F227" s="840">
        <f t="shared" si="3"/>
        <v>219760733.33333331</v>
      </c>
      <c r="G227" s="68" t="s">
        <v>184</v>
      </c>
      <c r="H227" s="49"/>
      <c r="O227" s="663">
        <v>22.300000000000097</v>
      </c>
      <c r="P227" s="664">
        <v>28964759.064831488</v>
      </c>
      <c r="Q227" s="665">
        <v>28964759.064831488</v>
      </c>
    </row>
    <row r="228" spans="2:17">
      <c r="B228" s="66">
        <v>22.4</v>
      </c>
      <c r="C228" s="843">
        <v>55265600</v>
      </c>
      <c r="D228" s="844">
        <v>55390500</v>
      </c>
      <c r="E228" s="840">
        <v>110193083.33333333</v>
      </c>
      <c r="F228" s="840">
        <f t="shared" si="3"/>
        <v>220849183.33333331</v>
      </c>
      <c r="G228" s="68" t="s">
        <v>184</v>
      </c>
      <c r="H228" s="49"/>
      <c r="O228" s="663">
        <v>22.400000000000095</v>
      </c>
      <c r="P228" s="664">
        <v>29103384.857240245</v>
      </c>
      <c r="Q228" s="665">
        <v>29103384.857240245</v>
      </c>
    </row>
    <row r="229" spans="2:17">
      <c r="B229" s="66">
        <v>22.5</v>
      </c>
      <c r="C229" s="843">
        <v>55542800</v>
      </c>
      <c r="D229" s="844">
        <v>55667300</v>
      </c>
      <c r="E229" s="840">
        <v>110727533.33333333</v>
      </c>
      <c r="F229" s="840">
        <f t="shared" si="3"/>
        <v>221937633.33333331</v>
      </c>
      <c r="G229" s="68" t="s">
        <v>184</v>
      </c>
      <c r="H229" s="49"/>
      <c r="O229" s="663">
        <v>22.500000000000096</v>
      </c>
      <c r="P229" s="664">
        <v>29242017.061238158</v>
      </c>
      <c r="Q229" s="665">
        <v>29242017.061238158</v>
      </c>
    </row>
    <row r="230" spans="2:17">
      <c r="B230" s="66">
        <v>22.6</v>
      </c>
      <c r="C230" s="843">
        <v>55820000</v>
      </c>
      <c r="D230" s="844">
        <v>55944100</v>
      </c>
      <c r="E230" s="840">
        <v>111261983.33333322</v>
      </c>
      <c r="F230" s="840">
        <f t="shared" si="3"/>
        <v>223026083.33333322</v>
      </c>
      <c r="G230" s="68" t="s">
        <v>184</v>
      </c>
      <c r="H230" s="49"/>
      <c r="O230" s="663">
        <v>22.600000000000097</v>
      </c>
      <c r="P230" s="664">
        <v>29380655.676973004</v>
      </c>
      <c r="Q230" s="665">
        <v>29380655.676973004</v>
      </c>
    </row>
    <row r="231" spans="2:17">
      <c r="B231" s="66">
        <v>22.7</v>
      </c>
      <c r="C231" s="843">
        <v>56097200</v>
      </c>
      <c r="D231" s="844">
        <v>56220900</v>
      </c>
      <c r="E231" s="840">
        <v>111796433.33333321</v>
      </c>
      <c r="F231" s="840">
        <f t="shared" si="3"/>
        <v>224114533.33333319</v>
      </c>
      <c r="G231" s="68" t="s">
        <v>184</v>
      </c>
      <c r="H231" s="49"/>
      <c r="O231" s="663">
        <v>22.700000000000095</v>
      </c>
      <c r="P231" s="664">
        <v>29519300.704592589</v>
      </c>
      <c r="Q231" s="665">
        <v>29519300.704592589</v>
      </c>
    </row>
    <row r="232" spans="2:17">
      <c r="B232" s="66">
        <v>22.8</v>
      </c>
      <c r="C232" s="843">
        <v>56374400</v>
      </c>
      <c r="D232" s="844">
        <v>56497700</v>
      </c>
      <c r="E232" s="840">
        <v>112330883.33333318</v>
      </c>
      <c r="F232" s="840">
        <f t="shared" si="3"/>
        <v>225202983.33333319</v>
      </c>
      <c r="G232" s="68" t="s">
        <v>184</v>
      </c>
      <c r="H232" s="49"/>
      <c r="O232" s="663">
        <v>22.800000000000097</v>
      </c>
      <c r="P232" s="664">
        <v>29657952.144244723</v>
      </c>
      <c r="Q232" s="665">
        <v>29657952.144244723</v>
      </c>
    </row>
    <row r="233" spans="2:17">
      <c r="B233" s="69">
        <v>22.9</v>
      </c>
      <c r="C233" s="845">
        <v>56651600</v>
      </c>
      <c r="D233" s="846">
        <v>56774500</v>
      </c>
      <c r="E233" s="847">
        <v>112865333.33333315</v>
      </c>
      <c r="F233" s="847">
        <f t="shared" si="3"/>
        <v>226291433.33333313</v>
      </c>
      <c r="G233" s="71" t="s">
        <v>184</v>
      </c>
      <c r="H233" s="49"/>
      <c r="O233" s="663">
        <v>22.900000000000098</v>
      </c>
      <c r="P233" s="664">
        <v>29796609.996077191</v>
      </c>
      <c r="Q233" s="665">
        <v>29796609.996077191</v>
      </c>
    </row>
    <row r="234" spans="2:17">
      <c r="B234" s="78" t="s">
        <v>185</v>
      </c>
      <c r="O234" s="663">
        <v>23.000000000000096</v>
      </c>
      <c r="P234" s="664">
        <v>29935274.260237813</v>
      </c>
      <c r="Q234" s="665">
        <v>29935274.260237813</v>
      </c>
    </row>
    <row r="235" spans="2:17">
      <c r="O235" s="663">
        <v>23.100000000000097</v>
      </c>
      <c r="P235" s="664">
        <v>30073944.936874364</v>
      </c>
      <c r="Q235" s="665">
        <v>30073944.936874364</v>
      </c>
    </row>
    <row r="236" spans="2:17">
      <c r="O236" s="663">
        <v>23.200000000000095</v>
      </c>
      <c r="P236" s="664">
        <v>30212622.026134659</v>
      </c>
      <c r="Q236" s="665">
        <v>30212622.026134659</v>
      </c>
    </row>
    <row r="237" spans="2:17">
      <c r="O237" s="663">
        <v>23.300000000000097</v>
      </c>
      <c r="P237" s="664">
        <v>30351305.528166503</v>
      </c>
      <c r="Q237" s="665">
        <v>30351305.528166503</v>
      </c>
    </row>
    <row r="238" spans="2:17">
      <c r="O238" s="663">
        <v>23.400000000000098</v>
      </c>
      <c r="P238" s="664">
        <v>30489995.443117686</v>
      </c>
      <c r="Q238" s="665">
        <v>30489995.443117686</v>
      </c>
    </row>
    <row r="239" spans="2:17">
      <c r="O239" s="663">
        <v>23.500000000000096</v>
      </c>
      <c r="P239" s="664">
        <v>30628691.771136012</v>
      </c>
      <c r="Q239" s="665">
        <v>30628691.771136012</v>
      </c>
    </row>
    <row r="240" spans="2:17">
      <c r="O240" s="663">
        <v>23.600000000000097</v>
      </c>
      <c r="P240" s="664">
        <v>30767394.512369279</v>
      </c>
      <c r="Q240" s="665">
        <v>30767394.512369279</v>
      </c>
    </row>
    <row r="241" spans="15:17">
      <c r="O241" s="663">
        <v>23.700000000000095</v>
      </c>
      <c r="P241" s="664">
        <v>30906103.666965287</v>
      </c>
      <c r="Q241" s="665">
        <v>30906103.666965287</v>
      </c>
    </row>
    <row r="242" spans="15:17">
      <c r="O242" s="663">
        <v>23.800000000000097</v>
      </c>
      <c r="P242" s="664">
        <v>31044819.23507183</v>
      </c>
      <c r="Q242" s="665">
        <v>31044819.23507183</v>
      </c>
    </row>
    <row r="243" spans="15:17">
      <c r="O243" s="663">
        <v>23.900000000000098</v>
      </c>
      <c r="P243" s="664">
        <v>31183541.216836732</v>
      </c>
      <c r="Q243" s="665">
        <v>31183541.216836732</v>
      </c>
    </row>
    <row r="244" spans="15:17">
      <c r="O244" s="663">
        <v>24.000000000000096</v>
      </c>
      <c r="P244" s="664">
        <v>31322269.612407763</v>
      </c>
      <c r="Q244" s="665">
        <v>31322269.612407763</v>
      </c>
    </row>
    <row r="245" spans="15:17">
      <c r="O245" s="663">
        <v>24.100000000000097</v>
      </c>
      <c r="P245" s="664">
        <v>31461004.421932731</v>
      </c>
      <c r="Q245" s="665">
        <v>31461004.421932731</v>
      </c>
    </row>
    <row r="246" spans="15:17">
      <c r="O246" s="663">
        <v>24.200000000000099</v>
      </c>
      <c r="P246" s="664">
        <v>31599745.645559456</v>
      </c>
      <c r="Q246" s="665">
        <v>31599745.645559456</v>
      </c>
    </row>
    <row r="247" spans="15:17">
      <c r="O247" s="663">
        <v>24.300000000000097</v>
      </c>
      <c r="P247" s="664">
        <v>31738493.283435706</v>
      </c>
      <c r="Q247" s="665">
        <v>31738493.283435706</v>
      </c>
    </row>
    <row r="248" spans="15:17">
      <c r="O248" s="663">
        <v>24.400000000000098</v>
      </c>
      <c r="P248" s="664">
        <v>31877247.335709311</v>
      </c>
      <c r="Q248" s="665">
        <v>31877247.335709311</v>
      </c>
    </row>
    <row r="249" spans="15:17">
      <c r="O249" s="663">
        <v>24.500000000000099</v>
      </c>
      <c r="P249" s="664">
        <v>32016007.80252805</v>
      </c>
      <c r="Q249" s="665">
        <v>32016007.80252805</v>
      </c>
    </row>
    <row r="250" spans="15:17">
      <c r="O250" s="663">
        <v>24.600000000000097</v>
      </c>
      <c r="P250" s="664">
        <v>32154774.684039749</v>
      </c>
      <c r="Q250" s="665">
        <v>32154774.684039749</v>
      </c>
    </row>
    <row r="251" spans="15:17">
      <c r="O251" s="663">
        <v>24.700000000000099</v>
      </c>
      <c r="P251" s="664">
        <v>32293547.980392165</v>
      </c>
      <c r="Q251" s="665">
        <v>32293547.980392165</v>
      </c>
    </row>
    <row r="252" spans="15:17">
      <c r="O252" s="663">
        <v>24.800000000000097</v>
      </c>
      <c r="P252" s="664">
        <v>32432327.69173314</v>
      </c>
      <c r="Q252" s="665">
        <v>32432327.69173314</v>
      </c>
    </row>
    <row r="253" spans="15:17">
      <c r="O253" s="663">
        <v>24.900000000000098</v>
      </c>
      <c r="P253" s="664">
        <v>32571113.818210453</v>
      </c>
      <c r="Q253" s="665">
        <v>32571113.818210453</v>
      </c>
    </row>
    <row r="254" spans="15:17">
      <c r="O254" s="663">
        <v>25.000000000000099</v>
      </c>
      <c r="P254" s="664">
        <v>32709906.359971907</v>
      </c>
      <c r="Q254" s="665">
        <v>32709906.359971907</v>
      </c>
    </row>
    <row r="255" spans="15:17">
      <c r="O255" s="663">
        <v>25.100000000000097</v>
      </c>
      <c r="P255" s="664">
        <v>32848705.317165293</v>
      </c>
      <c r="Q255" s="665">
        <v>32848705.317165293</v>
      </c>
    </row>
    <row r="256" spans="15:17">
      <c r="O256" s="663">
        <v>25.200000000000099</v>
      </c>
      <c r="P256" s="664">
        <v>32987510.68993843</v>
      </c>
      <c r="Q256" s="665">
        <v>32987510.68993843</v>
      </c>
    </row>
    <row r="257" spans="15:17">
      <c r="O257" s="663">
        <v>25.300000000000097</v>
      </c>
      <c r="P257" s="664">
        <v>33126322.478439111</v>
      </c>
      <c r="Q257" s="665">
        <v>33126322.478439111</v>
      </c>
    </row>
    <row r="258" spans="15:17">
      <c r="O258" s="663">
        <v>25.400000000000098</v>
      </c>
      <c r="P258" s="664">
        <v>33265140.682815142</v>
      </c>
      <c r="Q258" s="665">
        <v>33265140.682815142</v>
      </c>
    </row>
    <row r="259" spans="15:17">
      <c r="O259" s="663">
        <v>25.500000000000099</v>
      </c>
      <c r="P259" s="664">
        <v>33403965.303214304</v>
      </c>
      <c r="Q259" s="665">
        <v>33403965.303214304</v>
      </c>
    </row>
    <row r="260" spans="15:17">
      <c r="O260" s="663">
        <v>25.600000000000097</v>
      </c>
      <c r="P260" s="664">
        <v>33542796.33978441</v>
      </c>
      <c r="Q260" s="665">
        <v>33542796.33978441</v>
      </c>
    </row>
    <row r="261" spans="15:17">
      <c r="O261" s="663">
        <v>25.700000000000099</v>
      </c>
      <c r="P261" s="664">
        <v>33681633.79267326</v>
      </c>
      <c r="Q261" s="665">
        <v>33681633.79267326</v>
      </c>
    </row>
    <row r="262" spans="15:17">
      <c r="O262" s="666">
        <v>25.75</v>
      </c>
      <c r="P262" s="667">
        <v>33820477.662028648</v>
      </c>
      <c r="Q262" s="668">
        <v>33820477.662028648</v>
      </c>
    </row>
  </sheetData>
  <phoneticPr fontId="1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4"/>
  <dimension ref="C4:BN352"/>
  <sheetViews>
    <sheetView topLeftCell="A43" workbookViewId="0">
      <selection activeCell="L48" sqref="L48"/>
    </sheetView>
  </sheetViews>
  <sheetFormatPr defaultRowHeight="12.75"/>
  <cols>
    <col min="4" max="4" width="23.42578125" customWidth="1"/>
    <col min="12" max="12" width="9.42578125" bestFit="1" customWidth="1"/>
    <col min="13" max="13" width="10.140625" bestFit="1" customWidth="1"/>
    <col min="14" max="15" width="9.42578125" bestFit="1" customWidth="1"/>
    <col min="18" max="18" width="10.5703125" customWidth="1"/>
    <col min="20" max="20" width="9.85546875" customWidth="1"/>
    <col min="56" max="56" width="12.42578125" customWidth="1"/>
    <col min="60" max="60" width="11.5703125" customWidth="1"/>
    <col min="64" max="64" width="12.42578125" customWidth="1"/>
  </cols>
  <sheetData>
    <row r="4" spans="3:9">
      <c r="C4">
        <v>1.5469999999999999</v>
      </c>
      <c r="D4" t="s">
        <v>325</v>
      </c>
    </row>
    <row r="5" spans="3:9">
      <c r="C5">
        <v>3.0680000000000001</v>
      </c>
      <c r="D5" t="s">
        <v>326</v>
      </c>
    </row>
    <row r="6" spans="3:9">
      <c r="C6">
        <f>1/1.983</f>
        <v>0.50428643469490664</v>
      </c>
      <c r="D6" t="s">
        <v>327</v>
      </c>
    </row>
    <row r="7" spans="3:9">
      <c r="C7">
        <f>ROUND(1/MGtoAF,3)</f>
        <v>0.32600000000000001</v>
      </c>
      <c r="D7" t="s">
        <v>328</v>
      </c>
    </row>
    <row r="8" spans="3:9" ht="51" customHeight="1">
      <c r="C8">
        <f>ROUND(1/MGDtoCFS,4)</f>
        <v>0.64639999999999997</v>
      </c>
      <c r="D8" t="s">
        <v>329</v>
      </c>
      <c r="E8">
        <f>423-113-300</f>
        <v>10</v>
      </c>
      <c r="F8">
        <f>CFStoMGD*E8</f>
        <v>6.4639999999999995</v>
      </c>
      <c r="H8">
        <v>100</v>
      </c>
      <c r="I8">
        <f>CFStoMGD*H8</f>
        <v>64.64</v>
      </c>
    </row>
    <row r="9" spans="3:9" ht="51" customHeight="1">
      <c r="C9">
        <f>1440/1000000</f>
        <v>1.4400000000000001E-3</v>
      </c>
      <c r="D9" t="s">
        <v>356</v>
      </c>
    </row>
    <row r="10" spans="3:9" ht="51" customHeight="1"/>
    <row r="11" spans="3:9" ht="51" customHeight="1"/>
    <row r="12" spans="3:9" ht="51" customHeight="1"/>
    <row r="13" spans="3:9" ht="51" customHeight="1"/>
    <row r="14" spans="3:9" ht="51" customHeight="1"/>
    <row r="15" spans="3:9" ht="51" customHeight="1"/>
    <row r="16" spans="3:9" ht="51" customHeight="1"/>
    <row r="17" ht="51" customHeight="1"/>
    <row r="18" ht="51" customHeight="1"/>
    <row r="19" ht="51" customHeight="1"/>
    <row r="20" ht="51" customHeight="1"/>
    <row r="21" ht="51" customHeight="1"/>
    <row r="22" ht="51" customHeight="1"/>
    <row r="23" ht="51" customHeight="1"/>
    <row r="24" ht="51" customHeight="1"/>
    <row r="25" ht="51" customHeight="1"/>
    <row r="26" ht="51" customHeight="1"/>
    <row r="27" ht="51" customHeight="1"/>
    <row r="28" ht="51" customHeight="1"/>
    <row r="29" ht="51" customHeight="1"/>
    <row r="30" ht="51" customHeight="1"/>
    <row r="31" ht="51" customHeight="1"/>
    <row r="32" ht="51" customHeight="1"/>
    <row r="33" spans="13:13" ht="51" customHeight="1"/>
    <row r="34" spans="13:13" ht="51" customHeight="1"/>
    <row r="35" spans="13:13" ht="51" customHeight="1"/>
    <row r="36" spans="13:13" ht="51" customHeight="1"/>
    <row r="37" spans="13:13" ht="51" customHeight="1"/>
    <row r="38" spans="13:13" ht="51" customHeight="1"/>
    <row r="39" spans="13:13" ht="51" customHeight="1"/>
    <row r="40" spans="13:13" ht="51" customHeight="1"/>
    <row r="41" spans="13:13" ht="51" customHeight="1"/>
    <row r="42" spans="13:13" ht="51" customHeight="1"/>
    <row r="43" spans="13:13" ht="51" customHeight="1"/>
    <row r="44" spans="13:13" ht="51" customHeight="1"/>
    <row r="45" spans="13:13" ht="51" customHeight="1"/>
    <row r="46" spans="13:13" ht="51" customHeight="1"/>
    <row r="47" spans="13:13" ht="51" customHeight="1">
      <c r="M47" s="1081">
        <v>2014</v>
      </c>
    </row>
    <row r="48" spans="13:13" ht="51" customHeight="1"/>
    <row r="49" spans="12:66" ht="51" customHeight="1"/>
    <row r="50" spans="12:66" ht="51" customHeight="1">
      <c r="L50" s="105" t="s">
        <v>342</v>
      </c>
      <c r="M50" s="105"/>
      <c r="N50" s="105"/>
      <c r="O50" s="105"/>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c r="L51" s="105">
        <f>VLOOKUP(M47,R51:BN78,2)</f>
        <v>41640</v>
      </c>
      <c r="M51" s="105">
        <f>VLOOKUP(M47,R51:BN78,3)</f>
        <v>41670</v>
      </c>
      <c r="N51" s="105">
        <f>VLOOKUP(M47,R51:BN78,4)</f>
        <v>41641</v>
      </c>
      <c r="O51" s="105">
        <f>VLOOKUP(M47,R51:BN78,5)</f>
        <v>41671</v>
      </c>
      <c r="R51">
        <v>2008</v>
      </c>
      <c r="S51" s="105">
        <v>39448</v>
      </c>
      <c r="T51" s="105">
        <v>39478</v>
      </c>
      <c r="U51" s="105">
        <v>39449</v>
      </c>
      <c r="V51" s="105">
        <v>39479</v>
      </c>
      <c r="W51" s="105">
        <v>39479</v>
      </c>
      <c r="X51" s="105">
        <v>39507</v>
      </c>
      <c r="Y51" s="105">
        <v>39480</v>
      </c>
      <c r="Z51" s="105">
        <v>39508</v>
      </c>
      <c r="AA51" s="105">
        <v>39508</v>
      </c>
      <c r="AB51" s="105">
        <v>39538</v>
      </c>
      <c r="AC51" s="105">
        <v>39509</v>
      </c>
      <c r="AD51" s="105">
        <v>39539</v>
      </c>
      <c r="AE51" s="105">
        <v>39539</v>
      </c>
      <c r="AF51" s="105">
        <v>39568</v>
      </c>
      <c r="AG51" s="105">
        <v>39540</v>
      </c>
      <c r="AH51" s="105">
        <v>39569</v>
      </c>
      <c r="AI51" s="105">
        <v>39569</v>
      </c>
      <c r="AJ51" s="105">
        <v>39599</v>
      </c>
      <c r="AK51" s="105">
        <v>39570</v>
      </c>
      <c r="AL51" s="105">
        <v>39600</v>
      </c>
      <c r="AM51" s="105">
        <v>39600</v>
      </c>
      <c r="AN51" s="105">
        <v>39629</v>
      </c>
      <c r="AO51" s="105">
        <v>39601</v>
      </c>
      <c r="AP51" s="105">
        <v>39630</v>
      </c>
      <c r="AQ51" s="105">
        <v>39630</v>
      </c>
      <c r="AR51" s="105">
        <v>39660</v>
      </c>
      <c r="AS51" s="105">
        <v>39631</v>
      </c>
      <c r="AT51" s="105">
        <v>39661</v>
      </c>
      <c r="AU51" s="105">
        <v>39661</v>
      </c>
      <c r="AV51" s="105">
        <v>39691</v>
      </c>
      <c r="AW51" s="105">
        <v>39662</v>
      </c>
      <c r="AX51" s="105">
        <v>39692</v>
      </c>
      <c r="AY51" s="105">
        <v>39692</v>
      </c>
      <c r="AZ51" s="105">
        <v>39721</v>
      </c>
      <c r="BA51" s="105">
        <v>39693</v>
      </c>
      <c r="BB51" s="105">
        <v>39722</v>
      </c>
      <c r="BC51" s="105">
        <v>39722</v>
      </c>
      <c r="BD51" s="105">
        <v>39752</v>
      </c>
      <c r="BE51" s="105">
        <v>39723</v>
      </c>
      <c r="BF51" s="105">
        <v>39753</v>
      </c>
      <c r="BG51" s="105">
        <v>39753</v>
      </c>
      <c r="BH51" s="105">
        <v>39782</v>
      </c>
      <c r="BI51" s="105">
        <v>39754</v>
      </c>
      <c r="BJ51" s="105">
        <v>39783</v>
      </c>
      <c r="BK51" s="105">
        <v>39783</v>
      </c>
      <c r="BL51" s="105">
        <v>39813</v>
      </c>
      <c r="BM51" s="105">
        <v>39784</v>
      </c>
      <c r="BN51" s="105">
        <v>39814</v>
      </c>
    </row>
    <row r="52" spans="12:66" ht="51" customHeight="1">
      <c r="L52" s="105">
        <f>VLOOKUP(M47,R51:BN78,6)</f>
        <v>41671</v>
      </c>
      <c r="M52" s="105">
        <f>VLOOKUP(M47,R51:BN78,7)</f>
        <v>41698</v>
      </c>
      <c r="N52" s="105">
        <f>VLOOKUP(M47,R51:BN78,8)</f>
        <v>41672</v>
      </c>
      <c r="O52" s="105">
        <f>VLOOKUP(M47,R51:BN78,9)</f>
        <v>41699</v>
      </c>
      <c r="R52">
        <v>2009</v>
      </c>
      <c r="S52" s="105">
        <v>39814</v>
      </c>
      <c r="T52" s="105">
        <v>39844</v>
      </c>
      <c r="U52" s="105">
        <v>39815</v>
      </c>
      <c r="V52" s="105">
        <v>39845</v>
      </c>
      <c r="W52" s="105">
        <v>39845</v>
      </c>
      <c r="X52" s="105">
        <v>39872</v>
      </c>
      <c r="Y52" s="105">
        <v>39846</v>
      </c>
      <c r="Z52" s="105">
        <v>39873</v>
      </c>
      <c r="AA52" s="105">
        <v>39873</v>
      </c>
      <c r="AB52" s="105">
        <v>39903</v>
      </c>
      <c r="AC52" s="105">
        <v>39874</v>
      </c>
      <c r="AD52" s="105">
        <v>39904</v>
      </c>
      <c r="AE52" s="105">
        <v>39904</v>
      </c>
      <c r="AF52" s="105">
        <v>39933</v>
      </c>
      <c r="AG52" s="105">
        <v>39905</v>
      </c>
      <c r="AH52" s="105">
        <v>39934</v>
      </c>
      <c r="AI52" s="105">
        <v>39934</v>
      </c>
      <c r="AJ52" s="105">
        <v>39964</v>
      </c>
      <c r="AK52" s="105">
        <v>39935</v>
      </c>
      <c r="AL52" s="105">
        <v>39965</v>
      </c>
      <c r="AM52" s="105">
        <v>39965</v>
      </c>
      <c r="AN52" s="105">
        <v>39994</v>
      </c>
      <c r="AO52" s="105">
        <v>39966</v>
      </c>
      <c r="AP52" s="105">
        <v>39995</v>
      </c>
      <c r="AQ52" s="105">
        <v>39995</v>
      </c>
      <c r="AR52" s="105">
        <v>40025</v>
      </c>
      <c r="AS52" s="105">
        <v>39996</v>
      </c>
      <c r="AT52" s="105">
        <v>40026</v>
      </c>
      <c r="AU52" s="105">
        <v>40026</v>
      </c>
      <c r="AV52" s="105">
        <v>40056</v>
      </c>
      <c r="AW52" s="105">
        <v>40027</v>
      </c>
      <c r="AX52" s="105">
        <v>40057</v>
      </c>
      <c r="AY52" s="105">
        <v>40057</v>
      </c>
      <c r="AZ52" s="105">
        <v>40086</v>
      </c>
      <c r="BA52" s="105">
        <v>40058</v>
      </c>
      <c r="BB52" s="105">
        <v>40087</v>
      </c>
      <c r="BC52" s="105">
        <v>40087</v>
      </c>
      <c r="BD52" s="105">
        <v>40117</v>
      </c>
      <c r="BE52" s="105">
        <v>40088</v>
      </c>
      <c r="BF52" s="105">
        <v>40118</v>
      </c>
      <c r="BG52" s="105">
        <v>40118</v>
      </c>
      <c r="BH52" s="105">
        <v>40147</v>
      </c>
      <c r="BI52" s="105">
        <v>40119</v>
      </c>
      <c r="BJ52" s="105">
        <v>40148</v>
      </c>
      <c r="BK52" s="105">
        <v>40148</v>
      </c>
      <c r="BL52" s="105">
        <v>40178</v>
      </c>
      <c r="BM52" s="105">
        <v>40149</v>
      </c>
      <c r="BN52" s="105">
        <v>40179</v>
      </c>
    </row>
    <row r="53" spans="12:66" ht="51" customHeight="1">
      <c r="L53" s="105">
        <f>VLOOKUP(M47,R51:BN78,10)</f>
        <v>41699</v>
      </c>
      <c r="M53" s="105">
        <f>VLOOKUP(M47,R51:BN78,11)</f>
        <v>41729</v>
      </c>
      <c r="N53" s="105">
        <f>VLOOKUP(M47,R51:BN78,12)</f>
        <v>41700</v>
      </c>
      <c r="O53" s="105">
        <f>VLOOKUP(M47,R51:BN78,13)</f>
        <v>41730</v>
      </c>
      <c r="R53">
        <v>2010</v>
      </c>
      <c r="S53" s="105">
        <v>40179</v>
      </c>
      <c r="T53" s="105">
        <v>40209</v>
      </c>
      <c r="U53" s="105">
        <v>40180</v>
      </c>
      <c r="V53" s="105">
        <v>40210</v>
      </c>
      <c r="W53" s="105">
        <v>40210</v>
      </c>
      <c r="X53" s="105">
        <v>40237</v>
      </c>
      <c r="Y53" s="105">
        <v>40211</v>
      </c>
      <c r="Z53" s="105">
        <v>40238</v>
      </c>
      <c r="AA53" s="105">
        <v>40238</v>
      </c>
      <c r="AB53" s="105">
        <v>40268</v>
      </c>
      <c r="AC53" s="105">
        <v>40239</v>
      </c>
      <c r="AD53" s="105">
        <v>40269</v>
      </c>
      <c r="AE53" s="105">
        <v>40269</v>
      </c>
      <c r="AF53" s="105">
        <v>40298</v>
      </c>
      <c r="AG53" s="105">
        <v>40270</v>
      </c>
      <c r="AH53" s="105">
        <v>40299</v>
      </c>
      <c r="AI53" s="105">
        <v>40299</v>
      </c>
      <c r="AJ53" s="105">
        <v>40329</v>
      </c>
      <c r="AK53" s="105">
        <v>40300</v>
      </c>
      <c r="AL53" s="105">
        <v>40330</v>
      </c>
      <c r="AM53" s="105">
        <v>40330</v>
      </c>
      <c r="AN53" s="105">
        <v>40359</v>
      </c>
      <c r="AO53" s="105">
        <v>40331</v>
      </c>
      <c r="AP53" s="105">
        <v>40360</v>
      </c>
      <c r="AQ53" s="105">
        <v>40360</v>
      </c>
      <c r="AR53" s="105">
        <v>40390</v>
      </c>
      <c r="AS53" s="105">
        <v>40361</v>
      </c>
      <c r="AT53" s="105">
        <v>40391</v>
      </c>
      <c r="AU53" s="105">
        <v>40391</v>
      </c>
      <c r="AV53" s="105">
        <v>40421</v>
      </c>
      <c r="AW53" s="105">
        <v>40392</v>
      </c>
      <c r="AX53" s="105">
        <v>40422</v>
      </c>
      <c r="AY53" s="105">
        <v>40422</v>
      </c>
      <c r="AZ53" s="105">
        <v>40451</v>
      </c>
      <c r="BA53" s="105">
        <v>40423</v>
      </c>
      <c r="BB53" s="105">
        <v>40452</v>
      </c>
      <c r="BC53" s="105">
        <v>40452</v>
      </c>
      <c r="BD53" s="105">
        <v>40482</v>
      </c>
      <c r="BE53" s="105">
        <v>40453</v>
      </c>
      <c r="BF53" s="105">
        <v>40483</v>
      </c>
      <c r="BG53" s="105">
        <v>40483</v>
      </c>
      <c r="BH53" s="105">
        <v>40512</v>
      </c>
      <c r="BI53" s="105">
        <v>40484</v>
      </c>
      <c r="BJ53" s="105">
        <v>40513</v>
      </c>
      <c r="BK53" s="105">
        <v>40513</v>
      </c>
      <c r="BL53" s="105">
        <v>40543</v>
      </c>
      <c r="BM53" s="105">
        <v>40514</v>
      </c>
      <c r="BN53" s="105">
        <v>40544</v>
      </c>
    </row>
    <row r="54" spans="12:66" ht="51" customHeight="1">
      <c r="L54" s="105">
        <f>VLOOKUP(M47,R51:BN78,14)</f>
        <v>41730</v>
      </c>
      <c r="M54" s="105">
        <f>VLOOKUP(M47,R51:BN78,15)</f>
        <v>41759</v>
      </c>
      <c r="N54" s="105">
        <f>VLOOKUP(M47,R51:BN78,16)</f>
        <v>41731</v>
      </c>
      <c r="O54" s="105">
        <f>VLOOKUP(M47,R51:BN78,17)</f>
        <v>41760</v>
      </c>
      <c r="R54">
        <v>2011</v>
      </c>
      <c r="S54" s="105">
        <v>40544</v>
      </c>
      <c r="T54" s="105">
        <v>40574</v>
      </c>
      <c r="U54" s="105">
        <v>40545</v>
      </c>
      <c r="V54" s="105">
        <v>40575</v>
      </c>
      <c r="W54" s="105">
        <v>40575</v>
      </c>
      <c r="X54" s="105">
        <v>40602</v>
      </c>
      <c r="Y54" s="105">
        <v>40576</v>
      </c>
      <c r="Z54" s="105">
        <v>40603</v>
      </c>
      <c r="AA54" s="105">
        <v>40603</v>
      </c>
      <c r="AB54" s="105">
        <v>40633</v>
      </c>
      <c r="AC54" s="105">
        <v>40604</v>
      </c>
      <c r="AD54" s="105">
        <v>40634</v>
      </c>
      <c r="AE54" s="105">
        <v>40634</v>
      </c>
      <c r="AF54" s="105">
        <v>40663</v>
      </c>
      <c r="AG54" s="105">
        <v>40635</v>
      </c>
      <c r="AH54" s="105">
        <v>40664</v>
      </c>
      <c r="AI54" s="105">
        <v>40664</v>
      </c>
      <c r="AJ54" s="105">
        <v>40694</v>
      </c>
      <c r="AK54" s="105">
        <v>40665</v>
      </c>
      <c r="AL54" s="105">
        <v>40695</v>
      </c>
      <c r="AM54" s="105">
        <v>40695</v>
      </c>
      <c r="AN54" s="105">
        <v>40724</v>
      </c>
      <c r="AO54" s="105">
        <v>40696</v>
      </c>
      <c r="AP54" s="105">
        <v>40725</v>
      </c>
      <c r="AQ54" s="105">
        <v>40725</v>
      </c>
      <c r="AR54" s="105">
        <v>40755</v>
      </c>
      <c r="AS54" s="105">
        <v>40726</v>
      </c>
      <c r="AT54" s="105">
        <v>40756</v>
      </c>
      <c r="AU54" s="105">
        <v>40756</v>
      </c>
      <c r="AV54" s="105">
        <v>40786</v>
      </c>
      <c r="AW54" s="105">
        <v>40757</v>
      </c>
      <c r="AX54" s="105">
        <v>40787</v>
      </c>
      <c r="AY54" s="105">
        <v>40787</v>
      </c>
      <c r="AZ54" s="105">
        <v>40816</v>
      </c>
      <c r="BA54" s="105">
        <v>40788</v>
      </c>
      <c r="BB54" s="105">
        <v>40817</v>
      </c>
      <c r="BC54" s="105">
        <v>40817</v>
      </c>
      <c r="BD54" s="105">
        <v>40847</v>
      </c>
      <c r="BE54" s="105">
        <v>40818</v>
      </c>
      <c r="BF54" s="105">
        <v>40848</v>
      </c>
      <c r="BG54" s="105">
        <v>40848</v>
      </c>
      <c r="BH54" s="105">
        <v>40877</v>
      </c>
      <c r="BI54" s="105">
        <v>40849</v>
      </c>
      <c r="BJ54" s="105">
        <v>40878</v>
      </c>
      <c r="BK54" s="105">
        <v>40878</v>
      </c>
      <c r="BL54" s="105">
        <v>40908</v>
      </c>
      <c r="BM54" s="105">
        <v>40879</v>
      </c>
      <c r="BN54" s="105">
        <v>40909</v>
      </c>
    </row>
    <row r="55" spans="12:66" ht="51" customHeight="1">
      <c r="L55" s="105">
        <f>VLOOKUP(M47,R51:BN78,18)</f>
        <v>41760</v>
      </c>
      <c r="M55" s="105">
        <f>VLOOKUP(M47,R51:BN78,19)</f>
        <v>41790</v>
      </c>
      <c r="N55" s="105">
        <f>VLOOKUP(M47,R51:BN78,20)</f>
        <v>41761</v>
      </c>
      <c r="O55" s="105">
        <f>VLOOKUP(M47,R51:BN78,21)</f>
        <v>41791</v>
      </c>
      <c r="R55">
        <v>2012</v>
      </c>
      <c r="S55" s="105">
        <v>40909</v>
      </c>
      <c r="T55" s="105">
        <v>40939</v>
      </c>
      <c r="U55" s="105">
        <v>40910</v>
      </c>
      <c r="V55" s="105">
        <v>40940</v>
      </c>
      <c r="W55" s="105">
        <v>40940</v>
      </c>
      <c r="X55" s="105">
        <v>40968</v>
      </c>
      <c r="Y55" s="105">
        <v>40941</v>
      </c>
      <c r="Z55" s="105">
        <v>40969</v>
      </c>
      <c r="AA55" s="105">
        <v>40969</v>
      </c>
      <c r="AB55" s="105">
        <v>40999</v>
      </c>
      <c r="AC55" s="105">
        <v>40970</v>
      </c>
      <c r="AD55" s="105">
        <v>41000</v>
      </c>
      <c r="AE55" s="105">
        <v>41000</v>
      </c>
      <c r="AF55" s="105">
        <v>41029</v>
      </c>
      <c r="AG55" s="105">
        <v>41001</v>
      </c>
      <c r="AH55" s="105">
        <v>41030</v>
      </c>
      <c r="AI55" s="105">
        <v>41030</v>
      </c>
      <c r="AJ55" s="105">
        <v>41060</v>
      </c>
      <c r="AK55" s="105">
        <v>41031</v>
      </c>
      <c r="AL55" s="105">
        <v>41061</v>
      </c>
      <c r="AM55" s="105">
        <v>41061</v>
      </c>
      <c r="AN55" s="105">
        <v>41090</v>
      </c>
      <c r="AO55" s="105">
        <v>41062</v>
      </c>
      <c r="AP55" s="105">
        <v>41091</v>
      </c>
      <c r="AQ55" s="105">
        <v>41091</v>
      </c>
      <c r="AR55" s="105">
        <v>41121</v>
      </c>
      <c r="AS55" s="105">
        <v>41092</v>
      </c>
      <c r="AT55" s="105">
        <v>41122</v>
      </c>
      <c r="AU55" s="105">
        <v>41122</v>
      </c>
      <c r="AV55" s="105">
        <v>41152</v>
      </c>
      <c r="AW55" s="105">
        <v>41123</v>
      </c>
      <c r="AX55" s="105">
        <v>41153</v>
      </c>
      <c r="AY55" s="105">
        <v>41153</v>
      </c>
      <c r="AZ55" s="105">
        <v>41182</v>
      </c>
      <c r="BA55" s="105">
        <v>41154</v>
      </c>
      <c r="BB55" s="105">
        <v>41183</v>
      </c>
      <c r="BC55" s="105">
        <v>41183</v>
      </c>
      <c r="BD55" s="105">
        <v>41213</v>
      </c>
      <c r="BE55" s="105">
        <v>41184</v>
      </c>
      <c r="BF55" s="105">
        <v>41214</v>
      </c>
      <c r="BG55" s="105">
        <v>41214</v>
      </c>
      <c r="BH55" s="105">
        <v>41243</v>
      </c>
      <c r="BI55" s="105">
        <v>41215</v>
      </c>
      <c r="BJ55" s="105">
        <v>41244</v>
      </c>
      <c r="BK55" s="105">
        <v>41244</v>
      </c>
      <c r="BL55" s="105">
        <v>41274</v>
      </c>
      <c r="BM55" s="105">
        <v>41245</v>
      </c>
      <c r="BN55" s="105">
        <v>41275</v>
      </c>
    </row>
    <row r="56" spans="12:66" ht="51" customHeight="1">
      <c r="L56" s="105">
        <f>VLOOKUP(M47,R51:BN78,22)</f>
        <v>41791</v>
      </c>
      <c r="M56" s="105">
        <f>VLOOKUP(M47,R51:BN78,23)</f>
        <v>41820</v>
      </c>
      <c r="N56" s="105">
        <f>VLOOKUP(M47,R51:BN78,24)</f>
        <v>41792</v>
      </c>
      <c r="O56" s="105">
        <f>VLOOKUP(M47,R51:BN78,25)</f>
        <v>41821</v>
      </c>
      <c r="R56">
        <v>2013</v>
      </c>
      <c r="S56" s="105">
        <v>41275</v>
      </c>
      <c r="T56" s="105">
        <v>41305</v>
      </c>
      <c r="U56" s="105">
        <v>41276</v>
      </c>
      <c r="V56" s="105">
        <v>41306</v>
      </c>
      <c r="W56" s="105">
        <v>41306</v>
      </c>
      <c r="X56" s="105">
        <v>41333</v>
      </c>
      <c r="Y56" s="105">
        <v>41307</v>
      </c>
      <c r="Z56" s="105">
        <v>41334</v>
      </c>
      <c r="AA56" s="105">
        <v>41334</v>
      </c>
      <c r="AB56" s="105">
        <v>41364</v>
      </c>
      <c r="AC56" s="105">
        <v>41335</v>
      </c>
      <c r="AD56" s="105">
        <v>41365</v>
      </c>
      <c r="AE56" s="105">
        <v>41365</v>
      </c>
      <c r="AF56" s="105">
        <v>41394</v>
      </c>
      <c r="AG56" s="105">
        <v>41366</v>
      </c>
      <c r="AH56" s="105">
        <v>41395</v>
      </c>
      <c r="AI56" s="105">
        <v>41395</v>
      </c>
      <c r="AJ56" s="105">
        <v>41425</v>
      </c>
      <c r="AK56" s="105">
        <v>41396</v>
      </c>
      <c r="AL56" s="105">
        <v>41426</v>
      </c>
      <c r="AM56" s="105">
        <v>41426</v>
      </c>
      <c r="AN56" s="105">
        <v>41455</v>
      </c>
      <c r="AO56" s="105">
        <v>41427</v>
      </c>
      <c r="AP56" s="105">
        <v>41456</v>
      </c>
      <c r="AQ56" s="105">
        <v>41456</v>
      </c>
      <c r="AR56" s="105">
        <v>41486</v>
      </c>
      <c r="AS56" s="105">
        <v>41457</v>
      </c>
      <c r="AT56" s="105">
        <v>41487</v>
      </c>
      <c r="AU56" s="105">
        <v>41487</v>
      </c>
      <c r="AV56" s="105">
        <v>41517</v>
      </c>
      <c r="AW56" s="105">
        <v>41488</v>
      </c>
      <c r="AX56" s="105">
        <v>41518</v>
      </c>
      <c r="AY56" s="105">
        <v>41518</v>
      </c>
      <c r="AZ56" s="105">
        <v>41547</v>
      </c>
      <c r="BA56" s="105">
        <v>41519</v>
      </c>
      <c r="BB56" s="105">
        <v>41548</v>
      </c>
      <c r="BC56" s="105">
        <v>41548</v>
      </c>
      <c r="BD56" s="105">
        <v>41578</v>
      </c>
      <c r="BE56" s="105">
        <v>41549</v>
      </c>
      <c r="BF56" s="105">
        <v>41579</v>
      </c>
      <c r="BG56" s="105">
        <v>41579</v>
      </c>
      <c r="BH56" s="105">
        <v>41608</v>
      </c>
      <c r="BI56" s="105">
        <v>41580</v>
      </c>
      <c r="BJ56" s="105">
        <v>41609</v>
      </c>
      <c r="BK56" s="105">
        <v>41609</v>
      </c>
      <c r="BL56" s="105">
        <v>41639</v>
      </c>
      <c r="BM56" s="105">
        <v>41610</v>
      </c>
      <c r="BN56" s="105">
        <v>41640</v>
      </c>
    </row>
    <row r="57" spans="12:66" ht="51" customHeight="1">
      <c r="L57" s="105">
        <f>VLOOKUP(M47,R51:BN78,26)</f>
        <v>41821</v>
      </c>
      <c r="M57" s="105">
        <f>VLOOKUP(M47,R51:BN78,27)</f>
        <v>41851</v>
      </c>
      <c r="N57" s="105">
        <f>VLOOKUP(M47,R51:BN78,28)</f>
        <v>41822</v>
      </c>
      <c r="O57" s="105">
        <f>VLOOKUP(M47,R51:BN78,29)</f>
        <v>41852</v>
      </c>
      <c r="R57">
        <v>2014</v>
      </c>
      <c r="S57" s="105">
        <v>41640</v>
      </c>
      <c r="T57" s="105">
        <v>41670</v>
      </c>
      <c r="U57" s="105">
        <v>41641</v>
      </c>
      <c r="V57" s="105">
        <v>41671</v>
      </c>
      <c r="W57" s="105">
        <v>41671</v>
      </c>
      <c r="X57" s="105">
        <v>41698</v>
      </c>
      <c r="Y57" s="105">
        <v>41672</v>
      </c>
      <c r="Z57" s="105">
        <v>41699</v>
      </c>
      <c r="AA57" s="105">
        <v>41699</v>
      </c>
      <c r="AB57" s="105">
        <v>41729</v>
      </c>
      <c r="AC57" s="105">
        <v>41700</v>
      </c>
      <c r="AD57" s="105">
        <v>41730</v>
      </c>
      <c r="AE57" s="105">
        <v>41730</v>
      </c>
      <c r="AF57" s="105">
        <v>41759</v>
      </c>
      <c r="AG57" s="105">
        <v>41731</v>
      </c>
      <c r="AH57" s="105">
        <v>41760</v>
      </c>
      <c r="AI57" s="105">
        <v>41760</v>
      </c>
      <c r="AJ57" s="105">
        <v>41790</v>
      </c>
      <c r="AK57" s="105">
        <v>41761</v>
      </c>
      <c r="AL57" s="105">
        <v>41791</v>
      </c>
      <c r="AM57" s="105">
        <v>41791</v>
      </c>
      <c r="AN57" s="105">
        <v>41820</v>
      </c>
      <c r="AO57" s="105">
        <v>41792</v>
      </c>
      <c r="AP57" s="105">
        <v>41821</v>
      </c>
      <c r="AQ57" s="105">
        <v>41821</v>
      </c>
      <c r="AR57" s="105">
        <v>41851</v>
      </c>
      <c r="AS57" s="105">
        <v>41822</v>
      </c>
      <c r="AT57" s="105">
        <v>41852</v>
      </c>
      <c r="AU57" s="105">
        <v>41852</v>
      </c>
      <c r="AV57" s="105">
        <v>41882</v>
      </c>
      <c r="AW57" s="105">
        <v>41853</v>
      </c>
      <c r="AX57" s="105">
        <v>41883</v>
      </c>
      <c r="AY57" s="105">
        <v>41883</v>
      </c>
      <c r="AZ57" s="105">
        <v>41912</v>
      </c>
      <c r="BA57" s="105">
        <v>41884</v>
      </c>
      <c r="BB57" s="105">
        <v>41913</v>
      </c>
      <c r="BC57" s="105">
        <v>41913</v>
      </c>
      <c r="BD57" s="105">
        <v>41943</v>
      </c>
      <c r="BE57" s="105">
        <v>41914</v>
      </c>
      <c r="BF57" s="105">
        <v>41944</v>
      </c>
      <c r="BG57" s="105">
        <v>41944</v>
      </c>
      <c r="BH57" s="105">
        <v>41973</v>
      </c>
      <c r="BI57" s="105">
        <v>41945</v>
      </c>
      <c r="BJ57" s="105">
        <v>41974</v>
      </c>
      <c r="BK57" s="105">
        <v>41974</v>
      </c>
      <c r="BL57" s="105">
        <v>42004</v>
      </c>
      <c r="BM57" s="105">
        <v>41975</v>
      </c>
      <c r="BN57" s="105">
        <v>42005</v>
      </c>
    </row>
    <row r="58" spans="12:66" ht="51" customHeight="1">
      <c r="L58" s="105">
        <f>VLOOKUP(M47,R51:BN78,30)</f>
        <v>41852</v>
      </c>
      <c r="M58" s="105">
        <f>VLOOKUP(M47,R51:BN78,31)</f>
        <v>41882</v>
      </c>
      <c r="N58" s="105">
        <f>VLOOKUP(M47,R51:BN78,32)</f>
        <v>41853</v>
      </c>
      <c r="O58" s="105">
        <f>VLOOKUP(M47,R51:BN78,33)</f>
        <v>41883</v>
      </c>
      <c r="R58">
        <v>2015</v>
      </c>
      <c r="S58" s="105">
        <v>42005</v>
      </c>
      <c r="T58" s="105">
        <v>42035</v>
      </c>
      <c r="U58" s="105">
        <v>42006</v>
      </c>
      <c r="V58" s="105">
        <v>42036</v>
      </c>
      <c r="W58" s="105">
        <v>42036</v>
      </c>
      <c r="X58" s="105">
        <v>42063</v>
      </c>
      <c r="Y58" s="105">
        <v>42037</v>
      </c>
      <c r="Z58" s="105">
        <v>42064</v>
      </c>
      <c r="AA58" s="105">
        <v>42064</v>
      </c>
      <c r="AB58" s="105">
        <v>42094</v>
      </c>
      <c r="AC58" s="105">
        <v>42065</v>
      </c>
      <c r="AD58" s="105">
        <v>42095</v>
      </c>
      <c r="AE58" s="105">
        <v>42095</v>
      </c>
      <c r="AF58" s="105">
        <v>42124</v>
      </c>
      <c r="AG58" s="105">
        <v>42096</v>
      </c>
      <c r="AH58" s="105">
        <v>42125</v>
      </c>
      <c r="AI58" s="105">
        <v>42125</v>
      </c>
      <c r="AJ58" s="105">
        <v>42155</v>
      </c>
      <c r="AK58" s="105">
        <v>42126</v>
      </c>
      <c r="AL58" s="105">
        <v>42156</v>
      </c>
      <c r="AM58" s="105">
        <v>42156</v>
      </c>
      <c r="AN58" s="105">
        <v>42185</v>
      </c>
      <c r="AO58" s="105">
        <v>42157</v>
      </c>
      <c r="AP58" s="105">
        <v>42186</v>
      </c>
      <c r="AQ58" s="105">
        <v>42186</v>
      </c>
      <c r="AR58" s="105">
        <v>42216</v>
      </c>
      <c r="AS58" s="105">
        <v>42187</v>
      </c>
      <c r="AT58" s="105">
        <v>42217</v>
      </c>
      <c r="AU58" s="105">
        <v>42217</v>
      </c>
      <c r="AV58" s="105">
        <v>42247</v>
      </c>
      <c r="AW58" s="105">
        <v>42218</v>
      </c>
      <c r="AX58" s="105">
        <v>42248</v>
      </c>
      <c r="AY58" s="105">
        <v>42248</v>
      </c>
      <c r="AZ58" s="105">
        <v>42277</v>
      </c>
      <c r="BA58" s="105">
        <v>42249</v>
      </c>
      <c r="BB58" s="105">
        <v>42278</v>
      </c>
      <c r="BC58" s="105">
        <v>42278</v>
      </c>
      <c r="BD58" s="105">
        <v>42308</v>
      </c>
      <c r="BE58" s="105">
        <v>42279</v>
      </c>
      <c r="BF58" s="105">
        <v>42309</v>
      </c>
      <c r="BG58" s="105">
        <v>42309</v>
      </c>
      <c r="BH58" s="105">
        <v>42338</v>
      </c>
      <c r="BI58" s="105">
        <v>42310</v>
      </c>
      <c r="BJ58" s="105">
        <v>42339</v>
      </c>
      <c r="BK58" s="105">
        <v>42339</v>
      </c>
      <c r="BL58" s="105">
        <v>42369</v>
      </c>
      <c r="BM58" s="105">
        <v>42340</v>
      </c>
      <c r="BN58" s="105">
        <v>42370</v>
      </c>
    </row>
    <row r="59" spans="12:66" ht="51" customHeight="1">
      <c r="L59" s="105">
        <f>VLOOKUP(M47,R51:BN78,34)</f>
        <v>41883</v>
      </c>
      <c r="M59" s="105">
        <f>VLOOKUP(M47,R52:BN79,35)</f>
        <v>41912</v>
      </c>
      <c r="N59" s="105">
        <f>VLOOKUP(M47,R52:BN79,36)</f>
        <v>41884</v>
      </c>
      <c r="O59" s="105">
        <f>VLOOKUP(M47,R52:BN79,37)</f>
        <v>41913</v>
      </c>
      <c r="R59">
        <v>2016</v>
      </c>
      <c r="S59" s="105">
        <v>42370</v>
      </c>
      <c r="T59" s="105">
        <v>42400</v>
      </c>
      <c r="U59" s="105">
        <v>42371</v>
      </c>
      <c r="V59" s="105">
        <v>42401</v>
      </c>
      <c r="W59" s="105">
        <v>42401</v>
      </c>
      <c r="X59" s="105">
        <v>42429</v>
      </c>
      <c r="Y59" s="105">
        <v>42402</v>
      </c>
      <c r="Z59" s="105">
        <v>42430</v>
      </c>
      <c r="AA59" s="105">
        <v>42430</v>
      </c>
      <c r="AB59" s="105">
        <v>42460</v>
      </c>
      <c r="AC59" s="105">
        <v>42431</v>
      </c>
      <c r="AD59" s="105">
        <v>42461</v>
      </c>
      <c r="AE59" s="105">
        <v>42461</v>
      </c>
      <c r="AF59" s="105">
        <v>42490</v>
      </c>
      <c r="AG59" s="105">
        <v>42462</v>
      </c>
      <c r="AH59" s="105">
        <v>42491</v>
      </c>
      <c r="AI59" s="105">
        <v>42491</v>
      </c>
      <c r="AJ59" s="105">
        <v>42521</v>
      </c>
      <c r="AK59" s="105">
        <v>42492</v>
      </c>
      <c r="AL59" s="105">
        <v>42522</v>
      </c>
      <c r="AM59" s="105">
        <v>42522</v>
      </c>
      <c r="AN59" s="105">
        <v>42551</v>
      </c>
      <c r="AO59" s="105">
        <v>42523</v>
      </c>
      <c r="AP59" s="105">
        <v>42552</v>
      </c>
      <c r="AQ59" s="105">
        <v>42552</v>
      </c>
      <c r="AR59" s="105">
        <v>42582</v>
      </c>
      <c r="AS59" s="105">
        <v>42553</v>
      </c>
      <c r="AT59" s="105">
        <v>42583</v>
      </c>
      <c r="AU59" s="105">
        <v>42583</v>
      </c>
      <c r="AV59" s="105">
        <v>42613</v>
      </c>
      <c r="AW59" s="105">
        <v>42584</v>
      </c>
      <c r="AX59" s="105">
        <v>42614</v>
      </c>
      <c r="AY59" s="105">
        <v>42614</v>
      </c>
      <c r="AZ59" s="105">
        <v>42643</v>
      </c>
      <c r="BA59" s="105">
        <v>42615</v>
      </c>
      <c r="BB59" s="105">
        <v>42644</v>
      </c>
      <c r="BC59" s="105">
        <v>42644</v>
      </c>
      <c r="BD59" s="105">
        <v>42674</v>
      </c>
      <c r="BE59" s="105">
        <v>42645</v>
      </c>
      <c r="BF59" s="105">
        <v>42675</v>
      </c>
      <c r="BG59" s="105">
        <v>42675</v>
      </c>
      <c r="BH59" s="105">
        <v>42704</v>
      </c>
      <c r="BI59" s="105">
        <v>42676</v>
      </c>
      <c r="BJ59" s="105">
        <v>42705</v>
      </c>
      <c r="BK59" s="105">
        <v>42705</v>
      </c>
      <c r="BL59" s="105">
        <v>42735</v>
      </c>
      <c r="BM59" s="105">
        <v>42706</v>
      </c>
      <c r="BN59" s="105">
        <v>42736</v>
      </c>
    </row>
    <row r="60" spans="12:66" ht="51" customHeight="1">
      <c r="L60" s="105">
        <f>VLOOKUP(M47,R52:BN79,38)</f>
        <v>41913</v>
      </c>
      <c r="M60" s="105">
        <f>VLOOKUP(M47,R51:BN78,39)</f>
        <v>41943</v>
      </c>
      <c r="N60" s="105">
        <f>VLOOKUP(M47,R51:BN78,40)</f>
        <v>41914</v>
      </c>
      <c r="O60" s="105">
        <f>VLOOKUP(M47,R51:BN78,41)</f>
        <v>41944</v>
      </c>
      <c r="R60">
        <v>2017</v>
      </c>
      <c r="S60" s="105">
        <v>42736</v>
      </c>
      <c r="T60" s="105">
        <v>42766</v>
      </c>
      <c r="U60" s="105">
        <v>42737</v>
      </c>
      <c r="V60" s="105">
        <v>42767</v>
      </c>
      <c r="W60" s="105">
        <v>42767</v>
      </c>
      <c r="X60" s="105">
        <v>42794</v>
      </c>
      <c r="Y60" s="105">
        <v>42768</v>
      </c>
      <c r="Z60" s="105">
        <v>42795</v>
      </c>
      <c r="AA60" s="105">
        <v>42795</v>
      </c>
      <c r="AB60" s="105">
        <v>42825</v>
      </c>
      <c r="AC60" s="105">
        <v>42796</v>
      </c>
      <c r="AD60" s="105">
        <v>42826</v>
      </c>
      <c r="AE60" s="105">
        <v>42826</v>
      </c>
      <c r="AF60" s="105">
        <v>42855</v>
      </c>
      <c r="AG60" s="105">
        <v>42827</v>
      </c>
      <c r="AH60" s="105">
        <v>42856</v>
      </c>
      <c r="AI60" s="105">
        <v>42856</v>
      </c>
      <c r="AJ60" s="105">
        <v>42886</v>
      </c>
      <c r="AK60" s="105">
        <v>42857</v>
      </c>
      <c r="AL60" s="105">
        <v>42887</v>
      </c>
      <c r="AM60" s="105">
        <v>42887</v>
      </c>
      <c r="AN60" s="105">
        <v>42916</v>
      </c>
      <c r="AO60" s="105">
        <v>42888</v>
      </c>
      <c r="AP60" s="105">
        <v>42917</v>
      </c>
      <c r="AQ60" s="105">
        <v>42917</v>
      </c>
      <c r="AR60" s="105">
        <v>42947</v>
      </c>
      <c r="AS60" s="105">
        <v>42918</v>
      </c>
      <c r="AT60" s="105">
        <v>42948</v>
      </c>
      <c r="AU60" s="105">
        <v>42948</v>
      </c>
      <c r="AV60" s="105">
        <v>42978</v>
      </c>
      <c r="AW60" s="105">
        <v>42949</v>
      </c>
      <c r="AX60" s="105">
        <v>42979</v>
      </c>
      <c r="AY60" s="105">
        <v>42979</v>
      </c>
      <c r="AZ60" s="105">
        <v>43008</v>
      </c>
      <c r="BA60" s="105">
        <v>42980</v>
      </c>
      <c r="BB60" s="105">
        <v>43009</v>
      </c>
      <c r="BC60" s="105">
        <v>43009</v>
      </c>
      <c r="BD60" s="105">
        <v>43039</v>
      </c>
      <c r="BE60" s="105">
        <v>43010</v>
      </c>
      <c r="BF60" s="105">
        <v>43040</v>
      </c>
      <c r="BG60" s="105">
        <v>43040</v>
      </c>
      <c r="BH60" s="105">
        <v>43069</v>
      </c>
      <c r="BI60" s="105">
        <v>43041</v>
      </c>
      <c r="BJ60" s="105">
        <v>43070</v>
      </c>
      <c r="BK60" s="105">
        <v>43070</v>
      </c>
      <c r="BL60" s="105">
        <v>43100</v>
      </c>
      <c r="BM60" s="105">
        <v>43071</v>
      </c>
      <c r="BN60" s="105">
        <v>43101</v>
      </c>
    </row>
    <row r="61" spans="12:66" ht="51" customHeight="1">
      <c r="L61" s="105">
        <f>VLOOKUP(M47,R51:BN78,42)</f>
        <v>41944</v>
      </c>
      <c r="M61" s="105">
        <f>VLOOKUP(M47,R51:BN78,43)</f>
        <v>41973</v>
      </c>
      <c r="N61" s="105">
        <f>VLOOKUP(M47,R51:BN78,44)</f>
        <v>41945</v>
      </c>
      <c r="O61" s="105">
        <f>VLOOKUP(M47,R51:BN78,45)</f>
        <v>41974</v>
      </c>
      <c r="R61">
        <v>2018</v>
      </c>
      <c r="S61" s="105">
        <v>43101</v>
      </c>
      <c r="T61" s="105">
        <v>43131</v>
      </c>
      <c r="U61" s="105">
        <v>43102</v>
      </c>
      <c r="V61" s="105">
        <v>43132</v>
      </c>
      <c r="W61" s="105">
        <v>43132</v>
      </c>
      <c r="X61" s="105">
        <v>43159</v>
      </c>
      <c r="Y61" s="105">
        <v>43133</v>
      </c>
      <c r="Z61" s="105">
        <v>43160</v>
      </c>
      <c r="AA61" s="105">
        <v>43160</v>
      </c>
      <c r="AB61" s="105">
        <v>43190</v>
      </c>
      <c r="AC61" s="105">
        <v>43161</v>
      </c>
      <c r="AD61" s="105">
        <v>43191</v>
      </c>
      <c r="AE61" s="105">
        <v>43191</v>
      </c>
      <c r="AF61" s="105">
        <v>43220</v>
      </c>
      <c r="AG61" s="105">
        <v>43192</v>
      </c>
      <c r="AH61" s="105">
        <v>43221</v>
      </c>
      <c r="AI61" s="105">
        <v>43221</v>
      </c>
      <c r="AJ61" s="105">
        <v>43251</v>
      </c>
      <c r="AK61" s="105">
        <v>43222</v>
      </c>
      <c r="AL61" s="105">
        <v>43252</v>
      </c>
      <c r="AM61" s="105">
        <v>43252</v>
      </c>
      <c r="AN61" s="105">
        <v>43281</v>
      </c>
      <c r="AO61" s="105">
        <v>43253</v>
      </c>
      <c r="AP61" s="105">
        <v>43282</v>
      </c>
      <c r="AQ61" s="105">
        <v>43282</v>
      </c>
      <c r="AR61" s="105">
        <v>43312</v>
      </c>
      <c r="AS61" s="105">
        <v>43283</v>
      </c>
      <c r="AT61" s="105">
        <v>43313</v>
      </c>
      <c r="AU61" s="105">
        <v>43313</v>
      </c>
      <c r="AV61" s="105">
        <v>43343</v>
      </c>
      <c r="AW61" s="105">
        <v>43314</v>
      </c>
      <c r="AX61" s="105">
        <v>43344</v>
      </c>
      <c r="AY61" s="105">
        <v>43344</v>
      </c>
      <c r="AZ61" s="105">
        <v>43373</v>
      </c>
      <c r="BA61" s="105">
        <v>43345</v>
      </c>
      <c r="BB61" s="105">
        <v>43374</v>
      </c>
      <c r="BC61" s="105">
        <v>43374</v>
      </c>
      <c r="BD61" s="105">
        <v>43404</v>
      </c>
      <c r="BE61" s="105">
        <v>43375</v>
      </c>
      <c r="BF61" s="105">
        <v>43405</v>
      </c>
      <c r="BG61" s="105">
        <v>43405</v>
      </c>
      <c r="BH61" s="105">
        <v>43434</v>
      </c>
      <c r="BI61" s="105">
        <v>43406</v>
      </c>
      <c r="BJ61" s="105">
        <v>43435</v>
      </c>
      <c r="BK61" s="105">
        <v>43435</v>
      </c>
      <c r="BL61" s="105">
        <v>43465</v>
      </c>
      <c r="BM61" s="105">
        <v>43436</v>
      </c>
      <c r="BN61" s="105">
        <v>43466</v>
      </c>
    </row>
    <row r="62" spans="12:66" ht="51" customHeight="1">
      <c r="L62" s="105">
        <f>VLOOKUP(M47,R51:BN78,46)</f>
        <v>41974</v>
      </c>
      <c r="M62" s="105">
        <f>VLOOKUP(M47,R51:BN78,47)</f>
        <v>42004</v>
      </c>
      <c r="N62" s="105">
        <f>VLOOKUP(M47,R51:BN78,48)</f>
        <v>41975</v>
      </c>
      <c r="O62" s="105">
        <f>VLOOKUP(M47,R51:BN78,49)</f>
        <v>42005</v>
      </c>
      <c r="R62">
        <v>2019</v>
      </c>
      <c r="S62" s="105">
        <v>43466</v>
      </c>
      <c r="T62" s="105">
        <v>43496</v>
      </c>
      <c r="U62" s="105">
        <v>43467</v>
      </c>
      <c r="V62" s="105">
        <v>43497</v>
      </c>
      <c r="W62" s="105">
        <v>43497</v>
      </c>
      <c r="X62" s="105">
        <v>43524</v>
      </c>
      <c r="Y62" s="105">
        <v>43498</v>
      </c>
      <c r="Z62" s="105">
        <v>43525</v>
      </c>
      <c r="AA62" s="105">
        <v>43525</v>
      </c>
      <c r="AB62" s="105">
        <v>43555</v>
      </c>
      <c r="AC62" s="105">
        <v>43526</v>
      </c>
      <c r="AD62" s="105">
        <v>43556</v>
      </c>
      <c r="AE62" s="105">
        <v>43556</v>
      </c>
      <c r="AF62" s="105">
        <v>43585</v>
      </c>
      <c r="AG62" s="105">
        <v>43557</v>
      </c>
      <c r="AH62" s="105">
        <v>43586</v>
      </c>
      <c r="AI62" s="105">
        <v>43586</v>
      </c>
      <c r="AJ62" s="105">
        <v>43616</v>
      </c>
      <c r="AK62" s="105">
        <v>43587</v>
      </c>
      <c r="AL62" s="105">
        <v>43617</v>
      </c>
      <c r="AM62" s="105">
        <v>43617</v>
      </c>
      <c r="AN62" s="105">
        <v>43646</v>
      </c>
      <c r="AO62" s="105">
        <v>43618</v>
      </c>
      <c r="AP62" s="105">
        <v>43647</v>
      </c>
      <c r="AQ62" s="105">
        <v>43647</v>
      </c>
      <c r="AR62" s="105">
        <v>43677</v>
      </c>
      <c r="AS62" s="105">
        <v>43648</v>
      </c>
      <c r="AT62" s="105">
        <v>43678</v>
      </c>
      <c r="AU62" s="105">
        <v>43678</v>
      </c>
      <c r="AV62" s="105">
        <v>43708</v>
      </c>
      <c r="AW62" s="105">
        <v>43679</v>
      </c>
      <c r="AX62" s="105">
        <v>43709</v>
      </c>
      <c r="AY62" s="105">
        <v>43709</v>
      </c>
      <c r="AZ62" s="105">
        <v>43738</v>
      </c>
      <c r="BA62" s="105">
        <v>43710</v>
      </c>
      <c r="BB62" s="105">
        <v>43739</v>
      </c>
      <c r="BC62" s="105">
        <v>43739</v>
      </c>
      <c r="BD62" s="105">
        <v>43769</v>
      </c>
      <c r="BE62" s="105">
        <v>43740</v>
      </c>
      <c r="BF62" s="105">
        <v>43770</v>
      </c>
      <c r="BG62" s="105">
        <v>43770</v>
      </c>
      <c r="BH62" s="105">
        <v>43799</v>
      </c>
      <c r="BI62" s="105">
        <v>43771</v>
      </c>
      <c r="BJ62" s="105">
        <v>43800</v>
      </c>
      <c r="BK62" s="105">
        <v>43800</v>
      </c>
      <c r="BL62" s="105">
        <v>43830</v>
      </c>
      <c r="BM62" s="105">
        <v>43801</v>
      </c>
      <c r="BN62" s="105">
        <v>43831</v>
      </c>
    </row>
    <row r="63" spans="12:66" ht="51" customHeight="1">
      <c r="L63" s="105"/>
      <c r="M63" s="105"/>
      <c r="N63" s="105"/>
      <c r="O63" s="105"/>
      <c r="R63">
        <v>2020</v>
      </c>
      <c r="S63" s="105">
        <v>43831</v>
      </c>
      <c r="T63" s="105">
        <v>43861</v>
      </c>
      <c r="U63" s="105">
        <v>43832</v>
      </c>
      <c r="V63" s="105">
        <v>43862</v>
      </c>
      <c r="W63" s="105">
        <v>43862</v>
      </c>
      <c r="X63" s="105">
        <v>43890</v>
      </c>
      <c r="Y63" s="105">
        <v>43863</v>
      </c>
      <c r="Z63" s="105">
        <v>43891</v>
      </c>
      <c r="AA63" s="105">
        <v>43891</v>
      </c>
      <c r="AB63" s="105">
        <v>43921</v>
      </c>
      <c r="AC63" s="105">
        <v>43892</v>
      </c>
      <c r="AD63" s="105">
        <v>43922</v>
      </c>
      <c r="AE63" s="105">
        <v>43922</v>
      </c>
      <c r="AF63" s="105">
        <v>43951</v>
      </c>
      <c r="AG63" s="105">
        <v>43923</v>
      </c>
      <c r="AH63" s="105">
        <v>43952</v>
      </c>
      <c r="AI63" s="105">
        <v>43952</v>
      </c>
      <c r="AJ63" s="105">
        <v>43982</v>
      </c>
      <c r="AK63" s="105">
        <v>43953</v>
      </c>
      <c r="AL63" s="105">
        <v>43983</v>
      </c>
      <c r="AM63" s="105">
        <v>43983</v>
      </c>
      <c r="AN63" s="105">
        <v>44012</v>
      </c>
      <c r="AO63" s="105">
        <v>43984</v>
      </c>
      <c r="AP63" s="105">
        <v>44013</v>
      </c>
      <c r="AQ63" s="105">
        <v>44013</v>
      </c>
      <c r="AR63" s="105">
        <v>44043</v>
      </c>
      <c r="AS63" s="105">
        <v>44014</v>
      </c>
      <c r="AT63" s="105">
        <v>44044</v>
      </c>
      <c r="AU63" s="105">
        <v>44044</v>
      </c>
      <c r="AV63" s="105">
        <v>44074</v>
      </c>
      <c r="AW63" s="105">
        <v>44045</v>
      </c>
      <c r="AX63" s="105">
        <v>44075</v>
      </c>
      <c r="AY63" s="105">
        <v>44075</v>
      </c>
      <c r="AZ63" s="105">
        <v>44104</v>
      </c>
      <c r="BA63" s="105">
        <v>44076</v>
      </c>
      <c r="BB63" s="105">
        <v>44105</v>
      </c>
      <c r="BC63" s="105">
        <v>44105</v>
      </c>
      <c r="BD63" s="105">
        <v>44135</v>
      </c>
      <c r="BE63" s="105">
        <v>44106</v>
      </c>
      <c r="BF63" s="105">
        <v>44136</v>
      </c>
      <c r="BG63" s="105">
        <v>44136</v>
      </c>
      <c r="BH63" s="105">
        <v>44165</v>
      </c>
      <c r="BI63" s="105">
        <v>44137</v>
      </c>
      <c r="BJ63" s="105">
        <v>44166</v>
      </c>
      <c r="BK63" s="105">
        <v>44166</v>
      </c>
      <c r="BL63" s="105">
        <v>44196</v>
      </c>
      <c r="BM63" s="105">
        <v>44167</v>
      </c>
      <c r="BN63" s="105">
        <v>44197</v>
      </c>
    </row>
    <row r="64" spans="12:66" ht="51" customHeight="1">
      <c r="L64" s="105"/>
      <c r="M64" s="105"/>
      <c r="N64" s="105"/>
      <c r="O64" s="105"/>
      <c r="R64">
        <v>2021</v>
      </c>
      <c r="S64" s="105">
        <v>44197</v>
      </c>
      <c r="T64" s="105">
        <v>44227</v>
      </c>
      <c r="U64" s="105">
        <v>44198</v>
      </c>
      <c r="V64" s="105">
        <v>44228</v>
      </c>
      <c r="W64" s="105">
        <v>44228</v>
      </c>
      <c r="X64" s="105">
        <v>44255</v>
      </c>
      <c r="Y64" s="105">
        <v>44229</v>
      </c>
      <c r="Z64" s="105">
        <v>44256</v>
      </c>
      <c r="AA64" s="105">
        <v>44256</v>
      </c>
      <c r="AB64" s="105">
        <v>44286</v>
      </c>
      <c r="AC64" s="105">
        <v>44257</v>
      </c>
      <c r="AD64" s="105">
        <v>44287</v>
      </c>
      <c r="AE64" s="105">
        <v>44287</v>
      </c>
      <c r="AF64" s="105">
        <v>44316</v>
      </c>
      <c r="AG64" s="105">
        <v>44288</v>
      </c>
      <c r="AH64" s="105">
        <v>44317</v>
      </c>
      <c r="AI64" s="105">
        <v>44317</v>
      </c>
      <c r="AJ64" s="105">
        <v>44347</v>
      </c>
      <c r="AK64" s="105">
        <v>44318</v>
      </c>
      <c r="AL64" s="105">
        <v>44348</v>
      </c>
      <c r="AM64" s="105">
        <v>44348</v>
      </c>
      <c r="AN64" s="105">
        <v>44377</v>
      </c>
      <c r="AO64" s="105">
        <v>44349</v>
      </c>
      <c r="AP64" s="105">
        <v>44378</v>
      </c>
      <c r="AQ64" s="105">
        <v>44378</v>
      </c>
      <c r="AR64" s="105">
        <v>44408</v>
      </c>
      <c r="AS64" s="105">
        <v>44379</v>
      </c>
      <c r="AT64" s="105">
        <v>44409</v>
      </c>
      <c r="AU64" s="105">
        <v>44409</v>
      </c>
      <c r="AV64" s="105">
        <v>44439</v>
      </c>
      <c r="AW64" s="105">
        <v>44410</v>
      </c>
      <c r="AX64" s="105">
        <v>44440</v>
      </c>
      <c r="AY64" s="105">
        <v>44440</v>
      </c>
      <c r="AZ64" s="105">
        <v>44469</v>
      </c>
      <c r="BA64" s="105">
        <v>44441</v>
      </c>
      <c r="BB64" s="105">
        <v>44470</v>
      </c>
      <c r="BC64" s="105">
        <v>44470</v>
      </c>
      <c r="BD64" s="105">
        <v>44500</v>
      </c>
      <c r="BE64" s="105">
        <v>44471</v>
      </c>
      <c r="BF64" s="105">
        <v>44501</v>
      </c>
      <c r="BG64" s="105">
        <v>44501</v>
      </c>
      <c r="BH64" s="105">
        <v>44530</v>
      </c>
      <c r="BI64" s="105">
        <v>44502</v>
      </c>
      <c r="BJ64" s="105">
        <v>44531</v>
      </c>
      <c r="BK64" s="105">
        <v>44531</v>
      </c>
      <c r="BL64" s="105">
        <v>44561</v>
      </c>
      <c r="BM64" s="105">
        <v>44532</v>
      </c>
      <c r="BN64" s="105">
        <v>44562</v>
      </c>
    </row>
    <row r="65" spans="12:66" ht="51" customHeight="1">
      <c r="L65" s="105"/>
      <c r="M65" s="105"/>
      <c r="N65" s="105"/>
      <c r="O65" s="105"/>
      <c r="R65">
        <v>2022</v>
      </c>
      <c r="S65" s="105">
        <v>44562</v>
      </c>
      <c r="T65" s="105">
        <v>44592</v>
      </c>
      <c r="U65" s="105">
        <v>44563</v>
      </c>
      <c r="V65" s="105">
        <v>44593</v>
      </c>
      <c r="W65" s="105">
        <v>44593</v>
      </c>
      <c r="X65" s="105">
        <v>44620</v>
      </c>
      <c r="Y65" s="105">
        <v>44594</v>
      </c>
      <c r="Z65" s="105">
        <v>44621</v>
      </c>
      <c r="AA65" s="105">
        <v>44621</v>
      </c>
      <c r="AB65" s="105">
        <v>44651</v>
      </c>
      <c r="AC65" s="105">
        <v>44622</v>
      </c>
      <c r="AD65" s="105">
        <v>44652</v>
      </c>
      <c r="AE65" s="105">
        <v>44652</v>
      </c>
      <c r="AF65" s="105">
        <v>44681</v>
      </c>
      <c r="AG65" s="105">
        <v>44653</v>
      </c>
      <c r="AH65" s="105">
        <v>44682</v>
      </c>
      <c r="AI65" s="105">
        <v>44682</v>
      </c>
      <c r="AJ65" s="105">
        <v>44712</v>
      </c>
      <c r="AK65" s="105">
        <v>44683</v>
      </c>
      <c r="AL65" s="105">
        <v>44713</v>
      </c>
      <c r="AM65" s="105">
        <v>44713</v>
      </c>
      <c r="AN65" s="105">
        <v>44742</v>
      </c>
      <c r="AO65" s="105">
        <v>44714</v>
      </c>
      <c r="AP65" s="105">
        <v>44743</v>
      </c>
      <c r="AQ65" s="105">
        <v>44743</v>
      </c>
      <c r="AR65" s="105">
        <v>44773</v>
      </c>
      <c r="AS65" s="105">
        <v>44744</v>
      </c>
      <c r="AT65" s="105">
        <v>44774</v>
      </c>
      <c r="AU65" s="105">
        <v>44774</v>
      </c>
      <c r="AV65" s="105">
        <v>44804</v>
      </c>
      <c r="AW65" s="105">
        <v>44775</v>
      </c>
      <c r="AX65" s="105">
        <v>44805</v>
      </c>
      <c r="AY65" s="105">
        <v>44805</v>
      </c>
      <c r="AZ65" s="105">
        <v>44834</v>
      </c>
      <c r="BA65" s="105">
        <v>44806</v>
      </c>
      <c r="BB65" s="105">
        <v>44835</v>
      </c>
      <c r="BC65" s="105">
        <v>44835</v>
      </c>
      <c r="BD65" s="105">
        <v>44865</v>
      </c>
      <c r="BE65" s="105">
        <v>44836</v>
      </c>
      <c r="BF65" s="105">
        <v>44866</v>
      </c>
      <c r="BG65" s="105">
        <v>44866</v>
      </c>
      <c r="BH65" s="105">
        <v>44895</v>
      </c>
      <c r="BI65" s="105">
        <v>44867</v>
      </c>
      <c r="BJ65" s="105">
        <v>44896</v>
      </c>
      <c r="BK65" s="105">
        <v>44896</v>
      </c>
      <c r="BL65" s="105">
        <v>44926</v>
      </c>
      <c r="BM65" s="105">
        <v>44897</v>
      </c>
      <c r="BN65" s="105">
        <v>44927</v>
      </c>
    </row>
    <row r="66" spans="12:66" ht="51" customHeight="1">
      <c r="L66" s="105"/>
      <c r="M66" s="105"/>
      <c r="N66" s="105"/>
      <c r="O66" s="105"/>
      <c r="R66">
        <v>2023</v>
      </c>
      <c r="S66" s="105">
        <v>44927</v>
      </c>
      <c r="T66" s="105">
        <v>44957</v>
      </c>
      <c r="U66" s="105">
        <v>44928</v>
      </c>
      <c r="V66" s="105">
        <v>44958</v>
      </c>
      <c r="W66" s="105">
        <v>44958</v>
      </c>
      <c r="X66" s="105">
        <v>44985</v>
      </c>
      <c r="Y66" s="105">
        <v>44959</v>
      </c>
      <c r="Z66" s="105">
        <v>44986</v>
      </c>
      <c r="AA66" s="105">
        <v>44986</v>
      </c>
      <c r="AB66" s="105">
        <v>45016</v>
      </c>
      <c r="AC66" s="105">
        <v>44987</v>
      </c>
      <c r="AD66" s="105">
        <v>45017</v>
      </c>
      <c r="AE66" s="105">
        <v>45017</v>
      </c>
      <c r="AF66" s="105">
        <v>45046</v>
      </c>
      <c r="AG66" s="105">
        <v>45018</v>
      </c>
      <c r="AH66" s="105">
        <v>45047</v>
      </c>
      <c r="AI66" s="105">
        <v>45047</v>
      </c>
      <c r="AJ66" s="105">
        <v>45077</v>
      </c>
      <c r="AK66" s="105">
        <v>45048</v>
      </c>
      <c r="AL66" s="105">
        <v>45078</v>
      </c>
      <c r="AM66" s="105">
        <v>45078</v>
      </c>
      <c r="AN66" s="105">
        <v>45107</v>
      </c>
      <c r="AO66" s="105">
        <v>45079</v>
      </c>
      <c r="AP66" s="105">
        <v>45108</v>
      </c>
      <c r="AQ66" s="105">
        <v>45108</v>
      </c>
      <c r="AR66" s="105">
        <v>45138</v>
      </c>
      <c r="AS66" s="105">
        <v>45109</v>
      </c>
      <c r="AT66" s="105">
        <v>45139</v>
      </c>
      <c r="AU66" s="105">
        <v>45139</v>
      </c>
      <c r="AV66" s="105">
        <v>45169</v>
      </c>
      <c r="AW66" s="105">
        <v>45140</v>
      </c>
      <c r="AX66" s="105">
        <v>45170</v>
      </c>
      <c r="AY66" s="105">
        <v>45170</v>
      </c>
      <c r="AZ66" s="105">
        <v>45199</v>
      </c>
      <c r="BA66" s="105">
        <v>45171</v>
      </c>
      <c r="BB66" s="105">
        <v>45200</v>
      </c>
      <c r="BC66" s="105">
        <v>45200</v>
      </c>
      <c r="BD66" s="105">
        <v>45230</v>
      </c>
      <c r="BE66" s="105">
        <v>45201</v>
      </c>
      <c r="BF66" s="105">
        <v>45231</v>
      </c>
      <c r="BG66" s="105">
        <v>45231</v>
      </c>
      <c r="BH66" s="105">
        <v>45260</v>
      </c>
      <c r="BI66" s="105">
        <v>45232</v>
      </c>
      <c r="BJ66" s="105">
        <v>45261</v>
      </c>
      <c r="BK66" s="105">
        <v>45261</v>
      </c>
      <c r="BL66" s="105">
        <v>45291</v>
      </c>
      <c r="BM66" s="105">
        <v>45262</v>
      </c>
      <c r="BN66" s="105">
        <v>45292</v>
      </c>
    </row>
    <row r="67" spans="12:66" ht="51" customHeight="1">
      <c r="L67" s="105"/>
      <c r="M67" s="105"/>
      <c r="N67" s="105"/>
      <c r="O67" s="105"/>
      <c r="R67">
        <v>2024</v>
      </c>
      <c r="S67" s="105">
        <v>45292</v>
      </c>
      <c r="T67" s="105">
        <v>45322</v>
      </c>
      <c r="U67" s="105">
        <v>45293</v>
      </c>
      <c r="V67" s="105">
        <v>45323</v>
      </c>
      <c r="W67" s="105">
        <v>45323</v>
      </c>
      <c r="X67" s="105">
        <v>45351</v>
      </c>
      <c r="Y67" s="105">
        <v>45324</v>
      </c>
      <c r="Z67" s="105">
        <v>45352</v>
      </c>
      <c r="AA67" s="105">
        <v>45352</v>
      </c>
      <c r="AB67" s="105">
        <v>45382</v>
      </c>
      <c r="AC67" s="105">
        <v>45353</v>
      </c>
      <c r="AD67" s="105">
        <v>45383</v>
      </c>
      <c r="AE67" s="105">
        <v>45383</v>
      </c>
      <c r="AF67" s="105">
        <v>45412</v>
      </c>
      <c r="AG67" s="105">
        <v>45384</v>
      </c>
      <c r="AH67" s="105">
        <v>45413</v>
      </c>
      <c r="AI67" s="105">
        <v>45413</v>
      </c>
      <c r="AJ67" s="105">
        <v>45443</v>
      </c>
      <c r="AK67" s="105">
        <v>45414</v>
      </c>
      <c r="AL67" s="105">
        <v>45444</v>
      </c>
      <c r="AM67" s="105">
        <v>45444</v>
      </c>
      <c r="AN67" s="105">
        <v>45473</v>
      </c>
      <c r="AO67" s="105">
        <v>45445</v>
      </c>
      <c r="AP67" s="105">
        <v>45474</v>
      </c>
      <c r="AQ67" s="105">
        <v>45474</v>
      </c>
      <c r="AR67" s="105">
        <v>45504</v>
      </c>
      <c r="AS67" s="105">
        <v>45475</v>
      </c>
      <c r="AT67" s="105">
        <v>45505</v>
      </c>
      <c r="AU67" s="105">
        <v>45505</v>
      </c>
      <c r="AV67" s="105">
        <v>45535</v>
      </c>
      <c r="AW67" s="105">
        <v>45506</v>
      </c>
      <c r="AX67" s="105">
        <v>45536</v>
      </c>
      <c r="AY67" s="105">
        <v>45536</v>
      </c>
      <c r="AZ67" s="105">
        <v>45565</v>
      </c>
      <c r="BA67" s="105">
        <v>45537</v>
      </c>
      <c r="BB67" s="105">
        <v>45566</v>
      </c>
      <c r="BC67" s="105">
        <v>45566</v>
      </c>
      <c r="BD67" s="105">
        <v>45596</v>
      </c>
      <c r="BE67" s="105">
        <v>45567</v>
      </c>
      <c r="BF67" s="105">
        <v>45597</v>
      </c>
      <c r="BG67" s="105">
        <v>45597</v>
      </c>
      <c r="BH67" s="105">
        <v>45626</v>
      </c>
      <c r="BI67" s="105">
        <v>45598</v>
      </c>
      <c r="BJ67" s="105">
        <v>45627</v>
      </c>
      <c r="BK67" s="105">
        <v>45627</v>
      </c>
      <c r="BL67" s="105">
        <v>45657</v>
      </c>
      <c r="BM67" s="105">
        <v>45628</v>
      </c>
      <c r="BN67" s="105">
        <v>45658</v>
      </c>
    </row>
    <row r="68" spans="12:66" ht="51" customHeight="1">
      <c r="L68" s="105"/>
      <c r="M68" s="105"/>
      <c r="N68" s="105"/>
      <c r="O68" s="105"/>
      <c r="R68">
        <v>2025</v>
      </c>
      <c r="S68" s="105">
        <v>45658</v>
      </c>
      <c r="T68" s="105">
        <v>45688</v>
      </c>
      <c r="U68" s="105">
        <v>45659</v>
      </c>
      <c r="V68" s="105">
        <v>45689</v>
      </c>
      <c r="W68" s="105">
        <v>45689</v>
      </c>
      <c r="X68" s="105">
        <v>45716</v>
      </c>
      <c r="Y68" s="105">
        <v>45690</v>
      </c>
      <c r="Z68" s="105">
        <v>45717</v>
      </c>
      <c r="AA68" s="105">
        <v>45717</v>
      </c>
      <c r="AB68" s="105">
        <v>45747</v>
      </c>
      <c r="AC68" s="105">
        <v>45718</v>
      </c>
      <c r="AD68" s="105">
        <v>45748</v>
      </c>
      <c r="AE68" s="105">
        <v>45748</v>
      </c>
      <c r="AF68" s="105">
        <v>45777</v>
      </c>
      <c r="AG68" s="105">
        <v>45749</v>
      </c>
      <c r="AH68" s="105">
        <v>45778</v>
      </c>
      <c r="AI68" s="105">
        <v>45778</v>
      </c>
      <c r="AJ68" s="105">
        <v>45808</v>
      </c>
      <c r="AK68" s="105">
        <v>45779</v>
      </c>
      <c r="AL68" s="105">
        <v>45809</v>
      </c>
      <c r="AM68" s="105">
        <v>45809</v>
      </c>
      <c r="AN68" s="105">
        <v>45838</v>
      </c>
      <c r="AO68" s="105">
        <v>45810</v>
      </c>
      <c r="AP68" s="105">
        <v>45839</v>
      </c>
      <c r="AQ68" s="105">
        <v>45839</v>
      </c>
      <c r="AR68" s="105">
        <v>45869</v>
      </c>
      <c r="AS68" s="105">
        <v>45840</v>
      </c>
      <c r="AT68" s="105">
        <v>45870</v>
      </c>
      <c r="AU68" s="105">
        <v>45870</v>
      </c>
      <c r="AV68" s="105">
        <v>45900</v>
      </c>
      <c r="AW68" s="105">
        <v>45871</v>
      </c>
      <c r="AX68" s="105">
        <v>45901</v>
      </c>
      <c r="AY68" s="105">
        <v>45901</v>
      </c>
      <c r="AZ68" s="105">
        <v>45930</v>
      </c>
      <c r="BA68" s="105">
        <v>45902</v>
      </c>
      <c r="BB68" s="105">
        <v>45931</v>
      </c>
      <c r="BC68" s="105">
        <v>45931</v>
      </c>
      <c r="BD68" s="105">
        <v>45961</v>
      </c>
      <c r="BE68" s="105">
        <v>45932</v>
      </c>
      <c r="BF68" s="105">
        <v>45962</v>
      </c>
      <c r="BG68" s="105">
        <v>45962</v>
      </c>
      <c r="BH68" s="105">
        <v>45991</v>
      </c>
      <c r="BI68" s="105">
        <v>45963</v>
      </c>
      <c r="BJ68" s="105">
        <v>45992</v>
      </c>
      <c r="BK68" s="105">
        <v>45992</v>
      </c>
      <c r="BL68" s="105">
        <v>46022</v>
      </c>
      <c r="BM68" s="105">
        <v>45993</v>
      </c>
      <c r="BN68" s="105">
        <v>46023</v>
      </c>
    </row>
    <row r="69" spans="12:66" ht="51" customHeight="1">
      <c r="L69" s="105"/>
      <c r="M69" s="105"/>
      <c r="N69" s="105"/>
      <c r="O69" s="105"/>
      <c r="R69">
        <v>2026</v>
      </c>
      <c r="S69" s="105">
        <v>46023</v>
      </c>
      <c r="T69" s="105">
        <v>46053</v>
      </c>
      <c r="U69" s="105">
        <v>46024</v>
      </c>
      <c r="V69" s="105">
        <v>46054</v>
      </c>
      <c r="W69" s="105">
        <v>46054</v>
      </c>
      <c r="X69" s="105">
        <v>46081</v>
      </c>
      <c r="Y69" s="105">
        <v>46055</v>
      </c>
      <c r="Z69" s="105">
        <v>46082</v>
      </c>
      <c r="AA69" s="105">
        <v>46082</v>
      </c>
      <c r="AB69" s="105">
        <v>46112</v>
      </c>
      <c r="AC69" s="105">
        <v>46083</v>
      </c>
      <c r="AD69" s="105">
        <v>46113</v>
      </c>
      <c r="AE69" s="105">
        <v>46113</v>
      </c>
      <c r="AF69" s="105">
        <v>46142</v>
      </c>
      <c r="AG69" s="105">
        <v>46114</v>
      </c>
      <c r="AH69" s="105">
        <v>46143</v>
      </c>
      <c r="AI69" s="105">
        <v>46143</v>
      </c>
      <c r="AJ69" s="105">
        <v>46173</v>
      </c>
      <c r="AK69" s="105">
        <v>46144</v>
      </c>
      <c r="AL69" s="105">
        <v>46174</v>
      </c>
      <c r="AM69" s="105">
        <v>46174</v>
      </c>
      <c r="AN69" s="105">
        <v>46203</v>
      </c>
      <c r="AO69" s="105">
        <v>46175</v>
      </c>
      <c r="AP69" s="105">
        <v>46204</v>
      </c>
      <c r="AQ69" s="105">
        <v>46204</v>
      </c>
      <c r="AR69" s="105">
        <v>46234</v>
      </c>
      <c r="AS69" s="105">
        <v>46205</v>
      </c>
      <c r="AT69" s="105">
        <v>46235</v>
      </c>
      <c r="AU69" s="105">
        <v>46235</v>
      </c>
      <c r="AV69" s="105">
        <v>46265</v>
      </c>
      <c r="AW69" s="105">
        <v>46236</v>
      </c>
      <c r="AX69" s="105">
        <v>46266</v>
      </c>
      <c r="AY69" s="105">
        <v>46266</v>
      </c>
      <c r="AZ69" s="105">
        <v>46295</v>
      </c>
      <c r="BA69" s="105">
        <v>46267</v>
      </c>
      <c r="BB69" s="105">
        <v>46296</v>
      </c>
      <c r="BC69" s="105">
        <v>46296</v>
      </c>
      <c r="BD69" s="105">
        <v>46326</v>
      </c>
      <c r="BE69" s="105">
        <v>46297</v>
      </c>
      <c r="BF69" s="105">
        <v>46327</v>
      </c>
      <c r="BG69" s="105">
        <v>46327</v>
      </c>
      <c r="BH69" s="105">
        <v>46356</v>
      </c>
      <c r="BI69" s="105">
        <v>46328</v>
      </c>
      <c r="BJ69" s="105">
        <v>46357</v>
      </c>
      <c r="BK69" s="105">
        <v>46357</v>
      </c>
      <c r="BL69" s="105">
        <v>46387</v>
      </c>
      <c r="BM69" s="105">
        <v>46358</v>
      </c>
      <c r="BN69" s="105">
        <v>46388</v>
      </c>
    </row>
    <row r="70" spans="12:66" ht="51" customHeight="1">
      <c r="L70" s="105"/>
      <c r="M70" s="105"/>
      <c r="N70" s="105"/>
      <c r="O70" s="105"/>
      <c r="R70">
        <v>2027</v>
      </c>
      <c r="S70" s="105">
        <v>46388</v>
      </c>
      <c r="T70" s="105">
        <v>46418</v>
      </c>
      <c r="U70" s="105">
        <v>46389</v>
      </c>
      <c r="V70" s="105">
        <v>46419</v>
      </c>
      <c r="W70" s="105">
        <v>46419</v>
      </c>
      <c r="X70" s="105">
        <v>46446</v>
      </c>
      <c r="Y70" s="105">
        <v>46420</v>
      </c>
      <c r="Z70" s="105">
        <v>46447</v>
      </c>
      <c r="AA70" s="105">
        <v>46447</v>
      </c>
      <c r="AB70" s="105">
        <v>46477</v>
      </c>
      <c r="AC70" s="105">
        <v>46448</v>
      </c>
      <c r="AD70" s="105">
        <v>46478</v>
      </c>
      <c r="AE70" s="105">
        <v>46478</v>
      </c>
      <c r="AF70" s="105">
        <v>46507</v>
      </c>
      <c r="AG70" s="105">
        <v>46479</v>
      </c>
      <c r="AH70" s="105">
        <v>46508</v>
      </c>
      <c r="AI70" s="105">
        <v>46508</v>
      </c>
      <c r="AJ70" s="105">
        <v>46538</v>
      </c>
      <c r="AK70" s="105">
        <v>46509</v>
      </c>
      <c r="AL70" s="105">
        <v>46539</v>
      </c>
      <c r="AM70" s="105">
        <v>46539</v>
      </c>
      <c r="AN70" s="105">
        <v>46568</v>
      </c>
      <c r="AO70" s="105">
        <v>46540</v>
      </c>
      <c r="AP70" s="105">
        <v>46569</v>
      </c>
      <c r="AQ70" s="105">
        <v>46569</v>
      </c>
      <c r="AR70" s="105">
        <v>46599</v>
      </c>
      <c r="AS70" s="105">
        <v>46570</v>
      </c>
      <c r="AT70" s="105">
        <v>46600</v>
      </c>
      <c r="AU70" s="105">
        <v>46600</v>
      </c>
      <c r="AV70" s="105">
        <v>46630</v>
      </c>
      <c r="AW70" s="105">
        <v>46601</v>
      </c>
      <c r="AX70" s="105">
        <v>46631</v>
      </c>
      <c r="AY70" s="105">
        <v>46631</v>
      </c>
      <c r="AZ70" s="105">
        <v>46660</v>
      </c>
      <c r="BA70" s="105">
        <v>46632</v>
      </c>
      <c r="BB70" s="105">
        <v>46661</v>
      </c>
      <c r="BC70" s="105">
        <v>46661</v>
      </c>
      <c r="BD70" s="105">
        <v>46691</v>
      </c>
      <c r="BE70" s="105">
        <v>46662</v>
      </c>
      <c r="BF70" s="105">
        <v>46692</v>
      </c>
      <c r="BG70" s="105">
        <v>46692</v>
      </c>
      <c r="BH70" s="105">
        <v>46721</v>
      </c>
      <c r="BI70" s="105">
        <v>46693</v>
      </c>
      <c r="BJ70" s="105">
        <v>46722</v>
      </c>
      <c r="BK70" s="105">
        <v>46722</v>
      </c>
      <c r="BL70" s="105">
        <v>46752</v>
      </c>
      <c r="BM70" s="105">
        <v>46723</v>
      </c>
      <c r="BN70" s="105">
        <v>46753</v>
      </c>
    </row>
    <row r="71" spans="12:66" ht="51" customHeight="1">
      <c r="L71" s="105"/>
      <c r="M71" s="105"/>
      <c r="N71" s="105"/>
      <c r="O71" s="105"/>
      <c r="R71">
        <v>2028</v>
      </c>
      <c r="S71" s="105">
        <v>46753</v>
      </c>
      <c r="T71" s="105">
        <v>46783</v>
      </c>
      <c r="U71" s="105">
        <v>46754</v>
      </c>
      <c r="V71" s="105">
        <v>46784</v>
      </c>
      <c r="W71" s="105">
        <v>46784</v>
      </c>
      <c r="X71" s="105">
        <v>46812</v>
      </c>
      <c r="Y71" s="105">
        <v>46785</v>
      </c>
      <c r="Z71" s="105">
        <v>46813</v>
      </c>
      <c r="AA71" s="105">
        <v>46813</v>
      </c>
      <c r="AB71" s="105">
        <v>46843</v>
      </c>
      <c r="AC71" s="105">
        <v>46814</v>
      </c>
      <c r="AD71" s="105">
        <v>46844</v>
      </c>
      <c r="AE71" s="105">
        <v>46844</v>
      </c>
      <c r="AF71" s="105">
        <v>46873</v>
      </c>
      <c r="AG71" s="105">
        <v>46845</v>
      </c>
      <c r="AH71" s="105">
        <v>46874</v>
      </c>
      <c r="AI71" s="105">
        <v>46874</v>
      </c>
      <c r="AJ71" s="105">
        <v>46904</v>
      </c>
      <c r="AK71" s="105">
        <v>46875</v>
      </c>
      <c r="AL71" s="105">
        <v>46905</v>
      </c>
      <c r="AM71" s="105">
        <v>46905</v>
      </c>
      <c r="AN71" s="105">
        <v>46934</v>
      </c>
      <c r="AO71" s="105">
        <v>46906</v>
      </c>
      <c r="AP71" s="105">
        <v>46935</v>
      </c>
      <c r="AQ71" s="105">
        <v>46935</v>
      </c>
      <c r="AR71" s="105">
        <v>46965</v>
      </c>
      <c r="AS71" s="105">
        <v>46936</v>
      </c>
      <c r="AT71" s="105">
        <v>46966</v>
      </c>
      <c r="AU71" s="105">
        <v>46966</v>
      </c>
      <c r="AV71" s="105">
        <v>46996</v>
      </c>
      <c r="AW71" s="105">
        <v>46967</v>
      </c>
      <c r="AX71" s="105">
        <v>46997</v>
      </c>
      <c r="AY71" s="105">
        <v>46997</v>
      </c>
      <c r="AZ71" s="105">
        <v>47026</v>
      </c>
      <c r="BA71" s="105">
        <v>46998</v>
      </c>
      <c r="BB71" s="105">
        <v>47027</v>
      </c>
      <c r="BC71" s="105">
        <v>47027</v>
      </c>
      <c r="BD71" s="105">
        <v>47057</v>
      </c>
      <c r="BE71" s="105">
        <v>47028</v>
      </c>
      <c r="BF71" s="105">
        <v>47058</v>
      </c>
      <c r="BG71" s="105">
        <v>47058</v>
      </c>
      <c r="BH71" s="105">
        <v>47087</v>
      </c>
      <c r="BI71" s="105">
        <v>47059</v>
      </c>
      <c r="BJ71" s="105">
        <v>47088</v>
      </c>
      <c r="BK71" s="105">
        <v>47088</v>
      </c>
      <c r="BL71" s="105">
        <v>47118</v>
      </c>
      <c r="BM71" s="105">
        <v>47089</v>
      </c>
      <c r="BN71" s="105">
        <v>47119</v>
      </c>
    </row>
    <row r="72" spans="12:66" ht="51" customHeight="1">
      <c r="L72" s="105"/>
      <c r="M72" s="105"/>
      <c r="N72" s="105"/>
      <c r="O72" s="105"/>
      <c r="R72">
        <v>2029</v>
      </c>
      <c r="S72" s="105">
        <v>47119</v>
      </c>
      <c r="T72" s="105">
        <v>47149</v>
      </c>
      <c r="U72" s="105">
        <v>47120</v>
      </c>
      <c r="V72" s="105">
        <v>47150</v>
      </c>
      <c r="W72" s="105">
        <v>47150</v>
      </c>
      <c r="X72" s="105">
        <v>47177</v>
      </c>
      <c r="Y72" s="105">
        <v>47151</v>
      </c>
      <c r="Z72" s="105">
        <v>47178</v>
      </c>
      <c r="AA72" s="105">
        <v>47178</v>
      </c>
      <c r="AB72" s="105">
        <v>47208</v>
      </c>
      <c r="AC72" s="105">
        <v>47179</v>
      </c>
      <c r="AD72" s="105">
        <v>47209</v>
      </c>
      <c r="AE72" s="105">
        <v>47209</v>
      </c>
      <c r="AF72" s="105">
        <v>47238</v>
      </c>
      <c r="AG72" s="105">
        <v>47210</v>
      </c>
      <c r="AH72" s="105">
        <v>47239</v>
      </c>
      <c r="AI72" s="105">
        <v>47239</v>
      </c>
      <c r="AJ72" s="105">
        <v>47269</v>
      </c>
      <c r="AK72" s="105">
        <v>47240</v>
      </c>
      <c r="AL72" s="105">
        <v>47270</v>
      </c>
      <c r="AM72" s="105">
        <v>47270</v>
      </c>
      <c r="AN72" s="105">
        <v>47299</v>
      </c>
      <c r="AO72" s="105">
        <v>47271</v>
      </c>
      <c r="AP72" s="105">
        <v>47300</v>
      </c>
      <c r="AQ72" s="105">
        <v>47300</v>
      </c>
      <c r="AR72" s="105">
        <v>47330</v>
      </c>
      <c r="AS72" s="105">
        <v>47301</v>
      </c>
      <c r="AT72" s="105">
        <v>47331</v>
      </c>
      <c r="AU72" s="105">
        <v>47331</v>
      </c>
      <c r="AV72" s="105">
        <v>47361</v>
      </c>
      <c r="AW72" s="105">
        <v>47332</v>
      </c>
      <c r="AX72" s="105">
        <v>47362</v>
      </c>
      <c r="AY72" s="105">
        <v>47362</v>
      </c>
      <c r="AZ72" s="105">
        <v>47391</v>
      </c>
      <c r="BA72" s="105">
        <v>47363</v>
      </c>
      <c r="BB72" s="105">
        <v>47392</v>
      </c>
      <c r="BC72" s="105">
        <v>47392</v>
      </c>
      <c r="BD72" s="105">
        <v>47422</v>
      </c>
      <c r="BE72" s="105">
        <v>47393</v>
      </c>
      <c r="BF72" s="105">
        <v>47423</v>
      </c>
      <c r="BG72" s="105">
        <v>47423</v>
      </c>
      <c r="BH72" s="105">
        <v>47452</v>
      </c>
      <c r="BI72" s="105">
        <v>47424</v>
      </c>
      <c r="BJ72" s="105">
        <v>47453</v>
      </c>
      <c r="BK72" s="105">
        <v>47453</v>
      </c>
      <c r="BL72" s="105">
        <v>47483</v>
      </c>
      <c r="BM72" s="105">
        <v>47454</v>
      </c>
      <c r="BN72" s="105">
        <v>47484</v>
      </c>
    </row>
    <row r="73" spans="12:66" ht="51" customHeight="1">
      <c r="L73" s="105"/>
      <c r="M73" s="105"/>
      <c r="N73" s="105"/>
      <c r="O73" s="105"/>
      <c r="R73">
        <v>2030</v>
      </c>
      <c r="S73" s="105">
        <v>47484</v>
      </c>
      <c r="T73" s="105">
        <v>47514</v>
      </c>
      <c r="U73" s="105">
        <v>47485</v>
      </c>
      <c r="V73" s="105">
        <v>47515</v>
      </c>
      <c r="W73" s="105">
        <v>47515</v>
      </c>
      <c r="X73" s="105">
        <v>47542</v>
      </c>
      <c r="Y73" s="105">
        <v>47516</v>
      </c>
      <c r="Z73" s="105">
        <v>47543</v>
      </c>
      <c r="AA73" s="105">
        <v>47543</v>
      </c>
      <c r="AB73" s="105">
        <v>47573</v>
      </c>
      <c r="AC73" s="105">
        <v>47544</v>
      </c>
      <c r="AD73" s="105">
        <v>47574</v>
      </c>
      <c r="AE73" s="105">
        <v>47574</v>
      </c>
      <c r="AF73" s="105">
        <v>47603</v>
      </c>
      <c r="AG73" s="105">
        <v>47575</v>
      </c>
      <c r="AH73" s="105">
        <v>47604</v>
      </c>
      <c r="AI73" s="105">
        <v>47604</v>
      </c>
      <c r="AJ73" s="105">
        <v>47634</v>
      </c>
      <c r="AK73" s="105">
        <v>47605</v>
      </c>
      <c r="AL73" s="105">
        <v>47635</v>
      </c>
      <c r="AM73" s="105">
        <v>47635</v>
      </c>
      <c r="AN73" s="105">
        <v>47664</v>
      </c>
      <c r="AO73" s="105">
        <v>47636</v>
      </c>
      <c r="AP73" s="105">
        <v>47665</v>
      </c>
      <c r="AQ73" s="105">
        <v>47665</v>
      </c>
      <c r="AR73" s="105">
        <v>47695</v>
      </c>
      <c r="AS73" s="105">
        <v>47666</v>
      </c>
      <c r="AT73" s="105">
        <v>47696</v>
      </c>
      <c r="AU73" s="105">
        <v>47696</v>
      </c>
      <c r="AV73" s="105">
        <v>47726</v>
      </c>
      <c r="AW73" s="105">
        <v>47697</v>
      </c>
      <c r="AX73" s="105">
        <v>47727</v>
      </c>
      <c r="AY73" s="105">
        <v>47727</v>
      </c>
      <c r="AZ73" s="105">
        <v>47756</v>
      </c>
      <c r="BA73" s="105">
        <v>47728</v>
      </c>
      <c r="BB73" s="105">
        <v>47757</v>
      </c>
      <c r="BC73" s="105">
        <v>47757</v>
      </c>
      <c r="BD73" s="105">
        <v>47787</v>
      </c>
      <c r="BE73" s="105">
        <v>47758</v>
      </c>
      <c r="BF73" s="105">
        <v>47788</v>
      </c>
      <c r="BG73" s="105">
        <v>47788</v>
      </c>
      <c r="BH73" s="105">
        <v>47817</v>
      </c>
      <c r="BI73" s="105">
        <v>47789</v>
      </c>
      <c r="BJ73" s="105">
        <v>47818</v>
      </c>
      <c r="BK73" s="105">
        <v>47818</v>
      </c>
      <c r="BL73" s="105">
        <v>47848</v>
      </c>
      <c r="BM73" s="105">
        <v>47819</v>
      </c>
      <c r="BN73" s="105">
        <v>47849</v>
      </c>
    </row>
    <row r="74" spans="12:66" ht="51" customHeight="1">
      <c r="L74" s="105"/>
      <c r="M74" s="105"/>
      <c r="N74" s="105"/>
      <c r="O74" s="105"/>
      <c r="R74">
        <v>2031</v>
      </c>
      <c r="S74" s="105">
        <v>47849</v>
      </c>
      <c r="T74" s="105">
        <v>47879</v>
      </c>
      <c r="U74" s="105">
        <v>47850</v>
      </c>
      <c r="V74" s="105">
        <v>47880</v>
      </c>
      <c r="W74" s="105">
        <v>47880</v>
      </c>
      <c r="X74" s="105">
        <v>47907</v>
      </c>
      <c r="Y74" s="105">
        <v>47881</v>
      </c>
      <c r="Z74" s="105">
        <v>47908</v>
      </c>
      <c r="AA74" s="105">
        <v>47908</v>
      </c>
      <c r="AB74" s="105">
        <v>47938</v>
      </c>
      <c r="AC74" s="105">
        <v>47909</v>
      </c>
      <c r="AD74" s="105">
        <v>47939</v>
      </c>
      <c r="AE74" s="105">
        <v>47939</v>
      </c>
      <c r="AF74" s="105">
        <v>47968</v>
      </c>
      <c r="AG74" s="105">
        <v>47940</v>
      </c>
      <c r="AH74" s="105">
        <v>47969</v>
      </c>
      <c r="AI74" s="105">
        <v>47969</v>
      </c>
      <c r="AJ74" s="105">
        <v>47999</v>
      </c>
      <c r="AK74" s="105">
        <v>47970</v>
      </c>
      <c r="AL74" s="105">
        <v>48000</v>
      </c>
      <c r="AM74" s="105">
        <v>48000</v>
      </c>
      <c r="AN74" s="105">
        <v>48029</v>
      </c>
      <c r="AO74" s="105">
        <v>48001</v>
      </c>
      <c r="AP74" s="105">
        <v>48030</v>
      </c>
      <c r="AQ74" s="105">
        <v>48030</v>
      </c>
      <c r="AR74" s="105">
        <v>48060</v>
      </c>
      <c r="AS74" s="105">
        <v>48031</v>
      </c>
      <c r="AT74" s="105">
        <v>48061</v>
      </c>
      <c r="AU74" s="105">
        <v>48061</v>
      </c>
      <c r="AV74" s="105">
        <v>48091</v>
      </c>
      <c r="AW74" s="105">
        <v>48062</v>
      </c>
      <c r="AX74" s="105">
        <v>48092</v>
      </c>
      <c r="AY74" s="105">
        <v>48092</v>
      </c>
      <c r="AZ74" s="105">
        <v>48121</v>
      </c>
      <c r="BA74" s="105">
        <v>48093</v>
      </c>
      <c r="BB74" s="105">
        <v>48122</v>
      </c>
      <c r="BC74" s="105">
        <v>48122</v>
      </c>
      <c r="BD74" s="105">
        <v>48152</v>
      </c>
      <c r="BE74" s="105">
        <v>48123</v>
      </c>
      <c r="BF74" s="105">
        <v>48153</v>
      </c>
      <c r="BG74" s="105">
        <v>48153</v>
      </c>
      <c r="BH74" s="105">
        <v>48182</v>
      </c>
      <c r="BI74" s="105">
        <v>48154</v>
      </c>
      <c r="BJ74" s="105">
        <v>48183</v>
      </c>
      <c r="BK74" s="105">
        <v>48183</v>
      </c>
      <c r="BL74" s="105">
        <v>48213</v>
      </c>
      <c r="BM74" s="105">
        <v>48184</v>
      </c>
      <c r="BN74" s="105">
        <v>48214</v>
      </c>
    </row>
    <row r="75" spans="12:66" ht="51" customHeight="1">
      <c r="R75">
        <v>2032</v>
      </c>
      <c r="S75" s="105">
        <v>48214</v>
      </c>
      <c r="T75" s="105">
        <v>48244</v>
      </c>
      <c r="U75" s="105">
        <v>48215</v>
      </c>
      <c r="V75" s="105">
        <v>48245</v>
      </c>
      <c r="W75" s="105">
        <v>48245</v>
      </c>
      <c r="X75" s="105">
        <v>48273</v>
      </c>
      <c r="Y75" s="105">
        <v>48246</v>
      </c>
      <c r="Z75" s="105">
        <v>48274</v>
      </c>
      <c r="AA75" s="105">
        <v>48274</v>
      </c>
      <c r="AB75" s="105">
        <v>48304</v>
      </c>
      <c r="AC75" s="105">
        <v>48275</v>
      </c>
      <c r="AD75" s="105">
        <v>48305</v>
      </c>
      <c r="AE75" s="105">
        <v>48305</v>
      </c>
      <c r="AF75" s="105">
        <v>48334</v>
      </c>
      <c r="AG75" s="105">
        <v>48306</v>
      </c>
      <c r="AH75" s="105">
        <v>48335</v>
      </c>
      <c r="AI75" s="105">
        <v>48335</v>
      </c>
      <c r="AJ75" s="105">
        <v>48365</v>
      </c>
      <c r="AK75" s="105">
        <v>48336</v>
      </c>
      <c r="AL75" s="105">
        <v>48366</v>
      </c>
      <c r="AM75" s="105">
        <v>48366</v>
      </c>
      <c r="AN75" s="105">
        <v>48395</v>
      </c>
      <c r="AO75" s="105">
        <v>48367</v>
      </c>
      <c r="AP75" s="105">
        <v>48396</v>
      </c>
      <c r="AQ75" s="105">
        <v>48396</v>
      </c>
      <c r="AR75" s="105">
        <v>48426</v>
      </c>
      <c r="AS75" s="105">
        <v>48397</v>
      </c>
      <c r="AT75" s="105">
        <v>48427</v>
      </c>
      <c r="AU75" s="105">
        <v>48427</v>
      </c>
      <c r="AV75" s="105">
        <v>48457</v>
      </c>
      <c r="AW75" s="105">
        <v>48428</v>
      </c>
      <c r="AX75" s="105">
        <v>48458</v>
      </c>
      <c r="AY75" s="105">
        <v>48458</v>
      </c>
      <c r="AZ75" s="105">
        <v>48487</v>
      </c>
      <c r="BA75" s="105">
        <v>48459</v>
      </c>
      <c r="BB75" s="105">
        <v>48488</v>
      </c>
      <c r="BC75" s="105">
        <v>48488</v>
      </c>
      <c r="BD75" s="105">
        <v>48518</v>
      </c>
      <c r="BE75" s="105">
        <v>48489</v>
      </c>
      <c r="BF75" s="105">
        <v>48519</v>
      </c>
      <c r="BG75" s="105">
        <v>48519</v>
      </c>
      <c r="BH75" s="105">
        <v>48548</v>
      </c>
      <c r="BI75" s="105">
        <v>48520</v>
      </c>
      <c r="BJ75" s="105">
        <v>48549</v>
      </c>
      <c r="BK75" s="105">
        <v>48549</v>
      </c>
      <c r="BL75" s="105">
        <v>48579</v>
      </c>
      <c r="BM75" s="105">
        <v>48550</v>
      </c>
      <c r="BN75" s="105">
        <v>48580</v>
      </c>
    </row>
    <row r="76" spans="12:66" ht="51" customHeight="1">
      <c r="R76">
        <v>2033</v>
      </c>
      <c r="S76" s="105">
        <v>48580</v>
      </c>
      <c r="T76" s="105">
        <v>48610</v>
      </c>
      <c r="U76" s="105">
        <v>48581</v>
      </c>
      <c r="V76" s="105">
        <v>48611</v>
      </c>
      <c r="W76" s="105">
        <v>48611</v>
      </c>
      <c r="X76" s="105">
        <v>48638</v>
      </c>
      <c r="Y76" s="105">
        <v>48612</v>
      </c>
      <c r="Z76" s="105">
        <v>48639</v>
      </c>
      <c r="AA76" s="105">
        <v>48639</v>
      </c>
      <c r="AB76" s="105">
        <v>48669</v>
      </c>
      <c r="AC76" s="105">
        <v>48640</v>
      </c>
      <c r="AD76" s="105">
        <v>48670</v>
      </c>
      <c r="AE76" s="105">
        <v>48670</v>
      </c>
      <c r="AF76" s="105">
        <v>48699</v>
      </c>
      <c r="AG76" s="105">
        <v>48671</v>
      </c>
      <c r="AH76" s="105">
        <v>48700</v>
      </c>
      <c r="AI76" s="105">
        <v>48700</v>
      </c>
      <c r="AJ76" s="105">
        <v>48730</v>
      </c>
      <c r="AK76" s="105">
        <v>48701</v>
      </c>
      <c r="AL76" s="105">
        <v>48731</v>
      </c>
      <c r="AM76" s="105">
        <v>48731</v>
      </c>
      <c r="AN76" s="105">
        <v>48760</v>
      </c>
      <c r="AO76" s="105">
        <v>48732</v>
      </c>
      <c r="AP76" s="105">
        <v>48761</v>
      </c>
      <c r="AQ76" s="105">
        <v>48761</v>
      </c>
      <c r="AR76" s="105">
        <v>48791</v>
      </c>
      <c r="AS76" s="105">
        <v>48762</v>
      </c>
      <c r="AT76" s="105">
        <v>48792</v>
      </c>
      <c r="AU76" s="105">
        <v>48792</v>
      </c>
      <c r="AV76" s="105">
        <v>48822</v>
      </c>
      <c r="AW76" s="105">
        <v>48793</v>
      </c>
      <c r="AX76" s="105">
        <v>48823</v>
      </c>
      <c r="AY76" s="105">
        <v>48823</v>
      </c>
      <c r="AZ76" s="105">
        <v>48852</v>
      </c>
      <c r="BA76" s="105">
        <v>48824</v>
      </c>
      <c r="BB76" s="105">
        <v>48853</v>
      </c>
      <c r="BC76" s="105">
        <v>48853</v>
      </c>
      <c r="BD76" s="105">
        <v>48883</v>
      </c>
      <c r="BE76" s="105">
        <v>48854</v>
      </c>
      <c r="BF76" s="105">
        <v>48884</v>
      </c>
      <c r="BG76" s="105">
        <v>48884</v>
      </c>
      <c r="BH76" s="105">
        <v>48913</v>
      </c>
      <c r="BI76" s="105">
        <v>48885</v>
      </c>
      <c r="BJ76" s="105">
        <v>48914</v>
      </c>
      <c r="BK76" s="105">
        <v>48914</v>
      </c>
      <c r="BL76" s="105">
        <v>48944</v>
      </c>
      <c r="BM76" s="105">
        <v>48915</v>
      </c>
      <c r="BN76" s="105">
        <v>48945</v>
      </c>
    </row>
    <row r="77" spans="12:66" ht="51" customHeight="1">
      <c r="R77">
        <v>2034</v>
      </c>
      <c r="S77" s="105">
        <v>48945</v>
      </c>
      <c r="T77" s="105">
        <v>48975</v>
      </c>
      <c r="U77" s="105">
        <v>48946</v>
      </c>
      <c r="V77" s="105">
        <v>48976</v>
      </c>
      <c r="W77" s="105">
        <v>48976</v>
      </c>
      <c r="X77" s="105">
        <v>49003</v>
      </c>
      <c r="Y77" s="105">
        <v>48977</v>
      </c>
      <c r="Z77" s="105">
        <v>49004</v>
      </c>
      <c r="AA77" s="105">
        <v>49004</v>
      </c>
      <c r="AB77" s="105">
        <v>49034</v>
      </c>
      <c r="AC77" s="105">
        <v>49005</v>
      </c>
      <c r="AD77" s="105">
        <v>49035</v>
      </c>
      <c r="AE77" s="105">
        <v>49035</v>
      </c>
      <c r="AF77" s="105">
        <v>49064</v>
      </c>
      <c r="AG77" s="105">
        <v>49036</v>
      </c>
      <c r="AH77" s="105">
        <v>49065</v>
      </c>
      <c r="AI77" s="105">
        <v>49065</v>
      </c>
      <c r="AJ77" s="105">
        <v>49095</v>
      </c>
      <c r="AK77" s="105">
        <v>49066</v>
      </c>
      <c r="AL77" s="105">
        <v>49096</v>
      </c>
      <c r="AM77" s="105">
        <v>49096</v>
      </c>
      <c r="AN77" s="105">
        <v>49125</v>
      </c>
      <c r="AO77" s="105">
        <v>49097</v>
      </c>
      <c r="AP77" s="105">
        <v>49126</v>
      </c>
      <c r="AQ77" s="105">
        <v>49126</v>
      </c>
      <c r="AR77" s="105">
        <v>49156</v>
      </c>
      <c r="AS77" s="105">
        <v>49127</v>
      </c>
      <c r="AT77" s="105">
        <v>49157</v>
      </c>
      <c r="AU77" s="105">
        <v>49157</v>
      </c>
      <c r="AV77" s="105">
        <v>49187</v>
      </c>
      <c r="AW77" s="105">
        <v>49158</v>
      </c>
      <c r="AX77" s="105">
        <v>49188</v>
      </c>
      <c r="AY77" s="105">
        <v>49188</v>
      </c>
      <c r="AZ77" s="105">
        <v>49217</v>
      </c>
      <c r="BA77" s="105">
        <v>49189</v>
      </c>
      <c r="BB77" s="105">
        <v>49218</v>
      </c>
      <c r="BC77" s="105">
        <v>49218</v>
      </c>
      <c r="BD77" s="105">
        <v>49248</v>
      </c>
      <c r="BE77" s="105">
        <v>49219</v>
      </c>
      <c r="BF77" s="105">
        <v>49249</v>
      </c>
      <c r="BG77" s="105">
        <v>49249</v>
      </c>
      <c r="BH77" s="105">
        <v>49278</v>
      </c>
      <c r="BI77" s="105">
        <v>49250</v>
      </c>
      <c r="BJ77" s="105">
        <v>49279</v>
      </c>
      <c r="BK77" s="105">
        <v>49279</v>
      </c>
      <c r="BL77" s="105">
        <v>49309</v>
      </c>
      <c r="BM77" s="105">
        <v>49280</v>
      </c>
      <c r="BN77" s="105">
        <v>49310</v>
      </c>
    </row>
    <row r="78" spans="12:66" ht="51" customHeight="1">
      <c r="R78">
        <v>2035</v>
      </c>
      <c r="S78" s="105">
        <v>49310</v>
      </c>
      <c r="T78" s="105">
        <v>49340</v>
      </c>
      <c r="U78" s="105">
        <v>49311</v>
      </c>
      <c r="V78" s="105">
        <v>49341</v>
      </c>
      <c r="W78" s="105">
        <v>49341</v>
      </c>
      <c r="X78" s="105">
        <v>49368</v>
      </c>
      <c r="Y78" s="105">
        <v>49342</v>
      </c>
      <c r="Z78" s="105">
        <v>49369</v>
      </c>
      <c r="AA78" s="105">
        <v>49369</v>
      </c>
      <c r="AB78" s="105">
        <v>49399</v>
      </c>
      <c r="AC78" s="105">
        <v>49370</v>
      </c>
      <c r="AD78" s="105">
        <v>49400</v>
      </c>
      <c r="AE78" s="105">
        <v>49400</v>
      </c>
      <c r="AF78" s="105">
        <v>49429</v>
      </c>
      <c r="AG78" s="105">
        <v>49401</v>
      </c>
      <c r="AH78" s="105">
        <v>49430</v>
      </c>
      <c r="AI78" s="105">
        <v>49430</v>
      </c>
      <c r="AJ78" s="105">
        <v>49460</v>
      </c>
      <c r="AK78" s="105">
        <v>49431</v>
      </c>
      <c r="AL78" s="105">
        <v>49461</v>
      </c>
      <c r="AM78" s="105">
        <v>49461</v>
      </c>
      <c r="AN78" s="105">
        <v>49490</v>
      </c>
      <c r="AO78" s="105">
        <v>49462</v>
      </c>
      <c r="AP78" s="105">
        <v>49491</v>
      </c>
      <c r="AQ78" s="105">
        <v>49491</v>
      </c>
      <c r="AR78" s="105">
        <v>49521</v>
      </c>
      <c r="AS78" s="105">
        <v>49492</v>
      </c>
      <c r="AT78" s="105">
        <v>49522</v>
      </c>
      <c r="AU78" s="105">
        <v>49522</v>
      </c>
      <c r="AV78" s="105">
        <v>49552</v>
      </c>
      <c r="AW78" s="105">
        <v>49523</v>
      </c>
      <c r="AX78" s="105">
        <v>49553</v>
      </c>
      <c r="AY78" s="105">
        <v>49553</v>
      </c>
      <c r="AZ78" s="105">
        <v>49582</v>
      </c>
      <c r="BA78" s="105">
        <v>49554</v>
      </c>
      <c r="BB78" s="105">
        <v>49583</v>
      </c>
      <c r="BC78" s="105">
        <v>49583</v>
      </c>
      <c r="BD78" s="105">
        <v>49613</v>
      </c>
      <c r="BE78" s="105">
        <v>49584</v>
      </c>
      <c r="BF78" s="105">
        <v>49614</v>
      </c>
      <c r="BG78" s="105">
        <v>49614</v>
      </c>
      <c r="BH78" s="105">
        <v>49643</v>
      </c>
      <c r="BI78" s="105">
        <v>49615</v>
      </c>
      <c r="BJ78" s="105">
        <v>49644</v>
      </c>
      <c r="BK78" s="105">
        <v>49644</v>
      </c>
      <c r="BL78" s="105">
        <v>49674</v>
      </c>
      <c r="BM78" s="105">
        <v>49645</v>
      </c>
      <c r="BN78" s="105">
        <v>49675</v>
      </c>
    </row>
    <row r="79" spans="12:66" ht="51" customHeight="1">
      <c r="S79" s="105"/>
      <c r="T79" s="105"/>
      <c r="U79" s="105"/>
      <c r="V79" s="105"/>
    </row>
    <row r="80" spans="12:66" ht="51" customHeight="1">
      <c r="S80" s="105"/>
      <c r="T80" s="105"/>
      <c r="U80" s="105"/>
      <c r="V80" s="105"/>
    </row>
    <row r="81" spans="19:22" ht="51" customHeight="1">
      <c r="S81" s="105"/>
      <c r="T81" s="105"/>
      <c r="U81" s="105"/>
      <c r="V81" s="105"/>
    </row>
    <row r="82" spans="19:22" ht="51" customHeight="1">
      <c r="S82" s="105"/>
      <c r="T82" s="105"/>
      <c r="U82" s="105"/>
      <c r="V82" s="105"/>
    </row>
    <row r="83" spans="19:22" ht="51" customHeight="1">
      <c r="S83" s="105"/>
      <c r="T83" s="105"/>
      <c r="U83" s="105"/>
      <c r="V83" s="105"/>
    </row>
    <row r="84" spans="19:22" ht="51" customHeight="1">
      <c r="S84" s="105"/>
      <c r="T84" s="105"/>
      <c r="U84" s="105"/>
      <c r="V84" s="105"/>
    </row>
    <row r="85" spans="19:22" ht="51" customHeight="1">
      <c r="S85" s="105"/>
      <c r="T85" s="105"/>
      <c r="U85" s="105"/>
      <c r="V85" s="105"/>
    </row>
    <row r="86" spans="19:22" ht="51" customHeight="1">
      <c r="S86" s="105"/>
      <c r="T86" s="105"/>
      <c r="U86" s="105"/>
      <c r="V86" s="105"/>
    </row>
    <row r="87" spans="19:22" ht="51" customHeight="1">
      <c r="S87" s="105"/>
      <c r="T87" s="105"/>
      <c r="U87" s="105"/>
      <c r="V87" s="105"/>
    </row>
    <row r="88" spans="19:22" ht="51" customHeight="1">
      <c r="S88" s="105"/>
      <c r="T88" s="105"/>
      <c r="U88" s="105"/>
      <c r="V88" s="105"/>
    </row>
    <row r="89" spans="19:22" ht="51" customHeight="1">
      <c r="S89" s="105"/>
      <c r="T89" s="105"/>
      <c r="U89" s="105"/>
      <c r="V89" s="105"/>
    </row>
    <row r="90" spans="19:22" ht="51" customHeight="1">
      <c r="S90" s="105"/>
      <c r="T90" s="105"/>
      <c r="U90" s="105"/>
      <c r="V90" s="105"/>
    </row>
    <row r="91" spans="19:22" ht="51" customHeight="1">
      <c r="S91" s="105"/>
      <c r="T91" s="105"/>
      <c r="U91" s="105"/>
      <c r="V91" s="105"/>
    </row>
    <row r="92" spans="19:22" ht="51" customHeight="1">
      <c r="S92" s="105"/>
      <c r="T92" s="105"/>
      <c r="U92" s="105"/>
      <c r="V92" s="105"/>
    </row>
    <row r="93" spans="19:22" ht="51" customHeight="1">
      <c r="S93" s="105"/>
      <c r="T93" s="105"/>
      <c r="U93" s="105"/>
      <c r="V93" s="105"/>
    </row>
    <row r="94" spans="19:22" ht="51" customHeight="1">
      <c r="S94" s="105"/>
      <c r="T94" s="105"/>
      <c r="U94" s="105"/>
      <c r="V94" s="105"/>
    </row>
    <row r="95" spans="19:22" ht="51" customHeight="1">
      <c r="S95" s="105"/>
      <c r="T95" s="105"/>
      <c r="U95" s="105"/>
      <c r="V95" s="105"/>
    </row>
    <row r="96" spans="19:22" ht="51" customHeight="1">
      <c r="S96" s="105"/>
      <c r="T96" s="105"/>
      <c r="U96" s="105"/>
      <c r="V96" s="105"/>
    </row>
    <row r="97" spans="19:22" ht="51" customHeight="1">
      <c r="S97" s="105"/>
      <c r="T97" s="105"/>
      <c r="U97" s="105"/>
      <c r="V97" s="105"/>
    </row>
    <row r="98" spans="19:22" ht="51" customHeight="1">
      <c r="S98" s="105"/>
      <c r="T98" s="105"/>
      <c r="U98" s="105"/>
      <c r="V98" s="105"/>
    </row>
    <row r="99" spans="19:22" ht="51" customHeight="1">
      <c r="S99" s="105"/>
      <c r="T99" s="105"/>
      <c r="U99" s="105"/>
      <c r="V99" s="105"/>
    </row>
    <row r="100" spans="19:22" ht="51" customHeight="1">
      <c r="S100" s="105"/>
      <c r="T100" s="105"/>
      <c r="U100" s="105"/>
      <c r="V100" s="105"/>
    </row>
    <row r="101" spans="19:22" ht="51" customHeight="1">
      <c r="S101" s="105"/>
      <c r="T101" s="105"/>
      <c r="U101" s="105"/>
      <c r="V101" s="105"/>
    </row>
    <row r="102" spans="19:22" ht="51" customHeight="1">
      <c r="S102" s="105"/>
      <c r="T102" s="105"/>
      <c r="U102" s="105"/>
      <c r="V102" s="105"/>
    </row>
    <row r="103" spans="19:22" ht="51" customHeight="1">
      <c r="S103" s="105"/>
      <c r="T103" s="105"/>
      <c r="U103" s="105"/>
      <c r="V103" s="105"/>
    </row>
    <row r="104" spans="19:22" ht="51" customHeight="1">
      <c r="S104" s="105"/>
      <c r="T104" s="105"/>
      <c r="U104" s="105"/>
      <c r="V104" s="105"/>
    </row>
    <row r="105" spans="19:22" ht="51" customHeight="1">
      <c r="S105" s="105"/>
      <c r="T105" s="105"/>
      <c r="U105" s="105"/>
      <c r="V105" s="105"/>
    </row>
    <row r="106" spans="19:22" ht="51" customHeight="1">
      <c r="S106" s="105"/>
      <c r="T106" s="105"/>
      <c r="U106" s="105"/>
      <c r="V106" s="105"/>
    </row>
    <row r="107" spans="19:22" ht="51" customHeight="1">
      <c r="S107" s="105"/>
      <c r="T107" s="105"/>
      <c r="U107" s="105"/>
      <c r="V107" s="105"/>
    </row>
    <row r="108" spans="19:22" ht="51" customHeight="1">
      <c r="S108" s="105"/>
      <c r="T108" s="105"/>
      <c r="U108" s="105"/>
      <c r="V108" s="105"/>
    </row>
    <row r="109" spans="19:22" ht="51" customHeight="1">
      <c r="S109" s="105"/>
      <c r="T109" s="105"/>
      <c r="U109" s="105"/>
      <c r="V109" s="105"/>
    </row>
    <row r="110" spans="19:22" ht="51" customHeight="1">
      <c r="S110" s="105"/>
      <c r="T110" s="105"/>
      <c r="U110" s="105"/>
      <c r="V110" s="105"/>
    </row>
    <row r="111" spans="19:22" ht="51" customHeight="1"/>
    <row r="112" spans="19:22" ht="51" customHeight="1"/>
    <row r="113" ht="51" customHeight="1"/>
    <row r="114" ht="51" customHeight="1"/>
    <row r="115" ht="51" customHeight="1"/>
    <row r="116" ht="51" customHeight="1"/>
    <row r="117" ht="51" customHeight="1"/>
    <row r="118" ht="51" customHeight="1"/>
    <row r="119" ht="51" customHeight="1"/>
    <row r="120" ht="51" customHeight="1"/>
    <row r="121" ht="51" customHeight="1"/>
    <row r="122" ht="51" customHeight="1"/>
    <row r="123" ht="51" customHeight="1"/>
    <row r="124" ht="51" customHeight="1"/>
    <row r="125" ht="51" customHeight="1"/>
    <row r="126" ht="51" customHeight="1"/>
    <row r="127" ht="51" customHeight="1"/>
    <row r="128" ht="51" customHeight="1"/>
    <row r="129" ht="51" customHeight="1"/>
    <row r="130" ht="51" customHeight="1"/>
    <row r="131" ht="51" customHeight="1"/>
    <row r="132" ht="51" customHeight="1"/>
    <row r="133" ht="51" customHeight="1"/>
    <row r="134" ht="51" customHeight="1"/>
    <row r="135" ht="51" customHeight="1"/>
    <row r="136" ht="51" customHeight="1"/>
    <row r="137" ht="51" customHeight="1"/>
    <row r="138" ht="51" customHeight="1"/>
    <row r="139" ht="51" customHeight="1"/>
    <row r="140" ht="51" customHeight="1"/>
    <row r="141" ht="51" customHeight="1"/>
    <row r="142" ht="51" customHeight="1"/>
    <row r="143" ht="51" customHeight="1"/>
    <row r="144" ht="51" customHeight="1"/>
    <row r="145" ht="51" customHeight="1"/>
    <row r="146" ht="51" customHeight="1"/>
    <row r="147" ht="51" customHeight="1"/>
    <row r="148" ht="51" customHeight="1"/>
    <row r="149" ht="51" customHeight="1"/>
    <row r="150" ht="51" customHeight="1"/>
    <row r="151" ht="51" customHeight="1"/>
    <row r="152" ht="51" customHeight="1"/>
    <row r="153" ht="51" customHeight="1"/>
    <row r="154" ht="51" customHeight="1"/>
    <row r="155" ht="51" customHeight="1"/>
    <row r="156" ht="51" customHeight="1"/>
    <row r="157" ht="51" customHeight="1"/>
    <row r="158" ht="51" customHeight="1"/>
    <row r="159" ht="51" customHeight="1"/>
    <row r="160" ht="51" customHeight="1"/>
    <row r="161" ht="51" customHeight="1"/>
    <row r="162" ht="51" customHeight="1"/>
    <row r="163" ht="51" customHeight="1"/>
    <row r="164" ht="51" customHeight="1"/>
    <row r="165" ht="51" customHeight="1"/>
    <row r="166" ht="51" customHeight="1"/>
    <row r="167" ht="51" customHeight="1"/>
    <row r="168" ht="51" customHeight="1"/>
    <row r="169" ht="51" customHeight="1"/>
    <row r="170" ht="51" customHeight="1"/>
    <row r="171" ht="51" customHeight="1"/>
    <row r="172" ht="51" customHeight="1"/>
    <row r="173" ht="51" customHeight="1"/>
    <row r="174" ht="51" customHeight="1"/>
    <row r="175" ht="51" customHeight="1"/>
    <row r="176" ht="51" customHeight="1"/>
    <row r="177" ht="51" customHeight="1"/>
    <row r="178" ht="51" customHeight="1"/>
    <row r="179" ht="51" customHeight="1"/>
    <row r="180" ht="51" customHeight="1"/>
    <row r="181" ht="51" customHeight="1"/>
    <row r="182" ht="51" customHeight="1"/>
    <row r="183" ht="51" customHeight="1"/>
    <row r="184" ht="51" customHeight="1"/>
    <row r="185" ht="51" customHeight="1"/>
    <row r="186" ht="51" customHeight="1"/>
    <row r="187" ht="51" customHeight="1"/>
    <row r="188" ht="51" customHeight="1"/>
    <row r="189" ht="51" customHeight="1"/>
    <row r="190" ht="51" customHeight="1"/>
    <row r="191" ht="51" customHeight="1"/>
    <row r="192" ht="51" customHeight="1"/>
    <row r="193" ht="51" customHeight="1"/>
    <row r="194" ht="51" customHeight="1"/>
    <row r="195" ht="51" customHeight="1"/>
    <row r="196" ht="51" customHeight="1"/>
    <row r="197" ht="51" customHeight="1"/>
    <row r="198" ht="51" customHeight="1"/>
    <row r="199" ht="51" customHeight="1"/>
    <row r="200" ht="51" customHeight="1"/>
    <row r="201" ht="51" customHeight="1"/>
    <row r="202" ht="51" customHeight="1"/>
    <row r="203" ht="51" customHeight="1"/>
    <row r="204" ht="51" customHeight="1"/>
    <row r="205" ht="51" customHeight="1"/>
    <row r="206" ht="51" customHeight="1"/>
    <row r="207" ht="51" customHeight="1"/>
    <row r="208" ht="51" customHeight="1"/>
    <row r="209" ht="51" customHeight="1"/>
    <row r="210" ht="51" customHeight="1"/>
    <row r="211" ht="51" customHeight="1"/>
    <row r="212" ht="51" customHeight="1"/>
    <row r="213" ht="51" customHeight="1"/>
    <row r="214" ht="51" customHeight="1"/>
    <row r="215" ht="51" customHeight="1"/>
    <row r="216" ht="51" customHeight="1"/>
    <row r="217" ht="51" customHeight="1"/>
    <row r="218" ht="51" customHeight="1"/>
    <row r="219" ht="51" customHeight="1"/>
    <row r="220" ht="51" customHeight="1"/>
    <row r="221" ht="51" customHeight="1"/>
    <row r="222" ht="51" customHeight="1"/>
    <row r="223" ht="51" customHeight="1"/>
    <row r="224" ht="51" customHeight="1"/>
    <row r="225" ht="51" customHeight="1"/>
    <row r="226" ht="51" customHeight="1"/>
    <row r="227" ht="51" customHeight="1"/>
    <row r="228" ht="51" customHeight="1"/>
    <row r="229" ht="51" customHeight="1"/>
    <row r="230" ht="51" customHeight="1"/>
    <row r="231" ht="51" customHeight="1"/>
    <row r="232" ht="51" customHeight="1"/>
    <row r="233" ht="51" customHeight="1"/>
    <row r="234" ht="51" customHeight="1"/>
    <row r="235" ht="51" customHeight="1"/>
    <row r="236" ht="51" customHeight="1"/>
    <row r="237" ht="51" customHeight="1"/>
    <row r="238" ht="51" customHeight="1"/>
    <row r="239" ht="51" customHeight="1"/>
    <row r="240" ht="51" customHeight="1"/>
    <row r="241" ht="51" customHeight="1"/>
    <row r="242" ht="51" customHeight="1"/>
    <row r="243" ht="51" customHeight="1"/>
    <row r="244" ht="51" customHeight="1"/>
    <row r="245" ht="51" customHeight="1"/>
    <row r="246" ht="51" customHeight="1"/>
    <row r="247" ht="51" customHeight="1"/>
    <row r="248" ht="51" customHeight="1"/>
    <row r="249" ht="51" customHeight="1"/>
    <row r="250" ht="51" customHeight="1"/>
    <row r="251" ht="51" customHeight="1"/>
    <row r="252" ht="51" customHeight="1"/>
    <row r="253" ht="51" customHeight="1"/>
    <row r="254" ht="51" customHeight="1"/>
    <row r="255" ht="51" customHeight="1"/>
    <row r="256" ht="51" customHeight="1"/>
    <row r="257" ht="51" customHeight="1"/>
    <row r="258" ht="51" customHeight="1"/>
    <row r="259" ht="51" customHeight="1"/>
    <row r="260" ht="51" customHeight="1"/>
    <row r="261" ht="51" customHeight="1"/>
    <row r="262" ht="51" customHeight="1"/>
    <row r="263" ht="51" customHeight="1"/>
    <row r="264" ht="51" customHeight="1"/>
    <row r="265" ht="51" customHeight="1"/>
    <row r="266" ht="51" customHeight="1"/>
    <row r="267" ht="51" customHeight="1"/>
    <row r="268" ht="51" customHeight="1"/>
    <row r="269" ht="51" customHeight="1"/>
    <row r="270" ht="51" customHeight="1"/>
    <row r="271" ht="51" customHeight="1"/>
    <row r="272" ht="51" customHeight="1"/>
    <row r="273" ht="51" customHeight="1"/>
    <row r="274" ht="51" customHeight="1"/>
    <row r="275" ht="51" customHeight="1"/>
    <row r="276" ht="51" customHeight="1"/>
    <row r="277" ht="51" customHeight="1"/>
    <row r="278" ht="51" customHeight="1"/>
    <row r="279" ht="51" customHeight="1"/>
    <row r="280" ht="51" customHeight="1"/>
    <row r="281" ht="51" customHeight="1"/>
    <row r="282" ht="51" customHeight="1"/>
    <row r="283" ht="51" customHeight="1"/>
    <row r="284" ht="51" customHeight="1"/>
    <row r="285" ht="51" customHeight="1"/>
    <row r="286" ht="51" customHeight="1"/>
    <row r="287" ht="51" customHeight="1"/>
    <row r="288" ht="51" customHeight="1"/>
    <row r="289" ht="51" customHeight="1"/>
    <row r="290" ht="51" customHeight="1"/>
    <row r="291" ht="51" customHeight="1"/>
    <row r="292" ht="51" customHeight="1"/>
    <row r="293" ht="51" customHeight="1"/>
    <row r="294" ht="51" customHeight="1"/>
    <row r="295" ht="51" customHeight="1"/>
    <row r="296" ht="51" customHeight="1"/>
    <row r="297" ht="51" customHeight="1"/>
    <row r="298" ht="51" customHeight="1"/>
    <row r="299" ht="51" customHeight="1"/>
    <row r="300" ht="51" customHeight="1"/>
    <row r="301" ht="51" customHeight="1"/>
    <row r="302" ht="51" customHeight="1"/>
    <row r="303" ht="51" customHeight="1"/>
    <row r="304" ht="51" customHeight="1"/>
    <row r="305" ht="51" customHeight="1"/>
    <row r="306" ht="51" customHeight="1"/>
    <row r="307" ht="51" customHeight="1"/>
    <row r="308" ht="51" customHeight="1"/>
    <row r="309" ht="51" customHeight="1"/>
    <row r="310" ht="51" customHeight="1"/>
    <row r="311" ht="51" customHeight="1"/>
    <row r="312" ht="51" customHeight="1"/>
    <row r="313" ht="51" customHeight="1"/>
    <row r="314" ht="51" customHeight="1"/>
    <row r="315" ht="51" customHeight="1"/>
    <row r="316" ht="51" customHeight="1"/>
    <row r="317" ht="51" customHeight="1"/>
    <row r="318" ht="51" customHeight="1"/>
    <row r="319" ht="51" customHeight="1"/>
    <row r="320" ht="51" customHeight="1"/>
    <row r="321" ht="51" customHeight="1"/>
    <row r="322" ht="51" customHeight="1"/>
    <row r="323" ht="51" customHeight="1"/>
    <row r="324" ht="51" customHeight="1"/>
    <row r="325" ht="51" customHeight="1"/>
    <row r="326" ht="51" customHeight="1"/>
    <row r="327" ht="51" customHeight="1"/>
    <row r="328" ht="51" customHeight="1"/>
    <row r="329" ht="51" customHeight="1"/>
    <row r="330" ht="51" customHeight="1"/>
    <row r="331" ht="51" customHeight="1"/>
    <row r="332" ht="51" customHeight="1"/>
    <row r="333" ht="51" customHeight="1"/>
    <row r="334" ht="51" customHeight="1"/>
    <row r="335" ht="51" customHeight="1"/>
    <row r="336" ht="51" customHeight="1"/>
    <row r="337" ht="51" customHeight="1"/>
    <row r="338" ht="51" customHeight="1"/>
    <row r="339" ht="51" customHeight="1"/>
    <row r="340" ht="51" customHeight="1"/>
    <row r="341" ht="51" customHeight="1"/>
    <row r="342" ht="51" customHeight="1"/>
    <row r="343" ht="51" customHeight="1"/>
    <row r="344" ht="51" customHeight="1"/>
    <row r="345" ht="51" customHeight="1"/>
    <row r="346" ht="51" customHeight="1"/>
    <row r="347" ht="51" customHeight="1"/>
    <row r="348" ht="51" customHeight="1"/>
    <row r="349" ht="51" customHeight="1"/>
    <row r="350" ht="51" customHeight="1"/>
    <row r="351" ht="51" customHeight="1"/>
    <row r="352" ht="51" customHeight="1"/>
  </sheetData>
  <phoneticPr fontId="19" type="noConversion"/>
  <pageMargins left="0.75" right="0.75" top="1" bottom="1" header="0.5" footer="0.5"/>
  <headerFooter alignWithMargins="0"/>
  <legacyDrawing r:id="rId1"/>
</worksheet>
</file>

<file path=xl/worksheets/sheet14.xml><?xml version="1.0" encoding="utf-8"?>
<worksheet xmlns="http://schemas.openxmlformats.org/spreadsheetml/2006/main" xmlns:r="http://schemas.openxmlformats.org/officeDocument/2006/relationships">
  <sheetPr codeName="Sheet1"/>
  <dimension ref="A4:X43"/>
  <sheetViews>
    <sheetView topLeftCell="C1" workbookViewId="0">
      <selection activeCell="P21" sqref="P21"/>
    </sheetView>
  </sheetViews>
  <sheetFormatPr defaultRowHeight="12.75"/>
  <cols>
    <col min="2" max="2" width="21.5703125" customWidth="1"/>
    <col min="3" max="3" width="9.85546875" customWidth="1"/>
    <col min="4" max="4" width="9.42578125" customWidth="1"/>
    <col min="5" max="5" width="6.5703125" customWidth="1"/>
    <col min="8" max="8" width="7.5703125" customWidth="1"/>
    <col min="9" max="10" width="10.140625" bestFit="1" customWidth="1"/>
    <col min="13" max="13" width="11.42578125" customWidth="1"/>
    <col min="14" max="14" width="9.140625" style="975"/>
  </cols>
  <sheetData>
    <row r="4" spans="1:24">
      <c r="E4" s="590" t="s">
        <v>770</v>
      </c>
      <c r="F4" s="674" t="s">
        <v>771</v>
      </c>
    </row>
    <row r="5" spans="1:24">
      <c r="E5" s="590" t="s">
        <v>772</v>
      </c>
      <c r="F5" s="674" t="s">
        <v>773</v>
      </c>
    </row>
    <row r="6" spans="1:24" ht="13.5" thickBot="1"/>
    <row r="7" spans="1:24" ht="51">
      <c r="A7" t="s">
        <v>1</v>
      </c>
      <c r="B7" s="1005" t="s">
        <v>755</v>
      </c>
      <c r="C7" s="998" t="s">
        <v>763</v>
      </c>
      <c r="D7" s="1009" t="s">
        <v>421</v>
      </c>
      <c r="E7" s="1009" t="s">
        <v>760</v>
      </c>
      <c r="F7" s="998" t="s">
        <v>769</v>
      </c>
      <c r="G7" s="998" t="s">
        <v>767</v>
      </c>
      <c r="H7" s="998" t="s">
        <v>768</v>
      </c>
      <c r="I7" s="998" t="s">
        <v>785</v>
      </c>
      <c r="J7" s="998" t="s">
        <v>786</v>
      </c>
      <c r="K7" s="32"/>
      <c r="M7" s="1040"/>
      <c r="N7" s="1041"/>
      <c r="O7" s="1040" t="s">
        <v>818</v>
      </c>
      <c r="P7" s="1040"/>
      <c r="Q7" s="1040"/>
      <c r="R7" s="1040"/>
      <c r="S7" s="1040"/>
      <c r="T7" s="1040" t="s">
        <v>820</v>
      </c>
      <c r="U7" s="1045" t="s">
        <v>826</v>
      </c>
      <c r="V7" s="1045" t="s">
        <v>825</v>
      </c>
      <c r="W7" s="1045" t="s">
        <v>827</v>
      </c>
      <c r="X7" s="1047" t="s">
        <v>824</v>
      </c>
    </row>
    <row r="8" spans="1:24">
      <c r="A8" s="1007">
        <f ca="1">TODAY()-1</f>
        <v>42039</v>
      </c>
      <c r="B8" t="s">
        <v>757</v>
      </c>
      <c r="C8" s="1002">
        <v>1.38</v>
      </c>
      <c r="D8" s="1002">
        <v>25.75</v>
      </c>
      <c r="E8" s="999"/>
      <c r="F8" s="999"/>
      <c r="G8" s="999"/>
      <c r="H8" s="999"/>
      <c r="I8" s="1003">
        <f ca="1">AVERAGE(VLOOKUP($A$8,Calculation!B8:HL381,149),VLOOKUP($A$8-1,Calculation!B8:HL381,149),VLOOKUP($A$8-2,Calculation!B8:HL381,149))</f>
        <v>15.686512872843752</v>
      </c>
      <c r="J8" s="1003">
        <f ca="1">VLOOKUP($A$8,Calculation!B8:HL381,149)</f>
        <v>15.686512872843752</v>
      </c>
      <c r="M8" s="430"/>
      <c r="N8" s="1042"/>
      <c r="O8" s="430"/>
      <c r="P8" s="430"/>
      <c r="Q8" s="430"/>
      <c r="R8" s="430"/>
      <c r="S8" s="430"/>
      <c r="T8" s="1042" t="s">
        <v>821</v>
      </c>
      <c r="U8" s="430">
        <v>78</v>
      </c>
      <c r="V8" s="1046">
        <f>U8/12</f>
        <v>6.5</v>
      </c>
      <c r="W8" s="1046">
        <f>V8*V8</f>
        <v>42.25</v>
      </c>
      <c r="X8" s="1048">
        <f>(($O$10*1.547)/((3.14159*W8)/4))</f>
        <v>1.4918462405244575</v>
      </c>
    </row>
    <row r="9" spans="1:24" ht="13.5" thickBot="1">
      <c r="B9" t="s">
        <v>758</v>
      </c>
      <c r="C9" s="1002">
        <v>1.38</v>
      </c>
      <c r="D9" s="1002">
        <v>25.75</v>
      </c>
      <c r="E9" s="999"/>
      <c r="F9" s="999"/>
      <c r="G9" s="999"/>
      <c r="H9" s="999"/>
      <c r="I9" s="1003">
        <f ca="1">AVERAGE(VLOOKUP($A$8,Calculation!B8:HL381,150),VLOOKUP($A$8-1,Calculation!B8:HL381,150),VLOOKUP($A$8-2,Calculation!B8:HL381,150))</f>
        <v>16.100564969216588</v>
      </c>
      <c r="J9" s="1003">
        <f ca="1">VLOOKUP($A$8,Calculation!B8:HL381,150)</f>
        <v>16.100564969216588</v>
      </c>
      <c r="M9" s="430"/>
      <c r="N9" s="1042"/>
      <c r="O9" s="430"/>
      <c r="P9" s="430"/>
      <c r="Q9" s="430"/>
      <c r="R9" s="430"/>
      <c r="S9" s="430"/>
      <c r="T9" s="1042" t="s">
        <v>822</v>
      </c>
      <c r="U9" s="430">
        <v>64</v>
      </c>
      <c r="V9" s="1046">
        <f t="shared" ref="V9:V13" si="0">U9/12</f>
        <v>5.333333333333333</v>
      </c>
      <c r="W9" s="1046">
        <f t="shared" ref="W9:W13" si="1">V9*V9</f>
        <v>28.444444444444443</v>
      </c>
      <c r="X9" s="1048">
        <f t="shared" ref="X9:X13" si="2">(($O$10*1.547)/((3.14159*W9)/4))</f>
        <v>2.2159161443727542</v>
      </c>
    </row>
    <row r="10" spans="1:24" ht="13.5" thickBot="1">
      <c r="B10" s="1001" t="s">
        <v>766</v>
      </c>
      <c r="C10" s="1002">
        <v>2.76</v>
      </c>
      <c r="D10" s="1002"/>
      <c r="E10" s="1002"/>
      <c r="F10" s="1002"/>
      <c r="G10" s="1004">
        <f ca="1">AVERAGE((VLOOKUP($A$8,Sheet1!$B$14:$ET$383,73)),(VLOOKUP($A$8-1,Sheet1!$B$14:$ET$383,73)),(VLOOKUP($A$8-2,Sheet1!$B$14:$ET$383,73)))</f>
        <v>0</v>
      </c>
      <c r="H10" s="1002">
        <f ca="1">VLOOKUP($A$8,Sheet1!$B$14:$ET$383,73)</f>
        <v>0</v>
      </c>
      <c r="I10" s="1004">
        <f ca="1">I8+I9</f>
        <v>31.787077842060341</v>
      </c>
      <c r="J10" s="1004">
        <f ca="1">J8+J9</f>
        <v>31.787077842060341</v>
      </c>
      <c r="M10" s="1043"/>
      <c r="N10" s="1051" t="s">
        <v>819</v>
      </c>
      <c r="O10" s="1039">
        <v>32</v>
      </c>
      <c r="P10" s="430"/>
      <c r="Q10" s="430"/>
      <c r="R10" s="430"/>
      <c r="S10" s="430"/>
      <c r="T10" s="1042" t="s">
        <v>823</v>
      </c>
      <c r="U10" s="430">
        <v>58</v>
      </c>
      <c r="V10" s="1046">
        <f t="shared" si="0"/>
        <v>4.833333333333333</v>
      </c>
      <c r="W10" s="1046">
        <f t="shared" si="1"/>
        <v>23.361111111111107</v>
      </c>
      <c r="X10" s="1048">
        <f t="shared" si="2"/>
        <v>2.6980952816143882</v>
      </c>
    </row>
    <row r="11" spans="1:24">
      <c r="B11" s="1001"/>
      <c r="C11" s="1002"/>
      <c r="D11" s="1002"/>
      <c r="E11" s="999"/>
      <c r="F11" s="999"/>
      <c r="G11" s="1004"/>
      <c r="H11" s="1002"/>
      <c r="I11" s="999"/>
      <c r="J11" s="999"/>
      <c r="M11" s="430"/>
      <c r="N11" s="1042"/>
      <c r="O11" s="430"/>
      <c r="P11" s="430"/>
      <c r="Q11" s="430"/>
      <c r="R11" s="430"/>
      <c r="S11" s="430"/>
      <c r="T11" s="1042"/>
      <c r="U11" s="430">
        <v>54</v>
      </c>
      <c r="V11" s="1046">
        <f t="shared" si="0"/>
        <v>4.5</v>
      </c>
      <c r="W11" s="1046">
        <f t="shared" si="1"/>
        <v>20.25</v>
      </c>
      <c r="X11" s="1048">
        <f t="shared" si="2"/>
        <v>3.1126174647979425</v>
      </c>
    </row>
    <row r="12" spans="1:24">
      <c r="B12" s="1001"/>
      <c r="C12" s="1002"/>
      <c r="D12" s="1002"/>
      <c r="E12" s="999"/>
      <c r="F12" s="999"/>
      <c r="G12" s="1004"/>
      <c r="H12" s="1002"/>
      <c r="I12" s="999"/>
      <c r="J12" s="999"/>
      <c r="M12" s="430"/>
      <c r="N12" s="1042"/>
      <c r="O12" s="430"/>
      <c r="P12" s="430"/>
      <c r="Q12" s="430"/>
      <c r="R12" s="430"/>
      <c r="S12" s="430"/>
      <c r="T12" s="1042"/>
      <c r="U12" s="430">
        <v>52</v>
      </c>
      <c r="V12" s="1046">
        <f t="shared" si="0"/>
        <v>4.333333333333333</v>
      </c>
      <c r="W12" s="1046">
        <f t="shared" si="1"/>
        <v>18.777777777777775</v>
      </c>
      <c r="X12" s="1048">
        <f t="shared" si="2"/>
        <v>3.3566540411800303</v>
      </c>
    </row>
    <row r="13" spans="1:24">
      <c r="B13" t="s">
        <v>754</v>
      </c>
      <c r="C13" s="1004">
        <v>1.038</v>
      </c>
      <c r="D13" s="1002">
        <v>21</v>
      </c>
      <c r="E13" s="999"/>
      <c r="F13" s="999"/>
      <c r="G13" s="1004">
        <f ca="1">AVERAGE((VLOOKUP($A$8,Sheet1!$B$14:$ET$383,73)),(VLOOKUP($A$8-1,Sheet1!$B$14:$ET$383,73)),(VLOOKUP($A$8-2,Sheet1!$B$14:$ET$383,73)))</f>
        <v>0</v>
      </c>
      <c r="H13" s="1002">
        <f ca="1">VLOOKUP($A$8,Sheet1!$B$14:$ET$383,73)</f>
        <v>0</v>
      </c>
      <c r="I13" s="1003">
        <f ca="1">AVERAGE(VLOOKUP($A$8,'Calculations II'!B8:BP381,5),VLOOKUP($A$8-1,'Calculations II'!B8:BP381,5),VLOOKUP($A$8-2,'Calculations II'!B8:BP381,5))</f>
        <v>13.003359606534373</v>
      </c>
      <c r="J13" s="1003">
        <f ca="1">(VLOOKUP($A$8,'Calculations II'!B8:BP381,5))</f>
        <v>13.003359606534373</v>
      </c>
      <c r="M13" s="430"/>
      <c r="N13" s="1042"/>
      <c r="O13" s="430"/>
      <c r="P13" s="430"/>
      <c r="Q13" s="430"/>
      <c r="R13" s="430"/>
      <c r="S13" s="430"/>
      <c r="T13" s="1042"/>
      <c r="U13" s="430">
        <v>39</v>
      </c>
      <c r="V13" s="1046">
        <f t="shared" si="0"/>
        <v>3.25</v>
      </c>
      <c r="W13" s="1046">
        <f t="shared" si="1"/>
        <v>10.5625</v>
      </c>
      <c r="X13" s="1048">
        <f t="shared" si="2"/>
        <v>5.9673849620978299</v>
      </c>
    </row>
    <row r="14" spans="1:24">
      <c r="B14" t="s">
        <v>756</v>
      </c>
      <c r="C14" s="1002">
        <v>0.62</v>
      </c>
      <c r="D14" s="1002">
        <v>16.5</v>
      </c>
      <c r="E14" s="999"/>
      <c r="F14" s="999"/>
      <c r="G14" s="1004">
        <f ca="1">AVERAGE((VLOOKUP($A$8,Sheet1!$B$14:$ET$383,73)),(VLOOKUP($A$8-1,Sheet1!$B$14:$ET$383,73)),(VLOOKUP($A$8-2,Sheet1!$B$14:$ET$383,73)))</f>
        <v>0</v>
      </c>
      <c r="H14" s="1002">
        <f ca="1">VLOOKUP($A$8,Sheet1!$B$14:$ET$383,73)</f>
        <v>0</v>
      </c>
      <c r="I14" s="1003">
        <f ca="1">AVERAGE(VLOOKUP($A$8,'Calculations II'!B9:BP382,13),VLOOKUP($A$8-1,'Calculations II'!B9:BP382,13),VLOOKUP($A$8-2,'Calculations II'!B9:BP382,13))</f>
        <v>7.7441327052490623</v>
      </c>
      <c r="J14" s="1003">
        <f ca="1">(VLOOKUP($A$8,'Calculations II'!B9:BP382,13))</f>
        <v>7.7441327052490632</v>
      </c>
      <c r="M14" s="430"/>
      <c r="N14" s="1042"/>
      <c r="O14" s="430"/>
      <c r="P14" s="430"/>
      <c r="Q14" s="430"/>
      <c r="R14" s="430"/>
      <c r="S14" s="430"/>
      <c r="T14" s="1042"/>
      <c r="U14" s="430"/>
      <c r="V14" s="430"/>
      <c r="W14" s="430"/>
      <c r="X14" s="1049"/>
    </row>
    <row r="15" spans="1:24">
      <c r="B15" t="s">
        <v>728</v>
      </c>
      <c r="C15" s="1004">
        <v>0.39700000000000002</v>
      </c>
      <c r="D15" s="1002">
        <v>25.6</v>
      </c>
      <c r="E15" s="999"/>
      <c r="F15" s="999"/>
      <c r="G15" s="1004">
        <f ca="1">AVERAGE((VLOOKUP($A$8,Sheet1!$B$14:$ET$383,73)),(VLOOKUP($A$8-1,Sheet1!$B$14:$ET$383,73)),(VLOOKUP($A$8-2,Sheet1!$B$14:$ET$383,73)))</f>
        <v>0</v>
      </c>
      <c r="H15" s="1002">
        <f ca="1">VLOOKUP($A$8,Sheet1!$B$14:$ET$383,73)</f>
        <v>0</v>
      </c>
      <c r="I15" s="1003">
        <f ca="1">AVERAGE(VLOOKUP($A$8,'Calculations II'!B10:BP383,6),VLOOKUP($A$8-1,'Calculations II'!B10:BP383,6),VLOOKUP($A$8-2,'Calculations II'!B10:BP383,6))</f>
        <v>4.8847606294647941</v>
      </c>
      <c r="J15" s="1003">
        <f ca="1">(VLOOKUP($A$8,'Calculations II'!B10:BP383,6))</f>
        <v>4.8847606294647941</v>
      </c>
      <c r="M15" s="430"/>
      <c r="N15" s="1042"/>
      <c r="O15" s="430"/>
      <c r="P15" s="430"/>
      <c r="Q15" s="430"/>
      <c r="R15" s="430"/>
      <c r="S15" s="430"/>
      <c r="T15" s="1042"/>
      <c r="U15" s="430"/>
      <c r="V15" s="430"/>
      <c r="W15" s="430"/>
      <c r="X15" s="1049"/>
    </row>
    <row r="16" spans="1:24">
      <c r="C16" s="1002"/>
      <c r="D16" s="1002"/>
      <c r="E16" s="999"/>
      <c r="F16" s="999"/>
      <c r="G16" s="999"/>
      <c r="H16" s="999"/>
      <c r="I16" s="1003"/>
      <c r="J16" s="1003"/>
      <c r="M16" s="430"/>
      <c r="N16" s="1042"/>
      <c r="O16" s="430"/>
      <c r="P16" s="430"/>
      <c r="Q16" s="430"/>
      <c r="R16" s="430"/>
      <c r="S16" s="430"/>
      <c r="T16" s="1042"/>
      <c r="U16" s="430"/>
      <c r="V16" s="430"/>
      <c r="W16" s="430"/>
      <c r="X16" s="1049"/>
    </row>
    <row r="17" spans="2:24" ht="13.5" thickBot="1">
      <c r="C17" s="1002"/>
      <c r="D17" s="1002"/>
      <c r="E17" s="999"/>
      <c r="F17" s="999"/>
      <c r="G17" s="999"/>
      <c r="H17" s="999"/>
      <c r="I17" s="1003"/>
      <c r="J17" s="1003"/>
      <c r="M17" s="460"/>
      <c r="N17" s="1044"/>
      <c r="O17" s="460"/>
      <c r="P17" s="460"/>
      <c r="Q17" s="460"/>
      <c r="R17" s="460"/>
      <c r="S17" s="460"/>
      <c r="T17" s="1044"/>
      <c r="U17" s="460"/>
      <c r="V17" s="460"/>
      <c r="W17" s="460"/>
      <c r="X17" s="1050"/>
    </row>
    <row r="18" spans="2:24">
      <c r="C18" s="1002"/>
      <c r="D18" s="1002"/>
      <c r="E18" s="999"/>
      <c r="F18" s="999"/>
      <c r="G18" s="999"/>
      <c r="H18" s="999"/>
      <c r="I18" s="1003"/>
      <c r="J18" s="1003"/>
    </row>
    <row r="19" spans="2:24">
      <c r="C19" s="1002"/>
      <c r="D19" s="1002"/>
      <c r="E19" s="999"/>
      <c r="F19" s="999"/>
      <c r="G19" s="999"/>
      <c r="H19" s="999"/>
      <c r="I19" s="1003"/>
      <c r="J19" s="1003"/>
    </row>
    <row r="20" spans="2:24">
      <c r="C20" s="1002"/>
      <c r="D20" s="1002"/>
    </row>
    <row r="21" spans="2:24" ht="38.25">
      <c r="B21" s="1005" t="s">
        <v>774</v>
      </c>
      <c r="C21" s="1006" t="s">
        <v>779</v>
      </c>
      <c r="D21" s="1006" t="s">
        <v>780</v>
      </c>
      <c r="E21" s="32"/>
      <c r="F21" s="32"/>
      <c r="G21" s="32"/>
      <c r="H21" s="32"/>
      <c r="I21" s="32"/>
      <c r="J21" s="32"/>
    </row>
    <row r="22" spans="2:24">
      <c r="B22" s="674" t="s">
        <v>775</v>
      </c>
      <c r="C22" s="1008">
        <f ca="1">AVERAGE(VLOOKUP($A$8,Sheet1!$B$8:$ET$381,44),VLOOKUP($A$8-1,Sheet1!$B$8:$ET$381,44),VLOOKUP($A$8-2,Sheet1!$B$8:$ET$381,44))*0.00144</f>
        <v>3.1248000000000001E-2</v>
      </c>
      <c r="D22" s="1008">
        <f ca="1">VLOOKUP($A$8,Sheet1!$B$8:$ET$381,44)*0.00144</f>
        <v>3.1248000000000001E-2</v>
      </c>
    </row>
    <row r="23" spans="2:24">
      <c r="B23" s="674" t="s">
        <v>776</v>
      </c>
      <c r="C23" s="1008">
        <f ca="1">AVERAGE(VLOOKUP($A$8,Sheet1!$B$8:$ET$381,47),VLOOKUP($A$8-1,Sheet1!$B$8:$ET$381,47),VLOOKUP($A$8-2,Sheet1!$B$8:$ET$381,47))*0.00144</f>
        <v>0.49521599999999993</v>
      </c>
      <c r="D23" s="1008">
        <f ca="1">VLOOKUP($A$8,Sheet1!$B$8:$ET$381,47)*0.00144</f>
        <v>0.49521599999999999</v>
      </c>
    </row>
    <row r="24" spans="2:24">
      <c r="B24" s="674" t="s">
        <v>777</v>
      </c>
      <c r="C24" s="1008">
        <f ca="1">AVERAGE(VLOOKUP($A$8,Sheet1!$B$8:$ET$381,48),VLOOKUP($A$8-1,Sheet1!$B$8:$ET$381,48),VLOOKUP($A$8-2,Sheet1!$B$8:$ET$381,48))*0.00144</f>
        <v>0.7777440000000001</v>
      </c>
      <c r="D24" s="1008">
        <f ca="1">VLOOKUP($A$8,Sheet1!$B$8:$ET$381,48)*0.00144</f>
        <v>0.7777440000000001</v>
      </c>
    </row>
    <row r="25" spans="2:24">
      <c r="B25" s="674" t="s">
        <v>778</v>
      </c>
      <c r="C25" s="1008">
        <f ca="1">AVERAGE(VLOOKUP($A$8,Sheet1!$B$8:$ET$381,49),VLOOKUP($A$8-1,Sheet1!$B$8:$ET$381,49),VLOOKUP($A$8-2,Sheet1!$B$8:$ET$381,49))*0.00144</f>
        <v>0</v>
      </c>
      <c r="D25" s="1008">
        <f ca="1">VLOOKUP($A$8,Sheet1!$B$8:$ET$381,49)*0.00144</f>
        <v>0</v>
      </c>
    </row>
    <row r="26" spans="2:24">
      <c r="B26" s="674"/>
      <c r="C26" s="1002"/>
      <c r="D26" s="1002"/>
    </row>
    <row r="27" spans="2:24">
      <c r="B27" s="674"/>
      <c r="C27" s="1002"/>
      <c r="D27" s="1002"/>
    </row>
    <row r="28" spans="2:24">
      <c r="B28" s="674"/>
      <c r="C28" s="1002"/>
      <c r="D28" s="1002"/>
    </row>
    <row r="29" spans="2:24" ht="38.25">
      <c r="C29" s="32" t="s">
        <v>787</v>
      </c>
      <c r="D29" s="32" t="s">
        <v>788</v>
      </c>
    </row>
    <row r="30" spans="2:24">
      <c r="B30" s="997" t="s">
        <v>759</v>
      </c>
    </row>
    <row r="31" spans="2:24">
      <c r="B31" s="674" t="s">
        <v>765</v>
      </c>
    </row>
    <row r="32" spans="2:24">
      <c r="B32" s="674" t="s">
        <v>781</v>
      </c>
    </row>
    <row r="33" spans="2:2">
      <c r="B33" s="674" t="s">
        <v>782</v>
      </c>
    </row>
    <row r="34" spans="2:2">
      <c r="B34" s="674" t="s">
        <v>753</v>
      </c>
    </row>
    <row r="35" spans="2:2">
      <c r="B35" s="674" t="s">
        <v>783</v>
      </c>
    </row>
    <row r="36" spans="2:2">
      <c r="B36" s="674"/>
    </row>
    <row r="37" spans="2:2">
      <c r="B37" s="674"/>
    </row>
    <row r="39" spans="2:2">
      <c r="B39" s="997" t="s">
        <v>784</v>
      </c>
    </row>
    <row r="40" spans="2:2">
      <c r="B40" t="s">
        <v>764</v>
      </c>
    </row>
    <row r="41" spans="2:2">
      <c r="B41" t="s">
        <v>761</v>
      </c>
    </row>
    <row r="42" spans="2:2">
      <c r="B42" t="s">
        <v>762</v>
      </c>
    </row>
    <row r="43" spans="2:2">
      <c r="B43" t="s">
        <v>257</v>
      </c>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codeName="Sheet2"/>
  <dimension ref="A1"/>
  <sheetViews>
    <sheetView topLeftCell="A16"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8">
    <pageSetUpPr fitToPage="1"/>
  </sheetPr>
  <dimension ref="A1:R122"/>
  <sheetViews>
    <sheetView zoomScaleNormal="100" workbookViewId="0">
      <pane ySplit="7" topLeftCell="A8" activePane="bottomLeft" state="frozen"/>
      <selection pane="bottomLeft" activeCell="L21" sqref="L21"/>
    </sheetView>
  </sheetViews>
  <sheetFormatPr defaultRowHeight="12.75"/>
  <cols>
    <col min="1" max="1" width="29.5703125" customWidth="1"/>
    <col min="2" max="2" width="5" customWidth="1"/>
    <col min="3" max="11" width="10.5703125" customWidth="1"/>
    <col min="13" max="13" width="9.42578125" customWidth="1"/>
  </cols>
  <sheetData>
    <row r="1" spans="1:18" s="6" customFormat="1" ht="15.75">
      <c r="A1" s="1139" t="s">
        <v>74</v>
      </c>
      <c r="B1" s="1139"/>
      <c r="C1" s="1139"/>
      <c r="D1" s="1139"/>
      <c r="E1" s="1139"/>
      <c r="F1" s="1139"/>
      <c r="G1" s="1139"/>
      <c r="H1" s="1139"/>
      <c r="I1" s="1139"/>
      <c r="J1" s="1139"/>
      <c r="K1" s="1139"/>
    </row>
    <row r="2" spans="1:18" s="7" customFormat="1">
      <c r="A2" s="1139" t="s">
        <v>75</v>
      </c>
      <c r="B2" s="1140"/>
      <c r="C2" s="1140"/>
      <c r="D2" s="1140"/>
      <c r="E2" s="1140"/>
      <c r="F2" s="1140"/>
      <c r="G2" s="1140"/>
      <c r="H2" s="1140"/>
      <c r="I2" s="1140"/>
      <c r="J2" s="1140"/>
      <c r="K2" s="1140"/>
    </row>
    <row r="3" spans="1:18" s="7" customFormat="1">
      <c r="A3" s="115"/>
      <c r="B3" s="115"/>
      <c r="C3" s="115"/>
      <c r="D3" s="115"/>
      <c r="E3" s="116" t="s">
        <v>261</v>
      </c>
      <c r="F3" s="518">
        <f ca="1">TODAY()-1</f>
        <v>42039</v>
      </c>
      <c r="G3" s="182"/>
      <c r="H3" s="183"/>
      <c r="I3" s="183"/>
      <c r="J3" s="183"/>
      <c r="K3" s="119"/>
    </row>
    <row r="4" spans="1:18" s="7" customFormat="1" ht="12" customHeight="1">
      <c r="A4" s="115"/>
      <c r="B4" s="115"/>
      <c r="C4" s="115"/>
      <c r="D4" s="115"/>
      <c r="E4" s="184"/>
      <c r="F4" s="184"/>
      <c r="G4" s="185"/>
      <c r="H4" s="185"/>
      <c r="I4" s="186"/>
      <c r="J4" s="186"/>
      <c r="K4" s="187"/>
    </row>
    <row r="5" spans="1:18" s="17" customFormat="1" ht="12" thickBot="1">
      <c r="A5" s="14" t="s">
        <v>22</v>
      </c>
      <c r="B5" s="14"/>
      <c r="C5" s="14"/>
      <c r="D5" s="14"/>
      <c r="E5" s="188"/>
      <c r="F5" s="188"/>
      <c r="G5" s="189"/>
      <c r="H5" s="189"/>
      <c r="I5" s="189"/>
      <c r="J5" s="189"/>
      <c r="K5" s="189" t="s">
        <v>10</v>
      </c>
    </row>
    <row r="6" spans="1:18" s="112" customFormat="1" ht="13.5" customHeight="1">
      <c r="A6" s="190"/>
      <c r="B6" s="191"/>
      <c r="C6" s="35" t="str">
        <f t="shared" ref="C6:K6" ca="1" si="0">CHOOSE(WEEKDAY(C7,2),"Monday","Tuesday","Wednesday","Thursday","Friday","Saturday","Sunday")</f>
        <v>Tuesday</v>
      </c>
      <c r="D6" s="35" t="str">
        <f t="shared" ca="1" si="0"/>
        <v>Wednesday</v>
      </c>
      <c r="E6" s="35" t="str">
        <f t="shared" ca="1" si="0"/>
        <v>Thursday</v>
      </c>
      <c r="F6" s="35" t="str">
        <f t="shared" ca="1" si="0"/>
        <v>Friday</v>
      </c>
      <c r="G6" s="35" t="str">
        <f t="shared" ca="1" si="0"/>
        <v>Saturday</v>
      </c>
      <c r="H6" s="35" t="str">
        <f t="shared" ca="1" si="0"/>
        <v>Sunday</v>
      </c>
      <c r="I6" s="35" t="str">
        <f t="shared" ca="1" si="0"/>
        <v>Monday</v>
      </c>
      <c r="J6" s="35" t="str">
        <f t="shared" ca="1" si="0"/>
        <v>Tuesday</v>
      </c>
      <c r="K6" s="35" t="str">
        <f t="shared" ca="1" si="0"/>
        <v>Wednesday</v>
      </c>
    </row>
    <row r="7" spans="1:18" s="112" customFormat="1" ht="15" customHeight="1" thickBot="1">
      <c r="A7" s="192"/>
      <c r="B7" s="193"/>
      <c r="C7" s="194">
        <f ca="1">D7-1</f>
        <v>42031</v>
      </c>
      <c r="D7" s="194">
        <f ca="1">E7-1</f>
        <v>42032</v>
      </c>
      <c r="E7" s="194">
        <f t="shared" ref="E7:J7" ca="1" si="1">F7-1</f>
        <v>42033</v>
      </c>
      <c r="F7" s="194">
        <f t="shared" ca="1" si="1"/>
        <v>42034</v>
      </c>
      <c r="G7" s="194">
        <f t="shared" ca="1" si="1"/>
        <v>42035</v>
      </c>
      <c r="H7" s="194">
        <f t="shared" ca="1" si="1"/>
        <v>42036</v>
      </c>
      <c r="I7" s="194">
        <f t="shared" ca="1" si="1"/>
        <v>42037</v>
      </c>
      <c r="J7" s="194">
        <f t="shared" ca="1" si="1"/>
        <v>42038</v>
      </c>
      <c r="K7" s="194">
        <f ca="1">F3</f>
        <v>42039</v>
      </c>
    </row>
    <row r="8" spans="1:18" s="113" customFormat="1" ht="13.5" thickBot="1">
      <c r="A8" s="1141" t="s">
        <v>112</v>
      </c>
      <c r="B8" s="1141"/>
      <c r="C8" s="1141"/>
      <c r="D8" s="1141"/>
      <c r="E8" s="1141"/>
      <c r="F8" s="1141"/>
      <c r="G8" s="1141"/>
      <c r="H8" s="1141"/>
      <c r="I8" s="1141"/>
      <c r="J8" s="1141"/>
      <c r="K8" s="1142"/>
    </row>
    <row r="9" spans="1:18" s="107" customFormat="1">
      <c r="A9" s="500" t="s">
        <v>829</v>
      </c>
      <c r="B9" s="501" t="s">
        <v>13</v>
      </c>
      <c r="C9" s="502"/>
      <c r="D9" s="503"/>
      <c r="E9" s="504"/>
      <c r="F9" s="503"/>
      <c r="G9" s="503"/>
      <c r="H9" s="503"/>
      <c r="I9" s="503"/>
      <c r="J9" s="503"/>
      <c r="K9" s="505"/>
    </row>
    <row r="10" spans="1:18" s="107" customFormat="1">
      <c r="A10" s="21" t="s">
        <v>262</v>
      </c>
      <c r="B10" s="114" t="s">
        <v>13</v>
      </c>
      <c r="C10" s="134" t="e">
        <f ca="1">VLOOKUP(C7,'Calculations II'!$B$8:$IV$430,46,FALSE)</f>
        <v>#N/A</v>
      </c>
      <c r="D10" s="37" t="e">
        <f ca="1">VLOOKUP(D7,'Calculations II'!$B$8:$IV$430,46,FALSE)</f>
        <v>#N/A</v>
      </c>
      <c r="E10" s="177" t="e">
        <f ca="1">VLOOKUP(E7,'Calculations II'!$B$8:$IV$430,46,FALSE)</f>
        <v>#N/A</v>
      </c>
      <c r="F10" s="37" t="e">
        <f ca="1">VLOOKUP(F7,'Calculations II'!$B$8:$IV$430,46,FALSE)</f>
        <v>#N/A</v>
      </c>
      <c r="G10" s="37" t="e">
        <f ca="1">VLOOKUP(G7,'Calculations II'!$B$8:$IV$430,46,FALSE)</f>
        <v>#N/A</v>
      </c>
      <c r="H10" s="37" t="e">
        <f ca="1">VLOOKUP(H7,'Calculations II'!$B$8:$IV$430,46,FALSE)</f>
        <v>#N/A</v>
      </c>
      <c r="I10" s="37" t="e">
        <f ca="1">VLOOKUP(I7,'Calculations II'!$B$8:$IV$430,46,FALSE)</f>
        <v>#N/A</v>
      </c>
      <c r="J10" s="37" t="e">
        <f ca="1">VLOOKUP(J7,'Calculations II'!$B$8:$IV$430,46,FALSE)</f>
        <v>#N/A</v>
      </c>
      <c r="K10" s="39" t="e">
        <f ca="1">VLOOKUP(K7,'Calculations II'!$B$8:$IV$430,46,FALSE)</f>
        <v>#N/A</v>
      </c>
    </row>
    <row r="11" spans="1:18" s="107" customFormat="1">
      <c r="A11" s="506" t="s">
        <v>811</v>
      </c>
      <c r="B11" s="507" t="s">
        <v>13</v>
      </c>
      <c r="C11" s="508" t="e">
        <f ca="1">VLOOKUP(C7,'Calculations II'!$B$8:$IV$430,47,FALSE)</f>
        <v>#N/A</v>
      </c>
      <c r="D11" s="509" t="e">
        <f ca="1">VLOOKUP(D7,'Calculations II'!$B$8:$IV$430,47,FALSE)</f>
        <v>#N/A</v>
      </c>
      <c r="E11" s="510" t="e">
        <f ca="1">VLOOKUP(E7,'Calculations II'!$B$8:$IV$430,47,FALSE)</f>
        <v>#N/A</v>
      </c>
      <c r="F11" s="509" t="e">
        <f ca="1">VLOOKUP(F7,'Calculations II'!$B$8:$IV$430,47,FALSE)</f>
        <v>#N/A</v>
      </c>
      <c r="G11" s="509" t="e">
        <f ca="1">VLOOKUP(G7,'Calculations II'!$B$8:$IV$430,47,FALSE)</f>
        <v>#N/A</v>
      </c>
      <c r="H11" s="509" t="e">
        <f ca="1">VLOOKUP(H7,'Calculations II'!$B$8:$IV$430,47,FALSE)</f>
        <v>#N/A</v>
      </c>
      <c r="I11" s="509" t="e">
        <f ca="1">VLOOKUP(I7,'Calculations II'!$B$8:$IV$430,47,FALSE)</f>
        <v>#N/A</v>
      </c>
      <c r="J11" s="509" t="e">
        <f ca="1">VLOOKUP(J7,'Calculations II'!$B$8:$IV$430,47,FALSE)</f>
        <v>#N/A</v>
      </c>
      <c r="K11" s="511" t="e">
        <f ca="1">VLOOKUP(K7,'Calculations II'!$B$8:$IV$430,47,FALSE)</f>
        <v>#N/A</v>
      </c>
    </row>
    <row r="12" spans="1:18" s="107" customFormat="1">
      <c r="A12" s="21" t="s">
        <v>76</v>
      </c>
      <c r="B12" s="114" t="s">
        <v>13</v>
      </c>
      <c r="C12" s="134" t="e">
        <f ca="1">VLOOKUP(C7,'Calculations II'!$B$8:$IV$430,48,FALSE)</f>
        <v>#N/A</v>
      </c>
      <c r="D12" s="37" t="e">
        <f ca="1">VLOOKUP(D7,'Calculations II'!$B$8:$IV$430,48,FALSE)</f>
        <v>#N/A</v>
      </c>
      <c r="E12" s="177" t="e">
        <f ca="1">VLOOKUP(E7,'Calculations II'!$B$8:$IV$430,48,FALSE)</f>
        <v>#N/A</v>
      </c>
      <c r="F12" s="37" t="e">
        <f ca="1">VLOOKUP(F7,'Calculations II'!$B$8:$IV$430,48,FALSE)</f>
        <v>#N/A</v>
      </c>
      <c r="G12" s="37" t="e">
        <f ca="1">VLOOKUP(G7,'Calculations II'!$B$8:$IV$430,48,FALSE)</f>
        <v>#N/A</v>
      </c>
      <c r="H12" s="37" t="e">
        <f ca="1">VLOOKUP(H7,'Calculations II'!$B$8:$IV$430,48,FALSE)</f>
        <v>#N/A</v>
      </c>
      <c r="I12" s="37" t="e">
        <f ca="1">VLOOKUP(I7,'Calculations II'!$B$8:$IV$430,48,FALSE)</f>
        <v>#N/A</v>
      </c>
      <c r="J12" s="37" t="e">
        <f ca="1">VLOOKUP(J7,'Calculations II'!$B$8:$IV$430,48,FALSE)</f>
        <v>#N/A</v>
      </c>
      <c r="K12" s="174" t="e">
        <f ca="1">VLOOKUP(K7,'Calculations II'!$B$8:$IV$430,48,FALSE)</f>
        <v>#N/A</v>
      </c>
    </row>
    <row r="13" spans="1:18" s="107" customFormat="1">
      <c r="A13" s="135" t="s">
        <v>410</v>
      </c>
      <c r="B13" s="132" t="s">
        <v>13</v>
      </c>
      <c r="C13" s="234" t="e">
        <f ca="1">VLOOKUP(C7,'Calculations II'!$B$8:$IV$430,49,FALSE)</f>
        <v>#N/A</v>
      </c>
      <c r="D13" s="200" t="e">
        <f ca="1">VLOOKUP(D7,'Calculations II'!$B$8:$IV$430,49,FALSE)</f>
        <v>#N/A</v>
      </c>
      <c r="E13" s="236" t="e">
        <f ca="1">VLOOKUP(E7,'Calculations II'!$B$8:$IV$430,49,FALSE)</f>
        <v>#N/A</v>
      </c>
      <c r="F13" s="200" t="e">
        <f ca="1">VLOOKUP(F7,'Calculations II'!$B$8:$IV$430,49,FALSE)</f>
        <v>#N/A</v>
      </c>
      <c r="G13" s="200" t="e">
        <f ca="1">VLOOKUP(G7,'Calculations II'!$B$8:$IV$430,49,FALSE)</f>
        <v>#N/A</v>
      </c>
      <c r="H13" s="200" t="e">
        <f ca="1">VLOOKUP(H7,'Calculations II'!$B$8:$IV$430,49,FALSE)</f>
        <v>#N/A</v>
      </c>
      <c r="I13" s="200" t="e">
        <f ca="1">VLOOKUP(I7,'Calculations II'!$B$8:$IV$430,49,FALSE)</f>
        <v>#N/A</v>
      </c>
      <c r="J13" s="200" t="e">
        <f ca="1">VLOOKUP(J7,'Calculations II'!$B$8:$IV$430,49,FALSE)</f>
        <v>#N/A</v>
      </c>
      <c r="K13" s="632" t="e">
        <f ca="1">VLOOKUP(K7,'Calculations II'!$B$8:$IV$430,49,FALSE)</f>
        <v>#N/A</v>
      </c>
    </row>
    <row r="14" spans="1:18" s="107" customFormat="1">
      <c r="A14" s="21" t="s">
        <v>77</v>
      </c>
      <c r="B14" s="114" t="s">
        <v>13</v>
      </c>
      <c r="C14" s="134" t="e">
        <f ca="1">VLOOKUP(C7,'Calculations II'!$B$8:$IV$430,50,FALSE)</f>
        <v>#N/A</v>
      </c>
      <c r="D14" s="37" t="e">
        <f ca="1">VLOOKUP(D7,'Calculations II'!$B$8:$IV$430,50,FALSE)</f>
        <v>#N/A</v>
      </c>
      <c r="E14" s="177" t="e">
        <f ca="1">VLOOKUP(E7,'Calculations II'!$B$8:$IV$430,50,FALSE)</f>
        <v>#N/A</v>
      </c>
      <c r="F14" s="37" t="e">
        <f ca="1">VLOOKUP(F7,'Calculations II'!$B$8:$IV$430,50,FALSE)</f>
        <v>#N/A</v>
      </c>
      <c r="G14" s="37" t="e">
        <f ca="1">VLOOKUP(G7,'Calculations II'!$B$8:$IV$430,50,FALSE)</f>
        <v>#N/A</v>
      </c>
      <c r="H14" s="37" t="e">
        <f ca="1">VLOOKUP(H7,'Calculations II'!$B$8:$IV$430,50,FALSE)</f>
        <v>#N/A</v>
      </c>
      <c r="I14" s="37" t="e">
        <f ca="1">VLOOKUP(I7,'Calculations II'!$B$8:$IV$430,50,FALSE)</f>
        <v>#N/A</v>
      </c>
      <c r="J14" s="37" t="e">
        <f ca="1">VLOOKUP(J7,'Calculations II'!$B$8:$IV$430,50,FALSE)</f>
        <v>#N/A</v>
      </c>
      <c r="K14" s="39" t="e">
        <f ca="1">VLOOKUP(K7,'Calculations II'!$B$8:$IV$430,50,FALSE)</f>
        <v>#N/A</v>
      </c>
    </row>
    <row r="15" spans="1:18" s="107" customFormat="1">
      <c r="A15" s="506" t="s">
        <v>814</v>
      </c>
      <c r="B15" s="507" t="s">
        <v>13</v>
      </c>
      <c r="C15" s="508" t="e">
        <f ca="1">VLOOKUP(C7,'Calculations II'!$B$8:$IV$430,14,FALSE)</f>
        <v>#N/A</v>
      </c>
      <c r="D15" s="509" t="e">
        <f ca="1">VLOOKUP(D7,'Calculations II'!$B$8:$IV$430,14,FALSE)</f>
        <v>#N/A</v>
      </c>
      <c r="E15" s="509" t="e">
        <f ca="1">VLOOKUP(E7,'Calculations II'!$B$8:$IV$430,14,FALSE)</f>
        <v>#N/A</v>
      </c>
      <c r="F15" s="509" t="e">
        <f ca="1">VLOOKUP(F7,'Calculations II'!$B$8:$IV$430,14,FALSE)</f>
        <v>#N/A</v>
      </c>
      <c r="G15" s="509" t="e">
        <f ca="1">VLOOKUP(G7,'Calculations II'!$B$8:$IV$430,14,FALSE)</f>
        <v>#N/A</v>
      </c>
      <c r="H15" s="509" t="e">
        <f ca="1">VLOOKUP(H7,'Calculations II'!$B$8:$IV$430,14,FALSE)</f>
        <v>#N/A</v>
      </c>
      <c r="I15" s="509" t="e">
        <f ca="1">VLOOKUP(I7,'Calculations II'!$B$8:$IV$430,14,FALSE)</f>
        <v>#N/A</v>
      </c>
      <c r="J15" s="509" t="e">
        <f ca="1">VLOOKUP(J7,'Calculations II'!$B$8:$IV$430,14,FALSE)</f>
        <v>#N/A</v>
      </c>
      <c r="K15" s="512" t="e">
        <f ca="1">VLOOKUP(K7,'Calculations II'!$B$8:$IV$430,14,FALSE)</f>
        <v>#N/A</v>
      </c>
    </row>
    <row r="16" spans="1:18" s="107" customFormat="1" ht="13.5" thickBot="1">
      <c r="A16" s="506" t="s">
        <v>837</v>
      </c>
      <c r="B16" s="513" t="s">
        <v>831</v>
      </c>
      <c r="C16" s="1063" t="e">
        <f ca="1">VLOOKUP(C7,'Calculations II'!$B$8:$IV$430,42,FALSE)</f>
        <v>#N/A</v>
      </c>
      <c r="D16" s="1064" t="e">
        <f ca="1">VLOOKUP(D7,'Calculations II'!$B$8:$IV$430,42,FALSE)</f>
        <v>#N/A</v>
      </c>
      <c r="E16" s="1065" t="e">
        <f ca="1">VLOOKUP(E7,'Calculations II'!$B$8:$IV$430,42,FALSE)</f>
        <v>#N/A</v>
      </c>
      <c r="F16" s="1064" t="e">
        <f ca="1">VLOOKUP(F7,'Calculations II'!$B$8:$IV$430,42,FALSE)</f>
        <v>#N/A</v>
      </c>
      <c r="G16" s="1064" t="e">
        <f ca="1">VLOOKUP(G7,'Calculations II'!$B$8:$IV$430,42,FALSE)</f>
        <v>#N/A</v>
      </c>
      <c r="H16" s="1064" t="e">
        <f ca="1">VLOOKUP(H7,'Calculations II'!$B$8:$IV$430,42,FALSE)</f>
        <v>#N/A</v>
      </c>
      <c r="I16" s="1064" t="e">
        <f ca="1">VLOOKUP(I7,'Calculations II'!$B$8:$IV$430,42,FALSE)</f>
        <v>#N/A</v>
      </c>
      <c r="J16" s="1064" t="e">
        <f ca="1">VLOOKUP(J7,'Calculations II'!$B$8:$IV$430,42,FALSE)</f>
        <v>#N/A</v>
      </c>
      <c r="K16" s="1066" t="e">
        <f ca="1">VLOOKUP(K7,'Calculations II'!$B$8:$IV$430,42,FALSE)</f>
        <v>#N/A</v>
      </c>
      <c r="M16" s="674"/>
      <c r="N16" s="674"/>
      <c r="O16" s="674"/>
      <c r="P16" s="1052"/>
      <c r="Q16" s="1052"/>
      <c r="R16" s="1052"/>
    </row>
    <row r="17" spans="1:15" s="107" customFormat="1">
      <c r="A17" s="21" t="s">
        <v>815</v>
      </c>
      <c r="B17" s="864" t="s">
        <v>13</v>
      </c>
      <c r="C17" s="1067"/>
      <c r="D17" s="38"/>
      <c r="E17" s="38"/>
      <c r="F17" s="1068"/>
      <c r="G17" s="1068"/>
      <c r="H17" s="1068"/>
      <c r="I17" s="1068"/>
      <c r="J17" s="38"/>
      <c r="K17" s="585"/>
    </row>
    <row r="18" spans="1:15" s="107" customFormat="1">
      <c r="A18" s="21" t="s">
        <v>838</v>
      </c>
      <c r="B18" s="136" t="s">
        <v>13</v>
      </c>
      <c r="C18" s="1057" t="e">
        <f ca="1">VLOOKUP(C7,'Calculations II'!$B$8:BP381,44,FALSE)</f>
        <v>#N/A</v>
      </c>
      <c r="D18" s="1058" t="e">
        <f ca="1">VLOOKUP(D7,'Calculations II'!$B$8:BP381,44,FALSE)</f>
        <v>#N/A</v>
      </c>
      <c r="E18" s="1058" t="e">
        <f ca="1">VLOOKUP(E7,'Calculations II'!$B$8:BP381,44,FALSE)</f>
        <v>#N/A</v>
      </c>
      <c r="F18" s="1058" t="e">
        <f ca="1">VLOOKUP(F7,'Calculations II'!$B$8:BP381,44,FALSE)</f>
        <v>#N/A</v>
      </c>
      <c r="G18" s="1058" t="e">
        <f ca="1">VLOOKUP(G7,'Calculations II'!$B$8:BP381,44,FALSE)</f>
        <v>#N/A</v>
      </c>
      <c r="H18" s="1058" t="e">
        <f ca="1">VLOOKUP(H7,'Calculations II'!$B$8:BP381,44,FALSE)</f>
        <v>#N/A</v>
      </c>
      <c r="I18" s="1058" t="e">
        <f ca="1">VLOOKUP(I7,'Calculations II'!$B$8:BP381,44,FALSE)</f>
        <v>#N/A</v>
      </c>
      <c r="J18" s="1058" t="e">
        <f ca="1">VLOOKUP(J7,'Calculations II'!$B$8:BP381,44,FALSE)</f>
        <v>#N/A</v>
      </c>
      <c r="K18" s="1059" t="e">
        <f ca="1">VLOOKUP(K7,'Calculations II'!$B$8:BP381,44,FALSE)</f>
        <v>#N/A</v>
      </c>
    </row>
    <row r="19" spans="1:15" s="107" customFormat="1">
      <c r="A19" s="21" t="s">
        <v>18</v>
      </c>
      <c r="B19" s="864" t="s">
        <v>13</v>
      </c>
      <c r="C19" s="44" t="e">
        <f ca="1">VLOOKUP(C7,'Calculations II'!$B$8:$IV$430,54,FALSE)</f>
        <v>#N/A</v>
      </c>
      <c r="D19" s="37" t="e">
        <f ca="1">VLOOKUP(D7,'Calculations II'!$B$8:$IV$430,54,FALSE)</f>
        <v>#N/A</v>
      </c>
      <c r="E19" s="37" t="e">
        <f ca="1">VLOOKUP(E7,'Calculations II'!$B$8:$IV$430,54,FALSE)</f>
        <v>#N/A</v>
      </c>
      <c r="F19" s="37" t="e">
        <f ca="1">VLOOKUP(F7,'Calculations II'!$B$8:$IV$430,54,FALSE)</f>
        <v>#N/A</v>
      </c>
      <c r="G19" s="37" t="e">
        <f ca="1">VLOOKUP(G7,'Calculations II'!$B$8:$IV$430,54,FALSE)</f>
        <v>#N/A</v>
      </c>
      <c r="H19" s="37" t="e">
        <f ca="1">VLOOKUP(H7,'Calculations II'!$B$8:$IV$430,54,FALSE)</f>
        <v>#N/A</v>
      </c>
      <c r="I19" s="37" t="e">
        <f ca="1">VLOOKUP(I7,'Calculations II'!$B$8:$IV$430,54,FALSE)</f>
        <v>#N/A</v>
      </c>
      <c r="J19" s="37" t="e">
        <f ca="1">VLOOKUP(J7,'Calculations II'!$B$8:$IV$430,54,FALSE)</f>
        <v>#N/A</v>
      </c>
      <c r="K19" s="39" t="e">
        <f ca="1">VLOOKUP(K7,'Calculations II'!$B$8:$IV$430,54,FALSE)</f>
        <v>#N/A</v>
      </c>
    </row>
    <row r="20" spans="1:15" s="107" customFormat="1">
      <c r="A20" s="21" t="s">
        <v>828</v>
      </c>
      <c r="B20" s="136" t="s">
        <v>13</v>
      </c>
      <c r="C20" s="1070" t="e">
        <f ca="1">VLOOKUP(C7,Calculation!$B$8:$JF$503,41,FALSE)</f>
        <v>#N/A</v>
      </c>
      <c r="D20" s="1071" t="e">
        <f ca="1">VLOOKUP(D7,Calculation!$B$8:$JF$503,41,FALSE)</f>
        <v>#N/A</v>
      </c>
      <c r="E20" s="1071" t="e">
        <f ca="1">VLOOKUP(E7,Calculation!$B$8:$JF$503,41,FALSE)</f>
        <v>#N/A</v>
      </c>
      <c r="F20" s="1071" t="e">
        <f ca="1">VLOOKUP(F7,Calculation!$B$8:$JF$503,41,FALSE)</f>
        <v>#N/A</v>
      </c>
      <c r="G20" s="1071" t="e">
        <f ca="1">VLOOKUP(G7,Calculation!$B$8:$JF$503,41,FALSE)</f>
        <v>#N/A</v>
      </c>
      <c r="H20" s="1071" t="e">
        <f ca="1">VLOOKUP(H7,Calculation!$B$8:$JF$503,41,FALSE)</f>
        <v>#N/A</v>
      </c>
      <c r="I20" s="1071" t="e">
        <f ca="1">VLOOKUP(I7,Calculation!$B$8:$JF$503,41,FALSE)</f>
        <v>#N/A</v>
      </c>
      <c r="J20" s="1071" t="e">
        <f ca="1">VLOOKUP(J7,Calculation!$B$8:$JF$503,41,FALSE)</f>
        <v>#N/A</v>
      </c>
      <c r="K20" s="1072" t="e">
        <f ca="1">VLOOKUP(K7,Calculation!$B$8:$JF$503,41,FALSE)</f>
        <v>#N/A</v>
      </c>
    </row>
    <row r="21" spans="1:15" s="107" customFormat="1" ht="13.5" thickBot="1">
      <c r="A21" s="202" t="s">
        <v>78</v>
      </c>
      <c r="B21" s="225" t="s">
        <v>13</v>
      </c>
      <c r="C21" s="45" t="e">
        <f t="shared" ref="C21:J21" ca="1" si="2">SUM(C10,C11,C12,C13,C14,C15,C18,C19,C20)</f>
        <v>#N/A</v>
      </c>
      <c r="D21" s="40" t="e">
        <f t="shared" ca="1" si="2"/>
        <v>#N/A</v>
      </c>
      <c r="E21" s="40" t="e">
        <f t="shared" ca="1" si="2"/>
        <v>#N/A</v>
      </c>
      <c r="F21" s="40" t="e">
        <f t="shared" ca="1" si="2"/>
        <v>#N/A</v>
      </c>
      <c r="G21" s="40" t="e">
        <f t="shared" ca="1" si="2"/>
        <v>#N/A</v>
      </c>
      <c r="H21" s="40" t="e">
        <f t="shared" ca="1" si="2"/>
        <v>#N/A</v>
      </c>
      <c r="I21" s="40" t="e">
        <f t="shared" ca="1" si="2"/>
        <v>#N/A</v>
      </c>
      <c r="J21" s="40" t="e">
        <f t="shared" ca="1" si="2"/>
        <v>#N/A</v>
      </c>
      <c r="K21" s="41" t="e">
        <f ca="1">SUM(K10,K11,K12,K13,K14,K15,K18,K19,K20)</f>
        <v>#N/A</v>
      </c>
      <c r="L21" s="597"/>
      <c r="M21" s="57"/>
    </row>
    <row r="22" spans="1:15" s="107" customFormat="1" ht="13.5" thickBot="1">
      <c r="A22" s="1134" t="s">
        <v>111</v>
      </c>
      <c r="B22" s="1137"/>
      <c r="C22" s="1143"/>
      <c r="D22" s="1143"/>
      <c r="E22" s="1143"/>
      <c r="F22" s="1143"/>
      <c r="G22" s="1143"/>
      <c r="H22" s="1143"/>
      <c r="I22" s="1143"/>
      <c r="J22" s="1143"/>
      <c r="K22" s="1144"/>
    </row>
    <row r="23" spans="1:15" s="107" customFormat="1">
      <c r="A23" s="128" t="s">
        <v>411</v>
      </c>
      <c r="B23" s="157" t="s">
        <v>11</v>
      </c>
      <c r="C23" s="233" t="e">
        <f ca="1">VLOOKUP(C7,Sheet1!$B$8:$HT$528,105,FALSE)</f>
        <v>#N/A</v>
      </c>
      <c r="D23" s="198" t="e">
        <f ca="1">VLOOKUP(D7,Sheet1!$B$8:$HT$528,105,FALSE)</f>
        <v>#N/A</v>
      </c>
      <c r="E23" s="235" t="e">
        <f ca="1">VLOOKUP(E7,Sheet1!$B$8:$HT$528,105,FALSE)</f>
        <v>#N/A</v>
      </c>
      <c r="F23" s="198" t="e">
        <f ca="1">VLOOKUP(F7,Sheet1!$B$8:$HT$528,105,FALSE)</f>
        <v>#N/A</v>
      </c>
      <c r="G23" s="198" t="e">
        <f ca="1">VLOOKUP(G7,Sheet1!$B$8:$HT$528,105,FALSE)</f>
        <v>#N/A</v>
      </c>
      <c r="H23" s="198" t="e">
        <f ca="1">VLOOKUP(H7,Sheet1!$B$8:$HT$528,105,FALSE)</f>
        <v>#N/A</v>
      </c>
      <c r="I23" s="198" t="e">
        <f ca="1">VLOOKUP(I7,Sheet1!$B$8:$HT$528,105,FALSE)</f>
        <v>#N/A</v>
      </c>
      <c r="J23" s="198" t="e">
        <f ca="1">VLOOKUP(J7,Sheet1!$B$8:$HT$528,105,FALSE)</f>
        <v>#N/A</v>
      </c>
      <c r="K23" s="199" t="e">
        <f ca="1">VLOOKUP(K7,Sheet1!$B$8:$HT$528,105,FALSE)</f>
        <v>#N/A</v>
      </c>
    </row>
    <row r="24" spans="1:15" s="107" customFormat="1">
      <c r="A24" s="21" t="s">
        <v>121</v>
      </c>
      <c r="B24" s="114" t="s">
        <v>12</v>
      </c>
      <c r="C24" s="134" t="e">
        <f ca="1">VLOOKUP(C7,Sheet1!$B$8:$HT$528,6,FALSE)</f>
        <v>#N/A</v>
      </c>
      <c r="D24" s="37" t="e">
        <f ca="1">VLOOKUP(D7,Sheet1!$B$8:$HT$528,6,FALSE)</f>
        <v>#N/A</v>
      </c>
      <c r="E24" s="177" t="e">
        <f ca="1">VLOOKUP(E7,Sheet1!$B$8:$HT$528,6,FALSE)</f>
        <v>#N/A</v>
      </c>
      <c r="F24" s="37" t="e">
        <f ca="1">VLOOKUP(F7,Sheet1!$B$8:$HT$528,6,FALSE)</f>
        <v>#N/A</v>
      </c>
      <c r="G24" s="37" t="e">
        <f ca="1">VLOOKUP(G7,Sheet1!$B$8:$HT$528,6,FALSE)</f>
        <v>#N/A</v>
      </c>
      <c r="H24" s="37" t="e">
        <f ca="1">VLOOKUP(H7,Sheet1!$B$8:$HT$528,6,FALSE)</f>
        <v>#N/A</v>
      </c>
      <c r="I24" s="37" t="e">
        <f ca="1">VLOOKUP(I7,Sheet1!$B$8:$HT$528,6,FALSE)</f>
        <v>#N/A</v>
      </c>
      <c r="J24" s="37" t="e">
        <f ca="1">VLOOKUP(J7,Sheet1!$B$8:$HT$528,6,FALSE)</f>
        <v>#N/A</v>
      </c>
      <c r="K24" s="39" t="e">
        <f ca="1">VLOOKUP(K7,Sheet1!$B$8:$HT$528,6,FALSE)</f>
        <v>#N/A</v>
      </c>
    </row>
    <row r="25" spans="1:15" s="107" customFormat="1">
      <c r="A25" s="135" t="s">
        <v>282</v>
      </c>
      <c r="B25" s="132" t="s">
        <v>13</v>
      </c>
      <c r="C25" s="234" t="e">
        <f ca="1">VLOOKUP(C7,Sheet1!$B$8:$HT$528,26,FALSE)</f>
        <v>#N/A</v>
      </c>
      <c r="D25" s="200" t="e">
        <f ca="1">VLOOKUP(D7,Sheet1!$B$8:$HT$528,26,FALSE)</f>
        <v>#N/A</v>
      </c>
      <c r="E25" s="236" t="e">
        <f ca="1">VLOOKUP(E7,Sheet1!$B$8:$HT$528,26,FALSE)</f>
        <v>#N/A</v>
      </c>
      <c r="F25" s="200" t="e">
        <f ca="1">VLOOKUP(F7,Sheet1!$B$8:$HT$528,26,FALSE)</f>
        <v>#N/A</v>
      </c>
      <c r="G25" s="200" t="e">
        <f ca="1">VLOOKUP(G7,Sheet1!$B$8:$HT$528,26,FALSE)</f>
        <v>#N/A</v>
      </c>
      <c r="H25" s="200" t="e">
        <f ca="1">VLOOKUP(H7,Sheet1!$B$8:$HT$528,26,FALSE)</f>
        <v>#N/A</v>
      </c>
      <c r="I25" s="200" t="e">
        <f ca="1">VLOOKUP(I7,Sheet1!$B$8:$HT$528,26,FALSE)</f>
        <v>#N/A</v>
      </c>
      <c r="J25" s="200" t="e">
        <f ca="1">VLOOKUP(J7,Sheet1!$B$8:$HT$528,26,FALSE)</f>
        <v>#N/A</v>
      </c>
      <c r="K25" s="201" t="e">
        <f ca="1">VLOOKUP(K7,Sheet1!$B$8:$HT$528,26,FALSE)</f>
        <v>#N/A</v>
      </c>
    </row>
    <row r="26" spans="1:15" s="107" customFormat="1">
      <c r="A26" s="204" t="s">
        <v>277</v>
      </c>
      <c r="B26" s="205" t="s">
        <v>13</v>
      </c>
      <c r="C26" s="134" t="e">
        <f ca="1">VLOOKUP(C7,Sheet1!$B$8:$HT$528,11,FALSE)</f>
        <v>#N/A</v>
      </c>
      <c r="D26" s="37" t="e">
        <f ca="1">VLOOKUP(D7,Sheet1!$B$8:$HT$528,11,FALSE)</f>
        <v>#N/A</v>
      </c>
      <c r="E26" s="177" t="e">
        <f ca="1">VLOOKUP(E7,Sheet1!$B$8:$HT$528,11,FALSE)</f>
        <v>#N/A</v>
      </c>
      <c r="F26" s="37" t="e">
        <f ca="1">VLOOKUP(F7,Sheet1!$B$8:$HT$528,11,FALSE)</f>
        <v>#N/A</v>
      </c>
      <c r="G26" s="37" t="e">
        <f ca="1">VLOOKUP(G7,Sheet1!$B$8:$HT$528,11,FALSE)</f>
        <v>#N/A</v>
      </c>
      <c r="H26" s="37" t="e">
        <f ca="1">VLOOKUP(H7,Sheet1!$B$8:$HT$528,11,FALSE)</f>
        <v>#N/A</v>
      </c>
      <c r="I26" s="37" t="e">
        <f ca="1">VLOOKUP(I7,Sheet1!$B$8:$HT$528,11,FALSE)</f>
        <v>#N/A</v>
      </c>
      <c r="J26" s="37" t="e">
        <f ca="1">VLOOKUP(J7,Sheet1!$B$8:$HT$528,11,FALSE)</f>
        <v>#N/A</v>
      </c>
      <c r="K26" s="39" t="e">
        <f ca="1">VLOOKUP(K7,Sheet1!$B$8:$HT$528,11,FALSE)</f>
        <v>#N/A</v>
      </c>
    </row>
    <row r="27" spans="1:15" s="107" customFormat="1">
      <c r="A27" s="135" t="s">
        <v>79</v>
      </c>
      <c r="B27" s="132" t="s">
        <v>12</v>
      </c>
      <c r="C27" s="234" t="e">
        <f ca="1">VLOOKUP(C7,Sheet1!$B$8:$HT$528,12,FALSE)</f>
        <v>#N/A</v>
      </c>
      <c r="D27" s="200" t="e">
        <f ca="1">VLOOKUP(D7,Sheet1!$B$8:$HT$528,12,FALSE)</f>
        <v>#N/A</v>
      </c>
      <c r="E27" s="236" t="e">
        <f ca="1">VLOOKUP(E7,Sheet1!$B$8:$HT$528,12,FALSE)</f>
        <v>#N/A</v>
      </c>
      <c r="F27" s="200" t="e">
        <f ca="1">VLOOKUP(F7,Sheet1!$B$8:$HT$528,12,FALSE)</f>
        <v>#N/A</v>
      </c>
      <c r="G27" s="200" t="e">
        <f ca="1">VLOOKUP(G7,Sheet1!$B$8:$HT$528,12,FALSE)</f>
        <v>#N/A</v>
      </c>
      <c r="H27" s="200" t="e">
        <f ca="1">VLOOKUP(H7,Sheet1!$B$8:$HT$528,12,FALSE)</f>
        <v>#N/A</v>
      </c>
      <c r="I27" s="200" t="e">
        <f ca="1">VLOOKUP(I7,Sheet1!$B$8:$HT$528,12,FALSE)</f>
        <v>#N/A</v>
      </c>
      <c r="J27" s="200" t="e">
        <f ca="1">VLOOKUP(J7,Sheet1!$B$8:$HT$528,12,FALSE)</f>
        <v>#N/A</v>
      </c>
      <c r="K27" s="201" t="e">
        <f ca="1">VLOOKUP(K7,Sheet1!$B$8:$HT$528,12,FALSE)</f>
        <v>#N/A</v>
      </c>
    </row>
    <row r="28" spans="1:15" s="107" customFormat="1">
      <c r="A28" s="206" t="s">
        <v>80</v>
      </c>
      <c r="B28" s="207" t="s">
        <v>40</v>
      </c>
      <c r="C28" s="134" t="e">
        <f ca="1">VLOOKUP(C7,Sheet1!$B$8:$HT$528,7,FALSE)</f>
        <v>#N/A</v>
      </c>
      <c r="D28" s="37" t="e">
        <f ca="1">VLOOKUP(D7,Sheet1!$B$8:$HT$528,7,FALSE)</f>
        <v>#N/A</v>
      </c>
      <c r="E28" s="177" t="e">
        <f ca="1">VLOOKUP(E7,Sheet1!$B$8:$HT$528,7,FALSE)</f>
        <v>#N/A</v>
      </c>
      <c r="F28" s="37" t="e">
        <f ca="1">VLOOKUP(F7,Sheet1!$B$8:$HT$528,7,FALSE)</f>
        <v>#N/A</v>
      </c>
      <c r="G28" s="37" t="e">
        <f ca="1">VLOOKUP(G7,Sheet1!$B$8:$HT$528,7,FALSE)</f>
        <v>#N/A</v>
      </c>
      <c r="H28" s="37" t="e">
        <f ca="1">VLOOKUP(H7,Sheet1!$B$8:$HT$528,7,FALSE)</f>
        <v>#N/A</v>
      </c>
      <c r="I28" s="37" t="e">
        <f ca="1">VLOOKUP(I7,Sheet1!$B$8:$HT$528,7,FALSE)</f>
        <v>#N/A</v>
      </c>
      <c r="J28" s="37" t="e">
        <f ca="1">VLOOKUP(J7,Sheet1!$B$8:$HT$528,7,FALSE)</f>
        <v>#N/A</v>
      </c>
      <c r="K28" s="39" t="e">
        <f ca="1">VLOOKUP(K7,Sheet1!$B$8:$HT$528,7,FALSE)</f>
        <v>#N/A</v>
      </c>
    </row>
    <row r="29" spans="1:15" s="107" customFormat="1">
      <c r="A29" s="135" t="s">
        <v>81</v>
      </c>
      <c r="B29" s="131" t="s">
        <v>40</v>
      </c>
      <c r="C29" s="353" t="e">
        <f ca="1">IF(VLOOKUP(C7,Sheet1!$B$8:$HT$528,9,FALSE)="os",VLOOKUP(C7,Sheet1!$B$8:$HT$528,10,FALSE),VLOOKUP(C7,Sheet1!$B$8:$HT$528,9,FALSE))</f>
        <v>#N/A</v>
      </c>
      <c r="D29" s="200" t="e">
        <f ca="1">IF(VLOOKUP(D7,Sheet1!$B$8:$HT$528,9,FALSE)="os",VLOOKUP(D7,Sheet1!$B$8:$HT$528,10,FALSE),VLOOKUP(D7,Sheet1!$B$8:$HT$528,9,FALSE))</f>
        <v>#N/A</v>
      </c>
      <c r="E29" s="200" t="e">
        <f ca="1">IF(VLOOKUP(E7,Sheet1!$B$8:$HT$528,9,FALSE)="os",VLOOKUP(E7,Sheet1!$B$8:$HT$528,10,FALSE),VLOOKUP(E7,Sheet1!$B$8:$HT$528,9,FALSE))</f>
        <v>#N/A</v>
      </c>
      <c r="F29" s="200" t="e">
        <f ca="1">IF(VLOOKUP(F7,Sheet1!$B$8:$HT$528,9,FALSE)="os",VLOOKUP(F7,Sheet1!$B$8:$HT$528,10,FALSE),VLOOKUP(F7,Sheet1!$B$8:$HT$528,9,FALSE))</f>
        <v>#N/A</v>
      </c>
      <c r="G29" s="200" t="e">
        <f ca="1">IF(VLOOKUP(G7,Sheet1!$B$8:$HT$528,9,FALSE)="os",VLOOKUP(G7,Sheet1!$B$8:$HT$528,10,FALSE),VLOOKUP(G7,Sheet1!$B$8:$HT$528,9,FALSE))</f>
        <v>#N/A</v>
      </c>
      <c r="H29" s="200" t="e">
        <f ca="1">IF(VLOOKUP(H7,Sheet1!$B$8:$HT$528,9,FALSE)="os",VLOOKUP(H7,Sheet1!$B$8:$HT$528,10,FALSE),VLOOKUP(H7,Sheet1!$B$8:$HT$528,9,FALSE))</f>
        <v>#N/A</v>
      </c>
      <c r="I29" s="200" t="e">
        <f ca="1">IF(VLOOKUP(I7,Sheet1!$B$8:$HT$528,9,FALSE)="os",VLOOKUP(I7,Sheet1!$B$8:$HT$528,10,FALSE),VLOOKUP(I7,Sheet1!$B$8:$HT$528,9,FALSE))</f>
        <v>#N/A</v>
      </c>
      <c r="J29" s="200" t="e">
        <f ca="1">IF(VLOOKUP(J7,Sheet1!$B$8:$HT$528,9,FALSE)="os",VLOOKUP(J7,Sheet1!$B$8:$HT$528,10,FALSE),VLOOKUP(J7,Sheet1!$B$8:$HT$528,9,FALSE))</f>
        <v>#N/A</v>
      </c>
      <c r="K29" s="201" t="e">
        <f ca="1">IF(VLOOKUP(K7,Sheet1!$B$8:$HT$528,9,FALSE)="os",VLOOKUP(K7,Sheet1!$B$8:$HT$528,10,FALSE),VLOOKUP(K7,Sheet1!$B$8:$HT$528,9,FALSE))</f>
        <v>#N/A</v>
      </c>
    </row>
    <row r="30" spans="1:15" s="107" customFormat="1">
      <c r="A30" s="204" t="s">
        <v>289</v>
      </c>
      <c r="B30" s="205" t="s">
        <v>290</v>
      </c>
      <c r="C30" s="44" t="e">
        <f ca="1">IF(VLOOKUP(C7,Sheet1!$B$8:$HT$528,20,FALSE)="os",VLOOKUP(C7,Sheet1!$B$8:$HT$528,21,FALSE),VLOOKUP(C7,Sheet1!$B$8:$HT$528,20,FALSE))</f>
        <v>#N/A</v>
      </c>
      <c r="D30" s="37" t="e">
        <f ca="1">IF(VLOOKUP(D7,Sheet1!$B$8:$HT$528,20,FALSE)="os",VLOOKUP(D7,Sheet1!$B$8:$HT$528,21,FALSE),VLOOKUP(D7,Sheet1!$B$8:$HT$528,20,FALSE))</f>
        <v>#N/A</v>
      </c>
      <c r="E30" s="37" t="e">
        <f ca="1">IF(VLOOKUP(E7,Sheet1!$B$8:$HT$528,20,FALSE)="os",VLOOKUP(E7,Sheet1!$B$8:$HT$528,21,FALSE),VLOOKUP(E7,Sheet1!$B$8:$HT$528,20,FALSE))</f>
        <v>#N/A</v>
      </c>
      <c r="F30" s="37" t="e">
        <f ca="1">IF(VLOOKUP(F7,Sheet1!$B$8:$HT$528,20,FALSE)="os",VLOOKUP(F7,Sheet1!$B$8:$HT$528,21,FALSE),VLOOKUP(F7,Sheet1!$B$8:$HT$528,20,FALSE))</f>
        <v>#N/A</v>
      </c>
      <c r="G30" s="37" t="e">
        <f ca="1">IF(VLOOKUP(G7,Sheet1!$B$8:$HT$528,20,FALSE)="os",VLOOKUP(G7,Sheet1!$B$8:$HT$528,21,FALSE),VLOOKUP(G7,Sheet1!$B$8:$HT$528,20,FALSE))</f>
        <v>#N/A</v>
      </c>
      <c r="H30" s="37" t="e">
        <f ca="1">IF(VLOOKUP(H7,Sheet1!$B$8:$HT$528,20,FALSE)="os",VLOOKUP(H7,Sheet1!$B$8:$HT$528,21,FALSE),VLOOKUP(H7,Sheet1!$B$8:$HT$528,20,FALSE))</f>
        <v>#N/A</v>
      </c>
      <c r="I30" s="37" t="e">
        <f ca="1">IF(VLOOKUP(I7,Sheet1!$B$8:$HT$528,20,FALSE)="os",VLOOKUP(I7,Sheet1!$B$8:$HT$528,21,FALSE),VLOOKUP(I7,Sheet1!$B$8:$HT$528,20,FALSE))</f>
        <v>#N/A</v>
      </c>
      <c r="J30" s="37" t="e">
        <f ca="1">IF(VLOOKUP(J7,Sheet1!$B$8:$HT$528,20,FALSE)="os",VLOOKUP(J7,Sheet1!$B$8:$HT$528,21,FALSE),VLOOKUP(J7,Sheet1!$B$8:$HT$528,20,FALSE))</f>
        <v>#N/A</v>
      </c>
      <c r="K30" s="39" t="e">
        <f ca="1">IF(VLOOKUP(K7,Sheet1!$B$8:$HT$528,20,FALSE)="os",VLOOKUP(K7,Sheet1!$B$8:$HT$528,21,FALSE),VLOOKUP(K7,Sheet1!$B$8:$HT$528,20,FALSE))</f>
        <v>#N/A</v>
      </c>
    </row>
    <row r="31" spans="1:15" s="107" customFormat="1">
      <c r="A31" s="204" t="s">
        <v>543</v>
      </c>
      <c r="B31" s="208" t="s">
        <v>92</v>
      </c>
      <c r="C31" s="234" t="e">
        <f ca="1">VLOOKUP(C7,Sheet1!$B$8:$HT$528,13,FALSE)</f>
        <v>#N/A</v>
      </c>
      <c r="D31" s="200" t="e">
        <f ca="1">VLOOKUP(D7,Sheet1!$B$8:$HT$528,13,FALSE)</f>
        <v>#N/A</v>
      </c>
      <c r="E31" s="236" t="e">
        <f ca="1">VLOOKUP(E7,Sheet1!$B$8:$HT$528,13,FALSE)</f>
        <v>#N/A</v>
      </c>
      <c r="F31" s="200" t="e">
        <f ca="1">VLOOKUP(F7,Sheet1!$B$8:$HT$528,13,FALSE)</f>
        <v>#N/A</v>
      </c>
      <c r="G31" s="200" t="e">
        <f ca="1">VLOOKUP(G7,Sheet1!$B$8:$HT$528,13,FALSE)</f>
        <v>#N/A</v>
      </c>
      <c r="H31" s="200" t="e">
        <f ca="1">VLOOKUP(H7,Sheet1!$B$8:$HT$528,13,FALSE)</f>
        <v>#N/A</v>
      </c>
      <c r="I31" s="200" t="e">
        <f ca="1">VLOOKUP(I7,Sheet1!$B$8:$HT$528,13,FALSE)</f>
        <v>#N/A</v>
      </c>
      <c r="J31" s="200" t="e">
        <f ca="1">VLOOKUP(J7,Sheet1!$B$8:$HT$528,13,FALSE)</f>
        <v>#N/A</v>
      </c>
      <c r="K31" s="201" t="e">
        <f ca="1">VLOOKUP(K7,Sheet1!$B$8:$HT$528,13,FALSE)</f>
        <v>#N/A</v>
      </c>
    </row>
    <row r="32" spans="1:15" s="107" customFormat="1">
      <c r="A32" s="204" t="s">
        <v>82</v>
      </c>
      <c r="B32" s="209" t="s">
        <v>93</v>
      </c>
      <c r="C32" s="210" t="e">
        <f ca="1">VLOOKUP(C7,Sheet1!$B$8:$HT$528,17,FALSE)</f>
        <v>#N/A</v>
      </c>
      <c r="D32" s="210" t="e">
        <f ca="1">VLOOKUP(D7,Sheet1!$B$8:$HT$528,17,FALSE)</f>
        <v>#N/A</v>
      </c>
      <c r="E32" s="210" t="e">
        <f ca="1">VLOOKUP(E7,Sheet1!$B$8:$HT$528,17,FALSE)</f>
        <v>#N/A</v>
      </c>
      <c r="F32" s="210" t="e">
        <f ca="1">VLOOKUP(F7,Sheet1!$B$8:$HT$528,17,FALSE)</f>
        <v>#N/A</v>
      </c>
      <c r="G32" s="210" t="e">
        <f ca="1">VLOOKUP(G7,Sheet1!$B$8:$HT$528,17,FALSE)</f>
        <v>#N/A</v>
      </c>
      <c r="H32" s="210" t="e">
        <f ca="1">VLOOKUP(H7,Sheet1!$B$8:$HT$528,17,FALSE)</f>
        <v>#N/A</v>
      </c>
      <c r="I32" s="210" t="e">
        <f ca="1">VLOOKUP(I7,Sheet1!$B$8:$HT$528,17,FALSE)</f>
        <v>#N/A</v>
      </c>
      <c r="J32" s="210" t="e">
        <f ca="1">VLOOKUP(J7,Sheet1!$B$8:$HT$528,17,FALSE)</f>
        <v>#N/A</v>
      </c>
      <c r="K32" s="211" t="e">
        <f ca="1">VLOOKUP(K7,Sheet1!$B$8:$HT$528,17,FALSE)</f>
        <v>#N/A</v>
      </c>
      <c r="O32" s="674"/>
    </row>
    <row r="33" spans="1:16" s="107" customFormat="1">
      <c r="A33" s="130" t="s">
        <v>291</v>
      </c>
      <c r="B33" s="212"/>
      <c r="C33" s="353" t="e">
        <f ca="1">IF(VLOOKUP(C7,Sheet1!$B$8:$HT$528,18,FALSE)="os",VLOOKUP(C7,Sheet1!$B$8:$HT$528,19,FALSE),VLOOKUP(C7,Sheet1!$B$8:$HT$528,18,FALSE))</f>
        <v>#N/A</v>
      </c>
      <c r="D33" s="200" t="e">
        <f ca="1">IF(VLOOKUP(D7,Sheet1!$B$8:$HT$528,18,FALSE)="os",VLOOKUP(D7,Sheet1!$B$8:$HT$528,19,FALSE),VLOOKUP(D7,Sheet1!$B$8:$HT$528,18,FALSE))</f>
        <v>#N/A</v>
      </c>
      <c r="E33" s="200" t="e">
        <f ca="1">IF(VLOOKUP(E7,Sheet1!$B$8:$HT$528,18,FALSE)="os",VLOOKUP(E7,Sheet1!$B$8:$HT$528,19,FALSE),VLOOKUP(E7,Sheet1!$B$8:$HT$528,18,FALSE))</f>
        <v>#N/A</v>
      </c>
      <c r="F33" s="200" t="e">
        <f ca="1">IF(VLOOKUP(F7,Sheet1!$B$8:$HT$528,18,FALSE)="os",VLOOKUP(F7,Sheet1!$B$8:$HT$528,19,FALSE),VLOOKUP(F7,Sheet1!$B$8:$HT$528,18,FALSE))</f>
        <v>#N/A</v>
      </c>
      <c r="G33" s="200" t="e">
        <f ca="1">IF(VLOOKUP(G7,Sheet1!$B$8:$HT$528,18,FALSE)="os",VLOOKUP(G7,Sheet1!$B$8:$HT$528,19,FALSE),VLOOKUP(G7,Sheet1!$B$8:$HT$528,18,FALSE))</f>
        <v>#N/A</v>
      </c>
      <c r="H33" s="200" t="e">
        <f ca="1">IF(VLOOKUP(H7,Sheet1!$B$8:$HT$528,18,FALSE)="os",VLOOKUP(H7,Sheet1!$B$8:$HT$528,19,FALSE),VLOOKUP(H7,Sheet1!$B$8:$HT$528,18,FALSE))</f>
        <v>#N/A</v>
      </c>
      <c r="I33" s="200" t="e">
        <f ca="1">IF(VLOOKUP(I7,Sheet1!$B$8:$HT$528,18,FALSE)="os",VLOOKUP(I7,Sheet1!$B$8:$HT$528,19,FALSE),VLOOKUP(I7,Sheet1!$B$8:$HT$528,18,FALSE))</f>
        <v>#N/A</v>
      </c>
      <c r="J33" s="200" t="e">
        <f ca="1">IF(VLOOKUP(J7,Sheet1!$B$8:$HT$528,18,FALSE)="os",VLOOKUP(J7,Sheet1!$B$8:$HT$528,19,FALSE),VLOOKUP(J7,Sheet1!$B$8:$HT$528,18,FALSE))</f>
        <v>#N/A</v>
      </c>
      <c r="K33" s="201" t="e">
        <f ca="1">IF(VLOOKUP(K7,Sheet1!$B$8:$HT$528,18,FALSE)="os",VLOOKUP(K7,Sheet1!$B$8:$HT$528,19,FALSE),VLOOKUP(K7,Sheet1!$B$8:$HT$528,18,FALSE))</f>
        <v>#N/A</v>
      </c>
      <c r="O33" s="674"/>
    </row>
    <row r="34" spans="1:16" s="107" customFormat="1">
      <c r="A34" s="204" t="s">
        <v>409</v>
      </c>
      <c r="B34" s="213" t="s">
        <v>94</v>
      </c>
      <c r="C34" s="134" t="e">
        <f ca="1">VLOOKUP(C7,Sheet1!$B$8:$HT$528,106,FALSE)</f>
        <v>#N/A</v>
      </c>
      <c r="D34" s="37" t="e">
        <f ca="1">VLOOKUP(D7,Sheet1!$B$8:$HT$528,106,FALSE)</f>
        <v>#N/A</v>
      </c>
      <c r="E34" s="177" t="e">
        <f ca="1">VLOOKUP(E7,Sheet1!$B$8:$HT$528,106,FALSE)</f>
        <v>#N/A</v>
      </c>
      <c r="F34" s="37" t="e">
        <f ca="1">VLOOKUP(F7,Sheet1!$B$8:$HT$528,106,FALSE)</f>
        <v>#N/A</v>
      </c>
      <c r="G34" s="37" t="e">
        <f ca="1">VLOOKUP(G7,Sheet1!$B$8:$HT$528,106,FALSE)</f>
        <v>#N/A</v>
      </c>
      <c r="H34" s="37" t="e">
        <f ca="1">VLOOKUP(H7,Sheet1!$B$8:$HT$528,106,FALSE)</f>
        <v>#N/A</v>
      </c>
      <c r="I34" s="37" t="e">
        <f ca="1">VLOOKUP(I7,Sheet1!$B$8:$HT$528,106,FALSE)</f>
        <v>#N/A</v>
      </c>
      <c r="J34" s="37" t="e">
        <f ca="1">VLOOKUP(J7,Sheet1!$B$8:$HT$528,106,FALSE)</f>
        <v>#N/A</v>
      </c>
      <c r="K34" s="39" t="e">
        <f ca="1">VLOOKUP(K7,Sheet1!$B$8:$HT$528,106,FALSE)</f>
        <v>#N/A</v>
      </c>
      <c r="O34" s="674"/>
    </row>
    <row r="35" spans="1:16" s="107" customFormat="1">
      <c r="A35" s="130" t="s">
        <v>83</v>
      </c>
      <c r="B35" s="131" t="s">
        <v>16</v>
      </c>
      <c r="C35" s="234" t="e">
        <f ca="1">VLOOKUP(C7,Sheet1!$B$8:$HT$528,3,FALSE)</f>
        <v>#N/A</v>
      </c>
      <c r="D35" s="200" t="e">
        <f ca="1">VLOOKUP(D7,Sheet1!$B$8:$HT$528,3,FALSE)</f>
        <v>#N/A</v>
      </c>
      <c r="E35" s="236" t="e">
        <f ca="1">VLOOKUP(E7,Sheet1!$B$8:$HT$528,3,FALSE)</f>
        <v>#N/A</v>
      </c>
      <c r="F35" s="200" t="e">
        <f ca="1">VLOOKUP(F7,Sheet1!$B$8:$HT$528,3,FALSE)</f>
        <v>#N/A</v>
      </c>
      <c r="G35" s="200" t="e">
        <f ca="1">VLOOKUP(G7,Sheet1!$B$8:$HT$528,3,FALSE)</f>
        <v>#N/A</v>
      </c>
      <c r="H35" s="200" t="e">
        <f ca="1">VLOOKUP(H7,Sheet1!$B$8:$HT$528,3,FALSE)</f>
        <v>#N/A</v>
      </c>
      <c r="I35" s="200" t="e">
        <f ca="1">VLOOKUP(I7,Sheet1!$B$8:$HT$528,3,FALSE)</f>
        <v>#N/A</v>
      </c>
      <c r="J35" s="200" t="e">
        <f ca="1">VLOOKUP(J7,Sheet1!$B$8:$HT$528,3,FALSE)</f>
        <v>#N/A</v>
      </c>
      <c r="K35" s="201" t="e">
        <f ca="1">VLOOKUP(K7,Sheet1!$B$8:$HT$528,3,FALSE)</f>
        <v>#N/A</v>
      </c>
      <c r="O35" s="674"/>
      <c r="P35" s="674"/>
    </row>
    <row r="36" spans="1:16" s="107" customFormat="1">
      <c r="A36" s="204" t="s">
        <v>84</v>
      </c>
      <c r="B36" s="205" t="s">
        <v>16</v>
      </c>
      <c r="C36" s="134" t="e">
        <f ca="1">VLOOKUP(C7,Sheet1!$B$8:$HT$528,4,FALSE)</f>
        <v>#N/A</v>
      </c>
      <c r="D36" s="37" t="e">
        <f ca="1">VLOOKUP(D7,Sheet1!$B$8:$HT$528,4,FALSE)</f>
        <v>#N/A</v>
      </c>
      <c r="E36" s="177" t="e">
        <f ca="1">VLOOKUP(E7,Sheet1!$B$8:$HT$528,4,FALSE)</f>
        <v>#N/A</v>
      </c>
      <c r="F36" s="37" t="e">
        <f ca="1">VLOOKUP(F7,Sheet1!$B$8:$HT$528,4,FALSE)</f>
        <v>#N/A</v>
      </c>
      <c r="G36" s="37" t="e">
        <f ca="1">VLOOKUP(G7,Sheet1!$B$8:$HT$528,4,FALSE)</f>
        <v>#N/A</v>
      </c>
      <c r="H36" s="37" t="e">
        <f ca="1">VLOOKUP(H7,Sheet1!$B$8:$HT$528,4,FALSE)</f>
        <v>#N/A</v>
      </c>
      <c r="I36" s="37" t="e">
        <f ca="1">VLOOKUP(I7,Sheet1!$B$8:$HT$528,4,FALSE)</f>
        <v>#N/A</v>
      </c>
      <c r="J36" s="37" t="e">
        <f ca="1">VLOOKUP(J7,Sheet1!$B$8:$HT$528,4,FALSE)</f>
        <v>#N/A</v>
      </c>
      <c r="K36" s="39" t="e">
        <f ca="1">VLOOKUP(K7,Sheet1!$B$8:$HT$528,4,FALSE)</f>
        <v>#N/A</v>
      </c>
      <c r="O36" s="674"/>
      <c r="P36" s="674"/>
    </row>
    <row r="37" spans="1:16" s="107" customFormat="1">
      <c r="A37" s="130" t="s">
        <v>85</v>
      </c>
      <c r="B37" s="131" t="s">
        <v>17</v>
      </c>
      <c r="C37" s="234" t="e">
        <f ca="1">VLOOKUP(C7,Sheet1!$B$8:$HT$528,5,FALSE)</f>
        <v>#N/A</v>
      </c>
      <c r="D37" s="200" t="e">
        <f ca="1">VLOOKUP(D7,Sheet1!$B$8:$HT$528,5,FALSE)</f>
        <v>#N/A</v>
      </c>
      <c r="E37" s="236" t="e">
        <f ca="1">VLOOKUP(E7,Sheet1!$B$8:$HT$528,5,FALSE)</f>
        <v>#N/A</v>
      </c>
      <c r="F37" s="200" t="e">
        <f ca="1">VLOOKUP(F7,Sheet1!$B$8:$HT$528,5,FALSE)</f>
        <v>#N/A</v>
      </c>
      <c r="G37" s="200" t="e">
        <f ca="1">VLOOKUP(G7,Sheet1!$B$8:$HT$528,5,FALSE)</f>
        <v>#N/A</v>
      </c>
      <c r="H37" s="200" t="e">
        <f ca="1">VLOOKUP(H7,Sheet1!$B$8:$HT$528,5,FALSE)</f>
        <v>#N/A</v>
      </c>
      <c r="I37" s="200" t="e">
        <f ca="1">VLOOKUP(I7,Sheet1!$B$8:$HT$528,5,FALSE)</f>
        <v>#N/A</v>
      </c>
      <c r="J37" s="200" t="e">
        <f ca="1">VLOOKUP(J7,Sheet1!$B$8:$HT$528,5,FALSE)</f>
        <v>#N/A</v>
      </c>
      <c r="K37" s="632" t="e">
        <f ca="1">VLOOKUP(K7,Sheet1!$B$8:$HT$528,5,FALSE)</f>
        <v>#N/A</v>
      </c>
      <c r="O37" s="674"/>
      <c r="P37" s="674"/>
    </row>
    <row r="38" spans="1:16" s="107" customFormat="1" ht="13.5" thickBot="1">
      <c r="A38" s="202" t="s">
        <v>86</v>
      </c>
      <c r="B38" s="203" t="s">
        <v>17</v>
      </c>
      <c r="C38" s="241" t="e">
        <f ca="1">IF(ISNUMBER(VLOOKUP(C7,Sheet1!$B$8:$HT$528,22,FALSE))=TRUE,VLOOKUP(C7,Sheet1!$B$8:$HT$528,22,FALSE),VLOOKUP(C7,Sheet1!$B$8:$HT$528,23,FALSE))</f>
        <v>#N/A</v>
      </c>
      <c r="D38" s="222" t="e">
        <f ca="1">IF(ISNUMBER(VLOOKUP(D7,Sheet1!$B$8:$HT$528,22,FALSE))=TRUE,VLOOKUP(D7,Sheet1!$B$8:$HT$528,22,FALSE),VLOOKUP(D7,Sheet1!$B$8:$HT$528,23,FALSE))</f>
        <v>#N/A</v>
      </c>
      <c r="E38" s="242" t="e">
        <f ca="1">IF(ISNUMBER(VLOOKUP(E7,Sheet1!$B$8:$HT$528,22,FALSE))=TRUE,VLOOKUP(E7,Sheet1!$B$8:$HT$528,22,FALSE),VLOOKUP(E7,Sheet1!$B$8:$HT$528,23,FALSE))</f>
        <v>#N/A</v>
      </c>
      <c r="F38" s="222" t="e">
        <f ca="1">IF(ISNUMBER(VLOOKUP(F7,Sheet1!$B$8:$HT$528,22,FALSE))=TRUE,VLOOKUP(F7,Sheet1!$B$8:$HT$528,22,FALSE),VLOOKUP(F7,Sheet1!$B$8:$HT$528,23,FALSE))</f>
        <v>#N/A</v>
      </c>
      <c r="G38" s="222" t="e">
        <f ca="1">IF(ISNUMBER(VLOOKUP(G7,Sheet1!$B$8:$HT$528,22,FALSE))=TRUE,VLOOKUP(G7,Sheet1!$B$8:$HT$528,22,FALSE),VLOOKUP(G7,Sheet1!$B$8:$HT$528,23,FALSE))</f>
        <v>#N/A</v>
      </c>
      <c r="H38" s="222" t="e">
        <f ca="1">IF(ISNUMBER(VLOOKUP(H7,Sheet1!$B$8:$HT$528,22,FALSE))=TRUE,VLOOKUP(H7,Sheet1!$B$8:$HT$528,22,FALSE),VLOOKUP(H7,Sheet1!$B$8:$HT$528,23,FALSE))</f>
        <v>#N/A</v>
      </c>
      <c r="I38" s="222" t="e">
        <f ca="1">IF(ISNUMBER(VLOOKUP(I7,Sheet1!$B$8:$HT$528,22,FALSE))=TRUE,VLOOKUP(I7,Sheet1!$B$8:$HT$528,22,FALSE),VLOOKUP(I7,Sheet1!$B$8:$HT$528,23,FALSE))</f>
        <v>#N/A</v>
      </c>
      <c r="J38" s="222" t="e">
        <f ca="1">IF(ISNUMBER(VLOOKUP(J7,Sheet1!$B$8:$HT$528,22,FALSE))=TRUE,VLOOKUP(J7,Sheet1!$B$8:$HT$528,22,FALSE),VLOOKUP(J7,Sheet1!$B$8:$HT$528,23,FALSE))</f>
        <v>#N/A</v>
      </c>
      <c r="K38" s="633" t="e">
        <f ca="1">IF(ISNUMBER(VLOOKUP(K7,Sheet1!$B$8:$HT$528,22,FALSE))=TRUE,VLOOKUP(K7,Sheet1!$B$8:$HT$528,22,FALSE),VLOOKUP(K7,Sheet1!$B$8:$HT$528,23,FALSE))</f>
        <v>#N/A</v>
      </c>
      <c r="O38" s="674"/>
      <c r="P38" s="674"/>
    </row>
    <row r="39" spans="1:16" s="107" customFormat="1" ht="13.5" thickBot="1">
      <c r="A39" s="1134" t="s">
        <v>95</v>
      </c>
      <c r="B39" s="1137"/>
      <c r="C39" s="1141"/>
      <c r="D39" s="1141"/>
      <c r="E39" s="1141"/>
      <c r="F39" s="1141"/>
      <c r="G39" s="1141"/>
      <c r="H39" s="1141"/>
      <c r="I39" s="1141"/>
      <c r="J39" s="1141"/>
      <c r="K39" s="1142"/>
      <c r="O39" s="674"/>
      <c r="P39" s="674"/>
    </row>
    <row r="40" spans="1:16" s="107" customFormat="1">
      <c r="A40" s="206" t="s">
        <v>715</v>
      </c>
      <c r="B40" s="880" t="s">
        <v>23</v>
      </c>
      <c r="C40" s="43" t="e">
        <f ca="1">VLOOKUP(C7,Sheet1!$B$8:$HT$528,68,FALSE)</f>
        <v>#N/A</v>
      </c>
      <c r="D40" s="38" t="e">
        <f ca="1">VLOOKUP(D7,Sheet1!$B$8:$HT$528,68,FALSE)</f>
        <v>#N/A</v>
      </c>
      <c r="E40" s="38" t="e">
        <f ca="1">VLOOKUP(E7,Sheet1!$B$8:$HT$528,68,FALSE)</f>
        <v>#N/A</v>
      </c>
      <c r="F40" s="38" t="e">
        <f ca="1">VLOOKUP(F7,Sheet1!$B$8:$HT$528,68,FALSE)</f>
        <v>#N/A</v>
      </c>
      <c r="G40" s="38" t="e">
        <f ca="1">VLOOKUP(G7,Sheet1!$B$8:$HT$528,68,FALSE)</f>
        <v>#N/A</v>
      </c>
      <c r="H40" s="38" t="e">
        <f ca="1">VLOOKUP(H7,Sheet1!$B$8:$HT$528,68,FALSE)</f>
        <v>#N/A</v>
      </c>
      <c r="I40" s="38" t="e">
        <f ca="1">VLOOKUP(I7,Sheet1!$B$8:$HT$528,68,FALSE)</f>
        <v>#N/A</v>
      </c>
      <c r="J40" s="38" t="e">
        <f ca="1">VLOOKUP(J7,Sheet1!$B$8:$HT$528,68,FALSE)</f>
        <v>#N/A</v>
      </c>
      <c r="K40" s="860" t="e">
        <f ca="1">VLOOKUP(K7,Sheet1!$B$8:$HT$528,68,FALSE)</f>
        <v>#N/A</v>
      </c>
    </row>
    <row r="41" spans="1:16" s="107" customFormat="1">
      <c r="A41" s="206" t="s">
        <v>716</v>
      </c>
      <c r="B41" s="880" t="s">
        <v>23</v>
      </c>
      <c r="C41" s="44" t="e">
        <f ca="1">VLOOKUP(C7,Sheet1!$B$8:$HT$528,69,FALSE)</f>
        <v>#N/A</v>
      </c>
      <c r="D41" s="37" t="e">
        <f ca="1">VLOOKUP(D7,Sheet1!$B$8:$HT$528,69,FALSE)</f>
        <v>#N/A</v>
      </c>
      <c r="E41" s="37" t="e">
        <f ca="1">VLOOKUP(E7,Sheet1!$B$8:$HT$528,69,FALSE)</f>
        <v>#N/A</v>
      </c>
      <c r="F41" s="37" t="e">
        <f ca="1">VLOOKUP(F7,Sheet1!$B$8:$HT$528,69,FALSE)</f>
        <v>#N/A</v>
      </c>
      <c r="G41" s="37" t="e">
        <f ca="1">VLOOKUP(G7,Sheet1!$B$8:$HT$528,69,FALSE)</f>
        <v>#N/A</v>
      </c>
      <c r="H41" s="37" t="e">
        <f ca="1">VLOOKUP(H7,Sheet1!$B$8:$HT$528,69,FALSE)</f>
        <v>#N/A</v>
      </c>
      <c r="I41" s="37" t="e">
        <f ca="1">VLOOKUP(I7,Sheet1!$B$8:$HT$528,69,FALSE)</f>
        <v>#N/A</v>
      </c>
      <c r="J41" s="37" t="e">
        <f ca="1">VLOOKUP(J7,Sheet1!$B$8:$HT$528,69,FALSE)</f>
        <v>#N/A</v>
      </c>
      <c r="K41" s="39" t="e">
        <f ca="1">VLOOKUP(K7,Sheet1!$B$8:$HT$528,69,FALSE)</f>
        <v>#N/A</v>
      </c>
    </row>
    <row r="42" spans="1:16" s="107" customFormat="1">
      <c r="A42" s="46" t="s">
        <v>717</v>
      </c>
      <c r="B42" s="139" t="s">
        <v>13</v>
      </c>
      <c r="C42" s="44" t="e">
        <f ca="1">VLOOKUP(C7,Sheet1!$B$8:$HT$528,70,FALSE)</f>
        <v>#N/A</v>
      </c>
      <c r="D42" s="37" t="e">
        <f ca="1">VLOOKUP(D7,Sheet1!$B$8:$HT$528,70,FALSE)</f>
        <v>#N/A</v>
      </c>
      <c r="E42" s="37" t="e">
        <f ca="1">VLOOKUP(E7,Sheet1!$B$8:$HT$528,70,FALSE)</f>
        <v>#N/A</v>
      </c>
      <c r="F42" s="37" t="e">
        <f ca="1">VLOOKUP(F7,Sheet1!$B$8:$HT$528,70,FALSE)</f>
        <v>#N/A</v>
      </c>
      <c r="G42" s="37" t="e">
        <f ca="1">VLOOKUP(G7,Sheet1!$B$8:$HT$528,70,FALSE)</f>
        <v>#N/A</v>
      </c>
      <c r="H42" s="37" t="e">
        <f ca="1">VLOOKUP(H7,Sheet1!$B$8:$HT$528,70,FALSE)</f>
        <v>#N/A</v>
      </c>
      <c r="I42" s="37" t="e">
        <f ca="1">VLOOKUP(I7,Sheet1!$B$8:$HT$528,70,FALSE)</f>
        <v>#N/A</v>
      </c>
      <c r="J42" s="37" t="e">
        <f ca="1">VLOOKUP(J7,Sheet1!$B$8:$HT$528,70,FALSE)</f>
        <v>#N/A</v>
      </c>
      <c r="K42" s="39" t="e">
        <f ca="1">VLOOKUP(K7,Sheet1!$B$8:$HT$528,70,FALSE)</f>
        <v>#N/A</v>
      </c>
    </row>
    <row r="43" spans="1:16" s="107" customFormat="1">
      <c r="A43" s="46" t="s">
        <v>718</v>
      </c>
      <c r="B43" s="139" t="s">
        <v>13</v>
      </c>
      <c r="C43" s="44" t="e">
        <f ca="1">VLOOKUP(C7,Sheet1!$B$8:$HT$528,71,FALSE)</f>
        <v>#N/A</v>
      </c>
      <c r="D43" s="37" t="e">
        <f ca="1">VLOOKUP(D7,Sheet1!$B$8:$HT$528,71,FALSE)</f>
        <v>#N/A</v>
      </c>
      <c r="E43" s="37" t="e">
        <f ca="1">VLOOKUP(E7,Sheet1!$B$8:$HT$528,71,FALSE)</f>
        <v>#N/A</v>
      </c>
      <c r="F43" s="37" t="e">
        <f ca="1">VLOOKUP(F7,Sheet1!$B$8:$HT$528,71,FALSE)</f>
        <v>#N/A</v>
      </c>
      <c r="G43" s="37" t="e">
        <f ca="1">VLOOKUP(G7,Sheet1!$B$8:$HT$528,71,FALSE)</f>
        <v>#N/A</v>
      </c>
      <c r="H43" s="37" t="e">
        <f ca="1">VLOOKUP(H7,Sheet1!$B$8:$HT$528,71,FALSE)</f>
        <v>#N/A</v>
      </c>
      <c r="I43" s="37" t="e">
        <f ca="1">VLOOKUP(I7,Sheet1!$B$8:$HT$528,71,FALSE)</f>
        <v>#N/A</v>
      </c>
      <c r="J43" s="37" t="e">
        <f ca="1">VLOOKUP(J7,Sheet1!$B$8:$HT$528,71,FALSE)</f>
        <v>#N/A</v>
      </c>
      <c r="K43" s="39" t="e">
        <f ca="1">VLOOKUP(K7,Sheet1!$B$8:$HT$528,71,FALSE)</f>
        <v>#N/A</v>
      </c>
    </row>
    <row r="44" spans="1:16" s="107" customFormat="1">
      <c r="A44" s="34" t="s">
        <v>87</v>
      </c>
      <c r="B44" s="22" t="s">
        <v>40</v>
      </c>
      <c r="C44" s="44" t="e">
        <f ca="1">(VLOOKUP(C7,Sheet1!$B$8:$HT$528,76,FALSE))</f>
        <v>#N/A</v>
      </c>
      <c r="D44" s="37" t="e">
        <f ca="1">(VLOOKUP(D7,Sheet1!$B$8:$HT$528,76,FALSE))</f>
        <v>#N/A</v>
      </c>
      <c r="E44" s="37" t="e">
        <f ca="1">(VLOOKUP(E7,Sheet1!$B$8:$HT$528,76,FALSE))</f>
        <v>#N/A</v>
      </c>
      <c r="F44" s="37" t="e">
        <f ca="1">(VLOOKUP(F7,Sheet1!$B$8:$HT$528,76,FALSE))</f>
        <v>#N/A</v>
      </c>
      <c r="G44" s="37" t="e">
        <f ca="1">(VLOOKUP(G7,Sheet1!$B$8:$HT$528,76,FALSE))</f>
        <v>#N/A</v>
      </c>
      <c r="H44" s="37" t="e">
        <f ca="1">(VLOOKUP(H7,Sheet1!$B$8:$HT$528,76,FALSE))</f>
        <v>#N/A</v>
      </c>
      <c r="I44" s="37" t="e">
        <f ca="1">(VLOOKUP(I7,Sheet1!$B$8:$HT$528,76,FALSE))</f>
        <v>#N/A</v>
      </c>
      <c r="J44" s="37" t="e">
        <f ca="1">(VLOOKUP(J7,Sheet1!$B$8:$HT$528,76,FALSE))</f>
        <v>#N/A</v>
      </c>
      <c r="K44" s="39" t="e">
        <f ca="1">(VLOOKUP(K7,Sheet1!$B$8:$HT$528,76,FALSE))</f>
        <v>#N/A</v>
      </c>
    </row>
    <row r="45" spans="1:16" s="107" customFormat="1">
      <c r="A45" s="135" t="s">
        <v>88</v>
      </c>
      <c r="B45" s="881" t="s">
        <v>14</v>
      </c>
      <c r="C45" s="44" t="e">
        <f ca="1">VLOOKUP(C7,Sheet1!$B$8:$HT$528,77,FALSE)</f>
        <v>#N/A</v>
      </c>
      <c r="D45" s="37" t="e">
        <f ca="1">VLOOKUP(D7,Sheet1!$B$8:$HT$528,77,FALSE)</f>
        <v>#N/A</v>
      </c>
      <c r="E45" s="37" t="e">
        <f ca="1">VLOOKUP(E7,Sheet1!$B$8:$HT$528,77,FALSE)</f>
        <v>#N/A</v>
      </c>
      <c r="F45" s="37" t="e">
        <f ca="1">VLOOKUP(F7,Sheet1!$B$8:$HT$528,77,FALSE)</f>
        <v>#N/A</v>
      </c>
      <c r="G45" s="37" t="e">
        <f ca="1">VLOOKUP(G7,Sheet1!$B$8:$HT$528,77,FALSE)</f>
        <v>#N/A</v>
      </c>
      <c r="H45" s="37" t="e">
        <f ca="1">VLOOKUP(H7,Sheet1!$B$8:$HT$528,77,FALSE)</f>
        <v>#N/A</v>
      </c>
      <c r="I45" s="37" t="e">
        <f ca="1">VLOOKUP(I7,Sheet1!$B$8:$HT$528,77,FALSE)</f>
        <v>#N/A</v>
      </c>
      <c r="J45" s="37" t="e">
        <f ca="1">VLOOKUP(J7,Sheet1!$B$8:$HT$528,77,FALSE)</f>
        <v>#N/A</v>
      </c>
      <c r="K45" s="39" t="e">
        <f ca="1">VLOOKUP(K7,Sheet1!$B$8:$HT$528,77,FALSE)</f>
        <v>#N/A</v>
      </c>
    </row>
    <row r="46" spans="1:16" s="107" customFormat="1" ht="13.5" thickBot="1">
      <c r="A46" s="206" t="s">
        <v>89</v>
      </c>
      <c r="B46" s="882" t="s">
        <v>14</v>
      </c>
      <c r="C46" s="45" t="e">
        <f ca="1">VLOOKUP(C7,Sheet1!$B$8:$HT$528,78,FALSE)</f>
        <v>#N/A</v>
      </c>
      <c r="D46" s="40" t="e">
        <f ca="1">VLOOKUP(D7,Sheet1!$B$8:$HT$528,78,FALSE)</f>
        <v>#N/A</v>
      </c>
      <c r="E46" s="40" t="e">
        <f ca="1">VLOOKUP(E7,Sheet1!$B$8:$HT$528,78,FALSE)</f>
        <v>#N/A</v>
      </c>
      <c r="F46" s="40" t="e">
        <f ca="1">VLOOKUP(F7,Sheet1!$B$8:$HT$528,78,FALSE)</f>
        <v>#N/A</v>
      </c>
      <c r="G46" s="40" t="e">
        <f ca="1">VLOOKUP(G7,Sheet1!$B$8:$HT$528,78,FALSE)</f>
        <v>#N/A</v>
      </c>
      <c r="H46" s="40" t="e">
        <f ca="1">VLOOKUP(H7,Sheet1!$B$8:$HT$528,78,FALSE)</f>
        <v>#N/A</v>
      </c>
      <c r="I46" s="40" t="e">
        <f ca="1">VLOOKUP(I7,Sheet1!$B$8:$HT$528,78,FALSE)</f>
        <v>#N/A</v>
      </c>
      <c r="J46" s="40" t="e">
        <f ca="1">VLOOKUP(J7,Sheet1!$B$8:$HT$528,78,FALSE)</f>
        <v>#N/A</v>
      </c>
      <c r="K46" s="41" t="e">
        <f ca="1">VLOOKUP(K7,Sheet1!$B$8:$HT$528,78,FALSE)</f>
        <v>#N/A</v>
      </c>
    </row>
    <row r="47" spans="1:16" s="107" customFormat="1" ht="13.5" thickBot="1">
      <c r="A47" s="1134" t="s">
        <v>96</v>
      </c>
      <c r="B47" s="1137"/>
      <c r="C47" s="1143"/>
      <c r="D47" s="1143"/>
      <c r="E47" s="1143"/>
      <c r="F47" s="1143"/>
      <c r="G47" s="1143"/>
      <c r="H47" s="1143"/>
      <c r="I47" s="1143"/>
      <c r="J47" s="1143"/>
      <c r="K47" s="1144"/>
    </row>
    <row r="48" spans="1:16" s="107" customFormat="1">
      <c r="A48" s="195" t="s">
        <v>90</v>
      </c>
      <c r="B48" s="196" t="s">
        <v>13</v>
      </c>
      <c r="C48" s="233" t="e">
        <f ca="1">VLOOKUP(C7,Sheet1!$B$8:$HT$528,97,FALSE)</f>
        <v>#N/A</v>
      </c>
      <c r="D48" s="198" t="e">
        <f ca="1">VLOOKUP(D7,Sheet1!$B$8:$HT$528,97,FALSE)</f>
        <v>#N/A</v>
      </c>
      <c r="E48" s="235" t="e">
        <f ca="1">VLOOKUP(E7,Sheet1!$B$8:$HT$528,97,FALSE)</f>
        <v>#N/A</v>
      </c>
      <c r="F48" s="198" t="e">
        <f ca="1">VLOOKUP(F7,Sheet1!$B$8:$HT$528,97,FALSE)</f>
        <v>#N/A</v>
      </c>
      <c r="G48" s="198" t="e">
        <f ca="1">VLOOKUP(G7,Sheet1!$B$8:$HT$528,97,FALSE)</f>
        <v>#N/A</v>
      </c>
      <c r="H48" s="198" t="e">
        <f ca="1">VLOOKUP(H7,Sheet1!$B$8:$HT$528,97,FALSE)</f>
        <v>#N/A</v>
      </c>
      <c r="I48" s="198" t="e">
        <f ca="1">VLOOKUP(I7,Sheet1!$B$8:$HT$528,97,FALSE)</f>
        <v>#N/A</v>
      </c>
      <c r="J48" s="198" t="e">
        <f ca="1">VLOOKUP(J7,Sheet1!$B$8:$HT$528,97,FALSE)</f>
        <v>#N/A</v>
      </c>
      <c r="K48" s="199" t="e">
        <f ca="1">VLOOKUP(K7,Sheet1!$B$8:$HT$528,97,FALSE)</f>
        <v>#N/A</v>
      </c>
    </row>
    <row r="49" spans="1:11" s="107" customFormat="1" ht="13.5" thickBot="1">
      <c r="A49" s="216" t="s">
        <v>86</v>
      </c>
      <c r="B49" s="217" t="s">
        <v>17</v>
      </c>
      <c r="C49" s="239" t="e">
        <f ca="1">VLOOKUP(C7,Sheet1!$B$8:$HT$528,98,FALSE)</f>
        <v>#N/A</v>
      </c>
      <c r="D49" s="220" t="e">
        <f ca="1">VLOOKUP(D7,Sheet1!$B$8:$HT$528,98,FALSE)</f>
        <v>#N/A</v>
      </c>
      <c r="E49" s="240" t="e">
        <f ca="1">VLOOKUP(E7,Sheet1!$B$8:$HT$528,98,FALSE)</f>
        <v>#N/A</v>
      </c>
      <c r="F49" s="220" t="e">
        <f ca="1">VLOOKUP(F7,Sheet1!$B$8:$HT$528,98,FALSE)</f>
        <v>#N/A</v>
      </c>
      <c r="G49" s="220" t="e">
        <f ca="1">VLOOKUP(G7,Sheet1!$B$8:$HT$528,98,FALSE)</f>
        <v>#N/A</v>
      </c>
      <c r="H49" s="220" t="e">
        <f ca="1">VLOOKUP(H7,Sheet1!$B$8:$HT$528,98,FALSE)</f>
        <v>#N/A</v>
      </c>
      <c r="I49" s="220" t="e">
        <f ca="1">VLOOKUP(I7,Sheet1!$B$8:$HT$528,98,FALSE)</f>
        <v>#N/A</v>
      </c>
      <c r="J49" s="220" t="e">
        <f ca="1">VLOOKUP(J7,Sheet1!$B$8:$HT$528,98,FALSE)</f>
        <v>#N/A</v>
      </c>
      <c r="K49" s="221" t="e">
        <f ca="1">VLOOKUP(K7,Sheet1!$B$8:$HT$528,98,FALSE)</f>
        <v>#N/A</v>
      </c>
    </row>
    <row r="50" spans="1:11" s="107" customFormat="1" ht="13.5" thickBot="1">
      <c r="A50" s="1134" t="s">
        <v>103</v>
      </c>
      <c r="B50" s="1137"/>
      <c r="C50" s="1137"/>
      <c r="D50" s="1137"/>
      <c r="E50" s="1137"/>
      <c r="F50" s="1137"/>
      <c r="G50" s="1137"/>
      <c r="H50" s="1137"/>
      <c r="I50" s="1137"/>
      <c r="J50" s="1137"/>
      <c r="K50" s="1138"/>
    </row>
    <row r="51" spans="1:11" s="107" customFormat="1">
      <c r="A51" s="128" t="s">
        <v>266</v>
      </c>
      <c r="B51" s="157" t="s">
        <v>23</v>
      </c>
      <c r="C51" s="233" t="e">
        <f ca="1">VLOOKUP(C7,Sheet1!$B$8:$HT$528,81,FALSE)</f>
        <v>#N/A</v>
      </c>
      <c r="D51" s="198" t="e">
        <f ca="1">VLOOKUP(D7,Sheet1!$B$8:$HT$528,81,FALSE)</f>
        <v>#N/A</v>
      </c>
      <c r="E51" s="235" t="e">
        <f ca="1">VLOOKUP(E7,Sheet1!$B$8:$HT$528,81,FALSE)</f>
        <v>#N/A</v>
      </c>
      <c r="F51" s="198" t="e">
        <f ca="1">VLOOKUP(F7,Sheet1!$B$8:$HT$528,81,FALSE)</f>
        <v>#N/A</v>
      </c>
      <c r="G51" s="198" t="e">
        <f ca="1">VLOOKUP(G7,Sheet1!$B$8:$HT$528,81,FALSE)</f>
        <v>#N/A</v>
      </c>
      <c r="H51" s="198" t="e">
        <f ca="1">VLOOKUP(H7,Sheet1!$B$8:$HT$528,81,FALSE)</f>
        <v>#N/A</v>
      </c>
      <c r="I51" s="198" t="e">
        <f ca="1">VLOOKUP(I7,Sheet1!$B$8:$HT$528,81,FALSE)</f>
        <v>#N/A</v>
      </c>
      <c r="J51" s="198" t="e">
        <f ca="1">VLOOKUP(J7,Sheet1!$B$8:$HT$528,81,FALSE)</f>
        <v>#N/A</v>
      </c>
      <c r="K51" s="199" t="e">
        <f ca="1">VLOOKUP(K7,Sheet1!$B$8:$HT$528,81,FALSE)</f>
        <v>#N/A</v>
      </c>
    </row>
    <row r="52" spans="1:11" s="107" customFormat="1">
      <c r="A52" s="204" t="s">
        <v>538</v>
      </c>
      <c r="B52" s="114" t="s">
        <v>13</v>
      </c>
      <c r="C52" s="134" t="e">
        <f ca="1">VLOOKUP(C7,Sheet1!$B$8:$HT$528,89,FALSE)</f>
        <v>#N/A</v>
      </c>
      <c r="D52" s="37" t="e">
        <f ca="1">VLOOKUP(D7,Sheet1!$B$8:$HT$528,89,FALSE)</f>
        <v>#N/A</v>
      </c>
      <c r="E52" s="177" t="e">
        <f ca="1">VLOOKUP(E7,Sheet1!$B$8:$HT$528,89,FALSE)</f>
        <v>#N/A</v>
      </c>
      <c r="F52" s="37" t="e">
        <f ca="1">VLOOKUP(F7,Sheet1!$B$8:$HT$528,89,FALSE)</f>
        <v>#N/A</v>
      </c>
      <c r="G52" s="37" t="e">
        <f ca="1">VLOOKUP(G7,Sheet1!$B$8:$HT$528,89,FALSE)</f>
        <v>#N/A</v>
      </c>
      <c r="H52" s="37" t="e">
        <f ca="1">VLOOKUP(H7,Sheet1!$B$8:$HT$528,89,FALSE)</f>
        <v>#N/A</v>
      </c>
      <c r="I52" s="37" t="e">
        <f ca="1">VLOOKUP(I7,Sheet1!$B$8:$HT$528,89,FALSE)</f>
        <v>#N/A</v>
      </c>
      <c r="J52" s="37" t="e">
        <f ca="1">VLOOKUP(J7,Sheet1!$B$8:$HT$528,89,FALSE)</f>
        <v>#N/A</v>
      </c>
      <c r="K52" s="39" t="e">
        <f ca="1">VLOOKUP(K7,Sheet1!$B$8:$HT$528,89,FALSE)</f>
        <v>#N/A</v>
      </c>
    </row>
    <row r="53" spans="1:11" s="107" customFormat="1">
      <c r="A53" s="130" t="s">
        <v>539</v>
      </c>
      <c r="B53" s="132" t="s">
        <v>13</v>
      </c>
      <c r="C53" s="234" t="e">
        <f ca="1">VLOOKUP(C7,Sheet1!$B$8:$HT$528,90,FALSE)</f>
        <v>#N/A</v>
      </c>
      <c r="D53" s="200" t="e">
        <f ca="1">VLOOKUP(D7,Sheet1!$B$8:$HT$528,90,FALSE)</f>
        <v>#N/A</v>
      </c>
      <c r="E53" s="236" t="e">
        <f ca="1">VLOOKUP(E7,Sheet1!$B$8:$HT$528,90,FALSE)</f>
        <v>#N/A</v>
      </c>
      <c r="F53" s="200" t="e">
        <f ca="1">VLOOKUP(F7,Sheet1!$B$8:$HT$528,90,FALSE)</f>
        <v>#N/A</v>
      </c>
      <c r="G53" s="200" t="e">
        <f ca="1">VLOOKUP(G7,Sheet1!$B$8:$HT$528,90,FALSE)</f>
        <v>#N/A</v>
      </c>
      <c r="H53" s="200" t="e">
        <f ca="1">VLOOKUP(H7,Sheet1!$B$8:$HT$528,90,FALSE)</f>
        <v>#N/A</v>
      </c>
      <c r="I53" s="200" t="e">
        <f ca="1">VLOOKUP(I7,Sheet1!$B$8:$HT$528,90,FALSE)</f>
        <v>#N/A</v>
      </c>
      <c r="J53" s="200" t="e">
        <f ca="1">VLOOKUP(J7,Sheet1!$B$8:$HT$528,90,FALSE)</f>
        <v>#N/A</v>
      </c>
      <c r="K53" s="201" t="e">
        <f ca="1">VLOOKUP(K7,Sheet1!$B$8:$HT$528,90,FALSE)</f>
        <v>#N/A</v>
      </c>
    </row>
    <row r="54" spans="1:11" s="107" customFormat="1" ht="13.5" thickBot="1">
      <c r="A54" s="218" t="s">
        <v>82</v>
      </c>
      <c r="B54" s="219" t="s">
        <v>15</v>
      </c>
      <c r="C54" s="239" t="e">
        <f ca="1">VLOOKUP(C7,Sheet1!$B$8:$HT$528,102,FALSE)</f>
        <v>#N/A</v>
      </c>
      <c r="D54" s="220" t="e">
        <f ca="1">VLOOKUP(D7,Sheet1!$B$8:$HT$528,102,FALSE)</f>
        <v>#N/A</v>
      </c>
      <c r="E54" s="240" t="e">
        <f ca="1">VLOOKUP(E7,Sheet1!$B$8:$HT$528,102,FALSE)</f>
        <v>#N/A</v>
      </c>
      <c r="F54" s="220" t="e">
        <f ca="1">VLOOKUP(F7,Sheet1!$B$8:$HT$528,102,FALSE)</f>
        <v>#N/A</v>
      </c>
      <c r="G54" s="220" t="e">
        <f ca="1">VLOOKUP(G7,Sheet1!$B$8:$HT$528,102,FALSE)</f>
        <v>#N/A</v>
      </c>
      <c r="H54" s="220" t="e">
        <f ca="1">VLOOKUP(H7,Sheet1!$B$8:$HT$528,102,FALSE)</f>
        <v>#N/A</v>
      </c>
      <c r="I54" s="220" t="e">
        <f ca="1">VLOOKUP(I7,Sheet1!$B$8:$HT$528,102,FALSE)</f>
        <v>#N/A</v>
      </c>
      <c r="J54" s="220" t="e">
        <f ca="1">VLOOKUP(J7,Sheet1!$B$8:$HT$528,102,FALSE)</f>
        <v>#N/A</v>
      </c>
      <c r="K54" s="221" t="e">
        <f ca="1">VLOOKUP(K7,Sheet1!$B$8:$HT$528,102,FALSE)</f>
        <v>#N/A</v>
      </c>
    </row>
    <row r="55" spans="1:11" s="107" customFormat="1" ht="13.5" thickBot="1">
      <c r="A55" s="1134" t="s">
        <v>104</v>
      </c>
      <c r="B55" s="1137"/>
      <c r="C55" s="1137"/>
      <c r="D55" s="1137"/>
      <c r="E55" s="1137"/>
      <c r="F55" s="1137"/>
      <c r="G55" s="1137"/>
      <c r="H55" s="1137"/>
      <c r="I55" s="1137"/>
      <c r="J55" s="1137"/>
      <c r="K55" s="1138"/>
    </row>
    <row r="56" spans="1:11" s="107" customFormat="1">
      <c r="A56" s="128" t="s">
        <v>266</v>
      </c>
      <c r="B56" s="157" t="s">
        <v>23</v>
      </c>
      <c r="C56" s="233" t="e">
        <f ca="1">VLOOKUP(C7,Sheet1!$B$8:$HT$528,83,FALSE)</f>
        <v>#N/A</v>
      </c>
      <c r="D56" s="198" t="e">
        <f ca="1">VLOOKUP(D7,Sheet1!$B$8:$HT$528,83,FALSE)</f>
        <v>#N/A</v>
      </c>
      <c r="E56" s="235" t="e">
        <f ca="1">VLOOKUP(E7,Sheet1!$B$8:$HT$528,83,FALSE)</f>
        <v>#N/A</v>
      </c>
      <c r="F56" s="198" t="e">
        <f ca="1">VLOOKUP(F7,Sheet1!$B$8:$HT$528,83,FALSE)</f>
        <v>#N/A</v>
      </c>
      <c r="G56" s="198" t="e">
        <f ca="1">VLOOKUP(G7,Sheet1!$B$8:$HT$528,83,FALSE)</f>
        <v>#N/A</v>
      </c>
      <c r="H56" s="198" t="e">
        <f ca="1">VLOOKUP(H7,Sheet1!$B$8:$HT$528,83,FALSE)</f>
        <v>#N/A</v>
      </c>
      <c r="I56" s="198" t="e">
        <f ca="1">VLOOKUP(I7,Sheet1!$B$8:$HT$528,83,FALSE)</f>
        <v>#N/A</v>
      </c>
      <c r="J56" s="198" t="e">
        <f ca="1">VLOOKUP(J7,Sheet1!$B$8:$HT$528,83,FALSE)</f>
        <v>#N/A</v>
      </c>
      <c r="K56" s="199" t="e">
        <f ca="1">VLOOKUP(K7,Sheet1!$B$8:$HT$528,83,FALSE)</f>
        <v>#N/A</v>
      </c>
    </row>
    <row r="57" spans="1:11" s="107" customFormat="1">
      <c r="A57" s="204" t="s">
        <v>97</v>
      </c>
      <c r="B57" s="205" t="s">
        <v>13</v>
      </c>
      <c r="C57" s="134" t="e">
        <f ca="1">VLOOKUP(C7,'Calculations II'!$B$8:$IV$430,57,FALSE)</f>
        <v>#N/A</v>
      </c>
      <c r="D57" s="37" t="e">
        <f ca="1">VLOOKUP(D7,'Calculations II'!$B$8:$IV$430,57,FALSE)</f>
        <v>#N/A</v>
      </c>
      <c r="E57" s="177" t="e">
        <f ca="1">VLOOKUP(E7,'Calculations II'!$B$8:$IV$430,57,FALSE)</f>
        <v>#N/A</v>
      </c>
      <c r="F57" s="37" t="e">
        <f ca="1">VLOOKUP(F7,'Calculations II'!$B$8:$IV$430,57,FALSE)</f>
        <v>#N/A</v>
      </c>
      <c r="G57" s="37" t="e">
        <f ca="1">VLOOKUP(G7,'Calculations II'!$B$8:$IV$430,57,FALSE)</f>
        <v>#N/A</v>
      </c>
      <c r="H57" s="37" t="e">
        <f ca="1">VLOOKUP(H7,'Calculations II'!$B$8:$IV$430,57,FALSE)</f>
        <v>#N/A</v>
      </c>
      <c r="I57" s="37" t="e">
        <f ca="1">VLOOKUP(I7,'Calculations II'!$B$8:$IV$430,57,FALSE)</f>
        <v>#N/A</v>
      </c>
      <c r="J57" s="37" t="e">
        <f ca="1">VLOOKUP(J7,'Calculations II'!$B$8:$IV$430,57,FALSE)</f>
        <v>#N/A</v>
      </c>
      <c r="K57" s="39" t="e">
        <f ca="1">VLOOKUP(K7,'Calculations II'!$B$8:$IV$430,57,FALSE)</f>
        <v>#N/A</v>
      </c>
    </row>
    <row r="58" spans="1:11" s="107" customFormat="1" ht="13.5" thickBot="1">
      <c r="A58" s="137" t="s">
        <v>98</v>
      </c>
      <c r="B58" s="154" t="s">
        <v>13</v>
      </c>
      <c r="C58" s="241" t="e">
        <f ca="1">VLOOKUP(C7,'Calculations II'!$B$8:$IV$430,58,FALSE)</f>
        <v>#N/A</v>
      </c>
      <c r="D58" s="222" t="e">
        <f ca="1">VLOOKUP(D7,'Calculations II'!$B$8:$IV$430,58,FALSE)</f>
        <v>#N/A</v>
      </c>
      <c r="E58" s="242" t="e">
        <f ca="1">VLOOKUP(E7,'Calculations II'!$B$8:$IV$430,58,FALSE)</f>
        <v>#N/A</v>
      </c>
      <c r="F58" s="222" t="e">
        <f ca="1">VLOOKUP(F7,'Calculations II'!$B$8:$IV$430,58,FALSE)</f>
        <v>#N/A</v>
      </c>
      <c r="G58" s="222" t="e">
        <f ca="1">VLOOKUP(G7,'Calculations II'!$B$8:$IV$430,58,FALSE)</f>
        <v>#N/A</v>
      </c>
      <c r="H58" s="222" t="e">
        <f ca="1">VLOOKUP(H7,'Calculations II'!$B$8:$IV$430,58,FALSE)</f>
        <v>#N/A</v>
      </c>
      <c r="I58" s="222" t="e">
        <f ca="1">VLOOKUP(I7,'Calculations II'!$B$8:$IV$430,58,FALSE)</f>
        <v>#N/A</v>
      </c>
      <c r="J58" s="222" t="e">
        <f ca="1">VLOOKUP(J7,'Calculations II'!$B$8:$IV$430,58,FALSE)</f>
        <v>#N/A</v>
      </c>
      <c r="K58" s="223" t="e">
        <f ca="1">VLOOKUP(K7,'Calculations II'!$B$8:$IV$430,58,FALSE)</f>
        <v>#N/A</v>
      </c>
    </row>
    <row r="59" spans="1:11" s="107" customFormat="1" ht="13.5" thickBot="1">
      <c r="A59" s="1134" t="s">
        <v>105</v>
      </c>
      <c r="B59" s="1137"/>
      <c r="C59" s="1137"/>
      <c r="D59" s="1137"/>
      <c r="E59" s="1137"/>
      <c r="F59" s="1137"/>
      <c r="G59" s="1137"/>
      <c r="H59" s="1137"/>
      <c r="I59" s="1137"/>
      <c r="J59" s="1137"/>
      <c r="K59" s="1138"/>
    </row>
    <row r="60" spans="1:11" s="107" customFormat="1">
      <c r="A60" s="224" t="s">
        <v>266</v>
      </c>
      <c r="B60" s="129" t="s">
        <v>23</v>
      </c>
      <c r="C60" s="197" t="e">
        <f ca="1">VLOOKUP(C7,Sheet1!$B$8:$HT$528,82,FALSE)</f>
        <v>#N/A</v>
      </c>
      <c r="D60" s="198" t="e">
        <f ca="1">VLOOKUP(D7,Sheet1!$B$8:$HT$528,82,FALSE)</f>
        <v>#N/A</v>
      </c>
      <c r="E60" s="235" t="e">
        <f ca="1">VLOOKUP(E7,Sheet1!$B$8:$HT$528,82,FALSE)</f>
        <v>#N/A</v>
      </c>
      <c r="F60" s="198" t="e">
        <f ca="1">VLOOKUP(F7,Sheet1!$B$8:$HT$528,82,FALSE)</f>
        <v>#N/A</v>
      </c>
      <c r="G60" s="198" t="e">
        <f ca="1">VLOOKUP(G7,Sheet1!$B$8:$HT$528,82,FALSE)</f>
        <v>#N/A</v>
      </c>
      <c r="H60" s="198" t="e">
        <f ca="1">VLOOKUP(H7,Sheet1!$B$8:$HT$528,82,FALSE)</f>
        <v>#N/A</v>
      </c>
      <c r="I60" s="198" t="e">
        <f ca="1">VLOOKUP(I7,Sheet1!$B$8:$HT$528,82,FALSE)</f>
        <v>#N/A</v>
      </c>
      <c r="J60" s="198" t="e">
        <f ca="1">VLOOKUP(J7,Sheet1!$B$8:$HT$528,82,FALSE)</f>
        <v>#N/A</v>
      </c>
      <c r="K60" s="199" t="e">
        <f ca="1">VLOOKUP(K7,Sheet1!$B$8:$HT$528,82,FALSE)</f>
        <v>#N/A</v>
      </c>
    </row>
    <row r="61" spans="1:11" s="107" customFormat="1" ht="13.5" thickBot="1">
      <c r="A61" s="102" t="s">
        <v>99</v>
      </c>
      <c r="B61" s="225" t="s">
        <v>13</v>
      </c>
      <c r="C61" s="45" t="e">
        <f ca="1">VLOOKUP(C7,'Calculations II'!$B$8:$IV$430,59,FALSE)</f>
        <v>#N/A</v>
      </c>
      <c r="D61" s="40" t="e">
        <f ca="1">VLOOKUP(D7,'Calculations II'!$B$8:$IV$430,59,FALSE)</f>
        <v>#N/A</v>
      </c>
      <c r="E61" s="178" t="e">
        <f ca="1">VLOOKUP(E7,'Calculations II'!$B$8:$IV$430,59,FALSE)</f>
        <v>#N/A</v>
      </c>
      <c r="F61" s="40" t="e">
        <f ca="1">VLOOKUP(F7,'Calculations II'!$B$8:$IV$430,59,FALSE)</f>
        <v>#N/A</v>
      </c>
      <c r="G61" s="40" t="e">
        <f ca="1">VLOOKUP(G7,'Calculations II'!$B$8:$IV$430,59,FALSE)</f>
        <v>#N/A</v>
      </c>
      <c r="H61" s="40" t="e">
        <f ca="1">VLOOKUP(H7,'Calculations II'!$B$8:$IV$430,59,FALSE)</f>
        <v>#N/A</v>
      </c>
      <c r="I61" s="40" t="e">
        <f ca="1">VLOOKUP(I7,'Calculations II'!$B$8:$IV$430,59,FALSE)</f>
        <v>#N/A</v>
      </c>
      <c r="J61" s="40" t="e">
        <f ca="1">VLOOKUP(J7,'Calculations II'!$B$8:$IV$430,59,FALSE)</f>
        <v>#N/A</v>
      </c>
      <c r="K61" s="41" t="e">
        <f ca="1">VLOOKUP(K7,'Calculations II'!$B$8:$IV$430,59,FALSE)</f>
        <v>#N/A</v>
      </c>
    </row>
    <row r="62" spans="1:11" s="107" customFormat="1" ht="13.5" thickBot="1">
      <c r="A62" s="1134" t="s">
        <v>106</v>
      </c>
      <c r="B62" s="1137"/>
      <c r="C62" s="1137"/>
      <c r="D62" s="1137"/>
      <c r="E62" s="1137"/>
      <c r="F62" s="1137"/>
      <c r="G62" s="1137"/>
      <c r="H62" s="1137"/>
      <c r="I62" s="1137"/>
      <c r="J62" s="1137"/>
      <c r="K62" s="1138"/>
    </row>
    <row r="63" spans="1:11" s="107" customFormat="1">
      <c r="A63" s="224" t="s">
        <v>100</v>
      </c>
      <c r="B63" s="157" t="s">
        <v>23</v>
      </c>
      <c r="C63" s="233" t="e">
        <f ca="1">VLOOKUP(C7,Sheet1!$B$8:$HT$528,84,FALSE)</f>
        <v>#N/A</v>
      </c>
      <c r="D63" s="198" t="e">
        <f ca="1">VLOOKUP(D7,Sheet1!$B$8:$HT$528,84,FALSE)</f>
        <v>#N/A</v>
      </c>
      <c r="E63" s="235" t="e">
        <f ca="1">VLOOKUP(E7,Sheet1!$B$8:$HT$528,84,FALSE)</f>
        <v>#N/A</v>
      </c>
      <c r="F63" s="198" t="e">
        <f ca="1">VLOOKUP(F7,Sheet1!$B$8:$HT$528,84,FALSE)</f>
        <v>#N/A</v>
      </c>
      <c r="G63" s="198" t="e">
        <f ca="1">VLOOKUP(G7,Sheet1!$B$8:$HT$528,84,FALSE)</f>
        <v>#N/A</v>
      </c>
      <c r="H63" s="198" t="e">
        <f ca="1">VLOOKUP(H7,Sheet1!$B$8:$HT$528,84,FALSE)</f>
        <v>#N/A</v>
      </c>
      <c r="I63" s="198" t="e">
        <f ca="1">VLOOKUP(I7,Sheet1!$B$8:$HT$528,84,FALSE)</f>
        <v>#N/A</v>
      </c>
      <c r="J63" s="198" t="e">
        <f ca="1">VLOOKUP(J7,Sheet1!$B$8:$HT$528,84,FALSE)</f>
        <v>#N/A</v>
      </c>
      <c r="K63" s="199" t="e">
        <f ca="1">VLOOKUP(K7,Sheet1!$B$8:$HT$528,84,FALSE)</f>
        <v>#N/A</v>
      </c>
    </row>
    <row r="64" spans="1:11" s="107" customFormat="1">
      <c r="A64" s="226" t="s">
        <v>271</v>
      </c>
      <c r="B64" s="114" t="s">
        <v>23</v>
      </c>
      <c r="C64" s="134" t="e">
        <f ca="1">VLOOKUP(C7,Sheet1!$B$8:$HT$528,85,FALSE)</f>
        <v>#N/A</v>
      </c>
      <c r="D64" s="37" t="e">
        <f ca="1">VLOOKUP(D7,Sheet1!$B$8:$HT$528,85,FALSE)</f>
        <v>#N/A</v>
      </c>
      <c r="E64" s="177" t="e">
        <f ca="1">VLOOKUP(E7,Sheet1!$B$8:$HT$528,85,FALSE)</f>
        <v>#N/A</v>
      </c>
      <c r="F64" s="37" t="e">
        <f ca="1">VLOOKUP(F7,Sheet1!$B$8:$HT$528,85,FALSE)</f>
        <v>#N/A</v>
      </c>
      <c r="G64" s="37" t="e">
        <f ca="1">VLOOKUP(G7,Sheet1!$B$8:$HT$528,85,FALSE)</f>
        <v>#N/A</v>
      </c>
      <c r="H64" s="37" t="e">
        <f ca="1">VLOOKUP(H7,Sheet1!$B$8:$HT$528,85,FALSE)</f>
        <v>#N/A</v>
      </c>
      <c r="I64" s="37" t="e">
        <f ca="1">VLOOKUP(I7,Sheet1!$B$8:$HT$528,85,FALSE)</f>
        <v>#N/A</v>
      </c>
      <c r="J64" s="37" t="e">
        <f ca="1">VLOOKUP(J7,Sheet1!$B$8:$HT$528,85,FALSE)</f>
        <v>#N/A</v>
      </c>
      <c r="K64" s="39" t="e">
        <f ca="1">VLOOKUP(K7,Sheet1!$B$8:$HT$528,85,FALSE)</f>
        <v>#N/A</v>
      </c>
    </row>
    <row r="65" spans="1:11" s="107" customFormat="1">
      <c r="A65" s="152" t="s">
        <v>101</v>
      </c>
      <c r="B65" s="132" t="s">
        <v>23</v>
      </c>
      <c r="C65" s="234" t="e">
        <f ca="1">VLOOKUP(C7,Sheet1!$B$8:$HT$528,86,FALSE)</f>
        <v>#N/A</v>
      </c>
      <c r="D65" s="200" t="e">
        <f ca="1">VLOOKUP(D7,Sheet1!$B$8:$HT$528,86,FALSE)</f>
        <v>#N/A</v>
      </c>
      <c r="E65" s="236" t="e">
        <f ca="1">VLOOKUP(E7,Sheet1!$B$8:$HT$528,86,FALSE)</f>
        <v>#N/A</v>
      </c>
      <c r="F65" s="200" t="e">
        <f ca="1">VLOOKUP(F7,Sheet1!$B$8:$HT$528,86,FALSE)</f>
        <v>#N/A</v>
      </c>
      <c r="G65" s="200" t="e">
        <f ca="1">VLOOKUP(G7,Sheet1!$B$8:$HT$528,86,FALSE)</f>
        <v>#N/A</v>
      </c>
      <c r="H65" s="200" t="e">
        <f ca="1">VLOOKUP(H7,Sheet1!$B$8:$HT$528,86,FALSE)</f>
        <v>#N/A</v>
      </c>
      <c r="I65" s="200" t="e">
        <f ca="1">VLOOKUP(I7,Sheet1!$B$8:$HT$528,86,FALSE)</f>
        <v>#N/A</v>
      </c>
      <c r="J65" s="200" t="e">
        <f ca="1">VLOOKUP(J7,Sheet1!$B$8:$HT$528,86,FALSE)</f>
        <v>#N/A</v>
      </c>
      <c r="K65" s="201" t="e">
        <f ca="1">VLOOKUP(K7,Sheet1!$B$8:$HT$528,86,FALSE)</f>
        <v>#N/A</v>
      </c>
    </row>
    <row r="66" spans="1:11" s="107" customFormat="1" ht="13.5" thickBot="1">
      <c r="A66" s="227" t="s">
        <v>20</v>
      </c>
      <c r="B66" s="219" t="s">
        <v>13</v>
      </c>
      <c r="C66" s="179" t="e">
        <f ca="1">VLOOKUP(C7,'Calculations II'!$B$8:$IV$430,60,FALSE)</f>
        <v>#N/A</v>
      </c>
      <c r="D66" s="40" t="e">
        <f ca="1">VLOOKUP(D7,'Calculations II'!$B$8:$IV$430,60,FALSE)</f>
        <v>#N/A</v>
      </c>
      <c r="E66" s="178" t="e">
        <f ca="1">VLOOKUP(E7,'Calculations II'!$B$8:$IV$430,60,FALSE)</f>
        <v>#N/A</v>
      </c>
      <c r="F66" s="40" t="e">
        <f ca="1">VLOOKUP(F7,'Calculations II'!$B$8:$IV$430,60,FALSE)</f>
        <v>#N/A</v>
      </c>
      <c r="G66" s="40" t="e">
        <f ca="1">VLOOKUP(G7,'Calculations II'!$B$8:$IV$430,60,FALSE)</f>
        <v>#N/A</v>
      </c>
      <c r="H66" s="40" t="e">
        <f ca="1">VLOOKUP(H7,'Calculations II'!$B$8:$IV$430,60,FALSE)</f>
        <v>#N/A</v>
      </c>
      <c r="I66" s="40" t="e">
        <f ca="1">VLOOKUP(I7,'Calculations II'!$B$8:$IV$430,60,FALSE)</f>
        <v>#N/A</v>
      </c>
      <c r="J66" s="40" t="e">
        <f ca="1">VLOOKUP(J7,'Calculations II'!$B$8:$IV$430,60,FALSE)</f>
        <v>#N/A</v>
      </c>
      <c r="K66" s="41" t="e">
        <f ca="1">VLOOKUP(K7,'Calculations II'!$B$8:$IV$430,60,FALSE)</f>
        <v>#N/A</v>
      </c>
    </row>
    <row r="67" spans="1:11" s="107" customFormat="1" ht="13.5" thickBot="1">
      <c r="A67" s="1134" t="s">
        <v>102</v>
      </c>
      <c r="B67" s="1135"/>
      <c r="C67" s="1135"/>
      <c r="D67" s="1135"/>
      <c r="E67" s="1135"/>
      <c r="F67" s="1135"/>
      <c r="G67" s="1135"/>
      <c r="H67" s="1135"/>
      <c r="I67" s="1135"/>
      <c r="J67" s="1135"/>
      <c r="K67" s="1136"/>
    </row>
    <row r="68" spans="1:11" s="107" customFormat="1">
      <c r="A68" s="224" t="s">
        <v>267</v>
      </c>
      <c r="B68" s="157" t="s">
        <v>23</v>
      </c>
      <c r="C68" s="233" t="e">
        <f ca="1">VLOOKUP(C7,Sheet1!$B$8:$HT$528,87,FALSE)</f>
        <v>#N/A</v>
      </c>
      <c r="D68" s="198" t="e">
        <f ca="1">VLOOKUP(D7,Sheet1!$B$8:$HT$528,87,FALSE)</f>
        <v>#N/A</v>
      </c>
      <c r="E68" s="235" t="e">
        <f ca="1">VLOOKUP(E7,Sheet1!$B$8:$HT$528,87,FALSE)</f>
        <v>#N/A</v>
      </c>
      <c r="F68" s="198" t="e">
        <f ca="1">VLOOKUP(F7,Sheet1!$B$8:$HT$528,87,FALSE)</f>
        <v>#N/A</v>
      </c>
      <c r="G68" s="198" t="e">
        <f ca="1">VLOOKUP(G7,Sheet1!$B$8:$HT$528,87,FALSE)</f>
        <v>#N/A</v>
      </c>
      <c r="H68" s="198" t="e">
        <f ca="1">VLOOKUP(H7,Sheet1!$B$8:$HT$528,87,FALSE)</f>
        <v>#N/A</v>
      </c>
      <c r="I68" s="198" t="e">
        <f ca="1">VLOOKUP(I7,Sheet1!$B$8:$HT$528,87,FALSE)</f>
        <v>#N/A</v>
      </c>
      <c r="J68" s="198" t="e">
        <f ca="1">VLOOKUP(J7,Sheet1!$B$8:$HT$528,87,FALSE)</f>
        <v>#N/A</v>
      </c>
      <c r="K68" s="199" t="e">
        <f ca="1">VLOOKUP(K7,Sheet1!$B$8:$HT$528,87,FALSE)</f>
        <v>#N/A</v>
      </c>
    </row>
    <row r="69" spans="1:11" s="107" customFormat="1">
      <c r="A69" s="34" t="s">
        <v>107</v>
      </c>
      <c r="B69" s="205" t="s">
        <v>13</v>
      </c>
      <c r="C69" s="134" t="e">
        <f ca="1">VLOOKUP(C7,Sheet1!$B$8:$HT$528,94,FALSE)</f>
        <v>#N/A</v>
      </c>
      <c r="D69" s="37" t="e">
        <f ca="1">VLOOKUP(D7,Sheet1!$B$8:$HT$528,94,FALSE)</f>
        <v>#N/A</v>
      </c>
      <c r="E69" s="177" t="e">
        <f ca="1">VLOOKUP(E7,Sheet1!$B$8:$HT$528,94,FALSE)</f>
        <v>#N/A</v>
      </c>
      <c r="F69" s="37" t="e">
        <f ca="1">VLOOKUP(F7,Sheet1!$B$8:$HT$528,94,FALSE)</f>
        <v>#N/A</v>
      </c>
      <c r="G69" s="37" t="e">
        <f ca="1">VLOOKUP(G7,Sheet1!$B$8:$HT$528,94,FALSE)</f>
        <v>#N/A</v>
      </c>
      <c r="H69" s="37" t="e">
        <f ca="1">VLOOKUP(H7,Sheet1!$B$8:$HT$528,94,FALSE)</f>
        <v>#N/A</v>
      </c>
      <c r="I69" s="37" t="e">
        <f ca="1">VLOOKUP(I7,Sheet1!$B$8:$HT$528,94,FALSE)</f>
        <v>#N/A</v>
      </c>
      <c r="J69" s="37" t="e">
        <f ca="1">VLOOKUP(J7,Sheet1!$B$8:$HT$528,94,FALSE)</f>
        <v>#N/A</v>
      </c>
      <c r="K69" s="39" t="e">
        <f ca="1">VLOOKUP(K7,Sheet1!$B$8:$HT$528,94,FALSE)</f>
        <v>#N/A</v>
      </c>
    </row>
    <row r="70" spans="1:11" s="107" customFormat="1">
      <c r="A70" s="152" t="s">
        <v>108</v>
      </c>
      <c r="B70" s="132" t="s">
        <v>13</v>
      </c>
      <c r="C70" s="234" t="e">
        <f ca="1">VLOOKUP(C7,Sheet1!$B$8:$HT$528,95,FALSE)</f>
        <v>#N/A</v>
      </c>
      <c r="D70" s="200" t="e">
        <f ca="1">VLOOKUP(D7,Sheet1!$B$8:$HT$528,95,FALSE)</f>
        <v>#N/A</v>
      </c>
      <c r="E70" s="236" t="e">
        <f ca="1">VLOOKUP(E7,Sheet1!$B$8:$HT$528,95,FALSE)</f>
        <v>#N/A</v>
      </c>
      <c r="F70" s="200" t="e">
        <f ca="1">VLOOKUP(F7,Sheet1!$B$8:$HT$528,95,FALSE)</f>
        <v>#N/A</v>
      </c>
      <c r="G70" s="200" t="e">
        <f ca="1">VLOOKUP(G7,Sheet1!$B$8:$HT$528,95,FALSE)</f>
        <v>#N/A</v>
      </c>
      <c r="H70" s="200" t="e">
        <f ca="1">VLOOKUP(H7,Sheet1!$B$8:$HT$528,95,FALSE)</f>
        <v>#N/A</v>
      </c>
      <c r="I70" s="200" t="e">
        <f ca="1">VLOOKUP(I7,Sheet1!$B$8:$HT$528,95,FALSE)</f>
        <v>#N/A</v>
      </c>
      <c r="J70" s="200" t="e">
        <f ca="1">VLOOKUP(J7,Sheet1!$B$8:$HT$528,95,FALSE)</f>
        <v>#N/A</v>
      </c>
      <c r="K70" s="201" t="e">
        <f ca="1">VLOOKUP(K7,Sheet1!$B$8:$HT$528,95,FALSE)</f>
        <v>#N/A</v>
      </c>
    </row>
    <row r="71" spans="1:11" s="107" customFormat="1">
      <c r="A71" s="21" t="s">
        <v>288</v>
      </c>
      <c r="B71" s="114" t="s">
        <v>15</v>
      </c>
      <c r="C71" s="234" t="e">
        <f ca="1">IF(VLOOKUP(C7,Sheet1!$B$8:$HT$528,99,FALSE)=0,VLOOKUP(C7,Sheet1!$B$8:$HT$528,115,FALSE),VLOOKUP(C7,Sheet1!$B$8:$HT$528,99,FALSE))</f>
        <v>#N/A</v>
      </c>
      <c r="D71" s="200" t="e">
        <f ca="1">IF(VLOOKUP(D7,Sheet1!$B$8:$HT$528,99,FALSE)=0,VLOOKUP(D7,Sheet1!$B$8:$HT$528,115,FALSE),VLOOKUP(D7,Sheet1!$B$8:$HT$528,99,FALSE))</f>
        <v>#N/A</v>
      </c>
      <c r="E71" s="236" t="e">
        <f ca="1">IF(VLOOKUP(E7,Sheet1!$B$8:$HT$528,99,FALSE)=0,VLOOKUP(E7,Sheet1!$B$8:$HT$528,115,FALSE),VLOOKUP(E7,Sheet1!$B$8:$HT$528,99,FALSE))</f>
        <v>#N/A</v>
      </c>
      <c r="F71" s="200" t="e">
        <f ca="1">IF(VLOOKUP(F7,Sheet1!$B$8:$HT$528,99,FALSE)=0,VLOOKUP(F7,Sheet1!$B$8:$HT$528,115,FALSE),VLOOKUP(F7,Sheet1!$B$8:$HT$528,99,FALSE))</f>
        <v>#N/A</v>
      </c>
      <c r="G71" s="200" t="e">
        <f ca="1">IF(VLOOKUP(G7,Sheet1!$B$8:$HT$528,99,FALSE)=0,VLOOKUP(G7,Sheet1!$B$8:$HT$528,115,FALSE),VLOOKUP(G7,Sheet1!$B$8:$HT$528,99,FALSE))</f>
        <v>#N/A</v>
      </c>
      <c r="H71" s="200" t="e">
        <f ca="1">IF(VLOOKUP(H7,Sheet1!$B$8:$HT$528,99,FALSE)=0,VLOOKUP(H7,Sheet1!$B$8:$HT$528,115,FALSE),VLOOKUP(H7,Sheet1!$B$8:$HT$528,99,FALSE))</f>
        <v>#N/A</v>
      </c>
      <c r="I71" s="200" t="e">
        <f ca="1">IF(VLOOKUP(I7,Sheet1!$B$8:$HT$528,99,FALSE)=0,VLOOKUP(I7,Sheet1!$B$8:$HT$528,115,FALSE),VLOOKUP(I7,Sheet1!$B$8:$HT$528,99,FALSE))</f>
        <v>#N/A</v>
      </c>
      <c r="J71" s="200" t="e">
        <f ca="1">IF(VLOOKUP(J7,Sheet1!$B$8:$HT$528,99,FALSE)=0,VLOOKUP(J7,Sheet1!$B$8:$HT$528,115,FALSE),VLOOKUP(J7,Sheet1!$B$8:$HT$528,99,FALSE))</f>
        <v>#N/A</v>
      </c>
      <c r="K71" s="201" t="e">
        <f ca="1">IF(VLOOKUP(K7,Sheet1!$B$8:$HT$528,99,FALSE)=0,VLOOKUP(K7,Sheet1!$B$8:$HT$528,115,FALSE),VLOOKUP(K7,Sheet1!$B$8:$HT$528,99,FALSE))</f>
        <v>#N/A</v>
      </c>
    </row>
    <row r="72" spans="1:11" s="107" customFormat="1">
      <c r="A72" s="228" t="s">
        <v>412</v>
      </c>
      <c r="B72" s="132" t="s">
        <v>14</v>
      </c>
      <c r="C72" s="234" t="e">
        <f ca="1">IF(VLOOKUP(C7,Sheet1!$B$8:$HT$528,100,FALSE)=0,VLOOKUP(C7,Sheet1!$B$8:$HT$528,116,FALSE),VLOOKUP(C7,Sheet1!$B$8:$HT$528,100,FALSE))</f>
        <v>#N/A</v>
      </c>
      <c r="D72" s="200" t="e">
        <f ca="1">IF(VLOOKUP(D7,Sheet1!$B$8:$HT$528,100,FALSE)=0,VLOOKUP(D7,Sheet1!$B$8:$HT$528,116,FALSE),VLOOKUP(D7,Sheet1!$B$8:$HT$528,100,FALSE))</f>
        <v>#N/A</v>
      </c>
      <c r="E72" s="236" t="e">
        <f ca="1">IF(VLOOKUP(E7,Sheet1!$B$8:$HT$528,100,FALSE)=0,VLOOKUP(E7,Sheet1!$B$8:$HT$528,116,FALSE),VLOOKUP(E7,Sheet1!$B$8:$HT$528,100,FALSE))</f>
        <v>#N/A</v>
      </c>
      <c r="F72" s="200" t="e">
        <f ca="1">IF(VLOOKUP(F7,Sheet1!$B$8:$HT$528,100,FALSE)=0,VLOOKUP(F7,Sheet1!$B$8:$HT$528,116,FALSE),VLOOKUP(F7,Sheet1!$B$8:$HT$528,100,FALSE))</f>
        <v>#N/A</v>
      </c>
      <c r="G72" s="200" t="e">
        <f ca="1">IF(VLOOKUP(G7,Sheet1!$B$8:$HT$528,100,FALSE)=0,VLOOKUP(G7,Sheet1!$B$8:$HT$528,116,FALSE),VLOOKUP(G7,Sheet1!$B$8:$HT$528,100,FALSE))</f>
        <v>#N/A</v>
      </c>
      <c r="H72" s="200" t="e">
        <f ca="1">IF(VLOOKUP(H7,Sheet1!$B$8:$HT$528,100,FALSE)=0,VLOOKUP(H7,Sheet1!$B$8:$HT$528,116,FALSE),VLOOKUP(H7,Sheet1!$B$8:$HT$528,100,FALSE))</f>
        <v>#N/A</v>
      </c>
      <c r="I72" s="200" t="e">
        <f ca="1">IF(VLOOKUP(I7,Sheet1!$B$8:$HT$528,100,FALSE)=0,VLOOKUP(I7,Sheet1!$B$8:$HT$528,116,FALSE),VLOOKUP(I7,Sheet1!$B$8:$HT$528,100,FALSE))</f>
        <v>#N/A</v>
      </c>
      <c r="J72" s="200" t="e">
        <f ca="1">IF(VLOOKUP(J7,Sheet1!$B$8:$HT$528,100,FALSE)=0,VLOOKUP(J7,Sheet1!$B$8:$HT$528,116,FALSE),VLOOKUP(J7,Sheet1!$B$8:$HT$528,100,FALSE))</f>
        <v>#N/A</v>
      </c>
      <c r="K72" s="201" t="e">
        <f ca="1">IF(VLOOKUP(K7,Sheet1!$B$8:$HT$528,100,FALSE)=0,VLOOKUP(K7,Sheet1!$B$8:$HT$528,116,FALSE),VLOOKUP(K7,Sheet1!$B$8:$HT$528,100,FALSE))</f>
        <v>#N/A</v>
      </c>
    </row>
    <row r="73" spans="1:11" s="107" customFormat="1">
      <c r="A73" s="21" t="s">
        <v>413</v>
      </c>
      <c r="B73" s="114" t="s">
        <v>14</v>
      </c>
      <c r="C73" s="234" t="e">
        <f ca="1">IF(VLOOKUP(C7,Sheet1!$B$8:$HT$528,101,FALSE)=0,VLOOKUP(C7,Sheet1!$B$8:$HT$528,117,FALSE),VLOOKUP(C7,Sheet1!$B$8:$HT$528,101,FALSE))</f>
        <v>#N/A</v>
      </c>
      <c r="D73" s="200" t="e">
        <f ca="1">IF(VLOOKUP(D7,Sheet1!$B$8:$HT$528,101,FALSE)=0,VLOOKUP(D7,Sheet1!$B$8:$HT$528,117,FALSE),VLOOKUP(D7,Sheet1!$B$8:$HT$528,101,FALSE))</f>
        <v>#N/A</v>
      </c>
      <c r="E73" s="236" t="e">
        <f ca="1">IF(VLOOKUP(E7,Sheet1!$B$8:$HT$528,101,FALSE)=0,VLOOKUP(E7,Sheet1!$B$8:$HT$528,117,FALSE),VLOOKUP(E7,Sheet1!$B$8:$HT$528,101,FALSE))</f>
        <v>#N/A</v>
      </c>
      <c r="F73" s="200" t="e">
        <f ca="1">IF(VLOOKUP(F7,Sheet1!$B$8:$HT$528,101,FALSE)=0,VLOOKUP(F7,Sheet1!$B$8:$HT$528,117,FALSE),VLOOKUP(F7,Sheet1!$B$8:$HT$528,101,FALSE))</f>
        <v>#N/A</v>
      </c>
      <c r="G73" s="200" t="e">
        <f ca="1">IF(VLOOKUP(G7,Sheet1!$B$8:$HT$528,101,FALSE)=0,VLOOKUP(G7,Sheet1!$B$8:$HT$528,117,FALSE),VLOOKUP(G7,Sheet1!$B$8:$HT$528,101,FALSE))</f>
        <v>#N/A</v>
      </c>
      <c r="H73" s="200" t="e">
        <f ca="1">IF(VLOOKUP(H7,Sheet1!$B$8:$HT$528,101,FALSE)=0,VLOOKUP(H7,Sheet1!$B$8:$HT$528,117,FALSE),VLOOKUP(H7,Sheet1!$B$8:$HT$528,101,FALSE))</f>
        <v>#N/A</v>
      </c>
      <c r="I73" s="200" t="e">
        <f ca="1">IF(VLOOKUP(I7,Sheet1!$B$8:$HT$528,101,FALSE)=0,VLOOKUP(I7,Sheet1!$B$8:$HT$528,117,FALSE),VLOOKUP(I7,Sheet1!$B$8:$HT$528,101,FALSE))</f>
        <v>#N/A</v>
      </c>
      <c r="J73" s="200" t="e">
        <f ca="1">IF(VLOOKUP(J7,Sheet1!$B$8:$HT$528,101,FALSE)=0,VLOOKUP(J7,Sheet1!$B$8:$HT$528,117,FALSE),VLOOKUP(J7,Sheet1!$B$8:$HT$528,101,FALSE))</f>
        <v>#N/A</v>
      </c>
      <c r="K73" s="201" t="e">
        <f ca="1">IF(VLOOKUP(K7,Sheet1!$B$8:$HT$528,101,FALSE)=0,VLOOKUP(K7,Sheet1!$B$8:$HT$528,117,FALSE),VLOOKUP(K7,Sheet1!$B$8:$HT$528,101,FALSE))</f>
        <v>#N/A</v>
      </c>
    </row>
    <row r="74" spans="1:11" s="107" customFormat="1" ht="13.5" thickBot="1">
      <c r="A74" s="229" t="s">
        <v>109</v>
      </c>
      <c r="B74" s="155" t="s">
        <v>110</v>
      </c>
      <c r="C74" s="237" t="e">
        <f ca="1">VLOOKUP(C7,Sheet1!$B$8:$HT$528,88,FALSE)</f>
        <v>#N/A</v>
      </c>
      <c r="D74" s="214" t="e">
        <f ca="1">VLOOKUP(D7,Sheet1!$B$8:$HT$528,88,FALSE)</f>
        <v>#N/A</v>
      </c>
      <c r="E74" s="238" t="e">
        <f ca="1">VLOOKUP(E7,Sheet1!$B$8:$HT$528,88,FALSE)</f>
        <v>#N/A</v>
      </c>
      <c r="F74" s="214" t="e">
        <f ca="1">VLOOKUP(F7,Sheet1!$B$8:$HT$528,88,FALSE)</f>
        <v>#N/A</v>
      </c>
      <c r="G74" s="214" t="e">
        <f ca="1">VLOOKUP(G7,Sheet1!$B$8:$HT$528,88,FALSE)</f>
        <v>#N/A</v>
      </c>
      <c r="H74" s="214" t="e">
        <f ca="1">VLOOKUP(H7,Sheet1!$B$8:$HT$528,88,FALSE)</f>
        <v>#N/A</v>
      </c>
      <c r="I74" s="214" t="e">
        <f ca="1">VLOOKUP(I7,Sheet1!$B$8:$HT$528,88,FALSE)</f>
        <v>#N/A</v>
      </c>
      <c r="J74" s="214" t="e">
        <f ca="1">VLOOKUP(J7,Sheet1!$B$8:$HT$528,88,FALSE)</f>
        <v>#N/A</v>
      </c>
      <c r="K74" s="215" t="e">
        <f ca="1">VLOOKUP(K7,Sheet1!$B$8:$HT$528,88,FALSE)</f>
        <v>#N/A</v>
      </c>
    </row>
    <row r="75" spans="1:11" s="107" customFormat="1">
      <c r="A75" s="230"/>
      <c r="B75" s="230"/>
      <c r="C75" s="230"/>
      <c r="D75" s="230"/>
      <c r="E75" s="230"/>
      <c r="F75" s="230"/>
      <c r="G75" s="230"/>
      <c r="H75" s="230"/>
      <c r="I75" s="230"/>
      <c r="J75" s="230"/>
      <c r="K75" s="230"/>
    </row>
    <row r="76" spans="1:11" s="107" customFormat="1">
      <c r="A76" s="231" t="s">
        <v>287</v>
      </c>
      <c r="B76" s="232"/>
      <c r="C76" s="232"/>
      <c r="D76" s="232"/>
      <c r="E76" s="232"/>
      <c r="F76" s="232"/>
      <c r="G76" s="232"/>
      <c r="H76" s="232"/>
      <c r="I76" s="232"/>
      <c r="J76" s="232"/>
      <c r="K76" s="232"/>
    </row>
    <row r="77" spans="1:11" s="107" customFormat="1"/>
    <row r="78" spans="1:11" s="107" customFormat="1"/>
    <row r="79" spans="1:11" s="107" customFormat="1"/>
    <row r="80" spans="1:11"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1" orientation="portrait" r:id="rId1"/>
  <headerFooter alignWithMargins="0"/>
  <colBreaks count="1" manualBreakCount="1">
    <brk id="11" max="1048575" man="1"/>
  </colBreaks>
  <legacyDrawing r:id="rId2"/>
</worksheet>
</file>

<file path=xl/worksheets/sheet3.xml><?xml version="1.0" encoding="utf-8"?>
<worksheet xmlns="http://schemas.openxmlformats.org/spreadsheetml/2006/main" xmlns:r="http://schemas.openxmlformats.org/officeDocument/2006/relationships">
  <sheetPr codeName="Sheet10">
    <pageSetUpPr fitToPage="1"/>
  </sheetPr>
  <dimension ref="A1:V110"/>
  <sheetViews>
    <sheetView workbookViewId="0">
      <pane ySplit="4" topLeftCell="A62" activePane="bottomLeft" state="frozen"/>
      <selection pane="bottomLeft" activeCell="M109" sqref="M109"/>
    </sheetView>
  </sheetViews>
  <sheetFormatPr defaultRowHeight="12.75"/>
  <cols>
    <col min="1" max="1" width="3.42578125" customWidth="1"/>
    <col min="2" max="2" width="31.5703125" customWidth="1"/>
    <col min="3" max="3" width="6" customWidth="1"/>
    <col min="4" max="12" width="9.5703125" customWidth="1"/>
  </cols>
  <sheetData>
    <row r="1" spans="1:13" s="6" customFormat="1" ht="15.75">
      <c r="B1" s="1145" t="s">
        <v>273</v>
      </c>
      <c r="C1" s="1145"/>
      <c r="D1" s="1145"/>
      <c r="E1" s="1145"/>
      <c r="F1" s="1145"/>
      <c r="G1" s="1145"/>
      <c r="H1" s="1145"/>
      <c r="I1" s="1145"/>
      <c r="J1" s="1145"/>
      <c r="K1" s="1145"/>
      <c r="L1" s="1145"/>
    </row>
    <row r="2" spans="1:13" s="7" customFormat="1" ht="12" customHeight="1" thickBot="1">
      <c r="B2" s="115"/>
      <c r="C2" s="115"/>
      <c r="D2" s="115"/>
      <c r="E2" s="115"/>
      <c r="F2" s="116" t="s">
        <v>261</v>
      </c>
      <c r="G2" s="517">
        <f ca="1">TODAY()-1</f>
        <v>42039</v>
      </c>
      <c r="H2" s="117"/>
      <c r="I2" s="118"/>
      <c r="J2" s="118"/>
      <c r="K2" s="118"/>
      <c r="L2" s="119"/>
    </row>
    <row r="3" spans="1:13" s="17" customFormat="1" ht="12" customHeight="1">
      <c r="B3" s="120"/>
      <c r="C3" s="121"/>
      <c r="D3" s="122" t="str">
        <f t="shared" ref="D3:L3" ca="1" si="0">CHOOSE(WEEKDAY(D4,2),"Monday","Tuesday","Wednesday","Thursday","Friday","Saturday","Sunday")</f>
        <v>Tuesday</v>
      </c>
      <c r="E3" s="122" t="str">
        <f t="shared" ca="1" si="0"/>
        <v>Wednesday</v>
      </c>
      <c r="F3" s="122" t="str">
        <f t="shared" ca="1" si="0"/>
        <v>Thursday</v>
      </c>
      <c r="G3" s="122" t="str">
        <f ca="1">CHOOSE(WEEKDAY(G4,2),"Monday","Tuesday","Wednesday","Thursday","Friday","Saturday","Sunday")</f>
        <v>Friday</v>
      </c>
      <c r="H3" s="122" t="str">
        <f t="shared" ca="1" si="0"/>
        <v>Saturday</v>
      </c>
      <c r="I3" s="122" t="str">
        <f t="shared" ca="1" si="0"/>
        <v>Sunday</v>
      </c>
      <c r="J3" s="122" t="str">
        <f t="shared" ca="1" si="0"/>
        <v>Monday</v>
      </c>
      <c r="K3" s="122" t="str">
        <f t="shared" ca="1" si="0"/>
        <v>Tuesday</v>
      </c>
      <c r="L3" s="123" t="str">
        <f t="shared" ca="1" si="0"/>
        <v>Wednesday</v>
      </c>
    </row>
    <row r="4" spans="1:13" s="17" customFormat="1" ht="12" customHeight="1" thickBot="1">
      <c r="B4" s="124"/>
      <c r="C4" s="125"/>
      <c r="D4" s="126">
        <f ca="1">E4-1</f>
        <v>42031</v>
      </c>
      <c r="E4" s="126">
        <f ca="1">F4-1</f>
        <v>42032</v>
      </c>
      <c r="F4" s="126">
        <f t="shared" ref="F4:K4" ca="1" si="1">G4-1</f>
        <v>42033</v>
      </c>
      <c r="G4" s="126">
        <f t="shared" ca="1" si="1"/>
        <v>42034</v>
      </c>
      <c r="H4" s="126">
        <f t="shared" ca="1" si="1"/>
        <v>42035</v>
      </c>
      <c r="I4" s="126">
        <f t="shared" ca="1" si="1"/>
        <v>42036</v>
      </c>
      <c r="J4" s="126">
        <f t="shared" ca="1" si="1"/>
        <v>42037</v>
      </c>
      <c r="K4" s="126">
        <f t="shared" ca="1" si="1"/>
        <v>42038</v>
      </c>
      <c r="L4" s="127">
        <f ca="1">G2</f>
        <v>42039</v>
      </c>
    </row>
    <row r="5" spans="1:13" s="20" customFormat="1" ht="12" customHeight="1" thickBot="1">
      <c r="B5" s="1152" t="s">
        <v>806</v>
      </c>
      <c r="C5" s="1150"/>
      <c r="D5" s="1153"/>
      <c r="E5" s="1153"/>
      <c r="F5" s="1148"/>
      <c r="G5" s="1148"/>
      <c r="H5" s="1148"/>
      <c r="I5" s="1148"/>
      <c r="J5" s="1148"/>
      <c r="K5" s="1148"/>
      <c r="L5" s="1149"/>
    </row>
    <row r="6" spans="1:13" ht="12" customHeight="1">
      <c r="A6" s="1156" t="s">
        <v>807</v>
      </c>
      <c r="B6" s="1025" t="s">
        <v>808</v>
      </c>
      <c r="C6" s="129" t="s">
        <v>23</v>
      </c>
      <c r="D6" s="853" t="e">
        <f ca="1">VLOOKUP(D4,Sheet1!$B$8:$HT$528,106,FALSE)</f>
        <v>#N/A</v>
      </c>
      <c r="E6" s="583" t="e">
        <f ca="1">VLOOKUP(E4,Sheet1!$B$8:$HT$528,106,FALSE)</f>
        <v>#N/A</v>
      </c>
      <c r="F6" s="583" t="e">
        <f ca="1">VLOOKUP(F4,Sheet1!$B$8:$HT$528,106,FALSE)</f>
        <v>#N/A</v>
      </c>
      <c r="G6" s="583" t="e">
        <f ca="1">VLOOKUP(G4,Sheet1!$B$8:$HT$528,106,FALSE)</f>
        <v>#N/A</v>
      </c>
      <c r="H6" s="583" t="e">
        <f ca="1">VLOOKUP(H4,Sheet1!$B$8:$HT$528,106,FALSE)</f>
        <v>#N/A</v>
      </c>
      <c r="I6" s="583" t="e">
        <f ca="1">VLOOKUP(I4,Sheet1!$B$8:$HT$528,106,FALSE)</f>
        <v>#N/A</v>
      </c>
      <c r="J6" s="583" t="e">
        <f ca="1">VLOOKUP(J4,Sheet1!$B$8:$HT$528,106,FALSE)</f>
        <v>#N/A</v>
      </c>
      <c r="K6" s="583" t="e">
        <f ca="1">VLOOKUP(K4,Sheet1!$B$8:$HT$528,106,FALSE)</f>
        <v>#N/A</v>
      </c>
      <c r="L6" s="585" t="e">
        <f ca="1">VLOOKUP(L4,Sheet1!$B$8:$HT$528,106,FALSE)</f>
        <v>#N/A</v>
      </c>
      <c r="M6" s="565"/>
    </row>
    <row r="7" spans="1:13" ht="12" customHeight="1">
      <c r="A7" s="1157"/>
      <c r="B7" s="130" t="s">
        <v>24</v>
      </c>
      <c r="C7" s="133" t="s">
        <v>25</v>
      </c>
      <c r="D7" s="586" t="e">
        <f ca="1">VLOOKUP(D4,Calculation!$B$8:$JF$503,37,FALSE)</f>
        <v>#N/A</v>
      </c>
      <c r="E7" s="173" t="e">
        <f ca="1">VLOOKUP(E4,Calculation!$B$8:$JF$503,37,FALSE)</f>
        <v>#N/A</v>
      </c>
      <c r="F7" s="173" t="e">
        <f ca="1">VLOOKUP(F4,Calculation!$B$8:$JF$503,37,FALSE)</f>
        <v>#N/A</v>
      </c>
      <c r="G7" s="173" t="e">
        <f ca="1">VLOOKUP(G4,Calculation!$B$8:$JF$503,37,FALSE)</f>
        <v>#N/A</v>
      </c>
      <c r="H7" s="173" t="e">
        <f ca="1">VLOOKUP(H4,Calculation!$B$8:$JF$503,37,FALSE)</f>
        <v>#N/A</v>
      </c>
      <c r="I7" s="173" t="e">
        <f ca="1">VLOOKUP(I4,Calculation!$B$8:$JF$503,37,FALSE)</f>
        <v>#N/A</v>
      </c>
      <c r="J7" s="173" t="e">
        <f ca="1">VLOOKUP(J4,Calculation!$B$8:$JF$503,37,FALSE)</f>
        <v>#N/A</v>
      </c>
      <c r="K7" s="173" t="e">
        <f ca="1">VLOOKUP(K4,Calculation!$B$8:$JF$503,37,FALSE)</f>
        <v>#N/A</v>
      </c>
      <c r="L7" s="174" t="e">
        <f ca="1">VLOOKUP(L4,Calculation!$B$8:$JF$503,37,FALSE)</f>
        <v>#N/A</v>
      </c>
      <c r="M7" s="565"/>
    </row>
    <row r="8" spans="1:13" ht="12" customHeight="1">
      <c r="A8" s="1157"/>
      <c r="B8" s="130" t="s">
        <v>26</v>
      </c>
      <c r="C8" s="136" t="s">
        <v>25</v>
      </c>
      <c r="D8" s="586" t="e">
        <f ca="1">VLOOKUP(D4,Calculation!$B$8:$JF$503,38,FALSE)</f>
        <v>#N/A</v>
      </c>
      <c r="E8" s="173" t="e">
        <f ca="1">VLOOKUP(E4,Calculation!$B$8:$JF$503,38,FALSE)</f>
        <v>#N/A</v>
      </c>
      <c r="F8" s="173" t="e">
        <f ca="1">VLOOKUP(F4,Calculation!$B$8:$JF$503,38,FALSE)</f>
        <v>#N/A</v>
      </c>
      <c r="G8" s="173" t="e">
        <f ca="1">VLOOKUP(G4,Calculation!$B$8:$JF$503,38,FALSE)</f>
        <v>#N/A</v>
      </c>
      <c r="H8" s="173" t="e">
        <f ca="1">VLOOKUP(H4,Calculation!$B$8:$JF$503,38,FALSE)</f>
        <v>#N/A</v>
      </c>
      <c r="I8" s="173" t="e">
        <f ca="1">VLOOKUP(I4,Calculation!$B$8:$JF$503,38,FALSE)</f>
        <v>#N/A</v>
      </c>
      <c r="J8" s="173" t="e">
        <f ca="1">VLOOKUP(J4,Calculation!$B$8:$JF$503,38,FALSE)</f>
        <v>#N/A</v>
      </c>
      <c r="K8" s="173" t="e">
        <f ca="1">VLOOKUP(K4,Calculation!$B$8:$JF$503,38,FALSE)</f>
        <v>#N/A</v>
      </c>
      <c r="L8" s="174" t="e">
        <f ca="1">VLOOKUP(L4,Calculation!$B$8:$JF$503,38,FALSE)</f>
        <v>#N/A</v>
      </c>
      <c r="M8" s="565"/>
    </row>
    <row r="9" spans="1:13" ht="12" customHeight="1">
      <c r="A9" s="1157"/>
      <c r="B9" s="130" t="s">
        <v>27</v>
      </c>
      <c r="C9" s="133" t="s">
        <v>11</v>
      </c>
      <c r="D9" s="586" t="e">
        <f ca="1">VLOOKUP(D4,Calculation!$B$8:$JF$503,6,FALSE)</f>
        <v>#N/A</v>
      </c>
      <c r="E9" s="173" t="e">
        <f ca="1">VLOOKUP(E4,Calculation!$B$8:$JF$503,6,FALSE)</f>
        <v>#N/A</v>
      </c>
      <c r="F9" s="173" t="e">
        <f ca="1">VLOOKUP(F4,Calculation!$B$8:$JF$503,6,FALSE)</f>
        <v>#N/A</v>
      </c>
      <c r="G9" s="173" t="e">
        <f ca="1">VLOOKUP(G4,Calculation!$B$8:$JF$503,6,FALSE)</f>
        <v>#N/A</v>
      </c>
      <c r="H9" s="173" t="e">
        <f ca="1">VLOOKUP(H4,Calculation!$B$8:$JF$503,6,FALSE)</f>
        <v>#N/A</v>
      </c>
      <c r="I9" s="173" t="e">
        <f ca="1">VLOOKUP(I4,Calculation!$B$8:$JF$503,6,FALSE)</f>
        <v>#N/A</v>
      </c>
      <c r="J9" s="173" t="e">
        <f ca="1">VLOOKUP(J4,Calculation!$B$8:$JF$503,6,FALSE)</f>
        <v>#N/A</v>
      </c>
      <c r="K9" s="173" t="e">
        <f ca="1">VLOOKUP(K4,Calculation!$B$8:$JF$503,6,FALSE)</f>
        <v>#N/A</v>
      </c>
      <c r="L9" s="174" t="e">
        <f ca="1">VLOOKUP(L4,Calculation!$B$8:$JF$503,6,FALSE)</f>
        <v>#N/A</v>
      </c>
      <c r="M9" s="565"/>
    </row>
    <row r="10" spans="1:13" ht="12" customHeight="1">
      <c r="A10" s="1157"/>
      <c r="B10" s="130" t="s">
        <v>28</v>
      </c>
      <c r="C10" s="133" t="s">
        <v>11</v>
      </c>
      <c r="D10" s="586" t="e">
        <f ca="1">VLOOKUP(D4,Sheet1!$B$8:$HT$528,103,FALSE)</f>
        <v>#N/A</v>
      </c>
      <c r="E10" s="173" t="e">
        <f ca="1">VLOOKUP(E4,Sheet1!$B$8:$HT$528,103,FALSE)</f>
        <v>#N/A</v>
      </c>
      <c r="F10" s="173" t="e">
        <f ca="1">VLOOKUP(F4,Sheet1!$B$8:$HT$528,103,FALSE)</f>
        <v>#N/A</v>
      </c>
      <c r="G10" s="173" t="e">
        <f ca="1">VLOOKUP(G4,Sheet1!$B$8:$HT$528,103,FALSE)</f>
        <v>#N/A</v>
      </c>
      <c r="H10" s="173" t="e">
        <f ca="1">VLOOKUP(H4,Sheet1!$B$8:$HT$528,103,FALSE)</f>
        <v>#N/A</v>
      </c>
      <c r="I10" s="173" t="e">
        <f ca="1">VLOOKUP(I4,Sheet1!$B$8:$HT$528,103,FALSE)</f>
        <v>#N/A</v>
      </c>
      <c r="J10" s="173" t="e">
        <f ca="1">VLOOKUP(J4,Sheet1!$B$8:$HT$528,103,FALSE)</f>
        <v>#N/A</v>
      </c>
      <c r="K10" s="173" t="e">
        <f ca="1">VLOOKUP(K4,Sheet1!$B$8:$HT$528,103,FALSE)</f>
        <v>#N/A</v>
      </c>
      <c r="L10" s="174" t="e">
        <f ca="1">VLOOKUP(L4,Sheet1!$B$8:$HT$528,103,FALSE)</f>
        <v>#N/A</v>
      </c>
      <c r="M10" s="565"/>
    </row>
    <row r="11" spans="1:13" ht="12" customHeight="1">
      <c r="A11" s="1157"/>
      <c r="B11" s="130" t="s">
        <v>29</v>
      </c>
      <c r="C11" s="133" t="s">
        <v>11</v>
      </c>
      <c r="D11" s="586" t="e">
        <f ca="1">VLOOKUP(D4,Sheet1!$B$8:$HT$528,105,FALSE)</f>
        <v>#N/A</v>
      </c>
      <c r="E11" s="173" t="e">
        <f ca="1">VLOOKUP(E4,Sheet1!$B$8:$HT$528,105,FALSE)</f>
        <v>#N/A</v>
      </c>
      <c r="F11" s="173" t="e">
        <f ca="1">VLOOKUP(F4,Sheet1!$B$8:$HT$528,105,FALSE)</f>
        <v>#N/A</v>
      </c>
      <c r="G11" s="173" t="e">
        <f ca="1">VLOOKUP(G4,Sheet1!$B$8:$HT$528,105,FALSE)</f>
        <v>#N/A</v>
      </c>
      <c r="H11" s="173" t="e">
        <f ca="1">VLOOKUP(H4,Sheet1!$B$8:$HT$528,105,FALSE)</f>
        <v>#N/A</v>
      </c>
      <c r="I11" s="173" t="e">
        <f ca="1">VLOOKUP(I4,Sheet1!$B$8:$HT$528,105,FALSE)</f>
        <v>#N/A</v>
      </c>
      <c r="J11" s="173" t="e">
        <f ca="1">VLOOKUP(J4,Sheet1!$B$8:$HT$528,105,FALSE)</f>
        <v>#N/A</v>
      </c>
      <c r="K11" s="173" t="e">
        <f ca="1">VLOOKUP(K4,Sheet1!$B$8:$HT$528,105,FALSE)</f>
        <v>#N/A</v>
      </c>
      <c r="L11" s="174" t="e">
        <f ca="1">VLOOKUP(L4,Sheet1!$B$8:$HT$528,105,FALSE)</f>
        <v>#N/A</v>
      </c>
      <c r="M11" s="565"/>
    </row>
    <row r="12" spans="1:13" ht="12" customHeight="1">
      <c r="A12" s="1157"/>
      <c r="B12" s="130" t="s">
        <v>30</v>
      </c>
      <c r="C12" s="133" t="s">
        <v>11</v>
      </c>
      <c r="D12" s="586" t="e">
        <f ca="1">VLOOKUP(D4,Calculation!$B$8:$JF$503,3,FALSE)</f>
        <v>#N/A</v>
      </c>
      <c r="E12" s="173" t="e">
        <f ca="1">VLOOKUP(E4,Calculation!$B$8:$JF$503,3,FALSE)</f>
        <v>#N/A</v>
      </c>
      <c r="F12" s="173" t="e">
        <f ca="1">VLOOKUP(F4,Calculation!$B$8:$JF$503,3,FALSE)</f>
        <v>#N/A</v>
      </c>
      <c r="G12" s="173" t="e">
        <f ca="1">VLOOKUP(G4,Calculation!$B$8:$JF$503,3,FALSE)</f>
        <v>#N/A</v>
      </c>
      <c r="H12" s="173" t="e">
        <f ca="1">VLOOKUP(H4,Calculation!$B$8:$JF$503,3,FALSE)</f>
        <v>#N/A</v>
      </c>
      <c r="I12" s="173" t="e">
        <f ca="1">VLOOKUP(I4,Calculation!$B$8:$JF$503,3,FALSE)</f>
        <v>#N/A</v>
      </c>
      <c r="J12" s="173" t="e">
        <f ca="1">VLOOKUP(J4,Calculation!$B$8:$JF$503,3,FALSE)</f>
        <v>#N/A</v>
      </c>
      <c r="K12" s="173" t="e">
        <f ca="1">VLOOKUP(K4,Calculation!$B$8:$JF$503,3,FALSE)</f>
        <v>#N/A</v>
      </c>
      <c r="L12" s="174" t="e">
        <f ca="1">VLOOKUP(L4,Calculation!$B$8:$JF$503,3,FALSE)</f>
        <v>#N/A</v>
      </c>
      <c r="M12" s="565"/>
    </row>
    <row r="13" spans="1:13" ht="12" customHeight="1">
      <c r="A13" s="1157"/>
      <c r="B13" s="130" t="s">
        <v>31</v>
      </c>
      <c r="C13" s="133" t="s">
        <v>11</v>
      </c>
      <c r="D13" s="586" t="e">
        <f ca="1">VLOOKUP(D4,Sheet1!$B$8:$HT$528,104,FALSE)</f>
        <v>#N/A</v>
      </c>
      <c r="E13" s="173" t="e">
        <f ca="1">VLOOKUP(E4,Sheet1!$B$8:$HT$528,104,FALSE)</f>
        <v>#N/A</v>
      </c>
      <c r="F13" s="173" t="e">
        <f ca="1">VLOOKUP(F4,Sheet1!$B$8:$HT$528,104,FALSE)</f>
        <v>#N/A</v>
      </c>
      <c r="G13" s="173" t="e">
        <f ca="1">VLOOKUP(G4,Sheet1!$B$8:$HT$528,104,FALSE)</f>
        <v>#N/A</v>
      </c>
      <c r="H13" s="173" t="e">
        <f ca="1">VLOOKUP(H4,Sheet1!$B$8:$HT$528,104,FALSE)</f>
        <v>#N/A</v>
      </c>
      <c r="I13" s="173" t="e">
        <f ca="1">VLOOKUP(I4,Sheet1!$B$8:$HT$528,104,FALSE)</f>
        <v>#N/A</v>
      </c>
      <c r="J13" s="173" t="e">
        <f ca="1">VLOOKUP(J4,Sheet1!$B$8:$HT$528,104,FALSE)</f>
        <v>#N/A</v>
      </c>
      <c r="K13" s="173" t="e">
        <f ca="1">VLOOKUP(K4,Sheet1!$B$8:$HT$528,104,FALSE)</f>
        <v>#N/A</v>
      </c>
      <c r="L13" s="174" t="e">
        <f ca="1">VLOOKUP(L4,Sheet1!$B$8:$HT$528,104,FALSE)</f>
        <v>#N/A</v>
      </c>
      <c r="M13" s="565"/>
    </row>
    <row r="14" spans="1:13" ht="12" customHeight="1">
      <c r="A14" s="1157"/>
      <c r="B14" s="130" t="s">
        <v>32</v>
      </c>
      <c r="C14" s="133" t="s">
        <v>11</v>
      </c>
      <c r="D14" s="586" t="e">
        <f ca="1">VLOOKUP(D4,Calculation!$B$8:$JF$503,4,FALSE)</f>
        <v>#N/A</v>
      </c>
      <c r="E14" s="173" t="e">
        <f ca="1">VLOOKUP(E4,Calculation!$B$8:$JF$503,4,FALSE)</f>
        <v>#N/A</v>
      </c>
      <c r="F14" s="173" t="e">
        <f ca="1">VLOOKUP(F4,Calculation!$B$8:$JF$503,4,FALSE)</f>
        <v>#N/A</v>
      </c>
      <c r="G14" s="173" t="e">
        <f ca="1">VLOOKUP(G4,Calculation!$B$8:$JF$503,4,FALSE)</f>
        <v>#N/A</v>
      </c>
      <c r="H14" s="173" t="e">
        <f ca="1">VLOOKUP(H4,Calculation!$B$8:$JF$503,4,FALSE)</f>
        <v>#N/A</v>
      </c>
      <c r="I14" s="173" t="e">
        <f ca="1">VLOOKUP(I4,Calculation!$B$8:$JF$503,4,FALSE)</f>
        <v>#N/A</v>
      </c>
      <c r="J14" s="173" t="e">
        <f ca="1">VLOOKUP(J4,Calculation!$B$8:$JF$503,4,FALSE)</f>
        <v>#N/A</v>
      </c>
      <c r="K14" s="173" t="e">
        <f ca="1">VLOOKUP(K4,Calculation!$B$8:$JF$503,4,FALSE)</f>
        <v>#N/A</v>
      </c>
      <c r="L14" s="174" t="e">
        <f ca="1">VLOOKUP(L4,Calculation!$B$8:$JF$503,4,FALSE)</f>
        <v>#N/A</v>
      </c>
      <c r="M14" s="565"/>
    </row>
    <row r="15" spans="1:13" ht="12" customHeight="1">
      <c r="A15" s="1157"/>
      <c r="B15" s="130" t="s">
        <v>33</v>
      </c>
      <c r="C15" s="133" t="s">
        <v>11</v>
      </c>
      <c r="D15" s="586" t="e">
        <f ca="1">VLOOKUP(D4,Calculation!$B$8:$JF$503,5,FALSE)</f>
        <v>#N/A</v>
      </c>
      <c r="E15" s="173" t="e">
        <f ca="1">VLOOKUP(E4,Calculation!$B$8:$JF$503,5,FALSE)</f>
        <v>#N/A</v>
      </c>
      <c r="F15" s="173" t="e">
        <f ca="1">VLOOKUP(F4,Calculation!$B$8:$JF$503,5,FALSE)</f>
        <v>#N/A</v>
      </c>
      <c r="G15" s="173" t="e">
        <f ca="1">VLOOKUP(G4,Calculation!$B$8:$JF$503,5,FALSE)</f>
        <v>#N/A</v>
      </c>
      <c r="H15" s="173" t="e">
        <f ca="1">VLOOKUP(H4,Calculation!$B$8:$JF$503,5,FALSE)</f>
        <v>#N/A</v>
      </c>
      <c r="I15" s="173" t="e">
        <f ca="1">VLOOKUP(I4,Calculation!$B$8:$JF$503,5,FALSE)</f>
        <v>#N/A</v>
      </c>
      <c r="J15" s="173" t="e">
        <f ca="1">VLOOKUP(J4,Calculation!$B$8:$JF$503,5,FALSE)</f>
        <v>#N/A</v>
      </c>
      <c r="K15" s="173" t="e">
        <f ca="1">VLOOKUP(K4,Calculation!$B$8:$JF$503,5,FALSE)</f>
        <v>#N/A</v>
      </c>
      <c r="L15" s="174" t="e">
        <f ca="1">VLOOKUP(L4,Calculation!$B$8:$JF$503,5,FALSE)</f>
        <v>#N/A</v>
      </c>
      <c r="M15" s="565"/>
    </row>
    <row r="16" spans="1:13" ht="12" customHeight="1">
      <c r="A16" s="1157"/>
      <c r="B16" s="130" t="s">
        <v>116</v>
      </c>
      <c r="C16" s="133" t="s">
        <v>11</v>
      </c>
      <c r="D16" s="586" t="e">
        <f ca="1">VLOOKUP(D4,Calculation!$B$8:$JF$503,28,FALSE)</f>
        <v>#N/A</v>
      </c>
      <c r="E16" s="173" t="e">
        <f ca="1">VLOOKUP(E4,Calculation!$B$8:$JF$503,28,FALSE)</f>
        <v>#N/A</v>
      </c>
      <c r="F16" s="173" t="e">
        <f ca="1">VLOOKUP(F4,Calculation!$B$8:$JF$503,28,FALSE)</f>
        <v>#N/A</v>
      </c>
      <c r="G16" s="173" t="e">
        <f ca="1">VLOOKUP(G4,Calculation!$B$8:$JF$503,28,FALSE)</f>
        <v>#N/A</v>
      </c>
      <c r="H16" s="173" t="e">
        <f ca="1">VLOOKUP(H4,Calculation!$B$8:$JF$503,28,FALSE)</f>
        <v>#N/A</v>
      </c>
      <c r="I16" s="173" t="e">
        <f ca="1">VLOOKUP(I4,Calculation!$B$8:$JF$503,28,FALSE)</f>
        <v>#N/A</v>
      </c>
      <c r="J16" s="173" t="e">
        <f ca="1">VLOOKUP(J4,Calculation!$B$8:$JF$503,28,FALSE)</f>
        <v>#N/A</v>
      </c>
      <c r="K16" s="173" t="e">
        <f ca="1">VLOOKUP(K4,Calculation!$B$8:$JF$503,28,FALSE)</f>
        <v>#N/A</v>
      </c>
      <c r="L16" s="174" t="e">
        <f ca="1">VLOOKUP(L4,Calculation!$B$8:$JF$503,28,FALSE)</f>
        <v>#N/A</v>
      </c>
      <c r="M16" s="565"/>
    </row>
    <row r="17" spans="1:13" ht="12" customHeight="1">
      <c r="A17" s="1157"/>
      <c r="B17" s="130" t="s">
        <v>116</v>
      </c>
      <c r="C17" s="133" t="s">
        <v>34</v>
      </c>
      <c r="D17" s="586" t="e">
        <f ca="1">VLOOKUP(D4,Sheet1!$B$8:$HT$528,24,FALSE)</f>
        <v>#N/A</v>
      </c>
      <c r="E17" s="173" t="e">
        <f ca="1">VLOOKUP(E4,Sheet1!$B$8:$HT$528,24,FALSE)</f>
        <v>#N/A</v>
      </c>
      <c r="F17" s="173" t="e">
        <f ca="1">VLOOKUP(F4,Sheet1!$B$8:$HT$528,24,FALSE)</f>
        <v>#N/A</v>
      </c>
      <c r="G17" s="173" t="e">
        <f ca="1">VLOOKUP(G4,Sheet1!$B$8:$HT$528,24,FALSE)</f>
        <v>#N/A</v>
      </c>
      <c r="H17" s="173" t="e">
        <f ca="1">VLOOKUP(H4,Sheet1!$B$8:$HT$528,24,FALSE)</f>
        <v>#N/A</v>
      </c>
      <c r="I17" s="173" t="e">
        <f ca="1">VLOOKUP(I4,Sheet1!$B$8:$HT$528,24,FALSE)</f>
        <v>#N/A</v>
      </c>
      <c r="J17" s="173" t="e">
        <f ca="1">VLOOKUP(J4,Sheet1!$B$8:$HT$528,24,FALSE)</f>
        <v>#N/A</v>
      </c>
      <c r="K17" s="173" t="e">
        <f ca="1">VLOOKUP(K4,Sheet1!$B$8:$HT$528,24,FALSE)</f>
        <v>#N/A</v>
      </c>
      <c r="L17" s="174" t="e">
        <f ca="1">VLOOKUP(L4,Sheet1!$B$8:$HT$528,24,FALSE)</f>
        <v>#N/A</v>
      </c>
      <c r="M17" s="565"/>
    </row>
    <row r="18" spans="1:13" ht="12" customHeight="1">
      <c r="A18" s="1157"/>
      <c r="B18" s="130" t="s">
        <v>117</v>
      </c>
      <c r="C18" s="133" t="s">
        <v>11</v>
      </c>
      <c r="D18" s="586" t="e">
        <f ca="1">VLOOKUP(D4,Calculation!$B$8:$JF$503,29,FALSE)</f>
        <v>#N/A</v>
      </c>
      <c r="E18" s="173" t="e">
        <f ca="1">VLOOKUP(E4,Calculation!$B$8:$JF$503,29,FALSE)</f>
        <v>#N/A</v>
      </c>
      <c r="F18" s="173" t="e">
        <f ca="1">VLOOKUP(F4,Calculation!$B$8:$JF$503,29,FALSE)</f>
        <v>#N/A</v>
      </c>
      <c r="G18" s="173" t="e">
        <f ca="1">VLOOKUP(G4,Calculation!$B$8:$JF$503,29,FALSE)</f>
        <v>#N/A</v>
      </c>
      <c r="H18" s="173" t="e">
        <f ca="1">VLOOKUP(H4,Calculation!$B$8:$JF$503,29,FALSE)</f>
        <v>#N/A</v>
      </c>
      <c r="I18" s="173" t="e">
        <f ca="1">VLOOKUP(I4,Calculation!$B$8:$JF$503,29,FALSE)</f>
        <v>#N/A</v>
      </c>
      <c r="J18" s="173" t="e">
        <f ca="1">VLOOKUP(J4,Calculation!$B$8:$JF$503,29,FALSE)</f>
        <v>#N/A</v>
      </c>
      <c r="K18" s="173" t="e">
        <f ca="1">VLOOKUP(K4,Calculation!$B$8:$JF$503,29,FALSE)</f>
        <v>#N/A</v>
      </c>
      <c r="L18" s="174" t="e">
        <f ca="1">VLOOKUP(L4,Calculation!$B$8:$JF$503,29,FALSE)</f>
        <v>#N/A</v>
      </c>
      <c r="M18" s="565"/>
    </row>
    <row r="19" spans="1:13" ht="12" customHeight="1">
      <c r="A19" s="1157"/>
      <c r="B19" s="135" t="s">
        <v>117</v>
      </c>
      <c r="C19" s="136" t="s">
        <v>34</v>
      </c>
      <c r="D19" s="586" t="e">
        <f ca="1">VLOOKUP(D4,Sheet1!$B$8:$HT$528,25,FALSE)</f>
        <v>#N/A</v>
      </c>
      <c r="E19" s="173" t="e">
        <f ca="1">VLOOKUP(E4,Sheet1!$B$8:$HT$528,25,FALSE)</f>
        <v>#N/A</v>
      </c>
      <c r="F19" s="173" t="e">
        <f ca="1">VLOOKUP(F4,Sheet1!$B$8:$HT$528,25,FALSE)</f>
        <v>#N/A</v>
      </c>
      <c r="G19" s="173" t="e">
        <f ca="1">VLOOKUP(G4,Sheet1!$B$8:$HT$528,25,FALSE)</f>
        <v>#N/A</v>
      </c>
      <c r="H19" s="173" t="e">
        <f ca="1">VLOOKUP(H4,Sheet1!$B$8:$HT$528,25,FALSE)</f>
        <v>#N/A</v>
      </c>
      <c r="I19" s="173" t="e">
        <f ca="1">VLOOKUP(I4,Sheet1!$B$8:$HT$528,25,FALSE)</f>
        <v>#N/A</v>
      </c>
      <c r="J19" s="173" t="e">
        <f ca="1">VLOOKUP(J4,Sheet1!$B$8:$HT$528,25,FALSE)</f>
        <v>#N/A</v>
      </c>
      <c r="K19" s="173" t="e">
        <f ca="1">VLOOKUP(K4,Sheet1!$B$8:$HT$528,25,FALSE)</f>
        <v>#N/A</v>
      </c>
      <c r="L19" s="174" t="e">
        <f ca="1">VLOOKUP(L4,Sheet1!$B$8:$HT$528,25,FALSE)</f>
        <v>#N/A</v>
      </c>
      <c r="M19" s="565"/>
    </row>
    <row r="20" spans="1:13" ht="12" customHeight="1">
      <c r="A20" s="1157"/>
      <c r="B20" s="130" t="s">
        <v>115</v>
      </c>
      <c r="C20" s="133" t="s">
        <v>34</v>
      </c>
      <c r="D20" s="586" t="e">
        <f ca="1">VLOOKUP(D4,Calculation!$B$8:$JF$503,10,FALSE)</f>
        <v>#N/A</v>
      </c>
      <c r="E20" s="173" t="e">
        <f ca="1">VLOOKUP(E4,Calculation!$B$8:$JF$503,10,FALSE)</f>
        <v>#N/A</v>
      </c>
      <c r="F20" s="173" t="e">
        <f ca="1">VLOOKUP(F4,Calculation!$B$8:$JF$503,10,FALSE)</f>
        <v>#N/A</v>
      </c>
      <c r="G20" s="173" t="e">
        <f ca="1">VLOOKUP(G4,Calculation!$B$8:$JF$503,10,FALSE)</f>
        <v>#N/A</v>
      </c>
      <c r="H20" s="173" t="e">
        <f ca="1">VLOOKUP(H4,Calculation!$B$8:$JF$503,10,FALSE)</f>
        <v>#N/A</v>
      </c>
      <c r="I20" s="173" t="e">
        <f ca="1">VLOOKUP(I4,Calculation!$B$8:$JF$503,10,FALSE)</f>
        <v>#N/A</v>
      </c>
      <c r="J20" s="173" t="e">
        <f ca="1">VLOOKUP(J4,Calculation!$B$8:$JF$503,10,FALSE)</f>
        <v>#N/A</v>
      </c>
      <c r="K20" s="173" t="e">
        <f ca="1">VLOOKUP(K4,Calculation!$B$8:$JF$503,10,FALSE)</f>
        <v>#N/A</v>
      </c>
      <c r="L20" s="174" t="e">
        <f ca="1">VLOOKUP(L4,Calculation!$B$8:$JF$503,10,FALSE)</f>
        <v>#N/A</v>
      </c>
      <c r="M20" s="565"/>
    </row>
    <row r="21" spans="1:13" ht="12" customHeight="1" thickBot="1">
      <c r="A21" s="1158"/>
      <c r="B21" s="137" t="s">
        <v>35</v>
      </c>
      <c r="C21" s="854" t="s">
        <v>34</v>
      </c>
      <c r="D21" s="855" t="e">
        <f ca="1">VLOOKUP(D4,Calculation!$B$8:$JF$503,13,FALSE)</f>
        <v>#N/A</v>
      </c>
      <c r="E21" s="588" t="e">
        <f ca="1">VLOOKUP(E4,Calculation!$B$8:$JF$503,13,FALSE)</f>
        <v>#N/A</v>
      </c>
      <c r="F21" s="588" t="e">
        <f ca="1">VLOOKUP(F4,Calculation!$B$8:$JF$503,13,FALSE)</f>
        <v>#N/A</v>
      </c>
      <c r="G21" s="588" t="e">
        <f ca="1">VLOOKUP(G4,Calculation!$B$8:$JF$503,13,FALSE)</f>
        <v>#N/A</v>
      </c>
      <c r="H21" s="588" t="e">
        <f ca="1">VLOOKUP(H4,Calculation!$B$8:$JF$503,13,FALSE)</f>
        <v>#N/A</v>
      </c>
      <c r="I21" s="588" t="e">
        <f ca="1">VLOOKUP(I4,Calculation!$B$8:$JF$503,13,FALSE)</f>
        <v>#N/A</v>
      </c>
      <c r="J21" s="588" t="e">
        <f ca="1">VLOOKUP(J4,Calculation!$B$8:$JF$503,13,FALSE)</f>
        <v>#N/A</v>
      </c>
      <c r="K21" s="588" t="e">
        <f ca="1">VLOOKUP(K4,Calculation!$B$8:$JF$503,13,FALSE)</f>
        <v>#N/A</v>
      </c>
      <c r="L21" s="581" t="e">
        <f ca="1">VLOOKUP(L4,Calculation!$B$8:$JF$503,13,FALSE)</f>
        <v>#N/A</v>
      </c>
      <c r="M21" s="565"/>
    </row>
    <row r="22" spans="1:13" ht="12" customHeight="1" thickBot="1">
      <c r="B22" s="1154" t="s">
        <v>805</v>
      </c>
      <c r="C22" s="1147"/>
      <c r="D22" s="1153"/>
      <c r="E22" s="1153"/>
      <c r="F22" s="1153"/>
      <c r="G22" s="1153"/>
      <c r="H22" s="1153"/>
      <c r="I22" s="1153"/>
      <c r="J22" s="1153"/>
      <c r="K22" s="1153"/>
      <c r="L22" s="1155"/>
      <c r="M22" s="565"/>
    </row>
    <row r="23" spans="1:13" ht="12" customHeight="1">
      <c r="A23" s="1165" t="s">
        <v>804</v>
      </c>
      <c r="B23" s="138" t="s">
        <v>122</v>
      </c>
      <c r="C23" s="139" t="s">
        <v>13</v>
      </c>
      <c r="D23" s="853" t="e">
        <f ca="1">VLOOKUP(D4,Calculation!$B$8:$JF$503,14,FALSE)</f>
        <v>#N/A</v>
      </c>
      <c r="E23" s="583" t="e">
        <f ca="1">VLOOKUP(E4,Calculation!$B$8:$JF$503,14,FALSE)</f>
        <v>#N/A</v>
      </c>
      <c r="F23" s="583" t="e">
        <f ca="1">VLOOKUP(F4,Calculation!$B$8:$JF$503,14,FALSE)</f>
        <v>#N/A</v>
      </c>
      <c r="G23" s="583" t="e">
        <f ca="1">VLOOKUP(G4,Calculation!$B$8:$JF$503,14,FALSE)</f>
        <v>#N/A</v>
      </c>
      <c r="H23" s="583" t="e">
        <f ca="1">VLOOKUP(H4,Calculation!$B$8:$JF$503,14,FALSE)</f>
        <v>#N/A</v>
      </c>
      <c r="I23" s="583" t="e">
        <f ca="1">VLOOKUP(I4,Calculation!$B$8:$JF$503,14,FALSE)</f>
        <v>#N/A</v>
      </c>
      <c r="J23" s="583" t="e">
        <f ca="1">VLOOKUP(J4,Calculation!$B$8:$JF$503,14,FALSE)</f>
        <v>#N/A</v>
      </c>
      <c r="K23" s="583" t="e">
        <f ca="1">VLOOKUP(K4,Calculation!$B$8:$JF$503,14,FALSE)</f>
        <v>#N/A</v>
      </c>
      <c r="L23" s="585" t="e">
        <f ca="1">VLOOKUP(L4,Calculation!$B$8:$JF$503,14,FALSE)</f>
        <v>#N/A</v>
      </c>
      <c r="M23" s="565"/>
    </row>
    <row r="24" spans="1:13" ht="12" customHeight="1">
      <c r="A24" s="1166"/>
      <c r="B24" s="21" t="s">
        <v>659</v>
      </c>
      <c r="C24" s="133" t="s">
        <v>13</v>
      </c>
      <c r="D24" s="920" t="e">
        <f ca="1">VLOOKUP(D4,Calculation!$B$8:$JF$503,16,FALSE)</f>
        <v>#N/A</v>
      </c>
      <c r="E24" s="921" t="e">
        <f ca="1">VLOOKUP(E4,Calculation!$B$8:$JF$503,16,FALSE)</f>
        <v>#N/A</v>
      </c>
      <c r="F24" s="921" t="e">
        <f ca="1">VLOOKUP(F4,Calculation!$B$8:$JF$503,16,FALSE)</f>
        <v>#N/A</v>
      </c>
      <c r="G24" s="921" t="e">
        <f ca="1">VLOOKUP(G4,Calculation!$B$8:$JF$503,16,FALSE)</f>
        <v>#N/A</v>
      </c>
      <c r="H24" s="921" t="e">
        <f ca="1">VLOOKUP(H4,Calculation!$B$8:$JF$503,16,FALSE)</f>
        <v>#N/A</v>
      </c>
      <c r="I24" s="921" t="e">
        <f ca="1">VLOOKUP(I4,Calculation!$B$8:$JF$503,16,FALSE)</f>
        <v>#N/A</v>
      </c>
      <c r="J24" s="921" t="e">
        <f ca="1">VLOOKUP(J4,Calculation!$B$8:$JF$503,16,FALSE)</f>
        <v>#N/A</v>
      </c>
      <c r="K24" s="921" t="e">
        <f ca="1">VLOOKUP(K4,Calculation!$B$8:$JF$503,16,FALSE)</f>
        <v>#N/A</v>
      </c>
      <c r="L24" s="888" t="e">
        <f ca="1">VLOOKUP(L4,Calculation!$B$8:$JF$503,16,FALSE)</f>
        <v>#N/A</v>
      </c>
      <c r="M24" s="565"/>
    </row>
    <row r="25" spans="1:13" ht="12" customHeight="1">
      <c r="A25" s="1166"/>
      <c r="B25" s="21" t="s">
        <v>750</v>
      </c>
      <c r="C25" s="133" t="s">
        <v>13</v>
      </c>
      <c r="D25" s="586" t="e">
        <f ca="1">VLOOKUP(D4,Calculation!$B$8:$JF$503,18,FALSE)</f>
        <v>#N/A</v>
      </c>
      <c r="E25" s="173" t="e">
        <f ca="1">VLOOKUP(E4,Calculation!$B$8:$JF$503,18,FALSE)</f>
        <v>#N/A</v>
      </c>
      <c r="F25" s="173" t="e">
        <f ca="1">VLOOKUP(F4,Calculation!$B$8:$JF$503,18,FALSE)</f>
        <v>#N/A</v>
      </c>
      <c r="G25" s="173" t="e">
        <f ca="1">VLOOKUP(G4,Calculation!$B$8:$JF$503,18,FALSE)</f>
        <v>#N/A</v>
      </c>
      <c r="H25" s="173" t="e">
        <f ca="1">VLOOKUP(H4,Calculation!$B$8:$JF$503,18,FALSE)</f>
        <v>#N/A</v>
      </c>
      <c r="I25" s="173" t="e">
        <f ca="1">VLOOKUP(I4,Calculation!$B$8:$JF$503,18,FALSE)</f>
        <v>#N/A</v>
      </c>
      <c r="J25" s="173" t="e">
        <f ca="1">VLOOKUP(J4,Calculation!$B$8:$JF$503,18,FALSE)</f>
        <v>#N/A</v>
      </c>
      <c r="K25" s="173" t="e">
        <f ca="1">VLOOKUP(K4,Calculation!$B$8:$JF$503,18,FALSE)</f>
        <v>#N/A</v>
      </c>
      <c r="L25" s="174" t="e">
        <f ca="1">VLOOKUP(L4,Calculation!$B$8:$JF$503,18,FALSE)</f>
        <v>#N/A</v>
      </c>
      <c r="M25" s="565"/>
    </row>
    <row r="26" spans="1:13" ht="12" customHeight="1">
      <c r="A26" s="1166"/>
      <c r="B26" s="917" t="s">
        <v>751</v>
      </c>
      <c r="C26" s="918" t="s">
        <v>13</v>
      </c>
      <c r="D26" s="919" t="e">
        <f ca="1">VLOOKUP(D4,Calculation!$B$8:$JF$503,19,FALSE)</f>
        <v>#N/A</v>
      </c>
      <c r="E26" s="923" t="e">
        <f ca="1">VLOOKUP(E4,Calculation!$B$8:$JF$503,19,FALSE)</f>
        <v>#N/A</v>
      </c>
      <c r="F26" s="923" t="e">
        <f ca="1">VLOOKUP(F4,Calculation!$B$8:$JF$503,19,FALSE)</f>
        <v>#N/A</v>
      </c>
      <c r="G26" s="923" t="e">
        <f ca="1">VLOOKUP(G4,Calculation!$B$8:$JF$503,19,FALSE)</f>
        <v>#N/A</v>
      </c>
      <c r="H26" s="923" t="e">
        <f ca="1">VLOOKUP(H4,Calculation!$B$8:$JF$503,19,FALSE)</f>
        <v>#N/A</v>
      </c>
      <c r="I26" s="923" t="e">
        <f ca="1">VLOOKUP(I4,Calculation!$B$8:$JF$503,19,FALSE)</f>
        <v>#N/A</v>
      </c>
      <c r="J26" s="923" t="e">
        <f ca="1">VLOOKUP(J4,Calculation!$B$8:$JF$503,19,FALSE)</f>
        <v>#N/A</v>
      </c>
      <c r="K26" s="923" t="e">
        <f ca="1">VLOOKUP(K4,Calculation!$B$8:$JF$503,19,FALSE)</f>
        <v>#N/A</v>
      </c>
      <c r="L26" s="631" t="e">
        <f ca="1">VLOOKUP(L4,Calculation!$B$8:$JF$503,19,FALSE)</f>
        <v>#N/A</v>
      </c>
      <c r="M26" s="565"/>
    </row>
    <row r="27" spans="1:13" ht="12" customHeight="1">
      <c r="A27" s="1166"/>
      <c r="B27" s="130" t="s">
        <v>116</v>
      </c>
      <c r="C27" s="133" t="s">
        <v>13</v>
      </c>
      <c r="D27" s="922" t="e">
        <f ca="1">VLOOKUP(D4,Sheet1!$B$8:$HT$528,26,FALSE)</f>
        <v>#N/A</v>
      </c>
      <c r="E27" s="889" t="e">
        <f ca="1">VLOOKUP(E4,Sheet1!$B$8:$HT$528,26,FALSE)</f>
        <v>#N/A</v>
      </c>
      <c r="F27" s="889" t="e">
        <f ca="1">VLOOKUP(F4,Sheet1!$B$8:$HT$528,26,FALSE)</f>
        <v>#N/A</v>
      </c>
      <c r="G27" s="889" t="e">
        <f ca="1">VLOOKUP(G4,Sheet1!$B$8:$HT$528,26,FALSE)</f>
        <v>#N/A</v>
      </c>
      <c r="H27" s="889" t="e">
        <f ca="1">VLOOKUP(H4,Sheet1!$B$8:$HT$528,26,FALSE)</f>
        <v>#N/A</v>
      </c>
      <c r="I27" s="889" t="e">
        <f ca="1">VLOOKUP(I4,Sheet1!$B$8:$HT$528,26,FALSE)</f>
        <v>#N/A</v>
      </c>
      <c r="J27" s="889" t="e">
        <f ca="1">VLOOKUP(J4,Sheet1!$B$8:$HT$528,26,FALSE)</f>
        <v>#N/A</v>
      </c>
      <c r="K27" s="889" t="e">
        <f ca="1">VLOOKUP(K4,Sheet1!$B$8:$HT$528,26,FALSE)</f>
        <v>#N/A</v>
      </c>
      <c r="L27" s="890" t="e">
        <f ca="1">VLOOKUP(L4,Sheet1!$B$8:$HT$528,26,FALSE)</f>
        <v>#N/A</v>
      </c>
      <c r="M27" s="565"/>
    </row>
    <row r="28" spans="1:13" ht="12" customHeight="1">
      <c r="A28" s="1166"/>
      <c r="B28" s="130" t="s">
        <v>116</v>
      </c>
      <c r="C28" s="133" t="s">
        <v>37</v>
      </c>
      <c r="D28" s="44" t="e">
        <f ca="1">VLOOKUP(D4,Calculation!$B$8:$JF$503,30,FALSE)</f>
        <v>#N/A</v>
      </c>
      <c r="E28" s="37" t="e">
        <f ca="1">VLOOKUP(E4,Calculation!$B$8:$JF$503,30,FALSE)</f>
        <v>#N/A</v>
      </c>
      <c r="F28" s="37" t="e">
        <f ca="1">VLOOKUP(F4,Calculation!$B$8:$JF$503,30,FALSE)</f>
        <v>#N/A</v>
      </c>
      <c r="G28" s="37" t="e">
        <f ca="1">VLOOKUP(G4,Calculation!$B$8:$JF$503,30,FALSE)</f>
        <v>#N/A</v>
      </c>
      <c r="H28" s="37" t="e">
        <f ca="1">VLOOKUP(H4,Calculation!$B$8:$JF$503,30,FALSE)</f>
        <v>#N/A</v>
      </c>
      <c r="I28" s="37" t="e">
        <f ca="1">VLOOKUP(I4,Calculation!$B$8:$JF$503,30,FALSE)</f>
        <v>#N/A</v>
      </c>
      <c r="J28" s="37" t="e">
        <f ca="1">VLOOKUP(J4,Calculation!$B$8:$JF$503,30,FALSE)</f>
        <v>#N/A</v>
      </c>
      <c r="K28" s="37" t="e">
        <f ca="1">VLOOKUP(K4,Calculation!$B$8:$JF$503,30,FALSE)</f>
        <v>#N/A</v>
      </c>
      <c r="L28" s="39" t="e">
        <f ca="1">VLOOKUP(L4,Calculation!$B$8:$JF$503,30,FALSE)</f>
        <v>#N/A</v>
      </c>
      <c r="M28" s="565"/>
    </row>
    <row r="29" spans="1:13" ht="12" customHeight="1">
      <c r="A29" s="1166"/>
      <c r="B29" s="130" t="s">
        <v>117</v>
      </c>
      <c r="C29" s="133" t="s">
        <v>13</v>
      </c>
      <c r="D29" s="44" t="e">
        <f ca="1">VLOOKUP(D4,Sheet1!$B$8:$HT$528,27,FALSE)</f>
        <v>#N/A</v>
      </c>
      <c r="E29" s="37" t="e">
        <f ca="1">VLOOKUP(E4,Sheet1!$B$8:$HT$528,27,FALSE)</f>
        <v>#N/A</v>
      </c>
      <c r="F29" s="37" t="e">
        <f ca="1">VLOOKUP(F4,Sheet1!$B$8:$HT$528,27,FALSE)</f>
        <v>#N/A</v>
      </c>
      <c r="G29" s="37" t="e">
        <f ca="1">VLOOKUP(G4,Sheet1!$B$8:$HT$528,27,FALSE)</f>
        <v>#N/A</v>
      </c>
      <c r="H29" s="37" t="e">
        <f ca="1">VLOOKUP(H4,Sheet1!$B$8:$HT$528,27,FALSE)</f>
        <v>#N/A</v>
      </c>
      <c r="I29" s="37" t="e">
        <f ca="1">VLOOKUP(I4,Sheet1!$B$8:$HT$528,27,FALSE)</f>
        <v>#N/A</v>
      </c>
      <c r="J29" s="37" t="e">
        <f ca="1">VLOOKUP(J4,Sheet1!$B$8:$HT$528,27,FALSE)</f>
        <v>#N/A</v>
      </c>
      <c r="K29" s="37" t="e">
        <f ca="1">VLOOKUP(K4,Sheet1!$B$8:$HT$528,27,FALSE)</f>
        <v>#N/A</v>
      </c>
      <c r="L29" s="631" t="e">
        <f ca="1">VLOOKUP(L4,Sheet1!$B$8:$HT$528,27,FALSE)</f>
        <v>#N/A</v>
      </c>
      <c r="M29" s="565"/>
    </row>
    <row r="30" spans="1:13" ht="12" customHeight="1">
      <c r="A30" s="1166"/>
      <c r="B30" s="130" t="s">
        <v>117</v>
      </c>
      <c r="C30" s="133" t="s">
        <v>37</v>
      </c>
      <c r="D30" s="44" t="e">
        <f ca="1">VLOOKUP(D4,Calculation!$B$8:$JF$503,31,FALSE)</f>
        <v>#N/A</v>
      </c>
      <c r="E30" s="37" t="e">
        <f ca="1">VLOOKUP(E4,Calculation!$B$8:$JF$503,31,FALSE)</f>
        <v>#N/A</v>
      </c>
      <c r="F30" s="37" t="e">
        <f ca="1">VLOOKUP(F4,Calculation!$B$8:$JF$503,31,FALSE)</f>
        <v>#N/A</v>
      </c>
      <c r="G30" s="37" t="e">
        <f ca="1">VLOOKUP(G4,Calculation!$B$8:$JF$503,31,FALSE)</f>
        <v>#N/A</v>
      </c>
      <c r="H30" s="37" t="e">
        <f ca="1">VLOOKUP(H4,Calculation!$B$8:$JF$503,31,FALSE)</f>
        <v>#N/A</v>
      </c>
      <c r="I30" s="37" t="e">
        <f ca="1">VLOOKUP(I4,Calculation!$B$8:$JF$503,31,FALSE)</f>
        <v>#N/A</v>
      </c>
      <c r="J30" s="37" t="e">
        <f ca="1">VLOOKUP(J4,Calculation!$B$8:$JF$503,31,FALSE)</f>
        <v>#N/A</v>
      </c>
      <c r="K30" s="37" t="e">
        <f ca="1">VLOOKUP(K4,Calculation!$B$8:$JF$503,31,FALSE)</f>
        <v>#N/A</v>
      </c>
      <c r="L30" s="39" t="e">
        <f ca="1">VLOOKUP(L4,Calculation!$B$8:$JF$503,31,FALSE)</f>
        <v>#N/A</v>
      </c>
      <c r="M30" s="565"/>
    </row>
    <row r="31" spans="1:13" ht="12" customHeight="1">
      <c r="A31" s="1166"/>
      <c r="B31" s="130" t="s">
        <v>118</v>
      </c>
      <c r="C31" s="133" t="s">
        <v>13</v>
      </c>
      <c r="D31" s="44" t="e">
        <f ca="1">VLOOKUP(D4,Sheet1!$B$8:$HT$528,11,FALSE)</f>
        <v>#N/A</v>
      </c>
      <c r="E31" s="37" t="e">
        <f ca="1">VLOOKUP(E4,Sheet1!$B$8:$HT$528,11,FALSE)</f>
        <v>#N/A</v>
      </c>
      <c r="F31" s="37" t="e">
        <f ca="1">VLOOKUP(F4,Sheet1!$B$8:$HT$528,11,FALSE)</f>
        <v>#N/A</v>
      </c>
      <c r="G31" s="37" t="e">
        <f ca="1">VLOOKUP(G4,Sheet1!$B$8:$HT$528,11,FALSE)</f>
        <v>#N/A</v>
      </c>
      <c r="H31" s="37" t="e">
        <f ca="1">VLOOKUP(H4,Sheet1!$B$8:$HT$528,11,FALSE)</f>
        <v>#N/A</v>
      </c>
      <c r="I31" s="37" t="e">
        <f ca="1">VLOOKUP(I4,Sheet1!$B$8:$HT$528,11,FALSE)</f>
        <v>#N/A</v>
      </c>
      <c r="J31" s="37" t="e">
        <f ca="1">VLOOKUP(J4,Sheet1!$B$8:$HT$528,11,FALSE)</f>
        <v>#N/A</v>
      </c>
      <c r="K31" s="37" t="e">
        <f ca="1">VLOOKUP(K4,Sheet1!$B$8:$HT$528,11,FALSE)</f>
        <v>#N/A</v>
      </c>
      <c r="L31" s="174" t="e">
        <f ca="1">VLOOKUP(L4,Sheet1!$B$8:$HT$528,11,FALSE)</f>
        <v>#N/A</v>
      </c>
      <c r="M31" s="565"/>
    </row>
    <row r="32" spans="1:13" ht="12" customHeight="1">
      <c r="A32" s="1166"/>
      <c r="B32" s="130" t="s">
        <v>118</v>
      </c>
      <c r="C32" s="133" t="s">
        <v>11</v>
      </c>
      <c r="D32" s="44" t="e">
        <f ca="1">VLOOKUP(D4,Calculation!$B$8:$JF$503,32,FALSE)</f>
        <v>#N/A</v>
      </c>
      <c r="E32" s="37" t="e">
        <f ca="1">VLOOKUP(E4,Calculation!$B$8:$JF$503,32,FALSE)</f>
        <v>#N/A</v>
      </c>
      <c r="F32" s="37" t="e">
        <f ca="1">VLOOKUP(F4,Calculation!$B$8:$JF$503,32,FALSE)</f>
        <v>#N/A</v>
      </c>
      <c r="G32" s="37" t="e">
        <f ca="1">VLOOKUP(G4,Calculation!$B$8:$JF$503,32,FALSE)</f>
        <v>#N/A</v>
      </c>
      <c r="H32" s="37" t="e">
        <f ca="1">VLOOKUP(H4,Calculation!$B$8:$JF$503,32,FALSE)</f>
        <v>#N/A</v>
      </c>
      <c r="I32" s="37" t="e">
        <f ca="1">VLOOKUP(I4,Calculation!$B$8:$JF$503,32,FALSE)</f>
        <v>#N/A</v>
      </c>
      <c r="J32" s="37" t="e">
        <f ca="1">VLOOKUP(J4,Calculation!$B$8:$JF$503,32,FALSE)</f>
        <v>#N/A</v>
      </c>
      <c r="K32" s="37" t="e">
        <f ca="1">VLOOKUP(K4,Calculation!$B$8:$JF$503,32,FALSE)</f>
        <v>#N/A</v>
      </c>
      <c r="L32" s="39" t="e">
        <f ca="1">VLOOKUP(L4,Calculation!$B$8:$JF$503,32,FALSE)</f>
        <v>#N/A</v>
      </c>
      <c r="M32" s="565"/>
    </row>
    <row r="33" spans="1:13" ht="12" customHeight="1">
      <c r="A33" s="1166"/>
      <c r="B33" s="204" t="s">
        <v>678</v>
      </c>
      <c r="C33" s="133" t="s">
        <v>13</v>
      </c>
      <c r="D33" s="44" t="e">
        <f ca="1">VLOOKUP(D4,Calculation!$B$8:$JF$503,33,FALSE)</f>
        <v>#N/A</v>
      </c>
      <c r="E33" s="37" t="e">
        <f ca="1">VLOOKUP(E4,Calculation!$B$8:$JF$503,33,FALSE)</f>
        <v>#N/A</v>
      </c>
      <c r="F33" s="37" t="e">
        <f ca="1">VLOOKUP(F4,Calculation!$B$8:$JF$503,33,FALSE)</f>
        <v>#N/A</v>
      </c>
      <c r="G33" s="37" t="e">
        <f ca="1">VLOOKUP(G4,Calculation!$B$8:$JF$503,33,FALSE)</f>
        <v>#N/A</v>
      </c>
      <c r="H33" s="37" t="e">
        <f ca="1">VLOOKUP(H4,Calculation!$B$8:$JF$503,33,FALSE)</f>
        <v>#N/A</v>
      </c>
      <c r="I33" s="37" t="e">
        <f ca="1">VLOOKUP(I4,Calculation!$B$8:$JF$503,33,FALSE)</f>
        <v>#N/A</v>
      </c>
      <c r="J33" s="37" t="e">
        <f ca="1">VLOOKUP(J4,Calculation!$B$8:$JF$503,33,FALSE)</f>
        <v>#N/A</v>
      </c>
      <c r="K33" s="37" t="e">
        <f ca="1">VLOOKUP(K4,Calculation!$B$8:$JF$503,33,FALSE)</f>
        <v>#N/A</v>
      </c>
      <c r="L33" s="39" t="e">
        <f ca="1">VLOOKUP(L4,Calculation!$B$8:$JF$503,33,FALSE)</f>
        <v>#N/A</v>
      </c>
      <c r="M33" s="565"/>
    </row>
    <row r="34" spans="1:13" ht="12" customHeight="1">
      <c r="A34" s="1166"/>
      <c r="B34" s="204" t="s">
        <v>678</v>
      </c>
      <c r="C34" s="136" t="s">
        <v>11</v>
      </c>
      <c r="D34" s="44" t="e">
        <f ca="1">VLOOKUP(D4,Calculation!$B$8:$JF$503,34,FALSE)</f>
        <v>#N/A</v>
      </c>
      <c r="E34" s="37" t="e">
        <f ca="1">VLOOKUP(E4,Calculation!$B$8:$JF$503,34,FALSE)</f>
        <v>#N/A</v>
      </c>
      <c r="F34" s="37" t="e">
        <f ca="1">VLOOKUP(F4,Calculation!$B$8:$JF$503,34,FALSE)</f>
        <v>#N/A</v>
      </c>
      <c r="G34" s="37" t="e">
        <f ca="1">VLOOKUP(G4,Calculation!$B$8:$JF$503,34,FALSE)</f>
        <v>#N/A</v>
      </c>
      <c r="H34" s="37" t="e">
        <f ca="1">VLOOKUP(H4,Calculation!$B$8:$JF$503,34,FALSE)</f>
        <v>#N/A</v>
      </c>
      <c r="I34" s="37" t="e">
        <f ca="1">VLOOKUP(I4,Calculation!$B$8:$JF$503,34,FALSE)</f>
        <v>#N/A</v>
      </c>
      <c r="J34" s="37" t="e">
        <f ca="1">VLOOKUP(J4,Calculation!$B$8:$JF$503,34,FALSE)</f>
        <v>#N/A</v>
      </c>
      <c r="K34" s="37" t="e">
        <f ca="1">VLOOKUP(K4,Calculation!$B$8:$JF$503,34,FALSE)</f>
        <v>#N/A</v>
      </c>
      <c r="L34" s="39" t="e">
        <f ca="1">VLOOKUP(L4,Calculation!$B$8:$JF$503,34,FALSE)</f>
        <v>#N/A</v>
      </c>
      <c r="M34" s="565"/>
    </row>
    <row r="35" spans="1:13" ht="12" customHeight="1">
      <c r="A35" s="1166"/>
      <c r="B35" s="135" t="s">
        <v>38</v>
      </c>
      <c r="C35" s="136" t="s">
        <v>13</v>
      </c>
      <c r="D35" s="44" t="e">
        <f ca="1">VLOOKUP(D4,Calculation!$B$8:$JF$503,35,FALSE)</f>
        <v>#N/A</v>
      </c>
      <c r="E35" s="37" t="e">
        <f ca="1">VLOOKUP(E4,Calculation!$B$8:$JF$503,35,FALSE)</f>
        <v>#N/A</v>
      </c>
      <c r="F35" s="37" t="e">
        <f ca="1">VLOOKUP(F4,Calculation!$B$8:$JF$503,35,FALSE)</f>
        <v>#N/A</v>
      </c>
      <c r="G35" s="37" t="e">
        <f ca="1">VLOOKUP(G4,Calculation!$B$8:$JF$503,35,FALSE)</f>
        <v>#N/A</v>
      </c>
      <c r="H35" s="37" t="e">
        <f ca="1">VLOOKUP(H4,Calculation!$B$8:$JF$503,35,FALSE)</f>
        <v>#N/A</v>
      </c>
      <c r="I35" s="37" t="e">
        <f ca="1">VLOOKUP(I4,Calculation!$B$8:$JF$503,35,FALSE)</f>
        <v>#N/A</v>
      </c>
      <c r="J35" s="37" t="e">
        <f ca="1">VLOOKUP(J4,Calculation!$B$8:$JF$503,35,FALSE)</f>
        <v>#N/A</v>
      </c>
      <c r="K35" s="37" t="e">
        <f ca="1">VLOOKUP(K4,Calculation!$B$8:$JF$503,35,FALSE)</f>
        <v>#N/A</v>
      </c>
      <c r="L35" s="39" t="e">
        <f ca="1">VLOOKUP(L4,Calculation!$B$8:$JF$503,35,FALSE)</f>
        <v>#N/A</v>
      </c>
      <c r="M35" s="565"/>
    </row>
    <row r="36" spans="1:13" ht="12" customHeight="1">
      <c r="A36" s="1166"/>
      <c r="B36" s="135" t="s">
        <v>38</v>
      </c>
      <c r="C36" s="136" t="s">
        <v>11</v>
      </c>
      <c r="D36" s="44" t="e">
        <f ca="1">VLOOKUP(D4,Calculation!$B$8:$JF$503,36,FALSE)</f>
        <v>#N/A</v>
      </c>
      <c r="E36" s="37" t="e">
        <f ca="1">VLOOKUP(E4,Calculation!$B$8:$JF$503,36,FALSE)</f>
        <v>#N/A</v>
      </c>
      <c r="F36" s="37" t="e">
        <f ca="1">VLOOKUP(F4,Calculation!$B$8:$JF$503,36,FALSE)</f>
        <v>#N/A</v>
      </c>
      <c r="G36" s="37" t="e">
        <f ca="1">VLOOKUP(G4,Calculation!$B$8:$JF$503,36,FALSE)</f>
        <v>#N/A</v>
      </c>
      <c r="H36" s="37" t="e">
        <f ca="1">VLOOKUP(H4,Calculation!$B$8:$JF$503,36,FALSE)</f>
        <v>#N/A</v>
      </c>
      <c r="I36" s="37" t="e">
        <f ca="1">VLOOKUP(I4,Calculation!$B$8:$JF$503,36,FALSE)</f>
        <v>#N/A</v>
      </c>
      <c r="J36" s="37" t="e">
        <f ca="1">VLOOKUP(J4,Calculation!$B$8:$JF$503,36,FALSE)</f>
        <v>#N/A</v>
      </c>
      <c r="K36" s="37" t="e">
        <f ca="1">VLOOKUP(K4,Calculation!$B$8:$JF$503,36,FALSE)</f>
        <v>#N/A</v>
      </c>
      <c r="L36" s="39" t="e">
        <f ca="1">VLOOKUP(L4,Calculation!$B$8:$JF$503,36,FALSE)</f>
        <v>#N/A</v>
      </c>
      <c r="M36" s="565"/>
    </row>
    <row r="37" spans="1:13" ht="12" customHeight="1">
      <c r="A37" s="1166"/>
      <c r="B37" s="140" t="s">
        <v>531</v>
      </c>
      <c r="C37" s="141" t="s">
        <v>25</v>
      </c>
      <c r="D37" s="44" t="e">
        <f ca="1">VLOOKUP(D4,Calculation!$B$8:$JF$503,127,FALSE)</f>
        <v>#N/A</v>
      </c>
      <c r="E37" s="37" t="e">
        <f ca="1">VLOOKUP(E4,Calculation!$B$8:$JF$503,127,FALSE)</f>
        <v>#N/A</v>
      </c>
      <c r="F37" s="37" t="e">
        <f ca="1">VLOOKUP(F4,Calculation!$B$8:$JF$503,127,FALSE)</f>
        <v>#N/A</v>
      </c>
      <c r="G37" s="37" t="e">
        <f ca="1">VLOOKUP(G4,Calculation!$B$8:$JF$503,127,FALSE)</f>
        <v>#N/A</v>
      </c>
      <c r="H37" s="37" t="e">
        <f ca="1">VLOOKUP(H4,Calculation!$B$8:$JF$503,127,FALSE)</f>
        <v>#N/A</v>
      </c>
      <c r="I37" s="37" t="e">
        <f ca="1">VLOOKUP(I4,Calculation!$B$8:$JF$503,127,FALSE)</f>
        <v>#N/A</v>
      </c>
      <c r="J37" s="37" t="e">
        <f ca="1">VLOOKUP(J4,Calculation!$B$8:$JF$503,127,FALSE)</f>
        <v>#N/A</v>
      </c>
      <c r="K37" s="37" t="e">
        <f ca="1">VLOOKUP(K4,Calculation!$B$8:$JF$503,127,FALSE)</f>
        <v>#N/A</v>
      </c>
      <c r="L37" s="39" t="e">
        <f ca="1">VLOOKUP(L4,Calculation!$B$8:$JF$503,127,FALSE)</f>
        <v>#N/A</v>
      </c>
      <c r="M37" s="565"/>
    </row>
    <row r="38" spans="1:13" ht="12" customHeight="1">
      <c r="A38" s="1166"/>
      <c r="B38" s="140" t="s">
        <v>531</v>
      </c>
      <c r="C38" s="139" t="s">
        <v>13</v>
      </c>
      <c r="D38" s="44" t="e">
        <f ca="1">VLOOKUP(D4,Calculation!$B$8:$JF$503,126,FALSE)</f>
        <v>#N/A</v>
      </c>
      <c r="E38" s="37" t="e">
        <f ca="1">VLOOKUP(E4,Calculation!$B$8:$JF$503,126,FALSE)</f>
        <v>#N/A</v>
      </c>
      <c r="F38" s="37" t="e">
        <f ca="1">VLOOKUP(F4,Calculation!$B$8:$JF$503,126,FALSE)</f>
        <v>#N/A</v>
      </c>
      <c r="G38" s="37" t="e">
        <f ca="1">VLOOKUP(G4,Calculation!$B$8:$JF$503,126,FALSE)</f>
        <v>#N/A</v>
      </c>
      <c r="H38" s="37" t="e">
        <f ca="1">VLOOKUP(H4,Calculation!$B$8:$JF$503,126,FALSE)</f>
        <v>#N/A</v>
      </c>
      <c r="I38" s="37" t="e">
        <f ca="1">VLOOKUP(I4,Calculation!$B$8:$JF$503,126,FALSE)</f>
        <v>#N/A</v>
      </c>
      <c r="J38" s="37" t="e">
        <f ca="1">VLOOKUP(J4,Calculation!$B$8:$JF$503,126,FALSE)</f>
        <v>#N/A</v>
      </c>
      <c r="K38" s="37" t="e">
        <f ca="1">VLOOKUP(K4,Calculation!$B$8:$JF$503,126,FALSE)</f>
        <v>#N/A</v>
      </c>
      <c r="L38" s="39" t="e">
        <f ca="1">VLOOKUP(L4,Calculation!$B$8:$JF$503,126,FALSE)</f>
        <v>#N/A</v>
      </c>
      <c r="M38" s="565"/>
    </row>
    <row r="39" spans="1:13" ht="12" customHeight="1">
      <c r="A39" s="1166"/>
      <c r="B39" s="142" t="s">
        <v>39</v>
      </c>
      <c r="C39" s="136" t="s">
        <v>25</v>
      </c>
      <c r="D39" s="44" t="e">
        <f ca="1">VLOOKUP(D4,Calculation!$B$8:$JF$503,40,FALSE)</f>
        <v>#N/A</v>
      </c>
      <c r="E39" s="37" t="e">
        <f ca="1">VLOOKUP(E4,Calculation!$B$8:$JF$503,40,FALSE)</f>
        <v>#N/A</v>
      </c>
      <c r="F39" s="37" t="e">
        <f ca="1">VLOOKUP(F4,Calculation!$B$8:$JF$503,40,FALSE)</f>
        <v>#N/A</v>
      </c>
      <c r="G39" s="37" t="e">
        <f ca="1">VLOOKUP(G4,Calculation!$B$8:$JF$503,40,FALSE)</f>
        <v>#N/A</v>
      </c>
      <c r="H39" s="37" t="e">
        <f ca="1">VLOOKUP(H4,Calculation!$B$8:$JF$503,40,FALSE)</f>
        <v>#N/A</v>
      </c>
      <c r="I39" s="37" t="e">
        <f ca="1">VLOOKUP(I4,Calculation!$B$8:$JF$503,40,FALSE)</f>
        <v>#N/A</v>
      </c>
      <c r="J39" s="37" t="e">
        <f ca="1">VLOOKUP(J4,Calculation!$B$8:$JF$503,40,FALSE)</f>
        <v>#N/A</v>
      </c>
      <c r="K39" s="37" t="e">
        <f ca="1">VLOOKUP(K4,Calculation!$B$8:$JF$503,40,FALSE)</f>
        <v>#N/A</v>
      </c>
      <c r="L39" s="39" t="e">
        <f ca="1">VLOOKUP(L4,Calculation!$B$8:$JF$503,40,FALSE)</f>
        <v>#N/A</v>
      </c>
      <c r="M39" s="565"/>
    </row>
    <row r="40" spans="1:13" ht="12" customHeight="1" thickBot="1">
      <c r="A40" s="1167"/>
      <c r="B40" s="143" t="s">
        <v>39</v>
      </c>
      <c r="C40" s="144" t="s">
        <v>13</v>
      </c>
      <c r="D40" s="45" t="e">
        <f ca="1">VLOOKUP(D4,Calculation!$B$8:$JF$503,39,FALSE)</f>
        <v>#N/A</v>
      </c>
      <c r="E40" s="40" t="e">
        <f ca="1">VLOOKUP(E4,Calculation!$B$8:$JF$503,39,FALSE)</f>
        <v>#N/A</v>
      </c>
      <c r="F40" s="40" t="e">
        <f ca="1">VLOOKUP(F4,Calculation!$B$8:$JF$503,39,FALSE)</f>
        <v>#N/A</v>
      </c>
      <c r="G40" s="40" t="e">
        <f ca="1">VLOOKUP(G4,Calculation!$B$8:$JF$503,39,FALSE)</f>
        <v>#N/A</v>
      </c>
      <c r="H40" s="40" t="e">
        <f ca="1">VLOOKUP(H4,Calculation!$B$8:$JF$503,39,FALSE)</f>
        <v>#N/A</v>
      </c>
      <c r="I40" s="40" t="e">
        <f ca="1">VLOOKUP(I4,Calculation!$B$8:$JF$503,39,FALSE)</f>
        <v>#N/A</v>
      </c>
      <c r="J40" s="40" t="e">
        <f ca="1">VLOOKUP(J4,Calculation!$B$8:$JF$503,39,FALSE)</f>
        <v>#N/A</v>
      </c>
      <c r="K40" s="40" t="e">
        <f ca="1">VLOOKUP(K4,Calculation!$B$8:$JF$503,39,FALSE)</f>
        <v>#N/A</v>
      </c>
      <c r="L40" s="41" t="e">
        <f ca="1">VLOOKUP(L4,Calculation!$B$8:$JF$503,39,FALSE)</f>
        <v>#N/A</v>
      </c>
      <c r="M40" s="565"/>
    </row>
    <row r="41" spans="1:13" ht="12" customHeight="1" thickBot="1">
      <c r="B41" s="1146" t="s">
        <v>114</v>
      </c>
      <c r="C41" s="1147"/>
      <c r="D41" s="1150"/>
      <c r="E41" s="1150"/>
      <c r="F41" s="1150"/>
      <c r="G41" s="1150"/>
      <c r="H41" s="1150"/>
      <c r="I41" s="1150"/>
      <c r="J41" s="1150"/>
      <c r="K41" s="1150"/>
      <c r="L41" s="1151"/>
      <c r="M41" s="565"/>
    </row>
    <row r="42" spans="1:13" ht="12" customHeight="1">
      <c r="B42" s="128" t="s">
        <v>119</v>
      </c>
      <c r="C42" s="145" t="s">
        <v>40</v>
      </c>
      <c r="D42" s="582" t="e">
        <f ca="1">VLOOKUP(D4,Sheet1!$B$8:$HT$528,7,FALSE)</f>
        <v>#N/A</v>
      </c>
      <c r="E42" s="583" t="e">
        <f ca="1">VLOOKUP(E4,Sheet1!$B$8:$HT$528,7,FALSE)</f>
        <v>#N/A</v>
      </c>
      <c r="F42" s="584" t="e">
        <f ca="1">VLOOKUP(F4,Sheet1!$B$8:$HT$528,7,FALSE)</f>
        <v>#N/A</v>
      </c>
      <c r="G42" s="583" t="e">
        <f ca="1">VLOOKUP(G4,Sheet1!$B$8:$HT$528,7,FALSE)</f>
        <v>#N/A</v>
      </c>
      <c r="H42" s="583" t="e">
        <f ca="1">VLOOKUP(H4,Sheet1!$B$8:$HT$528,7,FALSE)</f>
        <v>#N/A</v>
      </c>
      <c r="I42" s="583" t="e">
        <f ca="1">VLOOKUP(I4,Sheet1!$B$8:$HT$528,7,FALSE)</f>
        <v>#N/A</v>
      </c>
      <c r="J42" s="583" t="e">
        <f ca="1">VLOOKUP(J4,Sheet1!$B$8:$HT$528,7,FALSE)</f>
        <v>#N/A</v>
      </c>
      <c r="K42" s="583" t="e">
        <f ca="1">VLOOKUP(K4,Sheet1!$B$8:$HT$528,7,FALSE)</f>
        <v>#N/A</v>
      </c>
      <c r="L42" s="634" t="e">
        <f ca="1">VLOOKUP(L4,Sheet1!$B$8:$HT$528,7,FALSE)</f>
        <v>#N/A</v>
      </c>
      <c r="M42" s="565"/>
    </row>
    <row r="43" spans="1:13" ht="12" customHeight="1">
      <c r="B43" s="135" t="s">
        <v>120</v>
      </c>
      <c r="C43" s="146" t="s">
        <v>40</v>
      </c>
      <c r="D43" s="586" t="e">
        <f ca="1">IF(VLOOKUP(D4,Sheet1!$B$8:$HT$528,10,FALSE)="os",VLOOKUP(D4,Sheet1!$B$8:$HT$528,9,FALSE),VLOOKUP(D4,Sheet1!$B$8:$HT$528,10,FALSE))</f>
        <v>#N/A</v>
      </c>
      <c r="E43" s="173" t="e">
        <f ca="1">IF(VLOOKUP(E4,Sheet1!$B$8:$HT$528,10,FALSE)="os",VLOOKUP(E4,Sheet1!$B$8:$HT$528,9,FALSE),VLOOKUP(E4,Sheet1!$B$8:$HT$528,10,FALSE))</f>
        <v>#N/A</v>
      </c>
      <c r="F43" s="173" t="e">
        <f ca="1">IF(VLOOKUP(F4,Sheet1!$B$8:$HT$528,10,FALSE)="os",VLOOKUP(F4,Sheet1!$B$8:$HT$528,9,FALSE),VLOOKUP(F4,Sheet1!$B$8:$HT$528,10,FALSE))</f>
        <v>#N/A</v>
      </c>
      <c r="G43" s="173" t="e">
        <f ca="1">IF(VLOOKUP(G4,Sheet1!$B$8:$HT$528,10,FALSE)="os",VLOOKUP(G4,Sheet1!$B$8:$HT$528,9,FALSE),VLOOKUP(G4,Sheet1!$B$8:$HT$528,10,FALSE))</f>
        <v>#N/A</v>
      </c>
      <c r="H43" s="173" t="e">
        <f ca="1">IF(VLOOKUP(H4,Sheet1!$B$8:$HT$528,10,FALSE)="os",VLOOKUP(H4,Sheet1!$B$8:$HT$528,9,FALSE),VLOOKUP(H4,Sheet1!$B$8:$HT$528,10,FALSE))</f>
        <v>#N/A</v>
      </c>
      <c r="I43" s="173" t="e">
        <f ca="1">IF(VLOOKUP(I4,Sheet1!$B$8:$HT$528,10,FALSE)="os",VLOOKUP(I4,Sheet1!$B$8:$HT$528,9,FALSE),VLOOKUP(I4,Sheet1!$B$8:$HT$528,10,FALSE))</f>
        <v>#N/A</v>
      </c>
      <c r="J43" s="173" t="e">
        <f ca="1">IF(VLOOKUP(J4,Sheet1!$B$8:$HT$528,10,FALSE)="os",VLOOKUP(J4,Sheet1!$B$8:$HT$528,9,FALSE),VLOOKUP(J4,Sheet1!$B$8:$HT$528,10,FALSE))</f>
        <v>#N/A</v>
      </c>
      <c r="K43" s="173" t="e">
        <f ca="1">IF(VLOOKUP(K4,Sheet1!$B$8:$HT$528,10,FALSE)="os",VLOOKUP(K4,Sheet1!$B$8:$HT$528,9,FALSE),VLOOKUP(K4,Sheet1!$B$8:$HT$528,10,FALSE))</f>
        <v>#N/A</v>
      </c>
      <c r="L43" s="631" t="e">
        <f ca="1">IF(VLOOKUP(L4,Sheet1!$B$8:$HT$528,10,FALSE)="os",VLOOKUP(L4,Sheet1!$B$8:$HT$528,9,FALSE),VLOOKUP(L4,Sheet1!$B$8:$HT$528,10,FALSE))</f>
        <v>#N/A</v>
      </c>
      <c r="M43" s="565"/>
    </row>
    <row r="44" spans="1:13" ht="12" customHeight="1">
      <c r="B44" s="427" t="s">
        <v>537</v>
      </c>
      <c r="C44" s="146" t="s">
        <v>17</v>
      </c>
      <c r="D44" s="180" t="e">
        <f ca="1">IF(ISNUMBER(VLOOKUP(D4,Sheet1!$B$8:$HT$528,22,FALSE))=TRUE,VLOOKUP(D4,Sheet1!$B$8:$HT$528,22,FALSE),VLOOKUP(D4,Sheet1!$B$8:$HT$528,23,FALSE))</f>
        <v>#N/A</v>
      </c>
      <c r="E44" s="173" t="e">
        <f ca="1">IF(ISNUMBER(VLOOKUP(E4,Sheet1!$B$8:$HT$528,22,FALSE))=TRUE,VLOOKUP(E4,Sheet1!$B$8:$HT$528,22,FALSE),VLOOKUP(E4,Sheet1!$B$8:$HT$528,23,FALSE))</f>
        <v>#N/A</v>
      </c>
      <c r="F44" s="181" t="e">
        <f ca="1">IF(ISNUMBER(VLOOKUP(F4,Sheet1!$B$8:$HT$528,22,FALSE))=TRUE,VLOOKUP(F4,Sheet1!$B$8:$HT$528,22,FALSE),VLOOKUP(F4,Sheet1!$B$8:$HT$528,23,FALSE))</f>
        <v>#N/A</v>
      </c>
      <c r="G44" s="173" t="e">
        <f ca="1">IF(ISNUMBER(VLOOKUP(G4,Sheet1!$B$8:$HT$528,22,FALSE))=TRUE,VLOOKUP(G4,Sheet1!$B$8:$HT$528,22,FALSE),VLOOKUP(G4,Sheet1!$B$8:$HT$528,23,FALSE))</f>
        <v>#N/A</v>
      </c>
      <c r="H44" s="173" t="e">
        <f ca="1">IF(ISNUMBER(VLOOKUP(H4,Sheet1!$B$8:$HT$528,22,FALSE))=TRUE,VLOOKUP(H4,Sheet1!$B$8:$HT$528,22,FALSE),VLOOKUP(H4,Sheet1!$B$8:$HT$528,23,FALSE))</f>
        <v>#N/A</v>
      </c>
      <c r="I44" s="173" t="e">
        <f ca="1">IF(ISNUMBER(VLOOKUP(I4,Sheet1!$B$8:$HT$528,22,FALSE))=TRUE,VLOOKUP(I4,Sheet1!$B$8:$HT$528,22,FALSE),VLOOKUP(I4,Sheet1!$B$8:$HT$528,23,FALSE))</f>
        <v>#N/A</v>
      </c>
      <c r="J44" s="173" t="e">
        <f ca="1">IF(ISNUMBER(VLOOKUP(J4,Sheet1!$B$8:$HT$528,22,FALSE))=TRUE,VLOOKUP(J4,Sheet1!$B$8:$HT$528,22,FALSE),VLOOKUP(J4,Sheet1!$B$8:$HT$528,23,FALSE))</f>
        <v>#N/A</v>
      </c>
      <c r="K44" s="173" t="e">
        <f ca="1">IF(ISNUMBER(VLOOKUP(K4,Sheet1!$B$8:$HT$528,22,FALSE))=TRUE,VLOOKUP(K4,Sheet1!$B$8:$HT$528,22,FALSE),VLOOKUP(K4,Sheet1!$B$8:$HT$528,23,FALSE))</f>
        <v>#N/A</v>
      </c>
      <c r="L44" s="631" t="e">
        <f ca="1">IF(ISNUMBER(VLOOKUP(L4,Sheet1!$B$8:$HT$528,22,FALSE))=TRUE,VLOOKUP(L4,Sheet1!$B$8:$HT$528,22,FALSE),VLOOKUP(L4,Sheet1!$B$8:$HT$528,23,FALSE))</f>
        <v>#N/A</v>
      </c>
      <c r="M44" s="565"/>
    </row>
    <row r="45" spans="1:13" ht="12" customHeight="1">
      <c r="B45" s="130" t="s">
        <v>285</v>
      </c>
      <c r="C45" s="147" t="s">
        <v>14</v>
      </c>
      <c r="D45" s="586" t="e">
        <f ca="1">IF(VLOOKUP(D4,Sheet1!$B$8:$HT$528,21,FALSE)="os",VLOOKUP(D4,Sheet1!$B$8:$HT$528,20,FALSE),VLOOKUP(D4,Sheet1!$B$8:$HT$528,21,FALSE))</f>
        <v>#N/A</v>
      </c>
      <c r="E45" s="173" t="e">
        <f ca="1">IF(VLOOKUP(E4,Sheet1!$B$8:$HT$528,21,FALSE)="os",VLOOKUP(E4,Sheet1!$B$8:$HT$528,20,FALSE),VLOOKUP(E4,Sheet1!$B$8:$HT$528,21,FALSE))</f>
        <v>#N/A</v>
      </c>
      <c r="F45" s="173" t="e">
        <f ca="1">IF(VLOOKUP(F4,Sheet1!$B$8:$HT$528,21,FALSE)="os",VLOOKUP(F4,Sheet1!$B$8:$HT$528,20,FALSE),VLOOKUP(F4,Sheet1!$B$8:$HT$528,21,FALSE))</f>
        <v>#N/A</v>
      </c>
      <c r="G45" s="173" t="e">
        <f ca="1">IF(VLOOKUP(G4,Sheet1!$B$8:$HT$528,21,FALSE)="os",VLOOKUP(G4,Sheet1!$B$8:$HT$528,20,FALSE),VLOOKUP(G4,Sheet1!$B$8:$HT$528,21,FALSE))</f>
        <v>#N/A</v>
      </c>
      <c r="H45" s="173" t="e">
        <f ca="1">IF(VLOOKUP(H4,Sheet1!$B$8:$HT$528,21,FALSE)="os",VLOOKUP(H4,Sheet1!$B$8:$HT$528,20,FALSE),VLOOKUP(H4,Sheet1!$B$8:$HT$528,21,FALSE))</f>
        <v>#N/A</v>
      </c>
      <c r="I45" s="173" t="e">
        <f ca="1">IF(VLOOKUP(I4,Sheet1!$B$8:$HT$528,21,FALSE)="os",VLOOKUP(I4,Sheet1!$B$8:$HT$528,20,FALSE),VLOOKUP(I4,Sheet1!$B$8:$HT$528,21,FALSE))</f>
        <v>#N/A</v>
      </c>
      <c r="J45" s="173" t="e">
        <f ca="1">IF(VLOOKUP(J4,Sheet1!$B$8:$HT$528,21,FALSE)="os",VLOOKUP(J4,Sheet1!$B$8:$HT$528,20,FALSE),VLOOKUP(J4,Sheet1!$B$8:$HT$528,21,FALSE))</f>
        <v>#N/A</v>
      </c>
      <c r="K45" s="173" t="e">
        <f ca="1">IF(VLOOKUP(K4,Sheet1!$B$8:$HT$528,21,FALSE)="os",VLOOKUP(K4,Sheet1!$B$8:$HT$528,20,FALSE),VLOOKUP(K4,Sheet1!$B$8:$HT$528,21,FALSE))</f>
        <v>#N/A</v>
      </c>
      <c r="L45" s="631" t="e">
        <f ca="1">IF(VLOOKUP(L4,Sheet1!$B$8:$HT$528,21,FALSE)="os",VLOOKUP(L4,Sheet1!$B$8:$HT$528,20,FALSE),VLOOKUP(L4,Sheet1!$B$8:$HT$528,21,FALSE))</f>
        <v>#N/A</v>
      </c>
      <c r="M45" s="565"/>
    </row>
    <row r="46" spans="1:13" ht="12" customHeight="1">
      <c r="B46" s="21" t="s">
        <v>542</v>
      </c>
      <c r="C46" s="132" t="s">
        <v>14</v>
      </c>
      <c r="D46" s="180" t="e">
        <f ca="1">VLOOKUP(D4,Sheet1!$B$8:$HT$528,15,FALSE)</f>
        <v>#N/A</v>
      </c>
      <c r="E46" s="173" t="e">
        <f ca="1">VLOOKUP(E4,Sheet1!$B$8:$HT$528,15,FALSE)</f>
        <v>#N/A</v>
      </c>
      <c r="F46" s="181" t="e">
        <f ca="1">VLOOKUP(F4,Sheet1!$B$8:$HT$528,15,FALSE)</f>
        <v>#N/A</v>
      </c>
      <c r="G46" s="173" t="e">
        <f ca="1">VLOOKUP(G4,Sheet1!$B$8:$HT$528,15,FALSE)</f>
        <v>#N/A</v>
      </c>
      <c r="H46" s="173" t="e">
        <f ca="1">VLOOKUP(H4,Sheet1!$B$8:$HT$528,15,FALSE)</f>
        <v>#N/A</v>
      </c>
      <c r="I46" s="173" t="e">
        <f ca="1">VLOOKUP(I4,Sheet1!$B$8:$HT$528,15,FALSE)</f>
        <v>#N/A</v>
      </c>
      <c r="J46" s="173" t="e">
        <f ca="1">VLOOKUP(J4,Sheet1!$B$8:$HT$528,15,FALSE)</f>
        <v>#N/A</v>
      </c>
      <c r="K46" s="173" t="e">
        <f ca="1">VLOOKUP(K4,Sheet1!$B$8:$HT$528,15,FALSE)</f>
        <v>#N/A</v>
      </c>
      <c r="L46" s="631" t="e">
        <f ca="1">VLOOKUP(L4,Sheet1!$B$8:$HT$528,15,FALSE)</f>
        <v>#N/A</v>
      </c>
      <c r="M46" s="565"/>
    </row>
    <row r="47" spans="1:13" ht="12" customHeight="1">
      <c r="B47" s="148" t="s">
        <v>41</v>
      </c>
      <c r="C47" s="149" t="s">
        <v>42</v>
      </c>
      <c r="D47" s="586" t="e">
        <f ca="1">IF(VLOOKUP(D4,Sheet1!$B$8:$HT$528,8,FALSE)&gt;1,VLOOKUP(D4,Sheet1!$B$8:$HT$528,8,FALSE),VLOOKUP(D4,Sheet1!$B$8:$HT$528,8,FALSE)*100)</f>
        <v>#N/A</v>
      </c>
      <c r="E47" s="173" t="e">
        <f ca="1">IF(VLOOKUP(E4,Sheet1!$B$8:$HT$528,8,FALSE)&gt;1,VLOOKUP(E4,Sheet1!$B$8:$HT$528,8,FALSE),VLOOKUP(E4,Sheet1!$B$8:$HT$528,8,FALSE)*100)</f>
        <v>#N/A</v>
      </c>
      <c r="F47" s="173" t="e">
        <f ca="1">IF(VLOOKUP(F4,Sheet1!$B$8:$HT$528,8,FALSE)&gt;1,VLOOKUP(F4,Sheet1!$B$8:$HT$528,8,FALSE),VLOOKUP(F4,Sheet1!$B$8:$HT$528,8,FALSE)*100)</f>
        <v>#N/A</v>
      </c>
      <c r="G47" s="173" t="e">
        <f ca="1">IF(VLOOKUP(G4,Sheet1!$B$8:$HT$528,8,FALSE)&gt;1,VLOOKUP(G4,Sheet1!$B$8:$HT$528,8,FALSE),VLOOKUP(G4,Sheet1!$B$8:$HT$528,8,FALSE)*100)</f>
        <v>#N/A</v>
      </c>
      <c r="H47" s="173" t="e">
        <f ca="1">IF(VLOOKUP(H4,Sheet1!$B$8:$HT$528,8,FALSE)&gt;1,VLOOKUP(H4,Sheet1!$B$8:$HT$528,8,FALSE),VLOOKUP(H4,Sheet1!$B$8:$HT$528,8,FALSE)*100)</f>
        <v>#N/A</v>
      </c>
      <c r="I47" s="173" t="e">
        <f ca="1">IF(VLOOKUP(I4,Sheet1!$B$8:$HT$528,8,FALSE)&gt;1,VLOOKUP(I4,Sheet1!$B$8:$HT$528,8,FALSE),VLOOKUP(I4,Sheet1!$B$8:$HT$528,8,FALSE)*100)</f>
        <v>#N/A</v>
      </c>
      <c r="J47" s="173" t="e">
        <f ca="1">IF(VLOOKUP(J4,Sheet1!$B$8:$HT$528,8,FALSE)&gt;1,VLOOKUP(J4,Sheet1!$B$8:$HT$528,8,FALSE),VLOOKUP(J4,Sheet1!$B$8:$HT$528,8,FALSE)*100)</f>
        <v>#N/A</v>
      </c>
      <c r="K47" s="173" t="e">
        <f ca="1">IF(VLOOKUP(K4,Sheet1!$B$8:$HT$528,8,FALSE)&gt;1,VLOOKUP(K4,Sheet1!$B$8:$HT$528,8,FALSE),VLOOKUP(K4,Sheet1!$B$8:$HT$528,8,FALSE)*100)</f>
        <v>#N/A</v>
      </c>
      <c r="L47" s="631" t="e">
        <f ca="1">IF(VLOOKUP(L4,Sheet1!$B$8:$HT$528,8,FALSE)&gt;1,VLOOKUP(L4,Sheet1!$B$8:$HT$528,8,FALSE),VLOOKUP(L4,Sheet1!$B$8:$HT$528,8,FALSE)*100)</f>
        <v>#N/A</v>
      </c>
      <c r="M47" s="565"/>
    </row>
    <row r="48" spans="1:13" ht="12" customHeight="1" thickBot="1">
      <c r="B48" s="218" t="s">
        <v>553</v>
      </c>
      <c r="C48" s="150"/>
      <c r="D48" s="587" t="e">
        <f ca="1">IF(OR(ISNUMBER(VLOOKUP(D4,Sheet1!$B$8:$HT$528,19,FALSE))=FALSE,VLOOKUP(D4,Sheet1!$B$8:$HT$528,19,FALSE)=0),VLOOKUP(D4,Sheet1!$B$8:$HT$528,18,FALSE),VLOOKUP(D4,Sheet1!$B$8:$HT$528,19,FALSE))</f>
        <v>#N/A</v>
      </c>
      <c r="E48" s="588" t="e">
        <f ca="1">IF(OR(ISNUMBER(VLOOKUP(E4,Sheet1!$B$8:$HT$528,19,FALSE))=FALSE,VLOOKUP(E4,Sheet1!$B$8:$HT$528,19,FALSE)=0),VLOOKUP(E4,Sheet1!$B$8:$HT$528,18,FALSE),VLOOKUP(E4,Sheet1!$B$8:$HT$528,19,FALSE))</f>
        <v>#N/A</v>
      </c>
      <c r="F48" s="589" t="e">
        <f ca="1">IF(OR(ISNUMBER(VLOOKUP(F4,Sheet1!$B$8:$HT$528,19,FALSE))=FALSE,VLOOKUP(F4,Sheet1!$B$8:$HT$528,19,FALSE)=0),VLOOKUP(F4,Sheet1!$B$8:$HT$528,18,FALSE),VLOOKUP(F4,Sheet1!$B$8:$HT$528,19,FALSE))</f>
        <v>#N/A</v>
      </c>
      <c r="G48" s="588" t="e">
        <f ca="1">IF(OR(ISNUMBER(VLOOKUP(G4,Sheet1!$B$8:$HT$528,19,FALSE))=FALSE,VLOOKUP(G4,Sheet1!$B$8:$HT$528,19,FALSE)=0),VLOOKUP(G4,Sheet1!$B$8:$HT$528,18,FALSE),VLOOKUP(G4,Sheet1!$B$8:$HT$528,19,FALSE))</f>
        <v>#N/A</v>
      </c>
      <c r="H48" s="588" t="e">
        <f ca="1">IF(OR(ISNUMBER(VLOOKUP(H4,Sheet1!$B$8:$HT$528,19,FALSE))=FALSE,VLOOKUP(H4,Sheet1!$B$8:$HT$528,19,FALSE)=0),VLOOKUP(H4,Sheet1!$B$8:$HT$528,18,FALSE),VLOOKUP(H4,Sheet1!$B$8:$HT$528,19,FALSE))</f>
        <v>#N/A</v>
      </c>
      <c r="I48" s="588" t="e">
        <f ca="1">IF(OR(ISNUMBER(VLOOKUP(I4,Sheet1!$B$8:$HT$528,19,FALSE))=FALSE,VLOOKUP(I4,Sheet1!$B$8:$HT$528,19,FALSE)=0),VLOOKUP(I4,Sheet1!$B$8:$HT$528,18,FALSE),VLOOKUP(I4,Sheet1!$B$8:$HT$528,19,FALSE))</f>
        <v>#N/A</v>
      </c>
      <c r="J48" s="588" t="e">
        <f ca="1">IF(OR(ISNUMBER(VLOOKUP(J4,Sheet1!$B$8:$HT$528,19,FALSE))=FALSE,VLOOKUP(J4,Sheet1!$B$8:$HT$528,19,FALSE)=0),VLOOKUP(J4,Sheet1!$B$8:$HT$528,18,FALSE),VLOOKUP(J4,Sheet1!$B$8:$HT$528,19,FALSE))</f>
        <v>#N/A</v>
      </c>
      <c r="K48" s="588" t="e">
        <f ca="1">IF(OR(ISNUMBER(VLOOKUP(K4,Sheet1!$B$8:$HT$528,19,FALSE))=FALSE,VLOOKUP(K4,Sheet1!$B$8:$HT$528,19,FALSE)=0),VLOOKUP(K4,Sheet1!$B$8:$HT$528,18,FALSE),VLOOKUP(K4,Sheet1!$B$8:$HT$528,19,FALSE))</f>
        <v>#N/A</v>
      </c>
      <c r="L48" s="635" t="e">
        <f ca="1">IF(OR(ISNUMBER(VLOOKUP(L4,Sheet1!$B$8:$HT$528,19,FALSE))=FALSE,VLOOKUP(L4,Sheet1!$B$8:$HT$528,19,FALSE)=0),VLOOKUP(L4,Sheet1!$B$8:$HT$528,18,FALSE),VLOOKUP(L4,Sheet1!$B$8:$HT$528,19,FALSE))</f>
        <v>#N/A</v>
      </c>
      <c r="M48" s="565"/>
    </row>
    <row r="49" spans="1:13" ht="12" customHeight="1" thickBot="1">
      <c r="B49" s="1146" t="s">
        <v>432</v>
      </c>
      <c r="C49" s="1147"/>
      <c r="D49" s="1148"/>
      <c r="E49" s="1148"/>
      <c r="F49" s="1148"/>
      <c r="G49" s="1148"/>
      <c r="H49" s="1148"/>
      <c r="I49" s="1148"/>
      <c r="J49" s="1148"/>
      <c r="K49" s="1148"/>
      <c r="L49" s="1149"/>
      <c r="M49" s="565"/>
    </row>
    <row r="50" spans="1:13" ht="12" customHeight="1">
      <c r="A50" s="1162" t="s">
        <v>800</v>
      </c>
      <c r="B50" s="151" t="s">
        <v>533</v>
      </c>
      <c r="C50" s="141" t="s">
        <v>13</v>
      </c>
      <c r="D50" s="853" t="e">
        <f ca="1">VLOOKUP(D4,Calculation!$B$8:$JF$503,41,FALSE)</f>
        <v>#N/A</v>
      </c>
      <c r="E50" s="583" t="e">
        <f ca="1">VLOOKUP(E4,Calculation!$B$8:$JF$503,41,FALSE)</f>
        <v>#N/A</v>
      </c>
      <c r="F50" s="583" t="e">
        <f ca="1">VLOOKUP(F4,Calculation!$B$8:$JF$503,41,FALSE)</f>
        <v>#N/A</v>
      </c>
      <c r="G50" s="583" t="e">
        <f ca="1">VLOOKUP(G4,Calculation!$B$8:$JF$503,41,FALSE)</f>
        <v>#N/A</v>
      </c>
      <c r="H50" s="583" t="e">
        <f ca="1">VLOOKUP(H4,Calculation!$B$8:$JF$503,41,FALSE)</f>
        <v>#N/A</v>
      </c>
      <c r="I50" s="583" t="e">
        <f ca="1">VLOOKUP(I4,Calculation!$B$8:$JF$503,41,FALSE)</f>
        <v>#N/A</v>
      </c>
      <c r="J50" s="583" t="e">
        <f ca="1">VLOOKUP(J4,Calculation!$B$8:$JF$503,41,FALSE)</f>
        <v>#N/A</v>
      </c>
      <c r="K50" s="583" t="e">
        <f ca="1">VLOOKUP(K4,Calculation!$B$8:$JF$503,41,FALSE)</f>
        <v>#N/A</v>
      </c>
      <c r="L50" s="585" t="e">
        <f ca="1">VLOOKUP(L4,Calculation!$B$8:$JF$503,41,FALSE)</f>
        <v>#N/A</v>
      </c>
      <c r="M50" s="565"/>
    </row>
    <row r="51" spans="1:13" ht="12" customHeight="1">
      <c r="A51" s="1163"/>
      <c r="B51" s="151" t="s">
        <v>534</v>
      </c>
      <c r="C51" s="136" t="s">
        <v>13</v>
      </c>
      <c r="D51" s="586" t="e">
        <f ca="1">VLOOKUP(D4,Calculation!$B$8:$JF$503,42,FALSE)</f>
        <v>#N/A</v>
      </c>
      <c r="E51" s="173" t="e">
        <f ca="1">VLOOKUP(E4,Calculation!$B$8:$JF$503,42,FALSE)</f>
        <v>#N/A</v>
      </c>
      <c r="F51" s="173" t="e">
        <f ca="1">VLOOKUP(F4,Calculation!$B$8:$JF$503,42,FALSE)</f>
        <v>#N/A</v>
      </c>
      <c r="G51" s="173" t="e">
        <f ca="1">VLOOKUP(G4,Calculation!$B$8:$JF$503,42,FALSE)</f>
        <v>#N/A</v>
      </c>
      <c r="H51" s="173" t="e">
        <f ca="1">VLOOKUP(H4,Calculation!$B$8:$JF$503,42,FALSE)</f>
        <v>#N/A</v>
      </c>
      <c r="I51" s="173" t="e">
        <f ca="1">VLOOKUP(I4,Calculation!$B$8:$JF$503,42,FALSE)</f>
        <v>#N/A</v>
      </c>
      <c r="J51" s="173" t="e">
        <f ca="1">VLOOKUP(J4,Calculation!$B$8:$JF$503,42,FALSE)</f>
        <v>#N/A</v>
      </c>
      <c r="K51" s="173" t="e">
        <f ca="1">VLOOKUP(K4,Calculation!$B$8:$JF$503,42,FALSE)</f>
        <v>#N/A</v>
      </c>
      <c r="L51" s="174" t="e">
        <f ca="1">VLOOKUP(L4,Calculation!$B$8:$JF$503,42,FALSE)</f>
        <v>#N/A</v>
      </c>
      <c r="M51" s="565"/>
    </row>
    <row r="52" spans="1:13" ht="12" customHeight="1">
      <c r="A52" s="1163"/>
      <c r="B52" s="152" t="s">
        <v>535</v>
      </c>
      <c r="C52" s="136" t="s">
        <v>13</v>
      </c>
      <c r="D52" s="586" t="e">
        <f ca="1">VLOOKUP(D4,Calculation!$B$8:$JF$503,172,FALSE)</f>
        <v>#N/A</v>
      </c>
      <c r="E52" s="173" t="e">
        <f ca="1">VLOOKUP(E4,Calculation!$B$8:$JF$503,172,FALSE)</f>
        <v>#N/A</v>
      </c>
      <c r="F52" s="173" t="e">
        <f ca="1">VLOOKUP(F4,Calculation!$B$8:$JF$503,172,FALSE)</f>
        <v>#N/A</v>
      </c>
      <c r="G52" s="173" t="e">
        <f ca="1">VLOOKUP(G4,Calculation!$B$8:$JF$503,172,FALSE)</f>
        <v>#N/A</v>
      </c>
      <c r="H52" s="173" t="e">
        <f ca="1">VLOOKUP(H4,Calculation!$B$8:$JF$503,172,FALSE)</f>
        <v>#N/A</v>
      </c>
      <c r="I52" s="173" t="e">
        <f ca="1">VLOOKUP(I4,Calculation!$B$8:$JF$503,172,FALSE)</f>
        <v>#N/A</v>
      </c>
      <c r="J52" s="173" t="e">
        <f ca="1">VLOOKUP(J4,Calculation!$B$8:$JF$503,172,FALSE)</f>
        <v>#N/A</v>
      </c>
      <c r="K52" s="173" t="e">
        <f ca="1">VLOOKUP(K4,Calculation!$B$8:$JF$503,172,FALSE)</f>
        <v>#N/A</v>
      </c>
      <c r="L52" s="174" t="e">
        <f ca="1">VLOOKUP(L4,Calculation!$B$8:$JF$503,172,FALSE)</f>
        <v>#N/A</v>
      </c>
      <c r="M52" s="565"/>
    </row>
    <row r="53" spans="1:13" ht="12" customHeight="1">
      <c r="A53" s="1163"/>
      <c r="B53" s="152" t="s">
        <v>497</v>
      </c>
      <c r="C53" s="136" t="s">
        <v>13</v>
      </c>
      <c r="D53" s="586" t="e">
        <f ca="1">VLOOKUP(D4,Calculation!$B$8:$JF$503,43,FALSE)</f>
        <v>#N/A</v>
      </c>
      <c r="E53" s="173" t="e">
        <f ca="1">VLOOKUP(E4,Calculation!$B$8:$JF$503,43,FALSE)</f>
        <v>#N/A</v>
      </c>
      <c r="F53" s="173" t="e">
        <f ca="1">VLOOKUP(F4,Calculation!$B$8:$JF$503,43,FALSE)</f>
        <v>#N/A</v>
      </c>
      <c r="G53" s="173" t="e">
        <f ca="1">VLOOKUP(G4,Calculation!$B$8:$JF$503,43,FALSE)</f>
        <v>#N/A</v>
      </c>
      <c r="H53" s="173" t="e">
        <f ca="1">VLOOKUP(H4,Calculation!$B$8:$JF$503,43,FALSE)</f>
        <v>#N/A</v>
      </c>
      <c r="I53" s="173" t="e">
        <f ca="1">VLOOKUP(I4,Calculation!$B$8:$JF$503,43,FALSE)</f>
        <v>#N/A</v>
      </c>
      <c r="J53" s="173" t="e">
        <f ca="1">VLOOKUP(J4,Calculation!$B$8:$JF$503,43,FALSE)</f>
        <v>#N/A</v>
      </c>
      <c r="K53" s="173" t="e">
        <f ca="1">VLOOKUP(K4,Calculation!$B$8:$JF$503,43,FALSE)</f>
        <v>#N/A</v>
      </c>
      <c r="L53" s="174" t="e">
        <f ca="1">VLOOKUP(L4,Calculation!$B$8:$JF$503,43,FALSE)</f>
        <v>#N/A</v>
      </c>
      <c r="M53" s="565"/>
    </row>
    <row r="54" spans="1:13" ht="12" customHeight="1">
      <c r="A54" s="1163"/>
      <c r="B54" s="516" t="s">
        <v>666</v>
      </c>
      <c r="C54" s="515" t="s">
        <v>13</v>
      </c>
      <c r="D54" s="856" t="e">
        <f ca="1">VLOOKUP(D4,Sheet1!$B$8:$HT$528,52,FALSE)</f>
        <v>#N/A</v>
      </c>
      <c r="E54" s="514" t="e">
        <f ca="1">VLOOKUP(E4,Sheet1!$B$8:$HT$528,52,FALSE)</f>
        <v>#N/A</v>
      </c>
      <c r="F54" s="514" t="e">
        <f ca="1">VLOOKUP(F4,Sheet1!$B$8:$HT$528,52,FALSE)</f>
        <v>#N/A</v>
      </c>
      <c r="G54" s="514" t="e">
        <f ca="1">VLOOKUP(G4,Sheet1!$B$8:$HT$528,52,FALSE)</f>
        <v>#N/A</v>
      </c>
      <c r="H54" s="514" t="e">
        <f ca="1">VLOOKUP(H4,Sheet1!$B$8:$HT$528,52,FALSE)</f>
        <v>#N/A</v>
      </c>
      <c r="I54" s="514" t="e">
        <f ca="1">VLOOKUP(I4,Sheet1!$B$8:$HT$528,52,FALSE)</f>
        <v>#N/A</v>
      </c>
      <c r="J54" s="514" t="e">
        <f ca="1">VLOOKUP(J4,Sheet1!$B$8:$HT$528,52,FALSE)</f>
        <v>#N/A</v>
      </c>
      <c r="K54" s="514" t="e">
        <f ca="1">VLOOKUP(K4,Sheet1!$B$8:$HT$528,52,FALSE)</f>
        <v>#N/A</v>
      </c>
      <c r="L54" s="511" t="e">
        <f ca="1">VLOOKUP(L4,Sheet1!$B$8:$HT$528,52,FALSE)</f>
        <v>#N/A</v>
      </c>
      <c r="M54" s="565"/>
    </row>
    <row r="55" spans="1:13" ht="12" customHeight="1">
      <c r="A55" s="1163"/>
      <c r="B55" s="226" t="s">
        <v>684</v>
      </c>
      <c r="C55" s="136" t="s">
        <v>13</v>
      </c>
      <c r="D55" s="44" t="e">
        <f ca="1">VLOOKUP(D4,Sheet1!$B$8:$HT$528,53,FALSE)</f>
        <v>#N/A</v>
      </c>
      <c r="E55" s="37" t="e">
        <f ca="1">VLOOKUP(E4,Sheet1!$B$8:$HT$528,53,FALSE)</f>
        <v>#N/A</v>
      </c>
      <c r="F55" s="37" t="e">
        <f ca="1">VLOOKUP(F4,Sheet1!$B$8:$HT$528,53,FALSE)</f>
        <v>#N/A</v>
      </c>
      <c r="G55" s="37" t="e">
        <f ca="1">VLOOKUP(G4,Sheet1!$B$8:$HT$528,53,FALSE)</f>
        <v>#N/A</v>
      </c>
      <c r="H55" s="37" t="e">
        <f ca="1">VLOOKUP(H4,Sheet1!$B$8:$HT$528,53,FALSE)</f>
        <v>#N/A</v>
      </c>
      <c r="I55" s="37" t="e">
        <f ca="1">VLOOKUP(I4,Sheet1!$B$8:$HT$528,53,FALSE)</f>
        <v>#N/A</v>
      </c>
      <c r="J55" s="37" t="e">
        <f ca="1">VLOOKUP(J4,Sheet1!$B$8:$HT$528,53,FALSE)</f>
        <v>#N/A</v>
      </c>
      <c r="K55" s="37" t="e">
        <f ca="1">VLOOKUP(K4,Sheet1!$B$8:$HT$528,53,FALSE)</f>
        <v>#N/A</v>
      </c>
      <c r="L55" s="174" t="e">
        <f ca="1">VLOOKUP(L4,Sheet1!$B$8:$HT$528,53,FALSE)</f>
        <v>#N/A</v>
      </c>
      <c r="M55" s="565"/>
    </row>
    <row r="56" spans="1:13" ht="12" customHeight="1">
      <c r="A56" s="1163"/>
      <c r="B56" s="152" t="s">
        <v>43</v>
      </c>
      <c r="C56" s="136" t="s">
        <v>13</v>
      </c>
      <c r="D56" s="44" t="e">
        <f ca="1">VLOOKUP(D4,Calculation!$B$8:$JF$503,44,FALSE)</f>
        <v>#N/A</v>
      </c>
      <c r="E56" s="37" t="e">
        <f ca="1">VLOOKUP(E4,Calculation!$B$8:$JF$503,44,FALSE)</f>
        <v>#N/A</v>
      </c>
      <c r="F56" s="37" t="e">
        <f ca="1">VLOOKUP(F4,Calculation!$B$8:$JF$503,44,FALSE)</f>
        <v>#N/A</v>
      </c>
      <c r="G56" s="37" t="e">
        <f ca="1">VLOOKUP(G4,Calculation!$B$8:$JF$503,44,FALSE)</f>
        <v>#N/A</v>
      </c>
      <c r="H56" s="37" t="e">
        <f ca="1">VLOOKUP(H4,Calculation!$B$8:$JF$503,44,FALSE)</f>
        <v>#N/A</v>
      </c>
      <c r="I56" s="37" t="e">
        <f ca="1">VLOOKUP(I4,Calculation!$B$8:$JF$503,44,FALSE)</f>
        <v>#N/A</v>
      </c>
      <c r="J56" s="37" t="e">
        <f ca="1">VLOOKUP(J4,Calculation!$B$8:$JF$503,44,FALSE)</f>
        <v>#N/A</v>
      </c>
      <c r="K56" s="37" t="e">
        <f ca="1">VLOOKUP(K4,Calculation!$B$8:$JF$503,44,FALSE)</f>
        <v>#N/A</v>
      </c>
      <c r="L56" s="39" t="e">
        <f ca="1">VLOOKUP(L4,Calculation!$B$8:$JF$503,44,FALSE)</f>
        <v>#N/A</v>
      </c>
      <c r="M56" s="565"/>
    </row>
    <row r="57" spans="1:13" ht="12" customHeight="1">
      <c r="A57" s="1163"/>
      <c r="B57" s="1020" t="s">
        <v>798</v>
      </c>
      <c r="C57" s="1021" t="s">
        <v>13</v>
      </c>
      <c r="D57" s="1022" t="e">
        <f ca="1">VLOOKUP(D4,Calculation!$B$8:$JF$503,45,FALSE)</f>
        <v>#N/A</v>
      </c>
      <c r="E57" s="1023" t="e">
        <f ca="1">VLOOKUP(E4,Calculation!$B$8:$JF$503,45,FALSE)</f>
        <v>#N/A</v>
      </c>
      <c r="F57" s="1023" t="e">
        <f ca="1">VLOOKUP(F4,Calculation!$B$8:$JF$503,45,FALSE)</f>
        <v>#N/A</v>
      </c>
      <c r="G57" s="1023" t="e">
        <f ca="1">VLOOKUP(G4,Calculation!$B$8:$JF$503,45,FALSE)</f>
        <v>#N/A</v>
      </c>
      <c r="H57" s="1023" t="e">
        <f ca="1">VLOOKUP(H4,Calculation!$B$8:$JF$503,45,FALSE)</f>
        <v>#N/A</v>
      </c>
      <c r="I57" s="1023" t="e">
        <f ca="1">VLOOKUP(I4,Calculation!$B$8:$JF$503,45,FALSE)</f>
        <v>#N/A</v>
      </c>
      <c r="J57" s="1023" t="e">
        <f ca="1">VLOOKUP(J4,Calculation!$B$8:$JF$503,45,FALSE)</f>
        <v>#N/A</v>
      </c>
      <c r="K57" s="1023" t="e">
        <f ca="1">VLOOKUP(K4,Calculation!$B$8:$JF$503,45,FALSE)</f>
        <v>#N/A</v>
      </c>
      <c r="L57" s="1024" t="e">
        <f ca="1">VLOOKUP(L4,Calculation!$B$8:$JF$503,45,FALSE)</f>
        <v>#N/A</v>
      </c>
      <c r="M57" s="565"/>
    </row>
    <row r="58" spans="1:13" ht="12" customHeight="1">
      <c r="A58" s="1163"/>
      <c r="B58" s="226" t="s">
        <v>660</v>
      </c>
      <c r="C58" s="136" t="s">
        <v>13</v>
      </c>
      <c r="D58" s="44" t="e">
        <f ca="1">VLOOKUP(D4,Calculation!$B$8:$JF$503,46,FALSE)</f>
        <v>#N/A</v>
      </c>
      <c r="E58" s="37" t="e">
        <f ca="1">VLOOKUP(E4,Calculation!$B$8:$JF$503,46,FALSE)</f>
        <v>#N/A</v>
      </c>
      <c r="F58" s="37" t="e">
        <f ca="1">VLOOKUP(F4,Calculation!$B$8:$JF$503,46,FALSE)</f>
        <v>#N/A</v>
      </c>
      <c r="G58" s="37" t="e">
        <f ca="1">VLOOKUP(G4,Calculation!$B$8:$JF$503,46,FALSE)</f>
        <v>#N/A</v>
      </c>
      <c r="H58" s="37" t="e">
        <f ca="1">VLOOKUP(H4,Calculation!$B$8:$JF$503,46,FALSE)</f>
        <v>#N/A</v>
      </c>
      <c r="I58" s="37" t="e">
        <f ca="1">VLOOKUP(I4,Calculation!$B$8:$JF$503,46,FALSE)</f>
        <v>#N/A</v>
      </c>
      <c r="J58" s="37" t="e">
        <f ca="1">VLOOKUP(J4,Calculation!$B$8:$JF$503,46,FALSE)</f>
        <v>#N/A</v>
      </c>
      <c r="K58" s="37" t="e">
        <f ca="1">VLOOKUP(K4,Calculation!$B$8:$JF$503,46,FALSE)</f>
        <v>#N/A</v>
      </c>
      <c r="L58" s="39" t="e">
        <f ca="1">VLOOKUP(L4,Calculation!$B$8:$JF$503,46,FALSE)</f>
        <v>#N/A</v>
      </c>
      <c r="M58" s="565"/>
    </row>
    <row r="59" spans="1:13" ht="12" customHeight="1">
      <c r="A59" s="1163"/>
      <c r="B59" s="519" t="s">
        <v>676</v>
      </c>
      <c r="C59" s="136" t="s">
        <v>13</v>
      </c>
      <c r="D59" s="44" t="e">
        <f ca="1">VLOOKUP(D4,Calculation!$B$8:$JF$503,52,FALSE)</f>
        <v>#N/A</v>
      </c>
      <c r="E59" s="37" t="e">
        <f ca="1">VLOOKUP(E4,Calculation!$B$8:$JF$503,52,FALSE)</f>
        <v>#N/A</v>
      </c>
      <c r="F59" s="37" t="e">
        <f ca="1">VLOOKUP(F4,Calculation!$B$8:$JF$503,52,FALSE)</f>
        <v>#N/A</v>
      </c>
      <c r="G59" s="37" t="e">
        <f ca="1">VLOOKUP(G4,Calculation!$B$8:$JF$503,52,FALSE)</f>
        <v>#N/A</v>
      </c>
      <c r="H59" s="37" t="e">
        <f ca="1">VLOOKUP(H4,Calculation!$B$8:$JF$503,52,FALSE)</f>
        <v>#N/A</v>
      </c>
      <c r="I59" s="37" t="e">
        <f ca="1">VLOOKUP(I4,Calculation!$B$8:$JF$503,52,FALSE)</f>
        <v>#N/A</v>
      </c>
      <c r="J59" s="37" t="e">
        <f ca="1">VLOOKUP(J4,Calculation!$B$8:$JF$503,52,FALSE)</f>
        <v>#N/A</v>
      </c>
      <c r="K59" s="37" t="e">
        <f ca="1">VLOOKUP(K4,Calculation!$B$8:$JF$503,52,FALSE)</f>
        <v>#N/A</v>
      </c>
      <c r="L59" s="39" t="e">
        <f ca="1">VLOOKUP(L4,Calculation!$B$8:$JF$503,52,FALSE)</f>
        <v>#N/A</v>
      </c>
      <c r="M59" s="565"/>
    </row>
    <row r="60" spans="1:13" ht="12" customHeight="1">
      <c r="A60" s="1163"/>
      <c r="B60" s="226" t="s">
        <v>661</v>
      </c>
      <c r="C60" s="136" t="s">
        <v>13</v>
      </c>
      <c r="D60" s="44" t="e">
        <f ca="1">VLOOKUP(D4,Calculation!$B$8:$JF$503,47,FALSE)</f>
        <v>#N/A</v>
      </c>
      <c r="E60" s="37" t="e">
        <f ca="1">VLOOKUP(E4,Calculation!$B$8:$JF$503,47,FALSE)</f>
        <v>#N/A</v>
      </c>
      <c r="F60" s="37" t="e">
        <f ca="1">VLOOKUP(F4,Calculation!$B$8:$JF$503,47,FALSE)</f>
        <v>#N/A</v>
      </c>
      <c r="G60" s="37" t="e">
        <f ca="1">VLOOKUP(G4,Calculation!$B$8:$JF$503,47,FALSE)</f>
        <v>#N/A</v>
      </c>
      <c r="H60" s="37" t="e">
        <f ca="1">VLOOKUP(H4,Calculation!$B$8:$JF$503,47,FALSE)</f>
        <v>#N/A</v>
      </c>
      <c r="I60" s="37" t="e">
        <f ca="1">VLOOKUP(I4,Calculation!$B$8:$JF$503,47,FALSE)</f>
        <v>#N/A</v>
      </c>
      <c r="J60" s="37" t="e">
        <f ca="1">VLOOKUP(J4,Calculation!$B$8:$JF$503,47,FALSE)</f>
        <v>#N/A</v>
      </c>
      <c r="K60" s="37" t="e">
        <f ca="1">VLOOKUP(K4,Calculation!$B$8:$JF$503,47,FALSE)</f>
        <v>#N/A</v>
      </c>
      <c r="L60" s="39" t="e">
        <f ca="1">VLOOKUP(L4,Calculation!$B$8:$JF$503,47,FALSE)</f>
        <v>#N/A</v>
      </c>
      <c r="M60" s="565"/>
    </row>
    <row r="61" spans="1:13" ht="12" customHeight="1">
      <c r="A61" s="1163"/>
      <c r="B61" s="226" t="s">
        <v>662</v>
      </c>
      <c r="C61" s="136" t="s">
        <v>13</v>
      </c>
      <c r="D61" s="44" t="e">
        <f ca="1">VLOOKUP(D4,Calculation!$B$8:$JF$503,122,FALSE)</f>
        <v>#N/A</v>
      </c>
      <c r="E61" s="37" t="e">
        <f ca="1">VLOOKUP(E4,Calculation!$B$8:$JF$503,122,FALSE)</f>
        <v>#N/A</v>
      </c>
      <c r="F61" s="37" t="e">
        <f ca="1">VLOOKUP(F4,Calculation!$B$8:$JF$503,122,FALSE)</f>
        <v>#N/A</v>
      </c>
      <c r="G61" s="37" t="e">
        <f ca="1">VLOOKUP(G4,Calculation!$B$8:$JF$503,122,FALSE)</f>
        <v>#N/A</v>
      </c>
      <c r="H61" s="37" t="e">
        <f ca="1">VLOOKUP(H4,Calculation!$B$8:$JF$503,122,FALSE)</f>
        <v>#N/A</v>
      </c>
      <c r="I61" s="37" t="e">
        <f ca="1">VLOOKUP(I4,Calculation!$B$8:$JF$503,122,FALSE)</f>
        <v>#N/A</v>
      </c>
      <c r="J61" s="37" t="e">
        <f ca="1">VLOOKUP(J4,Calculation!$B$8:$JF$503,122,FALSE)</f>
        <v>#N/A</v>
      </c>
      <c r="K61" s="37" t="e">
        <f ca="1">VLOOKUP(K4,Calculation!$B$8:$JF$503,122,FALSE)</f>
        <v>#N/A</v>
      </c>
      <c r="L61" s="39" t="e">
        <f ca="1">VLOOKUP(L4,Calculation!$B$8:$JF$503,122,FALSE)</f>
        <v>#N/A</v>
      </c>
      <c r="M61" s="565"/>
    </row>
    <row r="62" spans="1:13" ht="12" customHeight="1">
      <c r="A62" s="1163"/>
      <c r="B62" s="226" t="s">
        <v>662</v>
      </c>
      <c r="C62" s="136" t="s">
        <v>25</v>
      </c>
      <c r="D62" s="857" t="e">
        <f ca="1">VLOOKUP(D4,Sheet1!$B$8:$HT$528,130,FALSE)</f>
        <v>#N/A</v>
      </c>
      <c r="E62" s="858" t="e">
        <f ca="1">VLOOKUP(E4,Sheet1!$B$8:$HT$528,130,FALSE)</f>
        <v>#N/A</v>
      </c>
      <c r="F62" s="858" t="e">
        <f ca="1">VLOOKUP(F4,Sheet1!$B$8:$HT$528,130,FALSE)</f>
        <v>#N/A</v>
      </c>
      <c r="G62" s="858" t="e">
        <f ca="1">VLOOKUP(G4,Sheet1!$B$8:$HT$528,130,FALSE)</f>
        <v>#N/A</v>
      </c>
      <c r="H62" s="858" t="e">
        <f ca="1">VLOOKUP(H4,Sheet1!$B$8:$HT$528,130,FALSE)</f>
        <v>#N/A</v>
      </c>
      <c r="I62" s="858" t="e">
        <f ca="1">VLOOKUP(I4,Sheet1!$B$8:$HT$528,130,FALSE)</f>
        <v>#N/A</v>
      </c>
      <c r="J62" s="858" t="e">
        <f ca="1">VLOOKUP(J4,Sheet1!$B$8:$HT$528,130,FALSE)</f>
        <v>#N/A</v>
      </c>
      <c r="K62" s="858" t="e">
        <f ca="1">VLOOKUP(K4,Sheet1!$B$8:$HT$528,130,FALSE)</f>
        <v>#N/A</v>
      </c>
      <c r="L62" s="888" t="e">
        <f ca="1">VLOOKUP(L4,Sheet1!$B$8:$HT$528,130,FALSE)</f>
        <v>#N/A</v>
      </c>
      <c r="M62" s="565"/>
    </row>
    <row r="63" spans="1:13" ht="12" customHeight="1">
      <c r="A63" s="1163"/>
      <c r="B63" s="226" t="s">
        <v>663</v>
      </c>
      <c r="C63" s="136" t="s">
        <v>13</v>
      </c>
      <c r="D63" s="44" t="e">
        <f ca="1">VLOOKUP(D4,Calculation!$B$8:$JF$503,53,FALSE)</f>
        <v>#N/A</v>
      </c>
      <c r="E63" s="37" t="e">
        <f ca="1">VLOOKUP(E4,Calculation!$B$8:$JF$503,53,FALSE)</f>
        <v>#N/A</v>
      </c>
      <c r="F63" s="37" t="e">
        <f ca="1">VLOOKUP(F4,Calculation!$B$8:$JF$503,53,FALSE)</f>
        <v>#N/A</v>
      </c>
      <c r="G63" s="37" t="e">
        <f ca="1">VLOOKUP(G4,Calculation!$B$8:$JF$503,53,FALSE)</f>
        <v>#N/A</v>
      </c>
      <c r="H63" s="37" t="e">
        <f ca="1">VLOOKUP(H4,Calculation!$B$8:$JF$503,53,FALSE)</f>
        <v>#N/A</v>
      </c>
      <c r="I63" s="37" t="e">
        <f ca="1">VLOOKUP(I4,Calculation!$B$8:$JF$503,53,FALSE)</f>
        <v>#N/A</v>
      </c>
      <c r="J63" s="37" t="e">
        <f ca="1">VLOOKUP(J4,Calculation!$B$8:$JF$503,53,FALSE)</f>
        <v>#N/A</v>
      </c>
      <c r="K63" s="37" t="e">
        <f ca="1">VLOOKUP(K4,Calculation!$B$8:$JF$503,53,FALSE)</f>
        <v>#N/A</v>
      </c>
      <c r="L63" s="39" t="e">
        <f ca="1">VLOOKUP(L4,Calculation!$B$8:$JF$503,53,FALSE)</f>
        <v>#N/A</v>
      </c>
      <c r="M63" s="565"/>
    </row>
    <row r="64" spans="1:13" ht="12" customHeight="1" thickBot="1">
      <c r="A64" s="1164"/>
      <c r="B64" s="102" t="s">
        <v>663</v>
      </c>
      <c r="C64" s="854" t="s">
        <v>25</v>
      </c>
      <c r="D64" s="965" t="e">
        <f ca="1">VLOOKUP(D4,Calculation!$B$8:$JF$503,55,FALSE)</f>
        <v>#N/A</v>
      </c>
      <c r="E64" s="966" t="e">
        <f ca="1">VLOOKUP(E4,Calculation!$B$8:$JF$503,55,FALSE)</f>
        <v>#N/A</v>
      </c>
      <c r="F64" s="966" t="e">
        <f ca="1">VLOOKUP(F4,Calculation!$B$8:$JF$503,55,FALSE)</f>
        <v>#N/A</v>
      </c>
      <c r="G64" s="966" t="e">
        <f ca="1">VLOOKUP(G4,Calculation!$B$8:$JF$503,55,FALSE)</f>
        <v>#N/A</v>
      </c>
      <c r="H64" s="966" t="e">
        <f ca="1">VLOOKUP(H4,Calculation!$B$8:$JF$503,55,FALSE)</f>
        <v>#N/A</v>
      </c>
      <c r="I64" s="966" t="e">
        <f ca="1">VLOOKUP(I4,Calculation!$B$8:$JF$503,55,FALSE)</f>
        <v>#N/A</v>
      </c>
      <c r="J64" s="966" t="e">
        <f ca="1">VLOOKUP(J4,Calculation!$B$8:$JF$503,55,FALSE)</f>
        <v>#N/A</v>
      </c>
      <c r="K64" s="966" t="e">
        <f ca="1">VLOOKUP(K4,Calculation!$B$8:$JF$503,55,FALSE)</f>
        <v>#N/A</v>
      </c>
      <c r="L64" s="967" t="e">
        <f ca="1">VLOOKUP(L4,Calculation!$B$8:$JF$503,55,FALSE)</f>
        <v>#N/A</v>
      </c>
      <c r="M64" s="565"/>
    </row>
    <row r="65" spans="1:13" ht="12" customHeight="1">
      <c r="A65" s="1159" t="s">
        <v>801</v>
      </c>
      <c r="B65" s="142" t="s">
        <v>47</v>
      </c>
      <c r="C65" s="141" t="s">
        <v>13</v>
      </c>
      <c r="D65" s="43" t="e">
        <f ca="1">VLOOKUP(D4,Calculation!$B$8:$JF$503,62,FALSE)</f>
        <v>#N/A</v>
      </c>
      <c r="E65" s="38" t="e">
        <f ca="1">VLOOKUP(E4,Calculation!$B$8:$JF$503,62,FALSE)</f>
        <v>#N/A</v>
      </c>
      <c r="F65" s="38" t="e">
        <f ca="1">VLOOKUP(F4,Calculation!$B$8:$JF$503,62,FALSE)</f>
        <v>#N/A</v>
      </c>
      <c r="G65" s="38" t="e">
        <f ca="1">VLOOKUP(G4,Calculation!$B$8:$JF$503,62,FALSE)</f>
        <v>#N/A</v>
      </c>
      <c r="H65" s="38" t="e">
        <f ca="1">VLOOKUP(H4,Calculation!$B$8:$JF$503,62,FALSE)</f>
        <v>#N/A</v>
      </c>
      <c r="I65" s="38" t="e">
        <f ca="1">VLOOKUP(I4,Calculation!$B$8:$JF$503,62,FALSE)</f>
        <v>#N/A</v>
      </c>
      <c r="J65" s="38" t="e">
        <f ca="1">VLOOKUP(J4,Calculation!$B$8:$JF$503,62,FALSE)</f>
        <v>#N/A</v>
      </c>
      <c r="K65" s="38" t="e">
        <f ca="1">VLOOKUP(K4,Calculation!$B$8:$JF$503,62,FALSE)</f>
        <v>#N/A</v>
      </c>
      <c r="L65" s="860" t="e">
        <f ca="1">VLOOKUP(L4,Calculation!$B$8:$JF$503,62,FALSE)</f>
        <v>#N/A</v>
      </c>
      <c r="M65" s="565"/>
    </row>
    <row r="66" spans="1:13" ht="12" customHeight="1">
      <c r="A66" s="1160"/>
      <c r="B66" s="152" t="s">
        <v>48</v>
      </c>
      <c r="C66" s="136" t="s">
        <v>13</v>
      </c>
      <c r="D66" s="44" t="e">
        <f ca="1">VLOOKUP(D4,Calculation!$B$8:$JF$503,63,FALSE)</f>
        <v>#N/A</v>
      </c>
      <c r="E66" s="37" t="e">
        <f ca="1">VLOOKUP(E4,Calculation!$B$8:$JF$503,63,FALSE)</f>
        <v>#N/A</v>
      </c>
      <c r="F66" s="37" t="e">
        <f ca="1">VLOOKUP(F4,Calculation!$B$8:$JF$503,63,FALSE)</f>
        <v>#N/A</v>
      </c>
      <c r="G66" s="37" t="e">
        <f ca="1">VLOOKUP(G4,Calculation!$B$8:$JF$503,63,FALSE)</f>
        <v>#N/A</v>
      </c>
      <c r="H66" s="37" t="e">
        <f ca="1">VLOOKUP(H4,Calculation!$B$8:$JF$503,63,FALSE)</f>
        <v>#N/A</v>
      </c>
      <c r="I66" s="37" t="e">
        <f ca="1">VLOOKUP(I4,Calculation!$B$8:$JF$503,63,FALSE)</f>
        <v>#N/A</v>
      </c>
      <c r="J66" s="37" t="e">
        <f ca="1">VLOOKUP(J4,Calculation!$B$8:$JF$503,63,FALSE)</f>
        <v>#N/A</v>
      </c>
      <c r="K66" s="37" t="e">
        <f ca="1">VLOOKUP(K4,Calculation!$B$8:$JF$503,63,FALSE)</f>
        <v>#N/A</v>
      </c>
      <c r="L66" s="631" t="e">
        <f ca="1">VLOOKUP(L4,Calculation!$B$8:$JF$503,63,FALSE)</f>
        <v>#N/A</v>
      </c>
      <c r="M66" s="565"/>
    </row>
    <row r="67" spans="1:13" ht="12" customHeight="1">
      <c r="A67" s="1160"/>
      <c r="B67" s="152" t="s">
        <v>333</v>
      </c>
      <c r="C67" s="136" t="s">
        <v>13</v>
      </c>
      <c r="D67" s="44" t="e">
        <f ca="1">VLOOKUP(D4,Sheet1!$B$8:$HT$528,58,FALSE)</f>
        <v>#N/A</v>
      </c>
      <c r="E67" s="37" t="e">
        <f ca="1">VLOOKUP(E4,Sheet1!$B$8:$HT$528,58,FALSE)</f>
        <v>#N/A</v>
      </c>
      <c r="F67" s="37" t="e">
        <f ca="1">VLOOKUP(F4,Sheet1!$B$8:$HT$528,58,FALSE)</f>
        <v>#N/A</v>
      </c>
      <c r="G67" s="37" t="e">
        <f ca="1">VLOOKUP(G4,Sheet1!$B$8:$HT$528,58,FALSE)</f>
        <v>#N/A</v>
      </c>
      <c r="H67" s="37" t="e">
        <f ca="1">VLOOKUP(H4,Sheet1!$B$8:$HT$528,58,FALSE)</f>
        <v>#N/A</v>
      </c>
      <c r="I67" s="37" t="e">
        <f ca="1">VLOOKUP(I4,Sheet1!$B$8:$HT$528,58,FALSE)</f>
        <v>#N/A</v>
      </c>
      <c r="J67" s="37" t="e">
        <f ca="1">VLOOKUP(J4,Sheet1!$B$8:$HT$528,58,FALSE)</f>
        <v>#N/A</v>
      </c>
      <c r="K67" s="37" t="e">
        <f ca="1">VLOOKUP(K4,Sheet1!$B$8:$HT$528,58,FALSE)</f>
        <v>#N/A</v>
      </c>
      <c r="L67" s="39" t="e">
        <f ca="1">VLOOKUP(L4,Sheet1!$B$8:$HT$528,58,FALSE)</f>
        <v>#N/A</v>
      </c>
      <c r="M67" s="565"/>
    </row>
    <row r="68" spans="1:13" ht="12" customHeight="1">
      <c r="A68" s="1160"/>
      <c r="B68" s="516" t="s">
        <v>665</v>
      </c>
      <c r="C68" s="515" t="s">
        <v>13</v>
      </c>
      <c r="D68" s="856" t="e">
        <f ca="1">VLOOKUP(D4,Sheet1!$B$8:$HT$528,59,FALSE)</f>
        <v>#N/A</v>
      </c>
      <c r="E68" s="514" t="e">
        <f ca="1">VLOOKUP(E4,Sheet1!$B$8:$HT$528,59,FALSE)</f>
        <v>#N/A</v>
      </c>
      <c r="F68" s="514" t="e">
        <f ca="1">VLOOKUP(F4,Sheet1!$B$8:$HT$528,59,FALSE)</f>
        <v>#N/A</v>
      </c>
      <c r="G68" s="514" t="e">
        <f ca="1">VLOOKUP(G4,Sheet1!$B$8:$HT$528,59,FALSE)</f>
        <v>#N/A</v>
      </c>
      <c r="H68" s="514" t="e">
        <f ca="1">VLOOKUP(H4,Sheet1!$B$8:$HT$528,59,FALSE)</f>
        <v>#N/A</v>
      </c>
      <c r="I68" s="514" t="e">
        <f ca="1">VLOOKUP(I4,Sheet1!$B$8:$HT$528,59,FALSE)</f>
        <v>#N/A</v>
      </c>
      <c r="J68" s="514" t="e">
        <f ca="1">VLOOKUP(J4,Sheet1!$B$8:$HT$528,59,FALSE)</f>
        <v>#N/A</v>
      </c>
      <c r="K68" s="514" t="e">
        <f ca="1">VLOOKUP(K4,Sheet1!$B$8:$HT$528,59,FALSE)</f>
        <v>#N/A</v>
      </c>
      <c r="L68" s="511" t="e">
        <f ca="1">VLOOKUP(L4,Sheet1!$B$8:$HT$528,59,FALSE)</f>
        <v>#N/A</v>
      </c>
      <c r="M68" s="565"/>
    </row>
    <row r="69" spans="1:13" ht="12" customHeight="1">
      <c r="A69" s="1160"/>
      <c r="B69" s="152" t="s">
        <v>334</v>
      </c>
      <c r="C69" s="136" t="s">
        <v>13</v>
      </c>
      <c r="D69" s="44" t="e">
        <f ca="1">VLOOKUP(D4,Sheet1!$B$8:$HT$528,60,FALSE)</f>
        <v>#N/A</v>
      </c>
      <c r="E69" s="37" t="e">
        <f ca="1">VLOOKUP(E4,Sheet1!$B$8:$HT$528,60,FALSE)</f>
        <v>#N/A</v>
      </c>
      <c r="F69" s="37" t="e">
        <f ca="1">VLOOKUP(F4,Sheet1!$B$8:$HT$528,60,FALSE)</f>
        <v>#N/A</v>
      </c>
      <c r="G69" s="37" t="e">
        <f ca="1">VLOOKUP(G4,Sheet1!$B$8:$HT$528,60,FALSE)</f>
        <v>#N/A</v>
      </c>
      <c r="H69" s="37" t="e">
        <f ca="1">VLOOKUP(H4,Sheet1!$B$8:$HT$528,60,FALSE)</f>
        <v>#N/A</v>
      </c>
      <c r="I69" s="37" t="e">
        <f ca="1">VLOOKUP(I4,Sheet1!$B$8:$HT$528,60,FALSE)</f>
        <v>#N/A</v>
      </c>
      <c r="J69" s="37" t="e">
        <f ca="1">VLOOKUP(J4,Sheet1!$B$8:$HT$528,60,FALSE)</f>
        <v>#N/A</v>
      </c>
      <c r="K69" s="37" t="e">
        <f ca="1">VLOOKUP(K4,Sheet1!$B$8:$HT$528,60,FALSE)</f>
        <v>#N/A</v>
      </c>
      <c r="L69" s="39" t="e">
        <f ca="1">VLOOKUP(L4,Sheet1!$B$8:$HT$528,60,FALSE)</f>
        <v>#N/A</v>
      </c>
      <c r="M69" s="565"/>
    </row>
    <row r="70" spans="1:13" ht="12" customHeight="1">
      <c r="A70" s="1160"/>
      <c r="B70" s="152" t="s">
        <v>536</v>
      </c>
      <c r="C70" s="136" t="s">
        <v>13</v>
      </c>
      <c r="D70" s="44" t="e">
        <f ca="1">VLOOKUP(D4,Calculation!$B$8:$JF$503,64,FALSE)</f>
        <v>#N/A</v>
      </c>
      <c r="E70" s="37" t="e">
        <f ca="1">VLOOKUP(E4,Calculation!$B$8:$JF$503,64,FALSE)</f>
        <v>#N/A</v>
      </c>
      <c r="F70" s="37" t="e">
        <f ca="1">VLOOKUP(F4,Calculation!$B$8:$JF$503,64,FALSE)</f>
        <v>#N/A</v>
      </c>
      <c r="G70" s="37" t="e">
        <f ca="1">VLOOKUP(G4,Calculation!$B$8:$JF$503,64,FALSE)</f>
        <v>#N/A</v>
      </c>
      <c r="H70" s="37" t="e">
        <f ca="1">VLOOKUP(H4,Calculation!$B$8:$JF$503,64,FALSE)</f>
        <v>#N/A</v>
      </c>
      <c r="I70" s="37" t="e">
        <f ca="1">VLOOKUP(I4,Calculation!$B$8:$JF$503,64,FALSE)</f>
        <v>#N/A</v>
      </c>
      <c r="J70" s="37" t="e">
        <f ca="1">VLOOKUP(J4,Calculation!$B$8:$JF$503,64,FALSE)</f>
        <v>#N/A</v>
      </c>
      <c r="K70" s="37" t="e">
        <f ca="1">VLOOKUP(K4,Calculation!$B$8:$JF$503,64,FALSE)</f>
        <v>#N/A</v>
      </c>
      <c r="L70" s="39" t="e">
        <f ca="1">VLOOKUP(L4,Calculation!$B$8:$JF$503,64,FALSE)</f>
        <v>#N/A</v>
      </c>
      <c r="M70" s="565"/>
    </row>
    <row r="71" spans="1:13" ht="12" customHeight="1">
      <c r="A71" s="1160"/>
      <c r="B71" s="226" t="s">
        <v>549</v>
      </c>
      <c r="C71" s="136" t="s">
        <v>13</v>
      </c>
      <c r="D71" s="44" t="e">
        <f ca="1">VLOOKUP(D4,Calculation!$B$8:$JF$503,67,FALSE)</f>
        <v>#N/A</v>
      </c>
      <c r="E71" s="37" t="e">
        <f ca="1">VLOOKUP(E4,Calculation!$B$8:$JF$503,67,FALSE)</f>
        <v>#N/A</v>
      </c>
      <c r="F71" s="37" t="e">
        <f ca="1">VLOOKUP(F4,Calculation!$B$8:$JF$503,67,FALSE)</f>
        <v>#N/A</v>
      </c>
      <c r="G71" s="37" t="e">
        <f ca="1">VLOOKUP(G4,Calculation!$B$8:$JF$503,67,FALSE)</f>
        <v>#N/A</v>
      </c>
      <c r="H71" s="37" t="e">
        <f ca="1">VLOOKUP(H4,Calculation!$B$8:$JF$503,67,FALSE)</f>
        <v>#N/A</v>
      </c>
      <c r="I71" s="37" t="e">
        <f ca="1">VLOOKUP(I4,Calculation!$B$8:$JF$503,67,FALSE)</f>
        <v>#N/A</v>
      </c>
      <c r="J71" s="37" t="e">
        <f ca="1">VLOOKUP(J4,Calculation!$B$8:$JF$503,67,FALSE)</f>
        <v>#N/A</v>
      </c>
      <c r="K71" s="37" t="e">
        <f ca="1">VLOOKUP(K4,Calculation!$B$8:$JF$503,67,FALSE)</f>
        <v>#N/A</v>
      </c>
      <c r="L71" s="39" t="e">
        <f ca="1">VLOOKUP(L4,Calculation!$B$8:$JF$503,67,FALSE)</f>
        <v>#N/A</v>
      </c>
      <c r="M71" s="565"/>
    </row>
    <row r="72" spans="1:13" ht="12" customHeight="1">
      <c r="A72" s="1160"/>
      <c r="B72" s="152" t="s">
        <v>44</v>
      </c>
      <c r="C72" s="136" t="s">
        <v>13</v>
      </c>
      <c r="D72" s="44" t="e">
        <f ca="1">VLOOKUP(D4,Calculation!$B$8:$JF$503,65,FALSE)</f>
        <v>#N/A</v>
      </c>
      <c r="E72" s="37" t="e">
        <f ca="1">VLOOKUP(E4,Calculation!$B$8:$JF$503,65,FALSE)</f>
        <v>#N/A</v>
      </c>
      <c r="F72" s="37" t="e">
        <f ca="1">VLOOKUP(F4,Calculation!$B$8:$JF$503,65,FALSE)</f>
        <v>#N/A</v>
      </c>
      <c r="G72" s="37" t="e">
        <f ca="1">VLOOKUP(G4,Calculation!$B$8:$JF$503,65,FALSE)</f>
        <v>#N/A</v>
      </c>
      <c r="H72" s="37" t="e">
        <f ca="1">VLOOKUP(H4,Calculation!$B$8:$JF$503,65,FALSE)</f>
        <v>#N/A</v>
      </c>
      <c r="I72" s="37" t="e">
        <f ca="1">VLOOKUP(I4,Calculation!$B$8:$JF$503,65,FALSE)</f>
        <v>#N/A</v>
      </c>
      <c r="J72" s="37" t="e">
        <f ca="1">VLOOKUP(J4,Calculation!$B$8:$JF$503,65,FALSE)</f>
        <v>#N/A</v>
      </c>
      <c r="K72" s="37" t="e">
        <f ca="1">VLOOKUP(K4,Calculation!$B$8:$JF$503,65,FALSE)</f>
        <v>#N/A</v>
      </c>
      <c r="L72" s="39" t="e">
        <f ca="1">VLOOKUP(L4,Calculation!$B$8:$JF$503,65,FALSE)</f>
        <v>#N/A</v>
      </c>
      <c r="M72" s="565"/>
    </row>
    <row r="73" spans="1:13" ht="12" customHeight="1">
      <c r="A73" s="1160"/>
      <c r="B73" s="152" t="s">
        <v>45</v>
      </c>
      <c r="C73" s="136" t="s">
        <v>13</v>
      </c>
      <c r="D73" s="44" t="e">
        <f ca="1">VLOOKUP(D4,Calculation!$B$8:$JF$503,66,FALSE)</f>
        <v>#N/A</v>
      </c>
      <c r="E73" s="37" t="e">
        <f ca="1">VLOOKUP(E4,Calculation!$B$8:$JF$503,66,FALSE)</f>
        <v>#N/A</v>
      </c>
      <c r="F73" s="37" t="e">
        <f ca="1">VLOOKUP(F4,Calculation!$B$8:$JF$503,66,FALSE)</f>
        <v>#N/A</v>
      </c>
      <c r="G73" s="37" t="e">
        <f ca="1">VLOOKUP(G4,Calculation!$B$8:$JF$503,66,FALSE)</f>
        <v>#N/A</v>
      </c>
      <c r="H73" s="37" t="e">
        <f ca="1">VLOOKUP(H4,Calculation!$B$8:$JF$503,66,FALSE)</f>
        <v>#N/A</v>
      </c>
      <c r="I73" s="37" t="e">
        <f ca="1">VLOOKUP(I4,Calculation!$B$8:$JF$503,66,FALSE)</f>
        <v>#N/A</v>
      </c>
      <c r="J73" s="37" t="e">
        <f ca="1">VLOOKUP(J4,Calculation!$B$8:$JF$503,66,FALSE)</f>
        <v>#N/A</v>
      </c>
      <c r="K73" s="37" t="e">
        <f ca="1">VLOOKUP(K4,Calculation!$B$8:$JF$503,66,FALSE)</f>
        <v>#N/A</v>
      </c>
      <c r="L73" s="39" t="e">
        <f ca="1">VLOOKUP(L4,Calculation!$B$8:$JF$503,66,FALSE)</f>
        <v>#N/A</v>
      </c>
      <c r="M73" s="565"/>
    </row>
    <row r="74" spans="1:13" ht="12" customHeight="1">
      <c r="A74" s="1160"/>
      <c r="B74" s="152" t="s">
        <v>227</v>
      </c>
      <c r="C74" s="136" t="s">
        <v>13</v>
      </c>
      <c r="D74" s="44" t="e">
        <f ca="1">VLOOKUP(D4,Calculation!$B$8:$JF$503,123,FALSE)</f>
        <v>#N/A</v>
      </c>
      <c r="E74" s="37" t="e">
        <f ca="1">VLOOKUP(E4,Calculation!$B$8:$JF$503,123,FALSE)</f>
        <v>#N/A</v>
      </c>
      <c r="F74" s="37" t="e">
        <f ca="1">VLOOKUP(F4,Calculation!$B$8:$JF$503,123,FALSE)</f>
        <v>#N/A</v>
      </c>
      <c r="G74" s="37" t="e">
        <f ca="1">VLOOKUP(G4,Calculation!$B$8:$JF$503,123,FALSE)</f>
        <v>#N/A</v>
      </c>
      <c r="H74" s="37" t="e">
        <f ca="1">VLOOKUP(H4,Calculation!$B$8:$JF$503,123,FALSE)</f>
        <v>#N/A</v>
      </c>
      <c r="I74" s="37" t="e">
        <f ca="1">VLOOKUP(I4,Calculation!$B$8:$JF$503,123,FALSE)</f>
        <v>#N/A</v>
      </c>
      <c r="J74" s="37" t="e">
        <f ca="1">VLOOKUP(J4,Calculation!$B$8:$JF$503,123,FALSE)</f>
        <v>#N/A</v>
      </c>
      <c r="K74" s="37" t="e">
        <f ca="1">VLOOKUP(K4,Calculation!$B$8:$JF$503,123,FALSE)</f>
        <v>#N/A</v>
      </c>
      <c r="L74" s="39" t="e">
        <f ca="1">VLOOKUP(L4,Calculation!$B$8:$JF$503,123,FALSE)</f>
        <v>#N/A</v>
      </c>
      <c r="M74" s="565"/>
    </row>
    <row r="75" spans="1:13" ht="12" customHeight="1">
      <c r="A75" s="1160"/>
      <c r="B75" s="152" t="s">
        <v>227</v>
      </c>
      <c r="C75" s="136" t="s">
        <v>25</v>
      </c>
      <c r="D75" s="44" t="e">
        <f ca="1">VLOOKUP(D4,Sheet1!$B$8:$HT$528,131,FALSE)</f>
        <v>#N/A</v>
      </c>
      <c r="E75" s="37" t="e">
        <f ca="1">VLOOKUP(E4,Sheet1!$B$8:$HT$528,131,FALSE)</f>
        <v>#N/A</v>
      </c>
      <c r="F75" s="37" t="e">
        <f ca="1">VLOOKUP(F4,Sheet1!$B$8:$HT$528,131,FALSE)</f>
        <v>#N/A</v>
      </c>
      <c r="G75" s="37" t="e">
        <f ca="1">VLOOKUP(G4,Sheet1!$B$8:$HT$528,131,FALSE)</f>
        <v>#N/A</v>
      </c>
      <c r="H75" s="37" t="e">
        <f ca="1">VLOOKUP(H4,Sheet1!$B$8:$HT$528,131,FALSE)</f>
        <v>#N/A</v>
      </c>
      <c r="I75" s="37" t="e">
        <f ca="1">VLOOKUP(I4,Sheet1!$B$8:$HT$528,131,FALSE)</f>
        <v>#N/A</v>
      </c>
      <c r="J75" s="37" t="e">
        <f ca="1">VLOOKUP(J4,Sheet1!$B$8:$HT$528,131,FALSE)</f>
        <v>#N/A</v>
      </c>
      <c r="K75" s="37" t="e">
        <f ca="1">VLOOKUP(K4,Sheet1!$B$8:$HT$528,131,FALSE)</f>
        <v>#N/A</v>
      </c>
      <c r="L75" s="39" t="e">
        <f ca="1">VLOOKUP(L4,Sheet1!$B$8:$HT$528,131,FALSE)</f>
        <v>#N/A</v>
      </c>
      <c r="M75" s="565"/>
    </row>
    <row r="76" spans="1:13" ht="12" customHeight="1">
      <c r="A76" s="1160"/>
      <c r="B76" s="152" t="s">
        <v>39</v>
      </c>
      <c r="C76" s="136" t="s">
        <v>13</v>
      </c>
      <c r="D76" s="44" t="e">
        <f ca="1">VLOOKUP(D4,Calculation!$B$8:$JF$503,72,FALSE)</f>
        <v>#N/A</v>
      </c>
      <c r="E76" s="37" t="e">
        <f ca="1">VLOOKUP(E4,Calculation!$B$8:$JF$503,72,FALSE)</f>
        <v>#N/A</v>
      </c>
      <c r="F76" s="37" t="e">
        <f ca="1">VLOOKUP(F4,Calculation!$B$8:$JF$503,72,FALSE)</f>
        <v>#N/A</v>
      </c>
      <c r="G76" s="37" t="e">
        <f ca="1">VLOOKUP(G4,Calculation!$B$8:$JF$503,72,FALSE)</f>
        <v>#N/A</v>
      </c>
      <c r="H76" s="37" t="e">
        <f ca="1">VLOOKUP(H4,Calculation!$B$8:$JF$503,72,FALSE)</f>
        <v>#N/A</v>
      </c>
      <c r="I76" s="37" t="e">
        <f ca="1">VLOOKUP(I4,Calculation!$B$8:$JF$503,72,FALSE)</f>
        <v>#N/A</v>
      </c>
      <c r="J76" s="37" t="e">
        <f ca="1">VLOOKUP(J4,Calculation!$B$8:$JF$503,72,FALSE)</f>
        <v>#N/A</v>
      </c>
      <c r="K76" s="37" t="e">
        <f ca="1">VLOOKUP(K4,Calculation!$B$8:$JF$503,72,FALSE)</f>
        <v>#N/A</v>
      </c>
      <c r="L76" s="39" t="e">
        <f ca="1">VLOOKUP(L4,Calculation!$B$8:$JF$503,72,FALSE)</f>
        <v>#N/A</v>
      </c>
      <c r="M76" s="565"/>
    </row>
    <row r="77" spans="1:13" ht="12" customHeight="1" thickBot="1">
      <c r="A77" s="1161"/>
      <c r="B77" s="153" t="s">
        <v>46</v>
      </c>
      <c r="C77" s="854" t="s">
        <v>25</v>
      </c>
      <c r="D77" s="857" t="e">
        <f ca="1">VLOOKUP(D4,Calculation!$B$8:$JF$503,74,FALSE)</f>
        <v>#N/A</v>
      </c>
      <c r="E77" s="858" t="e">
        <f ca="1">VLOOKUP(E4,Calculation!$B$8:$JF$503,74,FALSE)</f>
        <v>#N/A</v>
      </c>
      <c r="F77" s="858" t="e">
        <f ca="1">VLOOKUP(F4,Calculation!$B$8:$JF$503,74,FALSE)</f>
        <v>#N/A</v>
      </c>
      <c r="G77" s="858" t="e">
        <f ca="1">VLOOKUP(G4,Calculation!$B$8:$JF$503,74,FALSE)</f>
        <v>#N/A</v>
      </c>
      <c r="H77" s="858" t="e">
        <f ca="1">VLOOKUP(H4,Calculation!$B$8:$JF$503,74,FALSE)</f>
        <v>#N/A</v>
      </c>
      <c r="I77" s="858" t="e">
        <f ca="1">VLOOKUP(I4,Calculation!$B$8:$JF$503,74,FALSE)</f>
        <v>#N/A</v>
      </c>
      <c r="J77" s="858" t="e">
        <f ca="1">VLOOKUP(J4,Calculation!$B$8:$JF$503,74,FALSE)</f>
        <v>#N/A</v>
      </c>
      <c r="K77" s="858" t="e">
        <f ca="1">VLOOKUP(K4,Calculation!$B$8:$JF$503,74,FALSE)</f>
        <v>#N/A</v>
      </c>
      <c r="L77" s="859" t="e">
        <f ca="1">VLOOKUP(L4,Calculation!$B$8:$JF$503,74,FALSE)</f>
        <v>#N/A</v>
      </c>
      <c r="M77" s="565"/>
    </row>
    <row r="78" spans="1:13" ht="12" customHeight="1">
      <c r="A78" s="1162" t="s">
        <v>802</v>
      </c>
      <c r="B78" s="140" t="s">
        <v>49</v>
      </c>
      <c r="C78" s="141" t="s">
        <v>13</v>
      </c>
      <c r="D78" s="43" t="e">
        <f ca="1">VLOOKUP(D4,Calculation!$B$8:$JF$503,82,FALSE)</f>
        <v>#N/A</v>
      </c>
      <c r="E78" s="38" t="e">
        <f ca="1">VLOOKUP(E4,Calculation!$B$8:$JF$503,82,FALSE)</f>
        <v>#N/A</v>
      </c>
      <c r="F78" s="38" t="e">
        <f ca="1">VLOOKUP(F4,Calculation!$B$8:$JF$503,82,FALSE)</f>
        <v>#N/A</v>
      </c>
      <c r="G78" s="38" t="e">
        <f ca="1">VLOOKUP(G4,Calculation!$B$8:$JF$503,82,FALSE)</f>
        <v>#N/A</v>
      </c>
      <c r="H78" s="38" t="e">
        <f ca="1">VLOOKUP(H4,Calculation!$B$8:$JF$503,82,FALSE)</f>
        <v>#N/A</v>
      </c>
      <c r="I78" s="38" t="e">
        <f ca="1">VLOOKUP(I4,Calculation!$B$8:$JF$503,82,FALSE)</f>
        <v>#N/A</v>
      </c>
      <c r="J78" s="38" t="e">
        <f ca="1">VLOOKUP(J4,Calculation!$B$8:$JF$503,82,FALSE)</f>
        <v>#N/A</v>
      </c>
      <c r="K78" s="38" t="e">
        <f ca="1">VLOOKUP(K4,Calculation!$B$8:$JF$503,82,FALSE)</f>
        <v>#N/A</v>
      </c>
      <c r="L78" s="860" t="e">
        <f ca="1">VLOOKUP(L4,Calculation!$B$8:$JF$503,82,FALSE)</f>
        <v>#N/A</v>
      </c>
      <c r="M78" s="565"/>
    </row>
    <row r="79" spans="1:13" ht="12" customHeight="1">
      <c r="A79" s="1163"/>
      <c r="B79" s="135" t="s">
        <v>50</v>
      </c>
      <c r="C79" s="136" t="s">
        <v>13</v>
      </c>
      <c r="D79" s="44" t="e">
        <f ca="1">VLOOKUP(D4,Calculation!$B$8:$JF$503,83,FALSE)</f>
        <v>#N/A</v>
      </c>
      <c r="E79" s="37" t="e">
        <f ca="1">VLOOKUP(E4,Calculation!$B$8:$JF$503,83,FALSE)</f>
        <v>#N/A</v>
      </c>
      <c r="F79" s="37" t="e">
        <f ca="1">VLOOKUP(F4,Calculation!$B$8:$JF$503,83,FALSE)</f>
        <v>#N/A</v>
      </c>
      <c r="G79" s="37" t="e">
        <f ca="1">VLOOKUP(G4,Calculation!$B$8:$JF$503,83,FALSE)</f>
        <v>#N/A</v>
      </c>
      <c r="H79" s="37" t="e">
        <f ca="1">VLOOKUP(H4,Calculation!$B$8:$JF$503,83,FALSE)</f>
        <v>#N/A</v>
      </c>
      <c r="I79" s="37" t="e">
        <f ca="1">VLOOKUP(I4,Calculation!$B$8:$JF$503,83,FALSE)</f>
        <v>#N/A</v>
      </c>
      <c r="J79" s="37" t="e">
        <f ca="1">VLOOKUP(J4,Calculation!$B$8:$JF$503,83,FALSE)</f>
        <v>#N/A</v>
      </c>
      <c r="K79" s="37" t="e">
        <f ca="1">VLOOKUP(K4,Calculation!$B$8:$JF$503,83,FALSE)</f>
        <v>#N/A</v>
      </c>
      <c r="L79" s="39" t="e">
        <f ca="1">VLOOKUP(L4,Calculation!$B$8:$JF$503,83,FALSE)</f>
        <v>#N/A</v>
      </c>
      <c r="M79" s="565"/>
    </row>
    <row r="80" spans="1:13" ht="12" customHeight="1">
      <c r="A80" s="1163"/>
      <c r="B80" s="135" t="s">
        <v>335</v>
      </c>
      <c r="C80" s="136" t="s">
        <v>13</v>
      </c>
      <c r="D80" s="44" t="e">
        <f ca="1">VLOOKUP(D4,Sheet1!$B$8:$HT$528,54,FALSE)</f>
        <v>#N/A</v>
      </c>
      <c r="E80" s="37" t="e">
        <f ca="1">VLOOKUP(E4,Sheet1!$B$8:$HT$528,54,FALSE)</f>
        <v>#N/A</v>
      </c>
      <c r="F80" s="37" t="e">
        <f ca="1">VLOOKUP(F4,Sheet1!$B$8:$HT$528,54,FALSE)</f>
        <v>#N/A</v>
      </c>
      <c r="G80" s="37" t="e">
        <f ca="1">VLOOKUP(G4,Sheet1!$B$8:$HT$528,54,FALSE)</f>
        <v>#N/A</v>
      </c>
      <c r="H80" s="37" t="e">
        <f ca="1">VLOOKUP(H4,Sheet1!$B$8:$HT$528,54,FALSE)</f>
        <v>#N/A</v>
      </c>
      <c r="I80" s="37" t="e">
        <f ca="1">VLOOKUP(I4,Sheet1!$B$8:$HT$528,54,FALSE)</f>
        <v>#N/A</v>
      </c>
      <c r="J80" s="37" t="e">
        <f ca="1">VLOOKUP(J4,Sheet1!$B$8:$HT$528,54,FALSE)</f>
        <v>#N/A</v>
      </c>
      <c r="K80" s="37" t="e">
        <f ca="1">VLOOKUP(K4,Sheet1!$B$8:$HT$528,54,FALSE)</f>
        <v>#N/A</v>
      </c>
      <c r="L80" s="39" t="e">
        <f ca="1">VLOOKUP(L4,Sheet1!$B$8:$HT$528,54,FALSE)</f>
        <v>#N/A</v>
      </c>
      <c r="M80" s="565"/>
    </row>
    <row r="81" spans="1:13" ht="12" customHeight="1">
      <c r="A81" s="1163"/>
      <c r="B81" s="135" t="s">
        <v>336</v>
      </c>
      <c r="C81" s="136" t="s">
        <v>13</v>
      </c>
      <c r="D81" s="44" t="e">
        <f ca="1">VLOOKUP(D4,Sheet1!$B$8:$HT$528,55,FALSE)</f>
        <v>#N/A</v>
      </c>
      <c r="E81" s="37" t="e">
        <f ca="1">VLOOKUP(E4,Sheet1!$B$8:$HT$528,55,FALSE)</f>
        <v>#N/A</v>
      </c>
      <c r="F81" s="37" t="e">
        <f ca="1">VLOOKUP(F4,Sheet1!$B$8:$HT$528,55,FALSE)</f>
        <v>#N/A</v>
      </c>
      <c r="G81" s="37" t="e">
        <f ca="1">VLOOKUP(G4,Sheet1!$B$8:$HT$528,55,FALSE)</f>
        <v>#N/A</v>
      </c>
      <c r="H81" s="37" t="e">
        <f ca="1">VLOOKUP(H4,Sheet1!$B$8:$HT$528,55,FALSE)</f>
        <v>#N/A</v>
      </c>
      <c r="I81" s="37" t="e">
        <f ca="1">VLOOKUP(I4,Sheet1!$B$8:$HT$528,55,FALSE)</f>
        <v>#N/A</v>
      </c>
      <c r="J81" s="37" t="e">
        <f ca="1">VLOOKUP(J4,Sheet1!$B$8:$HT$528,55,FALSE)</f>
        <v>#N/A</v>
      </c>
      <c r="K81" s="37" t="e">
        <f ca="1">VLOOKUP(K4,Sheet1!$B$8:$HT$528,55,FALSE)</f>
        <v>#N/A</v>
      </c>
      <c r="L81" s="39" t="e">
        <f ca="1">VLOOKUP(L4,Sheet1!$B$8:$HT$528,55,FALSE)</f>
        <v>#N/A</v>
      </c>
      <c r="M81" s="565"/>
    </row>
    <row r="82" spans="1:13" ht="12" customHeight="1">
      <c r="A82" s="1163"/>
      <c r="B82" s="506" t="s">
        <v>664</v>
      </c>
      <c r="C82" s="515" t="s">
        <v>13</v>
      </c>
      <c r="D82" s="856" t="e">
        <f ca="1">VLOOKUP(D4,Sheet1!$B$8:$HT$528,56,FALSE)</f>
        <v>#N/A</v>
      </c>
      <c r="E82" s="514" t="e">
        <f ca="1">VLOOKUP(E4,Sheet1!$B$8:$HT$528,56,FALSE)</f>
        <v>#N/A</v>
      </c>
      <c r="F82" s="514" t="e">
        <f ca="1">VLOOKUP(F4,Sheet1!$B$8:$HT$528,56,FALSE)</f>
        <v>#N/A</v>
      </c>
      <c r="G82" s="514" t="e">
        <f ca="1">VLOOKUP(G4,Sheet1!$B$8:$HT$528,56,FALSE)</f>
        <v>#N/A</v>
      </c>
      <c r="H82" s="514" t="e">
        <f ca="1">VLOOKUP(H4,Sheet1!$B$8:$HT$528,56,FALSE)</f>
        <v>#N/A</v>
      </c>
      <c r="I82" s="514" t="e">
        <f ca="1">VLOOKUP(I4,Sheet1!$B$8:$HT$528,56,FALSE)</f>
        <v>#N/A</v>
      </c>
      <c r="J82" s="514" t="e">
        <f ca="1">VLOOKUP(J4,Sheet1!$B$8:$HT$528,56,FALSE)</f>
        <v>#N/A</v>
      </c>
      <c r="K82" s="514" t="e">
        <f ca="1">VLOOKUP(K4,Sheet1!$B$8:$HT$528,56,FALSE)</f>
        <v>#N/A</v>
      </c>
      <c r="L82" s="511" t="e">
        <f ca="1">VLOOKUP(L4,Sheet1!$B$8:$HT$528,56,FALSE)</f>
        <v>#N/A</v>
      </c>
      <c r="M82" s="565"/>
    </row>
    <row r="83" spans="1:13" ht="12" customHeight="1">
      <c r="A83" s="1163"/>
      <c r="B83" s="21" t="s">
        <v>686</v>
      </c>
      <c r="C83" s="136" t="s">
        <v>13</v>
      </c>
      <c r="D83" s="44" t="e">
        <f ca="1">VLOOKUP(D4,Sheet1!$B$8:$HT$528,57,FALSE)</f>
        <v>#N/A</v>
      </c>
      <c r="E83" s="37" t="e">
        <f ca="1">VLOOKUP(E4,Sheet1!$B$8:$HT$528,57,FALSE)</f>
        <v>#N/A</v>
      </c>
      <c r="F83" s="37" t="e">
        <f ca="1">VLOOKUP(F4,Sheet1!$B$8:$HT$528,57,FALSE)</f>
        <v>#N/A</v>
      </c>
      <c r="G83" s="37" t="e">
        <f ca="1">VLOOKUP(G4,Sheet1!$B$8:$HT$528,57,FALSE)</f>
        <v>#N/A</v>
      </c>
      <c r="H83" s="37" t="e">
        <f ca="1">VLOOKUP(H4,Sheet1!$B$8:$HT$528,57,FALSE)</f>
        <v>#N/A</v>
      </c>
      <c r="I83" s="37" t="e">
        <f ca="1">VLOOKUP(I4,Sheet1!$B$8:$HT$528,57,FALSE)</f>
        <v>#N/A</v>
      </c>
      <c r="J83" s="37" t="e">
        <f ca="1">VLOOKUP(J4,Sheet1!$B$8:$HT$528,57,FALSE)</f>
        <v>#N/A</v>
      </c>
      <c r="K83" s="37" t="e">
        <f ca="1">VLOOKUP(K4,Sheet1!$B$8:$HT$528,57,FALSE)</f>
        <v>#N/A</v>
      </c>
      <c r="L83" s="39" t="e">
        <f ca="1">VLOOKUP(L4,Sheet1!$B$8:$HT$528,57,FALSE)</f>
        <v>#N/A</v>
      </c>
      <c r="M83" s="565"/>
    </row>
    <row r="84" spans="1:13" ht="12" customHeight="1">
      <c r="A84" s="1163"/>
      <c r="B84" s="135" t="s">
        <v>395</v>
      </c>
      <c r="C84" s="136" t="s">
        <v>13</v>
      </c>
      <c r="D84" s="44" t="e">
        <f ca="1">VLOOKUP(D4,Calculation!$B$8:$JF$503,84,FALSE)</f>
        <v>#N/A</v>
      </c>
      <c r="E84" s="37" t="e">
        <f ca="1">VLOOKUP(E4,Calculation!$B$8:$JF$503,84,FALSE)</f>
        <v>#N/A</v>
      </c>
      <c r="F84" s="37" t="e">
        <f ca="1">VLOOKUP(F4,Calculation!$B$8:$JF$503,84,FALSE)</f>
        <v>#N/A</v>
      </c>
      <c r="G84" s="37" t="e">
        <f ca="1">VLOOKUP(G4,Calculation!$B$8:$JF$503,84,FALSE)</f>
        <v>#N/A</v>
      </c>
      <c r="H84" s="37" t="e">
        <f ca="1">VLOOKUP(H4,Calculation!$B$8:$JF$503,84,FALSE)</f>
        <v>#N/A</v>
      </c>
      <c r="I84" s="37" t="e">
        <f ca="1">VLOOKUP(I4,Calculation!$B$8:$JF$503,84,FALSE)</f>
        <v>#N/A</v>
      </c>
      <c r="J84" s="37" t="e">
        <f ca="1">VLOOKUP(J4,Calculation!$B$8:$JF$503,84,FALSE)</f>
        <v>#N/A</v>
      </c>
      <c r="K84" s="37" t="e">
        <f ca="1">VLOOKUP(K4,Calculation!$B$8:$JF$503,84,FALSE)</f>
        <v>#N/A</v>
      </c>
      <c r="L84" s="39" t="e">
        <f ca="1">VLOOKUP(L4,Calculation!$B$8:$JF$503,84,FALSE)</f>
        <v>#N/A</v>
      </c>
      <c r="M84" s="565"/>
    </row>
    <row r="85" spans="1:13" ht="12" customHeight="1">
      <c r="A85" s="1163"/>
      <c r="B85" s="226" t="s">
        <v>702</v>
      </c>
      <c r="C85" s="136" t="s">
        <v>13</v>
      </c>
      <c r="D85" s="44" t="e">
        <f ca="1">VLOOKUP(D4,Calculation!$B$8:$JF$503,85,FALSE)</f>
        <v>#N/A</v>
      </c>
      <c r="E85" s="37" t="e">
        <f ca="1">VLOOKUP(E4,Calculation!$B$8:$JF$503,85,FALSE)</f>
        <v>#N/A</v>
      </c>
      <c r="F85" s="37" t="e">
        <f ca="1">VLOOKUP(F4,Calculation!$B$8:$JF$503,85,FALSE)</f>
        <v>#N/A</v>
      </c>
      <c r="G85" s="37" t="e">
        <f ca="1">VLOOKUP(G4,Calculation!$B$8:$JF$503,85,FALSE)</f>
        <v>#N/A</v>
      </c>
      <c r="H85" s="37" t="e">
        <f ca="1">VLOOKUP(H4,Calculation!$B$8:$JF$503,85,FALSE)</f>
        <v>#N/A</v>
      </c>
      <c r="I85" s="37" t="e">
        <f ca="1">VLOOKUP(I4,Calculation!$B$8:$JF$503,85,FALSE)</f>
        <v>#N/A</v>
      </c>
      <c r="J85" s="37" t="e">
        <f ca="1">VLOOKUP(J4,Calculation!$B$8:$JF$503,85,FALSE)</f>
        <v>#N/A</v>
      </c>
      <c r="K85" s="37" t="e">
        <f ca="1">VLOOKUP(K4,Calculation!$B$8:$JF$503,85,FALSE)</f>
        <v>#N/A</v>
      </c>
      <c r="L85" s="39" t="e">
        <f ca="1">VLOOKUP(L4,Calculation!$B$8:$JF$503,85,FALSE)</f>
        <v>#N/A</v>
      </c>
      <c r="M85" s="565"/>
    </row>
    <row r="86" spans="1:13" ht="12" customHeight="1">
      <c r="A86" s="1163"/>
      <c r="B86" s="226" t="s">
        <v>548</v>
      </c>
      <c r="C86" s="136" t="s">
        <v>13</v>
      </c>
      <c r="D86" s="44" t="e">
        <f ca="1">VLOOKUP(D4,Calculation!$B$8:$JF$503,88,FALSE)</f>
        <v>#N/A</v>
      </c>
      <c r="E86" s="37" t="e">
        <f ca="1">VLOOKUP(E4,Calculation!$B$8:$JF$503,88,FALSE)</f>
        <v>#N/A</v>
      </c>
      <c r="F86" s="37" t="e">
        <f ca="1">VLOOKUP(F4,Calculation!$B$8:$JF$503,88,FALSE)</f>
        <v>#N/A</v>
      </c>
      <c r="G86" s="37" t="e">
        <f ca="1">VLOOKUP(G4,Calculation!$B$8:$JF$503,88,FALSE)</f>
        <v>#N/A</v>
      </c>
      <c r="H86" s="37" t="e">
        <f ca="1">VLOOKUP(H4,Calculation!$B$8:$JF$503,88,FALSE)</f>
        <v>#N/A</v>
      </c>
      <c r="I86" s="37" t="e">
        <f ca="1">VLOOKUP(I4,Calculation!$B$8:$JF$503,88,FALSE)</f>
        <v>#N/A</v>
      </c>
      <c r="J86" s="37" t="e">
        <f ca="1">VLOOKUP(J4,Calculation!$B$8:$JF$503,88,FALSE)</f>
        <v>#N/A</v>
      </c>
      <c r="K86" s="37" t="e">
        <f ca="1">VLOOKUP(K4,Calculation!$B$8:$JF$503,88,FALSE)</f>
        <v>#N/A</v>
      </c>
      <c r="L86" s="39" t="e">
        <f ca="1">VLOOKUP(L4,Calculation!$B$8:$JF$503,88,FALSE)</f>
        <v>#N/A</v>
      </c>
      <c r="M86" s="565"/>
    </row>
    <row r="87" spans="1:13" ht="12" customHeight="1">
      <c r="A87" s="1163"/>
      <c r="B87" s="152" t="s">
        <v>44</v>
      </c>
      <c r="C87" s="136" t="s">
        <v>13</v>
      </c>
      <c r="D87" s="44" t="e">
        <f ca="1">VLOOKUP(D4,Calculation!$B$8:$JF$503,86,FALSE)</f>
        <v>#N/A</v>
      </c>
      <c r="E87" s="37" t="e">
        <f ca="1">VLOOKUP(E4,Calculation!$B$8:$JF$503,86,FALSE)</f>
        <v>#N/A</v>
      </c>
      <c r="F87" s="37" t="e">
        <f ca="1">VLOOKUP(F4,Calculation!$B$8:$JF$503,86,FALSE)</f>
        <v>#N/A</v>
      </c>
      <c r="G87" s="37" t="e">
        <f ca="1">VLOOKUP(G4,Calculation!$B$8:$JF$503,86,FALSE)</f>
        <v>#N/A</v>
      </c>
      <c r="H87" s="37" t="e">
        <f ca="1">VLOOKUP(H4,Calculation!$B$8:$JF$503,86,FALSE)</f>
        <v>#N/A</v>
      </c>
      <c r="I87" s="37" t="e">
        <f ca="1">VLOOKUP(I4,Calculation!$B$8:$JF$503,86,FALSE)</f>
        <v>#N/A</v>
      </c>
      <c r="J87" s="37" t="e">
        <f ca="1">VLOOKUP(J4,Calculation!$B$8:$JF$503,86,FALSE)</f>
        <v>#N/A</v>
      </c>
      <c r="K87" s="37" t="e">
        <f ca="1">VLOOKUP(K4,Calculation!$B$8:$JF$503,86,FALSE)</f>
        <v>#N/A</v>
      </c>
      <c r="L87" s="39" t="e">
        <f ca="1">VLOOKUP(L4,Calculation!$B$8:$JF$503,86,FALSE)</f>
        <v>#N/A</v>
      </c>
      <c r="M87" s="565"/>
    </row>
    <row r="88" spans="1:13" ht="12" customHeight="1">
      <c r="A88" s="1163"/>
      <c r="B88" s="152" t="s">
        <v>45</v>
      </c>
      <c r="C88" s="136" t="s">
        <v>13</v>
      </c>
      <c r="D88" s="44" t="e">
        <f ca="1">VLOOKUP(D4,Calculation!$B$8:$JF$503,87,FALSE)</f>
        <v>#N/A</v>
      </c>
      <c r="E88" s="37" t="e">
        <f ca="1">VLOOKUP(E4,Calculation!$B$8:$JF$503,87,FALSE)</f>
        <v>#N/A</v>
      </c>
      <c r="F88" s="37" t="e">
        <f ca="1">VLOOKUP(F4,Calculation!$B$8:$JF$503,87,FALSE)</f>
        <v>#N/A</v>
      </c>
      <c r="G88" s="37" t="e">
        <f ca="1">VLOOKUP(G4,Calculation!$B$8:$JF$503,87,FALSE)</f>
        <v>#N/A</v>
      </c>
      <c r="H88" s="37" t="e">
        <f ca="1">VLOOKUP(H4,Calculation!$B$8:$JF$503,87,FALSE)</f>
        <v>#N/A</v>
      </c>
      <c r="I88" s="37" t="e">
        <f ca="1">VLOOKUP(I4,Calculation!$B$8:$JF$503,87,FALSE)</f>
        <v>#N/A</v>
      </c>
      <c r="J88" s="37" t="e">
        <f ca="1">VLOOKUP(J4,Calculation!$B$8:$JF$503,87,FALSE)</f>
        <v>#N/A</v>
      </c>
      <c r="K88" s="37" t="e">
        <f ca="1">VLOOKUP(K4,Calculation!$B$8:$JF$503,87,FALSE)</f>
        <v>#N/A</v>
      </c>
      <c r="L88" s="39" t="e">
        <f ca="1">VLOOKUP(L4,Calculation!$B$8:$JF$503,87,FALSE)</f>
        <v>#N/A</v>
      </c>
      <c r="M88" s="565"/>
    </row>
    <row r="89" spans="1:13" ht="12" customHeight="1">
      <c r="A89" s="1163"/>
      <c r="B89" s="152" t="s">
        <v>227</v>
      </c>
      <c r="C89" s="136" t="s">
        <v>13</v>
      </c>
      <c r="D89" s="44" t="e">
        <f ca="1">VLOOKUP(D4,Calculation!$B$8:$JF$503,124,FALSE)</f>
        <v>#N/A</v>
      </c>
      <c r="E89" s="37" t="e">
        <f ca="1">VLOOKUP(E4,Calculation!$B$8:$JF$503,124,FALSE)</f>
        <v>#N/A</v>
      </c>
      <c r="F89" s="37" t="e">
        <f ca="1">VLOOKUP(F4,Calculation!$B$8:$JF$503,124,FALSE)</f>
        <v>#N/A</v>
      </c>
      <c r="G89" s="37" t="e">
        <f ca="1">VLOOKUP(G4,Calculation!$B$8:$JF$503,124,FALSE)</f>
        <v>#N/A</v>
      </c>
      <c r="H89" s="37" t="e">
        <f ca="1">VLOOKUP(H4,Calculation!$B$8:$JF$503,124,FALSE)</f>
        <v>#N/A</v>
      </c>
      <c r="I89" s="37" t="e">
        <f ca="1">VLOOKUP(I4,Calculation!$B$8:$JF$503,124,FALSE)</f>
        <v>#N/A</v>
      </c>
      <c r="J89" s="37" t="e">
        <f ca="1">VLOOKUP(J4,Calculation!$B$8:$JF$503,124,FALSE)</f>
        <v>#N/A</v>
      </c>
      <c r="K89" s="37" t="e">
        <f ca="1">VLOOKUP(K4,Calculation!$B$8:$JF$503,124,FALSE)</f>
        <v>#N/A</v>
      </c>
      <c r="L89" s="39" t="e">
        <f ca="1">VLOOKUP(L4,Calculation!$B$8:$JF$503,124,FALSE)</f>
        <v>#N/A</v>
      </c>
      <c r="M89" s="565"/>
    </row>
    <row r="90" spans="1:13" ht="12" customHeight="1">
      <c r="A90" s="1163"/>
      <c r="B90" s="152" t="s">
        <v>227</v>
      </c>
      <c r="C90" s="136" t="s">
        <v>25</v>
      </c>
      <c r="D90" s="44" t="e">
        <f ca="1">VLOOKUP(D4,Sheet1!$B$8:$HT$528,132,FALSE)</f>
        <v>#N/A</v>
      </c>
      <c r="E90" s="37" t="e">
        <f ca="1">VLOOKUP(E4,Sheet1!$B$8:$HT$528,132,FALSE)</f>
        <v>#N/A</v>
      </c>
      <c r="F90" s="37" t="e">
        <f ca="1">VLOOKUP(F4,Sheet1!$B$8:$HT$528,132,FALSE)</f>
        <v>#N/A</v>
      </c>
      <c r="G90" s="37" t="e">
        <f ca="1">VLOOKUP(G4,Sheet1!$B$8:$HT$528,132,FALSE)</f>
        <v>#N/A</v>
      </c>
      <c r="H90" s="37" t="e">
        <f ca="1">VLOOKUP(H4,Sheet1!$B$8:$HT$528,132,FALSE)</f>
        <v>#N/A</v>
      </c>
      <c r="I90" s="37" t="e">
        <f ca="1">VLOOKUP(I4,Sheet1!$B$8:$HT$528,132,FALSE)</f>
        <v>#N/A</v>
      </c>
      <c r="J90" s="37" t="e">
        <f ca="1">VLOOKUP(J4,Sheet1!$B$8:$HT$528,132,FALSE)</f>
        <v>#N/A</v>
      </c>
      <c r="K90" s="37" t="e">
        <f ca="1">VLOOKUP(K4,Sheet1!$B$8:$HT$528,132,FALSE)</f>
        <v>#N/A</v>
      </c>
      <c r="L90" s="39" t="e">
        <f ca="1">VLOOKUP(L4,Sheet1!$B$8:$HT$528,132,FALSE)</f>
        <v>#N/A</v>
      </c>
      <c r="M90" s="565"/>
    </row>
    <row r="91" spans="1:13" ht="12" customHeight="1">
      <c r="A91" s="1163"/>
      <c r="B91" s="152" t="s">
        <v>39</v>
      </c>
      <c r="C91" s="136" t="s">
        <v>13</v>
      </c>
      <c r="D91" s="44" t="e">
        <f ca="1">VLOOKUP(D4,Calculation!$B$8:$JF$503,93,FALSE)</f>
        <v>#N/A</v>
      </c>
      <c r="E91" s="37" t="e">
        <f ca="1">VLOOKUP(E4,Calculation!$B$8:$JF$503,93,FALSE)</f>
        <v>#N/A</v>
      </c>
      <c r="F91" s="37" t="e">
        <f ca="1">VLOOKUP(F4,Calculation!$B$8:$JF$503,93,FALSE)</f>
        <v>#N/A</v>
      </c>
      <c r="G91" s="37" t="e">
        <f ca="1">VLOOKUP(G4,Calculation!$B$8:$JF$503,93,FALSE)</f>
        <v>#N/A</v>
      </c>
      <c r="H91" s="37" t="e">
        <f ca="1">VLOOKUP(H4,Calculation!$B$8:$JF$503,93,FALSE)</f>
        <v>#N/A</v>
      </c>
      <c r="I91" s="37" t="e">
        <f ca="1">VLOOKUP(I4,Calculation!$B$8:$JF$503,93,FALSE)</f>
        <v>#N/A</v>
      </c>
      <c r="J91" s="37" t="e">
        <f ca="1">VLOOKUP(J4,Calculation!$B$8:$JF$503,93,FALSE)</f>
        <v>#N/A</v>
      </c>
      <c r="K91" s="37" t="e">
        <f ca="1">VLOOKUP(K4,Calculation!$B$8:$JF$503,93,FALSE)</f>
        <v>#N/A</v>
      </c>
      <c r="L91" s="39" t="e">
        <f ca="1">VLOOKUP(L4,Calculation!$B$8:$JF$503,93,FALSE)</f>
        <v>#N/A</v>
      </c>
      <c r="M91" s="565"/>
    </row>
    <row r="92" spans="1:13" ht="12" customHeight="1" thickBot="1">
      <c r="A92" s="1164"/>
      <c r="B92" s="153" t="s">
        <v>46</v>
      </c>
      <c r="C92" s="854" t="s">
        <v>25</v>
      </c>
      <c r="D92" s="857" t="e">
        <f ca="1">VLOOKUP(D4,Calculation!$B$8:$JF$503,95,FALSE)</f>
        <v>#N/A</v>
      </c>
      <c r="E92" s="858" t="e">
        <f ca="1">VLOOKUP(E4,Calculation!$B$8:$JF$503,95,FALSE)</f>
        <v>#N/A</v>
      </c>
      <c r="F92" s="858" t="e">
        <f ca="1">VLOOKUP(F4,Calculation!$B$8:$JF$503,95,FALSE)</f>
        <v>#N/A</v>
      </c>
      <c r="G92" s="858" t="e">
        <f ca="1">VLOOKUP(G4,Calculation!$B$8:$JF$503,95,FALSE)</f>
        <v>#N/A</v>
      </c>
      <c r="H92" s="858" t="e">
        <f ca="1">VLOOKUP(H4,Calculation!$B$8:$JF$503,95,FALSE)</f>
        <v>#N/A</v>
      </c>
      <c r="I92" s="858" t="e">
        <f ca="1">VLOOKUP(I4,Calculation!$B$8:$JF$503,95,FALSE)</f>
        <v>#N/A</v>
      </c>
      <c r="J92" s="858" t="e">
        <f ca="1">VLOOKUP(J4,Calculation!$B$8:$JF$503,95,FALSE)</f>
        <v>#N/A</v>
      </c>
      <c r="K92" s="858" t="e">
        <f ca="1">VLOOKUP(K4,Calculation!$B$8:$JF$503,95,FALSE)</f>
        <v>#N/A</v>
      </c>
      <c r="L92" s="859" t="e">
        <f ca="1">VLOOKUP(L4,Calculation!$B$8:$JF$503,95,FALSE)</f>
        <v>#N/A</v>
      </c>
      <c r="M92" s="565"/>
    </row>
    <row r="93" spans="1:13" ht="12" customHeight="1">
      <c r="A93" s="1159" t="s">
        <v>803</v>
      </c>
      <c r="B93" s="140" t="s">
        <v>51</v>
      </c>
      <c r="C93" s="141" t="s">
        <v>13</v>
      </c>
      <c r="D93" s="43" t="e">
        <f ca="1">VLOOKUP(D4,Calculation!$B$8:$JF$503,102,FALSE)</f>
        <v>#N/A</v>
      </c>
      <c r="E93" s="38" t="e">
        <f ca="1">VLOOKUP(E4,Calculation!$B$8:$JF$503,102,FALSE)</f>
        <v>#N/A</v>
      </c>
      <c r="F93" s="38" t="e">
        <f ca="1">VLOOKUP(F4,Calculation!$B$8:$JF$503,102,FALSE)</f>
        <v>#N/A</v>
      </c>
      <c r="G93" s="38" t="e">
        <f ca="1">VLOOKUP(G4,Calculation!$B$8:$JF$503,102,FALSE)</f>
        <v>#N/A</v>
      </c>
      <c r="H93" s="38" t="e">
        <f ca="1">VLOOKUP(H4,Calculation!$B$8:$JF$503,102,FALSE)</f>
        <v>#N/A</v>
      </c>
      <c r="I93" s="38" t="e">
        <f ca="1">VLOOKUP(I4,Calculation!$B$8:$JF$503,102,FALSE)</f>
        <v>#N/A</v>
      </c>
      <c r="J93" s="38" t="e">
        <f ca="1">VLOOKUP(J4,Calculation!$B$8:$JF$503,102,FALSE)</f>
        <v>#N/A</v>
      </c>
      <c r="K93" s="38" t="e">
        <f ca="1">VLOOKUP(K4,Calculation!$B$8:$JF$503,102,FALSE)</f>
        <v>#N/A</v>
      </c>
      <c r="L93" s="860" t="e">
        <f ca="1">VLOOKUP(L4,Calculation!$B$8:$JF$503,102,FALSE)</f>
        <v>#N/A</v>
      </c>
      <c r="M93" s="565"/>
    </row>
    <row r="94" spans="1:13" ht="12" customHeight="1">
      <c r="A94" s="1160"/>
      <c r="B94" s="135" t="s">
        <v>52</v>
      </c>
      <c r="C94" s="136" t="s">
        <v>13</v>
      </c>
      <c r="D94" s="44" t="e">
        <f ca="1">VLOOKUP(D4,Calculation!$B$8:$JF$503,103,FALSE)</f>
        <v>#N/A</v>
      </c>
      <c r="E94" s="37" t="e">
        <f ca="1">VLOOKUP(E4,Calculation!$B$8:$JF$503,103,FALSE)</f>
        <v>#N/A</v>
      </c>
      <c r="F94" s="37" t="e">
        <f ca="1">VLOOKUP(F4,Calculation!$B$8:$JF$503,103,FALSE)</f>
        <v>#N/A</v>
      </c>
      <c r="G94" s="37" t="e">
        <f ca="1">VLOOKUP(G4,Calculation!$B$8:$JF$503,103,FALSE)</f>
        <v>#N/A</v>
      </c>
      <c r="H94" s="37" t="e">
        <f ca="1">VLOOKUP(H4,Calculation!$B$8:$JF$503,103,FALSE)</f>
        <v>#N/A</v>
      </c>
      <c r="I94" s="37" t="e">
        <f ca="1">VLOOKUP(I4,Calculation!$B$8:$JF$503,103,FALSE)</f>
        <v>#N/A</v>
      </c>
      <c r="J94" s="37" t="e">
        <f ca="1">VLOOKUP(J4,Calculation!$B$8:$JF$503,103,FALSE)</f>
        <v>#N/A</v>
      </c>
      <c r="K94" s="37" t="e">
        <f ca="1">VLOOKUP(K4,Calculation!$B$8:$JF$503,103,FALSE)</f>
        <v>#N/A</v>
      </c>
      <c r="L94" s="39" t="e">
        <f ca="1">VLOOKUP(L4,Calculation!$B$8:$JF$503,103,FALSE)</f>
        <v>#N/A</v>
      </c>
      <c r="M94" s="565"/>
    </row>
    <row r="95" spans="1:13" ht="12" customHeight="1">
      <c r="A95" s="1160"/>
      <c r="B95" s="135" t="s">
        <v>337</v>
      </c>
      <c r="C95" s="136" t="s">
        <v>13</v>
      </c>
      <c r="D95" s="44" t="e">
        <f ca="1">VLOOKUP(D4,Sheet1!$B$8:$HT$528,62,FALSE)</f>
        <v>#N/A</v>
      </c>
      <c r="E95" s="37" t="e">
        <f ca="1">VLOOKUP(E4,Sheet1!$B$8:$HT$528,62,FALSE)</f>
        <v>#N/A</v>
      </c>
      <c r="F95" s="37" t="e">
        <f ca="1">VLOOKUP(F4,Sheet1!$B$8:$HT$528,62,FALSE)</f>
        <v>#N/A</v>
      </c>
      <c r="G95" s="37" t="e">
        <f ca="1">VLOOKUP(G4,Sheet1!$B$8:$HT$528,62,FALSE)</f>
        <v>#N/A</v>
      </c>
      <c r="H95" s="37" t="e">
        <f ca="1">VLOOKUP(H4,Sheet1!$B$8:$HT$528,62,FALSE)</f>
        <v>#N/A</v>
      </c>
      <c r="I95" s="37" t="e">
        <f ca="1">VLOOKUP(I4,Sheet1!$B$8:$HT$528,62,FALSE)</f>
        <v>#N/A</v>
      </c>
      <c r="J95" s="37" t="e">
        <f ca="1">VLOOKUP(J4,Sheet1!$B$8:$HT$528,62,FALSE)</f>
        <v>#N/A</v>
      </c>
      <c r="K95" s="37" t="e">
        <f ca="1">VLOOKUP(K4,Sheet1!$B$8:$HT$528,62,FALSE)</f>
        <v>#N/A</v>
      </c>
      <c r="L95" s="39" t="e">
        <f ca="1">VLOOKUP(L4,Sheet1!$B$8:$HT$528,62,FALSE)</f>
        <v>#N/A</v>
      </c>
      <c r="M95" s="565"/>
    </row>
    <row r="96" spans="1:13" ht="12" customHeight="1">
      <c r="A96" s="1160"/>
      <c r="B96" s="135" t="s">
        <v>338</v>
      </c>
      <c r="C96" s="136" t="s">
        <v>13</v>
      </c>
      <c r="D96" s="44" t="e">
        <f ca="1">VLOOKUP(D4,Sheet1!$B$8:$HT$528,63,FALSE)</f>
        <v>#N/A</v>
      </c>
      <c r="E96" s="37" t="e">
        <f ca="1">VLOOKUP(E4,Sheet1!$B$8:$HT$528,63,FALSE)</f>
        <v>#N/A</v>
      </c>
      <c r="F96" s="37" t="e">
        <f ca="1">VLOOKUP(F4,Sheet1!$B$8:$HT$528,63,FALSE)</f>
        <v>#N/A</v>
      </c>
      <c r="G96" s="37" t="e">
        <f ca="1">VLOOKUP(G4,Sheet1!$B$8:$HT$528,63,FALSE)</f>
        <v>#N/A</v>
      </c>
      <c r="H96" s="37" t="e">
        <f ca="1">VLOOKUP(H4,Sheet1!$B$8:$HT$528,63,FALSE)</f>
        <v>#N/A</v>
      </c>
      <c r="I96" s="37" t="e">
        <f ca="1">VLOOKUP(I4,Sheet1!$B$8:$HT$528,63,FALSE)</f>
        <v>#N/A</v>
      </c>
      <c r="J96" s="37" t="e">
        <f ca="1">VLOOKUP(J4,Sheet1!$B$8:$HT$528,63,FALSE)</f>
        <v>#N/A</v>
      </c>
      <c r="K96" s="37" t="e">
        <f ca="1">VLOOKUP(K4,Sheet1!$B$8:$HT$528,63,FALSE)</f>
        <v>#N/A</v>
      </c>
      <c r="L96" s="39" t="e">
        <f ca="1">VLOOKUP(L4,Sheet1!$B$8:$HT$528,63,FALSE)</f>
        <v>#N/A</v>
      </c>
      <c r="M96" s="565"/>
    </row>
    <row r="97" spans="1:22" ht="12" customHeight="1">
      <c r="A97" s="1160"/>
      <c r="B97" s="135" t="s">
        <v>339</v>
      </c>
      <c r="C97" s="136" t="s">
        <v>13</v>
      </c>
      <c r="D97" s="44" t="e">
        <f ca="1">VLOOKUP(D4,Sheet1!$B$8:$HT$528,64,FALSE)</f>
        <v>#N/A</v>
      </c>
      <c r="E97" s="37" t="e">
        <f ca="1">VLOOKUP(E4,Sheet1!$B$8:$HT$528,64,FALSE)</f>
        <v>#N/A</v>
      </c>
      <c r="F97" s="37" t="e">
        <f ca="1">VLOOKUP(F4,Sheet1!$B$8:$HT$528,64,FALSE)</f>
        <v>#N/A</v>
      </c>
      <c r="G97" s="37" t="e">
        <f ca="1">VLOOKUP(G4,Sheet1!$B$8:$HT$528,64,FALSE)</f>
        <v>#N/A</v>
      </c>
      <c r="H97" s="37" t="e">
        <f ca="1">VLOOKUP(H4,Sheet1!$B$8:$HT$528,64,FALSE)</f>
        <v>#N/A</v>
      </c>
      <c r="I97" s="37" t="e">
        <f ca="1">VLOOKUP(I4,Sheet1!$B$8:$HT$528,64,FALSE)</f>
        <v>#N/A</v>
      </c>
      <c r="J97" s="37" t="e">
        <f ca="1">VLOOKUP(J4,Sheet1!$B$8:$HT$528,64,FALSE)</f>
        <v>#N/A</v>
      </c>
      <c r="K97" s="37" t="e">
        <f ca="1">VLOOKUP(K4,Sheet1!$B$8:$HT$528,64,FALSE)</f>
        <v>#N/A</v>
      </c>
      <c r="L97" s="39" t="e">
        <f ca="1">VLOOKUP(L4,Sheet1!$B$8:$HT$528,64,FALSE)</f>
        <v>#N/A</v>
      </c>
      <c r="M97" s="565"/>
    </row>
    <row r="98" spans="1:22" ht="12" customHeight="1">
      <c r="A98" s="1160"/>
      <c r="B98" s="226" t="s">
        <v>703</v>
      </c>
      <c r="C98" s="136" t="s">
        <v>13</v>
      </c>
      <c r="D98" s="586" t="e">
        <f ca="1">VLOOKUP(D4,Calculation!$B$8:$JF$503,104,FALSE)</f>
        <v>#N/A</v>
      </c>
      <c r="E98" s="173" t="e">
        <f ca="1">VLOOKUP(E4,Calculation!$B$8:$JF$503,104,FALSE)</f>
        <v>#N/A</v>
      </c>
      <c r="F98" s="173" t="e">
        <f ca="1">VLOOKUP(F4,Calculation!$B$8:$JF$503,104,FALSE)</f>
        <v>#N/A</v>
      </c>
      <c r="G98" s="173" t="e">
        <f ca="1">VLOOKUP(G4,Calculation!$B$8:$JF$503,104,FALSE)</f>
        <v>#N/A</v>
      </c>
      <c r="H98" s="173" t="e">
        <f ca="1">VLOOKUP(H4,Calculation!$B$8:$JF$503,104,FALSE)</f>
        <v>#N/A</v>
      </c>
      <c r="I98" s="173" t="e">
        <f ca="1">VLOOKUP(I4,Calculation!$B$8:$JF$503,104,FALSE)</f>
        <v>#N/A</v>
      </c>
      <c r="J98" s="173" t="e">
        <f ca="1">VLOOKUP(J4,Calculation!$B$8:$JF$503,104,FALSE)</f>
        <v>#N/A</v>
      </c>
      <c r="K98" s="173" t="e">
        <f ca="1">VLOOKUP(K4,Calculation!$B$8:$JF$503,104,FALSE)</f>
        <v>#N/A</v>
      </c>
      <c r="L98" s="174" t="e">
        <f ca="1">VLOOKUP(L4,Calculation!$B$8:$JF$503,104,FALSE)</f>
        <v>#N/A</v>
      </c>
      <c r="M98" s="565"/>
    </row>
    <row r="99" spans="1:22" ht="12" customHeight="1">
      <c r="A99" s="1160"/>
      <c r="B99" s="226" t="s">
        <v>547</v>
      </c>
      <c r="C99" s="136" t="s">
        <v>13</v>
      </c>
      <c r="D99" s="44" t="e">
        <f ca="1">VLOOKUP(D4,Calculation!$B$8:$JF$503,107,FALSE)</f>
        <v>#N/A</v>
      </c>
      <c r="E99" s="37" t="e">
        <f ca="1">VLOOKUP(E4,Calculation!$B$8:$JF$503,107,FALSE)</f>
        <v>#N/A</v>
      </c>
      <c r="F99" s="37" t="e">
        <f ca="1">VLOOKUP(F4,Calculation!$B$8:$JF$503,107,FALSE)</f>
        <v>#N/A</v>
      </c>
      <c r="G99" s="37" t="e">
        <f ca="1">VLOOKUP(G4,Calculation!$B$8:$JF$503,107,FALSE)</f>
        <v>#N/A</v>
      </c>
      <c r="H99" s="37" t="e">
        <f ca="1">VLOOKUP(H4,Calculation!$B$8:$JF$503,107,FALSE)</f>
        <v>#N/A</v>
      </c>
      <c r="I99" s="37" t="e">
        <f ca="1">VLOOKUP(I4,Calculation!$B$8:$JF$503,107,FALSE)</f>
        <v>#N/A</v>
      </c>
      <c r="J99" s="37" t="e">
        <f ca="1">VLOOKUP(J4,Calculation!$B$8:$JF$503,107,FALSE)</f>
        <v>#N/A</v>
      </c>
      <c r="K99" s="37" t="e">
        <f ca="1">VLOOKUP(K4,Calculation!$B$8:$JF$503,107,FALSE)</f>
        <v>#N/A</v>
      </c>
      <c r="L99" s="39" t="e">
        <f ca="1">VLOOKUP(L4,Calculation!$B$8:$JF$503,107,FALSE)</f>
        <v>#N/A</v>
      </c>
      <c r="M99" s="565"/>
    </row>
    <row r="100" spans="1:22" ht="12" customHeight="1">
      <c r="A100" s="1160"/>
      <c r="B100" s="152" t="s">
        <v>44</v>
      </c>
      <c r="C100" s="136" t="s">
        <v>13</v>
      </c>
      <c r="D100" s="44" t="e">
        <f ca="1">VLOOKUP(D4,Calculation!$B$8:$JF$503,105,FALSE)</f>
        <v>#N/A</v>
      </c>
      <c r="E100" s="37" t="e">
        <f ca="1">VLOOKUP(E4,Calculation!$B$8:$JF$503,105,FALSE)</f>
        <v>#N/A</v>
      </c>
      <c r="F100" s="37" t="e">
        <f ca="1">VLOOKUP(F4,Calculation!$B$8:$JF$503,105,FALSE)</f>
        <v>#N/A</v>
      </c>
      <c r="G100" s="37" t="e">
        <f ca="1">VLOOKUP(G4,Calculation!$B$8:$JF$503,105,FALSE)</f>
        <v>#N/A</v>
      </c>
      <c r="H100" s="37" t="e">
        <f ca="1">VLOOKUP(H4,Calculation!$B$8:$JF$503,105,FALSE)</f>
        <v>#N/A</v>
      </c>
      <c r="I100" s="37" t="e">
        <f ca="1">VLOOKUP(I4,Calculation!$B$8:$JF$503,105,FALSE)</f>
        <v>#N/A</v>
      </c>
      <c r="J100" s="37" t="e">
        <f ca="1">VLOOKUP(J4,Calculation!$B$8:$JF$503,105,FALSE)</f>
        <v>#N/A</v>
      </c>
      <c r="K100" s="37" t="e">
        <f ca="1">VLOOKUP(K4,Calculation!$B$8:$JF$503,105,FALSE)</f>
        <v>#N/A</v>
      </c>
      <c r="L100" s="39" t="e">
        <f ca="1">VLOOKUP(L4,Calculation!$B$8:$JF$503,105,FALSE)</f>
        <v>#N/A</v>
      </c>
      <c r="M100" s="565"/>
    </row>
    <row r="101" spans="1:22" ht="12" customHeight="1">
      <c r="A101" s="1160"/>
      <c r="B101" s="152" t="s">
        <v>45</v>
      </c>
      <c r="C101" s="136" t="s">
        <v>13</v>
      </c>
      <c r="D101" s="44" t="e">
        <f ca="1">VLOOKUP(D4,Calculation!$B$8:$JF$503,106,FALSE)</f>
        <v>#N/A</v>
      </c>
      <c r="E101" s="37" t="e">
        <f ca="1">VLOOKUP(E4,Calculation!$B$8:$JF$503,106,FALSE)</f>
        <v>#N/A</v>
      </c>
      <c r="F101" s="37" t="e">
        <f ca="1">VLOOKUP(F4,Calculation!$B$8:$JF$503,106,FALSE)</f>
        <v>#N/A</v>
      </c>
      <c r="G101" s="37" t="e">
        <f ca="1">VLOOKUP(G4,Calculation!$B$8:$JF$503,106,FALSE)</f>
        <v>#N/A</v>
      </c>
      <c r="H101" s="37" t="e">
        <f ca="1">VLOOKUP(H4,Calculation!$B$8:$JF$503,106,FALSE)</f>
        <v>#N/A</v>
      </c>
      <c r="I101" s="37" t="e">
        <f ca="1">VLOOKUP(I4,Calculation!$B$8:$JF$503,106,FALSE)</f>
        <v>#N/A</v>
      </c>
      <c r="J101" s="37" t="e">
        <f ca="1">VLOOKUP(J4,Calculation!$B$8:$JF$503,106,FALSE)</f>
        <v>#N/A</v>
      </c>
      <c r="K101" s="37" t="e">
        <f ca="1">VLOOKUP(K4,Calculation!$B$8:$JF$503,106,FALSE)</f>
        <v>#N/A</v>
      </c>
      <c r="L101" s="39" t="e">
        <f ca="1">VLOOKUP(L4,Calculation!$B$8:$JF$503,106,FALSE)</f>
        <v>#N/A</v>
      </c>
      <c r="M101" s="565"/>
    </row>
    <row r="102" spans="1:22" ht="12" customHeight="1">
      <c r="A102" s="1160"/>
      <c r="B102" s="152" t="s">
        <v>227</v>
      </c>
      <c r="C102" s="136" t="s">
        <v>13</v>
      </c>
      <c r="D102" s="44" t="e">
        <f ca="1">VLOOKUP(D4,Calculation!$B$8:$JF$503,125,FALSE)</f>
        <v>#N/A</v>
      </c>
      <c r="E102" s="37" t="e">
        <f ca="1">VLOOKUP(E4,Calculation!$B$8:$JF$503,125,FALSE)</f>
        <v>#N/A</v>
      </c>
      <c r="F102" s="37" t="e">
        <f ca="1">VLOOKUP(F4,Calculation!$B$8:$JF$503,125,FALSE)</f>
        <v>#N/A</v>
      </c>
      <c r="G102" s="37" t="e">
        <f ca="1">VLOOKUP(G4,Calculation!$B$8:$JF$503,125,FALSE)</f>
        <v>#N/A</v>
      </c>
      <c r="H102" s="37" t="e">
        <f ca="1">VLOOKUP(H4,Calculation!$B$8:$JF$503,125,FALSE)</f>
        <v>#N/A</v>
      </c>
      <c r="I102" s="37" t="e">
        <f ca="1">VLOOKUP(I4,Calculation!$B$8:$JF$503,125,FALSE)</f>
        <v>#N/A</v>
      </c>
      <c r="J102" s="37" t="e">
        <f ca="1">VLOOKUP(J4,Calculation!$B$8:$JF$503,125,FALSE)</f>
        <v>#N/A</v>
      </c>
      <c r="K102" s="37" t="e">
        <f ca="1">VLOOKUP(K4,Calculation!$B$8:$JF$503,125,FALSE)</f>
        <v>#N/A</v>
      </c>
      <c r="L102" s="39" t="e">
        <f ca="1">VLOOKUP(L4,Calculation!$B$8:$JF$503,125,FALSE)</f>
        <v>#N/A</v>
      </c>
      <c r="M102" s="565"/>
    </row>
    <row r="103" spans="1:22" ht="12" customHeight="1">
      <c r="A103" s="1160"/>
      <c r="B103" s="152" t="s">
        <v>227</v>
      </c>
      <c r="C103" s="136" t="s">
        <v>25</v>
      </c>
      <c r="D103" s="44" t="e">
        <f ca="1">VLOOKUP(D4,Sheet1!$B$8:$HT$528,133,FALSE)</f>
        <v>#N/A</v>
      </c>
      <c r="E103" s="37" t="e">
        <f ca="1">VLOOKUP(E4,Sheet1!$B$8:$HT$528,133,FALSE)</f>
        <v>#N/A</v>
      </c>
      <c r="F103" s="37" t="e">
        <f ca="1">VLOOKUP(F4,Sheet1!$B$8:$HT$528,133,FALSE)</f>
        <v>#N/A</v>
      </c>
      <c r="G103" s="37" t="e">
        <f ca="1">VLOOKUP(G4,Sheet1!$B$8:$HT$528,133,FALSE)</f>
        <v>#N/A</v>
      </c>
      <c r="H103" s="37" t="e">
        <f ca="1">VLOOKUP(H4,Sheet1!$B$8:$HT$528,133,FALSE)</f>
        <v>#N/A</v>
      </c>
      <c r="I103" s="37" t="e">
        <f ca="1">VLOOKUP(I4,Sheet1!$B$8:$HT$528,133,FALSE)</f>
        <v>#N/A</v>
      </c>
      <c r="J103" s="37" t="e">
        <f ca="1">VLOOKUP(J4,Sheet1!$B$8:$HT$528,133,FALSE)</f>
        <v>#N/A</v>
      </c>
      <c r="K103" s="37" t="e">
        <f ca="1">VLOOKUP(K4,Sheet1!$B$8:$HT$528,133,FALSE)</f>
        <v>#N/A</v>
      </c>
      <c r="L103" s="39" t="e">
        <f ca="1">VLOOKUP(L4,Sheet1!$B$8:$HT$528,133,FALSE)</f>
        <v>#N/A</v>
      </c>
      <c r="M103" s="565"/>
    </row>
    <row r="104" spans="1:22" ht="12" customHeight="1">
      <c r="A104" s="1160"/>
      <c r="B104" s="152" t="s">
        <v>39</v>
      </c>
      <c r="C104" s="136" t="s">
        <v>13</v>
      </c>
      <c r="D104" s="44" t="e">
        <f ca="1">VLOOKUP(D4,Calculation!$B$8:$JF$503,112,FALSE)</f>
        <v>#N/A</v>
      </c>
      <c r="E104" s="37" t="e">
        <f ca="1">VLOOKUP(E4,Calculation!$B$8:$JF$503,112,FALSE)</f>
        <v>#N/A</v>
      </c>
      <c r="F104" s="37" t="e">
        <f ca="1">VLOOKUP(F4,Calculation!$B$8:$JF$503,112,FALSE)</f>
        <v>#N/A</v>
      </c>
      <c r="G104" s="37" t="e">
        <f ca="1">VLOOKUP(G4,Calculation!$B$8:$JF$503,112,FALSE)</f>
        <v>#N/A</v>
      </c>
      <c r="H104" s="37" t="e">
        <f ca="1">VLOOKUP(H4,Calculation!$B$8:$JF$503,112,FALSE)</f>
        <v>#N/A</v>
      </c>
      <c r="I104" s="37" t="e">
        <f ca="1">VLOOKUP(I4,Calculation!$B$8:$JF$503,112,FALSE)</f>
        <v>#N/A</v>
      </c>
      <c r="J104" s="37" t="e">
        <f ca="1">VLOOKUP(J4,Calculation!$B$8:$JF$503,112,FALSE)</f>
        <v>#N/A</v>
      </c>
      <c r="K104" s="37" t="e">
        <f ca="1">VLOOKUP(K4,Calculation!$B$8:$JF$503,112,FALSE)</f>
        <v>#N/A</v>
      </c>
      <c r="L104" s="39" t="e">
        <f ca="1">VLOOKUP(L4,Calculation!$B$8:$JF$503,112,FALSE)</f>
        <v>#N/A</v>
      </c>
      <c r="M104" s="565"/>
    </row>
    <row r="105" spans="1:22" ht="12" customHeight="1" thickBot="1">
      <c r="A105" s="1161"/>
      <c r="B105" s="143" t="s">
        <v>46</v>
      </c>
      <c r="C105" s="144" t="s">
        <v>25</v>
      </c>
      <c r="D105" s="857" t="e">
        <f ca="1">VLOOKUP(D4,Calculation!$B$8:$JF$503,114,FALSE)</f>
        <v>#N/A</v>
      </c>
      <c r="E105" s="858" t="e">
        <f ca="1">VLOOKUP(E4,Calculation!$B$8:$JF$503,114,FALSE)</f>
        <v>#N/A</v>
      </c>
      <c r="F105" s="858" t="e">
        <f ca="1">VLOOKUP(F4,Calculation!$B$8:$JF$503,114,FALSE)</f>
        <v>#N/A</v>
      </c>
      <c r="G105" s="858" t="e">
        <f ca="1">VLOOKUP(G4,Calculation!$B$8:$JF$503,114,FALSE)</f>
        <v>#N/A</v>
      </c>
      <c r="H105" s="858" t="e">
        <f ca="1">VLOOKUP(H4,Calculation!$B$8:$JF$503,114,FALSE)</f>
        <v>#N/A</v>
      </c>
      <c r="I105" s="858" t="e">
        <f ca="1">VLOOKUP(I4,Calculation!$B$8:$JF$503,114,FALSE)</f>
        <v>#N/A</v>
      </c>
      <c r="J105" s="858" t="e">
        <f ca="1">VLOOKUP(J4,Calculation!$B$8:$JF$503,114,FALSE)</f>
        <v>#N/A</v>
      </c>
      <c r="K105" s="858" t="e">
        <f ca="1">VLOOKUP(K4,Calculation!$B$8:$JF$503,114,FALSE)</f>
        <v>#N/A</v>
      </c>
      <c r="L105" s="859" t="e">
        <f ca="1">VLOOKUP(L4,Calculation!$B$8:$JF$503,114,FALSE)</f>
        <v>#N/A</v>
      </c>
      <c r="M105" s="565"/>
    </row>
    <row r="106" spans="1:22" ht="12" customHeight="1" thickBot="1">
      <c r="B106" s="156" t="s">
        <v>53</v>
      </c>
      <c r="C106" s="129" t="s">
        <v>13</v>
      </c>
      <c r="D106" s="43" t="e">
        <f ca="1">VLOOKUP(D4,Calculation!$B$8:$JF$503,115,FALSE)</f>
        <v>#N/A</v>
      </c>
      <c r="E106" s="38" t="e">
        <f ca="1">VLOOKUP(E4,Calculation!$B$8:$JF$503,115,FALSE)</f>
        <v>#N/A</v>
      </c>
      <c r="F106" s="38" t="e">
        <f ca="1">VLOOKUP(F4,Calculation!$B$8:$JF$503,115,FALSE)</f>
        <v>#N/A</v>
      </c>
      <c r="G106" s="38" t="e">
        <f ca="1">VLOOKUP(G4,Calculation!$B$8:$JF$503,115,FALSE)</f>
        <v>#N/A</v>
      </c>
      <c r="H106" s="38" t="e">
        <f ca="1">VLOOKUP(H4,Calculation!$B$8:$JF$503,115,FALSE)</f>
        <v>#N/A</v>
      </c>
      <c r="I106" s="38" t="e">
        <f ca="1">VLOOKUP(I4,Calculation!$B$8:$JF$503,115,FALSE)</f>
        <v>#N/A</v>
      </c>
      <c r="J106" s="38" t="e">
        <f ca="1">VLOOKUP(J4,Calculation!$B$8:$JF$503,115,FALSE)</f>
        <v>#N/A</v>
      </c>
      <c r="K106" s="38" t="e">
        <f ca="1">VLOOKUP(K4,Calculation!$B$8:$JF$503,115,FALSE)</f>
        <v>#N/A</v>
      </c>
      <c r="L106" s="860" t="e">
        <f ca="1">VLOOKUP(L4,Calculation!$B$8:$JF$503,115,FALSE)</f>
        <v>#N/A</v>
      </c>
      <c r="M106" s="565"/>
    </row>
    <row r="107" spans="1:22" ht="12" customHeight="1" thickBot="1">
      <c r="B107" s="156" t="s">
        <v>54</v>
      </c>
      <c r="C107" s="861" t="s">
        <v>13</v>
      </c>
      <c r="D107" s="44" t="e">
        <f ca="1">VLOOKUP(D4,Calculation!$B$8:$JF$503,116,FALSE)</f>
        <v>#N/A</v>
      </c>
      <c r="E107" s="37" t="e">
        <f ca="1">VLOOKUP(E4,Calculation!$B$8:$JF$503,116,FALSE)</f>
        <v>#N/A</v>
      </c>
      <c r="F107" s="37" t="e">
        <f ca="1">VLOOKUP(F4,Calculation!$B$8:$JF$503,116,FALSE)</f>
        <v>#N/A</v>
      </c>
      <c r="G107" s="37" t="e">
        <f ca="1">VLOOKUP(G4,Calculation!$B$8:$JF$503,116,FALSE)</f>
        <v>#N/A</v>
      </c>
      <c r="H107" s="37" t="e">
        <f ca="1">VLOOKUP(H4,Calculation!$B$8:$JF$503,116,FALSE)</f>
        <v>#N/A</v>
      </c>
      <c r="I107" s="37" t="e">
        <f ca="1">VLOOKUP(I4,Calculation!$B$8:$JF$503,116,FALSE)</f>
        <v>#N/A</v>
      </c>
      <c r="J107" s="37" t="e">
        <f ca="1">VLOOKUP(J4,Calculation!$B$8:$JF$503,116,FALSE)</f>
        <v>#N/A</v>
      </c>
      <c r="K107" s="37" t="e">
        <f ca="1">VLOOKUP(K4,Calculation!$B$8:$JF$503,116,FALSE)</f>
        <v>#N/A</v>
      </c>
      <c r="L107" s="39" t="e">
        <f ca="1">VLOOKUP(L4,Calculation!$B$8:$JF$503,116,FALSE)</f>
        <v>#N/A</v>
      </c>
      <c r="M107" s="565"/>
    </row>
    <row r="108" spans="1:22" ht="12" customHeight="1" thickBot="1">
      <c r="B108" s="156" t="s">
        <v>55</v>
      </c>
      <c r="C108" s="861" t="s">
        <v>13</v>
      </c>
      <c r="D108" s="857" t="e">
        <f ca="1">VLOOKUP(D4,Calculation!$B$8:$JF$503,117,FALSE)</f>
        <v>#N/A</v>
      </c>
      <c r="E108" s="858" t="e">
        <f ca="1">VLOOKUP(E4,Calculation!$B$8:$JF$503,117,FALSE)</f>
        <v>#N/A</v>
      </c>
      <c r="F108" s="858" t="e">
        <f ca="1">VLOOKUP(F4,Calculation!$B$8:$JF$503,117,FALSE)</f>
        <v>#N/A</v>
      </c>
      <c r="G108" s="858" t="e">
        <f ca="1">VLOOKUP(G4,Calculation!$B$8:$JF$503,117,FALSE)</f>
        <v>#N/A</v>
      </c>
      <c r="H108" s="858" t="e">
        <f ca="1">VLOOKUP(H4,Calculation!$B$8:$JF$503,117,FALSE)</f>
        <v>#N/A</v>
      </c>
      <c r="I108" s="858" t="e">
        <f ca="1">VLOOKUP(I4,Calculation!$B$8:$JF$503,117,FALSE)</f>
        <v>#N/A</v>
      </c>
      <c r="J108" s="921" t="e">
        <f ca="1">VLOOKUP(J4,Calculation!$B$8:$JF$503,117,FALSE)</f>
        <v>#N/A</v>
      </c>
      <c r="K108" s="921" t="e">
        <f ca="1">VLOOKUP(K4,Calculation!$B$8:$JF$503,117,FALSE)</f>
        <v>#N/A</v>
      </c>
      <c r="L108" s="888" t="e">
        <f ca="1">VLOOKUP(L4,Calculation!$B$8:$JF$503,117,FALSE)</f>
        <v>#N/A</v>
      </c>
      <c r="M108" s="565"/>
    </row>
    <row r="109" spans="1:22" ht="12" customHeight="1" thickBot="1">
      <c r="B109" s="158"/>
      <c r="C109" s="862" t="s">
        <v>56</v>
      </c>
      <c r="D109" s="863" t="e">
        <f ca="1">VLOOKUP(D4,Calculation!$B$8:$JF$503,118,FALSE)</f>
        <v>#N/A</v>
      </c>
      <c r="E109" s="159" t="e">
        <f ca="1">VLOOKUP(E4,Calculation!$B$8:$JF$503,118,FALSE)</f>
        <v>#N/A</v>
      </c>
      <c r="F109" s="159" t="e">
        <f ca="1">VLOOKUP(F4,Calculation!$B$8:$JF$503,118,FALSE)</f>
        <v>#N/A</v>
      </c>
      <c r="G109" s="159" t="e">
        <f ca="1">VLOOKUP(G4,Calculation!$B$8:$JF$503,118,FALSE)</f>
        <v>#N/A</v>
      </c>
      <c r="H109" s="159" t="e">
        <f ca="1">VLOOKUP(H4,Calculation!$B$8:$JF$503,118,FALSE)</f>
        <v>#N/A</v>
      </c>
      <c r="I109" s="159" t="e">
        <f ca="1">VLOOKUP(I4,Calculation!$B$8:$JF$503,118,FALSE)</f>
        <v>#N/A</v>
      </c>
      <c r="J109" s="1098" t="e">
        <f ca="1">VLOOKUP(J4,Calculation!$B$8:$JF$503,118,FALSE)</f>
        <v>#N/A</v>
      </c>
      <c r="K109" s="1098" t="e">
        <f ca="1">VLOOKUP(K4,Calculation!$B$8:$JF$503,118,FALSE)</f>
        <v>#N/A</v>
      </c>
      <c r="L109" s="1099" t="e">
        <f ca="1">VLOOKUP(L4,Calculation!$B$8:$JF$503,118,FALSE)</f>
        <v>#N/A</v>
      </c>
      <c r="M109" s="565"/>
      <c r="N109" s="822"/>
      <c r="O109" s="822"/>
      <c r="P109" s="822"/>
      <c r="Q109" s="822"/>
      <c r="R109" s="822"/>
      <c r="S109" s="822"/>
      <c r="T109" s="822"/>
      <c r="U109" s="822"/>
      <c r="V109" s="822"/>
    </row>
    <row r="110" spans="1:22">
      <c r="M110" s="565"/>
    </row>
  </sheetData>
  <mergeCells count="11">
    <mergeCell ref="A6:A21"/>
    <mergeCell ref="A65:A77"/>
    <mergeCell ref="A78:A92"/>
    <mergeCell ref="A93:A105"/>
    <mergeCell ref="A50:A64"/>
    <mergeCell ref="A23:A40"/>
    <mergeCell ref="B1:L1"/>
    <mergeCell ref="B49:L49"/>
    <mergeCell ref="B41:L41"/>
    <mergeCell ref="B5:L5"/>
    <mergeCell ref="B22:L22"/>
  </mergeCells>
  <phoneticPr fontId="11" type="noConversion"/>
  <printOptions horizontalCentered="1"/>
  <pageMargins left="0" right="0" top="0" bottom="0" header="0" footer="0"/>
  <pageSetup paperSize="5" scale="74"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A1:AB51"/>
  <sheetViews>
    <sheetView workbookViewId="0">
      <selection activeCell="Q49" sqref="Q49"/>
    </sheetView>
  </sheetViews>
  <sheetFormatPr defaultColWidth="1" defaultRowHeight="12.75"/>
  <cols>
    <col min="1" max="1" width="11.42578125" style="52" customWidth="1"/>
    <col min="2" max="2" width="7" style="52" bestFit="1" customWidth="1"/>
    <col min="3" max="3" width="7.140625" style="52" bestFit="1" customWidth="1"/>
    <col min="4" max="4" width="9.5703125" style="52" bestFit="1" customWidth="1"/>
    <col min="5" max="5" width="9.140625" style="248" bestFit="1" customWidth="1"/>
    <col min="6" max="6" width="9.140625" style="248" customWidth="1"/>
    <col min="7" max="7" width="9.5703125" style="248"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9" style="52" bestFit="1" customWidth="1"/>
    <col min="14" max="14" width="12.85546875" style="52" bestFit="1" customWidth="1"/>
    <col min="15" max="15" width="9.5703125" style="52" bestFit="1" customWidth="1"/>
    <col min="16" max="16" width="10.5703125" style="52" bestFit="1" customWidth="1"/>
    <col min="17" max="17" width="9.85546875" style="52" bestFit="1" customWidth="1"/>
    <col min="18" max="18" width="12" style="52" bestFit="1" customWidth="1"/>
    <col min="19" max="19" width="10" style="52" bestFit="1" customWidth="1"/>
    <col min="20" max="20" width="10.42578125" style="52" bestFit="1" customWidth="1"/>
    <col min="21" max="21" width="11" bestFit="1" customWidth="1"/>
    <col min="22" max="22" width="13.42578125" style="52" bestFit="1" customWidth="1"/>
    <col min="23" max="25" width="9.140625" customWidth="1"/>
    <col min="26" max="28" width="9.42578125" style="52" customWidth="1"/>
    <col min="29" max="32" width="1" style="52"/>
    <col min="33" max="33" width="4" style="52" customWidth="1"/>
    <col min="34" max="46" width="7.42578125" style="52" customWidth="1"/>
    <col min="47" max="16384" width="1" style="52"/>
  </cols>
  <sheetData>
    <row r="1" spans="1:28">
      <c r="A1" s="248"/>
      <c r="B1" s="248"/>
      <c r="C1" s="248"/>
      <c r="D1" s="248"/>
      <c r="E1" s="302">
        <v>41640</v>
      </c>
      <c r="F1" s="248" t="s">
        <v>461</v>
      </c>
      <c r="J1" s="248"/>
      <c r="K1" s="248"/>
      <c r="L1" s="248"/>
      <c r="M1" s="248"/>
      <c r="N1" s="248"/>
      <c r="O1" s="248"/>
      <c r="P1" s="248"/>
      <c r="Q1" s="248"/>
      <c r="R1" s="248"/>
      <c r="S1" s="248"/>
      <c r="T1" s="248"/>
      <c r="V1" s="248"/>
      <c r="Z1" s="248"/>
    </row>
    <row r="2" spans="1:28" ht="18">
      <c r="A2" s="1173" t="s">
        <v>442</v>
      </c>
      <c r="B2" s="1173"/>
      <c r="C2" s="1173"/>
      <c r="D2" s="1173"/>
      <c r="E2" s="1173"/>
      <c r="F2" s="1173"/>
      <c r="G2" s="1173"/>
      <c r="H2" s="1173"/>
      <c r="I2" s="1173"/>
      <c r="J2" s="1173"/>
      <c r="K2" s="1173"/>
      <c r="L2" s="1173"/>
      <c r="M2" s="1173"/>
      <c r="N2" s="1173"/>
      <c r="O2" s="1173"/>
      <c r="P2" s="1173"/>
      <c r="Q2" s="1173"/>
      <c r="R2" s="1173"/>
      <c r="S2" s="245"/>
      <c r="T2" s="245"/>
      <c r="V2" s="245"/>
      <c r="Z2" s="245"/>
      <c r="AA2" s="245"/>
      <c r="AB2" s="245"/>
    </row>
    <row r="3" spans="1:28" ht="20.25" customHeight="1">
      <c r="A3" s="1174" t="str">
        <f>"Annual Production Report for: "&amp;YEAR(E1)</f>
        <v>Annual Production Report for: 2014</v>
      </c>
      <c r="B3" s="1174"/>
      <c r="C3" s="1174"/>
      <c r="D3" s="1174"/>
      <c r="E3" s="1174"/>
      <c r="F3" s="1174"/>
      <c r="G3" s="1174"/>
      <c r="H3" s="1174"/>
      <c r="I3" s="1174"/>
      <c r="J3" s="1174"/>
      <c r="K3" s="1174"/>
      <c r="L3" s="1174"/>
      <c r="M3" s="1174"/>
      <c r="N3" s="1174"/>
      <c r="O3" s="1174"/>
      <c r="P3" s="1174"/>
      <c r="Q3" s="1174"/>
      <c r="R3" s="1174"/>
      <c r="S3" s="175"/>
      <c r="T3" s="175"/>
      <c r="V3" s="320"/>
      <c r="Z3" s="175"/>
      <c r="AA3" s="175"/>
      <c r="AB3" s="175"/>
    </row>
    <row r="4" spans="1:28" ht="18">
      <c r="A4" s="245"/>
      <c r="B4" s="175"/>
      <c r="C4" s="175"/>
      <c r="D4" s="175"/>
      <c r="E4" s="175"/>
      <c r="F4" s="175"/>
      <c r="G4" s="175"/>
      <c r="H4" s="175"/>
      <c r="I4" s="175"/>
      <c r="J4" s="175"/>
      <c r="K4" s="175"/>
      <c r="L4" s="175"/>
      <c r="M4" s="175"/>
      <c r="N4" s="175"/>
      <c r="O4" s="175"/>
      <c r="P4" s="175"/>
      <c r="Q4" s="175"/>
      <c r="R4" s="175"/>
      <c r="S4" s="175"/>
      <c r="T4" s="175"/>
      <c r="V4" s="175"/>
      <c r="Z4" s="175"/>
      <c r="AA4" s="175"/>
      <c r="AB4" s="175"/>
    </row>
    <row r="5" spans="1:28" ht="18.75" thickBot="1">
      <c r="A5" s="53"/>
      <c r="B5" s="53"/>
      <c r="C5" s="54"/>
      <c r="D5" s="54"/>
      <c r="E5" s="305"/>
      <c r="F5" s="305"/>
      <c r="G5" s="305"/>
      <c r="H5" s="54"/>
      <c r="I5" s="54"/>
      <c r="J5" s="54"/>
      <c r="K5" s="54"/>
      <c r="L5" s="54"/>
      <c r="M5" s="54"/>
      <c r="N5" s="54"/>
      <c r="O5" s="54"/>
      <c r="P5" s="54"/>
      <c r="Q5" s="54"/>
      <c r="R5" s="54"/>
      <c r="S5"/>
      <c r="T5"/>
      <c r="X5" s="303"/>
      <c r="Y5" s="304"/>
      <c r="Z5" s="304"/>
    </row>
    <row r="6" spans="1:28" ht="18" customHeight="1" thickBot="1">
      <c r="A6" s="318"/>
      <c r="B6" s="319"/>
      <c r="C6" s="1175" t="s">
        <v>416</v>
      </c>
      <c r="D6" s="1176"/>
      <c r="E6" s="1176"/>
      <c r="F6" s="1176"/>
      <c r="G6" s="1177"/>
      <c r="H6" s="1178" t="s">
        <v>441</v>
      </c>
      <c r="I6" s="1179"/>
      <c r="J6" s="1180"/>
      <c r="K6" s="1168" t="s">
        <v>417</v>
      </c>
      <c r="L6" s="1171"/>
      <c r="M6" s="1171"/>
      <c r="N6" s="1171"/>
      <c r="O6" s="1171"/>
      <c r="P6" s="1171"/>
      <c r="Q6" s="1171"/>
      <c r="R6" s="1172"/>
      <c r="S6" s="1168" t="s">
        <v>683</v>
      </c>
      <c r="T6" s="1169"/>
      <c r="U6" s="1170"/>
      <c r="V6" s="715" t="s">
        <v>224</v>
      </c>
      <c r="W6" s="52"/>
      <c r="X6" s="52"/>
      <c r="Y6" s="52"/>
    </row>
    <row r="7" spans="1:28">
      <c r="A7" s="755"/>
      <c r="B7" s="756" t="s">
        <v>158</v>
      </c>
      <c r="C7" s="757" t="s">
        <v>444</v>
      </c>
      <c r="D7" s="758" t="s">
        <v>418</v>
      </c>
      <c r="E7" s="758" t="s">
        <v>202</v>
      </c>
      <c r="F7" s="758" t="s">
        <v>160</v>
      </c>
      <c r="G7" s="759" t="s">
        <v>419</v>
      </c>
      <c r="H7" s="760"/>
      <c r="I7" s="758" t="s">
        <v>159</v>
      </c>
      <c r="J7" s="761" t="s">
        <v>21</v>
      </c>
      <c r="K7" s="762" t="s">
        <v>420</v>
      </c>
      <c r="L7" s="758" t="s">
        <v>436</v>
      </c>
      <c r="M7" s="763"/>
      <c r="N7" s="758" t="s">
        <v>437</v>
      </c>
      <c r="O7" s="758" t="s">
        <v>256</v>
      </c>
      <c r="P7" s="758" t="s">
        <v>163</v>
      </c>
      <c r="Q7" s="758" t="s">
        <v>440</v>
      </c>
      <c r="R7" s="759" t="s">
        <v>162</v>
      </c>
      <c r="S7" s="757" t="s">
        <v>257</v>
      </c>
      <c r="T7" s="758" t="s">
        <v>258</v>
      </c>
      <c r="U7" s="759" t="s">
        <v>259</v>
      </c>
      <c r="V7" s="764" t="s">
        <v>218</v>
      </c>
      <c r="X7" s="52"/>
      <c r="Y7" s="52"/>
    </row>
    <row r="8" spans="1:28" s="575" customFormat="1">
      <c r="A8" s="765" t="s">
        <v>203</v>
      </c>
      <c r="B8" s="766" t="s">
        <v>18</v>
      </c>
      <c r="C8" s="767" t="s">
        <v>18</v>
      </c>
      <c r="D8" s="768" t="s">
        <v>161</v>
      </c>
      <c r="E8" s="768" t="s">
        <v>161</v>
      </c>
      <c r="F8" s="768" t="s">
        <v>71</v>
      </c>
      <c r="G8" s="769" t="s">
        <v>167</v>
      </c>
      <c r="H8" s="770" t="s">
        <v>21</v>
      </c>
      <c r="I8" s="771" t="s">
        <v>164</v>
      </c>
      <c r="J8" s="772" t="s">
        <v>421</v>
      </c>
      <c r="K8" s="773" t="s">
        <v>435</v>
      </c>
      <c r="L8" s="768" t="s">
        <v>651</v>
      </c>
      <c r="M8" s="768" t="s">
        <v>19</v>
      </c>
      <c r="N8" s="768" t="s">
        <v>438</v>
      </c>
      <c r="O8" s="768" t="s">
        <v>439</v>
      </c>
      <c r="P8" s="768" t="s">
        <v>166</v>
      </c>
      <c r="Q8" s="768" t="s">
        <v>422</v>
      </c>
      <c r="R8" s="769" t="s">
        <v>445</v>
      </c>
      <c r="S8" s="765" t="s">
        <v>422</v>
      </c>
      <c r="T8" s="768" t="s">
        <v>422</v>
      </c>
      <c r="U8" s="769" t="s">
        <v>422</v>
      </c>
      <c r="V8" s="774" t="s">
        <v>219</v>
      </c>
      <c r="W8" s="574"/>
    </row>
    <row r="9" spans="1:28">
      <c r="A9" s="716" t="s">
        <v>204</v>
      </c>
      <c r="B9" s="257" t="e">
        <f>SUMIF(Sheet1!$B$8:$B$384,"&gt;="&amp;Conversions!L51,Sheet1!L$8:L$384)-SUMIF(Sheet1!$B$8:$B$384,"&gt;"&amp;Conversions!M51,Sheet1!L$8:L$384)</f>
        <v>#N/A</v>
      </c>
      <c r="C9" s="310">
        <f>SUMIF('Calculations II'!$B$8:$B$384,"&gt;="&amp;Conversions!L51,'Calculations II'!BC$8:BC$384)-SUMIF('Calculations II'!$B$8:$B$384,"&gt;"&amp;Conversions!M51,'Calculations II'!BC$8:BC$384)</f>
        <v>471.26188800000045</v>
      </c>
      <c r="D9" s="259">
        <f>SUMIF(Sheet1!$B$8:$B$381,"&gt;="&amp;Conversions!L51,Sheet1!$AA$8:AA$381)-SUMIF(Sheet1!$B$8:$B$381,"&gt;"&amp;Conversions!M51,Sheet1!$AA$8:$AA$381)</f>
        <v>610.15000000000146</v>
      </c>
      <c r="E9" s="57">
        <f>SUMIF(Sheet1!$B$8:$B$381,"&gt;="&amp;Conversions!L51,Sheet1!$AB$8:$AB$381)-SUMIF(Sheet1!$B$8:$B$381,"&gt;"&amp;Conversions!M51,Sheet1!$AB$8:$AB$381)</f>
        <v>561.78999999999724</v>
      </c>
      <c r="F9" s="733">
        <f>SUMIF('Calculations II'!$B$8:$B$384,"&gt;="&amp;Conversions!L51,'Calculations II'!$AE$8:$AE$384)-SUMIF('Calculations II'!$B$8:$B$384,"&gt;"&amp;Conversions!M51,'Calculations II'!$AE$8:$AE$384)</f>
        <v>1403.0285803983425</v>
      </c>
      <c r="G9" s="734">
        <f>SUMIF('Calculations II'!$B$8:$B$384,"&gt;="&amp;Conversions!L51,'Calculations II'!$AC$8:$AC$384)-SUMIF('Calculations II'!$B$8:$B$384,"&gt;"&amp;Conversions!M51,'Calculations II'!$AC$8:$AC$384)</f>
        <v>1643.201887999996</v>
      </c>
      <c r="H9" s="57">
        <f>SUMIF(Calculation!$B$8:$B$389,"&gt;="&amp;Conversions!L51,Calculation!$ES$8:$ES$389)-SUMIF(Calculation!$B$8:$B$389,"&gt;"&amp;Conversions!M51,Calculation!$ES$8:$ES$389)</f>
        <v>-1.5235632315320231</v>
      </c>
      <c r="I9" s="259">
        <f ca="1">SUMIF('Calculations II'!$B$8:$B$384,"&gt;="&amp;Conversions!L51,'Calculations II'!$O8:$O384)-SUMIF('Calculations II'!$B$8:$B$384,"&gt;"&amp;Conversions!M51,'Calculations II'!$O8:$O384)</f>
        <v>-3.060044205198956</v>
      </c>
      <c r="J9" s="717">
        <f>SUMIF('Calculations II'!$B$8:$B$384,"&gt;="&amp;Conversions!L51,'Calculations II'!$W8:$W384)-SUMIF('Calculations II'!$B$8:$B$384,"&gt;"&amp;Conversions!M51,'Calculations II'!$W8:$W384)</f>
        <v>0</v>
      </c>
      <c r="K9" s="718">
        <f ca="1">SUMIF('Calculations II'!$B$8:$B$384,"&gt;="&amp;Conversions!L51,'Calculations II'!$P$8:$P$384)-SUMIF('Calculations II'!$B$8:$B$384,"&gt;"&amp;Conversions!M51,'Calculations II'!$P$8:$P$384)</f>
        <v>-4.5836074367309863</v>
      </c>
      <c r="L9" s="259">
        <f>SUMIF(Sheet1!$B$8:$B$381,"&gt;="&amp;Conversions!L51,Sheet1!$BN$8:$BN$381)-SUMIF(Sheet1!$B$8:$B$381,"&gt;"&amp;Conversions!M51,Sheet1!$BN$8:$BN$381)</f>
        <v>321.29999999999745</v>
      </c>
      <c r="M9" s="57">
        <f>SUMIF(Sheet1!$B$8:$B$381,"&gt;="&amp;Conversions!L51,Sheet1!$CT$8:$CT$381)-SUMIF(Sheet1!$B$8:$B$381,"&gt;"&amp;Conversions!M51,Sheet1!$CT$8:$CT$381)</f>
        <v>529.30000000000291</v>
      </c>
      <c r="N9" s="744">
        <f ca="1">SUMIF('Calculations II'!$B$8:$B$380,"&gt;="&amp;Conversions!L51,'Calculations II'!$AG$8:$AG$380)-SUMIF('Calculations II'!$B$8:$B$380,"&gt;"&amp;Conversions!M51,'Calculations II'!$AG$8:$AG$381)</f>
        <v>868.8282805632698</v>
      </c>
      <c r="O9" s="744">
        <f ca="1">SUMIF('Calculations II'!$B$8:$B$380,"&gt;="&amp;Conversions!L51,'Calculations II'!$AH$8:$AH$380)-SUMIF('Calculations II'!$B$8:$B$380,"&gt;"&amp;Conversions!M51,'Calculations II'!$AH$8:$AH$380)</f>
        <v>1398.1282805632545</v>
      </c>
      <c r="P9" s="57">
        <f>SUMIF(Calculation!$B$8:$B$380,"&gt;="&amp;Conversions!L51,Calculation!$AS$8:$AS$380)-SUMIF(Calculation!$B$8:$B$380,"&gt;"&amp;Conversions!M51,Calculation!$AS$8:$AS$380)</f>
        <v>29.927000000000476</v>
      </c>
      <c r="Q9" s="259">
        <f>SUMIF(Calculation!$B$8:$B$380,"&gt;="&amp;Conversions!L51,Calculation!$DJ$8:$DJ$380)-SUMIF(Calculation!$B$8:$B$380,"&gt;"&amp;Conversions!M51,Calculation!$DJ$8:$DJ$380)</f>
        <v>210.2463076016611</v>
      </c>
      <c r="R9" s="750">
        <f ca="1">SUMIF('Calculations II'!$B$8:$B$380,"&gt;="&amp;Conversions!L51,'Calculations II'!$AI$8:$AI$380)-SUMIF('Calculations II'!$B$8:$B$380,"&gt;"&amp;Conversions!M51,'Calculations II'!$AI$8:$AI$380)</f>
        <v>1638.3015881649335</v>
      </c>
      <c r="S9" s="310">
        <f>SUMIF(Calculation!$B$8:$B$380,"&gt;="&amp;Conversions!$L51,Calculation!$BL$8:$BL$380)-SUMIF(Calculation!$B$8:$B$380,"&gt;"&amp;Conversions!$M51,Calculation!$BL$8:$BL$380)</f>
        <v>0</v>
      </c>
      <c r="T9" s="259">
        <f>SUMIF(Calculation!$B$8:$B$380,"&gt;="&amp;Conversions!$L51,Calculation!$CF$8:$CF$380)-SUMIF(Calculation!$B$8:$B$380,"&gt;"&amp;Conversions!$M51,Calculation!$CF$8:$CF$380)</f>
        <v>76.815552863026596</v>
      </c>
      <c r="U9" s="257">
        <f>SUMIF(Calculation!$B$8:$B$380,"&gt;="&amp;Conversions!$L51,Calculation!$CZ$8:$CZ$380)-SUMIF(Calculation!$B$8:$B$380,"&gt;"&amp;Conversions!$M51,Calculation!$CZ$8:$CZ$380)</f>
        <v>133.43075473863473</v>
      </c>
      <c r="V9" s="486">
        <f>SUMIF(Sheet1!$B$8:$B$379,"&gt;="&amp;Conversions!N51,'Calculations II'!$BP$8:$BP$379)-SUMIF(Sheet1!$B$8:$B$379,"&gt;"&amp;Conversions!O51,'Calculations II'!$BP$8:$BP$379)</f>
        <v>0</v>
      </c>
      <c r="X9" s="52"/>
      <c r="Y9" s="52"/>
    </row>
    <row r="10" spans="1:28">
      <c r="A10" s="716" t="s">
        <v>205</v>
      </c>
      <c r="B10" s="257" t="e">
        <f>SUMIF(Sheet1!$B$8:$B$384,"&gt;="&amp;Conversions!L52,Sheet1!L$8:L$384)-SUMIF(Sheet1!$B$8:$B$384,"&gt;"&amp;Conversions!M52,Sheet1!L$8:L$384)</f>
        <v>#N/A</v>
      </c>
      <c r="C10" s="310">
        <f>SUMIF('Calculations II'!$B$8:$B$380,"&gt;="&amp;Conversions!L52,'Calculations II'!BC$8:BC$380)-SUMIF('Calculations II'!$B$8:$B$380,"&gt;"&amp;Conversions!M52,'Calculations II'!BC$8:BC$380)</f>
        <v>454.40697599999953</v>
      </c>
      <c r="D10" s="259">
        <f>SUMIF(Sheet1!$B$8:$B$381,"&gt;="&amp;Conversions!L52,Sheet1!$AA$8:AA$381)-SUMIF(Sheet1!$B$8:$B$381,"&gt;"&amp;Conversions!M52,Sheet1!$AA$8:$AA$381)</f>
        <v>600.29999999999927</v>
      </c>
      <c r="E10" s="57">
        <f>SUMIF(Sheet1!$B$8:$B$381,"&gt;="&amp;Conversions!L52,Sheet1!$AB$8:$AB$381)-SUMIF(Sheet1!$B$8:$B$381,"&gt;"&amp;Conversions!M52,Sheet1!$AB$8:$AB$381)</f>
        <v>376.19999999999891</v>
      </c>
      <c r="F10" s="733">
        <f>SUMIF('Calculations II'!$B$8:$B$380,"&gt;="&amp;Conversions!L52,'Calculations II'!$AE$8:$AE$380)-SUMIF('Calculations II'!$B$8:$B$380,"&gt;"&amp;Conversions!M52,'Calculations II'!$AE$8:$AE$380)</f>
        <v>1220.3681018099123</v>
      </c>
      <c r="G10" s="734">
        <f>SUMIF('Calculations II'!$B$8:$B$380,"&gt;="&amp;Conversions!L52,'Calculations II'!$AC$8:$AC$380)-SUMIF('Calculations II'!$B$8:$B$380,"&gt;"&amp;Conversions!M52,'Calculations II'!$AC$8:$AC$380)</f>
        <v>1430.9069760000057</v>
      </c>
      <c r="H10" s="57">
        <f>SUMIF(Calculation!$B$8:$B$380,"&gt;="&amp;Conversions!L52,Calculation!$ES$8:$ES$380)-SUMIF(Calculation!$B$8:$B$380,"&gt;"&amp;Conversions!M52,Calculation!$ES$8:$ES$380)</f>
        <v>-1.8010711498512038</v>
      </c>
      <c r="I10" s="259" t="e">
        <f>SUMIF('Calculations II'!$B$8:$B$380,"&gt;="&amp;Conversions!L52,'Calculations II'!#REF!)-SUMIF('Calculations II'!$B$8:$B$380,"&gt;"&amp;Conversions!M52,'Calculations II'!#REF!)</f>
        <v>#REF!</v>
      </c>
      <c r="J10" s="717" t="e">
        <f>SUMIF('Calculations II'!$B$8:$B$380,"&gt;="&amp;Conversions!L52,'Calculations II'!#REF!)-SUMIF('Calculations II'!$B$8:$B$380,"&gt;"&amp;Conversions!M52,'Calculations II'!#REF!)</f>
        <v>#REF!</v>
      </c>
      <c r="K10" s="718">
        <f ca="1">SUMIF('Calculations II'!$B$8:$B$380,"&gt;="&amp;Conversions!L52,'Calculations II'!$P$8:$P$380)-SUMIF('Calculations II'!$B$8:$B$380,"&gt;"&amp;Conversions!M52,'Calculations II'!$P$8:$P$380)</f>
        <v>0.74648988350300982</v>
      </c>
      <c r="L10" s="259">
        <f>SUMIF(Sheet1!$B$8:$B$381,"&gt;="&amp;Conversions!L52,Sheet1!$BN$8:$BN$381)-SUMIF(Sheet1!$B$8:$B$381,"&gt;"&amp;Conversions!M52,Sheet1!$BN$8:$BN$381)</f>
        <v>165.75000000000091</v>
      </c>
      <c r="M10" s="57">
        <f>SUMIF(Sheet1!$B$8:$B$381,"&gt;="&amp;Conversions!L52,Sheet1!$CT$8:$CT$381)-SUMIF(Sheet1!$B$8:$B$381,"&gt;"&amp;Conversions!M52,Sheet1!$CT$8:$CT$381)</f>
        <v>455.94600000000173</v>
      </c>
      <c r="N10" s="744">
        <f ca="1">SUMIF('Calculations II'!$B$8:$B$380,"&gt;="&amp;Conversions!L52,'Calculations II'!$AG$8:$AG$380)-SUMIF('Calculations II'!$B$8:$B$380,"&gt;"&amp;Conversions!M52,'Calculations II'!$AG$8:$AG$380)</f>
        <v>765.25746588350376</v>
      </c>
      <c r="O10" s="744">
        <f ca="1">SUMIF('Calculations II'!$B$8:$B$380,"&gt;="&amp;Conversions!L52,'Calculations II'!$AH$8:$AH$380)-SUMIF('Calculations II'!$B$8:$B$380,"&gt;"&amp;Conversions!M52,'Calculations II'!$AH$8:$AH$380)</f>
        <v>1221.2034658834964</v>
      </c>
      <c r="P10" s="57">
        <f>SUMIF(Calculation!$B$8:$B$380,"&gt;="&amp;Conversions!L52,Calculation!$AS$8:$AS$380)-SUMIF(Calculation!$B$8:$B$380,"&gt;"&amp;Conversions!M52,Calculation!$AS$8:$AS$380)</f>
        <v>27.859000000000492</v>
      </c>
      <c r="Q10" s="259">
        <f>SUMIF(Calculation!$B$8:$B$380,"&gt;="&amp;Conversions!L52,Calculation!$DJ$8:$DJ$380)-SUMIF(Calculation!$B$8:$B$380,"&gt;"&amp;Conversions!M52,Calculation!$DJ$8:$DJ$380)</f>
        <v>182.6798741900966</v>
      </c>
      <c r="R10" s="750">
        <f ca="1">SUMIF('Calculations II'!$B$8:$B$380,"&gt;="&amp;Conversions!L52,'Calculations II'!$AI$8:$AI$380)-SUMIF('Calculations II'!$B$8:$B$380,"&gt;"&amp;Conversions!M52,'Calculations II'!$AI$8:$AI$380)</f>
        <v>1431.7423400735934</v>
      </c>
      <c r="S10" s="310">
        <f>SUMIF(Calculation!$B$8:$B$380,"&gt;="&amp;Conversions!$L52,Calculation!$BL$8:$BL$380)-SUMIF(Calculation!$B$8:$B$380,"&gt;"&amp;Conversions!$M52,Calculation!$BL$8:$BL$380)</f>
        <v>0</v>
      </c>
      <c r="T10" s="259">
        <f>SUMIF(Calculation!$B$8:$B$380,"&gt;="&amp;Conversions!$L52,Calculation!$CF$8:$CF$380)-SUMIF(Calculation!$B$8:$B$380,"&gt;"&amp;Conversions!$M52,Calculation!$CF$8:$CF$380)</f>
        <v>70.007192564474849</v>
      </c>
      <c r="U10" s="257">
        <f>SUMIF(Calculation!$B$8:$B$380,"&gt;="&amp;Conversions!$L52,Calculation!$CZ$8:$CZ$380)-SUMIF(Calculation!$B$8:$B$380,"&gt;"&amp;Conversions!$M52,Calculation!$CZ$8:$CZ$380)</f>
        <v>112.67268162562095</v>
      </c>
      <c r="V10" s="486">
        <f>SUMIF(Sheet1!$B$8:$B$379,"&gt;="&amp;Conversions!N52,'Calculations II'!$BP$8:$BP$380)-SUMIF(Sheet1!$B$8:$B$379,"&gt;"&amp;Conversions!O52,'Calculations II'!$BP$8:$BP$379)</f>
        <v>0</v>
      </c>
      <c r="X10" s="52"/>
      <c r="Y10" s="52"/>
    </row>
    <row r="11" spans="1:28">
      <c r="A11" s="716" t="s">
        <v>206</v>
      </c>
      <c r="B11" s="257">
        <f>SUMIF(Sheet1!$B$8:$B$365,"&gt;="&amp;Conversions!L53,Sheet1!L$8:L$365)-SUMIF(Sheet1!$B$8:$B$365,"&gt;"&amp;Conversions!M53,Sheet1!L$8:L$365)</f>
        <v>1388.1299999999987</v>
      </c>
      <c r="C11" s="310">
        <f>SUMIF('Calculations II'!$B$8:$B$380,"&gt;="&amp;Conversions!L53,'Calculations II'!BC$8:BC$380)-SUMIF('Calculations II'!$B$8:$B$380,"&gt;"&amp;Conversions!M53,'Calculations II'!BC$8:BC$380)</f>
        <v>286.13879999999983</v>
      </c>
      <c r="D11" s="259">
        <f>SUMIF(Sheet1!$B$8:$B$381,"&gt;="&amp;Conversions!L53,Sheet1!$AA$8:AA$381)-SUMIF(Sheet1!$B$8:$B$381,"&gt;"&amp;Conversions!M53,Sheet1!$AA$8:$AA$381)</f>
        <v>650.11999999999716</v>
      </c>
      <c r="E11" s="57">
        <f>SUMIF(Sheet1!$B$8:$B$381,"&gt;="&amp;Conversions!L53,Sheet1!$AB$8:$AB$381)-SUMIF(Sheet1!$B$8:$B$381,"&gt;"&amp;Conversions!M53,Sheet1!$AB$8:$AB$381)</f>
        <v>738.01000000000386</v>
      </c>
      <c r="F11" s="733">
        <f>SUMIF('Calculations II'!$B$8:$B$380,"&gt;="&amp;Conversions!L53,'Calculations II'!$AE$8:$AE$380)-SUMIF('Calculations II'!$B$8:$B$380,"&gt;"&amp;Conversions!M53,'Calculations II'!$AE$8:$AE$380)</f>
        <v>1388.9782582106272</v>
      </c>
      <c r="G11" s="734">
        <f>SUMIF('Calculations II'!$B$8:$B$380,"&gt;="&amp;Conversions!L53,'Calculations II'!$AC$8:$AC$380)-SUMIF('Calculations II'!$B$8:$B$380,"&gt;"&amp;Conversions!M53,'Calculations II'!$AC$8:$AC$380)</f>
        <v>1674.2687999999944</v>
      </c>
      <c r="H11" s="57">
        <f>SUMIF(Calculation!$B$8:$B$380,"&gt;="&amp;Conversions!L53,Calculation!$ES$8:$ES$380)-SUMIF(Calculation!$B$8:$B$380,"&gt;"&amp;Conversions!M53,Calculation!$ES$8:$ES$380)</f>
        <v>-3.1878418776571813</v>
      </c>
      <c r="I11" s="259" t="e">
        <f>SUMIF('Calculations II'!$B$8:$B$380,"&gt;="&amp;Conversions!L53,'Calculations II'!#REF!)-SUMIF('Calculations II'!$B$8:$B$380,"&gt;"&amp;Conversions!M53,'Calculations II'!#REF!)</f>
        <v>#REF!</v>
      </c>
      <c r="J11" s="717" t="e">
        <f>SUMIF('Calculations II'!$B$8:$B$380,"&gt;="&amp;Conversions!L53,'Calculations II'!#REF!)-SUMIF('Calculations II'!$B$8:$B$380,"&gt;"&amp;Conversions!M53,'Calculations II'!#REF!)</f>
        <v>#REF!</v>
      </c>
      <c r="K11" s="718">
        <f ca="1">SUMIF('Calculations II'!$B$8:$B$380,"&gt;="&amp;Conversions!L53,'Calculations II'!$P$8:$P$380)-SUMIF('Calculations II'!$B$8:$B$380,"&gt;"&amp;Conversions!M53,'Calculations II'!$P$8:$P$380)</f>
        <v>-1.5515307139168044E-2</v>
      </c>
      <c r="L11" s="259">
        <f>SUMIF(Sheet1!$B$8:$B$381,"&gt;="&amp;Conversions!L53,Sheet1!$BN$8:$BN$381)-SUMIF(Sheet1!$B$8:$B$381,"&gt;"&amp;Conversions!M53,Sheet1!$BN$8:$BN$381)</f>
        <v>453.00000000000091</v>
      </c>
      <c r="M11" s="57">
        <f>SUMIF(Sheet1!$B$8:$B$381,"&gt;="&amp;Conversions!L53,Sheet1!$CT$8:$CT$381)-SUMIF(Sheet1!$B$8:$B$381,"&gt;"&amp;Conversions!M53,Sheet1!$CT$8:$CT$381)</f>
        <v>521.73499999999694</v>
      </c>
      <c r="N11" s="744">
        <f ca="1">SUMIF('Calculations II'!$B$8:$B$380,"&gt;="&amp;Conversions!L53,'Calculations II'!$AG$8:$AG$380)-SUMIF('Calculations II'!$B$8:$B$380,"&gt;"&amp;Conversions!M53,'Calculations II'!$AG$8:$AG$380)</f>
        <v>867.50828469286353</v>
      </c>
      <c r="O11" s="744">
        <f ca="1">SUMIF('Calculations II'!$B$8:$B$380,"&gt;="&amp;Conversions!L53,'Calculations II'!$AH$8:$AH$380)-SUMIF('Calculations II'!$B$8:$B$380,"&gt;"&amp;Conversions!M53,'Calculations II'!$AH$8:$AH$380)</f>
        <v>1389.2432846928568</v>
      </c>
      <c r="P11" s="57">
        <f>SUMIF(Calculation!$B$8:$B$380,"&gt;="&amp;Conversions!L53,Calculation!$AS$8:$AS$380)-SUMIF(Calculation!$B$8:$B$380,"&gt;"&amp;Conversions!M53,Calculation!$AS$8:$AS$380)</f>
        <v>30.730000000000473</v>
      </c>
      <c r="Q11" s="259">
        <f>SUMIF(Calculation!$B$8:$B$380,"&gt;="&amp;Conversions!L53,Calculation!$DJ$8:$DJ$380)-SUMIF(Calculation!$B$8:$B$380,"&gt;"&amp;Conversions!M53,Calculation!$DJ$8:$DJ$380)</f>
        <v>254.56054178937529</v>
      </c>
      <c r="R11" s="750">
        <f ca="1">SUMIF('Calculations II'!$B$8:$B$380,"&gt;="&amp;Conversions!L53,'Calculations II'!$AI$8:$AI$380)-SUMIF('Calculations II'!$B$8:$B$380,"&gt;"&amp;Conversions!M53,'Calculations II'!$AI$8:$AI$380)</f>
        <v>1674.5338264822349</v>
      </c>
      <c r="S11" s="310">
        <f>SUMIF(Calculation!$B$8:$B$380,"&gt;="&amp;Conversions!$L53,Calculation!$BL$8:$BL$380)-SUMIF(Calculation!$B$8:$B$380,"&gt;"&amp;Conversions!$M53,Calculation!$BL$8:$BL$380)</f>
        <v>0</v>
      </c>
      <c r="T11" s="259">
        <f>SUMIF(Calculation!$B$8:$B$380,"&gt;="&amp;Conversions!$L53,Calculation!$CF$8:$CF$380)-SUMIF(Calculation!$B$8:$B$380,"&gt;"&amp;Conversions!$M53,Calculation!$CF$8:$CF$380)</f>
        <v>84.849849766155216</v>
      </c>
      <c r="U11" s="257">
        <f>SUMIF(Calculation!$B$8:$B$380,"&gt;="&amp;Conversions!$L53,Calculation!$CZ$8:$CZ$380)-SUMIF(Calculation!$B$8:$B$380,"&gt;"&amp;Conversions!$M53,Calculation!$CZ$8:$CZ$380)</f>
        <v>169.71069202322042</v>
      </c>
      <c r="V11" s="486">
        <f>SUMIF(Sheet1!$B$8:$B$379,"&gt;="&amp;Conversions!N53,'Calculations II'!$BP$8:$BP$380)-SUMIF(Sheet1!$B$8:$B$379,"&gt;"&amp;Conversions!O53,'Calculations II'!$BP$8:$BP$380)</f>
        <v>0</v>
      </c>
      <c r="X11" s="52"/>
      <c r="Y11" s="52"/>
    </row>
    <row r="12" spans="1:28">
      <c r="A12" s="716" t="s">
        <v>207</v>
      </c>
      <c r="B12" s="257">
        <f>SUMIF(Sheet1!$B$8:$B$365,"&gt;="&amp;Conversions!L54,Sheet1!L$8:L$365)-SUMIF(Sheet1!$B$8:$B$365,"&gt;"&amp;Conversions!M54,Sheet1!L$8:L$365)</f>
        <v>1389.9200000000003</v>
      </c>
      <c r="C12" s="310">
        <f>SUMIF('Calculations II'!$B$8:$B$380,"&gt;="&amp;Conversions!L54,'Calculations II'!BC$8:BC$380)-SUMIF('Calculations II'!$B$8:$B$380,"&gt;"&amp;Conversions!M54,'Calculations II'!BC$8:BC$380)</f>
        <v>230.42577599999993</v>
      </c>
      <c r="D12" s="259">
        <f>SUMIF(Sheet1!$B$8:$B$381,"&gt;="&amp;Conversions!L54,Sheet1!$AA$8:AA$381)-SUMIF(Sheet1!$B$8:$B$381,"&gt;"&amp;Conversions!M54,Sheet1!$AA$8:$AA$381)</f>
        <v>625.02999999999975</v>
      </c>
      <c r="E12" s="57">
        <f>SUMIF(Sheet1!$B$8:$B$381,"&gt;="&amp;Conversions!L54,Sheet1!$AB$8:$AB$381)-SUMIF(Sheet1!$B$8:$B$381,"&gt;"&amp;Conversions!M54,Sheet1!$AB$8:$AB$381)</f>
        <v>764.89000000000306</v>
      </c>
      <c r="F12" s="733">
        <f>SUMIF('Calculations II'!$B$8:$B$380,"&gt;="&amp;Conversions!L54,'Calculations II'!$AE$8:$AE$380)-SUMIF('Calculations II'!$B$8:$B$380,"&gt;"&amp;Conversions!M54,'Calculations II'!$AE$8:$AE$380)</f>
        <v>1323.3895049568764</v>
      </c>
      <c r="G12" s="734">
        <f>SUMIF('Calculations II'!$B$8:$B$380,"&gt;="&amp;Conversions!L54,'Calculations II'!$AC$8:$AC$380)-SUMIF('Calculations II'!$B$8:$B$380,"&gt;"&amp;Conversions!M54,'Calculations II'!$AC$8:$AC$380)</f>
        <v>1620.3457760000019</v>
      </c>
      <c r="H12" s="57">
        <f>SUMIF(Calculation!$B$8:$B$380,"&gt;="&amp;Conversions!L54,Calculation!$ES$8:$ES$380)-SUMIF(Calculation!$B$8:$B$380,"&gt;"&amp;Conversions!M54,Calculation!$ES$8:$ES$380)</f>
        <v>8.4509939731919381</v>
      </c>
      <c r="I12" s="259" t="e">
        <f>SUMIF('Calculations II'!$B$8:$B$380,"&gt;="&amp;Conversions!L54,'Calculations II'!#REF!)-SUMIF('Calculations II'!$B$8:$B$380,"&gt;"&amp;Conversions!M54,'Calculations II'!#REF!)</f>
        <v>#REF!</v>
      </c>
      <c r="J12" s="717" t="e">
        <f>SUMIF('Calculations II'!$B$8:$B$380,"&gt;="&amp;Conversions!L54,'Calculations II'!#REF!)-SUMIF('Calculations II'!$B$8:$B$380,"&gt;"&amp;Conversions!M54,'Calculations II'!#REF!)</f>
        <v>#REF!</v>
      </c>
      <c r="K12" s="718">
        <f ca="1">SUMIF('Calculations II'!$B$8:$B$380,"&gt;="&amp;Conversions!L54,'Calculations II'!$P$8:$P$380)-SUMIF('Calculations II'!$B$8:$B$380,"&gt;"&amp;Conversions!M54,'Calculations II'!$P$8:$P$380)</f>
        <v>4.2573636486825173</v>
      </c>
      <c r="L12" s="259">
        <f>SUMIF(Sheet1!$B$8:$B$381,"&gt;="&amp;Conversions!L54,Sheet1!$BN$8:$BN$381)-SUMIF(Sheet1!$B$8:$B$381,"&gt;"&amp;Conversions!M54,Sheet1!$BN$8:$BN$381)</f>
        <v>467.79999999999927</v>
      </c>
      <c r="M12" s="57">
        <f>SUMIF(Sheet1!$B$8:$B$381,"&gt;="&amp;Conversions!L54,Sheet1!$CT$8:$CT$381)-SUMIF(Sheet1!$B$8:$B$381,"&gt;"&amp;Conversions!M54,Sheet1!$CT$8:$CT$381)</f>
        <v>482.91999999999916</v>
      </c>
      <c r="N12" s="744">
        <f ca="1">SUMIF('Calculations II'!$B$8:$B$380,"&gt;="&amp;Conversions!L54,'Calculations II'!$AG$8:$AG$380)-SUMIF('Calculations II'!$B$8:$B$380,"&gt;"&amp;Conversions!M54,'Calculations II'!$AG$8:$AG$380)</f>
        <v>844.59313964868852</v>
      </c>
      <c r="O12" s="744">
        <f ca="1">SUMIF('Calculations II'!$B$8:$B$380,"&gt;="&amp;Conversions!L54,'Calculations II'!$AH$8:$AH$380)-SUMIF('Calculations II'!$B$8:$B$380,"&gt;"&amp;Conversions!M54,'Calculations II'!$AH$8:$AH$380)</f>
        <v>1327.5131396486795</v>
      </c>
      <c r="P12" s="57">
        <f>SUMIF(Calculation!$B$8:$B$380,"&gt;="&amp;Conversions!L54,Calculation!$AS$8:$AS$380)-SUMIF(Calculation!$B$8:$B$380,"&gt;"&amp;Conversions!M54,Calculation!$AS$8:$AS$380)</f>
        <v>47.640000000000271</v>
      </c>
      <c r="Q12" s="259">
        <f>SUMIF(Calculation!$B$8:$B$380,"&gt;="&amp;Conversions!L54,Calculation!$DJ$8:$DJ$380)-SUMIF(Calculation!$B$8:$B$380,"&gt;"&amp;Conversions!M54,Calculation!$DJ$8:$DJ$380)</f>
        <v>249.3162710431252</v>
      </c>
      <c r="R12" s="750">
        <f ca="1">SUMIF('Calculations II'!$B$8:$B$380,"&gt;="&amp;Conversions!L54,'Calculations II'!$AI$8:$AI$380)-SUMIF('Calculations II'!$B$8:$B$380,"&gt;"&amp;Conversions!M54,'Calculations II'!$AI$8:$AI$380)</f>
        <v>1624.4694106918214</v>
      </c>
      <c r="S12" s="310">
        <f>SUMIF(Calculation!$B$8:$B$380,"&gt;="&amp;Conversions!$L54,Calculation!$BL$8:$BL$380)-SUMIF(Calculation!$B$8:$B$380,"&gt;"&amp;Conversions!$M54,Calculation!$BL$8:$BL$380)</f>
        <v>0</v>
      </c>
      <c r="T12" s="259">
        <f>SUMIF(Calculation!$B$8:$B$380,"&gt;="&amp;Conversions!$L54,Calculation!$CF$8:$CF$380)-SUMIF(Calculation!$B$8:$B$380,"&gt;"&amp;Conversions!$M54,Calculation!$CF$8:$CF$380)</f>
        <v>74.919621494650642</v>
      </c>
      <c r="U12" s="257">
        <f>SUMIF(Calculation!$B$8:$B$380,"&gt;="&amp;Conversions!$L54,Calculation!$CZ$8:$CZ$380)-SUMIF(Calculation!$B$8:$B$380,"&gt;"&amp;Conversions!$M54,Calculation!$CZ$8:$CZ$380)</f>
        <v>174.39664954847331</v>
      </c>
      <c r="V12" s="486">
        <f>SUMIF(Sheet1!$B$8:$B$379,"&gt;="&amp;Conversions!N54,'Calculations II'!$BP$8:$BP$380)-SUMIF(Sheet1!$B$8:$B$379,"&gt;"&amp;Conversions!O54,'Calculations II'!$BP$8:$BP$380)</f>
        <v>0</v>
      </c>
      <c r="X12" s="52"/>
      <c r="Y12" s="52"/>
    </row>
    <row r="13" spans="1:28">
      <c r="A13" s="716" t="s">
        <v>208</v>
      </c>
      <c r="B13" s="257">
        <f>SUMIF(Sheet1!$B$8:$B$365,"&gt;="&amp;Conversions!L55,Sheet1!L$8:L$365)-SUMIF(Sheet1!$B$8:$B$365,"&gt;"&amp;Conversions!M55,Sheet1!L$8:L$365)</f>
        <v>399.56000000000017</v>
      </c>
      <c r="C13" s="310">
        <f>SUMIF('Calculations II'!$B$8:$B$380,"&gt;="&amp;Conversions!L55,'Calculations II'!BC$8:BC$380)-SUMIF('Calculations II'!$B$8:$B$380,"&gt;"&amp;Conversions!M55,'Calculations II'!BC$8:BC$380)</f>
        <v>80.894880000000001</v>
      </c>
      <c r="D13" s="259">
        <f>SUMIF(Sheet1!$B$8:$B$381,"&gt;="&amp;Conversions!L55,Sheet1!$AA$8:AA$381)-SUMIF(Sheet1!$B$8:$B$381,"&gt;"&amp;Conversions!M55,Sheet1!$AA$8:$AA$381)</f>
        <v>674.60000000000036</v>
      </c>
      <c r="E13" s="57">
        <f>SUMIF(Sheet1!$B$8:$B$381,"&gt;="&amp;Conversions!L55,Sheet1!$AB$8:$AB$381)-SUMIF(Sheet1!$B$8:$B$381,"&gt;"&amp;Conversions!M55,Sheet1!$AB$8:$AB$381)</f>
        <v>1063.6099999999924</v>
      </c>
      <c r="F13" s="733">
        <f>SUMIF('Calculations II'!$B$8:$B$380,"&gt;="&amp;Conversions!L55,'Calculations II'!$AE$8:$AE$380)-SUMIF('Calculations II'!$B$8:$B$380,"&gt;"&amp;Conversions!M55,'Calculations II'!$AE$8:$AE$380)</f>
        <v>1500.0508788440256</v>
      </c>
      <c r="G13" s="734">
        <f>SUMIF('Calculations II'!$B$8:$B$380,"&gt;="&amp;Conversions!L55,'Calculations II'!$AC$8:$AC$380)-SUMIF('Calculations II'!$B$8:$B$380,"&gt;"&amp;Conversions!M55,'Calculations II'!$AC$8:$AC$380)</f>
        <v>1819.1048800000099</v>
      </c>
      <c r="H13" s="57">
        <f>SUMIF(Calculation!$B$8:$B$380,"&gt;="&amp;Conversions!L55,Calculation!$ES$8:$ES$380)-SUMIF(Calculation!$B$8:$B$380,"&gt;"&amp;Conversions!M55,Calculation!$ES$8:$ES$380)</f>
        <v>6.226695854027005</v>
      </c>
      <c r="I13" s="259" t="e">
        <f>SUMIF('Calculations II'!$B$8:$B$380,"&gt;="&amp;Conversions!L55,'Calculations II'!#REF!)-SUMIF('Calculations II'!$B$8:$B$380,"&gt;"&amp;Conversions!M55,'Calculations II'!#REF!)</f>
        <v>#REF!</v>
      </c>
      <c r="J13" s="717" t="e">
        <f>SUMIF('Calculations II'!$B$8:$B$380,"&gt;="&amp;Conversions!L55,'Calculations II'!#REF!)-SUMIF('Calculations II'!$B$8:$B$380,"&gt;"&amp;Conversions!M55,'Calculations II'!#REF!)</f>
        <v>#REF!</v>
      </c>
      <c r="K13" s="718">
        <f ca="1">SUMIF('Calculations II'!$B$8:$B$380,"&gt;="&amp;Conversions!L55,'Calculations II'!$P$8:$P$380)-SUMIF('Calculations II'!$B$8:$B$380,"&gt;"&amp;Conversions!M55,'Calculations II'!$P$8:$P$380)</f>
        <v>7.6757260884546454</v>
      </c>
      <c r="L13" s="259">
        <f>SUMIF(Sheet1!$B$8:$B$381,"&gt;="&amp;Conversions!L55,Sheet1!$BN$8:$BN$381)-SUMIF(Sheet1!$B$8:$B$381,"&gt;"&amp;Conversions!M55,Sheet1!$BN$8:$BN$381)</f>
        <v>744.89999999999418</v>
      </c>
      <c r="M13" s="57">
        <f>SUMIF(Sheet1!$B$8:$B$381,"&gt;="&amp;Conversions!L55,Sheet1!$CT$8:$CT$381)-SUMIF(Sheet1!$B$8:$B$381,"&gt;"&amp;Conversions!M55,Sheet1!$CT$8:$CT$381)</f>
        <v>493.92500000000109</v>
      </c>
      <c r="N13" s="744">
        <f ca="1">SUMIF('Calculations II'!$B$8:$B$380,"&gt;="&amp;Conversions!L55,'Calculations II'!$AG$8:$AG$380)-SUMIF('Calculations II'!$B$8:$B$380,"&gt;"&amp;Conversions!M55,'Calculations II'!$AG$8:$AG$380)</f>
        <v>1014.145606088463</v>
      </c>
      <c r="O13" s="744">
        <f ca="1">SUMIF('Calculations II'!$B$8:$B$380,"&gt;="&amp;Conversions!L55,'Calculations II'!$AH$8:$AH$380)-SUMIF('Calculations II'!$B$8:$B$380,"&gt;"&amp;Conversions!M55,'Calculations II'!$AH$8:$AH$380)</f>
        <v>1508.0706060884513</v>
      </c>
      <c r="P13" s="57">
        <f>SUMIF(Calculation!$B$8:$B$380,"&gt;="&amp;Conversions!L55,Calculation!$AS$8:$AS$380)-SUMIF(Calculation!$B$8:$B$380,"&gt;"&amp;Conversions!M55,Calculation!$AS$8:$AS$380)</f>
        <v>49.569999999999879</v>
      </c>
      <c r="Q13" s="259">
        <f>SUMIF(Calculation!$B$8:$B$380,"&gt;="&amp;Conversions!L55,Calculation!$DJ$8:$DJ$380)-SUMIF(Calculation!$B$8:$B$380,"&gt;"&amp;Conversions!M55,Calculation!$DJ$8:$DJ$380)</f>
        <v>269.48400115597724</v>
      </c>
      <c r="R13" s="750">
        <f ca="1">SUMIF('Calculations II'!$B$8:$B$380,"&gt;="&amp;Conversions!L55,'Calculations II'!$AI$8:$AI$380)-SUMIF('Calculations II'!$B$8:$B$380,"&gt;"&amp;Conversions!M55,'Calculations II'!$AI$8:$AI$380)</f>
        <v>1827.1246072444392</v>
      </c>
      <c r="S13" s="310">
        <f>SUMIF(Calculation!$B$8:$B$380,"&gt;="&amp;Conversions!$L55,Calculation!$BL$8:$BL$380)-SUMIF(Calculation!$B$8:$B$380,"&gt;"&amp;Conversions!$M55,Calculation!$BL$8:$BL$380)</f>
        <v>0</v>
      </c>
      <c r="T13" s="259">
        <f>SUMIF(Calculation!$B$8:$B$380,"&gt;="&amp;Conversions!$L55,Calculation!$CF$8:$CF$380)-SUMIF(Calculation!$B$8:$B$380,"&gt;"&amp;Conversions!$M55,Calculation!$CF$8:$CF$380)</f>
        <v>86.877899994344716</v>
      </c>
      <c r="U13" s="257">
        <f>SUMIF(Calculation!$B$8:$B$380,"&gt;="&amp;Conversions!$L55,Calculation!$CZ$8:$CZ$380)-SUMIF(Calculation!$B$8:$B$380,"&gt;"&amp;Conversions!$M55,Calculation!$CZ$8:$CZ$380)</f>
        <v>182.60610116163275</v>
      </c>
      <c r="V13" s="486">
        <f>SUMIF(Sheet1!$B$8:$B$379,"&gt;="&amp;Conversions!N55,'Calculations II'!$BP$8:$BP$380)-SUMIF(Sheet1!$B$8:$B$379,"&gt;"&amp;Conversions!O55,'Calculations II'!$BP$8:$BP$380)</f>
        <v>0</v>
      </c>
      <c r="X13" s="52"/>
      <c r="Y13" s="52"/>
    </row>
    <row r="14" spans="1:28">
      <c r="A14" s="716" t="s">
        <v>209</v>
      </c>
      <c r="B14" s="257">
        <f>SUMIF(Sheet1!$B$8:$B$365,"&gt;="&amp;Conversions!L56,Sheet1!L$8:L$365)-SUMIF(Sheet1!$B$8:$B$365,"&gt;"&amp;Conversions!M56,Sheet1!L$8:L$365)</f>
        <v>1.069999999999709</v>
      </c>
      <c r="C14" s="310">
        <f>SUMIF('Calculations II'!$B$8:$B$380,"&gt;="&amp;Conversions!L56,'Calculations II'!BC$8:BC$380)-SUMIF('Calculations II'!$B$8:$B$380,"&gt;"&amp;Conversions!M56,'Calculations II'!BC$8:BC$380)</f>
        <v>0</v>
      </c>
      <c r="D14" s="259">
        <f>SUMIF(Sheet1!$B$8:$B$381,"&gt;="&amp;Conversions!L56,Sheet1!$AA$8:AA$381)-SUMIF(Sheet1!$B$8:$B$381,"&gt;"&amp;Conversions!M56,Sheet1!$AA$8:$AA$381)</f>
        <v>939.90000000000055</v>
      </c>
      <c r="E14" s="57">
        <f>SUMIF(Sheet1!$B$8:$B$381,"&gt;="&amp;Conversions!L56,Sheet1!$AB$8:$AB$381)-SUMIF(Sheet1!$B$8:$B$381,"&gt;"&amp;Conversions!M56,Sheet1!$AB$8:$AB$381)</f>
        <v>1250.430000000003</v>
      </c>
      <c r="F14" s="733">
        <f>SUMIF('Calculations II'!$B$8:$B$380,"&gt;="&amp;Conversions!L56,'Calculations II'!$AE$8:$AE$380)-SUMIF('Calculations II'!$B$8:$B$380,"&gt;"&amp;Conversions!M56,'Calculations II'!$AE$8:$AE$380)</f>
        <v>1815.6045353327045</v>
      </c>
      <c r="G14" s="734">
        <f>SUMIF('Calculations II'!$B$8:$B$380,"&gt;="&amp;Conversions!L56,'Calculations II'!$AC$8:$AC$380)-SUMIF('Calculations II'!$B$8:$B$380,"&gt;"&amp;Conversions!M56,'Calculations II'!$AC$8:$AC$380)</f>
        <v>2190.33</v>
      </c>
      <c r="H14" s="57">
        <f>SUMIF(Calculation!$B$8:$B$380,"&gt;="&amp;Conversions!L56,Calculation!$ES$8:$ES$380)-SUMIF(Calculation!$B$8:$B$380,"&gt;"&amp;Conversions!M56,Calculation!$ES$8:$ES$380)</f>
        <v>-11.628416044319243</v>
      </c>
      <c r="I14" s="259" t="e">
        <f>SUMIF('Calculations II'!$B$8:$B$380,"&gt;="&amp;Conversions!L56,'Calculations II'!#REF!)-SUMIF('Calculations II'!$B$8:$B$380,"&gt;"&amp;Conversions!M56,'Calculations II'!#REF!)</f>
        <v>#REF!</v>
      </c>
      <c r="J14" s="717" t="e">
        <f>SUMIF('Calculations II'!$B$8:$B$380,"&gt;="&amp;Conversions!L56,'Calculations II'!#REF!)-SUMIF('Calculations II'!$B$8:$B$380,"&gt;"&amp;Conversions!M56,'Calculations II'!#REF!)</f>
        <v>#REF!</v>
      </c>
      <c r="K14" s="718">
        <f ca="1">SUMIF('Calculations II'!$B$8:$B$380,"&gt;="&amp;Conversions!L56,'Calculations II'!$P$8:$P$380)-SUMIF('Calculations II'!$B$8:$B$380,"&gt;"&amp;Conversions!M56,'Calculations II'!$P$8:$P$380)</f>
        <v>-18.991033655115086</v>
      </c>
      <c r="L14" s="259">
        <f>SUMIF(Sheet1!$B$8:$B$381,"&gt;="&amp;Conversions!L56,Sheet1!$BN$8:$BN$381)-SUMIF(Sheet1!$B$8:$B$381,"&gt;"&amp;Conversions!M56,Sheet1!$BN$8:$BN$381)</f>
        <v>878.10000000000127</v>
      </c>
      <c r="M14" s="57">
        <f>SUMIF(Sheet1!$B$8:$B$381,"&gt;="&amp;Conversions!L56,Sheet1!$CT$8:$CT$381)-SUMIF(Sheet1!$B$8:$B$381,"&gt;"&amp;Conversions!M56,Sheet1!$CT$8:$CT$381)</f>
        <v>497.00099999999929</v>
      </c>
      <c r="N14" s="744">
        <f ca="1">SUMIF('Calculations II'!$B$8:$B$380,"&gt;="&amp;Conversions!L56,'Calculations II'!$AG$8:$AG$380)-SUMIF('Calculations II'!$B$8:$B$380,"&gt;"&amp;Conversions!M56,'Calculations II'!$AG$8:$AG$380)</f>
        <v>1302.0079663448878</v>
      </c>
      <c r="O14" s="744">
        <f ca="1">SUMIF('Calculations II'!$B$8:$B$380,"&gt;="&amp;Conversions!L56,'Calculations II'!$AH$8:$AH$380)-SUMIF('Calculations II'!$B$8:$B$380,"&gt;"&amp;Conversions!M56,'Calculations II'!$AH$8:$AH$380)</f>
        <v>1799.0089663448834</v>
      </c>
      <c r="P14" s="57">
        <f>SUMIF(Calculation!$B$8:$B$380,"&gt;="&amp;Conversions!L56,Calculation!$AS$8:$AS$380)-SUMIF(Calculation!$B$8:$B$380,"&gt;"&amp;Conversions!M56,Calculation!$AS$8:$AS$380)</f>
        <v>47.739999999999952</v>
      </c>
      <c r="Q14" s="259">
        <f>SUMIF(Calculation!$B$8:$B$380,"&gt;="&amp;Conversions!L56,Calculation!$DJ$8:$DJ$380)-SUMIF(Calculation!$B$8:$B$380,"&gt;"&amp;Conversions!M56,Calculation!$DJ$8:$DJ$380)</f>
        <v>326.98546466730977</v>
      </c>
      <c r="R14" s="750">
        <f ca="1">SUMIF('Calculations II'!$B$8:$B$380,"&gt;="&amp;Conversions!L56,'Calculations II'!$AI$8:$AI$380)-SUMIF('Calculations II'!$B$8:$B$380,"&gt;"&amp;Conversions!M56,'Calculations II'!$AI$8:$AI$380)</f>
        <v>2173.7344310121989</v>
      </c>
      <c r="S14" s="310">
        <f>SUMIF(Calculation!$B$8:$B$380,"&gt;="&amp;Conversions!$L56,Calculation!$BL$8:$BL$380)-SUMIF(Calculation!$B$8:$B$380,"&gt;"&amp;Conversions!$M56,Calculation!$BL$8:$BL$380)</f>
        <v>0</v>
      </c>
      <c r="T14" s="259">
        <f>SUMIF(Calculation!$B$8:$B$380,"&gt;="&amp;Conversions!$L56,Calculation!$CF$8:$CF$380)-SUMIF(Calculation!$B$8:$B$380,"&gt;"&amp;Conversions!$M56,Calculation!$CF$8:$CF$380)</f>
        <v>91.548922177295935</v>
      </c>
      <c r="U14" s="257">
        <f>SUMIF(Calculation!$B$8:$B$380,"&gt;="&amp;Conversions!$L56,Calculation!$CZ$8:$CZ$380)-SUMIF(Calculation!$B$8:$B$380,"&gt;"&amp;Conversions!$M56,Calculation!$CZ$8:$CZ$380)</f>
        <v>235.43654249001565</v>
      </c>
      <c r="V14" s="486">
        <f>SUMIF(Sheet1!$B$8:$B$379,"&gt;="&amp;Conversions!N56,'Calculations II'!$BP$8:$BP$380)-SUMIF(Sheet1!$B$8:$B$379,"&gt;"&amp;Conversions!O56,'Calculations II'!$BP$8:$BP$380)</f>
        <v>0</v>
      </c>
      <c r="X14" s="52"/>
      <c r="Y14" s="52"/>
    </row>
    <row r="15" spans="1:28" ht="12.75" customHeight="1">
      <c r="A15" s="716" t="s">
        <v>210</v>
      </c>
      <c r="B15" s="257">
        <f>SUMIF(Sheet1!$B$8:$B$365,"&gt;="&amp;Conversions!L57,Sheet1!L$8:L$365)-SUMIF(Sheet1!$B$8:$B$365,"&gt;"&amp;Conversions!M57,Sheet1!L$8:L$365)</f>
        <v>0.33000000000174623</v>
      </c>
      <c r="C15" s="310">
        <f>SUMIF('Calculations II'!$B$8:$B$380,"&gt;="&amp;Conversions!L57,'Calculations II'!BC$8:BC$380)-SUMIF('Calculations II'!$B$8:$B$380,"&gt;"&amp;Conversions!M57,'Calculations II'!BC$8:BC$380)</f>
        <v>10.376351999999997</v>
      </c>
      <c r="D15" s="259">
        <f>SUMIF(Sheet1!$B$8:$B$381,"&gt;="&amp;Conversions!L57,Sheet1!$AA$8:AA$381)-SUMIF(Sheet1!$B$8:$B$381,"&gt;"&amp;Conversions!M57,Sheet1!$AA$8:$AA$381)</f>
        <v>1409.7200000000003</v>
      </c>
      <c r="E15" s="57">
        <f>SUMIF(Sheet1!$B$8:$B$381,"&gt;="&amp;Conversions!L57,Sheet1!$AB$8:$AB$381)-SUMIF(Sheet1!$B$8:$B$381,"&gt;"&amp;Conversions!M57,Sheet1!$AB$8:$AB$381)</f>
        <v>1426.9600000000009</v>
      </c>
      <c r="F15" s="733">
        <f>SUMIF('Calculations II'!$B$8:$B$380,"&gt;="&amp;Conversions!L57,'Calculations II'!$AE$8:$AE$380)-SUMIF('Calculations II'!$B$8:$B$380,"&gt;"&amp;Conversions!M57,'Calculations II'!$AE$8:$AE$380)</f>
        <v>2250.4079674353616</v>
      </c>
      <c r="G15" s="734">
        <f>SUMIF('Calculations II'!$B$8:$B$380,"&gt;="&amp;Conversions!L57,'Calculations II'!$AC$8:$AC$380)-SUMIF('Calculations II'!$B$8:$B$380,"&gt;"&amp;Conversions!M57,'Calculations II'!$AC$8:$AC$380)</f>
        <v>2847.0563519999996</v>
      </c>
      <c r="H15" s="57">
        <f>SUMIF(Calculation!$B$8:$B$380,"&gt;="&amp;Conversions!L57,Calculation!$ES$8:$ES$380)-SUMIF(Calculation!$B$8:$B$380,"&gt;"&amp;Conversions!M57,Calculation!$ES$8:$ES$380)</f>
        <v>-0.55429802021351549</v>
      </c>
      <c r="I15" s="259" t="e">
        <f>SUMIF('Calculations II'!$B$8:$B$380,"&gt;="&amp;Conversions!L57,'Calculations II'!#REF!)-SUMIF('Calculations II'!$B$8:$B$380,"&gt;"&amp;Conversions!M57,'Calculations II'!#REF!)</f>
        <v>#REF!</v>
      </c>
      <c r="J15" s="717" t="e">
        <f>SUMIF('Calculations II'!$B$8:$B$380,"&gt;="&amp;Conversions!L57,'Calculations II'!#REF!)-SUMIF('Calculations II'!$B$8:$B$380,"&gt;"&amp;Conversions!M57,'Calculations II'!#REF!)</f>
        <v>#REF!</v>
      </c>
      <c r="K15" s="718">
        <f ca="1">SUMIF('Calculations II'!$B$8:$B$380,"&gt;="&amp;Conversions!L57,'Calculations II'!$P$8:$P$380)-SUMIF('Calculations II'!$B$8:$B$380,"&gt;"&amp;Conversions!M57,'Calculations II'!$P$8:$P$380)</f>
        <v>0.42510005448188792</v>
      </c>
      <c r="L15" s="259">
        <f>SUMIF(Sheet1!$B$8:$B$381,"&gt;="&amp;Conversions!L57,Sheet1!$BN$8:$BN$381)-SUMIF(Sheet1!$B$8:$B$381,"&gt;"&amp;Conversions!M57,Sheet1!$BN$8:$BN$381)</f>
        <v>837.94000000000051</v>
      </c>
      <c r="M15" s="57">
        <f>SUMIF(Sheet1!$B$8:$B$381,"&gt;="&amp;Conversions!L57,Sheet1!$CT$8:$CT$381)-SUMIF(Sheet1!$B$8:$B$381,"&gt;"&amp;Conversions!M57,Sheet1!$CT$8:$CT$381)</f>
        <v>518.71999999999935</v>
      </c>
      <c r="N15" s="744">
        <f ca="1">SUMIF('Calculations II'!$B$8:$B$380,"&gt;="&amp;Conversions!L57,'Calculations II'!$AG$8:$AG$380)-SUMIF('Calculations II'!$B$8:$B$380,"&gt;"&amp;Conversions!M57,'Calculations II'!$AG$8:$AG$380)</f>
        <v>1739.7414520544808</v>
      </c>
      <c r="O15" s="744">
        <f ca="1">SUMIF('Calculations II'!$B$8:$B$380,"&gt;="&amp;Conversions!L57,'Calculations II'!$AH$8:$AH$380)-SUMIF('Calculations II'!$B$8:$B$380,"&gt;"&amp;Conversions!M57,'Calculations II'!$AH$8:$AH$380)</f>
        <v>2258.4614520544874</v>
      </c>
      <c r="P15" s="57">
        <f>SUMIF(Calculation!$B$8:$B$380,"&gt;="&amp;Conversions!L57,Calculation!$AS$8:$AS$380)-SUMIF(Calculation!$B$8:$B$380,"&gt;"&amp;Conversions!M57,Calculation!$AS$8:$AS$380)</f>
        <v>49.559999999999718</v>
      </c>
      <c r="Q15" s="259">
        <f>SUMIF(Calculation!$B$8:$B$380,"&gt;="&amp;Conversions!L57,Calculation!$DJ$8:$DJ$380)-SUMIF(Calculation!$B$8:$B$380,"&gt;"&amp;Conversions!M57,Calculation!$DJ$8:$DJ$380)</f>
        <v>547.08838456462922</v>
      </c>
      <c r="R15" s="750">
        <f ca="1">SUMIF('Calculations II'!$B$8:$B$380,"&gt;="&amp;Conversions!L57,'Calculations II'!$AI$8:$AI$380)-SUMIF('Calculations II'!$B$8:$B$380,"&gt;"&amp;Conversions!M57,'Calculations II'!$AI$8:$AI$380)</f>
        <v>2855.1098366191127</v>
      </c>
      <c r="S15" s="310">
        <f>SUMIF(Calculation!$B$8:$B$380,"&gt;="&amp;Conversions!$L57,Calculation!$BL$8:$BL$380)-SUMIF(Calculation!$B$8:$B$380,"&gt;"&amp;Conversions!$M57,Calculation!$BL$8:$BL$380)</f>
        <v>68.560838173288289</v>
      </c>
      <c r="T15" s="259">
        <f>SUMIF(Calculation!$B$8:$B$380,"&gt;="&amp;Conversions!$L57,Calculation!$CF$8:$CF$380)-SUMIF(Calculation!$B$8:$B$380,"&gt;"&amp;Conversions!$M57,Calculation!$CF$8:$CF$380)</f>
        <v>156.3010798380277</v>
      </c>
      <c r="U15" s="257">
        <f>SUMIF(Calculation!$B$8:$B$380,"&gt;="&amp;Conversions!$L57,Calculation!$CZ$8:$CZ$380)-SUMIF(Calculation!$B$8:$B$380,"&gt;"&amp;Conversions!$M57,Calculation!$CZ$8:$CZ$380)</f>
        <v>322.22646655331414</v>
      </c>
      <c r="V15" s="486">
        <f>SUMIF(Sheet1!$B$8:$B$379,"&gt;="&amp;Conversions!N57,'Calculations II'!$BP$8:$BP$380)-SUMIF(Sheet1!$B$8:$B$379,"&gt;"&amp;Conversions!O57,'Calculations II'!$BP$8:$BP$380)</f>
        <v>0</v>
      </c>
      <c r="X15" s="52"/>
      <c r="Y15" s="52"/>
    </row>
    <row r="16" spans="1:28">
      <c r="A16" s="716" t="s">
        <v>211</v>
      </c>
      <c r="B16" s="257">
        <f>SUMIF(Sheet1!$B$8:$B$365,"&gt;="&amp;Conversions!L58,Sheet1!L$8:L$365)-SUMIF(Sheet1!$B$8:$B$365,"&gt;"&amp;Conversions!M58,Sheet1!L$8:L$365)</f>
        <v>1.0400000000008731</v>
      </c>
      <c r="C16" s="310">
        <f>SUMIF('Calculations II'!$B$8:$B$380,"&gt;="&amp;Conversions!L58,'Calculations II'!BC$8:BC$380)-SUMIF('Calculations II'!$B$8:$B$380,"&gt;"&amp;Conversions!M58,'Calculations II'!BC$8:BC$380)</f>
        <v>26.185823999999968</v>
      </c>
      <c r="D16" s="259">
        <f>SUMIF(Sheet1!$B$8:$B$381,"&gt;="&amp;Conversions!L58,Sheet1!$AA$8:AA$381)-SUMIF(Sheet1!$B$8:$B$381,"&gt;"&amp;Conversions!M58,Sheet1!$AA$8:$AA$381)</f>
        <v>1597.7999999999975</v>
      </c>
      <c r="E16" s="57">
        <f>SUMIF(Sheet1!$B$8:$B$381,"&gt;="&amp;Conversions!L58,Sheet1!$AB$8:$AB$381)-SUMIF(Sheet1!$B$8:$B$381,"&gt;"&amp;Conversions!M58,Sheet1!$AB$8:$AB$381)</f>
        <v>1113.7199999999984</v>
      </c>
      <c r="F16" s="733">
        <f>SUMIF('Calculations II'!$B$8:$B$380,"&gt;="&amp;Conversions!L58,'Calculations II'!$AE$8:$AE$380)-SUMIF('Calculations II'!$B$8:$B$380,"&gt;"&amp;Conversions!M58,'Calculations II'!$AE$8:$AE$380)</f>
        <v>2154.8868581864572</v>
      </c>
      <c r="G16" s="734">
        <f>SUMIF('Calculations II'!$B$8:$B$380,"&gt;="&amp;Conversions!L58,'Calculations II'!$AC$8:$AC$380)-SUMIF('Calculations II'!$B$8:$B$380,"&gt;"&amp;Conversions!M58,'Calculations II'!$AC$8:$AC$380)</f>
        <v>2737.7058239999951</v>
      </c>
      <c r="H16" s="57">
        <f>SUMIF(Calculation!$B$8:$B$380,"&gt;="&amp;Conversions!L58,Calculation!$ES$8:$ES$380)-SUMIF(Calculation!$B$8:$B$380,"&gt;"&amp;Conversions!M58,Calculation!$ES$8:$ES$380)</f>
        <v>-9.2921157444188189</v>
      </c>
      <c r="I16" s="259" t="e">
        <f>SUMIF('Calculations II'!$B$8:$B$380,"&gt;="&amp;Conversions!L58,'Calculations II'!#REF!)-SUMIF('Calculations II'!$B$8:$B$380,"&gt;"&amp;Conversions!M58,'Calculations II'!#REF!)</f>
        <v>#REF!</v>
      </c>
      <c r="J16" s="717" t="e">
        <f>SUMIF('Calculations II'!$B$8:$B$380,"&gt;="&amp;Conversions!L58,'Calculations II'!#REF!)-SUMIF('Calculations II'!$B$8:$B$380,"&gt;"&amp;Conversions!M58,'Calculations II'!#REF!)</f>
        <v>#REF!</v>
      </c>
      <c r="K16" s="718">
        <f ca="1">SUMIF('Calculations II'!$B$8:$B$380,"&gt;="&amp;Conversions!L58,'Calculations II'!$P$8:$P$380)-SUMIF('Calculations II'!$B$8:$B$380,"&gt;"&amp;Conversions!M58,'Calculations II'!$P$8:$P$380)</f>
        <v>-7.037664504914602</v>
      </c>
      <c r="L16" s="259">
        <f>SUMIF(Sheet1!$B$8:$B$381,"&gt;="&amp;Conversions!L58,Sheet1!$BN$8:$BN$381)-SUMIF(Sheet1!$B$8:$B$381,"&gt;"&amp;Conversions!M58,Sheet1!$BN$8:$BN$381)</f>
        <v>541.90000000000055</v>
      </c>
      <c r="M16" s="57">
        <f>SUMIF(Sheet1!$B$8:$B$381,"&gt;="&amp;Conversions!L58,Sheet1!$CT$8:$CT$381)-SUMIF(Sheet1!$B$8:$B$381,"&gt;"&amp;Conversions!M58,Sheet1!$CT$8:$CT$381)</f>
        <v>539.76799999999957</v>
      </c>
      <c r="N16" s="744">
        <f ca="1">SUMIF('Calculations II'!$B$8:$B$380,"&gt;="&amp;Conversions!L58,'Calculations II'!$AG$8:$AG$380)-SUMIF('Calculations II'!$B$8:$B$380,"&gt;"&amp;Conversions!M58,'Calculations II'!$AG$8:$AG$380)</f>
        <v>1619.0801594950867</v>
      </c>
      <c r="O16" s="744">
        <f ca="1">SUMIF('Calculations II'!$B$8:$B$380,"&gt;="&amp;Conversions!L58,'Calculations II'!$AH$8:$AH$380)-SUMIF('Calculations II'!$B$8:$B$380,"&gt;"&amp;Conversions!M58,'Calculations II'!$AH$8:$AH$380)</f>
        <v>2158.8481594950881</v>
      </c>
      <c r="P16" s="57">
        <f>SUMIF(Calculation!$B$8:$B$380,"&gt;="&amp;Conversions!L58,Calculation!$AS$8:$AS$380)-SUMIF(Calculation!$B$8:$B$380,"&gt;"&amp;Conversions!M58,Calculation!$AS$8:$AS$380)</f>
        <v>48.009999999999877</v>
      </c>
      <c r="Q16" s="259">
        <f>SUMIF(Calculation!$B$8:$B$380,"&gt;="&amp;Conversions!L58,Calculation!$DJ$8:$DJ$380)-SUMIF(Calculation!$B$8:$B$380,"&gt;"&amp;Conversions!M58,Calculation!$DJ$8:$DJ$380)</f>
        <v>534.80896581354182</v>
      </c>
      <c r="R16" s="750">
        <f ca="1">SUMIF('Calculations II'!$B$8:$B$380,"&gt;="&amp;Conversions!L58,'Calculations II'!$AI$8:$AI$380)-SUMIF('Calculations II'!$B$8:$B$380,"&gt;"&amp;Conversions!M58,'Calculations II'!$AI$8:$AI$380)</f>
        <v>2741.667125308627</v>
      </c>
      <c r="S16" s="310">
        <f>SUMIF(Calculation!$B$8:$B$380,"&gt;="&amp;Conversions!$L58,Calculation!$BL$8:$BL$380)-SUMIF(Calculation!$B$8:$B$380,"&gt;"&amp;Conversions!$M58,Calculation!$BL$8:$BL$380)</f>
        <v>67.458051744988381</v>
      </c>
      <c r="T16" s="259">
        <f>SUMIF(Calculation!$B$8:$B$380,"&gt;="&amp;Conversions!$L58,Calculation!$CF$8:$CF$380)-SUMIF(Calculation!$B$8:$B$380,"&gt;"&amp;Conversions!$M58,Calculation!$CF$8:$CF$380)</f>
        <v>138.83856502793356</v>
      </c>
      <c r="U16" s="257">
        <f>SUMIF(Calculation!$B$8:$B$380,"&gt;="&amp;Conversions!$L58,Calculation!$CZ$8:$CZ$380)-SUMIF(Calculation!$B$8:$B$380,"&gt;"&amp;Conversions!$M58,Calculation!$CZ$8:$CZ$380)</f>
        <v>328.51234904062107</v>
      </c>
      <c r="V16" s="486">
        <f>SUMIF(Sheet1!$B$8:$B$379,"&gt;="&amp;Conversions!N58,'Calculations II'!$BP$8:$BP$380)-SUMIF(Sheet1!$B$8:$B$379,"&gt;"&amp;Conversions!O58,'Calculations II'!$BP$8:$BP$380)</f>
        <v>0</v>
      </c>
      <c r="X16" s="52"/>
      <c r="Y16" s="52"/>
    </row>
    <row r="17" spans="1:27">
      <c r="A17" s="716" t="s">
        <v>212</v>
      </c>
      <c r="B17" s="257">
        <f>SUMIF(Sheet1!$B$8:$B$365,"&gt;="&amp;Conversions!L59,Sheet1!L$8:L$365)-SUMIF(Sheet1!$B$8:$B$365,"&gt;"&amp;Conversions!M59,Sheet1!L$8:L$365)</f>
        <v>0</v>
      </c>
      <c r="C17" s="310">
        <f>SUMIF('Calculations II'!$B$8:$B$380,"&gt;="&amp;Conversions!L59,'Calculations II'!BC$8:BC$380)-SUMIF('Calculations II'!$B$8:$B$380,"&gt;"&amp;Conversions!M59,'Calculations II'!BC$8:BC$380)</f>
        <v>0</v>
      </c>
      <c r="D17" s="259">
        <f>SUMIF(Sheet1!$B$8:$B$381,"&gt;="&amp;Conversions!L59,Sheet1!$AA$8:AA$381)-SUMIF(Sheet1!$B$8:$B$381,"&gt;"&amp;Conversions!M59,Sheet1!$AA$8:$AA$381)</f>
        <v>950.70000000000073</v>
      </c>
      <c r="E17" s="57">
        <f>SUMIF(Sheet1!$B$8:$B$381,"&gt;="&amp;Conversions!L59,Sheet1!$AB$8:$AB$381)-SUMIF(Sheet1!$B$8:$B$381,"&gt;"&amp;Conversions!M59,Sheet1!$AB$8:$AB$381)</f>
        <v>1274.4799999999991</v>
      </c>
      <c r="F17" s="733">
        <f>SUMIF('Calculations II'!$B$8:$B$380,"&gt;="&amp;Conversions!L59,'Calculations II'!$AE$8:$AE$380)-SUMIF('Calculations II'!$B$8:$B$380,"&gt;"&amp;Conversions!M59,'Calculations II'!$AE$8:$AE$380)</f>
        <v>1768.8453519825052</v>
      </c>
      <c r="G17" s="734">
        <f>SUMIF('Calculations II'!$B$8:$B$380,"&gt;="&amp;Conversions!L59,'Calculations II'!$AC$8:$AC$380)-SUMIF('Calculations II'!$B$8:$B$380,"&gt;"&amp;Conversions!M59,'Calculations II'!$AC$8:$AC$380)</f>
        <v>2225.1800000000003</v>
      </c>
      <c r="H17" s="57">
        <f>SUMIF(Calculation!$B$8:$B$380,"&gt;="&amp;Conversions!L59,Calculation!$ES$8:$ES$380)-SUMIF(Calculation!$B$8:$B$380,"&gt;"&amp;Conversions!M59,Calculation!$ES$8:$ES$380)</f>
        <v>5.9652505796218875</v>
      </c>
      <c r="I17" s="259" t="e">
        <f>SUMIF('Calculations II'!$B$8:$B$380,"&gt;="&amp;Conversions!L59,'Calculations II'!#REF!)-SUMIF('Calculations II'!$B$8:$B$380,"&gt;"&amp;Conversions!M59,'Calculations II'!#REF!)</f>
        <v>#REF!</v>
      </c>
      <c r="J17" s="717" t="e">
        <f>SUMIF('Calculations II'!$B$8:$B$380,"&gt;="&amp;Conversions!L59,'Calculations II'!#REF!)-SUMIF('Calculations II'!$B$8:$B$380,"&gt;"&amp;Conversions!M59,'Calculations II'!#REF!)</f>
        <v>#REF!</v>
      </c>
      <c r="K17" s="718">
        <f ca="1">SUMIF('Calculations II'!$B$8:$B$380,"&gt;="&amp;Conversions!L59,'Calculations II'!$P$8:$P$380)-SUMIF('Calculations II'!$B$8:$B$380,"&gt;"&amp;Conversions!M59,'Calculations II'!$P$8:$P$380)</f>
        <v>8.9118192142586992</v>
      </c>
      <c r="L17" s="259">
        <f>SUMIF(Sheet1!$B$8:$B$381,"&gt;="&amp;Conversions!L59,Sheet1!$BN$8:$BN$381)-SUMIF(Sheet1!$B$8:$B$381,"&gt;"&amp;Conversions!M59,Sheet1!$BN$8:$BN$381)</f>
        <v>818.96000000000026</v>
      </c>
      <c r="M17" s="57">
        <f>SUMIF(Sheet1!$B$8:$B$381,"&gt;="&amp;Conversions!L59,Sheet1!$CT$8:$CT$381)-SUMIF(Sheet1!$B$8:$B$381,"&gt;"&amp;Conversions!M59,Sheet1!$CT$8:$CT$381)</f>
        <v>508.20100000000025</v>
      </c>
      <c r="N17" s="744">
        <f ca="1">SUMIF('Calculations II'!$B$8:$B$380,"&gt;="&amp;Conversions!L59,'Calculations II'!$AG$8:$AG$380)-SUMIF('Calculations II'!$B$8:$B$380,"&gt;"&amp;Conversions!M59,'Calculations II'!$AG$8:$AG$380)</f>
        <v>1270.3708192142585</v>
      </c>
      <c r="O17" s="744">
        <f ca="1">SUMIF('Calculations II'!$B$8:$B$380,"&gt;="&amp;Conversions!L59,'Calculations II'!$AH$8:$AH$380)-SUMIF('Calculations II'!$B$8:$B$380,"&gt;"&amp;Conversions!M59,'Calculations II'!$AH$8:$AH$380)</f>
        <v>1778.5718192142576</v>
      </c>
      <c r="P17" s="57">
        <f>SUMIF(Calculation!$B$8:$B$380,"&gt;="&amp;Conversions!L59,Calculation!$AS$8:$AS$380)-SUMIF(Calculation!$B$8:$B$380,"&gt;"&amp;Conversions!M59,Calculation!$AS$8:$AS$380)</f>
        <v>47.970000000000041</v>
      </c>
      <c r="Q17" s="259">
        <f>SUMIF(Calculation!$B$8:$B$380,"&gt;="&amp;Conversions!L59,Calculation!$DJ$8:$DJ$380)-SUMIF(Calculation!$B$8:$B$380,"&gt;"&amp;Conversions!M59,Calculation!$DJ$8:$DJ$380)</f>
        <v>408.36464801749514</v>
      </c>
      <c r="R17" s="750">
        <f ca="1">SUMIF('Calculations II'!$B$8:$B$380,"&gt;="&amp;Conversions!L59,'Calculations II'!$AI$8:$AI$380)-SUMIF('Calculations II'!$B$8:$B$380,"&gt;"&amp;Conversions!M59,'Calculations II'!$AI$8:$AI$380)</f>
        <v>2234.9064672317563</v>
      </c>
      <c r="S17" s="310">
        <f>SUMIF(Calculation!$B$8:$B$380,"&gt;="&amp;Conversions!$L59,Calculation!$BL$8:$BL$380)-SUMIF(Calculation!$B$8:$B$380,"&gt;"&amp;Conversions!$M59,Calculation!$BL$8:$BL$380)</f>
        <v>57.215158583395691</v>
      </c>
      <c r="T17" s="259">
        <f>SUMIF(Calculation!$B$8:$B$380,"&gt;="&amp;Conversions!$L59,Calculation!$CF$8:$CF$380)-SUMIF(Calculation!$B$8:$B$380,"&gt;"&amp;Conversions!$M59,Calculation!$CF$8:$CF$380)</f>
        <v>91.353887902154497</v>
      </c>
      <c r="U17" s="257">
        <f>SUMIF(Calculation!$B$8:$B$380,"&gt;="&amp;Conversions!$L59,Calculation!$CZ$8:$CZ$380)-SUMIF(Calculation!$B$8:$B$380,"&gt;"&amp;Conversions!$M59,Calculation!$CZ$8:$CZ$380)</f>
        <v>259.79560153194507</v>
      </c>
      <c r="V17" s="486">
        <f>SUMIF(Sheet1!$B$8:$B$379,"&gt;="&amp;Conversions!N59,'Calculations II'!$BP$8:$BP$380)-SUMIF(Sheet1!$B$8:$B$379,"&gt;"&amp;Conversions!O59,'Calculations II'!$BP$8:$BP$380)</f>
        <v>0</v>
      </c>
      <c r="X17" s="52"/>
      <c r="Y17" s="52"/>
    </row>
    <row r="18" spans="1:27">
      <c r="A18" s="716" t="s">
        <v>213</v>
      </c>
      <c r="B18" s="257">
        <f>SUMIF(Sheet1!$B$8:$B$365,"&gt;="&amp;Conversions!L60,Sheet1!L$8:L$365)-SUMIF(Sheet1!$B$8:$B$365,"&gt;"&amp;Conversions!M60,Sheet1!L$8:L$365)</f>
        <v>134.59999999999854</v>
      </c>
      <c r="C18" s="310">
        <f>SUMIF('Calculations II'!$B$8:$B$380,"&gt;="&amp;Conversions!L60,'Calculations II'!BC$8:BC$380)-SUMIF('Calculations II'!$B$8:$B$380,"&gt;"&amp;Conversions!M60,'Calculations II'!BC$8:BC$380)</f>
        <v>11.82412800000003</v>
      </c>
      <c r="D18" s="259">
        <f>SUMIF(Sheet1!$B$8:$B$381,"&gt;="&amp;Conversions!L60,Sheet1!$AA$8:AA$381)-SUMIF(Sheet1!$B$8:$B$381,"&gt;"&amp;Conversions!M60,Sheet1!$AA$8:$AA$381)</f>
        <v>858.22000000000025</v>
      </c>
      <c r="E18" s="57">
        <f>SUMIF(Sheet1!$B$8:$B$381,"&gt;="&amp;Conversions!L60,Sheet1!$AB$8:$AB$381)-SUMIF(Sheet1!$B$8:$B$381,"&gt;"&amp;Conversions!M60,Sheet1!$AB$8:$AB$381)</f>
        <v>887.41000000000054</v>
      </c>
      <c r="F18" s="733">
        <f>SUMIF('Calculations II'!$B$8:$B$380,"&gt;="&amp;Conversions!L60,'Calculations II'!$AE$8:$AE$380)-SUMIF('Calculations II'!$B$8:$B$380,"&gt;"&amp;Conversions!M60,'Calculations II'!$AE$8:$AE$380)</f>
        <v>1414.0663184515829</v>
      </c>
      <c r="G18" s="734">
        <f>SUMIF('Calculations II'!$B$8:$B$380,"&gt;="&amp;Conversions!L60,'Calculations II'!$AC$8:$AC$380)-SUMIF('Calculations II'!$B$8:$B$380,"&gt;"&amp;Conversions!M60,'Calculations II'!$AC$8:$AC$380)</f>
        <v>1757.4541279999985</v>
      </c>
      <c r="H18" s="57">
        <f>SUMIF(Calculation!$B$8:$B$380,"&gt;="&amp;Conversions!L60,Calculation!$ES$8:$ES$380)-SUMIF(Calculation!$B$8:$B$380,"&gt;"&amp;Conversions!M60,Calculation!$ES$8:$ES$380)</f>
        <v>8.5906132904090455</v>
      </c>
      <c r="I18" s="259" t="e">
        <f>SUMIF('Calculations II'!$B$8:$B$380,"&gt;="&amp;Conversions!L60,'Calculations II'!#REF!)-SUMIF('Calculations II'!$B$8:$B$380,"&gt;"&amp;Conversions!M60,'Calculations II'!#REF!)</f>
        <v>#REF!</v>
      </c>
      <c r="J18" s="717" t="e">
        <f>SUMIF('Calculations II'!$B$8:$B$380,"&gt;="&amp;Conversions!L60,'Calculations II'!#REF!)-SUMIF('Calculations II'!$B$8:$B$380,"&gt;"&amp;Conversions!M60,'Calculations II'!#REF!)</f>
        <v>#REF!</v>
      </c>
      <c r="K18" s="718">
        <f ca="1">SUMIF('Calculations II'!$B$8:$B$380,"&gt;="&amp;Conversions!L60,'Calculations II'!$P$8:$P$380)-SUMIF('Calculations II'!$B$8:$B$380,"&gt;"&amp;Conversions!M60,'Calculations II'!$P$8:$P$380)</f>
        <v>5.8268911111318502</v>
      </c>
      <c r="L18" s="259">
        <f>SUMIF(Sheet1!$B$8:$B$381,"&gt;="&amp;Conversions!L60,Sheet1!$BN$8:$BN$381)-SUMIF(Sheet1!$B$8:$B$381,"&gt;"&amp;Conversions!M60,Sheet1!$BN$8:$BN$381)</f>
        <v>546.55999999999926</v>
      </c>
      <c r="M18" s="57">
        <f>SUMIF(Sheet1!$B$8:$B$381,"&gt;="&amp;Conversions!L60,Sheet1!$CT$8:$CT$381)-SUMIF(Sheet1!$B$8:$B$381,"&gt;"&amp;Conversions!M60,Sheet1!$CT$8:$CT$381)</f>
        <v>488.47200000000021</v>
      </c>
      <c r="N18" s="744">
        <f ca="1">SUMIF('Calculations II'!$B$8:$B$380,"&gt;="&amp;Conversions!L60,'Calculations II'!$AG$8:$AG$380)-SUMIF('Calculations II'!$B$8:$B$380,"&gt;"&amp;Conversions!M60,'Calculations II'!$AG$8:$AG$380)</f>
        <v>933.95901911113015</v>
      </c>
      <c r="O18" s="744">
        <f ca="1">SUMIF('Calculations II'!$B$8:$B$380,"&gt;="&amp;Conversions!L60,'Calculations II'!$AH$8:$AH$380)-SUMIF('Calculations II'!$B$8:$B$380,"&gt;"&amp;Conversions!M60,'Calculations II'!$AH$8:$AH$380)</f>
        <v>1422.4310191111313</v>
      </c>
      <c r="P18" s="57">
        <f>SUMIF(Calculation!$B$8:$B$380,"&gt;="&amp;Conversions!L60,Calculation!$AS$8:$AS$380)-SUMIF(Calculation!$B$8:$B$380,"&gt;"&amp;Conversions!M60,Calculation!$AS$8:$AS$380)</f>
        <v>32.510000000000034</v>
      </c>
      <c r="Q18" s="259">
        <f>SUMIF(Calculation!$B$8:$B$380,"&gt;="&amp;Conversions!L60,Calculation!$DJ$8:$DJ$380)-SUMIF(Calculation!$B$8:$B$380,"&gt;"&amp;Conversions!M60,Calculation!$DJ$8:$DJ$380)</f>
        <v>310.87780954841685</v>
      </c>
      <c r="R18" s="750">
        <f ca="1">SUMIF('Calculations II'!$B$8:$B$380,"&gt;="&amp;Conversions!L60,'Calculations II'!$AI$8:$AI$380)-SUMIF('Calculations II'!$B$8:$B$380,"&gt;"&amp;Conversions!M60,'Calculations II'!$AI$8:$AI$380)</f>
        <v>1765.8188286595455</v>
      </c>
      <c r="S18" s="310">
        <f>SUMIF(Calculation!$B$8:$B$380,"&gt;="&amp;Conversions!$L60,Calculation!$BL$8:$BL$380)-SUMIF(Calculation!$B$8:$B$380,"&gt;"&amp;Conversions!$M60,Calculation!$BL$8:$BL$380)</f>
        <v>23.947771405850975</v>
      </c>
      <c r="T18" s="259">
        <f>SUMIF(Calculation!$B$8:$B$380,"&gt;="&amp;Conversions!$L60,Calculation!$CF$8:$CF$380)-SUMIF(Calculation!$B$8:$B$380,"&gt;"&amp;Conversions!$M60,Calculation!$CF$8:$CF$380)</f>
        <v>76.785367870187457</v>
      </c>
      <c r="U18" s="257">
        <f>SUMIF(Calculation!$B$8:$B$380,"&gt;="&amp;Conversions!$L60,Calculation!$CZ$8:$CZ$380)-SUMIF(Calculation!$B$8:$B$380,"&gt;"&amp;Conversions!$M60,Calculation!$CZ$8:$CZ$380)</f>
        <v>210.14467027237788</v>
      </c>
      <c r="V18" s="486">
        <f>SUMIF(Sheet1!$B$8:$B$379,"&gt;="&amp;Conversions!N60,'Calculations II'!$BP$8:$BP$380)-SUMIF(Sheet1!$B$8:$B$379,"&gt;"&amp;Conversions!O60,'Calculations II'!$BP$8:$BP$380)</f>
        <v>0</v>
      </c>
      <c r="X18" s="52"/>
      <c r="Y18" s="52"/>
    </row>
    <row r="19" spans="1:27">
      <c r="A19" s="716" t="s">
        <v>214</v>
      </c>
      <c r="B19" s="257">
        <f>SUMIF(Sheet1!$B$8:$B$365,"&gt;="&amp;Conversions!L61,Sheet1!L$8:L$365)-SUMIF(Sheet1!$B$8:$B$365,"&gt;"&amp;Conversions!M61,Sheet1!L$8:L$365)</f>
        <v>673.48000000000093</v>
      </c>
      <c r="C19" s="310">
        <f>SUMIF('Calculations II'!$B$8:$B$380,"&gt;="&amp;Conversions!L61,'Calculations II'!BC$8:BC$380)-SUMIF('Calculations II'!$B$8:$B$380,"&gt;"&amp;Conversions!M61,'Calculations II'!BC$8:BC$380)</f>
        <v>174.88094400000006</v>
      </c>
      <c r="D19" s="259">
        <f>SUMIF(Sheet1!$B$8:$B$381,"&gt;="&amp;Conversions!L61,Sheet1!$AA$8:AA$381)-SUMIF(Sheet1!$B$8:$B$381,"&gt;"&amp;Conversions!M61,Sheet1!$AA$8:$AA$381)</f>
        <v>614.23000000000013</v>
      </c>
      <c r="E19" s="57">
        <f>SUMIF(Sheet1!$B$8:$B$381,"&gt;="&amp;Conversions!L61,Sheet1!$AB$8:$AB$381)-SUMIF(Sheet1!$B$8:$B$381,"&gt;"&amp;Conversions!M61,Sheet1!$AB$8:$AB$381)</f>
        <v>819.43000000000075</v>
      </c>
      <c r="F19" s="733">
        <f>SUMIF('Calculations II'!$B$8:$B$380,"&gt;="&amp;Conversions!L61,'Calculations II'!$AE$8:$AE$380)-SUMIF('Calculations II'!$B$8:$B$380,"&gt;"&amp;Conversions!M61,'Calculations II'!$AE$8:$AE$380)</f>
        <v>1309.5530294199152</v>
      </c>
      <c r="G19" s="734">
        <f>SUMIF('Calculations II'!$B$8:$B$380,"&gt;="&amp;Conversions!L61,'Calculations II'!$AC$8:$AC$380)-SUMIF('Calculations II'!$B$8:$B$380,"&gt;"&amp;Conversions!M61,'Calculations II'!$AC$8:$AC$380)</f>
        <v>1608.5409440000008</v>
      </c>
      <c r="H19" s="57">
        <f>SUMIF(Calculation!$B$8:$B$380,"&gt;="&amp;Conversions!L61,Calculation!$ES$8:$ES$380)-SUMIF(Calculation!$B$8:$B$380,"&gt;"&amp;Conversions!M61,Calculation!$ES$8:$ES$380)</f>
        <v>0.55381094222036609</v>
      </c>
      <c r="I19" s="259" t="e">
        <f>SUMIF('Calculations II'!$B$8:$B$380,"&gt;="&amp;Conversions!L61,'Calculations II'!#REF!)-SUMIF('Calculations II'!$B$8:$B$380,"&gt;"&amp;Conversions!M61,'Calculations II'!#REF!)</f>
        <v>#REF!</v>
      </c>
      <c r="J19" s="717" t="e">
        <f>SUMIF('Calculations II'!$B$8:$B$380,"&gt;="&amp;Conversions!L61,'Calculations II'!#REF!)-SUMIF('Calculations II'!$B$8:$B$380,"&gt;"&amp;Conversions!M61,'Calculations II'!#REF!)</f>
        <v>#REF!</v>
      </c>
      <c r="K19" s="718">
        <f ca="1">SUMIF('Calculations II'!$B$8:$B$380,"&gt;="&amp;Conversions!L61,'Calculations II'!$P$8:$P$380)-SUMIF('Calculations II'!$B$8:$B$380,"&gt;"&amp;Conversions!M61,'Calculations II'!$P$8:$P$380)</f>
        <v>20.348242571505672</v>
      </c>
      <c r="L19" s="259">
        <f>SUMIF(Sheet1!$B$8:$B$381,"&gt;="&amp;Conversions!L61,Sheet1!$BN$8:$BN$381)-SUMIF(Sheet1!$B$8:$B$381,"&gt;"&amp;Conversions!M61,Sheet1!$BN$8:$BN$381)</f>
        <v>520.60000000000014</v>
      </c>
      <c r="M19" s="57">
        <f>SUMIF(Sheet1!$B$8:$B$381,"&gt;="&amp;Conversions!L61,Sheet1!$CT$8:$CT$381)-SUMIF(Sheet1!$B$8:$B$381,"&gt;"&amp;Conversions!M61,Sheet1!$CT$8:$CT$381)</f>
        <v>480.53400000000022</v>
      </c>
      <c r="N19" s="744">
        <f ca="1">SUMIF('Calculations II'!$B$8:$B$380,"&gt;="&amp;Conversions!L61,'Calculations II'!$AG$8:$AG$380)-SUMIF('Calculations II'!$B$8:$B$380,"&gt;"&amp;Conversions!M61,'Calculations II'!$AG$8:$AG$380)</f>
        <v>849.5251865715062</v>
      </c>
      <c r="O19" s="744">
        <f ca="1">SUMIF('Calculations II'!$B$8:$B$380,"&gt;="&amp;Conversions!L61,'Calculations II'!$AH$8:$AH$380)-SUMIF('Calculations II'!$B$8:$B$380,"&gt;"&amp;Conversions!M61,'Calculations II'!$AH$8:$AH$380)</f>
        <v>1330.0591865715057</v>
      </c>
      <c r="P19" s="57">
        <f>SUMIF(Calculation!$B$8:$B$380,"&gt;="&amp;Conversions!L61,Calculation!$AS$8:$AS$380)-SUMIF(Calculation!$B$8:$B$380,"&gt;"&amp;Conversions!M61,Calculation!$AS$8:$AS$380)</f>
        <v>29.97999999999999</v>
      </c>
      <c r="Q19" s="259">
        <f>SUMIF(Calculation!$B$8:$B$380,"&gt;="&amp;Conversions!L61,Calculation!$DJ$8:$DJ$380)-SUMIF(Calculation!$B$8:$B$380,"&gt;"&amp;Conversions!M61,Calculation!$DJ$8:$DJ$380)</f>
        <v>269.00791458008496</v>
      </c>
      <c r="R19" s="750">
        <f ca="1">SUMIF('Calculations II'!$B$8:$B$380,"&gt;="&amp;Conversions!L61,'Calculations II'!$AI$8:$AI$380)-SUMIF('Calculations II'!$B$8:$B$380,"&gt;"&amp;Conversions!M61,'Calculations II'!$AI$8:$AI$380)</f>
        <v>1629.0471011515904</v>
      </c>
      <c r="S19" s="310">
        <f>SUMIF(Calculation!$B$8:$B$380,"&gt;="&amp;Conversions!$L61,Calculation!$BL$8:$BL$380)-SUMIF(Calculation!$B$8:$B$380,"&gt;"&amp;Conversions!$M61,Calculation!$BL$8:$BL$380)</f>
        <v>0</v>
      </c>
      <c r="T19" s="259">
        <f>SUMIF(Calculation!$B$8:$B$380,"&gt;="&amp;Conversions!$L61,Calculation!$CF$8:$CF$380)-SUMIF(Calculation!$B$8:$B$380,"&gt;"&amp;Conversions!$M61,Calculation!$CF$8:$CF$380)</f>
        <v>74.634691889039658</v>
      </c>
      <c r="U19" s="257">
        <f>SUMIF(Calculation!$B$8:$B$380,"&gt;="&amp;Conversions!$L61,Calculation!$CZ$8:$CZ$380)-SUMIF(Calculation!$B$8:$B$380,"&gt;"&amp;Conversions!$M61,Calculation!$CZ$8:$CZ$380)</f>
        <v>194.37322269104536</v>
      </c>
      <c r="V19" s="486">
        <f>SUMIF(Sheet1!$B$8:$B$379,"&gt;="&amp;Conversions!N61,'Calculations II'!$BP$8:$BP$380)-SUMIF(Sheet1!$B$8:$B$379,"&gt;"&amp;Conversions!O61,'Calculations II'!$BP$8:$BP$380)</f>
        <v>0</v>
      </c>
      <c r="X19" s="52"/>
      <c r="Y19" s="52"/>
    </row>
    <row r="20" spans="1:27">
      <c r="A20" s="716" t="s">
        <v>215</v>
      </c>
      <c r="B20" s="257">
        <f>SUMIF(Sheet1!$B$8:$B$365,"&gt;="&amp;Conversions!L62,Sheet1!L$8:L$365)-SUMIF(Sheet1!$B$8:$B$365,"&gt;"&amp;Conversions!M62,Sheet1!L$8:L$365)</f>
        <v>141.61999999999898</v>
      </c>
      <c r="C20" s="310">
        <f>SUMIF('Calculations II'!$B$8:$B$380,"&gt;="&amp;Conversions!L62,'Calculations II'!BC$8:BC$380)-SUMIF('Calculations II'!$B$8:$B$380,"&gt;"&amp;Conversions!M62,'Calculations II'!BC$8:BC$380)</f>
        <v>175.75977600000002</v>
      </c>
      <c r="D20" s="259">
        <f>SUMIF(Sheet1!$B$8:$B$381,"&gt;="&amp;Conversions!L62,Sheet1!$AA$8:AA$381)-SUMIF(Sheet1!$B$8:$B$381,"&gt;"&amp;Conversions!M62,Sheet1!$AA$8:$AA$381)</f>
        <v>712.49999999999977</v>
      </c>
      <c r="E20" s="57">
        <f>SUMIF(Sheet1!$B$8:$B$381,"&gt;="&amp;Conversions!L62,Sheet1!$AB$8:$AB$381)-SUMIF(Sheet1!$B$8:$B$381,"&gt;"&amp;Conversions!M62,Sheet1!$AB$8:$AB$381)</f>
        <v>790.40999999999974</v>
      </c>
      <c r="F20" s="733">
        <f>SUMIF('Calculations II'!$B$8:$B$380,"&gt;="&amp;Conversions!L62,'Calculations II'!$AE$8:$AE$380)-SUMIF('Calculations II'!$B$8:$B$380,"&gt;"&amp;Conversions!M62,'Calculations II'!$AE$8:$AE$380)</f>
        <v>1369.0250625316239</v>
      </c>
      <c r="G20" s="734">
        <f>SUMIF('Calculations II'!$B$8:$B$380,"&gt;="&amp;Conversions!L62,'Calculations II'!$AC$8:$AC$380)-SUMIF('Calculations II'!$B$8:$B$380,"&gt;"&amp;Conversions!M62,'Calculations II'!$AC$8:$AC$380)</f>
        <v>1678.6697760000002</v>
      </c>
      <c r="H20" s="57">
        <f>SUMIF(Calculation!$B$8:$B$380,"&gt;="&amp;Conversions!L62,Calculation!$ES$8:$ES$380)-SUMIF(Calculation!$B$8:$B$380,"&gt;"&amp;Conversions!M62,Calculation!$ES$8:$ES$380)</f>
        <v>17.418818778343535</v>
      </c>
      <c r="I20" s="259" t="e">
        <f>SUMIF('Calculations II'!$B$8:$B$380,"&gt;="&amp;Conversions!L62,'Calculations II'!#REF!)-SUMIF('Calculations II'!$B$8:$B$380,"&gt;"&amp;Conversions!M62,'Calculations II'!#REF!)</f>
        <v>#REF!</v>
      </c>
      <c r="J20" s="717" t="e">
        <f>SUMIF('Calculations II'!$B$8:$B$380,"&gt;="&amp;Conversions!L62,'Calculations II'!#REF!)-SUMIF('Calculations II'!$B$8:$B$380,"&gt;"&amp;Conversions!M62,'Calculations II'!#REF!)</f>
        <v>#REF!</v>
      </c>
      <c r="K20" s="718">
        <f ca="1">SUMIF('Calculations II'!$B$8:$B$380,"&gt;="&amp;Conversions!L62,'Calculations II'!$P$8:$P$380)-SUMIF('Calculations II'!$B$8:$B$380,"&gt;"&amp;Conversions!M62,'Calculations II'!$P$8:$P$380)</f>
        <v>10.137696932813357</v>
      </c>
      <c r="L20" s="259">
        <f>SUMIF(Sheet1!$B$8:$B$381,"&gt;="&amp;Conversions!L62,Sheet1!$BN$8:$BN$381)-SUMIF(Sheet1!$B$8:$B$381,"&gt;"&amp;Conversions!M62,Sheet1!$BN$8:$BN$381)</f>
        <v>481.80000000000007</v>
      </c>
      <c r="M20" s="57">
        <f>SUMIF(Sheet1!$B$8:$B$381,"&gt;="&amp;Conversions!L62,Sheet1!$CT$8:$CT$381)-SUMIF(Sheet1!$B$8:$B$381,"&gt;"&amp;Conversions!M62,Sheet1!$CT$8:$CT$381)</f>
        <v>530.29899999999986</v>
      </c>
      <c r="N20" s="744">
        <f ca="1">SUMIF('Calculations II'!$B$8:$B$380,"&gt;="&amp;Conversions!L62,'Calculations II'!$AG$8:$AG$380)-SUMIF('Calculations II'!$B$8:$B$380,"&gt;"&amp;Conversions!M62,'Calculations II'!$AG$8:$AG$380)</f>
        <v>849.89847293281332</v>
      </c>
      <c r="O20" s="744">
        <f ca="1">SUMIF('Calculations II'!$B$8:$B$380,"&gt;="&amp;Conversions!L62,'Calculations II'!$AH$8:$AH$380)-SUMIF('Calculations II'!$B$8:$B$380,"&gt;"&amp;Conversions!M62,'Calculations II'!$AH$8:$AH$380)</f>
        <v>1380.1974729328135</v>
      </c>
      <c r="P20" s="57">
        <f>SUMIF(Calculation!$B$8:$B$380,"&gt;="&amp;Conversions!L62,Calculation!$AS$8:$AS$380)-SUMIF(Calculation!$B$8:$B$380,"&gt;"&amp;Conversions!M62,Calculation!$AS$8:$AS$380)</f>
        <v>30.99</v>
      </c>
      <c r="Q20" s="259">
        <f>SUMIF(Calculation!$B$8:$B$380,"&gt;="&amp;Conversions!L62,Calculation!$DJ$8:$DJ$380)-SUMIF(Calculation!$B$8:$B$380,"&gt;"&amp;Conversions!M62,Calculation!$DJ$8:$DJ$380)</f>
        <v>278.65471346837586</v>
      </c>
      <c r="R20" s="750">
        <f ca="1">SUMIF('Calculations II'!$B$8:$B$380,"&gt;="&amp;Conversions!L62,'Calculations II'!$AI$8:$AI$380)-SUMIF('Calculations II'!$B$8:$B$380,"&gt;"&amp;Conversions!M62,'Calculations II'!$AI$8:$AI$380)</f>
        <v>1689.8421864011893</v>
      </c>
      <c r="S20" s="310">
        <f>SUMIF(Calculation!$B$8:$B$380,"&gt;="&amp;Conversions!$L62,Calculation!$BL$8:$BL$380)-SUMIF(Calculation!$B$8:$B$380,"&gt;"&amp;Conversions!$M62,Calculation!$BL$8:$BL$380)</f>
        <v>0</v>
      </c>
      <c r="T20" s="259">
        <f>SUMIF(Calculation!$B$8:$B$380,"&gt;="&amp;Conversions!$L62,Calculation!$CF$8:$CF$380)-SUMIF(Calculation!$B$8:$B$380,"&gt;"&amp;Conversions!$M62,Calculation!$CF$8:$CF$380)</f>
        <v>77.08098652443968</v>
      </c>
      <c r="U20" s="257">
        <f>SUMIF(Calculation!$B$8:$B$380,"&gt;="&amp;Conversions!$L62,Calculation!$CZ$8:$CZ$380)-SUMIF(Calculation!$B$8:$B$380,"&gt;"&amp;Conversions!$M62,Calculation!$CZ$8:$CZ$380)</f>
        <v>201.57372694393621</v>
      </c>
      <c r="V20" s="486">
        <f>SUMIF(Sheet1!$B$8:$B$379,"&gt;="&amp;Conversions!N62,'Calculations II'!$BP$8:$BP$380)-SUMIF(Sheet1!$B$8:$B$379,"&gt;"&amp;Conversions!O62,'Calculations II'!$BP$8:$BP$380)</f>
        <v>0</v>
      </c>
      <c r="X20" s="52"/>
      <c r="Y20" s="52"/>
    </row>
    <row r="21" spans="1:27">
      <c r="A21" s="333" t="s">
        <v>423</v>
      </c>
      <c r="B21" s="317"/>
      <c r="C21" s="309"/>
      <c r="D21" s="59"/>
      <c r="E21" s="55"/>
      <c r="F21" s="735"/>
      <c r="G21" s="736"/>
      <c r="H21" s="55"/>
      <c r="I21" s="59"/>
      <c r="J21" s="719"/>
      <c r="K21" s="55"/>
      <c r="L21" s="59"/>
      <c r="M21" s="55"/>
      <c r="N21" s="745"/>
      <c r="O21" s="745"/>
      <c r="P21" s="55"/>
      <c r="Q21" s="59"/>
      <c r="R21" s="751"/>
      <c r="S21" s="309"/>
      <c r="T21" s="59"/>
      <c r="U21" s="317"/>
      <c r="V21" s="487"/>
      <c r="X21" s="52"/>
      <c r="Y21" s="52"/>
    </row>
    <row r="22" spans="1:27" s="521" customFormat="1">
      <c r="A22" s="720" t="s">
        <v>168</v>
      </c>
      <c r="B22" s="721" t="e">
        <f t="shared" ref="B22:R22" si="0">SUM(B9:B20)</f>
        <v>#N/A</v>
      </c>
      <c r="C22" s="722">
        <f t="shared" si="0"/>
        <v>1922.155344</v>
      </c>
      <c r="D22" s="723">
        <f t="shared" si="0"/>
        <v>10243.269999999997</v>
      </c>
      <c r="E22" s="723">
        <f t="shared" si="0"/>
        <v>11067.339999999997</v>
      </c>
      <c r="F22" s="737">
        <f t="shared" si="0"/>
        <v>18918.204447559932</v>
      </c>
      <c r="G22" s="738">
        <f t="shared" si="0"/>
        <v>23232.765343999999</v>
      </c>
      <c r="H22" s="724">
        <f t="shared" si="0"/>
        <v>19.218877349821792</v>
      </c>
      <c r="I22" s="723" t="e">
        <f t="shared" ca="1" si="0"/>
        <v>#REF!</v>
      </c>
      <c r="J22" s="725" t="e">
        <f t="shared" si="0"/>
        <v>#REF!</v>
      </c>
      <c r="K22" s="724">
        <f t="shared" ca="1" si="0"/>
        <v>27.701508600931795</v>
      </c>
      <c r="L22" s="723">
        <f t="shared" si="0"/>
        <v>6778.6099999999951</v>
      </c>
      <c r="M22" s="724">
        <f t="shared" si="0"/>
        <v>6046.8210000000017</v>
      </c>
      <c r="N22" s="746">
        <f t="shared" ca="1" si="0"/>
        <v>12924.915852600952</v>
      </c>
      <c r="O22" s="746">
        <f t="shared" ca="1" si="0"/>
        <v>18971.736852600905</v>
      </c>
      <c r="P22" s="724">
        <f t="shared" si="0"/>
        <v>472.48600000000124</v>
      </c>
      <c r="Q22" s="723">
        <f t="shared" si="0"/>
        <v>3842.0748964400891</v>
      </c>
      <c r="R22" s="752">
        <f t="shared" ca="1" si="0"/>
        <v>23286.297749041049</v>
      </c>
      <c r="S22" s="722">
        <f>SUM(S9:S20)</f>
        <v>217.18181990752333</v>
      </c>
      <c r="T22" s="723">
        <f>SUM(T9:T20)</f>
        <v>1100.0136179117305</v>
      </c>
      <c r="U22" s="721">
        <f>SUM(U9:U20)</f>
        <v>2524.8794586208369</v>
      </c>
      <c r="V22" s="726">
        <f>SUM(V9:V20)</f>
        <v>0</v>
      </c>
      <c r="W22" s="520"/>
    </row>
    <row r="23" spans="1:27">
      <c r="A23" s="262" t="s">
        <v>216</v>
      </c>
      <c r="B23" s="321"/>
      <c r="C23" s="322"/>
      <c r="D23" s="323"/>
      <c r="E23" s="324"/>
      <c r="F23" s="739"/>
      <c r="G23" s="740"/>
      <c r="H23" s="322"/>
      <c r="I23" s="323"/>
      <c r="J23" s="727"/>
      <c r="K23" s="322"/>
      <c r="L23" s="323"/>
      <c r="M23" s="324"/>
      <c r="N23" s="747"/>
      <c r="O23" s="747"/>
      <c r="P23" s="340"/>
      <c r="Q23" s="323"/>
      <c r="R23" s="753"/>
      <c r="S23" s="322"/>
      <c r="T23" s="323"/>
      <c r="U23" s="321"/>
      <c r="V23" s="489"/>
      <c r="X23" s="52"/>
      <c r="Y23" s="52"/>
    </row>
    <row r="24" spans="1:27" ht="13.5" thickBot="1">
      <c r="A24" s="728" t="s">
        <v>217</v>
      </c>
      <c r="B24" s="327" t="e">
        <f ca="1">B22/IF(Summary!$A$1&lt;Conversions!$M$62,(ROUNDDOWN(Summary!$A$1,0)-Conversions!$L$51+1),(Conversions!$M$62-Conversions!$L$51+1))</f>
        <v>#N/A</v>
      </c>
      <c r="C24" s="328">
        <f ca="1">C22/IF(Summary!$A$1&lt;Conversions!$M$62,(ROUNDDOWN(Summary!$A$1,0)-Conversions!$L$51+1),(Conversions!$M$62-Conversions!$L$51+1))</f>
        <v>5.266179024657534</v>
      </c>
      <c r="D24" s="329">
        <f ca="1">D22/IF(Summary!$A$1&lt;Conversions!$M$62,(ROUNDDOWN(Summary!$A$1,0)-Conversions!$L$51+1),(Conversions!$M$62-Conversions!$L$51+1))</f>
        <v>28.063753424657527</v>
      </c>
      <c r="E24" s="330">
        <f ca="1">E22/IF(Summary!$A$1&lt;Conversions!$M$62,(ROUNDDOWN(Summary!$A$1,0)-Conversions!$L$51+1),(Conversions!$M$62-Conversions!$L$51+1))</f>
        <v>30.321479452054785</v>
      </c>
      <c r="F24" s="741">
        <f ca="1">F22/IF(Summary!$A$1&lt;Conversions!$M$62,(ROUNDDOWN(Summary!$A$1,0)-Conversions!$L$51+1),(Conversions!$M$62-Conversions!$L$51+1))</f>
        <v>51.830697116602558</v>
      </c>
      <c r="G24" s="742">
        <f ca="1">G22/IF(Summary!$A$1&lt;Conversions!$M$62,(ROUNDDOWN(Summary!$A$1,0)-Conversions!$L$51+1),(Conversions!$M$62-Conversions!$L$51+1))</f>
        <v>63.651411901369862</v>
      </c>
      <c r="H24" s="328">
        <f ca="1">H22/IF(Summary!$A$1&lt;Conversions!$M$62,(ROUNDDOWN(Summary!$A$1,0)-Conversions!$L$51+1),(Conversions!$M$62-Conversions!$L$51+1))</f>
        <v>5.2654458492662447E-2</v>
      </c>
      <c r="I24" s="329" t="e">
        <f ca="1">I22/IF(Summary!$A$1&lt;Conversions!$M$62,(ROUNDDOWN(Summary!$A$1,0)-Conversions!$L$51+1),(Conversions!$M$62-Conversions!$L$51+1))</f>
        <v>#REF!</v>
      </c>
      <c r="J24" s="330" t="e">
        <f ca="1">J22/IF(Summary!$A$1&lt;Conversions!$M$62,(ROUNDDOWN(Summary!$A$1,0)-Conversions!$L$51+1),(Conversions!$M$62-Conversions!$L$51+1))</f>
        <v>#REF!</v>
      </c>
      <c r="K24" s="328">
        <f ca="1">K22/IF(Summary!$A$1&lt;Conversions!$M$62,(ROUNDDOWN(Summary!$A$1,0)-Conversions!$L$51+1),(Conversions!$M$62-Conversions!$L$51+1))</f>
        <v>7.5894544112141901E-2</v>
      </c>
      <c r="L24" s="329">
        <f ca="1">L22/IF(Summary!$A$1&lt;Conversions!$M$62,(ROUNDDOWN(Summary!$A$1,0)-Conversions!$L$51+1),(Conversions!$M$62-Conversions!$L$51+1))</f>
        <v>18.571534246575329</v>
      </c>
      <c r="M24" s="330">
        <f ca="1">M22/IF(Summary!$A$1&lt;Conversions!$M$62,(ROUNDDOWN(Summary!$A$1,0)-Conversions!$L$51+1),(Conversions!$M$62-Conversions!$L$51+1))</f>
        <v>16.566632876712333</v>
      </c>
      <c r="N24" s="748">
        <f ca="1">N22/IF(Summary!$A$1&lt;Conversions!$M$62,(ROUNDDOWN(Summary!$A$1,0)-Conversions!$L$51+1),(Conversions!$M$62-Conversions!$L$51+1))</f>
        <v>35.410728363290282</v>
      </c>
      <c r="O24" s="749">
        <f ca="1">O22/IF(Summary!$A$1&lt;Conversions!$M$62,(ROUNDDOWN(Summary!$A$1,0)-Conversions!$L$51+1),(Conversions!$M$62-Conversions!$L$51+1))</f>
        <v>51.97736124000248</v>
      </c>
      <c r="P24" s="337">
        <f ca="1">P22/IF(Summary!$A$1&lt;Conversions!$M$62,(ROUNDDOWN(Summary!$A$1,0)-Conversions!$L$51+1),(Conversions!$M$62-Conversions!$L$51+1))</f>
        <v>1.2944821917808254</v>
      </c>
      <c r="Q24" s="329">
        <f ca="1">Q22/IF(Summary!$A$1&lt;Conversions!$M$62,(ROUNDDOWN(Summary!$A$1,0)-Conversions!$L$51+1),(Conversions!$M$62-Conversions!$L$51+1))</f>
        <v>10.526232592986545</v>
      </c>
      <c r="R24" s="754">
        <f ca="1">R22/IF(Summary!$A$1&lt;Conversions!$M$62,(ROUNDDOWN(Summary!$A$1,0)-Conversions!$L$51+1),(Conversions!$M$62-Conversions!$L$51+1))</f>
        <v>63.798076024769998</v>
      </c>
      <c r="S24" s="328">
        <f ca="1">S22/IF(Summary!$A$1&lt;Conversions!$M$62,(ROUNDDOWN(Summary!$A$1,0)-Conversions!$L$51+1),(Conversions!$M$62-Conversions!$L$51+1))</f>
        <v>0.59501868467814611</v>
      </c>
      <c r="T24" s="329">
        <f ca="1">T22/IF(Summary!$A$1&lt;Conversions!$M$62,(ROUNDDOWN(Summary!$A$1,0)-Conversions!$L$51+1),(Conversions!$M$62-Conversions!$L$51+1))</f>
        <v>3.0137359394841932</v>
      </c>
      <c r="U24" s="327">
        <f ca="1">U22/IF(Summary!$A$1&lt;Conversions!$M$62,(ROUNDDOWN(Summary!$A$1,0)-Conversions!$L$51+1),(Conversions!$M$62-Conversions!$L$51+1))</f>
        <v>6.917477968824211</v>
      </c>
      <c r="V24" s="490">
        <f ca="1">V22/IF(Summary!$A$1&lt;Conversions!$M$62,(ROUNDDOWN(Summary!$A$1,0)-Conversions!$L$51+1),(Conversions!$M$62-Conversions!$L$51+1))</f>
        <v>0</v>
      </c>
      <c r="X24" s="52"/>
      <c r="Y24" s="52"/>
    </row>
    <row r="25" spans="1:27">
      <c r="A25" s="729"/>
      <c r="B25" s="53"/>
      <c r="C25" s="53"/>
      <c r="D25" s="53"/>
      <c r="E25" s="730"/>
      <c r="F25" s="303"/>
      <c r="G25" s="303"/>
      <c r="H25" s="53"/>
      <c r="I25" s="53"/>
      <c r="J25" s="731"/>
      <c r="K25" s="53"/>
      <c r="L25" s="53"/>
      <c r="M25" s="729"/>
      <c r="N25" s="729"/>
      <c r="O25" s="729"/>
      <c r="P25" s="729"/>
      <c r="Q25" s="729"/>
      <c r="R25" s="729"/>
      <c r="S25" s="565"/>
      <c r="T25" s="565"/>
      <c r="U25" s="565"/>
      <c r="V25" s="729"/>
      <c r="X25" s="52"/>
      <c r="Y25" s="52"/>
    </row>
    <row r="26" spans="1:27" ht="13.5" thickBot="1"/>
    <row r="27" spans="1:27" ht="13.5" thickBot="1">
      <c r="A27" s="270" t="s">
        <v>446</v>
      </c>
      <c r="B27" s="271"/>
      <c r="C27" s="271"/>
      <c r="D27" s="271"/>
      <c r="E27" s="271"/>
      <c r="F27" s="272" t="s">
        <v>169</v>
      </c>
      <c r="G27" s="273" t="s">
        <v>170</v>
      </c>
      <c r="H27" s="51"/>
      <c r="I27" s="51"/>
      <c r="J27" s="51"/>
      <c r="K27" s="274" t="s">
        <v>447</v>
      </c>
      <c r="L27" s="275"/>
      <c r="M27" s="275"/>
      <c r="N27" s="275"/>
      <c r="O27" s="275"/>
      <c r="P27" s="275"/>
      <c r="Q27" s="276" t="s">
        <v>169</v>
      </c>
      <c r="R27" s="277" t="s">
        <v>170</v>
      </c>
      <c r="Z27" s="61"/>
      <c r="AA27" s="61"/>
    </row>
    <row r="28" spans="1:27">
      <c r="A28" s="278" t="s">
        <v>459</v>
      </c>
      <c r="B28" s="279"/>
      <c r="C28" s="279"/>
      <c r="D28" s="279"/>
      <c r="E28" s="280"/>
      <c r="F28" s="346">
        <f>INDEX('Calculations II'!$AC$12:$AM$377, MATCH(G28,'Calculations II'!$AC$12:$AC$377,), MATCH("Date",'Calculations II'!$AC$7:$AM$7,))</f>
        <v>41935</v>
      </c>
      <c r="G28" s="282">
        <f>MIN(IF(('Calculations II'!$B$12:$B$377&gt;=Conversions!$L$51)*('Calculations II'!$B$12:$B$377&lt;=Conversions!$M$62),'Calculations II'!$AC$12:$AC$377))</f>
        <v>44.673999999999999</v>
      </c>
      <c r="H28" s="51"/>
      <c r="I28" s="51"/>
      <c r="J28" s="51"/>
      <c r="K28" s="283" t="s">
        <v>465</v>
      </c>
      <c r="L28" s="284"/>
      <c r="M28" s="284"/>
      <c r="N28" s="284"/>
      <c r="O28" s="284"/>
      <c r="P28" s="285"/>
      <c r="Q28" s="347">
        <f ca="1">INDEX('Calculations II'!$AC$8:$AM$380, MATCH(R28,'Calculations II'!$AI$8:$AI$380,), MATCH("Date",'Calculations II'!$AC$7:$AM$7,))</f>
        <v>41934</v>
      </c>
      <c r="R28" s="287">
        <f ca="1">MIN(IF(('Calculations II'!$B$8:$B$377&gt;=Conversions!$L$51)*('Calculations II'!$B$8:$B$377&lt;=Conversions!$M$62),'Calculations II'!$AI$8:$AI$377))</f>
        <v>38.579817376198861</v>
      </c>
      <c r="V28" s="288"/>
      <c r="Z28" s="61"/>
      <c r="AA28" s="61"/>
    </row>
    <row r="29" spans="1:27" ht="13.5" thickBot="1">
      <c r="A29" s="289" t="s">
        <v>460</v>
      </c>
      <c r="B29" s="290"/>
      <c r="C29" s="290"/>
      <c r="D29" s="290"/>
      <c r="E29" s="732"/>
      <c r="F29" s="345">
        <f>INDEX('Calculations II'!$AC$12:$AM$377, MATCH(G29,'Calculations II'!$AC$12:$AC$377,), MATCH("Date",'Calculations II'!$AC$7:$AM$7,))</f>
        <v>41833</v>
      </c>
      <c r="G29" s="292">
        <f>MAX(IF(('Calculations II'!$B$12:$B$377&gt;=Conversions!$L$51)*('Calculations II'!$B$12:$B$377&lt;=Conversions!$M$62),'Calculations II'!$AC$12:$AC$377))</f>
        <v>105.86371199999999</v>
      </c>
      <c r="H29" s="51"/>
      <c r="I29" s="51"/>
      <c r="J29" s="51"/>
      <c r="K29" s="293" t="s">
        <v>464</v>
      </c>
      <c r="L29" s="294"/>
      <c r="M29" s="294"/>
      <c r="N29" s="294"/>
      <c r="O29" s="294"/>
      <c r="P29" s="295"/>
      <c r="Q29" s="348">
        <f ca="1">INDEX('Calculations II'!$AC$8:$AM$380, MATCH(R29,'Calculations II'!$AI$8:$AI$380,), MATCH("Date",'Calculations II'!$AC$7:$AM$7,))</f>
        <v>41832</v>
      </c>
      <c r="R29" s="297">
        <f ca="1">MAX(IF(('Calculations II'!$B$8:$B$380&gt;=Conversions!$L$51)*('Calculations II'!$B$8:$B$380&lt;=Conversions!$M$62),'Calculations II'!$AI$8:$AI$380))</f>
        <v>102.34428513939201</v>
      </c>
    </row>
    <row r="30" spans="1:27">
      <c r="A30" s="269"/>
      <c r="B30" s="60"/>
      <c r="C30" s="60"/>
      <c r="D30" s="60"/>
      <c r="E30" s="60"/>
      <c r="F30" s="60"/>
      <c r="G30" s="60"/>
      <c r="H30" s="51"/>
      <c r="I30" s="51"/>
      <c r="J30" s="51"/>
      <c r="K30" s="60"/>
      <c r="L30" s="60"/>
      <c r="M30" s="60"/>
      <c r="N30" s="60"/>
      <c r="O30" s="60"/>
      <c r="P30" s="60"/>
      <c r="Q30" s="60"/>
      <c r="R30" s="60"/>
    </row>
    <row r="31" spans="1:27" ht="13.5" thickBot="1">
      <c r="A31" s="269" t="s">
        <v>450</v>
      </c>
      <c r="B31" s="60"/>
      <c r="C31" s="60"/>
      <c r="D31" s="60"/>
      <c r="E31" s="60"/>
      <c r="F31" s="60"/>
      <c r="G31" s="60"/>
      <c r="H31" s="51"/>
      <c r="I31" s="51"/>
      <c r="J31" s="51"/>
      <c r="K31" s="269" t="s">
        <v>450</v>
      </c>
      <c r="L31" s="60"/>
      <c r="M31" s="60"/>
      <c r="N31" s="60"/>
      <c r="O31" s="60"/>
      <c r="P31" s="60"/>
      <c r="Q31" s="60"/>
      <c r="R31" s="60"/>
    </row>
    <row r="32" spans="1:27" ht="13.5" thickBot="1">
      <c r="A32" s="270" t="s">
        <v>446</v>
      </c>
      <c r="B32" s="271"/>
      <c r="C32" s="271"/>
      <c r="D32" s="271"/>
      <c r="E32" s="272" t="s">
        <v>169</v>
      </c>
      <c r="F32" s="273" t="s">
        <v>170</v>
      </c>
      <c r="G32" s="52"/>
      <c r="H32" s="51"/>
      <c r="I32" s="51"/>
      <c r="J32" s="51"/>
      <c r="K32" s="274" t="s">
        <v>447</v>
      </c>
      <c r="L32" s="275"/>
      <c r="M32" s="275"/>
      <c r="N32" s="276" t="s">
        <v>169</v>
      </c>
      <c r="O32" s="277" t="s">
        <v>170</v>
      </c>
      <c r="P32" s="51"/>
      <c r="Q32" s="51"/>
    </row>
    <row r="33" spans="1:22">
      <c r="A33" s="278" t="s">
        <v>462</v>
      </c>
      <c r="B33" s="279"/>
      <c r="C33" s="279"/>
      <c r="D33" s="279"/>
      <c r="E33" s="346">
        <f>INDEX('Calculations II'!$AE$8:$AM$380, MATCH(F33,'Calculations II'!$AE$8:$AE$380,), MATCH("Date",'Calculations II'!$AE$7:$AM$7,))</f>
        <v>41935</v>
      </c>
      <c r="F33" s="282">
        <f t="array" ref="F33">MIN(IF(('Calculations II'!$B$8:$B$380&gt;=Conversions!L51)*('Calculations II'!$B$8:$B$380&lt;=Conversions!M62),'Calculations II'!$AE$8:$AE$380))</f>
        <v>34.703049729197438</v>
      </c>
      <c r="G33" s="52"/>
      <c r="H33" s="51"/>
      <c r="I33" s="51"/>
      <c r="J33" s="51"/>
      <c r="K33" s="283" t="s">
        <v>465</v>
      </c>
      <c r="L33" s="284"/>
      <c r="M33" s="284"/>
      <c r="N33" s="347">
        <f ca="1">INDEX('Calculations II'!$AH$8:$AM$380, MATCH(O33,'Calculations II'!$AH$8:$AH$380,), MATCH("Date",'Calculations II'!$AH$7:$AM$7,))</f>
        <v>41934</v>
      </c>
      <c r="O33" s="287">
        <f t="array" aca="1" ref="O33" ca="1">MIN(IF(('Calculations II'!$B$8:$B$380&gt;=Conversions!L51)*('Calculations II'!$B$8:$B$380&lt;=Conversions!M62),'Calculations II'!$AH$8:$AH$380))</f>
        <v>28.449429461241756</v>
      </c>
      <c r="P33" s="51"/>
      <c r="Q33" s="51"/>
    </row>
    <row r="34" spans="1:22" ht="13.5" thickBot="1">
      <c r="A34" s="289" t="s">
        <v>463</v>
      </c>
      <c r="B34" s="290"/>
      <c r="C34" s="290"/>
      <c r="D34" s="290"/>
      <c r="E34" s="345">
        <f>INDEX('Calculations II'!$AE$8:$AM$380, MATCH(F34,'Calculations II'!$AE$8:$AE$380,), MATCH("Date",'Calculations II'!$AE$7:$AM$7,))</f>
        <v>41833</v>
      </c>
      <c r="F34" s="292">
        <f t="array" ref="F34">MAX(IF(('Calculations II'!$B$8:$B$380&gt;=Conversions!L51)*('Calculations II'!$B$8:$B$380&lt;=Conversions!M62),'Calculations II'!$AE$8:$AE$380))</f>
        <v>84.368825122171941</v>
      </c>
      <c r="G34" s="52"/>
      <c r="H34" s="51"/>
      <c r="I34" s="51"/>
      <c r="J34" s="51"/>
      <c r="K34" s="293" t="s">
        <v>464</v>
      </c>
      <c r="L34" s="294"/>
      <c r="M34" s="743"/>
      <c r="N34" s="348">
        <f ca="1">INDEX('Calculations II'!$AH$8:$AM$380, MATCH(O34,'Calculations II'!$AH$8:$AH$380,), MATCH("Date",'Calculations II'!$AH$7:$AM$7,))</f>
        <v>41832</v>
      </c>
      <c r="O34" s="297">
        <f t="array" aca="1" ref="O34" ca="1">MAX(IF(('Calculations II'!$B$8:$B$380&gt;=Conversions!L51)*('Calculations II'!$B$8:$B$380&lt;=Conversions!M62),'Calculations II'!$AH$8:$AH$380))</f>
        <v>80.824675823088469</v>
      </c>
      <c r="P34" s="51"/>
      <c r="Q34" s="51"/>
    </row>
    <row r="35" spans="1:22">
      <c r="E35" s="52"/>
      <c r="F35" s="52"/>
      <c r="G35" s="52"/>
      <c r="K35" s="52" t="s">
        <v>451</v>
      </c>
    </row>
    <row r="36" spans="1:22">
      <c r="A36" s="298" t="s">
        <v>452</v>
      </c>
      <c r="B36" s="344">
        <v>1</v>
      </c>
      <c r="C36" s="344">
        <v>2</v>
      </c>
      <c r="D36" s="344">
        <v>3</v>
      </c>
      <c r="E36" s="344">
        <v>4</v>
      </c>
      <c r="F36" s="298" t="s">
        <v>453</v>
      </c>
      <c r="G36" s="298" t="s">
        <v>454</v>
      </c>
      <c r="H36" s="344">
        <v>5</v>
      </c>
      <c r="I36" s="344">
        <v>6</v>
      </c>
      <c r="J36" s="344">
        <v>7</v>
      </c>
      <c r="K36" s="298" t="s">
        <v>455</v>
      </c>
      <c r="L36" s="298">
        <v>8</v>
      </c>
      <c r="M36" s="298">
        <v>9</v>
      </c>
      <c r="N36" s="298" t="s">
        <v>456</v>
      </c>
      <c r="O36" s="298" t="s">
        <v>457</v>
      </c>
      <c r="P36" s="298">
        <v>10</v>
      </c>
      <c r="Q36" s="298">
        <v>11</v>
      </c>
      <c r="R36" s="298" t="s">
        <v>458</v>
      </c>
      <c r="V36" s="301"/>
    </row>
    <row r="39" spans="1:22">
      <c r="N39" s="98"/>
      <c r="O39" s="98"/>
      <c r="V39" s="98"/>
    </row>
    <row r="40" spans="1:22">
      <c r="N40" s="61"/>
      <c r="O40" s="61"/>
      <c r="V40" s="61"/>
    </row>
    <row r="41" spans="1:22">
      <c r="N41" s="61"/>
      <c r="O41" s="61"/>
      <c r="V41" s="61"/>
    </row>
    <row r="42" spans="1:22">
      <c r="N42" s="61"/>
      <c r="O42" s="61"/>
      <c r="V42" s="61"/>
    </row>
    <row r="43" spans="1:22">
      <c r="N43" s="61"/>
      <c r="O43" s="61"/>
      <c r="V43" s="61"/>
    </row>
    <row r="44" spans="1:22">
      <c r="N44" s="61"/>
      <c r="O44" s="61"/>
      <c r="V44" s="61"/>
    </row>
    <row r="45" spans="1:22">
      <c r="N45" s="61"/>
      <c r="O45" s="61"/>
      <c r="V45" s="61"/>
    </row>
    <row r="46" spans="1:22">
      <c r="N46" s="61"/>
      <c r="O46" s="61"/>
      <c r="V46" s="61"/>
    </row>
    <row r="47" spans="1:22">
      <c r="N47" s="61"/>
      <c r="O47" s="61"/>
      <c r="V47" s="61"/>
    </row>
    <row r="48" spans="1:22">
      <c r="N48" s="61"/>
      <c r="O48" s="61"/>
      <c r="V48" s="61"/>
    </row>
    <row r="49" spans="14:22">
      <c r="N49" s="61"/>
      <c r="O49" s="61"/>
      <c r="V49" s="61"/>
    </row>
    <row r="50" spans="14:22">
      <c r="N50" s="61"/>
      <c r="O50" s="61"/>
      <c r="V50" s="61"/>
    </row>
    <row r="51" spans="14:22">
      <c r="N51" s="61"/>
      <c r="O51" s="61"/>
      <c r="V51" s="61"/>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29" priority="5" stopIfTrue="1">
      <formula>IF(MONTH($A$39)&gt;MONTH($E$1),TRUE,FALSE)</formula>
    </cfRule>
    <cfRule type="expression" dxfId="28" priority="6" stopIfTrue="1">
      <formula>IF(MONTH($A$39)&lt;MONTH($E$1),TRUE,FALSE)</formula>
    </cfRule>
  </conditionalFormatting>
  <conditionalFormatting sqref="W22:W23">
    <cfRule type="expression" priority="7" stopIfTrue="1">
      <formula>IF(MONTH($A$38)=MONTH($E$1),TRUE,FALSE)</formula>
    </cfRule>
    <cfRule type="expression" dxfId="27" priority="8" stopIfTrue="1">
      <formula>IF(MONTH($A$38)&gt;MONTH($E$1),TRUE,FALSE)</formula>
    </cfRule>
    <cfRule type="expression" dxfId="26" priority="9" stopIfTrue="1">
      <formula>IF(MONTH($A$38)&lt;MONTH($E$1),TRUE,FALSE)</formula>
    </cfRule>
  </conditionalFormatting>
  <pageMargins left="0.25" right="0.25" top="0.75" bottom="0.75" header="0.3" footer="0.3"/>
  <pageSetup paperSize="5" scale="8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3">
    <pageSetUpPr fitToPage="1"/>
  </sheetPr>
  <dimension ref="A1:HR528"/>
  <sheetViews>
    <sheetView zoomScale="90" zoomScaleNormal="90" workbookViewId="0">
      <pane xSplit="3" ySplit="7" topLeftCell="CM287" activePane="bottomRight" state="frozen"/>
      <selection pane="topRight" activeCell="D1" sqref="D1"/>
      <selection pane="bottomLeft" activeCell="A8" sqref="A8"/>
      <selection pane="bottomRight" activeCell="DH287" sqref="DH287"/>
    </sheetView>
  </sheetViews>
  <sheetFormatPr defaultColWidth="9.140625" defaultRowHeight="12.75"/>
  <cols>
    <col min="1" max="1" width="11.5703125" style="2" bestFit="1" customWidth="1"/>
    <col min="2" max="2" width="15" style="674" customWidth="1"/>
    <col min="3" max="3" width="23.140625" style="2" customWidth="1"/>
    <col min="4" max="4" width="9.5703125" style="368" bestFit="1" customWidth="1"/>
    <col min="5" max="5" width="9.5703125" style="702" bestFit="1" customWidth="1"/>
    <col min="6" max="6" width="13.42578125" style="702" customWidth="1"/>
    <col min="7" max="7" width="10.5703125" style="702" bestFit="1" customWidth="1"/>
    <col min="8" max="8" width="10.42578125" style="369" bestFit="1" customWidth="1"/>
    <col min="9" max="9" width="9.5703125" style="369" bestFit="1" customWidth="1"/>
    <col min="10" max="10" width="13.42578125" style="354" bestFit="1" customWidth="1"/>
    <col min="11" max="11" width="13.5703125" style="354" customWidth="1"/>
    <col min="12" max="12" width="10.85546875" style="787" customWidth="1"/>
    <col min="13" max="17" width="10.42578125" style="370" customWidth="1"/>
    <col min="18" max="18" width="17.85546875" style="354" bestFit="1" customWidth="1"/>
    <col min="19" max="20" width="14.42578125" style="354" bestFit="1" customWidth="1"/>
    <col min="21" max="22" width="12.42578125" style="354" customWidth="1"/>
    <col min="23" max="23" width="13.5703125" style="370" customWidth="1"/>
    <col min="24" max="24" width="14.5703125" style="3" customWidth="1"/>
    <col min="25" max="25" width="9.42578125" style="354" bestFit="1" customWidth="1"/>
    <col min="26" max="26" width="12.85546875" style="677" customWidth="1"/>
    <col min="27" max="27" width="12" style="797" customWidth="1"/>
    <col min="28" max="28" width="13.85546875" style="797" customWidth="1"/>
    <col min="29" max="29" width="12" style="402" customWidth="1"/>
    <col min="30" max="30" width="14.140625" style="402" customWidth="1"/>
    <col min="31" max="31" width="12" style="402" customWidth="1"/>
    <col min="32" max="35" width="12" style="371" customWidth="1"/>
    <col min="36" max="37" width="9.140625" style="3"/>
    <col min="38" max="38" width="9.5703125" style="3" customWidth="1"/>
    <col min="39" max="39" width="9.85546875" style="3" customWidth="1"/>
    <col min="40" max="42" width="9.140625" style="3"/>
    <col min="43" max="43" width="12" style="354" customWidth="1"/>
    <col min="44" max="44" width="12" style="576" customWidth="1"/>
    <col min="45" max="45" width="12" style="354" customWidth="1"/>
    <col min="46" max="46" width="12" style="576" customWidth="1"/>
    <col min="47" max="47" width="12" style="354" customWidth="1"/>
    <col min="48" max="48" width="10.42578125" style="354" bestFit="1" customWidth="1"/>
    <col min="49" max="49" width="10.140625" style="354" bestFit="1" customWidth="1"/>
    <col min="50" max="50" width="11.42578125" style="354" bestFit="1" customWidth="1"/>
    <col min="51" max="51" width="11.42578125" style="576" bestFit="1" customWidth="1"/>
    <col min="52" max="52" width="11.5703125" style="576" customWidth="1"/>
    <col min="53" max="53" width="12" style="576" customWidth="1"/>
    <col min="54" max="55" width="12.42578125" style="354" customWidth="1"/>
    <col min="56" max="56" width="11.85546875" style="354" customWidth="1"/>
    <col min="57" max="57" width="11.5703125" style="576" customWidth="1"/>
    <col min="58" max="58" width="11.85546875" style="354" customWidth="1"/>
    <col min="59" max="59" width="10.42578125" style="381" customWidth="1"/>
    <col min="60" max="60" width="10.5703125" style="576" bestFit="1" customWidth="1"/>
    <col min="61" max="61" width="13.5703125" style="354" customWidth="1"/>
    <col min="62" max="62" width="10.5703125" style="354" customWidth="1"/>
    <col min="63" max="63" width="11.42578125" style="354" customWidth="1"/>
    <col min="64" max="64" width="9.42578125" style="354" bestFit="1" customWidth="1"/>
    <col min="65" max="65" width="9.5703125" style="381" bestFit="1" customWidth="1"/>
    <col min="66" max="66" width="12" style="354" bestFit="1" customWidth="1"/>
    <col min="67" max="67" width="11.140625" style="354" customWidth="1"/>
    <col min="68" max="68" width="11.5703125" style="354" customWidth="1"/>
    <col min="69" max="72" width="13.5703125" style="381" customWidth="1"/>
    <col min="73" max="73" width="10.5703125" style="381" customWidth="1"/>
    <col min="74" max="74" width="11.140625" style="381" customWidth="1"/>
    <col min="75" max="75" width="9.85546875" style="363" bestFit="1" customWidth="1"/>
    <col min="76" max="76" width="10.42578125" style="363" customWidth="1"/>
    <col min="77" max="77" width="11.85546875" style="381" customWidth="1"/>
    <col min="78" max="78" width="11" style="381" customWidth="1"/>
    <col min="79" max="79" width="9.42578125" style="363" bestFit="1" customWidth="1"/>
    <col min="80" max="80" width="8.5703125" style="363" customWidth="1"/>
    <col min="81" max="81" width="9.42578125" style="363" customWidth="1"/>
    <col min="82" max="84" width="10.42578125" style="3" customWidth="1"/>
    <col min="85" max="87" width="10.5703125" style="3" bestFit="1" customWidth="1"/>
    <col min="88" max="88" width="9.42578125" style="3" bestFit="1" customWidth="1"/>
    <col min="89" max="89" width="12" style="3" customWidth="1"/>
    <col min="90" max="91" width="9.42578125" style="3" bestFit="1" customWidth="1"/>
    <col min="92" max="92" width="9.5703125" style="3" customWidth="1"/>
    <col min="93" max="93" width="10.42578125" style="3" customWidth="1"/>
    <col min="94" max="94" width="10.5703125" style="3" customWidth="1"/>
    <col min="95" max="96" width="9.42578125" style="3" bestFit="1" customWidth="1"/>
    <col min="97" max="97" width="13.42578125" style="354" customWidth="1"/>
    <col min="98" max="98" width="17.5703125" style="354" customWidth="1"/>
    <col min="99" max="99" width="11.5703125" style="354" customWidth="1"/>
    <col min="100" max="100" width="9.140625" style="363"/>
    <col min="101" max="101" width="10" style="363" customWidth="1"/>
    <col min="102" max="102" width="10.42578125" style="363" customWidth="1"/>
    <col min="103" max="103" width="9.140625" style="363"/>
    <col min="104" max="104" width="11" style="381" customWidth="1"/>
    <col min="105" max="105" width="12.85546875" style="381" customWidth="1"/>
    <col min="106" max="106" width="13.42578125" style="381" bestFit="1" customWidth="1"/>
    <col min="107" max="107" width="11.5703125" style="381" bestFit="1" customWidth="1"/>
    <col min="108" max="112" width="10.42578125" style="363" customWidth="1"/>
    <col min="113" max="113" width="10.42578125" style="3" customWidth="1"/>
    <col min="114" max="116" width="9.140625" style="3"/>
    <col min="117" max="118" width="10.42578125" style="3" customWidth="1"/>
    <col min="119" max="126" width="9.140625" style="3"/>
    <col min="127" max="127" width="10" style="3" customWidth="1"/>
    <col min="128" max="143" width="9.140625" style="3"/>
    <col min="144" max="144" width="10.85546875" style="3" customWidth="1"/>
    <col min="145" max="145" width="10.42578125" style="3" customWidth="1"/>
    <col min="146" max="146" width="9.140625" style="3"/>
    <col min="147" max="147" width="10.42578125" style="3" customWidth="1"/>
    <col min="148" max="149" width="11.140625" style="3" customWidth="1"/>
    <col min="150" max="150" width="9.140625" style="3"/>
    <col min="151" max="16384" width="9.140625" style="355"/>
  </cols>
  <sheetData>
    <row r="1" spans="1:226" s="523" customFormat="1" ht="29.25" customHeight="1">
      <c r="A1" s="363"/>
      <c r="B1" s="675"/>
      <c r="C1" s="363"/>
      <c r="D1" s="524" t="s">
        <v>232</v>
      </c>
      <c r="E1" s="682"/>
      <c r="F1" s="682"/>
      <c r="G1" s="682"/>
      <c r="H1" s="525"/>
      <c r="I1" s="525"/>
      <c r="J1" s="525"/>
      <c r="K1" s="525"/>
      <c r="L1" s="779"/>
      <c r="M1" s="525"/>
      <c r="N1" s="525"/>
      <c r="O1" s="525"/>
      <c r="P1" s="525"/>
      <c r="Q1" s="525"/>
      <c r="R1" s="525"/>
      <c r="S1" s="525"/>
      <c r="T1" s="525"/>
      <c r="U1" s="525"/>
      <c r="V1" s="525"/>
      <c r="W1" s="525"/>
      <c r="X1" s="525"/>
      <c r="Y1" s="525"/>
      <c r="Z1" s="682"/>
      <c r="AA1" s="525"/>
      <c r="AB1" s="525"/>
      <c r="AC1" s="526"/>
      <c r="AD1" s="526"/>
      <c r="AE1" s="526"/>
      <c r="AF1" s="526"/>
      <c r="AG1" s="526"/>
      <c r="AH1" s="526"/>
      <c r="AI1" s="526"/>
      <c r="AJ1" s="363"/>
      <c r="AK1" s="363"/>
      <c r="AL1" s="363"/>
      <c r="AM1" s="363"/>
      <c r="AN1" s="363"/>
      <c r="AO1" s="363"/>
      <c r="AP1" s="363"/>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63"/>
      <c r="BX1" s="363"/>
      <c r="BY1" s="381"/>
      <c r="BZ1" s="381"/>
      <c r="CA1" s="363"/>
      <c r="CB1" s="363"/>
      <c r="CC1" s="363"/>
      <c r="CD1" s="363"/>
      <c r="CE1" s="363"/>
      <c r="CF1" s="363"/>
      <c r="CG1" s="363"/>
      <c r="CH1" s="363"/>
      <c r="CI1" s="363"/>
      <c r="CJ1" s="363"/>
      <c r="CK1" s="363"/>
      <c r="CL1" s="363"/>
      <c r="CM1" s="363"/>
      <c r="CN1" s="363"/>
      <c r="CO1" s="363"/>
      <c r="CP1" s="363"/>
      <c r="CQ1" s="363"/>
      <c r="CR1" s="363"/>
      <c r="CS1" s="381"/>
      <c r="CT1" s="381"/>
      <c r="CU1" s="381"/>
      <c r="CV1" s="363"/>
      <c r="CW1" s="363"/>
      <c r="CX1" s="363"/>
      <c r="CY1" s="363"/>
      <c r="CZ1" s="381"/>
      <c r="DA1" s="381"/>
      <c r="DB1" s="381"/>
      <c r="DC1" s="381"/>
      <c r="DD1" s="363"/>
      <c r="DE1" s="363"/>
      <c r="DF1" s="363"/>
      <c r="DG1" s="363"/>
      <c r="DH1" s="363"/>
      <c r="DI1" s="363"/>
      <c r="DJ1" s="363"/>
      <c r="DK1" s="363"/>
      <c r="DL1" s="363"/>
      <c r="DM1" s="363"/>
      <c r="DN1" s="363"/>
      <c r="DO1" s="363"/>
      <c r="DP1" s="363"/>
      <c r="DQ1" s="363"/>
      <c r="DR1" s="363"/>
      <c r="DS1" s="363"/>
      <c r="DT1" s="363"/>
      <c r="DU1" s="363"/>
      <c r="DV1" s="363"/>
      <c r="DW1" s="363"/>
      <c r="DX1" s="363"/>
      <c r="DY1" s="363"/>
      <c r="DZ1" s="363"/>
      <c r="EA1" s="363"/>
      <c r="EB1" s="363"/>
      <c r="EC1" s="363"/>
      <c r="ED1" s="363"/>
      <c r="EE1" s="363"/>
      <c r="EF1" s="363"/>
      <c r="EG1" s="363"/>
      <c r="EH1" s="363"/>
      <c r="EI1" s="363"/>
      <c r="EJ1" s="363"/>
      <c r="EK1" s="363"/>
      <c r="EL1" s="363"/>
      <c r="EM1" s="363"/>
      <c r="EN1" s="363"/>
      <c r="EO1" s="363"/>
      <c r="EP1" s="363"/>
      <c r="EQ1" s="363"/>
      <c r="ER1" s="363"/>
      <c r="ES1" s="363"/>
      <c r="ET1" s="363"/>
    </row>
    <row r="2" spans="1:226" s="523" customFormat="1" ht="8.25" customHeight="1">
      <c r="A2" s="363"/>
      <c r="B2" s="675"/>
      <c r="C2" s="363"/>
      <c r="D2" s="527"/>
      <c r="E2" s="684"/>
      <c r="F2" s="684"/>
      <c r="G2" s="684"/>
      <c r="H2" s="528"/>
      <c r="I2" s="528"/>
      <c r="J2" s="528"/>
      <c r="K2" s="528"/>
      <c r="L2" s="780"/>
      <c r="M2" s="528"/>
      <c r="N2" s="528"/>
      <c r="O2" s="528"/>
      <c r="P2" s="528"/>
      <c r="Q2" s="528"/>
      <c r="R2" s="528"/>
      <c r="S2" s="528"/>
      <c r="T2" s="528"/>
      <c r="U2" s="528"/>
      <c r="V2" s="528"/>
      <c r="W2" s="528"/>
      <c r="X2" s="528"/>
      <c r="Y2" s="528"/>
      <c r="Z2" s="684"/>
      <c r="AA2" s="528"/>
      <c r="AB2" s="528"/>
      <c r="AC2" s="526"/>
      <c r="AD2" s="526"/>
      <c r="AE2" s="526"/>
      <c r="AF2" s="526"/>
      <c r="AG2" s="526"/>
      <c r="AH2" s="526"/>
      <c r="AI2" s="526"/>
      <c r="AJ2" s="363"/>
      <c r="AK2" s="363"/>
      <c r="AL2" s="363"/>
      <c r="AM2" s="363"/>
      <c r="AN2" s="363"/>
      <c r="AO2" s="363"/>
      <c r="AP2" s="363"/>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63"/>
      <c r="BX2" s="363"/>
      <c r="BY2" s="381"/>
      <c r="BZ2" s="381"/>
      <c r="CA2" s="363"/>
      <c r="CB2" s="363"/>
      <c r="CC2" s="363"/>
      <c r="CD2" s="363"/>
      <c r="CE2" s="363"/>
      <c r="CF2" s="363"/>
      <c r="CG2" s="363"/>
      <c r="CH2" s="363"/>
      <c r="CI2" s="363"/>
      <c r="CJ2" s="363"/>
      <c r="CK2" s="363"/>
      <c r="CL2" s="363"/>
      <c r="CM2" s="363"/>
      <c r="CN2" s="363"/>
      <c r="CO2" s="363"/>
      <c r="CP2" s="363"/>
      <c r="CQ2" s="363"/>
      <c r="CR2" s="363"/>
      <c r="CS2" s="381"/>
      <c r="CT2" s="381"/>
      <c r="CU2" s="381"/>
      <c r="CV2" s="363"/>
      <c r="CW2" s="363"/>
      <c r="CX2" s="363"/>
      <c r="CY2" s="363"/>
      <c r="CZ2" s="381"/>
      <c r="DA2" s="381"/>
      <c r="DB2" s="381"/>
      <c r="DC2" s="381"/>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26" s="356" customFormat="1">
      <c r="A3" s="529"/>
      <c r="B3" s="679">
        <v>1</v>
      </c>
      <c r="C3" s="374">
        <v>2</v>
      </c>
      <c r="D3" s="374">
        <v>3</v>
      </c>
      <c r="E3" s="679">
        <v>4</v>
      </c>
      <c r="F3" s="679">
        <v>5</v>
      </c>
      <c r="G3" s="679">
        <v>6</v>
      </c>
      <c r="H3" s="374">
        <v>7</v>
      </c>
      <c r="I3" s="374">
        <v>8</v>
      </c>
      <c r="J3" s="374">
        <v>9</v>
      </c>
      <c r="K3" s="374">
        <v>10</v>
      </c>
      <c r="L3" s="781">
        <v>11</v>
      </c>
      <c r="M3" s="374">
        <v>12</v>
      </c>
      <c r="N3" s="374">
        <v>13</v>
      </c>
      <c r="O3" s="374">
        <v>14</v>
      </c>
      <c r="P3" s="374">
        <v>15</v>
      </c>
      <c r="Q3" s="374">
        <v>16</v>
      </c>
      <c r="R3" s="374">
        <v>17</v>
      </c>
      <c r="S3" s="374">
        <v>18</v>
      </c>
      <c r="T3" s="374">
        <v>19</v>
      </c>
      <c r="U3" s="374">
        <v>20</v>
      </c>
      <c r="V3" s="374">
        <v>21</v>
      </c>
      <c r="W3" s="374">
        <v>22</v>
      </c>
      <c r="X3" s="374">
        <v>23</v>
      </c>
      <c r="Y3" s="374">
        <v>24</v>
      </c>
      <c r="Z3" s="679">
        <v>25</v>
      </c>
      <c r="AA3" s="374">
        <v>26</v>
      </c>
      <c r="AB3" s="374">
        <v>27</v>
      </c>
      <c r="AC3" s="374">
        <v>28</v>
      </c>
      <c r="AD3" s="374">
        <v>29</v>
      </c>
      <c r="AE3" s="374">
        <v>30</v>
      </c>
      <c r="AF3" s="374">
        <v>31</v>
      </c>
      <c r="AG3" s="374">
        <v>32</v>
      </c>
      <c r="AH3" s="374">
        <v>33</v>
      </c>
      <c r="AI3" s="374">
        <v>34</v>
      </c>
      <c r="AJ3" s="374">
        <v>35</v>
      </c>
      <c r="AK3" s="374">
        <v>36</v>
      </c>
      <c r="AL3" s="374">
        <v>37</v>
      </c>
      <c r="AM3" s="374">
        <v>38</v>
      </c>
      <c r="AN3" s="374">
        <v>39</v>
      </c>
      <c r="AO3" s="374">
        <v>40</v>
      </c>
      <c r="AP3" s="374">
        <v>41</v>
      </c>
      <c r="AQ3" s="374">
        <v>42</v>
      </c>
      <c r="AR3" s="374">
        <v>43</v>
      </c>
      <c r="AS3" s="374">
        <v>44</v>
      </c>
      <c r="AT3" s="374">
        <v>45</v>
      </c>
      <c r="AU3" s="374">
        <v>46</v>
      </c>
      <c r="AV3" s="374">
        <v>47</v>
      </c>
      <c r="AW3" s="374">
        <v>48</v>
      </c>
      <c r="AX3" s="374">
        <v>49</v>
      </c>
      <c r="AY3" s="374">
        <v>50</v>
      </c>
      <c r="AZ3" s="374">
        <v>51</v>
      </c>
      <c r="BA3" s="374">
        <v>52</v>
      </c>
      <c r="BB3" s="374">
        <v>53</v>
      </c>
      <c r="BC3" s="374">
        <v>54</v>
      </c>
      <c r="BD3" s="374">
        <v>55</v>
      </c>
      <c r="BE3" s="374">
        <v>56</v>
      </c>
      <c r="BF3" s="374">
        <v>57</v>
      </c>
      <c r="BG3" s="374">
        <v>58</v>
      </c>
      <c r="BH3" s="374">
        <v>59</v>
      </c>
      <c r="BI3" s="374">
        <v>60</v>
      </c>
      <c r="BJ3" s="374">
        <v>61</v>
      </c>
      <c r="BK3" s="374">
        <v>62</v>
      </c>
      <c r="BL3" s="374">
        <v>63</v>
      </c>
      <c r="BM3" s="374">
        <v>64</v>
      </c>
      <c r="BN3" s="374">
        <v>65</v>
      </c>
      <c r="BO3" s="374">
        <v>66</v>
      </c>
      <c r="BP3" s="374">
        <v>67</v>
      </c>
      <c r="BQ3" s="374">
        <v>71</v>
      </c>
      <c r="BR3" s="374">
        <v>72</v>
      </c>
      <c r="BS3" s="374">
        <v>73</v>
      </c>
      <c r="BT3" s="374">
        <v>74</v>
      </c>
      <c r="BU3" s="374">
        <v>75</v>
      </c>
      <c r="BV3" s="374">
        <v>76</v>
      </c>
      <c r="BW3" s="374">
        <v>77</v>
      </c>
      <c r="BX3" s="374"/>
      <c r="BY3" s="374">
        <v>78</v>
      </c>
      <c r="BZ3" s="374">
        <v>79</v>
      </c>
      <c r="CA3" s="374">
        <v>80</v>
      </c>
      <c r="CB3" s="374"/>
      <c r="CC3" s="374"/>
      <c r="CD3" s="374">
        <v>81</v>
      </c>
      <c r="CE3" s="374">
        <v>82</v>
      </c>
      <c r="CF3" s="374">
        <v>83</v>
      </c>
      <c r="CG3" s="374">
        <v>84</v>
      </c>
      <c r="CH3" s="374">
        <v>85</v>
      </c>
      <c r="CI3" s="374">
        <v>86</v>
      </c>
      <c r="CJ3" s="374">
        <v>87</v>
      </c>
      <c r="CK3" s="374">
        <v>88</v>
      </c>
      <c r="CL3" s="374">
        <v>89</v>
      </c>
      <c r="CM3" s="374">
        <v>90</v>
      </c>
      <c r="CN3" s="374">
        <v>91</v>
      </c>
      <c r="CO3" s="374">
        <v>92</v>
      </c>
      <c r="CP3" s="374">
        <v>93</v>
      </c>
      <c r="CQ3" s="374">
        <v>94</v>
      </c>
      <c r="CR3" s="374">
        <v>95</v>
      </c>
      <c r="CS3" s="374">
        <v>96</v>
      </c>
      <c r="CT3" s="374">
        <v>97</v>
      </c>
      <c r="CU3" s="374">
        <v>98</v>
      </c>
      <c r="CV3" s="374">
        <v>99</v>
      </c>
      <c r="CW3" s="374">
        <v>100</v>
      </c>
      <c r="CX3" s="374">
        <v>101</v>
      </c>
      <c r="CY3" s="374">
        <v>102</v>
      </c>
      <c r="CZ3" s="374">
        <v>103</v>
      </c>
      <c r="DA3" s="374">
        <v>104</v>
      </c>
      <c r="DB3" s="374">
        <v>105</v>
      </c>
      <c r="DC3" s="374">
        <v>106</v>
      </c>
      <c r="DD3" s="374">
        <v>107</v>
      </c>
      <c r="DE3" s="374">
        <v>108</v>
      </c>
      <c r="DF3" s="374">
        <v>109</v>
      </c>
      <c r="DG3" s="374">
        <v>110</v>
      </c>
      <c r="DH3" s="374">
        <v>111</v>
      </c>
      <c r="DI3" s="374">
        <v>112</v>
      </c>
      <c r="DJ3" s="374">
        <v>113</v>
      </c>
      <c r="DK3" s="374">
        <v>114</v>
      </c>
      <c r="DL3" s="374">
        <v>115</v>
      </c>
      <c r="DM3" s="374">
        <v>116</v>
      </c>
      <c r="DN3" s="374">
        <v>117</v>
      </c>
      <c r="DO3" s="374">
        <v>118</v>
      </c>
      <c r="DP3" s="374">
        <v>119</v>
      </c>
      <c r="DQ3" s="374">
        <v>120</v>
      </c>
      <c r="DR3" s="374">
        <v>121</v>
      </c>
      <c r="DS3" s="374">
        <v>122</v>
      </c>
      <c r="DT3" s="374">
        <v>123</v>
      </c>
      <c r="DU3" s="374">
        <v>124</v>
      </c>
      <c r="DV3" s="374">
        <v>125</v>
      </c>
      <c r="DW3" s="374">
        <v>126</v>
      </c>
      <c r="DX3" s="374">
        <v>127</v>
      </c>
      <c r="DY3" s="374">
        <v>128</v>
      </c>
      <c r="DZ3" s="374">
        <v>129</v>
      </c>
      <c r="EA3" s="374">
        <v>130</v>
      </c>
      <c r="EB3" s="374">
        <v>131</v>
      </c>
      <c r="EC3" s="374">
        <v>132</v>
      </c>
      <c r="ED3" s="374">
        <v>133</v>
      </c>
      <c r="EE3" s="374">
        <v>134</v>
      </c>
      <c r="EF3" s="374">
        <v>135</v>
      </c>
      <c r="EG3" s="374">
        <v>136</v>
      </c>
      <c r="EH3" s="374">
        <v>137</v>
      </c>
      <c r="EI3" s="374">
        <v>138</v>
      </c>
      <c r="EJ3" s="374">
        <v>139</v>
      </c>
      <c r="EK3" s="374">
        <v>140</v>
      </c>
      <c r="EL3" s="374">
        <v>141</v>
      </c>
      <c r="EM3" s="374">
        <v>142</v>
      </c>
      <c r="EN3" s="374">
        <v>143</v>
      </c>
      <c r="EO3" s="374">
        <v>144</v>
      </c>
      <c r="EP3" s="374">
        <v>145</v>
      </c>
      <c r="EQ3" s="374">
        <v>146</v>
      </c>
      <c r="ER3" s="374">
        <v>147</v>
      </c>
      <c r="ES3" s="374">
        <v>148</v>
      </c>
      <c r="ET3" s="374">
        <v>149</v>
      </c>
    </row>
    <row r="4" spans="1:226" s="523" customFormat="1" ht="23.25" customHeight="1">
      <c r="A4" s="363"/>
      <c r="B4" s="675"/>
      <c r="C4" s="363"/>
      <c r="D4" s="527"/>
      <c r="E4" s="684"/>
      <c r="F4" s="684"/>
      <c r="G4" s="684"/>
      <c r="H4" s="528"/>
      <c r="I4" s="528"/>
      <c r="J4" s="528"/>
      <c r="K4" s="528"/>
      <c r="L4" s="780"/>
      <c r="M4" s="528"/>
      <c r="N4" s="528"/>
      <c r="O4" s="528"/>
      <c r="P4" s="528"/>
      <c r="Q4" s="528"/>
      <c r="R4" s="528"/>
      <c r="S4" s="528"/>
      <c r="T4" s="528"/>
      <c r="U4" s="528"/>
      <c r="V4" s="528"/>
      <c r="W4" s="528"/>
      <c r="X4" s="528"/>
      <c r="Y4" s="528"/>
      <c r="Z4" s="684"/>
      <c r="AA4" s="528"/>
      <c r="AB4" s="528"/>
      <c r="AC4" s="526"/>
      <c r="AD4" s="526"/>
      <c r="AE4" s="526"/>
      <c r="AF4" s="526"/>
      <c r="AG4" s="526"/>
      <c r="AH4" s="526"/>
      <c r="AI4" s="526"/>
      <c r="AJ4" s="363"/>
      <c r="AK4" s="363"/>
      <c r="AL4" s="363"/>
      <c r="AM4" s="363"/>
      <c r="AN4" s="363"/>
      <c r="AO4" s="363"/>
      <c r="AP4" s="363"/>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529">
        <v>68</v>
      </c>
      <c r="BR4" s="826">
        <f>BQ4+1</f>
        <v>69</v>
      </c>
      <c r="BS4" s="826">
        <f t="shared" ref="BS4:ED4" si="0">BR4+1</f>
        <v>70</v>
      </c>
      <c r="BT4" s="826">
        <f t="shared" si="0"/>
        <v>71</v>
      </c>
      <c r="BU4" s="826">
        <f t="shared" si="0"/>
        <v>72</v>
      </c>
      <c r="BV4" s="826">
        <f t="shared" si="0"/>
        <v>73</v>
      </c>
      <c r="BW4" s="826">
        <f t="shared" si="0"/>
        <v>74</v>
      </c>
      <c r="BX4" s="826">
        <f t="shared" si="0"/>
        <v>75</v>
      </c>
      <c r="BY4" s="826">
        <f t="shared" si="0"/>
        <v>76</v>
      </c>
      <c r="BZ4" s="826">
        <f t="shared" si="0"/>
        <v>77</v>
      </c>
      <c r="CA4" s="826">
        <f t="shared" si="0"/>
        <v>78</v>
      </c>
      <c r="CB4" s="826">
        <f t="shared" si="0"/>
        <v>79</v>
      </c>
      <c r="CC4" s="826">
        <f t="shared" si="0"/>
        <v>80</v>
      </c>
      <c r="CD4" s="826">
        <f t="shared" si="0"/>
        <v>81</v>
      </c>
      <c r="CE4" s="826">
        <f t="shared" si="0"/>
        <v>82</v>
      </c>
      <c r="CF4" s="826">
        <f t="shared" si="0"/>
        <v>83</v>
      </c>
      <c r="CG4" s="826">
        <f t="shared" si="0"/>
        <v>84</v>
      </c>
      <c r="CH4" s="826">
        <f t="shared" si="0"/>
        <v>85</v>
      </c>
      <c r="CI4" s="826">
        <f t="shared" si="0"/>
        <v>86</v>
      </c>
      <c r="CJ4" s="826">
        <f t="shared" si="0"/>
        <v>87</v>
      </c>
      <c r="CK4" s="826">
        <f t="shared" si="0"/>
        <v>88</v>
      </c>
      <c r="CL4" s="826">
        <f t="shared" si="0"/>
        <v>89</v>
      </c>
      <c r="CM4" s="826">
        <f t="shared" si="0"/>
        <v>90</v>
      </c>
      <c r="CN4" s="826">
        <f t="shared" si="0"/>
        <v>91</v>
      </c>
      <c r="CO4" s="826">
        <f t="shared" si="0"/>
        <v>92</v>
      </c>
      <c r="CP4" s="826">
        <f t="shared" si="0"/>
        <v>93</v>
      </c>
      <c r="CQ4" s="826">
        <f t="shared" si="0"/>
        <v>94</v>
      </c>
      <c r="CR4" s="826">
        <f t="shared" si="0"/>
        <v>95</v>
      </c>
      <c r="CS4" s="826">
        <f t="shared" si="0"/>
        <v>96</v>
      </c>
      <c r="CT4" s="826">
        <f t="shared" si="0"/>
        <v>97</v>
      </c>
      <c r="CU4" s="826">
        <f t="shared" si="0"/>
        <v>98</v>
      </c>
      <c r="CV4" s="826">
        <f t="shared" si="0"/>
        <v>99</v>
      </c>
      <c r="CW4" s="826">
        <f t="shared" si="0"/>
        <v>100</v>
      </c>
      <c r="CX4" s="826">
        <f t="shared" si="0"/>
        <v>101</v>
      </c>
      <c r="CY4" s="826">
        <f t="shared" si="0"/>
        <v>102</v>
      </c>
      <c r="CZ4" s="826">
        <f t="shared" si="0"/>
        <v>103</v>
      </c>
      <c r="DA4" s="826">
        <f t="shared" si="0"/>
        <v>104</v>
      </c>
      <c r="DB4" s="826">
        <f t="shared" si="0"/>
        <v>105</v>
      </c>
      <c r="DC4" s="826">
        <f t="shared" si="0"/>
        <v>106</v>
      </c>
      <c r="DD4" s="826">
        <f t="shared" si="0"/>
        <v>107</v>
      </c>
      <c r="DE4" s="826">
        <f t="shared" si="0"/>
        <v>108</v>
      </c>
      <c r="DF4" s="826">
        <f t="shared" si="0"/>
        <v>109</v>
      </c>
      <c r="DG4" s="826">
        <f t="shared" si="0"/>
        <v>110</v>
      </c>
      <c r="DH4" s="826">
        <f t="shared" si="0"/>
        <v>111</v>
      </c>
      <c r="DI4" s="826">
        <f t="shared" si="0"/>
        <v>112</v>
      </c>
      <c r="DJ4" s="826">
        <f t="shared" si="0"/>
        <v>113</v>
      </c>
      <c r="DK4" s="826">
        <f t="shared" si="0"/>
        <v>114</v>
      </c>
      <c r="DL4" s="826">
        <f t="shared" si="0"/>
        <v>115</v>
      </c>
      <c r="DM4" s="826">
        <f t="shared" si="0"/>
        <v>116</v>
      </c>
      <c r="DN4" s="826">
        <f t="shared" si="0"/>
        <v>117</v>
      </c>
      <c r="DO4" s="826">
        <f t="shared" si="0"/>
        <v>118</v>
      </c>
      <c r="DP4" s="826">
        <f t="shared" si="0"/>
        <v>119</v>
      </c>
      <c r="DQ4" s="826">
        <f t="shared" si="0"/>
        <v>120</v>
      </c>
      <c r="DR4" s="826">
        <f t="shared" si="0"/>
        <v>121</v>
      </c>
      <c r="DS4" s="826">
        <f t="shared" si="0"/>
        <v>122</v>
      </c>
      <c r="DT4" s="826">
        <f t="shared" si="0"/>
        <v>123</v>
      </c>
      <c r="DU4" s="826">
        <f t="shared" si="0"/>
        <v>124</v>
      </c>
      <c r="DV4" s="826">
        <f t="shared" si="0"/>
        <v>125</v>
      </c>
      <c r="DW4" s="826">
        <f t="shared" si="0"/>
        <v>126</v>
      </c>
      <c r="DX4" s="826">
        <f t="shared" si="0"/>
        <v>127</v>
      </c>
      <c r="DY4" s="826">
        <f t="shared" si="0"/>
        <v>128</v>
      </c>
      <c r="DZ4" s="826">
        <f t="shared" si="0"/>
        <v>129</v>
      </c>
      <c r="EA4" s="826">
        <f t="shared" si="0"/>
        <v>130</v>
      </c>
      <c r="EB4" s="826">
        <f t="shared" si="0"/>
        <v>131</v>
      </c>
      <c r="EC4" s="826">
        <f t="shared" si="0"/>
        <v>132</v>
      </c>
      <c r="ED4" s="826">
        <f t="shared" si="0"/>
        <v>133</v>
      </c>
      <c r="EE4" s="826">
        <f t="shared" ref="EE4:ET4" si="1">ED4+1</f>
        <v>134</v>
      </c>
      <c r="EF4" s="826">
        <f t="shared" si="1"/>
        <v>135</v>
      </c>
      <c r="EG4" s="826">
        <f t="shared" si="1"/>
        <v>136</v>
      </c>
      <c r="EH4" s="826">
        <f t="shared" si="1"/>
        <v>137</v>
      </c>
      <c r="EI4" s="826">
        <f t="shared" si="1"/>
        <v>138</v>
      </c>
      <c r="EJ4" s="826">
        <f t="shared" si="1"/>
        <v>139</v>
      </c>
      <c r="EK4" s="826">
        <f t="shared" si="1"/>
        <v>140</v>
      </c>
      <c r="EL4" s="826">
        <f t="shared" si="1"/>
        <v>141</v>
      </c>
      <c r="EM4" s="826">
        <f t="shared" si="1"/>
        <v>142</v>
      </c>
      <c r="EN4" s="826">
        <f t="shared" si="1"/>
        <v>143</v>
      </c>
      <c r="EO4" s="826">
        <f t="shared" si="1"/>
        <v>144</v>
      </c>
      <c r="EP4" s="826">
        <f t="shared" si="1"/>
        <v>145</v>
      </c>
      <c r="EQ4" s="826">
        <f t="shared" si="1"/>
        <v>146</v>
      </c>
      <c r="ER4" s="826">
        <f t="shared" si="1"/>
        <v>147</v>
      </c>
      <c r="ES4" s="826">
        <f t="shared" si="1"/>
        <v>148</v>
      </c>
      <c r="ET4" s="826">
        <f t="shared" si="1"/>
        <v>149</v>
      </c>
    </row>
    <row r="5" spans="1:226" s="523" customFormat="1">
      <c r="B5" s="1181"/>
      <c r="C5" s="1182"/>
      <c r="D5" s="527" t="s">
        <v>111</v>
      </c>
      <c r="E5" s="683"/>
      <c r="F5" s="683"/>
      <c r="G5" s="683"/>
      <c r="H5" s="526"/>
      <c r="I5" s="526"/>
      <c r="J5" s="526"/>
      <c r="K5" s="526"/>
      <c r="L5" s="782"/>
      <c r="M5" s="526"/>
      <c r="N5" s="526"/>
      <c r="O5" s="526"/>
      <c r="P5" s="526"/>
      <c r="Q5" s="526"/>
      <c r="R5" s="526"/>
      <c r="S5" s="526"/>
      <c r="T5" s="526"/>
      <c r="U5" s="526"/>
      <c r="V5" s="526"/>
      <c r="W5" s="526"/>
      <c r="X5" s="526"/>
      <c r="Y5" s="526"/>
      <c r="Z5" s="683"/>
      <c r="AA5" s="526"/>
      <c r="AB5" s="526"/>
      <c r="AC5" s="526"/>
      <c r="AD5" s="526"/>
      <c r="AE5" s="526"/>
      <c r="AF5" s="526"/>
      <c r="AG5" s="526"/>
      <c r="AH5" s="526"/>
      <c r="AI5" s="52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c r="CS5" s="356"/>
      <c r="CT5" s="356"/>
      <c r="CU5" s="356"/>
      <c r="CV5" s="356"/>
      <c r="CW5" s="356"/>
      <c r="CX5" s="356"/>
      <c r="CY5" s="356"/>
      <c r="CZ5" s="402"/>
      <c r="DA5" s="402"/>
      <c r="DB5" s="402"/>
      <c r="DC5" s="402"/>
      <c r="DD5" s="356"/>
      <c r="DE5" s="356"/>
      <c r="DF5" s="356"/>
      <c r="DG5" s="356"/>
      <c r="DH5" s="356"/>
      <c r="DI5" s="356"/>
      <c r="DJ5" s="356"/>
      <c r="DL5" s="356"/>
      <c r="DM5" s="356"/>
      <c r="DN5" s="356"/>
      <c r="DP5" s="356"/>
      <c r="DQ5" s="356"/>
      <c r="DR5" s="356"/>
    </row>
    <row r="6" spans="1:226" s="534" customFormat="1">
      <c r="A6" s="530"/>
      <c r="B6" s="1183" t="s">
        <v>0</v>
      </c>
      <c r="C6" s="1184"/>
      <c r="D6" s="531"/>
      <c r="E6" s="700"/>
      <c r="F6" s="700"/>
      <c r="G6" s="700"/>
      <c r="H6" s="532"/>
      <c r="I6" s="532"/>
      <c r="J6" s="533"/>
      <c r="K6" s="533"/>
      <c r="L6" s="783"/>
      <c r="M6" s="533"/>
      <c r="N6" s="533"/>
      <c r="O6" s="533"/>
      <c r="P6" s="533"/>
      <c r="Q6" s="533"/>
      <c r="R6" s="380"/>
      <c r="S6" s="380"/>
      <c r="T6" s="380"/>
      <c r="U6" s="380"/>
      <c r="V6" s="380"/>
      <c r="W6" s="533"/>
      <c r="X6" s="385"/>
      <c r="Y6" s="380"/>
      <c r="Z6" s="680"/>
      <c r="AA6" s="378"/>
      <c r="AB6" s="378"/>
      <c r="AC6" s="379"/>
      <c r="AD6" s="379"/>
      <c r="AE6" s="1010"/>
      <c r="AF6" s="1010" t="s">
        <v>795</v>
      </c>
      <c r="AG6" s="379"/>
      <c r="AH6" s="379"/>
      <c r="AI6" s="798"/>
      <c r="AQ6" s="804"/>
      <c r="AR6" s="378" t="s">
        <v>396</v>
      </c>
      <c r="AS6" s="378"/>
      <c r="AT6" s="378"/>
      <c r="AU6" s="378"/>
      <c r="AV6" s="378"/>
      <c r="AW6" s="380"/>
      <c r="AX6" s="378"/>
      <c r="AY6" s="378"/>
      <c r="AZ6" s="378"/>
      <c r="BA6" s="380" t="s">
        <v>397</v>
      </c>
      <c r="BB6" s="380"/>
      <c r="BC6" s="380"/>
      <c r="BD6" s="380"/>
      <c r="BE6" s="380"/>
      <c r="BF6" s="380"/>
      <c r="BG6" s="380"/>
      <c r="BH6" s="380"/>
      <c r="BI6" s="380"/>
      <c r="BJ6" s="380"/>
      <c r="BK6" s="380"/>
      <c r="BL6" s="380"/>
      <c r="BM6" s="380"/>
      <c r="BN6" s="380"/>
      <c r="BO6" s="380"/>
      <c r="BP6" s="380"/>
      <c r="BQ6" s="872" t="s">
        <v>398</v>
      </c>
      <c r="BR6" s="380"/>
      <c r="BS6" s="380"/>
      <c r="BT6" s="380"/>
      <c r="BU6" s="380"/>
      <c r="BV6" s="380"/>
      <c r="BW6" s="385"/>
      <c r="BX6" s="385"/>
      <c r="BY6" s="380"/>
      <c r="BZ6" s="380"/>
      <c r="CA6" s="385"/>
      <c r="CB6" s="385"/>
      <c r="CC6" s="385"/>
      <c r="CD6" s="385" t="s">
        <v>399</v>
      </c>
      <c r="CE6" s="385"/>
      <c r="CF6" s="385"/>
      <c r="CG6" s="385"/>
      <c r="CH6" s="385"/>
      <c r="CI6" s="385"/>
      <c r="CJ6" s="385"/>
      <c r="CK6" s="385"/>
      <c r="CL6" s="385" t="s">
        <v>400</v>
      </c>
      <c r="CM6" s="385"/>
      <c r="CN6" s="385"/>
      <c r="CO6" s="385"/>
      <c r="CP6" s="385"/>
      <c r="CQ6" s="385"/>
      <c r="CR6" s="385"/>
      <c r="CS6" s="380" t="s">
        <v>18</v>
      </c>
      <c r="CT6" s="378" t="s">
        <v>19</v>
      </c>
      <c r="CU6" s="378"/>
      <c r="CV6" s="385" t="s">
        <v>401</v>
      </c>
      <c r="CW6" s="385"/>
      <c r="CX6" s="385"/>
      <c r="CY6" s="385"/>
      <c r="CZ6" s="380"/>
      <c r="DA6" s="380"/>
      <c r="DB6" s="380"/>
      <c r="DC6" s="380"/>
      <c r="DD6" s="385"/>
      <c r="DE6" s="385"/>
      <c r="DF6" s="385"/>
      <c r="DG6" s="385"/>
      <c r="DH6" s="385"/>
      <c r="DI6" s="385"/>
      <c r="DJ6" s="385"/>
      <c r="DL6" s="385"/>
      <c r="DM6" s="385"/>
      <c r="DN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row>
    <row r="7" spans="1:226" s="537" customFormat="1" ht="115.5" thickBot="1">
      <c r="A7" s="708"/>
      <c r="B7" s="709" t="s">
        <v>1</v>
      </c>
      <c r="C7" s="709" t="s">
        <v>2</v>
      </c>
      <c r="D7" s="710" t="s">
        <v>279</v>
      </c>
      <c r="E7" s="701" t="s">
        <v>280</v>
      </c>
      <c r="F7" s="680" t="s">
        <v>562</v>
      </c>
      <c r="G7" s="680" t="s">
        <v>563</v>
      </c>
      <c r="H7" s="701" t="s">
        <v>564</v>
      </c>
      <c r="I7" s="686" t="s">
        <v>565</v>
      </c>
      <c r="J7" s="686" t="s">
        <v>566</v>
      </c>
      <c r="K7" s="579" t="s">
        <v>567</v>
      </c>
      <c r="L7" s="784" t="s">
        <v>568</v>
      </c>
      <c r="M7" s="701" t="s">
        <v>569</v>
      </c>
      <c r="N7" s="701" t="s">
        <v>570</v>
      </c>
      <c r="O7" s="701" t="s">
        <v>571</v>
      </c>
      <c r="P7" s="701" t="s">
        <v>572</v>
      </c>
      <c r="Q7" s="711" t="s">
        <v>573</v>
      </c>
      <c r="R7" s="579" t="s">
        <v>281</v>
      </c>
      <c r="S7" s="701" t="s">
        <v>263</v>
      </c>
      <c r="T7" s="701" t="s">
        <v>264</v>
      </c>
      <c r="U7" s="701" t="s">
        <v>574</v>
      </c>
      <c r="V7" s="701" t="s">
        <v>575</v>
      </c>
      <c r="W7" s="711" t="s">
        <v>576</v>
      </c>
      <c r="X7" s="701" t="s">
        <v>577</v>
      </c>
      <c r="Y7" s="701" t="s">
        <v>578</v>
      </c>
      <c r="Z7" s="686" t="s">
        <v>579</v>
      </c>
      <c r="AA7" s="793" t="s">
        <v>580</v>
      </c>
      <c r="AB7" s="793" t="s">
        <v>581</v>
      </c>
      <c r="AC7" s="372" t="s">
        <v>719</v>
      </c>
      <c r="AD7" s="372" t="s">
        <v>794</v>
      </c>
      <c r="AE7" s="372"/>
      <c r="AF7" s="372" t="s">
        <v>796</v>
      </c>
      <c r="AG7" s="372" t="s">
        <v>789</v>
      </c>
      <c r="AH7" s="372" t="s">
        <v>790</v>
      </c>
      <c r="AI7" s="372" t="s">
        <v>791</v>
      </c>
      <c r="AJ7" s="708"/>
      <c r="AK7" s="708"/>
      <c r="AL7" s="708" t="s">
        <v>793</v>
      </c>
      <c r="AM7" s="708" t="s">
        <v>792</v>
      </c>
      <c r="AN7" s="708"/>
      <c r="AO7" s="535"/>
      <c r="AP7" s="708" t="s">
        <v>847</v>
      </c>
      <c r="AQ7" s="579" t="s">
        <v>809</v>
      </c>
      <c r="AR7" s="568" t="s">
        <v>601</v>
      </c>
      <c r="AS7" s="382" t="s">
        <v>600</v>
      </c>
      <c r="AT7" s="1027" t="s">
        <v>810</v>
      </c>
      <c r="AU7" s="382" t="s">
        <v>607</v>
      </c>
      <c r="AV7" s="382" t="s">
        <v>602</v>
      </c>
      <c r="AW7" s="382" t="s">
        <v>603</v>
      </c>
      <c r="AX7" s="382" t="s">
        <v>604</v>
      </c>
      <c r="AY7" s="568" t="s">
        <v>605</v>
      </c>
      <c r="AZ7" s="568" t="s">
        <v>606</v>
      </c>
      <c r="BA7" s="568" t="s">
        <v>608</v>
      </c>
      <c r="BB7" s="579" t="s">
        <v>685</v>
      </c>
      <c r="BC7" s="382" t="s">
        <v>609</v>
      </c>
      <c r="BD7" s="382" t="s">
        <v>610</v>
      </c>
      <c r="BE7" s="568" t="s">
        <v>611</v>
      </c>
      <c r="BF7" s="579" t="s">
        <v>687</v>
      </c>
      <c r="BG7" s="382" t="s">
        <v>612</v>
      </c>
      <c r="BH7" s="568" t="s">
        <v>613</v>
      </c>
      <c r="BI7" s="382" t="s">
        <v>614</v>
      </c>
      <c r="BJ7" s="382" t="s">
        <v>615</v>
      </c>
      <c r="BK7" s="382" t="s">
        <v>616</v>
      </c>
      <c r="BL7" s="382" t="s">
        <v>617</v>
      </c>
      <c r="BM7" s="382" t="s">
        <v>618</v>
      </c>
      <c r="BN7" s="382" t="s">
        <v>619</v>
      </c>
      <c r="BO7" s="382" t="s">
        <v>620</v>
      </c>
      <c r="BP7" s="382" t="s">
        <v>621</v>
      </c>
      <c r="BQ7" s="672" t="s">
        <v>712</v>
      </c>
      <c r="BR7" s="687" t="s">
        <v>713</v>
      </c>
      <c r="BS7" s="579" t="s">
        <v>749</v>
      </c>
      <c r="BT7" s="579" t="s">
        <v>714</v>
      </c>
      <c r="BU7" s="382" t="s">
        <v>622</v>
      </c>
      <c r="BV7" s="382" t="s">
        <v>623</v>
      </c>
      <c r="BW7" s="382" t="s">
        <v>624</v>
      </c>
      <c r="BX7" s="873" t="s">
        <v>740</v>
      </c>
      <c r="BY7" s="871" t="s">
        <v>625</v>
      </c>
      <c r="BZ7" s="871" t="s">
        <v>626</v>
      </c>
      <c r="CA7" s="871" t="s">
        <v>627</v>
      </c>
      <c r="CB7" s="873" t="s">
        <v>741</v>
      </c>
      <c r="CC7" s="873" t="s">
        <v>742</v>
      </c>
      <c r="CD7" s="382" t="s">
        <v>628</v>
      </c>
      <c r="CE7" s="382" t="s">
        <v>629</v>
      </c>
      <c r="CF7" s="382" t="s">
        <v>630</v>
      </c>
      <c r="CG7" s="382" t="s">
        <v>631</v>
      </c>
      <c r="CH7" s="382" t="s">
        <v>632</v>
      </c>
      <c r="CI7" s="382" t="s">
        <v>633</v>
      </c>
      <c r="CJ7" s="535" t="s">
        <v>634</v>
      </c>
      <c r="CK7" s="382" t="s">
        <v>635</v>
      </c>
      <c r="CL7" s="382" t="s">
        <v>636</v>
      </c>
      <c r="CM7" s="382" t="s">
        <v>637</v>
      </c>
      <c r="CN7" s="382" t="s">
        <v>674</v>
      </c>
      <c r="CO7" s="382" t="s">
        <v>675</v>
      </c>
      <c r="CP7" s="382" t="s">
        <v>638</v>
      </c>
      <c r="CQ7" s="382" t="s">
        <v>639</v>
      </c>
      <c r="CR7" s="382" t="s">
        <v>640</v>
      </c>
      <c r="CS7" s="382" t="s">
        <v>641</v>
      </c>
      <c r="CT7" s="382" t="s">
        <v>642</v>
      </c>
      <c r="CU7" s="382" t="s">
        <v>643</v>
      </c>
      <c r="CV7" s="382" t="s">
        <v>644</v>
      </c>
      <c r="CW7" s="382" t="s">
        <v>645</v>
      </c>
      <c r="CX7" s="382" t="s">
        <v>646</v>
      </c>
      <c r="CY7" s="382" t="s">
        <v>647</v>
      </c>
      <c r="CZ7" s="403" t="s">
        <v>597</v>
      </c>
      <c r="DA7" s="403" t="s">
        <v>598</v>
      </c>
      <c r="DB7" s="403" t="s">
        <v>599</v>
      </c>
      <c r="DC7" s="704" t="s">
        <v>595</v>
      </c>
      <c r="DD7" s="536"/>
      <c r="DE7" s="536"/>
      <c r="DF7" s="536"/>
      <c r="DG7" s="536"/>
      <c r="DH7" s="536"/>
      <c r="DI7" s="536"/>
      <c r="DJ7" s="536"/>
      <c r="DL7" s="382" t="s">
        <v>596</v>
      </c>
      <c r="DM7" s="382" t="s">
        <v>593</v>
      </c>
      <c r="DN7" s="382" t="s">
        <v>594</v>
      </c>
      <c r="DO7" s="540" t="s">
        <v>582</v>
      </c>
      <c r="DP7" s="540" t="s">
        <v>583</v>
      </c>
      <c r="DQ7" s="540" t="s">
        <v>584</v>
      </c>
      <c r="DR7" s="541" t="s">
        <v>340</v>
      </c>
      <c r="DS7" s="541" t="s">
        <v>341</v>
      </c>
      <c r="DT7" s="539"/>
      <c r="DU7" s="539" t="s">
        <v>265</v>
      </c>
      <c r="DV7" s="539"/>
      <c r="DW7" s="539"/>
      <c r="DX7" s="538" t="s">
        <v>260</v>
      </c>
      <c r="DY7" s="538" t="s">
        <v>220</v>
      </c>
      <c r="DZ7" s="538"/>
      <c r="EA7" s="538" t="s">
        <v>228</v>
      </c>
      <c r="EB7" s="538" t="s">
        <v>231</v>
      </c>
      <c r="EC7" s="538" t="s">
        <v>229</v>
      </c>
      <c r="ED7" s="538" t="s">
        <v>230</v>
      </c>
      <c r="EE7" s="539"/>
      <c r="EF7" s="539"/>
      <c r="EG7" s="579" t="s">
        <v>846</v>
      </c>
      <c r="EH7" s="382" t="s">
        <v>585</v>
      </c>
      <c r="EI7" s="382" t="s">
        <v>586</v>
      </c>
      <c r="EJ7" s="382" t="s">
        <v>587</v>
      </c>
      <c r="EK7" s="382" t="s">
        <v>588</v>
      </c>
      <c r="EL7" s="382" t="s">
        <v>589</v>
      </c>
      <c r="EM7" s="579" t="s">
        <v>688</v>
      </c>
      <c r="EN7" s="579" t="s">
        <v>690</v>
      </c>
      <c r="EO7" s="579" t="s">
        <v>689</v>
      </c>
      <c r="EP7" s="382" t="s">
        <v>590</v>
      </c>
      <c r="EQ7" s="382" t="s">
        <v>591</v>
      </c>
      <c r="ER7" s="382" t="s">
        <v>592</v>
      </c>
      <c r="ES7" s="539"/>
      <c r="ET7" s="891" t="s">
        <v>746</v>
      </c>
      <c r="EU7" s="542"/>
      <c r="EV7" s="542"/>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row>
    <row r="8" spans="1:226" ht="15">
      <c r="A8" s="675" t="s">
        <v>7</v>
      </c>
      <c r="B8" s="712">
        <v>41634</v>
      </c>
      <c r="C8" s="713">
        <v>0</v>
      </c>
      <c r="D8" s="676">
        <v>0</v>
      </c>
      <c r="E8" s="676">
        <v>0</v>
      </c>
      <c r="F8" s="676">
        <v>40</v>
      </c>
      <c r="G8" s="676">
        <v>1.5</v>
      </c>
      <c r="H8" s="697" t="s">
        <v>744</v>
      </c>
      <c r="I8" s="676">
        <v>0</v>
      </c>
      <c r="J8" s="697" t="s">
        <v>744</v>
      </c>
      <c r="K8" s="697">
        <v>0.05</v>
      </c>
      <c r="L8" s="1084">
        <v>35.19</v>
      </c>
      <c r="M8" s="676">
        <v>20.399999999999999</v>
      </c>
      <c r="N8" s="697" t="s">
        <v>744</v>
      </c>
      <c r="O8" s="676" t="s">
        <v>743</v>
      </c>
      <c r="P8" s="676">
        <v>1.55</v>
      </c>
      <c r="Q8" s="676">
        <v>1.5502731660547049</v>
      </c>
      <c r="R8" s="789">
        <v>466.74694319682953</v>
      </c>
      <c r="S8" s="697" t="s">
        <v>744</v>
      </c>
      <c r="T8" s="697">
        <v>8.0399999999999991</v>
      </c>
      <c r="U8" s="697" t="s">
        <v>744</v>
      </c>
      <c r="V8" s="697">
        <v>0.747</v>
      </c>
      <c r="W8" s="697" t="e">
        <v>#VALUE!</v>
      </c>
      <c r="X8" s="650">
        <v>44.42</v>
      </c>
      <c r="Y8" s="676">
        <v>20.75</v>
      </c>
      <c r="Z8" s="676">
        <v>14.1</v>
      </c>
      <c r="AA8" s="794">
        <v>20.89</v>
      </c>
      <c r="AB8" s="794">
        <v>14.3</v>
      </c>
      <c r="AC8" s="775">
        <f>AA8+AB8</f>
        <v>35.19</v>
      </c>
      <c r="AD8" s="775">
        <f>AC8*1.547</f>
        <v>54.438929999999992</v>
      </c>
      <c r="AE8" s="775"/>
      <c r="AF8" s="567"/>
      <c r="AG8" s="3">
        <v>1</v>
      </c>
      <c r="AH8" s="567"/>
      <c r="AI8" s="567"/>
      <c r="AO8" s="355"/>
      <c r="AP8" s="355"/>
      <c r="AQ8" s="176"/>
      <c r="AR8" s="569">
        <v>0</v>
      </c>
      <c r="AS8" s="383">
        <v>13.2</v>
      </c>
      <c r="AT8" s="569">
        <v>0</v>
      </c>
      <c r="AU8" s="383">
        <v>21.5</v>
      </c>
      <c r="AV8" s="428">
        <v>295.60000000000002</v>
      </c>
      <c r="AW8" s="428">
        <v>392.2</v>
      </c>
      <c r="AX8" s="383">
        <v>0</v>
      </c>
      <c r="AY8" s="569">
        <v>0</v>
      </c>
      <c r="AZ8" s="569">
        <v>0</v>
      </c>
      <c r="BA8" s="569">
        <v>0</v>
      </c>
      <c r="BB8" s="1086">
        <v>1.01</v>
      </c>
      <c r="BC8" s="383">
        <v>0</v>
      </c>
      <c r="BD8" s="383">
        <v>1.5</v>
      </c>
      <c r="BE8" s="569">
        <v>0</v>
      </c>
      <c r="BF8" s="383">
        <v>0.99</v>
      </c>
      <c r="BG8" s="383">
        <v>0</v>
      </c>
      <c r="BH8" s="569">
        <v>0</v>
      </c>
      <c r="BI8" s="383">
        <v>0</v>
      </c>
      <c r="BJ8" s="383">
        <v>11.8</v>
      </c>
      <c r="BK8" s="383">
        <v>0</v>
      </c>
      <c r="BL8" s="383">
        <v>0</v>
      </c>
      <c r="BM8" s="383">
        <v>0</v>
      </c>
      <c r="BN8" s="383">
        <v>10.8</v>
      </c>
      <c r="BO8" s="646">
        <v>23.5</v>
      </c>
      <c r="BP8" s="646">
        <v>0</v>
      </c>
      <c r="BQ8" s="646">
        <v>21.2</v>
      </c>
      <c r="BR8" s="646">
        <v>21.2</v>
      </c>
      <c r="BS8" s="646">
        <v>7.7</v>
      </c>
      <c r="BT8" s="646">
        <v>10.5</v>
      </c>
      <c r="BU8" s="646">
        <v>20</v>
      </c>
      <c r="BV8" s="646">
        <v>22.5</v>
      </c>
      <c r="BW8" s="647">
        <v>675.8</v>
      </c>
      <c r="BX8" s="875"/>
      <c r="BY8" s="646">
        <v>2.84</v>
      </c>
      <c r="BZ8" s="646">
        <v>1.45</v>
      </c>
      <c r="CA8" s="647">
        <v>1.3</v>
      </c>
      <c r="CB8" s="647">
        <v>8.8000000000000007</v>
      </c>
      <c r="CC8" s="647">
        <v>8.1</v>
      </c>
      <c r="CD8" s="647">
        <v>15.1</v>
      </c>
      <c r="CE8" s="647">
        <v>33.5</v>
      </c>
      <c r="CF8" s="647">
        <v>13.1</v>
      </c>
      <c r="CG8" s="647">
        <v>2.98</v>
      </c>
      <c r="CH8" s="647">
        <v>7.6</v>
      </c>
      <c r="CI8" s="647">
        <v>11.7</v>
      </c>
      <c r="CJ8" s="647">
        <v>13.6</v>
      </c>
      <c r="CK8" s="647">
        <v>0</v>
      </c>
      <c r="CL8" s="647">
        <v>1.8</v>
      </c>
      <c r="CM8" s="647">
        <v>1.9</v>
      </c>
      <c r="CN8" s="647">
        <v>572.1</v>
      </c>
      <c r="CO8" s="647">
        <v>346.6</v>
      </c>
      <c r="CP8" s="647">
        <v>416.6</v>
      </c>
      <c r="CQ8" s="386">
        <v>12.5</v>
      </c>
      <c r="CR8" s="647">
        <v>2.04</v>
      </c>
      <c r="CS8" s="383">
        <v>7088.7</v>
      </c>
      <c r="CT8" s="383">
        <v>16.274999999999999</v>
      </c>
      <c r="CU8" s="383">
        <v>48</v>
      </c>
      <c r="CV8" s="386">
        <v>0</v>
      </c>
      <c r="CW8" s="386">
        <v>0</v>
      </c>
      <c r="CX8" s="386">
        <v>0</v>
      </c>
      <c r="CY8" s="386">
        <v>0</v>
      </c>
      <c r="CZ8" s="699">
        <v>1480</v>
      </c>
      <c r="DA8" s="699">
        <v>2090</v>
      </c>
      <c r="DB8" s="699">
        <v>1380</v>
      </c>
      <c r="DC8" s="806">
        <v>1078.48</v>
      </c>
      <c r="DD8" s="386"/>
      <c r="DE8" s="386"/>
      <c r="DF8" s="386"/>
      <c r="DG8" s="386"/>
      <c r="DH8" s="386"/>
      <c r="DI8" s="361"/>
      <c r="DJ8" s="361"/>
      <c r="DL8" s="645"/>
      <c r="DM8" s="805"/>
      <c r="DN8" s="645"/>
      <c r="DP8" s="361"/>
      <c r="DQ8" s="361"/>
      <c r="DR8" s="361"/>
      <c r="DS8" s="361"/>
      <c r="DT8" s="361"/>
      <c r="DU8" s="361"/>
      <c r="DV8" s="361"/>
      <c r="DW8" s="361"/>
      <c r="DX8" s="361"/>
      <c r="DY8" s="361"/>
      <c r="DZ8" s="361"/>
      <c r="EA8" s="361"/>
      <c r="EB8" s="361"/>
      <c r="EC8" s="361"/>
      <c r="ED8" s="361"/>
      <c r="EE8" s="361"/>
      <c r="EF8" s="361"/>
      <c r="EG8" s="645">
        <f>(SUM(EH8:EK8))*1.547</f>
        <v>13.923</v>
      </c>
      <c r="EH8" s="361">
        <v>0</v>
      </c>
      <c r="EI8" s="645">
        <v>0</v>
      </c>
      <c r="EJ8" s="645">
        <v>2.5</v>
      </c>
      <c r="EK8" s="645">
        <v>6.5</v>
      </c>
      <c r="EL8" s="361"/>
      <c r="EM8" s="361"/>
      <c r="EN8" s="361"/>
      <c r="EO8" s="361"/>
      <c r="EP8" s="361"/>
      <c r="EQ8" s="361"/>
      <c r="ER8" s="361"/>
    </row>
    <row r="9" spans="1:226" s="357" customFormat="1" ht="15">
      <c r="A9" s="675" t="s">
        <v>8</v>
      </c>
      <c r="B9" s="712">
        <v>41635</v>
      </c>
      <c r="C9" s="713">
        <v>0</v>
      </c>
      <c r="D9" s="676">
        <v>0.43</v>
      </c>
      <c r="E9" s="676">
        <v>0</v>
      </c>
      <c r="F9" s="676">
        <v>40.200000000000003</v>
      </c>
      <c r="G9" s="697">
        <v>1.5</v>
      </c>
      <c r="H9" s="697" t="s">
        <v>744</v>
      </c>
      <c r="I9" s="697">
        <v>92.8</v>
      </c>
      <c r="J9" s="697" t="s">
        <v>744</v>
      </c>
      <c r="K9" s="697">
        <v>0.05</v>
      </c>
      <c r="L9" s="1085">
        <v>35.15</v>
      </c>
      <c r="M9" s="697">
        <v>20.100000000000001</v>
      </c>
      <c r="N9" s="697" t="s">
        <v>744</v>
      </c>
      <c r="O9" s="697" t="s">
        <v>743</v>
      </c>
      <c r="P9" s="697">
        <v>1.52</v>
      </c>
      <c r="Q9" s="697">
        <v>1.5481658368054498</v>
      </c>
      <c r="R9" s="973">
        <v>469.98599207397609</v>
      </c>
      <c r="S9" s="697" t="s">
        <v>744</v>
      </c>
      <c r="T9" s="697">
        <v>8.0299999999999994</v>
      </c>
      <c r="U9" s="697" t="s">
        <v>744</v>
      </c>
      <c r="V9" s="697">
        <v>0.75</v>
      </c>
      <c r="W9" s="697" t="e">
        <v>#VALUE!</v>
      </c>
      <c r="X9" s="788">
        <v>44.239999999999995</v>
      </c>
      <c r="Y9" s="697">
        <v>20.89</v>
      </c>
      <c r="Z9" s="697">
        <v>14.3</v>
      </c>
      <c r="AA9" s="794">
        <v>20.95</v>
      </c>
      <c r="AB9" s="794">
        <v>14.2</v>
      </c>
      <c r="AC9" s="775">
        <f t="shared" ref="AC9:AC27" si="2">AA9+AB9</f>
        <v>35.15</v>
      </c>
      <c r="AD9" s="775">
        <f t="shared" ref="AD9:AD27" si="3">AC9*1.547</f>
        <v>54.377049999999997</v>
      </c>
      <c r="AE9" s="775"/>
      <c r="AF9" s="567"/>
      <c r="AG9" s="2">
        <v>1</v>
      </c>
      <c r="AH9" s="362"/>
      <c r="AI9" s="362"/>
      <c r="AJ9" s="2"/>
      <c r="AK9" s="2"/>
      <c r="AL9" s="2"/>
      <c r="AM9" s="2"/>
      <c r="AN9" s="2"/>
      <c r="AQ9" s="359"/>
      <c r="AR9" s="578">
        <v>0</v>
      </c>
      <c r="AS9" s="405">
        <v>19.399999999999999</v>
      </c>
      <c r="AT9" s="578">
        <v>0</v>
      </c>
      <c r="AU9" s="405">
        <v>21.6</v>
      </c>
      <c r="AV9" s="406">
        <v>260.5</v>
      </c>
      <c r="AW9" s="406">
        <v>379.3</v>
      </c>
      <c r="AX9" s="383">
        <v>0</v>
      </c>
      <c r="AY9" s="569">
        <v>0</v>
      </c>
      <c r="AZ9" s="569">
        <v>0</v>
      </c>
      <c r="BA9" s="569">
        <v>0</v>
      </c>
      <c r="BB9" s="1086">
        <v>1</v>
      </c>
      <c r="BC9" s="383">
        <v>0</v>
      </c>
      <c r="BD9" s="383">
        <v>1.49</v>
      </c>
      <c r="BE9" s="569">
        <v>0</v>
      </c>
      <c r="BF9" s="383">
        <v>0.99</v>
      </c>
      <c r="BG9" s="383">
        <v>0</v>
      </c>
      <c r="BH9" s="569">
        <v>0</v>
      </c>
      <c r="BI9" s="383">
        <v>0</v>
      </c>
      <c r="BJ9" s="383">
        <v>11.9</v>
      </c>
      <c r="BK9" s="383">
        <v>0</v>
      </c>
      <c r="BL9" s="383">
        <v>0</v>
      </c>
      <c r="BM9" s="383">
        <v>0</v>
      </c>
      <c r="BN9" s="383">
        <v>10.8</v>
      </c>
      <c r="BO9" s="646">
        <v>1596.2</v>
      </c>
      <c r="BP9" s="646">
        <v>0</v>
      </c>
      <c r="BQ9" s="646">
        <v>20.2</v>
      </c>
      <c r="BR9" s="646">
        <v>20.2</v>
      </c>
      <c r="BS9" s="646">
        <v>7.8</v>
      </c>
      <c r="BT9" s="646">
        <v>10.5</v>
      </c>
      <c r="BU9" s="646">
        <v>20.100000000000001</v>
      </c>
      <c r="BV9" s="646">
        <v>23.4</v>
      </c>
      <c r="BW9" s="647">
        <v>483.5</v>
      </c>
      <c r="BX9" s="875"/>
      <c r="BY9" s="646">
        <v>0.19</v>
      </c>
      <c r="BZ9" s="646">
        <v>1.39</v>
      </c>
      <c r="CA9" s="647">
        <v>1.3</v>
      </c>
      <c r="CB9" s="647">
        <v>8.6999999999999993</v>
      </c>
      <c r="CC9" s="647">
        <v>8.1</v>
      </c>
      <c r="CD9" s="647">
        <v>15.3</v>
      </c>
      <c r="CE9" s="647">
        <v>34.200000000000003</v>
      </c>
      <c r="CF9" s="647">
        <v>12.6</v>
      </c>
      <c r="CG9" s="647">
        <v>5.7</v>
      </c>
      <c r="CH9" s="647">
        <v>10.8</v>
      </c>
      <c r="CI9" s="647">
        <v>14.9</v>
      </c>
      <c r="CJ9" s="647">
        <v>13.2</v>
      </c>
      <c r="CK9" s="647">
        <v>0</v>
      </c>
      <c r="CL9" s="647">
        <v>2</v>
      </c>
      <c r="CM9" s="647">
        <v>2.1</v>
      </c>
      <c r="CN9" s="647">
        <v>596.6</v>
      </c>
      <c r="CO9" s="647">
        <v>344.9</v>
      </c>
      <c r="CP9" s="647">
        <v>416.9</v>
      </c>
      <c r="CQ9" s="386">
        <v>13.1</v>
      </c>
      <c r="CR9" s="647">
        <v>2.14</v>
      </c>
      <c r="CS9" s="383">
        <v>8377.6</v>
      </c>
      <c r="CT9" s="383">
        <v>16.8</v>
      </c>
      <c r="CU9" s="383">
        <v>48</v>
      </c>
      <c r="CV9" s="386">
        <v>0</v>
      </c>
      <c r="CW9" s="386">
        <v>0</v>
      </c>
      <c r="CX9" s="386">
        <v>0</v>
      </c>
      <c r="CY9" s="386">
        <v>0</v>
      </c>
      <c r="CZ9" s="699">
        <v>1290</v>
      </c>
      <c r="DA9" s="699">
        <v>1810</v>
      </c>
      <c r="DB9" s="699">
        <v>1180</v>
      </c>
      <c r="DC9" s="806">
        <v>1081.5999999999999</v>
      </c>
      <c r="DD9" s="386"/>
      <c r="DE9" s="386"/>
      <c r="DF9" s="386"/>
      <c r="DG9" s="386"/>
      <c r="DH9" s="386"/>
      <c r="DI9" s="361"/>
      <c r="DJ9" s="361"/>
      <c r="DK9" s="3"/>
      <c r="DL9" s="645"/>
      <c r="DM9" s="805"/>
      <c r="DN9" s="645"/>
      <c r="DO9" s="3"/>
      <c r="DP9" s="361"/>
      <c r="DQ9" s="361"/>
      <c r="DR9" s="361"/>
      <c r="DS9" s="361"/>
      <c r="DT9" s="361"/>
      <c r="DU9" s="361"/>
      <c r="DV9" s="361"/>
      <c r="DW9" s="361"/>
      <c r="DX9" s="361"/>
      <c r="DY9" s="361"/>
      <c r="DZ9" s="361"/>
      <c r="EA9" s="361"/>
      <c r="EB9" s="361"/>
      <c r="EC9" s="361"/>
      <c r="ED9" s="361"/>
      <c r="EE9" s="361"/>
      <c r="EF9" s="361"/>
      <c r="EG9" s="645">
        <f t="shared" ref="EG9:EG72" si="4">(SUM(EH9:EK9))*1.547</f>
        <v>3.8674999999999997</v>
      </c>
      <c r="EH9" s="361">
        <v>0</v>
      </c>
      <c r="EI9" s="647">
        <v>0</v>
      </c>
      <c r="EJ9" s="647">
        <v>2.5</v>
      </c>
      <c r="EK9" s="647">
        <v>0</v>
      </c>
      <c r="EL9" s="361"/>
      <c r="EM9" s="361"/>
      <c r="EN9" s="361"/>
      <c r="EO9" s="361"/>
      <c r="EP9" s="361"/>
      <c r="EQ9" s="361"/>
      <c r="ER9" s="361"/>
      <c r="ES9" s="3"/>
      <c r="ET9" s="3"/>
    </row>
    <row r="10" spans="1:226" s="357" customFormat="1" ht="15">
      <c r="A10" s="675" t="s">
        <v>9</v>
      </c>
      <c r="B10" s="712">
        <v>41636</v>
      </c>
      <c r="C10" s="713">
        <v>0</v>
      </c>
      <c r="D10" s="676">
        <v>0.05</v>
      </c>
      <c r="E10" s="676">
        <v>0</v>
      </c>
      <c r="F10" s="676">
        <v>35.4</v>
      </c>
      <c r="G10" s="697">
        <v>1.4</v>
      </c>
      <c r="H10" s="697" t="s">
        <v>744</v>
      </c>
      <c r="I10" s="697">
        <v>93.6</v>
      </c>
      <c r="J10" s="697" t="s">
        <v>744</v>
      </c>
      <c r="K10" s="697">
        <v>0.05</v>
      </c>
      <c r="L10" s="1085">
        <v>35.33</v>
      </c>
      <c r="M10" s="697">
        <v>19.8</v>
      </c>
      <c r="N10" s="697" t="s">
        <v>744</v>
      </c>
      <c r="O10" s="697" t="s">
        <v>743</v>
      </c>
      <c r="P10" s="697">
        <v>1.54</v>
      </c>
      <c r="Q10" s="697">
        <v>1.5377829890664749</v>
      </c>
      <c r="R10" s="973">
        <v>469.01427741083216</v>
      </c>
      <c r="S10" s="697" t="s">
        <v>744</v>
      </c>
      <c r="T10" s="697">
        <v>7.97</v>
      </c>
      <c r="U10" s="697" t="s">
        <v>744</v>
      </c>
      <c r="V10" s="697">
        <v>0.74</v>
      </c>
      <c r="W10" s="697" t="e">
        <v>#VALUE!</v>
      </c>
      <c r="X10" s="788">
        <v>44.239999999999995</v>
      </c>
      <c r="Y10" s="697">
        <v>20.95</v>
      </c>
      <c r="Z10" s="697">
        <v>14.2</v>
      </c>
      <c r="AA10" s="794">
        <v>21.03</v>
      </c>
      <c r="AB10" s="794">
        <v>14.3</v>
      </c>
      <c r="AC10" s="775">
        <f t="shared" si="2"/>
        <v>35.33</v>
      </c>
      <c r="AD10" s="775">
        <f t="shared" si="3"/>
        <v>54.655509999999992</v>
      </c>
      <c r="AE10" s="775"/>
      <c r="AF10" s="567"/>
      <c r="AG10" s="2">
        <v>1</v>
      </c>
      <c r="AH10" s="362"/>
      <c r="AI10" s="362"/>
      <c r="AJ10" s="2"/>
      <c r="AK10" s="2"/>
      <c r="AL10" s="2"/>
      <c r="AM10" s="2"/>
      <c r="AN10" s="2"/>
      <c r="AQ10" s="359"/>
      <c r="AR10" s="578">
        <v>0</v>
      </c>
      <c r="AS10" s="405">
        <v>11.5</v>
      </c>
      <c r="AT10" s="578">
        <v>0</v>
      </c>
      <c r="AU10" s="405">
        <v>21.7</v>
      </c>
      <c r="AV10" s="406">
        <v>382.4</v>
      </c>
      <c r="AW10" s="406">
        <v>479.3</v>
      </c>
      <c r="AX10" s="383">
        <v>0</v>
      </c>
      <c r="AY10" s="569">
        <v>0</v>
      </c>
      <c r="AZ10" s="569">
        <v>0</v>
      </c>
      <c r="BA10" s="569">
        <v>0</v>
      </c>
      <c r="BB10" s="1086">
        <v>1</v>
      </c>
      <c r="BC10" s="383">
        <v>0</v>
      </c>
      <c r="BD10" s="383">
        <v>1.5</v>
      </c>
      <c r="BE10" s="569">
        <v>0</v>
      </c>
      <c r="BF10" s="383">
        <v>1</v>
      </c>
      <c r="BG10" s="383">
        <v>0</v>
      </c>
      <c r="BH10" s="569">
        <v>0</v>
      </c>
      <c r="BI10" s="383">
        <v>0</v>
      </c>
      <c r="BJ10" s="383">
        <v>11.9</v>
      </c>
      <c r="BK10" s="383">
        <v>0</v>
      </c>
      <c r="BL10" s="383">
        <v>0</v>
      </c>
      <c r="BM10" s="383">
        <v>0</v>
      </c>
      <c r="BN10" s="383">
        <v>10.8</v>
      </c>
      <c r="BO10" s="646">
        <v>1530.2</v>
      </c>
      <c r="BP10" s="646">
        <v>0</v>
      </c>
      <c r="BQ10" s="646">
        <v>19.2</v>
      </c>
      <c r="BR10" s="646">
        <v>19.100000000000001</v>
      </c>
      <c r="BS10" s="646">
        <v>7.7</v>
      </c>
      <c r="BT10" s="646">
        <v>10.5</v>
      </c>
      <c r="BU10" s="646">
        <v>20.100000000000001</v>
      </c>
      <c r="BV10" s="646">
        <v>23.2</v>
      </c>
      <c r="BW10" s="647">
        <v>681.6</v>
      </c>
      <c r="BX10" s="875"/>
      <c r="BY10" s="646">
        <v>0.16</v>
      </c>
      <c r="BZ10" s="646">
        <v>1.39</v>
      </c>
      <c r="CA10" s="647">
        <v>1.3</v>
      </c>
      <c r="CB10" s="647">
        <v>8.6999999999999993</v>
      </c>
      <c r="CC10" s="647">
        <v>8.1999999999999993</v>
      </c>
      <c r="CD10" s="647">
        <v>16</v>
      </c>
      <c r="CE10" s="647">
        <v>33.700000000000003</v>
      </c>
      <c r="CF10" s="647">
        <v>15.5</v>
      </c>
      <c r="CG10" s="647">
        <v>7.7</v>
      </c>
      <c r="CH10" s="647">
        <v>13</v>
      </c>
      <c r="CI10" s="647">
        <v>17.399999999999999</v>
      </c>
      <c r="CJ10" s="647">
        <v>13.2</v>
      </c>
      <c r="CK10" s="647">
        <v>0</v>
      </c>
      <c r="CL10" s="647">
        <v>2.9</v>
      </c>
      <c r="CM10" s="647">
        <v>3.6</v>
      </c>
      <c r="CN10" s="647">
        <v>582.9</v>
      </c>
      <c r="CO10" s="647">
        <v>361.5</v>
      </c>
      <c r="CP10" s="647">
        <v>412.1</v>
      </c>
      <c r="CQ10" s="386">
        <v>11.7</v>
      </c>
      <c r="CR10" s="647">
        <v>1.86</v>
      </c>
      <c r="CS10" s="383">
        <v>9724.9</v>
      </c>
      <c r="CT10" s="383">
        <v>16.971</v>
      </c>
      <c r="CU10" s="383">
        <v>49</v>
      </c>
      <c r="CV10" s="386">
        <v>0</v>
      </c>
      <c r="CW10" s="386">
        <v>0</v>
      </c>
      <c r="CX10" s="386">
        <v>0</v>
      </c>
      <c r="CY10" s="386">
        <v>0</v>
      </c>
      <c r="CZ10" s="699">
        <v>1310</v>
      </c>
      <c r="DA10" s="699">
        <v>1760</v>
      </c>
      <c r="DB10" s="699">
        <v>1190</v>
      </c>
      <c r="DC10" s="806">
        <v>1082.9000000000001</v>
      </c>
      <c r="DD10" s="386"/>
      <c r="DE10" s="386"/>
      <c r="DF10" s="386"/>
      <c r="DG10" s="386"/>
      <c r="DH10" s="386"/>
      <c r="DI10" s="361"/>
      <c r="DJ10" s="361"/>
      <c r="DK10" s="3"/>
      <c r="DL10" s="645"/>
      <c r="DM10" s="805"/>
      <c r="DN10" s="645"/>
      <c r="DO10" s="3"/>
      <c r="DP10" s="361"/>
      <c r="DQ10" s="361"/>
      <c r="DR10" s="361"/>
      <c r="DS10" s="361"/>
      <c r="DT10" s="361"/>
      <c r="DU10" s="361"/>
      <c r="DV10" s="361"/>
      <c r="DW10" s="361"/>
      <c r="DX10" s="361"/>
      <c r="DY10" s="361"/>
      <c r="DZ10" s="361"/>
      <c r="EA10" s="361"/>
      <c r="EB10" s="361"/>
      <c r="EC10" s="361"/>
      <c r="ED10" s="361"/>
      <c r="EE10" s="361"/>
      <c r="EF10" s="361"/>
      <c r="EG10" s="645">
        <f t="shared" si="4"/>
        <v>3.8674999999999997</v>
      </c>
      <c r="EH10" s="361">
        <v>0</v>
      </c>
      <c r="EI10" s="647">
        <v>0</v>
      </c>
      <c r="EJ10" s="647">
        <v>2.5</v>
      </c>
      <c r="EK10" s="647">
        <v>0</v>
      </c>
      <c r="EL10" s="361"/>
      <c r="EM10" s="361"/>
      <c r="EN10" s="361"/>
      <c r="EO10" s="361"/>
      <c r="EP10" s="361"/>
      <c r="EQ10" s="361"/>
      <c r="ER10" s="361"/>
      <c r="ES10" s="3"/>
      <c r="ET10" s="3"/>
    </row>
    <row r="11" spans="1:226" s="357" customFormat="1" ht="15">
      <c r="A11" s="675" t="s">
        <v>3</v>
      </c>
      <c r="B11" s="712">
        <v>41637</v>
      </c>
      <c r="C11" s="713">
        <v>0</v>
      </c>
      <c r="D11" s="676">
        <v>0</v>
      </c>
      <c r="E11" s="676">
        <v>0</v>
      </c>
      <c r="F11" s="676">
        <v>37.9</v>
      </c>
      <c r="G11" s="697">
        <v>1.8</v>
      </c>
      <c r="H11" s="697" t="s">
        <v>744</v>
      </c>
      <c r="I11" s="697">
        <v>92.89</v>
      </c>
      <c r="J11" s="697" t="s">
        <v>744</v>
      </c>
      <c r="K11" s="697">
        <v>0.04</v>
      </c>
      <c r="L11" s="1085">
        <v>35.22</v>
      </c>
      <c r="M11" s="697">
        <v>19.5</v>
      </c>
      <c r="N11" s="697" t="s">
        <v>744</v>
      </c>
      <c r="O11" s="697" t="s">
        <v>743</v>
      </c>
      <c r="P11" s="697">
        <v>1.53</v>
      </c>
      <c r="Q11" s="697">
        <v>1.5432267514771647</v>
      </c>
      <c r="R11" s="973">
        <v>467.0708480845442</v>
      </c>
      <c r="S11" s="697" t="s">
        <v>744</v>
      </c>
      <c r="T11" s="697">
        <v>7.94</v>
      </c>
      <c r="U11" s="697" t="s">
        <v>744</v>
      </c>
      <c r="V11" s="697">
        <v>0.75</v>
      </c>
      <c r="W11" s="697" t="e">
        <v>#VALUE!</v>
      </c>
      <c r="X11" s="788">
        <v>44.239999999999995</v>
      </c>
      <c r="Y11" s="697">
        <v>21.03</v>
      </c>
      <c r="Z11" s="697">
        <v>14.3</v>
      </c>
      <c r="AA11" s="794">
        <v>21.02</v>
      </c>
      <c r="AB11" s="794">
        <v>14.2</v>
      </c>
      <c r="AC11" s="775">
        <f t="shared" si="2"/>
        <v>35.22</v>
      </c>
      <c r="AD11" s="775">
        <f t="shared" si="3"/>
        <v>54.485339999999994</v>
      </c>
      <c r="AE11" s="775"/>
      <c r="AF11" s="567"/>
      <c r="AG11" s="2">
        <v>1</v>
      </c>
      <c r="AH11" s="362"/>
      <c r="AI11" s="362"/>
      <c r="AJ11" s="2"/>
      <c r="AK11" s="2"/>
      <c r="AL11" s="2"/>
      <c r="AM11" s="2"/>
      <c r="AN11" s="2"/>
      <c r="AQ11" s="359"/>
      <c r="AR11" s="578">
        <v>0</v>
      </c>
      <c r="AS11" s="405">
        <v>21.1</v>
      </c>
      <c r="AT11" s="578">
        <v>0</v>
      </c>
      <c r="AU11" s="405">
        <v>21.7</v>
      </c>
      <c r="AV11" s="406">
        <v>450.7</v>
      </c>
      <c r="AW11" s="406">
        <v>514</v>
      </c>
      <c r="AX11" s="383">
        <v>0</v>
      </c>
      <c r="AY11" s="569">
        <v>0</v>
      </c>
      <c r="AZ11" s="569">
        <v>0</v>
      </c>
      <c r="BA11" s="569">
        <v>0</v>
      </c>
      <c r="BB11" s="1086">
        <v>1.014</v>
      </c>
      <c r="BC11" s="383">
        <v>0</v>
      </c>
      <c r="BD11" s="383">
        <v>1.5</v>
      </c>
      <c r="BE11" s="569">
        <v>0</v>
      </c>
      <c r="BF11" s="383">
        <v>1</v>
      </c>
      <c r="BG11" s="383">
        <v>0</v>
      </c>
      <c r="BH11" s="569">
        <v>0</v>
      </c>
      <c r="BI11" s="383">
        <v>0</v>
      </c>
      <c r="BJ11" s="383">
        <v>11.8</v>
      </c>
      <c r="BK11" s="383">
        <v>0</v>
      </c>
      <c r="BL11" s="383">
        <v>0</v>
      </c>
      <c r="BM11" s="383">
        <v>0</v>
      </c>
      <c r="BN11" s="383">
        <v>10.7</v>
      </c>
      <c r="BO11" s="646">
        <v>241.2</v>
      </c>
      <c r="BP11" s="646">
        <v>0</v>
      </c>
      <c r="BQ11" s="646">
        <v>20.399999999999999</v>
      </c>
      <c r="BR11" s="646">
        <v>20.399999999999999</v>
      </c>
      <c r="BS11" s="646">
        <v>7.8</v>
      </c>
      <c r="BT11" s="646">
        <v>10.3</v>
      </c>
      <c r="BU11" s="646">
        <v>20</v>
      </c>
      <c r="BV11" s="646">
        <v>17</v>
      </c>
      <c r="BW11" s="647">
        <v>496.5</v>
      </c>
      <c r="BX11" s="875"/>
      <c r="BY11" s="646">
        <v>0.16</v>
      </c>
      <c r="BZ11" s="646">
        <v>1.4</v>
      </c>
      <c r="CA11" s="647">
        <v>1.3</v>
      </c>
      <c r="CB11" s="647">
        <v>8.6</v>
      </c>
      <c r="CC11" s="647">
        <v>8.1</v>
      </c>
      <c r="CD11" s="647">
        <v>16.5</v>
      </c>
      <c r="CE11" s="647">
        <v>33.700000000000003</v>
      </c>
      <c r="CF11" s="647">
        <v>14.9</v>
      </c>
      <c r="CG11" s="647">
        <v>3.1</v>
      </c>
      <c r="CH11" s="647">
        <v>7.8</v>
      </c>
      <c r="CI11" s="647">
        <v>11.8</v>
      </c>
      <c r="CJ11" s="647">
        <v>13.7</v>
      </c>
      <c r="CK11" s="647">
        <v>0</v>
      </c>
      <c r="CL11" s="647">
        <v>3</v>
      </c>
      <c r="CM11" s="647">
        <v>3.9</v>
      </c>
      <c r="CN11" s="647">
        <v>550.20000000000005</v>
      </c>
      <c r="CO11" s="647">
        <v>362.7</v>
      </c>
      <c r="CP11" s="647">
        <v>405.6</v>
      </c>
      <c r="CQ11" s="647">
        <v>11.4</v>
      </c>
      <c r="CR11" s="647">
        <v>1.26</v>
      </c>
      <c r="CS11" s="383">
        <v>11043.1</v>
      </c>
      <c r="CT11" s="383">
        <v>17.294</v>
      </c>
      <c r="CU11" s="383">
        <v>49</v>
      </c>
      <c r="CV11" s="386">
        <v>0</v>
      </c>
      <c r="CW11" s="386">
        <v>0</v>
      </c>
      <c r="CX11" s="386">
        <v>0</v>
      </c>
      <c r="CY11" s="386">
        <v>0</v>
      </c>
      <c r="CZ11" s="699">
        <v>1290</v>
      </c>
      <c r="DA11" s="699">
        <v>1720</v>
      </c>
      <c r="DB11" s="699">
        <v>1170</v>
      </c>
      <c r="DC11" s="806">
        <v>1081.82</v>
      </c>
      <c r="DD11" s="386"/>
      <c r="DE11" s="386"/>
      <c r="DF11" s="386"/>
      <c r="DG11" s="386"/>
      <c r="DH11" s="386"/>
      <c r="DI11" s="361"/>
      <c r="DJ11" s="361"/>
      <c r="DK11" s="3"/>
      <c r="DL11" s="645"/>
      <c r="DM11" s="805"/>
      <c r="DN11" s="645"/>
      <c r="DO11" s="3"/>
      <c r="DP11" s="361"/>
      <c r="DQ11" s="361"/>
      <c r="DR11" s="361"/>
      <c r="DS11" s="361"/>
      <c r="DT11" s="361"/>
      <c r="DU11" s="361"/>
      <c r="DV11" s="361"/>
      <c r="DW11" s="361"/>
      <c r="DX11" s="361"/>
      <c r="DY11" s="361"/>
      <c r="DZ11" s="361"/>
      <c r="EA11" s="361"/>
      <c r="EB11" s="361"/>
      <c r="EC11" s="361"/>
      <c r="ED11" s="361"/>
      <c r="EE11" s="361"/>
      <c r="EF11" s="361"/>
      <c r="EG11" s="645">
        <f t="shared" si="4"/>
        <v>3.8674999999999997</v>
      </c>
      <c r="EH11" s="361">
        <v>0</v>
      </c>
      <c r="EI11" s="647">
        <v>0</v>
      </c>
      <c r="EJ11" s="647">
        <v>2.5</v>
      </c>
      <c r="EK11" s="647">
        <v>0</v>
      </c>
      <c r="EL11" s="361"/>
      <c r="EM11" s="361"/>
      <c r="EN11" s="361"/>
      <c r="EO11" s="361"/>
      <c r="EP11" s="361"/>
      <c r="EQ11" s="361"/>
      <c r="ER11" s="361"/>
      <c r="ES11" s="3"/>
      <c r="ET11" s="3"/>
    </row>
    <row r="12" spans="1:226" s="357" customFormat="1" ht="15">
      <c r="A12" s="675" t="s">
        <v>4</v>
      </c>
      <c r="B12" s="712">
        <v>41638</v>
      </c>
      <c r="C12" s="713">
        <v>0</v>
      </c>
      <c r="D12" s="676">
        <v>0.05</v>
      </c>
      <c r="E12" s="676">
        <v>0</v>
      </c>
      <c r="F12" s="676">
        <v>41</v>
      </c>
      <c r="G12" s="697">
        <v>1.6</v>
      </c>
      <c r="H12" s="697" t="s">
        <v>744</v>
      </c>
      <c r="I12" s="697">
        <v>94.55</v>
      </c>
      <c r="J12" s="697" t="s">
        <v>744</v>
      </c>
      <c r="K12" s="697">
        <v>0.04</v>
      </c>
      <c r="L12" s="1085">
        <v>35.25</v>
      </c>
      <c r="M12" s="697">
        <v>19.2</v>
      </c>
      <c r="N12" s="697" t="s">
        <v>744</v>
      </c>
      <c r="O12" s="697" t="s">
        <v>743</v>
      </c>
      <c r="P12" s="697">
        <v>1.53</v>
      </c>
      <c r="Q12" s="697">
        <v>1.5274871564994676</v>
      </c>
      <c r="R12" s="973">
        <v>460.26884544253625</v>
      </c>
      <c r="S12" s="697" t="s">
        <v>744</v>
      </c>
      <c r="T12" s="697">
        <v>7.94</v>
      </c>
      <c r="U12" s="697" t="s">
        <v>744</v>
      </c>
      <c r="V12" s="697">
        <v>0.75</v>
      </c>
      <c r="W12" s="697" t="e">
        <v>#VALUE!</v>
      </c>
      <c r="X12" s="788">
        <v>44.239999999999995</v>
      </c>
      <c r="Y12" s="697">
        <v>21.02</v>
      </c>
      <c r="Z12" s="697">
        <v>14.2</v>
      </c>
      <c r="AA12" s="794">
        <v>21.05</v>
      </c>
      <c r="AB12" s="794">
        <v>14.2</v>
      </c>
      <c r="AC12" s="775">
        <f t="shared" si="2"/>
        <v>35.25</v>
      </c>
      <c r="AD12" s="775">
        <f t="shared" si="3"/>
        <v>54.531749999999995</v>
      </c>
      <c r="AE12" s="775"/>
      <c r="AF12" s="567"/>
      <c r="AG12" s="2">
        <v>1</v>
      </c>
      <c r="AH12" s="362"/>
      <c r="AI12" s="362"/>
      <c r="AJ12" s="2"/>
      <c r="AK12" s="2"/>
      <c r="AL12" s="2"/>
      <c r="AM12" s="2"/>
      <c r="AN12" s="2"/>
      <c r="AQ12" s="359"/>
      <c r="AR12" s="578">
        <v>0</v>
      </c>
      <c r="AS12" s="405">
        <v>11.2</v>
      </c>
      <c r="AT12" s="578">
        <v>0</v>
      </c>
      <c r="AU12" s="405">
        <v>21.7</v>
      </c>
      <c r="AV12" s="406">
        <v>406.6</v>
      </c>
      <c r="AW12" s="406">
        <v>609.29999999999995</v>
      </c>
      <c r="AX12" s="383">
        <v>0</v>
      </c>
      <c r="AY12" s="569">
        <v>0</v>
      </c>
      <c r="AZ12" s="569">
        <v>0</v>
      </c>
      <c r="BA12" s="569">
        <v>0</v>
      </c>
      <c r="BB12" s="1086">
        <v>1.004</v>
      </c>
      <c r="BC12" s="383">
        <v>0.54</v>
      </c>
      <c r="BD12" s="383">
        <v>1.46</v>
      </c>
      <c r="BE12" s="569">
        <v>0</v>
      </c>
      <c r="BF12" s="383">
        <v>0.96</v>
      </c>
      <c r="BG12" s="383">
        <v>0</v>
      </c>
      <c r="BH12" s="569">
        <v>0</v>
      </c>
      <c r="BI12" s="383">
        <v>0</v>
      </c>
      <c r="BJ12" s="383">
        <v>11.8</v>
      </c>
      <c r="BK12" s="383">
        <v>0</v>
      </c>
      <c r="BL12" s="383">
        <v>0</v>
      </c>
      <c r="BM12" s="383">
        <v>0</v>
      </c>
      <c r="BN12" s="383">
        <v>10.7</v>
      </c>
      <c r="BO12" s="646">
        <v>1988</v>
      </c>
      <c r="BP12" s="646">
        <v>0</v>
      </c>
      <c r="BQ12" s="646">
        <v>19.7</v>
      </c>
      <c r="BR12" s="646">
        <v>19.690000000000001</v>
      </c>
      <c r="BS12" s="646">
        <v>7.6</v>
      </c>
      <c r="BT12" s="646">
        <v>10.3</v>
      </c>
      <c r="BU12" s="646">
        <v>19.8</v>
      </c>
      <c r="BV12" s="646">
        <v>22.3</v>
      </c>
      <c r="BW12" s="647">
        <v>581.9</v>
      </c>
      <c r="BX12" s="875"/>
      <c r="BY12" s="646">
        <v>0.15</v>
      </c>
      <c r="BZ12" s="646">
        <v>1.39</v>
      </c>
      <c r="CA12" s="647">
        <v>1.3</v>
      </c>
      <c r="CB12" s="647">
        <v>8.6</v>
      </c>
      <c r="CC12" s="647">
        <v>8.1</v>
      </c>
      <c r="CD12" s="647">
        <v>16.100000000000001</v>
      </c>
      <c r="CE12" s="647">
        <v>33.700000000000003</v>
      </c>
      <c r="CF12" s="647">
        <v>14.3</v>
      </c>
      <c r="CG12" s="647">
        <v>8</v>
      </c>
      <c r="CH12" s="647">
        <v>13.4</v>
      </c>
      <c r="CI12" s="647">
        <v>17.5</v>
      </c>
      <c r="CJ12" s="647">
        <v>13.6</v>
      </c>
      <c r="CK12" s="647">
        <v>0</v>
      </c>
      <c r="CL12" s="647">
        <v>2.8</v>
      </c>
      <c r="CM12" s="647">
        <v>4.5999999999999996</v>
      </c>
      <c r="CN12" s="647">
        <v>532.6</v>
      </c>
      <c r="CO12" s="647">
        <v>342.7</v>
      </c>
      <c r="CP12" s="647">
        <v>431</v>
      </c>
      <c r="CQ12" s="647">
        <v>11.1</v>
      </c>
      <c r="CR12" s="647">
        <v>1.31</v>
      </c>
      <c r="CS12" s="383">
        <v>9650.6</v>
      </c>
      <c r="CT12" s="383">
        <v>17.023</v>
      </c>
      <c r="CU12" s="383">
        <v>49</v>
      </c>
      <c r="CV12" s="386">
        <v>0</v>
      </c>
      <c r="CW12" s="386">
        <v>0</v>
      </c>
      <c r="CX12" s="386">
        <v>0</v>
      </c>
      <c r="CY12" s="386">
        <v>0</v>
      </c>
      <c r="CZ12" s="699">
        <v>1260</v>
      </c>
      <c r="DA12" s="699">
        <v>1680</v>
      </c>
      <c r="DB12" s="699">
        <v>1150</v>
      </c>
      <c r="DC12" s="806">
        <v>1079.5999999999999</v>
      </c>
      <c r="DD12" s="386"/>
      <c r="DE12" s="386"/>
      <c r="DF12" s="386"/>
      <c r="DG12" s="386"/>
      <c r="DH12" s="386"/>
      <c r="DI12" s="361"/>
      <c r="DJ12" s="361"/>
      <c r="DK12" s="3"/>
      <c r="DL12" s="645"/>
      <c r="DM12" s="805"/>
      <c r="DN12" s="645"/>
      <c r="DO12" s="3"/>
      <c r="DP12" s="361"/>
      <c r="DQ12" s="361"/>
      <c r="DR12" s="361"/>
      <c r="DS12" s="361"/>
      <c r="DT12" s="361"/>
      <c r="DU12" s="361"/>
      <c r="DV12" s="361"/>
      <c r="DW12" s="361"/>
      <c r="DX12" s="361"/>
      <c r="DY12" s="361"/>
      <c r="DZ12" s="361"/>
      <c r="EA12" s="361"/>
      <c r="EB12" s="361"/>
      <c r="EC12" s="361"/>
      <c r="ED12" s="361"/>
      <c r="EE12" s="361"/>
      <c r="EF12" s="361"/>
      <c r="EG12" s="645">
        <f t="shared" si="4"/>
        <v>3.8674999999999997</v>
      </c>
      <c r="EH12" s="361">
        <v>0</v>
      </c>
      <c r="EI12" s="647">
        <v>0</v>
      </c>
      <c r="EJ12" s="647">
        <v>2.5</v>
      </c>
      <c r="EK12" s="647">
        <v>0</v>
      </c>
      <c r="EL12" s="361"/>
      <c r="EM12" s="361"/>
      <c r="EN12" s="361"/>
      <c r="EO12" s="361"/>
      <c r="EP12" s="361"/>
      <c r="EQ12" s="361"/>
      <c r="ER12" s="361"/>
      <c r="ES12" s="3"/>
      <c r="ET12" s="3"/>
    </row>
    <row r="13" spans="1:226" s="357" customFormat="1" ht="15">
      <c r="A13" s="675" t="s">
        <v>5</v>
      </c>
      <c r="B13" s="712">
        <v>41639</v>
      </c>
      <c r="C13" s="713">
        <v>0</v>
      </c>
      <c r="D13" s="676">
        <v>0.06</v>
      </c>
      <c r="E13" s="676">
        <v>0</v>
      </c>
      <c r="F13" s="676">
        <v>39</v>
      </c>
      <c r="G13" s="697">
        <v>1.2</v>
      </c>
      <c r="H13" s="697" t="s">
        <v>744</v>
      </c>
      <c r="I13" s="697">
        <v>93.6</v>
      </c>
      <c r="J13" s="697" t="s">
        <v>744</v>
      </c>
      <c r="K13" s="697">
        <v>0.04</v>
      </c>
      <c r="L13" s="1085">
        <v>35.200000000000003</v>
      </c>
      <c r="M13" s="697">
        <v>19</v>
      </c>
      <c r="N13" s="697" t="s">
        <v>744</v>
      </c>
      <c r="O13" s="697" t="s">
        <v>743</v>
      </c>
      <c r="P13" s="697">
        <v>1.5</v>
      </c>
      <c r="Q13" s="697">
        <v>1.4951532178543561</v>
      </c>
      <c r="R13" s="973">
        <v>451.52341347424039</v>
      </c>
      <c r="S13" s="697" t="s">
        <v>744</v>
      </c>
      <c r="T13" s="697">
        <v>7.92</v>
      </c>
      <c r="U13" s="697" t="s">
        <v>744</v>
      </c>
      <c r="V13" s="697">
        <v>0.74</v>
      </c>
      <c r="W13" s="697" t="e">
        <v>#VALUE!</v>
      </c>
      <c r="X13" s="788">
        <v>44.239999999999995</v>
      </c>
      <c r="Y13" s="697">
        <v>21.05</v>
      </c>
      <c r="Z13" s="697">
        <v>14.2</v>
      </c>
      <c r="AA13" s="794">
        <v>21.1</v>
      </c>
      <c r="AB13" s="794">
        <v>14.1</v>
      </c>
      <c r="AC13" s="775">
        <f t="shared" si="2"/>
        <v>35.200000000000003</v>
      </c>
      <c r="AD13" s="775">
        <f t="shared" si="3"/>
        <v>54.4544</v>
      </c>
      <c r="AE13" s="775"/>
      <c r="AF13" s="567"/>
      <c r="AG13" s="2">
        <v>1</v>
      </c>
      <c r="AH13" s="362"/>
      <c r="AI13" s="362"/>
      <c r="AJ13" s="2"/>
      <c r="AK13" s="2"/>
      <c r="AL13" s="2"/>
      <c r="AM13" s="2"/>
      <c r="AN13" s="2"/>
      <c r="AQ13" s="359"/>
      <c r="AR13" s="578">
        <v>0</v>
      </c>
      <c r="AS13" s="405">
        <v>21.3</v>
      </c>
      <c r="AT13" s="578">
        <v>0</v>
      </c>
      <c r="AU13" s="405">
        <v>21.8</v>
      </c>
      <c r="AV13" s="406">
        <v>314.7</v>
      </c>
      <c r="AW13" s="406">
        <v>446.4</v>
      </c>
      <c r="AX13" s="383">
        <v>0</v>
      </c>
      <c r="AY13" s="569">
        <v>0</v>
      </c>
      <c r="AZ13" s="569">
        <v>0</v>
      </c>
      <c r="BA13" s="569">
        <v>0</v>
      </c>
      <c r="BB13" s="1086">
        <v>1</v>
      </c>
      <c r="BC13" s="383">
        <v>0.48</v>
      </c>
      <c r="BD13" s="383">
        <v>1.5</v>
      </c>
      <c r="BE13" s="569">
        <v>0</v>
      </c>
      <c r="BF13" s="383">
        <v>1</v>
      </c>
      <c r="BG13" s="383">
        <v>0</v>
      </c>
      <c r="BH13" s="569">
        <v>0</v>
      </c>
      <c r="BI13" s="383">
        <v>0</v>
      </c>
      <c r="BJ13" s="383">
        <v>11.7</v>
      </c>
      <c r="BK13" s="383">
        <v>0</v>
      </c>
      <c r="BL13" s="383">
        <v>0</v>
      </c>
      <c r="BM13" s="383">
        <v>0</v>
      </c>
      <c r="BN13" s="383">
        <v>10.6</v>
      </c>
      <c r="BO13" s="646">
        <v>186.2</v>
      </c>
      <c r="BP13" s="646">
        <v>0</v>
      </c>
      <c r="BQ13" s="646">
        <v>20.3</v>
      </c>
      <c r="BR13" s="646">
        <v>20.3</v>
      </c>
      <c r="BS13" s="646">
        <v>7.9</v>
      </c>
      <c r="BT13" s="646">
        <v>10.5</v>
      </c>
      <c r="BU13" s="646">
        <v>20.2</v>
      </c>
      <c r="BV13" s="646">
        <v>18.899999999999999</v>
      </c>
      <c r="BW13" s="647">
        <v>558.20000000000005</v>
      </c>
      <c r="BX13" s="875"/>
      <c r="BY13" s="646">
        <v>0.15</v>
      </c>
      <c r="BZ13" s="646">
        <v>1.38</v>
      </c>
      <c r="CA13" s="647">
        <v>1.3</v>
      </c>
      <c r="CB13" s="647">
        <v>8.6</v>
      </c>
      <c r="CC13" s="647">
        <v>8.1</v>
      </c>
      <c r="CD13" s="647">
        <v>15.9</v>
      </c>
      <c r="CE13" s="647">
        <v>33.799999999999997</v>
      </c>
      <c r="CF13" s="647">
        <v>13.8</v>
      </c>
      <c r="CG13" s="647">
        <v>3.05</v>
      </c>
      <c r="CH13" s="647">
        <v>7.6</v>
      </c>
      <c r="CI13" s="647">
        <v>12.1</v>
      </c>
      <c r="CJ13" s="647">
        <v>13.2</v>
      </c>
      <c r="CK13" s="647">
        <v>0</v>
      </c>
      <c r="CL13" s="647">
        <v>2.7</v>
      </c>
      <c r="CM13" s="647">
        <v>3.9</v>
      </c>
      <c r="CN13" s="647">
        <v>548.5</v>
      </c>
      <c r="CO13" s="647">
        <v>342.7</v>
      </c>
      <c r="CP13" s="647">
        <v>435.9</v>
      </c>
      <c r="CQ13" s="647">
        <v>11.2</v>
      </c>
      <c r="CR13" s="647">
        <v>1.36</v>
      </c>
      <c r="CS13" s="383">
        <v>9627</v>
      </c>
      <c r="CT13" s="383">
        <v>16.75</v>
      </c>
      <c r="CU13" s="383">
        <v>49</v>
      </c>
      <c r="CV13" s="386">
        <v>0</v>
      </c>
      <c r="CW13" s="386">
        <v>0</v>
      </c>
      <c r="CX13" s="386">
        <v>0</v>
      </c>
      <c r="CY13" s="386">
        <v>0</v>
      </c>
      <c r="CZ13" s="699">
        <v>998</v>
      </c>
      <c r="DA13" s="699">
        <v>1450</v>
      </c>
      <c r="DB13" s="699">
        <v>939</v>
      </c>
      <c r="DC13" s="806">
        <v>1078.0999999999999</v>
      </c>
      <c r="DD13" s="386"/>
      <c r="DE13" s="386"/>
      <c r="DF13" s="386"/>
      <c r="DG13" s="386"/>
      <c r="DH13" s="386"/>
      <c r="DI13" s="361"/>
      <c r="DJ13" s="361"/>
      <c r="DK13" s="3"/>
      <c r="DL13" s="645"/>
      <c r="DM13" s="805"/>
      <c r="DN13" s="645"/>
      <c r="DO13" s="3"/>
      <c r="DP13" s="361"/>
      <c r="DQ13" s="361"/>
      <c r="DR13" s="361"/>
      <c r="DS13" s="361"/>
      <c r="DT13" s="361"/>
      <c r="DU13" s="361"/>
      <c r="DV13" s="361"/>
      <c r="DW13" s="361"/>
      <c r="DX13" s="361"/>
      <c r="DY13" s="361"/>
      <c r="DZ13" s="361"/>
      <c r="EA13" s="361"/>
      <c r="EB13" s="361"/>
      <c r="EC13" s="361"/>
      <c r="ED13" s="361"/>
      <c r="EE13" s="361"/>
      <c r="EF13" s="361"/>
      <c r="EG13" s="645">
        <f t="shared" si="4"/>
        <v>3.8674999999999997</v>
      </c>
      <c r="EH13" s="361">
        <v>0</v>
      </c>
      <c r="EI13" s="647">
        <v>0</v>
      </c>
      <c r="EJ13" s="647">
        <v>2.5</v>
      </c>
      <c r="EK13" s="647">
        <v>0</v>
      </c>
      <c r="EL13" s="361"/>
      <c r="EM13" s="361"/>
      <c r="EN13" s="361"/>
      <c r="EO13" s="361"/>
      <c r="EP13" s="361"/>
      <c r="EQ13" s="361"/>
      <c r="ER13" s="361"/>
      <c r="ES13" s="3"/>
      <c r="ET13" s="3"/>
    </row>
    <row r="14" spans="1:226" s="357" customFormat="1" ht="15">
      <c r="A14" s="675" t="s">
        <v>6</v>
      </c>
      <c r="B14" s="712">
        <v>41640</v>
      </c>
      <c r="C14" s="713">
        <v>0</v>
      </c>
      <c r="D14" s="676">
        <v>0.14000000000000001</v>
      </c>
      <c r="E14" s="676">
        <v>0</v>
      </c>
      <c r="F14" s="676">
        <v>40.299999999999997</v>
      </c>
      <c r="G14" s="697">
        <v>1.2</v>
      </c>
      <c r="H14" s="697" t="s">
        <v>744</v>
      </c>
      <c r="I14" s="697">
        <v>94.01</v>
      </c>
      <c r="J14" s="697" t="s">
        <v>744</v>
      </c>
      <c r="K14" s="697">
        <v>0.04</v>
      </c>
      <c r="L14" s="1085">
        <v>35.15</v>
      </c>
      <c r="M14" s="697">
        <v>18.7</v>
      </c>
      <c r="N14" s="697" t="s">
        <v>744</v>
      </c>
      <c r="O14" s="697" t="s">
        <v>743</v>
      </c>
      <c r="P14" s="697">
        <v>1.48</v>
      </c>
      <c r="Q14" s="697">
        <v>1.5088109154738423</v>
      </c>
      <c r="R14" s="973">
        <v>459.29713077939226</v>
      </c>
      <c r="S14" s="697" t="s">
        <v>744</v>
      </c>
      <c r="T14" s="697">
        <v>8</v>
      </c>
      <c r="U14" s="697" t="s">
        <v>744</v>
      </c>
      <c r="V14" s="697">
        <v>0.74</v>
      </c>
      <c r="W14" s="697" t="e">
        <v>#VALUE!</v>
      </c>
      <c r="X14" s="788">
        <v>44.06</v>
      </c>
      <c r="Y14" s="697">
        <v>21.1</v>
      </c>
      <c r="Z14" s="697">
        <v>14.1</v>
      </c>
      <c r="AA14" s="794">
        <v>21.05</v>
      </c>
      <c r="AB14" s="794">
        <v>14.1</v>
      </c>
      <c r="AC14" s="775">
        <f t="shared" si="2"/>
        <v>35.15</v>
      </c>
      <c r="AD14" s="775">
        <f t="shared" si="3"/>
        <v>54.377049999999997</v>
      </c>
      <c r="AE14" s="775"/>
      <c r="AF14" s="567"/>
      <c r="AG14" s="2">
        <v>1</v>
      </c>
      <c r="AH14" s="362"/>
      <c r="AI14" s="362"/>
      <c r="AJ14" s="2"/>
      <c r="AK14" s="2"/>
      <c r="AL14" s="2"/>
      <c r="AM14" s="2"/>
      <c r="AN14" s="2"/>
      <c r="AQ14" s="359"/>
      <c r="AR14" s="578">
        <v>0</v>
      </c>
      <c r="AS14" s="405">
        <v>11.3</v>
      </c>
      <c r="AT14" s="578">
        <v>0</v>
      </c>
      <c r="AU14" s="405">
        <v>21.7</v>
      </c>
      <c r="AV14" s="406">
        <v>364</v>
      </c>
      <c r="AW14" s="406">
        <v>436.7</v>
      </c>
      <c r="AX14" s="383">
        <v>0</v>
      </c>
      <c r="AY14" s="569">
        <v>0</v>
      </c>
      <c r="AZ14" s="569">
        <v>0</v>
      </c>
      <c r="BA14" s="569">
        <v>0</v>
      </c>
      <c r="BB14" s="1086">
        <v>0.998</v>
      </c>
      <c r="BC14" s="383">
        <v>0</v>
      </c>
      <c r="BD14" s="383">
        <v>1.5</v>
      </c>
      <c r="BE14" s="569">
        <v>0</v>
      </c>
      <c r="BF14" s="383">
        <v>1</v>
      </c>
      <c r="BG14" s="383">
        <v>0</v>
      </c>
      <c r="BH14" s="569">
        <v>0</v>
      </c>
      <c r="BI14" s="383">
        <v>0</v>
      </c>
      <c r="BJ14" s="383">
        <v>11.8</v>
      </c>
      <c r="BK14" s="383">
        <v>0</v>
      </c>
      <c r="BL14" s="383">
        <v>2.4300000000000002</v>
      </c>
      <c r="BM14" s="383">
        <v>0</v>
      </c>
      <c r="BN14" s="383">
        <v>8.1999999999999993</v>
      </c>
      <c r="BO14" s="646">
        <v>1310.9</v>
      </c>
      <c r="BP14" s="646">
        <v>0</v>
      </c>
      <c r="BQ14" s="646">
        <v>19.7</v>
      </c>
      <c r="BR14" s="646">
        <v>19.7</v>
      </c>
      <c r="BS14" s="646">
        <v>7.8</v>
      </c>
      <c r="BT14" s="646">
        <v>10.5</v>
      </c>
      <c r="BU14" s="646">
        <v>20.2</v>
      </c>
      <c r="BV14" s="646">
        <v>22.3</v>
      </c>
      <c r="BW14" s="647">
        <v>539.1</v>
      </c>
      <c r="BX14" s="875"/>
      <c r="BY14" s="646">
        <v>0.15</v>
      </c>
      <c r="BZ14" s="646">
        <v>1.35</v>
      </c>
      <c r="CA14" s="647">
        <v>1.3</v>
      </c>
      <c r="CB14" s="647">
        <v>8.6</v>
      </c>
      <c r="CC14" s="647">
        <v>8.1</v>
      </c>
      <c r="CD14" s="647">
        <v>15.6</v>
      </c>
      <c r="CE14" s="647">
        <v>33.700000000000003</v>
      </c>
      <c r="CF14" s="647">
        <v>13.1</v>
      </c>
      <c r="CG14" s="647">
        <v>4.2</v>
      </c>
      <c r="CH14" s="647">
        <v>9.1</v>
      </c>
      <c r="CI14" s="647">
        <v>13.1</v>
      </c>
      <c r="CJ14" s="647">
        <v>13.8</v>
      </c>
      <c r="CK14" s="647">
        <v>0</v>
      </c>
      <c r="CL14" s="647">
        <v>2.5</v>
      </c>
      <c r="CM14" s="647">
        <v>3.9</v>
      </c>
      <c r="CN14" s="647">
        <v>527.6</v>
      </c>
      <c r="CO14" s="647">
        <v>370.3</v>
      </c>
      <c r="CP14" s="647">
        <v>406.9</v>
      </c>
      <c r="CQ14" s="647">
        <v>11.7</v>
      </c>
      <c r="CR14" s="647">
        <v>1.61</v>
      </c>
      <c r="CS14" s="383">
        <v>10430</v>
      </c>
      <c r="CT14" s="383">
        <v>17.870999999999999</v>
      </c>
      <c r="CU14" s="383">
        <v>49</v>
      </c>
      <c r="CV14" s="386">
        <v>0</v>
      </c>
      <c r="CW14" s="386">
        <v>0</v>
      </c>
      <c r="CX14" s="386">
        <v>0</v>
      </c>
      <c r="CY14" s="386">
        <v>0</v>
      </c>
      <c r="CZ14" s="699">
        <v>993</v>
      </c>
      <c r="DA14" s="699">
        <v>1400</v>
      </c>
      <c r="DB14" s="699">
        <v>922</v>
      </c>
      <c r="DC14" s="806">
        <v>1077.3</v>
      </c>
      <c r="DD14" s="386"/>
      <c r="DE14" s="386"/>
      <c r="DF14" s="386"/>
      <c r="DG14" s="386"/>
      <c r="DH14" s="386"/>
      <c r="DI14" s="361"/>
      <c r="DJ14" s="361"/>
      <c r="DK14" s="3"/>
      <c r="DL14" s="645"/>
      <c r="DM14" s="788"/>
      <c r="DN14" s="645"/>
      <c r="DO14" s="3"/>
      <c r="DP14" s="361"/>
      <c r="DQ14" s="361"/>
      <c r="DR14" s="361"/>
      <c r="DS14" s="361"/>
      <c r="DT14" s="361"/>
      <c r="DU14" s="361"/>
      <c r="DV14" s="361"/>
      <c r="DW14" s="361"/>
      <c r="DX14" s="361"/>
      <c r="DY14" s="361"/>
      <c r="DZ14" s="361"/>
      <c r="EA14" s="361"/>
      <c r="EB14" s="361"/>
      <c r="EC14" s="361"/>
      <c r="ED14" s="361"/>
      <c r="EE14" s="361"/>
      <c r="EF14" s="361"/>
      <c r="EG14" s="645">
        <f t="shared" si="4"/>
        <v>7.6267099999999992</v>
      </c>
      <c r="EH14" s="361">
        <v>0</v>
      </c>
      <c r="EI14" s="647">
        <v>0</v>
      </c>
      <c r="EJ14" s="647">
        <v>2.5</v>
      </c>
      <c r="EK14" s="647">
        <f>BK14+BL14+BM14</f>
        <v>2.4300000000000002</v>
      </c>
      <c r="EL14" s="361"/>
      <c r="EM14" s="361"/>
      <c r="EN14" s="361"/>
      <c r="EO14" s="361"/>
      <c r="EP14" s="361"/>
      <c r="EQ14" s="361"/>
      <c r="ER14" s="361"/>
      <c r="ES14" s="3"/>
      <c r="ET14" s="3"/>
    </row>
    <row r="15" spans="1:226" s="357" customFormat="1" ht="15">
      <c r="A15" s="675" t="s">
        <v>7</v>
      </c>
      <c r="B15" s="712">
        <v>41641</v>
      </c>
      <c r="C15" s="713">
        <v>0</v>
      </c>
      <c r="D15" s="681">
        <v>0.9</v>
      </c>
      <c r="E15" s="681">
        <v>0</v>
      </c>
      <c r="F15" s="681">
        <v>43</v>
      </c>
      <c r="G15" s="807">
        <v>1.1000000000000001</v>
      </c>
      <c r="H15" s="807" t="s">
        <v>744</v>
      </c>
      <c r="I15" s="807">
        <v>92.9</v>
      </c>
      <c r="J15" s="697" t="s">
        <v>744</v>
      </c>
      <c r="K15" s="807">
        <v>0.04</v>
      </c>
      <c r="L15" s="1085">
        <v>35.299999999999997</v>
      </c>
      <c r="M15" s="807">
        <v>18.5</v>
      </c>
      <c r="N15" s="697" t="s">
        <v>744</v>
      </c>
      <c r="O15" s="807" t="s">
        <v>743</v>
      </c>
      <c r="P15" s="807">
        <v>1.59</v>
      </c>
      <c r="Q15" s="807">
        <v>1.6283939430329379</v>
      </c>
      <c r="R15" s="865">
        <v>492.98323910171717</v>
      </c>
      <c r="S15" s="697" t="s">
        <v>744</v>
      </c>
      <c r="T15" s="807">
        <v>7.72</v>
      </c>
      <c r="U15" s="697" t="s">
        <v>744</v>
      </c>
      <c r="V15" s="807">
        <v>0.59</v>
      </c>
      <c r="W15" s="807" t="e">
        <v>#VALUE!</v>
      </c>
      <c r="X15" s="690">
        <v>45.680000000000007</v>
      </c>
      <c r="Y15" s="807">
        <v>21.05</v>
      </c>
      <c r="Z15" s="807">
        <v>14.1</v>
      </c>
      <c r="AA15" s="794">
        <v>21.1</v>
      </c>
      <c r="AB15" s="794">
        <v>14.2</v>
      </c>
      <c r="AC15" s="775">
        <f t="shared" si="2"/>
        <v>35.299999999999997</v>
      </c>
      <c r="AD15" s="775">
        <f t="shared" si="3"/>
        <v>54.609099999999991</v>
      </c>
      <c r="AE15" s="775"/>
      <c r="AF15" s="567"/>
      <c r="AG15" s="2">
        <v>1</v>
      </c>
      <c r="AH15" s="362"/>
      <c r="AI15" s="362"/>
      <c r="AJ15" s="2"/>
      <c r="AK15" s="407"/>
      <c r="AL15" s="407"/>
      <c r="AM15" s="407"/>
      <c r="AN15" s="407"/>
      <c r="AO15" s="387"/>
      <c r="AP15" s="387"/>
      <c r="AQ15" s="405"/>
      <c r="AR15" s="578">
        <v>0</v>
      </c>
      <c r="AS15" s="405">
        <v>16.899999999999999</v>
      </c>
      <c r="AT15" s="578">
        <v>0</v>
      </c>
      <c r="AU15" s="405">
        <v>21.7</v>
      </c>
      <c r="AV15" s="406">
        <v>475.9</v>
      </c>
      <c r="AW15" s="406">
        <v>554.20000000000005</v>
      </c>
      <c r="AX15" s="383">
        <v>0</v>
      </c>
      <c r="AY15" s="569">
        <v>0</v>
      </c>
      <c r="AZ15" s="569">
        <v>0</v>
      </c>
      <c r="BA15" s="569">
        <v>0</v>
      </c>
      <c r="BB15" s="1086">
        <v>1.0069999999999999</v>
      </c>
      <c r="BC15" s="383">
        <v>0</v>
      </c>
      <c r="BD15" s="383">
        <v>1.5</v>
      </c>
      <c r="BE15" s="569">
        <v>0</v>
      </c>
      <c r="BF15" s="383">
        <v>0.99</v>
      </c>
      <c r="BG15" s="383">
        <v>0</v>
      </c>
      <c r="BH15" s="569">
        <v>0</v>
      </c>
      <c r="BI15" s="383">
        <v>0</v>
      </c>
      <c r="BJ15" s="383">
        <v>11.7</v>
      </c>
      <c r="BK15" s="383">
        <v>0</v>
      </c>
      <c r="BL15" s="383">
        <v>3.7</v>
      </c>
      <c r="BM15" s="383">
        <v>0</v>
      </c>
      <c r="BN15" s="383">
        <v>7</v>
      </c>
      <c r="BO15" s="646">
        <v>1905.5</v>
      </c>
      <c r="BP15" s="646">
        <v>0</v>
      </c>
      <c r="BQ15" s="646">
        <v>20.04</v>
      </c>
      <c r="BR15" s="646">
        <v>20.02</v>
      </c>
      <c r="BS15" s="646">
        <v>7.77</v>
      </c>
      <c r="BT15" s="646">
        <v>10.42</v>
      </c>
      <c r="BU15" s="646">
        <v>20</v>
      </c>
      <c r="BV15" s="646">
        <v>19.7</v>
      </c>
      <c r="BW15" s="647">
        <v>590.9</v>
      </c>
      <c r="BX15" s="875"/>
      <c r="BY15" s="646">
        <v>1.56</v>
      </c>
      <c r="BZ15" s="646">
        <v>1.36</v>
      </c>
      <c r="CA15" s="647">
        <v>1.3</v>
      </c>
      <c r="CB15" s="647">
        <v>8.6</v>
      </c>
      <c r="CC15" s="647">
        <v>8.1199999999999992</v>
      </c>
      <c r="CD15" s="647">
        <v>16</v>
      </c>
      <c r="CE15" s="647">
        <v>33.5</v>
      </c>
      <c r="CF15" s="647">
        <v>12.6</v>
      </c>
      <c r="CG15" s="647">
        <v>8.6</v>
      </c>
      <c r="CH15" s="647">
        <v>14.1</v>
      </c>
      <c r="CI15" s="647">
        <v>18.5</v>
      </c>
      <c r="CJ15" s="647">
        <v>13.92</v>
      </c>
      <c r="CK15" s="647">
        <v>1</v>
      </c>
      <c r="CL15" s="647">
        <v>2.2000000000000002</v>
      </c>
      <c r="CM15" s="647">
        <v>2.7</v>
      </c>
      <c r="CN15" s="647">
        <v>555.29999999999995</v>
      </c>
      <c r="CO15" s="647">
        <v>350</v>
      </c>
      <c r="CP15" s="647">
        <v>445.9</v>
      </c>
      <c r="CQ15" s="647">
        <v>12.7</v>
      </c>
      <c r="CR15" s="647">
        <v>1.81</v>
      </c>
      <c r="CS15" s="383">
        <v>13675.4</v>
      </c>
      <c r="CT15" s="383">
        <v>16.986000000000001</v>
      </c>
      <c r="CU15" s="383">
        <v>50</v>
      </c>
      <c r="CV15" s="386">
        <v>0</v>
      </c>
      <c r="CW15" s="386">
        <v>0</v>
      </c>
      <c r="CX15" s="386">
        <v>0</v>
      </c>
      <c r="CY15" s="386">
        <v>0</v>
      </c>
      <c r="CZ15" s="699">
        <v>871</v>
      </c>
      <c r="DA15" s="699">
        <v>1340</v>
      </c>
      <c r="DB15" s="699">
        <v>864</v>
      </c>
      <c r="DC15" s="806">
        <v>1077.25</v>
      </c>
      <c r="DD15" s="386"/>
      <c r="DE15" s="386"/>
      <c r="DF15" s="386"/>
      <c r="DG15" s="386"/>
      <c r="DH15" s="386"/>
      <c r="DI15" s="386"/>
      <c r="DJ15" s="386"/>
      <c r="DK15" s="363"/>
      <c r="DL15" s="647"/>
      <c r="DM15" s="699"/>
      <c r="DN15" s="647"/>
      <c r="DO15" s="363"/>
      <c r="DP15" s="386"/>
      <c r="DQ15" s="386"/>
      <c r="DR15" s="386"/>
      <c r="DS15" s="386"/>
      <c r="DT15" s="386"/>
      <c r="DU15" s="386"/>
      <c r="DV15" s="386"/>
      <c r="DW15" s="386"/>
      <c r="DX15" s="386"/>
      <c r="DY15" s="386"/>
      <c r="DZ15" s="386"/>
      <c r="EA15" s="386"/>
      <c r="EB15" s="386"/>
      <c r="EC15" s="386"/>
      <c r="ED15" s="386"/>
      <c r="EE15" s="386"/>
      <c r="EF15" s="386"/>
      <c r="EG15" s="645">
        <f t="shared" si="4"/>
        <v>9.5914000000000001</v>
      </c>
      <c r="EH15" s="361">
        <v>0</v>
      </c>
      <c r="EI15" s="647">
        <v>0</v>
      </c>
      <c r="EJ15" s="647">
        <v>2.5</v>
      </c>
      <c r="EK15" s="647">
        <f t="shared" ref="EK15:EK78" si="5">BK15+BL15+BM15</f>
        <v>3.7</v>
      </c>
      <c r="EL15" s="386"/>
      <c r="EM15" s="386"/>
      <c r="EN15" s="386"/>
      <c r="EO15" s="386"/>
      <c r="EP15" s="386"/>
      <c r="EQ15" s="386"/>
      <c r="ER15" s="386"/>
      <c r="ES15" s="363"/>
      <c r="ET15" s="363"/>
    </row>
    <row r="16" spans="1:226" s="357" customFormat="1" ht="15">
      <c r="A16" s="675" t="s">
        <v>8</v>
      </c>
      <c r="B16" s="712">
        <v>41642</v>
      </c>
      <c r="C16" s="713">
        <v>0</v>
      </c>
      <c r="D16" s="681">
        <v>0.16</v>
      </c>
      <c r="E16" s="681">
        <v>0</v>
      </c>
      <c r="F16" s="681">
        <v>31</v>
      </c>
      <c r="G16" s="807">
        <v>1.3</v>
      </c>
      <c r="H16" s="807" t="s">
        <v>744</v>
      </c>
      <c r="I16" s="807">
        <v>84.69</v>
      </c>
      <c r="J16" s="697" t="s">
        <v>744</v>
      </c>
      <c r="K16" s="807">
        <v>0.04</v>
      </c>
      <c r="L16" s="1085">
        <v>35.15</v>
      </c>
      <c r="M16" s="807">
        <v>18.399999999999999</v>
      </c>
      <c r="N16" s="697" t="s">
        <v>744</v>
      </c>
      <c r="O16" s="807" t="s">
        <v>743</v>
      </c>
      <c r="P16" s="807">
        <v>1.65</v>
      </c>
      <c r="Q16" s="807">
        <v>1.6743477060374772</v>
      </c>
      <c r="R16" s="865">
        <v>501.72867107001315</v>
      </c>
      <c r="S16" s="697" t="s">
        <v>744</v>
      </c>
      <c r="T16" s="807">
        <v>8.06</v>
      </c>
      <c r="U16" s="697" t="s">
        <v>744</v>
      </c>
      <c r="V16" s="807">
        <v>0.75</v>
      </c>
      <c r="W16" s="807" t="e">
        <v>#VALUE!</v>
      </c>
      <c r="X16" s="690">
        <v>44.239999999999995</v>
      </c>
      <c r="Y16" s="807">
        <v>21.1</v>
      </c>
      <c r="Z16" s="807">
        <v>14.2</v>
      </c>
      <c r="AA16" s="794">
        <v>21.05</v>
      </c>
      <c r="AB16" s="794">
        <v>14.1</v>
      </c>
      <c r="AC16" s="775">
        <f t="shared" si="2"/>
        <v>35.15</v>
      </c>
      <c r="AD16" s="775">
        <f t="shared" si="3"/>
        <v>54.377049999999997</v>
      </c>
      <c r="AE16" s="775"/>
      <c r="AF16" s="567"/>
      <c r="AG16" s="2">
        <v>1</v>
      </c>
      <c r="AH16" s="362"/>
      <c r="AI16" s="362"/>
      <c r="AJ16" s="2"/>
      <c r="AK16" s="407"/>
      <c r="AL16" s="407"/>
      <c r="AM16" s="407"/>
      <c r="AN16" s="407"/>
      <c r="AO16" s="387"/>
      <c r="AP16" s="387"/>
      <c r="AQ16" s="405"/>
      <c r="AR16" s="578">
        <v>0</v>
      </c>
      <c r="AS16" s="405">
        <v>15.4</v>
      </c>
      <c r="AT16" s="578">
        <v>0</v>
      </c>
      <c r="AU16" s="405">
        <v>21.7</v>
      </c>
      <c r="AV16" s="406">
        <v>234.9</v>
      </c>
      <c r="AW16" s="406">
        <v>329.3</v>
      </c>
      <c r="AX16" s="383">
        <v>0</v>
      </c>
      <c r="AY16" s="569">
        <v>0</v>
      </c>
      <c r="AZ16" s="569">
        <v>0</v>
      </c>
      <c r="BA16" s="569">
        <v>0</v>
      </c>
      <c r="BB16" s="924">
        <v>1</v>
      </c>
      <c r="BC16" s="383">
        <v>0.23</v>
      </c>
      <c r="BD16" s="383">
        <v>1.45</v>
      </c>
      <c r="BE16" s="569">
        <v>0</v>
      </c>
      <c r="BF16" s="383">
        <v>0.82</v>
      </c>
      <c r="BG16" s="383">
        <v>0</v>
      </c>
      <c r="BH16" s="569">
        <v>0</v>
      </c>
      <c r="BI16" s="383">
        <v>0</v>
      </c>
      <c r="BJ16" s="383">
        <v>11.7</v>
      </c>
      <c r="BK16" s="383">
        <v>0</v>
      </c>
      <c r="BL16" s="383">
        <v>3.71</v>
      </c>
      <c r="BM16" s="383">
        <v>0</v>
      </c>
      <c r="BN16" s="383">
        <v>7</v>
      </c>
      <c r="BO16" s="646">
        <v>22.7</v>
      </c>
      <c r="BP16" s="646">
        <v>0</v>
      </c>
      <c r="BQ16" s="646">
        <v>21.58</v>
      </c>
      <c r="BR16" s="646">
        <v>21.57</v>
      </c>
      <c r="BS16" s="646">
        <v>8.01</v>
      </c>
      <c r="BT16" s="646">
        <v>10.59</v>
      </c>
      <c r="BU16" s="646">
        <v>20.399999999999999</v>
      </c>
      <c r="BV16" s="646">
        <v>16.600000000000001</v>
      </c>
      <c r="BW16" s="647">
        <v>466.3</v>
      </c>
      <c r="BX16" s="875"/>
      <c r="BY16" s="646">
        <v>0.14000000000000001</v>
      </c>
      <c r="BZ16" s="646">
        <v>1.48</v>
      </c>
      <c r="CA16" s="647">
        <v>1.3</v>
      </c>
      <c r="CB16" s="647">
        <v>8.4</v>
      </c>
      <c r="CC16" s="647">
        <v>8</v>
      </c>
      <c r="CD16" s="647">
        <v>16.399999999999999</v>
      </c>
      <c r="CE16" s="647">
        <v>33.200000000000003</v>
      </c>
      <c r="CF16" s="647">
        <v>15.5</v>
      </c>
      <c r="CG16" s="647">
        <v>3.3</v>
      </c>
      <c r="CH16" s="647">
        <v>8.1</v>
      </c>
      <c r="CI16" s="647">
        <v>12.1</v>
      </c>
      <c r="CJ16" s="647">
        <v>12.9</v>
      </c>
      <c r="CK16" s="647">
        <v>1</v>
      </c>
      <c r="CL16" s="647">
        <v>3.1</v>
      </c>
      <c r="CM16" s="647">
        <v>4.2</v>
      </c>
      <c r="CN16" s="647">
        <v>546.20000000000005</v>
      </c>
      <c r="CO16" s="647">
        <v>359.3</v>
      </c>
      <c r="CP16" s="647">
        <v>456.5</v>
      </c>
      <c r="CQ16" s="647">
        <v>11.3</v>
      </c>
      <c r="CR16" s="647">
        <v>1.93</v>
      </c>
      <c r="CS16" s="383">
        <v>13668.3</v>
      </c>
      <c r="CT16" s="383">
        <v>17.010000000000002</v>
      </c>
      <c r="CU16" s="383">
        <v>49</v>
      </c>
      <c r="CV16" s="386">
        <v>0</v>
      </c>
      <c r="CW16" s="386">
        <v>0</v>
      </c>
      <c r="CX16" s="386">
        <v>0</v>
      </c>
      <c r="CY16" s="386">
        <v>0</v>
      </c>
      <c r="CZ16" s="699">
        <v>1010</v>
      </c>
      <c r="DA16" s="699">
        <v>1570</v>
      </c>
      <c r="DB16" s="699">
        <v>948</v>
      </c>
      <c r="DC16" s="806">
        <v>1080.8</v>
      </c>
      <c r="DD16" s="386"/>
      <c r="DE16" s="386"/>
      <c r="DF16" s="386"/>
      <c r="DG16" s="386"/>
      <c r="DH16" s="386"/>
      <c r="DI16" s="386"/>
      <c r="DJ16" s="386"/>
      <c r="DK16" s="363"/>
      <c r="DL16" s="647"/>
      <c r="DM16" s="699"/>
      <c r="DN16" s="647"/>
      <c r="DO16" s="363"/>
      <c r="DP16" s="386"/>
      <c r="DQ16" s="386"/>
      <c r="DR16" s="386"/>
      <c r="DS16" s="386"/>
      <c r="DT16" s="386"/>
      <c r="DU16" s="386"/>
      <c r="DV16" s="386"/>
      <c r="DW16" s="386"/>
      <c r="DX16" s="386"/>
      <c r="DY16" s="386"/>
      <c r="DZ16" s="386"/>
      <c r="EA16" s="386"/>
      <c r="EB16" s="386"/>
      <c r="EC16" s="386"/>
      <c r="ED16" s="386"/>
      <c r="EE16" s="386"/>
      <c r="EF16" s="386"/>
      <c r="EG16" s="645">
        <f t="shared" si="4"/>
        <v>9.6068699999999989</v>
      </c>
      <c r="EH16" s="361">
        <v>0</v>
      </c>
      <c r="EI16" s="647">
        <v>0</v>
      </c>
      <c r="EJ16" s="647">
        <v>2.5</v>
      </c>
      <c r="EK16" s="647">
        <f t="shared" si="5"/>
        <v>3.71</v>
      </c>
      <c r="EL16" s="386"/>
      <c r="EM16" s="386"/>
      <c r="EN16" s="386"/>
      <c r="EO16" s="386"/>
      <c r="EP16" s="386"/>
      <c r="EQ16" s="386"/>
      <c r="ER16" s="386"/>
      <c r="ES16" s="363"/>
      <c r="ET16" s="363"/>
    </row>
    <row r="17" spans="1:150" s="357" customFormat="1" ht="15">
      <c r="A17" s="675" t="s">
        <v>9</v>
      </c>
      <c r="B17" s="712">
        <v>41643</v>
      </c>
      <c r="C17" s="713">
        <v>0</v>
      </c>
      <c r="D17" s="681">
        <v>0</v>
      </c>
      <c r="E17" s="681">
        <v>0</v>
      </c>
      <c r="F17" s="681">
        <v>33</v>
      </c>
      <c r="G17" s="807">
        <v>1.3</v>
      </c>
      <c r="H17" s="807" t="s">
        <v>744</v>
      </c>
      <c r="I17" s="807">
        <v>90.85</v>
      </c>
      <c r="J17" s="697" t="s">
        <v>744</v>
      </c>
      <c r="K17" s="807">
        <v>0.04</v>
      </c>
      <c r="L17" s="1085">
        <v>35.15</v>
      </c>
      <c r="M17" s="807">
        <v>18.100000000000001</v>
      </c>
      <c r="N17" s="697" t="s">
        <v>744</v>
      </c>
      <c r="O17" s="807" t="s">
        <v>743</v>
      </c>
      <c r="P17" s="807">
        <v>1.61</v>
      </c>
      <c r="Q17" s="807">
        <v>1.6098396943841804</v>
      </c>
      <c r="R17" s="865">
        <v>486.82904623513866</v>
      </c>
      <c r="S17" s="697" t="s">
        <v>744</v>
      </c>
      <c r="T17" s="807">
        <v>7.92</v>
      </c>
      <c r="U17" s="697" t="s">
        <v>744</v>
      </c>
      <c r="V17" s="807">
        <v>0.75</v>
      </c>
      <c r="W17" s="807" t="e">
        <v>#VALUE!</v>
      </c>
      <c r="X17" s="690">
        <v>44.239999999999995</v>
      </c>
      <c r="Y17" s="807">
        <v>21.05</v>
      </c>
      <c r="Z17" s="807">
        <v>14.1</v>
      </c>
      <c r="AA17" s="794">
        <v>21.05</v>
      </c>
      <c r="AB17" s="794">
        <v>14.1</v>
      </c>
      <c r="AC17" s="775">
        <f t="shared" si="2"/>
        <v>35.15</v>
      </c>
      <c r="AD17" s="775">
        <f t="shared" si="3"/>
        <v>54.377049999999997</v>
      </c>
      <c r="AE17" s="775"/>
      <c r="AF17" s="567"/>
      <c r="AG17" s="2">
        <v>1</v>
      </c>
      <c r="AH17" s="362"/>
      <c r="AI17" s="362"/>
      <c r="AJ17" s="2"/>
      <c r="AK17" s="407"/>
      <c r="AL17" s="407"/>
      <c r="AM17" s="407"/>
      <c r="AN17" s="407"/>
      <c r="AO17" s="387"/>
      <c r="AP17" s="387"/>
      <c r="AQ17" s="405"/>
      <c r="AR17" s="578">
        <v>0</v>
      </c>
      <c r="AS17" s="405">
        <v>12</v>
      </c>
      <c r="AT17" s="578">
        <v>0</v>
      </c>
      <c r="AU17" s="405">
        <v>21.7</v>
      </c>
      <c r="AV17" s="406">
        <v>336</v>
      </c>
      <c r="AW17" s="406">
        <v>493.3</v>
      </c>
      <c r="AX17" s="383">
        <v>0</v>
      </c>
      <c r="AY17" s="569">
        <v>0</v>
      </c>
      <c r="AZ17" s="569">
        <v>0</v>
      </c>
      <c r="BA17" s="569">
        <v>0</v>
      </c>
      <c r="BB17" s="924">
        <v>1</v>
      </c>
      <c r="BC17" s="383">
        <v>0.51</v>
      </c>
      <c r="BD17" s="383">
        <v>1.49</v>
      </c>
      <c r="BE17" s="569">
        <v>0</v>
      </c>
      <c r="BF17" s="383">
        <v>0.49</v>
      </c>
      <c r="BG17" s="383">
        <v>0</v>
      </c>
      <c r="BH17" s="569">
        <v>0</v>
      </c>
      <c r="BI17" s="383">
        <v>0</v>
      </c>
      <c r="BJ17" s="383">
        <v>11.8</v>
      </c>
      <c r="BK17" s="383">
        <v>0</v>
      </c>
      <c r="BL17" s="383">
        <v>3.71</v>
      </c>
      <c r="BM17" s="383">
        <v>0</v>
      </c>
      <c r="BN17" s="383">
        <v>7.1</v>
      </c>
      <c r="BO17" s="646">
        <v>1967</v>
      </c>
      <c r="BP17" s="646">
        <v>0</v>
      </c>
      <c r="BQ17" s="646">
        <v>20.94</v>
      </c>
      <c r="BR17" s="646">
        <v>20.93</v>
      </c>
      <c r="BS17" s="646">
        <v>7.7</v>
      </c>
      <c r="BT17" s="646">
        <v>10.5</v>
      </c>
      <c r="BU17" s="646">
        <v>20</v>
      </c>
      <c r="BV17" s="646">
        <v>22.2</v>
      </c>
      <c r="BW17" s="647">
        <v>675.5</v>
      </c>
      <c r="BX17" s="875"/>
      <c r="BY17" s="646">
        <v>0.14000000000000001</v>
      </c>
      <c r="BZ17" s="646">
        <v>1.47</v>
      </c>
      <c r="CA17" s="647">
        <v>1.3</v>
      </c>
      <c r="CB17" s="647">
        <v>8.6</v>
      </c>
      <c r="CC17" s="647">
        <v>7.9</v>
      </c>
      <c r="CD17" s="647">
        <v>15.1</v>
      </c>
      <c r="CE17" s="647">
        <v>33.700000000000003</v>
      </c>
      <c r="CF17" s="647">
        <v>14.9</v>
      </c>
      <c r="CG17" s="647">
        <v>7.9</v>
      </c>
      <c r="CH17" s="647">
        <v>13.3</v>
      </c>
      <c r="CI17" s="647">
        <v>17.399999999999999</v>
      </c>
      <c r="CJ17" s="647">
        <v>12.44</v>
      </c>
      <c r="CK17" s="647">
        <v>1</v>
      </c>
      <c r="CL17" s="647">
        <v>2.2000000000000002</v>
      </c>
      <c r="CM17" s="647">
        <v>4.3</v>
      </c>
      <c r="CN17" s="647">
        <v>561</v>
      </c>
      <c r="CO17" s="647">
        <v>346.4</v>
      </c>
      <c r="CP17" s="647">
        <v>443.1</v>
      </c>
      <c r="CQ17" s="647">
        <v>11.3</v>
      </c>
      <c r="CR17" s="647">
        <v>1.85</v>
      </c>
      <c r="CS17" s="383">
        <v>11064.1</v>
      </c>
      <c r="CT17" s="383">
        <v>17.079999999999998</v>
      </c>
      <c r="CU17" s="383">
        <v>49</v>
      </c>
      <c r="CV17" s="386">
        <v>0</v>
      </c>
      <c r="CW17" s="386">
        <v>0</v>
      </c>
      <c r="CX17" s="386">
        <v>0</v>
      </c>
      <c r="CY17" s="386">
        <v>0</v>
      </c>
      <c r="CZ17" s="699">
        <v>1020</v>
      </c>
      <c r="DA17" s="699">
        <v>1460</v>
      </c>
      <c r="DB17" s="699">
        <v>952</v>
      </c>
      <c r="DC17" s="806">
        <v>1081.9000000000001</v>
      </c>
      <c r="DD17" s="386"/>
      <c r="DE17" s="386"/>
      <c r="DF17" s="386"/>
      <c r="DG17" s="386"/>
      <c r="DH17" s="386"/>
      <c r="DI17" s="386"/>
      <c r="DJ17" s="386"/>
      <c r="DK17" s="363"/>
      <c r="DL17" s="647"/>
      <c r="DM17" s="699"/>
      <c r="DN17" s="647"/>
      <c r="DO17" s="363"/>
      <c r="DP17" s="386"/>
      <c r="DQ17" s="386"/>
      <c r="DR17" s="386"/>
      <c r="DS17" s="386"/>
      <c r="DT17" s="386"/>
      <c r="DU17" s="386"/>
      <c r="DV17" s="386"/>
      <c r="DW17" s="386"/>
      <c r="DX17" s="386"/>
      <c r="DY17" s="386"/>
      <c r="DZ17" s="386"/>
      <c r="EA17" s="386"/>
      <c r="EB17" s="386"/>
      <c r="EC17" s="386"/>
      <c r="ED17" s="386"/>
      <c r="EE17" s="386"/>
      <c r="EF17" s="386"/>
      <c r="EG17" s="645">
        <f t="shared" si="4"/>
        <v>9.6068699999999989</v>
      </c>
      <c r="EH17" s="361">
        <v>0</v>
      </c>
      <c r="EI17" s="647">
        <v>0</v>
      </c>
      <c r="EJ17" s="647">
        <v>2.5</v>
      </c>
      <c r="EK17" s="647">
        <f t="shared" si="5"/>
        <v>3.71</v>
      </c>
      <c r="EL17" s="386"/>
      <c r="EM17" s="386"/>
      <c r="EN17" s="386"/>
      <c r="EO17" s="386"/>
      <c r="EP17" s="386"/>
      <c r="EQ17" s="386"/>
      <c r="ER17" s="386"/>
      <c r="ES17" s="363"/>
      <c r="ET17" s="363"/>
    </row>
    <row r="18" spans="1:150" s="357" customFormat="1" ht="15">
      <c r="A18" s="675" t="s">
        <v>3</v>
      </c>
      <c r="B18" s="712">
        <v>41644</v>
      </c>
      <c r="C18" s="713">
        <v>0</v>
      </c>
      <c r="D18" s="681">
        <v>0</v>
      </c>
      <c r="E18" s="681">
        <v>0</v>
      </c>
      <c r="F18" s="681">
        <v>43</v>
      </c>
      <c r="G18" s="807">
        <v>1.1000000000000001</v>
      </c>
      <c r="H18" s="807" t="s">
        <v>744</v>
      </c>
      <c r="I18" s="807">
        <v>0</v>
      </c>
      <c r="J18" s="697" t="s">
        <v>744</v>
      </c>
      <c r="K18" s="807">
        <v>0.04</v>
      </c>
      <c r="L18" s="1085">
        <v>34.700000000000003</v>
      </c>
      <c r="M18" s="807">
        <v>18</v>
      </c>
      <c r="N18" s="697" t="s">
        <v>744</v>
      </c>
      <c r="O18" s="807" t="s">
        <v>743</v>
      </c>
      <c r="P18" s="807">
        <v>1.59</v>
      </c>
      <c r="Q18" s="807">
        <v>1.6051249494157229</v>
      </c>
      <c r="R18" s="865">
        <v>479.37923381770139</v>
      </c>
      <c r="S18" s="697" t="s">
        <v>744</v>
      </c>
      <c r="T18" s="807">
        <v>7.83</v>
      </c>
      <c r="U18" s="697" t="s">
        <v>744</v>
      </c>
      <c r="V18" s="807">
        <v>0.64</v>
      </c>
      <c r="W18" s="807" t="e">
        <v>#VALUE!</v>
      </c>
      <c r="X18" s="690">
        <v>44.239999999999995</v>
      </c>
      <c r="Y18" s="807">
        <v>21.05</v>
      </c>
      <c r="Z18" s="807">
        <v>14.1</v>
      </c>
      <c r="AA18" s="794">
        <v>20.6</v>
      </c>
      <c r="AB18" s="794">
        <v>14.1</v>
      </c>
      <c r="AC18" s="775">
        <f t="shared" si="2"/>
        <v>34.700000000000003</v>
      </c>
      <c r="AD18" s="775">
        <f t="shared" si="3"/>
        <v>53.680900000000001</v>
      </c>
      <c r="AE18" s="775"/>
      <c r="AF18" s="567"/>
      <c r="AG18" s="2">
        <v>1</v>
      </c>
      <c r="AH18" s="362"/>
      <c r="AI18" s="362"/>
      <c r="AJ18" s="2"/>
      <c r="AK18" s="407"/>
      <c r="AL18" s="407"/>
      <c r="AM18" s="407"/>
      <c r="AN18" s="407"/>
      <c r="AO18" s="387"/>
      <c r="AP18" s="387"/>
      <c r="AQ18" s="405"/>
      <c r="AR18" s="578">
        <v>0</v>
      </c>
      <c r="AS18" s="405">
        <v>21.7</v>
      </c>
      <c r="AT18" s="578">
        <v>0</v>
      </c>
      <c r="AU18" s="405">
        <v>21.4</v>
      </c>
      <c r="AV18" s="406">
        <v>451.7</v>
      </c>
      <c r="AW18" s="406">
        <v>546.1</v>
      </c>
      <c r="AX18" s="383">
        <v>0</v>
      </c>
      <c r="AY18" s="569">
        <v>0</v>
      </c>
      <c r="AZ18" s="569">
        <v>0</v>
      </c>
      <c r="BA18" s="569">
        <v>0</v>
      </c>
      <c r="BB18" s="1086">
        <v>0.99099999999999999</v>
      </c>
      <c r="BC18" s="383">
        <v>0.46</v>
      </c>
      <c r="BD18" s="383">
        <v>1.61</v>
      </c>
      <c r="BE18" s="569">
        <v>0</v>
      </c>
      <c r="BF18" s="383">
        <v>0.38</v>
      </c>
      <c r="BG18" s="383">
        <v>0</v>
      </c>
      <c r="BH18" s="569">
        <v>0</v>
      </c>
      <c r="BI18" s="383">
        <v>0</v>
      </c>
      <c r="BJ18" s="383">
        <v>11.7</v>
      </c>
      <c r="BK18" s="383">
        <v>0</v>
      </c>
      <c r="BL18" s="383">
        <v>3.71</v>
      </c>
      <c r="BM18" s="383">
        <v>0</v>
      </c>
      <c r="BN18" s="383">
        <v>7.1</v>
      </c>
      <c r="BO18" s="646">
        <v>478.8</v>
      </c>
      <c r="BP18" s="646">
        <v>0</v>
      </c>
      <c r="BQ18" s="646">
        <v>20.02</v>
      </c>
      <c r="BR18" s="646">
        <v>20</v>
      </c>
      <c r="BS18" s="646">
        <v>7.59</v>
      </c>
      <c r="BT18" s="646">
        <v>10.28</v>
      </c>
      <c r="BU18" s="646">
        <v>19.7</v>
      </c>
      <c r="BV18" s="646">
        <v>22.6</v>
      </c>
      <c r="BW18" s="647">
        <v>507.8</v>
      </c>
      <c r="BX18" s="875"/>
      <c r="BY18" s="646">
        <v>0.14000000000000001</v>
      </c>
      <c r="BZ18" s="646">
        <v>1.39</v>
      </c>
      <c r="CA18" s="647">
        <v>1.3</v>
      </c>
      <c r="CB18" s="647">
        <v>8.6</v>
      </c>
      <c r="CC18" s="647">
        <v>7.9</v>
      </c>
      <c r="CD18" s="647">
        <v>15.1</v>
      </c>
      <c r="CE18" s="647">
        <v>33.5</v>
      </c>
      <c r="CF18" s="647">
        <v>14.3</v>
      </c>
      <c r="CG18" s="647">
        <v>4.07</v>
      </c>
      <c r="CH18" s="647">
        <v>8.77</v>
      </c>
      <c r="CI18" s="647">
        <v>13.25</v>
      </c>
      <c r="CJ18" s="647">
        <v>12.85</v>
      </c>
      <c r="CK18" s="647">
        <v>1</v>
      </c>
      <c r="CL18" s="647">
        <v>2</v>
      </c>
      <c r="CM18" s="647">
        <v>2.6</v>
      </c>
      <c r="CN18" s="647">
        <v>627.6</v>
      </c>
      <c r="CO18" s="647">
        <v>627.6</v>
      </c>
      <c r="CP18" s="647">
        <v>361.1</v>
      </c>
      <c r="CQ18" s="1089">
        <v>11.6</v>
      </c>
      <c r="CR18" s="1089">
        <v>1.72</v>
      </c>
      <c r="CS18" s="383">
        <v>9623.7000000000007</v>
      </c>
      <c r="CT18" s="383">
        <v>15.81</v>
      </c>
      <c r="CU18" s="383">
        <v>49</v>
      </c>
      <c r="CV18" s="386">
        <v>0</v>
      </c>
      <c r="CW18" s="386">
        <v>0</v>
      </c>
      <c r="CX18" s="386">
        <v>0</v>
      </c>
      <c r="CY18" s="386">
        <v>0</v>
      </c>
      <c r="CZ18" s="699">
        <v>1020</v>
      </c>
      <c r="DA18" s="699">
        <v>1420</v>
      </c>
      <c r="DB18" s="699">
        <v>943</v>
      </c>
      <c r="DC18" s="806">
        <v>1081.5999999999999</v>
      </c>
      <c r="DD18" s="386"/>
      <c r="DE18" s="386"/>
      <c r="DF18" s="386"/>
      <c r="DG18" s="386"/>
      <c r="DH18" s="386"/>
      <c r="DI18" s="386"/>
      <c r="DJ18" s="386"/>
      <c r="DK18" s="363"/>
      <c r="DL18" s="647"/>
      <c r="DM18" s="699"/>
      <c r="DN18" s="647"/>
      <c r="DO18" s="363"/>
      <c r="DP18" s="386"/>
      <c r="DQ18" s="386"/>
      <c r="DR18" s="386"/>
      <c r="DS18" s="386"/>
      <c r="DT18" s="386"/>
      <c r="DU18" s="386"/>
      <c r="DV18" s="386"/>
      <c r="DW18" s="386"/>
      <c r="DX18" s="386"/>
      <c r="DY18" s="386"/>
      <c r="DZ18" s="386"/>
      <c r="EA18" s="386"/>
      <c r="EB18" s="386"/>
      <c r="EC18" s="386"/>
      <c r="ED18" s="386"/>
      <c r="EE18" s="386"/>
      <c r="EF18" s="386"/>
      <c r="EG18" s="645">
        <f t="shared" si="4"/>
        <v>9.6068699999999989</v>
      </c>
      <c r="EH18" s="361">
        <v>0</v>
      </c>
      <c r="EI18" s="647">
        <v>0</v>
      </c>
      <c r="EJ18" s="647">
        <v>2.5</v>
      </c>
      <c r="EK18" s="647">
        <f t="shared" si="5"/>
        <v>3.71</v>
      </c>
      <c r="EL18" s="386"/>
      <c r="EM18" s="386"/>
      <c r="EN18" s="386"/>
      <c r="EO18" s="386"/>
      <c r="EP18" s="386"/>
      <c r="EQ18" s="386"/>
      <c r="ER18" s="386"/>
      <c r="ES18" s="363"/>
      <c r="ET18" s="363"/>
    </row>
    <row r="19" spans="1:150" s="357" customFormat="1" ht="15">
      <c r="A19" s="675" t="s">
        <v>4</v>
      </c>
      <c r="B19" s="712">
        <v>41645</v>
      </c>
      <c r="C19" s="713">
        <v>0</v>
      </c>
      <c r="D19" s="681">
        <v>0.23</v>
      </c>
      <c r="E19" s="681">
        <v>0</v>
      </c>
      <c r="F19" s="681">
        <v>36.299999999999997</v>
      </c>
      <c r="G19" s="807">
        <v>1.4</v>
      </c>
      <c r="H19" s="807" t="s">
        <v>744</v>
      </c>
      <c r="I19" s="807">
        <v>0</v>
      </c>
      <c r="J19" s="697" t="s">
        <v>744</v>
      </c>
      <c r="K19" s="807">
        <v>0.04</v>
      </c>
      <c r="L19" s="821">
        <f>AA19+AB19</f>
        <v>33.83</v>
      </c>
      <c r="M19" s="807">
        <v>17.899999999999999</v>
      </c>
      <c r="N19" s="697" t="s">
        <v>744</v>
      </c>
      <c r="O19" s="807" t="s">
        <v>743</v>
      </c>
      <c r="P19" s="807">
        <v>1.55</v>
      </c>
      <c r="Q19" s="807">
        <v>1.5798311801711167</v>
      </c>
      <c r="R19" s="865">
        <v>466.42303830911487</v>
      </c>
      <c r="S19" s="697" t="s">
        <v>744</v>
      </c>
      <c r="T19" s="807">
        <v>8.01</v>
      </c>
      <c r="U19" s="697" t="s">
        <v>744</v>
      </c>
      <c r="V19" s="807">
        <v>0.76</v>
      </c>
      <c r="W19" s="807" t="e">
        <v>#VALUE!</v>
      </c>
      <c r="X19" s="690">
        <v>44.239999999999995</v>
      </c>
      <c r="Y19" s="807">
        <v>20.6</v>
      </c>
      <c r="Z19" s="807">
        <v>14.1</v>
      </c>
      <c r="AA19" s="794">
        <v>19.73</v>
      </c>
      <c r="AB19" s="794">
        <v>14.1</v>
      </c>
      <c r="AC19" s="775">
        <f t="shared" si="2"/>
        <v>33.83</v>
      </c>
      <c r="AD19" s="775">
        <f t="shared" si="3"/>
        <v>52.335009999999997</v>
      </c>
      <c r="AE19" s="775"/>
      <c r="AF19" s="567"/>
      <c r="AG19" s="2">
        <v>1</v>
      </c>
      <c r="AH19" s="362"/>
      <c r="AI19" s="362"/>
      <c r="AJ19" s="2"/>
      <c r="AK19" s="407"/>
      <c r="AL19" s="407"/>
      <c r="AM19" s="407"/>
      <c r="AN19" s="407"/>
      <c r="AO19" s="387"/>
      <c r="AP19" s="387"/>
      <c r="AQ19" s="405"/>
      <c r="AR19" s="578">
        <v>0</v>
      </c>
      <c r="AS19" s="405">
        <v>11</v>
      </c>
      <c r="AT19" s="578">
        <v>0</v>
      </c>
      <c r="AU19" s="405">
        <v>20.399999999999999</v>
      </c>
      <c r="AV19" s="406">
        <v>306.2</v>
      </c>
      <c r="AW19" s="406">
        <v>323.7</v>
      </c>
      <c r="AX19" s="383">
        <v>0</v>
      </c>
      <c r="AY19" s="569">
        <v>0</v>
      </c>
      <c r="AZ19" s="569">
        <v>0</v>
      </c>
      <c r="BA19" s="569">
        <v>0</v>
      </c>
      <c r="BB19" s="1086">
        <v>0.995</v>
      </c>
      <c r="BC19" s="383">
        <v>0.41</v>
      </c>
      <c r="BD19" s="383">
        <v>1.67</v>
      </c>
      <c r="BE19" s="569">
        <v>0</v>
      </c>
      <c r="BF19" s="383">
        <v>0.32</v>
      </c>
      <c r="BG19" s="383">
        <v>0</v>
      </c>
      <c r="BH19" s="569">
        <v>0</v>
      </c>
      <c r="BI19" s="383">
        <v>0</v>
      </c>
      <c r="BJ19" s="383">
        <v>11.8</v>
      </c>
      <c r="BK19" s="383">
        <v>0</v>
      </c>
      <c r="BL19" s="383">
        <v>3.71</v>
      </c>
      <c r="BM19" s="383">
        <v>0</v>
      </c>
      <c r="BN19" s="383">
        <v>7.1</v>
      </c>
      <c r="BO19" s="646">
        <v>999.9</v>
      </c>
      <c r="BP19" s="646">
        <v>9.3000000000000007</v>
      </c>
      <c r="BQ19" s="646">
        <v>19.5</v>
      </c>
      <c r="BR19" s="646">
        <v>19.48</v>
      </c>
      <c r="BS19" s="646">
        <v>7.43</v>
      </c>
      <c r="BT19" s="646">
        <v>9.8699999999999992</v>
      </c>
      <c r="BU19" s="646">
        <v>19.2</v>
      </c>
      <c r="BV19" s="646">
        <v>21</v>
      </c>
      <c r="BW19" s="647">
        <v>681.1</v>
      </c>
      <c r="BX19" s="875"/>
      <c r="BY19" s="646">
        <v>0.14000000000000001</v>
      </c>
      <c r="BZ19" s="646">
        <v>1.41</v>
      </c>
      <c r="CA19" s="647">
        <v>1.3</v>
      </c>
      <c r="CB19" s="647">
        <v>8.6</v>
      </c>
      <c r="CC19" s="647">
        <v>8</v>
      </c>
      <c r="CD19" s="647">
        <v>15.4</v>
      </c>
      <c r="CE19" s="647">
        <v>33.299999999999997</v>
      </c>
      <c r="CF19" s="647">
        <v>13.9</v>
      </c>
      <c r="CG19" s="647">
        <v>4.07</v>
      </c>
      <c r="CH19" s="647">
        <v>8.9</v>
      </c>
      <c r="CI19" s="647">
        <v>12.98</v>
      </c>
      <c r="CJ19" s="647">
        <v>13.4</v>
      </c>
      <c r="CK19" s="647">
        <v>1</v>
      </c>
      <c r="CL19" s="647">
        <v>2.5</v>
      </c>
      <c r="CM19" s="647">
        <v>3.4</v>
      </c>
      <c r="CN19" s="647">
        <v>512.70000000000005</v>
      </c>
      <c r="CO19" s="647">
        <v>313.7</v>
      </c>
      <c r="CP19" s="647">
        <v>434.8</v>
      </c>
      <c r="CQ19" s="647">
        <v>11.9</v>
      </c>
      <c r="CR19" s="647">
        <v>1.72</v>
      </c>
      <c r="CS19" s="383">
        <v>12268.1</v>
      </c>
      <c r="CT19" s="383">
        <v>16.760000000000002</v>
      </c>
      <c r="CU19" s="383">
        <v>49</v>
      </c>
      <c r="CV19" s="386">
        <v>0</v>
      </c>
      <c r="CW19" s="386">
        <v>0</v>
      </c>
      <c r="CX19" s="386">
        <v>0</v>
      </c>
      <c r="CY19" s="386">
        <v>0</v>
      </c>
      <c r="CZ19" s="699">
        <v>1100</v>
      </c>
      <c r="DA19" s="699">
        <v>1490</v>
      </c>
      <c r="DB19" s="699">
        <v>1000</v>
      </c>
      <c r="DC19" s="806">
        <v>1079.56</v>
      </c>
      <c r="DD19" s="386"/>
      <c r="DE19" s="386"/>
      <c r="DF19" s="386"/>
      <c r="DG19" s="386"/>
      <c r="DH19" s="386"/>
      <c r="DI19" s="386"/>
      <c r="DJ19" s="386"/>
      <c r="DK19" s="363"/>
      <c r="DL19" s="647"/>
      <c r="DM19" s="699"/>
      <c r="DN19" s="647"/>
      <c r="DO19" s="363"/>
      <c r="DP19" s="386"/>
      <c r="DQ19" s="386"/>
      <c r="DR19" s="386"/>
      <c r="DS19" s="386"/>
      <c r="DT19" s="386"/>
      <c r="DU19" s="386"/>
      <c r="DV19" s="386"/>
      <c r="DW19" s="386"/>
      <c r="DX19" s="386"/>
      <c r="DY19" s="386"/>
      <c r="DZ19" s="386"/>
      <c r="EA19" s="386"/>
      <c r="EB19" s="386"/>
      <c r="EC19" s="386"/>
      <c r="ED19" s="386"/>
      <c r="EE19" s="386"/>
      <c r="EF19" s="386"/>
      <c r="EG19" s="645">
        <f t="shared" si="4"/>
        <v>9.6068699999999989</v>
      </c>
      <c r="EH19" s="361">
        <v>0</v>
      </c>
      <c r="EI19" s="647">
        <v>0</v>
      </c>
      <c r="EJ19" s="647">
        <v>2.5</v>
      </c>
      <c r="EK19" s="647">
        <f t="shared" si="5"/>
        <v>3.71</v>
      </c>
      <c r="EL19" s="386"/>
      <c r="EM19" s="386"/>
      <c r="EN19" s="386"/>
      <c r="EO19" s="386"/>
      <c r="EP19" s="386"/>
      <c r="EQ19" s="386"/>
      <c r="ER19" s="386"/>
      <c r="ES19" s="363"/>
      <c r="ET19" s="363"/>
    </row>
    <row r="20" spans="1:150" s="357" customFormat="1" ht="15">
      <c r="A20" s="675" t="s">
        <v>5</v>
      </c>
      <c r="B20" s="712">
        <v>41646</v>
      </c>
      <c r="C20" s="713">
        <v>0</v>
      </c>
      <c r="D20" s="681">
        <v>0.46</v>
      </c>
      <c r="E20" s="681">
        <v>0</v>
      </c>
      <c r="F20" s="681">
        <v>40</v>
      </c>
      <c r="G20" s="807">
        <v>1.4</v>
      </c>
      <c r="H20" s="807" t="s">
        <v>744</v>
      </c>
      <c r="I20" s="807">
        <v>94.2</v>
      </c>
      <c r="J20" s="697" t="s">
        <v>744</v>
      </c>
      <c r="K20" s="807">
        <v>0.04</v>
      </c>
      <c r="L20" s="821">
        <f t="shared" ref="L20:L83" si="6">AA20+AB20</f>
        <v>33.870000000000005</v>
      </c>
      <c r="M20" s="807">
        <v>17.7</v>
      </c>
      <c r="N20" s="697" t="s">
        <v>744</v>
      </c>
      <c r="O20" s="807" t="s">
        <v>743</v>
      </c>
      <c r="P20" s="807">
        <v>1.56</v>
      </c>
      <c r="Q20" s="807">
        <v>1.6173130105797915</v>
      </c>
      <c r="R20" s="865">
        <v>476.14018494055478</v>
      </c>
      <c r="S20" s="697" t="s">
        <v>744</v>
      </c>
      <c r="T20" s="807">
        <v>7.97</v>
      </c>
      <c r="U20" s="697" t="s">
        <v>744</v>
      </c>
      <c r="V20" s="807">
        <v>0.77</v>
      </c>
      <c r="W20" s="807" t="e">
        <v>#VALUE!</v>
      </c>
      <c r="X20" s="690">
        <v>44.42</v>
      </c>
      <c r="Y20" s="807">
        <v>19.73</v>
      </c>
      <c r="Z20" s="807">
        <v>14.1</v>
      </c>
      <c r="AA20" s="794">
        <v>19.670000000000002</v>
      </c>
      <c r="AB20" s="794">
        <v>14.2</v>
      </c>
      <c r="AC20" s="775">
        <f t="shared" si="2"/>
        <v>33.870000000000005</v>
      </c>
      <c r="AD20" s="775">
        <f t="shared" si="3"/>
        <v>52.396890000000006</v>
      </c>
      <c r="AE20" s="775"/>
      <c r="AF20" s="567"/>
      <c r="AG20" s="2">
        <v>1</v>
      </c>
      <c r="AH20" s="362"/>
      <c r="AI20" s="362"/>
      <c r="AJ20" s="2"/>
      <c r="AK20" s="407"/>
      <c r="AL20" s="407"/>
      <c r="AM20" s="407"/>
      <c r="AN20" s="407"/>
      <c r="AO20" s="387"/>
      <c r="AP20" s="387"/>
      <c r="AQ20" s="405"/>
      <c r="AR20" s="578">
        <v>0</v>
      </c>
      <c r="AS20" s="405">
        <v>21.6</v>
      </c>
      <c r="AT20" s="578">
        <v>0</v>
      </c>
      <c r="AU20" s="405">
        <v>20.2</v>
      </c>
      <c r="AV20" s="644">
        <v>282.8</v>
      </c>
      <c r="AW20" s="644">
        <v>358.3</v>
      </c>
      <c r="AX20" s="405">
        <v>0</v>
      </c>
      <c r="AY20" s="578">
        <v>0</v>
      </c>
      <c r="AZ20" s="578">
        <v>0</v>
      </c>
      <c r="BA20" s="578">
        <v>0</v>
      </c>
      <c r="BB20" s="1086">
        <v>1</v>
      </c>
      <c r="BC20" s="405">
        <v>0.51</v>
      </c>
      <c r="BD20" s="405">
        <v>1.5</v>
      </c>
      <c r="BE20" s="578">
        <v>0</v>
      </c>
      <c r="BF20" s="405">
        <v>0.5</v>
      </c>
      <c r="BG20" s="405">
        <v>0</v>
      </c>
      <c r="BH20" s="578">
        <v>0</v>
      </c>
      <c r="BI20" s="405">
        <v>0</v>
      </c>
      <c r="BJ20" s="405">
        <v>11.8</v>
      </c>
      <c r="BK20" s="405">
        <v>0</v>
      </c>
      <c r="BL20" s="405">
        <v>3.71</v>
      </c>
      <c r="BM20" s="405">
        <v>0</v>
      </c>
      <c r="BN20" s="405">
        <v>7.1</v>
      </c>
      <c r="BO20" s="648">
        <v>1785.4</v>
      </c>
      <c r="BP20" s="648">
        <v>0</v>
      </c>
      <c r="BQ20" s="649">
        <v>19.38</v>
      </c>
      <c r="BR20" s="649">
        <v>19.37</v>
      </c>
      <c r="BS20" s="649">
        <v>7.31</v>
      </c>
      <c r="BT20" s="649">
        <v>9.73</v>
      </c>
      <c r="BU20" s="648">
        <v>18.899999999999999</v>
      </c>
      <c r="BV20" s="648">
        <v>19.600000000000001</v>
      </c>
      <c r="BW20" s="649">
        <v>502.4</v>
      </c>
      <c r="BX20" s="876"/>
      <c r="BY20" s="649">
        <v>0.14000000000000001</v>
      </c>
      <c r="BZ20" s="649">
        <v>1.39</v>
      </c>
      <c r="CA20" s="649">
        <v>1.3</v>
      </c>
      <c r="CB20" s="649">
        <v>8.6</v>
      </c>
      <c r="CC20" s="649">
        <v>8.3000000000000007</v>
      </c>
      <c r="CD20" s="649">
        <v>15.3</v>
      </c>
      <c r="CE20" s="649">
        <v>33.1</v>
      </c>
      <c r="CF20" s="649">
        <v>13.5</v>
      </c>
      <c r="CG20" s="649">
        <v>8.1999999999999993</v>
      </c>
      <c r="CH20" s="649">
        <v>13.7</v>
      </c>
      <c r="CI20" s="649">
        <v>17.8</v>
      </c>
      <c r="CJ20" s="649">
        <v>13.23</v>
      </c>
      <c r="CK20" s="649">
        <v>1</v>
      </c>
      <c r="CL20" s="649">
        <v>3.2</v>
      </c>
      <c r="CM20" s="649">
        <v>4.9000000000000004</v>
      </c>
      <c r="CN20" s="649">
        <v>538.70000000000005</v>
      </c>
      <c r="CO20" s="649">
        <v>307.10000000000002</v>
      </c>
      <c r="CP20" s="649">
        <v>433.7</v>
      </c>
      <c r="CQ20" s="649">
        <v>11.8</v>
      </c>
      <c r="CR20" s="649">
        <v>1.91</v>
      </c>
      <c r="CS20" s="405">
        <v>13601.5</v>
      </c>
      <c r="CT20" s="405">
        <v>18.100000000000001</v>
      </c>
      <c r="CU20" s="405">
        <v>50</v>
      </c>
      <c r="CV20" s="522">
        <v>0</v>
      </c>
      <c r="CW20" s="522">
        <v>0</v>
      </c>
      <c r="CX20" s="522">
        <v>0</v>
      </c>
      <c r="CY20" s="522">
        <v>0</v>
      </c>
      <c r="CZ20" s="689">
        <v>1060</v>
      </c>
      <c r="DA20" s="689">
        <v>1540</v>
      </c>
      <c r="DB20" s="689">
        <v>974</v>
      </c>
      <c r="DC20" s="643">
        <v>1076.5730000000001</v>
      </c>
      <c r="DD20" s="522"/>
      <c r="DE20" s="522"/>
      <c r="DF20" s="522"/>
      <c r="DG20" s="522"/>
      <c r="DH20" s="522"/>
      <c r="DI20" s="522"/>
      <c r="DJ20" s="522"/>
      <c r="DK20" s="522"/>
      <c r="DL20" s="649"/>
      <c r="DM20" s="689"/>
      <c r="DN20" s="649"/>
      <c r="DO20" s="522"/>
      <c r="DP20" s="522"/>
      <c r="DQ20" s="522"/>
      <c r="DR20" s="522"/>
      <c r="DS20" s="522"/>
      <c r="DT20" s="522"/>
      <c r="DU20" s="522"/>
      <c r="DV20" s="522"/>
      <c r="DW20" s="522"/>
      <c r="DX20" s="522"/>
      <c r="DY20" s="522"/>
      <c r="DZ20" s="522"/>
      <c r="EA20" s="522"/>
      <c r="EB20" s="522"/>
      <c r="EC20" s="522"/>
      <c r="ED20" s="522"/>
      <c r="EE20" s="522"/>
      <c r="EF20" s="522"/>
      <c r="EG20" s="645">
        <f t="shared" si="4"/>
        <v>9.6068699999999989</v>
      </c>
      <c r="EH20" s="361">
        <v>0</v>
      </c>
      <c r="EI20" s="647">
        <v>0</v>
      </c>
      <c r="EJ20" s="647">
        <v>2.5</v>
      </c>
      <c r="EK20" s="647">
        <f t="shared" si="5"/>
        <v>3.71</v>
      </c>
      <c r="EL20" s="522"/>
      <c r="EM20" s="522"/>
      <c r="EN20" s="522"/>
      <c r="EO20" s="522"/>
      <c r="EP20" s="522"/>
      <c r="EQ20" s="522"/>
      <c r="ER20" s="522"/>
      <c r="ES20" s="407"/>
      <c r="ET20" s="407"/>
    </row>
    <row r="21" spans="1:150" s="357" customFormat="1" ht="15">
      <c r="A21" s="675" t="s">
        <v>6</v>
      </c>
      <c r="B21" s="712">
        <v>41647</v>
      </c>
      <c r="C21" s="713">
        <v>0</v>
      </c>
      <c r="D21" s="681">
        <v>0.8</v>
      </c>
      <c r="E21" s="681">
        <v>0</v>
      </c>
      <c r="F21" s="681">
        <v>42</v>
      </c>
      <c r="G21" s="807">
        <v>1.2</v>
      </c>
      <c r="H21" s="807" t="s">
        <v>744</v>
      </c>
      <c r="I21" s="807">
        <v>94.9</v>
      </c>
      <c r="J21" s="697" t="s">
        <v>744</v>
      </c>
      <c r="K21" s="807">
        <v>0.04</v>
      </c>
      <c r="L21" s="821">
        <f t="shared" si="6"/>
        <v>33.78</v>
      </c>
      <c r="M21" s="807">
        <v>17.600000000000001</v>
      </c>
      <c r="N21" s="697" t="s">
        <v>744</v>
      </c>
      <c r="O21" s="807" t="s">
        <v>743</v>
      </c>
      <c r="P21" s="807">
        <v>1.53</v>
      </c>
      <c r="Q21" s="807">
        <v>1.5467069258349317</v>
      </c>
      <c r="R21" s="865">
        <v>442.45407661822981</v>
      </c>
      <c r="S21" s="697" t="s">
        <v>744</v>
      </c>
      <c r="T21" s="807">
        <v>8.02</v>
      </c>
      <c r="U21" s="807" t="s">
        <v>744</v>
      </c>
      <c r="V21" s="807">
        <v>0.73</v>
      </c>
      <c r="W21" s="807" t="e">
        <v>#VALUE!</v>
      </c>
      <c r="X21" s="690">
        <v>44.42</v>
      </c>
      <c r="Y21" s="807">
        <v>19.670000000000002</v>
      </c>
      <c r="Z21" s="807">
        <v>14.2</v>
      </c>
      <c r="AA21" s="794">
        <v>19.8</v>
      </c>
      <c r="AB21" s="794">
        <v>13.98</v>
      </c>
      <c r="AC21" s="775">
        <f t="shared" si="2"/>
        <v>33.78</v>
      </c>
      <c r="AD21" s="775">
        <f t="shared" si="3"/>
        <v>52.257660000000001</v>
      </c>
      <c r="AE21" s="775"/>
      <c r="AF21" s="567"/>
      <c r="AG21" s="2">
        <v>1</v>
      </c>
      <c r="AH21" s="362"/>
      <c r="AI21" s="362"/>
      <c r="AJ21" s="2"/>
      <c r="AK21" s="407"/>
      <c r="AL21" s="407"/>
      <c r="AM21" s="407"/>
      <c r="AN21" s="407"/>
      <c r="AO21" s="387"/>
      <c r="AP21" s="387"/>
      <c r="AQ21" s="405"/>
      <c r="AR21" s="578">
        <v>0</v>
      </c>
      <c r="AS21" s="405">
        <v>14.4</v>
      </c>
      <c r="AT21" s="578">
        <v>0</v>
      </c>
      <c r="AU21" s="405">
        <v>20.3</v>
      </c>
      <c r="AV21" s="644">
        <v>326.2</v>
      </c>
      <c r="AW21" s="644">
        <v>506.9</v>
      </c>
      <c r="AX21" s="405">
        <v>0</v>
      </c>
      <c r="AY21" s="578">
        <v>0</v>
      </c>
      <c r="AZ21" s="578">
        <v>0</v>
      </c>
      <c r="BA21" s="578">
        <v>0</v>
      </c>
      <c r="BB21" s="1086">
        <v>1.002</v>
      </c>
      <c r="BC21" s="405">
        <v>0.28000000000000003</v>
      </c>
      <c r="BD21" s="405">
        <v>1.65</v>
      </c>
      <c r="BE21" s="578">
        <v>0</v>
      </c>
      <c r="BF21" s="405">
        <v>0.41</v>
      </c>
      <c r="BG21" s="405">
        <v>0</v>
      </c>
      <c r="BH21" s="578">
        <v>0</v>
      </c>
      <c r="BI21" s="405">
        <v>0</v>
      </c>
      <c r="BJ21" s="405">
        <v>11.8</v>
      </c>
      <c r="BK21" s="405">
        <v>0</v>
      </c>
      <c r="BL21" s="405">
        <v>3.71</v>
      </c>
      <c r="BM21" s="405">
        <v>0</v>
      </c>
      <c r="BN21" s="405">
        <v>7.1</v>
      </c>
      <c r="BO21" s="648">
        <v>0</v>
      </c>
      <c r="BP21" s="648">
        <v>0</v>
      </c>
      <c r="BQ21" s="649">
        <v>20.58</v>
      </c>
      <c r="BR21" s="649">
        <v>20.57</v>
      </c>
      <c r="BS21" s="649">
        <v>7.2960000000000003</v>
      </c>
      <c r="BT21" s="649">
        <v>9.6150000000000002</v>
      </c>
      <c r="BU21" s="648">
        <v>18.8</v>
      </c>
      <c r="BV21" s="648">
        <v>15.9</v>
      </c>
      <c r="BW21" s="649">
        <v>467.7</v>
      </c>
      <c r="BX21" s="876"/>
      <c r="BY21" s="649">
        <v>0.14000000000000001</v>
      </c>
      <c r="BZ21" s="649">
        <v>1.44</v>
      </c>
      <c r="CA21" s="649">
        <v>1.3</v>
      </c>
      <c r="CB21" s="649">
        <v>8.6999999999999993</v>
      </c>
      <c r="CC21" s="649">
        <v>8.3000000000000007</v>
      </c>
      <c r="CD21" s="649">
        <v>15.8</v>
      </c>
      <c r="CE21" s="649">
        <v>33.1</v>
      </c>
      <c r="CF21" s="649">
        <v>13.1</v>
      </c>
      <c r="CG21" s="649">
        <v>2.8</v>
      </c>
      <c r="CH21" s="649">
        <v>7.5</v>
      </c>
      <c r="CI21" s="649">
        <v>11.5</v>
      </c>
      <c r="CJ21" s="649">
        <v>13.75</v>
      </c>
      <c r="CK21" s="649">
        <v>0</v>
      </c>
      <c r="CL21" s="649">
        <v>2.9</v>
      </c>
      <c r="CM21" s="649">
        <v>3.7</v>
      </c>
      <c r="CN21" s="649">
        <v>549.70000000000005</v>
      </c>
      <c r="CO21" s="649">
        <v>312.8</v>
      </c>
      <c r="CP21" s="649">
        <v>449.8</v>
      </c>
      <c r="CQ21" s="649">
        <v>11.2</v>
      </c>
      <c r="CR21" s="649">
        <v>1.79</v>
      </c>
      <c r="CS21" s="405">
        <v>13555.1</v>
      </c>
      <c r="CT21" s="405">
        <v>16.411999999999999</v>
      </c>
      <c r="CU21" s="405">
        <v>50</v>
      </c>
      <c r="CV21" s="522">
        <v>0</v>
      </c>
      <c r="CW21" s="522">
        <v>0</v>
      </c>
      <c r="CX21" s="522">
        <v>0</v>
      </c>
      <c r="CY21" s="522">
        <v>0</v>
      </c>
      <c r="CZ21" s="689">
        <v>951</v>
      </c>
      <c r="DA21" s="689">
        <v>1490</v>
      </c>
      <c r="DB21" s="689">
        <v>931</v>
      </c>
      <c r="DC21" s="807">
        <v>1076.4000000000001</v>
      </c>
      <c r="DD21" s="522"/>
      <c r="DE21" s="522"/>
      <c r="DF21" s="522"/>
      <c r="DG21" s="522"/>
      <c r="DH21" s="522"/>
      <c r="DI21" s="522"/>
      <c r="DJ21" s="522"/>
      <c r="DK21" s="522"/>
      <c r="DL21" s="649"/>
      <c r="DM21" s="689"/>
      <c r="DN21" s="649"/>
      <c r="DO21" s="522"/>
      <c r="DP21" s="522"/>
      <c r="DQ21" s="522"/>
      <c r="DR21" s="522"/>
      <c r="DS21" s="522"/>
      <c r="DT21" s="522"/>
      <c r="DU21" s="522"/>
      <c r="DV21" s="522"/>
      <c r="DW21" s="522"/>
      <c r="DX21" s="522"/>
      <c r="DY21" s="522"/>
      <c r="DZ21" s="522"/>
      <c r="EA21" s="522"/>
      <c r="EB21" s="522"/>
      <c r="EC21" s="522"/>
      <c r="ED21" s="522"/>
      <c r="EE21" s="522"/>
      <c r="EF21" s="522"/>
      <c r="EG21" s="645">
        <f t="shared" si="4"/>
        <v>9.6068699999999989</v>
      </c>
      <c r="EH21" s="361">
        <v>0</v>
      </c>
      <c r="EI21" s="647">
        <v>0</v>
      </c>
      <c r="EJ21" s="647">
        <v>2.5</v>
      </c>
      <c r="EK21" s="647">
        <f t="shared" si="5"/>
        <v>3.71</v>
      </c>
      <c r="EL21" s="522"/>
      <c r="EM21" s="522"/>
      <c r="EN21" s="522"/>
      <c r="EO21" s="522"/>
      <c r="EP21" s="522"/>
      <c r="EQ21" s="522"/>
      <c r="ER21" s="522"/>
      <c r="ES21" s="407"/>
      <c r="ET21" s="407"/>
    </row>
    <row r="22" spans="1:150" s="357" customFormat="1" ht="15">
      <c r="A22" s="675" t="s">
        <v>7</v>
      </c>
      <c r="B22" s="712">
        <v>41648</v>
      </c>
      <c r="C22" s="713">
        <v>0</v>
      </c>
      <c r="D22" s="681">
        <v>0.81</v>
      </c>
      <c r="E22" s="681">
        <v>0</v>
      </c>
      <c r="F22" s="681">
        <v>43</v>
      </c>
      <c r="G22" s="807">
        <v>1.65</v>
      </c>
      <c r="H22" s="807" t="s">
        <v>744</v>
      </c>
      <c r="I22" s="807">
        <v>89</v>
      </c>
      <c r="J22" s="697" t="s">
        <v>744</v>
      </c>
      <c r="K22" s="807">
        <v>0.04</v>
      </c>
      <c r="L22" s="821">
        <f t="shared" si="6"/>
        <v>33.82</v>
      </c>
      <c r="M22" s="807">
        <v>17.7</v>
      </c>
      <c r="N22" s="697" t="s">
        <v>744</v>
      </c>
      <c r="O22" s="807" t="s">
        <v>743</v>
      </c>
      <c r="P22" s="807">
        <v>1.62</v>
      </c>
      <c r="Q22" s="807">
        <v>1.6236084983322521</v>
      </c>
      <c r="R22" s="865">
        <v>472.57723117569344</v>
      </c>
      <c r="S22" s="697" t="s">
        <v>744</v>
      </c>
      <c r="T22" s="807">
        <v>8.0500000000000007</v>
      </c>
      <c r="U22" s="807" t="s">
        <v>744</v>
      </c>
      <c r="V22" s="807">
        <v>0.76</v>
      </c>
      <c r="W22" s="807" t="e">
        <v>#VALUE!</v>
      </c>
      <c r="X22" s="690">
        <v>44.42</v>
      </c>
      <c r="Y22" s="807">
        <v>19.8</v>
      </c>
      <c r="Z22" s="807">
        <v>13.98</v>
      </c>
      <c r="AA22" s="794">
        <v>19.8</v>
      </c>
      <c r="AB22" s="794">
        <v>14.02</v>
      </c>
      <c r="AC22" s="775">
        <f t="shared" si="2"/>
        <v>33.82</v>
      </c>
      <c r="AD22" s="775">
        <f t="shared" si="3"/>
        <v>52.319539999999996</v>
      </c>
      <c r="AE22" s="775"/>
      <c r="AF22" s="567"/>
      <c r="AG22" s="2">
        <v>1</v>
      </c>
      <c r="AH22" s="362"/>
      <c r="AI22" s="362"/>
      <c r="AJ22" s="2"/>
      <c r="AK22" s="407"/>
      <c r="AL22" s="407"/>
      <c r="AM22" s="407"/>
      <c r="AN22" s="407"/>
      <c r="AO22" s="387"/>
      <c r="AP22" s="387"/>
      <c r="AQ22" s="405"/>
      <c r="AR22" s="578">
        <v>0</v>
      </c>
      <c r="AS22" s="405">
        <v>18.100000000000001</v>
      </c>
      <c r="AT22" s="578">
        <v>0</v>
      </c>
      <c r="AU22" s="405">
        <v>20.399999999999999</v>
      </c>
      <c r="AV22" s="644">
        <v>406.7</v>
      </c>
      <c r="AW22" s="644">
        <v>553.70000000000005</v>
      </c>
      <c r="AX22" s="405">
        <v>0</v>
      </c>
      <c r="AY22" s="578">
        <v>0</v>
      </c>
      <c r="AZ22" s="578">
        <v>0</v>
      </c>
      <c r="BA22" s="578">
        <v>0</v>
      </c>
      <c r="BB22" s="1086">
        <v>1.004</v>
      </c>
      <c r="BC22" s="405">
        <v>0</v>
      </c>
      <c r="BD22" s="405">
        <v>1.8</v>
      </c>
      <c r="BE22" s="578">
        <v>0</v>
      </c>
      <c r="BF22" s="405">
        <v>0.39</v>
      </c>
      <c r="BG22" s="405">
        <v>0</v>
      </c>
      <c r="BH22" s="578">
        <v>0</v>
      </c>
      <c r="BI22" s="405">
        <v>0</v>
      </c>
      <c r="BJ22" s="405">
        <v>11.9</v>
      </c>
      <c r="BK22" s="405">
        <v>0</v>
      </c>
      <c r="BL22" s="405">
        <v>3.7</v>
      </c>
      <c r="BM22" s="405">
        <v>0</v>
      </c>
      <c r="BN22" s="405">
        <v>7.2</v>
      </c>
      <c r="BO22" s="648">
        <v>1661.6</v>
      </c>
      <c r="BP22" s="648">
        <v>30.7</v>
      </c>
      <c r="BQ22" s="649">
        <v>21.38</v>
      </c>
      <c r="BR22" s="649">
        <v>21.37</v>
      </c>
      <c r="BS22" s="649">
        <v>7.2370000000000001</v>
      </c>
      <c r="BT22" s="649">
        <v>9.6940000000000008</v>
      </c>
      <c r="BU22" s="648">
        <v>18.8</v>
      </c>
      <c r="BV22" s="648">
        <v>17</v>
      </c>
      <c r="BW22" s="649">
        <v>671.7</v>
      </c>
      <c r="BX22" s="876"/>
      <c r="BY22" s="649">
        <v>0.14000000000000001</v>
      </c>
      <c r="BZ22" s="649">
        <v>1.38</v>
      </c>
      <c r="CA22" s="649">
        <v>1.3</v>
      </c>
      <c r="CB22" s="649">
        <v>8.6999999999999993</v>
      </c>
      <c r="CC22" s="649">
        <v>8.3000000000000007</v>
      </c>
      <c r="CD22" s="649">
        <v>15.4</v>
      </c>
      <c r="CE22" s="649">
        <v>33</v>
      </c>
      <c r="CF22" s="649">
        <v>12.7</v>
      </c>
      <c r="CG22" s="649">
        <v>6.5</v>
      </c>
      <c r="CH22" s="649">
        <v>11.7</v>
      </c>
      <c r="CI22" s="649">
        <v>15.8</v>
      </c>
      <c r="CJ22" s="649">
        <v>13.28</v>
      </c>
      <c r="CK22" s="649">
        <v>0</v>
      </c>
      <c r="CL22" s="649">
        <v>2.2000000000000002</v>
      </c>
      <c r="CM22" s="649">
        <v>3.4</v>
      </c>
      <c r="CN22" s="649">
        <v>536.70000000000005</v>
      </c>
      <c r="CO22" s="649">
        <v>310.60000000000002</v>
      </c>
      <c r="CP22" s="649">
        <v>467</v>
      </c>
      <c r="CQ22" s="649">
        <v>12.9</v>
      </c>
      <c r="CR22" s="649">
        <v>1.55</v>
      </c>
      <c r="CS22" s="405">
        <v>13555.3</v>
      </c>
      <c r="CT22" s="405">
        <v>16.707999999999998</v>
      </c>
      <c r="CU22" s="405">
        <v>50</v>
      </c>
      <c r="CV22" s="522">
        <v>0</v>
      </c>
      <c r="CW22" s="522">
        <v>0</v>
      </c>
      <c r="CX22" s="522">
        <v>0</v>
      </c>
      <c r="CY22" s="522">
        <v>0</v>
      </c>
      <c r="CZ22" s="689">
        <v>1320</v>
      </c>
      <c r="DA22" s="689">
        <v>1980</v>
      </c>
      <c r="DB22" s="689">
        <v>1320</v>
      </c>
      <c r="DC22" s="643">
        <v>1077.58</v>
      </c>
      <c r="DD22" s="522"/>
      <c r="DE22" s="522"/>
      <c r="DF22" s="522"/>
      <c r="DG22" s="522"/>
      <c r="DH22" s="522"/>
      <c r="DI22" s="522"/>
      <c r="DJ22" s="522"/>
      <c r="DK22" s="522"/>
      <c r="DL22" s="649"/>
      <c r="DM22" s="689"/>
      <c r="DN22" s="649"/>
      <c r="DO22" s="522"/>
      <c r="DP22" s="522"/>
      <c r="DQ22" s="522"/>
      <c r="DR22" s="522"/>
      <c r="DS22" s="522"/>
      <c r="DT22" s="522"/>
      <c r="DU22" s="522"/>
      <c r="DV22" s="522"/>
      <c r="DW22" s="522"/>
      <c r="DX22" s="522"/>
      <c r="DY22" s="522"/>
      <c r="DZ22" s="522"/>
      <c r="EA22" s="522"/>
      <c r="EB22" s="522"/>
      <c r="EC22" s="522"/>
      <c r="ED22" s="522"/>
      <c r="EE22" s="522"/>
      <c r="EF22" s="522"/>
      <c r="EG22" s="645">
        <f t="shared" si="4"/>
        <v>9.5914000000000001</v>
      </c>
      <c r="EH22" s="361">
        <v>0</v>
      </c>
      <c r="EI22" s="647">
        <v>0</v>
      </c>
      <c r="EJ22" s="647">
        <v>2.5</v>
      </c>
      <c r="EK22" s="647">
        <f t="shared" si="5"/>
        <v>3.7</v>
      </c>
      <c r="EL22" s="522"/>
      <c r="EM22" s="522"/>
      <c r="EN22" s="522"/>
      <c r="EO22" s="522"/>
      <c r="EP22" s="522"/>
      <c r="EQ22" s="522"/>
      <c r="ER22" s="522"/>
      <c r="ES22" s="407"/>
      <c r="ET22" s="407"/>
    </row>
    <row r="23" spans="1:150" s="357" customFormat="1" ht="15">
      <c r="A23" s="675" t="s">
        <v>8</v>
      </c>
      <c r="B23" s="712">
        <v>41649</v>
      </c>
      <c r="C23" s="713">
        <v>0</v>
      </c>
      <c r="D23" s="681">
        <v>0.32</v>
      </c>
      <c r="E23" s="681">
        <v>0</v>
      </c>
      <c r="F23" s="681">
        <v>44</v>
      </c>
      <c r="G23" s="807">
        <v>2.4</v>
      </c>
      <c r="H23" s="807" t="s">
        <v>744</v>
      </c>
      <c r="I23" s="807">
        <v>85.3</v>
      </c>
      <c r="J23" s="697" t="s">
        <v>744</v>
      </c>
      <c r="K23" s="807">
        <v>0.12</v>
      </c>
      <c r="L23" s="821">
        <f t="shared" si="6"/>
        <v>38.67</v>
      </c>
      <c r="M23" s="807">
        <v>16.8</v>
      </c>
      <c r="N23" s="697" t="s">
        <v>744</v>
      </c>
      <c r="O23" s="807" t="s">
        <v>743</v>
      </c>
      <c r="P23" s="807">
        <v>1.55</v>
      </c>
      <c r="Q23" s="807">
        <v>1.6525154158485647</v>
      </c>
      <c r="R23" s="865">
        <v>550.31440422721255</v>
      </c>
      <c r="S23" s="697" t="s">
        <v>744</v>
      </c>
      <c r="T23" s="807">
        <v>8</v>
      </c>
      <c r="U23" s="807" t="s">
        <v>744</v>
      </c>
      <c r="V23" s="807">
        <v>0.73</v>
      </c>
      <c r="W23" s="807" t="e">
        <v>#VALUE!</v>
      </c>
      <c r="X23" s="690">
        <v>44.42</v>
      </c>
      <c r="Y23" s="807">
        <v>19.8</v>
      </c>
      <c r="Z23" s="807">
        <v>14.02</v>
      </c>
      <c r="AA23" s="794">
        <v>19.670000000000002</v>
      </c>
      <c r="AB23" s="794">
        <v>19</v>
      </c>
      <c r="AC23" s="775">
        <f t="shared" si="2"/>
        <v>38.67</v>
      </c>
      <c r="AD23" s="775">
        <f t="shared" si="3"/>
        <v>59.822490000000002</v>
      </c>
      <c r="AE23" s="775"/>
      <c r="AF23" s="567"/>
      <c r="AG23" s="2">
        <v>1</v>
      </c>
      <c r="AH23" s="362"/>
      <c r="AI23" s="362"/>
      <c r="AJ23" s="2"/>
      <c r="AK23" s="407"/>
      <c r="AL23" s="407"/>
      <c r="AM23" s="407"/>
      <c r="AN23" s="407"/>
      <c r="AO23" s="387"/>
      <c r="AP23" s="387"/>
      <c r="AQ23" s="405"/>
      <c r="AR23" s="578">
        <v>0</v>
      </c>
      <c r="AS23" s="405">
        <v>10.7</v>
      </c>
      <c r="AT23" s="578">
        <v>0</v>
      </c>
      <c r="AU23" s="405">
        <v>20.2</v>
      </c>
      <c r="AV23" s="644">
        <v>329.7</v>
      </c>
      <c r="AW23" s="644">
        <v>539.1</v>
      </c>
      <c r="AX23" s="405">
        <v>0</v>
      </c>
      <c r="AY23" s="578">
        <v>0</v>
      </c>
      <c r="AZ23" s="578">
        <v>0</v>
      </c>
      <c r="BA23" s="578">
        <v>0</v>
      </c>
      <c r="BB23" s="924">
        <v>1</v>
      </c>
      <c r="BC23" s="405">
        <v>0</v>
      </c>
      <c r="BD23" s="405">
        <v>1.5</v>
      </c>
      <c r="BE23" s="578">
        <v>0</v>
      </c>
      <c r="BF23" s="405">
        <v>0.99</v>
      </c>
      <c r="BG23" s="405">
        <v>0</v>
      </c>
      <c r="BH23" s="578">
        <v>0</v>
      </c>
      <c r="BI23" s="405">
        <v>0</v>
      </c>
      <c r="BJ23" s="405">
        <v>16.600000000000001</v>
      </c>
      <c r="BK23" s="405">
        <v>1.38</v>
      </c>
      <c r="BL23" s="405">
        <v>3.21</v>
      </c>
      <c r="BM23" s="405">
        <v>0</v>
      </c>
      <c r="BN23" s="405">
        <v>11</v>
      </c>
      <c r="BO23" s="648">
        <v>961.2</v>
      </c>
      <c r="BP23" s="648">
        <v>0</v>
      </c>
      <c r="BQ23" s="649">
        <v>21.71</v>
      </c>
      <c r="BR23" s="649">
        <v>21.7</v>
      </c>
      <c r="BS23" s="649">
        <v>7.1</v>
      </c>
      <c r="BT23" s="649">
        <v>9.64</v>
      </c>
      <c r="BU23" s="648">
        <v>18.600000000000001</v>
      </c>
      <c r="BV23" s="648">
        <v>18.100000000000001</v>
      </c>
      <c r="BW23" s="649">
        <v>466.4</v>
      </c>
      <c r="BX23" s="876"/>
      <c r="BY23" s="649">
        <v>1.04</v>
      </c>
      <c r="BZ23" s="649">
        <v>1.45</v>
      </c>
      <c r="CA23" s="649">
        <v>1.3</v>
      </c>
      <c r="CB23" s="649">
        <v>8.6999999999999993</v>
      </c>
      <c r="CC23" s="649">
        <v>8.1</v>
      </c>
      <c r="CD23" s="649">
        <v>15.9</v>
      </c>
      <c r="CE23" s="649">
        <v>33.299999999999997</v>
      </c>
      <c r="CF23" s="649">
        <v>12.3</v>
      </c>
      <c r="CG23" s="649">
        <v>6.3</v>
      </c>
      <c r="CH23" s="649">
        <v>11.5</v>
      </c>
      <c r="CI23" s="649">
        <v>15.6</v>
      </c>
      <c r="CJ23" s="649">
        <v>13.19</v>
      </c>
      <c r="CK23" s="649">
        <v>0</v>
      </c>
      <c r="CL23" s="649">
        <v>3.1</v>
      </c>
      <c r="CM23" s="649">
        <v>4.0999999999999996</v>
      </c>
      <c r="CN23" s="649">
        <v>487.5</v>
      </c>
      <c r="CO23" s="649">
        <v>308.8</v>
      </c>
      <c r="CP23" s="649">
        <v>464.4</v>
      </c>
      <c r="CQ23" s="649">
        <v>12.9</v>
      </c>
      <c r="CR23" s="649">
        <v>1.44</v>
      </c>
      <c r="CS23" s="405">
        <v>10196.299999999999</v>
      </c>
      <c r="CT23" s="405">
        <v>17.02</v>
      </c>
      <c r="CU23" s="405">
        <v>49</v>
      </c>
      <c r="CV23" s="522">
        <v>0</v>
      </c>
      <c r="CW23" s="522">
        <v>0</v>
      </c>
      <c r="CX23" s="522">
        <v>0</v>
      </c>
      <c r="CY23" s="522">
        <v>0</v>
      </c>
      <c r="CZ23" s="689">
        <v>2380</v>
      </c>
      <c r="DA23" s="689">
        <v>3130</v>
      </c>
      <c r="DB23" s="689">
        <v>2350</v>
      </c>
      <c r="DC23" s="643">
        <v>1077.9000000000001</v>
      </c>
      <c r="DD23" s="522"/>
      <c r="DE23" s="522"/>
      <c r="DF23" s="522"/>
      <c r="DG23" s="522"/>
      <c r="DH23" s="522"/>
      <c r="DI23" s="522"/>
      <c r="DJ23" s="522"/>
      <c r="DK23" s="522"/>
      <c r="DL23" s="649"/>
      <c r="DM23" s="689"/>
      <c r="DN23" s="649"/>
      <c r="DO23" s="522"/>
      <c r="DP23" s="522"/>
      <c r="DQ23" s="522"/>
      <c r="DR23" s="522"/>
      <c r="DS23" s="522"/>
      <c r="DT23" s="522"/>
      <c r="DU23" s="522"/>
      <c r="DV23" s="522"/>
      <c r="DW23" s="522"/>
      <c r="DX23" s="522"/>
      <c r="DY23" s="522"/>
      <c r="DZ23" s="522"/>
      <c r="EA23" s="522"/>
      <c r="EB23" s="522"/>
      <c r="EC23" s="522"/>
      <c r="ED23" s="522"/>
      <c r="EE23" s="522"/>
      <c r="EF23" s="522"/>
      <c r="EG23" s="645">
        <f t="shared" si="4"/>
        <v>10.96823</v>
      </c>
      <c r="EH23" s="361">
        <v>0</v>
      </c>
      <c r="EI23" s="647">
        <v>0</v>
      </c>
      <c r="EJ23" s="647">
        <v>2.5</v>
      </c>
      <c r="EK23" s="647">
        <f t="shared" si="5"/>
        <v>4.59</v>
      </c>
      <c r="EL23" s="522"/>
      <c r="EM23" s="522"/>
      <c r="EN23" s="522"/>
      <c r="EO23" s="522"/>
      <c r="EP23" s="522"/>
      <c r="EQ23" s="522"/>
      <c r="ER23" s="522"/>
      <c r="ES23" s="407"/>
      <c r="ET23" s="407"/>
    </row>
    <row r="24" spans="1:150" s="357" customFormat="1" ht="15">
      <c r="A24" s="675" t="s">
        <v>9</v>
      </c>
      <c r="B24" s="712">
        <v>41650</v>
      </c>
      <c r="C24" s="713">
        <v>0</v>
      </c>
      <c r="D24" s="681">
        <v>1.17</v>
      </c>
      <c r="E24" s="681">
        <v>0</v>
      </c>
      <c r="F24" s="681">
        <v>42</v>
      </c>
      <c r="G24" s="807">
        <v>2.4</v>
      </c>
      <c r="H24" s="807" t="s">
        <v>744</v>
      </c>
      <c r="I24" s="807">
        <v>84.7</v>
      </c>
      <c r="J24" s="697" t="s">
        <v>744</v>
      </c>
      <c r="K24" s="807">
        <v>0.06</v>
      </c>
      <c r="L24" s="821">
        <f t="shared" si="6"/>
        <v>44.129999999999995</v>
      </c>
      <c r="M24" s="807">
        <v>17.5</v>
      </c>
      <c r="N24" s="697" t="s">
        <v>744</v>
      </c>
      <c r="O24" s="807" t="s">
        <v>743</v>
      </c>
      <c r="P24" s="807">
        <v>1.57</v>
      </c>
      <c r="Q24" s="807">
        <v>1.6111305237141513</v>
      </c>
      <c r="R24" s="865">
        <v>624.81252840158504</v>
      </c>
      <c r="S24" s="697" t="s">
        <v>744</v>
      </c>
      <c r="T24" s="807">
        <v>8.0399999999999991</v>
      </c>
      <c r="U24" s="807" t="s">
        <v>744</v>
      </c>
      <c r="V24" s="807">
        <v>0.72</v>
      </c>
      <c r="W24" s="807" t="e">
        <v>#VALUE!</v>
      </c>
      <c r="X24" s="690">
        <v>44.239999999999995</v>
      </c>
      <c r="Y24" s="807">
        <v>19.670000000000002</v>
      </c>
      <c r="Z24" s="807">
        <v>19</v>
      </c>
      <c r="AA24" s="794">
        <v>18.329999999999998</v>
      </c>
      <c r="AB24" s="794">
        <v>25.8</v>
      </c>
      <c r="AC24" s="775">
        <f t="shared" si="2"/>
        <v>44.129999999999995</v>
      </c>
      <c r="AD24" s="775">
        <f t="shared" si="3"/>
        <v>68.269109999999984</v>
      </c>
      <c r="AE24" s="775"/>
      <c r="AF24" s="567"/>
      <c r="AG24" s="2">
        <v>1</v>
      </c>
      <c r="AH24" s="362"/>
      <c r="AI24" s="362"/>
      <c r="AJ24" s="2"/>
      <c r="AK24" s="407"/>
      <c r="AL24" s="407"/>
      <c r="AM24" s="407"/>
      <c r="AN24" s="407"/>
      <c r="AO24" s="387"/>
      <c r="AP24" s="387"/>
      <c r="AQ24" s="405"/>
      <c r="AR24" s="578">
        <v>0</v>
      </c>
      <c r="AS24" s="405">
        <v>21</v>
      </c>
      <c r="AT24" s="578">
        <v>0</v>
      </c>
      <c r="AU24" s="405">
        <v>19.5</v>
      </c>
      <c r="AV24" s="644">
        <v>7.1</v>
      </c>
      <c r="AW24" s="644">
        <v>353.7</v>
      </c>
      <c r="AX24" s="405">
        <v>0</v>
      </c>
      <c r="AY24" s="578">
        <v>0</v>
      </c>
      <c r="AZ24" s="578">
        <v>0</v>
      </c>
      <c r="BA24" s="578">
        <v>0</v>
      </c>
      <c r="BB24" s="924">
        <v>1</v>
      </c>
      <c r="BC24" s="405">
        <v>0</v>
      </c>
      <c r="BD24" s="405">
        <v>1.5</v>
      </c>
      <c r="BE24" s="578">
        <v>0</v>
      </c>
      <c r="BF24" s="405">
        <v>1</v>
      </c>
      <c r="BG24" s="405">
        <v>0</v>
      </c>
      <c r="BH24" s="578">
        <v>0</v>
      </c>
      <c r="BI24" s="405">
        <v>0</v>
      </c>
      <c r="BJ24" s="405">
        <v>23.3</v>
      </c>
      <c r="BK24" s="405">
        <v>2.12</v>
      </c>
      <c r="BL24" s="405">
        <v>3.18</v>
      </c>
      <c r="BM24" s="405">
        <v>0</v>
      </c>
      <c r="BN24" s="405">
        <v>16.600000000000001</v>
      </c>
      <c r="BO24" s="648">
        <v>1134.7</v>
      </c>
      <c r="BP24" s="648">
        <v>0</v>
      </c>
      <c r="BQ24" s="649">
        <v>22.51</v>
      </c>
      <c r="BR24" s="649">
        <v>22.49</v>
      </c>
      <c r="BS24" s="649">
        <v>7.1449999999999996</v>
      </c>
      <c r="BT24" s="649">
        <v>9.7040000000000006</v>
      </c>
      <c r="BU24" s="648">
        <v>18.7</v>
      </c>
      <c r="BV24" s="648">
        <v>17.100000000000001</v>
      </c>
      <c r="BW24" s="649">
        <v>671.8</v>
      </c>
      <c r="BX24" s="876"/>
      <c r="BY24" s="649">
        <v>0.13</v>
      </c>
      <c r="BZ24" s="649">
        <v>1.1499999999999999</v>
      </c>
      <c r="CA24" s="649">
        <v>1.3</v>
      </c>
      <c r="CB24" s="649">
        <v>7.2</v>
      </c>
      <c r="CC24" s="649">
        <v>8</v>
      </c>
      <c r="CD24" s="649">
        <v>14.9</v>
      </c>
      <c r="CE24" s="649">
        <v>33.299999999999997</v>
      </c>
      <c r="CF24" s="649">
        <v>12.5</v>
      </c>
      <c r="CG24" s="649">
        <v>6.6</v>
      </c>
      <c r="CH24" s="649">
        <v>11.8</v>
      </c>
      <c r="CI24" s="649">
        <v>15.9</v>
      </c>
      <c r="CJ24" s="649">
        <v>13.92</v>
      </c>
      <c r="CK24" s="649">
        <v>0</v>
      </c>
      <c r="CL24" s="649">
        <v>1.5</v>
      </c>
      <c r="CM24" s="649">
        <v>2.2999999999999998</v>
      </c>
      <c r="CN24" s="649">
        <v>506.7</v>
      </c>
      <c r="CO24" s="649">
        <v>329.7</v>
      </c>
      <c r="CP24" s="649">
        <v>442.4</v>
      </c>
      <c r="CQ24" s="649">
        <v>13.3</v>
      </c>
      <c r="CR24" s="649">
        <v>1.82</v>
      </c>
      <c r="CS24" s="405">
        <v>6978.7</v>
      </c>
      <c r="CT24" s="405">
        <v>16.741</v>
      </c>
      <c r="CU24" s="405">
        <v>49</v>
      </c>
      <c r="CV24" s="522">
        <v>0</v>
      </c>
      <c r="CW24" s="522">
        <v>0</v>
      </c>
      <c r="CX24" s="522">
        <v>0</v>
      </c>
      <c r="CY24" s="522">
        <v>0</v>
      </c>
      <c r="CZ24" s="689">
        <v>2420</v>
      </c>
      <c r="DA24" s="689">
        <v>3560</v>
      </c>
      <c r="DB24" s="689">
        <v>2460</v>
      </c>
      <c r="DC24" s="643">
        <v>1079.0999999999999</v>
      </c>
      <c r="DD24" s="522"/>
      <c r="DE24" s="522"/>
      <c r="DF24" s="522"/>
      <c r="DG24" s="522"/>
      <c r="DH24" s="522"/>
      <c r="DI24" s="522"/>
      <c r="DJ24" s="522"/>
      <c r="DK24" s="522"/>
      <c r="DL24" s="649"/>
      <c r="DM24" s="689"/>
      <c r="DN24" s="649"/>
      <c r="DO24" s="522"/>
      <c r="DP24" s="522"/>
      <c r="DQ24" s="522"/>
      <c r="DR24" s="522"/>
      <c r="DS24" s="522"/>
      <c r="DT24" s="522"/>
      <c r="DU24" s="522"/>
      <c r="DV24" s="522"/>
      <c r="DW24" s="522"/>
      <c r="DX24" s="522"/>
      <c r="DY24" s="522"/>
      <c r="DZ24" s="522"/>
      <c r="EA24" s="522"/>
      <c r="EB24" s="522"/>
      <c r="EC24" s="522"/>
      <c r="ED24" s="522"/>
      <c r="EE24" s="522"/>
      <c r="EF24" s="522"/>
      <c r="EG24" s="645">
        <f t="shared" si="4"/>
        <v>12.066600000000001</v>
      </c>
      <c r="EH24" s="361">
        <v>0</v>
      </c>
      <c r="EI24" s="647">
        <v>0</v>
      </c>
      <c r="EJ24" s="647">
        <v>2.5</v>
      </c>
      <c r="EK24" s="647">
        <f t="shared" si="5"/>
        <v>5.3000000000000007</v>
      </c>
      <c r="EL24" s="522"/>
      <c r="EM24" s="522"/>
      <c r="EN24" s="522"/>
      <c r="EO24" s="522"/>
      <c r="EP24" s="522"/>
      <c r="EQ24" s="522"/>
      <c r="ER24" s="522"/>
      <c r="ES24" s="407"/>
      <c r="ET24" s="407"/>
    </row>
    <row r="25" spans="1:150" s="357" customFormat="1" ht="15">
      <c r="A25" s="675" t="s">
        <v>3</v>
      </c>
      <c r="B25" s="712">
        <v>41651</v>
      </c>
      <c r="C25" s="713">
        <v>0</v>
      </c>
      <c r="D25" s="681">
        <v>0.27</v>
      </c>
      <c r="E25" s="681">
        <v>0</v>
      </c>
      <c r="F25" s="681">
        <v>47</v>
      </c>
      <c r="G25" s="807">
        <v>2.5</v>
      </c>
      <c r="H25" s="807" t="s">
        <v>744</v>
      </c>
      <c r="I25" s="807">
        <v>86.6</v>
      </c>
      <c r="J25" s="697" t="s">
        <v>744</v>
      </c>
      <c r="K25" s="807">
        <v>0.06</v>
      </c>
      <c r="L25" s="821">
        <f t="shared" si="6"/>
        <v>44.3</v>
      </c>
      <c r="M25" s="807">
        <v>17.8</v>
      </c>
      <c r="N25" s="697" t="s">
        <v>744</v>
      </c>
      <c r="O25" s="807">
        <v>0</v>
      </c>
      <c r="P25" s="807">
        <v>1.55</v>
      </c>
      <c r="Q25" s="807">
        <v>1.6148726795331512</v>
      </c>
      <c r="R25" s="865">
        <v>610.23680845442527</v>
      </c>
      <c r="S25" s="697" t="s">
        <v>744</v>
      </c>
      <c r="T25" s="807">
        <v>8.0399999999999991</v>
      </c>
      <c r="U25" s="807" t="s">
        <v>744</v>
      </c>
      <c r="V25" s="807">
        <v>0.74</v>
      </c>
      <c r="W25" s="807" t="e">
        <v>#VALUE!</v>
      </c>
      <c r="X25" s="690">
        <v>44.42</v>
      </c>
      <c r="Y25" s="807">
        <v>18.329999999999998</v>
      </c>
      <c r="Z25" s="807">
        <v>25.8</v>
      </c>
      <c r="AA25" s="794">
        <v>15.3</v>
      </c>
      <c r="AB25" s="794">
        <v>29</v>
      </c>
      <c r="AC25" s="775">
        <f t="shared" si="2"/>
        <v>44.3</v>
      </c>
      <c r="AD25" s="775">
        <f t="shared" si="3"/>
        <v>68.532099999999986</v>
      </c>
      <c r="AE25" s="775"/>
      <c r="AF25" s="567"/>
      <c r="AG25" s="2">
        <v>1</v>
      </c>
      <c r="AH25" s="362"/>
      <c r="AI25" s="362"/>
      <c r="AJ25" s="2"/>
      <c r="AK25" s="407"/>
      <c r="AL25" s="407"/>
      <c r="AM25" s="407"/>
      <c r="AN25" s="407"/>
      <c r="AO25" s="387"/>
      <c r="AP25" s="387"/>
      <c r="AQ25" s="405"/>
      <c r="AR25" s="578">
        <v>0</v>
      </c>
      <c r="AS25" s="405">
        <v>11.9</v>
      </c>
      <c r="AT25" s="578">
        <v>0</v>
      </c>
      <c r="AU25" s="405">
        <v>15.2</v>
      </c>
      <c r="AV25" s="644">
        <v>520.29999999999995</v>
      </c>
      <c r="AW25" s="644">
        <v>1162.9000000000001</v>
      </c>
      <c r="AX25" s="405">
        <v>0</v>
      </c>
      <c r="AY25" s="578">
        <v>0</v>
      </c>
      <c r="AZ25" s="578">
        <v>0</v>
      </c>
      <c r="BA25" s="578">
        <v>0</v>
      </c>
      <c r="BB25" s="1086">
        <v>1.006</v>
      </c>
      <c r="BC25" s="405">
        <v>0</v>
      </c>
      <c r="BD25" s="405">
        <v>1.5</v>
      </c>
      <c r="BE25" s="578">
        <v>0</v>
      </c>
      <c r="BF25" s="405">
        <v>1</v>
      </c>
      <c r="BG25" s="405">
        <v>0</v>
      </c>
      <c r="BH25" s="578">
        <v>0</v>
      </c>
      <c r="BI25" s="405">
        <v>0</v>
      </c>
      <c r="BJ25" s="405">
        <v>26.5</v>
      </c>
      <c r="BK25" s="405">
        <v>2.02</v>
      </c>
      <c r="BL25" s="405">
        <v>3.52</v>
      </c>
      <c r="BM25" s="405">
        <v>0</v>
      </c>
      <c r="BN25" s="405">
        <v>19.8</v>
      </c>
      <c r="BO25" s="648">
        <v>1152.4000000000001</v>
      </c>
      <c r="BP25" s="648">
        <v>0</v>
      </c>
      <c r="BQ25" s="649">
        <v>21.29</v>
      </c>
      <c r="BR25" s="649">
        <v>21.27</v>
      </c>
      <c r="BS25" s="649">
        <v>4.5650000000000004</v>
      </c>
      <c r="BT25" s="649">
        <v>6.6369999999999996</v>
      </c>
      <c r="BU25" s="648">
        <v>13.3</v>
      </c>
      <c r="BV25" s="648">
        <v>17</v>
      </c>
      <c r="BW25" s="649">
        <v>544.79999999999995</v>
      </c>
      <c r="BX25" s="876"/>
      <c r="BY25" s="649">
        <v>0.14000000000000001</v>
      </c>
      <c r="BZ25" s="649">
        <v>1.34</v>
      </c>
      <c r="CA25" s="649">
        <v>1.3</v>
      </c>
      <c r="CB25" s="649">
        <v>8.6999999999999993</v>
      </c>
      <c r="CC25" s="649">
        <v>8</v>
      </c>
      <c r="CD25" s="649">
        <v>16.5</v>
      </c>
      <c r="CE25" s="649">
        <v>33.299999999999997</v>
      </c>
      <c r="CF25" s="649">
        <v>15</v>
      </c>
      <c r="CG25" s="649">
        <v>6.6</v>
      </c>
      <c r="CH25" s="649">
        <v>11.9</v>
      </c>
      <c r="CI25" s="649">
        <v>15.9</v>
      </c>
      <c r="CJ25" s="649">
        <v>14.38</v>
      </c>
      <c r="CK25" s="649">
        <v>0</v>
      </c>
      <c r="CL25" s="649">
        <v>2.6</v>
      </c>
      <c r="CM25" s="649">
        <v>2</v>
      </c>
      <c r="CN25" s="649">
        <v>648.70000000000005</v>
      </c>
      <c r="CO25" s="649">
        <v>356.3</v>
      </c>
      <c r="CP25" s="649">
        <v>455.2</v>
      </c>
      <c r="CQ25" s="649">
        <v>13.3</v>
      </c>
      <c r="CR25" s="649">
        <v>1.92</v>
      </c>
      <c r="CS25" s="405">
        <v>6965.6</v>
      </c>
      <c r="CT25" s="405">
        <v>16.445</v>
      </c>
      <c r="CU25" s="405">
        <v>49</v>
      </c>
      <c r="CV25" s="522">
        <v>0</v>
      </c>
      <c r="CW25" s="522">
        <v>0</v>
      </c>
      <c r="CX25" s="522">
        <v>0</v>
      </c>
      <c r="CY25" s="522">
        <v>0</v>
      </c>
      <c r="CZ25" s="689">
        <v>2650</v>
      </c>
      <c r="DA25" s="689">
        <v>3550</v>
      </c>
      <c r="DB25" s="689">
        <v>2610</v>
      </c>
      <c r="DC25" s="643">
        <v>1087.1300000000001</v>
      </c>
      <c r="DD25" s="522"/>
      <c r="DE25" s="522"/>
      <c r="DF25" s="522"/>
      <c r="DG25" s="522"/>
      <c r="DH25" s="522"/>
      <c r="DI25" s="522"/>
      <c r="DJ25" s="522"/>
      <c r="DK25" s="522"/>
      <c r="DL25" s="649"/>
      <c r="DM25" s="689"/>
      <c r="DN25" s="649"/>
      <c r="DO25" s="522"/>
      <c r="DP25" s="522"/>
      <c r="DQ25" s="522"/>
      <c r="DR25" s="522"/>
      <c r="DS25" s="522"/>
      <c r="DT25" s="522"/>
      <c r="DU25" s="522"/>
      <c r="DV25" s="522"/>
      <c r="DW25" s="522"/>
      <c r="DX25" s="522"/>
      <c r="DY25" s="522"/>
      <c r="DZ25" s="522"/>
      <c r="EA25" s="522"/>
      <c r="EB25" s="522"/>
      <c r="EC25" s="522"/>
      <c r="ED25" s="522"/>
      <c r="EE25" s="522"/>
      <c r="EF25" s="522"/>
      <c r="EG25" s="645">
        <f t="shared" si="4"/>
        <v>12.437879999999998</v>
      </c>
      <c r="EH25" s="361">
        <v>0</v>
      </c>
      <c r="EI25" s="647">
        <v>0</v>
      </c>
      <c r="EJ25" s="647">
        <v>2.5</v>
      </c>
      <c r="EK25" s="647">
        <f t="shared" si="5"/>
        <v>5.54</v>
      </c>
      <c r="EL25" s="522"/>
      <c r="EM25" s="522"/>
      <c r="EN25" s="522"/>
      <c r="EO25" s="522"/>
      <c r="EP25" s="522"/>
      <c r="EQ25" s="522"/>
      <c r="ER25" s="522"/>
      <c r="ES25" s="407"/>
      <c r="ET25" s="407"/>
    </row>
    <row r="26" spans="1:150" s="357" customFormat="1" ht="15">
      <c r="A26" s="675" t="s">
        <v>4</v>
      </c>
      <c r="B26" s="712">
        <v>41652</v>
      </c>
      <c r="C26" s="713">
        <v>0</v>
      </c>
      <c r="D26" s="681">
        <v>0.54</v>
      </c>
      <c r="E26" s="681">
        <v>0</v>
      </c>
      <c r="F26" s="681">
        <v>45</v>
      </c>
      <c r="G26" s="807">
        <v>3.95</v>
      </c>
      <c r="H26" s="807" t="s">
        <v>744</v>
      </c>
      <c r="I26" s="807">
        <v>74.709999999999994</v>
      </c>
      <c r="J26" s="697" t="s">
        <v>744</v>
      </c>
      <c r="K26" s="807">
        <v>0.09</v>
      </c>
      <c r="L26" s="821">
        <f t="shared" si="6"/>
        <v>44.2</v>
      </c>
      <c r="M26" s="807">
        <v>19.3</v>
      </c>
      <c r="N26" s="697" t="s">
        <v>744</v>
      </c>
      <c r="O26" s="807" t="s">
        <v>743</v>
      </c>
      <c r="P26" s="807">
        <v>1.57</v>
      </c>
      <c r="Q26" s="807">
        <v>1.7017207099548535</v>
      </c>
      <c r="R26" s="865">
        <v>627.72767239101711</v>
      </c>
      <c r="S26" s="697" t="s">
        <v>744</v>
      </c>
      <c r="T26" s="807">
        <v>8.0500000000000007</v>
      </c>
      <c r="U26" s="807" t="s">
        <v>744</v>
      </c>
      <c r="V26" s="807">
        <v>0.73</v>
      </c>
      <c r="W26" s="807" t="e">
        <v>#VALUE!</v>
      </c>
      <c r="X26" s="690">
        <v>44.239999999999995</v>
      </c>
      <c r="Y26" s="807">
        <v>15.3</v>
      </c>
      <c r="Z26" s="807">
        <v>29</v>
      </c>
      <c r="AA26" s="794">
        <v>19.899999999999999</v>
      </c>
      <c r="AB26" s="794">
        <v>24.3</v>
      </c>
      <c r="AC26" s="775">
        <f t="shared" si="2"/>
        <v>44.2</v>
      </c>
      <c r="AD26" s="775">
        <f t="shared" si="3"/>
        <v>68.377399999999994</v>
      </c>
      <c r="AE26" s="775"/>
      <c r="AF26" s="567"/>
      <c r="AG26" s="2">
        <v>1</v>
      </c>
      <c r="AH26" s="362"/>
      <c r="AI26" s="362"/>
      <c r="AJ26" s="2"/>
      <c r="AK26" s="407"/>
      <c r="AL26" s="407"/>
      <c r="AM26" s="407"/>
      <c r="AN26" s="407"/>
      <c r="AO26" s="387"/>
      <c r="AP26" s="387"/>
      <c r="AQ26" s="405"/>
      <c r="AR26" s="578">
        <v>0</v>
      </c>
      <c r="AS26" s="405">
        <v>21.7</v>
      </c>
      <c r="AT26" s="578">
        <v>0</v>
      </c>
      <c r="AU26" s="405">
        <v>20.5</v>
      </c>
      <c r="AV26" s="644">
        <v>108.8</v>
      </c>
      <c r="AW26" s="644">
        <v>176.7</v>
      </c>
      <c r="AX26" s="405">
        <v>0</v>
      </c>
      <c r="AY26" s="578">
        <v>0</v>
      </c>
      <c r="AZ26" s="578">
        <v>0</v>
      </c>
      <c r="BA26" s="578">
        <v>0</v>
      </c>
      <c r="BB26" s="1086">
        <v>1</v>
      </c>
      <c r="BC26" s="405">
        <v>0</v>
      </c>
      <c r="BD26" s="405">
        <v>1.51</v>
      </c>
      <c r="BE26" s="578">
        <v>0</v>
      </c>
      <c r="BF26" s="405">
        <v>0.99</v>
      </c>
      <c r="BG26" s="405">
        <v>0</v>
      </c>
      <c r="BH26" s="578">
        <v>0</v>
      </c>
      <c r="BI26" s="405">
        <v>0</v>
      </c>
      <c r="BJ26" s="405">
        <v>21.9</v>
      </c>
      <c r="BK26" s="405">
        <v>2.88</v>
      </c>
      <c r="BL26" s="405">
        <v>2.59</v>
      </c>
      <c r="BM26" s="405">
        <v>0</v>
      </c>
      <c r="BN26" s="405">
        <v>15.3</v>
      </c>
      <c r="BO26" s="648">
        <v>952.4</v>
      </c>
      <c r="BP26" s="648">
        <v>0</v>
      </c>
      <c r="BQ26" s="649">
        <v>21.9</v>
      </c>
      <c r="BR26" s="649">
        <v>21.89</v>
      </c>
      <c r="BS26" s="649">
        <v>7.58</v>
      </c>
      <c r="BT26" s="649">
        <v>10.212999999999999</v>
      </c>
      <c r="BU26" s="648">
        <v>19.600000000000001</v>
      </c>
      <c r="BV26" s="648">
        <v>18.399999999999999</v>
      </c>
      <c r="BW26" s="649">
        <v>759</v>
      </c>
      <c r="BX26" s="876"/>
      <c r="BY26" s="649">
        <v>0.14000000000000001</v>
      </c>
      <c r="BZ26" s="649">
        <v>1.38</v>
      </c>
      <c r="CA26" s="649">
        <v>1.3</v>
      </c>
      <c r="CB26" s="649">
        <v>8.6999999999999993</v>
      </c>
      <c r="CC26" s="649">
        <v>8.1</v>
      </c>
      <c r="CD26" s="649">
        <v>16.100000000000001</v>
      </c>
      <c r="CE26" s="649">
        <v>33.200000000000003</v>
      </c>
      <c r="CF26" s="649">
        <v>14.6</v>
      </c>
      <c r="CG26" s="649">
        <v>6.2</v>
      </c>
      <c r="CH26" s="649">
        <v>11.4</v>
      </c>
      <c r="CI26" s="649">
        <v>15.4</v>
      </c>
      <c r="CJ26" s="649">
        <v>13.87</v>
      </c>
      <c r="CK26" s="649">
        <v>0</v>
      </c>
      <c r="CL26" s="649">
        <v>2.2000000000000002</v>
      </c>
      <c r="CM26" s="649">
        <v>3.2</v>
      </c>
      <c r="CN26" s="649">
        <v>521.20000000000005</v>
      </c>
      <c r="CO26" s="649">
        <v>317.5</v>
      </c>
      <c r="CP26" s="649">
        <v>468.1</v>
      </c>
      <c r="CQ26" s="649">
        <v>13.3</v>
      </c>
      <c r="CR26" s="649">
        <v>1.95</v>
      </c>
      <c r="CS26" s="405">
        <v>6954.8</v>
      </c>
      <c r="CT26" s="405">
        <v>16.78</v>
      </c>
      <c r="CU26" s="405">
        <v>49</v>
      </c>
      <c r="CV26" s="522">
        <v>0</v>
      </c>
      <c r="CW26" s="522">
        <v>0</v>
      </c>
      <c r="CX26" s="522">
        <v>0</v>
      </c>
      <c r="CY26" s="522">
        <v>0</v>
      </c>
      <c r="CZ26" s="689">
        <v>4350</v>
      </c>
      <c r="DA26" s="689">
        <v>5300</v>
      </c>
      <c r="DB26" s="689">
        <v>4100</v>
      </c>
      <c r="DC26" s="643">
        <v>1096.23</v>
      </c>
      <c r="DD26" s="522"/>
      <c r="DE26" s="522"/>
      <c r="DF26" s="522"/>
      <c r="DG26" s="522"/>
      <c r="DH26" s="522"/>
      <c r="DI26" s="522"/>
      <c r="DJ26" s="522"/>
      <c r="DK26" s="522"/>
      <c r="DL26" s="649"/>
      <c r="DM26" s="689"/>
      <c r="DN26" s="649"/>
      <c r="DO26" s="522"/>
      <c r="DP26" s="522"/>
      <c r="DQ26" s="522"/>
      <c r="DR26" s="522"/>
      <c r="DS26" s="522"/>
      <c r="DT26" s="522"/>
      <c r="DU26" s="522"/>
      <c r="DV26" s="522"/>
      <c r="DW26" s="522"/>
      <c r="DX26" s="522"/>
      <c r="DY26" s="522"/>
      <c r="DZ26" s="522"/>
      <c r="EA26" s="522"/>
      <c r="EB26" s="522"/>
      <c r="EC26" s="522"/>
      <c r="ED26" s="522"/>
      <c r="EE26" s="522"/>
      <c r="EF26" s="522"/>
      <c r="EG26" s="645">
        <f t="shared" si="4"/>
        <v>12.32959</v>
      </c>
      <c r="EH26" s="361">
        <v>0</v>
      </c>
      <c r="EI26" s="647">
        <v>0</v>
      </c>
      <c r="EJ26" s="647">
        <v>2.5</v>
      </c>
      <c r="EK26" s="647">
        <f t="shared" si="5"/>
        <v>5.47</v>
      </c>
      <c r="EL26" s="522"/>
      <c r="EM26" s="522"/>
      <c r="EN26" s="522"/>
      <c r="EO26" s="522"/>
      <c r="EP26" s="522"/>
      <c r="EQ26" s="522"/>
      <c r="ER26" s="522"/>
      <c r="ES26" s="407"/>
      <c r="ET26" s="407"/>
    </row>
    <row r="27" spans="1:150" s="357" customFormat="1" ht="15">
      <c r="A27" s="675" t="s">
        <v>5</v>
      </c>
      <c r="B27" s="712">
        <v>41653</v>
      </c>
      <c r="C27" s="713">
        <v>0</v>
      </c>
      <c r="D27" s="681">
        <v>0.54</v>
      </c>
      <c r="E27" s="681">
        <v>0.05</v>
      </c>
      <c r="F27" s="681">
        <v>38</v>
      </c>
      <c r="G27" s="807">
        <v>4.0999999999999996</v>
      </c>
      <c r="H27" s="807" t="s">
        <v>744</v>
      </c>
      <c r="I27" s="807">
        <v>0</v>
      </c>
      <c r="J27" s="697">
        <v>1.5</v>
      </c>
      <c r="K27" s="807">
        <v>0.39</v>
      </c>
      <c r="L27" s="821">
        <f t="shared" si="6"/>
        <v>43.8</v>
      </c>
      <c r="M27" s="807">
        <v>19.399999999999999</v>
      </c>
      <c r="N27" s="697">
        <v>1.48</v>
      </c>
      <c r="O27" s="807">
        <v>1.7626898588855409</v>
      </c>
      <c r="P27" s="807">
        <v>1.55</v>
      </c>
      <c r="Q27" s="807">
        <v>1.6859868834028613</v>
      </c>
      <c r="R27" s="865">
        <v>657.52692206076608</v>
      </c>
      <c r="S27" s="697">
        <v>7.76</v>
      </c>
      <c r="T27" s="807">
        <v>7.57</v>
      </c>
      <c r="U27" s="807">
        <v>0.56999999999999995</v>
      </c>
      <c r="V27" s="807">
        <v>0.56999999999999995</v>
      </c>
      <c r="W27" s="807">
        <v>44.42</v>
      </c>
      <c r="X27" s="690">
        <v>44.239999999999995</v>
      </c>
      <c r="Y27" s="807">
        <v>19.899999999999999</v>
      </c>
      <c r="Z27" s="807">
        <v>24.3</v>
      </c>
      <c r="AA27" s="794">
        <v>19.7</v>
      </c>
      <c r="AB27" s="794">
        <v>24.1</v>
      </c>
      <c r="AC27" s="775">
        <f t="shared" si="2"/>
        <v>43.8</v>
      </c>
      <c r="AD27" s="775">
        <f t="shared" si="3"/>
        <v>67.758599999999987</v>
      </c>
      <c r="AE27" s="775"/>
      <c r="AF27" s="567"/>
      <c r="AG27" s="2">
        <v>1</v>
      </c>
      <c r="AH27" s="362"/>
      <c r="AI27" s="362"/>
      <c r="AJ27" s="2"/>
      <c r="AK27" s="407"/>
      <c r="AL27" s="407"/>
      <c r="AM27" s="407"/>
      <c r="AN27" s="407"/>
      <c r="AO27" s="387"/>
      <c r="AP27" s="387"/>
      <c r="AQ27" s="405"/>
      <c r="AR27" s="578">
        <v>0</v>
      </c>
      <c r="AS27" s="405">
        <v>10.7</v>
      </c>
      <c r="AT27" s="578">
        <v>0</v>
      </c>
      <c r="AU27" s="405">
        <v>20.3</v>
      </c>
      <c r="AV27" s="644">
        <v>180.3</v>
      </c>
      <c r="AW27" s="644">
        <v>267.89999999999998</v>
      </c>
      <c r="AX27" s="405">
        <v>0</v>
      </c>
      <c r="AY27" s="578">
        <v>0</v>
      </c>
      <c r="AZ27" s="578">
        <v>0</v>
      </c>
      <c r="BA27" s="578">
        <v>0</v>
      </c>
      <c r="BB27" s="1086">
        <v>1.006</v>
      </c>
      <c r="BC27" s="405">
        <v>0</v>
      </c>
      <c r="BD27" s="405">
        <v>1.5</v>
      </c>
      <c r="BE27" s="578">
        <v>0</v>
      </c>
      <c r="BF27" s="405">
        <v>1</v>
      </c>
      <c r="BG27" s="405">
        <v>0</v>
      </c>
      <c r="BH27" s="578">
        <v>0</v>
      </c>
      <c r="BI27" s="405">
        <v>0</v>
      </c>
      <c r="BJ27" s="405">
        <v>21.7</v>
      </c>
      <c r="BK27" s="405">
        <v>2.89</v>
      </c>
      <c r="BL27" s="405">
        <v>2.6</v>
      </c>
      <c r="BM27" s="405">
        <v>0</v>
      </c>
      <c r="BN27" s="405">
        <v>15.1</v>
      </c>
      <c r="BO27" s="648">
        <v>967.2</v>
      </c>
      <c r="BP27" s="648">
        <v>2.6</v>
      </c>
      <c r="BQ27" s="649">
        <v>21.17</v>
      </c>
      <c r="BR27" s="649">
        <v>21.14</v>
      </c>
      <c r="BS27" s="649">
        <v>8.0690000000000008</v>
      </c>
      <c r="BT27" s="649">
        <v>9.3160000000000007</v>
      </c>
      <c r="BU27" s="648">
        <v>19.3</v>
      </c>
      <c r="BV27" s="648">
        <v>21.8</v>
      </c>
      <c r="BW27" s="649">
        <v>469.8</v>
      </c>
      <c r="BX27" s="876"/>
      <c r="BY27" s="649">
        <v>0.14000000000000001</v>
      </c>
      <c r="BZ27" s="649">
        <v>1.47</v>
      </c>
      <c r="CA27" s="649">
        <v>1.3</v>
      </c>
      <c r="CB27" s="649">
        <v>8.6999999999999993</v>
      </c>
      <c r="CC27" s="649">
        <v>8.1</v>
      </c>
      <c r="CD27" s="649">
        <v>15.7</v>
      </c>
      <c r="CE27" s="649">
        <v>33.1</v>
      </c>
      <c r="CF27" s="649">
        <v>14.1</v>
      </c>
      <c r="CG27" s="649">
        <v>6</v>
      </c>
      <c r="CH27" s="649">
        <v>11.2</v>
      </c>
      <c r="CI27" s="649">
        <v>15.2</v>
      </c>
      <c r="CJ27" s="649">
        <v>13.34</v>
      </c>
      <c r="CK27" s="649">
        <v>0</v>
      </c>
      <c r="CL27" s="649">
        <v>2.5</v>
      </c>
      <c r="CM27" s="649">
        <v>3.9</v>
      </c>
      <c r="CN27" s="649">
        <v>486.6</v>
      </c>
      <c r="CO27" s="649">
        <v>322.39999999999998</v>
      </c>
      <c r="CP27" s="649">
        <v>454.6</v>
      </c>
      <c r="CQ27" s="649">
        <v>13.2</v>
      </c>
      <c r="CR27" s="649">
        <v>1.97</v>
      </c>
      <c r="CS27" s="405">
        <v>4790.1000000000004</v>
      </c>
      <c r="CT27" s="405">
        <v>17.218</v>
      </c>
      <c r="CU27" s="405">
        <v>48</v>
      </c>
      <c r="CV27" s="522">
        <v>0</v>
      </c>
      <c r="CW27" s="522">
        <v>0</v>
      </c>
      <c r="CX27" s="522">
        <v>0</v>
      </c>
      <c r="CY27" s="522">
        <v>0</v>
      </c>
      <c r="CZ27" s="689">
        <v>3920</v>
      </c>
      <c r="DA27" s="689">
        <v>5020</v>
      </c>
      <c r="DB27" s="689">
        <v>3720</v>
      </c>
      <c r="DC27" s="643">
        <v>1094</v>
      </c>
      <c r="DD27" s="522"/>
      <c r="DE27" s="522"/>
      <c r="DF27" s="522"/>
      <c r="DG27" s="522"/>
      <c r="DH27" s="522"/>
      <c r="DI27" s="522"/>
      <c r="DJ27" s="522"/>
      <c r="DK27" s="522"/>
      <c r="DL27" s="649"/>
      <c r="DM27" s="689"/>
      <c r="DN27" s="649"/>
      <c r="DO27" s="522"/>
      <c r="DP27" s="522"/>
      <c r="DQ27" s="522"/>
      <c r="DR27" s="522"/>
      <c r="DS27" s="522"/>
      <c r="DT27" s="522"/>
      <c r="DU27" s="522"/>
      <c r="DV27" s="522"/>
      <c r="DW27" s="522"/>
      <c r="DX27" s="522"/>
      <c r="DY27" s="522"/>
      <c r="DZ27" s="522"/>
      <c r="EA27" s="522"/>
      <c r="EB27" s="522"/>
      <c r="EC27" s="522"/>
      <c r="ED27" s="522"/>
      <c r="EE27" s="522"/>
      <c r="EF27" s="522"/>
      <c r="EG27" s="645">
        <f t="shared" si="4"/>
        <v>12.360529999999999</v>
      </c>
      <c r="EH27" s="361">
        <v>0</v>
      </c>
      <c r="EI27" s="647">
        <v>0</v>
      </c>
      <c r="EJ27" s="647">
        <v>2.5</v>
      </c>
      <c r="EK27" s="647">
        <f t="shared" si="5"/>
        <v>5.49</v>
      </c>
      <c r="EL27" s="522"/>
      <c r="EM27" s="522"/>
      <c r="EN27" s="522"/>
      <c r="EO27" s="522"/>
      <c r="EP27" s="522"/>
      <c r="EQ27" s="522"/>
      <c r="ER27" s="522"/>
      <c r="ES27" s="407"/>
      <c r="ET27" s="407"/>
    </row>
    <row r="28" spans="1:150" s="357" customFormat="1" ht="15">
      <c r="A28" s="675" t="s">
        <v>6</v>
      </c>
      <c r="B28" s="712">
        <v>41654</v>
      </c>
      <c r="C28" s="713">
        <v>0</v>
      </c>
      <c r="D28" s="681">
        <v>0</v>
      </c>
      <c r="E28" s="681">
        <v>0</v>
      </c>
      <c r="F28" s="681">
        <v>37</v>
      </c>
      <c r="G28" s="807">
        <v>2.7</v>
      </c>
      <c r="H28" s="807" t="s">
        <v>744</v>
      </c>
      <c r="I28" s="807">
        <v>0</v>
      </c>
      <c r="J28" s="697">
        <v>0.09</v>
      </c>
      <c r="K28" s="807" t="s">
        <v>744</v>
      </c>
      <c r="L28" s="821">
        <f t="shared" si="6"/>
        <v>43.900000000000006</v>
      </c>
      <c r="M28" s="807">
        <v>19.399999999999999</v>
      </c>
      <c r="N28" s="697">
        <v>1.57</v>
      </c>
      <c r="O28" s="807">
        <v>1.7811331004085542</v>
      </c>
      <c r="P28" s="807" t="s">
        <v>744</v>
      </c>
      <c r="Q28" s="807" t="s">
        <v>743</v>
      </c>
      <c r="R28" s="865">
        <v>667.5679735799207</v>
      </c>
      <c r="S28" s="697">
        <v>7.78</v>
      </c>
      <c r="T28" s="807" t="s">
        <v>744</v>
      </c>
      <c r="U28" s="807">
        <v>0.56999999999999995</v>
      </c>
      <c r="V28" s="807" t="s">
        <v>744</v>
      </c>
      <c r="W28" s="807">
        <v>44.42</v>
      </c>
      <c r="X28" s="690">
        <v>32</v>
      </c>
      <c r="Y28" s="807">
        <v>19.7</v>
      </c>
      <c r="Z28" s="807">
        <v>24.1</v>
      </c>
      <c r="AA28" s="794">
        <v>19.8</v>
      </c>
      <c r="AB28" s="794">
        <v>24.1</v>
      </c>
      <c r="AC28" s="775">
        <f t="shared" ref="AC28" si="7">AA28+AB28</f>
        <v>43.900000000000006</v>
      </c>
      <c r="AD28" s="775">
        <f t="shared" ref="AD28" si="8">AC28*1.547</f>
        <v>67.913300000000007</v>
      </c>
      <c r="AE28" s="775"/>
      <c r="AF28" s="567"/>
      <c r="AG28" s="2">
        <v>1</v>
      </c>
      <c r="AH28" s="362"/>
      <c r="AI28" s="362"/>
      <c r="AJ28" s="2"/>
      <c r="AK28" s="407"/>
      <c r="AL28" s="407"/>
      <c r="AM28" s="407"/>
      <c r="AN28" s="407"/>
      <c r="AO28" s="387"/>
      <c r="AP28" s="387"/>
      <c r="AQ28" s="405"/>
      <c r="AR28" s="578">
        <v>0</v>
      </c>
      <c r="AS28" s="405">
        <v>21.7</v>
      </c>
      <c r="AT28" s="578">
        <v>0</v>
      </c>
      <c r="AU28" s="405">
        <v>20.399999999999999</v>
      </c>
      <c r="AV28" s="644">
        <v>363.2</v>
      </c>
      <c r="AW28" s="644">
        <v>610.20000000000005</v>
      </c>
      <c r="AX28" s="405">
        <v>0</v>
      </c>
      <c r="AY28" s="578">
        <v>0</v>
      </c>
      <c r="AZ28" s="578">
        <v>0</v>
      </c>
      <c r="BA28" s="578">
        <v>0</v>
      </c>
      <c r="BB28" s="924">
        <v>1</v>
      </c>
      <c r="BC28" s="405">
        <v>0</v>
      </c>
      <c r="BD28" s="405">
        <v>1.5</v>
      </c>
      <c r="BE28" s="578">
        <v>0</v>
      </c>
      <c r="BF28" s="405">
        <v>1</v>
      </c>
      <c r="BG28" s="405">
        <v>0</v>
      </c>
      <c r="BH28" s="578">
        <v>0</v>
      </c>
      <c r="BI28" s="405">
        <v>0</v>
      </c>
      <c r="BJ28" s="405">
        <v>21.7</v>
      </c>
      <c r="BK28" s="405">
        <v>2.89</v>
      </c>
      <c r="BL28" s="405">
        <v>2.6</v>
      </c>
      <c r="BM28" s="405">
        <v>0</v>
      </c>
      <c r="BN28" s="405">
        <v>15.1</v>
      </c>
      <c r="BO28" s="648">
        <v>997.1</v>
      </c>
      <c r="BP28" s="648">
        <v>0</v>
      </c>
      <c r="BQ28" s="649">
        <v>19.420000000000002</v>
      </c>
      <c r="BR28" s="649">
        <v>19.38</v>
      </c>
      <c r="BS28" s="649">
        <v>8.35</v>
      </c>
      <c r="BT28" s="649">
        <v>8.4830000000000005</v>
      </c>
      <c r="BU28" s="648">
        <v>18.8</v>
      </c>
      <c r="BV28" s="648">
        <v>24.1</v>
      </c>
      <c r="BW28" s="649">
        <v>526.6</v>
      </c>
      <c r="BX28" s="876"/>
      <c r="BY28" s="649">
        <v>0.26</v>
      </c>
      <c r="BZ28" s="649">
        <v>1.45</v>
      </c>
      <c r="CA28" s="649">
        <v>1.3</v>
      </c>
      <c r="CB28" s="649">
        <v>8.5</v>
      </c>
      <c r="CC28" s="649">
        <v>7.9</v>
      </c>
      <c r="CD28" s="649">
        <v>15.5</v>
      </c>
      <c r="CE28" s="649">
        <v>33.1</v>
      </c>
      <c r="CF28" s="649">
        <v>13.6</v>
      </c>
      <c r="CG28" s="649">
        <v>5.9</v>
      </c>
      <c r="CH28" s="649">
        <v>11.1</v>
      </c>
      <c r="CI28" s="649">
        <v>15.1</v>
      </c>
      <c r="CJ28" s="649">
        <v>13.98</v>
      </c>
      <c r="CK28" s="649">
        <v>0</v>
      </c>
      <c r="CL28" s="649">
        <v>2.9</v>
      </c>
      <c r="CM28" s="649">
        <v>4.3</v>
      </c>
      <c r="CN28" s="649">
        <v>334.2</v>
      </c>
      <c r="CO28" s="649">
        <v>335.6</v>
      </c>
      <c r="CP28" s="649">
        <v>465.9</v>
      </c>
      <c r="CQ28" s="649">
        <v>14.3</v>
      </c>
      <c r="CR28" s="649">
        <v>2.2999999999999998</v>
      </c>
      <c r="CS28" s="405">
        <v>5631.1</v>
      </c>
      <c r="CT28" s="405">
        <v>18.788</v>
      </c>
      <c r="CU28" s="405">
        <v>48</v>
      </c>
      <c r="CV28" s="522">
        <v>0</v>
      </c>
      <c r="CW28" s="522">
        <v>0</v>
      </c>
      <c r="CX28" s="522">
        <v>0</v>
      </c>
      <c r="CY28" s="522">
        <v>0</v>
      </c>
      <c r="CZ28" s="689">
        <v>3110</v>
      </c>
      <c r="DA28" s="689">
        <v>4030</v>
      </c>
      <c r="DB28" s="689">
        <v>2960</v>
      </c>
      <c r="DC28" s="643">
        <v>1086.7</v>
      </c>
      <c r="DD28" s="522"/>
      <c r="DE28" s="522"/>
      <c r="DF28" s="522"/>
      <c r="DG28" s="522"/>
      <c r="DH28" s="522"/>
      <c r="DI28" s="522"/>
      <c r="DJ28" s="522"/>
      <c r="DK28" s="522"/>
      <c r="DL28" s="649"/>
      <c r="DM28" s="689"/>
      <c r="DN28" s="649"/>
      <c r="DO28" s="522"/>
      <c r="DP28" s="522"/>
      <c r="DQ28" s="522"/>
      <c r="DR28" s="522"/>
      <c r="DS28" s="522"/>
      <c r="DT28" s="522"/>
      <c r="DU28" s="522"/>
      <c r="DV28" s="522"/>
      <c r="DW28" s="522"/>
      <c r="DX28" s="522"/>
      <c r="DY28" s="522"/>
      <c r="DZ28" s="522"/>
      <c r="EA28" s="522"/>
      <c r="EB28" s="522"/>
      <c r="EC28" s="522"/>
      <c r="ED28" s="522"/>
      <c r="EE28" s="522"/>
      <c r="EF28" s="522"/>
      <c r="EG28" s="645">
        <f t="shared" si="4"/>
        <v>12.360529999999999</v>
      </c>
      <c r="EH28" s="361">
        <v>0</v>
      </c>
      <c r="EI28" s="647">
        <v>0</v>
      </c>
      <c r="EJ28" s="647">
        <v>2.5</v>
      </c>
      <c r="EK28" s="647">
        <f t="shared" si="5"/>
        <v>5.49</v>
      </c>
      <c r="EL28" s="522"/>
      <c r="EM28" s="522"/>
      <c r="EN28" s="522"/>
      <c r="EO28" s="522"/>
      <c r="EP28" s="522"/>
      <c r="EQ28" s="522"/>
      <c r="ER28" s="522"/>
      <c r="ES28" s="407"/>
      <c r="ET28" s="407"/>
    </row>
    <row r="29" spans="1:150" s="357" customFormat="1" ht="15">
      <c r="A29" s="675" t="s">
        <v>7</v>
      </c>
      <c r="B29" s="712">
        <v>41655</v>
      </c>
      <c r="C29" s="713">
        <v>0</v>
      </c>
      <c r="D29" s="681">
        <v>0</v>
      </c>
      <c r="E29" s="681">
        <v>0</v>
      </c>
      <c r="F29" s="681">
        <v>31</v>
      </c>
      <c r="G29" s="807">
        <v>2.5499999999999998</v>
      </c>
      <c r="H29" s="807" t="s">
        <v>744</v>
      </c>
      <c r="I29" s="807">
        <v>0</v>
      </c>
      <c r="J29" s="807">
        <v>0.09</v>
      </c>
      <c r="K29" s="807" t="s">
        <v>744</v>
      </c>
      <c r="L29" s="821">
        <f t="shared" si="6"/>
        <v>43.91</v>
      </c>
      <c r="M29" s="807">
        <v>18.5</v>
      </c>
      <c r="N29" s="807">
        <v>1.5</v>
      </c>
      <c r="O29" s="807">
        <v>1.6737470868222792</v>
      </c>
      <c r="P29" s="807" t="s">
        <v>744</v>
      </c>
      <c r="Q29" s="807">
        <v>0</v>
      </c>
      <c r="R29" s="865">
        <v>625.78424306472914</v>
      </c>
      <c r="S29" s="807">
        <v>7.99</v>
      </c>
      <c r="T29" s="807" t="s">
        <v>744</v>
      </c>
      <c r="U29" s="807">
        <v>0.7</v>
      </c>
      <c r="V29" s="807" t="s">
        <v>744</v>
      </c>
      <c r="W29" s="807">
        <v>44.239999999999995</v>
      </c>
      <c r="X29" s="690">
        <v>32</v>
      </c>
      <c r="Y29" s="807">
        <v>19.8</v>
      </c>
      <c r="Z29" s="807">
        <v>24.1</v>
      </c>
      <c r="AA29" s="794">
        <v>19.899999999999999</v>
      </c>
      <c r="AB29" s="794">
        <v>24.01</v>
      </c>
      <c r="AC29" s="775">
        <f t="shared" ref="AC29" si="9">AA29+AB29</f>
        <v>43.91</v>
      </c>
      <c r="AD29" s="775">
        <f t="shared" ref="AD29" si="10">AC29*1.547</f>
        <v>67.928769999999986</v>
      </c>
      <c r="AE29" s="775"/>
      <c r="AF29" s="567"/>
      <c r="AG29" s="2">
        <v>1</v>
      </c>
      <c r="AH29" s="362"/>
      <c r="AI29" s="362"/>
      <c r="AJ29" s="2"/>
      <c r="AK29" s="407"/>
      <c r="AL29" s="407"/>
      <c r="AM29" s="407"/>
      <c r="AN29" s="407"/>
      <c r="AO29" s="387"/>
      <c r="AP29" s="387"/>
      <c r="AQ29" s="405"/>
      <c r="AR29" s="578">
        <v>0</v>
      </c>
      <c r="AS29" s="405">
        <v>10.7</v>
      </c>
      <c r="AT29" s="578">
        <v>0</v>
      </c>
      <c r="AU29" s="405">
        <v>20.5</v>
      </c>
      <c r="AV29" s="644">
        <v>421.8</v>
      </c>
      <c r="AW29" s="644">
        <v>523.29999999999995</v>
      </c>
      <c r="AX29" s="405">
        <v>0</v>
      </c>
      <c r="AY29" s="578">
        <v>0</v>
      </c>
      <c r="AZ29" s="578">
        <v>0</v>
      </c>
      <c r="BA29" s="578">
        <v>0</v>
      </c>
      <c r="BB29" s="1086">
        <v>0.995</v>
      </c>
      <c r="BC29" s="405">
        <v>0</v>
      </c>
      <c r="BD29" s="405">
        <v>1.5</v>
      </c>
      <c r="BE29" s="578">
        <v>0</v>
      </c>
      <c r="BF29" s="405">
        <v>1</v>
      </c>
      <c r="BG29" s="405">
        <v>0</v>
      </c>
      <c r="BH29" s="578">
        <v>0</v>
      </c>
      <c r="BI29" s="405">
        <v>0</v>
      </c>
      <c r="BJ29" s="405">
        <v>21.7</v>
      </c>
      <c r="BK29" s="405">
        <v>2.91</v>
      </c>
      <c r="BL29" s="405">
        <v>2.6</v>
      </c>
      <c r="BM29" s="405">
        <v>0</v>
      </c>
      <c r="BN29" s="405">
        <v>15.1</v>
      </c>
      <c r="BO29" s="648">
        <v>974.9</v>
      </c>
      <c r="BP29" s="648">
        <v>0</v>
      </c>
      <c r="BQ29" s="649">
        <v>19.600000000000001</v>
      </c>
      <c r="BR29" s="649">
        <v>19.600000000000001</v>
      </c>
      <c r="BS29" s="649">
        <v>8.41</v>
      </c>
      <c r="BT29" s="649">
        <v>8.5</v>
      </c>
      <c r="BU29" s="648">
        <v>18.899999999999999</v>
      </c>
      <c r="BV29" s="648">
        <v>18.8</v>
      </c>
      <c r="BW29" s="649">
        <v>616.4</v>
      </c>
      <c r="BX29" s="876"/>
      <c r="BY29" s="649">
        <v>0.15</v>
      </c>
      <c r="BZ29" s="649">
        <v>1.39</v>
      </c>
      <c r="CA29" s="649">
        <v>1.3</v>
      </c>
      <c r="CB29" s="649">
        <v>8.5</v>
      </c>
      <c r="CC29" s="649">
        <v>7.9</v>
      </c>
      <c r="CD29" s="649">
        <v>14.8</v>
      </c>
      <c r="CE29" s="649">
        <v>33.6</v>
      </c>
      <c r="CF29" s="649">
        <v>13.2</v>
      </c>
      <c r="CG29" s="649">
        <v>5.9</v>
      </c>
      <c r="CH29" s="649">
        <v>11</v>
      </c>
      <c r="CI29" s="649">
        <v>15.1</v>
      </c>
      <c r="CJ29" s="649">
        <v>13.2</v>
      </c>
      <c r="CK29" s="649">
        <v>0</v>
      </c>
      <c r="CL29" s="649">
        <v>2.9</v>
      </c>
      <c r="CM29" s="649">
        <v>4.8</v>
      </c>
      <c r="CN29" s="649">
        <v>516.70000000000005</v>
      </c>
      <c r="CO29" s="649">
        <v>322.2</v>
      </c>
      <c r="CP29" s="649">
        <v>461.3</v>
      </c>
      <c r="CQ29" s="649">
        <v>14.6</v>
      </c>
      <c r="CR29" s="649">
        <v>2.16</v>
      </c>
      <c r="CS29" s="405">
        <v>9100.7999999999993</v>
      </c>
      <c r="CT29" s="405">
        <v>19.414000000000001</v>
      </c>
      <c r="CU29" s="405">
        <v>49</v>
      </c>
      <c r="CV29" s="522">
        <v>0</v>
      </c>
      <c r="CW29" s="522">
        <v>0</v>
      </c>
      <c r="CX29" s="522">
        <v>0</v>
      </c>
      <c r="CY29" s="522">
        <v>0</v>
      </c>
      <c r="CZ29" s="689">
        <v>2120</v>
      </c>
      <c r="DA29" s="689">
        <v>2850</v>
      </c>
      <c r="DB29" s="689">
        <v>2040</v>
      </c>
      <c r="DC29" s="643">
        <v>1081.74</v>
      </c>
      <c r="DD29" s="522"/>
      <c r="DE29" s="522"/>
      <c r="DF29" s="522"/>
      <c r="DG29" s="522"/>
      <c r="DH29" s="522"/>
      <c r="DI29" s="522"/>
      <c r="DJ29" s="522"/>
      <c r="DK29" s="522"/>
      <c r="DL29" s="649"/>
      <c r="DM29" s="689"/>
      <c r="DN29" s="649"/>
      <c r="DO29" s="522"/>
      <c r="DP29" s="522"/>
      <c r="DQ29" s="522"/>
      <c r="DR29" s="522"/>
      <c r="DS29" s="522"/>
      <c r="DT29" s="522"/>
      <c r="DU29" s="522"/>
      <c r="DV29" s="522"/>
      <c r="DW29" s="522"/>
      <c r="DX29" s="522"/>
      <c r="DY29" s="522"/>
      <c r="DZ29" s="522"/>
      <c r="EA29" s="522"/>
      <c r="EB29" s="522"/>
      <c r="EC29" s="522"/>
      <c r="ED29" s="522"/>
      <c r="EE29" s="522"/>
      <c r="EF29" s="522"/>
      <c r="EG29" s="645">
        <f t="shared" si="4"/>
        <v>12.39147</v>
      </c>
      <c r="EH29" s="361">
        <v>0</v>
      </c>
      <c r="EI29" s="647">
        <v>0</v>
      </c>
      <c r="EJ29" s="647">
        <v>2.5</v>
      </c>
      <c r="EK29" s="647">
        <f t="shared" si="5"/>
        <v>5.51</v>
      </c>
      <c r="EL29" s="522"/>
      <c r="EM29" s="522"/>
      <c r="EN29" s="522"/>
      <c r="EO29" s="522"/>
      <c r="EP29" s="522"/>
      <c r="EQ29" s="522"/>
      <c r="ER29" s="522"/>
      <c r="ES29" s="407"/>
      <c r="ET29" s="407"/>
    </row>
    <row r="30" spans="1:150" s="357" customFormat="1" ht="15">
      <c r="A30" s="675" t="s">
        <v>8</v>
      </c>
      <c r="B30" s="712">
        <v>41656</v>
      </c>
      <c r="C30" s="713">
        <v>0</v>
      </c>
      <c r="D30" s="681">
        <v>0.01</v>
      </c>
      <c r="E30" s="681">
        <v>0</v>
      </c>
      <c r="F30" s="681">
        <v>45</v>
      </c>
      <c r="G30" s="807">
        <v>1.5</v>
      </c>
      <c r="H30" s="807" t="s">
        <v>744</v>
      </c>
      <c r="I30" s="807">
        <v>0</v>
      </c>
      <c r="J30" s="807">
        <v>7.0000000000000007E-2</v>
      </c>
      <c r="K30" s="807" t="s">
        <v>744</v>
      </c>
      <c r="L30" s="821">
        <f t="shared" si="6"/>
        <v>43.69</v>
      </c>
      <c r="M30" s="807">
        <v>18.8</v>
      </c>
      <c r="N30" s="807">
        <v>1.51</v>
      </c>
      <c r="O30" s="807">
        <v>1.6243391600313102</v>
      </c>
      <c r="P30" s="807" t="s">
        <v>744</v>
      </c>
      <c r="Q30" s="807" t="s">
        <v>743</v>
      </c>
      <c r="R30" s="865">
        <v>595.6610885072655</v>
      </c>
      <c r="S30" s="807">
        <v>7.97</v>
      </c>
      <c r="T30" s="807" t="s">
        <v>744</v>
      </c>
      <c r="U30" s="807">
        <v>0.7</v>
      </c>
      <c r="V30" s="807" t="s">
        <v>744</v>
      </c>
      <c r="W30" s="807">
        <v>44.239999999999995</v>
      </c>
      <c r="X30" s="690">
        <v>32</v>
      </c>
      <c r="Y30" s="807">
        <v>19.899999999999999</v>
      </c>
      <c r="Z30" s="807">
        <v>24.01</v>
      </c>
      <c r="AA30" s="794">
        <v>19.600000000000001</v>
      </c>
      <c r="AB30" s="794">
        <v>24.09</v>
      </c>
      <c r="AC30" s="775">
        <f t="shared" ref="AC30:AC33" si="11">AA30+AB30</f>
        <v>43.69</v>
      </c>
      <c r="AD30" s="775">
        <f t="shared" ref="AD30:AD33" si="12">AC30*1.547</f>
        <v>67.588429999999988</v>
      </c>
      <c r="AE30" s="775"/>
      <c r="AF30" s="567"/>
      <c r="AG30" s="2">
        <v>1</v>
      </c>
      <c r="AH30" s="362"/>
      <c r="AI30" s="362"/>
      <c r="AJ30" s="2"/>
      <c r="AK30" s="407"/>
      <c r="AL30" s="407"/>
      <c r="AM30" s="407"/>
      <c r="AN30" s="407"/>
      <c r="AO30" s="387"/>
      <c r="AP30" s="387"/>
      <c r="AQ30" s="405"/>
      <c r="AR30" s="578">
        <v>0</v>
      </c>
      <c r="AS30" s="405">
        <v>20.8</v>
      </c>
      <c r="AT30" s="578">
        <v>0</v>
      </c>
      <c r="AU30" s="405">
        <v>20.399999999999999</v>
      </c>
      <c r="AV30" s="644">
        <v>273.8</v>
      </c>
      <c r="AW30" s="644">
        <v>775</v>
      </c>
      <c r="AX30" s="405">
        <v>0</v>
      </c>
      <c r="AY30" s="578">
        <v>0</v>
      </c>
      <c r="AZ30" s="578">
        <v>0</v>
      </c>
      <c r="BA30" s="578">
        <v>0</v>
      </c>
      <c r="BB30" s="924">
        <v>1</v>
      </c>
      <c r="BC30" s="405">
        <v>0</v>
      </c>
      <c r="BD30" s="405">
        <v>1.5</v>
      </c>
      <c r="BE30" s="578">
        <v>0</v>
      </c>
      <c r="BF30" s="405">
        <v>1</v>
      </c>
      <c r="BG30" s="405">
        <v>0</v>
      </c>
      <c r="BH30" s="578">
        <v>0</v>
      </c>
      <c r="BI30" s="405">
        <v>0</v>
      </c>
      <c r="BJ30" s="405">
        <v>21.7</v>
      </c>
      <c r="BK30" s="405">
        <v>2.92</v>
      </c>
      <c r="BL30" s="405">
        <v>2.6</v>
      </c>
      <c r="BM30" s="405">
        <v>0</v>
      </c>
      <c r="BN30" s="405">
        <v>15.1</v>
      </c>
      <c r="BO30" s="648">
        <v>1020.6</v>
      </c>
      <c r="BP30" s="648">
        <v>0</v>
      </c>
      <c r="BQ30" s="649">
        <v>19.600000000000001</v>
      </c>
      <c r="BR30" s="649">
        <v>19.7</v>
      </c>
      <c r="BS30" s="649">
        <v>8.3000000000000007</v>
      </c>
      <c r="BT30" s="649">
        <v>8.4</v>
      </c>
      <c r="BU30" s="648">
        <v>18.7</v>
      </c>
      <c r="BV30" s="648">
        <v>19</v>
      </c>
      <c r="BW30" s="649">
        <v>472.8</v>
      </c>
      <c r="BX30" s="876"/>
      <c r="BY30" s="649">
        <v>0.99</v>
      </c>
      <c r="BZ30" s="649">
        <v>1.36</v>
      </c>
      <c r="CA30" s="649">
        <v>1.3</v>
      </c>
      <c r="CB30" s="649">
        <v>8.6</v>
      </c>
      <c r="CC30" s="649">
        <v>7.8</v>
      </c>
      <c r="CD30" s="649">
        <v>15.4</v>
      </c>
      <c r="CE30" s="649">
        <v>33.5</v>
      </c>
      <c r="CF30" s="649">
        <v>12.8</v>
      </c>
      <c r="CG30" s="649">
        <v>6</v>
      </c>
      <c r="CH30" s="649">
        <v>11.2</v>
      </c>
      <c r="CI30" s="649">
        <v>15.2</v>
      </c>
      <c r="CJ30" s="649">
        <v>13.1</v>
      </c>
      <c r="CK30" s="649">
        <v>0</v>
      </c>
      <c r="CL30" s="649">
        <v>3.5</v>
      </c>
      <c r="CM30" s="649">
        <v>4.7</v>
      </c>
      <c r="CN30" s="649">
        <v>554</v>
      </c>
      <c r="CO30" s="649">
        <v>302.89999999999998</v>
      </c>
      <c r="CP30" s="649">
        <v>453.6</v>
      </c>
      <c r="CQ30" s="649">
        <v>14.5</v>
      </c>
      <c r="CR30" s="649">
        <v>2.0099999999999998</v>
      </c>
      <c r="CS30" s="405">
        <v>9607</v>
      </c>
      <c r="CT30" s="405">
        <v>19.422999999999998</v>
      </c>
      <c r="CU30" s="405">
        <v>49</v>
      </c>
      <c r="CV30" s="522">
        <v>0</v>
      </c>
      <c r="CW30" s="522">
        <v>0</v>
      </c>
      <c r="CX30" s="522">
        <v>0</v>
      </c>
      <c r="CY30" s="522">
        <v>0</v>
      </c>
      <c r="CZ30" s="689">
        <v>1500</v>
      </c>
      <c r="DA30" s="689">
        <v>2080</v>
      </c>
      <c r="DB30" s="689">
        <v>1390</v>
      </c>
      <c r="DC30" s="643">
        <v>1081.8</v>
      </c>
      <c r="DD30" s="522"/>
      <c r="DE30" s="522"/>
      <c r="DF30" s="522"/>
      <c r="DG30" s="522"/>
      <c r="DH30" s="522"/>
      <c r="DI30" s="522"/>
      <c r="DJ30" s="522"/>
      <c r="DK30" s="522"/>
      <c r="DL30" s="649"/>
      <c r="DM30" s="689"/>
      <c r="DN30" s="649"/>
      <c r="DO30" s="522"/>
      <c r="DP30" s="522"/>
      <c r="DQ30" s="522"/>
      <c r="DR30" s="522"/>
      <c r="DS30" s="522"/>
      <c r="DT30" s="522"/>
      <c r="DU30" s="522"/>
      <c r="DV30" s="522"/>
      <c r="DW30" s="522"/>
      <c r="DX30" s="522"/>
      <c r="DY30" s="522"/>
      <c r="DZ30" s="522"/>
      <c r="EA30" s="522"/>
      <c r="EB30" s="522"/>
      <c r="EC30" s="522"/>
      <c r="ED30" s="522"/>
      <c r="EE30" s="522"/>
      <c r="EF30" s="522"/>
      <c r="EG30" s="645">
        <f t="shared" si="4"/>
        <v>12.406939999999999</v>
      </c>
      <c r="EH30" s="361">
        <v>0</v>
      </c>
      <c r="EI30" s="647">
        <v>0</v>
      </c>
      <c r="EJ30" s="647">
        <v>2.5</v>
      </c>
      <c r="EK30" s="647">
        <f t="shared" si="5"/>
        <v>5.52</v>
      </c>
      <c r="EL30" s="522"/>
      <c r="EM30" s="522"/>
      <c r="EN30" s="522"/>
      <c r="EO30" s="522"/>
      <c r="EP30" s="522"/>
      <c r="EQ30" s="522"/>
      <c r="ER30" s="522"/>
      <c r="ES30" s="407"/>
      <c r="ET30" s="407"/>
    </row>
    <row r="31" spans="1:150" s="357" customFormat="1" ht="15">
      <c r="A31" s="675" t="s">
        <v>9</v>
      </c>
      <c r="B31" s="712">
        <v>41657</v>
      </c>
      <c r="C31" s="713">
        <v>0</v>
      </c>
      <c r="D31" s="681">
        <v>0</v>
      </c>
      <c r="E31" s="681">
        <v>0</v>
      </c>
      <c r="F31" s="681">
        <v>36</v>
      </c>
      <c r="G31" s="807">
        <v>1.5</v>
      </c>
      <c r="H31" s="807" t="s">
        <v>744</v>
      </c>
      <c r="I31" s="807">
        <v>85</v>
      </c>
      <c r="J31" s="807">
        <v>0.1</v>
      </c>
      <c r="K31" s="807" t="s">
        <v>744</v>
      </c>
      <c r="L31" s="821">
        <f t="shared" si="6"/>
        <v>43.69</v>
      </c>
      <c r="M31" s="807">
        <v>18.100000000000001</v>
      </c>
      <c r="N31" s="807">
        <v>1.51</v>
      </c>
      <c r="O31" s="807">
        <v>1.6269292224735323</v>
      </c>
      <c r="P31" s="807" t="s">
        <v>744</v>
      </c>
      <c r="Q31" s="807" t="s">
        <v>743</v>
      </c>
      <c r="R31" s="865">
        <v>595.6610885072655</v>
      </c>
      <c r="S31" s="807">
        <v>7.95</v>
      </c>
      <c r="T31" s="807" t="s">
        <v>744</v>
      </c>
      <c r="U31" s="807">
        <v>0.7</v>
      </c>
      <c r="V31" s="807" t="s">
        <v>744</v>
      </c>
      <c r="W31" s="807">
        <v>44.239999999999995</v>
      </c>
      <c r="X31" s="690">
        <v>32</v>
      </c>
      <c r="Y31" s="807">
        <v>19.600000000000001</v>
      </c>
      <c r="Z31" s="807">
        <v>24.09</v>
      </c>
      <c r="AA31" s="794">
        <v>19.600000000000001</v>
      </c>
      <c r="AB31" s="794">
        <v>24.09</v>
      </c>
      <c r="AC31" s="775">
        <f t="shared" si="11"/>
        <v>43.69</v>
      </c>
      <c r="AD31" s="775">
        <f t="shared" si="12"/>
        <v>67.588429999999988</v>
      </c>
      <c r="AE31" s="775"/>
      <c r="AF31" s="567"/>
      <c r="AG31" s="2">
        <v>1</v>
      </c>
      <c r="AH31" s="362"/>
      <c r="AI31" s="362"/>
      <c r="AJ31" s="2"/>
      <c r="AK31" s="407"/>
      <c r="AL31" s="407"/>
      <c r="AM31" s="407"/>
      <c r="AN31" s="407"/>
      <c r="AO31" s="387"/>
      <c r="AP31" s="387"/>
      <c r="AQ31" s="405"/>
      <c r="AR31" s="578">
        <v>0</v>
      </c>
      <c r="AS31" s="405">
        <v>11.9</v>
      </c>
      <c r="AT31" s="578">
        <v>0</v>
      </c>
      <c r="AU31" s="405">
        <v>20.100000000000001</v>
      </c>
      <c r="AV31" s="644">
        <v>278.10000000000002</v>
      </c>
      <c r="AW31" s="644">
        <v>340.2</v>
      </c>
      <c r="AX31" s="405">
        <v>0</v>
      </c>
      <c r="AY31" s="578">
        <v>0</v>
      </c>
      <c r="AZ31" s="578">
        <v>0</v>
      </c>
      <c r="BA31" s="578">
        <v>0</v>
      </c>
      <c r="BB31" s="924">
        <v>1</v>
      </c>
      <c r="BC31" s="405">
        <v>0</v>
      </c>
      <c r="BD31" s="405">
        <v>1.49</v>
      </c>
      <c r="BE31" s="578">
        <v>0</v>
      </c>
      <c r="BF31" s="405">
        <v>1</v>
      </c>
      <c r="BG31" s="405">
        <v>0</v>
      </c>
      <c r="BH31" s="578">
        <v>0</v>
      </c>
      <c r="BI31" s="405">
        <v>0</v>
      </c>
      <c r="BJ31" s="405">
        <v>21.7</v>
      </c>
      <c r="BK31" s="405">
        <v>2.92</v>
      </c>
      <c r="BL31" s="405">
        <v>2.6</v>
      </c>
      <c r="BM31" s="405">
        <v>0</v>
      </c>
      <c r="BN31" s="405">
        <v>15.1</v>
      </c>
      <c r="BO31" s="648">
        <v>1237.4000000000001</v>
      </c>
      <c r="BP31" s="648">
        <v>0</v>
      </c>
      <c r="BQ31" s="649">
        <v>19.54</v>
      </c>
      <c r="BR31" s="649">
        <v>19.600000000000001</v>
      </c>
      <c r="BS31" s="649">
        <v>8.4499999999999993</v>
      </c>
      <c r="BT31" s="649">
        <v>8.5399999999999991</v>
      </c>
      <c r="BU31" s="648">
        <v>19</v>
      </c>
      <c r="BV31" s="648">
        <v>19.8</v>
      </c>
      <c r="BW31" s="649">
        <v>379.9</v>
      </c>
      <c r="BX31" s="876"/>
      <c r="BY31" s="649">
        <v>0.15</v>
      </c>
      <c r="BZ31" s="649">
        <v>1.37</v>
      </c>
      <c r="CA31" s="649">
        <v>1.3</v>
      </c>
      <c r="CB31" s="649">
        <v>8.6</v>
      </c>
      <c r="CC31" s="649">
        <v>7.8</v>
      </c>
      <c r="CD31" s="649">
        <v>15.4</v>
      </c>
      <c r="CE31" s="649">
        <v>33.5</v>
      </c>
      <c r="CF31" s="649">
        <v>12.2</v>
      </c>
      <c r="CG31" s="649">
        <v>6.7</v>
      </c>
      <c r="CH31" s="649">
        <v>12</v>
      </c>
      <c r="CI31" s="649">
        <v>16.100000000000001</v>
      </c>
      <c r="CJ31" s="649">
        <v>13.2</v>
      </c>
      <c r="CK31" s="649">
        <v>0</v>
      </c>
      <c r="CL31" s="649">
        <v>3.5</v>
      </c>
      <c r="CM31" s="649">
        <v>5.2</v>
      </c>
      <c r="CN31" s="649">
        <v>589.29999999999995</v>
      </c>
      <c r="CO31" s="649">
        <v>343</v>
      </c>
      <c r="CP31" s="649">
        <v>437.1</v>
      </c>
      <c r="CQ31" s="649">
        <v>13.7</v>
      </c>
      <c r="CR31" s="649">
        <v>1.6</v>
      </c>
      <c r="CS31" s="405">
        <v>9537.2000000000007</v>
      </c>
      <c r="CT31" s="405">
        <v>19.654</v>
      </c>
      <c r="CU31" s="405">
        <v>49</v>
      </c>
      <c r="CV31" s="522">
        <v>0</v>
      </c>
      <c r="CW31" s="522">
        <v>0</v>
      </c>
      <c r="CX31" s="522">
        <v>0</v>
      </c>
      <c r="CY31" s="522">
        <v>0</v>
      </c>
      <c r="CZ31" s="689">
        <v>1500</v>
      </c>
      <c r="DA31" s="689">
        <v>2020</v>
      </c>
      <c r="DB31" s="689">
        <v>1380</v>
      </c>
      <c r="DC31" s="643">
        <v>1082.2</v>
      </c>
      <c r="DD31" s="522"/>
      <c r="DE31" s="522"/>
      <c r="DF31" s="522"/>
      <c r="DG31" s="522"/>
      <c r="DH31" s="522"/>
      <c r="DI31" s="522"/>
      <c r="DJ31" s="522"/>
      <c r="DK31" s="522"/>
      <c r="DL31" s="649"/>
      <c r="DM31" s="689"/>
      <c r="DN31" s="649"/>
      <c r="DO31" s="522"/>
      <c r="DP31" s="522"/>
      <c r="DQ31" s="522"/>
      <c r="DR31" s="522"/>
      <c r="DS31" s="522"/>
      <c r="DT31" s="522"/>
      <c r="DU31" s="522"/>
      <c r="DV31" s="522"/>
      <c r="DW31" s="522"/>
      <c r="DX31" s="522"/>
      <c r="DY31" s="522"/>
      <c r="DZ31" s="522"/>
      <c r="EA31" s="522"/>
      <c r="EB31" s="522"/>
      <c r="EC31" s="522"/>
      <c r="ED31" s="522"/>
      <c r="EE31" s="522"/>
      <c r="EF31" s="522"/>
      <c r="EG31" s="645">
        <f t="shared" si="4"/>
        <v>12.406939999999999</v>
      </c>
      <c r="EH31" s="361">
        <v>0</v>
      </c>
      <c r="EI31" s="647">
        <v>0</v>
      </c>
      <c r="EJ31" s="647">
        <v>2.5</v>
      </c>
      <c r="EK31" s="647">
        <f t="shared" si="5"/>
        <v>5.52</v>
      </c>
      <c r="EL31" s="522"/>
      <c r="EM31" s="522"/>
      <c r="EN31" s="522"/>
      <c r="EO31" s="522"/>
      <c r="EP31" s="522"/>
      <c r="EQ31" s="522"/>
      <c r="ER31" s="522"/>
      <c r="ES31" s="407"/>
      <c r="ET31" s="407"/>
    </row>
    <row r="32" spans="1:150" s="357" customFormat="1" ht="15">
      <c r="A32" s="675" t="s">
        <v>3</v>
      </c>
      <c r="B32" s="712">
        <v>41658</v>
      </c>
      <c r="C32" s="713">
        <v>0</v>
      </c>
      <c r="D32" s="681">
        <v>0</v>
      </c>
      <c r="E32" s="681">
        <v>0</v>
      </c>
      <c r="F32" s="681">
        <v>36</v>
      </c>
      <c r="G32" s="807">
        <v>1.4</v>
      </c>
      <c r="H32" s="807" t="s">
        <v>744</v>
      </c>
      <c r="I32" s="807">
        <v>94.5</v>
      </c>
      <c r="J32" s="807">
        <v>0.11</v>
      </c>
      <c r="K32" s="807" t="s">
        <v>744</v>
      </c>
      <c r="L32" s="821">
        <f t="shared" si="6"/>
        <v>43.58</v>
      </c>
      <c r="M32" s="807">
        <v>17.2</v>
      </c>
      <c r="N32" s="807">
        <v>1.44</v>
      </c>
      <c r="O32" s="807">
        <v>1.5940114487008021</v>
      </c>
      <c r="P32" s="807" t="s">
        <v>744</v>
      </c>
      <c r="Q32" s="807" t="s">
        <v>743</v>
      </c>
      <c r="R32" s="865">
        <v>586.26784676354021</v>
      </c>
      <c r="S32" s="807">
        <v>7.8</v>
      </c>
      <c r="T32" s="807" t="s">
        <v>744</v>
      </c>
      <c r="U32" s="807">
        <v>0.76</v>
      </c>
      <c r="V32" s="807" t="s">
        <v>744</v>
      </c>
      <c r="W32" s="807">
        <v>44.239999999999995</v>
      </c>
      <c r="X32" s="690">
        <v>32</v>
      </c>
      <c r="Y32" s="807">
        <v>19.600000000000001</v>
      </c>
      <c r="Z32" s="807">
        <v>24.09</v>
      </c>
      <c r="AA32" s="794">
        <v>19.48</v>
      </c>
      <c r="AB32" s="794">
        <v>24.1</v>
      </c>
      <c r="AC32" s="775">
        <f t="shared" si="11"/>
        <v>43.58</v>
      </c>
      <c r="AD32" s="775">
        <f t="shared" si="12"/>
        <v>67.418259999999989</v>
      </c>
      <c r="AE32" s="775"/>
      <c r="AF32" s="567"/>
      <c r="AG32" s="2">
        <v>1</v>
      </c>
      <c r="AH32" s="362"/>
      <c r="AI32" s="362"/>
      <c r="AJ32" s="2"/>
      <c r="AK32" s="407"/>
      <c r="AL32" s="407"/>
      <c r="AM32" s="407"/>
      <c r="AN32" s="407"/>
      <c r="AO32" s="387"/>
      <c r="AP32" s="387"/>
      <c r="AQ32" s="405"/>
      <c r="AR32" s="578">
        <v>0</v>
      </c>
      <c r="AS32" s="405">
        <v>22.2</v>
      </c>
      <c r="AT32" s="578">
        <v>0</v>
      </c>
      <c r="AU32" s="405">
        <v>20.100000000000001</v>
      </c>
      <c r="AV32" s="644">
        <v>298.60000000000002</v>
      </c>
      <c r="AW32" s="644">
        <v>423.9</v>
      </c>
      <c r="AX32" s="405">
        <v>0</v>
      </c>
      <c r="AY32" s="578">
        <v>0</v>
      </c>
      <c r="AZ32" s="578">
        <v>0</v>
      </c>
      <c r="BA32" s="578">
        <v>0</v>
      </c>
      <c r="BB32" s="924">
        <v>0</v>
      </c>
      <c r="BC32" s="405">
        <v>0</v>
      </c>
      <c r="BD32" s="405">
        <v>1.5</v>
      </c>
      <c r="BE32" s="578">
        <v>0</v>
      </c>
      <c r="BF32" s="405">
        <v>1</v>
      </c>
      <c r="BG32" s="405">
        <v>0</v>
      </c>
      <c r="BH32" s="578">
        <v>0</v>
      </c>
      <c r="BI32" s="405">
        <v>0</v>
      </c>
      <c r="BJ32" s="405">
        <v>21.7</v>
      </c>
      <c r="BK32" s="405">
        <v>2.91</v>
      </c>
      <c r="BL32" s="405">
        <v>2.6</v>
      </c>
      <c r="BM32" s="405">
        <v>0</v>
      </c>
      <c r="BN32" s="405">
        <v>15.1</v>
      </c>
      <c r="BO32" s="648">
        <v>1129.7</v>
      </c>
      <c r="BP32" s="648">
        <v>0</v>
      </c>
      <c r="BQ32" s="649">
        <v>20.100000000000001</v>
      </c>
      <c r="BR32" s="649">
        <v>20.100000000000001</v>
      </c>
      <c r="BS32" s="649">
        <v>8.35</v>
      </c>
      <c r="BT32" s="649">
        <v>8.43</v>
      </c>
      <c r="BU32" s="648">
        <v>18.8</v>
      </c>
      <c r="BV32" s="648">
        <v>17.7</v>
      </c>
      <c r="BW32" s="649">
        <v>485.9</v>
      </c>
      <c r="BX32" s="876"/>
      <c r="BY32" s="649">
        <v>0.13</v>
      </c>
      <c r="BZ32" s="649">
        <v>1.42</v>
      </c>
      <c r="CA32" s="649">
        <v>1.3</v>
      </c>
      <c r="CB32" s="649">
        <v>8.6</v>
      </c>
      <c r="CC32" s="649">
        <v>7.8</v>
      </c>
      <c r="CD32" s="649">
        <v>15.9</v>
      </c>
      <c r="CE32" s="649">
        <v>33.5</v>
      </c>
      <c r="CF32" s="649">
        <v>12.4</v>
      </c>
      <c r="CG32" s="649">
        <v>7.1</v>
      </c>
      <c r="CH32" s="649">
        <v>12.4</v>
      </c>
      <c r="CI32" s="649">
        <v>16.399999999999999</v>
      </c>
      <c r="CJ32" s="649">
        <v>13.5</v>
      </c>
      <c r="CK32" s="649">
        <v>0</v>
      </c>
      <c r="CL32" s="649">
        <v>3.2</v>
      </c>
      <c r="CM32" s="649">
        <v>4.2</v>
      </c>
      <c r="CN32" s="647">
        <v>581.1</v>
      </c>
      <c r="CO32" s="647">
        <v>322.60000000000002</v>
      </c>
      <c r="CP32" s="649">
        <v>429.2</v>
      </c>
      <c r="CQ32" s="649">
        <v>13.1</v>
      </c>
      <c r="CR32" s="649">
        <v>1.36</v>
      </c>
      <c r="CS32" s="405">
        <v>9512.6</v>
      </c>
      <c r="CT32" s="405">
        <v>18.276</v>
      </c>
      <c r="CU32" s="405">
        <v>49</v>
      </c>
      <c r="CV32" s="522">
        <v>0</v>
      </c>
      <c r="CW32" s="522">
        <v>0</v>
      </c>
      <c r="CX32" s="522">
        <v>0</v>
      </c>
      <c r="CY32" s="522">
        <v>0</v>
      </c>
      <c r="CZ32" s="689">
        <v>1470</v>
      </c>
      <c r="DA32" s="689">
        <v>1960</v>
      </c>
      <c r="DB32" s="689">
        <v>1340</v>
      </c>
      <c r="DC32" s="643">
        <v>1080.4000000000001</v>
      </c>
      <c r="DD32" s="522"/>
      <c r="DE32" s="522"/>
      <c r="DF32" s="522"/>
      <c r="DG32" s="522"/>
      <c r="DH32" s="522"/>
      <c r="DI32" s="522"/>
      <c r="DJ32" s="522"/>
      <c r="DK32" s="522"/>
      <c r="DL32" s="649"/>
      <c r="DM32" s="689"/>
      <c r="DN32" s="649"/>
      <c r="DO32" s="522"/>
      <c r="DP32" s="522"/>
      <c r="DQ32" s="522"/>
      <c r="DR32" s="522"/>
      <c r="DS32" s="522"/>
      <c r="DT32" s="522"/>
      <c r="DU32" s="522"/>
      <c r="DV32" s="522"/>
      <c r="DW32" s="522"/>
      <c r="DX32" s="522"/>
      <c r="DY32" s="522"/>
      <c r="DZ32" s="522"/>
      <c r="EA32" s="522"/>
      <c r="EB32" s="522"/>
      <c r="EC32" s="522"/>
      <c r="ED32" s="522"/>
      <c r="EE32" s="522"/>
      <c r="EF32" s="522"/>
      <c r="EG32" s="645">
        <f t="shared" si="4"/>
        <v>12.39147</v>
      </c>
      <c r="EH32" s="361">
        <v>0</v>
      </c>
      <c r="EI32" s="647">
        <v>0</v>
      </c>
      <c r="EJ32" s="647">
        <v>2.5</v>
      </c>
      <c r="EK32" s="647">
        <f t="shared" si="5"/>
        <v>5.51</v>
      </c>
      <c r="EL32" s="522"/>
      <c r="EM32" s="522"/>
      <c r="EN32" s="522"/>
      <c r="EO32" s="522"/>
      <c r="EP32" s="522"/>
      <c r="EQ32" s="522"/>
      <c r="ER32" s="522"/>
      <c r="ES32" s="407"/>
      <c r="ET32" s="407"/>
    </row>
    <row r="33" spans="1:150" s="357" customFormat="1" ht="15">
      <c r="A33" s="675" t="s">
        <v>4</v>
      </c>
      <c r="B33" s="712">
        <v>41659</v>
      </c>
      <c r="C33" s="713">
        <v>0</v>
      </c>
      <c r="D33" s="681">
        <v>0</v>
      </c>
      <c r="E33" s="681">
        <v>0</v>
      </c>
      <c r="F33" s="681">
        <v>47</v>
      </c>
      <c r="G33" s="807">
        <v>1.7</v>
      </c>
      <c r="H33" s="807" t="s">
        <v>744</v>
      </c>
      <c r="I33" s="807">
        <v>95.47</v>
      </c>
      <c r="J33" s="807">
        <v>0.09</v>
      </c>
      <c r="K33" s="807" t="s">
        <v>744</v>
      </c>
      <c r="L33" s="821">
        <f t="shared" si="6"/>
        <v>43.620000000000005</v>
      </c>
      <c r="M33" s="807">
        <v>16.7</v>
      </c>
      <c r="N33" s="807">
        <v>1.44</v>
      </c>
      <c r="O33" s="807">
        <v>1.5967215056409962</v>
      </c>
      <c r="P33" s="807" t="s">
        <v>744</v>
      </c>
      <c r="Q33" s="807">
        <v>0</v>
      </c>
      <c r="R33" s="865">
        <v>591.12642007926013</v>
      </c>
      <c r="S33" s="807">
        <v>7.92</v>
      </c>
      <c r="T33" s="807" t="s">
        <v>744</v>
      </c>
      <c r="U33" s="807">
        <v>0.7</v>
      </c>
      <c r="V33" s="807" t="s">
        <v>744</v>
      </c>
      <c r="W33" s="807">
        <v>44.239999999999995</v>
      </c>
      <c r="X33" s="690">
        <v>32</v>
      </c>
      <c r="Y33" s="807">
        <v>19.48</v>
      </c>
      <c r="Z33" s="807">
        <v>24.1</v>
      </c>
      <c r="AA33" s="794">
        <v>19.420000000000002</v>
      </c>
      <c r="AB33" s="794">
        <v>24.2</v>
      </c>
      <c r="AC33" s="775">
        <f t="shared" si="11"/>
        <v>43.620000000000005</v>
      </c>
      <c r="AD33" s="775">
        <f t="shared" si="12"/>
        <v>67.480140000000006</v>
      </c>
      <c r="AE33" s="775"/>
      <c r="AF33" s="567"/>
      <c r="AG33" s="2">
        <v>1</v>
      </c>
      <c r="AH33" s="362"/>
      <c r="AI33" s="362"/>
      <c r="AJ33" s="2"/>
      <c r="AK33" s="407"/>
      <c r="AL33" s="407"/>
      <c r="AM33" s="407"/>
      <c r="AN33" s="407"/>
      <c r="AO33" s="387"/>
      <c r="AP33" s="387"/>
      <c r="AQ33" s="405"/>
      <c r="AR33" s="578">
        <v>0</v>
      </c>
      <c r="AS33" s="405">
        <v>10.8</v>
      </c>
      <c r="AT33" s="578">
        <v>0</v>
      </c>
      <c r="AU33" s="405">
        <v>20</v>
      </c>
      <c r="AV33" s="644">
        <v>283.2</v>
      </c>
      <c r="AW33" s="644">
        <v>433.7</v>
      </c>
      <c r="AX33" s="405">
        <v>0</v>
      </c>
      <c r="AY33" s="578">
        <v>0</v>
      </c>
      <c r="AZ33" s="578">
        <v>0</v>
      </c>
      <c r="BA33" s="578">
        <v>0</v>
      </c>
      <c r="BB33" s="1086">
        <v>1</v>
      </c>
      <c r="BC33" s="405">
        <v>0</v>
      </c>
      <c r="BD33" s="405">
        <v>1.5</v>
      </c>
      <c r="BE33" s="578">
        <v>0</v>
      </c>
      <c r="BF33" s="405">
        <v>1</v>
      </c>
      <c r="BG33" s="405">
        <v>0</v>
      </c>
      <c r="BH33" s="578">
        <v>0</v>
      </c>
      <c r="BI33" s="405">
        <v>0</v>
      </c>
      <c r="BJ33" s="405">
        <v>21.5</v>
      </c>
      <c r="BK33" s="405">
        <v>2.92</v>
      </c>
      <c r="BL33" s="405">
        <v>2.6</v>
      </c>
      <c r="BM33" s="405">
        <v>0</v>
      </c>
      <c r="BN33" s="405">
        <v>15.2</v>
      </c>
      <c r="BO33" s="648">
        <v>1081</v>
      </c>
      <c r="BP33" s="648">
        <v>0</v>
      </c>
      <c r="BQ33" s="649">
        <v>20.36</v>
      </c>
      <c r="BR33" s="649">
        <v>20.399999999999999</v>
      </c>
      <c r="BS33" s="649">
        <v>8.26</v>
      </c>
      <c r="BT33" s="649">
        <v>8.4</v>
      </c>
      <c r="BU33" s="648">
        <v>18.7</v>
      </c>
      <c r="BV33" s="648">
        <v>18.399999999999999</v>
      </c>
      <c r="BW33" s="649">
        <v>678.8</v>
      </c>
      <c r="BX33" s="876"/>
      <c r="BY33" s="649">
        <v>0.13</v>
      </c>
      <c r="BZ33" s="649">
        <v>1.38</v>
      </c>
      <c r="CA33" s="649">
        <v>1.3</v>
      </c>
      <c r="CB33" s="649">
        <v>8.5</v>
      </c>
      <c r="CC33" s="649">
        <v>7.8</v>
      </c>
      <c r="CD33" s="649">
        <v>15</v>
      </c>
      <c r="CE33" s="649">
        <v>33.5</v>
      </c>
      <c r="CF33" s="649">
        <v>14.9</v>
      </c>
      <c r="CG33" s="649">
        <v>7.1</v>
      </c>
      <c r="CH33" s="649">
        <v>12.4</v>
      </c>
      <c r="CI33" s="649">
        <v>16.5</v>
      </c>
      <c r="CJ33" s="649">
        <v>12.7</v>
      </c>
      <c r="CK33" s="649">
        <v>0</v>
      </c>
      <c r="CL33" s="649">
        <v>2.7</v>
      </c>
      <c r="CM33" s="649">
        <v>4.5999999999999996</v>
      </c>
      <c r="CN33" s="647">
        <v>543.5</v>
      </c>
      <c r="CO33" s="647">
        <v>336.7</v>
      </c>
      <c r="CP33" s="649">
        <v>443.6</v>
      </c>
      <c r="CQ33" s="649">
        <v>13.7</v>
      </c>
      <c r="CR33" s="649">
        <v>1.43</v>
      </c>
      <c r="CS33" s="405">
        <v>9501.7999999999993</v>
      </c>
      <c r="CT33" s="405">
        <v>18.763999999999999</v>
      </c>
      <c r="CU33" s="405">
        <v>49</v>
      </c>
      <c r="CV33" s="522">
        <v>0</v>
      </c>
      <c r="CW33" s="522">
        <v>0</v>
      </c>
      <c r="CX33" s="522">
        <v>0</v>
      </c>
      <c r="CY33" s="522">
        <v>0</v>
      </c>
      <c r="CZ33" s="689">
        <v>1330</v>
      </c>
      <c r="DA33" s="689">
        <v>1850</v>
      </c>
      <c r="DB33" s="689">
        <v>1200</v>
      </c>
      <c r="DC33" s="643">
        <v>1076.8900000000001</v>
      </c>
      <c r="DD33" s="522"/>
      <c r="DE33" s="522"/>
      <c r="DF33" s="522"/>
      <c r="DG33" s="522"/>
      <c r="DH33" s="522"/>
      <c r="DI33" s="522"/>
      <c r="DJ33" s="522"/>
      <c r="DK33" s="522"/>
      <c r="DL33" s="649"/>
      <c r="DM33" s="689"/>
      <c r="DN33" s="649"/>
      <c r="DO33" s="522"/>
      <c r="DP33" s="522"/>
      <c r="DQ33" s="522"/>
      <c r="DR33" s="522"/>
      <c r="DS33" s="522"/>
      <c r="DT33" s="522"/>
      <c r="DU33" s="522"/>
      <c r="DV33" s="522"/>
      <c r="DW33" s="522"/>
      <c r="DX33" s="522"/>
      <c r="DY33" s="522"/>
      <c r="DZ33" s="522"/>
      <c r="EA33" s="522"/>
      <c r="EB33" s="522"/>
      <c r="EC33" s="522"/>
      <c r="ED33" s="522"/>
      <c r="EE33" s="522"/>
      <c r="EF33" s="522"/>
      <c r="EG33" s="645">
        <f t="shared" si="4"/>
        <v>12.406939999999999</v>
      </c>
      <c r="EH33" s="361">
        <v>0</v>
      </c>
      <c r="EI33" s="647">
        <v>0</v>
      </c>
      <c r="EJ33" s="647">
        <v>2.5</v>
      </c>
      <c r="EK33" s="647">
        <f t="shared" si="5"/>
        <v>5.52</v>
      </c>
      <c r="EL33" s="522"/>
      <c r="EM33" s="522"/>
      <c r="EN33" s="522"/>
      <c r="EO33" s="522"/>
      <c r="EP33" s="522"/>
      <c r="EQ33" s="522"/>
      <c r="ER33" s="522"/>
      <c r="ES33" s="407"/>
      <c r="ET33" s="407"/>
    </row>
    <row r="34" spans="1:150" s="357" customFormat="1" ht="15">
      <c r="A34" s="675" t="s">
        <v>5</v>
      </c>
      <c r="B34" s="712">
        <v>41660</v>
      </c>
      <c r="C34" s="713">
        <v>0</v>
      </c>
      <c r="D34" s="681">
        <v>0</v>
      </c>
      <c r="E34" s="681">
        <v>0</v>
      </c>
      <c r="F34" s="681">
        <v>40</v>
      </c>
      <c r="G34" s="807">
        <v>1.25</v>
      </c>
      <c r="H34" s="807" t="s">
        <v>744</v>
      </c>
      <c r="I34" s="807">
        <v>93</v>
      </c>
      <c r="J34" s="807">
        <v>0.08</v>
      </c>
      <c r="K34" s="807" t="s">
        <v>744</v>
      </c>
      <c r="L34" s="821">
        <f t="shared" si="6"/>
        <v>39.9</v>
      </c>
      <c r="M34" s="807">
        <v>18.3</v>
      </c>
      <c r="N34" s="807">
        <v>1.44</v>
      </c>
      <c r="O34" s="807">
        <v>1.5400277566770562</v>
      </c>
      <c r="P34" s="807" t="s">
        <v>744</v>
      </c>
      <c r="Q34" s="807" t="s">
        <v>743</v>
      </c>
      <c r="R34" s="865">
        <v>533.14744517833549</v>
      </c>
      <c r="S34" s="807">
        <v>8.01</v>
      </c>
      <c r="T34" s="807" t="s">
        <v>744</v>
      </c>
      <c r="U34" s="807">
        <v>0.7</v>
      </c>
      <c r="V34" s="807" t="s">
        <v>744</v>
      </c>
      <c r="W34" s="807">
        <v>44.42</v>
      </c>
      <c r="X34" s="690">
        <v>32</v>
      </c>
      <c r="Y34" s="807">
        <v>19.420000000000002</v>
      </c>
      <c r="Z34" s="807">
        <v>24.2</v>
      </c>
      <c r="AA34" s="794">
        <v>19.5</v>
      </c>
      <c r="AB34" s="794">
        <v>20.399999999999999</v>
      </c>
      <c r="AC34" s="775">
        <f t="shared" ref="AC34:AC36" si="13">AA34+AB34</f>
        <v>39.9</v>
      </c>
      <c r="AD34" s="775">
        <f t="shared" ref="AD34:AD36" si="14">AC34*1.547</f>
        <v>61.725299999999997</v>
      </c>
      <c r="AE34" s="775"/>
      <c r="AF34" s="567"/>
      <c r="AG34" s="2">
        <v>1</v>
      </c>
      <c r="AH34" s="362"/>
      <c r="AI34" s="362"/>
      <c r="AJ34" s="2"/>
      <c r="AK34" s="407"/>
      <c r="AL34" s="407"/>
      <c r="AM34" s="407"/>
      <c r="AN34" s="407"/>
      <c r="AO34" s="387"/>
      <c r="AP34" s="387"/>
      <c r="AQ34" s="405"/>
      <c r="AR34" s="578">
        <v>0</v>
      </c>
      <c r="AS34" s="405">
        <v>16.399999999999999</v>
      </c>
      <c r="AT34" s="578">
        <v>0</v>
      </c>
      <c r="AU34" s="405">
        <v>20.2</v>
      </c>
      <c r="AV34" s="644">
        <v>234.6</v>
      </c>
      <c r="AW34" s="644">
        <v>308.5</v>
      </c>
      <c r="AX34" s="405">
        <v>0</v>
      </c>
      <c r="AY34" s="578">
        <v>0</v>
      </c>
      <c r="AZ34" s="578">
        <v>0</v>
      </c>
      <c r="BA34" s="578">
        <v>0</v>
      </c>
      <c r="BB34" s="1086">
        <v>1.006</v>
      </c>
      <c r="BC34" s="405">
        <v>0</v>
      </c>
      <c r="BD34" s="405">
        <v>1.5</v>
      </c>
      <c r="BE34" s="578">
        <v>0</v>
      </c>
      <c r="BF34" s="405">
        <v>1</v>
      </c>
      <c r="BG34" s="405">
        <v>0</v>
      </c>
      <c r="BH34" s="578">
        <v>0</v>
      </c>
      <c r="BI34" s="405">
        <v>0</v>
      </c>
      <c r="BJ34" s="405">
        <v>17.899999999999999</v>
      </c>
      <c r="BK34" s="405">
        <v>2.91</v>
      </c>
      <c r="BL34" s="405">
        <v>1.84</v>
      </c>
      <c r="BM34" s="405">
        <v>0</v>
      </c>
      <c r="BN34" s="405">
        <v>12.2</v>
      </c>
      <c r="BO34" s="648">
        <v>994.9</v>
      </c>
      <c r="BP34" s="648">
        <v>0</v>
      </c>
      <c r="BQ34" s="649">
        <v>20.97</v>
      </c>
      <c r="BR34" s="649">
        <v>20.100000000000001</v>
      </c>
      <c r="BS34" s="649">
        <v>8.5</v>
      </c>
      <c r="BT34" s="649">
        <v>8.6199999999999992</v>
      </c>
      <c r="BU34" s="648">
        <v>19.100000000000001</v>
      </c>
      <c r="BV34" s="648">
        <v>17.899999999999999</v>
      </c>
      <c r="BW34" s="649">
        <v>469.3</v>
      </c>
      <c r="BX34" s="876"/>
      <c r="BY34" s="649">
        <v>0.14000000000000001</v>
      </c>
      <c r="BZ34" s="649">
        <v>1.38</v>
      </c>
      <c r="CA34" s="649">
        <v>1.3</v>
      </c>
      <c r="CB34" s="649">
        <v>8.6</v>
      </c>
      <c r="CC34" s="649">
        <v>7.8</v>
      </c>
      <c r="CD34" s="649">
        <v>15</v>
      </c>
      <c r="CE34" s="649">
        <v>33.4</v>
      </c>
      <c r="CF34" s="649">
        <v>14.4</v>
      </c>
      <c r="CG34" s="649">
        <v>7</v>
      </c>
      <c r="CH34" s="649">
        <v>12.47</v>
      </c>
      <c r="CI34" s="649">
        <v>16.399999999999999</v>
      </c>
      <c r="CJ34" s="649">
        <v>13.84</v>
      </c>
      <c r="CK34" s="649">
        <v>0</v>
      </c>
      <c r="CL34" s="649">
        <v>2.5</v>
      </c>
      <c r="CM34" s="649">
        <v>3.5</v>
      </c>
      <c r="CN34" s="647">
        <v>499.7</v>
      </c>
      <c r="CO34" s="647">
        <v>330.9</v>
      </c>
      <c r="CP34" s="649">
        <v>461.7</v>
      </c>
      <c r="CQ34" s="649">
        <v>13.6</v>
      </c>
      <c r="CR34" s="649">
        <v>1.54</v>
      </c>
      <c r="CS34" s="405">
        <v>11193.3</v>
      </c>
      <c r="CT34" s="405">
        <v>17.279</v>
      </c>
      <c r="CU34" s="405">
        <v>49</v>
      </c>
      <c r="CV34" s="522">
        <v>0</v>
      </c>
      <c r="CW34" s="522">
        <v>0</v>
      </c>
      <c r="CX34" s="522">
        <v>0</v>
      </c>
      <c r="CY34" s="522">
        <v>0</v>
      </c>
      <c r="CZ34" s="689">
        <v>1080</v>
      </c>
      <c r="DA34" s="689">
        <v>1520</v>
      </c>
      <c r="DB34" s="689">
        <v>1030</v>
      </c>
      <c r="DC34" s="643">
        <v>1075.4000000000001</v>
      </c>
      <c r="DD34" s="522"/>
      <c r="DE34" s="522"/>
      <c r="DF34" s="522"/>
      <c r="DG34" s="522"/>
      <c r="DH34" s="522"/>
      <c r="DI34" s="522"/>
      <c r="DJ34" s="522"/>
      <c r="DK34" s="522"/>
      <c r="DL34" s="649"/>
      <c r="DM34" s="689"/>
      <c r="DN34" s="649"/>
      <c r="DO34" s="522"/>
      <c r="DP34" s="522"/>
      <c r="DQ34" s="522"/>
      <c r="DR34" s="522"/>
      <c r="DS34" s="522"/>
      <c r="DT34" s="522"/>
      <c r="DU34" s="522"/>
      <c r="DV34" s="522"/>
      <c r="DW34" s="522"/>
      <c r="DX34" s="522"/>
      <c r="DY34" s="522"/>
      <c r="DZ34" s="522"/>
      <c r="EA34" s="522"/>
      <c r="EB34" s="522"/>
      <c r="EC34" s="522"/>
      <c r="ED34" s="522"/>
      <c r="EE34" s="522"/>
      <c r="EF34" s="522"/>
      <c r="EG34" s="645">
        <f t="shared" si="4"/>
        <v>11.21575</v>
      </c>
      <c r="EH34" s="361">
        <v>0</v>
      </c>
      <c r="EI34" s="647">
        <v>0</v>
      </c>
      <c r="EJ34" s="647">
        <v>2.5</v>
      </c>
      <c r="EK34" s="647">
        <f t="shared" si="5"/>
        <v>4.75</v>
      </c>
      <c r="EL34" s="522"/>
      <c r="EM34" s="522"/>
      <c r="EN34" s="522"/>
      <c r="EO34" s="522"/>
      <c r="EP34" s="522"/>
      <c r="EQ34" s="522"/>
      <c r="ER34" s="522"/>
      <c r="ES34" s="407"/>
      <c r="ET34" s="407"/>
    </row>
    <row r="35" spans="1:150" s="357" customFormat="1" ht="15">
      <c r="A35" s="675" t="s">
        <v>6</v>
      </c>
      <c r="B35" s="712">
        <v>41661</v>
      </c>
      <c r="C35" s="713">
        <v>0</v>
      </c>
      <c r="D35" s="681">
        <v>0</v>
      </c>
      <c r="E35" s="681">
        <v>0</v>
      </c>
      <c r="F35" s="681">
        <v>40</v>
      </c>
      <c r="G35" s="807">
        <v>1.2</v>
      </c>
      <c r="H35" s="807" t="s">
        <v>744</v>
      </c>
      <c r="I35" s="807">
        <v>88.3</v>
      </c>
      <c r="J35" s="807">
        <v>0.06</v>
      </c>
      <c r="K35" s="807" t="s">
        <v>744</v>
      </c>
      <c r="L35" s="821">
        <f t="shared" si="6"/>
        <v>33.700000000000003</v>
      </c>
      <c r="M35" s="807">
        <v>18.600000000000001</v>
      </c>
      <c r="N35" s="807">
        <v>1.48</v>
      </c>
      <c r="O35" s="807">
        <v>1.6649721429965132</v>
      </c>
      <c r="P35" s="807" t="s">
        <v>744</v>
      </c>
      <c r="Q35" s="807" t="s">
        <v>743</v>
      </c>
      <c r="R35" s="865">
        <v>455.73417701453104</v>
      </c>
      <c r="S35" s="807">
        <v>7.97</v>
      </c>
      <c r="T35" s="807" t="s">
        <v>744</v>
      </c>
      <c r="U35" s="807">
        <v>0.71</v>
      </c>
      <c r="V35" s="807" t="s">
        <v>744</v>
      </c>
      <c r="W35" s="807">
        <v>44.42</v>
      </c>
      <c r="X35" s="690">
        <v>32</v>
      </c>
      <c r="Y35" s="807">
        <v>19.5</v>
      </c>
      <c r="Z35" s="807">
        <v>20.399999999999999</v>
      </c>
      <c r="AA35" s="794">
        <v>19.600000000000001</v>
      </c>
      <c r="AB35" s="794">
        <v>14.1</v>
      </c>
      <c r="AC35" s="775">
        <f t="shared" si="13"/>
        <v>33.700000000000003</v>
      </c>
      <c r="AD35" s="775">
        <f t="shared" si="14"/>
        <v>52.133900000000004</v>
      </c>
      <c r="AE35" s="775"/>
      <c r="AF35" s="567"/>
      <c r="AG35" s="2">
        <v>1</v>
      </c>
      <c r="AH35" s="362"/>
      <c r="AI35" s="362"/>
      <c r="AJ35" s="2"/>
      <c r="AK35" s="407"/>
      <c r="AL35" s="407"/>
      <c r="AM35" s="407"/>
      <c r="AN35" s="407"/>
      <c r="AO35" s="387"/>
      <c r="AP35" s="387"/>
      <c r="AQ35" s="405"/>
      <c r="AR35" s="578">
        <v>0</v>
      </c>
      <c r="AS35" s="405">
        <v>16.100000000000001</v>
      </c>
      <c r="AT35" s="578">
        <v>0</v>
      </c>
      <c r="AU35" s="405">
        <v>20.2</v>
      </c>
      <c r="AV35" s="644">
        <v>326</v>
      </c>
      <c r="AW35" s="644">
        <v>883.6</v>
      </c>
      <c r="AX35" s="405">
        <v>0</v>
      </c>
      <c r="AY35" s="578">
        <v>0</v>
      </c>
      <c r="AZ35" s="578">
        <v>0</v>
      </c>
      <c r="BA35" s="578">
        <v>0</v>
      </c>
      <c r="BB35" s="1086">
        <v>0.95099999999999996</v>
      </c>
      <c r="BC35" s="405">
        <v>0</v>
      </c>
      <c r="BD35" s="405">
        <v>1.5</v>
      </c>
      <c r="BE35" s="578">
        <v>0</v>
      </c>
      <c r="BF35" s="405">
        <v>1</v>
      </c>
      <c r="BG35" s="405">
        <v>0</v>
      </c>
      <c r="BH35" s="578">
        <v>0</v>
      </c>
      <c r="BI35" s="405">
        <v>0</v>
      </c>
      <c r="BJ35" s="405">
        <v>11.7</v>
      </c>
      <c r="BK35" s="405">
        <v>2.92</v>
      </c>
      <c r="BL35" s="405">
        <v>0.68</v>
      </c>
      <c r="BM35" s="405">
        <v>0</v>
      </c>
      <c r="BN35" s="405">
        <v>7.1</v>
      </c>
      <c r="BO35" s="646">
        <v>918</v>
      </c>
      <c r="BP35" s="648">
        <v>0</v>
      </c>
      <c r="BQ35" s="649">
        <v>23.01</v>
      </c>
      <c r="BR35" s="649">
        <v>23</v>
      </c>
      <c r="BS35" s="649">
        <v>8.25</v>
      </c>
      <c r="BT35" s="649">
        <v>8.3699999999999992</v>
      </c>
      <c r="BU35" s="648">
        <v>18.600000000000001</v>
      </c>
      <c r="BV35" s="648">
        <v>13.5</v>
      </c>
      <c r="BW35" s="649">
        <v>621.79999999999995</v>
      </c>
      <c r="BX35" s="876"/>
      <c r="BY35" s="649">
        <v>0.14000000000000001</v>
      </c>
      <c r="BZ35" s="649">
        <v>1.4</v>
      </c>
      <c r="CA35" s="649">
        <v>1.3</v>
      </c>
      <c r="CB35" s="649">
        <v>8.6999999999999993</v>
      </c>
      <c r="CC35" s="649">
        <v>7.9</v>
      </c>
      <c r="CD35" s="649">
        <v>14.7</v>
      </c>
      <c r="CE35" s="649">
        <v>33.200000000000003</v>
      </c>
      <c r="CF35" s="649">
        <v>14</v>
      </c>
      <c r="CG35" s="649">
        <v>6.6</v>
      </c>
      <c r="CH35" s="649">
        <v>11.9</v>
      </c>
      <c r="CI35" s="649">
        <v>15.9</v>
      </c>
      <c r="CJ35" s="649">
        <v>13.25</v>
      </c>
      <c r="CK35" s="649">
        <v>0</v>
      </c>
      <c r="CL35" s="649">
        <v>1.3</v>
      </c>
      <c r="CM35" s="647">
        <v>1.2</v>
      </c>
      <c r="CN35" s="647">
        <v>460</v>
      </c>
      <c r="CO35" s="647">
        <v>311.5</v>
      </c>
      <c r="CP35" s="647">
        <v>456.5</v>
      </c>
      <c r="CQ35" s="649">
        <v>15</v>
      </c>
      <c r="CR35" s="649">
        <v>2.21</v>
      </c>
      <c r="CS35" s="405">
        <v>15530.5</v>
      </c>
      <c r="CT35" s="405">
        <v>16.791</v>
      </c>
      <c r="CU35" s="405">
        <v>49</v>
      </c>
      <c r="CV35" s="522">
        <v>0</v>
      </c>
      <c r="CW35" s="522">
        <v>0</v>
      </c>
      <c r="CX35" s="522">
        <v>0</v>
      </c>
      <c r="CY35" s="522">
        <v>0</v>
      </c>
      <c r="CZ35" s="689">
        <v>901</v>
      </c>
      <c r="DA35" s="689">
        <v>1440</v>
      </c>
      <c r="DB35" s="689">
        <v>926</v>
      </c>
      <c r="DC35" s="643">
        <v>1075.5</v>
      </c>
      <c r="DD35" s="522"/>
      <c r="DE35" s="522"/>
      <c r="DF35" s="522"/>
      <c r="DG35" s="522"/>
      <c r="DH35" s="522"/>
      <c r="DI35" s="522"/>
      <c r="DJ35" s="522"/>
      <c r="DK35" s="522"/>
      <c r="DL35" s="649"/>
      <c r="DM35" s="689"/>
      <c r="DN35" s="649"/>
      <c r="DO35" s="522"/>
      <c r="DP35" s="522"/>
      <c r="DQ35" s="522"/>
      <c r="DR35" s="522"/>
      <c r="DS35" s="522"/>
      <c r="DT35" s="522"/>
      <c r="DU35" s="522"/>
      <c r="DV35" s="522"/>
      <c r="DW35" s="522"/>
      <c r="DX35" s="522"/>
      <c r="DY35" s="522"/>
      <c r="DZ35" s="522"/>
      <c r="EA35" s="522"/>
      <c r="EB35" s="522"/>
      <c r="EC35" s="522"/>
      <c r="ED35" s="522"/>
      <c r="EE35" s="522"/>
      <c r="EF35" s="522"/>
      <c r="EG35" s="645">
        <f t="shared" si="4"/>
        <v>9.4366999999999983</v>
      </c>
      <c r="EH35" s="361">
        <v>0</v>
      </c>
      <c r="EI35" s="647">
        <v>0</v>
      </c>
      <c r="EJ35" s="647">
        <v>2.5</v>
      </c>
      <c r="EK35" s="647">
        <f t="shared" si="5"/>
        <v>3.6</v>
      </c>
      <c r="EL35" s="522"/>
      <c r="EM35" s="522"/>
      <c r="EN35" s="522"/>
      <c r="EO35" s="522"/>
      <c r="EP35" s="522"/>
      <c r="EQ35" s="522"/>
      <c r="ER35" s="522"/>
      <c r="ES35" s="407"/>
      <c r="ET35" s="407"/>
    </row>
    <row r="36" spans="1:150" s="357" customFormat="1" ht="15">
      <c r="A36" s="675" t="s">
        <v>7</v>
      </c>
      <c r="B36" s="712">
        <v>41662</v>
      </c>
      <c r="C36" s="713">
        <v>0</v>
      </c>
      <c r="D36" s="681">
        <v>0</v>
      </c>
      <c r="E36" s="681">
        <v>0</v>
      </c>
      <c r="F36" s="681">
        <v>49</v>
      </c>
      <c r="G36" s="807">
        <v>1.1000000000000001</v>
      </c>
      <c r="H36" s="807" t="s">
        <v>744</v>
      </c>
      <c r="I36" s="807">
        <v>89.2</v>
      </c>
      <c r="J36" s="807">
        <v>0.06</v>
      </c>
      <c r="K36" s="807" t="s">
        <v>744</v>
      </c>
      <c r="L36" s="821">
        <f t="shared" si="6"/>
        <v>33.700000000000003</v>
      </c>
      <c r="M36" s="807">
        <v>18.899999999999999</v>
      </c>
      <c r="N36" s="807">
        <v>1.47</v>
      </c>
      <c r="O36" s="807">
        <v>1.6280832449053058</v>
      </c>
      <c r="P36" s="807" t="s">
        <v>744</v>
      </c>
      <c r="Q36" s="807" t="s">
        <v>743</v>
      </c>
      <c r="R36" s="865">
        <v>463.83179920739758</v>
      </c>
      <c r="S36" s="807">
        <v>7.97</v>
      </c>
      <c r="T36" s="807" t="s">
        <v>744</v>
      </c>
      <c r="U36" s="807">
        <v>0.71</v>
      </c>
      <c r="V36" s="807" t="s">
        <v>744</v>
      </c>
      <c r="W36" s="807">
        <v>44.239999999999995</v>
      </c>
      <c r="X36" s="690">
        <v>32</v>
      </c>
      <c r="Y36" s="807">
        <v>19.600000000000001</v>
      </c>
      <c r="Z36" s="807">
        <v>14.1</v>
      </c>
      <c r="AA36" s="794">
        <v>19.600000000000001</v>
      </c>
      <c r="AB36" s="794">
        <v>14.1</v>
      </c>
      <c r="AC36" s="775">
        <f t="shared" si="13"/>
        <v>33.700000000000003</v>
      </c>
      <c r="AD36" s="775">
        <f t="shared" si="14"/>
        <v>52.133900000000004</v>
      </c>
      <c r="AE36" s="775"/>
      <c r="AF36" s="567"/>
      <c r="AG36" s="2">
        <v>1</v>
      </c>
      <c r="AH36" s="362"/>
      <c r="AI36" s="362"/>
      <c r="AJ36" s="2"/>
      <c r="AK36" s="407"/>
      <c r="AL36" s="407"/>
      <c r="AM36" s="407"/>
      <c r="AN36" s="407"/>
      <c r="AO36" s="387"/>
      <c r="AP36" s="387"/>
      <c r="AQ36" s="405"/>
      <c r="AR36" s="578">
        <v>0</v>
      </c>
      <c r="AS36" s="405">
        <v>12.2</v>
      </c>
      <c r="AT36" s="578">
        <v>0</v>
      </c>
      <c r="AU36" s="405">
        <v>20.2</v>
      </c>
      <c r="AV36" s="644">
        <v>438.3</v>
      </c>
      <c r="AW36" s="644">
        <v>815.1</v>
      </c>
      <c r="AX36" s="405">
        <v>0</v>
      </c>
      <c r="AY36" s="578">
        <v>0</v>
      </c>
      <c r="AZ36" s="578">
        <v>0</v>
      </c>
      <c r="BA36" s="578">
        <v>0</v>
      </c>
      <c r="BB36" s="1086">
        <v>0.998</v>
      </c>
      <c r="BC36" s="405">
        <v>0</v>
      </c>
      <c r="BD36" s="405">
        <v>1.5</v>
      </c>
      <c r="BE36" s="578">
        <v>0</v>
      </c>
      <c r="BF36" s="405">
        <v>1</v>
      </c>
      <c r="BG36" s="405">
        <v>0</v>
      </c>
      <c r="BH36" s="578">
        <v>0</v>
      </c>
      <c r="BI36" s="405">
        <v>0</v>
      </c>
      <c r="BJ36" s="405">
        <v>11.7</v>
      </c>
      <c r="BK36" s="405">
        <v>2.27</v>
      </c>
      <c r="BL36" s="405">
        <v>1.39</v>
      </c>
      <c r="BM36" s="405">
        <v>0</v>
      </c>
      <c r="BN36" s="405">
        <v>7</v>
      </c>
      <c r="BO36" s="646">
        <v>929.3</v>
      </c>
      <c r="BP36" s="648">
        <v>0</v>
      </c>
      <c r="BQ36" s="649">
        <v>23.91</v>
      </c>
      <c r="BR36" s="649">
        <v>23.87</v>
      </c>
      <c r="BS36" s="649">
        <v>8.1999999999999993</v>
      </c>
      <c r="BT36" s="649">
        <v>8.3000000000000007</v>
      </c>
      <c r="BU36" s="648">
        <v>18.5</v>
      </c>
      <c r="BV36" s="648">
        <v>16.5</v>
      </c>
      <c r="BW36" s="649">
        <v>528.4</v>
      </c>
      <c r="BX36" s="876"/>
      <c r="BY36" s="649">
        <v>0.14000000000000001</v>
      </c>
      <c r="BZ36" s="649">
        <v>1.42</v>
      </c>
      <c r="CA36" s="649">
        <v>1.3</v>
      </c>
      <c r="CB36" s="649">
        <v>8.6999999999999993</v>
      </c>
      <c r="CC36" s="649">
        <v>7.9</v>
      </c>
      <c r="CD36" s="649">
        <v>14.7</v>
      </c>
      <c r="CE36" s="649">
        <v>33.1</v>
      </c>
      <c r="CF36" s="649">
        <v>13.6</v>
      </c>
      <c r="CG36" s="649">
        <v>6.2</v>
      </c>
      <c r="CH36" s="649">
        <v>11.4</v>
      </c>
      <c r="CI36" s="649">
        <v>15.5</v>
      </c>
      <c r="CJ36" s="649">
        <v>13.4</v>
      </c>
      <c r="CK36" s="649">
        <v>0</v>
      </c>
      <c r="CL36" s="649">
        <v>1.6</v>
      </c>
      <c r="CM36" s="647">
        <v>1.5</v>
      </c>
      <c r="CN36" s="647">
        <v>500.3</v>
      </c>
      <c r="CO36" s="647">
        <v>306.60000000000002</v>
      </c>
      <c r="CP36" s="647">
        <v>453.4</v>
      </c>
      <c r="CQ36" s="649">
        <v>14.2</v>
      </c>
      <c r="CR36" s="649">
        <v>2.12</v>
      </c>
      <c r="CS36" s="405">
        <v>13568</v>
      </c>
      <c r="CT36" s="405">
        <v>16.035</v>
      </c>
      <c r="CU36" s="405">
        <v>50</v>
      </c>
      <c r="CV36" s="522">
        <v>0</v>
      </c>
      <c r="CW36" s="522">
        <v>0</v>
      </c>
      <c r="CX36" s="522">
        <v>0</v>
      </c>
      <c r="CY36" s="522">
        <v>0</v>
      </c>
      <c r="CZ36" s="689">
        <v>790</v>
      </c>
      <c r="DA36" s="689">
        <v>1320</v>
      </c>
      <c r="DB36" s="689">
        <v>824</v>
      </c>
      <c r="DC36" s="643">
        <v>1076</v>
      </c>
      <c r="DD36" s="522"/>
      <c r="DE36" s="522"/>
      <c r="DF36" s="522"/>
      <c r="DG36" s="522"/>
      <c r="DH36" s="522"/>
      <c r="DI36" s="522"/>
      <c r="DJ36" s="522"/>
      <c r="DK36" s="522"/>
      <c r="DL36" s="649"/>
      <c r="DM36" s="689"/>
      <c r="DN36" s="649"/>
      <c r="DO36" s="522"/>
      <c r="DP36" s="522"/>
      <c r="DQ36" s="522"/>
      <c r="DR36" s="522"/>
      <c r="DS36" s="522"/>
      <c r="DT36" s="522"/>
      <c r="DU36" s="522"/>
      <c r="DV36" s="522"/>
      <c r="DW36" s="522"/>
      <c r="DX36" s="522"/>
      <c r="DY36" s="522"/>
      <c r="DZ36" s="522"/>
      <c r="EA36" s="522"/>
      <c r="EB36" s="522"/>
      <c r="EC36" s="522"/>
      <c r="ED36" s="522"/>
      <c r="EE36" s="522"/>
      <c r="EF36" s="522"/>
      <c r="EG36" s="645">
        <f t="shared" si="4"/>
        <v>9.5295199999999998</v>
      </c>
      <c r="EH36" s="361">
        <v>0</v>
      </c>
      <c r="EI36" s="647">
        <v>0</v>
      </c>
      <c r="EJ36" s="647">
        <v>2.5</v>
      </c>
      <c r="EK36" s="647">
        <f t="shared" si="5"/>
        <v>3.66</v>
      </c>
      <c r="EL36" s="522"/>
      <c r="EM36" s="522"/>
      <c r="EN36" s="522"/>
      <c r="EO36" s="522"/>
      <c r="EP36" s="522"/>
      <c r="EQ36" s="522"/>
      <c r="ER36" s="522"/>
      <c r="ES36" s="407"/>
      <c r="ET36" s="407"/>
    </row>
    <row r="37" spans="1:150" s="357" customFormat="1" ht="15">
      <c r="A37" s="675" t="s">
        <v>8</v>
      </c>
      <c r="B37" s="712">
        <v>41663</v>
      </c>
      <c r="C37" s="713">
        <v>0</v>
      </c>
      <c r="D37" s="681">
        <v>0</v>
      </c>
      <c r="E37" s="681">
        <v>0</v>
      </c>
      <c r="F37" s="681">
        <v>49</v>
      </c>
      <c r="G37" s="807">
        <v>1</v>
      </c>
      <c r="H37" s="807" t="s">
        <v>744</v>
      </c>
      <c r="I37" s="807">
        <v>93.33</v>
      </c>
      <c r="J37" s="807">
        <v>0.06</v>
      </c>
      <c r="K37" s="807" t="s">
        <v>744</v>
      </c>
      <c r="L37" s="821">
        <f t="shared" si="6"/>
        <v>33.739999999999995</v>
      </c>
      <c r="M37" s="807">
        <v>18.5</v>
      </c>
      <c r="N37" s="807">
        <v>1.48</v>
      </c>
      <c r="O37" s="807">
        <v>1.6723910171736187</v>
      </c>
      <c r="P37" s="807" t="s">
        <v>744</v>
      </c>
      <c r="Q37" s="807">
        <v>0</v>
      </c>
      <c r="R37" s="865">
        <v>478.40751915455735</v>
      </c>
      <c r="S37" s="807">
        <v>7.99</v>
      </c>
      <c r="T37" s="807" t="s">
        <v>744</v>
      </c>
      <c r="U37" s="807">
        <v>0.7</v>
      </c>
      <c r="V37" s="807" t="s">
        <v>744</v>
      </c>
      <c r="W37" s="807">
        <v>44.42</v>
      </c>
      <c r="X37" s="690">
        <v>32</v>
      </c>
      <c r="Y37" s="807">
        <v>19.600000000000001</v>
      </c>
      <c r="Z37" s="807">
        <v>14.1</v>
      </c>
      <c r="AA37" s="794">
        <v>19.54</v>
      </c>
      <c r="AB37" s="794">
        <v>14.2</v>
      </c>
      <c r="AC37" s="775">
        <f t="shared" ref="AC37:AC39" si="15">AA37+AB37</f>
        <v>33.739999999999995</v>
      </c>
      <c r="AD37" s="775">
        <f t="shared" ref="AD37:AD39" si="16">AC37*1.547</f>
        <v>52.195779999999992</v>
      </c>
      <c r="AE37" s="775"/>
      <c r="AF37" s="567"/>
      <c r="AG37" s="2">
        <v>1</v>
      </c>
      <c r="AH37" s="362"/>
      <c r="AI37" s="362"/>
      <c r="AJ37" s="2"/>
      <c r="AK37" s="407"/>
      <c r="AL37" s="407"/>
      <c r="AM37" s="407"/>
      <c r="AN37" s="407"/>
      <c r="AO37" s="387"/>
      <c r="AP37" s="387"/>
      <c r="AQ37" s="405"/>
      <c r="AR37" s="578">
        <v>0</v>
      </c>
      <c r="AS37" s="405">
        <v>19.5</v>
      </c>
      <c r="AT37" s="578">
        <v>0</v>
      </c>
      <c r="AU37" s="405">
        <v>20.2</v>
      </c>
      <c r="AV37" s="644">
        <v>165.8</v>
      </c>
      <c r="AW37" s="644">
        <v>293.60000000000002</v>
      </c>
      <c r="AX37" s="405">
        <v>0</v>
      </c>
      <c r="AY37" s="578">
        <v>0</v>
      </c>
      <c r="AZ37" s="578">
        <v>0</v>
      </c>
      <c r="BA37" s="578">
        <v>0</v>
      </c>
      <c r="BB37" s="924">
        <v>1</v>
      </c>
      <c r="BC37" s="405">
        <v>0</v>
      </c>
      <c r="BD37" s="405">
        <v>1.5</v>
      </c>
      <c r="BE37" s="578">
        <v>0</v>
      </c>
      <c r="BF37" s="405">
        <v>1</v>
      </c>
      <c r="BG37" s="405">
        <v>0</v>
      </c>
      <c r="BH37" s="578">
        <v>0</v>
      </c>
      <c r="BI37" s="405">
        <v>0</v>
      </c>
      <c r="BJ37" s="405">
        <v>11.7</v>
      </c>
      <c r="BK37" s="405">
        <v>2.92</v>
      </c>
      <c r="BL37" s="405">
        <v>0.81</v>
      </c>
      <c r="BM37" s="405">
        <v>0</v>
      </c>
      <c r="BN37" s="405">
        <v>6.9</v>
      </c>
      <c r="BO37" s="646">
        <v>995.7</v>
      </c>
      <c r="BP37" s="648">
        <v>0</v>
      </c>
      <c r="BQ37" s="649">
        <v>22.9</v>
      </c>
      <c r="BR37" s="649">
        <v>22.9</v>
      </c>
      <c r="BS37" s="649">
        <v>8.5</v>
      </c>
      <c r="BT37" s="649">
        <v>8.6</v>
      </c>
      <c r="BU37" s="648">
        <v>19.100000000000001</v>
      </c>
      <c r="BV37" s="648">
        <v>22.2</v>
      </c>
      <c r="BW37" s="649">
        <v>466.2</v>
      </c>
      <c r="BX37" s="876"/>
      <c r="BY37" s="649">
        <v>0.98</v>
      </c>
      <c r="BZ37" s="649">
        <v>1.4</v>
      </c>
      <c r="CA37" s="649">
        <v>1.3</v>
      </c>
      <c r="CB37" s="649">
        <v>8.6999999999999993</v>
      </c>
      <c r="CC37" s="649">
        <v>8</v>
      </c>
      <c r="CD37" s="649">
        <v>15.8</v>
      </c>
      <c r="CE37" s="649">
        <v>33.5</v>
      </c>
      <c r="CF37" s="649">
        <v>13.3</v>
      </c>
      <c r="CG37" s="649">
        <v>6.3</v>
      </c>
      <c r="CH37" s="649">
        <v>11.5</v>
      </c>
      <c r="CI37" s="649">
        <v>15.5</v>
      </c>
      <c r="CJ37" s="649">
        <v>13.2</v>
      </c>
      <c r="CK37" s="649">
        <v>0</v>
      </c>
      <c r="CL37" s="649">
        <v>2.2000000000000002</v>
      </c>
      <c r="CM37" s="647">
        <v>1.8</v>
      </c>
      <c r="CN37" s="647">
        <v>365</v>
      </c>
      <c r="CO37" s="647">
        <v>295.8</v>
      </c>
      <c r="CP37" s="647">
        <v>443</v>
      </c>
      <c r="CQ37" s="649">
        <v>14.4</v>
      </c>
      <c r="CR37" s="649">
        <v>2.04</v>
      </c>
      <c r="CS37" s="405">
        <v>10677.9</v>
      </c>
      <c r="CT37" s="405">
        <v>16.239000000000001</v>
      </c>
      <c r="CU37" s="405">
        <v>50</v>
      </c>
      <c r="CV37" s="522">
        <v>0</v>
      </c>
      <c r="CW37" s="522">
        <v>0</v>
      </c>
      <c r="CX37" s="522">
        <v>0</v>
      </c>
      <c r="CY37" s="522">
        <v>0</v>
      </c>
      <c r="CZ37" s="689">
        <v>705</v>
      </c>
      <c r="DA37" s="689">
        <v>1210</v>
      </c>
      <c r="DB37" s="689">
        <v>750</v>
      </c>
      <c r="DC37" s="643">
        <v>1077</v>
      </c>
      <c r="DD37" s="522"/>
      <c r="DE37" s="522"/>
      <c r="DF37" s="522"/>
      <c r="DG37" s="522"/>
      <c r="DH37" s="522"/>
      <c r="DI37" s="522"/>
      <c r="DJ37" s="522"/>
      <c r="DK37" s="522"/>
      <c r="DL37" s="649"/>
      <c r="DM37" s="689"/>
      <c r="DN37" s="649"/>
      <c r="DO37" s="522"/>
      <c r="DP37" s="522"/>
      <c r="DQ37" s="522"/>
      <c r="DR37" s="522"/>
      <c r="DS37" s="522"/>
      <c r="DT37" s="522"/>
      <c r="DU37" s="522"/>
      <c r="DV37" s="522"/>
      <c r="DW37" s="522"/>
      <c r="DX37" s="522"/>
      <c r="DY37" s="522"/>
      <c r="DZ37" s="522"/>
      <c r="EA37" s="522"/>
      <c r="EB37" s="522"/>
      <c r="EC37" s="522"/>
      <c r="ED37" s="522"/>
      <c r="EE37" s="522"/>
      <c r="EF37" s="522"/>
      <c r="EG37" s="645">
        <f t="shared" si="4"/>
        <v>9.63781</v>
      </c>
      <c r="EH37" s="361">
        <v>0</v>
      </c>
      <c r="EI37" s="647">
        <v>0</v>
      </c>
      <c r="EJ37" s="647">
        <v>2.5</v>
      </c>
      <c r="EK37" s="647">
        <f t="shared" si="5"/>
        <v>3.73</v>
      </c>
      <c r="EL37" s="522"/>
      <c r="EM37" s="522"/>
      <c r="EN37" s="522"/>
      <c r="EO37" s="522"/>
      <c r="EP37" s="522"/>
      <c r="EQ37" s="522"/>
      <c r="ER37" s="522"/>
      <c r="ES37" s="407"/>
      <c r="ET37" s="407"/>
    </row>
    <row r="38" spans="1:150" s="357" customFormat="1" ht="15">
      <c r="A38" s="675" t="s">
        <v>9</v>
      </c>
      <c r="B38" s="712">
        <v>41664</v>
      </c>
      <c r="C38" s="713">
        <v>0</v>
      </c>
      <c r="D38" s="681">
        <v>0</v>
      </c>
      <c r="E38" s="681">
        <v>0</v>
      </c>
      <c r="F38" s="681">
        <v>38</v>
      </c>
      <c r="G38" s="807">
        <v>1</v>
      </c>
      <c r="H38" s="807" t="s">
        <v>744</v>
      </c>
      <c r="I38" s="807">
        <v>95.08</v>
      </c>
      <c r="J38" s="807">
        <v>0.16</v>
      </c>
      <c r="K38" s="807" t="s">
        <v>744</v>
      </c>
      <c r="L38" s="821">
        <f t="shared" si="6"/>
        <v>33.68</v>
      </c>
      <c r="M38" s="807">
        <v>18.399999999999999</v>
      </c>
      <c r="N38" s="807">
        <v>1.47</v>
      </c>
      <c r="O38" s="807">
        <v>1.6096677919661457</v>
      </c>
      <c r="P38" s="807" t="s">
        <v>744</v>
      </c>
      <c r="Q38" s="807" t="s">
        <v>743</v>
      </c>
      <c r="R38" s="865">
        <v>456.70589167767497</v>
      </c>
      <c r="S38" s="807">
        <v>8.02</v>
      </c>
      <c r="T38" s="807" t="s">
        <v>744</v>
      </c>
      <c r="U38" s="807">
        <v>0.69</v>
      </c>
      <c r="V38" s="807" t="s">
        <v>744</v>
      </c>
      <c r="W38" s="807">
        <v>44.42</v>
      </c>
      <c r="X38" s="690">
        <v>32</v>
      </c>
      <c r="Y38" s="807">
        <v>19.54</v>
      </c>
      <c r="Z38" s="807">
        <v>14.2</v>
      </c>
      <c r="AA38" s="794">
        <v>19.579999999999998</v>
      </c>
      <c r="AB38" s="794">
        <v>14.1</v>
      </c>
      <c r="AC38" s="775">
        <f t="shared" si="15"/>
        <v>33.68</v>
      </c>
      <c r="AD38" s="775">
        <f t="shared" si="16"/>
        <v>52.102959999999996</v>
      </c>
      <c r="AE38" s="775"/>
      <c r="AF38" s="567"/>
      <c r="AG38" s="2">
        <v>1</v>
      </c>
      <c r="AH38" s="362"/>
      <c r="AI38" s="362"/>
      <c r="AJ38" s="2"/>
      <c r="AK38" s="407"/>
      <c r="AL38" s="407"/>
      <c r="AM38" s="407"/>
      <c r="AN38" s="407"/>
      <c r="AO38" s="387"/>
      <c r="AP38" s="387"/>
      <c r="AQ38" s="405"/>
      <c r="AR38" s="578">
        <v>0</v>
      </c>
      <c r="AS38" s="405">
        <v>11.9</v>
      </c>
      <c r="AT38" s="578">
        <v>0</v>
      </c>
      <c r="AU38" s="405">
        <v>20.3</v>
      </c>
      <c r="AV38" s="644">
        <v>255</v>
      </c>
      <c r="AW38" s="644">
        <v>399.9</v>
      </c>
      <c r="AX38" s="405">
        <v>0</v>
      </c>
      <c r="AY38" s="578">
        <v>0</v>
      </c>
      <c r="AZ38" s="578">
        <v>0</v>
      </c>
      <c r="BA38" s="578">
        <v>0</v>
      </c>
      <c r="BB38" s="924">
        <v>1</v>
      </c>
      <c r="BC38" s="405">
        <v>0</v>
      </c>
      <c r="BD38" s="405">
        <v>1.5</v>
      </c>
      <c r="BE38" s="578">
        <v>0</v>
      </c>
      <c r="BF38" s="405">
        <v>1</v>
      </c>
      <c r="BG38" s="405">
        <v>0</v>
      </c>
      <c r="BH38" s="578">
        <v>0</v>
      </c>
      <c r="BI38" s="405">
        <v>0</v>
      </c>
      <c r="BJ38" s="405">
        <v>11.7</v>
      </c>
      <c r="BK38" s="405">
        <v>2.92</v>
      </c>
      <c r="BL38" s="405">
        <v>0.81</v>
      </c>
      <c r="BM38" s="405">
        <v>0</v>
      </c>
      <c r="BN38" s="405">
        <v>6.9</v>
      </c>
      <c r="BO38" s="646">
        <v>1247.7</v>
      </c>
      <c r="BP38" s="648">
        <v>0</v>
      </c>
      <c r="BQ38" s="649">
        <v>21.39</v>
      </c>
      <c r="BR38" s="649">
        <v>21.35</v>
      </c>
      <c r="BS38" s="649">
        <v>8.4</v>
      </c>
      <c r="BT38" s="649">
        <v>8.5</v>
      </c>
      <c r="BU38" s="648">
        <v>19</v>
      </c>
      <c r="BV38" s="648">
        <v>23.8</v>
      </c>
      <c r="BW38" s="649">
        <v>679.3</v>
      </c>
      <c r="BX38" s="876"/>
      <c r="BY38" s="649">
        <v>0.14000000000000001</v>
      </c>
      <c r="BZ38" s="649">
        <v>1.41</v>
      </c>
      <c r="CA38" s="649">
        <v>1.3</v>
      </c>
      <c r="CB38" s="649">
        <v>8.6999999999999993</v>
      </c>
      <c r="CC38" s="649">
        <v>8.1</v>
      </c>
      <c r="CD38" s="649">
        <v>15.4</v>
      </c>
      <c r="CE38" s="649">
        <v>33.5</v>
      </c>
      <c r="CF38" s="649">
        <v>12.7</v>
      </c>
      <c r="CG38" s="649">
        <v>7.1</v>
      </c>
      <c r="CH38" s="649">
        <v>12.5</v>
      </c>
      <c r="CI38" s="649">
        <v>16.5</v>
      </c>
      <c r="CJ38" s="649">
        <v>13.24</v>
      </c>
      <c r="CK38" s="649">
        <v>0</v>
      </c>
      <c r="CL38" s="649">
        <v>1.9</v>
      </c>
      <c r="CM38" s="647">
        <v>2.9</v>
      </c>
      <c r="CN38" s="647">
        <v>495.7</v>
      </c>
      <c r="CO38" s="647">
        <v>335.6</v>
      </c>
      <c r="CP38" s="647">
        <v>431</v>
      </c>
      <c r="CQ38" s="649">
        <v>13.4</v>
      </c>
      <c r="CR38" s="649">
        <v>1.77</v>
      </c>
      <c r="CS38" s="405">
        <v>9575.1</v>
      </c>
      <c r="CT38" s="405">
        <v>16.186</v>
      </c>
      <c r="CU38" s="405">
        <v>49</v>
      </c>
      <c r="CV38" s="522">
        <v>0</v>
      </c>
      <c r="CW38" s="522">
        <v>0</v>
      </c>
      <c r="CX38" s="522">
        <v>0</v>
      </c>
      <c r="CY38" s="522">
        <v>0</v>
      </c>
      <c r="CZ38" s="689">
        <v>709</v>
      </c>
      <c r="DA38" s="689">
        <v>1190</v>
      </c>
      <c r="DB38" s="689">
        <v>750</v>
      </c>
      <c r="DC38" s="643">
        <v>1077.5</v>
      </c>
      <c r="DD38" s="522"/>
      <c r="DE38" s="522"/>
      <c r="DF38" s="522"/>
      <c r="DG38" s="522"/>
      <c r="DH38" s="522"/>
      <c r="DI38" s="522"/>
      <c r="DJ38" s="522"/>
      <c r="DK38" s="522"/>
      <c r="DL38" s="649"/>
      <c r="DM38" s="689"/>
      <c r="DN38" s="649"/>
      <c r="DO38" s="522"/>
      <c r="DP38" s="522"/>
      <c r="DQ38" s="522"/>
      <c r="DR38" s="522"/>
      <c r="DS38" s="522"/>
      <c r="DT38" s="522"/>
      <c r="DU38" s="522"/>
      <c r="DV38" s="522"/>
      <c r="DW38" s="522"/>
      <c r="DX38" s="522"/>
      <c r="DY38" s="522"/>
      <c r="DZ38" s="522"/>
      <c r="EA38" s="522"/>
      <c r="EB38" s="522"/>
      <c r="EC38" s="522"/>
      <c r="ED38" s="522"/>
      <c r="EE38" s="522"/>
      <c r="EF38" s="522"/>
      <c r="EG38" s="645">
        <f t="shared" si="4"/>
        <v>9.63781</v>
      </c>
      <c r="EH38" s="361">
        <v>0</v>
      </c>
      <c r="EI38" s="647">
        <v>0</v>
      </c>
      <c r="EJ38" s="647">
        <v>2.5</v>
      </c>
      <c r="EK38" s="647">
        <f t="shared" si="5"/>
        <v>3.73</v>
      </c>
      <c r="EL38" s="522"/>
      <c r="EM38" s="522"/>
      <c r="EN38" s="522"/>
      <c r="EO38" s="522"/>
      <c r="EP38" s="522"/>
      <c r="EQ38" s="522"/>
      <c r="ER38" s="522"/>
      <c r="ES38" s="407"/>
      <c r="ET38" s="407"/>
    </row>
    <row r="39" spans="1:150" s="357" customFormat="1" ht="15">
      <c r="A39" s="675" t="s">
        <v>3</v>
      </c>
      <c r="B39" s="712">
        <v>41665</v>
      </c>
      <c r="C39" s="713">
        <v>0</v>
      </c>
      <c r="D39" s="681">
        <v>0</v>
      </c>
      <c r="E39" s="681">
        <v>0</v>
      </c>
      <c r="F39" s="681">
        <v>40</v>
      </c>
      <c r="G39" s="807">
        <v>1</v>
      </c>
      <c r="H39" s="807" t="s">
        <v>744</v>
      </c>
      <c r="I39" s="807">
        <v>95.07</v>
      </c>
      <c r="J39" s="807">
        <v>0.05</v>
      </c>
      <c r="K39" s="807" t="s">
        <v>744</v>
      </c>
      <c r="L39" s="821">
        <f t="shared" si="6"/>
        <v>33.78</v>
      </c>
      <c r="M39" s="807">
        <v>18.100000000000001</v>
      </c>
      <c r="N39" s="807">
        <v>1.36</v>
      </c>
      <c r="O39" s="807">
        <v>1.6519934977673751</v>
      </c>
      <c r="P39" s="807" t="s">
        <v>744</v>
      </c>
      <c r="Q39" s="807" t="s">
        <v>743</v>
      </c>
      <c r="R39" s="865">
        <v>478.08361426684269</v>
      </c>
      <c r="S39" s="807">
        <v>7.91</v>
      </c>
      <c r="T39" s="807" t="s">
        <v>744</v>
      </c>
      <c r="U39" s="807">
        <v>0.77</v>
      </c>
      <c r="V39" s="807" t="s">
        <v>744</v>
      </c>
      <c r="W39" s="807">
        <v>44.600000000000009</v>
      </c>
      <c r="X39" s="690">
        <v>32</v>
      </c>
      <c r="Y39" s="807">
        <v>19.579999999999998</v>
      </c>
      <c r="Z39" s="807">
        <v>14.1</v>
      </c>
      <c r="AA39" s="794">
        <v>19.68</v>
      </c>
      <c r="AB39" s="794">
        <v>14.1</v>
      </c>
      <c r="AC39" s="775">
        <f t="shared" si="15"/>
        <v>33.78</v>
      </c>
      <c r="AD39" s="775">
        <f t="shared" si="16"/>
        <v>52.257660000000001</v>
      </c>
      <c r="AE39" s="775"/>
      <c r="AF39" s="567"/>
      <c r="AG39" s="2">
        <v>1</v>
      </c>
      <c r="AH39" s="362"/>
      <c r="AI39" s="362"/>
      <c r="AJ39" s="2"/>
      <c r="AK39" s="407"/>
      <c r="AL39" s="407"/>
      <c r="AM39" s="407"/>
      <c r="AN39" s="407"/>
      <c r="AO39" s="387"/>
      <c r="AP39" s="387"/>
      <c r="AQ39" s="405"/>
      <c r="AR39" s="578">
        <v>0</v>
      </c>
      <c r="AS39" s="405">
        <v>21.7</v>
      </c>
      <c r="AT39" s="578">
        <v>0</v>
      </c>
      <c r="AU39" s="405">
        <v>20.2</v>
      </c>
      <c r="AV39" s="644">
        <v>455.5</v>
      </c>
      <c r="AW39" s="644">
        <v>577.1</v>
      </c>
      <c r="AX39" s="405">
        <v>0</v>
      </c>
      <c r="AY39" s="578">
        <v>0</v>
      </c>
      <c r="AZ39" s="578">
        <v>0</v>
      </c>
      <c r="BA39" s="578">
        <v>0</v>
      </c>
      <c r="BB39" s="1086">
        <v>0.997</v>
      </c>
      <c r="BC39" s="405">
        <v>0</v>
      </c>
      <c r="BD39" s="405">
        <v>1.5</v>
      </c>
      <c r="BE39" s="578">
        <v>0</v>
      </c>
      <c r="BF39" s="405">
        <v>1</v>
      </c>
      <c r="BG39" s="405">
        <v>0</v>
      </c>
      <c r="BH39" s="578">
        <v>0</v>
      </c>
      <c r="BI39" s="405">
        <v>0</v>
      </c>
      <c r="BJ39" s="405">
        <v>11.7</v>
      </c>
      <c r="BK39" s="405">
        <v>2.91</v>
      </c>
      <c r="BL39" s="405">
        <v>0.81</v>
      </c>
      <c r="BM39" s="405">
        <v>0</v>
      </c>
      <c r="BN39" s="405">
        <v>6.9</v>
      </c>
      <c r="BO39" s="648">
        <v>1261.2</v>
      </c>
      <c r="BP39" s="648">
        <v>0</v>
      </c>
      <c r="BQ39" s="649">
        <v>19.71</v>
      </c>
      <c r="BR39" s="649">
        <v>19.68</v>
      </c>
      <c r="BS39" s="649">
        <v>8.1999999999999993</v>
      </c>
      <c r="BT39" s="649">
        <v>8.3000000000000007</v>
      </c>
      <c r="BU39" s="648">
        <v>18.600000000000001</v>
      </c>
      <c r="BV39" s="648">
        <v>23.7</v>
      </c>
      <c r="BW39" s="649">
        <v>495.3</v>
      </c>
      <c r="BX39" s="876"/>
      <c r="BY39" s="649">
        <v>0.14000000000000001</v>
      </c>
      <c r="BZ39" s="649">
        <v>1.39</v>
      </c>
      <c r="CA39" s="649">
        <v>1.3</v>
      </c>
      <c r="CB39" s="649">
        <v>8.6999999999999993</v>
      </c>
      <c r="CC39" s="649">
        <v>8.1</v>
      </c>
      <c r="CD39" s="649">
        <v>15</v>
      </c>
      <c r="CE39" s="649">
        <v>33.4</v>
      </c>
      <c r="CF39" s="649">
        <v>12.2</v>
      </c>
      <c r="CG39" s="649">
        <v>7.8</v>
      </c>
      <c r="CH39" s="649">
        <v>13.3</v>
      </c>
      <c r="CI39" s="649">
        <v>17.3</v>
      </c>
      <c r="CJ39" s="649">
        <v>12.8</v>
      </c>
      <c r="CK39" s="649">
        <v>0</v>
      </c>
      <c r="CL39" s="649">
        <v>1.9</v>
      </c>
      <c r="CM39" s="649">
        <v>2.8</v>
      </c>
      <c r="CN39" s="649">
        <v>571.9</v>
      </c>
      <c r="CO39" s="647">
        <v>348.1</v>
      </c>
      <c r="CP39" s="649">
        <v>433.3</v>
      </c>
      <c r="CQ39" s="649">
        <v>13.4</v>
      </c>
      <c r="CR39" s="649">
        <v>1.78</v>
      </c>
      <c r="CS39" s="405">
        <v>9477.2000000000007</v>
      </c>
      <c r="CT39" s="405">
        <v>16.545000000000002</v>
      </c>
      <c r="CU39" s="405">
        <v>49</v>
      </c>
      <c r="CV39" s="522">
        <v>0</v>
      </c>
      <c r="CW39" s="522">
        <v>0</v>
      </c>
      <c r="CX39" s="522">
        <v>0</v>
      </c>
      <c r="CY39" s="522">
        <v>0</v>
      </c>
      <c r="CZ39" s="689">
        <v>705</v>
      </c>
      <c r="DA39" s="689">
        <v>1170</v>
      </c>
      <c r="DB39" s="689">
        <v>747</v>
      </c>
      <c r="DC39" s="643">
        <v>1077.2</v>
      </c>
      <c r="DD39" s="522"/>
      <c r="DE39" s="522"/>
      <c r="DF39" s="522"/>
      <c r="DG39" s="522"/>
      <c r="DH39" s="522"/>
      <c r="DI39" s="522"/>
      <c r="DJ39" s="522"/>
      <c r="DK39" s="522"/>
      <c r="DL39" s="649"/>
      <c r="DM39" s="689"/>
      <c r="DN39" s="649"/>
      <c r="DO39" s="522"/>
      <c r="DP39" s="522"/>
      <c r="DQ39" s="522"/>
      <c r="DR39" s="522"/>
      <c r="DS39" s="522"/>
      <c r="DT39" s="522"/>
      <c r="DU39" s="522"/>
      <c r="DV39" s="522"/>
      <c r="DW39" s="522"/>
      <c r="DX39" s="522"/>
      <c r="DY39" s="522"/>
      <c r="DZ39" s="522"/>
      <c r="EA39" s="522"/>
      <c r="EB39" s="522"/>
      <c r="EC39" s="522"/>
      <c r="ED39" s="522"/>
      <c r="EE39" s="522"/>
      <c r="EF39" s="522"/>
      <c r="EG39" s="645">
        <f t="shared" si="4"/>
        <v>9.6223400000000012</v>
      </c>
      <c r="EH39" s="361">
        <v>0</v>
      </c>
      <c r="EI39" s="647">
        <v>0</v>
      </c>
      <c r="EJ39" s="647">
        <v>2.5</v>
      </c>
      <c r="EK39" s="647">
        <f t="shared" si="5"/>
        <v>3.72</v>
      </c>
      <c r="EL39" s="522"/>
      <c r="EM39" s="522"/>
      <c r="EN39" s="522"/>
      <c r="EO39" s="522"/>
      <c r="EP39" s="522"/>
      <c r="EQ39" s="522"/>
      <c r="ER39" s="522"/>
      <c r="ES39" s="407"/>
      <c r="ET39" s="407"/>
    </row>
    <row r="40" spans="1:150" s="357" customFormat="1" ht="15">
      <c r="A40" s="675" t="s">
        <v>4</v>
      </c>
      <c r="B40" s="712">
        <v>41666</v>
      </c>
      <c r="C40" s="713">
        <v>0</v>
      </c>
      <c r="D40" s="681">
        <v>0</v>
      </c>
      <c r="E40" s="681">
        <v>0</v>
      </c>
      <c r="F40" s="681">
        <v>43</v>
      </c>
      <c r="G40" s="807">
        <v>1</v>
      </c>
      <c r="H40" s="807" t="s">
        <v>744</v>
      </c>
      <c r="I40" s="807">
        <v>95.6</v>
      </c>
      <c r="J40" s="807">
        <v>0.06</v>
      </c>
      <c r="K40" s="807" t="s">
        <v>744</v>
      </c>
      <c r="L40" s="821">
        <f t="shared" si="6"/>
        <v>33.700000000000003</v>
      </c>
      <c r="M40" s="807">
        <v>17.7</v>
      </c>
      <c r="N40" s="807">
        <v>1.45</v>
      </c>
      <c r="O40" s="807">
        <v>1.6230603915692341</v>
      </c>
      <c r="P40" s="807" t="s">
        <v>744</v>
      </c>
      <c r="Q40" s="807" t="s">
        <v>743</v>
      </c>
      <c r="R40" s="865">
        <v>453.4668428005283</v>
      </c>
      <c r="S40" s="807">
        <v>8.01</v>
      </c>
      <c r="T40" s="807" t="s">
        <v>744</v>
      </c>
      <c r="U40" s="807">
        <v>0.71</v>
      </c>
      <c r="V40" s="807" t="s">
        <v>744</v>
      </c>
      <c r="W40" s="807">
        <v>44.42</v>
      </c>
      <c r="X40" s="690">
        <v>32</v>
      </c>
      <c r="Y40" s="807">
        <v>19.68</v>
      </c>
      <c r="Z40" s="807">
        <v>14.1</v>
      </c>
      <c r="AA40" s="794">
        <v>19.5</v>
      </c>
      <c r="AB40" s="794">
        <v>14.2</v>
      </c>
      <c r="AC40" s="775">
        <f t="shared" ref="AC40" si="17">AA40+AB40</f>
        <v>33.700000000000003</v>
      </c>
      <c r="AD40" s="775">
        <f t="shared" ref="AD40" si="18">AC40*1.547</f>
        <v>52.133900000000004</v>
      </c>
      <c r="AE40" s="775"/>
      <c r="AF40" s="567"/>
      <c r="AG40" s="2">
        <v>1</v>
      </c>
      <c r="AH40" s="362"/>
      <c r="AI40" s="362"/>
      <c r="AJ40" s="2"/>
      <c r="AK40" s="407"/>
      <c r="AL40" s="407"/>
      <c r="AM40" s="407"/>
      <c r="AN40" s="407"/>
      <c r="AO40" s="387"/>
      <c r="AP40" s="387"/>
      <c r="AQ40" s="405"/>
      <c r="AR40" s="578">
        <v>0</v>
      </c>
      <c r="AS40" s="405">
        <v>11</v>
      </c>
      <c r="AT40" s="578">
        <v>0</v>
      </c>
      <c r="AU40" s="405">
        <v>20.2</v>
      </c>
      <c r="AV40" s="644">
        <v>422.3</v>
      </c>
      <c r="AW40" s="644">
        <v>212.9</v>
      </c>
      <c r="AX40" s="405">
        <v>0</v>
      </c>
      <c r="AY40" s="578">
        <v>0</v>
      </c>
      <c r="AZ40" s="578">
        <v>0</v>
      </c>
      <c r="BA40" s="578">
        <v>0</v>
      </c>
      <c r="BB40" s="1086">
        <v>1.006</v>
      </c>
      <c r="BC40" s="405">
        <v>0</v>
      </c>
      <c r="BD40" s="405">
        <v>1.5</v>
      </c>
      <c r="BE40" s="578">
        <v>0</v>
      </c>
      <c r="BF40" s="405">
        <v>1</v>
      </c>
      <c r="BG40" s="405">
        <v>0</v>
      </c>
      <c r="BH40" s="578">
        <v>0</v>
      </c>
      <c r="BI40" s="405">
        <v>0</v>
      </c>
      <c r="BJ40" s="405">
        <v>11.7</v>
      </c>
      <c r="BK40" s="405">
        <v>2.92</v>
      </c>
      <c r="BL40" s="405">
        <v>0.8</v>
      </c>
      <c r="BM40" s="405">
        <v>0</v>
      </c>
      <c r="BN40" s="405">
        <v>6.9</v>
      </c>
      <c r="BO40" s="648">
        <v>1100</v>
      </c>
      <c r="BP40" s="648">
        <v>0</v>
      </c>
      <c r="BQ40" s="649">
        <v>18.61</v>
      </c>
      <c r="BR40" s="649">
        <v>18.59</v>
      </c>
      <c r="BS40" s="649">
        <v>8.4</v>
      </c>
      <c r="BT40" s="649">
        <v>8.5</v>
      </c>
      <c r="BU40" s="648">
        <v>18.899999999999999</v>
      </c>
      <c r="BV40" s="648">
        <v>22.4</v>
      </c>
      <c r="BW40" s="649">
        <v>675.2</v>
      </c>
      <c r="BX40" s="876"/>
      <c r="BY40" s="649">
        <v>0.13</v>
      </c>
      <c r="BZ40" s="649">
        <v>1.38</v>
      </c>
      <c r="CA40" s="649">
        <v>1.3</v>
      </c>
      <c r="CB40" s="649">
        <v>8.6999999999999993</v>
      </c>
      <c r="CC40" s="649">
        <v>8.1</v>
      </c>
      <c r="CD40" s="649">
        <v>16.2</v>
      </c>
      <c r="CE40" s="649">
        <v>33.200000000000003</v>
      </c>
      <c r="CF40" s="649">
        <v>15.2</v>
      </c>
      <c r="CG40" s="649">
        <v>8.1999999999999993</v>
      </c>
      <c r="CH40" s="649">
        <v>13.7</v>
      </c>
      <c r="CI40" s="649">
        <v>17.7</v>
      </c>
      <c r="CJ40" s="649">
        <v>14.3</v>
      </c>
      <c r="CK40" s="649">
        <v>0</v>
      </c>
      <c r="CL40" s="649">
        <v>2.7</v>
      </c>
      <c r="CM40" s="649">
        <v>2.7</v>
      </c>
      <c r="CN40" s="649">
        <v>456.9</v>
      </c>
      <c r="CO40" s="647">
        <v>309.89999999999998</v>
      </c>
      <c r="CP40" s="649">
        <v>451.8</v>
      </c>
      <c r="CQ40" s="649">
        <v>14.4</v>
      </c>
      <c r="CR40" s="649">
        <v>1.98</v>
      </c>
      <c r="CS40" s="405">
        <v>13667.4</v>
      </c>
      <c r="CT40" s="405">
        <v>17.387</v>
      </c>
      <c r="CU40" s="405">
        <v>50</v>
      </c>
      <c r="CV40" s="522">
        <v>0</v>
      </c>
      <c r="CW40" s="522">
        <v>0</v>
      </c>
      <c r="CX40" s="522">
        <v>0</v>
      </c>
      <c r="CY40" s="522">
        <v>0</v>
      </c>
      <c r="CZ40" s="689">
        <v>666</v>
      </c>
      <c r="DA40" s="689">
        <v>1120</v>
      </c>
      <c r="DB40" s="689">
        <v>713</v>
      </c>
      <c r="DC40" s="643">
        <v>1076.53</v>
      </c>
      <c r="DD40" s="522"/>
      <c r="DE40" s="522"/>
      <c r="DF40" s="522"/>
      <c r="DG40" s="522"/>
      <c r="DH40" s="522"/>
      <c r="DI40" s="522"/>
      <c r="DJ40" s="522"/>
      <c r="DK40" s="522"/>
      <c r="DL40" s="649"/>
      <c r="DM40" s="689"/>
      <c r="DN40" s="649"/>
      <c r="DO40" s="522"/>
      <c r="DP40" s="522"/>
      <c r="DQ40" s="522"/>
      <c r="DR40" s="522"/>
      <c r="DS40" s="522"/>
      <c r="DT40" s="522"/>
      <c r="DU40" s="522"/>
      <c r="DV40" s="522"/>
      <c r="DW40" s="522"/>
      <c r="DX40" s="522"/>
      <c r="DY40" s="522"/>
      <c r="DZ40" s="522"/>
      <c r="EA40" s="522"/>
      <c r="EB40" s="522"/>
      <c r="EC40" s="522"/>
      <c r="ED40" s="522"/>
      <c r="EE40" s="522"/>
      <c r="EF40" s="522"/>
      <c r="EG40" s="645">
        <f t="shared" si="4"/>
        <v>9.6223399999999994</v>
      </c>
      <c r="EH40" s="361">
        <v>0</v>
      </c>
      <c r="EI40" s="647">
        <v>0</v>
      </c>
      <c r="EJ40" s="647">
        <v>2.5</v>
      </c>
      <c r="EK40" s="647">
        <f t="shared" si="5"/>
        <v>3.7199999999999998</v>
      </c>
      <c r="EL40" s="522"/>
      <c r="EM40" s="522"/>
      <c r="EN40" s="522"/>
      <c r="EO40" s="522"/>
      <c r="EP40" s="522"/>
      <c r="EQ40" s="522"/>
      <c r="ER40" s="522"/>
      <c r="ES40" s="407"/>
      <c r="ET40" s="407"/>
    </row>
    <row r="41" spans="1:150" s="357" customFormat="1" ht="15">
      <c r="A41" s="675" t="s">
        <v>5</v>
      </c>
      <c r="B41" s="712">
        <v>41667</v>
      </c>
      <c r="C41" s="713">
        <v>0</v>
      </c>
      <c r="D41" s="681">
        <v>0.28000000000000003</v>
      </c>
      <c r="E41" s="681">
        <v>0</v>
      </c>
      <c r="F41" s="681">
        <v>40</v>
      </c>
      <c r="G41" s="807">
        <v>0.95</v>
      </c>
      <c r="H41" s="807" t="s">
        <v>744</v>
      </c>
      <c r="I41" s="807">
        <v>95.39</v>
      </c>
      <c r="J41" s="807">
        <v>0.06</v>
      </c>
      <c r="K41" s="807" t="s">
        <v>744</v>
      </c>
      <c r="L41" s="821">
        <f t="shared" si="6"/>
        <v>33.6</v>
      </c>
      <c r="M41" s="807">
        <v>17.3</v>
      </c>
      <c r="N41" s="807">
        <v>1.46</v>
      </c>
      <c r="O41" s="807">
        <v>1.6254642940399406</v>
      </c>
      <c r="P41" s="807" t="s">
        <v>744</v>
      </c>
      <c r="Q41" s="807" t="s">
        <v>743</v>
      </c>
      <c r="R41" s="865">
        <v>460.91665521796563</v>
      </c>
      <c r="S41" s="807">
        <v>8.02</v>
      </c>
      <c r="T41" s="807" t="s">
        <v>744</v>
      </c>
      <c r="U41" s="807">
        <v>0.7</v>
      </c>
      <c r="V41" s="807" t="s">
        <v>744</v>
      </c>
      <c r="W41" s="807">
        <v>45.319999999999993</v>
      </c>
      <c r="X41" s="690">
        <v>32</v>
      </c>
      <c r="Y41" s="807">
        <v>19.5</v>
      </c>
      <c r="Z41" s="807">
        <v>14.2</v>
      </c>
      <c r="AA41" s="794">
        <v>19.600000000000001</v>
      </c>
      <c r="AB41" s="794">
        <v>14</v>
      </c>
      <c r="AC41" s="775">
        <f>AA41+AB41</f>
        <v>33.6</v>
      </c>
      <c r="AD41" s="775">
        <f t="shared" ref="AD41" si="19">AC41*1.547</f>
        <v>51.979199999999999</v>
      </c>
      <c r="AE41" s="775"/>
      <c r="AF41" s="567"/>
      <c r="AG41" s="2">
        <v>1</v>
      </c>
      <c r="AH41" s="705"/>
      <c r="AI41" s="362"/>
      <c r="AJ41" s="2"/>
      <c r="AK41" s="407"/>
      <c r="AL41" s="407"/>
      <c r="AM41" s="407"/>
      <c r="AN41" s="407"/>
      <c r="AO41" s="387"/>
      <c r="AP41" s="387"/>
      <c r="AQ41" s="405"/>
      <c r="AR41" s="578">
        <v>0</v>
      </c>
      <c r="AS41" s="405">
        <v>21.5</v>
      </c>
      <c r="AT41" s="578">
        <v>0</v>
      </c>
      <c r="AU41" s="405">
        <v>20.2</v>
      </c>
      <c r="AV41" s="644">
        <v>595.20000000000005</v>
      </c>
      <c r="AW41" s="644">
        <v>45.9</v>
      </c>
      <c r="AX41" s="405">
        <v>0</v>
      </c>
      <c r="AY41" s="578">
        <v>0</v>
      </c>
      <c r="AZ41" s="578">
        <v>0</v>
      </c>
      <c r="BA41" s="578">
        <v>0</v>
      </c>
      <c r="BB41" s="1086">
        <v>0.999</v>
      </c>
      <c r="BC41" s="405">
        <v>0</v>
      </c>
      <c r="BD41" s="405">
        <v>1.5</v>
      </c>
      <c r="BE41" s="578">
        <v>0</v>
      </c>
      <c r="BF41" s="405">
        <v>1</v>
      </c>
      <c r="BG41" s="405">
        <v>0</v>
      </c>
      <c r="BH41" s="578">
        <v>0</v>
      </c>
      <c r="BI41" s="405">
        <v>0</v>
      </c>
      <c r="BJ41" s="405">
        <v>11.6</v>
      </c>
      <c r="BK41" s="405">
        <v>2.92</v>
      </c>
      <c r="BL41" s="405">
        <v>0.7</v>
      </c>
      <c r="BM41" s="405">
        <v>0</v>
      </c>
      <c r="BN41" s="405">
        <v>6.9</v>
      </c>
      <c r="BO41" s="648">
        <v>1019.8</v>
      </c>
      <c r="BP41" s="648">
        <v>0</v>
      </c>
      <c r="BQ41" s="649">
        <v>21.18</v>
      </c>
      <c r="BR41" s="649">
        <v>21.16</v>
      </c>
      <c r="BS41" s="649">
        <v>8.3000000000000007</v>
      </c>
      <c r="BT41" s="649">
        <v>8.4</v>
      </c>
      <c r="BU41" s="648">
        <v>18.8</v>
      </c>
      <c r="BV41" s="648">
        <v>12.3</v>
      </c>
      <c r="BW41" s="649">
        <v>469.1</v>
      </c>
      <c r="BX41" s="876"/>
      <c r="BY41" s="649">
        <v>0.14000000000000001</v>
      </c>
      <c r="BZ41" s="649">
        <v>1.38</v>
      </c>
      <c r="CA41" s="649">
        <v>1.3</v>
      </c>
      <c r="CB41" s="649">
        <v>8.6999999999999993</v>
      </c>
      <c r="CC41" s="649">
        <v>8.1999999999999993</v>
      </c>
      <c r="CD41" s="649">
        <v>16.100000000000001</v>
      </c>
      <c r="CE41" s="649">
        <v>33.1</v>
      </c>
      <c r="CF41" s="649">
        <v>14.8</v>
      </c>
      <c r="CG41" s="649">
        <v>8.3000000000000007</v>
      </c>
      <c r="CH41" s="649">
        <v>13.8</v>
      </c>
      <c r="CI41" s="649">
        <v>17.899999999999999</v>
      </c>
      <c r="CJ41" s="649">
        <v>13.7</v>
      </c>
      <c r="CK41" s="649">
        <v>0</v>
      </c>
      <c r="CL41" s="649">
        <v>2</v>
      </c>
      <c r="CM41" s="649">
        <v>2.7</v>
      </c>
      <c r="CN41" s="649">
        <v>370.5</v>
      </c>
      <c r="CO41" s="647">
        <v>301.60000000000002</v>
      </c>
      <c r="CP41" s="649">
        <v>452.5</v>
      </c>
      <c r="CQ41" s="649">
        <v>13</v>
      </c>
      <c r="CR41" s="649">
        <v>1.89</v>
      </c>
      <c r="CS41" s="405">
        <v>15832.9</v>
      </c>
      <c r="CT41" s="405">
        <v>15.872</v>
      </c>
      <c r="CU41" s="405">
        <v>50</v>
      </c>
      <c r="CV41" s="522">
        <v>0</v>
      </c>
      <c r="CW41" s="522">
        <v>0</v>
      </c>
      <c r="CX41" s="522">
        <v>0</v>
      </c>
      <c r="CY41" s="522">
        <v>0</v>
      </c>
      <c r="CZ41" s="689">
        <v>604</v>
      </c>
      <c r="DA41" s="689">
        <v>1090</v>
      </c>
      <c r="DB41" s="689">
        <v>663</v>
      </c>
      <c r="DC41" s="643">
        <v>1076.23</v>
      </c>
      <c r="DD41" s="522"/>
      <c r="DE41" s="522"/>
      <c r="DF41" s="522"/>
      <c r="DG41" s="522"/>
      <c r="DH41" s="522"/>
      <c r="DI41" s="522"/>
      <c r="DJ41" s="522"/>
      <c r="DK41" s="522"/>
      <c r="DL41" s="649"/>
      <c r="DM41" s="689"/>
      <c r="DN41" s="649"/>
      <c r="DO41" s="522"/>
      <c r="DP41" s="522"/>
      <c r="DQ41" s="522"/>
      <c r="DR41" s="522"/>
      <c r="DS41" s="522"/>
      <c r="DT41" s="522"/>
      <c r="DU41" s="522"/>
      <c r="DV41" s="522"/>
      <c r="DW41" s="522"/>
      <c r="DX41" s="522"/>
      <c r="DY41" s="522"/>
      <c r="DZ41" s="522"/>
      <c r="EA41" s="522"/>
      <c r="EB41" s="522"/>
      <c r="EC41" s="522"/>
      <c r="ED41" s="522"/>
      <c r="EE41" s="522"/>
      <c r="EF41" s="522"/>
      <c r="EG41" s="645">
        <f t="shared" si="4"/>
        <v>9.4676399999999994</v>
      </c>
      <c r="EH41" s="361">
        <v>0</v>
      </c>
      <c r="EI41" s="647">
        <v>0</v>
      </c>
      <c r="EJ41" s="647">
        <v>2.5</v>
      </c>
      <c r="EK41" s="647">
        <f t="shared" si="5"/>
        <v>3.62</v>
      </c>
      <c r="EL41" s="522"/>
      <c r="EM41" s="522"/>
      <c r="EN41" s="522"/>
      <c r="EO41" s="522"/>
      <c r="EP41" s="522"/>
      <c r="EQ41" s="522"/>
      <c r="ER41" s="522"/>
      <c r="ES41" s="407"/>
      <c r="ET41" s="407"/>
    </row>
    <row r="42" spans="1:150" s="357" customFormat="1" ht="15">
      <c r="A42" s="675" t="s">
        <v>6</v>
      </c>
      <c r="B42" s="712">
        <v>41668</v>
      </c>
      <c r="C42" s="713">
        <v>0</v>
      </c>
      <c r="D42" s="681">
        <v>2.15</v>
      </c>
      <c r="E42" s="681">
        <v>0</v>
      </c>
      <c r="F42" s="681">
        <v>41</v>
      </c>
      <c r="G42" s="807">
        <v>1.25</v>
      </c>
      <c r="H42" s="807" t="s">
        <v>744</v>
      </c>
      <c r="I42" s="807">
        <v>96.42</v>
      </c>
      <c r="J42" s="807">
        <v>0.06</v>
      </c>
      <c r="K42" s="807" t="s">
        <v>744</v>
      </c>
      <c r="L42" s="821">
        <f t="shared" si="6"/>
        <v>33.700000000000003</v>
      </c>
      <c r="M42" s="807">
        <v>17.399999999999999</v>
      </c>
      <c r="N42" s="807">
        <v>1.48</v>
      </c>
      <c r="O42" s="807">
        <v>1.6413072195738323</v>
      </c>
      <c r="P42" s="807" t="s">
        <v>744</v>
      </c>
      <c r="Q42" s="807" t="s">
        <v>743</v>
      </c>
      <c r="R42" s="865">
        <v>472.25332628797878</v>
      </c>
      <c r="S42" s="807">
        <v>7.98</v>
      </c>
      <c r="T42" s="807" t="s">
        <v>744</v>
      </c>
      <c r="U42" s="807">
        <v>0.74</v>
      </c>
      <c r="V42" s="807" t="s">
        <v>744</v>
      </c>
      <c r="W42" s="807">
        <v>44.239999999999995</v>
      </c>
      <c r="X42" s="690">
        <v>32</v>
      </c>
      <c r="Y42" s="807">
        <v>19.600000000000001</v>
      </c>
      <c r="Z42" s="807">
        <v>14</v>
      </c>
      <c r="AA42" s="794">
        <v>19.7</v>
      </c>
      <c r="AB42" s="794">
        <v>14</v>
      </c>
      <c r="AC42" s="775">
        <f t="shared" ref="AC42:AC43" si="20">AA42+AB42</f>
        <v>33.700000000000003</v>
      </c>
      <c r="AD42" s="775">
        <f t="shared" ref="AD42:AD43" si="21">AC42*1.547</f>
        <v>52.133900000000004</v>
      </c>
      <c r="AE42" s="775"/>
      <c r="AF42" s="567"/>
      <c r="AG42" s="2">
        <v>1</v>
      </c>
      <c r="AH42" s="705"/>
      <c r="AI42" s="362"/>
      <c r="AJ42" s="2"/>
      <c r="AK42" s="407"/>
      <c r="AL42" s="407"/>
      <c r="AM42" s="407"/>
      <c r="AN42" s="407"/>
      <c r="AO42" s="387"/>
      <c r="AP42" s="387"/>
      <c r="AQ42" s="405"/>
      <c r="AR42" s="578">
        <v>0</v>
      </c>
      <c r="AS42" s="405">
        <v>11</v>
      </c>
      <c r="AT42" s="578">
        <v>0</v>
      </c>
      <c r="AU42" s="405">
        <v>20.3</v>
      </c>
      <c r="AV42" s="644">
        <v>529.70000000000005</v>
      </c>
      <c r="AW42" s="644">
        <v>629.9</v>
      </c>
      <c r="AX42" s="405">
        <v>0</v>
      </c>
      <c r="AY42" s="578">
        <v>0</v>
      </c>
      <c r="AZ42" s="578">
        <v>0</v>
      </c>
      <c r="BA42" s="578">
        <v>0</v>
      </c>
      <c r="BB42" s="1086">
        <v>0.996</v>
      </c>
      <c r="BC42" s="405">
        <v>0</v>
      </c>
      <c r="BD42" s="405">
        <v>1.5</v>
      </c>
      <c r="BE42" s="578">
        <v>0</v>
      </c>
      <c r="BF42" s="405">
        <v>1</v>
      </c>
      <c r="BG42" s="405">
        <v>0</v>
      </c>
      <c r="BH42" s="578">
        <v>0</v>
      </c>
      <c r="BI42" s="405">
        <v>0</v>
      </c>
      <c r="BJ42" s="405">
        <v>11.5</v>
      </c>
      <c r="BK42" s="405">
        <v>2.91</v>
      </c>
      <c r="BL42" s="405">
        <v>0.67</v>
      </c>
      <c r="BM42" s="405">
        <v>0</v>
      </c>
      <c r="BN42" s="405">
        <v>6.9</v>
      </c>
      <c r="BO42" s="648">
        <v>1019.7</v>
      </c>
      <c r="BP42" s="648">
        <v>0</v>
      </c>
      <c r="BQ42" s="649">
        <v>20.36</v>
      </c>
      <c r="BR42" s="649">
        <v>20.32</v>
      </c>
      <c r="BS42" s="649">
        <v>8.1999999999999993</v>
      </c>
      <c r="BT42" s="649">
        <v>8.3000000000000007</v>
      </c>
      <c r="BU42" s="648">
        <v>18.600000000000001</v>
      </c>
      <c r="BV42" s="648">
        <v>21.5</v>
      </c>
      <c r="BW42" s="649">
        <v>667.3</v>
      </c>
      <c r="BX42" s="876"/>
      <c r="BY42" s="649">
        <v>0.15</v>
      </c>
      <c r="BZ42" s="649">
        <v>1.41</v>
      </c>
      <c r="CA42" s="649">
        <v>1.3</v>
      </c>
      <c r="CB42" s="649">
        <v>8.6999999999999993</v>
      </c>
      <c r="CC42" s="649">
        <v>8.3000000000000007</v>
      </c>
      <c r="CD42" s="649">
        <v>15.6</v>
      </c>
      <c r="CE42" s="649">
        <v>33.9</v>
      </c>
      <c r="CF42" s="649">
        <v>14.4</v>
      </c>
      <c r="CG42" s="649">
        <v>8.1999999999999993</v>
      </c>
      <c r="CH42" s="649">
        <v>13.7</v>
      </c>
      <c r="CI42" s="649">
        <v>18.100000000000001</v>
      </c>
      <c r="CJ42" s="649">
        <v>13.5</v>
      </c>
      <c r="CK42" s="649">
        <v>0</v>
      </c>
      <c r="CL42" s="649">
        <v>2</v>
      </c>
      <c r="CM42" s="649">
        <v>3.1</v>
      </c>
      <c r="CN42" s="649">
        <v>403.2</v>
      </c>
      <c r="CO42" s="649">
        <v>316</v>
      </c>
      <c r="CP42" s="649">
        <v>452.3</v>
      </c>
      <c r="CQ42" s="649">
        <v>12.6</v>
      </c>
      <c r="CR42" s="649">
        <v>1.83</v>
      </c>
      <c r="CS42" s="405">
        <v>9686.7999999999993</v>
      </c>
      <c r="CT42" s="405">
        <v>15.929</v>
      </c>
      <c r="CU42" s="405">
        <v>50</v>
      </c>
      <c r="CV42" s="522">
        <v>0</v>
      </c>
      <c r="CW42" s="522">
        <v>0</v>
      </c>
      <c r="CX42" s="522">
        <v>0</v>
      </c>
      <c r="CY42" s="522">
        <v>0</v>
      </c>
      <c r="CZ42" s="689">
        <v>1060</v>
      </c>
      <c r="DA42" s="689">
        <v>2010</v>
      </c>
      <c r="DB42" s="689">
        <v>1150</v>
      </c>
      <c r="DC42" s="643">
        <v>1078.58</v>
      </c>
      <c r="DD42" s="522"/>
      <c r="DE42" s="522"/>
      <c r="DF42" s="522"/>
      <c r="DG42" s="522"/>
      <c r="DH42" s="522"/>
      <c r="DI42" s="522"/>
      <c r="DJ42" s="522"/>
      <c r="DK42" s="522"/>
      <c r="DL42" s="649"/>
      <c r="DM42" s="689"/>
      <c r="DN42" s="649"/>
      <c r="DO42" s="522"/>
      <c r="DP42" s="522"/>
      <c r="DQ42" s="522"/>
      <c r="DR42" s="522"/>
      <c r="DS42" s="522"/>
      <c r="DT42" s="522"/>
      <c r="DU42" s="522"/>
      <c r="DV42" s="522"/>
      <c r="DW42" s="522"/>
      <c r="DX42" s="522"/>
      <c r="DY42" s="522"/>
      <c r="DZ42" s="522"/>
      <c r="EA42" s="522"/>
      <c r="EB42" s="522"/>
      <c r="EC42" s="522"/>
      <c r="ED42" s="522"/>
      <c r="EE42" s="522"/>
      <c r="EF42" s="522"/>
      <c r="EG42" s="645">
        <f t="shared" si="4"/>
        <v>9.405759999999999</v>
      </c>
      <c r="EH42" s="361">
        <v>0</v>
      </c>
      <c r="EI42" s="647">
        <v>0</v>
      </c>
      <c r="EJ42" s="647">
        <v>2.5</v>
      </c>
      <c r="EK42" s="647">
        <f t="shared" si="5"/>
        <v>3.58</v>
      </c>
      <c r="EL42" s="522"/>
      <c r="EM42" s="522"/>
      <c r="EN42" s="522"/>
      <c r="EO42" s="522"/>
      <c r="EP42" s="522"/>
      <c r="EQ42" s="522"/>
      <c r="ER42" s="522"/>
      <c r="ES42" s="407"/>
      <c r="ET42" s="407"/>
    </row>
    <row r="43" spans="1:150" s="357" customFormat="1" ht="15">
      <c r="A43" s="675" t="s">
        <v>7</v>
      </c>
      <c r="B43" s="712">
        <v>41669</v>
      </c>
      <c r="C43" s="713">
        <v>0</v>
      </c>
      <c r="D43" s="681">
        <v>0.27</v>
      </c>
      <c r="E43" s="681">
        <v>0</v>
      </c>
      <c r="F43" s="681">
        <v>36.5</v>
      </c>
      <c r="G43" s="807">
        <v>1.7</v>
      </c>
      <c r="H43" s="807" t="s">
        <v>744</v>
      </c>
      <c r="I43" s="807">
        <v>85</v>
      </c>
      <c r="J43" s="807">
        <v>7.0000000000000007E-2</v>
      </c>
      <c r="K43" s="807" t="s">
        <v>744</v>
      </c>
      <c r="L43" s="821">
        <f t="shared" si="6"/>
        <v>36.950000000000003</v>
      </c>
      <c r="M43" s="807">
        <v>17</v>
      </c>
      <c r="N43" s="807">
        <v>1.48</v>
      </c>
      <c r="O43" s="807">
        <v>1.617011177014912</v>
      </c>
      <c r="P43" s="807" t="s">
        <v>744</v>
      </c>
      <c r="Q43" s="807" t="s">
        <v>743</v>
      </c>
      <c r="R43" s="865">
        <v>501.40476618229843</v>
      </c>
      <c r="S43" s="807">
        <v>8.08</v>
      </c>
      <c r="T43" s="807" t="s">
        <v>744</v>
      </c>
      <c r="U43" s="807">
        <v>0.73</v>
      </c>
      <c r="V43" s="807" t="s">
        <v>744</v>
      </c>
      <c r="W43" s="807">
        <v>44.42</v>
      </c>
      <c r="X43" s="690">
        <v>32</v>
      </c>
      <c r="Y43" s="807">
        <v>19.7</v>
      </c>
      <c r="Z43" s="807">
        <v>14</v>
      </c>
      <c r="AA43" s="794">
        <v>19.7</v>
      </c>
      <c r="AB43" s="794">
        <v>17.25</v>
      </c>
      <c r="AC43" s="775">
        <f t="shared" si="20"/>
        <v>36.950000000000003</v>
      </c>
      <c r="AD43" s="775">
        <f t="shared" si="21"/>
        <v>57.161650000000002</v>
      </c>
      <c r="AE43" s="775"/>
      <c r="AF43" s="567"/>
      <c r="AG43" s="2">
        <v>1</v>
      </c>
      <c r="AH43" s="705"/>
      <c r="AI43" s="362"/>
      <c r="AJ43" s="2"/>
      <c r="AK43" s="407"/>
      <c r="AL43" s="407"/>
      <c r="AM43" s="407"/>
      <c r="AN43" s="407"/>
      <c r="AO43" s="387"/>
      <c r="AP43" s="387"/>
      <c r="AQ43" s="405"/>
      <c r="AR43" s="578">
        <v>0</v>
      </c>
      <c r="AS43" s="405">
        <v>21.8</v>
      </c>
      <c r="AT43" s="578">
        <v>0</v>
      </c>
      <c r="AU43" s="405">
        <v>20.3</v>
      </c>
      <c r="AV43" s="644">
        <v>360.9</v>
      </c>
      <c r="AW43" s="644">
        <v>565.29999999999995</v>
      </c>
      <c r="AX43" s="405">
        <v>0</v>
      </c>
      <c r="AY43" s="578">
        <v>0</v>
      </c>
      <c r="AZ43" s="578">
        <v>0</v>
      </c>
      <c r="BA43" s="578">
        <v>0</v>
      </c>
      <c r="BB43" s="1086">
        <v>0.97</v>
      </c>
      <c r="BC43" s="405">
        <v>0</v>
      </c>
      <c r="BD43" s="405">
        <v>1.5</v>
      </c>
      <c r="BE43" s="578">
        <v>0</v>
      </c>
      <c r="BF43" s="405">
        <v>1</v>
      </c>
      <c r="BG43" s="405">
        <v>0</v>
      </c>
      <c r="BH43" s="578">
        <v>0</v>
      </c>
      <c r="BI43" s="405">
        <v>0</v>
      </c>
      <c r="BJ43" s="405">
        <v>14.9</v>
      </c>
      <c r="BK43" s="405">
        <v>2.92</v>
      </c>
      <c r="BL43" s="405">
        <v>0.75</v>
      </c>
      <c r="BM43" s="405">
        <v>0</v>
      </c>
      <c r="BN43" s="405">
        <v>10.1</v>
      </c>
      <c r="BO43" s="648">
        <v>1019.7</v>
      </c>
      <c r="BP43" s="648">
        <v>0</v>
      </c>
      <c r="BQ43" s="649">
        <v>20.440000000000001</v>
      </c>
      <c r="BR43" s="649">
        <v>20.420000000000002</v>
      </c>
      <c r="BS43" s="649">
        <v>8.3010000000000002</v>
      </c>
      <c r="BT43" s="649">
        <v>8.3870000000000005</v>
      </c>
      <c r="BU43" s="648">
        <v>18.600000000000001</v>
      </c>
      <c r="BV43" s="648">
        <v>18.899999999999999</v>
      </c>
      <c r="BW43" s="649">
        <v>473</v>
      </c>
      <c r="BX43" s="876"/>
      <c r="BY43" s="649">
        <v>0.14000000000000001</v>
      </c>
      <c r="BZ43" s="649">
        <v>1.41</v>
      </c>
      <c r="CA43" s="649">
        <v>1.3</v>
      </c>
      <c r="CB43" s="649">
        <v>8.6999999999999993</v>
      </c>
      <c r="CC43" s="649">
        <v>8.3000000000000007</v>
      </c>
      <c r="CD43" s="649">
        <v>16.7</v>
      </c>
      <c r="CE43" s="649">
        <v>33.700000000000003</v>
      </c>
      <c r="CF43" s="649">
        <v>13.9</v>
      </c>
      <c r="CG43" s="649">
        <v>8.3000000000000007</v>
      </c>
      <c r="CH43" s="649">
        <v>13.9</v>
      </c>
      <c r="CI43" s="649">
        <v>17.93</v>
      </c>
      <c r="CJ43" s="649">
        <v>13.77</v>
      </c>
      <c r="CK43" s="649">
        <v>0</v>
      </c>
      <c r="CL43" s="649">
        <v>2</v>
      </c>
      <c r="CM43" s="649">
        <v>1.3</v>
      </c>
      <c r="CN43" s="649">
        <v>423.8</v>
      </c>
      <c r="CO43" s="649">
        <v>327.8</v>
      </c>
      <c r="CP43" s="649">
        <v>454.1</v>
      </c>
      <c r="CQ43" s="649">
        <v>12.1</v>
      </c>
      <c r="CR43" s="649">
        <v>1.36</v>
      </c>
      <c r="CS43" s="405">
        <v>8498.4</v>
      </c>
      <c r="CT43" s="405">
        <v>13.587</v>
      </c>
      <c r="CU43" s="405">
        <v>49</v>
      </c>
      <c r="CV43" s="522">
        <v>0</v>
      </c>
      <c r="CW43" s="522">
        <v>0</v>
      </c>
      <c r="CX43" s="522">
        <v>0</v>
      </c>
      <c r="CY43" s="522">
        <v>0</v>
      </c>
      <c r="CZ43" s="689">
        <v>1200</v>
      </c>
      <c r="DA43" s="689">
        <v>2070</v>
      </c>
      <c r="DB43" s="689">
        <v>1240</v>
      </c>
      <c r="DC43" s="643">
        <v>1080.3699999999999</v>
      </c>
      <c r="DD43" s="522"/>
      <c r="DE43" s="522"/>
      <c r="DF43" s="522"/>
      <c r="DG43" s="522"/>
      <c r="DH43" s="522"/>
      <c r="DI43" s="522"/>
      <c r="DJ43" s="522"/>
      <c r="DK43" s="522"/>
      <c r="DL43" s="649"/>
      <c r="DM43" s="689"/>
      <c r="DN43" s="649"/>
      <c r="DO43" s="522"/>
      <c r="DP43" s="522"/>
      <c r="DQ43" s="522"/>
      <c r="DR43" s="522"/>
      <c r="DS43" s="522"/>
      <c r="DT43" s="522"/>
      <c r="DU43" s="522"/>
      <c r="DV43" s="522"/>
      <c r="DW43" s="522"/>
      <c r="DX43" s="522"/>
      <c r="DY43" s="522"/>
      <c r="DZ43" s="522"/>
      <c r="EA43" s="522"/>
      <c r="EB43" s="522"/>
      <c r="EC43" s="522"/>
      <c r="ED43" s="522"/>
      <c r="EE43" s="522"/>
      <c r="EF43" s="522"/>
      <c r="EG43" s="645">
        <f t="shared" si="4"/>
        <v>9.5449900000000003</v>
      </c>
      <c r="EH43" s="361">
        <v>0</v>
      </c>
      <c r="EI43" s="647">
        <v>0</v>
      </c>
      <c r="EJ43" s="647">
        <v>2.5</v>
      </c>
      <c r="EK43" s="647">
        <f t="shared" si="5"/>
        <v>3.67</v>
      </c>
      <c r="EL43" s="522"/>
      <c r="EM43" s="522"/>
      <c r="EN43" s="522"/>
      <c r="EO43" s="522"/>
      <c r="EP43" s="522"/>
      <c r="EQ43" s="522"/>
      <c r="ER43" s="522"/>
      <c r="ES43" s="407"/>
      <c r="ET43" s="407"/>
    </row>
    <row r="44" spans="1:150" s="357" customFormat="1" ht="15">
      <c r="A44" s="675" t="s">
        <v>8</v>
      </c>
      <c r="B44" s="712">
        <v>41670</v>
      </c>
      <c r="C44" s="713">
        <v>0</v>
      </c>
      <c r="D44" s="681">
        <v>0.48</v>
      </c>
      <c r="E44" s="681">
        <v>0</v>
      </c>
      <c r="F44" s="681">
        <v>36</v>
      </c>
      <c r="G44" s="807">
        <v>1.7</v>
      </c>
      <c r="H44" s="807" t="s">
        <v>744</v>
      </c>
      <c r="I44" s="807">
        <v>0</v>
      </c>
      <c r="J44" s="807">
        <v>0.06</v>
      </c>
      <c r="K44" s="807" t="s">
        <v>744</v>
      </c>
      <c r="L44" s="821">
        <f t="shared" si="6"/>
        <v>37.25</v>
      </c>
      <c r="M44" s="807">
        <v>16.7</v>
      </c>
      <c r="N44" s="807">
        <v>1.47</v>
      </c>
      <c r="O44" s="807">
        <v>1.6252101202382874</v>
      </c>
      <c r="P44" s="807" t="s">
        <v>744</v>
      </c>
      <c r="Q44" s="807" t="s">
        <v>743</v>
      </c>
      <c r="R44" s="865">
        <v>515.33267635402899</v>
      </c>
      <c r="S44" s="807">
        <v>8.0399999999999991</v>
      </c>
      <c r="T44" s="807" t="s">
        <v>744</v>
      </c>
      <c r="U44" s="807">
        <v>0.76</v>
      </c>
      <c r="V44" s="807" t="s">
        <v>744</v>
      </c>
      <c r="W44" s="807">
        <v>44.600000000000009</v>
      </c>
      <c r="X44" s="690">
        <v>32</v>
      </c>
      <c r="Y44" s="807">
        <v>19.7</v>
      </c>
      <c r="Z44" s="807">
        <v>17.25</v>
      </c>
      <c r="AA44" s="794">
        <v>19.600000000000001</v>
      </c>
      <c r="AB44" s="794">
        <v>17.649999999999999</v>
      </c>
      <c r="AC44" s="775">
        <f t="shared" ref="AC44:AC46" si="22">AA44+AB44</f>
        <v>37.25</v>
      </c>
      <c r="AD44" s="775">
        <f t="shared" ref="AD44:AD46" si="23">AC44*1.547</f>
        <v>57.625749999999996</v>
      </c>
      <c r="AE44" s="775"/>
      <c r="AF44" s="567"/>
      <c r="AG44" s="2">
        <v>1</v>
      </c>
      <c r="AH44" s="705"/>
      <c r="AI44" s="362"/>
      <c r="AJ44" s="2"/>
      <c r="AK44" s="407"/>
      <c r="AL44" s="407"/>
      <c r="AM44" s="407"/>
      <c r="AN44" s="407"/>
      <c r="AO44" s="387"/>
      <c r="AP44" s="387"/>
      <c r="AQ44" s="405"/>
      <c r="AR44" s="578">
        <v>0</v>
      </c>
      <c r="AS44" s="405">
        <v>10.9</v>
      </c>
      <c r="AT44" s="578">
        <v>0</v>
      </c>
      <c r="AU44" s="405">
        <v>20.3</v>
      </c>
      <c r="AV44" s="644">
        <v>167.9</v>
      </c>
      <c r="AW44" s="644">
        <v>233.2</v>
      </c>
      <c r="AX44" s="405">
        <v>0</v>
      </c>
      <c r="AY44" s="578">
        <v>0</v>
      </c>
      <c r="AZ44" s="578">
        <v>0</v>
      </c>
      <c r="BA44" s="578">
        <v>0</v>
      </c>
      <c r="BB44" s="924">
        <v>1</v>
      </c>
      <c r="BC44" s="405">
        <v>0</v>
      </c>
      <c r="BD44" s="405">
        <v>1.5</v>
      </c>
      <c r="BE44" s="578">
        <v>0</v>
      </c>
      <c r="BF44" s="405">
        <v>1</v>
      </c>
      <c r="BG44" s="405">
        <v>0</v>
      </c>
      <c r="BH44" s="578">
        <v>0</v>
      </c>
      <c r="BI44" s="405">
        <v>0</v>
      </c>
      <c r="BJ44" s="405">
        <v>15.3</v>
      </c>
      <c r="BK44" s="405">
        <v>2.4900000000000002</v>
      </c>
      <c r="BL44" s="405">
        <v>1.57</v>
      </c>
      <c r="BM44" s="405">
        <v>0</v>
      </c>
      <c r="BN44" s="405">
        <v>10.1</v>
      </c>
      <c r="BO44" s="648">
        <v>989.6</v>
      </c>
      <c r="BP44" s="648">
        <v>0</v>
      </c>
      <c r="BQ44" s="649">
        <v>20.81</v>
      </c>
      <c r="BR44" s="649">
        <v>20.77</v>
      </c>
      <c r="BS44" s="649">
        <v>8.65</v>
      </c>
      <c r="BT44" s="649">
        <v>8.8000000000000007</v>
      </c>
      <c r="BU44" s="648">
        <v>19.399999999999999</v>
      </c>
      <c r="BV44" s="648">
        <v>18.899999999999999</v>
      </c>
      <c r="BW44" s="649">
        <v>505.1</v>
      </c>
      <c r="BX44" s="876"/>
      <c r="BY44" s="649">
        <v>4.5199999999999996</v>
      </c>
      <c r="BZ44" s="649">
        <v>1.41</v>
      </c>
      <c r="CA44" s="649">
        <v>1.3</v>
      </c>
      <c r="CB44" s="649">
        <v>8.6999999999999993</v>
      </c>
      <c r="CC44" s="649">
        <v>8.3000000000000007</v>
      </c>
      <c r="CD44" s="649">
        <v>16.8</v>
      </c>
      <c r="CE44" s="649">
        <v>33.700000000000003</v>
      </c>
      <c r="CF44" s="649">
        <v>13.5</v>
      </c>
      <c r="CG44" s="649">
        <v>8.4</v>
      </c>
      <c r="CH44" s="649">
        <v>13.9</v>
      </c>
      <c r="CI44" s="649">
        <v>18</v>
      </c>
      <c r="CJ44" s="649">
        <v>14.07</v>
      </c>
      <c r="CK44" s="649">
        <v>0</v>
      </c>
      <c r="CL44" s="649">
        <v>3.2</v>
      </c>
      <c r="CM44" s="649">
        <v>4.5999999999999996</v>
      </c>
      <c r="CN44" s="649">
        <v>382.2</v>
      </c>
      <c r="CO44" s="649">
        <v>303.2</v>
      </c>
      <c r="CP44" s="649">
        <v>451.1</v>
      </c>
      <c r="CQ44" s="649">
        <v>11.8</v>
      </c>
      <c r="CR44" s="649">
        <v>1.61</v>
      </c>
      <c r="CS44" s="405">
        <v>9340.2000000000007</v>
      </c>
      <c r="CT44" s="405">
        <v>16.190000000000001</v>
      </c>
      <c r="CU44" s="405">
        <v>50</v>
      </c>
      <c r="CV44" s="522">
        <v>0</v>
      </c>
      <c r="CW44" s="522">
        <v>0</v>
      </c>
      <c r="CX44" s="522">
        <v>0</v>
      </c>
      <c r="CY44" s="522">
        <v>0</v>
      </c>
      <c r="CZ44" s="689">
        <v>956</v>
      </c>
      <c r="DA44" s="689">
        <v>1730</v>
      </c>
      <c r="DB44" s="689">
        <v>1000</v>
      </c>
      <c r="DC44" s="643">
        <v>1081.0999999999999</v>
      </c>
      <c r="DD44" s="522"/>
      <c r="DE44" s="522"/>
      <c r="DF44" s="522"/>
      <c r="DG44" s="522"/>
      <c r="DH44" s="522"/>
      <c r="DI44" s="522"/>
      <c r="DJ44" s="522"/>
      <c r="DK44" s="522"/>
      <c r="DL44" s="649"/>
      <c r="DM44" s="689"/>
      <c r="DN44" s="649"/>
      <c r="DO44" s="522"/>
      <c r="DP44" s="522"/>
      <c r="DQ44" s="522"/>
      <c r="DR44" s="522"/>
      <c r="DS44" s="522"/>
      <c r="DT44" s="522"/>
      <c r="DU44" s="522"/>
      <c r="DV44" s="522"/>
      <c r="DW44" s="522"/>
      <c r="DX44" s="522"/>
      <c r="DY44" s="522"/>
      <c r="DZ44" s="522"/>
      <c r="EA44" s="522"/>
      <c r="EB44" s="522"/>
      <c r="EC44" s="522"/>
      <c r="ED44" s="522"/>
      <c r="EE44" s="522"/>
      <c r="EF44" s="522"/>
      <c r="EG44" s="645">
        <f t="shared" si="4"/>
        <v>10.14832</v>
      </c>
      <c r="EH44" s="361">
        <v>0</v>
      </c>
      <c r="EI44" s="647">
        <v>0</v>
      </c>
      <c r="EJ44" s="647">
        <v>2.5</v>
      </c>
      <c r="EK44" s="647">
        <f t="shared" si="5"/>
        <v>4.0600000000000005</v>
      </c>
      <c r="EL44" s="522"/>
      <c r="EM44" s="522"/>
      <c r="EN44" s="522"/>
      <c r="EO44" s="522"/>
      <c r="EP44" s="522"/>
      <c r="EQ44" s="522"/>
      <c r="ER44" s="522"/>
      <c r="ES44" s="407"/>
      <c r="ET44" s="407"/>
    </row>
    <row r="45" spans="1:150" s="357" customFormat="1" ht="15">
      <c r="A45" s="675" t="s">
        <v>9</v>
      </c>
      <c r="B45" s="712">
        <v>41671</v>
      </c>
      <c r="C45" s="713">
        <v>0</v>
      </c>
      <c r="D45" s="681">
        <v>0.08</v>
      </c>
      <c r="E45" s="681">
        <v>0</v>
      </c>
      <c r="F45" s="681">
        <v>34</v>
      </c>
      <c r="G45" s="807">
        <v>1.7</v>
      </c>
      <c r="H45" s="807" t="s">
        <v>744</v>
      </c>
      <c r="I45" s="807">
        <v>93.2</v>
      </c>
      <c r="J45" s="807">
        <v>0.18</v>
      </c>
      <c r="K45" s="807" t="s">
        <v>744</v>
      </c>
      <c r="L45" s="821">
        <f t="shared" si="6"/>
        <v>33.799999999999997</v>
      </c>
      <c r="M45" s="807">
        <v>16.899999999999999</v>
      </c>
      <c r="N45" s="807">
        <v>1.48</v>
      </c>
      <c r="O45" s="807">
        <v>1.6314048234182899</v>
      </c>
      <c r="P45" s="807" t="s">
        <v>744</v>
      </c>
      <c r="Q45" s="807" t="s">
        <v>743</v>
      </c>
      <c r="R45" s="865">
        <v>461.24056010568029</v>
      </c>
      <c r="S45" s="807">
        <v>8.0500000000000007</v>
      </c>
      <c r="T45" s="807" t="s">
        <v>744</v>
      </c>
      <c r="U45" s="807">
        <v>0.75</v>
      </c>
      <c r="V45" s="807" t="s">
        <v>744</v>
      </c>
      <c r="W45" s="807">
        <v>44.600000000000009</v>
      </c>
      <c r="X45" s="690">
        <v>32</v>
      </c>
      <c r="Y45" s="807">
        <v>19.600000000000001</v>
      </c>
      <c r="Z45" s="807">
        <v>17.649999999999999</v>
      </c>
      <c r="AA45" s="794">
        <v>19.7</v>
      </c>
      <c r="AB45" s="794">
        <v>14.1</v>
      </c>
      <c r="AC45" s="775">
        <f t="shared" si="22"/>
        <v>33.799999999999997</v>
      </c>
      <c r="AD45" s="775">
        <f t="shared" si="23"/>
        <v>52.288599999999995</v>
      </c>
      <c r="AE45" s="775"/>
      <c r="AF45" s="567"/>
      <c r="AG45" s="2">
        <v>1</v>
      </c>
      <c r="AH45" s="705"/>
      <c r="AI45" s="362"/>
      <c r="AJ45" s="2"/>
      <c r="AK45" s="407"/>
      <c r="AL45" s="407"/>
      <c r="AM45" s="407"/>
      <c r="AN45" s="407"/>
      <c r="AO45" s="387"/>
      <c r="AP45" s="387"/>
      <c r="AQ45" s="405"/>
      <c r="AR45" s="578">
        <v>0</v>
      </c>
      <c r="AS45" s="405">
        <v>21.4</v>
      </c>
      <c r="AT45" s="578">
        <v>0</v>
      </c>
      <c r="AU45" s="405">
        <v>20.399999999999999</v>
      </c>
      <c r="AV45" s="644">
        <v>393.5</v>
      </c>
      <c r="AW45" s="644">
        <v>476.7</v>
      </c>
      <c r="AX45" s="405">
        <v>0</v>
      </c>
      <c r="AY45" s="578">
        <v>0</v>
      </c>
      <c r="AZ45" s="578">
        <v>0</v>
      </c>
      <c r="BA45" s="578">
        <v>0</v>
      </c>
      <c r="BB45" s="924">
        <v>1</v>
      </c>
      <c r="BC45" s="405">
        <v>0</v>
      </c>
      <c r="BD45" s="405">
        <v>1.68</v>
      </c>
      <c r="BE45" s="578">
        <v>0</v>
      </c>
      <c r="BF45" s="405">
        <v>0.81</v>
      </c>
      <c r="BG45" s="405">
        <v>0</v>
      </c>
      <c r="BH45" s="578">
        <v>0</v>
      </c>
      <c r="BI45" s="405">
        <v>0</v>
      </c>
      <c r="BJ45" s="405">
        <v>11.6</v>
      </c>
      <c r="BK45" s="405">
        <v>2.91</v>
      </c>
      <c r="BL45" s="405">
        <v>0.81</v>
      </c>
      <c r="BM45" s="405">
        <v>0</v>
      </c>
      <c r="BN45" s="405">
        <v>6.8</v>
      </c>
      <c r="BO45" s="648">
        <v>1042.8</v>
      </c>
      <c r="BP45" s="648">
        <v>0</v>
      </c>
      <c r="BQ45" s="649">
        <v>22.07</v>
      </c>
      <c r="BR45" s="649">
        <v>22.04</v>
      </c>
      <c r="BS45" s="649">
        <v>8.44</v>
      </c>
      <c r="BT45" s="649">
        <v>8.52</v>
      </c>
      <c r="BU45" s="648">
        <v>18.899999999999999</v>
      </c>
      <c r="BV45" s="648">
        <v>16</v>
      </c>
      <c r="BW45" s="649">
        <v>648.6</v>
      </c>
      <c r="BX45" s="876"/>
      <c r="BY45" s="649">
        <v>0.15</v>
      </c>
      <c r="BZ45" s="649">
        <v>1.4</v>
      </c>
      <c r="CA45" s="649">
        <v>1.3</v>
      </c>
      <c r="CB45" s="649">
        <v>9.1</v>
      </c>
      <c r="CC45" s="649">
        <v>8.6999999999999993</v>
      </c>
      <c r="CD45" s="649">
        <v>14.2</v>
      </c>
      <c r="CE45" s="649">
        <v>33.4</v>
      </c>
      <c r="CF45" s="649">
        <v>12.9</v>
      </c>
      <c r="CG45" s="649">
        <v>8</v>
      </c>
      <c r="CH45" s="649">
        <v>13.5</v>
      </c>
      <c r="CI45" s="649">
        <v>17.600000000000001</v>
      </c>
      <c r="CJ45" s="649">
        <v>12.91</v>
      </c>
      <c r="CK45" s="649">
        <v>0</v>
      </c>
      <c r="CL45" s="649">
        <v>1</v>
      </c>
      <c r="CM45" s="649">
        <v>3.2</v>
      </c>
      <c r="CN45" s="649">
        <v>508.6</v>
      </c>
      <c r="CO45" s="649">
        <v>332.8</v>
      </c>
      <c r="CP45" s="649">
        <v>445.5</v>
      </c>
      <c r="CQ45" s="649">
        <v>12.4</v>
      </c>
      <c r="CR45" s="649">
        <v>1.74</v>
      </c>
      <c r="CS45" s="405">
        <v>11534.2</v>
      </c>
      <c r="CT45" s="405">
        <v>15.71</v>
      </c>
      <c r="CU45" s="405">
        <v>50</v>
      </c>
      <c r="CV45" s="522">
        <v>0</v>
      </c>
      <c r="CW45" s="522">
        <v>0</v>
      </c>
      <c r="CX45" s="522">
        <v>0</v>
      </c>
      <c r="CY45" s="522">
        <v>0</v>
      </c>
      <c r="CZ45" s="689">
        <v>961</v>
      </c>
      <c r="DA45" s="689">
        <v>1660</v>
      </c>
      <c r="DB45" s="689">
        <v>996</v>
      </c>
      <c r="DC45" s="643">
        <v>1081.5999999999999</v>
      </c>
      <c r="DD45" s="522"/>
      <c r="DE45" s="522"/>
      <c r="DF45" s="522"/>
      <c r="DG45" s="522"/>
      <c r="DH45" s="522"/>
      <c r="DI45" s="522"/>
      <c r="DJ45" s="522"/>
      <c r="DK45" s="522"/>
      <c r="DL45" s="649"/>
      <c r="DM45" s="689"/>
      <c r="DN45" s="649"/>
      <c r="DO45" s="522"/>
      <c r="DP45" s="522"/>
      <c r="DQ45" s="522"/>
      <c r="DR45" s="522"/>
      <c r="DS45" s="522"/>
      <c r="DT45" s="522"/>
      <c r="DU45" s="522"/>
      <c r="DV45" s="522"/>
      <c r="DW45" s="522"/>
      <c r="DX45" s="522"/>
      <c r="DY45" s="522"/>
      <c r="DZ45" s="522"/>
      <c r="EA45" s="522"/>
      <c r="EB45" s="522"/>
      <c r="EC45" s="522"/>
      <c r="ED45" s="522"/>
      <c r="EE45" s="522"/>
      <c r="EF45" s="522"/>
      <c r="EG45" s="645">
        <f t="shared" si="4"/>
        <v>9.6223400000000012</v>
      </c>
      <c r="EH45" s="361">
        <v>0</v>
      </c>
      <c r="EI45" s="647">
        <v>0</v>
      </c>
      <c r="EJ45" s="647">
        <v>2.5</v>
      </c>
      <c r="EK45" s="647">
        <f t="shared" si="5"/>
        <v>3.72</v>
      </c>
      <c r="EL45" s="522"/>
      <c r="EM45" s="522"/>
      <c r="EN45" s="522"/>
      <c r="EO45" s="522"/>
      <c r="EP45" s="522"/>
      <c r="EQ45" s="522"/>
      <c r="ER45" s="522"/>
      <c r="ES45" s="407"/>
      <c r="ET45" s="407"/>
    </row>
    <row r="46" spans="1:150" s="357" customFormat="1" ht="15">
      <c r="A46" s="675" t="s">
        <v>3</v>
      </c>
      <c r="B46" s="712">
        <v>41672</v>
      </c>
      <c r="C46" s="713">
        <v>0</v>
      </c>
      <c r="D46" s="681">
        <v>0</v>
      </c>
      <c r="E46" s="681">
        <v>0</v>
      </c>
      <c r="F46" s="681">
        <v>31</v>
      </c>
      <c r="G46" s="807">
        <v>1.5</v>
      </c>
      <c r="H46" s="807" t="s">
        <v>744</v>
      </c>
      <c r="I46" s="807">
        <v>94.2</v>
      </c>
      <c r="J46" s="807">
        <v>0.17</v>
      </c>
      <c r="K46" s="807" t="s">
        <v>744</v>
      </c>
      <c r="L46" s="821">
        <f t="shared" si="6"/>
        <v>33.86</v>
      </c>
      <c r="M46" s="807">
        <v>16.7</v>
      </c>
      <c r="N46" s="807">
        <v>1.39</v>
      </c>
      <c r="O46" s="807">
        <v>1.6302591739636423</v>
      </c>
      <c r="P46" s="807" t="s">
        <v>744</v>
      </c>
      <c r="Q46" s="807" t="s">
        <v>743</v>
      </c>
      <c r="R46" s="865">
        <v>460.91665521796563</v>
      </c>
      <c r="S46" s="807">
        <v>8.11</v>
      </c>
      <c r="T46" s="807" t="s">
        <v>744</v>
      </c>
      <c r="U46" s="807">
        <v>0.76</v>
      </c>
      <c r="V46" s="807" t="s">
        <v>744</v>
      </c>
      <c r="W46" s="807">
        <v>44.42</v>
      </c>
      <c r="X46" s="690">
        <v>32</v>
      </c>
      <c r="Y46" s="807">
        <v>19.7</v>
      </c>
      <c r="Z46" s="807">
        <v>14.1</v>
      </c>
      <c r="AA46" s="794">
        <v>19.7</v>
      </c>
      <c r="AB46" s="794">
        <v>14.16</v>
      </c>
      <c r="AC46" s="775">
        <f t="shared" si="22"/>
        <v>33.86</v>
      </c>
      <c r="AD46" s="775">
        <f t="shared" si="23"/>
        <v>52.381419999999999</v>
      </c>
      <c r="AE46" s="775"/>
      <c r="AF46" s="567"/>
      <c r="AG46" s="2">
        <v>1</v>
      </c>
      <c r="AH46" s="705"/>
      <c r="AI46" s="362"/>
      <c r="AJ46" s="2"/>
      <c r="AK46" s="407"/>
      <c r="AL46" s="407"/>
      <c r="AM46" s="407"/>
      <c r="AN46" s="407"/>
      <c r="AO46" s="387"/>
      <c r="AP46" s="387"/>
      <c r="AQ46" s="405"/>
      <c r="AR46" s="578">
        <v>0</v>
      </c>
      <c r="AS46" s="405">
        <v>12</v>
      </c>
      <c r="AT46" s="578">
        <v>0</v>
      </c>
      <c r="AU46" s="405">
        <v>20.3</v>
      </c>
      <c r="AV46" s="644">
        <v>351.1</v>
      </c>
      <c r="AW46" s="644">
        <v>353.2</v>
      </c>
      <c r="AX46" s="405">
        <v>0</v>
      </c>
      <c r="AY46" s="578">
        <v>0</v>
      </c>
      <c r="AZ46" s="578">
        <v>0</v>
      </c>
      <c r="BA46" s="578">
        <v>0</v>
      </c>
      <c r="BB46" s="1086">
        <v>0.995</v>
      </c>
      <c r="BC46" s="405">
        <v>0</v>
      </c>
      <c r="BD46" s="405">
        <v>1.5</v>
      </c>
      <c r="BE46" s="578">
        <v>0</v>
      </c>
      <c r="BF46" s="405">
        <v>1</v>
      </c>
      <c r="BG46" s="405">
        <v>0</v>
      </c>
      <c r="BH46" s="578">
        <v>0</v>
      </c>
      <c r="BI46" s="405">
        <v>0</v>
      </c>
      <c r="BJ46" s="405">
        <v>11.7</v>
      </c>
      <c r="BK46" s="405">
        <v>2.92</v>
      </c>
      <c r="BL46" s="405">
        <v>0.81</v>
      </c>
      <c r="BM46" s="405">
        <v>0</v>
      </c>
      <c r="BN46" s="405">
        <v>6.9</v>
      </c>
      <c r="BO46" s="648">
        <v>1092.5999999999999</v>
      </c>
      <c r="BP46" s="648">
        <v>0</v>
      </c>
      <c r="BQ46" s="649">
        <v>21.59</v>
      </c>
      <c r="BR46" s="649">
        <v>21.55</v>
      </c>
      <c r="BS46" s="649">
        <v>8.39</v>
      </c>
      <c r="BT46" s="649">
        <v>8.48</v>
      </c>
      <c r="BU46" s="648">
        <v>18.8</v>
      </c>
      <c r="BV46" s="648">
        <v>20.8</v>
      </c>
      <c r="BW46" s="649">
        <v>575.6</v>
      </c>
      <c r="BX46" s="876"/>
      <c r="BY46" s="649">
        <v>0.14000000000000001</v>
      </c>
      <c r="BZ46" s="649">
        <v>1.4</v>
      </c>
      <c r="CA46" s="649">
        <v>1.3</v>
      </c>
      <c r="CB46" s="649">
        <v>9.1</v>
      </c>
      <c r="CC46" s="649">
        <v>8.6</v>
      </c>
      <c r="CD46" s="649">
        <v>15.02</v>
      </c>
      <c r="CE46" s="649">
        <v>33.799999999999997</v>
      </c>
      <c r="CF46" s="649">
        <v>12.3</v>
      </c>
      <c r="CG46" s="649">
        <v>7.7</v>
      </c>
      <c r="CH46" s="649">
        <v>13.1</v>
      </c>
      <c r="CI46" s="649">
        <v>17.2</v>
      </c>
      <c r="CJ46" s="649">
        <v>13.67</v>
      </c>
      <c r="CK46" s="649">
        <v>0</v>
      </c>
      <c r="CL46" s="649">
        <v>1.1000000000000001</v>
      </c>
      <c r="CM46" s="649">
        <v>0.1</v>
      </c>
      <c r="CN46" s="649">
        <v>555.20000000000005</v>
      </c>
      <c r="CO46" s="649">
        <v>344.4</v>
      </c>
      <c r="CP46" s="649">
        <v>446.5</v>
      </c>
      <c r="CQ46" s="649">
        <v>14.9</v>
      </c>
      <c r="CR46" s="649">
        <v>2.08</v>
      </c>
      <c r="CS46" s="405">
        <v>11091.9</v>
      </c>
      <c r="CT46" s="405">
        <v>15.72</v>
      </c>
      <c r="CU46" s="405">
        <v>50</v>
      </c>
      <c r="CV46" s="522">
        <v>0</v>
      </c>
      <c r="CW46" s="522">
        <v>0</v>
      </c>
      <c r="CX46" s="522">
        <v>0</v>
      </c>
      <c r="CY46" s="522">
        <v>0</v>
      </c>
      <c r="CZ46" s="689">
        <v>951</v>
      </c>
      <c r="DA46" s="689">
        <v>1580</v>
      </c>
      <c r="DB46" s="689">
        <v>978</v>
      </c>
      <c r="DC46" s="643">
        <v>1080.6600000000001</v>
      </c>
      <c r="DD46" s="522"/>
      <c r="DE46" s="522"/>
      <c r="DF46" s="522"/>
      <c r="DG46" s="522"/>
      <c r="DH46" s="522"/>
      <c r="DI46" s="522"/>
      <c r="DJ46" s="522"/>
      <c r="DK46" s="522"/>
      <c r="DL46" s="649"/>
      <c r="DM46" s="689"/>
      <c r="DN46" s="649"/>
      <c r="DO46" s="522"/>
      <c r="DP46" s="522"/>
      <c r="DQ46" s="522"/>
      <c r="DR46" s="522"/>
      <c r="DS46" s="522"/>
      <c r="DT46" s="522"/>
      <c r="DU46" s="522"/>
      <c r="DV46" s="522"/>
      <c r="DW46" s="522"/>
      <c r="DX46" s="522"/>
      <c r="DY46" s="522"/>
      <c r="DZ46" s="522"/>
      <c r="EA46" s="522"/>
      <c r="EB46" s="522"/>
      <c r="EC46" s="522"/>
      <c r="ED46" s="522"/>
      <c r="EE46" s="522"/>
      <c r="EF46" s="522"/>
      <c r="EG46" s="645">
        <f t="shared" si="4"/>
        <v>9.63781</v>
      </c>
      <c r="EH46" s="361">
        <v>0</v>
      </c>
      <c r="EI46" s="647">
        <v>0</v>
      </c>
      <c r="EJ46" s="647">
        <v>2.5</v>
      </c>
      <c r="EK46" s="647">
        <f t="shared" si="5"/>
        <v>3.73</v>
      </c>
      <c r="EL46" s="522"/>
      <c r="EM46" s="522"/>
      <c r="EN46" s="522"/>
      <c r="EO46" s="522"/>
      <c r="EP46" s="522"/>
      <c r="EQ46" s="522"/>
      <c r="ER46" s="522"/>
      <c r="ES46" s="407"/>
      <c r="ET46" s="407"/>
    </row>
    <row r="47" spans="1:150" s="357" customFormat="1" ht="15">
      <c r="A47" s="675" t="s">
        <v>4</v>
      </c>
      <c r="B47" s="712">
        <v>41673</v>
      </c>
      <c r="C47" s="713">
        <v>0</v>
      </c>
      <c r="D47" s="681">
        <v>0</v>
      </c>
      <c r="E47" s="681">
        <v>0</v>
      </c>
      <c r="F47" s="681">
        <v>27</v>
      </c>
      <c r="G47" s="807">
        <v>1.3</v>
      </c>
      <c r="H47" s="807" t="s">
        <v>744</v>
      </c>
      <c r="I47" s="807">
        <v>94.5</v>
      </c>
      <c r="J47" s="807">
        <v>0.08</v>
      </c>
      <c r="K47" s="807" t="s">
        <v>744</v>
      </c>
      <c r="L47" s="821">
        <f t="shared" si="6"/>
        <v>33.840000000000003</v>
      </c>
      <c r="M47" s="807">
        <v>16.899999999999999</v>
      </c>
      <c r="N47" s="807">
        <v>1.47</v>
      </c>
      <c r="O47" s="807">
        <v>1.6213282930535795</v>
      </c>
      <c r="P47" s="807" t="s">
        <v>744</v>
      </c>
      <c r="Q47" s="807" t="s">
        <v>743</v>
      </c>
      <c r="R47" s="865">
        <v>466.09913342140021</v>
      </c>
      <c r="S47" s="807">
        <v>8.08</v>
      </c>
      <c r="T47" s="807" t="s">
        <v>744</v>
      </c>
      <c r="U47" s="807">
        <v>0.76</v>
      </c>
      <c r="V47" s="807" t="s">
        <v>744</v>
      </c>
      <c r="W47" s="807">
        <v>44.600000000000009</v>
      </c>
      <c r="X47" s="690">
        <v>32</v>
      </c>
      <c r="Y47" s="807">
        <v>19.7</v>
      </c>
      <c r="Z47" s="807">
        <v>14.16</v>
      </c>
      <c r="AA47" s="794">
        <v>19.7</v>
      </c>
      <c r="AB47" s="794">
        <v>14.14</v>
      </c>
      <c r="AC47" s="775">
        <f t="shared" ref="AC47" si="24">AA47+AB47</f>
        <v>33.840000000000003</v>
      </c>
      <c r="AD47" s="775">
        <f t="shared" ref="AD47" si="25">AC47*1.547</f>
        <v>52.350480000000005</v>
      </c>
      <c r="AE47" s="775"/>
      <c r="AF47" s="567"/>
      <c r="AG47" s="2">
        <v>1</v>
      </c>
      <c r="AH47" s="705"/>
      <c r="AI47" s="362"/>
      <c r="AJ47" s="2"/>
      <c r="AK47" s="407"/>
      <c r="AL47" s="407"/>
      <c r="AM47" s="407"/>
      <c r="AN47" s="407"/>
      <c r="AO47" s="387"/>
      <c r="AP47" s="387"/>
      <c r="AQ47" s="405"/>
      <c r="AR47" s="578">
        <v>0</v>
      </c>
      <c r="AS47" s="405">
        <v>21.6</v>
      </c>
      <c r="AT47" s="578">
        <v>0</v>
      </c>
      <c r="AU47" s="405">
        <v>20.399999999999999</v>
      </c>
      <c r="AV47" s="644">
        <v>207.9</v>
      </c>
      <c r="AW47" s="644">
        <v>291.7</v>
      </c>
      <c r="AX47" s="405">
        <v>0</v>
      </c>
      <c r="AY47" s="578">
        <v>0</v>
      </c>
      <c r="AZ47" s="578">
        <v>0</v>
      </c>
      <c r="BA47" s="578">
        <v>0</v>
      </c>
      <c r="BB47" s="1086">
        <v>0.997</v>
      </c>
      <c r="BC47" s="405">
        <v>0</v>
      </c>
      <c r="BD47" s="405">
        <v>1.5</v>
      </c>
      <c r="BE47" s="578">
        <v>0</v>
      </c>
      <c r="BF47" s="405">
        <v>1</v>
      </c>
      <c r="BG47" s="405">
        <v>0</v>
      </c>
      <c r="BH47" s="578">
        <v>0</v>
      </c>
      <c r="BI47" s="405">
        <v>0</v>
      </c>
      <c r="BJ47" s="405">
        <v>11.7</v>
      </c>
      <c r="BK47" s="405">
        <v>2.92</v>
      </c>
      <c r="BL47" s="405">
        <v>0.81</v>
      </c>
      <c r="BM47" s="405">
        <v>0</v>
      </c>
      <c r="BN47" s="405">
        <v>6.9</v>
      </c>
      <c r="BO47" s="648">
        <v>1039.9000000000001</v>
      </c>
      <c r="BP47" s="648">
        <v>0</v>
      </c>
      <c r="BQ47" s="649">
        <v>21.08</v>
      </c>
      <c r="BR47" s="649">
        <v>21.02</v>
      </c>
      <c r="BS47" s="649">
        <v>8.58</v>
      </c>
      <c r="BT47" s="649">
        <v>8.6999999999999993</v>
      </c>
      <c r="BU47" s="648">
        <v>19.2</v>
      </c>
      <c r="BV47" s="648">
        <v>21.2</v>
      </c>
      <c r="BW47" s="649">
        <v>583.70000000000005</v>
      </c>
      <c r="BX47" s="876"/>
      <c r="BY47" s="649">
        <v>0.14000000000000001</v>
      </c>
      <c r="BZ47" s="649">
        <v>1.4</v>
      </c>
      <c r="CA47" s="649">
        <v>1.3</v>
      </c>
      <c r="CB47" s="649">
        <v>9.1</v>
      </c>
      <c r="CC47" s="649">
        <v>8.6</v>
      </c>
      <c r="CD47" s="649">
        <v>14.5</v>
      </c>
      <c r="CE47" s="649">
        <v>33.700000000000003</v>
      </c>
      <c r="CF47" s="649">
        <v>15.3</v>
      </c>
      <c r="CG47" s="649">
        <v>7.8</v>
      </c>
      <c r="CH47" s="649">
        <v>13.2</v>
      </c>
      <c r="CI47" s="649">
        <v>17.3</v>
      </c>
      <c r="CJ47" s="649">
        <v>13.24</v>
      </c>
      <c r="CK47" s="649">
        <v>0</v>
      </c>
      <c r="CL47" s="649">
        <v>0.9</v>
      </c>
      <c r="CM47" s="649">
        <v>0.8</v>
      </c>
      <c r="CN47" s="649">
        <v>522.29999999999995</v>
      </c>
      <c r="CO47" s="649">
        <v>325.39999999999998</v>
      </c>
      <c r="CP47" s="649">
        <v>460.6</v>
      </c>
      <c r="CQ47" s="649">
        <v>14.8</v>
      </c>
      <c r="CR47" s="649">
        <v>1.96</v>
      </c>
      <c r="CS47" s="405">
        <v>10801.8</v>
      </c>
      <c r="CT47" s="405">
        <v>15.91</v>
      </c>
      <c r="CU47" s="405">
        <v>49</v>
      </c>
      <c r="CV47" s="522">
        <v>0</v>
      </c>
      <c r="CW47" s="522">
        <v>0</v>
      </c>
      <c r="CX47" s="522">
        <v>0</v>
      </c>
      <c r="CY47" s="522">
        <v>0</v>
      </c>
      <c r="CZ47" s="689">
        <v>926</v>
      </c>
      <c r="DA47" s="689">
        <v>1530</v>
      </c>
      <c r="DB47" s="689">
        <v>952</v>
      </c>
      <c r="DC47" s="643">
        <v>1078.67</v>
      </c>
      <c r="DD47" s="522"/>
      <c r="DE47" s="522"/>
      <c r="DF47" s="522"/>
      <c r="DG47" s="522"/>
      <c r="DH47" s="522"/>
      <c r="DI47" s="522"/>
      <c r="DJ47" s="522"/>
      <c r="DK47" s="522"/>
      <c r="DL47" s="649"/>
      <c r="DM47" s="689"/>
      <c r="DN47" s="649"/>
      <c r="DO47" s="522"/>
      <c r="DP47" s="522"/>
      <c r="DQ47" s="522"/>
      <c r="DR47" s="522"/>
      <c r="DS47" s="522"/>
      <c r="DT47" s="522"/>
      <c r="DU47" s="522"/>
      <c r="DV47" s="522"/>
      <c r="DW47" s="522"/>
      <c r="DX47" s="522"/>
      <c r="DY47" s="522"/>
      <c r="DZ47" s="522"/>
      <c r="EA47" s="522"/>
      <c r="EB47" s="522"/>
      <c r="EC47" s="522"/>
      <c r="ED47" s="522"/>
      <c r="EE47" s="522"/>
      <c r="EF47" s="522"/>
      <c r="EG47" s="645">
        <f t="shared" si="4"/>
        <v>9.63781</v>
      </c>
      <c r="EH47" s="361">
        <v>0</v>
      </c>
      <c r="EI47" s="647">
        <v>0</v>
      </c>
      <c r="EJ47" s="647">
        <v>2.5</v>
      </c>
      <c r="EK47" s="647">
        <f t="shared" si="5"/>
        <v>3.73</v>
      </c>
      <c r="EL47" s="522"/>
      <c r="EM47" s="522"/>
      <c r="EN47" s="522"/>
      <c r="EO47" s="522"/>
      <c r="EP47" s="522"/>
      <c r="EQ47" s="522"/>
      <c r="ER47" s="522"/>
      <c r="ES47" s="407"/>
      <c r="ET47" s="407"/>
    </row>
    <row r="48" spans="1:150" s="357" customFormat="1" ht="15">
      <c r="A48" s="675" t="s">
        <v>5</v>
      </c>
      <c r="B48" s="712">
        <v>41674</v>
      </c>
      <c r="C48" s="713">
        <v>0</v>
      </c>
      <c r="D48" s="681">
        <v>0</v>
      </c>
      <c r="E48" s="681">
        <v>0</v>
      </c>
      <c r="F48" s="681">
        <v>22</v>
      </c>
      <c r="G48" s="807">
        <v>1.1000000000000001</v>
      </c>
      <c r="H48" s="807" t="s">
        <v>744</v>
      </c>
      <c r="I48" s="807">
        <v>94.7</v>
      </c>
      <c r="J48" s="807">
        <v>0.26</v>
      </c>
      <c r="K48" s="807" t="s">
        <v>744</v>
      </c>
      <c r="L48" s="821">
        <f t="shared" si="6"/>
        <v>33.799999999999997</v>
      </c>
      <c r="M48" s="807">
        <v>16.7</v>
      </c>
      <c r="N48" s="807">
        <v>1.44</v>
      </c>
      <c r="O48" s="807">
        <v>1.6270230405778259</v>
      </c>
      <c r="P48" s="807" t="s">
        <v>744</v>
      </c>
      <c r="Q48" s="807" t="s">
        <v>743</v>
      </c>
      <c r="R48" s="865">
        <v>466.42303830911487</v>
      </c>
      <c r="S48" s="807">
        <v>8.0399999999999991</v>
      </c>
      <c r="T48" s="807" t="s">
        <v>744</v>
      </c>
      <c r="U48" s="807">
        <v>0.76</v>
      </c>
      <c r="V48" s="807" t="s">
        <v>744</v>
      </c>
      <c r="W48" s="807">
        <v>44.06</v>
      </c>
      <c r="X48" s="690">
        <v>32</v>
      </c>
      <c r="Y48" s="807">
        <v>19.7</v>
      </c>
      <c r="Z48" s="807">
        <v>14.14</v>
      </c>
      <c r="AA48" s="794">
        <v>19.7</v>
      </c>
      <c r="AB48" s="794">
        <v>14.1</v>
      </c>
      <c r="AC48" s="775">
        <f t="shared" ref="AC48" si="26">AA48+AB48</f>
        <v>33.799999999999997</v>
      </c>
      <c r="AD48" s="775">
        <f t="shared" ref="AD48" si="27">AC48*1.547</f>
        <v>52.288599999999995</v>
      </c>
      <c r="AE48" s="775"/>
      <c r="AF48" s="567"/>
      <c r="AG48" s="2">
        <v>1</v>
      </c>
      <c r="AH48" s="705"/>
      <c r="AI48" s="362"/>
      <c r="AJ48" s="2"/>
      <c r="AK48" s="407"/>
      <c r="AL48" s="407"/>
      <c r="AM48" s="407"/>
      <c r="AN48" s="407"/>
      <c r="AO48" s="387"/>
      <c r="AP48" s="387"/>
      <c r="AQ48" s="405"/>
      <c r="AR48" s="578">
        <v>0</v>
      </c>
      <c r="AS48" s="405">
        <v>11</v>
      </c>
      <c r="AT48" s="578">
        <v>0</v>
      </c>
      <c r="AU48" s="405">
        <v>20.3</v>
      </c>
      <c r="AV48" s="644">
        <v>525.6</v>
      </c>
      <c r="AW48" s="644">
        <v>553.5</v>
      </c>
      <c r="AX48" s="405">
        <v>0</v>
      </c>
      <c r="AY48" s="578">
        <v>0</v>
      </c>
      <c r="AZ48" s="578">
        <v>0</v>
      </c>
      <c r="BA48" s="578">
        <v>0</v>
      </c>
      <c r="BB48" s="1086">
        <v>0.996</v>
      </c>
      <c r="BC48" s="405">
        <v>0</v>
      </c>
      <c r="BD48" s="405">
        <v>1.5</v>
      </c>
      <c r="BE48" s="578">
        <v>0</v>
      </c>
      <c r="BF48" s="405">
        <v>1</v>
      </c>
      <c r="BG48" s="405">
        <v>0</v>
      </c>
      <c r="BH48" s="578">
        <v>0</v>
      </c>
      <c r="BI48" s="405">
        <v>0</v>
      </c>
      <c r="BJ48" s="405">
        <v>11.7</v>
      </c>
      <c r="BK48" s="405">
        <v>2.91</v>
      </c>
      <c r="BL48" s="405">
        <v>0.71</v>
      </c>
      <c r="BM48" s="405">
        <v>0</v>
      </c>
      <c r="BN48" s="405">
        <v>7</v>
      </c>
      <c r="BO48" s="648">
        <v>1042.7</v>
      </c>
      <c r="BP48" s="648">
        <v>55.5</v>
      </c>
      <c r="BQ48" s="649">
        <v>20.48</v>
      </c>
      <c r="BR48" s="649">
        <v>20.45</v>
      </c>
      <c r="BS48" s="649">
        <v>8.31</v>
      </c>
      <c r="BT48" s="649">
        <v>8.4580000000000002</v>
      </c>
      <c r="BU48" s="648">
        <v>18.7</v>
      </c>
      <c r="BV48" s="648">
        <v>20.9</v>
      </c>
      <c r="BW48" s="649">
        <v>472</v>
      </c>
      <c r="BX48" s="876"/>
      <c r="BY48" s="649">
        <v>0.12</v>
      </c>
      <c r="BZ48" s="649">
        <v>1.4</v>
      </c>
      <c r="CA48" s="649">
        <v>1.3</v>
      </c>
      <c r="CB48" s="649">
        <v>9.1</v>
      </c>
      <c r="CC48" s="649">
        <v>8.6</v>
      </c>
      <c r="CD48" s="649">
        <v>15.2</v>
      </c>
      <c r="CE48" s="649">
        <v>33.700000000000003</v>
      </c>
      <c r="CF48" s="649">
        <v>15.1</v>
      </c>
      <c r="CG48" s="649">
        <v>8.3000000000000007</v>
      </c>
      <c r="CH48" s="649">
        <v>13.9</v>
      </c>
      <c r="CI48" s="649">
        <v>17.899999999999999</v>
      </c>
      <c r="CJ48" s="649">
        <v>13.45</v>
      </c>
      <c r="CK48" s="649">
        <v>0</v>
      </c>
      <c r="CL48" s="649">
        <v>1.6</v>
      </c>
      <c r="CM48" s="649">
        <v>0.9</v>
      </c>
      <c r="CN48" s="649">
        <v>517.9</v>
      </c>
      <c r="CO48" s="649">
        <v>314.5</v>
      </c>
      <c r="CP48" s="649">
        <v>458.9</v>
      </c>
      <c r="CQ48" s="649">
        <v>14.3</v>
      </c>
      <c r="CR48" s="649">
        <v>1.8</v>
      </c>
      <c r="CS48" s="405">
        <v>10760.3</v>
      </c>
      <c r="CT48" s="405">
        <v>15.084</v>
      </c>
      <c r="CU48" s="405">
        <v>49</v>
      </c>
      <c r="CV48" s="522">
        <v>0</v>
      </c>
      <c r="CW48" s="522">
        <v>0</v>
      </c>
      <c r="CX48" s="522">
        <v>0</v>
      </c>
      <c r="CY48" s="522">
        <v>0</v>
      </c>
      <c r="CZ48" s="689">
        <v>799</v>
      </c>
      <c r="DA48" s="689">
        <v>1360</v>
      </c>
      <c r="DB48" s="689">
        <v>828</v>
      </c>
      <c r="DC48" s="643">
        <v>1076.6500000000001</v>
      </c>
      <c r="DD48" s="522"/>
      <c r="DE48" s="522"/>
      <c r="DF48" s="522"/>
      <c r="DG48" s="522"/>
      <c r="DH48" s="522"/>
      <c r="DI48" s="522"/>
      <c r="DJ48" s="522"/>
      <c r="DK48" s="522"/>
      <c r="DL48" s="649"/>
      <c r="DM48" s="689"/>
      <c r="DN48" s="649"/>
      <c r="DO48" s="522"/>
      <c r="DP48" s="522"/>
      <c r="DQ48" s="522"/>
      <c r="DR48" s="522"/>
      <c r="DS48" s="522"/>
      <c r="DT48" s="522"/>
      <c r="DU48" s="522"/>
      <c r="DV48" s="522"/>
      <c r="DW48" s="522"/>
      <c r="DX48" s="522"/>
      <c r="DY48" s="522"/>
      <c r="DZ48" s="522"/>
      <c r="EA48" s="522"/>
      <c r="EB48" s="522"/>
      <c r="EC48" s="522"/>
      <c r="ED48" s="522"/>
      <c r="EE48" s="522"/>
      <c r="EF48" s="522"/>
      <c r="EG48" s="645">
        <f t="shared" si="4"/>
        <v>9.4676399999999994</v>
      </c>
      <c r="EH48" s="361">
        <v>0</v>
      </c>
      <c r="EI48" s="647">
        <v>0</v>
      </c>
      <c r="EJ48" s="647">
        <v>2.5</v>
      </c>
      <c r="EK48" s="647">
        <f t="shared" si="5"/>
        <v>3.62</v>
      </c>
      <c r="EL48" s="522"/>
      <c r="EM48" s="522"/>
      <c r="EN48" s="522"/>
      <c r="EO48" s="522"/>
      <c r="EP48" s="522"/>
      <c r="EQ48" s="522"/>
      <c r="ER48" s="522"/>
      <c r="ES48" s="407"/>
      <c r="ET48" s="407"/>
    </row>
    <row r="49" spans="1:150" s="357" customFormat="1" ht="15">
      <c r="A49" s="675" t="s">
        <v>6</v>
      </c>
      <c r="B49" s="712">
        <v>41675</v>
      </c>
      <c r="C49" s="713">
        <v>0</v>
      </c>
      <c r="D49" s="681">
        <v>0</v>
      </c>
      <c r="E49" s="681">
        <v>0</v>
      </c>
      <c r="F49" s="681">
        <v>15</v>
      </c>
      <c r="G49" s="807">
        <v>1.1000000000000001</v>
      </c>
      <c r="H49" s="807" t="s">
        <v>744</v>
      </c>
      <c r="I49" s="807">
        <v>94.9</v>
      </c>
      <c r="J49" s="807">
        <v>0.11</v>
      </c>
      <c r="K49" s="807" t="s">
        <v>744</v>
      </c>
      <c r="L49" s="821">
        <f t="shared" si="6"/>
        <v>33.85</v>
      </c>
      <c r="M49" s="807">
        <v>16.3</v>
      </c>
      <c r="N49" s="807">
        <v>1.46</v>
      </c>
      <c r="O49" s="807">
        <v>1.6261790539758967</v>
      </c>
      <c r="P49" s="807" t="s">
        <v>744</v>
      </c>
      <c r="Q49" s="807" t="s">
        <v>743</v>
      </c>
      <c r="R49" s="865">
        <v>463.83179920739758</v>
      </c>
      <c r="S49" s="807">
        <v>8.0399999999999991</v>
      </c>
      <c r="T49" s="807" t="s">
        <v>744</v>
      </c>
      <c r="U49" s="807">
        <v>0.76</v>
      </c>
      <c r="V49" s="807" t="s">
        <v>744</v>
      </c>
      <c r="W49" s="807">
        <v>44.239999999999995</v>
      </c>
      <c r="X49" s="690">
        <v>32</v>
      </c>
      <c r="Y49" s="807">
        <v>19.7</v>
      </c>
      <c r="Z49" s="807">
        <v>14.1</v>
      </c>
      <c r="AA49" s="794">
        <v>19.71</v>
      </c>
      <c r="AB49" s="794">
        <v>14.14</v>
      </c>
      <c r="AC49" s="775">
        <f t="shared" ref="AC49" si="28">AA49+AB49</f>
        <v>33.85</v>
      </c>
      <c r="AD49" s="775">
        <f t="shared" ref="AD49" si="29">AC49*1.547</f>
        <v>52.365949999999998</v>
      </c>
      <c r="AE49" s="775"/>
      <c r="AF49" s="567"/>
      <c r="AG49" s="2">
        <v>1</v>
      </c>
      <c r="AH49" s="705"/>
      <c r="AI49" s="362"/>
      <c r="AJ49" s="2"/>
      <c r="AK49" s="407"/>
      <c r="AL49" s="407"/>
      <c r="AM49" s="407"/>
      <c r="AN49" s="407"/>
      <c r="AO49" s="387"/>
      <c r="AP49" s="387"/>
      <c r="AQ49" s="405"/>
      <c r="AR49" s="578">
        <v>0</v>
      </c>
      <c r="AS49" s="405">
        <v>22</v>
      </c>
      <c r="AT49" s="578">
        <v>0</v>
      </c>
      <c r="AU49" s="405">
        <v>20.399999999999999</v>
      </c>
      <c r="AV49" s="644">
        <v>322.10000000000002</v>
      </c>
      <c r="AW49" s="644">
        <v>520.1</v>
      </c>
      <c r="AX49" s="405">
        <v>0</v>
      </c>
      <c r="AY49" s="578">
        <v>0</v>
      </c>
      <c r="AZ49" s="578">
        <v>0</v>
      </c>
      <c r="BA49" s="578">
        <v>0</v>
      </c>
      <c r="BB49" s="1086">
        <v>0.99399999999999999</v>
      </c>
      <c r="BC49" s="405">
        <v>0</v>
      </c>
      <c r="BD49" s="405">
        <v>1.5</v>
      </c>
      <c r="BE49" s="578">
        <v>0</v>
      </c>
      <c r="BF49" s="405">
        <v>1</v>
      </c>
      <c r="BG49" s="405">
        <v>0</v>
      </c>
      <c r="BH49" s="578">
        <v>0</v>
      </c>
      <c r="BI49" s="405">
        <v>0</v>
      </c>
      <c r="BJ49" s="405">
        <v>11.7</v>
      </c>
      <c r="BK49" s="405">
        <v>2.92</v>
      </c>
      <c r="BL49" s="405">
        <v>0.67</v>
      </c>
      <c r="BM49" s="405">
        <v>0</v>
      </c>
      <c r="BN49" s="405">
        <v>7.1</v>
      </c>
      <c r="BO49" s="648">
        <v>976.3</v>
      </c>
      <c r="BP49" s="648">
        <v>0</v>
      </c>
      <c r="BQ49" s="649">
        <v>19.95</v>
      </c>
      <c r="BR49" s="649">
        <v>19.91</v>
      </c>
      <c r="BS49" s="649">
        <v>8.33</v>
      </c>
      <c r="BT49" s="649">
        <v>8.4489999999999998</v>
      </c>
      <c r="BU49" s="648">
        <v>18.7</v>
      </c>
      <c r="BV49" s="648">
        <v>20.7</v>
      </c>
      <c r="BW49" s="649">
        <v>664</v>
      </c>
      <c r="BX49" s="876"/>
      <c r="BY49" s="649">
        <v>0.15</v>
      </c>
      <c r="BZ49" s="649">
        <v>1.4</v>
      </c>
      <c r="CA49" s="649">
        <v>1.3</v>
      </c>
      <c r="CB49" s="649">
        <v>9.1</v>
      </c>
      <c r="CC49" s="649">
        <v>8.5</v>
      </c>
      <c r="CD49" s="649">
        <v>15.7</v>
      </c>
      <c r="CE49" s="649">
        <v>33.9</v>
      </c>
      <c r="CF49" s="649">
        <v>14.7</v>
      </c>
      <c r="CG49" s="649">
        <v>8.1</v>
      </c>
      <c r="CH49" s="649">
        <v>13.5</v>
      </c>
      <c r="CI49" s="649">
        <v>17.95</v>
      </c>
      <c r="CJ49" s="649">
        <v>13.74</v>
      </c>
      <c r="CK49" s="649">
        <v>0</v>
      </c>
      <c r="CL49" s="649">
        <v>1.7</v>
      </c>
      <c r="CM49" s="649">
        <v>1.3</v>
      </c>
      <c r="CN49" s="649">
        <v>556.6</v>
      </c>
      <c r="CO49" s="649">
        <v>311.39999999999998</v>
      </c>
      <c r="CP49" s="649">
        <v>445.7</v>
      </c>
      <c r="CQ49" s="649">
        <v>14.1</v>
      </c>
      <c r="CR49" s="649">
        <v>1.87</v>
      </c>
      <c r="CS49" s="405">
        <v>10776.2</v>
      </c>
      <c r="CT49" s="405">
        <v>15.313000000000001</v>
      </c>
      <c r="CU49" s="405">
        <v>48</v>
      </c>
      <c r="CV49" s="522">
        <v>0</v>
      </c>
      <c r="CW49" s="522">
        <v>0</v>
      </c>
      <c r="CX49" s="522">
        <v>0</v>
      </c>
      <c r="CY49" s="522">
        <v>0</v>
      </c>
      <c r="CZ49" s="689">
        <v>565</v>
      </c>
      <c r="DA49" s="689">
        <v>1100</v>
      </c>
      <c r="DB49" s="689">
        <v>681</v>
      </c>
      <c r="DC49" s="643">
        <v>1075.5999999999999</v>
      </c>
      <c r="DD49" s="522"/>
      <c r="DE49" s="522"/>
      <c r="DF49" s="522"/>
      <c r="DG49" s="522"/>
      <c r="DH49" s="522"/>
      <c r="DI49" s="522"/>
      <c r="DJ49" s="522"/>
      <c r="DK49" s="522"/>
      <c r="DL49" s="649"/>
      <c r="DM49" s="689"/>
      <c r="DN49" s="649"/>
      <c r="DO49" s="522"/>
      <c r="DP49" s="522"/>
      <c r="DQ49" s="522"/>
      <c r="DR49" s="522"/>
      <c r="DS49" s="522"/>
      <c r="DT49" s="522"/>
      <c r="DU49" s="522"/>
      <c r="DV49" s="522"/>
      <c r="DW49" s="522"/>
      <c r="DX49" s="522"/>
      <c r="DY49" s="522"/>
      <c r="DZ49" s="522"/>
      <c r="EA49" s="522"/>
      <c r="EB49" s="522"/>
      <c r="EC49" s="522"/>
      <c r="ED49" s="522"/>
      <c r="EE49" s="522"/>
      <c r="EF49" s="522"/>
      <c r="EG49" s="645">
        <f t="shared" si="4"/>
        <v>9.4212299999999995</v>
      </c>
      <c r="EH49" s="361">
        <v>0</v>
      </c>
      <c r="EI49" s="647">
        <v>0</v>
      </c>
      <c r="EJ49" s="647">
        <v>2.5</v>
      </c>
      <c r="EK49" s="647">
        <f t="shared" si="5"/>
        <v>3.59</v>
      </c>
      <c r="EL49" s="522"/>
      <c r="EM49" s="522"/>
      <c r="EN49" s="522"/>
      <c r="EO49" s="522"/>
      <c r="EP49" s="522"/>
      <c r="EQ49" s="522"/>
      <c r="ER49" s="522"/>
      <c r="ES49" s="407"/>
      <c r="ET49" s="407"/>
    </row>
    <row r="50" spans="1:150" s="357" customFormat="1" ht="15">
      <c r="A50" s="675" t="s">
        <v>7</v>
      </c>
      <c r="B50" s="712">
        <v>41676</v>
      </c>
      <c r="C50" s="713">
        <v>0</v>
      </c>
      <c r="D50" s="681">
        <v>0</v>
      </c>
      <c r="E50" s="681">
        <v>0</v>
      </c>
      <c r="F50" s="681">
        <v>17</v>
      </c>
      <c r="G50" s="807">
        <v>1.05</v>
      </c>
      <c r="H50" s="807" t="s">
        <v>744</v>
      </c>
      <c r="I50" s="807">
        <v>0</v>
      </c>
      <c r="J50" s="807">
        <v>0.06</v>
      </c>
      <c r="K50" s="807" t="s">
        <v>744</v>
      </c>
      <c r="L50" s="821">
        <f t="shared" si="6"/>
        <v>33.85</v>
      </c>
      <c r="M50" s="807">
        <v>16.899999999999999</v>
      </c>
      <c r="N50" s="807">
        <v>1.46</v>
      </c>
      <c r="O50" s="807">
        <v>1.633893187393709</v>
      </c>
      <c r="P50" s="807" t="s">
        <v>744</v>
      </c>
      <c r="Q50" s="807" t="s">
        <v>743</v>
      </c>
      <c r="R50" s="865">
        <v>467.39475297225886</v>
      </c>
      <c r="S50" s="807">
        <v>8.1</v>
      </c>
      <c r="T50" s="807" t="s">
        <v>744</v>
      </c>
      <c r="U50" s="807">
        <v>0.77</v>
      </c>
      <c r="V50" s="807" t="s">
        <v>744</v>
      </c>
      <c r="W50" s="807">
        <v>44.42</v>
      </c>
      <c r="X50" s="690">
        <v>32</v>
      </c>
      <c r="Y50" s="807">
        <v>19.71</v>
      </c>
      <c r="Z50" s="807">
        <v>14.14</v>
      </c>
      <c r="AA50" s="794">
        <v>19.690000000000001</v>
      </c>
      <c r="AB50" s="794">
        <v>14.16</v>
      </c>
      <c r="AC50" s="775">
        <f t="shared" ref="AC50" si="30">AA50+AB50</f>
        <v>33.85</v>
      </c>
      <c r="AD50" s="775">
        <f t="shared" ref="AD50" si="31">AC50*1.547</f>
        <v>52.365949999999998</v>
      </c>
      <c r="AE50" s="775"/>
      <c r="AF50" s="567"/>
      <c r="AG50" s="2">
        <v>1</v>
      </c>
      <c r="AH50" s="705"/>
      <c r="AI50" s="362"/>
      <c r="AJ50" s="2"/>
      <c r="AK50" s="407"/>
      <c r="AL50" s="407"/>
      <c r="AM50" s="407"/>
      <c r="AN50" s="407"/>
      <c r="AO50" s="387"/>
      <c r="AP50" s="387"/>
      <c r="AQ50" s="405"/>
      <c r="AR50" s="578">
        <v>0</v>
      </c>
      <c r="AS50" s="405">
        <v>16.2</v>
      </c>
      <c r="AT50" s="578">
        <v>0</v>
      </c>
      <c r="AU50" s="405">
        <v>20.399999999999999</v>
      </c>
      <c r="AV50" s="644">
        <v>480.5</v>
      </c>
      <c r="AW50" s="644">
        <v>593.6</v>
      </c>
      <c r="AX50" s="405">
        <v>0</v>
      </c>
      <c r="AY50" s="578">
        <v>0</v>
      </c>
      <c r="AZ50" s="578">
        <v>0</v>
      </c>
      <c r="BA50" s="578">
        <v>0</v>
      </c>
      <c r="BB50" s="1086">
        <v>0.99099999999999999</v>
      </c>
      <c r="BC50" s="405">
        <v>0</v>
      </c>
      <c r="BD50" s="405">
        <v>1.5</v>
      </c>
      <c r="BE50" s="578">
        <v>0</v>
      </c>
      <c r="BF50" s="405">
        <v>1</v>
      </c>
      <c r="BG50" s="405">
        <v>0</v>
      </c>
      <c r="BH50" s="578">
        <v>0</v>
      </c>
      <c r="BI50" s="405">
        <v>0</v>
      </c>
      <c r="BJ50" s="405">
        <v>11.7</v>
      </c>
      <c r="BK50" s="405">
        <v>2.39</v>
      </c>
      <c r="BL50" s="405">
        <v>1.23</v>
      </c>
      <c r="BM50" s="405">
        <v>0</v>
      </c>
      <c r="BN50" s="405">
        <v>7.1</v>
      </c>
      <c r="BO50" s="648">
        <v>1020</v>
      </c>
      <c r="BP50" s="648">
        <v>0</v>
      </c>
      <c r="BQ50" s="649">
        <v>19.78</v>
      </c>
      <c r="BR50" s="649">
        <v>19.75</v>
      </c>
      <c r="BS50" s="649">
        <v>8.2829999999999995</v>
      </c>
      <c r="BT50" s="649">
        <v>8.4</v>
      </c>
      <c r="BU50" s="648">
        <v>18.600000000000001</v>
      </c>
      <c r="BV50" s="648">
        <v>19.7</v>
      </c>
      <c r="BW50" s="649">
        <v>474.1</v>
      </c>
      <c r="BX50" s="876"/>
      <c r="BY50" s="649">
        <v>0.13</v>
      </c>
      <c r="BZ50" s="649">
        <v>1.4</v>
      </c>
      <c r="CA50" s="649">
        <v>1.3</v>
      </c>
      <c r="CB50" s="649">
        <v>9.1999999999999993</v>
      </c>
      <c r="CC50" s="649">
        <v>8.5</v>
      </c>
      <c r="CD50" s="649">
        <v>14.8</v>
      </c>
      <c r="CE50" s="649">
        <v>33.799999999999997</v>
      </c>
      <c r="CF50" s="649">
        <v>14.3</v>
      </c>
      <c r="CG50" s="649">
        <v>8.1</v>
      </c>
      <c r="CH50" s="649">
        <v>13.5</v>
      </c>
      <c r="CI50" s="649">
        <v>17.95</v>
      </c>
      <c r="CJ50" s="649">
        <v>13.19</v>
      </c>
      <c r="CK50" s="649">
        <v>0</v>
      </c>
      <c r="CL50" s="649">
        <v>1.2</v>
      </c>
      <c r="CM50" s="649">
        <v>1.9</v>
      </c>
      <c r="CN50" s="649">
        <v>490.5</v>
      </c>
      <c r="CO50" s="649">
        <v>325.8</v>
      </c>
      <c r="CP50" s="649">
        <v>457</v>
      </c>
      <c r="CQ50" s="649">
        <v>14.4</v>
      </c>
      <c r="CR50" s="649">
        <v>2.0099999999999998</v>
      </c>
      <c r="CS50" s="405">
        <v>10603.5</v>
      </c>
      <c r="CT50" s="405">
        <v>16.192</v>
      </c>
      <c r="CU50" s="405">
        <v>48</v>
      </c>
      <c r="CV50" s="522">
        <v>0</v>
      </c>
      <c r="CW50" s="522">
        <v>0</v>
      </c>
      <c r="CX50" s="522">
        <v>0</v>
      </c>
      <c r="CY50" s="522">
        <v>0</v>
      </c>
      <c r="CZ50" s="689">
        <v>439</v>
      </c>
      <c r="DA50" s="689">
        <v>968</v>
      </c>
      <c r="DB50" s="689">
        <v>614</v>
      </c>
      <c r="DC50" s="643">
        <v>1077.21</v>
      </c>
      <c r="DD50" s="522"/>
      <c r="DE50" s="522"/>
      <c r="DF50" s="522"/>
      <c r="DG50" s="522"/>
      <c r="DH50" s="522"/>
      <c r="DI50" s="522"/>
      <c r="DJ50" s="522"/>
      <c r="DK50" s="522"/>
      <c r="DL50" s="649"/>
      <c r="DM50" s="689"/>
      <c r="DN50" s="649"/>
      <c r="DO50" s="522"/>
      <c r="DP50" s="522"/>
      <c r="DQ50" s="522"/>
      <c r="DR50" s="522"/>
      <c r="DS50" s="522"/>
      <c r="DT50" s="522"/>
      <c r="DU50" s="522"/>
      <c r="DV50" s="522"/>
      <c r="DW50" s="522"/>
      <c r="DX50" s="522"/>
      <c r="DY50" s="522"/>
      <c r="DZ50" s="522"/>
      <c r="EA50" s="522"/>
      <c r="EB50" s="522"/>
      <c r="EC50" s="522"/>
      <c r="ED50" s="522"/>
      <c r="EE50" s="522"/>
      <c r="EF50" s="522"/>
      <c r="EG50" s="645">
        <f t="shared" si="4"/>
        <v>9.4676399999999994</v>
      </c>
      <c r="EH50" s="361">
        <v>0</v>
      </c>
      <c r="EI50" s="647">
        <v>0</v>
      </c>
      <c r="EJ50" s="647">
        <v>2.5</v>
      </c>
      <c r="EK50" s="647">
        <f t="shared" si="5"/>
        <v>3.62</v>
      </c>
      <c r="EL50" s="522"/>
      <c r="EM50" s="522"/>
      <c r="EN50" s="522"/>
      <c r="EO50" s="522"/>
      <c r="EP50" s="522"/>
      <c r="EQ50" s="522"/>
      <c r="ER50" s="522"/>
      <c r="ES50" s="407"/>
      <c r="ET50" s="407"/>
    </row>
    <row r="51" spans="1:150" s="357" customFormat="1" ht="15">
      <c r="A51" s="675" t="s">
        <v>8</v>
      </c>
      <c r="B51" s="712">
        <v>41677</v>
      </c>
      <c r="C51" s="713">
        <v>0</v>
      </c>
      <c r="D51" s="681">
        <v>0</v>
      </c>
      <c r="E51" s="681">
        <v>0</v>
      </c>
      <c r="F51" s="681">
        <v>26</v>
      </c>
      <c r="G51" s="807">
        <v>1</v>
      </c>
      <c r="H51" s="807" t="s">
        <v>744</v>
      </c>
      <c r="I51" s="807">
        <v>94</v>
      </c>
      <c r="J51" s="807">
        <v>5.6000000000000001E-2</v>
      </c>
      <c r="K51" s="807" t="s">
        <v>744</v>
      </c>
      <c r="L51" s="821">
        <f t="shared" si="6"/>
        <v>33.840000000000003</v>
      </c>
      <c r="M51" s="807">
        <v>16.5</v>
      </c>
      <c r="N51" s="807">
        <v>1.44</v>
      </c>
      <c r="O51" s="807">
        <v>1.6252532569918585</v>
      </c>
      <c r="P51" s="807" t="s">
        <v>744</v>
      </c>
      <c r="Q51" s="807" t="s">
        <v>743</v>
      </c>
      <c r="R51" s="865">
        <v>462.21227476882427</v>
      </c>
      <c r="S51" s="807">
        <v>8.07</v>
      </c>
      <c r="T51" s="807" t="s">
        <v>744</v>
      </c>
      <c r="U51" s="807">
        <v>0.75</v>
      </c>
      <c r="V51" s="807" t="s">
        <v>744</v>
      </c>
      <c r="W51" s="807">
        <v>44.239999999999995</v>
      </c>
      <c r="X51" s="690">
        <v>32</v>
      </c>
      <c r="Y51" s="807">
        <v>19.690000000000001</v>
      </c>
      <c r="Z51" s="807">
        <v>14.16</v>
      </c>
      <c r="AA51" s="794">
        <v>19.7</v>
      </c>
      <c r="AB51" s="794">
        <v>14.14</v>
      </c>
      <c r="AC51" s="775">
        <f t="shared" ref="AC51:AC53" si="32">AA51+AB51</f>
        <v>33.840000000000003</v>
      </c>
      <c r="AD51" s="775">
        <f t="shared" ref="AD51:AD53" si="33">AC51*1.547</f>
        <v>52.350480000000005</v>
      </c>
      <c r="AE51" s="775"/>
      <c r="AF51" s="567"/>
      <c r="AG51" s="2">
        <v>1</v>
      </c>
      <c r="AH51" s="705"/>
      <c r="AI51" s="362"/>
      <c r="AJ51" s="2"/>
      <c r="AK51" s="407"/>
      <c r="AL51" s="407"/>
      <c r="AM51" s="407"/>
      <c r="AN51" s="407"/>
      <c r="AO51" s="387"/>
      <c r="AP51" s="387"/>
      <c r="AQ51" s="405"/>
      <c r="AR51" s="578">
        <v>0</v>
      </c>
      <c r="AS51" s="405">
        <v>17.3</v>
      </c>
      <c r="AT51" s="578">
        <v>0</v>
      </c>
      <c r="AU51" s="405">
        <v>20.3</v>
      </c>
      <c r="AV51" s="644">
        <v>267.3</v>
      </c>
      <c r="AW51" s="644">
        <v>323.8</v>
      </c>
      <c r="AX51" s="405">
        <v>0</v>
      </c>
      <c r="AY51" s="578">
        <v>0</v>
      </c>
      <c r="AZ51" s="578">
        <v>0</v>
      </c>
      <c r="BA51" s="578">
        <v>0</v>
      </c>
      <c r="BB51" s="924">
        <v>1</v>
      </c>
      <c r="BC51" s="405">
        <v>0</v>
      </c>
      <c r="BD51" s="405">
        <v>1.51</v>
      </c>
      <c r="BE51" s="578">
        <v>0</v>
      </c>
      <c r="BF51" s="405">
        <v>1</v>
      </c>
      <c r="BG51" s="405">
        <v>0</v>
      </c>
      <c r="BH51" s="578">
        <v>0</v>
      </c>
      <c r="BI51" s="405">
        <v>0</v>
      </c>
      <c r="BJ51" s="405">
        <v>11.7</v>
      </c>
      <c r="BK51" s="405">
        <v>2.91</v>
      </c>
      <c r="BL51" s="405">
        <v>0.67</v>
      </c>
      <c r="BM51" s="405">
        <v>0</v>
      </c>
      <c r="BN51" s="405">
        <v>7.1</v>
      </c>
      <c r="BO51" s="648">
        <v>1066.0999999999999</v>
      </c>
      <c r="BP51" s="648">
        <v>0</v>
      </c>
      <c r="BQ51" s="649">
        <v>18.579999999999998</v>
      </c>
      <c r="BR51" s="649">
        <v>18.54</v>
      </c>
      <c r="BS51" s="649">
        <v>8.5359999999999996</v>
      </c>
      <c r="BT51" s="649">
        <v>8.7010000000000005</v>
      </c>
      <c r="BU51" s="648">
        <v>19.100000000000001</v>
      </c>
      <c r="BV51" s="648">
        <v>23.1</v>
      </c>
      <c r="BW51" s="649">
        <v>669.9</v>
      </c>
      <c r="BX51" s="876"/>
      <c r="BY51" s="649">
        <v>0.97</v>
      </c>
      <c r="BZ51" s="649">
        <v>1.39</v>
      </c>
      <c r="CA51" s="649">
        <v>1.3</v>
      </c>
      <c r="CB51" s="649">
        <v>9.1999999999999993</v>
      </c>
      <c r="CC51" s="649">
        <v>8.6</v>
      </c>
      <c r="CD51" s="522">
        <v>15.2</v>
      </c>
      <c r="CE51" s="522">
        <v>35.4</v>
      </c>
      <c r="CF51" s="649">
        <v>13.7</v>
      </c>
      <c r="CG51" s="522">
        <v>8.1999999999999993</v>
      </c>
      <c r="CH51" s="522">
        <v>13.7</v>
      </c>
      <c r="CI51" s="649">
        <v>18</v>
      </c>
      <c r="CJ51" s="649">
        <v>13.79</v>
      </c>
      <c r="CK51" s="649">
        <v>0</v>
      </c>
      <c r="CL51" s="522">
        <v>1.7</v>
      </c>
      <c r="CM51" s="522">
        <v>1.5</v>
      </c>
      <c r="CN51" s="522">
        <v>496.9</v>
      </c>
      <c r="CO51" s="649">
        <v>355.8</v>
      </c>
      <c r="CP51" s="522">
        <v>486.7</v>
      </c>
      <c r="CQ51" s="522">
        <v>14.9</v>
      </c>
      <c r="CR51" s="649">
        <v>1.91</v>
      </c>
      <c r="CS51" s="405">
        <v>10655.4</v>
      </c>
      <c r="CT51" s="405">
        <v>16.099</v>
      </c>
      <c r="CU51" s="405">
        <v>48</v>
      </c>
      <c r="CV51" s="522">
        <v>0</v>
      </c>
      <c r="CW51" s="522">
        <v>0</v>
      </c>
      <c r="CX51" s="522">
        <v>0</v>
      </c>
      <c r="CY51" s="522">
        <v>0</v>
      </c>
      <c r="CZ51" s="689">
        <v>565</v>
      </c>
      <c r="DA51" s="689">
        <v>1040</v>
      </c>
      <c r="DB51" s="689">
        <v>614</v>
      </c>
      <c r="DC51" s="643">
        <v>1079</v>
      </c>
      <c r="DD51" s="522"/>
      <c r="DE51" s="522"/>
      <c r="DF51" s="522"/>
      <c r="DG51" s="522"/>
      <c r="DH51" s="522"/>
      <c r="DI51" s="522"/>
      <c r="DJ51" s="522"/>
      <c r="DK51" s="522"/>
      <c r="DL51" s="649"/>
      <c r="DM51" s="689"/>
      <c r="DN51" s="649"/>
      <c r="DO51" s="522"/>
      <c r="DP51" s="522"/>
      <c r="DQ51" s="522"/>
      <c r="DR51" s="522"/>
      <c r="DS51" s="522"/>
      <c r="DT51" s="522"/>
      <c r="DU51" s="522"/>
      <c r="DV51" s="522"/>
      <c r="DW51" s="522"/>
      <c r="DX51" s="522"/>
      <c r="DY51" s="522"/>
      <c r="DZ51" s="522"/>
      <c r="EA51" s="522"/>
      <c r="EB51" s="522"/>
      <c r="EC51" s="522"/>
      <c r="ED51" s="522"/>
      <c r="EE51" s="522"/>
      <c r="EF51" s="522"/>
      <c r="EG51" s="645">
        <f t="shared" si="4"/>
        <v>9.405759999999999</v>
      </c>
      <c r="EH51" s="361">
        <v>0</v>
      </c>
      <c r="EI51" s="647">
        <v>0</v>
      </c>
      <c r="EJ51" s="647">
        <v>2.5</v>
      </c>
      <c r="EK51" s="647">
        <f t="shared" si="5"/>
        <v>3.58</v>
      </c>
      <c r="EL51" s="522"/>
      <c r="EM51" s="522"/>
      <c r="EN51" s="522"/>
      <c r="EO51" s="522"/>
      <c r="EP51" s="522"/>
      <c r="EQ51" s="522"/>
      <c r="ER51" s="522"/>
      <c r="ES51" s="407"/>
      <c r="ET51" s="407"/>
    </row>
    <row r="52" spans="1:150" s="357" customFormat="1" ht="15">
      <c r="A52" s="675" t="s">
        <v>9</v>
      </c>
      <c r="B52" s="712">
        <v>41678</v>
      </c>
      <c r="C52" s="713">
        <v>0</v>
      </c>
      <c r="D52" s="681">
        <v>0</v>
      </c>
      <c r="E52" s="681">
        <v>0.25</v>
      </c>
      <c r="F52" s="681">
        <v>26</v>
      </c>
      <c r="G52" s="807">
        <v>0.75</v>
      </c>
      <c r="H52" s="807" t="s">
        <v>744</v>
      </c>
      <c r="I52" s="807">
        <v>95.3</v>
      </c>
      <c r="J52" s="807">
        <v>5.3999999999999999E-2</v>
      </c>
      <c r="K52" s="807" t="s">
        <v>744</v>
      </c>
      <c r="L52" s="821">
        <f t="shared" si="6"/>
        <v>33.86</v>
      </c>
      <c r="M52" s="807">
        <v>16.2</v>
      </c>
      <c r="N52" s="807">
        <v>1.43</v>
      </c>
      <c r="O52" s="807">
        <v>1.6511622517325095</v>
      </c>
      <c r="P52" s="807" t="s">
        <v>744</v>
      </c>
      <c r="Q52" s="807" t="s">
        <v>743</v>
      </c>
      <c r="R52" s="865">
        <v>470.95770673712019</v>
      </c>
      <c r="S52" s="807">
        <v>8.15</v>
      </c>
      <c r="T52" s="807" t="s">
        <v>744</v>
      </c>
      <c r="U52" s="807">
        <v>0.73</v>
      </c>
      <c r="V52" s="807" t="s">
        <v>744</v>
      </c>
      <c r="W52" s="807">
        <v>44.239999999999995</v>
      </c>
      <c r="X52" s="690">
        <v>32</v>
      </c>
      <c r="Y52" s="807">
        <v>19.7</v>
      </c>
      <c r="Z52" s="807">
        <v>14.14</v>
      </c>
      <c r="AA52" s="794">
        <v>19.7</v>
      </c>
      <c r="AB52" s="794">
        <v>14.16</v>
      </c>
      <c r="AC52" s="775">
        <f t="shared" si="32"/>
        <v>33.86</v>
      </c>
      <c r="AD52" s="775">
        <f t="shared" si="33"/>
        <v>52.381419999999999</v>
      </c>
      <c r="AE52" s="775"/>
      <c r="AF52" s="567"/>
      <c r="AG52" s="2">
        <v>1</v>
      </c>
      <c r="AH52" s="705"/>
      <c r="AI52" s="362"/>
      <c r="AJ52" s="2"/>
      <c r="AK52" s="407"/>
      <c r="AL52" s="407"/>
      <c r="AM52" s="407"/>
      <c r="AN52" s="407"/>
      <c r="AO52" s="387"/>
      <c r="AP52" s="387"/>
      <c r="AQ52" s="405"/>
      <c r="AR52" s="874">
        <v>0</v>
      </c>
      <c r="AS52" s="681">
        <v>21.5</v>
      </c>
      <c r="AT52" s="874">
        <v>0</v>
      </c>
      <c r="AU52" s="681">
        <v>20.3</v>
      </c>
      <c r="AV52" s="644">
        <v>373.6</v>
      </c>
      <c r="AW52" s="644">
        <v>474.3</v>
      </c>
      <c r="AX52" s="681">
        <v>0</v>
      </c>
      <c r="AY52" s="874">
        <v>0</v>
      </c>
      <c r="AZ52" s="874">
        <v>0</v>
      </c>
      <c r="BA52" s="874">
        <v>0</v>
      </c>
      <c r="BB52" s="924">
        <v>1</v>
      </c>
      <c r="BC52" s="681">
        <v>0</v>
      </c>
      <c r="BD52" s="681">
        <v>1.5</v>
      </c>
      <c r="BE52" s="874">
        <v>0</v>
      </c>
      <c r="BF52" s="681">
        <v>1</v>
      </c>
      <c r="BG52" s="681">
        <v>0</v>
      </c>
      <c r="BH52" s="874">
        <v>0</v>
      </c>
      <c r="BI52" s="681">
        <v>0</v>
      </c>
      <c r="BJ52" s="681">
        <v>11.7</v>
      </c>
      <c r="BK52" s="681">
        <v>2.92</v>
      </c>
      <c r="BL52" s="681">
        <v>0.74</v>
      </c>
      <c r="BM52" s="681">
        <v>0</v>
      </c>
      <c r="BN52" s="681">
        <v>7</v>
      </c>
      <c r="BO52" s="703">
        <v>1097.0999999999999</v>
      </c>
      <c r="BP52" s="703">
        <v>0</v>
      </c>
      <c r="BQ52" s="649">
        <v>18.079999999999998</v>
      </c>
      <c r="BR52" s="649">
        <v>18.05</v>
      </c>
      <c r="BS52" s="649">
        <v>8.4459999999999997</v>
      </c>
      <c r="BT52" s="649">
        <v>8.5090000000000003</v>
      </c>
      <c r="BU52" s="648">
        <v>18.899999999999999</v>
      </c>
      <c r="BV52" s="648">
        <v>20.9</v>
      </c>
      <c r="BW52" s="649">
        <v>512.9</v>
      </c>
      <c r="BX52" s="876"/>
      <c r="BY52" s="649">
        <v>0.15</v>
      </c>
      <c r="BZ52" s="649">
        <v>1.4</v>
      </c>
      <c r="CA52" s="649">
        <v>1.3</v>
      </c>
      <c r="CB52" s="649">
        <v>9.1999999999999993</v>
      </c>
      <c r="CC52" s="649">
        <v>8.6999999999999993</v>
      </c>
      <c r="CD52" s="522">
        <v>15.2</v>
      </c>
      <c r="CE52" s="522">
        <v>34.5</v>
      </c>
      <c r="CF52" s="649">
        <v>13</v>
      </c>
      <c r="CG52" s="522">
        <v>8.1999999999999993</v>
      </c>
      <c r="CH52" s="522">
        <v>13.7</v>
      </c>
      <c r="CI52" s="649">
        <v>17.7</v>
      </c>
      <c r="CJ52" s="649">
        <v>13.12</v>
      </c>
      <c r="CK52" s="649">
        <v>0</v>
      </c>
      <c r="CL52" s="649">
        <v>2.1</v>
      </c>
      <c r="CM52" s="522">
        <v>2.7</v>
      </c>
      <c r="CN52" s="522">
        <v>548.5</v>
      </c>
      <c r="CO52" s="649">
        <v>395</v>
      </c>
      <c r="CP52" s="522">
        <v>466.4</v>
      </c>
      <c r="CQ52" s="522">
        <v>14.1</v>
      </c>
      <c r="CR52" s="649">
        <v>1.49</v>
      </c>
      <c r="CS52" s="405">
        <v>11708.2</v>
      </c>
      <c r="CT52" s="405">
        <v>16.61</v>
      </c>
      <c r="CU52" s="405">
        <v>48</v>
      </c>
      <c r="CV52" s="522">
        <v>0</v>
      </c>
      <c r="CW52" s="522">
        <v>0</v>
      </c>
      <c r="CX52" s="522">
        <v>0</v>
      </c>
      <c r="CY52" s="522">
        <v>0</v>
      </c>
      <c r="CZ52" s="689">
        <v>569</v>
      </c>
      <c r="DA52" s="689">
        <v>1040</v>
      </c>
      <c r="DB52" s="689">
        <v>614</v>
      </c>
      <c r="DC52" s="643">
        <v>1079.2</v>
      </c>
      <c r="DD52" s="522"/>
      <c r="DE52" s="522"/>
      <c r="DF52" s="522"/>
      <c r="DG52" s="522"/>
      <c r="DH52" s="522"/>
      <c r="DI52" s="522"/>
      <c r="DJ52" s="522"/>
      <c r="DK52" s="522"/>
      <c r="DL52" s="649"/>
      <c r="DM52" s="689"/>
      <c r="DN52" s="649"/>
      <c r="DO52" s="522"/>
      <c r="DP52" s="522"/>
      <c r="DQ52" s="522"/>
      <c r="DR52" s="522"/>
      <c r="DS52" s="522"/>
      <c r="DT52" s="522"/>
      <c r="DU52" s="522"/>
      <c r="DV52" s="522"/>
      <c r="DW52" s="522"/>
      <c r="DX52" s="522"/>
      <c r="DY52" s="522"/>
      <c r="DZ52" s="522"/>
      <c r="EA52" s="522"/>
      <c r="EB52" s="522"/>
      <c r="EC52" s="522"/>
      <c r="ED52" s="522"/>
      <c r="EE52" s="522"/>
      <c r="EF52" s="522"/>
      <c r="EG52" s="645">
        <f t="shared" si="4"/>
        <v>9.5295199999999998</v>
      </c>
      <c r="EH52" s="361">
        <v>0</v>
      </c>
      <c r="EI52" s="647">
        <v>0</v>
      </c>
      <c r="EJ52" s="647">
        <v>2.5</v>
      </c>
      <c r="EK52" s="647">
        <f t="shared" si="5"/>
        <v>3.66</v>
      </c>
      <c r="EL52" s="522"/>
      <c r="EM52" s="522"/>
      <c r="EN52" s="522"/>
      <c r="EO52" s="522"/>
      <c r="EP52" s="522"/>
      <c r="EQ52" s="522"/>
      <c r="ER52" s="522"/>
      <c r="ES52" s="407"/>
      <c r="ET52" s="407"/>
    </row>
    <row r="53" spans="1:150" s="357" customFormat="1" ht="15">
      <c r="A53" s="675" t="s">
        <v>3</v>
      </c>
      <c r="B53" s="712">
        <v>41679</v>
      </c>
      <c r="C53" s="713">
        <v>0</v>
      </c>
      <c r="D53" s="681">
        <v>0</v>
      </c>
      <c r="E53" s="681">
        <v>0.2</v>
      </c>
      <c r="F53" s="681">
        <v>34</v>
      </c>
      <c r="G53" s="807">
        <v>0.75</v>
      </c>
      <c r="H53" s="807" t="s">
        <v>744</v>
      </c>
      <c r="I53" s="807">
        <v>96.2</v>
      </c>
      <c r="J53" s="807">
        <v>5.5E-2</v>
      </c>
      <c r="K53" s="807" t="s">
        <v>744</v>
      </c>
      <c r="L53" s="821">
        <f t="shared" si="6"/>
        <v>33.799999999999997</v>
      </c>
      <c r="M53" s="807">
        <v>15.9</v>
      </c>
      <c r="N53" s="807">
        <v>1.43</v>
      </c>
      <c r="O53" s="807">
        <v>1.7244676880567258</v>
      </c>
      <c r="P53" s="807" t="s">
        <v>744</v>
      </c>
      <c r="Q53" s="807" t="s">
        <v>743</v>
      </c>
      <c r="R53" s="865">
        <v>490.71590488771454</v>
      </c>
      <c r="S53" s="807">
        <v>8.0299999999999994</v>
      </c>
      <c r="T53" s="807" t="s">
        <v>744</v>
      </c>
      <c r="U53" s="807">
        <v>0.75</v>
      </c>
      <c r="V53" s="807" t="s">
        <v>744</v>
      </c>
      <c r="W53" s="807">
        <v>44.42</v>
      </c>
      <c r="X53" s="690">
        <v>32</v>
      </c>
      <c r="Y53" s="807">
        <v>19.7</v>
      </c>
      <c r="Z53" s="807">
        <v>14.16</v>
      </c>
      <c r="AA53" s="794">
        <v>19.7</v>
      </c>
      <c r="AB53" s="794">
        <v>14.1</v>
      </c>
      <c r="AC53" s="775">
        <f t="shared" si="32"/>
        <v>33.799999999999997</v>
      </c>
      <c r="AD53" s="775">
        <f t="shared" si="33"/>
        <v>52.288599999999995</v>
      </c>
      <c r="AE53" s="775"/>
      <c r="AF53" s="567"/>
      <c r="AG53" s="2">
        <v>1</v>
      </c>
      <c r="AH53" s="705"/>
      <c r="AI53" s="362"/>
      <c r="AJ53" s="2"/>
      <c r="AK53" s="407"/>
      <c r="AL53" s="407"/>
      <c r="AM53" s="407"/>
      <c r="AN53" s="407"/>
      <c r="AO53" s="387"/>
      <c r="AP53" s="387"/>
      <c r="AQ53" s="405"/>
      <c r="AR53" s="578">
        <v>0</v>
      </c>
      <c r="AS53" s="405">
        <v>23.9</v>
      </c>
      <c r="AT53" s="578">
        <v>0</v>
      </c>
      <c r="AU53" s="405">
        <v>20.399999999999999</v>
      </c>
      <c r="AV53" s="644">
        <v>360.2</v>
      </c>
      <c r="AW53" s="644">
        <v>552.70000000000005</v>
      </c>
      <c r="AX53" s="405">
        <v>0</v>
      </c>
      <c r="AY53" s="578">
        <v>0</v>
      </c>
      <c r="AZ53" s="578">
        <v>0</v>
      </c>
      <c r="BA53" s="578">
        <v>0</v>
      </c>
      <c r="BB53" s="1086">
        <v>0.99299999999999999</v>
      </c>
      <c r="BC53" s="405">
        <v>0</v>
      </c>
      <c r="BD53" s="405">
        <v>1.5</v>
      </c>
      <c r="BE53" s="578">
        <v>0</v>
      </c>
      <c r="BF53" s="405">
        <v>1</v>
      </c>
      <c r="BG53" s="405">
        <v>0</v>
      </c>
      <c r="BH53" s="578">
        <v>0</v>
      </c>
      <c r="BI53" s="405">
        <v>0</v>
      </c>
      <c r="BJ53" s="405">
        <v>11.7</v>
      </c>
      <c r="BK53" s="405">
        <v>2.92</v>
      </c>
      <c r="BL53" s="405">
        <v>0.81</v>
      </c>
      <c r="BM53" s="405">
        <v>0</v>
      </c>
      <c r="BN53" s="405">
        <v>6.9</v>
      </c>
      <c r="BO53" s="648">
        <v>1197.5</v>
      </c>
      <c r="BP53" s="648">
        <v>0</v>
      </c>
      <c r="BQ53" s="649">
        <v>18.059999999999999</v>
      </c>
      <c r="BR53" s="649">
        <v>18.04</v>
      </c>
      <c r="BS53" s="649">
        <v>8.31</v>
      </c>
      <c r="BT53" s="649">
        <v>8.43</v>
      </c>
      <c r="BU53" s="648">
        <v>18.7</v>
      </c>
      <c r="BV53" s="648">
        <v>19.3</v>
      </c>
      <c r="BW53" s="649">
        <v>692.9</v>
      </c>
      <c r="BX53" s="876"/>
      <c r="BY53" s="649">
        <v>0.13</v>
      </c>
      <c r="BZ53" s="649">
        <v>1.4</v>
      </c>
      <c r="CA53" s="649">
        <v>1.3</v>
      </c>
      <c r="CB53" s="649">
        <v>9.1999999999999993</v>
      </c>
      <c r="CC53" s="649">
        <v>8.6999999999999993</v>
      </c>
      <c r="CD53" s="649">
        <v>15</v>
      </c>
      <c r="CE53" s="649">
        <v>34.9</v>
      </c>
      <c r="CF53" s="649">
        <v>12.2</v>
      </c>
      <c r="CG53" s="649">
        <v>8.3000000000000007</v>
      </c>
      <c r="CH53" s="649">
        <v>13.8</v>
      </c>
      <c r="CI53" s="649">
        <v>17.8</v>
      </c>
      <c r="CJ53" s="649">
        <v>13.45</v>
      </c>
      <c r="CK53" s="649">
        <v>0</v>
      </c>
      <c r="CL53" s="649">
        <v>1.6</v>
      </c>
      <c r="CM53" s="649">
        <v>1.9</v>
      </c>
      <c r="CN53" s="649">
        <v>500.4</v>
      </c>
      <c r="CO53" s="649">
        <v>396.8</v>
      </c>
      <c r="CP53" s="649">
        <v>454.5</v>
      </c>
      <c r="CQ53" s="649">
        <v>14.3</v>
      </c>
      <c r="CR53" s="649">
        <v>1.88</v>
      </c>
      <c r="CS53" s="405">
        <v>12917.7</v>
      </c>
      <c r="CT53" s="405">
        <v>16.41</v>
      </c>
      <c r="CU53" s="405">
        <v>49</v>
      </c>
      <c r="CV53" s="522">
        <v>0</v>
      </c>
      <c r="CW53" s="522">
        <v>0</v>
      </c>
      <c r="CX53" s="522">
        <v>0</v>
      </c>
      <c r="CY53" s="522">
        <v>0</v>
      </c>
      <c r="CZ53" s="689">
        <v>565</v>
      </c>
      <c r="DA53" s="689">
        <v>1030</v>
      </c>
      <c r="DB53" s="689">
        <v>611</v>
      </c>
      <c r="DC53" s="643">
        <v>1078.9000000000001</v>
      </c>
      <c r="DD53" s="522"/>
      <c r="DE53" s="522"/>
      <c r="DF53" s="522"/>
      <c r="DG53" s="522"/>
      <c r="DH53" s="522"/>
      <c r="DI53" s="522"/>
      <c r="DJ53" s="522"/>
      <c r="DK53" s="522"/>
      <c r="DL53" s="649"/>
      <c r="DM53" s="689"/>
      <c r="DN53" s="649"/>
      <c r="DO53" s="522"/>
      <c r="DP53" s="522"/>
      <c r="DQ53" s="522"/>
      <c r="DR53" s="522"/>
      <c r="DS53" s="522"/>
      <c r="DT53" s="522"/>
      <c r="DU53" s="522"/>
      <c r="DV53" s="522"/>
      <c r="DW53" s="522"/>
      <c r="DX53" s="522"/>
      <c r="DY53" s="522"/>
      <c r="DZ53" s="522"/>
      <c r="EA53" s="522"/>
      <c r="EB53" s="522"/>
      <c r="EC53" s="522"/>
      <c r="ED53" s="522"/>
      <c r="EE53" s="522"/>
      <c r="EF53" s="522"/>
      <c r="EG53" s="645">
        <f t="shared" si="4"/>
        <v>9.63781</v>
      </c>
      <c r="EH53" s="361">
        <v>0</v>
      </c>
      <c r="EI53" s="647">
        <v>0</v>
      </c>
      <c r="EJ53" s="647">
        <v>2.5</v>
      </c>
      <c r="EK53" s="647">
        <f t="shared" si="5"/>
        <v>3.73</v>
      </c>
      <c r="EL53" s="522"/>
      <c r="EM53" s="522"/>
      <c r="EN53" s="522"/>
      <c r="EO53" s="522"/>
      <c r="EP53" s="522"/>
      <c r="EQ53" s="522"/>
      <c r="ER53" s="522"/>
      <c r="ES53" s="407"/>
      <c r="ET53" s="407"/>
    </row>
    <row r="54" spans="1:150" s="357" customFormat="1" ht="15">
      <c r="A54" s="675" t="s">
        <v>4</v>
      </c>
      <c r="B54" s="712">
        <v>41680</v>
      </c>
      <c r="C54" s="713">
        <v>0</v>
      </c>
      <c r="D54" s="681">
        <v>0.77</v>
      </c>
      <c r="E54" s="681">
        <v>0.25</v>
      </c>
      <c r="F54" s="681">
        <v>40</v>
      </c>
      <c r="G54" s="807">
        <v>1</v>
      </c>
      <c r="H54" s="807" t="s">
        <v>744</v>
      </c>
      <c r="I54" s="807">
        <v>0</v>
      </c>
      <c r="J54" s="807">
        <v>0.05</v>
      </c>
      <c r="K54" s="807" t="s">
        <v>744</v>
      </c>
      <c r="L54" s="821">
        <f t="shared" si="6"/>
        <v>33.9</v>
      </c>
      <c r="M54" s="807">
        <v>15.6</v>
      </c>
      <c r="N54" s="807">
        <v>1.43</v>
      </c>
      <c r="O54" s="807">
        <v>1.7168127567284854</v>
      </c>
      <c r="P54" s="807" t="s">
        <v>744</v>
      </c>
      <c r="Q54" s="807" t="s">
        <v>743</v>
      </c>
      <c r="R54" s="865">
        <v>491.68761955085859</v>
      </c>
      <c r="S54" s="807">
        <v>8.0299999999999994</v>
      </c>
      <c r="T54" s="807" t="s">
        <v>744</v>
      </c>
      <c r="U54" s="807">
        <v>0.77</v>
      </c>
      <c r="V54" s="807" t="s">
        <v>744</v>
      </c>
      <c r="W54" s="807">
        <v>44.42</v>
      </c>
      <c r="X54" s="690">
        <v>32</v>
      </c>
      <c r="Y54" s="807">
        <v>19.7</v>
      </c>
      <c r="Z54" s="807">
        <v>14.1</v>
      </c>
      <c r="AA54" s="794">
        <v>19.8</v>
      </c>
      <c r="AB54" s="794">
        <v>14.1</v>
      </c>
      <c r="AC54" s="775">
        <f t="shared" ref="AC54:AC55" si="34">AA54+AB54</f>
        <v>33.9</v>
      </c>
      <c r="AD54" s="775">
        <f t="shared" ref="AD54:AD55" si="35">AC54*1.547</f>
        <v>52.443299999999994</v>
      </c>
      <c r="AE54" s="775"/>
      <c r="AF54" s="567"/>
      <c r="AG54" s="2">
        <v>1</v>
      </c>
      <c r="AH54" s="705"/>
      <c r="AI54" s="362"/>
      <c r="AJ54" s="2"/>
      <c r="AK54" s="407"/>
      <c r="AL54" s="407"/>
      <c r="AM54" s="407"/>
      <c r="AN54" s="407"/>
      <c r="AO54" s="387"/>
      <c r="AP54" s="387"/>
      <c r="AQ54" s="405"/>
      <c r="AR54" s="874">
        <v>0</v>
      </c>
      <c r="AS54" s="681">
        <v>23</v>
      </c>
      <c r="AT54" s="874">
        <v>0</v>
      </c>
      <c r="AU54" s="681">
        <v>20.399999999999999</v>
      </c>
      <c r="AV54" s="644">
        <v>293.2</v>
      </c>
      <c r="AW54" s="644">
        <v>412.1</v>
      </c>
      <c r="AX54" s="681">
        <v>0</v>
      </c>
      <c r="AY54" s="874">
        <v>0</v>
      </c>
      <c r="AZ54" s="874">
        <v>0</v>
      </c>
      <c r="BA54" s="874">
        <v>0</v>
      </c>
      <c r="BB54" s="1086">
        <v>1.0009999999999999</v>
      </c>
      <c r="BC54" s="681">
        <v>0</v>
      </c>
      <c r="BD54" s="681">
        <v>1.5</v>
      </c>
      <c r="BE54" s="874">
        <v>0</v>
      </c>
      <c r="BF54" s="681">
        <v>1</v>
      </c>
      <c r="BG54" s="681">
        <v>0</v>
      </c>
      <c r="BH54" s="874">
        <v>0</v>
      </c>
      <c r="BI54" s="681">
        <v>0</v>
      </c>
      <c r="BJ54" s="681">
        <v>11.7</v>
      </c>
      <c r="BK54" s="681">
        <v>3.16</v>
      </c>
      <c r="BL54" s="681">
        <v>0.55000000000000004</v>
      </c>
      <c r="BM54" s="681">
        <v>0</v>
      </c>
      <c r="BN54" s="681">
        <v>6.9</v>
      </c>
      <c r="BO54" s="703">
        <v>1038.9000000000001</v>
      </c>
      <c r="BP54" s="703">
        <v>0</v>
      </c>
      <c r="BQ54" s="649">
        <v>19</v>
      </c>
      <c r="BR54" s="688">
        <v>18.98</v>
      </c>
      <c r="BS54" s="649">
        <v>8.4809999999999999</v>
      </c>
      <c r="BT54" s="649">
        <v>8.5640000000000001</v>
      </c>
      <c r="BU54" s="703">
        <v>19</v>
      </c>
      <c r="BV54" s="703">
        <v>17</v>
      </c>
      <c r="BW54" s="688">
        <v>483.7</v>
      </c>
      <c r="BX54" s="877"/>
      <c r="BY54" s="688">
        <v>0.13</v>
      </c>
      <c r="BZ54" s="688">
        <v>1.4</v>
      </c>
      <c r="CA54" s="688">
        <v>1.3</v>
      </c>
      <c r="CB54" s="688">
        <v>9.1999999999999993</v>
      </c>
      <c r="CC54" s="688">
        <v>8.8000000000000007</v>
      </c>
      <c r="CD54" s="688">
        <v>15.02</v>
      </c>
      <c r="CE54" s="688">
        <v>34.9</v>
      </c>
      <c r="CF54" s="688">
        <v>14.8</v>
      </c>
      <c r="CG54" s="688">
        <v>8.3000000000000007</v>
      </c>
      <c r="CH54" s="688">
        <v>13.8</v>
      </c>
      <c r="CI54" s="688">
        <v>17.899999999999999</v>
      </c>
      <c r="CJ54" s="688">
        <v>14.03</v>
      </c>
      <c r="CK54" s="688">
        <v>0</v>
      </c>
      <c r="CL54" s="688">
        <v>1.6</v>
      </c>
      <c r="CM54" s="688">
        <v>1.5</v>
      </c>
      <c r="CN54" s="688">
        <v>458.4</v>
      </c>
      <c r="CO54" s="688">
        <v>327.10000000000002</v>
      </c>
      <c r="CP54" s="688">
        <v>474.3</v>
      </c>
      <c r="CQ54" s="688">
        <v>14.6</v>
      </c>
      <c r="CR54" s="688">
        <v>2.0099999999999998</v>
      </c>
      <c r="CS54" s="681">
        <v>14425.9</v>
      </c>
      <c r="CT54" s="681">
        <v>15.992000000000001</v>
      </c>
      <c r="CU54" s="681">
        <v>49</v>
      </c>
      <c r="CV54" s="673">
        <v>0</v>
      </c>
      <c r="CW54" s="673">
        <v>0</v>
      </c>
      <c r="CX54" s="673">
        <v>0</v>
      </c>
      <c r="CY54" s="673">
        <v>0</v>
      </c>
      <c r="CZ54" s="690">
        <v>679</v>
      </c>
      <c r="DA54" s="690">
        <v>1280</v>
      </c>
      <c r="DB54" s="690">
        <v>724</v>
      </c>
      <c r="DC54" s="807">
        <v>1077.7</v>
      </c>
      <c r="DD54" s="673"/>
      <c r="DE54" s="673"/>
      <c r="DF54" s="673"/>
      <c r="DG54" s="673"/>
      <c r="DH54" s="673"/>
      <c r="DI54" s="673"/>
      <c r="DJ54" s="673"/>
      <c r="DK54" s="673"/>
      <c r="DL54" s="688"/>
      <c r="DM54" s="690"/>
      <c r="DN54" s="688"/>
      <c r="DO54" s="673"/>
      <c r="DP54" s="673"/>
      <c r="DQ54" s="673"/>
      <c r="DR54" s="673"/>
      <c r="DS54" s="673"/>
      <c r="DT54" s="673"/>
      <c r="DU54" s="673"/>
      <c r="DV54" s="673"/>
      <c r="DW54" s="673"/>
      <c r="DX54" s="673"/>
      <c r="DY54" s="673"/>
      <c r="DZ54" s="673"/>
      <c r="EA54" s="673"/>
      <c r="EB54" s="673"/>
      <c r="EC54" s="673"/>
      <c r="ED54" s="673"/>
      <c r="EE54" s="673"/>
      <c r="EF54" s="673"/>
      <c r="EG54" s="645">
        <f t="shared" si="4"/>
        <v>9.6068699999999989</v>
      </c>
      <c r="EH54" s="361">
        <v>0</v>
      </c>
      <c r="EI54" s="647">
        <v>0</v>
      </c>
      <c r="EJ54" s="647">
        <v>2.5</v>
      </c>
      <c r="EK54" s="647">
        <f t="shared" si="5"/>
        <v>3.71</v>
      </c>
      <c r="EL54" s="673"/>
      <c r="EM54" s="673"/>
      <c r="EN54" s="673"/>
      <c r="EO54" s="673"/>
      <c r="EP54" s="673"/>
      <c r="EQ54" s="673"/>
      <c r="ER54" s="673"/>
      <c r="ES54" s="675"/>
      <c r="ET54" s="675"/>
    </row>
    <row r="55" spans="1:150" s="357" customFormat="1" ht="15">
      <c r="A55" s="675" t="s">
        <v>5</v>
      </c>
      <c r="B55" s="712">
        <v>41681</v>
      </c>
      <c r="C55" s="713">
        <v>0</v>
      </c>
      <c r="D55" s="681">
        <v>0.73</v>
      </c>
      <c r="E55" s="681">
        <v>0</v>
      </c>
      <c r="F55" s="681">
        <v>40</v>
      </c>
      <c r="G55" s="807">
        <v>1</v>
      </c>
      <c r="H55" s="807" t="s">
        <v>744</v>
      </c>
      <c r="I55" s="807">
        <v>93.2</v>
      </c>
      <c r="J55" s="807">
        <v>0.09</v>
      </c>
      <c r="K55" s="807" t="s">
        <v>744</v>
      </c>
      <c r="L55" s="821">
        <f t="shared" si="6"/>
        <v>33.880000000000003</v>
      </c>
      <c r="M55" s="807">
        <v>15.6</v>
      </c>
      <c r="N55" s="807">
        <v>1.45</v>
      </c>
      <c r="O55" s="807">
        <v>1.7468947152903671</v>
      </c>
      <c r="P55" s="807" t="s">
        <v>744</v>
      </c>
      <c r="Q55" s="807" t="s">
        <v>743</v>
      </c>
      <c r="R55" s="865">
        <v>499.1374319682958</v>
      </c>
      <c r="S55" s="807">
        <v>8.0399999999999991</v>
      </c>
      <c r="T55" s="807" t="s">
        <v>744</v>
      </c>
      <c r="U55" s="807">
        <v>0.74</v>
      </c>
      <c r="V55" s="807" t="s">
        <v>744</v>
      </c>
      <c r="W55" s="807">
        <v>44.42</v>
      </c>
      <c r="X55" s="690">
        <v>32</v>
      </c>
      <c r="Y55" s="807">
        <v>19.8</v>
      </c>
      <c r="Z55" s="807">
        <v>14.1</v>
      </c>
      <c r="AA55" s="794">
        <v>19.78</v>
      </c>
      <c r="AB55" s="794">
        <v>14.1</v>
      </c>
      <c r="AC55" s="775">
        <f t="shared" si="34"/>
        <v>33.880000000000003</v>
      </c>
      <c r="AD55" s="775">
        <f t="shared" si="35"/>
        <v>52.41236</v>
      </c>
      <c r="AE55" s="775"/>
      <c r="AF55" s="567"/>
      <c r="AG55" s="2">
        <v>1</v>
      </c>
      <c r="AH55" s="705"/>
      <c r="AI55" s="362"/>
      <c r="AJ55" s="2"/>
      <c r="AK55" s="407"/>
      <c r="AL55" s="407"/>
      <c r="AM55" s="407"/>
      <c r="AN55" s="407"/>
      <c r="AO55" s="387"/>
      <c r="AP55" s="387"/>
      <c r="AQ55" s="405"/>
      <c r="AR55" s="874">
        <v>0</v>
      </c>
      <c r="AS55" s="681">
        <v>11.1</v>
      </c>
      <c r="AT55" s="874">
        <v>0</v>
      </c>
      <c r="AU55" s="681">
        <v>20.399999999999999</v>
      </c>
      <c r="AV55" s="644">
        <v>447.2</v>
      </c>
      <c r="AW55" s="644">
        <v>529.29999999999995</v>
      </c>
      <c r="AX55" s="681">
        <v>0</v>
      </c>
      <c r="AY55" s="874">
        <v>0</v>
      </c>
      <c r="AZ55" s="874">
        <v>0</v>
      </c>
      <c r="BA55" s="874">
        <v>0</v>
      </c>
      <c r="BB55" s="924">
        <v>1</v>
      </c>
      <c r="BC55" s="681">
        <v>0</v>
      </c>
      <c r="BD55" s="681">
        <v>1.5</v>
      </c>
      <c r="BE55" s="874">
        <v>0</v>
      </c>
      <c r="BF55" s="681">
        <v>1</v>
      </c>
      <c r="BG55" s="681">
        <v>0</v>
      </c>
      <c r="BH55" s="874">
        <v>0</v>
      </c>
      <c r="BI55" s="681">
        <v>0</v>
      </c>
      <c r="BJ55" s="681">
        <v>11.6</v>
      </c>
      <c r="BK55" s="681">
        <v>2.91</v>
      </c>
      <c r="BL55" s="681">
        <v>0.81</v>
      </c>
      <c r="BM55" s="681">
        <v>0</v>
      </c>
      <c r="BN55" s="681">
        <v>6.9</v>
      </c>
      <c r="BO55" s="703">
        <v>825.9</v>
      </c>
      <c r="BP55" s="703">
        <v>0</v>
      </c>
      <c r="BQ55" s="649">
        <v>19.54</v>
      </c>
      <c r="BR55" s="688">
        <v>19.420000000000002</v>
      </c>
      <c r="BS55" s="649">
        <v>8.3529999999999998</v>
      </c>
      <c r="BT55" s="649">
        <v>8.5039999999999996</v>
      </c>
      <c r="BU55" s="703">
        <v>18.8</v>
      </c>
      <c r="BV55" s="703">
        <v>18.2</v>
      </c>
      <c r="BW55" s="688">
        <v>631.70000000000005</v>
      </c>
      <c r="BX55" s="877"/>
      <c r="BY55" s="688">
        <v>0.28000000000000003</v>
      </c>
      <c r="BZ55" s="688">
        <v>1.39</v>
      </c>
      <c r="CA55" s="688">
        <v>1.3</v>
      </c>
      <c r="CB55" s="688">
        <v>9.1</v>
      </c>
      <c r="CC55" s="688">
        <v>8.4</v>
      </c>
      <c r="CD55" s="688">
        <v>17.3</v>
      </c>
      <c r="CE55" s="688">
        <v>34.4</v>
      </c>
      <c r="CF55" s="688">
        <v>15.4</v>
      </c>
      <c r="CG55" s="688">
        <v>7.3</v>
      </c>
      <c r="CH55" s="688">
        <v>12.6</v>
      </c>
      <c r="CI55" s="688">
        <v>17</v>
      </c>
      <c r="CJ55" s="688">
        <v>13.5</v>
      </c>
      <c r="CK55" s="688">
        <v>0</v>
      </c>
      <c r="CL55" s="688">
        <v>3.2</v>
      </c>
      <c r="CM55" s="688">
        <v>2.2999999999999998</v>
      </c>
      <c r="CN55" s="688">
        <v>520</v>
      </c>
      <c r="CO55" s="688">
        <v>314.10000000000002</v>
      </c>
      <c r="CP55" s="688">
        <v>457.9</v>
      </c>
      <c r="CQ55" s="688">
        <v>14</v>
      </c>
      <c r="CR55" s="688">
        <v>1.94</v>
      </c>
      <c r="CS55" s="681">
        <v>13100.6</v>
      </c>
      <c r="CT55" s="681">
        <v>16.201000000000001</v>
      </c>
      <c r="CU55" s="681">
        <v>49</v>
      </c>
      <c r="CV55" s="673">
        <v>0</v>
      </c>
      <c r="CW55" s="673">
        <v>0</v>
      </c>
      <c r="CX55" s="673">
        <v>0</v>
      </c>
      <c r="CY55" s="673">
        <v>0</v>
      </c>
      <c r="CZ55" s="690">
        <v>749</v>
      </c>
      <c r="DA55" s="690">
        <v>1400</v>
      </c>
      <c r="DB55" s="690">
        <v>808</v>
      </c>
      <c r="DC55" s="807">
        <v>1078.02</v>
      </c>
      <c r="DD55" s="673"/>
      <c r="DE55" s="673"/>
      <c r="DF55" s="673"/>
      <c r="DG55" s="673"/>
      <c r="DH55" s="673"/>
      <c r="DI55" s="673"/>
      <c r="DJ55" s="673"/>
      <c r="DK55" s="673"/>
      <c r="DL55" s="688"/>
      <c r="DM55" s="690"/>
      <c r="DN55" s="688"/>
      <c r="DO55" s="673"/>
      <c r="DP55" s="673"/>
      <c r="DQ55" s="673"/>
      <c r="DR55" s="673"/>
      <c r="DS55" s="673"/>
      <c r="DT55" s="673"/>
      <c r="DU55" s="673"/>
      <c r="DV55" s="673"/>
      <c r="DW55" s="673"/>
      <c r="DX55" s="673"/>
      <c r="DY55" s="673"/>
      <c r="DZ55" s="673"/>
      <c r="EA55" s="673"/>
      <c r="EB55" s="673"/>
      <c r="EC55" s="673"/>
      <c r="ED55" s="673"/>
      <c r="EE55" s="673"/>
      <c r="EF55" s="673"/>
      <c r="EG55" s="645">
        <f t="shared" si="4"/>
        <v>9.6223400000000012</v>
      </c>
      <c r="EH55" s="361">
        <v>0</v>
      </c>
      <c r="EI55" s="647">
        <v>0</v>
      </c>
      <c r="EJ55" s="647">
        <v>2.5</v>
      </c>
      <c r="EK55" s="647">
        <f t="shared" si="5"/>
        <v>3.72</v>
      </c>
      <c r="EL55" s="673"/>
      <c r="EM55" s="673"/>
      <c r="EN55" s="673"/>
      <c r="EO55" s="673"/>
      <c r="EP55" s="673"/>
      <c r="EQ55" s="673"/>
      <c r="ER55" s="673"/>
      <c r="ES55" s="675"/>
      <c r="ET55" s="675"/>
    </row>
    <row r="56" spans="1:150" s="357" customFormat="1" ht="15">
      <c r="A56" s="675" t="s">
        <v>6</v>
      </c>
      <c r="B56" s="712">
        <v>41682</v>
      </c>
      <c r="C56" s="713">
        <v>0</v>
      </c>
      <c r="D56" s="681">
        <v>0.44</v>
      </c>
      <c r="E56" s="681">
        <v>0</v>
      </c>
      <c r="F56" s="681">
        <v>45</v>
      </c>
      <c r="G56" s="807">
        <v>1.5</v>
      </c>
      <c r="H56" s="807" t="s">
        <v>744</v>
      </c>
      <c r="I56" s="807">
        <v>86.5</v>
      </c>
      <c r="J56" s="807">
        <v>0.06</v>
      </c>
      <c r="K56" s="807" t="s">
        <v>744</v>
      </c>
      <c r="L56" s="821">
        <f t="shared" si="6"/>
        <v>33.42</v>
      </c>
      <c r="M56" s="807">
        <v>17</v>
      </c>
      <c r="N56" s="807">
        <v>1.46</v>
      </c>
      <c r="O56" s="807">
        <v>1.7429743941097429</v>
      </c>
      <c r="P56" s="807" t="s">
        <v>744</v>
      </c>
      <c r="Q56" s="807" t="s">
        <v>743</v>
      </c>
      <c r="R56" s="865">
        <v>491.03980977542926</v>
      </c>
      <c r="S56" s="807">
        <v>8.0500000000000007</v>
      </c>
      <c r="T56" s="807" t="s">
        <v>744</v>
      </c>
      <c r="U56" s="807">
        <v>0.74</v>
      </c>
      <c r="V56" s="807" t="s">
        <v>744</v>
      </c>
      <c r="W56" s="807">
        <v>44.42</v>
      </c>
      <c r="X56" s="690">
        <v>32</v>
      </c>
      <c r="Y56" s="807">
        <v>19.78</v>
      </c>
      <c r="Z56" s="807">
        <v>14.1</v>
      </c>
      <c r="AA56" s="794">
        <v>20.72</v>
      </c>
      <c r="AB56" s="794">
        <v>12.7</v>
      </c>
      <c r="AC56" s="775">
        <f t="shared" ref="AC56:AC57" si="36">AA56+AB56</f>
        <v>33.42</v>
      </c>
      <c r="AD56" s="775">
        <f t="shared" ref="AD56:AD57" si="37">AC56*1.547</f>
        <v>51.700740000000003</v>
      </c>
      <c r="AE56" s="775"/>
      <c r="AF56" s="567"/>
      <c r="AG56" s="2">
        <v>1</v>
      </c>
      <c r="AH56" s="705"/>
      <c r="AI56" s="362"/>
      <c r="AJ56" s="2"/>
      <c r="AK56" s="407"/>
      <c r="AL56" s="407"/>
      <c r="AM56" s="407"/>
      <c r="AN56" s="407"/>
      <c r="AO56" s="387"/>
      <c r="AP56" s="387"/>
      <c r="AQ56" s="405"/>
      <c r="AR56" s="874">
        <v>0</v>
      </c>
      <c r="AS56" s="681">
        <v>21.7</v>
      </c>
      <c r="AT56" s="874">
        <v>0</v>
      </c>
      <c r="AU56" s="681">
        <v>21</v>
      </c>
      <c r="AV56" s="644">
        <v>273.39999999999998</v>
      </c>
      <c r="AW56" s="644">
        <v>334.2</v>
      </c>
      <c r="AX56" s="681">
        <v>0</v>
      </c>
      <c r="AY56" s="874">
        <v>0</v>
      </c>
      <c r="AZ56" s="874">
        <v>0</v>
      </c>
      <c r="BA56" s="874">
        <v>0</v>
      </c>
      <c r="BB56" s="1086">
        <v>0.92100000000000004</v>
      </c>
      <c r="BC56" s="681">
        <v>0</v>
      </c>
      <c r="BD56" s="681">
        <v>1.5</v>
      </c>
      <c r="BE56" s="874">
        <v>1</v>
      </c>
      <c r="BF56" s="681">
        <v>0</v>
      </c>
      <c r="BG56" s="681">
        <v>0</v>
      </c>
      <c r="BH56" s="874">
        <v>0</v>
      </c>
      <c r="BI56" s="681">
        <v>0</v>
      </c>
      <c r="BJ56" s="681">
        <v>10.199999999999999</v>
      </c>
      <c r="BK56" s="681">
        <v>2.91</v>
      </c>
      <c r="BL56" s="681">
        <v>0.81</v>
      </c>
      <c r="BM56" s="681">
        <v>0</v>
      </c>
      <c r="BN56" s="681">
        <v>5.5</v>
      </c>
      <c r="BO56" s="681">
        <v>756.4</v>
      </c>
      <c r="BP56" s="681">
        <v>337.9</v>
      </c>
      <c r="BQ56" s="649">
        <v>22.11</v>
      </c>
      <c r="BR56" s="688">
        <v>22.07</v>
      </c>
      <c r="BS56" s="649">
        <v>8.8780000000000001</v>
      </c>
      <c r="BT56" s="649">
        <v>8.9499999999999993</v>
      </c>
      <c r="BU56" s="703">
        <v>19.7</v>
      </c>
      <c r="BV56" s="703">
        <v>13.4</v>
      </c>
      <c r="BW56" s="688">
        <v>507.8</v>
      </c>
      <c r="BX56" s="877"/>
      <c r="BY56" s="688">
        <v>0.15</v>
      </c>
      <c r="BZ56" s="688">
        <v>1.43</v>
      </c>
      <c r="CA56" s="688">
        <v>1.3</v>
      </c>
      <c r="CB56" s="688">
        <v>9</v>
      </c>
      <c r="CC56" s="688">
        <v>8.1999999999999993</v>
      </c>
      <c r="CD56" s="688">
        <v>14.9</v>
      </c>
      <c r="CE56" s="688">
        <v>34.299999999999997</v>
      </c>
      <c r="CF56" s="688">
        <v>15</v>
      </c>
      <c r="CG56" s="688">
        <v>7.9</v>
      </c>
      <c r="CH56" s="688">
        <v>13.4</v>
      </c>
      <c r="CI56" s="688">
        <v>17.399999999999999</v>
      </c>
      <c r="CJ56" s="688">
        <v>13.84</v>
      </c>
      <c r="CK56" s="688">
        <v>0</v>
      </c>
      <c r="CL56" s="688">
        <v>1.3</v>
      </c>
      <c r="CM56" s="688">
        <v>3.4</v>
      </c>
      <c r="CN56" s="688">
        <v>504.5</v>
      </c>
      <c r="CO56" s="688">
        <v>317.39999999999998</v>
      </c>
      <c r="CP56" s="688">
        <v>457.2</v>
      </c>
      <c r="CQ56" s="688">
        <v>13</v>
      </c>
      <c r="CR56" s="688">
        <v>1.74</v>
      </c>
      <c r="CS56" s="681">
        <v>14047.8</v>
      </c>
      <c r="CT56" s="681">
        <v>15.702</v>
      </c>
      <c r="CU56" s="681">
        <v>50</v>
      </c>
      <c r="CV56" s="673">
        <v>0</v>
      </c>
      <c r="CW56" s="673">
        <v>0</v>
      </c>
      <c r="CX56" s="673">
        <v>0</v>
      </c>
      <c r="CY56" s="673">
        <v>0</v>
      </c>
      <c r="CZ56" s="690">
        <v>1430</v>
      </c>
      <c r="DA56" s="690">
        <v>2100</v>
      </c>
      <c r="DB56" s="690">
        <v>1460</v>
      </c>
      <c r="DC56" s="807">
        <v>1080.3</v>
      </c>
      <c r="DD56" s="673"/>
      <c r="DE56" s="673"/>
      <c r="DF56" s="673"/>
      <c r="DG56" s="673"/>
      <c r="DH56" s="673"/>
      <c r="DI56" s="673"/>
      <c r="DJ56" s="673"/>
      <c r="DK56" s="673"/>
      <c r="DL56" s="688"/>
      <c r="DM56" s="690"/>
      <c r="DN56" s="688"/>
      <c r="DO56" s="673"/>
      <c r="DP56" s="673"/>
      <c r="DQ56" s="673"/>
      <c r="DR56" s="673"/>
      <c r="DS56" s="673"/>
      <c r="DT56" s="673"/>
      <c r="DU56" s="673"/>
      <c r="DV56" s="673"/>
      <c r="DW56" s="673"/>
      <c r="DX56" s="673"/>
      <c r="DY56" s="673"/>
      <c r="DZ56" s="673"/>
      <c r="EA56" s="673"/>
      <c r="EB56" s="673"/>
      <c r="EC56" s="673"/>
      <c r="ED56" s="673"/>
      <c r="EE56" s="673"/>
      <c r="EF56" s="673"/>
      <c r="EG56" s="645">
        <f t="shared" si="4"/>
        <v>9.6223400000000012</v>
      </c>
      <c r="EH56" s="361">
        <v>0</v>
      </c>
      <c r="EI56" s="647">
        <v>0</v>
      </c>
      <c r="EJ56" s="647">
        <v>2.5</v>
      </c>
      <c r="EK56" s="647">
        <f t="shared" si="5"/>
        <v>3.72</v>
      </c>
      <c r="EL56" s="673"/>
      <c r="EM56" s="673"/>
      <c r="EN56" s="673"/>
      <c r="EO56" s="673"/>
      <c r="EP56" s="673"/>
      <c r="EQ56" s="673"/>
      <c r="ER56" s="673"/>
      <c r="ES56" s="675"/>
      <c r="ET56" s="675"/>
    </row>
    <row r="57" spans="1:150" s="357" customFormat="1" ht="15">
      <c r="A57" s="675" t="s">
        <v>7</v>
      </c>
      <c r="B57" s="712">
        <v>41683</v>
      </c>
      <c r="C57" s="713">
        <v>0</v>
      </c>
      <c r="D57" s="681">
        <v>0.15</v>
      </c>
      <c r="E57" s="681">
        <v>0</v>
      </c>
      <c r="F57" s="681">
        <v>42</v>
      </c>
      <c r="G57" s="807">
        <v>1.8</v>
      </c>
      <c r="H57" s="807" t="s">
        <v>744</v>
      </c>
      <c r="I57" s="807">
        <v>83</v>
      </c>
      <c r="J57" s="807">
        <v>0.06</v>
      </c>
      <c r="K57" s="807" t="s">
        <v>744</v>
      </c>
      <c r="L57" s="821">
        <f t="shared" si="6"/>
        <v>31.7</v>
      </c>
      <c r="M57" s="807">
        <v>17</v>
      </c>
      <c r="N57" s="807">
        <v>1.45</v>
      </c>
      <c r="O57" s="807">
        <v>1.7616019950860393</v>
      </c>
      <c r="P57" s="807" t="s">
        <v>744</v>
      </c>
      <c r="Q57" s="807" t="s">
        <v>743</v>
      </c>
      <c r="R57" s="865">
        <v>471.60551651254946</v>
      </c>
      <c r="S57" s="807">
        <v>8.01</v>
      </c>
      <c r="T57" s="807" t="s">
        <v>744</v>
      </c>
      <c r="U57" s="807">
        <v>0.75</v>
      </c>
      <c r="V57" s="807" t="s">
        <v>744</v>
      </c>
      <c r="W57" s="807">
        <v>44.239999999999995</v>
      </c>
      <c r="X57" s="690">
        <v>32</v>
      </c>
      <c r="Y57" s="807">
        <v>20.72</v>
      </c>
      <c r="Z57" s="807">
        <v>12.7</v>
      </c>
      <c r="AA57" s="794">
        <v>23.4</v>
      </c>
      <c r="AB57" s="794">
        <v>8.3000000000000007</v>
      </c>
      <c r="AC57" s="775">
        <f t="shared" si="36"/>
        <v>31.7</v>
      </c>
      <c r="AD57" s="775">
        <f t="shared" si="37"/>
        <v>49.039899999999996</v>
      </c>
      <c r="AE57" s="775"/>
      <c r="AF57" s="567"/>
      <c r="AG57" s="2">
        <v>1</v>
      </c>
      <c r="AH57" s="705"/>
      <c r="AI57" s="362"/>
      <c r="AJ57" s="2"/>
      <c r="AK57" s="407"/>
      <c r="AL57" s="407"/>
      <c r="AM57" s="407"/>
      <c r="AN57" s="407"/>
      <c r="AO57" s="387"/>
      <c r="AP57" s="387"/>
      <c r="AQ57" s="405"/>
      <c r="AR57" s="578">
        <v>0</v>
      </c>
      <c r="AS57" s="405">
        <v>10.8</v>
      </c>
      <c r="AT57" s="578">
        <v>0</v>
      </c>
      <c r="AU57" s="405">
        <v>24.2</v>
      </c>
      <c r="AV57" s="644">
        <v>497.4</v>
      </c>
      <c r="AW57" s="644">
        <v>582.1</v>
      </c>
      <c r="AX57" s="405">
        <v>0</v>
      </c>
      <c r="AY57" s="578">
        <v>0</v>
      </c>
      <c r="AZ57" s="578">
        <v>0</v>
      </c>
      <c r="BA57" s="578">
        <v>0</v>
      </c>
      <c r="BB57" s="924">
        <v>1</v>
      </c>
      <c r="BC57" s="405">
        <v>0</v>
      </c>
      <c r="BD57" s="405">
        <v>1.5</v>
      </c>
      <c r="BE57" s="578">
        <v>0</v>
      </c>
      <c r="BF57" s="405">
        <v>1</v>
      </c>
      <c r="BG57" s="405">
        <v>0</v>
      </c>
      <c r="BH57" s="578">
        <v>0</v>
      </c>
      <c r="BI57" s="405">
        <v>0</v>
      </c>
      <c r="BJ57" s="405">
        <v>5.8</v>
      </c>
      <c r="BK57" s="405">
        <v>2.91</v>
      </c>
      <c r="BL57" s="405">
        <v>0.81</v>
      </c>
      <c r="BM57" s="405">
        <v>0</v>
      </c>
      <c r="BN57" s="405">
        <v>1.1000000000000001</v>
      </c>
      <c r="BO57" s="405">
        <v>0</v>
      </c>
      <c r="BP57" s="405">
        <v>1044.3</v>
      </c>
      <c r="BQ57" s="649">
        <v>22</v>
      </c>
      <c r="BR57" s="649">
        <v>22</v>
      </c>
      <c r="BS57" s="649">
        <v>10.23</v>
      </c>
      <c r="BT57" s="649">
        <v>10.35</v>
      </c>
      <c r="BU57" s="648">
        <v>22.2</v>
      </c>
      <c r="BV57" s="648">
        <v>22.3</v>
      </c>
      <c r="BW57" s="649">
        <v>469.1</v>
      </c>
      <c r="BX57" s="876"/>
      <c r="BY57" s="649">
        <v>0.16</v>
      </c>
      <c r="BZ57" s="649">
        <v>1.41</v>
      </c>
      <c r="CA57" s="649">
        <v>1.3</v>
      </c>
      <c r="CB57" s="649">
        <v>9</v>
      </c>
      <c r="CC57" s="649">
        <v>8.6999999999999993</v>
      </c>
      <c r="CD57" s="649">
        <v>14.4</v>
      </c>
      <c r="CE57" s="649">
        <v>34.200000000000003</v>
      </c>
      <c r="CF57" s="649">
        <v>14.5</v>
      </c>
      <c r="CG57" s="649">
        <v>8.1</v>
      </c>
      <c r="CH57" s="649">
        <v>13.6</v>
      </c>
      <c r="CI57" s="649">
        <v>17.8</v>
      </c>
      <c r="CJ57" s="649">
        <v>12.91</v>
      </c>
      <c r="CK57" s="649">
        <v>0</v>
      </c>
      <c r="CL57" s="649">
        <v>2</v>
      </c>
      <c r="CM57" s="649">
        <v>3.2</v>
      </c>
      <c r="CN57" s="649">
        <v>567.29999999999995</v>
      </c>
      <c r="CO57" s="649">
        <v>309.2</v>
      </c>
      <c r="CP57" s="649">
        <v>452.4</v>
      </c>
      <c r="CQ57" s="649">
        <v>14.9</v>
      </c>
      <c r="CR57" s="649">
        <v>1.97</v>
      </c>
      <c r="CS57" s="405">
        <v>12213</v>
      </c>
      <c r="CT57" s="405">
        <v>16.062000000000001</v>
      </c>
      <c r="CU57" s="405">
        <v>52</v>
      </c>
      <c r="CV57" s="522">
        <v>0</v>
      </c>
      <c r="CW57" s="522">
        <v>0</v>
      </c>
      <c r="CX57" s="522">
        <v>0</v>
      </c>
      <c r="CY57" s="522">
        <v>0</v>
      </c>
      <c r="CZ57" s="689">
        <v>1900</v>
      </c>
      <c r="DA57" s="689">
        <v>2610</v>
      </c>
      <c r="DB57" s="689">
        <v>1910</v>
      </c>
      <c r="DC57" s="643">
        <v>1080.6099999999999</v>
      </c>
      <c r="DD57" s="522"/>
      <c r="DE57" s="522"/>
      <c r="DF57" s="522"/>
      <c r="DG57" s="522"/>
      <c r="DH57" s="522"/>
      <c r="DI57" s="522"/>
      <c r="DJ57" s="522"/>
      <c r="DK57" s="522"/>
      <c r="DL57" s="649"/>
      <c r="DM57" s="689"/>
      <c r="DN57" s="649"/>
      <c r="DO57" s="522"/>
      <c r="DP57" s="522"/>
      <c r="DQ57" s="522"/>
      <c r="DR57" s="522"/>
      <c r="DS57" s="522"/>
      <c r="DT57" s="522"/>
      <c r="DU57" s="522"/>
      <c r="DV57" s="522"/>
      <c r="DW57" s="522"/>
      <c r="DX57" s="522"/>
      <c r="DY57" s="522"/>
      <c r="DZ57" s="522"/>
      <c r="EA57" s="522"/>
      <c r="EB57" s="522"/>
      <c r="EC57" s="522"/>
      <c r="ED57" s="522"/>
      <c r="EE57" s="522"/>
      <c r="EF57" s="522"/>
      <c r="EG57" s="645">
        <f t="shared" si="4"/>
        <v>9.6223400000000012</v>
      </c>
      <c r="EH57" s="361">
        <v>0</v>
      </c>
      <c r="EI57" s="647">
        <v>0</v>
      </c>
      <c r="EJ57" s="647">
        <v>2.5</v>
      </c>
      <c r="EK57" s="647">
        <f t="shared" si="5"/>
        <v>3.72</v>
      </c>
      <c r="EL57" s="522"/>
      <c r="EM57" s="522"/>
      <c r="EN57" s="522"/>
      <c r="EO57" s="522"/>
      <c r="EP57" s="522"/>
      <c r="EQ57" s="522"/>
      <c r="ER57" s="522"/>
      <c r="ES57" s="407"/>
      <c r="ET57" s="407"/>
    </row>
    <row r="58" spans="1:150" s="357" customFormat="1" ht="15">
      <c r="A58" s="675" t="s">
        <v>8</v>
      </c>
      <c r="B58" s="712">
        <v>41684</v>
      </c>
      <c r="C58" s="713">
        <v>0</v>
      </c>
      <c r="D58" s="681">
        <v>0.13</v>
      </c>
      <c r="E58" s="681">
        <v>0</v>
      </c>
      <c r="F58" s="681">
        <v>35</v>
      </c>
      <c r="G58" s="807">
        <v>1.8</v>
      </c>
      <c r="H58" s="807" t="s">
        <v>744</v>
      </c>
      <c r="I58" s="807">
        <v>0</v>
      </c>
      <c r="J58" s="807">
        <v>0.06</v>
      </c>
      <c r="K58" s="807" t="s">
        <v>744</v>
      </c>
      <c r="L58" s="821">
        <f t="shared" si="6"/>
        <v>32.299999999999997</v>
      </c>
      <c r="M58" s="807">
        <v>17</v>
      </c>
      <c r="N58" s="807">
        <v>1.45</v>
      </c>
      <c r="O58" s="807">
        <v>1.7671660249026426</v>
      </c>
      <c r="P58" s="807" t="s">
        <v>744</v>
      </c>
      <c r="Q58" s="807" t="s">
        <v>743</v>
      </c>
      <c r="R58" s="865">
        <v>484.88561690885064</v>
      </c>
      <c r="S58" s="807">
        <v>7.99</v>
      </c>
      <c r="T58" s="807" t="s">
        <v>744</v>
      </c>
      <c r="U58" s="807">
        <v>0.75</v>
      </c>
      <c r="V58" s="807" t="s">
        <v>744</v>
      </c>
      <c r="W58" s="807">
        <v>44.06</v>
      </c>
      <c r="X58" s="690">
        <v>32</v>
      </c>
      <c r="Y58" s="807">
        <v>23.4</v>
      </c>
      <c r="Z58" s="807">
        <v>8.3000000000000007</v>
      </c>
      <c r="AA58" s="794">
        <v>23.6</v>
      </c>
      <c r="AB58" s="794">
        <v>8.6999999999999993</v>
      </c>
      <c r="AC58" s="775">
        <f t="shared" ref="AC58:AC62" si="38">AA58+AB58</f>
        <v>32.299999999999997</v>
      </c>
      <c r="AD58" s="775">
        <f t="shared" ref="AD58:AD62" si="39">AC58*1.547</f>
        <v>49.968099999999993</v>
      </c>
      <c r="AE58" s="775"/>
      <c r="AF58" s="567"/>
      <c r="AG58" s="2">
        <v>1</v>
      </c>
      <c r="AH58" s="705"/>
      <c r="AI58" s="362"/>
      <c r="AJ58" s="2"/>
      <c r="AK58" s="407"/>
      <c r="AL58" s="407"/>
      <c r="AM58" s="407"/>
      <c r="AN58" s="407"/>
      <c r="AO58" s="387"/>
      <c r="AP58" s="387"/>
      <c r="AQ58" s="405"/>
      <c r="AR58" s="578">
        <v>0</v>
      </c>
      <c r="AS58" s="405">
        <v>21.6</v>
      </c>
      <c r="AT58" s="578">
        <v>0</v>
      </c>
      <c r="AU58" s="405">
        <v>24.4</v>
      </c>
      <c r="AV58" s="644">
        <v>314.39999999999998</v>
      </c>
      <c r="AW58" s="644">
        <v>502.6</v>
      </c>
      <c r="AX58" s="405">
        <v>0</v>
      </c>
      <c r="AY58" s="578">
        <v>0</v>
      </c>
      <c r="AZ58" s="578">
        <v>0</v>
      </c>
      <c r="BA58" s="578">
        <v>0</v>
      </c>
      <c r="BB58" s="924">
        <v>1</v>
      </c>
      <c r="BC58" s="405">
        <v>0</v>
      </c>
      <c r="BD58" s="405">
        <v>1.5</v>
      </c>
      <c r="BE58" s="578">
        <v>0</v>
      </c>
      <c r="BF58" s="405">
        <v>1</v>
      </c>
      <c r="BG58" s="405">
        <v>0</v>
      </c>
      <c r="BH58" s="578">
        <v>0</v>
      </c>
      <c r="BI58" s="405">
        <v>0</v>
      </c>
      <c r="BJ58" s="405">
        <v>6.3</v>
      </c>
      <c r="BK58" s="405">
        <v>2.92</v>
      </c>
      <c r="BL58" s="405">
        <v>0.81</v>
      </c>
      <c r="BM58" s="405">
        <v>0</v>
      </c>
      <c r="BN58" s="405">
        <v>1.5</v>
      </c>
      <c r="BO58" s="405">
        <v>877.2</v>
      </c>
      <c r="BP58" s="405">
        <v>75.8</v>
      </c>
      <c r="BQ58" s="649">
        <v>22.11</v>
      </c>
      <c r="BR58" s="649">
        <v>22</v>
      </c>
      <c r="BS58" s="649">
        <v>10.38</v>
      </c>
      <c r="BT58" s="649">
        <v>10.49</v>
      </c>
      <c r="BU58" s="648">
        <v>22.5</v>
      </c>
      <c r="BV58" s="648">
        <v>25.5</v>
      </c>
      <c r="BW58" s="649">
        <v>659.4</v>
      </c>
      <c r="BX58" s="876"/>
      <c r="BY58" s="649">
        <v>0.15</v>
      </c>
      <c r="BZ58" s="649">
        <v>1.42</v>
      </c>
      <c r="CA58" s="649">
        <v>1.3</v>
      </c>
      <c r="CB58" s="649">
        <v>9</v>
      </c>
      <c r="CC58" s="649">
        <v>8.1</v>
      </c>
      <c r="CD58" s="649">
        <v>14.8</v>
      </c>
      <c r="CE58" s="649">
        <v>34.299999999999997</v>
      </c>
      <c r="CF58" s="649">
        <v>14</v>
      </c>
      <c r="CG58" s="649">
        <v>8</v>
      </c>
      <c r="CH58" s="649">
        <v>13.4</v>
      </c>
      <c r="CI58" s="649">
        <v>17.8</v>
      </c>
      <c r="CJ58" s="649">
        <v>12.7</v>
      </c>
      <c r="CK58" s="649">
        <v>0</v>
      </c>
      <c r="CL58" s="649">
        <v>1.9</v>
      </c>
      <c r="CM58" s="649">
        <v>2.2999999999999998</v>
      </c>
      <c r="CN58" s="649">
        <v>522</v>
      </c>
      <c r="CO58" s="649">
        <v>318</v>
      </c>
      <c r="CP58" s="649">
        <v>454.4</v>
      </c>
      <c r="CQ58" s="649">
        <v>14</v>
      </c>
      <c r="CR58" s="649">
        <v>1.22</v>
      </c>
      <c r="CS58" s="405">
        <v>10589.9</v>
      </c>
      <c r="CT58" s="405">
        <v>15.82</v>
      </c>
      <c r="CU58" s="405">
        <v>50</v>
      </c>
      <c r="CV58" s="522">
        <v>0</v>
      </c>
      <c r="CW58" s="522">
        <v>0</v>
      </c>
      <c r="CX58" s="522">
        <v>0</v>
      </c>
      <c r="CY58" s="522">
        <v>0</v>
      </c>
      <c r="CZ58" s="689">
        <v>1840</v>
      </c>
      <c r="DA58" s="689">
        <v>2600</v>
      </c>
      <c r="DB58" s="689">
        <v>1840</v>
      </c>
      <c r="DC58" s="643">
        <v>1078.2</v>
      </c>
      <c r="DD58" s="522"/>
      <c r="DE58" s="522"/>
      <c r="DF58" s="522"/>
      <c r="DG58" s="522"/>
      <c r="DH58" s="522"/>
      <c r="DI58" s="522"/>
      <c r="DJ58" s="522"/>
      <c r="DK58" s="522"/>
      <c r="DL58" s="649"/>
      <c r="DM58" s="689"/>
      <c r="DN58" s="649"/>
      <c r="DO58" s="522"/>
      <c r="DP58" s="522"/>
      <c r="DQ58" s="522"/>
      <c r="DR58" s="522"/>
      <c r="DS58" s="522"/>
      <c r="DT58" s="522"/>
      <c r="DU58" s="522"/>
      <c r="DV58" s="522"/>
      <c r="DW58" s="522"/>
      <c r="DX58" s="522"/>
      <c r="DY58" s="522"/>
      <c r="DZ58" s="522"/>
      <c r="EA58" s="522"/>
      <c r="EB58" s="522"/>
      <c r="EC58" s="522"/>
      <c r="ED58" s="522"/>
      <c r="EE58" s="522"/>
      <c r="EF58" s="522"/>
      <c r="EG58" s="645">
        <f t="shared" si="4"/>
        <v>9.63781</v>
      </c>
      <c r="EH58" s="361">
        <v>0</v>
      </c>
      <c r="EI58" s="647">
        <v>0</v>
      </c>
      <c r="EJ58" s="647">
        <v>2.5</v>
      </c>
      <c r="EK58" s="647">
        <f t="shared" si="5"/>
        <v>3.73</v>
      </c>
      <c r="EL58" s="522"/>
      <c r="EM58" s="522"/>
      <c r="EN58" s="522"/>
      <c r="EO58" s="522"/>
      <c r="EP58" s="522"/>
      <c r="EQ58" s="522"/>
      <c r="ER58" s="522"/>
      <c r="ES58" s="407"/>
      <c r="ET58" s="407"/>
    </row>
    <row r="59" spans="1:150" s="357" customFormat="1" ht="15">
      <c r="A59" s="675" t="s">
        <v>9</v>
      </c>
      <c r="B59" s="712">
        <v>41685</v>
      </c>
      <c r="C59" s="713">
        <v>0</v>
      </c>
      <c r="D59" s="681">
        <v>0.93</v>
      </c>
      <c r="E59" s="681">
        <v>0</v>
      </c>
      <c r="F59" s="681">
        <v>39</v>
      </c>
      <c r="G59" s="807">
        <v>1.6</v>
      </c>
      <c r="H59" s="807" t="s">
        <v>744</v>
      </c>
      <c r="I59" s="807">
        <v>0</v>
      </c>
      <c r="J59" s="807">
        <v>0.06</v>
      </c>
      <c r="K59" s="807" t="s">
        <v>744</v>
      </c>
      <c r="L59" s="821">
        <f t="shared" si="6"/>
        <v>33.659999999999997</v>
      </c>
      <c r="M59" s="807">
        <v>17.100000000000001</v>
      </c>
      <c r="N59" s="807">
        <v>1.45</v>
      </c>
      <c r="O59" s="807">
        <v>1.7710363101760767</v>
      </c>
      <c r="P59" s="807" t="s">
        <v>744</v>
      </c>
      <c r="Q59" s="807" t="s">
        <v>743</v>
      </c>
      <c r="R59" s="865">
        <v>503.67210039630112</v>
      </c>
      <c r="S59" s="807">
        <v>8</v>
      </c>
      <c r="T59" s="807" t="s">
        <v>744</v>
      </c>
      <c r="U59" s="807">
        <v>0.75</v>
      </c>
      <c r="V59" s="807" t="s">
        <v>744</v>
      </c>
      <c r="W59" s="807">
        <v>44.239999999999995</v>
      </c>
      <c r="X59" s="690">
        <v>32</v>
      </c>
      <c r="Y59" s="807">
        <v>23.6</v>
      </c>
      <c r="Z59" s="807">
        <v>8.6999999999999993</v>
      </c>
      <c r="AA59" s="794">
        <v>23.7</v>
      </c>
      <c r="AB59" s="794">
        <v>9.9600000000000009</v>
      </c>
      <c r="AC59" s="775">
        <f t="shared" si="38"/>
        <v>33.659999999999997</v>
      </c>
      <c r="AD59" s="775">
        <f t="shared" si="39"/>
        <v>52.072019999999995</v>
      </c>
      <c r="AE59" s="775"/>
      <c r="AF59" s="567"/>
      <c r="AG59" s="2">
        <v>1</v>
      </c>
      <c r="AH59" s="705"/>
      <c r="AI59" s="362"/>
      <c r="AJ59" s="2"/>
      <c r="AK59" s="407"/>
      <c r="AL59" s="407"/>
      <c r="AM59" s="407"/>
      <c r="AN59" s="407"/>
      <c r="AO59" s="387"/>
      <c r="AP59" s="387"/>
      <c r="AQ59" s="405"/>
      <c r="AR59" s="578">
        <v>0</v>
      </c>
      <c r="AS59" s="405">
        <v>11.5</v>
      </c>
      <c r="AT59" s="578">
        <v>0</v>
      </c>
      <c r="AU59" s="405">
        <v>24.5</v>
      </c>
      <c r="AV59" s="644">
        <v>185.4</v>
      </c>
      <c r="AW59" s="644">
        <v>260.39999999999998</v>
      </c>
      <c r="AX59" s="405">
        <v>0</v>
      </c>
      <c r="AY59" s="578">
        <v>0</v>
      </c>
      <c r="AZ59" s="578">
        <v>0</v>
      </c>
      <c r="BA59" s="578">
        <v>0</v>
      </c>
      <c r="BB59" s="924">
        <v>1</v>
      </c>
      <c r="BC59" s="405">
        <v>0</v>
      </c>
      <c r="BD59" s="405">
        <v>1.5</v>
      </c>
      <c r="BE59" s="578">
        <v>0</v>
      </c>
      <c r="BF59" s="405">
        <v>1</v>
      </c>
      <c r="BG59" s="405">
        <v>0</v>
      </c>
      <c r="BH59" s="578">
        <v>0</v>
      </c>
      <c r="BI59" s="405">
        <v>0</v>
      </c>
      <c r="BJ59" s="405">
        <v>7.5</v>
      </c>
      <c r="BK59" s="405">
        <v>2.92</v>
      </c>
      <c r="BL59" s="405">
        <v>0.8</v>
      </c>
      <c r="BM59" s="405">
        <v>0</v>
      </c>
      <c r="BN59" s="405">
        <v>2.7</v>
      </c>
      <c r="BO59" s="405">
        <v>1091.9000000000001</v>
      </c>
      <c r="BP59" s="405">
        <v>0</v>
      </c>
      <c r="BQ59" s="649">
        <v>20.8</v>
      </c>
      <c r="BR59" s="649">
        <v>20</v>
      </c>
      <c r="BS59" s="649">
        <v>10.69</v>
      </c>
      <c r="BT59" s="649">
        <v>10.86</v>
      </c>
      <c r="BU59" s="648">
        <v>23.1</v>
      </c>
      <c r="BV59" s="648">
        <v>25.3</v>
      </c>
      <c r="BW59" s="649">
        <v>480.1</v>
      </c>
      <c r="BX59" s="876"/>
      <c r="BY59" s="649">
        <v>0.15</v>
      </c>
      <c r="BZ59" s="649">
        <v>1.42</v>
      </c>
      <c r="CA59" s="649">
        <v>1.3</v>
      </c>
      <c r="CB59" s="649">
        <v>9</v>
      </c>
      <c r="CC59" s="649">
        <v>8</v>
      </c>
      <c r="CD59" s="649">
        <v>14.5</v>
      </c>
      <c r="CE59" s="649">
        <v>34</v>
      </c>
      <c r="CF59" s="649">
        <v>13.5</v>
      </c>
      <c r="CG59" s="649">
        <v>8.4</v>
      </c>
      <c r="CH59" s="649">
        <v>13.9</v>
      </c>
      <c r="CI59" s="649">
        <v>18</v>
      </c>
      <c r="CJ59" s="649">
        <v>12.4</v>
      </c>
      <c r="CK59" s="649">
        <v>0</v>
      </c>
      <c r="CL59" s="649">
        <v>1.9</v>
      </c>
      <c r="CM59" s="649">
        <v>3</v>
      </c>
      <c r="CN59" s="649">
        <v>673.5</v>
      </c>
      <c r="CO59" s="649">
        <v>327</v>
      </c>
      <c r="CP59" s="649">
        <v>425.3</v>
      </c>
      <c r="CQ59" s="649">
        <v>13.5</v>
      </c>
      <c r="CR59" s="649">
        <v>1.57</v>
      </c>
      <c r="CS59" s="405">
        <v>9822.7999999999993</v>
      </c>
      <c r="CT59" s="405">
        <v>16.388000000000002</v>
      </c>
      <c r="CU59" s="405">
        <v>50</v>
      </c>
      <c r="CV59" s="522">
        <v>0</v>
      </c>
      <c r="CW59" s="522">
        <v>0</v>
      </c>
      <c r="CX59" s="522">
        <v>0</v>
      </c>
      <c r="CY59" s="522">
        <v>0</v>
      </c>
      <c r="CZ59" s="689">
        <v>1460</v>
      </c>
      <c r="DA59" s="689">
        <v>2310</v>
      </c>
      <c r="DB59" s="689">
        <v>1490</v>
      </c>
      <c r="DC59" s="643">
        <v>1078.8</v>
      </c>
      <c r="DD59" s="522"/>
      <c r="DE59" s="522"/>
      <c r="DF59" s="522"/>
      <c r="DG59" s="522"/>
      <c r="DH59" s="522"/>
      <c r="DI59" s="522"/>
      <c r="DJ59" s="522"/>
      <c r="DK59" s="522"/>
      <c r="DL59" s="649"/>
      <c r="DM59" s="689"/>
      <c r="DN59" s="649"/>
      <c r="DO59" s="522"/>
      <c r="DP59" s="522"/>
      <c r="DQ59" s="522"/>
      <c r="DR59" s="522"/>
      <c r="DS59" s="522"/>
      <c r="DT59" s="522"/>
      <c r="DU59" s="522"/>
      <c r="DV59" s="522"/>
      <c r="DW59" s="522"/>
      <c r="DX59" s="522"/>
      <c r="DY59" s="522"/>
      <c r="DZ59" s="522"/>
      <c r="EA59" s="522"/>
      <c r="EB59" s="522"/>
      <c r="EC59" s="522"/>
      <c r="ED59" s="522"/>
      <c r="EE59" s="522"/>
      <c r="EF59" s="522"/>
      <c r="EG59" s="645">
        <f t="shared" si="4"/>
        <v>9.6223399999999994</v>
      </c>
      <c r="EH59" s="361">
        <v>0</v>
      </c>
      <c r="EI59" s="647">
        <v>0</v>
      </c>
      <c r="EJ59" s="647">
        <v>2.5</v>
      </c>
      <c r="EK59" s="647">
        <f t="shared" si="5"/>
        <v>3.7199999999999998</v>
      </c>
      <c r="EL59" s="522"/>
      <c r="EM59" s="522"/>
      <c r="EN59" s="522"/>
      <c r="EO59" s="522"/>
      <c r="EP59" s="522"/>
      <c r="EQ59" s="522"/>
      <c r="ER59" s="522"/>
      <c r="ES59" s="407"/>
      <c r="ET59" s="407"/>
    </row>
    <row r="60" spans="1:150" s="357" customFormat="1" ht="15">
      <c r="A60" s="675" t="s">
        <v>3</v>
      </c>
      <c r="B60" s="712">
        <v>41686</v>
      </c>
      <c r="C60" s="713">
        <v>0</v>
      </c>
      <c r="D60" s="681">
        <v>0.74</v>
      </c>
      <c r="E60" s="681">
        <v>0</v>
      </c>
      <c r="F60" s="681">
        <v>37</v>
      </c>
      <c r="G60" s="807">
        <v>1.7</v>
      </c>
      <c r="H60" s="807" t="s">
        <v>744</v>
      </c>
      <c r="I60" s="807">
        <v>0</v>
      </c>
      <c r="J60" s="807">
        <v>0.06</v>
      </c>
      <c r="K60" s="807" t="s">
        <v>744</v>
      </c>
      <c r="L60" s="821">
        <f t="shared" si="6"/>
        <v>33.54</v>
      </c>
      <c r="M60" s="807">
        <v>17.2</v>
      </c>
      <c r="N60" s="807">
        <v>1.46</v>
      </c>
      <c r="O60" s="807">
        <v>1.644615068742286</v>
      </c>
      <c r="P60" s="807" t="s">
        <v>744</v>
      </c>
      <c r="Q60" s="807" t="s">
        <v>743</v>
      </c>
      <c r="R60" s="865">
        <v>467.71865785997352</v>
      </c>
      <c r="S60" s="807">
        <v>8.02</v>
      </c>
      <c r="T60" s="807" t="s">
        <v>744</v>
      </c>
      <c r="U60" s="807">
        <v>0.73</v>
      </c>
      <c r="V60" s="807" t="s">
        <v>744</v>
      </c>
      <c r="W60" s="807">
        <v>44.239999999999995</v>
      </c>
      <c r="X60" s="690">
        <v>32</v>
      </c>
      <c r="Y60" s="807">
        <v>23.7</v>
      </c>
      <c r="Z60" s="807">
        <v>9.9600000000000009</v>
      </c>
      <c r="AA60" s="794">
        <v>23.6</v>
      </c>
      <c r="AB60" s="794">
        <v>9.94</v>
      </c>
      <c r="AC60" s="775">
        <f t="shared" si="38"/>
        <v>33.54</v>
      </c>
      <c r="AD60" s="775">
        <f t="shared" si="39"/>
        <v>51.886379999999996</v>
      </c>
      <c r="AE60" s="775"/>
      <c r="AF60" s="567"/>
      <c r="AG60" s="2">
        <v>1</v>
      </c>
      <c r="AH60" s="705"/>
      <c r="AI60" s="362"/>
      <c r="AJ60" s="2"/>
      <c r="AK60" s="407"/>
      <c r="AL60" s="407"/>
      <c r="AM60" s="407"/>
      <c r="AN60" s="407"/>
      <c r="AO60" s="387"/>
      <c r="AP60" s="387"/>
      <c r="AQ60" s="405"/>
      <c r="AR60" s="578">
        <v>0</v>
      </c>
      <c r="AS60" s="405">
        <v>21.7</v>
      </c>
      <c r="AT60" s="578">
        <v>0</v>
      </c>
      <c r="AU60" s="405">
        <v>24.4</v>
      </c>
      <c r="AV60" s="644">
        <v>271.10000000000002</v>
      </c>
      <c r="AW60" s="644">
        <v>411.5</v>
      </c>
      <c r="AX60" s="405">
        <v>0</v>
      </c>
      <c r="AY60" s="578">
        <v>0</v>
      </c>
      <c r="AZ60" s="578">
        <v>0</v>
      </c>
      <c r="BA60" s="578">
        <v>0</v>
      </c>
      <c r="BB60" s="924">
        <v>1</v>
      </c>
      <c r="BC60" s="405">
        <v>0</v>
      </c>
      <c r="BD60" s="405">
        <v>1.5</v>
      </c>
      <c r="BE60" s="578">
        <v>0</v>
      </c>
      <c r="BF60" s="405">
        <v>1</v>
      </c>
      <c r="BG60" s="405">
        <v>0</v>
      </c>
      <c r="BH60" s="578">
        <v>0</v>
      </c>
      <c r="BI60" s="405">
        <v>0</v>
      </c>
      <c r="BJ60" s="405">
        <v>7.5</v>
      </c>
      <c r="BK60" s="405">
        <v>2.92</v>
      </c>
      <c r="BL60" s="405">
        <v>0.8</v>
      </c>
      <c r="BM60" s="405">
        <v>0</v>
      </c>
      <c r="BN60" s="405">
        <v>2.7</v>
      </c>
      <c r="BO60" s="405">
        <v>1054.3</v>
      </c>
      <c r="BP60" s="405">
        <v>0</v>
      </c>
      <c r="BQ60" s="649">
        <v>20.25</v>
      </c>
      <c r="BR60" s="649">
        <v>20</v>
      </c>
      <c r="BS60" s="649">
        <v>10.49</v>
      </c>
      <c r="BT60" s="649">
        <v>10.63</v>
      </c>
      <c r="BU60" s="648">
        <v>22.7</v>
      </c>
      <c r="BV60" s="648">
        <v>25.1</v>
      </c>
      <c r="BW60" s="649">
        <v>673.2</v>
      </c>
      <c r="BX60" s="876"/>
      <c r="BY60" s="649">
        <v>0.15</v>
      </c>
      <c r="BZ60" s="649">
        <v>1.43</v>
      </c>
      <c r="CA60" s="649">
        <v>1.3</v>
      </c>
      <c r="CB60" s="649">
        <v>8.9</v>
      </c>
      <c r="CC60" s="649">
        <v>8</v>
      </c>
      <c r="CD60" s="649">
        <v>15.3</v>
      </c>
      <c r="CE60" s="649">
        <v>34.700000000000003</v>
      </c>
      <c r="CF60" s="649">
        <v>12.9</v>
      </c>
      <c r="CG60" s="649">
        <v>8.3000000000000007</v>
      </c>
      <c r="CH60" s="649">
        <v>13.9</v>
      </c>
      <c r="CI60" s="649">
        <v>17.899999999999999</v>
      </c>
      <c r="CJ60" s="649">
        <v>13.45</v>
      </c>
      <c r="CK60" s="649">
        <v>0</v>
      </c>
      <c r="CL60" s="649">
        <v>1.9</v>
      </c>
      <c r="CM60" s="649">
        <v>2</v>
      </c>
      <c r="CN60" s="649">
        <v>662.4</v>
      </c>
      <c r="CO60" s="649">
        <v>333.5</v>
      </c>
      <c r="CP60" s="649">
        <v>425.5</v>
      </c>
      <c r="CQ60" s="649">
        <v>13.9</v>
      </c>
      <c r="CR60" s="649">
        <v>1.86</v>
      </c>
      <c r="CS60" s="405">
        <v>11076.2</v>
      </c>
      <c r="CT60" s="405">
        <v>16.149999999999999</v>
      </c>
      <c r="CU60" s="405">
        <v>50</v>
      </c>
      <c r="CV60" s="522">
        <v>0</v>
      </c>
      <c r="CW60" s="522">
        <v>0</v>
      </c>
      <c r="CX60" s="522">
        <v>0</v>
      </c>
      <c r="CY60" s="522">
        <v>0</v>
      </c>
      <c r="CZ60" s="689">
        <v>1490</v>
      </c>
      <c r="DA60" s="689">
        <v>2470</v>
      </c>
      <c r="DB60" s="689">
        <v>1570</v>
      </c>
      <c r="DC60" s="643">
        <v>1080</v>
      </c>
      <c r="DD60" s="522"/>
      <c r="DE60" s="522"/>
      <c r="DF60" s="522"/>
      <c r="DG60" s="522"/>
      <c r="DH60" s="522"/>
      <c r="DI60" s="522"/>
      <c r="DJ60" s="522"/>
      <c r="DK60" s="522"/>
      <c r="DL60" s="649"/>
      <c r="DM60" s="689"/>
      <c r="DN60" s="649"/>
      <c r="DO60" s="522"/>
      <c r="DP60" s="522"/>
      <c r="DQ60" s="522"/>
      <c r="DR60" s="522"/>
      <c r="DS60" s="522"/>
      <c r="DT60" s="522"/>
      <c r="DU60" s="522"/>
      <c r="DV60" s="522"/>
      <c r="DW60" s="522"/>
      <c r="DX60" s="522"/>
      <c r="DY60" s="522"/>
      <c r="DZ60" s="522"/>
      <c r="EA60" s="522"/>
      <c r="EB60" s="522"/>
      <c r="EC60" s="522"/>
      <c r="ED60" s="522"/>
      <c r="EE60" s="522"/>
      <c r="EF60" s="522"/>
      <c r="EG60" s="645">
        <f t="shared" si="4"/>
        <v>9.6223399999999994</v>
      </c>
      <c r="EH60" s="361">
        <v>0</v>
      </c>
      <c r="EI60" s="647">
        <v>0</v>
      </c>
      <c r="EJ60" s="647">
        <v>2.5</v>
      </c>
      <c r="EK60" s="647">
        <f t="shared" si="5"/>
        <v>3.7199999999999998</v>
      </c>
      <c r="EL60" s="522"/>
      <c r="EM60" s="522"/>
      <c r="EN60" s="522"/>
      <c r="EO60" s="522"/>
      <c r="EP60" s="522"/>
      <c r="EQ60" s="522"/>
      <c r="ER60" s="522"/>
      <c r="ES60" s="407"/>
      <c r="ET60" s="407"/>
    </row>
    <row r="61" spans="1:150" s="357" customFormat="1" ht="15">
      <c r="A61" s="675" t="s">
        <v>4</v>
      </c>
      <c r="B61" s="712">
        <v>41687</v>
      </c>
      <c r="C61" s="713">
        <v>0</v>
      </c>
      <c r="D61" s="681">
        <v>1.96</v>
      </c>
      <c r="E61" s="681">
        <v>0</v>
      </c>
      <c r="F61" s="681">
        <v>37</v>
      </c>
      <c r="G61" s="807">
        <v>1.9</v>
      </c>
      <c r="H61" s="807" t="s">
        <v>744</v>
      </c>
      <c r="I61" s="807">
        <v>83.5</v>
      </c>
      <c r="J61" s="807">
        <v>0.06</v>
      </c>
      <c r="K61" s="807" t="s">
        <v>744</v>
      </c>
      <c r="L61" s="821">
        <f t="shared" si="6"/>
        <v>33.61</v>
      </c>
      <c r="M61" s="807">
        <v>17.7</v>
      </c>
      <c r="N61" s="807">
        <v>1.5</v>
      </c>
      <c r="O61" s="807">
        <v>1.875623591576657</v>
      </c>
      <c r="P61" s="807" t="s">
        <v>744</v>
      </c>
      <c r="Q61" s="807" t="s">
        <v>743</v>
      </c>
      <c r="R61" s="865">
        <v>531.85182562747684</v>
      </c>
      <c r="S61" s="807">
        <v>8.02</v>
      </c>
      <c r="T61" s="807" t="s">
        <v>744</v>
      </c>
      <c r="U61" s="807">
        <v>0.76</v>
      </c>
      <c r="V61" s="807" t="s">
        <v>744</v>
      </c>
      <c r="W61" s="807">
        <v>44.06</v>
      </c>
      <c r="X61" s="690">
        <v>32</v>
      </c>
      <c r="Y61" s="807">
        <v>23.6</v>
      </c>
      <c r="Z61" s="807">
        <v>9.94</v>
      </c>
      <c r="AA61" s="794">
        <v>23.61</v>
      </c>
      <c r="AB61" s="794">
        <v>10</v>
      </c>
      <c r="AC61" s="775">
        <f t="shared" si="38"/>
        <v>33.61</v>
      </c>
      <c r="AD61" s="775">
        <f t="shared" si="39"/>
        <v>51.994669999999999</v>
      </c>
      <c r="AE61" s="775"/>
      <c r="AF61" s="567"/>
      <c r="AG61" s="2">
        <v>1</v>
      </c>
      <c r="AH61" s="705"/>
      <c r="AI61" s="362"/>
      <c r="AJ61" s="2"/>
      <c r="AK61" s="407"/>
      <c r="AL61" s="407"/>
      <c r="AM61" s="407"/>
      <c r="AN61" s="407"/>
      <c r="AO61" s="387"/>
      <c r="AP61" s="387"/>
      <c r="AQ61" s="405"/>
      <c r="AR61" s="578">
        <v>0</v>
      </c>
      <c r="AS61" s="405">
        <v>11.1</v>
      </c>
      <c r="AT61" s="578">
        <v>0</v>
      </c>
      <c r="AU61" s="405">
        <v>24.5</v>
      </c>
      <c r="AV61" s="644">
        <v>268.3</v>
      </c>
      <c r="AW61" s="644">
        <v>405.5</v>
      </c>
      <c r="AX61" s="405">
        <v>0</v>
      </c>
      <c r="AY61" s="578">
        <v>0</v>
      </c>
      <c r="AZ61" s="578">
        <v>0</v>
      </c>
      <c r="BA61" s="578">
        <v>0</v>
      </c>
      <c r="BB61" s="1086">
        <v>1.004</v>
      </c>
      <c r="BC61" s="405">
        <v>0</v>
      </c>
      <c r="BD61" s="405">
        <v>1.5</v>
      </c>
      <c r="BE61" s="578">
        <v>0</v>
      </c>
      <c r="BF61" s="405">
        <v>1</v>
      </c>
      <c r="BG61" s="405">
        <v>0</v>
      </c>
      <c r="BH61" s="578">
        <v>0</v>
      </c>
      <c r="BI61" s="405">
        <v>0</v>
      </c>
      <c r="BJ61" s="405">
        <v>7.5</v>
      </c>
      <c r="BK61" s="405">
        <v>2.91</v>
      </c>
      <c r="BL61" s="405">
        <v>0.8</v>
      </c>
      <c r="BM61" s="405">
        <v>0</v>
      </c>
      <c r="BN61" s="405">
        <v>2.7</v>
      </c>
      <c r="BO61" s="405">
        <v>1057.9000000000001</v>
      </c>
      <c r="BP61" s="405">
        <v>28.5</v>
      </c>
      <c r="BQ61" s="649">
        <v>20.58</v>
      </c>
      <c r="BR61" s="649">
        <v>20</v>
      </c>
      <c r="BS61" s="649">
        <v>10.43</v>
      </c>
      <c r="BT61" s="649">
        <v>10.53</v>
      </c>
      <c r="BU61" s="648">
        <v>22.5</v>
      </c>
      <c r="BV61" s="648">
        <v>24.5</v>
      </c>
      <c r="BW61" s="649">
        <v>485.2</v>
      </c>
      <c r="BX61" s="876"/>
      <c r="BY61" s="649">
        <v>0.15</v>
      </c>
      <c r="BZ61" s="649">
        <v>1.43</v>
      </c>
      <c r="CA61" s="649">
        <v>1.3</v>
      </c>
      <c r="CB61" s="649">
        <v>8.9</v>
      </c>
      <c r="CC61" s="649">
        <v>8</v>
      </c>
      <c r="CD61" s="649">
        <v>15.2</v>
      </c>
      <c r="CE61" s="649">
        <v>34.1</v>
      </c>
      <c r="CF61" s="649">
        <v>12.3</v>
      </c>
      <c r="CG61" s="649">
        <v>8.3000000000000007</v>
      </c>
      <c r="CH61" s="649">
        <v>13.7</v>
      </c>
      <c r="CI61" s="649">
        <v>18.100000000000001</v>
      </c>
      <c r="CJ61" s="649">
        <v>13.24</v>
      </c>
      <c r="CK61" s="649">
        <v>0</v>
      </c>
      <c r="CL61" s="649">
        <v>1.9</v>
      </c>
      <c r="CM61" s="649">
        <v>2.8</v>
      </c>
      <c r="CN61" s="649">
        <v>634.1</v>
      </c>
      <c r="CO61" s="649">
        <v>336.8</v>
      </c>
      <c r="CP61" s="649">
        <v>437.4</v>
      </c>
      <c r="CQ61" s="649">
        <v>12.1</v>
      </c>
      <c r="CR61" s="649">
        <v>1.88</v>
      </c>
      <c r="CS61" s="405">
        <v>10941.3</v>
      </c>
      <c r="CT61" s="405">
        <v>16.248000000000001</v>
      </c>
      <c r="CU61" s="405">
        <v>50</v>
      </c>
      <c r="CV61" s="522">
        <v>0</v>
      </c>
      <c r="CW61" s="522">
        <v>0</v>
      </c>
      <c r="CX61" s="522">
        <v>0</v>
      </c>
      <c r="CY61" s="522">
        <v>0</v>
      </c>
      <c r="CZ61" s="689">
        <v>1840</v>
      </c>
      <c r="DA61" s="689">
        <v>3680</v>
      </c>
      <c r="DB61" s="689">
        <v>1940</v>
      </c>
      <c r="DC61" s="643">
        <v>1081.4000000000001</v>
      </c>
      <c r="DD61" s="522"/>
      <c r="DE61" s="522"/>
      <c r="DF61" s="522"/>
      <c r="DG61" s="522"/>
      <c r="DH61" s="522"/>
      <c r="DI61" s="522"/>
      <c r="DJ61" s="522"/>
      <c r="DK61" s="522"/>
      <c r="DL61" s="649"/>
      <c r="DM61" s="689"/>
      <c r="DN61" s="649"/>
      <c r="DO61" s="522"/>
      <c r="DP61" s="522"/>
      <c r="DQ61" s="522"/>
      <c r="DR61" s="522"/>
      <c r="DS61" s="522"/>
      <c r="DT61" s="522"/>
      <c r="DU61" s="522"/>
      <c r="DV61" s="522"/>
      <c r="DW61" s="522"/>
      <c r="DX61" s="522"/>
      <c r="DY61" s="522"/>
      <c r="DZ61" s="522"/>
      <c r="EA61" s="522"/>
      <c r="EB61" s="522"/>
      <c r="EC61" s="522"/>
      <c r="ED61" s="522"/>
      <c r="EE61" s="522"/>
      <c r="EF61" s="522"/>
      <c r="EG61" s="645">
        <f t="shared" si="4"/>
        <v>9.6068699999999989</v>
      </c>
      <c r="EH61" s="361">
        <v>0</v>
      </c>
      <c r="EI61" s="647">
        <v>0</v>
      </c>
      <c r="EJ61" s="647">
        <v>2.5</v>
      </c>
      <c r="EK61" s="647">
        <f t="shared" si="5"/>
        <v>3.71</v>
      </c>
      <c r="EL61" s="522"/>
      <c r="EM61" s="522"/>
      <c r="EN61" s="522"/>
      <c r="EO61" s="522"/>
      <c r="EP61" s="522"/>
      <c r="EQ61" s="522"/>
      <c r="ER61" s="522"/>
      <c r="ES61" s="407"/>
      <c r="ET61" s="407"/>
    </row>
    <row r="62" spans="1:150" s="357" customFormat="1" ht="15">
      <c r="A62" s="675" t="s">
        <v>5</v>
      </c>
      <c r="B62" s="712">
        <v>41688</v>
      </c>
      <c r="C62" s="713">
        <v>0</v>
      </c>
      <c r="D62" s="681">
        <v>0.82</v>
      </c>
      <c r="E62" s="681">
        <v>0</v>
      </c>
      <c r="F62" s="681">
        <v>36</v>
      </c>
      <c r="G62" s="807">
        <v>2</v>
      </c>
      <c r="H62" s="807" t="s">
        <v>744</v>
      </c>
      <c r="I62" s="807">
        <v>93.2</v>
      </c>
      <c r="J62" s="807">
        <v>0.31</v>
      </c>
      <c r="K62" s="807" t="s">
        <v>744</v>
      </c>
      <c r="L62" s="821">
        <f t="shared" si="6"/>
        <v>33.49</v>
      </c>
      <c r="M62" s="807">
        <v>17.899999999999999</v>
      </c>
      <c r="N62" s="807">
        <v>1.52</v>
      </c>
      <c r="O62" s="807">
        <v>1.7842411997824226</v>
      </c>
      <c r="P62" s="807" t="s">
        <v>744</v>
      </c>
      <c r="Q62" s="807" t="s">
        <v>743</v>
      </c>
      <c r="R62" s="865">
        <v>505.93943461030375</v>
      </c>
      <c r="S62" s="807">
        <v>8.02</v>
      </c>
      <c r="T62" s="807" t="s">
        <v>744</v>
      </c>
      <c r="U62" s="807">
        <v>0.76</v>
      </c>
      <c r="V62" s="807" t="s">
        <v>744</v>
      </c>
      <c r="W62" s="807">
        <v>44.239999999999995</v>
      </c>
      <c r="X62" s="690">
        <v>32</v>
      </c>
      <c r="Y62" s="807">
        <v>23.61</v>
      </c>
      <c r="Z62" s="807">
        <v>10</v>
      </c>
      <c r="AA62" s="794">
        <v>23.59</v>
      </c>
      <c r="AB62" s="794">
        <v>9.9</v>
      </c>
      <c r="AC62" s="775">
        <f t="shared" si="38"/>
        <v>33.49</v>
      </c>
      <c r="AD62" s="775">
        <f t="shared" si="39"/>
        <v>51.80903</v>
      </c>
      <c r="AE62" s="775"/>
      <c r="AF62" s="567"/>
      <c r="AG62" s="2">
        <v>1</v>
      </c>
      <c r="AH62" s="705"/>
      <c r="AI62" s="362"/>
      <c r="AJ62" s="2"/>
      <c r="AK62" s="407"/>
      <c r="AL62" s="407"/>
      <c r="AM62" s="407"/>
      <c r="AN62" s="407"/>
      <c r="AO62" s="387"/>
      <c r="AP62" s="387"/>
      <c r="AQ62" s="405"/>
      <c r="AR62" s="578">
        <v>0</v>
      </c>
      <c r="AS62" s="405">
        <v>23.1</v>
      </c>
      <c r="AT62" s="578">
        <v>0</v>
      </c>
      <c r="AU62" s="405">
        <v>24.4</v>
      </c>
      <c r="AV62" s="644">
        <v>206.3</v>
      </c>
      <c r="AW62" s="644">
        <v>357.5</v>
      </c>
      <c r="AX62" s="405">
        <v>0</v>
      </c>
      <c r="AY62" s="578">
        <v>0</v>
      </c>
      <c r="AZ62" s="578">
        <v>0</v>
      </c>
      <c r="BA62" s="578">
        <v>0</v>
      </c>
      <c r="BB62" s="1086">
        <v>0.999</v>
      </c>
      <c r="BC62" s="405">
        <v>0</v>
      </c>
      <c r="BD62" s="405">
        <v>1.5</v>
      </c>
      <c r="BE62" s="578">
        <v>0</v>
      </c>
      <c r="BF62" s="405">
        <v>1</v>
      </c>
      <c r="BG62" s="405">
        <v>0</v>
      </c>
      <c r="BH62" s="578">
        <v>0</v>
      </c>
      <c r="BI62" s="405">
        <v>0</v>
      </c>
      <c r="BJ62" s="405">
        <v>7.5</v>
      </c>
      <c r="BK62" s="405">
        <v>2.92</v>
      </c>
      <c r="BL62" s="405">
        <v>0.8</v>
      </c>
      <c r="BM62" s="405">
        <v>0</v>
      </c>
      <c r="BN62" s="405">
        <v>2.7</v>
      </c>
      <c r="BO62" s="405">
        <v>924.3</v>
      </c>
      <c r="BP62" s="405">
        <v>3.5</v>
      </c>
      <c r="BQ62" s="649">
        <v>19.899999999999999</v>
      </c>
      <c r="BR62" s="649">
        <v>20</v>
      </c>
      <c r="BS62" s="649">
        <v>10.49</v>
      </c>
      <c r="BT62" s="649">
        <v>10.62</v>
      </c>
      <c r="BU62" s="648">
        <v>22.7</v>
      </c>
      <c r="BV62" s="648">
        <v>23.6</v>
      </c>
      <c r="BW62" s="649">
        <v>588.9</v>
      </c>
      <c r="BX62" s="876"/>
      <c r="BY62" s="649">
        <v>1.06</v>
      </c>
      <c r="BZ62" s="649">
        <v>1.4</v>
      </c>
      <c r="CA62" s="649">
        <v>1.3</v>
      </c>
      <c r="CB62" s="649">
        <v>8.9</v>
      </c>
      <c r="CC62" s="649">
        <v>8</v>
      </c>
      <c r="CD62" s="649">
        <v>15.3</v>
      </c>
      <c r="CE62" s="649">
        <v>34.6</v>
      </c>
      <c r="CF62" s="649">
        <v>11.9</v>
      </c>
      <c r="CG62" s="649">
        <v>7.9</v>
      </c>
      <c r="CH62" s="649">
        <v>13.2</v>
      </c>
      <c r="CI62" s="649">
        <v>17.600000000000001</v>
      </c>
      <c r="CJ62" s="649">
        <v>12.7</v>
      </c>
      <c r="CK62" s="649">
        <v>0</v>
      </c>
      <c r="CL62" s="649">
        <v>1.9</v>
      </c>
      <c r="CM62" s="649">
        <v>2.7</v>
      </c>
      <c r="CN62" s="649">
        <v>560.79999999999995</v>
      </c>
      <c r="CO62" s="649">
        <v>303</v>
      </c>
      <c r="CP62" s="649">
        <v>455</v>
      </c>
      <c r="CQ62" s="649">
        <v>11.9</v>
      </c>
      <c r="CR62" s="649">
        <v>1.9</v>
      </c>
      <c r="CS62" s="405">
        <v>10851</v>
      </c>
      <c r="CT62" s="405">
        <v>16.042000000000002</v>
      </c>
      <c r="CU62" s="405">
        <v>49</v>
      </c>
      <c r="CV62" s="522">
        <v>0</v>
      </c>
      <c r="CW62" s="522">
        <v>0</v>
      </c>
      <c r="CX62" s="522">
        <v>0</v>
      </c>
      <c r="CY62" s="522">
        <v>0</v>
      </c>
      <c r="CZ62" s="689">
        <v>1980</v>
      </c>
      <c r="DA62" s="689">
        <v>3830</v>
      </c>
      <c r="DB62" s="689">
        <v>2130</v>
      </c>
      <c r="DC62" s="643">
        <v>1080.99</v>
      </c>
      <c r="DD62" s="522"/>
      <c r="DE62" s="522"/>
      <c r="DF62" s="522"/>
      <c r="DG62" s="522"/>
      <c r="DH62" s="522"/>
      <c r="DI62" s="522"/>
      <c r="DJ62" s="522"/>
      <c r="DK62" s="522"/>
      <c r="DL62" s="649"/>
      <c r="DM62" s="689"/>
      <c r="DN62" s="649"/>
      <c r="DO62" s="522"/>
      <c r="DP62" s="522"/>
      <c r="DQ62" s="522"/>
      <c r="DR62" s="522"/>
      <c r="DS62" s="522"/>
      <c r="DT62" s="522"/>
      <c r="DU62" s="522"/>
      <c r="DV62" s="522"/>
      <c r="DW62" s="522"/>
      <c r="DX62" s="522"/>
      <c r="DY62" s="522"/>
      <c r="DZ62" s="522"/>
      <c r="EA62" s="522"/>
      <c r="EB62" s="522"/>
      <c r="EC62" s="522"/>
      <c r="ED62" s="522"/>
      <c r="EE62" s="522"/>
      <c r="EF62" s="522"/>
      <c r="EG62" s="645">
        <f t="shared" si="4"/>
        <v>9.6223399999999994</v>
      </c>
      <c r="EH62" s="361">
        <v>0</v>
      </c>
      <c r="EI62" s="647">
        <v>0</v>
      </c>
      <c r="EJ62" s="647">
        <v>2.5</v>
      </c>
      <c r="EK62" s="647">
        <f t="shared" si="5"/>
        <v>3.7199999999999998</v>
      </c>
      <c r="EL62" s="522"/>
      <c r="EM62" s="522"/>
      <c r="EN62" s="522"/>
      <c r="EO62" s="522"/>
      <c r="EP62" s="522"/>
      <c r="EQ62" s="522"/>
      <c r="ER62" s="522"/>
      <c r="ES62" s="407"/>
      <c r="ET62" s="407"/>
    </row>
    <row r="63" spans="1:150" s="357" customFormat="1" ht="15">
      <c r="A63" s="675" t="s">
        <v>6</v>
      </c>
      <c r="B63" s="712">
        <v>41689</v>
      </c>
      <c r="C63" s="713">
        <v>0</v>
      </c>
      <c r="D63" s="681">
        <v>0.49</v>
      </c>
      <c r="E63" s="681">
        <v>0</v>
      </c>
      <c r="F63" s="681">
        <v>35</v>
      </c>
      <c r="G63" s="807">
        <v>2</v>
      </c>
      <c r="H63" s="807" t="s">
        <v>744</v>
      </c>
      <c r="I63" s="807">
        <v>89.2</v>
      </c>
      <c r="J63" s="807">
        <v>0.12</v>
      </c>
      <c r="K63" s="807" t="s">
        <v>744</v>
      </c>
      <c r="L63" s="821">
        <f t="shared" si="6"/>
        <v>33.89</v>
      </c>
      <c r="M63" s="807">
        <v>18.5</v>
      </c>
      <c r="N63" s="807">
        <v>1.51</v>
      </c>
      <c r="O63" s="807">
        <v>1.77622878113606</v>
      </c>
      <c r="P63" s="807" t="s">
        <v>744</v>
      </c>
      <c r="Q63" s="807" t="s">
        <v>743</v>
      </c>
      <c r="R63" s="865">
        <v>514.03705680317034</v>
      </c>
      <c r="S63" s="807">
        <v>7.97</v>
      </c>
      <c r="T63" s="807" t="s">
        <v>744</v>
      </c>
      <c r="U63" s="807">
        <v>0.77</v>
      </c>
      <c r="V63" s="807" t="s">
        <v>744</v>
      </c>
      <c r="W63" s="807">
        <v>44.239999999999995</v>
      </c>
      <c r="X63" s="690">
        <v>32</v>
      </c>
      <c r="Y63" s="807">
        <v>23.59</v>
      </c>
      <c r="Z63" s="807">
        <v>9.9</v>
      </c>
      <c r="AA63" s="794">
        <v>23.79</v>
      </c>
      <c r="AB63" s="794">
        <v>10.1</v>
      </c>
      <c r="AC63" s="775">
        <f t="shared" ref="AC63" si="40">AA63+AB63</f>
        <v>33.89</v>
      </c>
      <c r="AD63" s="775">
        <f t="shared" ref="AD63" si="41">AC63*1.547</f>
        <v>52.42783</v>
      </c>
      <c r="AE63" s="775"/>
      <c r="AF63" s="567"/>
      <c r="AG63" s="2">
        <v>1</v>
      </c>
      <c r="AH63" s="705"/>
      <c r="AI63" s="362"/>
      <c r="AJ63" s="2"/>
      <c r="AK63" s="407"/>
      <c r="AL63" s="407"/>
      <c r="AM63" s="407"/>
      <c r="AN63" s="407"/>
      <c r="AO63" s="387"/>
      <c r="AP63" s="387"/>
      <c r="AQ63" s="405"/>
      <c r="AR63" s="578">
        <v>0</v>
      </c>
      <c r="AS63" s="405">
        <v>13</v>
      </c>
      <c r="AT63" s="578">
        <v>0.36</v>
      </c>
      <c r="AU63" s="405">
        <v>24.3</v>
      </c>
      <c r="AV63" s="644">
        <v>308.10000000000002</v>
      </c>
      <c r="AW63" s="644">
        <v>482.2</v>
      </c>
      <c r="AX63" s="405">
        <v>0</v>
      </c>
      <c r="AY63" s="578">
        <v>0</v>
      </c>
      <c r="AZ63" s="578">
        <v>0</v>
      </c>
      <c r="BA63" s="578">
        <v>0</v>
      </c>
      <c r="BB63" s="1086">
        <v>0.98899999999999999</v>
      </c>
      <c r="BC63" s="405">
        <v>0</v>
      </c>
      <c r="BD63" s="405">
        <v>1.5</v>
      </c>
      <c r="BE63" s="578">
        <v>0</v>
      </c>
      <c r="BF63" s="405">
        <v>1</v>
      </c>
      <c r="BG63" s="405">
        <v>0</v>
      </c>
      <c r="BH63" s="578">
        <v>0</v>
      </c>
      <c r="BI63" s="405">
        <v>0</v>
      </c>
      <c r="BJ63" s="405">
        <v>7.5</v>
      </c>
      <c r="BK63" s="405">
        <v>2.93</v>
      </c>
      <c r="BL63" s="405">
        <v>0.74</v>
      </c>
      <c r="BM63" s="405">
        <v>0</v>
      </c>
      <c r="BN63" s="405">
        <v>2.8</v>
      </c>
      <c r="BO63" s="405">
        <v>626.70000000000005</v>
      </c>
      <c r="BP63" s="405">
        <v>0</v>
      </c>
      <c r="BQ63" s="649">
        <v>19.059999999999999</v>
      </c>
      <c r="BR63" s="649">
        <v>19</v>
      </c>
      <c r="BS63" s="649">
        <v>10.35</v>
      </c>
      <c r="BT63" s="649">
        <v>10.44</v>
      </c>
      <c r="BU63" s="648">
        <v>22.4</v>
      </c>
      <c r="BV63" s="648">
        <v>25.5</v>
      </c>
      <c r="BW63" s="649">
        <v>551.20000000000005</v>
      </c>
      <c r="BX63" s="876"/>
      <c r="BY63" s="649">
        <v>0.16</v>
      </c>
      <c r="BZ63" s="649">
        <v>1.41</v>
      </c>
      <c r="CA63" s="649">
        <v>1.3</v>
      </c>
      <c r="CB63" s="649">
        <v>8.8000000000000007</v>
      </c>
      <c r="CC63" s="649">
        <v>8</v>
      </c>
      <c r="CD63" s="649">
        <v>14.8</v>
      </c>
      <c r="CE63" s="649">
        <v>34.200000000000003</v>
      </c>
      <c r="CF63" s="649">
        <v>15.2</v>
      </c>
      <c r="CG63" s="649">
        <v>6</v>
      </c>
      <c r="CH63" s="649">
        <v>11.1</v>
      </c>
      <c r="CI63" s="649">
        <v>15.3</v>
      </c>
      <c r="CJ63" s="649">
        <v>12.6</v>
      </c>
      <c r="CK63" s="649">
        <v>0</v>
      </c>
      <c r="CL63" s="649">
        <v>2.2000000000000002</v>
      </c>
      <c r="CM63" s="649">
        <v>3.7</v>
      </c>
      <c r="CN63" s="649">
        <v>692.9</v>
      </c>
      <c r="CO63" s="649">
        <v>308.3</v>
      </c>
      <c r="CP63" s="649">
        <v>432.9</v>
      </c>
      <c r="CQ63" s="649">
        <v>12.2</v>
      </c>
      <c r="CR63" s="649">
        <v>1.94</v>
      </c>
      <c r="CS63" s="405">
        <v>10770.3</v>
      </c>
      <c r="CT63" s="405">
        <v>17.004999999999999</v>
      </c>
      <c r="CU63" s="405">
        <v>49</v>
      </c>
      <c r="CV63" s="522">
        <v>0</v>
      </c>
      <c r="CW63" s="522">
        <v>0</v>
      </c>
      <c r="CX63" s="522">
        <v>0</v>
      </c>
      <c r="CY63" s="522">
        <v>0</v>
      </c>
      <c r="CZ63" s="689">
        <v>1920</v>
      </c>
      <c r="DA63" s="689">
        <v>3460</v>
      </c>
      <c r="DB63" s="689">
        <v>2010</v>
      </c>
      <c r="DC63" s="643">
        <v>1079.3800000000001</v>
      </c>
      <c r="DD63" s="522"/>
      <c r="DE63" s="522"/>
      <c r="DF63" s="522"/>
      <c r="DG63" s="522"/>
      <c r="DH63" s="522"/>
      <c r="DI63" s="522"/>
      <c r="DJ63" s="522"/>
      <c r="DK63" s="522"/>
      <c r="DL63" s="649"/>
      <c r="DM63" s="689"/>
      <c r="DN63" s="649"/>
      <c r="DO63" s="522"/>
      <c r="DP63" s="522"/>
      <c r="DQ63" s="522"/>
      <c r="DR63" s="522"/>
      <c r="DS63" s="522"/>
      <c r="DT63" s="522"/>
      <c r="DU63" s="522"/>
      <c r="DV63" s="522"/>
      <c r="DW63" s="522"/>
      <c r="DX63" s="522"/>
      <c r="DY63" s="522"/>
      <c r="DZ63" s="522"/>
      <c r="EA63" s="522"/>
      <c r="EB63" s="522"/>
      <c r="EC63" s="522"/>
      <c r="ED63" s="522"/>
      <c r="EE63" s="522"/>
      <c r="EF63" s="522"/>
      <c r="EG63" s="645">
        <f t="shared" si="4"/>
        <v>9.5449900000000003</v>
      </c>
      <c r="EH63" s="361">
        <v>0</v>
      </c>
      <c r="EI63" s="647">
        <v>0</v>
      </c>
      <c r="EJ63" s="647">
        <v>2.5</v>
      </c>
      <c r="EK63" s="647">
        <f t="shared" si="5"/>
        <v>3.67</v>
      </c>
      <c r="EL63" s="522"/>
      <c r="EM63" s="522"/>
      <c r="EN63" s="522"/>
      <c r="EO63" s="522"/>
      <c r="EP63" s="522"/>
      <c r="EQ63" s="522"/>
      <c r="ER63" s="522"/>
      <c r="ES63" s="407"/>
      <c r="ET63" s="407"/>
    </row>
    <row r="64" spans="1:150" s="357" customFormat="1" ht="15">
      <c r="A64" s="675" t="s">
        <v>7</v>
      </c>
      <c r="B64" s="712">
        <v>41690</v>
      </c>
      <c r="C64" s="713">
        <v>0</v>
      </c>
      <c r="D64" s="681">
        <v>0.34</v>
      </c>
      <c r="E64" s="681">
        <v>0</v>
      </c>
      <c r="F64" s="681">
        <v>40</v>
      </c>
      <c r="G64" s="807">
        <v>1.7</v>
      </c>
      <c r="H64" s="807" t="s">
        <v>744</v>
      </c>
      <c r="I64" s="807">
        <v>91.21</v>
      </c>
      <c r="J64" s="807">
        <v>0.16</v>
      </c>
      <c r="K64" s="807" t="s">
        <v>744</v>
      </c>
      <c r="L64" s="821">
        <f t="shared" si="6"/>
        <v>34.18</v>
      </c>
      <c r="M64" s="807">
        <v>18.5</v>
      </c>
      <c r="N64" s="807">
        <v>1.57</v>
      </c>
      <c r="O64" s="807">
        <v>1.7653416596614884</v>
      </c>
      <c r="P64" s="807" t="s">
        <v>744</v>
      </c>
      <c r="Q64" s="807" t="s">
        <v>743</v>
      </c>
      <c r="R64" s="865">
        <v>519.21953500660493</v>
      </c>
      <c r="S64" s="807">
        <v>7.94</v>
      </c>
      <c r="T64" s="807" t="s">
        <v>744</v>
      </c>
      <c r="U64" s="807">
        <v>0.72</v>
      </c>
      <c r="V64" s="807" t="s">
        <v>744</v>
      </c>
      <c r="W64" s="807">
        <v>44.06</v>
      </c>
      <c r="X64" s="690">
        <v>32</v>
      </c>
      <c r="Y64" s="807">
        <v>23.79</v>
      </c>
      <c r="Z64" s="807">
        <v>10.1</v>
      </c>
      <c r="AA64" s="794">
        <v>24.28</v>
      </c>
      <c r="AB64" s="794">
        <v>9.9</v>
      </c>
      <c r="AC64" s="775">
        <f t="shared" ref="AC64" si="42">AA64+AB64</f>
        <v>34.18</v>
      </c>
      <c r="AD64" s="775">
        <f t="shared" ref="AD64" si="43">AC64*1.547</f>
        <v>52.876459999999994</v>
      </c>
      <c r="AE64" s="775"/>
      <c r="AF64" s="567"/>
      <c r="AG64" s="2">
        <v>1</v>
      </c>
      <c r="AH64" s="705"/>
      <c r="AI64" s="362"/>
      <c r="AJ64" s="2"/>
      <c r="AK64" s="407"/>
      <c r="AL64" s="407"/>
      <c r="AM64" s="407"/>
      <c r="AN64" s="407"/>
      <c r="AO64" s="387"/>
      <c r="AP64" s="387"/>
      <c r="AQ64" s="405"/>
      <c r="AR64" s="578">
        <v>0</v>
      </c>
      <c r="AS64" s="405">
        <v>20.2</v>
      </c>
      <c r="AT64" s="578">
        <v>0</v>
      </c>
      <c r="AU64" s="405">
        <v>25</v>
      </c>
      <c r="AV64" s="644">
        <v>242.4</v>
      </c>
      <c r="AW64" s="644">
        <v>586.6</v>
      </c>
      <c r="AX64" s="405">
        <v>0</v>
      </c>
      <c r="AY64" s="578">
        <v>0</v>
      </c>
      <c r="AZ64" s="578">
        <v>0</v>
      </c>
      <c r="BA64" s="578">
        <v>0</v>
      </c>
      <c r="BB64" s="1086">
        <v>0.99</v>
      </c>
      <c r="BC64" s="405">
        <v>0</v>
      </c>
      <c r="BD64" s="405">
        <v>1.5</v>
      </c>
      <c r="BE64" s="578">
        <v>0</v>
      </c>
      <c r="BF64" s="405">
        <v>1</v>
      </c>
      <c r="BG64" s="405">
        <v>0</v>
      </c>
      <c r="BH64" s="578">
        <v>0</v>
      </c>
      <c r="BI64" s="405">
        <v>0</v>
      </c>
      <c r="BJ64" s="405">
        <v>7.5</v>
      </c>
      <c r="BK64" s="405">
        <v>2.92</v>
      </c>
      <c r="BL64" s="405">
        <v>0.7</v>
      </c>
      <c r="BM64" s="405">
        <v>0</v>
      </c>
      <c r="BN64" s="405">
        <v>2.9</v>
      </c>
      <c r="BO64" s="405">
        <v>1126.0999999999999</v>
      </c>
      <c r="BP64" s="405">
        <v>0</v>
      </c>
      <c r="BQ64" s="649">
        <v>18.100000000000001</v>
      </c>
      <c r="BR64" s="649">
        <v>18.100000000000001</v>
      </c>
      <c r="BS64" s="649">
        <v>10.59</v>
      </c>
      <c r="BT64" s="649">
        <v>10.69</v>
      </c>
      <c r="BU64" s="648">
        <v>22.8</v>
      </c>
      <c r="BV64" s="648">
        <v>26.3</v>
      </c>
      <c r="BW64" s="649">
        <v>476.1</v>
      </c>
      <c r="BX64" s="876"/>
      <c r="BY64" s="689">
        <v>0.15</v>
      </c>
      <c r="BZ64" s="649">
        <v>1.4</v>
      </c>
      <c r="CA64" s="649">
        <v>1.3</v>
      </c>
      <c r="CB64" s="649">
        <v>8.8000000000000007</v>
      </c>
      <c r="CC64" s="649">
        <v>8</v>
      </c>
      <c r="CD64" s="649">
        <v>15.4</v>
      </c>
      <c r="CE64" s="649">
        <v>34.200000000000003</v>
      </c>
      <c r="CF64" s="649">
        <v>14.7</v>
      </c>
      <c r="CG64" s="649">
        <v>6.8</v>
      </c>
      <c r="CH64" s="649">
        <v>12</v>
      </c>
      <c r="CI64" s="649">
        <v>16.399999999999999</v>
      </c>
      <c r="CJ64" s="649">
        <v>13.13</v>
      </c>
      <c r="CK64" s="649">
        <v>0</v>
      </c>
      <c r="CL64" s="649">
        <v>3</v>
      </c>
      <c r="CM64" s="649">
        <v>4</v>
      </c>
      <c r="CN64" s="649">
        <v>626</v>
      </c>
      <c r="CO64" s="649">
        <v>309</v>
      </c>
      <c r="CP64" s="649">
        <v>441.9</v>
      </c>
      <c r="CQ64" s="649">
        <v>11.8</v>
      </c>
      <c r="CR64" s="649">
        <v>1.87</v>
      </c>
      <c r="CS64" s="405">
        <v>10771</v>
      </c>
      <c r="CT64" s="405">
        <v>16.88</v>
      </c>
      <c r="CU64" s="405">
        <v>49</v>
      </c>
      <c r="CV64" s="522">
        <v>0</v>
      </c>
      <c r="CW64" s="522">
        <v>0</v>
      </c>
      <c r="CX64" s="522">
        <v>0</v>
      </c>
      <c r="CY64" s="522">
        <v>0</v>
      </c>
      <c r="CZ64" s="689">
        <v>1430</v>
      </c>
      <c r="DA64" s="689">
        <v>2760</v>
      </c>
      <c r="DB64" s="689">
        <v>1520</v>
      </c>
      <c r="DC64" s="643">
        <v>1078.8599999999999</v>
      </c>
      <c r="DD64" s="522"/>
      <c r="DE64" s="522"/>
      <c r="DF64" s="522"/>
      <c r="DG64" s="522"/>
      <c r="DH64" s="522"/>
      <c r="DI64" s="522"/>
      <c r="DJ64" s="522"/>
      <c r="DK64" s="522"/>
      <c r="DL64" s="649"/>
      <c r="DM64" s="689"/>
      <c r="DN64" s="649"/>
      <c r="DO64" s="522"/>
      <c r="DP64" s="522"/>
      <c r="DQ64" s="522"/>
      <c r="DR64" s="522"/>
      <c r="DS64" s="522"/>
      <c r="DT64" s="522"/>
      <c r="DU64" s="522"/>
      <c r="DV64" s="522"/>
      <c r="DW64" s="522"/>
      <c r="DX64" s="522"/>
      <c r="DY64" s="522"/>
      <c r="DZ64" s="522"/>
      <c r="EA64" s="522"/>
      <c r="EB64" s="522"/>
      <c r="EC64" s="522"/>
      <c r="ED64" s="522"/>
      <c r="EE64" s="522"/>
      <c r="EF64" s="522"/>
      <c r="EG64" s="645">
        <f t="shared" si="4"/>
        <v>9.4676399999999994</v>
      </c>
      <c r="EH64" s="361">
        <v>0</v>
      </c>
      <c r="EI64" s="647">
        <v>0</v>
      </c>
      <c r="EJ64" s="647">
        <v>2.5</v>
      </c>
      <c r="EK64" s="647">
        <f t="shared" si="5"/>
        <v>3.62</v>
      </c>
      <c r="EL64" s="522"/>
      <c r="EM64" s="522"/>
      <c r="EN64" s="522"/>
      <c r="EO64" s="522"/>
      <c r="EP64" s="522"/>
      <c r="EQ64" s="522"/>
      <c r="ER64" s="522"/>
      <c r="ES64" s="407"/>
      <c r="ET64" s="407"/>
    </row>
    <row r="65" spans="1:150" s="357" customFormat="1" ht="15">
      <c r="A65" s="675" t="s">
        <v>8</v>
      </c>
      <c r="B65" s="712">
        <v>41691</v>
      </c>
      <c r="C65" s="713">
        <v>0</v>
      </c>
      <c r="D65" s="681">
        <v>0.22</v>
      </c>
      <c r="E65" s="681">
        <v>0</v>
      </c>
      <c r="F65" s="681">
        <v>37</v>
      </c>
      <c r="G65" s="807">
        <v>1.25</v>
      </c>
      <c r="H65" s="807" t="s">
        <v>744</v>
      </c>
      <c r="I65" s="807">
        <v>92.6</v>
      </c>
      <c r="J65" s="807">
        <v>0.09</v>
      </c>
      <c r="K65" s="807">
        <v>0.08</v>
      </c>
      <c r="L65" s="821">
        <f t="shared" si="6"/>
        <v>34.380000000000003</v>
      </c>
      <c r="M65" s="807">
        <v>19</v>
      </c>
      <c r="N65" s="807">
        <v>1.59</v>
      </c>
      <c r="O65" s="807">
        <v>1.7465254431694479</v>
      </c>
      <c r="P65" s="807">
        <v>1.31</v>
      </c>
      <c r="Q65" s="807">
        <v>1.8731459363957108</v>
      </c>
      <c r="R65" s="865">
        <v>538.9777331571994</v>
      </c>
      <c r="S65" s="807">
        <v>7.7</v>
      </c>
      <c r="T65" s="807">
        <v>7.42</v>
      </c>
      <c r="U65" s="807">
        <v>0.47</v>
      </c>
      <c r="V65" s="807">
        <v>0.6</v>
      </c>
      <c r="W65" s="807">
        <v>45.860000000000014</v>
      </c>
      <c r="X65" s="690">
        <v>43.88000000000001</v>
      </c>
      <c r="Y65" s="807">
        <v>24.28</v>
      </c>
      <c r="Z65" s="807">
        <v>9.9</v>
      </c>
      <c r="AA65" s="794">
        <v>23.94</v>
      </c>
      <c r="AB65" s="794">
        <v>10.44</v>
      </c>
      <c r="AC65" s="775">
        <f t="shared" ref="AC65:AC67" si="44">AA65+AB65</f>
        <v>34.380000000000003</v>
      </c>
      <c r="AD65" s="775">
        <f t="shared" ref="AD65:AD67" si="45">AC65*1.547</f>
        <v>53.185859999999998</v>
      </c>
      <c r="AE65" s="775"/>
      <c r="AF65" s="567"/>
      <c r="AG65" s="2">
        <v>1</v>
      </c>
      <c r="AH65" s="705"/>
      <c r="AI65" s="362"/>
      <c r="AJ65" s="2"/>
      <c r="AK65" s="407"/>
      <c r="AL65" s="407"/>
      <c r="AM65" s="407"/>
      <c r="AN65" s="407"/>
      <c r="AO65" s="387"/>
      <c r="AP65" s="387"/>
      <c r="AQ65" s="405"/>
      <c r="AR65" s="578">
        <v>0</v>
      </c>
      <c r="AS65" s="405">
        <v>23.7</v>
      </c>
      <c r="AT65" s="578">
        <v>0</v>
      </c>
      <c r="AU65" s="405">
        <v>25.1</v>
      </c>
      <c r="AV65" s="644">
        <v>544.4</v>
      </c>
      <c r="AW65" s="644">
        <v>574</v>
      </c>
      <c r="AX65" s="405">
        <v>0</v>
      </c>
      <c r="AY65" s="578">
        <v>0</v>
      </c>
      <c r="AZ65" s="578">
        <v>0</v>
      </c>
      <c r="BA65" s="578">
        <v>0</v>
      </c>
      <c r="BB65" s="924">
        <v>1</v>
      </c>
      <c r="BC65" s="405">
        <v>0</v>
      </c>
      <c r="BD65" s="405">
        <v>1.5</v>
      </c>
      <c r="BE65" s="578">
        <v>0</v>
      </c>
      <c r="BF65" s="405">
        <v>1</v>
      </c>
      <c r="BG65" s="405">
        <v>0</v>
      </c>
      <c r="BH65" s="578">
        <v>0</v>
      </c>
      <c r="BI65" s="405">
        <v>0</v>
      </c>
      <c r="BJ65" s="405">
        <v>8</v>
      </c>
      <c r="BK65" s="405">
        <v>2.94</v>
      </c>
      <c r="BL65" s="405">
        <v>0.8</v>
      </c>
      <c r="BM65" s="405">
        <v>0</v>
      </c>
      <c r="BN65" s="405">
        <v>3.1</v>
      </c>
      <c r="BO65" s="405">
        <v>1149.4000000000001</v>
      </c>
      <c r="BP65" s="405">
        <v>3.4</v>
      </c>
      <c r="BQ65" s="649">
        <v>18.8</v>
      </c>
      <c r="BR65" s="649">
        <v>18.8</v>
      </c>
      <c r="BS65" s="649">
        <v>10.7</v>
      </c>
      <c r="BT65" s="649">
        <v>10.8</v>
      </c>
      <c r="BU65" s="648">
        <v>23</v>
      </c>
      <c r="BV65" s="648">
        <v>22.3</v>
      </c>
      <c r="BW65" s="649">
        <v>655.8</v>
      </c>
      <c r="BX65" s="876"/>
      <c r="BY65" s="689">
        <v>0.96</v>
      </c>
      <c r="BZ65" s="649">
        <v>1.47</v>
      </c>
      <c r="CA65" s="649">
        <v>1.3</v>
      </c>
      <c r="CB65" s="649">
        <v>8.6999999999999993</v>
      </c>
      <c r="CC65" s="649">
        <v>8</v>
      </c>
      <c r="CD65" s="649">
        <v>15</v>
      </c>
      <c r="CE65" s="649">
        <v>33.299999999999997</v>
      </c>
      <c r="CF65" s="649">
        <v>14.3</v>
      </c>
      <c r="CG65" s="649">
        <v>7.7</v>
      </c>
      <c r="CH65" s="649">
        <v>13</v>
      </c>
      <c r="CI65" s="649">
        <v>17.399999999999999</v>
      </c>
      <c r="CJ65" s="649">
        <v>13.75</v>
      </c>
      <c r="CK65" s="649">
        <v>0</v>
      </c>
      <c r="CL65" s="649">
        <v>1.8</v>
      </c>
      <c r="CM65" s="649">
        <v>2.7</v>
      </c>
      <c r="CN65" s="649">
        <v>637</v>
      </c>
      <c r="CO65" s="649">
        <v>301.3</v>
      </c>
      <c r="CP65" s="649">
        <v>435.3</v>
      </c>
      <c r="CQ65" s="649">
        <v>12.8</v>
      </c>
      <c r="CR65" s="649">
        <v>2.04</v>
      </c>
      <c r="CS65" s="405">
        <v>12816.2</v>
      </c>
      <c r="CT65" s="405">
        <v>16.62</v>
      </c>
      <c r="CU65" s="405">
        <v>50</v>
      </c>
      <c r="CV65" s="522">
        <v>0</v>
      </c>
      <c r="CW65" s="522">
        <v>0</v>
      </c>
      <c r="CX65" s="522">
        <v>0</v>
      </c>
      <c r="CY65" s="522">
        <v>0</v>
      </c>
      <c r="CZ65" s="689">
        <v>1070</v>
      </c>
      <c r="DA65" s="689">
        <v>2230</v>
      </c>
      <c r="DB65" s="689">
        <v>1120</v>
      </c>
      <c r="DC65" s="643">
        <v>1082.3</v>
      </c>
      <c r="DD65" s="522"/>
      <c r="DE65" s="522"/>
      <c r="DF65" s="522"/>
      <c r="DG65" s="522"/>
      <c r="DH65" s="522"/>
      <c r="DI65" s="522"/>
      <c r="DJ65" s="522"/>
      <c r="DK65" s="522"/>
      <c r="DL65" s="649"/>
      <c r="DM65" s="689"/>
      <c r="DN65" s="649"/>
      <c r="DO65" s="522"/>
      <c r="DP65" s="522"/>
      <c r="DQ65" s="522"/>
      <c r="DR65" s="522"/>
      <c r="DS65" s="522"/>
      <c r="DT65" s="522"/>
      <c r="DU65" s="522"/>
      <c r="DV65" s="522"/>
      <c r="DW65" s="522"/>
      <c r="DX65" s="522"/>
      <c r="DY65" s="522"/>
      <c r="DZ65" s="522"/>
      <c r="EA65" s="522"/>
      <c r="EB65" s="522"/>
      <c r="EC65" s="522"/>
      <c r="ED65" s="522"/>
      <c r="EE65" s="522"/>
      <c r="EF65" s="522"/>
      <c r="EG65" s="645">
        <f t="shared" si="4"/>
        <v>9.6532800000000005</v>
      </c>
      <c r="EH65" s="361">
        <v>0</v>
      </c>
      <c r="EI65" s="647">
        <v>0</v>
      </c>
      <c r="EJ65" s="647">
        <v>2.5</v>
      </c>
      <c r="EK65" s="647">
        <f t="shared" si="5"/>
        <v>3.74</v>
      </c>
      <c r="EL65" s="522"/>
      <c r="EM65" s="522"/>
      <c r="EN65" s="522"/>
      <c r="EO65" s="522"/>
      <c r="EP65" s="522"/>
      <c r="EQ65" s="522"/>
      <c r="ER65" s="522"/>
      <c r="ES65" s="407"/>
      <c r="ET65" s="407"/>
    </row>
    <row r="66" spans="1:150" s="357" customFormat="1" ht="15">
      <c r="A66" s="675" t="s">
        <v>9</v>
      </c>
      <c r="B66" s="712">
        <v>41692</v>
      </c>
      <c r="C66" s="713">
        <v>0</v>
      </c>
      <c r="D66" s="681">
        <v>0.26</v>
      </c>
      <c r="E66" s="681">
        <v>0</v>
      </c>
      <c r="F66" s="681">
        <v>33</v>
      </c>
      <c r="G66" s="807">
        <v>1.25</v>
      </c>
      <c r="H66" s="807" t="s">
        <v>744</v>
      </c>
      <c r="I66" s="807">
        <v>93.4</v>
      </c>
      <c r="J66" s="807">
        <v>0</v>
      </c>
      <c r="K66" s="807">
        <v>0.05</v>
      </c>
      <c r="L66" s="821">
        <f t="shared" si="6"/>
        <v>33.950000000000003</v>
      </c>
      <c r="M66" s="807">
        <v>18.8</v>
      </c>
      <c r="N66" s="807">
        <v>0</v>
      </c>
      <c r="O66" s="807" t="s">
        <v>743</v>
      </c>
      <c r="P66" s="807">
        <v>1.5</v>
      </c>
      <c r="Q66" s="807">
        <v>1.7197781474263558</v>
      </c>
      <c r="R66" s="865">
        <v>517.92391545574628</v>
      </c>
      <c r="S66" s="807">
        <v>0</v>
      </c>
      <c r="T66" s="807">
        <v>8.06</v>
      </c>
      <c r="U66" s="807">
        <v>0</v>
      </c>
      <c r="V66" s="807">
        <v>0.75</v>
      </c>
      <c r="W66" s="807">
        <v>32</v>
      </c>
      <c r="X66" s="690">
        <v>43.88000000000001</v>
      </c>
      <c r="Y66" s="807">
        <v>23.94</v>
      </c>
      <c r="Z66" s="807">
        <v>10.44</v>
      </c>
      <c r="AA66" s="794">
        <v>20.99</v>
      </c>
      <c r="AB66" s="794">
        <v>12.96</v>
      </c>
      <c r="AC66" s="775">
        <f t="shared" si="44"/>
        <v>33.950000000000003</v>
      </c>
      <c r="AD66" s="775">
        <f t="shared" si="45"/>
        <v>52.520650000000003</v>
      </c>
      <c r="AE66" s="775"/>
      <c r="AF66" s="567"/>
      <c r="AG66" s="2">
        <v>1</v>
      </c>
      <c r="AH66" s="705"/>
      <c r="AI66" s="362"/>
      <c r="AJ66" s="2"/>
      <c r="AK66" s="407"/>
      <c r="AL66" s="407"/>
      <c r="AM66" s="407"/>
      <c r="AN66" s="407"/>
      <c r="AO66" s="387"/>
      <c r="AP66" s="387"/>
      <c r="AQ66" s="405"/>
      <c r="AR66" s="578">
        <v>0</v>
      </c>
      <c r="AS66" s="405">
        <v>11.4</v>
      </c>
      <c r="AT66" s="578">
        <v>0</v>
      </c>
      <c r="AU66" s="405">
        <v>21.6</v>
      </c>
      <c r="AV66" s="644">
        <v>396.2</v>
      </c>
      <c r="AW66" s="644">
        <v>554.20000000000005</v>
      </c>
      <c r="AX66" s="405">
        <v>0</v>
      </c>
      <c r="AY66" s="578">
        <v>0</v>
      </c>
      <c r="AZ66" s="578">
        <v>0</v>
      </c>
      <c r="BA66" s="578">
        <v>0</v>
      </c>
      <c r="BB66" s="924">
        <v>1</v>
      </c>
      <c r="BC66" s="405">
        <v>0</v>
      </c>
      <c r="BD66" s="405">
        <v>1.51</v>
      </c>
      <c r="BE66" s="578">
        <v>0</v>
      </c>
      <c r="BF66" s="405">
        <v>1</v>
      </c>
      <c r="BG66" s="405">
        <v>0</v>
      </c>
      <c r="BH66" s="578">
        <v>0</v>
      </c>
      <c r="BI66" s="405">
        <v>0</v>
      </c>
      <c r="BJ66" s="405">
        <v>10.6</v>
      </c>
      <c r="BK66" s="405">
        <v>2.95</v>
      </c>
      <c r="BL66" s="405">
        <v>2.6</v>
      </c>
      <c r="BM66" s="405">
        <v>0</v>
      </c>
      <c r="BN66" s="405">
        <v>4</v>
      </c>
      <c r="BO66" s="405">
        <v>1176.9000000000001</v>
      </c>
      <c r="BP66" s="405">
        <v>0</v>
      </c>
      <c r="BQ66" s="649">
        <v>18.7</v>
      </c>
      <c r="BR66" s="649">
        <v>18.7</v>
      </c>
      <c r="BS66" s="649">
        <v>8.9</v>
      </c>
      <c r="BT66" s="649">
        <v>9</v>
      </c>
      <c r="BU66" s="648">
        <v>19.899999999999999</v>
      </c>
      <c r="BV66" s="648">
        <v>20.9</v>
      </c>
      <c r="BW66" s="649">
        <v>484.7</v>
      </c>
      <c r="BX66" s="876"/>
      <c r="BY66" s="689">
        <v>0.16</v>
      </c>
      <c r="BZ66" s="649">
        <v>1.6</v>
      </c>
      <c r="CA66" s="649">
        <v>1.4</v>
      </c>
      <c r="CB66" s="649">
        <v>8.6999999999999993</v>
      </c>
      <c r="CC66" s="649">
        <v>7.8</v>
      </c>
      <c r="CD66" s="649">
        <v>15.4</v>
      </c>
      <c r="CE66" s="649">
        <v>34</v>
      </c>
      <c r="CF66" s="649">
        <v>13.7</v>
      </c>
      <c r="CG66" s="649">
        <v>8.3000000000000007</v>
      </c>
      <c r="CH66" s="649">
        <v>13.9</v>
      </c>
      <c r="CI66" s="649">
        <v>17.899999999999999</v>
      </c>
      <c r="CJ66" s="649">
        <v>13.8</v>
      </c>
      <c r="CK66" s="649">
        <v>0</v>
      </c>
      <c r="CL66" s="649">
        <v>2</v>
      </c>
      <c r="CM66" s="649">
        <v>2.2999999999999998</v>
      </c>
      <c r="CN66" s="649">
        <v>767.5</v>
      </c>
      <c r="CO66" s="649">
        <v>325.8</v>
      </c>
      <c r="CP66" s="649">
        <v>409.8</v>
      </c>
      <c r="CQ66" s="649">
        <v>12.7</v>
      </c>
      <c r="CR66" s="649">
        <v>2</v>
      </c>
      <c r="CS66" s="405">
        <v>12769.6</v>
      </c>
      <c r="CT66" s="405">
        <v>16.387</v>
      </c>
      <c r="CU66" s="405">
        <v>50</v>
      </c>
      <c r="CV66" s="522">
        <v>0</v>
      </c>
      <c r="CW66" s="522">
        <v>0</v>
      </c>
      <c r="CX66" s="522">
        <v>0</v>
      </c>
      <c r="CY66" s="522">
        <v>0</v>
      </c>
      <c r="CZ66" s="689">
        <v>1100</v>
      </c>
      <c r="DA66" s="689">
        <v>2140</v>
      </c>
      <c r="DB66" s="689">
        <v>1130</v>
      </c>
      <c r="DC66" s="643">
        <v>1084.5999999999999</v>
      </c>
      <c r="DD66" s="522"/>
      <c r="DE66" s="522"/>
      <c r="DF66" s="522"/>
      <c r="DG66" s="522"/>
      <c r="DH66" s="522"/>
      <c r="DI66" s="522"/>
      <c r="DJ66" s="522"/>
      <c r="DK66" s="522"/>
      <c r="DL66" s="649"/>
      <c r="DM66" s="689"/>
      <c r="DN66" s="649"/>
      <c r="DO66" s="522"/>
      <c r="DP66" s="522"/>
      <c r="DQ66" s="522"/>
      <c r="DR66" s="522"/>
      <c r="DS66" s="522"/>
      <c r="DT66" s="522"/>
      <c r="DU66" s="522"/>
      <c r="DV66" s="522"/>
      <c r="DW66" s="522"/>
      <c r="DX66" s="522"/>
      <c r="DY66" s="522"/>
      <c r="DZ66" s="522"/>
      <c r="EA66" s="522"/>
      <c r="EB66" s="522"/>
      <c r="EC66" s="522"/>
      <c r="ED66" s="522"/>
      <c r="EE66" s="522"/>
      <c r="EF66" s="522"/>
      <c r="EG66" s="645">
        <f t="shared" si="4"/>
        <v>12.45335</v>
      </c>
      <c r="EH66" s="361">
        <v>0</v>
      </c>
      <c r="EI66" s="647">
        <v>0</v>
      </c>
      <c r="EJ66" s="647">
        <v>2.5</v>
      </c>
      <c r="EK66" s="647">
        <f t="shared" si="5"/>
        <v>5.5500000000000007</v>
      </c>
      <c r="EL66" s="522"/>
      <c r="EM66" s="522"/>
      <c r="EN66" s="522"/>
      <c r="EO66" s="522"/>
      <c r="EP66" s="522"/>
      <c r="EQ66" s="522"/>
      <c r="ER66" s="522"/>
      <c r="ES66" s="407"/>
      <c r="ET66" s="407"/>
    </row>
    <row r="67" spans="1:150" s="357" customFormat="1" ht="15">
      <c r="A67" s="675" t="s">
        <v>3</v>
      </c>
      <c r="B67" s="712">
        <v>41693</v>
      </c>
      <c r="C67" s="713">
        <v>0</v>
      </c>
      <c r="D67" s="681">
        <v>0.57999999999999996</v>
      </c>
      <c r="E67" s="681">
        <v>0</v>
      </c>
      <c r="F67" s="681">
        <v>36</v>
      </c>
      <c r="G67" s="807">
        <v>1.1499999999999999</v>
      </c>
      <c r="H67" s="807" t="s">
        <v>744</v>
      </c>
      <c r="I67" s="807">
        <v>93.5</v>
      </c>
      <c r="J67" s="807">
        <v>0</v>
      </c>
      <c r="K67" s="807">
        <v>0.1</v>
      </c>
      <c r="L67" s="821">
        <f t="shared" si="6"/>
        <v>34.1</v>
      </c>
      <c r="M67" s="807">
        <v>18.899999999999999</v>
      </c>
      <c r="N67" s="807">
        <v>0</v>
      </c>
      <c r="O67" s="807" t="s">
        <v>743</v>
      </c>
      <c r="P67" s="807">
        <v>1.53</v>
      </c>
      <c r="Q67" s="807">
        <v>1.6855655936097791</v>
      </c>
      <c r="R67" s="865">
        <v>502.70038573315708</v>
      </c>
      <c r="S67" s="807">
        <v>0</v>
      </c>
      <c r="T67" s="807">
        <v>8.07</v>
      </c>
      <c r="U67" s="807">
        <v>0</v>
      </c>
      <c r="V67" s="807">
        <v>0.77</v>
      </c>
      <c r="W67" s="807">
        <v>32</v>
      </c>
      <c r="X67" s="690">
        <v>44.239999999999995</v>
      </c>
      <c r="Y67" s="807">
        <v>20.99</v>
      </c>
      <c r="Z67" s="807">
        <v>12.96</v>
      </c>
      <c r="AA67" s="794">
        <v>21.1</v>
      </c>
      <c r="AB67" s="794">
        <v>13</v>
      </c>
      <c r="AC67" s="775">
        <f t="shared" si="44"/>
        <v>34.1</v>
      </c>
      <c r="AD67" s="775">
        <f t="shared" si="45"/>
        <v>52.752699999999997</v>
      </c>
      <c r="AE67" s="775"/>
      <c r="AF67" s="567"/>
      <c r="AG67" s="2">
        <v>1</v>
      </c>
      <c r="AH67" s="705"/>
      <c r="AI67" s="362"/>
      <c r="AJ67" s="2"/>
      <c r="AK67" s="407"/>
      <c r="AL67" s="407"/>
      <c r="AM67" s="407"/>
      <c r="AN67" s="407"/>
      <c r="AO67" s="387"/>
      <c r="AP67" s="387"/>
      <c r="AQ67" s="405"/>
      <c r="AR67" s="578">
        <v>0</v>
      </c>
      <c r="AS67" s="405">
        <v>21.9</v>
      </c>
      <c r="AT67" s="578">
        <v>0</v>
      </c>
      <c r="AU67" s="405">
        <v>21.8</v>
      </c>
      <c r="AV67" s="644">
        <v>208</v>
      </c>
      <c r="AW67" s="644">
        <v>334.6</v>
      </c>
      <c r="AX67" s="405">
        <v>0</v>
      </c>
      <c r="AY67" s="578">
        <v>0</v>
      </c>
      <c r="AZ67" s="578">
        <v>0</v>
      </c>
      <c r="BA67" s="578">
        <v>0</v>
      </c>
      <c r="BB67" s="924">
        <v>1</v>
      </c>
      <c r="BC67" s="405">
        <v>0</v>
      </c>
      <c r="BD67" s="405">
        <v>1.5</v>
      </c>
      <c r="BE67" s="578">
        <v>0</v>
      </c>
      <c r="BF67" s="405">
        <v>1</v>
      </c>
      <c r="BG67" s="405">
        <v>0</v>
      </c>
      <c r="BH67" s="578">
        <v>0</v>
      </c>
      <c r="BI67" s="405">
        <v>0</v>
      </c>
      <c r="BJ67" s="405">
        <v>10.6</v>
      </c>
      <c r="BK67" s="405">
        <v>2.95</v>
      </c>
      <c r="BL67" s="405">
        <v>2.61</v>
      </c>
      <c r="BM67" s="405">
        <v>0</v>
      </c>
      <c r="BN67" s="405">
        <v>4.0999999999999996</v>
      </c>
      <c r="BO67" s="405">
        <v>1114.4000000000001</v>
      </c>
      <c r="BP67" s="405">
        <v>0</v>
      </c>
      <c r="BQ67" s="649">
        <v>20.100000000000001</v>
      </c>
      <c r="BR67" s="649">
        <v>20</v>
      </c>
      <c r="BS67" s="649">
        <v>9.1999999999999993</v>
      </c>
      <c r="BT67" s="649">
        <v>9.3000000000000007</v>
      </c>
      <c r="BU67" s="648">
        <v>20.399999999999999</v>
      </c>
      <c r="BV67" s="648">
        <v>17.600000000000001</v>
      </c>
      <c r="BW67" s="649">
        <v>677.6</v>
      </c>
      <c r="BX67" s="876"/>
      <c r="BY67" s="689">
        <v>0.16</v>
      </c>
      <c r="BZ67" s="649">
        <v>1.46</v>
      </c>
      <c r="CA67" s="649">
        <v>1.4</v>
      </c>
      <c r="CB67" s="649">
        <v>8.8000000000000007</v>
      </c>
      <c r="CC67" s="649">
        <v>7.9</v>
      </c>
      <c r="CD67" s="649">
        <v>15.5</v>
      </c>
      <c r="CE67" s="649">
        <v>34</v>
      </c>
      <c r="CF67" s="649">
        <v>13.2</v>
      </c>
      <c r="CG67" s="649">
        <v>8.1999999999999993</v>
      </c>
      <c r="CH67" s="649">
        <v>13.8</v>
      </c>
      <c r="CI67" s="649">
        <v>17.8</v>
      </c>
      <c r="CJ67" s="649">
        <v>14.2</v>
      </c>
      <c r="CK67" s="649">
        <v>0</v>
      </c>
      <c r="CL67" s="649">
        <v>1.3</v>
      </c>
      <c r="CM67" s="649">
        <v>0.8</v>
      </c>
      <c r="CN67" s="649">
        <v>739</v>
      </c>
      <c r="CO67" s="649">
        <v>342.8</v>
      </c>
      <c r="CP67" s="649">
        <v>431.2</v>
      </c>
      <c r="CQ67" s="649">
        <v>13.3</v>
      </c>
      <c r="CR67" s="649">
        <v>2</v>
      </c>
      <c r="CS67" s="405">
        <v>15073.7</v>
      </c>
      <c r="CT67" s="405">
        <v>16.280999999999999</v>
      </c>
      <c r="CU67" s="405">
        <v>50</v>
      </c>
      <c r="CV67" s="522">
        <v>0</v>
      </c>
      <c r="CW67" s="522">
        <v>0</v>
      </c>
      <c r="CX67" s="522">
        <v>0</v>
      </c>
      <c r="CY67" s="522">
        <v>0</v>
      </c>
      <c r="CZ67" s="689">
        <v>972</v>
      </c>
      <c r="DA67" s="689">
        <v>2040</v>
      </c>
      <c r="DB67" s="689">
        <v>1010</v>
      </c>
      <c r="DC67" s="643">
        <v>1085.7</v>
      </c>
      <c r="DD67" s="522"/>
      <c r="DE67" s="522"/>
      <c r="DF67" s="522"/>
      <c r="DG67" s="522"/>
      <c r="DH67" s="522"/>
      <c r="DI67" s="522"/>
      <c r="DJ67" s="522"/>
      <c r="DK67" s="522"/>
      <c r="DL67" s="649"/>
      <c r="DM67" s="689"/>
      <c r="DN67" s="649"/>
      <c r="DO67" s="522"/>
      <c r="DP67" s="522"/>
      <c r="DQ67" s="522"/>
      <c r="DR67" s="522"/>
      <c r="DS67" s="522"/>
      <c r="DT67" s="522"/>
      <c r="DU67" s="522"/>
      <c r="DV67" s="522"/>
      <c r="DW67" s="522"/>
      <c r="DX67" s="522"/>
      <c r="DY67" s="522"/>
      <c r="DZ67" s="522"/>
      <c r="EA67" s="522"/>
      <c r="EB67" s="522"/>
      <c r="EC67" s="522"/>
      <c r="ED67" s="522"/>
      <c r="EE67" s="522"/>
      <c r="EF67" s="522"/>
      <c r="EG67" s="645">
        <f t="shared" si="4"/>
        <v>12.468820000000001</v>
      </c>
      <c r="EH67" s="361">
        <v>0</v>
      </c>
      <c r="EI67" s="647">
        <v>0</v>
      </c>
      <c r="EJ67" s="647">
        <v>2.5</v>
      </c>
      <c r="EK67" s="647">
        <f t="shared" si="5"/>
        <v>5.5600000000000005</v>
      </c>
      <c r="EL67" s="522"/>
      <c r="EM67" s="522"/>
      <c r="EN67" s="522"/>
      <c r="EO67" s="522"/>
      <c r="EP67" s="522"/>
      <c r="EQ67" s="522"/>
      <c r="ER67" s="522"/>
      <c r="ES67" s="407"/>
      <c r="ET67" s="407"/>
    </row>
    <row r="68" spans="1:150" s="357" customFormat="1" ht="15">
      <c r="A68" s="675" t="s">
        <v>4</v>
      </c>
      <c r="B68" s="712">
        <v>41694</v>
      </c>
      <c r="C68" s="713">
        <v>0</v>
      </c>
      <c r="D68" s="681">
        <v>0.53</v>
      </c>
      <c r="E68" s="681">
        <v>0</v>
      </c>
      <c r="F68" s="681">
        <v>36</v>
      </c>
      <c r="G68" s="807">
        <v>1.4</v>
      </c>
      <c r="H68" s="807" t="s">
        <v>744</v>
      </c>
      <c r="I68" s="807">
        <v>93.5</v>
      </c>
      <c r="J68" s="807">
        <v>0</v>
      </c>
      <c r="K68" s="807">
        <v>0.1</v>
      </c>
      <c r="L68" s="821">
        <f t="shared" si="6"/>
        <v>38.400000000000006</v>
      </c>
      <c r="M68" s="807">
        <v>17.899999999999999</v>
      </c>
      <c r="N68" s="807">
        <v>0</v>
      </c>
      <c r="O68" s="807" t="s">
        <v>743</v>
      </c>
      <c r="P68" s="807">
        <v>1.49</v>
      </c>
      <c r="Q68" s="807">
        <v>1.6065949868735678</v>
      </c>
      <c r="R68" s="865">
        <v>529.26058652575955</v>
      </c>
      <c r="S68" s="807">
        <v>0</v>
      </c>
      <c r="T68" s="807">
        <v>8.02</v>
      </c>
      <c r="U68" s="807">
        <v>0</v>
      </c>
      <c r="V68" s="807">
        <v>0.73</v>
      </c>
      <c r="W68" s="807">
        <v>32</v>
      </c>
      <c r="X68" s="690">
        <v>44.06</v>
      </c>
      <c r="Y68" s="807">
        <v>21.1</v>
      </c>
      <c r="Z68" s="807">
        <v>13</v>
      </c>
      <c r="AA68" s="794">
        <v>20.8</v>
      </c>
      <c r="AB68" s="794">
        <v>17.600000000000001</v>
      </c>
      <c r="AC68" s="775">
        <f t="shared" ref="AC68" si="46">AA68+AB68</f>
        <v>38.400000000000006</v>
      </c>
      <c r="AD68" s="775">
        <f t="shared" ref="AD68" si="47">AC68*1.547</f>
        <v>59.404800000000009</v>
      </c>
      <c r="AE68" s="775"/>
      <c r="AF68" s="567"/>
      <c r="AG68" s="2">
        <v>1</v>
      </c>
      <c r="AH68" s="705"/>
      <c r="AI68" s="362"/>
      <c r="AJ68" s="2"/>
      <c r="AK68" s="407"/>
      <c r="AL68" s="407"/>
      <c r="AM68" s="407"/>
      <c r="AN68" s="407"/>
      <c r="AO68" s="387"/>
      <c r="AP68" s="387"/>
      <c r="AQ68" s="405"/>
      <c r="AR68" s="578">
        <v>0</v>
      </c>
      <c r="AS68" s="405">
        <v>10.9</v>
      </c>
      <c r="AT68" s="578">
        <v>0</v>
      </c>
      <c r="AU68" s="405">
        <v>21.4</v>
      </c>
      <c r="AV68" s="644">
        <v>358.7</v>
      </c>
      <c r="AW68" s="644">
        <v>211.3</v>
      </c>
      <c r="AX68" s="405">
        <v>0</v>
      </c>
      <c r="AY68" s="578">
        <v>0</v>
      </c>
      <c r="AZ68" s="578">
        <v>0</v>
      </c>
      <c r="BA68" s="578">
        <v>0</v>
      </c>
      <c r="BB68" s="1086">
        <v>1.002</v>
      </c>
      <c r="BC68" s="405">
        <v>0</v>
      </c>
      <c r="BD68" s="405">
        <v>1.59</v>
      </c>
      <c r="BE68" s="578">
        <v>0</v>
      </c>
      <c r="BF68" s="405">
        <v>0.9</v>
      </c>
      <c r="BG68" s="405">
        <v>0</v>
      </c>
      <c r="BH68" s="578">
        <v>0</v>
      </c>
      <c r="BI68" s="405">
        <v>0</v>
      </c>
      <c r="BJ68" s="405">
        <v>15.2</v>
      </c>
      <c r="BK68" s="405">
        <v>0.78</v>
      </c>
      <c r="BL68" s="405">
        <v>4.6500000000000004</v>
      </c>
      <c r="BM68" s="405">
        <v>0</v>
      </c>
      <c r="BN68" s="405">
        <v>8.6999999999999993</v>
      </c>
      <c r="BO68" s="405">
        <v>1016.3</v>
      </c>
      <c r="BP68" s="405">
        <v>0</v>
      </c>
      <c r="BQ68" s="649">
        <v>21.7</v>
      </c>
      <c r="BR68" s="649">
        <v>21.7</v>
      </c>
      <c r="BS68" s="649">
        <v>8.9</v>
      </c>
      <c r="BT68" s="649">
        <v>8.9</v>
      </c>
      <c r="BU68" s="648">
        <v>19.8</v>
      </c>
      <c r="BV68" s="648">
        <v>16.100000000000001</v>
      </c>
      <c r="BW68" s="649">
        <v>471.1</v>
      </c>
      <c r="BX68" s="876"/>
      <c r="BY68" s="649">
        <v>0.15</v>
      </c>
      <c r="BZ68" s="649">
        <v>1.47</v>
      </c>
      <c r="CA68" s="649">
        <v>1.4</v>
      </c>
      <c r="CB68" s="649">
        <v>8.8000000000000007</v>
      </c>
      <c r="CC68" s="649">
        <v>7.9</v>
      </c>
      <c r="CD68" s="649">
        <v>15.6</v>
      </c>
      <c r="CE68" s="649">
        <v>34.700000000000003</v>
      </c>
      <c r="CF68" s="649">
        <v>12.9</v>
      </c>
      <c r="CG68" s="649">
        <v>7.2</v>
      </c>
      <c r="CH68" s="649">
        <v>12.6</v>
      </c>
      <c r="CI68" s="649">
        <v>16.5</v>
      </c>
      <c r="CJ68" s="649">
        <v>13.1</v>
      </c>
      <c r="CK68" s="649">
        <v>0</v>
      </c>
      <c r="CL68" s="649">
        <v>2.1</v>
      </c>
      <c r="CM68" s="649">
        <v>2.4</v>
      </c>
      <c r="CN68" s="649">
        <v>836.8</v>
      </c>
      <c r="CO68" s="649">
        <v>310.2</v>
      </c>
      <c r="CP68" s="649">
        <v>448.2</v>
      </c>
      <c r="CQ68" s="649">
        <v>11.9</v>
      </c>
      <c r="CR68" s="649">
        <v>1.87</v>
      </c>
      <c r="CS68" s="405">
        <v>11510.3</v>
      </c>
      <c r="CT68" s="405">
        <v>16.579999999999998</v>
      </c>
      <c r="CU68" s="405">
        <v>49</v>
      </c>
      <c r="CV68" s="522">
        <v>0</v>
      </c>
      <c r="CW68" s="522">
        <v>0</v>
      </c>
      <c r="CX68" s="522">
        <v>0</v>
      </c>
      <c r="CY68" s="522">
        <v>0</v>
      </c>
      <c r="CZ68" s="689">
        <v>956</v>
      </c>
      <c r="DA68" s="689">
        <v>2100</v>
      </c>
      <c r="DB68" s="689">
        <v>1010</v>
      </c>
      <c r="DC68" s="643">
        <v>1087.17</v>
      </c>
      <c r="DD68" s="522"/>
      <c r="DE68" s="522"/>
      <c r="DF68" s="522"/>
      <c r="DG68" s="522"/>
      <c r="DH68" s="522"/>
      <c r="DI68" s="522"/>
      <c r="DJ68" s="522"/>
      <c r="DK68" s="522"/>
      <c r="DL68" s="649"/>
      <c r="DM68" s="689"/>
      <c r="DN68" s="649"/>
      <c r="DO68" s="522"/>
      <c r="DP68" s="522"/>
      <c r="DQ68" s="522"/>
      <c r="DR68" s="522"/>
      <c r="DS68" s="522"/>
      <c r="DT68" s="522"/>
      <c r="DU68" s="522"/>
      <c r="DV68" s="522"/>
      <c r="DW68" s="522"/>
      <c r="DX68" s="522"/>
      <c r="DY68" s="522"/>
      <c r="DZ68" s="522"/>
      <c r="EA68" s="522"/>
      <c r="EB68" s="522"/>
      <c r="EC68" s="522"/>
      <c r="ED68" s="522"/>
      <c r="EE68" s="522"/>
      <c r="EF68" s="522"/>
      <c r="EG68" s="645">
        <f t="shared" si="4"/>
        <v>12.267710000000001</v>
      </c>
      <c r="EH68" s="361">
        <v>0</v>
      </c>
      <c r="EI68" s="647">
        <v>0</v>
      </c>
      <c r="EJ68" s="647">
        <v>2.5</v>
      </c>
      <c r="EK68" s="647">
        <f t="shared" si="5"/>
        <v>5.4300000000000006</v>
      </c>
      <c r="EL68" s="522"/>
      <c r="EM68" s="522"/>
      <c r="EN68" s="522"/>
      <c r="EO68" s="522"/>
      <c r="EP68" s="522"/>
      <c r="EQ68" s="522"/>
      <c r="ER68" s="522"/>
      <c r="ES68" s="407"/>
      <c r="ET68" s="407"/>
    </row>
    <row r="69" spans="1:150" s="357" customFormat="1" ht="15">
      <c r="A69" s="675" t="s">
        <v>5</v>
      </c>
      <c r="B69" s="712">
        <v>41695</v>
      </c>
      <c r="C69" s="713">
        <v>0</v>
      </c>
      <c r="D69" s="681">
        <v>0.01</v>
      </c>
      <c r="E69" s="681">
        <v>0</v>
      </c>
      <c r="F69" s="681">
        <v>41</v>
      </c>
      <c r="G69" s="807">
        <v>1.3</v>
      </c>
      <c r="H69" s="807" t="s">
        <v>744</v>
      </c>
      <c r="I69" s="807">
        <v>93.5</v>
      </c>
      <c r="J69" s="807">
        <v>0</v>
      </c>
      <c r="K69" s="807">
        <v>7.0000000000000007E-2</v>
      </c>
      <c r="L69" s="821">
        <f t="shared" si="6"/>
        <v>44</v>
      </c>
      <c r="M69" s="807">
        <v>17.5</v>
      </c>
      <c r="N69" s="807">
        <v>0</v>
      </c>
      <c r="O69" s="807" t="s">
        <v>743</v>
      </c>
      <c r="P69" s="807">
        <v>1.45</v>
      </c>
      <c r="Q69" s="807">
        <v>1.587085209148992</v>
      </c>
      <c r="R69" s="865">
        <v>596.95670805812404</v>
      </c>
      <c r="S69" s="807">
        <v>0</v>
      </c>
      <c r="T69" s="807">
        <v>8.0299999999999994</v>
      </c>
      <c r="U69" s="807">
        <v>0</v>
      </c>
      <c r="V69" s="807">
        <v>0.73</v>
      </c>
      <c r="W69" s="807">
        <v>32</v>
      </c>
      <c r="X69" s="690">
        <v>44.06</v>
      </c>
      <c r="Y69" s="807">
        <v>20.8</v>
      </c>
      <c r="Z69" s="807">
        <v>17.600000000000001</v>
      </c>
      <c r="AA69" s="794">
        <v>20.9</v>
      </c>
      <c r="AB69" s="794">
        <v>23.1</v>
      </c>
      <c r="AC69" s="775">
        <f t="shared" ref="AC69" si="48">AA69+AB69</f>
        <v>44</v>
      </c>
      <c r="AD69" s="775">
        <f t="shared" ref="AD69" si="49">AC69*1.547</f>
        <v>68.067999999999998</v>
      </c>
      <c r="AE69" s="775"/>
      <c r="AF69" s="567"/>
      <c r="AG69" s="2">
        <v>1</v>
      </c>
      <c r="AH69" s="705"/>
      <c r="AI69" s="362"/>
      <c r="AJ69" s="2"/>
      <c r="AK69" s="407"/>
      <c r="AL69" s="407"/>
      <c r="AM69" s="407"/>
      <c r="AN69" s="407"/>
      <c r="AO69" s="387"/>
      <c r="AP69" s="387"/>
      <c r="AQ69" s="405"/>
      <c r="AR69" s="578">
        <v>0</v>
      </c>
      <c r="AS69" s="405">
        <v>21.7</v>
      </c>
      <c r="AT69" s="578">
        <v>0</v>
      </c>
      <c r="AU69" s="405">
        <v>21.5</v>
      </c>
      <c r="AV69" s="644">
        <v>316.3</v>
      </c>
      <c r="AW69" s="644">
        <v>375.1</v>
      </c>
      <c r="AX69" s="405">
        <v>0.3</v>
      </c>
      <c r="AY69" s="578">
        <v>0</v>
      </c>
      <c r="AZ69" s="578">
        <v>0</v>
      </c>
      <c r="BA69" s="578">
        <v>0</v>
      </c>
      <c r="BB69" s="1086">
        <v>0.997</v>
      </c>
      <c r="BC69" s="405">
        <v>0</v>
      </c>
      <c r="BD69" s="405">
        <v>1.5</v>
      </c>
      <c r="BE69" s="578">
        <v>0</v>
      </c>
      <c r="BF69" s="405">
        <v>1</v>
      </c>
      <c r="BG69" s="405">
        <v>0</v>
      </c>
      <c r="BH69" s="578">
        <v>0</v>
      </c>
      <c r="BI69" s="405">
        <v>0</v>
      </c>
      <c r="BJ69" s="405">
        <v>20.6</v>
      </c>
      <c r="BK69" s="405">
        <v>0</v>
      </c>
      <c r="BL69" s="405">
        <v>5.51</v>
      </c>
      <c r="BM69" s="405">
        <v>0</v>
      </c>
      <c r="BN69" s="405">
        <v>14.1</v>
      </c>
      <c r="BO69" s="405">
        <v>1031.9000000000001</v>
      </c>
      <c r="BP69" s="405">
        <v>0</v>
      </c>
      <c r="BQ69" s="649">
        <v>20.5</v>
      </c>
      <c r="BR69" s="649">
        <v>20.399999999999999</v>
      </c>
      <c r="BS69" s="649">
        <v>9</v>
      </c>
      <c r="BT69" s="649">
        <v>9.1</v>
      </c>
      <c r="BU69" s="648">
        <v>20.100000000000001</v>
      </c>
      <c r="BV69" s="648">
        <v>24.2</v>
      </c>
      <c r="BW69" s="649">
        <v>474.9</v>
      </c>
      <c r="BX69" s="876"/>
      <c r="BY69" s="649">
        <v>0.15</v>
      </c>
      <c r="BZ69" s="649">
        <v>1.41</v>
      </c>
      <c r="CA69" s="649">
        <v>1.3</v>
      </c>
      <c r="CB69" s="649">
        <v>8.6999999999999993</v>
      </c>
      <c r="CC69" s="649">
        <v>8</v>
      </c>
      <c r="CD69" s="649">
        <v>15.5</v>
      </c>
      <c r="CE69" s="649">
        <v>33.799999999999997</v>
      </c>
      <c r="CF69" s="649">
        <v>12.4</v>
      </c>
      <c r="CG69" s="649">
        <v>8.3000000000000007</v>
      </c>
      <c r="CH69" s="649">
        <v>13.9</v>
      </c>
      <c r="CI69" s="649">
        <v>18</v>
      </c>
      <c r="CJ69" s="649">
        <v>12.9</v>
      </c>
      <c r="CK69" s="649">
        <v>0</v>
      </c>
      <c r="CL69" s="649">
        <v>2.1</v>
      </c>
      <c r="CM69" s="649">
        <v>3.1</v>
      </c>
      <c r="CN69" s="649">
        <v>822.4</v>
      </c>
      <c r="CO69" s="649">
        <v>312.8</v>
      </c>
      <c r="CP69" s="649">
        <v>447.4</v>
      </c>
      <c r="CQ69" s="649">
        <v>12.3</v>
      </c>
      <c r="CR69" s="649">
        <v>1.91</v>
      </c>
      <c r="CS69" s="405">
        <v>3766.1</v>
      </c>
      <c r="CT69" s="405">
        <v>16.498999999999999</v>
      </c>
      <c r="CU69" s="405">
        <v>48</v>
      </c>
      <c r="CV69" s="522">
        <v>0</v>
      </c>
      <c r="CW69" s="522">
        <v>0</v>
      </c>
      <c r="CX69" s="522">
        <v>0</v>
      </c>
      <c r="CY69" s="522">
        <v>0</v>
      </c>
      <c r="CZ69" s="689">
        <v>837</v>
      </c>
      <c r="DA69" s="689">
        <v>1940</v>
      </c>
      <c r="DB69" s="689">
        <v>897</v>
      </c>
      <c r="DC69" s="643">
        <v>1088.8399999999999</v>
      </c>
      <c r="DD69" s="522"/>
      <c r="DE69" s="522"/>
      <c r="DF69" s="522"/>
      <c r="DG69" s="522"/>
      <c r="DH69" s="522"/>
      <c r="DI69" s="522"/>
      <c r="DJ69" s="522"/>
      <c r="DK69" s="522"/>
      <c r="DL69" s="649"/>
      <c r="DM69" s="689"/>
      <c r="DN69" s="649"/>
      <c r="DO69" s="522"/>
      <c r="DP69" s="522"/>
      <c r="DQ69" s="522"/>
      <c r="DR69" s="522"/>
      <c r="DS69" s="522"/>
      <c r="DT69" s="522"/>
      <c r="DU69" s="522"/>
      <c r="DV69" s="522"/>
      <c r="DW69" s="522"/>
      <c r="DX69" s="522"/>
      <c r="DY69" s="522"/>
      <c r="DZ69" s="522"/>
      <c r="EA69" s="522"/>
      <c r="EB69" s="522"/>
      <c r="EC69" s="522"/>
      <c r="ED69" s="522"/>
      <c r="EE69" s="522"/>
      <c r="EF69" s="522"/>
      <c r="EG69" s="645">
        <f t="shared" si="4"/>
        <v>12.39147</v>
      </c>
      <c r="EH69" s="361">
        <v>0</v>
      </c>
      <c r="EI69" s="647">
        <v>0</v>
      </c>
      <c r="EJ69" s="647">
        <v>2.5</v>
      </c>
      <c r="EK69" s="647">
        <f t="shared" si="5"/>
        <v>5.51</v>
      </c>
      <c r="EL69" s="522"/>
      <c r="EM69" s="522"/>
      <c r="EN69" s="522"/>
      <c r="EO69" s="522"/>
      <c r="EP69" s="522"/>
      <c r="EQ69" s="522"/>
      <c r="ER69" s="522"/>
      <c r="ES69" s="407"/>
      <c r="ET69" s="407"/>
    </row>
    <row r="70" spans="1:150" s="357" customFormat="1" ht="15">
      <c r="A70" s="675" t="s">
        <v>6</v>
      </c>
      <c r="B70" s="712">
        <v>41696</v>
      </c>
      <c r="C70" s="713">
        <v>0</v>
      </c>
      <c r="D70" s="681">
        <v>0.01</v>
      </c>
      <c r="E70" s="681">
        <v>0</v>
      </c>
      <c r="F70" s="681">
        <v>42</v>
      </c>
      <c r="G70" s="807">
        <v>1.2</v>
      </c>
      <c r="H70" s="807" t="s">
        <v>744</v>
      </c>
      <c r="I70" s="807">
        <v>91.8</v>
      </c>
      <c r="J70" s="807">
        <v>0</v>
      </c>
      <c r="K70" s="807">
        <v>4.2000000000000003E-2</v>
      </c>
      <c r="L70" s="821">
        <f t="shared" si="6"/>
        <v>45.5</v>
      </c>
      <c r="M70" s="807">
        <v>16.899999999999999</v>
      </c>
      <c r="N70" s="807">
        <v>0</v>
      </c>
      <c r="O70" s="807" t="s">
        <v>743</v>
      </c>
      <c r="P70" s="807">
        <v>1.42</v>
      </c>
      <c r="Q70" s="807">
        <v>1.5813019196105482</v>
      </c>
      <c r="R70" s="865">
        <v>607.96947424042264</v>
      </c>
      <c r="S70" s="807">
        <v>0</v>
      </c>
      <c r="T70" s="807">
        <v>8.02</v>
      </c>
      <c r="U70" s="807">
        <v>0</v>
      </c>
      <c r="V70" s="807">
        <v>0.75</v>
      </c>
      <c r="W70" s="807">
        <v>32</v>
      </c>
      <c r="X70" s="690">
        <v>44.06</v>
      </c>
      <c r="Y70" s="807">
        <v>23.1</v>
      </c>
      <c r="Z70" s="807">
        <v>20.9</v>
      </c>
      <c r="AA70" s="794">
        <v>21.9</v>
      </c>
      <c r="AB70" s="794">
        <v>23.6</v>
      </c>
      <c r="AC70" s="775">
        <f t="shared" ref="AC70" si="50">AA70+AB70</f>
        <v>45.5</v>
      </c>
      <c r="AD70" s="775">
        <f t="shared" ref="AD70" si="51">AC70*1.547</f>
        <v>70.388499999999993</v>
      </c>
      <c r="AE70" s="775"/>
      <c r="AF70" s="567"/>
      <c r="AG70" s="2">
        <v>1</v>
      </c>
      <c r="AH70" s="705"/>
      <c r="AI70" s="362"/>
      <c r="AJ70" s="2"/>
      <c r="AK70" s="407"/>
      <c r="AL70" s="407"/>
      <c r="AM70" s="407"/>
      <c r="AN70" s="407"/>
      <c r="AO70" s="387"/>
      <c r="AP70" s="387"/>
      <c r="AQ70" s="405"/>
      <c r="AR70" s="578">
        <v>0</v>
      </c>
      <c r="AS70" s="405">
        <v>11</v>
      </c>
      <c r="AT70" s="578">
        <v>0</v>
      </c>
      <c r="AU70" s="405">
        <v>22.6</v>
      </c>
      <c r="AV70" s="644">
        <v>326</v>
      </c>
      <c r="AW70" s="644">
        <v>354</v>
      </c>
      <c r="AX70" s="405">
        <v>0</v>
      </c>
      <c r="AY70" s="578">
        <v>0</v>
      </c>
      <c r="AZ70" s="578">
        <v>0</v>
      </c>
      <c r="BA70" s="578">
        <v>0</v>
      </c>
      <c r="BB70" s="1086">
        <v>0.997</v>
      </c>
      <c r="BC70" s="405">
        <v>0</v>
      </c>
      <c r="BD70" s="405">
        <v>1.5</v>
      </c>
      <c r="BE70" s="578">
        <v>0</v>
      </c>
      <c r="BF70" s="405">
        <v>1</v>
      </c>
      <c r="BG70" s="405">
        <v>0</v>
      </c>
      <c r="BH70" s="578">
        <v>0</v>
      </c>
      <c r="BI70" s="405">
        <v>0</v>
      </c>
      <c r="BJ70" s="405">
        <v>21.2</v>
      </c>
      <c r="BK70" s="405">
        <v>0</v>
      </c>
      <c r="BL70" s="405">
        <v>5.51</v>
      </c>
      <c r="BM70" s="405">
        <v>0</v>
      </c>
      <c r="BN70" s="405">
        <v>14.7</v>
      </c>
      <c r="BO70" s="405">
        <v>1014.4</v>
      </c>
      <c r="BP70" s="405">
        <v>0</v>
      </c>
      <c r="BQ70" s="649">
        <v>19.5</v>
      </c>
      <c r="BR70" s="649">
        <v>19.5</v>
      </c>
      <c r="BS70" s="649">
        <v>9.6</v>
      </c>
      <c r="BT70" s="649">
        <v>9.6999999999999993</v>
      </c>
      <c r="BU70" s="648">
        <v>21.1</v>
      </c>
      <c r="BV70" s="648">
        <v>24.6</v>
      </c>
      <c r="BW70" s="649">
        <v>668.6</v>
      </c>
      <c r="BX70" s="876"/>
      <c r="BY70" s="649">
        <v>0.15</v>
      </c>
      <c r="BZ70" s="649">
        <v>1.43</v>
      </c>
      <c r="CA70" s="649">
        <v>1.3</v>
      </c>
      <c r="CB70" s="649">
        <v>8.6999999999999993</v>
      </c>
      <c r="CC70" s="649">
        <v>7.9</v>
      </c>
      <c r="CD70" s="649">
        <v>14.8</v>
      </c>
      <c r="CE70" s="649">
        <v>33.6</v>
      </c>
      <c r="CF70" s="649">
        <v>13.2</v>
      </c>
      <c r="CG70" s="649">
        <v>8.4</v>
      </c>
      <c r="CH70" s="649">
        <v>13.8</v>
      </c>
      <c r="CI70" s="649">
        <v>18</v>
      </c>
      <c r="CJ70" s="649">
        <v>13.1</v>
      </c>
      <c r="CK70" s="649">
        <v>0</v>
      </c>
      <c r="CL70" s="649">
        <v>2.2000000000000002</v>
      </c>
      <c r="CM70" s="649">
        <v>3.5</v>
      </c>
      <c r="CN70" s="649">
        <v>760</v>
      </c>
      <c r="CO70" s="649">
        <v>311.3</v>
      </c>
      <c r="CP70" s="649">
        <v>449.1</v>
      </c>
      <c r="CQ70" s="649">
        <v>12.8</v>
      </c>
      <c r="CR70" s="649">
        <v>2</v>
      </c>
      <c r="CS70" s="405">
        <v>5016.5</v>
      </c>
      <c r="CT70" s="405">
        <v>16.931000000000001</v>
      </c>
      <c r="CU70" s="405">
        <v>49</v>
      </c>
      <c r="CV70" s="522">
        <v>0</v>
      </c>
      <c r="CW70" s="522">
        <v>0</v>
      </c>
      <c r="CX70" s="522">
        <v>0</v>
      </c>
      <c r="CY70" s="522">
        <v>0</v>
      </c>
      <c r="CZ70" s="689">
        <v>809</v>
      </c>
      <c r="DA70" s="689">
        <v>1760</v>
      </c>
      <c r="DB70" s="689">
        <v>860</v>
      </c>
      <c r="DC70" s="643">
        <v>1090.03</v>
      </c>
      <c r="DD70" s="522"/>
      <c r="DE70" s="522"/>
      <c r="DF70" s="522"/>
      <c r="DG70" s="522"/>
      <c r="DH70" s="522"/>
      <c r="DI70" s="522"/>
      <c r="DJ70" s="522"/>
      <c r="DK70" s="522"/>
      <c r="DL70" s="649"/>
      <c r="DM70" s="689"/>
      <c r="DN70" s="649"/>
      <c r="DO70" s="522"/>
      <c r="DP70" s="522"/>
      <c r="DQ70" s="522"/>
      <c r="DR70" s="522"/>
      <c r="DS70" s="522"/>
      <c r="DT70" s="522"/>
      <c r="DU70" s="522"/>
      <c r="DV70" s="522"/>
      <c r="DW70" s="522"/>
      <c r="DX70" s="522"/>
      <c r="DY70" s="522"/>
      <c r="DZ70" s="522"/>
      <c r="EA70" s="522"/>
      <c r="EB70" s="522"/>
      <c r="EC70" s="522"/>
      <c r="ED70" s="522"/>
      <c r="EE70" s="522"/>
      <c r="EF70" s="522"/>
      <c r="EG70" s="645">
        <f t="shared" si="4"/>
        <v>12.39147</v>
      </c>
      <c r="EH70" s="361">
        <v>0</v>
      </c>
      <c r="EI70" s="647">
        <v>0</v>
      </c>
      <c r="EJ70" s="647">
        <v>2.5</v>
      </c>
      <c r="EK70" s="647">
        <f t="shared" si="5"/>
        <v>5.51</v>
      </c>
      <c r="EL70" s="522"/>
      <c r="EM70" s="522"/>
      <c r="EN70" s="522"/>
      <c r="EO70" s="522"/>
      <c r="EP70" s="522"/>
      <c r="EQ70" s="522"/>
      <c r="ER70" s="522"/>
      <c r="ES70" s="407"/>
      <c r="ET70" s="407"/>
    </row>
    <row r="71" spans="1:150" s="357" customFormat="1" ht="15">
      <c r="A71" s="675" t="s">
        <v>7</v>
      </c>
      <c r="B71" s="712">
        <v>41697</v>
      </c>
      <c r="C71" s="713">
        <v>0</v>
      </c>
      <c r="D71" s="681">
        <v>0</v>
      </c>
      <c r="E71" s="681">
        <v>0</v>
      </c>
      <c r="F71" s="681">
        <v>42</v>
      </c>
      <c r="G71" s="807">
        <v>1.1499999999999999</v>
      </c>
      <c r="H71" s="807" t="s">
        <v>744</v>
      </c>
      <c r="I71" s="807">
        <v>93.8</v>
      </c>
      <c r="J71" s="807">
        <v>0</v>
      </c>
      <c r="K71" s="807">
        <v>4.2000000000000003E-2</v>
      </c>
      <c r="L71" s="821">
        <f t="shared" si="6"/>
        <v>40.299999999999997</v>
      </c>
      <c r="M71" s="807">
        <v>17.5</v>
      </c>
      <c r="N71" s="807">
        <v>0</v>
      </c>
      <c r="O71" s="807" t="s">
        <v>743</v>
      </c>
      <c r="P71" s="807">
        <v>1.49</v>
      </c>
      <c r="Q71" s="807">
        <v>1.6155654568663174</v>
      </c>
      <c r="R71" s="865">
        <v>556.46859709379123</v>
      </c>
      <c r="S71" s="807">
        <v>0</v>
      </c>
      <c r="T71" s="807">
        <v>8.02</v>
      </c>
      <c r="U71" s="807">
        <v>0</v>
      </c>
      <c r="V71" s="807">
        <v>0.76</v>
      </c>
      <c r="W71" s="807">
        <v>32</v>
      </c>
      <c r="X71" s="690">
        <v>44.06</v>
      </c>
      <c r="Y71" s="807">
        <v>21.9</v>
      </c>
      <c r="Z71" s="807">
        <v>23.6</v>
      </c>
      <c r="AA71" s="794">
        <v>22.2</v>
      </c>
      <c r="AB71" s="794">
        <v>18.100000000000001</v>
      </c>
      <c r="AC71" s="775">
        <f t="shared" ref="AC71" si="52">AA71+AB71</f>
        <v>40.299999999999997</v>
      </c>
      <c r="AD71" s="775">
        <f t="shared" ref="AD71" si="53">AC71*1.547</f>
        <v>62.34409999999999</v>
      </c>
      <c r="AE71" s="775"/>
      <c r="AF71" s="567"/>
      <c r="AG71" s="2">
        <v>1</v>
      </c>
      <c r="AH71" s="705"/>
      <c r="AI71" s="362"/>
      <c r="AJ71" s="2"/>
      <c r="AK71" s="407"/>
      <c r="AL71" s="407"/>
      <c r="AM71" s="407"/>
      <c r="AN71" s="407"/>
      <c r="AO71" s="387"/>
      <c r="AP71" s="387"/>
      <c r="AQ71" s="405"/>
      <c r="AR71" s="578">
        <v>0</v>
      </c>
      <c r="AS71" s="405">
        <v>21.4</v>
      </c>
      <c r="AT71" s="578">
        <v>0</v>
      </c>
      <c r="AU71" s="405">
        <v>20.399999999999999</v>
      </c>
      <c r="AV71" s="644">
        <v>939.5</v>
      </c>
      <c r="AW71" s="644">
        <v>476.7</v>
      </c>
      <c r="AX71" s="405">
        <v>0</v>
      </c>
      <c r="AY71" s="578">
        <v>0</v>
      </c>
      <c r="AZ71" s="578">
        <v>0</v>
      </c>
      <c r="BA71" s="578">
        <v>0</v>
      </c>
      <c r="BB71" s="1086">
        <v>0.99299999999999999</v>
      </c>
      <c r="BC71" s="405">
        <v>0</v>
      </c>
      <c r="BD71" s="405">
        <v>1.5</v>
      </c>
      <c r="BE71" s="578">
        <v>0</v>
      </c>
      <c r="BF71" s="405">
        <v>1</v>
      </c>
      <c r="BG71" s="405">
        <v>0</v>
      </c>
      <c r="BH71" s="578">
        <v>0</v>
      </c>
      <c r="BI71" s="405">
        <v>0</v>
      </c>
      <c r="BJ71" s="405">
        <v>11.6</v>
      </c>
      <c r="BK71" s="405">
        <v>1.61</v>
      </c>
      <c r="BL71" s="405">
        <v>2.76</v>
      </c>
      <c r="BM71" s="405">
        <v>0</v>
      </c>
      <c r="BN71" s="405">
        <v>10.45</v>
      </c>
      <c r="BO71" s="405">
        <v>915.31</v>
      </c>
      <c r="BP71" s="405">
        <v>0</v>
      </c>
      <c r="BQ71" s="649">
        <v>19.29</v>
      </c>
      <c r="BR71" s="649">
        <v>19.260000000000002</v>
      </c>
      <c r="BS71" s="649">
        <v>8.44</v>
      </c>
      <c r="BT71" s="649">
        <v>8.52</v>
      </c>
      <c r="BU71" s="648">
        <v>18.899999999999999</v>
      </c>
      <c r="BV71" s="648">
        <v>16</v>
      </c>
      <c r="BW71" s="649">
        <v>648.6</v>
      </c>
      <c r="BX71" s="876"/>
      <c r="BY71" s="649">
        <v>0.15</v>
      </c>
      <c r="BZ71" s="649">
        <v>1.4</v>
      </c>
      <c r="CA71" s="649">
        <v>1.3</v>
      </c>
      <c r="CB71" s="649">
        <v>9.1</v>
      </c>
      <c r="CC71" s="649">
        <v>8.6999999999999993</v>
      </c>
      <c r="CD71" s="649">
        <v>16</v>
      </c>
      <c r="CE71" s="649">
        <v>33.6</v>
      </c>
      <c r="CF71" s="649">
        <v>15.4</v>
      </c>
      <c r="CG71" s="649">
        <v>7.9</v>
      </c>
      <c r="CH71" s="649">
        <v>13.2</v>
      </c>
      <c r="CI71" s="649">
        <v>17.75</v>
      </c>
      <c r="CJ71" s="649">
        <v>13.4</v>
      </c>
      <c r="CK71" s="649">
        <v>0</v>
      </c>
      <c r="CL71" s="649">
        <v>1</v>
      </c>
      <c r="CM71" s="649">
        <v>3.2</v>
      </c>
      <c r="CN71" s="649">
        <v>508.6</v>
      </c>
      <c r="CO71" s="649">
        <v>332.8</v>
      </c>
      <c r="CP71" s="649">
        <v>445.5</v>
      </c>
      <c r="CQ71" s="649">
        <v>12.4</v>
      </c>
      <c r="CR71" s="649">
        <v>1.74</v>
      </c>
      <c r="CS71" s="405">
        <v>9950</v>
      </c>
      <c r="CT71" s="405">
        <v>17.25</v>
      </c>
      <c r="CU71" s="405">
        <v>49</v>
      </c>
      <c r="CV71" s="522">
        <v>0</v>
      </c>
      <c r="CW71" s="522">
        <v>0</v>
      </c>
      <c r="CX71" s="522">
        <v>0</v>
      </c>
      <c r="CY71" s="522">
        <v>0</v>
      </c>
      <c r="CZ71" s="689">
        <v>776</v>
      </c>
      <c r="DA71" s="689">
        <v>1680</v>
      </c>
      <c r="DB71" s="689">
        <v>828</v>
      </c>
      <c r="DC71" s="643">
        <v>1090.68</v>
      </c>
      <c r="DD71" s="522"/>
      <c r="DE71" s="522"/>
      <c r="DF71" s="522"/>
      <c r="DG71" s="522"/>
      <c r="DH71" s="522"/>
      <c r="DI71" s="522"/>
      <c r="DJ71" s="522"/>
      <c r="DK71" s="522"/>
      <c r="DL71" s="649"/>
      <c r="DM71" s="689"/>
      <c r="DN71" s="649"/>
      <c r="DO71" s="522"/>
      <c r="DP71" s="522"/>
      <c r="DQ71" s="522"/>
      <c r="DR71" s="522"/>
      <c r="DS71" s="522"/>
      <c r="DT71" s="522"/>
      <c r="DU71" s="522"/>
      <c r="DV71" s="522"/>
      <c r="DW71" s="522"/>
      <c r="DX71" s="522"/>
      <c r="DY71" s="522"/>
      <c r="DZ71" s="522"/>
      <c r="EA71" s="522"/>
      <c r="EB71" s="522"/>
      <c r="EC71" s="522"/>
      <c r="ED71" s="522"/>
      <c r="EE71" s="522"/>
      <c r="EF71" s="522"/>
      <c r="EG71" s="645">
        <f t="shared" si="4"/>
        <v>10.627889999999999</v>
      </c>
      <c r="EH71" s="361">
        <v>0</v>
      </c>
      <c r="EI71" s="647">
        <v>0</v>
      </c>
      <c r="EJ71" s="647">
        <v>2.5</v>
      </c>
      <c r="EK71" s="647">
        <f t="shared" si="5"/>
        <v>4.37</v>
      </c>
      <c r="EL71" s="522"/>
      <c r="EM71" s="522"/>
      <c r="EN71" s="522"/>
      <c r="EO71" s="522"/>
      <c r="EP71" s="522"/>
      <c r="EQ71" s="522"/>
      <c r="ER71" s="522"/>
      <c r="ES71" s="407"/>
      <c r="ET71" s="407"/>
    </row>
    <row r="72" spans="1:150" s="357" customFormat="1" ht="15">
      <c r="A72" s="675" t="s">
        <v>8</v>
      </c>
      <c r="B72" s="712">
        <v>41698</v>
      </c>
      <c r="C72" s="713">
        <v>0</v>
      </c>
      <c r="D72" s="681">
        <v>0</v>
      </c>
      <c r="E72" s="681">
        <v>0</v>
      </c>
      <c r="F72" s="681">
        <v>45</v>
      </c>
      <c r="G72" s="807">
        <v>1</v>
      </c>
      <c r="H72" s="807" t="s">
        <v>744</v>
      </c>
      <c r="I72" s="807">
        <v>92.4</v>
      </c>
      <c r="J72" s="807">
        <v>0</v>
      </c>
      <c r="K72" s="807">
        <v>0.06</v>
      </c>
      <c r="L72" s="821">
        <f t="shared" si="6"/>
        <v>33.799999999999997</v>
      </c>
      <c r="M72" s="807">
        <v>18</v>
      </c>
      <c r="N72" s="807">
        <v>0</v>
      </c>
      <c r="O72" s="807" t="s">
        <v>743</v>
      </c>
      <c r="P72" s="807">
        <v>1.54</v>
      </c>
      <c r="Q72" s="807">
        <v>1.6272149269704257</v>
      </c>
      <c r="R72" s="865">
        <v>479.05532892998673</v>
      </c>
      <c r="S72" s="807">
        <v>0</v>
      </c>
      <c r="T72" s="807">
        <v>7.99</v>
      </c>
      <c r="U72" s="807">
        <v>0</v>
      </c>
      <c r="V72" s="807">
        <v>0.78</v>
      </c>
      <c r="W72" s="807">
        <v>32</v>
      </c>
      <c r="X72" s="690">
        <v>44.06</v>
      </c>
      <c r="Y72" s="807">
        <v>22.2</v>
      </c>
      <c r="Z72" s="807">
        <v>18.100000000000001</v>
      </c>
      <c r="AA72" s="794">
        <v>21.3</v>
      </c>
      <c r="AB72" s="794">
        <v>12.5</v>
      </c>
      <c r="AC72" s="775">
        <f t="shared" ref="AC72:AC74" si="54">AA72+AB72</f>
        <v>33.799999999999997</v>
      </c>
      <c r="AD72" s="775">
        <f t="shared" ref="AD72:AD74" si="55">AC72*1.547</f>
        <v>52.288599999999995</v>
      </c>
      <c r="AE72" s="775"/>
      <c r="AF72" s="567"/>
      <c r="AG72" s="2">
        <v>1</v>
      </c>
      <c r="AH72" s="705"/>
      <c r="AI72" s="362"/>
      <c r="AJ72" s="2"/>
      <c r="AK72" s="407"/>
      <c r="AL72" s="407"/>
      <c r="AM72" s="407"/>
      <c r="AN72" s="407"/>
      <c r="AO72" s="387"/>
      <c r="AP72" s="387"/>
      <c r="AQ72" s="405"/>
      <c r="AR72" s="578">
        <v>0</v>
      </c>
      <c r="AS72" s="405">
        <v>18.7</v>
      </c>
      <c r="AT72" s="578">
        <v>0</v>
      </c>
      <c r="AU72" s="405">
        <v>22</v>
      </c>
      <c r="AV72" s="644">
        <v>313.8</v>
      </c>
      <c r="AW72" s="644">
        <v>372.4</v>
      </c>
      <c r="AX72" s="405">
        <v>0</v>
      </c>
      <c r="AY72" s="578">
        <v>0</v>
      </c>
      <c r="AZ72" s="578">
        <v>0</v>
      </c>
      <c r="BA72" s="578">
        <v>0</v>
      </c>
      <c r="BB72" s="924">
        <v>1</v>
      </c>
      <c r="BC72" s="405">
        <v>0</v>
      </c>
      <c r="BD72" s="405">
        <v>1.85</v>
      </c>
      <c r="BE72" s="578">
        <v>0</v>
      </c>
      <c r="BF72" s="405">
        <v>0.64</v>
      </c>
      <c r="BG72" s="405">
        <v>0</v>
      </c>
      <c r="BH72" s="578">
        <v>0</v>
      </c>
      <c r="BI72" s="405">
        <v>0</v>
      </c>
      <c r="BJ72" s="405">
        <v>10.199999999999999</v>
      </c>
      <c r="BK72" s="405">
        <v>0.85</v>
      </c>
      <c r="BL72" s="405">
        <v>2.4500000000000002</v>
      </c>
      <c r="BM72" s="405">
        <v>0</v>
      </c>
      <c r="BN72" s="405">
        <v>5.4</v>
      </c>
      <c r="BO72" s="405">
        <v>1027.0999999999999</v>
      </c>
      <c r="BP72" s="405">
        <v>0</v>
      </c>
      <c r="BQ72" s="649">
        <v>21.46</v>
      </c>
      <c r="BR72" s="649">
        <v>21.44</v>
      </c>
      <c r="BS72" s="649">
        <v>9.3699999999999992</v>
      </c>
      <c r="BT72" s="649">
        <v>9.44</v>
      </c>
      <c r="BU72" s="648">
        <v>20.6</v>
      </c>
      <c r="BV72" s="648">
        <v>15.5</v>
      </c>
      <c r="BW72" s="649">
        <v>659.1</v>
      </c>
      <c r="BX72" s="876"/>
      <c r="BY72" s="649">
        <v>0.15</v>
      </c>
      <c r="BZ72" s="649">
        <v>1.42</v>
      </c>
      <c r="CA72" s="649">
        <v>1.3</v>
      </c>
      <c r="CB72" s="649">
        <v>8.6999999999999993</v>
      </c>
      <c r="CC72" s="649">
        <v>8</v>
      </c>
      <c r="CD72" s="649">
        <v>14.7</v>
      </c>
      <c r="CE72" s="649">
        <v>33.6</v>
      </c>
      <c r="CF72" s="649">
        <v>15</v>
      </c>
      <c r="CG72" s="649">
        <v>8.1999999999999993</v>
      </c>
      <c r="CH72" s="649">
        <v>13.7</v>
      </c>
      <c r="CI72" s="649">
        <v>17.8</v>
      </c>
      <c r="CJ72" s="649">
        <v>12.63</v>
      </c>
      <c r="CK72" s="649">
        <v>0</v>
      </c>
      <c r="CL72" s="649">
        <v>2.9</v>
      </c>
      <c r="CM72" s="649">
        <v>5.6</v>
      </c>
      <c r="CN72" s="649">
        <v>847.3</v>
      </c>
      <c r="CO72" s="649">
        <v>314.39999999999998</v>
      </c>
      <c r="CP72" s="649">
        <v>438.1</v>
      </c>
      <c r="CQ72" s="649">
        <v>11.4</v>
      </c>
      <c r="CR72" s="649">
        <v>1.84</v>
      </c>
      <c r="CS72" s="405">
        <v>15199</v>
      </c>
      <c r="CT72" s="405">
        <v>17.86</v>
      </c>
      <c r="CU72" s="405">
        <v>50</v>
      </c>
      <c r="CV72" s="522">
        <v>0</v>
      </c>
      <c r="CW72" s="522">
        <v>0</v>
      </c>
      <c r="CX72" s="522">
        <v>0</v>
      </c>
      <c r="CY72" s="522">
        <v>0</v>
      </c>
      <c r="CZ72" s="689">
        <v>641</v>
      </c>
      <c r="DA72" s="689">
        <v>1470</v>
      </c>
      <c r="DB72" s="689">
        <v>706</v>
      </c>
      <c r="DC72" s="643">
        <v>1091.9000000000001</v>
      </c>
      <c r="DD72" s="522"/>
      <c r="DE72" s="522"/>
      <c r="DF72" s="522"/>
      <c r="DG72" s="522"/>
      <c r="DH72" s="522"/>
      <c r="DI72" s="522"/>
      <c r="DJ72" s="522"/>
      <c r="DK72" s="522"/>
      <c r="DL72" s="649"/>
      <c r="DM72" s="689"/>
      <c r="DN72" s="649"/>
      <c r="DO72" s="522"/>
      <c r="DP72" s="522"/>
      <c r="DQ72" s="522"/>
      <c r="DR72" s="522"/>
      <c r="DS72" s="522"/>
      <c r="DT72" s="522"/>
      <c r="DU72" s="522"/>
      <c r="DV72" s="522"/>
      <c r="DW72" s="522"/>
      <c r="DX72" s="522"/>
      <c r="DY72" s="522"/>
      <c r="DZ72" s="522"/>
      <c r="EA72" s="522"/>
      <c r="EB72" s="522"/>
      <c r="EC72" s="522"/>
      <c r="ED72" s="522"/>
      <c r="EE72" s="522"/>
      <c r="EF72" s="522"/>
      <c r="EG72" s="645">
        <f t="shared" si="4"/>
        <v>8.9725999999999999</v>
      </c>
      <c r="EH72" s="361">
        <v>0</v>
      </c>
      <c r="EI72" s="647">
        <v>0</v>
      </c>
      <c r="EJ72" s="647">
        <v>2.5</v>
      </c>
      <c r="EK72" s="647">
        <f t="shared" si="5"/>
        <v>3.3000000000000003</v>
      </c>
      <c r="EL72" s="522"/>
      <c r="EM72" s="522"/>
      <c r="EN72" s="522"/>
      <c r="EO72" s="522"/>
      <c r="EP72" s="522"/>
      <c r="EQ72" s="522"/>
      <c r="ER72" s="522"/>
      <c r="ES72" s="407"/>
      <c r="ET72" s="407"/>
    </row>
    <row r="73" spans="1:150" s="357" customFormat="1" ht="15">
      <c r="A73" s="675" t="s">
        <v>9</v>
      </c>
      <c r="B73" s="712">
        <v>41699</v>
      </c>
      <c r="C73" s="713">
        <v>0</v>
      </c>
      <c r="D73" s="681">
        <v>0</v>
      </c>
      <c r="E73" s="681">
        <v>0.03</v>
      </c>
      <c r="F73" s="681">
        <v>27</v>
      </c>
      <c r="G73" s="807">
        <v>1</v>
      </c>
      <c r="H73" s="807" t="s">
        <v>744</v>
      </c>
      <c r="I73" s="807">
        <v>94.5</v>
      </c>
      <c r="J73" s="807">
        <v>0</v>
      </c>
      <c r="K73" s="807">
        <v>0.04</v>
      </c>
      <c r="L73" s="821">
        <f t="shared" si="6"/>
        <v>34.090000000000003</v>
      </c>
      <c r="M73" s="807">
        <v>18</v>
      </c>
      <c r="N73" s="807">
        <v>0</v>
      </c>
      <c r="O73" s="807" t="s">
        <v>743</v>
      </c>
      <c r="P73" s="807">
        <v>1.53</v>
      </c>
      <c r="Q73" s="807">
        <v>1.6307343581122999</v>
      </c>
      <c r="R73" s="865">
        <v>478.73142404227207</v>
      </c>
      <c r="S73" s="807">
        <v>0</v>
      </c>
      <c r="T73" s="807">
        <v>7.98</v>
      </c>
      <c r="U73" s="807">
        <v>0</v>
      </c>
      <c r="V73" s="807">
        <v>0.77</v>
      </c>
      <c r="W73" s="807">
        <v>32</v>
      </c>
      <c r="X73" s="690">
        <v>44.239999999999995</v>
      </c>
      <c r="Y73" s="807">
        <v>21.3</v>
      </c>
      <c r="Z73" s="807">
        <v>12.5</v>
      </c>
      <c r="AA73" s="794">
        <v>21.1</v>
      </c>
      <c r="AB73" s="794">
        <v>12.99</v>
      </c>
      <c r="AC73" s="775">
        <f t="shared" si="54"/>
        <v>34.090000000000003</v>
      </c>
      <c r="AD73" s="775">
        <f t="shared" si="55"/>
        <v>52.737230000000004</v>
      </c>
      <c r="AE73" s="775"/>
      <c r="AF73" s="567"/>
      <c r="AG73" s="2">
        <v>1</v>
      </c>
      <c r="AH73" s="705"/>
      <c r="AI73" s="362"/>
      <c r="AJ73" s="2"/>
      <c r="AK73" s="407"/>
      <c r="AL73" s="407"/>
      <c r="AM73" s="407"/>
      <c r="AN73" s="407"/>
      <c r="AO73" s="387"/>
      <c r="AP73" s="387"/>
      <c r="AQ73" s="405"/>
      <c r="AR73" s="578">
        <v>0</v>
      </c>
      <c r="AS73" s="405">
        <v>14.8</v>
      </c>
      <c r="AT73" s="578">
        <v>0</v>
      </c>
      <c r="AU73" s="405">
        <v>21.7</v>
      </c>
      <c r="AV73" s="644">
        <v>508.6</v>
      </c>
      <c r="AW73" s="644">
        <v>597.4</v>
      </c>
      <c r="AX73" s="405">
        <v>0</v>
      </c>
      <c r="AY73" s="578">
        <v>0</v>
      </c>
      <c r="AZ73" s="578">
        <v>0</v>
      </c>
      <c r="BA73" s="578">
        <v>0</v>
      </c>
      <c r="BB73" s="924">
        <v>1</v>
      </c>
      <c r="BC73" s="405">
        <v>0</v>
      </c>
      <c r="BD73" s="405">
        <v>1.5</v>
      </c>
      <c r="BE73" s="578">
        <v>0</v>
      </c>
      <c r="BF73" s="405">
        <v>1</v>
      </c>
      <c r="BG73" s="405">
        <v>0</v>
      </c>
      <c r="BH73" s="578">
        <v>0</v>
      </c>
      <c r="BI73" s="405">
        <v>0</v>
      </c>
      <c r="BJ73" s="405">
        <v>10.5</v>
      </c>
      <c r="BK73" s="405">
        <v>2.96</v>
      </c>
      <c r="BL73" s="405">
        <v>0.86</v>
      </c>
      <c r="BM73" s="405">
        <v>0</v>
      </c>
      <c r="BN73" s="405">
        <v>5.8</v>
      </c>
      <c r="BO73" s="405">
        <v>1017.8</v>
      </c>
      <c r="BP73" s="405">
        <v>0</v>
      </c>
      <c r="BQ73" s="649">
        <v>23.1</v>
      </c>
      <c r="BR73" s="649">
        <v>23.08</v>
      </c>
      <c r="BS73" s="649">
        <v>8.9700000000000006</v>
      </c>
      <c r="BT73" s="649">
        <v>9.1199999999999992</v>
      </c>
      <c r="BU73" s="648">
        <v>20</v>
      </c>
      <c r="BV73" s="648">
        <v>16.2</v>
      </c>
      <c r="BW73" s="649">
        <v>479.9</v>
      </c>
      <c r="BX73" s="876"/>
      <c r="BY73" s="649">
        <v>0.14000000000000001</v>
      </c>
      <c r="BZ73" s="649">
        <v>1.4</v>
      </c>
      <c r="CA73" s="649">
        <v>1.3</v>
      </c>
      <c r="CB73" s="649">
        <v>8.6999999999999993</v>
      </c>
      <c r="CC73" s="649">
        <v>7.9</v>
      </c>
      <c r="CD73" s="522">
        <v>14</v>
      </c>
      <c r="CE73" s="522">
        <v>33.6</v>
      </c>
      <c r="CF73" s="522">
        <v>14.5</v>
      </c>
      <c r="CG73" s="522">
        <v>7.9</v>
      </c>
      <c r="CH73" s="522">
        <v>13.4</v>
      </c>
      <c r="CI73" s="522">
        <v>17.399999999999999</v>
      </c>
      <c r="CJ73" s="522">
        <v>12.39</v>
      </c>
      <c r="CK73" s="522">
        <v>0</v>
      </c>
      <c r="CL73" s="522">
        <v>2</v>
      </c>
      <c r="CM73" s="522">
        <v>3.2</v>
      </c>
      <c r="CN73" s="649">
        <v>788.3</v>
      </c>
      <c r="CO73" s="522">
        <v>330.4</v>
      </c>
      <c r="CP73" s="522">
        <v>419</v>
      </c>
      <c r="CQ73" s="522">
        <v>13.4</v>
      </c>
      <c r="CR73" s="522">
        <v>2.15</v>
      </c>
      <c r="CS73" s="405">
        <v>14927.7</v>
      </c>
      <c r="CT73" s="405">
        <v>17.940000000000001</v>
      </c>
      <c r="CU73" s="405">
        <v>50</v>
      </c>
      <c r="CV73" s="522">
        <v>0</v>
      </c>
      <c r="CW73" s="522">
        <v>0</v>
      </c>
      <c r="CX73" s="522">
        <v>0</v>
      </c>
      <c r="CY73" s="522">
        <v>0</v>
      </c>
      <c r="CZ73" s="689">
        <v>649</v>
      </c>
      <c r="DA73" s="689">
        <v>1410</v>
      </c>
      <c r="DB73" s="689">
        <v>709</v>
      </c>
      <c r="DC73" s="643">
        <v>1093.5999999999999</v>
      </c>
      <c r="DD73" s="522"/>
      <c r="DE73" s="522"/>
      <c r="DF73" s="522"/>
      <c r="DG73" s="522"/>
      <c r="DH73" s="522"/>
      <c r="DI73" s="522"/>
      <c r="DJ73" s="522"/>
      <c r="DK73" s="522"/>
      <c r="DL73" s="649"/>
      <c r="DM73" s="689"/>
      <c r="DN73" s="649"/>
      <c r="DO73" s="522"/>
      <c r="DP73" s="522"/>
      <c r="DQ73" s="522"/>
      <c r="DR73" s="522"/>
      <c r="DS73" s="522"/>
      <c r="DT73" s="522"/>
      <c r="DU73" s="522"/>
      <c r="DV73" s="522"/>
      <c r="DW73" s="522"/>
      <c r="DX73" s="522"/>
      <c r="DY73" s="522"/>
      <c r="DZ73" s="522"/>
      <c r="EA73" s="522"/>
      <c r="EB73" s="522"/>
      <c r="EC73" s="522"/>
      <c r="ED73" s="522"/>
      <c r="EE73" s="522"/>
      <c r="EF73" s="522"/>
      <c r="EG73" s="645">
        <f t="shared" ref="EG73:EG136" si="56">(SUM(EH73:EK73))*1.547</f>
        <v>9.7770399999999995</v>
      </c>
      <c r="EH73" s="361">
        <v>0</v>
      </c>
      <c r="EI73" s="647">
        <v>0</v>
      </c>
      <c r="EJ73" s="647">
        <v>2.5</v>
      </c>
      <c r="EK73" s="647">
        <f t="shared" si="5"/>
        <v>3.82</v>
      </c>
      <c r="EL73" s="522"/>
      <c r="EM73" s="522"/>
      <c r="EN73" s="522"/>
      <c r="EO73" s="522"/>
      <c r="EP73" s="522"/>
      <c r="EQ73" s="522"/>
      <c r="ER73" s="522"/>
      <c r="ES73" s="407"/>
      <c r="ET73" s="407"/>
    </row>
    <row r="74" spans="1:150" s="357" customFormat="1" ht="15">
      <c r="A74" s="675" t="s">
        <v>3</v>
      </c>
      <c r="B74" s="712">
        <v>41700</v>
      </c>
      <c r="C74" s="713">
        <v>0</v>
      </c>
      <c r="D74" s="681">
        <v>1.3</v>
      </c>
      <c r="E74" s="681">
        <v>1.8</v>
      </c>
      <c r="F74" s="681">
        <v>27</v>
      </c>
      <c r="G74" s="807">
        <v>1</v>
      </c>
      <c r="H74" s="807" t="s">
        <v>744</v>
      </c>
      <c r="I74" s="807">
        <v>0</v>
      </c>
      <c r="J74" s="807">
        <v>0</v>
      </c>
      <c r="K74" s="807">
        <v>0.04</v>
      </c>
      <c r="L74" s="821">
        <f t="shared" si="6"/>
        <v>34.06</v>
      </c>
      <c r="M74" s="807">
        <v>17.8</v>
      </c>
      <c r="N74" s="807">
        <v>0</v>
      </c>
      <c r="O74" s="807" t="s">
        <v>743</v>
      </c>
      <c r="P74" s="807">
        <v>1.53</v>
      </c>
      <c r="Q74" s="807">
        <v>1.6226182746340845</v>
      </c>
      <c r="R74" s="865">
        <v>479.05532892998673</v>
      </c>
      <c r="S74" s="807">
        <v>0</v>
      </c>
      <c r="T74" s="807">
        <v>7.99</v>
      </c>
      <c r="U74" s="807">
        <v>0</v>
      </c>
      <c r="V74" s="807">
        <v>0.77</v>
      </c>
      <c r="W74" s="807">
        <v>32</v>
      </c>
      <c r="X74" s="690">
        <v>44.239999999999995</v>
      </c>
      <c r="Y74" s="807">
        <v>21.1</v>
      </c>
      <c r="Z74" s="807">
        <v>12.99</v>
      </c>
      <c r="AA74" s="794">
        <v>21.15</v>
      </c>
      <c r="AB74" s="794">
        <v>12.91</v>
      </c>
      <c r="AC74" s="775">
        <f t="shared" si="54"/>
        <v>34.06</v>
      </c>
      <c r="AD74" s="775">
        <f t="shared" si="55"/>
        <v>52.690820000000002</v>
      </c>
      <c r="AE74" s="775"/>
      <c r="AF74" s="567"/>
      <c r="AG74" s="2">
        <v>1</v>
      </c>
      <c r="AH74" s="705"/>
      <c r="AI74" s="362"/>
      <c r="AJ74" s="2"/>
      <c r="AK74" s="407"/>
      <c r="AL74" s="407"/>
      <c r="AM74" s="407"/>
      <c r="AN74" s="407"/>
      <c r="AO74" s="387"/>
      <c r="AP74" s="387"/>
      <c r="AQ74" s="405"/>
      <c r="AR74" s="578">
        <v>0</v>
      </c>
      <c r="AS74" s="405">
        <v>21.9</v>
      </c>
      <c r="AT74" s="578">
        <v>0</v>
      </c>
      <c r="AU74" s="405">
        <v>21.7</v>
      </c>
      <c r="AV74" s="644">
        <v>489</v>
      </c>
      <c r="AW74" s="644">
        <v>645.79999999999995</v>
      </c>
      <c r="AX74" s="405">
        <v>0</v>
      </c>
      <c r="AY74" s="578">
        <v>0</v>
      </c>
      <c r="AZ74" s="578">
        <v>0</v>
      </c>
      <c r="BA74" s="578">
        <v>0</v>
      </c>
      <c r="BB74" s="1086">
        <v>1</v>
      </c>
      <c r="BC74" s="405">
        <v>0</v>
      </c>
      <c r="BD74" s="405">
        <v>1.5</v>
      </c>
      <c r="BE74" s="578">
        <v>0</v>
      </c>
      <c r="BF74" s="405">
        <v>1</v>
      </c>
      <c r="BG74" s="405">
        <v>0</v>
      </c>
      <c r="BH74" s="578">
        <v>0</v>
      </c>
      <c r="BI74" s="405">
        <v>0</v>
      </c>
      <c r="BJ74" s="405">
        <v>10.5</v>
      </c>
      <c r="BK74" s="405">
        <v>2.62</v>
      </c>
      <c r="BL74" s="405">
        <v>1.1399999999999999</v>
      </c>
      <c r="BM74" s="405">
        <v>0</v>
      </c>
      <c r="BN74" s="405">
        <v>5.8</v>
      </c>
      <c r="BO74" s="405">
        <v>1154.0999999999999</v>
      </c>
      <c r="BP74" s="405">
        <v>0</v>
      </c>
      <c r="BQ74" s="649">
        <v>22.49</v>
      </c>
      <c r="BR74" s="649">
        <v>22.46</v>
      </c>
      <c r="BS74" s="649">
        <v>8.8800000000000008</v>
      </c>
      <c r="BT74" s="649">
        <v>9.01</v>
      </c>
      <c r="BU74" s="648">
        <v>19.8</v>
      </c>
      <c r="BV74" s="648">
        <v>22.3</v>
      </c>
      <c r="BW74" s="649">
        <v>688.1</v>
      </c>
      <c r="BX74" s="876"/>
      <c r="BY74" s="649">
        <v>0.15</v>
      </c>
      <c r="BZ74" s="649">
        <v>1.4</v>
      </c>
      <c r="CA74" s="649">
        <v>1.3</v>
      </c>
      <c r="CB74" s="649">
        <v>8.6999999999999993</v>
      </c>
      <c r="CC74" s="649">
        <v>7.9</v>
      </c>
      <c r="CD74" s="522">
        <v>14.9</v>
      </c>
      <c r="CE74" s="522">
        <v>33.799999999999997</v>
      </c>
      <c r="CF74" s="522">
        <v>13.9</v>
      </c>
      <c r="CG74" s="522">
        <v>8.1</v>
      </c>
      <c r="CH74" s="522">
        <v>13.6</v>
      </c>
      <c r="CI74" s="522">
        <v>17.600000000000001</v>
      </c>
      <c r="CJ74" s="522">
        <v>12.99</v>
      </c>
      <c r="CK74" s="522">
        <v>0</v>
      </c>
      <c r="CL74" s="522">
        <v>2.2999999999999998</v>
      </c>
      <c r="CM74" s="522">
        <v>2.2999999999999998</v>
      </c>
      <c r="CN74" s="522">
        <v>871.5</v>
      </c>
      <c r="CO74" s="522">
        <v>353.1</v>
      </c>
      <c r="CP74" s="522">
        <v>423.4</v>
      </c>
      <c r="CQ74" s="522">
        <v>12.6</v>
      </c>
      <c r="CR74" s="522">
        <v>2</v>
      </c>
      <c r="CS74" s="405">
        <v>11788.3</v>
      </c>
      <c r="CT74" s="405">
        <v>16.71</v>
      </c>
      <c r="CU74" s="405">
        <v>50</v>
      </c>
      <c r="CV74" s="522">
        <v>0</v>
      </c>
      <c r="CW74" s="522">
        <v>0</v>
      </c>
      <c r="CX74" s="522">
        <v>0</v>
      </c>
      <c r="CY74" s="522">
        <v>0</v>
      </c>
      <c r="CZ74" s="689">
        <v>658</v>
      </c>
      <c r="DA74" s="689">
        <v>1520</v>
      </c>
      <c r="DB74" s="689">
        <v>750</v>
      </c>
      <c r="DC74" s="643">
        <v>1095.05</v>
      </c>
      <c r="DD74" s="522"/>
      <c r="DE74" s="522"/>
      <c r="DF74" s="522"/>
      <c r="DG74" s="522"/>
      <c r="DH74" s="522"/>
      <c r="DI74" s="522"/>
      <c r="DJ74" s="522"/>
      <c r="DK74" s="522"/>
      <c r="DL74" s="649"/>
      <c r="DM74" s="689"/>
      <c r="DN74" s="649"/>
      <c r="DO74" s="522"/>
      <c r="DP74" s="522"/>
      <c r="DQ74" s="522"/>
      <c r="DR74" s="522"/>
      <c r="DS74" s="522"/>
      <c r="DT74" s="522"/>
      <c r="DU74" s="522"/>
      <c r="DV74" s="522"/>
      <c r="DW74" s="522"/>
      <c r="DX74" s="522"/>
      <c r="DY74" s="522"/>
      <c r="DZ74" s="522"/>
      <c r="EA74" s="522"/>
      <c r="EB74" s="522"/>
      <c r="EC74" s="522"/>
      <c r="ED74" s="522"/>
      <c r="EE74" s="522"/>
      <c r="EF74" s="522"/>
      <c r="EG74" s="645">
        <f t="shared" si="56"/>
        <v>9.6842199999999998</v>
      </c>
      <c r="EH74" s="361">
        <v>0</v>
      </c>
      <c r="EI74" s="647">
        <v>0</v>
      </c>
      <c r="EJ74" s="647">
        <v>2.5</v>
      </c>
      <c r="EK74" s="647">
        <f t="shared" si="5"/>
        <v>3.76</v>
      </c>
      <c r="EL74" s="522"/>
      <c r="EM74" s="522"/>
      <c r="EN74" s="522"/>
      <c r="EO74" s="522"/>
      <c r="EP74" s="522"/>
      <c r="EQ74" s="522"/>
      <c r="ER74" s="522"/>
      <c r="ES74" s="407"/>
      <c r="ET74" s="407"/>
    </row>
    <row r="75" spans="1:150" s="357" customFormat="1" ht="15">
      <c r="A75" s="675" t="s">
        <v>4</v>
      </c>
      <c r="B75" s="712">
        <v>41701</v>
      </c>
      <c r="C75" s="713">
        <v>0</v>
      </c>
      <c r="D75" s="681">
        <v>1.23</v>
      </c>
      <c r="E75" s="681">
        <v>0</v>
      </c>
      <c r="F75" s="681" t="s">
        <v>744</v>
      </c>
      <c r="G75" s="807">
        <v>1.7</v>
      </c>
      <c r="H75" s="807" t="s">
        <v>744</v>
      </c>
      <c r="I75" s="807">
        <v>92.6</v>
      </c>
      <c r="J75" s="807">
        <v>0</v>
      </c>
      <c r="K75" s="807">
        <v>7.0000000000000007E-2</v>
      </c>
      <c r="L75" s="821">
        <f t="shared" si="6"/>
        <v>34.049999999999997</v>
      </c>
      <c r="M75" s="807">
        <v>20.2</v>
      </c>
      <c r="N75" s="807">
        <v>0</v>
      </c>
      <c r="O75" s="807" t="s">
        <v>743</v>
      </c>
      <c r="P75" s="807">
        <v>1.52</v>
      </c>
      <c r="Q75" s="807">
        <v>1.6322853368560104</v>
      </c>
      <c r="R75" s="865">
        <v>476.46408982826938</v>
      </c>
      <c r="S75" s="807">
        <v>0</v>
      </c>
      <c r="T75" s="807">
        <v>8.02</v>
      </c>
      <c r="U75" s="807">
        <v>0</v>
      </c>
      <c r="V75" s="807">
        <v>0.77</v>
      </c>
      <c r="W75" s="807">
        <v>32</v>
      </c>
      <c r="X75" s="690">
        <v>44.42</v>
      </c>
      <c r="Y75" s="807">
        <v>21.15</v>
      </c>
      <c r="Z75" s="807">
        <v>12.91</v>
      </c>
      <c r="AA75" s="794">
        <v>21.15</v>
      </c>
      <c r="AB75" s="794">
        <v>12.9</v>
      </c>
      <c r="AC75" s="775">
        <f t="shared" ref="AC75" si="57">AA75+AB75</f>
        <v>34.049999999999997</v>
      </c>
      <c r="AD75" s="775">
        <f t="shared" ref="AD75" si="58">AC75*1.547</f>
        <v>52.675349999999995</v>
      </c>
      <c r="AE75" s="775"/>
      <c r="AF75" s="567"/>
      <c r="AG75" s="2">
        <v>1</v>
      </c>
      <c r="AH75" s="705"/>
      <c r="AI75" s="362"/>
      <c r="AJ75" s="2"/>
      <c r="AK75" s="407"/>
      <c r="AL75" s="407"/>
      <c r="AM75" s="407"/>
      <c r="AN75" s="407"/>
      <c r="AO75" s="387"/>
      <c r="AP75" s="387"/>
      <c r="AQ75" s="405"/>
      <c r="AR75" s="578">
        <v>0</v>
      </c>
      <c r="AS75" s="405">
        <v>21</v>
      </c>
      <c r="AT75" s="578">
        <v>0</v>
      </c>
      <c r="AU75" s="405">
        <v>21.8</v>
      </c>
      <c r="AV75" s="644">
        <v>321</v>
      </c>
      <c r="AW75" s="644">
        <v>567.70000000000005</v>
      </c>
      <c r="AX75" s="405">
        <v>0</v>
      </c>
      <c r="AY75" s="578">
        <v>0</v>
      </c>
      <c r="AZ75" s="578">
        <v>0</v>
      </c>
      <c r="BA75" s="578">
        <v>0</v>
      </c>
      <c r="BB75" s="1086">
        <v>1</v>
      </c>
      <c r="BC75" s="405">
        <v>0</v>
      </c>
      <c r="BD75" s="405">
        <v>1.5</v>
      </c>
      <c r="BE75" s="578">
        <v>0</v>
      </c>
      <c r="BF75" s="405">
        <v>1</v>
      </c>
      <c r="BG75" s="405">
        <v>0</v>
      </c>
      <c r="BH75" s="578">
        <v>0</v>
      </c>
      <c r="BI75" s="405">
        <v>0</v>
      </c>
      <c r="BJ75" s="405">
        <v>10.5</v>
      </c>
      <c r="BK75" s="405">
        <v>1.86</v>
      </c>
      <c r="BL75" s="405">
        <v>2.06</v>
      </c>
      <c r="BM75" s="405">
        <v>0</v>
      </c>
      <c r="BN75" s="405">
        <v>5.7</v>
      </c>
      <c r="BO75" s="405">
        <v>1051.4000000000001</v>
      </c>
      <c r="BP75" s="405">
        <v>41.2</v>
      </c>
      <c r="BQ75" s="649">
        <v>21.7</v>
      </c>
      <c r="BR75" s="649">
        <v>21.7</v>
      </c>
      <c r="BS75" s="649">
        <v>9.0500000000000007</v>
      </c>
      <c r="BT75" s="649">
        <v>9.14</v>
      </c>
      <c r="BU75" s="648">
        <v>20.100000000000001</v>
      </c>
      <c r="BV75" s="648">
        <v>23.1</v>
      </c>
      <c r="BW75" s="649">
        <v>474.8</v>
      </c>
      <c r="BX75" s="876"/>
      <c r="BY75" s="649">
        <v>0.13</v>
      </c>
      <c r="BZ75" s="649">
        <v>1.39</v>
      </c>
      <c r="CA75" s="649">
        <v>1.3</v>
      </c>
      <c r="CB75" s="649">
        <v>8.6999999999999993</v>
      </c>
      <c r="CC75" s="649">
        <v>8</v>
      </c>
      <c r="CD75" s="522">
        <v>14.7</v>
      </c>
      <c r="CE75" s="522">
        <v>33.5</v>
      </c>
      <c r="CF75" s="522">
        <v>13.5</v>
      </c>
      <c r="CG75" s="522">
        <v>8.4</v>
      </c>
      <c r="CH75" s="522">
        <v>13.8</v>
      </c>
      <c r="CI75" s="522">
        <v>18.100000000000001</v>
      </c>
      <c r="CJ75" s="522">
        <v>12.78</v>
      </c>
      <c r="CK75" s="522">
        <v>0</v>
      </c>
      <c r="CL75" s="522">
        <v>2.5</v>
      </c>
      <c r="CM75" s="522">
        <v>3.7</v>
      </c>
      <c r="CN75" s="522">
        <v>823.3</v>
      </c>
      <c r="CO75" s="522">
        <v>312.5</v>
      </c>
      <c r="CP75" s="522">
        <v>455.5</v>
      </c>
      <c r="CQ75" s="522">
        <v>12.1</v>
      </c>
      <c r="CR75" s="522">
        <v>2</v>
      </c>
      <c r="CS75" s="405">
        <v>10663.5</v>
      </c>
      <c r="CT75" s="405">
        <v>17.065000000000001</v>
      </c>
      <c r="CU75" s="405">
        <v>50</v>
      </c>
      <c r="CV75" s="522">
        <v>0</v>
      </c>
      <c r="CW75" s="522">
        <v>0</v>
      </c>
      <c r="CX75" s="522">
        <v>0</v>
      </c>
      <c r="CY75" s="522">
        <v>0</v>
      </c>
      <c r="CZ75" s="689">
        <v>1360</v>
      </c>
      <c r="DA75" s="689">
        <v>2460</v>
      </c>
      <c r="DB75" s="689">
        <v>1540</v>
      </c>
      <c r="DC75" s="643">
        <v>1097.76</v>
      </c>
      <c r="DD75" s="522"/>
      <c r="DE75" s="522"/>
      <c r="DF75" s="522"/>
      <c r="DG75" s="522"/>
      <c r="DH75" s="522"/>
      <c r="DI75" s="522"/>
      <c r="DJ75" s="522"/>
      <c r="DK75" s="522"/>
      <c r="DL75" s="649"/>
      <c r="DM75" s="689"/>
      <c r="DN75" s="649"/>
      <c r="DO75" s="522"/>
      <c r="DP75" s="522"/>
      <c r="DQ75" s="522"/>
      <c r="DR75" s="522"/>
      <c r="DS75" s="522"/>
      <c r="DT75" s="522"/>
      <c r="DU75" s="522"/>
      <c r="DV75" s="522"/>
      <c r="DW75" s="522"/>
      <c r="DX75" s="522"/>
      <c r="DY75" s="522"/>
      <c r="DZ75" s="522"/>
      <c r="EA75" s="522"/>
      <c r="EB75" s="522"/>
      <c r="EC75" s="522"/>
      <c r="ED75" s="522"/>
      <c r="EE75" s="522"/>
      <c r="EF75" s="522"/>
      <c r="EG75" s="645">
        <f t="shared" si="56"/>
        <v>9.9317399999999996</v>
      </c>
      <c r="EH75" s="361">
        <v>0</v>
      </c>
      <c r="EI75" s="647">
        <v>0</v>
      </c>
      <c r="EJ75" s="647">
        <v>2.5</v>
      </c>
      <c r="EK75" s="647">
        <f t="shared" si="5"/>
        <v>3.92</v>
      </c>
      <c r="EL75" s="522"/>
      <c r="EM75" s="522"/>
      <c r="EN75" s="522"/>
      <c r="EO75" s="522"/>
      <c r="EP75" s="522"/>
      <c r="EQ75" s="522"/>
      <c r="ER75" s="522"/>
      <c r="ES75" s="407"/>
      <c r="ET75" s="407"/>
    </row>
    <row r="76" spans="1:150" s="357" customFormat="1" ht="15">
      <c r="A76" s="675" t="s">
        <v>5</v>
      </c>
      <c r="B76" s="712">
        <v>41702</v>
      </c>
      <c r="C76" s="713">
        <v>0</v>
      </c>
      <c r="D76" s="681">
        <v>1.44</v>
      </c>
      <c r="E76" s="681">
        <v>0</v>
      </c>
      <c r="F76" s="681">
        <v>43</v>
      </c>
      <c r="G76" s="807">
        <v>3</v>
      </c>
      <c r="H76" s="807" t="s">
        <v>744</v>
      </c>
      <c r="I76" s="807">
        <v>91</v>
      </c>
      <c r="J76" s="807">
        <v>0</v>
      </c>
      <c r="K76" s="807">
        <v>0.09</v>
      </c>
      <c r="L76" s="821">
        <f t="shared" si="6"/>
        <v>33.799999999999997</v>
      </c>
      <c r="M76" s="807">
        <v>21.8</v>
      </c>
      <c r="N76" s="807">
        <v>0</v>
      </c>
      <c r="O76" s="807" t="s">
        <v>743</v>
      </c>
      <c r="P76" s="807">
        <v>1.52</v>
      </c>
      <c r="Q76" s="807">
        <v>1.655605565619449</v>
      </c>
      <c r="R76" s="865">
        <v>484.23780713342131</v>
      </c>
      <c r="S76" s="807">
        <v>0</v>
      </c>
      <c r="T76" s="807">
        <v>7.95</v>
      </c>
      <c r="U76" s="807">
        <v>0</v>
      </c>
      <c r="V76" s="807">
        <v>0.74</v>
      </c>
      <c r="W76" s="807">
        <v>32</v>
      </c>
      <c r="X76" s="690">
        <v>44.42</v>
      </c>
      <c r="Y76" s="807">
        <v>21.15</v>
      </c>
      <c r="Z76" s="807">
        <v>12.9</v>
      </c>
      <c r="AA76" s="794">
        <v>21.1</v>
      </c>
      <c r="AB76" s="794">
        <v>12.7</v>
      </c>
      <c r="AC76" s="775">
        <f t="shared" ref="AC76" si="59">AA76+AB76</f>
        <v>33.799999999999997</v>
      </c>
      <c r="AD76" s="775">
        <f t="shared" ref="AD76" si="60">AC76*1.547</f>
        <v>52.288599999999995</v>
      </c>
      <c r="AE76" s="775"/>
      <c r="AF76" s="567"/>
      <c r="AG76" s="2">
        <v>1</v>
      </c>
      <c r="AH76" s="705"/>
      <c r="AI76" s="362"/>
      <c r="AJ76" s="2"/>
      <c r="AK76" s="407"/>
      <c r="AL76" s="407"/>
      <c r="AM76" s="407"/>
      <c r="AN76" s="407"/>
      <c r="AO76" s="387"/>
      <c r="AP76" s="387"/>
      <c r="AQ76" s="405"/>
      <c r="AR76" s="578">
        <v>0</v>
      </c>
      <c r="AS76" s="405">
        <v>12.1</v>
      </c>
      <c r="AT76" s="578">
        <v>0</v>
      </c>
      <c r="AU76" s="405">
        <v>21.7</v>
      </c>
      <c r="AV76" s="644">
        <v>151.1</v>
      </c>
      <c r="AW76" s="644">
        <v>193</v>
      </c>
      <c r="AX76" s="405">
        <v>0</v>
      </c>
      <c r="AY76" s="578">
        <v>0</v>
      </c>
      <c r="AZ76" s="578">
        <v>0</v>
      </c>
      <c r="BA76" s="578">
        <v>0</v>
      </c>
      <c r="BB76" s="1086">
        <v>0.97</v>
      </c>
      <c r="BC76" s="405">
        <v>0</v>
      </c>
      <c r="BD76" s="405">
        <v>1.5</v>
      </c>
      <c r="BE76" s="578">
        <v>0</v>
      </c>
      <c r="BF76" s="405">
        <v>1</v>
      </c>
      <c r="BG76" s="405">
        <v>0</v>
      </c>
      <c r="BH76" s="578">
        <v>0</v>
      </c>
      <c r="BI76" s="405">
        <v>0</v>
      </c>
      <c r="BJ76" s="405">
        <v>10.3</v>
      </c>
      <c r="BK76" s="405">
        <v>2.99</v>
      </c>
      <c r="BL76" s="405">
        <v>0.86</v>
      </c>
      <c r="BM76" s="405">
        <v>0</v>
      </c>
      <c r="BN76" s="405">
        <v>5.5</v>
      </c>
      <c r="BO76" s="405">
        <v>958.5</v>
      </c>
      <c r="BP76" s="405">
        <v>0</v>
      </c>
      <c r="BQ76" s="649">
        <v>21.03</v>
      </c>
      <c r="BR76" s="649">
        <v>20.99</v>
      </c>
      <c r="BS76" s="649">
        <v>9.3469999999999995</v>
      </c>
      <c r="BT76" s="649">
        <v>9.4629999999999992</v>
      </c>
      <c r="BU76" s="648">
        <v>20.6</v>
      </c>
      <c r="BV76" s="648">
        <v>23.2</v>
      </c>
      <c r="BW76" s="649">
        <v>659.1</v>
      </c>
      <c r="BX76" s="876"/>
      <c r="BY76" s="649">
        <v>1.01</v>
      </c>
      <c r="BZ76" s="649">
        <v>1.38</v>
      </c>
      <c r="CA76" s="649">
        <v>1.3</v>
      </c>
      <c r="CB76" s="649">
        <v>8.6999999999999993</v>
      </c>
      <c r="CC76" s="649">
        <v>8</v>
      </c>
      <c r="CD76" s="522">
        <v>15.2</v>
      </c>
      <c r="CE76" s="522">
        <v>33.700000000000003</v>
      </c>
      <c r="CF76" s="522">
        <v>15.1</v>
      </c>
      <c r="CG76" s="522">
        <v>8.3000000000000007</v>
      </c>
      <c r="CH76" s="522">
        <v>13.9</v>
      </c>
      <c r="CI76" s="522">
        <v>17.899999999999999</v>
      </c>
      <c r="CJ76" s="522">
        <v>13.45</v>
      </c>
      <c r="CK76" s="522">
        <v>0</v>
      </c>
      <c r="CL76" s="522">
        <v>2.5</v>
      </c>
      <c r="CM76" s="522">
        <v>3.4</v>
      </c>
      <c r="CN76" s="522">
        <v>835.8</v>
      </c>
      <c r="CO76" s="522">
        <v>311.5</v>
      </c>
      <c r="CP76" s="522">
        <v>453.2</v>
      </c>
      <c r="CQ76" s="522">
        <v>11.9</v>
      </c>
      <c r="CR76" s="522">
        <v>1.97</v>
      </c>
      <c r="CS76" s="405">
        <v>10671.8</v>
      </c>
      <c r="CT76" s="405">
        <v>16.675000000000001</v>
      </c>
      <c r="CU76" s="405">
        <v>51</v>
      </c>
      <c r="CV76" s="522">
        <v>0</v>
      </c>
      <c r="CW76" s="522">
        <v>0</v>
      </c>
      <c r="CX76" s="522">
        <v>0</v>
      </c>
      <c r="CY76" s="522">
        <v>0</v>
      </c>
      <c r="CZ76" s="689">
        <v>2100</v>
      </c>
      <c r="DA76" s="689">
        <v>5080</v>
      </c>
      <c r="DB76" s="689">
        <v>3530</v>
      </c>
      <c r="DC76" s="643">
        <v>1102.27</v>
      </c>
      <c r="DD76" s="522"/>
      <c r="DE76" s="522"/>
      <c r="DF76" s="522"/>
      <c r="DG76" s="522"/>
      <c r="DH76" s="522"/>
      <c r="DI76" s="522"/>
      <c r="DJ76" s="522"/>
      <c r="DK76" s="522"/>
      <c r="DL76" s="649"/>
      <c r="DM76" s="689"/>
      <c r="DN76" s="649"/>
      <c r="DO76" s="522"/>
      <c r="DP76" s="522"/>
      <c r="DQ76" s="522"/>
      <c r="DR76" s="522"/>
      <c r="DS76" s="522"/>
      <c r="DT76" s="522"/>
      <c r="DU76" s="522"/>
      <c r="DV76" s="522"/>
      <c r="DW76" s="522"/>
      <c r="DX76" s="522"/>
      <c r="DY76" s="522"/>
      <c r="DZ76" s="522"/>
      <c r="EA76" s="522"/>
      <c r="EB76" s="522"/>
      <c r="EC76" s="522"/>
      <c r="ED76" s="522"/>
      <c r="EE76" s="522"/>
      <c r="EF76" s="522"/>
      <c r="EG76" s="645">
        <f t="shared" si="56"/>
        <v>9.8234499999999993</v>
      </c>
      <c r="EH76" s="361">
        <v>0</v>
      </c>
      <c r="EI76" s="647">
        <v>0</v>
      </c>
      <c r="EJ76" s="647">
        <v>2.5</v>
      </c>
      <c r="EK76" s="647">
        <f t="shared" si="5"/>
        <v>3.85</v>
      </c>
      <c r="EL76" s="522"/>
      <c r="EM76" s="522"/>
      <c r="EN76" s="522"/>
      <c r="EO76" s="522"/>
      <c r="EP76" s="522"/>
      <c r="EQ76" s="522"/>
      <c r="ER76" s="522"/>
      <c r="ES76" s="407"/>
      <c r="ET76" s="407"/>
    </row>
    <row r="77" spans="1:150" s="357" customFormat="1" ht="15">
      <c r="A77" s="675" t="s">
        <v>6</v>
      </c>
      <c r="B77" s="712">
        <v>41703</v>
      </c>
      <c r="C77" s="713">
        <v>0</v>
      </c>
      <c r="D77" s="681">
        <v>1.49</v>
      </c>
      <c r="E77" s="681">
        <v>0</v>
      </c>
      <c r="F77" s="681">
        <v>47</v>
      </c>
      <c r="G77" s="807">
        <v>3.75</v>
      </c>
      <c r="H77" s="807" t="s">
        <v>744</v>
      </c>
      <c r="I77" s="807">
        <v>83.4</v>
      </c>
      <c r="J77" s="807">
        <v>0</v>
      </c>
      <c r="K77" s="807">
        <v>0.18</v>
      </c>
      <c r="L77" s="821">
        <f t="shared" si="6"/>
        <v>36.83</v>
      </c>
      <c r="M77" s="807">
        <v>23.7</v>
      </c>
      <c r="N77" s="807">
        <v>0</v>
      </c>
      <c r="O77" s="807" t="s">
        <v>743</v>
      </c>
      <c r="P77" s="807">
        <v>1.52</v>
      </c>
      <c r="Q77" s="807">
        <v>1.6394651239284654</v>
      </c>
      <c r="R77" s="865">
        <v>518.89563011889027</v>
      </c>
      <c r="S77" s="807">
        <v>0</v>
      </c>
      <c r="T77" s="807">
        <v>7.88</v>
      </c>
      <c r="U77" s="807">
        <v>0</v>
      </c>
      <c r="V77" s="807">
        <v>0.76</v>
      </c>
      <c r="W77" s="807">
        <v>32</v>
      </c>
      <c r="X77" s="690">
        <v>44.239999999999995</v>
      </c>
      <c r="Y77" s="807">
        <v>21.1</v>
      </c>
      <c r="Z77" s="807">
        <v>12.7</v>
      </c>
      <c r="AA77" s="794">
        <v>21.2</v>
      </c>
      <c r="AB77" s="794">
        <v>15.63</v>
      </c>
      <c r="AC77" s="775">
        <f t="shared" ref="AC77:AC81" si="61">AA77+AB77</f>
        <v>36.83</v>
      </c>
      <c r="AD77" s="775">
        <f t="shared" ref="AD77:AD81" si="62">AC77*1.547</f>
        <v>56.976009999999995</v>
      </c>
      <c r="AE77" s="775"/>
      <c r="AF77" s="567"/>
      <c r="AG77" s="2">
        <v>1</v>
      </c>
      <c r="AH77" s="705"/>
      <c r="AI77" s="362"/>
      <c r="AJ77" s="2"/>
      <c r="AK77" s="407"/>
      <c r="AL77" s="407"/>
      <c r="AM77" s="407"/>
      <c r="AN77" s="407"/>
      <c r="AO77" s="387"/>
      <c r="AP77" s="387"/>
      <c r="AQ77" s="405"/>
      <c r="AR77" s="578">
        <v>0</v>
      </c>
      <c r="AS77" s="405">
        <v>22.6</v>
      </c>
      <c r="AT77" s="578">
        <v>0</v>
      </c>
      <c r="AU77" s="405">
        <v>21.8</v>
      </c>
      <c r="AV77" s="644">
        <v>244.3</v>
      </c>
      <c r="AW77" s="644">
        <v>286.8</v>
      </c>
      <c r="AX77" s="405">
        <v>0</v>
      </c>
      <c r="AY77" s="578">
        <v>0</v>
      </c>
      <c r="AZ77" s="578">
        <v>0</v>
      </c>
      <c r="BA77" s="578">
        <v>0</v>
      </c>
      <c r="BB77" s="1086">
        <v>0.96</v>
      </c>
      <c r="BC77" s="405">
        <v>0</v>
      </c>
      <c r="BD77" s="405">
        <v>1.5</v>
      </c>
      <c r="BE77" s="578">
        <v>0</v>
      </c>
      <c r="BF77" s="405">
        <v>0.99</v>
      </c>
      <c r="BG77" s="405">
        <v>0</v>
      </c>
      <c r="BH77" s="578">
        <v>0</v>
      </c>
      <c r="BI77" s="405">
        <v>0</v>
      </c>
      <c r="BJ77" s="405">
        <v>13.2</v>
      </c>
      <c r="BK77" s="405">
        <v>2.99</v>
      </c>
      <c r="BL77" s="405">
        <v>1.2</v>
      </c>
      <c r="BM77" s="405">
        <v>0</v>
      </c>
      <c r="BN77" s="405">
        <v>8.1</v>
      </c>
      <c r="BO77" s="405">
        <v>1047.0999999999999</v>
      </c>
      <c r="BP77" s="405">
        <v>0</v>
      </c>
      <c r="BQ77" s="649">
        <v>21.27</v>
      </c>
      <c r="BR77" s="649">
        <v>21.24</v>
      </c>
      <c r="BS77" s="649">
        <v>9.3190000000000008</v>
      </c>
      <c r="BT77" s="649">
        <v>9.4280000000000008</v>
      </c>
      <c r="BU77" s="648">
        <v>20.6</v>
      </c>
      <c r="BV77" s="648">
        <v>20.8</v>
      </c>
      <c r="BW77" s="649">
        <v>469.1</v>
      </c>
      <c r="BX77" s="876"/>
      <c r="BY77" s="649">
        <v>0.15</v>
      </c>
      <c r="BZ77" s="649">
        <v>1.44</v>
      </c>
      <c r="CA77" s="649">
        <v>1.3</v>
      </c>
      <c r="CB77" s="649">
        <v>8.6</v>
      </c>
      <c r="CC77" s="649">
        <v>8</v>
      </c>
      <c r="CD77" s="522">
        <v>14.7</v>
      </c>
      <c r="CE77" s="522">
        <v>33.299999999999997</v>
      </c>
      <c r="CF77" s="522">
        <v>12.8</v>
      </c>
      <c r="CG77" s="522">
        <v>8.3000000000000007</v>
      </c>
      <c r="CH77" s="522">
        <v>13.71</v>
      </c>
      <c r="CI77" s="522">
        <v>18.100000000000001</v>
      </c>
      <c r="CJ77" s="522">
        <v>12.69</v>
      </c>
      <c r="CK77" s="522">
        <v>0</v>
      </c>
      <c r="CL77" s="522">
        <v>2.5</v>
      </c>
      <c r="CM77" s="522">
        <v>3.8</v>
      </c>
      <c r="CN77" s="522">
        <v>849.4</v>
      </c>
      <c r="CO77" s="522">
        <v>304.39999999999998</v>
      </c>
      <c r="CP77" s="522">
        <v>449.6</v>
      </c>
      <c r="CQ77" s="522">
        <v>12.4</v>
      </c>
      <c r="CR77" s="522">
        <v>2.0099999999999998</v>
      </c>
      <c r="CS77" s="405">
        <v>10699.8</v>
      </c>
      <c r="CT77" s="405">
        <v>17.225999999999999</v>
      </c>
      <c r="CU77" s="405">
        <v>50</v>
      </c>
      <c r="CV77" s="522">
        <v>0</v>
      </c>
      <c r="CW77" s="522">
        <v>0</v>
      </c>
      <c r="CX77" s="522">
        <v>0</v>
      </c>
      <c r="CY77" s="522">
        <v>0</v>
      </c>
      <c r="CZ77" s="689">
        <v>3690</v>
      </c>
      <c r="DA77" s="689">
        <v>7330</v>
      </c>
      <c r="DB77" s="689">
        <v>5090</v>
      </c>
      <c r="DC77" s="643">
        <v>1105.3800000000001</v>
      </c>
      <c r="DD77" s="522"/>
      <c r="DE77" s="522"/>
      <c r="DF77" s="522"/>
      <c r="DG77" s="522"/>
      <c r="DH77" s="522"/>
      <c r="DI77" s="522"/>
      <c r="DJ77" s="522"/>
      <c r="DK77" s="522"/>
      <c r="DL77" s="649"/>
      <c r="DM77" s="689"/>
      <c r="DN77" s="649"/>
      <c r="DO77" s="522"/>
      <c r="DP77" s="522"/>
      <c r="DQ77" s="522"/>
      <c r="DR77" s="522"/>
      <c r="DS77" s="522"/>
      <c r="DT77" s="522"/>
      <c r="DU77" s="522"/>
      <c r="DV77" s="522"/>
      <c r="DW77" s="522"/>
      <c r="DX77" s="522"/>
      <c r="DY77" s="522"/>
      <c r="DZ77" s="522"/>
      <c r="EA77" s="522"/>
      <c r="EB77" s="522"/>
      <c r="EC77" s="522"/>
      <c r="ED77" s="522"/>
      <c r="EE77" s="522"/>
      <c r="EF77" s="522"/>
      <c r="EG77" s="645">
        <f t="shared" si="56"/>
        <v>10.333960000000001</v>
      </c>
      <c r="EH77" s="361">
        <v>0</v>
      </c>
      <c r="EI77" s="647">
        <v>0</v>
      </c>
      <c r="EJ77" s="647">
        <f>BC77+BD77+BF77</f>
        <v>2.4900000000000002</v>
      </c>
      <c r="EK77" s="647">
        <f t="shared" si="5"/>
        <v>4.1900000000000004</v>
      </c>
      <c r="EL77" s="522"/>
      <c r="EM77" s="522"/>
      <c r="EN77" s="522"/>
      <c r="EO77" s="522"/>
      <c r="EP77" s="522"/>
      <c r="EQ77" s="522"/>
      <c r="ER77" s="522"/>
      <c r="ES77" s="407"/>
      <c r="ET77" s="407"/>
    </row>
    <row r="78" spans="1:150" s="357" customFormat="1" ht="15">
      <c r="A78" s="675" t="s">
        <v>7</v>
      </c>
      <c r="B78" s="712">
        <v>41704</v>
      </c>
      <c r="C78" s="713">
        <v>0</v>
      </c>
      <c r="D78" s="681">
        <v>0.47</v>
      </c>
      <c r="E78" s="681">
        <v>0</v>
      </c>
      <c r="F78" s="681">
        <v>45</v>
      </c>
      <c r="G78" s="807">
        <v>3.6</v>
      </c>
      <c r="H78" s="807" t="s">
        <v>744</v>
      </c>
      <c r="I78" s="807">
        <v>74.2</v>
      </c>
      <c r="J78" s="807">
        <v>0</v>
      </c>
      <c r="K78" s="807">
        <v>0.06</v>
      </c>
      <c r="L78" s="821">
        <f t="shared" si="6"/>
        <v>46.4</v>
      </c>
      <c r="M78" s="807">
        <v>24.3</v>
      </c>
      <c r="N78" s="807">
        <v>0</v>
      </c>
      <c r="O78" s="807" t="s">
        <v>743</v>
      </c>
      <c r="P78" s="807">
        <v>1.48</v>
      </c>
      <c r="Q78" s="807">
        <v>1.674599798651168</v>
      </c>
      <c r="R78" s="865">
        <v>657.52692206076608</v>
      </c>
      <c r="S78" s="807">
        <v>0</v>
      </c>
      <c r="T78" s="807">
        <v>7.58</v>
      </c>
      <c r="U78" s="807">
        <v>0</v>
      </c>
      <c r="V78" s="807">
        <v>0.37</v>
      </c>
      <c r="W78" s="807">
        <v>32</v>
      </c>
      <c r="X78" s="690">
        <v>44.239999999999995</v>
      </c>
      <c r="Y78" s="807">
        <v>21.2</v>
      </c>
      <c r="Z78" s="807">
        <v>15.63</v>
      </c>
      <c r="AA78" s="794">
        <v>21</v>
      </c>
      <c r="AB78" s="794">
        <v>25.4</v>
      </c>
      <c r="AC78" s="775">
        <f t="shared" si="61"/>
        <v>46.4</v>
      </c>
      <c r="AD78" s="775">
        <f t="shared" si="62"/>
        <v>71.780799999999999</v>
      </c>
      <c r="AE78" s="775"/>
      <c r="AF78" s="567"/>
      <c r="AG78" s="2">
        <v>1</v>
      </c>
      <c r="AH78" s="705"/>
      <c r="AI78" s="362"/>
      <c r="AJ78" s="2"/>
      <c r="AK78" s="407"/>
      <c r="AL78" s="407"/>
      <c r="AM78" s="407"/>
      <c r="AN78" s="407"/>
      <c r="AO78" s="387"/>
      <c r="AP78" s="387"/>
      <c r="AQ78" s="405"/>
      <c r="AR78" s="578">
        <v>0</v>
      </c>
      <c r="AS78" s="405">
        <v>13</v>
      </c>
      <c r="AT78" s="578">
        <v>0</v>
      </c>
      <c r="AU78" s="405">
        <v>21.9</v>
      </c>
      <c r="AV78" s="644">
        <v>431.2</v>
      </c>
      <c r="AW78" s="644">
        <v>473.5</v>
      </c>
      <c r="AX78" s="405">
        <v>0</v>
      </c>
      <c r="AY78" s="578">
        <v>0</v>
      </c>
      <c r="AZ78" s="578">
        <v>0</v>
      </c>
      <c r="BA78" s="578">
        <v>0</v>
      </c>
      <c r="BB78" s="1086">
        <v>0.97</v>
      </c>
      <c r="BC78" s="405">
        <v>0</v>
      </c>
      <c r="BD78" s="405">
        <v>1.5</v>
      </c>
      <c r="BE78" s="578">
        <v>0</v>
      </c>
      <c r="BF78" s="405">
        <v>1</v>
      </c>
      <c r="BG78" s="405">
        <v>0</v>
      </c>
      <c r="BH78" s="578">
        <v>0</v>
      </c>
      <c r="BI78" s="405">
        <v>0</v>
      </c>
      <c r="BJ78" s="405">
        <v>23.2</v>
      </c>
      <c r="BK78" s="405">
        <v>2.97</v>
      </c>
      <c r="BL78" s="405">
        <v>3.05</v>
      </c>
      <c r="BM78" s="405">
        <v>0</v>
      </c>
      <c r="BN78" s="405">
        <v>16.100000000000001</v>
      </c>
      <c r="BO78" s="405">
        <v>995.3</v>
      </c>
      <c r="BP78" s="405">
        <v>0</v>
      </c>
      <c r="BQ78" s="649">
        <v>21.93</v>
      </c>
      <c r="BR78" s="649">
        <v>21.89</v>
      </c>
      <c r="BS78" s="649">
        <v>9.1839999999999993</v>
      </c>
      <c r="BT78" s="649">
        <v>9.3040000000000003</v>
      </c>
      <c r="BU78" s="648">
        <v>20.3</v>
      </c>
      <c r="BV78" s="648">
        <v>19.399999999999999</v>
      </c>
      <c r="BW78" s="649">
        <v>486.8</v>
      </c>
      <c r="BX78" s="876"/>
      <c r="BY78" s="649">
        <v>0.15</v>
      </c>
      <c r="BZ78" s="649">
        <v>1.43</v>
      </c>
      <c r="CA78" s="649">
        <v>1.3</v>
      </c>
      <c r="CB78" s="649">
        <v>8.6</v>
      </c>
      <c r="CC78" s="649">
        <v>8</v>
      </c>
      <c r="CD78" s="522">
        <v>15.1</v>
      </c>
      <c r="CE78" s="522">
        <v>33.299999999999997</v>
      </c>
      <c r="CF78" s="522">
        <v>12.4</v>
      </c>
      <c r="CG78" s="522">
        <v>8.4</v>
      </c>
      <c r="CH78" s="522">
        <v>13.9</v>
      </c>
      <c r="CI78" s="522">
        <v>18</v>
      </c>
      <c r="CJ78" s="522">
        <v>13.35</v>
      </c>
      <c r="CK78" s="522">
        <v>0</v>
      </c>
      <c r="CL78" s="522">
        <v>2.5</v>
      </c>
      <c r="CM78" s="522">
        <v>3.2</v>
      </c>
      <c r="CN78" s="522">
        <v>897.5</v>
      </c>
      <c r="CO78" s="522">
        <v>310.8</v>
      </c>
      <c r="CP78" s="522">
        <v>456.9</v>
      </c>
      <c r="CQ78" s="522">
        <v>13.4</v>
      </c>
      <c r="CR78" s="649">
        <v>2.12</v>
      </c>
      <c r="CS78" s="405">
        <v>4881.8</v>
      </c>
      <c r="CT78" s="405">
        <v>17.661999999999999</v>
      </c>
      <c r="CU78" s="405">
        <v>50</v>
      </c>
      <c r="CV78" s="522">
        <v>0</v>
      </c>
      <c r="CW78" s="522">
        <v>0</v>
      </c>
      <c r="CX78" s="522">
        <v>0</v>
      </c>
      <c r="CY78" s="522">
        <v>0</v>
      </c>
      <c r="CZ78" s="689">
        <v>3690</v>
      </c>
      <c r="DA78" s="689">
        <v>8020</v>
      </c>
      <c r="DB78" s="689">
        <v>4980</v>
      </c>
      <c r="DC78" s="643">
        <v>1108.94</v>
      </c>
      <c r="DD78" s="522"/>
      <c r="DE78" s="522"/>
      <c r="DF78" s="522"/>
      <c r="DG78" s="522"/>
      <c r="DH78" s="522"/>
      <c r="DI78" s="522"/>
      <c r="DJ78" s="522"/>
      <c r="DK78" s="522"/>
      <c r="DL78" s="649"/>
      <c r="DM78" s="689"/>
      <c r="DN78" s="649"/>
      <c r="DO78" s="522"/>
      <c r="DP78" s="522"/>
      <c r="DQ78" s="522"/>
      <c r="DR78" s="522"/>
      <c r="DS78" s="522"/>
      <c r="DT78" s="522"/>
      <c r="DU78" s="522"/>
      <c r="DV78" s="522"/>
      <c r="DW78" s="522"/>
      <c r="DX78" s="522"/>
      <c r="DY78" s="522"/>
      <c r="DZ78" s="522"/>
      <c r="EA78" s="522"/>
      <c r="EB78" s="522"/>
      <c r="EC78" s="522"/>
      <c r="ED78" s="522"/>
      <c r="EE78" s="522"/>
      <c r="EF78" s="522"/>
      <c r="EG78" s="645">
        <f t="shared" si="56"/>
        <v>13.180439999999999</v>
      </c>
      <c r="EH78" s="361">
        <v>0</v>
      </c>
      <c r="EI78" s="647">
        <v>0</v>
      </c>
      <c r="EJ78" s="647">
        <f t="shared" ref="EJ78:EJ87" si="63">BC78+BD78+BF78</f>
        <v>2.5</v>
      </c>
      <c r="EK78" s="647">
        <f t="shared" si="5"/>
        <v>6.02</v>
      </c>
      <c r="EL78" s="522"/>
      <c r="EM78" s="522"/>
      <c r="EN78" s="522"/>
      <c r="EO78" s="522"/>
      <c r="EP78" s="522"/>
      <c r="EQ78" s="522"/>
      <c r="ER78" s="522"/>
      <c r="ES78" s="407"/>
      <c r="ET78" s="407"/>
    </row>
    <row r="79" spans="1:150" s="357" customFormat="1" ht="15">
      <c r="A79" s="675" t="s">
        <v>8</v>
      </c>
      <c r="B79" s="712">
        <v>41705</v>
      </c>
      <c r="C79" s="713">
        <v>0</v>
      </c>
      <c r="D79" s="681">
        <v>0.18</v>
      </c>
      <c r="E79" s="681">
        <v>0</v>
      </c>
      <c r="F79" s="681">
        <v>41</v>
      </c>
      <c r="G79" s="807">
        <v>4</v>
      </c>
      <c r="H79" s="807" t="s">
        <v>744</v>
      </c>
      <c r="I79" s="807">
        <v>80.3</v>
      </c>
      <c r="J79" s="807">
        <v>0</v>
      </c>
      <c r="K79" s="807">
        <v>0.05</v>
      </c>
      <c r="L79" s="821">
        <f t="shared" si="6"/>
        <v>46.8</v>
      </c>
      <c r="M79" s="807">
        <v>23.9</v>
      </c>
      <c r="N79" s="807">
        <v>0</v>
      </c>
      <c r="O79" s="807" t="s">
        <v>743</v>
      </c>
      <c r="P79" s="807">
        <v>1.43</v>
      </c>
      <c r="Q79" s="807">
        <v>1.679151449218848</v>
      </c>
      <c r="R79" s="865">
        <v>673.07435667106984</v>
      </c>
      <c r="S79" s="807">
        <v>0</v>
      </c>
      <c r="T79" s="807">
        <v>7.95</v>
      </c>
      <c r="U79" s="807">
        <v>0</v>
      </c>
      <c r="V79" s="807">
        <v>0.75</v>
      </c>
      <c r="W79" s="807">
        <v>32</v>
      </c>
      <c r="X79" s="690">
        <v>44.239999999999995</v>
      </c>
      <c r="Y79" s="807">
        <v>21</v>
      </c>
      <c r="Z79" s="807">
        <v>25.4</v>
      </c>
      <c r="AA79" s="794">
        <v>20.9</v>
      </c>
      <c r="AB79" s="794">
        <v>25.9</v>
      </c>
      <c r="AC79" s="775">
        <f t="shared" si="61"/>
        <v>46.8</v>
      </c>
      <c r="AD79" s="775">
        <f t="shared" si="62"/>
        <v>72.399599999999992</v>
      </c>
      <c r="AE79" s="775"/>
      <c r="AF79" s="567"/>
      <c r="AG79" s="2">
        <v>1</v>
      </c>
      <c r="AH79" s="705"/>
      <c r="AI79" s="362"/>
      <c r="AJ79" s="2"/>
      <c r="AK79" s="407"/>
      <c r="AL79" s="407"/>
      <c r="AM79" s="407"/>
      <c r="AN79" s="407"/>
      <c r="AO79" s="387"/>
      <c r="AP79" s="387"/>
      <c r="AQ79" s="405"/>
      <c r="AR79" s="578">
        <v>0</v>
      </c>
      <c r="AS79" s="405">
        <v>19.399999999999999</v>
      </c>
      <c r="AT79" s="578">
        <v>0</v>
      </c>
      <c r="AU79" s="405">
        <v>21.6</v>
      </c>
      <c r="AV79" s="644">
        <v>351.2</v>
      </c>
      <c r="AW79" s="644">
        <v>556.20000000000005</v>
      </c>
      <c r="AX79" s="405">
        <v>0</v>
      </c>
      <c r="AY79" s="578">
        <v>0</v>
      </c>
      <c r="AZ79" s="578">
        <v>0</v>
      </c>
      <c r="BA79" s="578">
        <v>0</v>
      </c>
      <c r="BB79" s="1086">
        <v>1.01</v>
      </c>
      <c r="BC79" s="405">
        <v>0</v>
      </c>
      <c r="BD79" s="405">
        <v>1.51</v>
      </c>
      <c r="BE79" s="578">
        <v>0</v>
      </c>
      <c r="BF79" s="405">
        <v>1</v>
      </c>
      <c r="BG79" s="405">
        <v>0</v>
      </c>
      <c r="BH79" s="578">
        <v>0</v>
      </c>
      <c r="BI79" s="405">
        <v>0</v>
      </c>
      <c r="BJ79" s="405">
        <v>23.4</v>
      </c>
      <c r="BK79" s="405">
        <v>2.95</v>
      </c>
      <c r="BL79" s="405">
        <v>3.08</v>
      </c>
      <c r="BM79" s="405">
        <v>0</v>
      </c>
      <c r="BN79" s="405">
        <v>16.3</v>
      </c>
      <c r="BO79" s="405">
        <v>1003.6</v>
      </c>
      <c r="BP79" s="405">
        <v>0</v>
      </c>
      <c r="BQ79" s="649">
        <v>20.69</v>
      </c>
      <c r="BR79" s="649">
        <v>20.65</v>
      </c>
      <c r="BS79" s="649">
        <v>8.9480000000000004</v>
      </c>
      <c r="BT79" s="649">
        <v>9.0470000000000006</v>
      </c>
      <c r="BU79" s="648">
        <v>19.899999999999999</v>
      </c>
      <c r="BV79" s="648">
        <v>24.1</v>
      </c>
      <c r="BW79" s="649">
        <v>639.5</v>
      </c>
      <c r="BX79" s="876"/>
      <c r="BY79" s="649">
        <v>0.15</v>
      </c>
      <c r="BZ79" s="649">
        <v>1.45</v>
      </c>
      <c r="CA79" s="649">
        <v>1.3</v>
      </c>
      <c r="CB79" s="649">
        <v>8.5</v>
      </c>
      <c r="CC79" s="649">
        <v>7.9</v>
      </c>
      <c r="CD79" s="522">
        <v>15.4</v>
      </c>
      <c r="CE79" s="522">
        <v>33.6</v>
      </c>
      <c r="CF79" s="522">
        <v>15.4</v>
      </c>
      <c r="CG79" s="522">
        <v>8.3000000000000007</v>
      </c>
      <c r="CH79" s="522">
        <v>13.8</v>
      </c>
      <c r="CI79" s="522">
        <v>17.899999999999999</v>
      </c>
      <c r="CJ79" s="522">
        <v>13.1</v>
      </c>
      <c r="CK79" s="522">
        <v>0</v>
      </c>
      <c r="CL79" s="522">
        <v>2.5</v>
      </c>
      <c r="CM79" s="522">
        <v>3.3</v>
      </c>
      <c r="CN79" s="522">
        <v>991.6</v>
      </c>
      <c r="CO79" s="522">
        <v>312.60000000000002</v>
      </c>
      <c r="CP79" s="522">
        <v>453.7</v>
      </c>
      <c r="CQ79" s="522">
        <v>13.2</v>
      </c>
      <c r="CR79" s="649">
        <v>2.04</v>
      </c>
      <c r="CS79" s="405">
        <v>3966.1</v>
      </c>
      <c r="CT79" s="405">
        <v>17.483000000000001</v>
      </c>
      <c r="CU79" s="405">
        <v>49</v>
      </c>
      <c r="CV79" s="522">
        <v>0</v>
      </c>
      <c r="CW79" s="522">
        <v>0</v>
      </c>
      <c r="CX79" s="522">
        <v>0</v>
      </c>
      <c r="CY79" s="522">
        <v>0</v>
      </c>
      <c r="CZ79" s="689">
        <v>3690</v>
      </c>
      <c r="DA79" s="689">
        <v>5980</v>
      </c>
      <c r="DB79" s="689">
        <v>3920</v>
      </c>
      <c r="DC79" s="643">
        <v>1111.5</v>
      </c>
      <c r="DD79" s="522"/>
      <c r="DE79" s="522"/>
      <c r="DF79" s="522"/>
      <c r="DG79" s="522"/>
      <c r="DH79" s="522"/>
      <c r="DI79" s="522"/>
      <c r="DJ79" s="522"/>
      <c r="DK79" s="522"/>
      <c r="DL79" s="649"/>
      <c r="DM79" s="689"/>
      <c r="DN79" s="649"/>
      <c r="DO79" s="522"/>
      <c r="DP79" s="522"/>
      <c r="DQ79" s="522"/>
      <c r="DR79" s="522"/>
      <c r="DS79" s="522"/>
      <c r="DT79" s="522"/>
      <c r="DU79" s="522"/>
      <c r="DV79" s="522"/>
      <c r="DW79" s="522"/>
      <c r="DX79" s="522"/>
      <c r="DY79" s="522"/>
      <c r="DZ79" s="522"/>
      <c r="EA79" s="522"/>
      <c r="EB79" s="522"/>
      <c r="EC79" s="522"/>
      <c r="ED79" s="522"/>
      <c r="EE79" s="522"/>
      <c r="EF79" s="522"/>
      <c r="EG79" s="645">
        <f t="shared" si="56"/>
        <v>13.211379999999998</v>
      </c>
      <c r="EH79" s="361">
        <v>0</v>
      </c>
      <c r="EI79" s="647">
        <v>0</v>
      </c>
      <c r="EJ79" s="647">
        <f t="shared" si="63"/>
        <v>2.5099999999999998</v>
      </c>
      <c r="EK79" s="647">
        <f t="shared" ref="EK79:EK87" si="64">BK79+BL79+BM79</f>
        <v>6.03</v>
      </c>
      <c r="EL79" s="522"/>
      <c r="EM79" s="522"/>
      <c r="EN79" s="522"/>
      <c r="EO79" s="522"/>
      <c r="EP79" s="522"/>
      <c r="EQ79" s="522"/>
      <c r="ER79" s="522"/>
      <c r="ES79" s="407"/>
      <c r="ET79" s="407"/>
    </row>
    <row r="80" spans="1:150" s="357" customFormat="1" ht="15">
      <c r="A80" s="675" t="s">
        <v>9</v>
      </c>
      <c r="B80" s="712">
        <v>41706</v>
      </c>
      <c r="C80" s="713">
        <v>0</v>
      </c>
      <c r="D80" s="681">
        <v>1.5</v>
      </c>
      <c r="E80" s="681">
        <v>0</v>
      </c>
      <c r="F80" s="681">
        <v>52</v>
      </c>
      <c r="G80" s="807">
        <v>4</v>
      </c>
      <c r="H80" s="807" t="s">
        <v>744</v>
      </c>
      <c r="I80" s="807">
        <v>84.7</v>
      </c>
      <c r="J80" s="807">
        <v>0</v>
      </c>
      <c r="K80" s="807">
        <v>0.05</v>
      </c>
      <c r="L80" s="821">
        <f t="shared" si="6"/>
        <v>46.8</v>
      </c>
      <c r="M80" s="807">
        <v>23.4</v>
      </c>
      <c r="N80" s="807">
        <v>0</v>
      </c>
      <c r="O80" s="807" t="s">
        <v>743</v>
      </c>
      <c r="P80" s="807">
        <v>1.42</v>
      </c>
      <c r="Q80" s="807">
        <v>1.6709923070943637</v>
      </c>
      <c r="R80" s="865">
        <v>663.35721003962999</v>
      </c>
      <c r="S80" s="807">
        <v>0</v>
      </c>
      <c r="T80" s="807">
        <v>7.98</v>
      </c>
      <c r="U80" s="807">
        <v>0</v>
      </c>
      <c r="V80" s="807">
        <v>0.74</v>
      </c>
      <c r="W80" s="807">
        <v>32</v>
      </c>
      <c r="X80" s="690">
        <v>44.239999999999995</v>
      </c>
      <c r="Y80" s="807">
        <v>20.9</v>
      </c>
      <c r="Z80" s="807">
        <v>25.9</v>
      </c>
      <c r="AA80" s="794">
        <v>21</v>
      </c>
      <c r="AB80" s="794">
        <v>25.8</v>
      </c>
      <c r="AC80" s="775">
        <f t="shared" si="61"/>
        <v>46.8</v>
      </c>
      <c r="AD80" s="775">
        <f t="shared" si="62"/>
        <v>72.399599999999992</v>
      </c>
      <c r="AE80" s="775"/>
      <c r="AF80" s="567"/>
      <c r="AG80" s="2">
        <v>1</v>
      </c>
      <c r="AH80" s="705"/>
      <c r="AI80" s="362"/>
      <c r="AJ80" s="2"/>
      <c r="AK80" s="407"/>
      <c r="AL80" s="407"/>
      <c r="AM80" s="407"/>
      <c r="AN80" s="407"/>
      <c r="AO80" s="387"/>
      <c r="AP80" s="387"/>
      <c r="AQ80" s="405"/>
      <c r="AR80" s="578">
        <v>0</v>
      </c>
      <c r="AS80" s="405">
        <v>23.2</v>
      </c>
      <c r="AT80" s="578">
        <v>0</v>
      </c>
      <c r="AU80" s="405">
        <v>21.7</v>
      </c>
      <c r="AV80" s="644">
        <v>437.3</v>
      </c>
      <c r="AW80" s="644">
        <v>606.29999999999995</v>
      </c>
      <c r="AX80" s="405">
        <v>0</v>
      </c>
      <c r="AY80" s="578">
        <v>0</v>
      </c>
      <c r="AZ80" s="578">
        <v>0</v>
      </c>
      <c r="BA80" s="578">
        <v>0</v>
      </c>
      <c r="BB80" s="1086">
        <v>1.01</v>
      </c>
      <c r="BC80" s="405">
        <v>0</v>
      </c>
      <c r="BD80" s="405">
        <v>1.5</v>
      </c>
      <c r="BE80" s="578">
        <v>0</v>
      </c>
      <c r="BF80" s="405">
        <v>0.99</v>
      </c>
      <c r="BG80" s="405">
        <v>0</v>
      </c>
      <c r="BH80" s="578">
        <v>0</v>
      </c>
      <c r="BI80" s="405">
        <v>0</v>
      </c>
      <c r="BJ80" s="405">
        <v>23.3</v>
      </c>
      <c r="BK80" s="405">
        <v>2.96</v>
      </c>
      <c r="BL80" s="405">
        <v>3.08</v>
      </c>
      <c r="BM80" s="405">
        <v>0</v>
      </c>
      <c r="BN80" s="405">
        <v>16.3</v>
      </c>
      <c r="BO80" s="405">
        <v>1035.0999999999999</v>
      </c>
      <c r="BP80" s="405">
        <v>0</v>
      </c>
      <c r="BQ80" s="649">
        <v>21.17</v>
      </c>
      <c r="BR80" s="649">
        <v>21.14</v>
      </c>
      <c r="BS80" s="649">
        <v>8.9649999999999999</v>
      </c>
      <c r="BT80" s="649">
        <v>9.0790000000000006</v>
      </c>
      <c r="BU80" s="648">
        <v>19.899999999999999</v>
      </c>
      <c r="BV80" s="648">
        <v>19.5</v>
      </c>
      <c r="BW80" s="649">
        <v>479.5</v>
      </c>
      <c r="BX80" s="876"/>
      <c r="BY80" s="649">
        <v>0.15</v>
      </c>
      <c r="BZ80" s="649">
        <v>1.43</v>
      </c>
      <c r="CA80" s="649">
        <v>1.3</v>
      </c>
      <c r="CB80" s="649">
        <v>8.6999999999999993</v>
      </c>
      <c r="CC80" s="649">
        <v>7.8</v>
      </c>
      <c r="CD80" s="649">
        <v>15.3</v>
      </c>
      <c r="CE80" s="649">
        <v>33.4</v>
      </c>
      <c r="CF80" s="649">
        <v>14.8</v>
      </c>
      <c r="CG80" s="649">
        <v>7.8</v>
      </c>
      <c r="CH80" s="649">
        <v>13.3</v>
      </c>
      <c r="CI80" s="649">
        <v>17.3</v>
      </c>
      <c r="CJ80" s="649">
        <v>13.18</v>
      </c>
      <c r="CK80" s="649">
        <v>0</v>
      </c>
      <c r="CL80" s="649">
        <v>2.5</v>
      </c>
      <c r="CM80" s="649">
        <v>3.7</v>
      </c>
      <c r="CN80" s="991">
        <v>820</v>
      </c>
      <c r="CO80" s="649">
        <v>339.9</v>
      </c>
      <c r="CP80" s="649">
        <v>437.6</v>
      </c>
      <c r="CQ80" s="649">
        <v>12.3</v>
      </c>
      <c r="CR80" s="649">
        <v>1.89</v>
      </c>
      <c r="CS80" s="405">
        <v>5363.4</v>
      </c>
      <c r="CT80" s="405">
        <v>16.866</v>
      </c>
      <c r="CU80" s="405">
        <v>49</v>
      </c>
      <c r="CV80" s="522">
        <v>0</v>
      </c>
      <c r="CW80" s="522">
        <v>0</v>
      </c>
      <c r="CX80" s="522">
        <v>0</v>
      </c>
      <c r="CY80" s="522">
        <v>0</v>
      </c>
      <c r="CZ80" s="689">
        <v>3690</v>
      </c>
      <c r="DA80" s="689">
        <v>6150</v>
      </c>
      <c r="DB80" s="689">
        <v>4030</v>
      </c>
      <c r="DC80" s="643">
        <v>1112.0999999999999</v>
      </c>
      <c r="DD80" s="522"/>
      <c r="DE80" s="522"/>
      <c r="DF80" s="522"/>
      <c r="DG80" s="522"/>
      <c r="DH80" s="522"/>
      <c r="DI80" s="522"/>
      <c r="DJ80" s="522"/>
      <c r="DK80" s="522"/>
      <c r="DL80" s="649"/>
      <c r="DM80" s="689"/>
      <c r="DN80" s="649"/>
      <c r="DO80" s="522"/>
      <c r="DP80" s="522"/>
      <c r="DQ80" s="522"/>
      <c r="DR80" s="522"/>
      <c r="DS80" s="522"/>
      <c r="DT80" s="522"/>
      <c r="DU80" s="522"/>
      <c r="DV80" s="522"/>
      <c r="DW80" s="522"/>
      <c r="DX80" s="522"/>
      <c r="DY80" s="522"/>
      <c r="DZ80" s="522"/>
      <c r="EA80" s="522"/>
      <c r="EB80" s="522"/>
      <c r="EC80" s="522"/>
      <c r="ED80" s="522"/>
      <c r="EE80" s="522"/>
      <c r="EF80" s="522"/>
      <c r="EG80" s="645">
        <f t="shared" si="56"/>
        <v>13.195910000000001</v>
      </c>
      <c r="EH80" s="361">
        <v>0</v>
      </c>
      <c r="EI80" s="647">
        <v>0</v>
      </c>
      <c r="EJ80" s="647">
        <f t="shared" si="63"/>
        <v>2.4900000000000002</v>
      </c>
      <c r="EK80" s="647">
        <f t="shared" si="64"/>
        <v>6.04</v>
      </c>
      <c r="EL80" s="522"/>
      <c r="EM80" s="522"/>
      <c r="EN80" s="522"/>
      <c r="EO80" s="522"/>
      <c r="EP80" s="522"/>
      <c r="EQ80" s="522"/>
      <c r="ER80" s="522"/>
      <c r="ES80" s="407"/>
      <c r="ET80" s="407"/>
    </row>
    <row r="81" spans="1:150" s="357" customFormat="1" ht="15">
      <c r="A81" s="675" t="s">
        <v>3</v>
      </c>
      <c r="B81" s="712">
        <v>41707</v>
      </c>
      <c r="C81" s="713">
        <v>0</v>
      </c>
      <c r="D81" s="681">
        <v>1.2</v>
      </c>
      <c r="E81" s="681">
        <v>0</v>
      </c>
      <c r="F81" s="681">
        <v>45</v>
      </c>
      <c r="G81" s="807">
        <v>5</v>
      </c>
      <c r="H81" s="807" t="s">
        <v>744</v>
      </c>
      <c r="I81" s="807">
        <v>81</v>
      </c>
      <c r="J81" s="807">
        <v>0</v>
      </c>
      <c r="K81" s="807">
        <v>0.06</v>
      </c>
      <c r="L81" s="821">
        <f t="shared" si="6"/>
        <v>46.9</v>
      </c>
      <c r="M81" s="807">
        <v>25.9</v>
      </c>
      <c r="N81" s="807">
        <v>0</v>
      </c>
      <c r="O81" s="807" t="s">
        <v>743</v>
      </c>
      <c r="P81" s="807">
        <v>1.45</v>
      </c>
      <c r="Q81" s="807">
        <v>1.6740602016904931</v>
      </c>
      <c r="R81" s="865">
        <v>637.76872391017162</v>
      </c>
      <c r="S81" s="807">
        <v>0</v>
      </c>
      <c r="T81" s="807">
        <v>8.1300000000000008</v>
      </c>
      <c r="U81" s="807">
        <v>0</v>
      </c>
      <c r="V81" s="807">
        <v>0.68</v>
      </c>
      <c r="W81" s="807">
        <v>32</v>
      </c>
      <c r="X81" s="690">
        <v>44.239999999999995</v>
      </c>
      <c r="Y81" s="807">
        <v>21</v>
      </c>
      <c r="Z81" s="807">
        <v>25.8</v>
      </c>
      <c r="AA81" s="794">
        <v>21</v>
      </c>
      <c r="AB81" s="794">
        <v>25.9</v>
      </c>
      <c r="AC81" s="775">
        <f t="shared" si="61"/>
        <v>46.9</v>
      </c>
      <c r="AD81" s="775">
        <f t="shared" si="62"/>
        <v>72.554299999999998</v>
      </c>
      <c r="AE81" s="775"/>
      <c r="AF81" s="567"/>
      <c r="AG81" s="2">
        <v>1</v>
      </c>
      <c r="AH81" s="705"/>
      <c r="AI81" s="362"/>
      <c r="AJ81" s="2"/>
      <c r="AK81" s="407"/>
      <c r="AL81" s="407"/>
      <c r="AM81" s="407"/>
      <c r="AN81" s="407"/>
      <c r="AO81" s="387"/>
      <c r="AP81" s="387"/>
      <c r="AQ81" s="405"/>
      <c r="AR81" s="578">
        <v>0</v>
      </c>
      <c r="AS81" s="405">
        <v>23.9</v>
      </c>
      <c r="AT81" s="578">
        <v>0</v>
      </c>
      <c r="AU81" s="405">
        <v>21.7</v>
      </c>
      <c r="AV81" s="644">
        <v>463.1</v>
      </c>
      <c r="AW81" s="644">
        <v>490.3</v>
      </c>
      <c r="AX81" s="405">
        <v>0</v>
      </c>
      <c r="AY81" s="578">
        <v>0</v>
      </c>
      <c r="AZ81" s="578">
        <v>0</v>
      </c>
      <c r="BA81" s="578">
        <v>0</v>
      </c>
      <c r="BB81" s="924">
        <v>1</v>
      </c>
      <c r="BC81" s="405">
        <v>0</v>
      </c>
      <c r="BD81" s="405">
        <v>1.44</v>
      </c>
      <c r="BE81" s="578">
        <v>0</v>
      </c>
      <c r="BF81" s="405">
        <v>0.95</v>
      </c>
      <c r="BG81" s="405">
        <v>0</v>
      </c>
      <c r="BH81" s="578">
        <v>0</v>
      </c>
      <c r="BI81" s="405">
        <v>0</v>
      </c>
      <c r="BJ81" s="405">
        <v>23.4</v>
      </c>
      <c r="BK81" s="405">
        <v>2.99</v>
      </c>
      <c r="BL81" s="405">
        <v>3.08</v>
      </c>
      <c r="BM81" s="405">
        <v>0</v>
      </c>
      <c r="BN81" s="405">
        <v>16.3</v>
      </c>
      <c r="BO81" s="405">
        <v>1164.5</v>
      </c>
      <c r="BP81" s="405">
        <v>0</v>
      </c>
      <c r="BQ81" s="649">
        <v>21.8</v>
      </c>
      <c r="BR81" s="649">
        <v>21.77</v>
      </c>
      <c r="BS81" s="649">
        <v>9.0340000000000007</v>
      </c>
      <c r="BT81" s="649">
        <v>9.1829999999999998</v>
      </c>
      <c r="BU81" s="648">
        <v>20.100000000000001</v>
      </c>
      <c r="BV81" s="648">
        <v>19.3</v>
      </c>
      <c r="BW81" s="649">
        <v>684.7</v>
      </c>
      <c r="BX81" s="876"/>
      <c r="BY81" s="649">
        <v>0.15</v>
      </c>
      <c r="BZ81" s="649">
        <v>1.43</v>
      </c>
      <c r="CA81" s="649">
        <v>1.3</v>
      </c>
      <c r="CB81" s="649">
        <v>8.6999999999999993</v>
      </c>
      <c r="CC81" s="649">
        <v>8</v>
      </c>
      <c r="CD81" s="649">
        <v>16</v>
      </c>
      <c r="CE81" s="649">
        <v>33.6</v>
      </c>
      <c r="CF81" s="649">
        <v>14.1</v>
      </c>
      <c r="CG81" s="649">
        <v>7.7</v>
      </c>
      <c r="CH81" s="649">
        <v>13.2</v>
      </c>
      <c r="CI81" s="649">
        <v>17.2</v>
      </c>
      <c r="CJ81" s="649">
        <v>13.07</v>
      </c>
      <c r="CK81" s="649">
        <v>0</v>
      </c>
      <c r="CL81" s="649">
        <v>2.5</v>
      </c>
      <c r="CM81" s="649">
        <v>2.9</v>
      </c>
      <c r="CN81" s="991">
        <v>820</v>
      </c>
      <c r="CO81" s="649">
        <v>365.3</v>
      </c>
      <c r="CP81" s="649">
        <v>437.5</v>
      </c>
      <c r="CQ81" s="649">
        <v>12.5</v>
      </c>
      <c r="CR81" s="649">
        <v>1.88</v>
      </c>
      <c r="CS81" s="405">
        <v>6213.3</v>
      </c>
      <c r="CT81" s="405">
        <v>16.085000000000001</v>
      </c>
      <c r="CU81" s="405">
        <v>50</v>
      </c>
      <c r="CV81" s="522">
        <v>0</v>
      </c>
      <c r="CW81" s="522">
        <v>0</v>
      </c>
      <c r="CX81" s="522">
        <v>0</v>
      </c>
      <c r="CY81" s="522">
        <v>0</v>
      </c>
      <c r="CZ81" s="689">
        <v>6130</v>
      </c>
      <c r="DA81" s="689">
        <v>8810</v>
      </c>
      <c r="DB81" s="689">
        <v>5660</v>
      </c>
      <c r="DC81" s="643">
        <v>1125.43</v>
      </c>
      <c r="DD81" s="522"/>
      <c r="DE81" s="522"/>
      <c r="DF81" s="522"/>
      <c r="DG81" s="522"/>
      <c r="DH81" s="522"/>
      <c r="DI81" s="522"/>
      <c r="DJ81" s="522"/>
      <c r="DK81" s="522"/>
      <c r="DL81" s="649"/>
      <c r="DM81" s="689"/>
      <c r="DN81" s="649"/>
      <c r="DO81" s="522"/>
      <c r="DP81" s="522"/>
      <c r="DQ81" s="522"/>
      <c r="DR81" s="522"/>
      <c r="DS81" s="522"/>
      <c r="DT81" s="522"/>
      <c r="DU81" s="522"/>
      <c r="DV81" s="522"/>
      <c r="DW81" s="522"/>
      <c r="DX81" s="522"/>
      <c r="DY81" s="522"/>
      <c r="DZ81" s="522"/>
      <c r="EA81" s="522"/>
      <c r="EB81" s="522"/>
      <c r="EC81" s="522"/>
      <c r="ED81" s="522"/>
      <c r="EE81" s="522"/>
      <c r="EF81" s="522"/>
      <c r="EG81" s="645">
        <f t="shared" si="56"/>
        <v>13.087620000000001</v>
      </c>
      <c r="EH81" s="361">
        <v>0</v>
      </c>
      <c r="EI81" s="647">
        <v>0</v>
      </c>
      <c r="EJ81" s="647">
        <f t="shared" si="63"/>
        <v>2.3899999999999997</v>
      </c>
      <c r="EK81" s="647">
        <f t="shared" si="64"/>
        <v>6.07</v>
      </c>
      <c r="EL81" s="522"/>
      <c r="EM81" s="522"/>
      <c r="EN81" s="522"/>
      <c r="EO81" s="522"/>
      <c r="EP81" s="522"/>
      <c r="EQ81" s="522"/>
      <c r="ER81" s="522"/>
      <c r="ES81" s="407"/>
      <c r="ET81" s="407"/>
    </row>
    <row r="82" spans="1:150" s="357" customFormat="1" ht="15">
      <c r="A82" s="675" t="s">
        <v>4</v>
      </c>
      <c r="B82" s="712">
        <v>41708</v>
      </c>
      <c r="C82" s="713">
        <v>0</v>
      </c>
      <c r="D82" s="681">
        <v>1.29</v>
      </c>
      <c r="E82" s="681">
        <v>0</v>
      </c>
      <c r="F82" s="681">
        <v>39</v>
      </c>
      <c r="G82" s="807">
        <v>3.8</v>
      </c>
      <c r="H82" s="807" t="s">
        <v>744</v>
      </c>
      <c r="I82" s="807">
        <v>0</v>
      </c>
      <c r="J82" s="807">
        <v>0</v>
      </c>
      <c r="K82" s="807">
        <v>0.06</v>
      </c>
      <c r="L82" s="821">
        <f t="shared" si="6"/>
        <v>47.1</v>
      </c>
      <c r="M82" s="807">
        <v>25.6</v>
      </c>
      <c r="N82" s="807">
        <v>0</v>
      </c>
      <c r="O82" s="807" t="s">
        <v>743</v>
      </c>
      <c r="P82" s="807">
        <v>1.47</v>
      </c>
      <c r="Q82" s="807">
        <v>1.6745190414702418</v>
      </c>
      <c r="R82" s="865">
        <v>670.48311756935266</v>
      </c>
      <c r="S82" s="807">
        <v>0</v>
      </c>
      <c r="T82" s="807">
        <v>7.96</v>
      </c>
      <c r="U82" s="807">
        <v>0</v>
      </c>
      <c r="V82" s="807">
        <v>0.75</v>
      </c>
      <c r="W82" s="807">
        <v>32</v>
      </c>
      <c r="X82" s="690">
        <v>44.239999999999995</v>
      </c>
      <c r="Y82" s="807">
        <v>20.100000000000001</v>
      </c>
      <c r="Z82" s="807">
        <v>24.86</v>
      </c>
      <c r="AA82" s="794">
        <v>21.3</v>
      </c>
      <c r="AB82" s="794">
        <v>25.8</v>
      </c>
      <c r="AC82" s="775">
        <f t="shared" ref="AC82" si="65">AA82+AB82</f>
        <v>47.1</v>
      </c>
      <c r="AD82" s="775">
        <f t="shared" ref="AD82" si="66">AC82*1.547</f>
        <v>72.863699999999994</v>
      </c>
      <c r="AE82" s="775"/>
      <c r="AF82" s="567"/>
      <c r="AG82" s="2">
        <v>1</v>
      </c>
      <c r="AH82" s="705"/>
      <c r="AI82" s="362"/>
      <c r="AJ82" s="2"/>
      <c r="AK82" s="407"/>
      <c r="AL82" s="407"/>
      <c r="AM82" s="407"/>
      <c r="AN82" s="407"/>
      <c r="AO82" s="387"/>
      <c r="AP82" s="387"/>
      <c r="AQ82" s="405"/>
      <c r="AR82" s="578">
        <v>0</v>
      </c>
      <c r="AS82" s="405">
        <v>17</v>
      </c>
      <c r="AT82" s="578">
        <v>0</v>
      </c>
      <c r="AU82" s="405">
        <v>22</v>
      </c>
      <c r="AV82" s="644">
        <v>341.7</v>
      </c>
      <c r="AW82" s="644">
        <v>595.70000000000005</v>
      </c>
      <c r="AX82" s="405">
        <v>0</v>
      </c>
      <c r="AY82" s="578">
        <v>0</v>
      </c>
      <c r="AZ82" s="578">
        <v>0</v>
      </c>
      <c r="BA82" s="578">
        <v>0</v>
      </c>
      <c r="BB82" s="924">
        <v>1</v>
      </c>
      <c r="BC82" s="405">
        <v>0</v>
      </c>
      <c r="BD82" s="405">
        <v>1.5</v>
      </c>
      <c r="BE82" s="578">
        <v>0</v>
      </c>
      <c r="BF82" s="405">
        <v>1</v>
      </c>
      <c r="BG82" s="405">
        <v>0</v>
      </c>
      <c r="BH82" s="578">
        <v>0</v>
      </c>
      <c r="BI82" s="405">
        <v>0</v>
      </c>
      <c r="BJ82" s="405">
        <v>23.3</v>
      </c>
      <c r="BK82" s="405">
        <v>2.95</v>
      </c>
      <c r="BL82" s="405">
        <v>3.08</v>
      </c>
      <c r="BM82" s="405">
        <v>0</v>
      </c>
      <c r="BN82" s="405">
        <v>16.2</v>
      </c>
      <c r="BO82" s="405">
        <v>1056.4000000000001</v>
      </c>
      <c r="BP82" s="405">
        <v>0</v>
      </c>
      <c r="BQ82" s="649">
        <v>21.62</v>
      </c>
      <c r="BR82" s="649">
        <v>21.58</v>
      </c>
      <c r="BS82" s="649">
        <v>9.3859999999999992</v>
      </c>
      <c r="BT82" s="649">
        <v>9.5079999999999991</v>
      </c>
      <c r="BU82" s="648">
        <v>20.7</v>
      </c>
      <c r="BV82" s="648">
        <v>21.8</v>
      </c>
      <c r="BW82" s="649">
        <v>461.4</v>
      </c>
      <c r="BX82" s="876"/>
      <c r="BY82" s="649">
        <v>0.15</v>
      </c>
      <c r="BZ82" s="649">
        <v>1.36</v>
      </c>
      <c r="CA82" s="649">
        <v>1.3</v>
      </c>
      <c r="CB82" s="649">
        <v>8.6</v>
      </c>
      <c r="CC82" s="649">
        <v>7.9</v>
      </c>
      <c r="CD82" s="649">
        <v>15.4</v>
      </c>
      <c r="CE82" s="649">
        <v>33.4</v>
      </c>
      <c r="CF82" s="649">
        <v>13.6</v>
      </c>
      <c r="CG82" s="649">
        <v>7.9</v>
      </c>
      <c r="CH82" s="649">
        <v>13.4</v>
      </c>
      <c r="CI82" s="649">
        <v>17.5</v>
      </c>
      <c r="CJ82" s="649">
        <v>13.49</v>
      </c>
      <c r="CK82" s="649">
        <v>132.19999999999999</v>
      </c>
      <c r="CL82" s="649">
        <v>2.2999999999999998</v>
      </c>
      <c r="CM82" s="649">
        <v>3.8</v>
      </c>
      <c r="CN82" s="991">
        <v>820</v>
      </c>
      <c r="CO82" s="649">
        <v>320.60000000000002</v>
      </c>
      <c r="CP82" s="649">
        <v>458.8</v>
      </c>
      <c r="CQ82" s="649">
        <v>11.8</v>
      </c>
      <c r="CR82" s="649">
        <v>1.82</v>
      </c>
      <c r="CS82" s="405">
        <v>3965.2</v>
      </c>
      <c r="CT82" s="405">
        <v>16.443999999999999</v>
      </c>
      <c r="CU82" s="405">
        <v>49</v>
      </c>
      <c r="CV82" s="522">
        <v>0</v>
      </c>
      <c r="CW82" s="522">
        <v>0</v>
      </c>
      <c r="CX82" s="522">
        <v>0</v>
      </c>
      <c r="CY82" s="522">
        <v>0</v>
      </c>
      <c r="CZ82" s="689">
        <v>5610</v>
      </c>
      <c r="DA82" s="689">
        <v>8940</v>
      </c>
      <c r="DB82" s="689">
        <v>5220</v>
      </c>
      <c r="DC82" s="643">
        <v>1127.46</v>
      </c>
      <c r="DD82" s="522"/>
      <c r="DE82" s="522"/>
      <c r="DF82" s="522"/>
      <c r="DG82" s="522"/>
      <c r="DH82" s="522"/>
      <c r="DI82" s="522"/>
      <c r="DJ82" s="522"/>
      <c r="DK82" s="522"/>
      <c r="DL82" s="649"/>
      <c r="DM82" s="689"/>
      <c r="DN82" s="649"/>
      <c r="DO82" s="522"/>
      <c r="DP82" s="522"/>
      <c r="DQ82" s="522"/>
      <c r="DR82" s="522"/>
      <c r="DS82" s="522"/>
      <c r="DT82" s="522"/>
      <c r="DU82" s="522"/>
      <c r="DV82" s="522"/>
      <c r="DW82" s="522"/>
      <c r="DX82" s="522"/>
      <c r="DY82" s="522"/>
      <c r="DZ82" s="522"/>
      <c r="EA82" s="522"/>
      <c r="EB82" s="522"/>
      <c r="EC82" s="522"/>
      <c r="ED82" s="522"/>
      <c r="EE82" s="522"/>
      <c r="EF82" s="522"/>
      <c r="EG82" s="645">
        <f t="shared" si="56"/>
        <v>13.195910000000001</v>
      </c>
      <c r="EH82" s="361">
        <v>0</v>
      </c>
      <c r="EI82" s="647">
        <v>0</v>
      </c>
      <c r="EJ82" s="647">
        <f t="shared" si="63"/>
        <v>2.5</v>
      </c>
      <c r="EK82" s="647">
        <f t="shared" si="64"/>
        <v>6.03</v>
      </c>
      <c r="EL82" s="522"/>
      <c r="EM82" s="522"/>
      <c r="EN82" s="522"/>
      <c r="EO82" s="522"/>
      <c r="EP82" s="522"/>
      <c r="EQ82" s="522"/>
      <c r="ER82" s="522"/>
      <c r="ES82" s="407"/>
      <c r="ET82" s="407"/>
    </row>
    <row r="83" spans="1:150" s="357" customFormat="1" ht="15">
      <c r="A83" s="675" t="s">
        <v>5</v>
      </c>
      <c r="B83" s="712">
        <v>41709</v>
      </c>
      <c r="C83" s="713">
        <v>0</v>
      </c>
      <c r="D83" s="681">
        <v>0.01</v>
      </c>
      <c r="E83" s="681">
        <v>0</v>
      </c>
      <c r="F83" s="681">
        <v>40</v>
      </c>
      <c r="G83" s="807">
        <v>3.2</v>
      </c>
      <c r="H83" s="807" t="s">
        <v>744</v>
      </c>
      <c r="I83" s="807">
        <v>0</v>
      </c>
      <c r="J83" s="807">
        <v>0</v>
      </c>
      <c r="K83" s="807">
        <v>0.1</v>
      </c>
      <c r="L83" s="821">
        <f t="shared" si="6"/>
        <v>46.9</v>
      </c>
      <c r="M83" s="807">
        <v>25</v>
      </c>
      <c r="N83" s="807">
        <v>0</v>
      </c>
      <c r="O83" s="807" t="s">
        <v>743</v>
      </c>
      <c r="P83" s="807">
        <v>1.43</v>
      </c>
      <c r="Q83" s="807">
        <v>1.6681941035110865</v>
      </c>
      <c r="R83" s="865">
        <v>662.38549537648612</v>
      </c>
      <c r="S83" s="807">
        <v>0</v>
      </c>
      <c r="T83" s="807">
        <v>7.96</v>
      </c>
      <c r="U83" s="807">
        <v>0</v>
      </c>
      <c r="V83" s="807">
        <v>0.76</v>
      </c>
      <c r="W83" s="807">
        <v>32</v>
      </c>
      <c r="X83" s="690">
        <v>43.88000000000001</v>
      </c>
      <c r="Y83" s="807">
        <v>21</v>
      </c>
      <c r="Z83" s="807">
        <v>25.9</v>
      </c>
      <c r="AA83" s="794">
        <v>21.4</v>
      </c>
      <c r="AB83" s="794">
        <v>25.5</v>
      </c>
      <c r="AC83" s="775">
        <f t="shared" ref="AC83" si="67">AA83+AB83</f>
        <v>46.9</v>
      </c>
      <c r="AD83" s="775">
        <f t="shared" ref="AD83" si="68">AC83*1.547</f>
        <v>72.554299999999998</v>
      </c>
      <c r="AE83" s="775"/>
      <c r="AF83" s="567"/>
      <c r="AG83" s="2">
        <v>1</v>
      </c>
      <c r="AH83" s="705"/>
      <c r="AI83" s="362"/>
      <c r="AJ83" s="2"/>
      <c r="AK83" s="407"/>
      <c r="AL83" s="407"/>
      <c r="AM83" s="407"/>
      <c r="AN83" s="407"/>
      <c r="AO83" s="387"/>
      <c r="AP83" s="387"/>
      <c r="AQ83" s="405"/>
      <c r="AR83" s="578">
        <v>0</v>
      </c>
      <c r="AS83" s="405">
        <v>15.4</v>
      </c>
      <c r="AT83" s="578">
        <v>0</v>
      </c>
      <c r="AU83" s="405">
        <v>22.1</v>
      </c>
      <c r="AV83" s="644">
        <v>245.3</v>
      </c>
      <c r="AW83" s="644">
        <v>389</v>
      </c>
      <c r="AX83" s="405">
        <v>0</v>
      </c>
      <c r="AY83" s="578">
        <v>0</v>
      </c>
      <c r="AZ83" s="578">
        <v>0</v>
      </c>
      <c r="BA83" s="578">
        <v>0</v>
      </c>
      <c r="BB83" s="1086">
        <v>1</v>
      </c>
      <c r="BC83" s="405">
        <v>0</v>
      </c>
      <c r="BD83" s="405">
        <v>1.5</v>
      </c>
      <c r="BE83" s="578">
        <v>0</v>
      </c>
      <c r="BF83" s="405">
        <v>0.99</v>
      </c>
      <c r="BG83" s="405">
        <v>0</v>
      </c>
      <c r="BH83" s="578">
        <v>0</v>
      </c>
      <c r="BI83" s="405">
        <v>0</v>
      </c>
      <c r="BJ83" s="405">
        <v>23</v>
      </c>
      <c r="BK83" s="405">
        <v>2.97</v>
      </c>
      <c r="BL83" s="405">
        <v>3.08</v>
      </c>
      <c r="BM83" s="405">
        <v>0</v>
      </c>
      <c r="BN83" s="405">
        <v>16</v>
      </c>
      <c r="BO83" s="405">
        <v>1063.5</v>
      </c>
      <c r="BP83" s="405">
        <v>0</v>
      </c>
      <c r="BQ83" s="649">
        <v>21.21</v>
      </c>
      <c r="BR83" s="649">
        <v>21.18</v>
      </c>
      <c r="BS83" s="649">
        <v>9.3689999999999998</v>
      </c>
      <c r="BT83" s="649">
        <v>9.4819999999999993</v>
      </c>
      <c r="BU83" s="648">
        <v>20.7</v>
      </c>
      <c r="BV83" s="648">
        <v>22.7</v>
      </c>
      <c r="BW83" s="649">
        <v>482.9</v>
      </c>
      <c r="BX83" s="876"/>
      <c r="BY83" s="649">
        <v>0.15</v>
      </c>
      <c r="BZ83" s="649">
        <v>1.38</v>
      </c>
      <c r="CA83" s="649">
        <v>1.3</v>
      </c>
      <c r="CB83" s="649">
        <v>8.6</v>
      </c>
      <c r="CC83" s="649">
        <v>7.8</v>
      </c>
      <c r="CD83" s="649">
        <v>15.5</v>
      </c>
      <c r="CE83" s="649">
        <v>33.299999999999997</v>
      </c>
      <c r="CF83" s="649">
        <v>13.1</v>
      </c>
      <c r="CG83" s="649">
        <v>8.1</v>
      </c>
      <c r="CH83" s="649">
        <v>13.6</v>
      </c>
      <c r="CI83" s="649">
        <v>17.600000000000001</v>
      </c>
      <c r="CJ83" s="649">
        <v>13.64</v>
      </c>
      <c r="CK83" s="649">
        <v>339.9</v>
      </c>
      <c r="CL83" s="649">
        <v>2</v>
      </c>
      <c r="CM83" s="649">
        <v>2.5</v>
      </c>
      <c r="CN83" s="991">
        <v>820</v>
      </c>
      <c r="CO83" s="649">
        <v>315.89999999999998</v>
      </c>
      <c r="CP83" s="649">
        <v>455.7</v>
      </c>
      <c r="CQ83" s="649">
        <v>13.1</v>
      </c>
      <c r="CR83" s="649">
        <v>1.99</v>
      </c>
      <c r="CS83" s="405">
        <v>3757.1</v>
      </c>
      <c r="CT83" s="405">
        <v>16.489000000000001</v>
      </c>
      <c r="CU83" s="405">
        <v>49</v>
      </c>
      <c r="CV83" s="522">
        <v>0</v>
      </c>
      <c r="CW83" s="522">
        <v>0</v>
      </c>
      <c r="CX83" s="522">
        <v>0</v>
      </c>
      <c r="CY83" s="522">
        <v>0</v>
      </c>
      <c r="CZ83" s="689">
        <v>4330</v>
      </c>
      <c r="DA83" s="689">
        <v>6930</v>
      </c>
      <c r="DB83" s="689">
        <v>4140</v>
      </c>
      <c r="DC83" s="643">
        <v>1126.06</v>
      </c>
      <c r="DD83" s="522"/>
      <c r="DE83" s="522"/>
      <c r="DF83" s="522"/>
      <c r="DG83" s="522"/>
      <c r="DH83" s="522"/>
      <c r="DI83" s="522"/>
      <c r="DJ83" s="522"/>
      <c r="DK83" s="522"/>
      <c r="DL83" s="649"/>
      <c r="DM83" s="689"/>
      <c r="DN83" s="649"/>
      <c r="DO83" s="522"/>
      <c r="DP83" s="522"/>
      <c r="DQ83" s="522"/>
      <c r="DR83" s="522"/>
      <c r="DS83" s="522"/>
      <c r="DT83" s="522"/>
      <c r="DU83" s="522"/>
      <c r="DV83" s="522"/>
      <c r="DW83" s="522"/>
      <c r="DX83" s="522"/>
      <c r="DY83" s="522"/>
      <c r="DZ83" s="522"/>
      <c r="EA83" s="522"/>
      <c r="EB83" s="522"/>
      <c r="EC83" s="522"/>
      <c r="ED83" s="522"/>
      <c r="EE83" s="522"/>
      <c r="EF83" s="522"/>
      <c r="EG83" s="645">
        <f t="shared" si="56"/>
        <v>13.21138</v>
      </c>
      <c r="EH83" s="361">
        <v>0</v>
      </c>
      <c r="EI83" s="647">
        <v>0</v>
      </c>
      <c r="EJ83" s="647">
        <f t="shared" si="63"/>
        <v>2.4900000000000002</v>
      </c>
      <c r="EK83" s="647">
        <f t="shared" si="64"/>
        <v>6.0500000000000007</v>
      </c>
      <c r="EL83" s="522"/>
      <c r="EM83" s="522"/>
      <c r="EN83" s="522"/>
      <c r="EO83" s="522"/>
      <c r="EP83" s="522"/>
      <c r="EQ83" s="522"/>
      <c r="ER83" s="522"/>
      <c r="ES83" s="407"/>
      <c r="ET83" s="407"/>
    </row>
    <row r="84" spans="1:150" s="357" customFormat="1" ht="15">
      <c r="A84" s="675" t="s">
        <v>6</v>
      </c>
      <c r="B84" s="712">
        <v>41710</v>
      </c>
      <c r="C84" s="713">
        <v>0</v>
      </c>
      <c r="D84" s="681">
        <v>0.01</v>
      </c>
      <c r="E84" s="681">
        <v>0</v>
      </c>
      <c r="F84" s="681">
        <v>40</v>
      </c>
      <c r="G84" s="807">
        <v>3.3</v>
      </c>
      <c r="H84" s="807" t="s">
        <v>744</v>
      </c>
      <c r="I84" s="807">
        <v>79.900000000000006</v>
      </c>
      <c r="J84" s="807">
        <v>0</v>
      </c>
      <c r="K84" s="807">
        <v>0.06</v>
      </c>
      <c r="L84" s="821">
        <f t="shared" ref="L84:L141" si="69">AA84+AB84</f>
        <v>46.769999999999996</v>
      </c>
      <c r="M84" s="807">
        <v>24.4</v>
      </c>
      <c r="N84" s="807">
        <v>0</v>
      </c>
      <c r="O84" s="807" t="s">
        <v>743</v>
      </c>
      <c r="P84" s="807">
        <v>1.43</v>
      </c>
      <c r="Q84" s="807">
        <v>1.7844043826246945</v>
      </c>
      <c r="R84" s="865">
        <v>708.37998943196828</v>
      </c>
      <c r="S84" s="807">
        <v>0</v>
      </c>
      <c r="T84" s="807">
        <v>8.01</v>
      </c>
      <c r="U84" s="807">
        <v>0</v>
      </c>
      <c r="V84" s="807">
        <v>0.73</v>
      </c>
      <c r="W84" s="807">
        <v>32</v>
      </c>
      <c r="X84" s="690">
        <v>44.239999999999995</v>
      </c>
      <c r="Y84" s="807">
        <v>21.3</v>
      </c>
      <c r="Z84" s="807">
        <v>25.8</v>
      </c>
      <c r="AA84" s="794">
        <v>21.27</v>
      </c>
      <c r="AB84" s="794">
        <v>25.5</v>
      </c>
      <c r="AC84" s="775">
        <f t="shared" ref="AC84:AC85" si="70">AA84+AB84</f>
        <v>46.769999999999996</v>
      </c>
      <c r="AD84" s="775">
        <f t="shared" ref="AD84:AD85" si="71">AC84*1.547</f>
        <v>72.353189999999984</v>
      </c>
      <c r="AE84" s="775"/>
      <c r="AF84" s="567"/>
      <c r="AG84" s="2">
        <v>1</v>
      </c>
      <c r="AH84" s="705"/>
      <c r="AI84" s="362"/>
      <c r="AJ84" s="2"/>
      <c r="AK84" s="407"/>
      <c r="AL84" s="407"/>
      <c r="AM84" s="407"/>
      <c r="AN84" s="407"/>
      <c r="AO84" s="387"/>
      <c r="AP84" s="387"/>
      <c r="AQ84" s="405"/>
      <c r="AR84" s="578">
        <v>0</v>
      </c>
      <c r="AS84" s="405">
        <v>23</v>
      </c>
      <c r="AT84" s="578">
        <v>0</v>
      </c>
      <c r="AU84" s="405">
        <v>22</v>
      </c>
      <c r="AV84" s="644">
        <v>316.39999999999998</v>
      </c>
      <c r="AW84" s="644">
        <v>378</v>
      </c>
      <c r="AX84" s="405">
        <v>0</v>
      </c>
      <c r="AY84" s="578">
        <v>0</v>
      </c>
      <c r="AZ84" s="578">
        <v>0</v>
      </c>
      <c r="BA84" s="578">
        <v>0</v>
      </c>
      <c r="BB84" s="1086">
        <v>1</v>
      </c>
      <c r="BC84" s="405">
        <v>0</v>
      </c>
      <c r="BD84" s="405">
        <v>1.5</v>
      </c>
      <c r="BE84" s="578">
        <v>0</v>
      </c>
      <c r="BF84" s="405">
        <v>1</v>
      </c>
      <c r="BG84" s="405">
        <v>0</v>
      </c>
      <c r="BH84" s="578">
        <v>0</v>
      </c>
      <c r="BI84" s="405">
        <v>0</v>
      </c>
      <c r="BJ84" s="405">
        <v>23.1</v>
      </c>
      <c r="BK84" s="405">
        <v>3</v>
      </c>
      <c r="BL84" s="405">
        <v>3.08</v>
      </c>
      <c r="BM84" s="405">
        <v>0</v>
      </c>
      <c r="BN84" s="405">
        <v>16</v>
      </c>
      <c r="BO84" s="405">
        <v>1055.5</v>
      </c>
      <c r="BP84" s="405">
        <v>0</v>
      </c>
      <c r="BQ84" s="649">
        <v>21.06</v>
      </c>
      <c r="BR84" s="649">
        <v>21.02</v>
      </c>
      <c r="BS84" s="649">
        <v>9.3030000000000008</v>
      </c>
      <c r="BT84" s="649">
        <v>9.4280000000000008</v>
      </c>
      <c r="BU84" s="648">
        <v>20.6</v>
      </c>
      <c r="BV84" s="648">
        <v>21.9</v>
      </c>
      <c r="BW84" s="649">
        <v>470.1</v>
      </c>
      <c r="BX84" s="876"/>
      <c r="BY84" s="649">
        <v>1.08</v>
      </c>
      <c r="BZ84" s="649">
        <v>1.4</v>
      </c>
      <c r="CA84" s="649">
        <v>1.3</v>
      </c>
      <c r="CB84" s="649">
        <v>8.6999999999999993</v>
      </c>
      <c r="CC84" s="649">
        <v>7.9</v>
      </c>
      <c r="CD84" s="649">
        <v>15.4</v>
      </c>
      <c r="CE84" s="649">
        <v>33.4</v>
      </c>
      <c r="CF84" s="649">
        <v>12.5</v>
      </c>
      <c r="CG84" s="649">
        <v>8.1</v>
      </c>
      <c r="CH84" s="649">
        <v>13.7</v>
      </c>
      <c r="CI84" s="649">
        <v>17.7</v>
      </c>
      <c r="CJ84" s="649">
        <v>13.58</v>
      </c>
      <c r="CK84" s="649">
        <v>321.10000000000002</v>
      </c>
      <c r="CL84" s="649">
        <v>2</v>
      </c>
      <c r="CM84" s="649">
        <v>2.9</v>
      </c>
      <c r="CN84" s="991">
        <v>820</v>
      </c>
      <c r="CO84" s="649">
        <v>321.60000000000002</v>
      </c>
      <c r="CP84" s="649">
        <v>451.7</v>
      </c>
      <c r="CQ84" s="649">
        <v>12.9</v>
      </c>
      <c r="CR84" s="649">
        <v>1.91</v>
      </c>
      <c r="CS84" s="405">
        <v>3996.8</v>
      </c>
      <c r="CT84" s="405">
        <v>15.911</v>
      </c>
      <c r="CU84" s="405">
        <v>49</v>
      </c>
      <c r="CV84" s="522">
        <v>0</v>
      </c>
      <c r="CW84" s="522">
        <v>0</v>
      </c>
      <c r="CX84" s="522">
        <v>0</v>
      </c>
      <c r="CY84" s="522">
        <v>0</v>
      </c>
      <c r="CZ84" s="689">
        <v>2790</v>
      </c>
      <c r="DA84" s="689">
        <v>4760</v>
      </c>
      <c r="DB84" s="689">
        <v>2770</v>
      </c>
      <c r="DC84" s="643">
        <v>1126.0999999999999</v>
      </c>
      <c r="DD84" s="522"/>
      <c r="DE84" s="522"/>
      <c r="DF84" s="522"/>
      <c r="DG84" s="522"/>
      <c r="DH84" s="522"/>
      <c r="DI84" s="522"/>
      <c r="DJ84" s="522"/>
      <c r="DK84" s="522"/>
      <c r="DL84" s="649"/>
      <c r="DM84" s="689"/>
      <c r="DN84" s="649"/>
      <c r="DO84" s="522"/>
      <c r="DP84" s="522"/>
      <c r="DQ84" s="522"/>
      <c r="DR84" s="522"/>
      <c r="DS84" s="522"/>
      <c r="DT84" s="522"/>
      <c r="DU84" s="522"/>
      <c r="DV84" s="522"/>
      <c r="DW84" s="522"/>
      <c r="DX84" s="522"/>
      <c r="DY84" s="522"/>
      <c r="DZ84" s="522"/>
      <c r="EA84" s="522"/>
      <c r="EB84" s="522"/>
      <c r="EC84" s="522"/>
      <c r="ED84" s="522"/>
      <c r="EE84" s="522"/>
      <c r="EF84" s="522"/>
      <c r="EG84" s="645">
        <f t="shared" si="56"/>
        <v>13.273259999999999</v>
      </c>
      <c r="EH84" s="361">
        <v>0</v>
      </c>
      <c r="EI84" s="647">
        <v>0</v>
      </c>
      <c r="EJ84" s="647">
        <f t="shared" si="63"/>
        <v>2.5</v>
      </c>
      <c r="EK84" s="647">
        <f t="shared" si="64"/>
        <v>6.08</v>
      </c>
      <c r="EL84" s="522"/>
      <c r="EM84" s="522"/>
      <c r="EN84" s="522"/>
      <c r="EO84" s="522"/>
      <c r="EP84" s="522"/>
      <c r="EQ84" s="522"/>
      <c r="ER84" s="522"/>
      <c r="ES84" s="407"/>
      <c r="ET84" s="407"/>
    </row>
    <row r="85" spans="1:150" s="357" customFormat="1" ht="15">
      <c r="A85" s="675" t="s">
        <v>7</v>
      </c>
      <c r="B85" s="712">
        <v>41711</v>
      </c>
      <c r="C85" s="713">
        <v>0</v>
      </c>
      <c r="D85" s="681">
        <v>0.01</v>
      </c>
      <c r="E85" s="681">
        <v>0</v>
      </c>
      <c r="F85" s="681">
        <v>44</v>
      </c>
      <c r="G85" s="807">
        <v>2</v>
      </c>
      <c r="H85" s="807" t="s">
        <v>744</v>
      </c>
      <c r="I85" s="807">
        <v>85.3</v>
      </c>
      <c r="J85" s="807">
        <v>0</v>
      </c>
      <c r="K85" s="807">
        <v>0.06</v>
      </c>
      <c r="L85" s="821">
        <f t="shared" si="69"/>
        <v>46.959999999999994</v>
      </c>
      <c r="M85" s="807">
        <v>23.8</v>
      </c>
      <c r="N85" s="807">
        <v>0</v>
      </c>
      <c r="O85" s="807" t="s">
        <v>743</v>
      </c>
      <c r="P85" s="807">
        <v>1.45</v>
      </c>
      <c r="Q85" s="807">
        <v>1.8302363006122506</v>
      </c>
      <c r="R85" s="865">
        <v>727.49037780713331</v>
      </c>
      <c r="S85" s="807">
        <v>0</v>
      </c>
      <c r="T85" s="807">
        <v>8</v>
      </c>
      <c r="U85" s="807">
        <v>0</v>
      </c>
      <c r="V85" s="807">
        <v>0.71</v>
      </c>
      <c r="W85" s="807">
        <v>32</v>
      </c>
      <c r="X85" s="690">
        <v>44.239999999999995</v>
      </c>
      <c r="Y85" s="807">
        <v>21.27</v>
      </c>
      <c r="Z85" s="807">
        <v>25.5</v>
      </c>
      <c r="AA85" s="794">
        <v>21.4</v>
      </c>
      <c r="AB85" s="794">
        <v>25.56</v>
      </c>
      <c r="AC85" s="775">
        <f t="shared" si="70"/>
        <v>46.959999999999994</v>
      </c>
      <c r="AD85" s="775">
        <f t="shared" si="71"/>
        <v>72.647119999999987</v>
      </c>
      <c r="AE85" s="775"/>
      <c r="AF85" s="567"/>
      <c r="AG85" s="2">
        <v>1</v>
      </c>
      <c r="AH85" s="705"/>
      <c r="AI85" s="362"/>
      <c r="AJ85" s="2"/>
      <c r="AK85" s="407"/>
      <c r="AL85" s="407"/>
      <c r="AM85" s="407"/>
      <c r="AN85" s="407"/>
      <c r="AO85" s="387"/>
      <c r="AP85" s="387"/>
      <c r="AQ85" s="405"/>
      <c r="AR85" s="578">
        <v>0</v>
      </c>
      <c r="AS85" s="405">
        <v>23.4</v>
      </c>
      <c r="AT85" s="578">
        <v>0</v>
      </c>
      <c r="AU85" s="405">
        <v>22</v>
      </c>
      <c r="AV85" s="644">
        <v>440</v>
      </c>
      <c r="AW85" s="644">
        <v>516.79999999999995</v>
      </c>
      <c r="AX85" s="405">
        <v>0</v>
      </c>
      <c r="AY85" s="578">
        <v>0</v>
      </c>
      <c r="AZ85" s="578">
        <v>0</v>
      </c>
      <c r="BA85" s="578">
        <v>0</v>
      </c>
      <c r="BB85" s="1086">
        <v>0.99</v>
      </c>
      <c r="BC85" s="405">
        <v>0</v>
      </c>
      <c r="BD85" s="405">
        <v>1.5</v>
      </c>
      <c r="BE85" s="578">
        <v>0</v>
      </c>
      <c r="BF85" s="405">
        <v>1</v>
      </c>
      <c r="BG85" s="405">
        <v>0</v>
      </c>
      <c r="BH85" s="578">
        <v>0</v>
      </c>
      <c r="BI85" s="405">
        <v>0</v>
      </c>
      <c r="BJ85" s="405">
        <v>23.1</v>
      </c>
      <c r="BK85" s="405">
        <v>3.01</v>
      </c>
      <c r="BL85" s="405">
        <v>3.07</v>
      </c>
      <c r="BM85" s="405">
        <v>0</v>
      </c>
      <c r="BN85" s="405">
        <v>16</v>
      </c>
      <c r="BO85" s="405">
        <v>1051.0999999999999</v>
      </c>
      <c r="BP85" s="405">
        <v>0</v>
      </c>
      <c r="BQ85" s="649">
        <v>20.079999999999998</v>
      </c>
      <c r="BR85" s="649">
        <v>20</v>
      </c>
      <c r="BS85" s="649">
        <v>9.1999999999999993</v>
      </c>
      <c r="BT85" s="649">
        <v>9.3699999999999992</v>
      </c>
      <c r="BU85" s="648">
        <v>20.399999999999999</v>
      </c>
      <c r="BV85" s="648">
        <v>24.1</v>
      </c>
      <c r="BW85" s="649">
        <v>659</v>
      </c>
      <c r="BX85" s="876"/>
      <c r="BY85" s="649">
        <v>0.15</v>
      </c>
      <c r="BZ85" s="649">
        <v>1.42</v>
      </c>
      <c r="CA85" s="649">
        <v>1.3</v>
      </c>
      <c r="CB85" s="649">
        <v>8.6999999999999993</v>
      </c>
      <c r="CC85" s="649">
        <v>8</v>
      </c>
      <c r="CD85" s="649">
        <v>15.7</v>
      </c>
      <c r="CE85" s="649">
        <v>33.6</v>
      </c>
      <c r="CF85" s="649">
        <v>12</v>
      </c>
      <c r="CG85" s="649">
        <v>8.3000000000000007</v>
      </c>
      <c r="CH85" s="649">
        <v>13.8</v>
      </c>
      <c r="CI85" s="649">
        <v>17.899999999999999</v>
      </c>
      <c r="CJ85" s="649">
        <v>14.06</v>
      </c>
      <c r="CK85" s="649">
        <v>332.1</v>
      </c>
      <c r="CL85" s="649">
        <v>2.6</v>
      </c>
      <c r="CM85" s="649">
        <v>3.4</v>
      </c>
      <c r="CN85" s="991">
        <v>820</v>
      </c>
      <c r="CO85" s="649">
        <v>317.2</v>
      </c>
      <c r="CP85" s="649">
        <v>456.9</v>
      </c>
      <c r="CQ85" s="649">
        <v>14.3</v>
      </c>
      <c r="CR85" s="649">
        <v>1.94</v>
      </c>
      <c r="CS85" s="405">
        <v>4743.8999999999996</v>
      </c>
      <c r="CT85" s="405">
        <v>17.983000000000001</v>
      </c>
      <c r="CU85" s="405">
        <v>49</v>
      </c>
      <c r="CV85" s="522">
        <v>0</v>
      </c>
      <c r="CW85" s="522">
        <v>0</v>
      </c>
      <c r="CX85" s="522">
        <v>0</v>
      </c>
      <c r="CY85" s="522">
        <v>0</v>
      </c>
      <c r="CZ85" s="689">
        <v>2200</v>
      </c>
      <c r="DA85" s="689">
        <v>3800</v>
      </c>
      <c r="DB85" s="689">
        <v>2200</v>
      </c>
      <c r="DC85" s="643">
        <v>1125.23</v>
      </c>
      <c r="DD85" s="522"/>
      <c r="DE85" s="522"/>
      <c r="DF85" s="522"/>
      <c r="DG85" s="522"/>
      <c r="DH85" s="522"/>
      <c r="DI85" s="522"/>
      <c r="DJ85" s="522"/>
      <c r="DK85" s="522"/>
      <c r="DL85" s="649"/>
      <c r="DM85" s="689"/>
      <c r="DN85" s="649"/>
      <c r="DO85" s="522"/>
      <c r="DP85" s="522"/>
      <c r="DQ85" s="522"/>
      <c r="DR85" s="522"/>
      <c r="DS85" s="522"/>
      <c r="DT85" s="522"/>
      <c r="DU85" s="522"/>
      <c r="DV85" s="522"/>
      <c r="DW85" s="522"/>
      <c r="DX85" s="522"/>
      <c r="DY85" s="522"/>
      <c r="DZ85" s="522"/>
      <c r="EA85" s="522"/>
      <c r="EB85" s="522"/>
      <c r="EC85" s="522"/>
      <c r="ED85" s="522"/>
      <c r="EE85" s="522"/>
      <c r="EF85" s="522"/>
      <c r="EG85" s="645">
        <f t="shared" si="56"/>
        <v>13.273259999999999</v>
      </c>
      <c r="EH85" s="361">
        <v>0</v>
      </c>
      <c r="EI85" s="647">
        <v>0</v>
      </c>
      <c r="EJ85" s="647">
        <f t="shared" si="63"/>
        <v>2.5</v>
      </c>
      <c r="EK85" s="647">
        <f t="shared" si="64"/>
        <v>6.08</v>
      </c>
      <c r="EL85" s="522"/>
      <c r="EM85" s="522"/>
      <c r="EN85" s="522"/>
      <c r="EO85" s="522"/>
      <c r="EP85" s="522"/>
      <c r="EQ85" s="522"/>
      <c r="ER85" s="522"/>
      <c r="ES85" s="407"/>
      <c r="ET85" s="407"/>
    </row>
    <row r="86" spans="1:150" s="357" customFormat="1" ht="15">
      <c r="A86" s="675" t="s">
        <v>8</v>
      </c>
      <c r="B86" s="712">
        <v>41712</v>
      </c>
      <c r="C86" s="713">
        <v>0</v>
      </c>
      <c r="D86" s="681">
        <v>0.91</v>
      </c>
      <c r="E86" s="681">
        <v>0</v>
      </c>
      <c r="F86" s="681">
        <v>40</v>
      </c>
      <c r="G86" s="807">
        <v>2.4</v>
      </c>
      <c r="H86" s="807" t="s">
        <v>744</v>
      </c>
      <c r="I86" s="807">
        <v>86.7</v>
      </c>
      <c r="J86" s="807">
        <v>0</v>
      </c>
      <c r="K86" s="807">
        <v>0.06</v>
      </c>
      <c r="L86" s="821">
        <f t="shared" si="69"/>
        <v>46.8</v>
      </c>
      <c r="M86" s="807">
        <v>23.6</v>
      </c>
      <c r="N86" s="807">
        <v>0</v>
      </c>
      <c r="O86" s="807" t="s">
        <v>743</v>
      </c>
      <c r="P86" s="807">
        <v>1.46</v>
      </c>
      <c r="Q86" s="807">
        <v>1.8003609659190021</v>
      </c>
      <c r="R86" s="865">
        <v>719.068850726552</v>
      </c>
      <c r="S86" s="807">
        <v>0</v>
      </c>
      <c r="T86" s="807">
        <v>7.98</v>
      </c>
      <c r="U86" s="807">
        <v>0</v>
      </c>
      <c r="V86" s="807">
        <v>0.7</v>
      </c>
      <c r="W86" s="807">
        <v>32</v>
      </c>
      <c r="X86" s="690">
        <v>44.239999999999995</v>
      </c>
      <c r="Y86" s="807">
        <v>21.33</v>
      </c>
      <c r="Z86" s="807">
        <v>25.59</v>
      </c>
      <c r="AA86" s="794">
        <v>21.3</v>
      </c>
      <c r="AB86" s="794">
        <v>25.5</v>
      </c>
      <c r="AC86" s="775">
        <f t="shared" ref="AC86:AC88" si="72">AA86+AB86</f>
        <v>46.8</v>
      </c>
      <c r="AD86" s="775">
        <f t="shared" ref="AD86:AD88" si="73">AC86*1.547</f>
        <v>72.399599999999992</v>
      </c>
      <c r="AE86" s="775"/>
      <c r="AF86" s="567"/>
      <c r="AG86" s="2">
        <v>1</v>
      </c>
      <c r="AH86" s="705"/>
      <c r="AI86" s="362"/>
      <c r="AJ86" s="2"/>
      <c r="AK86" s="407"/>
      <c r="AL86" s="407"/>
      <c r="AM86" s="407"/>
      <c r="AN86" s="407"/>
      <c r="AO86" s="387"/>
      <c r="AP86" s="387"/>
      <c r="AQ86" s="405"/>
      <c r="AR86" s="578">
        <v>0</v>
      </c>
      <c r="AS86" s="405">
        <v>22.4</v>
      </c>
      <c r="AT86" s="578">
        <v>0</v>
      </c>
      <c r="AU86" s="405">
        <v>22.1</v>
      </c>
      <c r="AV86" s="644">
        <v>454.4</v>
      </c>
      <c r="AW86" s="644">
        <v>563.9</v>
      </c>
      <c r="AX86" s="405">
        <v>0</v>
      </c>
      <c r="AY86" s="578">
        <v>0</v>
      </c>
      <c r="AZ86" s="578">
        <v>0</v>
      </c>
      <c r="BA86" s="578">
        <v>0</v>
      </c>
      <c r="BB86" s="1086">
        <v>0.97</v>
      </c>
      <c r="BC86" s="405">
        <v>0</v>
      </c>
      <c r="BD86" s="405">
        <v>1.5</v>
      </c>
      <c r="BE86" s="578">
        <v>0</v>
      </c>
      <c r="BF86" s="405">
        <v>1</v>
      </c>
      <c r="BG86" s="405">
        <v>0</v>
      </c>
      <c r="BH86" s="578">
        <v>0</v>
      </c>
      <c r="BI86" s="405">
        <v>0</v>
      </c>
      <c r="BJ86" s="405">
        <v>23</v>
      </c>
      <c r="BK86" s="405">
        <v>3</v>
      </c>
      <c r="BL86" s="405">
        <v>3.07</v>
      </c>
      <c r="BM86" s="405">
        <v>0</v>
      </c>
      <c r="BN86" s="405">
        <v>16</v>
      </c>
      <c r="BO86" s="405">
        <v>998.9</v>
      </c>
      <c r="BP86" s="405">
        <v>0</v>
      </c>
      <c r="BQ86" s="649">
        <v>20.22</v>
      </c>
      <c r="BR86" s="649">
        <v>20.2</v>
      </c>
      <c r="BS86" s="649">
        <v>9.1999999999999993</v>
      </c>
      <c r="BT86" s="649">
        <v>9.3000000000000007</v>
      </c>
      <c r="BU86" s="648">
        <v>20.3</v>
      </c>
      <c r="BV86" s="648">
        <v>21.9</v>
      </c>
      <c r="BW86" s="649">
        <v>462.1</v>
      </c>
      <c r="BX86" s="876"/>
      <c r="BY86" s="649">
        <v>0.15</v>
      </c>
      <c r="BZ86" s="649">
        <v>1.42</v>
      </c>
      <c r="CA86" s="649">
        <v>1.3</v>
      </c>
      <c r="CB86" s="649">
        <v>8.6999999999999993</v>
      </c>
      <c r="CC86" s="649">
        <v>8.1</v>
      </c>
      <c r="CD86" s="649">
        <v>14.7</v>
      </c>
      <c r="CE86" s="649">
        <v>33.700000000000003</v>
      </c>
      <c r="CF86" s="649">
        <v>14.8</v>
      </c>
      <c r="CG86" s="649">
        <v>8.1999999999999993</v>
      </c>
      <c r="CH86" s="649">
        <v>13.7</v>
      </c>
      <c r="CI86" s="649">
        <v>17.7</v>
      </c>
      <c r="CJ86" s="649">
        <v>12.02</v>
      </c>
      <c r="CK86" s="649">
        <v>269.60000000000002</v>
      </c>
      <c r="CL86" s="649">
        <v>1.6</v>
      </c>
      <c r="CM86" s="649">
        <v>3.4</v>
      </c>
      <c r="CN86" s="991">
        <v>820</v>
      </c>
      <c r="CO86" s="649">
        <v>311.89999999999998</v>
      </c>
      <c r="CP86" s="649">
        <v>460.6</v>
      </c>
      <c r="CQ86" s="649">
        <v>14.4</v>
      </c>
      <c r="CR86" s="649">
        <v>2.0099999999999998</v>
      </c>
      <c r="CS86" s="405">
        <v>5086.2</v>
      </c>
      <c r="CT86" s="405">
        <v>17.922000000000001</v>
      </c>
      <c r="CU86" s="405">
        <v>49</v>
      </c>
      <c r="CV86" s="522">
        <v>0</v>
      </c>
      <c r="CW86" s="522">
        <v>0</v>
      </c>
      <c r="CX86" s="522">
        <v>0</v>
      </c>
      <c r="CY86" s="522">
        <v>0</v>
      </c>
      <c r="CZ86" s="689">
        <v>2500</v>
      </c>
      <c r="DA86" s="689">
        <v>4090</v>
      </c>
      <c r="DB86" s="689">
        <v>2510</v>
      </c>
      <c r="DC86" s="643">
        <v>1126.5999999999999</v>
      </c>
      <c r="DD86" s="522"/>
      <c r="DE86" s="522"/>
      <c r="DF86" s="522"/>
      <c r="DG86" s="522"/>
      <c r="DH86" s="522"/>
      <c r="DI86" s="522"/>
      <c r="DJ86" s="522"/>
      <c r="DK86" s="522"/>
      <c r="DL86" s="649"/>
      <c r="DM86" s="689"/>
      <c r="DN86" s="649"/>
      <c r="DO86" s="522"/>
      <c r="DP86" s="522"/>
      <c r="DQ86" s="522"/>
      <c r="DR86" s="522"/>
      <c r="DS86" s="522"/>
      <c r="DT86" s="522"/>
      <c r="DU86" s="522"/>
      <c r="DV86" s="522"/>
      <c r="DW86" s="522"/>
      <c r="DX86" s="522"/>
      <c r="DY86" s="522"/>
      <c r="DZ86" s="522"/>
      <c r="EA86" s="522"/>
      <c r="EB86" s="522"/>
      <c r="EC86" s="522"/>
      <c r="ED86" s="522"/>
      <c r="EE86" s="522"/>
      <c r="EF86" s="522"/>
      <c r="EG86" s="645">
        <f t="shared" si="56"/>
        <v>13.25779</v>
      </c>
      <c r="EH86" s="361">
        <v>0</v>
      </c>
      <c r="EI86" s="647">
        <v>0</v>
      </c>
      <c r="EJ86" s="647">
        <f t="shared" si="63"/>
        <v>2.5</v>
      </c>
      <c r="EK86" s="647">
        <f t="shared" si="64"/>
        <v>6.07</v>
      </c>
      <c r="EL86" s="522"/>
      <c r="EM86" s="522"/>
      <c r="EN86" s="522"/>
      <c r="EO86" s="522"/>
      <c r="EP86" s="522"/>
      <c r="EQ86" s="522"/>
      <c r="ER86" s="522"/>
      <c r="ES86" s="407"/>
      <c r="ET86" s="407"/>
    </row>
    <row r="87" spans="1:150" s="357" customFormat="1" ht="15">
      <c r="A87" s="675" t="s">
        <v>9</v>
      </c>
      <c r="B87" s="712">
        <v>41713</v>
      </c>
      <c r="C87" s="713">
        <v>0</v>
      </c>
      <c r="D87" s="681">
        <v>0.39</v>
      </c>
      <c r="E87" s="681">
        <v>0</v>
      </c>
      <c r="F87" s="681">
        <v>49</v>
      </c>
      <c r="G87" s="807">
        <v>2.4</v>
      </c>
      <c r="H87" s="807" t="s">
        <v>744</v>
      </c>
      <c r="I87" s="807">
        <v>0</v>
      </c>
      <c r="J87" s="807">
        <v>0</v>
      </c>
      <c r="K87" s="807">
        <v>0.06</v>
      </c>
      <c r="L87" s="821">
        <f t="shared" si="69"/>
        <v>46.8</v>
      </c>
      <c r="M87" s="807">
        <v>23.2</v>
      </c>
      <c r="N87" s="807">
        <v>0</v>
      </c>
      <c r="O87" s="807" t="s">
        <v>743</v>
      </c>
      <c r="P87" s="807">
        <v>1.45</v>
      </c>
      <c r="Q87" s="807">
        <v>1.8219665280704018</v>
      </c>
      <c r="R87" s="865">
        <v>721.01228005284008</v>
      </c>
      <c r="S87" s="807">
        <v>0</v>
      </c>
      <c r="T87" s="807">
        <v>7.95</v>
      </c>
      <c r="U87" s="807">
        <v>0</v>
      </c>
      <c r="V87" s="807">
        <v>0.71</v>
      </c>
      <c r="W87" s="807">
        <v>32</v>
      </c>
      <c r="X87" s="690">
        <v>44.239999999999995</v>
      </c>
      <c r="Y87" s="807">
        <v>21.3</v>
      </c>
      <c r="Z87" s="807">
        <v>25.5</v>
      </c>
      <c r="AA87" s="794">
        <v>21.3</v>
      </c>
      <c r="AB87" s="794">
        <v>25.5</v>
      </c>
      <c r="AC87" s="775">
        <f t="shared" si="72"/>
        <v>46.8</v>
      </c>
      <c r="AD87" s="775">
        <f t="shared" si="73"/>
        <v>72.399599999999992</v>
      </c>
      <c r="AE87" s="775"/>
      <c r="AF87" s="567"/>
      <c r="AG87" s="2">
        <v>1</v>
      </c>
      <c r="AH87" s="705"/>
      <c r="AI87" s="362"/>
      <c r="AJ87" s="2"/>
      <c r="AK87" s="407"/>
      <c r="AL87" s="407"/>
      <c r="AM87" s="407"/>
      <c r="AN87" s="407"/>
      <c r="AO87" s="387"/>
      <c r="AP87" s="387"/>
      <c r="AQ87" s="405"/>
      <c r="AR87" s="578">
        <v>0</v>
      </c>
      <c r="AS87" s="405">
        <v>12.7</v>
      </c>
      <c r="AT87" s="578">
        <v>0</v>
      </c>
      <c r="AU87" s="405">
        <v>22</v>
      </c>
      <c r="AV87" s="644">
        <v>529.5</v>
      </c>
      <c r="AW87" s="644">
        <v>626.1</v>
      </c>
      <c r="AX87" s="405">
        <v>0</v>
      </c>
      <c r="AY87" s="578">
        <v>0</v>
      </c>
      <c r="AZ87" s="578">
        <v>0</v>
      </c>
      <c r="BA87" s="578">
        <v>0</v>
      </c>
      <c r="BB87" s="1086">
        <v>0.98</v>
      </c>
      <c r="BC87" s="405">
        <v>0</v>
      </c>
      <c r="BD87" s="405">
        <v>1.7</v>
      </c>
      <c r="BE87" s="578">
        <v>0</v>
      </c>
      <c r="BF87" s="405">
        <v>1</v>
      </c>
      <c r="BG87" s="405">
        <v>0</v>
      </c>
      <c r="BH87" s="578">
        <v>0</v>
      </c>
      <c r="BI87" s="405">
        <v>0</v>
      </c>
      <c r="BJ87" s="405">
        <v>22.8</v>
      </c>
      <c r="BK87" s="405">
        <v>3.02</v>
      </c>
      <c r="BL87" s="405">
        <v>3.07</v>
      </c>
      <c r="BM87" s="405">
        <v>0</v>
      </c>
      <c r="BN87" s="405">
        <v>15.7</v>
      </c>
      <c r="BO87" s="405">
        <v>1066.0999999999999</v>
      </c>
      <c r="BP87" s="405">
        <v>0</v>
      </c>
      <c r="BQ87" s="649">
        <v>18.86</v>
      </c>
      <c r="BR87" s="649">
        <v>18.8</v>
      </c>
      <c r="BS87" s="649">
        <v>9.07</v>
      </c>
      <c r="BT87" s="649">
        <v>9.1999999999999993</v>
      </c>
      <c r="BU87" s="648">
        <v>20.100000000000001</v>
      </c>
      <c r="BV87" s="648">
        <v>23.7</v>
      </c>
      <c r="BW87" s="649">
        <v>608.79999999999995</v>
      </c>
      <c r="BX87" s="876"/>
      <c r="BY87" s="649">
        <v>0.15</v>
      </c>
      <c r="BZ87" s="649">
        <v>1.42</v>
      </c>
      <c r="CA87" s="649">
        <v>1.3</v>
      </c>
      <c r="CB87" s="649">
        <v>8.6999999999999993</v>
      </c>
      <c r="CC87" s="649">
        <v>8.1</v>
      </c>
      <c r="CD87" s="649">
        <v>15.2</v>
      </c>
      <c r="CE87" s="649">
        <v>33.200000000000003</v>
      </c>
      <c r="CF87" s="649">
        <v>14.2</v>
      </c>
      <c r="CG87" s="649">
        <v>8.1</v>
      </c>
      <c r="CH87" s="649">
        <v>13.6</v>
      </c>
      <c r="CI87" s="649">
        <v>17.600000000000001</v>
      </c>
      <c r="CJ87" s="649">
        <v>13.1</v>
      </c>
      <c r="CK87" s="649">
        <v>285.89999999999998</v>
      </c>
      <c r="CL87" s="649">
        <v>3</v>
      </c>
      <c r="CM87" s="649">
        <v>3.8</v>
      </c>
      <c r="CN87" s="991">
        <v>820</v>
      </c>
      <c r="CO87" s="649">
        <v>335.2</v>
      </c>
      <c r="CP87" s="649">
        <v>427.7</v>
      </c>
      <c r="CQ87" s="649">
        <v>13.8</v>
      </c>
      <c r="CR87" s="649">
        <v>1.79</v>
      </c>
      <c r="CS87" s="405">
        <v>4797.3</v>
      </c>
      <c r="CT87" s="405">
        <v>18.167000000000002</v>
      </c>
      <c r="CU87" s="405">
        <v>49</v>
      </c>
      <c r="CV87" s="522">
        <v>0</v>
      </c>
      <c r="CW87" s="522">
        <v>0</v>
      </c>
      <c r="CX87" s="522">
        <v>0</v>
      </c>
      <c r="CY87" s="522">
        <v>0</v>
      </c>
      <c r="CZ87" s="689">
        <v>2510</v>
      </c>
      <c r="DA87" s="689">
        <v>4010</v>
      </c>
      <c r="DB87" s="689">
        <v>2500</v>
      </c>
      <c r="DC87" s="643">
        <v>1127.9000000000001</v>
      </c>
      <c r="DD87" s="522"/>
      <c r="DE87" s="522"/>
      <c r="DF87" s="522"/>
      <c r="DG87" s="522"/>
      <c r="DH87" s="522"/>
      <c r="DI87" s="522"/>
      <c r="DJ87" s="522"/>
      <c r="DK87" s="522"/>
      <c r="DL87" s="649"/>
      <c r="DM87" s="689"/>
      <c r="DN87" s="649"/>
      <c r="DO87" s="522"/>
      <c r="DP87" s="522"/>
      <c r="DQ87" s="522"/>
      <c r="DR87" s="522"/>
      <c r="DS87" s="522"/>
      <c r="DT87" s="522"/>
      <c r="DU87" s="522"/>
      <c r="DV87" s="522"/>
      <c r="DW87" s="522"/>
      <c r="DX87" s="522"/>
      <c r="DY87" s="522"/>
      <c r="DZ87" s="522"/>
      <c r="EA87" s="522"/>
      <c r="EB87" s="522"/>
      <c r="EC87" s="522"/>
      <c r="ED87" s="522"/>
      <c r="EE87" s="522"/>
      <c r="EF87" s="522"/>
      <c r="EG87" s="645">
        <f t="shared" si="56"/>
        <v>13.598129999999998</v>
      </c>
      <c r="EH87" s="361">
        <v>0</v>
      </c>
      <c r="EI87" s="647">
        <v>0</v>
      </c>
      <c r="EJ87" s="647">
        <f t="shared" si="63"/>
        <v>2.7</v>
      </c>
      <c r="EK87" s="647">
        <f t="shared" si="64"/>
        <v>6.09</v>
      </c>
      <c r="EL87" s="522"/>
      <c r="EM87" s="522"/>
      <c r="EN87" s="522"/>
      <c r="EO87" s="522"/>
      <c r="EP87" s="522"/>
      <c r="EQ87" s="522"/>
      <c r="ER87" s="522"/>
      <c r="ES87" s="407"/>
      <c r="ET87" s="407"/>
    </row>
    <row r="88" spans="1:150" s="357" customFormat="1" ht="15">
      <c r="A88" s="675" t="s">
        <v>3</v>
      </c>
      <c r="B88" s="712">
        <v>41714</v>
      </c>
      <c r="C88" s="713">
        <v>0</v>
      </c>
      <c r="D88" s="681">
        <v>2.52</v>
      </c>
      <c r="E88" s="681">
        <v>0</v>
      </c>
      <c r="F88" s="681">
        <v>34</v>
      </c>
      <c r="G88" s="807">
        <v>2.4</v>
      </c>
      <c r="H88" s="807" t="s">
        <v>744</v>
      </c>
      <c r="I88" s="807">
        <v>0</v>
      </c>
      <c r="J88" s="807">
        <v>0</v>
      </c>
      <c r="K88" s="807">
        <v>0.05</v>
      </c>
      <c r="L88" s="821">
        <f t="shared" si="69"/>
        <v>46.7</v>
      </c>
      <c r="M88" s="807">
        <v>23.4</v>
      </c>
      <c r="N88" s="807">
        <v>0</v>
      </c>
      <c r="O88" s="807" t="s">
        <v>743</v>
      </c>
      <c r="P88" s="807">
        <v>1.42</v>
      </c>
      <c r="Q88" s="807">
        <v>1.8172132015871842</v>
      </c>
      <c r="R88" s="865">
        <v>720.04056538969598</v>
      </c>
      <c r="S88" s="807">
        <v>0</v>
      </c>
      <c r="T88" s="807">
        <v>7.95</v>
      </c>
      <c r="U88" s="807">
        <v>0</v>
      </c>
      <c r="V88" s="807">
        <v>0.72</v>
      </c>
      <c r="W88" s="807">
        <v>32</v>
      </c>
      <c r="X88" s="690">
        <v>44.239999999999995</v>
      </c>
      <c r="Y88" s="807">
        <v>21.3</v>
      </c>
      <c r="Z88" s="807">
        <v>25.5</v>
      </c>
      <c r="AA88" s="794">
        <v>21</v>
      </c>
      <c r="AB88" s="794">
        <v>25.7</v>
      </c>
      <c r="AC88" s="775">
        <f t="shared" si="72"/>
        <v>46.7</v>
      </c>
      <c r="AD88" s="775">
        <f t="shared" si="73"/>
        <v>72.244900000000001</v>
      </c>
      <c r="AE88" s="775"/>
      <c r="AF88" s="567"/>
      <c r="AG88" s="2">
        <v>1</v>
      </c>
      <c r="AH88" s="705"/>
      <c r="AI88" s="362"/>
      <c r="AJ88" s="2"/>
      <c r="AK88" s="407"/>
      <c r="AL88" s="407"/>
      <c r="AM88" s="407"/>
      <c r="AN88" s="407"/>
      <c r="AO88" s="387"/>
      <c r="AP88" s="387"/>
      <c r="AQ88" s="405"/>
      <c r="AR88" s="578">
        <v>0</v>
      </c>
      <c r="AS88" s="405">
        <v>21.1</v>
      </c>
      <c r="AT88" s="578">
        <v>0</v>
      </c>
      <c r="AU88" s="405">
        <v>21.9</v>
      </c>
      <c r="AV88" s="644">
        <v>394.1</v>
      </c>
      <c r="AW88" s="644">
        <v>496</v>
      </c>
      <c r="AX88" s="405">
        <v>0</v>
      </c>
      <c r="AY88" s="578">
        <v>0</v>
      </c>
      <c r="AZ88" s="578">
        <v>0</v>
      </c>
      <c r="BA88" s="578">
        <v>0</v>
      </c>
      <c r="BB88" s="1086">
        <v>0.98</v>
      </c>
      <c r="BC88" s="405">
        <v>0</v>
      </c>
      <c r="BD88" s="405">
        <v>1.72</v>
      </c>
      <c r="BE88" s="578">
        <v>0</v>
      </c>
      <c r="BF88" s="405">
        <v>0.99</v>
      </c>
      <c r="BG88" s="405">
        <v>0</v>
      </c>
      <c r="BH88" s="578">
        <v>0</v>
      </c>
      <c r="BI88" s="405">
        <v>0</v>
      </c>
      <c r="BJ88" s="405">
        <v>23</v>
      </c>
      <c r="BK88" s="405">
        <v>2.98</v>
      </c>
      <c r="BL88" s="405">
        <v>3.07</v>
      </c>
      <c r="BM88" s="405">
        <v>0</v>
      </c>
      <c r="BN88" s="405">
        <v>15.9</v>
      </c>
      <c r="BO88" s="405">
        <v>1155.7</v>
      </c>
      <c r="BP88" s="405">
        <v>27.5</v>
      </c>
      <c r="BQ88" s="649">
        <v>17.899999999999999</v>
      </c>
      <c r="BR88" s="649">
        <v>17.899999999999999</v>
      </c>
      <c r="BS88" s="649">
        <v>9.11</v>
      </c>
      <c r="BT88" s="649">
        <v>9.27</v>
      </c>
      <c r="BU88" s="648">
        <v>20.2</v>
      </c>
      <c r="BV88" s="648">
        <v>23.6</v>
      </c>
      <c r="BW88" s="649">
        <v>566.20000000000005</v>
      </c>
      <c r="BX88" s="876"/>
      <c r="BY88" s="649">
        <v>0.15</v>
      </c>
      <c r="BZ88" s="649">
        <v>1.42</v>
      </c>
      <c r="CA88" s="649">
        <v>1.3</v>
      </c>
      <c r="CB88" s="649">
        <v>8.6999999999999993</v>
      </c>
      <c r="CC88" s="649">
        <v>8.1</v>
      </c>
      <c r="CD88" s="649">
        <v>15.5</v>
      </c>
      <c r="CE88" s="649">
        <v>33.299999999999997</v>
      </c>
      <c r="CF88" s="649">
        <v>13.4</v>
      </c>
      <c r="CG88" s="649">
        <v>8.3000000000000007</v>
      </c>
      <c r="CH88" s="649">
        <v>13.8</v>
      </c>
      <c r="CI88" s="649">
        <v>17.899999999999999</v>
      </c>
      <c r="CJ88" s="649">
        <v>13.6</v>
      </c>
      <c r="CK88" s="649">
        <v>303.2</v>
      </c>
      <c r="CL88" s="649">
        <v>2.5</v>
      </c>
      <c r="CM88" s="649">
        <v>3.3</v>
      </c>
      <c r="CN88" s="991">
        <v>820</v>
      </c>
      <c r="CO88" s="649">
        <v>362.3</v>
      </c>
      <c r="CP88" s="649">
        <v>432.4</v>
      </c>
      <c r="CQ88" s="649">
        <v>13.2</v>
      </c>
      <c r="CR88" s="649">
        <v>1.5</v>
      </c>
      <c r="CS88" s="405">
        <v>4410.1000000000004</v>
      </c>
      <c r="CT88" s="405">
        <v>17.646000000000001</v>
      </c>
      <c r="CU88" s="405">
        <v>49</v>
      </c>
      <c r="CV88" s="522">
        <v>0</v>
      </c>
      <c r="CW88" s="522">
        <v>0</v>
      </c>
      <c r="CX88" s="522">
        <v>0</v>
      </c>
      <c r="CY88" s="522">
        <v>0</v>
      </c>
      <c r="CZ88" s="689">
        <v>2510</v>
      </c>
      <c r="DA88" s="689">
        <v>5080</v>
      </c>
      <c r="DB88" s="689">
        <v>2670</v>
      </c>
      <c r="DC88" s="643">
        <v>1129.82</v>
      </c>
      <c r="DD88" s="522"/>
      <c r="DE88" s="522"/>
      <c r="DF88" s="522"/>
      <c r="DG88" s="522"/>
      <c r="DH88" s="522"/>
      <c r="DI88" s="522"/>
      <c r="DJ88" s="522"/>
      <c r="DK88" s="522"/>
      <c r="DL88" s="649"/>
      <c r="DM88" s="689"/>
      <c r="DN88" s="649"/>
      <c r="DO88" s="522"/>
      <c r="DP88" s="522"/>
      <c r="DQ88" s="522"/>
      <c r="DR88" s="522"/>
      <c r="DS88" s="522"/>
      <c r="DT88" s="522"/>
      <c r="DU88" s="522"/>
      <c r="DV88" s="522"/>
      <c r="DW88" s="522"/>
      <c r="DX88" s="522"/>
      <c r="DY88" s="522"/>
      <c r="DZ88" s="522"/>
      <c r="EA88" s="522"/>
      <c r="EB88" s="522"/>
      <c r="EC88" s="522"/>
      <c r="ED88" s="522"/>
      <c r="EE88" s="522"/>
      <c r="EF88" s="522"/>
      <c r="EG88" s="645">
        <f t="shared" si="56"/>
        <v>13.55172</v>
      </c>
      <c r="EH88" s="361">
        <v>0</v>
      </c>
      <c r="EI88" s="647">
        <v>0</v>
      </c>
      <c r="EJ88" s="647">
        <f t="shared" ref="EJ88:EJ92" si="74">BC88+BD88+BF88</f>
        <v>2.71</v>
      </c>
      <c r="EK88" s="647">
        <f t="shared" ref="EK88:EK92" si="75">BK88+BL88+BM88</f>
        <v>6.05</v>
      </c>
      <c r="EL88" s="522"/>
      <c r="EM88" s="522"/>
      <c r="EN88" s="522"/>
      <c r="EO88" s="522"/>
      <c r="EP88" s="522"/>
      <c r="EQ88" s="522"/>
      <c r="ER88" s="522"/>
      <c r="ES88" s="407"/>
      <c r="ET88" s="407"/>
    </row>
    <row r="89" spans="1:150" s="357" customFormat="1" ht="15">
      <c r="A89" s="675" t="s">
        <v>4</v>
      </c>
      <c r="B89" s="712">
        <v>41715</v>
      </c>
      <c r="C89" s="713">
        <v>0</v>
      </c>
      <c r="D89" s="681">
        <v>0.32</v>
      </c>
      <c r="E89" s="681">
        <v>0</v>
      </c>
      <c r="F89" s="681">
        <v>36</v>
      </c>
      <c r="G89" s="807">
        <v>2.2000000000000002</v>
      </c>
      <c r="H89" s="807" t="s">
        <v>744</v>
      </c>
      <c r="I89" s="807">
        <v>89.82</v>
      </c>
      <c r="J89" s="807">
        <v>0</v>
      </c>
      <c r="K89" s="807">
        <v>0.06</v>
      </c>
      <c r="L89" s="821">
        <f t="shared" si="69"/>
        <v>46.900000000000006</v>
      </c>
      <c r="M89" s="807">
        <v>23.8</v>
      </c>
      <c r="N89" s="807">
        <v>0</v>
      </c>
      <c r="O89" s="807" t="s">
        <v>743</v>
      </c>
      <c r="P89" s="807">
        <v>1.45</v>
      </c>
      <c r="Q89" s="807">
        <v>1.8247390872415492</v>
      </c>
      <c r="R89" s="865">
        <v>729.10990224570662</v>
      </c>
      <c r="S89" s="807">
        <v>0</v>
      </c>
      <c r="T89" s="807">
        <v>7.99</v>
      </c>
      <c r="U89" s="807">
        <v>0</v>
      </c>
      <c r="V89" s="807">
        <v>0.72</v>
      </c>
      <c r="W89" s="807">
        <v>32</v>
      </c>
      <c r="X89" s="690">
        <v>44.239999999999995</v>
      </c>
      <c r="Y89" s="807">
        <v>21</v>
      </c>
      <c r="Z89" s="807">
        <v>25.7</v>
      </c>
      <c r="AA89" s="794">
        <v>20.8</v>
      </c>
      <c r="AB89" s="794">
        <v>26.1</v>
      </c>
      <c r="AC89" s="775">
        <f t="shared" ref="AC89" si="76">AA89+AB89</f>
        <v>46.900000000000006</v>
      </c>
      <c r="AD89" s="775">
        <f t="shared" ref="AD89" si="77">AC89*1.547</f>
        <v>72.554300000000012</v>
      </c>
      <c r="AE89" s="775"/>
      <c r="AF89" s="567"/>
      <c r="AG89" s="2">
        <v>1</v>
      </c>
      <c r="AH89" s="705"/>
      <c r="AI89" s="362"/>
      <c r="AJ89" s="2"/>
      <c r="AK89" s="407"/>
      <c r="AL89" s="407"/>
      <c r="AM89" s="407"/>
      <c r="AN89" s="407"/>
      <c r="AO89" s="387"/>
      <c r="AP89" s="387"/>
      <c r="AQ89" s="405"/>
      <c r="AR89" s="578">
        <v>0</v>
      </c>
      <c r="AS89" s="405">
        <v>21.5</v>
      </c>
      <c r="AT89" s="578">
        <v>0</v>
      </c>
      <c r="AU89" s="405">
        <v>21.5</v>
      </c>
      <c r="AV89" s="644">
        <v>248.6</v>
      </c>
      <c r="AW89" s="644">
        <v>300.3</v>
      </c>
      <c r="AX89" s="405">
        <v>0</v>
      </c>
      <c r="AY89" s="578">
        <v>0</v>
      </c>
      <c r="AZ89" s="578">
        <v>0</v>
      </c>
      <c r="BA89" s="578">
        <v>0</v>
      </c>
      <c r="BB89" s="1086">
        <v>0.98</v>
      </c>
      <c r="BC89" s="405">
        <v>0</v>
      </c>
      <c r="BD89" s="405">
        <v>1.62</v>
      </c>
      <c r="BE89" s="578">
        <v>0</v>
      </c>
      <c r="BF89" s="405">
        <v>1</v>
      </c>
      <c r="BG89" s="405">
        <v>0</v>
      </c>
      <c r="BH89" s="578">
        <v>0</v>
      </c>
      <c r="BI89" s="405">
        <v>0</v>
      </c>
      <c r="BJ89" s="405">
        <v>23.5</v>
      </c>
      <c r="BK89" s="405">
        <v>3.02</v>
      </c>
      <c r="BL89" s="405">
        <v>3.07</v>
      </c>
      <c r="BM89" s="405">
        <v>0</v>
      </c>
      <c r="BN89" s="405">
        <v>16.399999999999999</v>
      </c>
      <c r="BO89" s="405">
        <v>1053.4000000000001</v>
      </c>
      <c r="BP89" s="405">
        <v>3.2</v>
      </c>
      <c r="BQ89" s="649">
        <v>18.309999999999999</v>
      </c>
      <c r="BR89" s="649">
        <v>18.3</v>
      </c>
      <c r="BS89" s="649">
        <v>9.19</v>
      </c>
      <c r="BT89" s="649">
        <v>9.25</v>
      </c>
      <c r="BU89" s="648">
        <v>20.3</v>
      </c>
      <c r="BV89" s="648">
        <v>20.3</v>
      </c>
      <c r="BW89" s="649">
        <v>479.6</v>
      </c>
      <c r="BX89" s="876"/>
      <c r="BY89" s="649">
        <v>0.15</v>
      </c>
      <c r="BZ89" s="649">
        <v>1.43</v>
      </c>
      <c r="CA89" s="649">
        <v>1.3</v>
      </c>
      <c r="CB89" s="649">
        <v>8.6999999999999993</v>
      </c>
      <c r="CC89" s="649">
        <v>8</v>
      </c>
      <c r="CD89" s="649">
        <v>14.7</v>
      </c>
      <c r="CE89" s="649">
        <v>33.799999999999997</v>
      </c>
      <c r="CF89" s="649">
        <v>12.8</v>
      </c>
      <c r="CG89" s="649">
        <v>8.3000000000000007</v>
      </c>
      <c r="CH89" s="649">
        <v>13.8</v>
      </c>
      <c r="CI89" s="649">
        <v>17.899999999999999</v>
      </c>
      <c r="CJ89" s="649">
        <v>13.7</v>
      </c>
      <c r="CK89" s="649">
        <v>248.4</v>
      </c>
      <c r="CL89" s="649">
        <v>1.8</v>
      </c>
      <c r="CM89" s="649">
        <v>3.1</v>
      </c>
      <c r="CN89" s="991">
        <v>820</v>
      </c>
      <c r="CO89" s="649">
        <v>331.4</v>
      </c>
      <c r="CP89" s="649">
        <v>470.2</v>
      </c>
      <c r="CQ89" s="649">
        <v>13.8</v>
      </c>
      <c r="CR89" s="649">
        <v>2.08</v>
      </c>
      <c r="CS89" s="405">
        <v>5826.9</v>
      </c>
      <c r="CT89" s="405">
        <v>17.349</v>
      </c>
      <c r="CU89" s="405">
        <v>49</v>
      </c>
      <c r="CV89" s="522">
        <v>0</v>
      </c>
      <c r="CW89" s="522">
        <v>0</v>
      </c>
      <c r="CX89" s="522">
        <v>0</v>
      </c>
      <c r="CY89" s="522">
        <v>0</v>
      </c>
      <c r="CZ89" s="689">
        <v>2660</v>
      </c>
      <c r="DA89" s="689">
        <v>4970</v>
      </c>
      <c r="DB89" s="689">
        <v>2710</v>
      </c>
      <c r="DC89" s="643">
        <v>1131.3900000000001</v>
      </c>
      <c r="DD89" s="522"/>
      <c r="DE89" s="522"/>
      <c r="DF89" s="522"/>
      <c r="DG89" s="522"/>
      <c r="DH89" s="522"/>
      <c r="DI89" s="522"/>
      <c r="DJ89" s="522"/>
      <c r="DK89" s="522"/>
      <c r="DL89" s="649"/>
      <c r="DM89" s="689"/>
      <c r="DN89" s="649"/>
      <c r="DO89" s="522"/>
      <c r="DP89" s="522"/>
      <c r="DQ89" s="522"/>
      <c r="DR89" s="522"/>
      <c r="DS89" s="522"/>
      <c r="DT89" s="522"/>
      <c r="DU89" s="522"/>
      <c r="DV89" s="522"/>
      <c r="DW89" s="522"/>
      <c r="DX89" s="522"/>
      <c r="DY89" s="522"/>
      <c r="DZ89" s="522"/>
      <c r="EA89" s="522"/>
      <c r="EB89" s="522"/>
      <c r="EC89" s="522"/>
      <c r="ED89" s="522"/>
      <c r="EE89" s="522"/>
      <c r="EF89" s="522"/>
      <c r="EG89" s="645">
        <f t="shared" si="56"/>
        <v>13.47437</v>
      </c>
      <c r="EH89" s="361">
        <v>0</v>
      </c>
      <c r="EI89" s="647">
        <v>0</v>
      </c>
      <c r="EJ89" s="647">
        <f t="shared" si="74"/>
        <v>2.62</v>
      </c>
      <c r="EK89" s="647">
        <f t="shared" si="75"/>
        <v>6.09</v>
      </c>
      <c r="EL89" s="522"/>
      <c r="EM89" s="522"/>
      <c r="EN89" s="522"/>
      <c r="EO89" s="522"/>
      <c r="EP89" s="522"/>
      <c r="EQ89" s="522"/>
      <c r="ER89" s="522"/>
      <c r="ES89" s="407"/>
      <c r="ET89" s="407"/>
    </row>
    <row r="90" spans="1:150" s="357" customFormat="1" ht="15">
      <c r="A90" s="675" t="s">
        <v>5</v>
      </c>
      <c r="B90" s="712">
        <v>41716</v>
      </c>
      <c r="C90" s="713">
        <v>0</v>
      </c>
      <c r="D90" s="681">
        <v>0.04</v>
      </c>
      <c r="E90" s="681">
        <v>0</v>
      </c>
      <c r="F90" s="681">
        <v>42</v>
      </c>
      <c r="G90" s="807">
        <v>2</v>
      </c>
      <c r="H90" s="807" t="s">
        <v>744</v>
      </c>
      <c r="I90" s="807">
        <v>91</v>
      </c>
      <c r="J90" s="807">
        <v>0</v>
      </c>
      <c r="K90" s="807">
        <v>0.06</v>
      </c>
      <c r="L90" s="821">
        <f t="shared" si="69"/>
        <v>46.9</v>
      </c>
      <c r="M90" s="807">
        <v>23.7</v>
      </c>
      <c r="N90" s="807">
        <v>0</v>
      </c>
      <c r="O90" s="807" t="s">
        <v>743</v>
      </c>
      <c r="P90" s="807">
        <v>1.46</v>
      </c>
      <c r="Q90" s="807">
        <v>1.8129102991370334</v>
      </c>
      <c r="R90" s="865">
        <v>714.85808718626151</v>
      </c>
      <c r="S90" s="807">
        <v>0</v>
      </c>
      <c r="T90" s="807">
        <v>8.0399999999999991</v>
      </c>
      <c r="U90" s="807">
        <v>0</v>
      </c>
      <c r="V90" s="807">
        <v>0.71</v>
      </c>
      <c r="W90" s="807">
        <v>32</v>
      </c>
      <c r="X90" s="690">
        <v>44.239999999999995</v>
      </c>
      <c r="Y90" s="807">
        <v>20.8</v>
      </c>
      <c r="Z90" s="807">
        <v>26.18</v>
      </c>
      <c r="AA90" s="794">
        <v>20.9</v>
      </c>
      <c r="AB90" s="794">
        <v>26</v>
      </c>
      <c r="AC90" s="775">
        <f t="shared" ref="AC90" si="78">AA90+AB90</f>
        <v>46.9</v>
      </c>
      <c r="AD90" s="775">
        <f t="shared" ref="AD90" si="79">AC90*1.547</f>
        <v>72.554299999999998</v>
      </c>
      <c r="AE90" s="775"/>
      <c r="AF90" s="567"/>
      <c r="AG90" s="2">
        <v>1</v>
      </c>
      <c r="AH90" s="705"/>
      <c r="AI90" s="362"/>
      <c r="AJ90" s="2"/>
      <c r="AK90" s="407"/>
      <c r="AL90" s="407"/>
      <c r="AM90" s="407"/>
      <c r="AN90" s="407"/>
      <c r="AO90" s="387"/>
      <c r="AP90" s="387"/>
      <c r="AQ90" s="405"/>
      <c r="AR90" s="578">
        <v>0</v>
      </c>
      <c r="AS90" s="405">
        <v>11</v>
      </c>
      <c r="AT90" s="578">
        <v>0</v>
      </c>
      <c r="AU90" s="405">
        <v>21.6</v>
      </c>
      <c r="AV90" s="644">
        <v>275.10000000000002</v>
      </c>
      <c r="AW90" s="644">
        <v>302.89999999999998</v>
      </c>
      <c r="AX90" s="405">
        <v>0</v>
      </c>
      <c r="AY90" s="578">
        <v>0</v>
      </c>
      <c r="AZ90" s="578">
        <v>0</v>
      </c>
      <c r="BA90" s="578">
        <v>0</v>
      </c>
      <c r="BB90" s="1086">
        <v>0.98</v>
      </c>
      <c r="BC90" s="405">
        <v>0</v>
      </c>
      <c r="BD90" s="405">
        <v>1.5</v>
      </c>
      <c r="BE90" s="578">
        <v>0</v>
      </c>
      <c r="BF90" s="405">
        <v>1</v>
      </c>
      <c r="BG90" s="405">
        <v>0</v>
      </c>
      <c r="BH90" s="578">
        <v>0</v>
      </c>
      <c r="BI90" s="405">
        <v>0</v>
      </c>
      <c r="BJ90" s="405">
        <v>23.5</v>
      </c>
      <c r="BK90" s="405">
        <v>3</v>
      </c>
      <c r="BL90" s="405">
        <v>3.07</v>
      </c>
      <c r="BM90" s="405">
        <v>0</v>
      </c>
      <c r="BN90" s="405">
        <v>16.399999999999999</v>
      </c>
      <c r="BO90" s="405">
        <v>1034.9000000000001</v>
      </c>
      <c r="BP90" s="405">
        <v>0</v>
      </c>
      <c r="BQ90" s="649">
        <v>19.36</v>
      </c>
      <c r="BR90" s="649">
        <v>19.3</v>
      </c>
      <c r="BS90" s="649">
        <v>9.1999999999999993</v>
      </c>
      <c r="BT90" s="649">
        <v>9.3000000000000007</v>
      </c>
      <c r="BU90" s="648">
        <v>20.399999999999999</v>
      </c>
      <c r="BV90" s="648">
        <v>18.399999999999999</v>
      </c>
      <c r="BW90" s="649">
        <v>674.6</v>
      </c>
      <c r="BX90" s="876"/>
      <c r="BY90" s="649">
        <v>0.15</v>
      </c>
      <c r="BZ90" s="649">
        <v>1.42</v>
      </c>
      <c r="CA90" s="649">
        <v>1.3</v>
      </c>
      <c r="CB90" s="649">
        <v>8.9</v>
      </c>
      <c r="CC90" s="649">
        <v>8</v>
      </c>
      <c r="CD90" s="649">
        <v>14.4</v>
      </c>
      <c r="CE90" s="649">
        <v>34</v>
      </c>
      <c r="CF90" s="649">
        <v>12.6</v>
      </c>
      <c r="CG90" s="649">
        <v>6.8</v>
      </c>
      <c r="CH90" s="649">
        <v>12.1</v>
      </c>
      <c r="CI90" s="649">
        <v>16.2</v>
      </c>
      <c r="CJ90" s="649">
        <v>13.5</v>
      </c>
      <c r="CK90" s="649">
        <v>217.8</v>
      </c>
      <c r="CL90" s="649">
        <v>1.6</v>
      </c>
      <c r="CM90" s="649">
        <v>1.5</v>
      </c>
      <c r="CN90" s="991">
        <v>820</v>
      </c>
      <c r="CO90" s="649">
        <v>317.7</v>
      </c>
      <c r="CP90" s="649">
        <v>452.6</v>
      </c>
      <c r="CQ90" s="649">
        <v>15</v>
      </c>
      <c r="CR90" s="649">
        <v>2.2799999999999998</v>
      </c>
      <c r="CS90" s="405">
        <v>7235.9</v>
      </c>
      <c r="CT90" s="405">
        <v>17.420000000000002</v>
      </c>
      <c r="CU90" s="405">
        <v>49</v>
      </c>
      <c r="CV90" s="522">
        <v>0</v>
      </c>
      <c r="CW90" s="522">
        <v>0</v>
      </c>
      <c r="CX90" s="522">
        <v>0</v>
      </c>
      <c r="CY90" s="522">
        <v>0</v>
      </c>
      <c r="CZ90" s="689">
        <v>2150</v>
      </c>
      <c r="DA90" s="689">
        <v>3960</v>
      </c>
      <c r="DB90" s="689">
        <v>2170</v>
      </c>
      <c r="DC90" s="643">
        <v>1131.8599999999999</v>
      </c>
      <c r="DD90" s="522"/>
      <c r="DE90" s="522"/>
      <c r="DF90" s="522"/>
      <c r="DG90" s="522"/>
      <c r="DH90" s="522"/>
      <c r="DI90" s="522"/>
      <c r="DJ90" s="522"/>
      <c r="DK90" s="522"/>
      <c r="DL90" s="649"/>
      <c r="DM90" s="689"/>
      <c r="DN90" s="649"/>
      <c r="DO90" s="522"/>
      <c r="DP90" s="522"/>
      <c r="DQ90" s="522"/>
      <c r="DR90" s="522"/>
      <c r="DS90" s="522"/>
      <c r="DT90" s="522"/>
      <c r="DU90" s="522"/>
      <c r="DV90" s="522"/>
      <c r="DW90" s="522"/>
      <c r="DX90" s="522"/>
      <c r="DY90" s="522"/>
      <c r="DZ90" s="522"/>
      <c r="EA90" s="522"/>
      <c r="EB90" s="522"/>
      <c r="EC90" s="522"/>
      <c r="ED90" s="522"/>
      <c r="EE90" s="522"/>
      <c r="EF90" s="522"/>
      <c r="EG90" s="645">
        <f t="shared" si="56"/>
        <v>13.25779</v>
      </c>
      <c r="EH90" s="361">
        <v>0</v>
      </c>
      <c r="EI90" s="647">
        <v>0</v>
      </c>
      <c r="EJ90" s="647">
        <f t="shared" si="74"/>
        <v>2.5</v>
      </c>
      <c r="EK90" s="647">
        <f t="shared" si="75"/>
        <v>6.07</v>
      </c>
      <c r="EL90" s="522"/>
      <c r="EM90" s="522"/>
      <c r="EN90" s="522"/>
      <c r="EO90" s="522"/>
      <c r="EP90" s="522"/>
      <c r="EQ90" s="522"/>
      <c r="ER90" s="522"/>
      <c r="ES90" s="407"/>
      <c r="ET90" s="407"/>
    </row>
    <row r="91" spans="1:150" s="357" customFormat="1" ht="15">
      <c r="A91" s="675" t="s">
        <v>6</v>
      </c>
      <c r="B91" s="712">
        <v>41717</v>
      </c>
      <c r="C91" s="713">
        <v>0</v>
      </c>
      <c r="D91" s="681">
        <v>0.75</v>
      </c>
      <c r="E91" s="681">
        <v>0</v>
      </c>
      <c r="F91" s="681">
        <v>38</v>
      </c>
      <c r="G91" s="807">
        <v>2</v>
      </c>
      <c r="H91" s="807" t="s">
        <v>744</v>
      </c>
      <c r="I91" s="807">
        <v>90.8</v>
      </c>
      <c r="J91" s="807">
        <v>0</v>
      </c>
      <c r="K91" s="807">
        <v>0.06</v>
      </c>
      <c r="L91" s="821">
        <f t="shared" si="69"/>
        <v>46.8</v>
      </c>
      <c r="M91" s="807">
        <v>23.8</v>
      </c>
      <c r="N91" s="807">
        <v>0</v>
      </c>
      <c r="O91" s="807" t="s">
        <v>743</v>
      </c>
      <c r="P91" s="807">
        <v>1.45</v>
      </c>
      <c r="Q91" s="807">
        <v>1.8187047192498615</v>
      </c>
      <c r="R91" s="865">
        <v>724.57523381770125</v>
      </c>
      <c r="S91" s="807">
        <v>0</v>
      </c>
      <c r="T91" s="807">
        <v>8.06</v>
      </c>
      <c r="U91" s="807">
        <v>0</v>
      </c>
      <c r="V91" s="807">
        <v>0.71</v>
      </c>
      <c r="W91" s="807">
        <v>32</v>
      </c>
      <c r="X91" s="690">
        <v>44.239999999999995</v>
      </c>
      <c r="Y91" s="807">
        <v>20.7</v>
      </c>
      <c r="Z91" s="807">
        <v>25.7</v>
      </c>
      <c r="AA91" s="794">
        <v>20.8</v>
      </c>
      <c r="AB91" s="794">
        <v>26</v>
      </c>
      <c r="AC91" s="775">
        <f t="shared" ref="AC91" si="80">AA91+AB91</f>
        <v>46.8</v>
      </c>
      <c r="AD91" s="775">
        <f t="shared" ref="AD91" si="81">AC91*1.547</f>
        <v>72.399599999999992</v>
      </c>
      <c r="AE91" s="775"/>
      <c r="AF91" s="567"/>
      <c r="AG91" s="2">
        <v>1</v>
      </c>
      <c r="AH91" s="705"/>
      <c r="AI91" s="362"/>
      <c r="AJ91" s="2"/>
      <c r="AK91" s="407"/>
      <c r="AL91" s="407"/>
      <c r="AM91" s="407"/>
      <c r="AN91" s="407"/>
      <c r="AO91" s="387"/>
      <c r="AP91" s="387"/>
      <c r="AQ91" s="405"/>
      <c r="AR91" s="578">
        <v>0</v>
      </c>
      <c r="AS91" s="405">
        <v>10.3</v>
      </c>
      <c r="AT91" s="578">
        <v>0</v>
      </c>
      <c r="AU91" s="405">
        <v>21.5</v>
      </c>
      <c r="AV91" s="644">
        <v>423.8</v>
      </c>
      <c r="AW91" s="644">
        <v>444.6</v>
      </c>
      <c r="AX91" s="405">
        <v>0</v>
      </c>
      <c r="AY91" s="578">
        <v>0</v>
      </c>
      <c r="AZ91" s="578">
        <v>0</v>
      </c>
      <c r="BA91" s="578">
        <v>0</v>
      </c>
      <c r="BB91" s="1086">
        <v>0.98</v>
      </c>
      <c r="BC91" s="405">
        <v>0</v>
      </c>
      <c r="BD91" s="405">
        <v>1.5</v>
      </c>
      <c r="BE91" s="578">
        <v>0</v>
      </c>
      <c r="BF91" s="405">
        <v>1</v>
      </c>
      <c r="BG91" s="405">
        <v>0</v>
      </c>
      <c r="BH91" s="578">
        <v>0</v>
      </c>
      <c r="BI91" s="405">
        <v>0</v>
      </c>
      <c r="BJ91" s="405">
        <v>23.6</v>
      </c>
      <c r="BK91" s="405">
        <v>3.01</v>
      </c>
      <c r="BL91" s="405">
        <v>3.07</v>
      </c>
      <c r="BM91" s="405">
        <v>0</v>
      </c>
      <c r="BN91" s="405">
        <v>16.5</v>
      </c>
      <c r="BO91" s="405">
        <v>994.1</v>
      </c>
      <c r="BP91" s="405">
        <v>0</v>
      </c>
      <c r="BQ91" s="649">
        <v>20.07</v>
      </c>
      <c r="BR91" s="649">
        <v>20.04</v>
      </c>
      <c r="BS91" s="649">
        <v>9.01</v>
      </c>
      <c r="BT91" s="649">
        <v>9.1300000000000008</v>
      </c>
      <c r="BU91" s="648">
        <v>20</v>
      </c>
      <c r="BV91" s="648">
        <v>19</v>
      </c>
      <c r="BW91" s="649">
        <v>477</v>
      </c>
      <c r="BX91" s="876"/>
      <c r="BY91" s="649">
        <v>0.15</v>
      </c>
      <c r="BZ91" s="649">
        <v>1.42</v>
      </c>
      <c r="CA91" s="649">
        <v>1.3</v>
      </c>
      <c r="CB91" s="649">
        <v>8.9</v>
      </c>
      <c r="CC91" s="649">
        <v>8.1</v>
      </c>
      <c r="CD91" s="649">
        <v>14.2</v>
      </c>
      <c r="CE91" s="649">
        <v>33.6</v>
      </c>
      <c r="CF91" s="649">
        <v>14.8</v>
      </c>
      <c r="CG91" s="649">
        <v>8.3000000000000007</v>
      </c>
      <c r="CH91" s="649">
        <v>13.9</v>
      </c>
      <c r="CI91" s="649">
        <v>17.899999999999999</v>
      </c>
      <c r="CJ91" s="649">
        <v>12.29</v>
      </c>
      <c r="CK91" s="649">
        <v>218.2</v>
      </c>
      <c r="CL91" s="649">
        <v>1.5</v>
      </c>
      <c r="CM91" s="649">
        <v>1.7</v>
      </c>
      <c r="CN91" s="991">
        <v>820</v>
      </c>
      <c r="CO91" s="649">
        <v>317</v>
      </c>
      <c r="CP91" s="649">
        <v>451.7</v>
      </c>
      <c r="CQ91" s="649">
        <v>14.6</v>
      </c>
      <c r="CR91" s="649">
        <v>2.2200000000000002</v>
      </c>
      <c r="CS91" s="405">
        <v>7157</v>
      </c>
      <c r="CT91" s="405">
        <v>17.094000000000001</v>
      </c>
      <c r="CU91" s="405">
        <v>50</v>
      </c>
      <c r="CV91" s="522">
        <v>0</v>
      </c>
      <c r="CW91" s="522">
        <v>0</v>
      </c>
      <c r="CX91" s="522">
        <v>0</v>
      </c>
      <c r="CY91" s="522">
        <v>0</v>
      </c>
      <c r="CZ91" s="689">
        <v>1990</v>
      </c>
      <c r="DA91" s="689">
        <v>3700</v>
      </c>
      <c r="DB91" s="689">
        <v>2060</v>
      </c>
      <c r="DC91" s="643">
        <v>1132.9100000000001</v>
      </c>
      <c r="DD91" s="522"/>
      <c r="DE91" s="522"/>
      <c r="DF91" s="522"/>
      <c r="DG91" s="522"/>
      <c r="DH91" s="522"/>
      <c r="DI91" s="522"/>
      <c r="DJ91" s="522"/>
      <c r="DK91" s="522"/>
      <c r="DL91" s="649"/>
      <c r="DM91" s="689"/>
      <c r="DN91" s="649"/>
      <c r="DO91" s="522"/>
      <c r="DP91" s="522"/>
      <c r="DQ91" s="522"/>
      <c r="DR91" s="522"/>
      <c r="DS91" s="522"/>
      <c r="DT91" s="522"/>
      <c r="DU91" s="522"/>
      <c r="DV91" s="522"/>
      <c r="DW91" s="522"/>
      <c r="DX91" s="522"/>
      <c r="DY91" s="522"/>
      <c r="DZ91" s="522"/>
      <c r="EA91" s="522"/>
      <c r="EB91" s="522"/>
      <c r="EC91" s="522"/>
      <c r="ED91" s="522"/>
      <c r="EE91" s="522"/>
      <c r="EF91" s="522"/>
      <c r="EG91" s="645">
        <f t="shared" si="56"/>
        <v>13.273259999999999</v>
      </c>
      <c r="EH91" s="361">
        <v>0</v>
      </c>
      <c r="EI91" s="647">
        <v>0</v>
      </c>
      <c r="EJ91" s="647">
        <f t="shared" si="74"/>
        <v>2.5</v>
      </c>
      <c r="EK91" s="647">
        <f t="shared" si="75"/>
        <v>6.08</v>
      </c>
      <c r="EL91" s="522"/>
      <c r="EM91" s="522"/>
      <c r="EN91" s="522"/>
      <c r="EO91" s="522"/>
      <c r="EP91" s="522"/>
      <c r="EQ91" s="522"/>
      <c r="ER91" s="522"/>
      <c r="ES91" s="407"/>
      <c r="ET91" s="407"/>
    </row>
    <row r="92" spans="1:150" s="357" customFormat="1" ht="15">
      <c r="A92" s="675" t="s">
        <v>7</v>
      </c>
      <c r="B92" s="712">
        <v>41718</v>
      </c>
      <c r="C92" s="713">
        <v>0</v>
      </c>
      <c r="D92" s="681">
        <v>0</v>
      </c>
      <c r="E92" s="681">
        <v>0</v>
      </c>
      <c r="F92" s="681">
        <v>34</v>
      </c>
      <c r="G92" s="807">
        <v>1.8</v>
      </c>
      <c r="H92" s="807" t="s">
        <v>744</v>
      </c>
      <c r="I92" s="807">
        <v>99.4</v>
      </c>
      <c r="J92" s="807">
        <v>0</v>
      </c>
      <c r="K92" s="807">
        <v>0.06</v>
      </c>
      <c r="L92" s="821">
        <f t="shared" si="69"/>
        <v>46.8</v>
      </c>
      <c r="M92" s="807">
        <v>23.8</v>
      </c>
      <c r="N92" s="807">
        <v>0</v>
      </c>
      <c r="O92" s="807" t="s">
        <v>743</v>
      </c>
      <c r="P92" s="807">
        <v>1.48</v>
      </c>
      <c r="Q92" s="807">
        <v>1.7667551232739807</v>
      </c>
      <c r="R92" s="865">
        <v>699.31065257595765</v>
      </c>
      <c r="S92" s="807">
        <v>0</v>
      </c>
      <c r="T92" s="807">
        <v>8.07</v>
      </c>
      <c r="U92" s="807">
        <v>0</v>
      </c>
      <c r="V92" s="807">
        <v>0.72</v>
      </c>
      <c r="W92" s="807">
        <v>32</v>
      </c>
      <c r="X92" s="690">
        <v>44.239999999999995</v>
      </c>
      <c r="Y92" s="807">
        <v>20.9</v>
      </c>
      <c r="Z92" s="807">
        <v>26</v>
      </c>
      <c r="AA92" s="794">
        <v>20.8</v>
      </c>
      <c r="AB92" s="794">
        <v>26</v>
      </c>
      <c r="AC92" s="775">
        <f t="shared" ref="AC92" si="82">AA92+AB92</f>
        <v>46.8</v>
      </c>
      <c r="AD92" s="775">
        <f t="shared" ref="AD92" si="83">AC92*1.547</f>
        <v>72.399599999999992</v>
      </c>
      <c r="AE92" s="775"/>
      <c r="AF92" s="567"/>
      <c r="AG92" s="2">
        <v>1</v>
      </c>
      <c r="AH92" s="705"/>
      <c r="AI92" s="362"/>
      <c r="AJ92" s="2"/>
      <c r="AK92" s="407"/>
      <c r="AL92" s="407"/>
      <c r="AM92" s="407"/>
      <c r="AN92" s="407"/>
      <c r="AO92" s="387"/>
      <c r="AP92" s="387"/>
      <c r="AQ92" s="405"/>
      <c r="AR92" s="578">
        <v>0</v>
      </c>
      <c r="AS92" s="405">
        <v>10.4</v>
      </c>
      <c r="AT92" s="578">
        <v>0</v>
      </c>
      <c r="AU92" s="405">
        <v>21.5</v>
      </c>
      <c r="AV92" s="644">
        <v>417.7</v>
      </c>
      <c r="AW92" s="644">
        <v>578.5</v>
      </c>
      <c r="AX92" s="405">
        <v>0</v>
      </c>
      <c r="AY92" s="578">
        <v>0</v>
      </c>
      <c r="AZ92" s="578">
        <v>0</v>
      </c>
      <c r="BA92" s="578">
        <v>0</v>
      </c>
      <c r="BB92" s="1086">
        <v>0.99</v>
      </c>
      <c r="BC92" s="405">
        <v>0</v>
      </c>
      <c r="BD92" s="405">
        <v>1.5</v>
      </c>
      <c r="BE92" s="578">
        <v>0</v>
      </c>
      <c r="BF92" s="405">
        <v>1</v>
      </c>
      <c r="BG92" s="405">
        <v>0</v>
      </c>
      <c r="BH92" s="578">
        <v>0</v>
      </c>
      <c r="BI92" s="405">
        <v>0</v>
      </c>
      <c r="BJ92" s="405">
        <v>23.5</v>
      </c>
      <c r="BK92" s="405">
        <v>3.01</v>
      </c>
      <c r="BL92" s="405">
        <v>3.07</v>
      </c>
      <c r="BM92" s="405">
        <v>0</v>
      </c>
      <c r="BN92" s="405">
        <v>16.399999999999999</v>
      </c>
      <c r="BO92" s="405">
        <v>1022.9</v>
      </c>
      <c r="BP92" s="405">
        <v>0</v>
      </c>
      <c r="BQ92" s="649">
        <v>20.84</v>
      </c>
      <c r="BR92" s="649">
        <v>20.81</v>
      </c>
      <c r="BS92" s="649">
        <v>8.9</v>
      </c>
      <c r="BT92" s="649">
        <v>9</v>
      </c>
      <c r="BU92" s="648">
        <v>19.899999999999999</v>
      </c>
      <c r="BV92" s="648">
        <v>18.600000000000001</v>
      </c>
      <c r="BW92" s="649">
        <v>688.1</v>
      </c>
      <c r="BX92" s="876"/>
      <c r="BY92" s="649">
        <v>0.15</v>
      </c>
      <c r="BZ92" s="649">
        <v>1.41</v>
      </c>
      <c r="CA92" s="649">
        <v>1.3</v>
      </c>
      <c r="CB92" s="649">
        <v>8.9</v>
      </c>
      <c r="CC92" s="649">
        <v>8.1</v>
      </c>
      <c r="CD92" s="649">
        <v>14.3</v>
      </c>
      <c r="CE92" s="649">
        <v>33.4</v>
      </c>
      <c r="CF92" s="649">
        <v>14.2</v>
      </c>
      <c r="CG92" s="649">
        <v>8.3000000000000007</v>
      </c>
      <c r="CH92" s="649">
        <v>13.8</v>
      </c>
      <c r="CI92" s="649">
        <v>17.8</v>
      </c>
      <c r="CJ92" s="649">
        <v>13.17</v>
      </c>
      <c r="CK92" s="649">
        <v>220</v>
      </c>
      <c r="CL92" s="649">
        <v>1.5</v>
      </c>
      <c r="CM92" s="649">
        <v>1.1000000000000001</v>
      </c>
      <c r="CN92" s="991">
        <v>820</v>
      </c>
      <c r="CO92" s="649">
        <v>321.5</v>
      </c>
      <c r="CP92" s="649">
        <v>457.8</v>
      </c>
      <c r="CQ92" s="649">
        <v>14.7</v>
      </c>
      <c r="CR92" s="649">
        <v>2.14</v>
      </c>
      <c r="CS92" s="405">
        <v>7114.8</v>
      </c>
      <c r="CT92" s="405">
        <v>16.021000000000001</v>
      </c>
      <c r="CU92" s="405">
        <v>50</v>
      </c>
      <c r="CV92" s="522">
        <v>0</v>
      </c>
      <c r="CW92" s="522">
        <v>0</v>
      </c>
      <c r="CX92" s="522">
        <v>0</v>
      </c>
      <c r="CY92" s="522">
        <v>0</v>
      </c>
      <c r="CZ92" s="689">
        <v>1740</v>
      </c>
      <c r="DA92" s="689">
        <v>3200</v>
      </c>
      <c r="DB92" s="689">
        <v>1800</v>
      </c>
      <c r="DC92" s="643">
        <v>1133.68</v>
      </c>
      <c r="DD92" s="522"/>
      <c r="DE92" s="522"/>
      <c r="DF92" s="522"/>
      <c r="DG92" s="522"/>
      <c r="DH92" s="522"/>
      <c r="DI92" s="522"/>
      <c r="DJ92" s="522"/>
      <c r="DK92" s="522"/>
      <c r="DL92" s="649"/>
      <c r="DM92" s="689"/>
      <c r="DN92" s="649"/>
      <c r="DO92" s="522"/>
      <c r="DP92" s="522"/>
      <c r="DQ92" s="522"/>
      <c r="DR92" s="522"/>
      <c r="DS92" s="522"/>
      <c r="DT92" s="522"/>
      <c r="DU92" s="522"/>
      <c r="DV92" s="522"/>
      <c r="DW92" s="522"/>
      <c r="DX92" s="522"/>
      <c r="DY92" s="522"/>
      <c r="DZ92" s="522"/>
      <c r="EA92" s="522"/>
      <c r="EB92" s="522"/>
      <c r="EC92" s="522"/>
      <c r="ED92" s="522"/>
      <c r="EE92" s="522"/>
      <c r="EF92" s="522"/>
      <c r="EG92" s="645">
        <f t="shared" si="56"/>
        <v>13.273259999999999</v>
      </c>
      <c r="EH92" s="361">
        <v>0</v>
      </c>
      <c r="EI92" s="647">
        <v>0</v>
      </c>
      <c r="EJ92" s="647">
        <f t="shared" si="74"/>
        <v>2.5</v>
      </c>
      <c r="EK92" s="647">
        <f t="shared" si="75"/>
        <v>6.08</v>
      </c>
      <c r="EL92" s="522"/>
      <c r="EM92" s="522"/>
      <c r="EN92" s="522"/>
      <c r="EO92" s="522"/>
      <c r="EP92" s="522"/>
      <c r="EQ92" s="522"/>
      <c r="ER92" s="522"/>
      <c r="ES92" s="407"/>
      <c r="ET92" s="407"/>
    </row>
    <row r="93" spans="1:150" s="357" customFormat="1" ht="15">
      <c r="A93" s="675" t="s">
        <v>8</v>
      </c>
      <c r="B93" s="712">
        <v>41719</v>
      </c>
      <c r="C93" s="713">
        <v>0</v>
      </c>
      <c r="D93" s="681">
        <v>0.01</v>
      </c>
      <c r="E93" s="681">
        <v>0</v>
      </c>
      <c r="F93" s="681">
        <v>33</v>
      </c>
      <c r="G93" s="807">
        <v>1.6</v>
      </c>
      <c r="H93" s="807" t="s">
        <v>744</v>
      </c>
      <c r="I93" s="807">
        <v>0</v>
      </c>
      <c r="J93" s="807">
        <v>0</v>
      </c>
      <c r="K93" s="807">
        <v>0.06</v>
      </c>
      <c r="L93" s="821">
        <f t="shared" si="69"/>
        <v>46.900000000000006</v>
      </c>
      <c r="M93" s="807">
        <v>23.3</v>
      </c>
      <c r="N93" s="807">
        <v>0</v>
      </c>
      <c r="O93" s="807" t="s">
        <v>743</v>
      </c>
      <c r="P93" s="807">
        <v>1.49</v>
      </c>
      <c r="Q93" s="807">
        <v>1.7260215104911187</v>
      </c>
      <c r="R93" s="865">
        <v>687.6500766182296</v>
      </c>
      <c r="S93" s="807">
        <v>0</v>
      </c>
      <c r="T93" s="807">
        <v>8.08</v>
      </c>
      <c r="U93" s="807">
        <v>0</v>
      </c>
      <c r="V93" s="807">
        <v>0.71</v>
      </c>
      <c r="W93" s="807">
        <v>32</v>
      </c>
      <c r="X93" s="690">
        <v>44.42</v>
      </c>
      <c r="Y93" s="807">
        <v>20.8</v>
      </c>
      <c r="Z93" s="807">
        <v>26</v>
      </c>
      <c r="AA93" s="794">
        <v>20.8</v>
      </c>
      <c r="AB93" s="794">
        <v>26.1</v>
      </c>
      <c r="AC93" s="775">
        <f t="shared" ref="AC93:AC95" si="84">AA93+AB93</f>
        <v>46.900000000000006</v>
      </c>
      <c r="AD93" s="775">
        <f t="shared" ref="AD93:AD95" si="85">AC93*1.547</f>
        <v>72.554300000000012</v>
      </c>
      <c r="AE93" s="775"/>
      <c r="AF93" s="567"/>
      <c r="AG93" s="2">
        <v>1</v>
      </c>
      <c r="AH93" s="705"/>
      <c r="AI93" s="362"/>
      <c r="AJ93" s="2"/>
      <c r="AK93" s="407"/>
      <c r="AL93" s="407"/>
      <c r="AM93" s="407"/>
      <c r="AN93" s="407"/>
      <c r="AO93" s="387"/>
      <c r="AP93" s="387"/>
      <c r="AQ93" s="405"/>
      <c r="AR93" s="578">
        <v>0</v>
      </c>
      <c r="AS93" s="405">
        <v>20.6</v>
      </c>
      <c r="AT93" s="578">
        <v>0</v>
      </c>
      <c r="AU93" s="405">
        <v>21.5</v>
      </c>
      <c r="AV93" s="644">
        <v>541.20000000000005</v>
      </c>
      <c r="AW93" s="644">
        <v>577.79999999999995</v>
      </c>
      <c r="AX93" s="405">
        <v>0</v>
      </c>
      <c r="AY93" s="578">
        <v>0</v>
      </c>
      <c r="AZ93" s="578">
        <v>0</v>
      </c>
      <c r="BA93" s="578">
        <v>0</v>
      </c>
      <c r="BB93" s="1086">
        <v>1</v>
      </c>
      <c r="BC93" s="405">
        <v>0</v>
      </c>
      <c r="BD93" s="405">
        <v>1.5</v>
      </c>
      <c r="BE93" s="578">
        <v>0</v>
      </c>
      <c r="BF93" s="405">
        <v>1.63</v>
      </c>
      <c r="BG93" s="405">
        <v>0</v>
      </c>
      <c r="BH93" s="578">
        <v>0</v>
      </c>
      <c r="BI93" s="405">
        <v>0</v>
      </c>
      <c r="BJ93" s="405">
        <v>22.8</v>
      </c>
      <c r="BK93" s="405">
        <v>2.64</v>
      </c>
      <c r="BL93" s="405">
        <v>2.75</v>
      </c>
      <c r="BM93" s="405">
        <v>0</v>
      </c>
      <c r="BN93" s="405">
        <v>16.399999999999999</v>
      </c>
      <c r="BO93" s="405">
        <v>983.6</v>
      </c>
      <c r="BP93" s="405">
        <v>0</v>
      </c>
      <c r="BQ93" s="649">
        <v>21.63</v>
      </c>
      <c r="BR93" s="649">
        <v>21.6</v>
      </c>
      <c r="BS93" s="649">
        <v>8.8000000000000007</v>
      </c>
      <c r="BT93" s="649">
        <v>9</v>
      </c>
      <c r="BU93" s="648">
        <v>19.8</v>
      </c>
      <c r="BV93" s="648">
        <v>18.5</v>
      </c>
      <c r="BW93" s="649">
        <v>469.4</v>
      </c>
      <c r="BX93" s="876"/>
      <c r="BY93" s="649">
        <v>0.15</v>
      </c>
      <c r="BZ93" s="649">
        <v>1.46</v>
      </c>
      <c r="CA93" s="649">
        <v>1.3</v>
      </c>
      <c r="CB93" s="649">
        <v>8.9</v>
      </c>
      <c r="CC93" s="649">
        <v>8.1</v>
      </c>
      <c r="CD93" s="649">
        <v>15.3</v>
      </c>
      <c r="CE93" s="649">
        <v>33.799999999999997</v>
      </c>
      <c r="CF93" s="649">
        <v>13.7</v>
      </c>
      <c r="CG93" s="649">
        <v>8.1</v>
      </c>
      <c r="CH93" s="649">
        <v>13.6</v>
      </c>
      <c r="CI93" s="649">
        <v>17.600000000000001</v>
      </c>
      <c r="CJ93" s="649">
        <v>13.9</v>
      </c>
      <c r="CK93" s="649">
        <v>221</v>
      </c>
      <c r="CL93" s="649">
        <v>1.7</v>
      </c>
      <c r="CM93" s="649">
        <v>1</v>
      </c>
      <c r="CN93" s="991">
        <v>820</v>
      </c>
      <c r="CO93" s="649">
        <v>308</v>
      </c>
      <c r="CP93" s="649">
        <v>460</v>
      </c>
      <c r="CQ93" s="649">
        <v>14.1</v>
      </c>
      <c r="CR93" s="649">
        <v>2.15</v>
      </c>
      <c r="CS93" s="405">
        <v>7045.4</v>
      </c>
      <c r="CT93" s="405">
        <v>15.53</v>
      </c>
      <c r="CU93" s="405">
        <v>50</v>
      </c>
      <c r="CV93" s="522">
        <v>0</v>
      </c>
      <c r="CW93" s="522">
        <v>0</v>
      </c>
      <c r="CX93" s="522">
        <v>0</v>
      </c>
      <c r="CY93" s="522">
        <v>0</v>
      </c>
      <c r="CZ93" s="689">
        <v>1400</v>
      </c>
      <c r="DA93" s="689">
        <v>2770</v>
      </c>
      <c r="DB93" s="689">
        <v>1440</v>
      </c>
      <c r="DC93" s="643">
        <v>1134.4000000000001</v>
      </c>
      <c r="DD93" s="522"/>
      <c r="DE93" s="522"/>
      <c r="DF93" s="522"/>
      <c r="DG93" s="522"/>
      <c r="DH93" s="522"/>
      <c r="DI93" s="522"/>
      <c r="DJ93" s="522"/>
      <c r="DK93" s="522"/>
      <c r="DL93" s="649"/>
      <c r="DM93" s="689"/>
      <c r="DN93" s="649"/>
      <c r="DO93" s="522"/>
      <c r="DP93" s="522"/>
      <c r="DQ93" s="522"/>
      <c r="DR93" s="522"/>
      <c r="DS93" s="522"/>
      <c r="DT93" s="522"/>
      <c r="DU93" s="522"/>
      <c r="DV93" s="522"/>
      <c r="DW93" s="522"/>
      <c r="DX93" s="522"/>
      <c r="DY93" s="522"/>
      <c r="DZ93" s="522"/>
      <c r="EA93" s="522"/>
      <c r="EB93" s="522"/>
      <c r="EC93" s="522"/>
      <c r="ED93" s="522"/>
      <c r="EE93" s="522"/>
      <c r="EF93" s="522"/>
      <c r="EG93" s="645">
        <f t="shared" si="56"/>
        <v>13.180439999999999</v>
      </c>
      <c r="EH93" s="361">
        <v>0</v>
      </c>
      <c r="EI93" s="647">
        <v>0</v>
      </c>
      <c r="EJ93" s="647">
        <f t="shared" ref="EJ93:EJ106" si="86">BC93+BD93+BF93</f>
        <v>3.13</v>
      </c>
      <c r="EK93" s="647">
        <f t="shared" ref="EK93:EK106" si="87">BK93+BL93+BM93</f>
        <v>5.3900000000000006</v>
      </c>
      <c r="EL93" s="522"/>
      <c r="EM93" s="522"/>
      <c r="EN93" s="522"/>
      <c r="EO93" s="522"/>
      <c r="EP93" s="522"/>
      <c r="EQ93" s="522"/>
      <c r="ER93" s="522"/>
      <c r="ES93" s="407"/>
      <c r="ET93" s="407"/>
    </row>
    <row r="94" spans="1:150" s="357" customFormat="1" ht="15">
      <c r="A94" s="675" t="s">
        <v>9</v>
      </c>
      <c r="B94" s="712">
        <v>41720</v>
      </c>
      <c r="C94" s="713">
        <v>0</v>
      </c>
      <c r="D94" s="681">
        <v>0</v>
      </c>
      <c r="E94" s="681">
        <v>0</v>
      </c>
      <c r="F94" s="681">
        <v>44</v>
      </c>
      <c r="G94" s="807">
        <v>1.6</v>
      </c>
      <c r="H94" s="807" t="s">
        <v>744</v>
      </c>
      <c r="I94" s="807">
        <v>91.87</v>
      </c>
      <c r="J94" s="807">
        <v>0</v>
      </c>
      <c r="K94" s="807">
        <v>0.06</v>
      </c>
      <c r="L94" s="821">
        <f t="shared" si="69"/>
        <v>46.599999999999994</v>
      </c>
      <c r="M94" s="807">
        <v>22.8</v>
      </c>
      <c r="N94" s="807">
        <v>0</v>
      </c>
      <c r="O94" s="807" t="s">
        <v>743</v>
      </c>
      <c r="P94" s="807">
        <v>1.49</v>
      </c>
      <c r="Q94" s="807">
        <v>1.7149139675263965</v>
      </c>
      <c r="R94" s="865">
        <v>677.93292998678987</v>
      </c>
      <c r="S94" s="807">
        <v>0</v>
      </c>
      <c r="T94" s="807">
        <v>8.09</v>
      </c>
      <c r="U94" s="807">
        <v>0</v>
      </c>
      <c r="V94" s="807">
        <v>0.7</v>
      </c>
      <c r="W94" s="807">
        <v>32</v>
      </c>
      <c r="X94" s="690">
        <v>44.42</v>
      </c>
      <c r="Y94" s="807">
        <v>20.8</v>
      </c>
      <c r="Z94" s="807">
        <v>26.1</v>
      </c>
      <c r="AA94" s="794">
        <v>20.7</v>
      </c>
      <c r="AB94" s="794">
        <v>25.9</v>
      </c>
      <c r="AC94" s="775">
        <f t="shared" si="84"/>
        <v>46.599999999999994</v>
      </c>
      <c r="AD94" s="775">
        <f t="shared" si="85"/>
        <v>72.090199999999982</v>
      </c>
      <c r="AE94" s="775"/>
      <c r="AF94" s="567"/>
      <c r="AG94" s="2">
        <v>1</v>
      </c>
      <c r="AH94" s="705"/>
      <c r="AI94" s="362"/>
      <c r="AJ94" s="2"/>
      <c r="AK94" s="407"/>
      <c r="AL94" s="407"/>
      <c r="AM94" s="407"/>
      <c r="AN94" s="407"/>
      <c r="AO94" s="387"/>
      <c r="AP94" s="387"/>
      <c r="AQ94" s="405"/>
      <c r="AR94" s="578">
        <v>0</v>
      </c>
      <c r="AS94" s="405">
        <v>10.8</v>
      </c>
      <c r="AT94" s="578">
        <v>0</v>
      </c>
      <c r="AU94" s="405">
        <v>21.5</v>
      </c>
      <c r="AV94" s="644">
        <v>338.1</v>
      </c>
      <c r="AW94" s="644">
        <v>597.9</v>
      </c>
      <c r="AX94" s="405">
        <v>0</v>
      </c>
      <c r="AY94" s="578">
        <v>0</v>
      </c>
      <c r="AZ94" s="578">
        <v>0</v>
      </c>
      <c r="BA94" s="578">
        <v>0</v>
      </c>
      <c r="BB94" s="1086">
        <v>1</v>
      </c>
      <c r="BC94" s="405">
        <v>0</v>
      </c>
      <c r="BD94" s="405">
        <v>1.5</v>
      </c>
      <c r="BE94" s="578">
        <v>0</v>
      </c>
      <c r="BF94" s="405">
        <v>2</v>
      </c>
      <c r="BG94" s="405">
        <v>0</v>
      </c>
      <c r="BH94" s="578">
        <v>0</v>
      </c>
      <c r="BI94" s="405">
        <v>0</v>
      </c>
      <c r="BJ94" s="405">
        <v>22.6</v>
      </c>
      <c r="BK94" s="405">
        <v>2.72</v>
      </c>
      <c r="BL94" s="405">
        <v>2.4500000000000002</v>
      </c>
      <c r="BM94" s="405">
        <v>0</v>
      </c>
      <c r="BN94" s="405">
        <v>16.399999999999999</v>
      </c>
      <c r="BO94" s="405">
        <v>1077</v>
      </c>
      <c r="BP94" s="405">
        <v>0</v>
      </c>
      <c r="BQ94" s="649">
        <v>20.76</v>
      </c>
      <c r="BR94" s="649">
        <v>20.72</v>
      </c>
      <c r="BS94" s="649">
        <v>8.8000000000000007</v>
      </c>
      <c r="BT94" s="649">
        <v>8.9</v>
      </c>
      <c r="BU94" s="648">
        <v>19.7</v>
      </c>
      <c r="BV94" s="648">
        <v>23.1</v>
      </c>
      <c r="BW94" s="649">
        <v>682.8</v>
      </c>
      <c r="BX94" s="876"/>
      <c r="BY94" s="649">
        <v>0.15</v>
      </c>
      <c r="BZ94" s="649">
        <v>1.47</v>
      </c>
      <c r="CA94" s="649">
        <v>1.3</v>
      </c>
      <c r="CB94" s="649">
        <v>8.9</v>
      </c>
      <c r="CC94" s="649">
        <v>8.1</v>
      </c>
      <c r="CD94" s="649">
        <v>15.6</v>
      </c>
      <c r="CE94" s="649">
        <v>33.4</v>
      </c>
      <c r="CF94" s="649">
        <v>13.1</v>
      </c>
      <c r="CG94" s="649">
        <v>7.9</v>
      </c>
      <c r="CH94" s="649">
        <v>13.3</v>
      </c>
      <c r="CI94" s="649">
        <v>17.399999999999999</v>
      </c>
      <c r="CJ94" s="649">
        <v>13.4</v>
      </c>
      <c r="CK94" s="649">
        <v>387.6</v>
      </c>
      <c r="CL94" s="649">
        <v>2</v>
      </c>
      <c r="CM94" s="649">
        <v>2.1</v>
      </c>
      <c r="CN94" s="991">
        <v>820</v>
      </c>
      <c r="CO94" s="649">
        <v>331.5</v>
      </c>
      <c r="CP94" s="649">
        <v>440.8</v>
      </c>
      <c r="CQ94" s="649">
        <v>13</v>
      </c>
      <c r="CR94" s="649">
        <v>1.98</v>
      </c>
      <c r="CS94" s="405">
        <v>3864.6</v>
      </c>
      <c r="CT94" s="405">
        <v>15.997999999999999</v>
      </c>
      <c r="CU94" s="405">
        <v>49</v>
      </c>
      <c r="CV94" s="522">
        <v>0</v>
      </c>
      <c r="CW94" s="522">
        <v>0</v>
      </c>
      <c r="CX94" s="522">
        <v>0</v>
      </c>
      <c r="CY94" s="522">
        <v>0</v>
      </c>
      <c r="CZ94" s="689">
        <v>1400</v>
      </c>
      <c r="DA94" s="689">
        <v>2650</v>
      </c>
      <c r="DB94" s="689">
        <v>1410</v>
      </c>
      <c r="DC94" s="643">
        <v>1134.9000000000001</v>
      </c>
      <c r="DD94" s="522"/>
      <c r="DE94" s="522"/>
      <c r="DF94" s="522"/>
      <c r="DG94" s="522"/>
      <c r="DH94" s="522"/>
      <c r="DI94" s="522"/>
      <c r="DJ94" s="522"/>
      <c r="DK94" s="522"/>
      <c r="DL94" s="649"/>
      <c r="DM94" s="689"/>
      <c r="DN94" s="649"/>
      <c r="DO94" s="522"/>
      <c r="DP94" s="522"/>
      <c r="DQ94" s="522"/>
      <c r="DR94" s="522"/>
      <c r="DS94" s="522"/>
      <c r="DT94" s="522"/>
      <c r="DU94" s="522"/>
      <c r="DV94" s="522"/>
      <c r="DW94" s="522"/>
      <c r="DX94" s="522"/>
      <c r="DY94" s="522"/>
      <c r="DZ94" s="522"/>
      <c r="EA94" s="522"/>
      <c r="EB94" s="522"/>
      <c r="EC94" s="522"/>
      <c r="ED94" s="522"/>
      <c r="EE94" s="522"/>
      <c r="EF94" s="522"/>
      <c r="EG94" s="645">
        <f t="shared" si="56"/>
        <v>13.41249</v>
      </c>
      <c r="EH94" s="361">
        <v>0</v>
      </c>
      <c r="EI94" s="647">
        <v>0</v>
      </c>
      <c r="EJ94" s="647">
        <f t="shared" si="86"/>
        <v>3.5</v>
      </c>
      <c r="EK94" s="647">
        <f t="shared" si="87"/>
        <v>5.17</v>
      </c>
      <c r="EL94" s="522"/>
      <c r="EM94" s="522"/>
      <c r="EN94" s="522"/>
      <c r="EO94" s="522"/>
      <c r="EP94" s="522"/>
      <c r="EQ94" s="522"/>
      <c r="ER94" s="522"/>
      <c r="ES94" s="407"/>
      <c r="ET94" s="407"/>
    </row>
    <row r="95" spans="1:150" s="357" customFormat="1" ht="15">
      <c r="A95" s="675" t="s">
        <v>3</v>
      </c>
      <c r="B95" s="712">
        <v>41721</v>
      </c>
      <c r="C95" s="713">
        <v>0</v>
      </c>
      <c r="D95" s="681">
        <v>0</v>
      </c>
      <c r="E95" s="681">
        <v>0</v>
      </c>
      <c r="F95" s="681">
        <v>40</v>
      </c>
      <c r="G95" s="807">
        <v>1.6</v>
      </c>
      <c r="H95" s="807" t="s">
        <v>744</v>
      </c>
      <c r="I95" s="807">
        <v>92.5</v>
      </c>
      <c r="J95" s="807">
        <v>0</v>
      </c>
      <c r="K95" s="807">
        <v>0.06</v>
      </c>
      <c r="L95" s="821">
        <f t="shared" si="69"/>
        <v>46.75</v>
      </c>
      <c r="M95" s="807">
        <v>22.4</v>
      </c>
      <c r="N95" s="807">
        <v>0</v>
      </c>
      <c r="O95" s="807" t="s">
        <v>743</v>
      </c>
      <c r="P95" s="807">
        <v>1.49</v>
      </c>
      <c r="Q95" s="807">
        <v>1.7319322432151707</v>
      </c>
      <c r="R95" s="865">
        <v>685.38274240422697</v>
      </c>
      <c r="S95" s="807">
        <v>0</v>
      </c>
      <c r="T95" s="807">
        <v>8.1</v>
      </c>
      <c r="U95" s="807">
        <v>0</v>
      </c>
      <c r="V95" s="807">
        <v>0.7</v>
      </c>
      <c r="W95" s="807">
        <v>32</v>
      </c>
      <c r="X95" s="690">
        <v>44.42</v>
      </c>
      <c r="Y95" s="807">
        <v>20.7</v>
      </c>
      <c r="Z95" s="807">
        <v>25.9</v>
      </c>
      <c r="AA95" s="794">
        <v>20.75</v>
      </c>
      <c r="AB95" s="794">
        <v>26</v>
      </c>
      <c r="AC95" s="775">
        <f t="shared" si="84"/>
        <v>46.75</v>
      </c>
      <c r="AD95" s="775">
        <f t="shared" si="85"/>
        <v>72.322249999999997</v>
      </c>
      <c r="AE95" s="775"/>
      <c r="AF95" s="567"/>
      <c r="AG95" s="2">
        <v>1</v>
      </c>
      <c r="AH95" s="705"/>
      <c r="AI95" s="362"/>
      <c r="AJ95" s="2"/>
      <c r="AK95" s="407"/>
      <c r="AL95" s="407"/>
      <c r="AM95" s="407"/>
      <c r="AN95" s="407"/>
      <c r="AO95" s="387"/>
      <c r="AP95" s="387"/>
      <c r="AQ95" s="405"/>
      <c r="AR95" s="578">
        <v>0</v>
      </c>
      <c r="AS95" s="405">
        <v>17.399999999999999</v>
      </c>
      <c r="AT95" s="578">
        <v>0</v>
      </c>
      <c r="AU95" s="405">
        <v>21.4</v>
      </c>
      <c r="AV95" s="644">
        <v>393.6</v>
      </c>
      <c r="AW95" s="644">
        <v>503.5</v>
      </c>
      <c r="AX95" s="405">
        <v>0</v>
      </c>
      <c r="AY95" s="578">
        <v>0</v>
      </c>
      <c r="AZ95" s="578">
        <v>0</v>
      </c>
      <c r="BA95" s="578">
        <v>0</v>
      </c>
      <c r="BB95" s="1086">
        <v>1</v>
      </c>
      <c r="BC95" s="405">
        <v>0</v>
      </c>
      <c r="BD95" s="405">
        <v>1.5</v>
      </c>
      <c r="BE95" s="578">
        <v>0</v>
      </c>
      <c r="BF95" s="405">
        <v>2</v>
      </c>
      <c r="BG95" s="405">
        <v>0</v>
      </c>
      <c r="BH95" s="578">
        <v>0</v>
      </c>
      <c r="BI95" s="405">
        <v>0</v>
      </c>
      <c r="BJ95" s="405">
        <v>22.6</v>
      </c>
      <c r="BK95" s="405">
        <v>2.79</v>
      </c>
      <c r="BL95" s="405">
        <v>2.29</v>
      </c>
      <c r="BM95" s="405">
        <v>0</v>
      </c>
      <c r="BN95" s="405">
        <v>16.399999999999999</v>
      </c>
      <c r="BO95" s="405">
        <v>1176.7</v>
      </c>
      <c r="BP95" s="405">
        <v>0</v>
      </c>
      <c r="BQ95" s="649">
        <v>20</v>
      </c>
      <c r="BR95" s="649">
        <v>20</v>
      </c>
      <c r="BS95" s="649">
        <v>8.9</v>
      </c>
      <c r="BT95" s="649">
        <v>9</v>
      </c>
      <c r="BU95" s="648">
        <v>19.899999999999999</v>
      </c>
      <c r="BV95" s="648">
        <v>22.8</v>
      </c>
      <c r="BW95" s="649">
        <v>502.8</v>
      </c>
      <c r="BX95" s="876"/>
      <c r="BY95" s="649">
        <v>0.15</v>
      </c>
      <c r="BZ95" s="649">
        <v>1.46</v>
      </c>
      <c r="CA95" s="649">
        <v>1.3</v>
      </c>
      <c r="CB95" s="649">
        <v>8.9</v>
      </c>
      <c r="CC95" s="649">
        <v>8.1999999999999993</v>
      </c>
      <c r="CD95" s="649">
        <v>15.9</v>
      </c>
      <c r="CE95" s="649">
        <v>33.5</v>
      </c>
      <c r="CF95" s="649">
        <v>12.4</v>
      </c>
      <c r="CG95" s="649">
        <v>7.8</v>
      </c>
      <c r="CH95" s="649">
        <v>13.3</v>
      </c>
      <c r="CI95" s="649">
        <v>17.3</v>
      </c>
      <c r="CJ95" s="649">
        <v>13.6</v>
      </c>
      <c r="CK95" s="649">
        <v>235</v>
      </c>
      <c r="CL95" s="649">
        <v>2</v>
      </c>
      <c r="CM95" s="649">
        <v>2.1</v>
      </c>
      <c r="CN95" s="991">
        <v>820</v>
      </c>
      <c r="CO95" s="649">
        <v>363.4</v>
      </c>
      <c r="CP95" s="649">
        <v>439</v>
      </c>
      <c r="CQ95" s="649">
        <v>13.1</v>
      </c>
      <c r="CR95" s="649">
        <v>1.93</v>
      </c>
      <c r="CS95" s="405">
        <v>4848.7</v>
      </c>
      <c r="CT95" s="405">
        <v>15.898</v>
      </c>
      <c r="CU95" s="405">
        <v>49</v>
      </c>
      <c r="CV95" s="522">
        <v>0</v>
      </c>
      <c r="CW95" s="522">
        <v>0</v>
      </c>
      <c r="CX95" s="522">
        <v>0</v>
      </c>
      <c r="CY95" s="522">
        <v>0</v>
      </c>
      <c r="CZ95" s="689">
        <v>1400</v>
      </c>
      <c r="DA95" s="689">
        <v>2550</v>
      </c>
      <c r="DB95" s="689">
        <v>1390</v>
      </c>
      <c r="DC95" s="643">
        <v>1134.8599999999999</v>
      </c>
      <c r="DD95" s="522"/>
      <c r="DE95" s="522"/>
      <c r="DF95" s="522"/>
      <c r="DG95" s="522"/>
      <c r="DH95" s="522"/>
      <c r="DI95" s="522"/>
      <c r="DJ95" s="522"/>
      <c r="DK95" s="522"/>
      <c r="DL95" s="649"/>
      <c r="DM95" s="689"/>
      <c r="DN95" s="649"/>
      <c r="DO95" s="522"/>
      <c r="DP95" s="522"/>
      <c r="DQ95" s="522"/>
      <c r="DR95" s="522"/>
      <c r="DS95" s="522"/>
      <c r="DT95" s="522"/>
      <c r="DU95" s="522"/>
      <c r="DV95" s="522"/>
      <c r="DW95" s="522"/>
      <c r="DX95" s="522"/>
      <c r="DY95" s="522"/>
      <c r="DZ95" s="522"/>
      <c r="EA95" s="522"/>
      <c r="EB95" s="522"/>
      <c r="EC95" s="522"/>
      <c r="ED95" s="522"/>
      <c r="EE95" s="522"/>
      <c r="EF95" s="522"/>
      <c r="EG95" s="645">
        <f t="shared" si="56"/>
        <v>13.273259999999999</v>
      </c>
      <c r="EH95" s="361">
        <v>0</v>
      </c>
      <c r="EI95" s="647">
        <v>0</v>
      </c>
      <c r="EJ95" s="647">
        <f t="shared" si="86"/>
        <v>3.5</v>
      </c>
      <c r="EK95" s="647">
        <f t="shared" si="87"/>
        <v>5.08</v>
      </c>
      <c r="EL95" s="522"/>
      <c r="EM95" s="522"/>
      <c r="EN95" s="522"/>
      <c r="EO95" s="522"/>
      <c r="EP95" s="522"/>
      <c r="EQ95" s="522"/>
      <c r="ER95" s="522"/>
      <c r="ES95" s="407"/>
      <c r="ET95" s="407"/>
    </row>
    <row r="96" spans="1:150" s="357" customFormat="1" ht="15">
      <c r="A96" s="675" t="s">
        <v>4</v>
      </c>
      <c r="B96" s="712">
        <v>41722</v>
      </c>
      <c r="C96" s="713">
        <v>0</v>
      </c>
      <c r="D96" s="681">
        <v>0</v>
      </c>
      <c r="E96" s="681">
        <v>0</v>
      </c>
      <c r="F96" s="681">
        <v>49</v>
      </c>
      <c r="G96" s="807">
        <v>1.5</v>
      </c>
      <c r="H96" s="807" t="s">
        <v>744</v>
      </c>
      <c r="I96" s="807">
        <v>93.08</v>
      </c>
      <c r="J96" s="807">
        <v>0</v>
      </c>
      <c r="K96" s="807">
        <v>0.06</v>
      </c>
      <c r="L96" s="821">
        <f t="shared" si="69"/>
        <v>46.709999999999994</v>
      </c>
      <c r="M96" s="807">
        <v>21.9</v>
      </c>
      <c r="N96" s="807">
        <v>0</v>
      </c>
      <c r="O96" s="807" t="s">
        <v>743</v>
      </c>
      <c r="P96" s="807">
        <v>1.49</v>
      </c>
      <c r="Q96" s="807">
        <v>1.6412867724979605</v>
      </c>
      <c r="R96" s="865">
        <v>678.25683487450453</v>
      </c>
      <c r="S96" s="807">
        <v>0</v>
      </c>
      <c r="T96" s="807">
        <v>8.1</v>
      </c>
      <c r="U96" s="807">
        <v>0</v>
      </c>
      <c r="V96" s="807">
        <v>0.7</v>
      </c>
      <c r="W96" s="807">
        <v>32</v>
      </c>
      <c r="X96" s="690">
        <v>44.42</v>
      </c>
      <c r="Y96" s="807">
        <v>20.8</v>
      </c>
      <c r="Z96" s="807">
        <v>26</v>
      </c>
      <c r="AA96" s="794">
        <v>20.65</v>
      </c>
      <c r="AB96" s="794">
        <v>26.06</v>
      </c>
      <c r="AC96" s="775">
        <f t="shared" ref="AC96:AC97" si="88">AA96+AB96</f>
        <v>46.709999999999994</v>
      </c>
      <c r="AD96" s="775">
        <f t="shared" ref="AD96:AD97" si="89">AC96*1.547</f>
        <v>72.26036999999998</v>
      </c>
      <c r="AE96" s="775"/>
      <c r="AF96" s="567"/>
      <c r="AG96" s="2">
        <v>1</v>
      </c>
      <c r="AH96" s="705"/>
      <c r="AI96" s="362"/>
      <c r="AJ96" s="2"/>
      <c r="AK96" s="407"/>
      <c r="AL96" s="407"/>
      <c r="AM96" s="407"/>
      <c r="AN96" s="407"/>
      <c r="AO96" s="387"/>
      <c r="AP96" s="387"/>
      <c r="AQ96" s="405"/>
      <c r="AR96" s="578">
        <v>0</v>
      </c>
      <c r="AS96" s="405">
        <v>14.5</v>
      </c>
      <c r="AT96" s="578">
        <v>0</v>
      </c>
      <c r="AU96" s="405">
        <v>21.3</v>
      </c>
      <c r="AV96" s="644">
        <v>445.2</v>
      </c>
      <c r="AW96" s="644">
        <v>534.1</v>
      </c>
      <c r="AX96" s="405">
        <v>0</v>
      </c>
      <c r="AY96" s="578">
        <v>0</v>
      </c>
      <c r="AZ96" s="578">
        <v>0</v>
      </c>
      <c r="BA96" s="578">
        <v>0</v>
      </c>
      <c r="BB96" s="1086">
        <v>0.99</v>
      </c>
      <c r="BC96" s="405">
        <v>0</v>
      </c>
      <c r="BD96" s="405">
        <v>1.5</v>
      </c>
      <c r="BE96" s="578">
        <v>0</v>
      </c>
      <c r="BF96" s="405">
        <v>2</v>
      </c>
      <c r="BG96" s="405">
        <v>0</v>
      </c>
      <c r="BH96" s="578">
        <v>0</v>
      </c>
      <c r="BI96" s="405">
        <v>0</v>
      </c>
      <c r="BJ96" s="405">
        <v>22.6</v>
      </c>
      <c r="BK96" s="405">
        <v>3.13</v>
      </c>
      <c r="BL96" s="405">
        <v>2.02</v>
      </c>
      <c r="BM96" s="405">
        <v>0</v>
      </c>
      <c r="BN96" s="405">
        <v>16.399999999999999</v>
      </c>
      <c r="BO96" s="405">
        <v>1073.3</v>
      </c>
      <c r="BP96" s="405">
        <v>0</v>
      </c>
      <c r="BQ96" s="649">
        <v>19.5</v>
      </c>
      <c r="BR96" s="649">
        <v>19.5</v>
      </c>
      <c r="BS96" s="649">
        <v>8.8000000000000007</v>
      </c>
      <c r="BT96" s="649">
        <v>9</v>
      </c>
      <c r="BU96" s="648">
        <v>19.8</v>
      </c>
      <c r="BV96" s="648">
        <v>22</v>
      </c>
      <c r="BW96" s="649">
        <v>683.2</v>
      </c>
      <c r="BX96" s="876"/>
      <c r="BY96" s="649">
        <v>0.15</v>
      </c>
      <c r="BZ96" s="649">
        <v>1.45</v>
      </c>
      <c r="CA96" s="649">
        <v>1.3</v>
      </c>
      <c r="CB96" s="649">
        <v>8.9</v>
      </c>
      <c r="CC96" s="649">
        <v>8.1999999999999993</v>
      </c>
      <c r="CD96" s="649">
        <v>15.4</v>
      </c>
      <c r="CE96" s="649">
        <v>33.5</v>
      </c>
      <c r="CF96" s="649">
        <v>15.3</v>
      </c>
      <c r="CG96" s="649">
        <v>7.9</v>
      </c>
      <c r="CH96" s="649">
        <v>13.3</v>
      </c>
      <c r="CI96" s="649">
        <v>17.399999999999999</v>
      </c>
      <c r="CJ96" s="649">
        <v>13.7</v>
      </c>
      <c r="CK96" s="649">
        <v>228.8</v>
      </c>
      <c r="CL96" s="649">
        <v>1.3</v>
      </c>
      <c r="CM96" s="649">
        <v>2.6</v>
      </c>
      <c r="CN96" s="991">
        <v>820</v>
      </c>
      <c r="CO96" s="649">
        <v>335.9</v>
      </c>
      <c r="CP96" s="649">
        <v>459.9</v>
      </c>
      <c r="CQ96" s="649">
        <v>13.5</v>
      </c>
      <c r="CR96" s="649">
        <v>2.0499999999999998</v>
      </c>
      <c r="CS96" s="405">
        <v>5841.2</v>
      </c>
      <c r="CT96" s="405">
        <v>16.95</v>
      </c>
      <c r="CU96" s="405">
        <v>50</v>
      </c>
      <c r="CV96" s="522">
        <v>0</v>
      </c>
      <c r="CW96" s="522">
        <v>0</v>
      </c>
      <c r="CX96" s="522">
        <v>0</v>
      </c>
      <c r="CY96" s="522">
        <v>0</v>
      </c>
      <c r="CZ96" s="689">
        <v>1080</v>
      </c>
      <c r="DA96" s="689">
        <v>2170</v>
      </c>
      <c r="DB96" s="689">
        <v>1080</v>
      </c>
      <c r="DC96" s="643">
        <v>1134.8699999999999</v>
      </c>
      <c r="DD96" s="522"/>
      <c r="DE96" s="522"/>
      <c r="DF96" s="522"/>
      <c r="DG96" s="522"/>
      <c r="DH96" s="522"/>
      <c r="DI96" s="522"/>
      <c r="DJ96" s="522"/>
      <c r="DK96" s="522"/>
      <c r="DL96" s="649"/>
      <c r="DM96" s="689"/>
      <c r="DN96" s="649"/>
      <c r="DO96" s="522"/>
      <c r="DP96" s="522"/>
      <c r="DQ96" s="522"/>
      <c r="DR96" s="522"/>
      <c r="DS96" s="522"/>
      <c r="DT96" s="522"/>
      <c r="DU96" s="522"/>
      <c r="DV96" s="522"/>
      <c r="DW96" s="522"/>
      <c r="DX96" s="522"/>
      <c r="DY96" s="522"/>
      <c r="DZ96" s="522"/>
      <c r="EA96" s="522"/>
      <c r="EB96" s="522"/>
      <c r="EC96" s="522"/>
      <c r="ED96" s="522"/>
      <c r="EE96" s="522"/>
      <c r="EF96" s="522"/>
      <c r="EG96" s="645">
        <f t="shared" si="56"/>
        <v>13.381550000000001</v>
      </c>
      <c r="EH96" s="361">
        <v>0</v>
      </c>
      <c r="EI96" s="647">
        <v>0</v>
      </c>
      <c r="EJ96" s="647">
        <f t="shared" si="86"/>
        <v>3.5</v>
      </c>
      <c r="EK96" s="647">
        <f t="shared" si="87"/>
        <v>5.15</v>
      </c>
      <c r="EL96" s="522"/>
      <c r="EM96" s="522"/>
      <c r="EN96" s="522"/>
      <c r="EO96" s="522"/>
      <c r="EP96" s="522"/>
      <c r="EQ96" s="522"/>
      <c r="ER96" s="522"/>
      <c r="ES96" s="407"/>
      <c r="ET96" s="407"/>
    </row>
    <row r="97" spans="1:150" s="357" customFormat="1" ht="15">
      <c r="A97" s="675" t="s">
        <v>5</v>
      </c>
      <c r="B97" s="712">
        <v>41723</v>
      </c>
      <c r="C97" s="713">
        <v>0</v>
      </c>
      <c r="D97" s="681">
        <v>0.02</v>
      </c>
      <c r="E97" s="681">
        <v>0</v>
      </c>
      <c r="F97" s="681">
        <v>45</v>
      </c>
      <c r="G97" s="807">
        <v>1.7</v>
      </c>
      <c r="H97" s="807" t="s">
        <v>744</v>
      </c>
      <c r="I97" s="807">
        <v>91.95</v>
      </c>
      <c r="J97" s="807">
        <v>0</v>
      </c>
      <c r="K97" s="807">
        <v>0.06</v>
      </c>
      <c r="L97" s="821">
        <f t="shared" si="69"/>
        <v>46.54</v>
      </c>
      <c r="M97" s="807">
        <v>21.6</v>
      </c>
      <c r="N97" s="807">
        <v>0</v>
      </c>
      <c r="O97" s="807" t="s">
        <v>743</v>
      </c>
      <c r="P97" s="807">
        <v>1.49</v>
      </c>
      <c r="Q97" s="807">
        <v>1.7235681012306192</v>
      </c>
      <c r="R97" s="865">
        <v>682.7915033025098</v>
      </c>
      <c r="S97" s="807">
        <v>0</v>
      </c>
      <c r="T97" s="807">
        <v>8.1</v>
      </c>
      <c r="U97" s="807">
        <v>0</v>
      </c>
      <c r="V97" s="807">
        <v>0.71</v>
      </c>
      <c r="W97" s="807">
        <v>32</v>
      </c>
      <c r="X97" s="690">
        <v>44.42</v>
      </c>
      <c r="Y97" s="807">
        <v>20.65</v>
      </c>
      <c r="Z97" s="807">
        <v>26.06</v>
      </c>
      <c r="AA97" s="794">
        <v>20.5</v>
      </c>
      <c r="AB97" s="794">
        <v>26.04</v>
      </c>
      <c r="AC97" s="775">
        <f t="shared" si="88"/>
        <v>46.54</v>
      </c>
      <c r="AD97" s="775">
        <f t="shared" si="89"/>
        <v>71.997379999999993</v>
      </c>
      <c r="AE97" s="775"/>
      <c r="AF97" s="567"/>
      <c r="AG97" s="2">
        <v>1</v>
      </c>
      <c r="AH97" s="705"/>
      <c r="AI97" s="362"/>
      <c r="AJ97" s="2"/>
      <c r="AK97" s="407"/>
      <c r="AL97" s="407"/>
      <c r="AM97" s="407"/>
      <c r="AN97" s="407"/>
      <c r="AO97" s="387"/>
      <c r="AP97" s="387"/>
      <c r="AQ97" s="405"/>
      <c r="AR97" s="578">
        <v>0</v>
      </c>
      <c r="AS97" s="405">
        <v>10.5</v>
      </c>
      <c r="AT97" s="578">
        <v>0</v>
      </c>
      <c r="AU97" s="405">
        <v>21.2</v>
      </c>
      <c r="AV97" s="644">
        <v>352.5</v>
      </c>
      <c r="AW97" s="644">
        <v>389.1</v>
      </c>
      <c r="AX97" s="405">
        <v>0</v>
      </c>
      <c r="AY97" s="578">
        <v>0</v>
      </c>
      <c r="AZ97" s="578">
        <v>0</v>
      </c>
      <c r="BA97" s="578">
        <v>0</v>
      </c>
      <c r="BB97" s="1086">
        <v>1</v>
      </c>
      <c r="BC97" s="405">
        <v>0</v>
      </c>
      <c r="BD97" s="405">
        <v>1.5</v>
      </c>
      <c r="BE97" s="578">
        <v>0</v>
      </c>
      <c r="BF97" s="405">
        <v>2</v>
      </c>
      <c r="BG97" s="405">
        <v>0</v>
      </c>
      <c r="BH97" s="578">
        <v>0</v>
      </c>
      <c r="BI97" s="405">
        <v>0</v>
      </c>
      <c r="BJ97" s="405">
        <v>22.6</v>
      </c>
      <c r="BK97" s="405">
        <v>3.21</v>
      </c>
      <c r="BL97" s="405">
        <v>1.96</v>
      </c>
      <c r="BM97" s="405">
        <v>0</v>
      </c>
      <c r="BN97" s="405">
        <v>16.399999999999999</v>
      </c>
      <c r="BO97" s="405">
        <v>1027.2</v>
      </c>
      <c r="BP97" s="405">
        <v>0</v>
      </c>
      <c r="BQ97" s="649">
        <v>20.22</v>
      </c>
      <c r="BR97" s="649">
        <v>20.190000000000001</v>
      </c>
      <c r="BS97" s="649">
        <v>8.952</v>
      </c>
      <c r="BT97" s="649">
        <v>9.0830000000000002</v>
      </c>
      <c r="BU97" s="648">
        <v>19.899999999999999</v>
      </c>
      <c r="BV97" s="648">
        <v>19.100000000000001</v>
      </c>
      <c r="BW97" s="649">
        <v>469.6</v>
      </c>
      <c r="BX97" s="876"/>
      <c r="BY97" s="649">
        <v>0.15</v>
      </c>
      <c r="BZ97" s="649">
        <v>1.44</v>
      </c>
      <c r="CA97" s="649">
        <v>1.3</v>
      </c>
      <c r="CB97" s="649">
        <v>8.9</v>
      </c>
      <c r="CC97" s="649">
        <v>8.3000000000000007</v>
      </c>
      <c r="CD97" s="649">
        <v>14.8</v>
      </c>
      <c r="CE97" s="649">
        <v>33.5</v>
      </c>
      <c r="CF97" s="649">
        <v>14.8</v>
      </c>
      <c r="CG97" s="649">
        <v>8</v>
      </c>
      <c r="CH97" s="649">
        <v>13.5</v>
      </c>
      <c r="CI97" s="649">
        <v>17.5</v>
      </c>
      <c r="CJ97" s="649">
        <v>13.7</v>
      </c>
      <c r="CK97" s="649">
        <v>261.3</v>
      </c>
      <c r="CL97" s="649">
        <v>1.8</v>
      </c>
      <c r="CM97" s="649">
        <v>1.5</v>
      </c>
      <c r="CN97" s="991">
        <v>820</v>
      </c>
      <c r="CO97" s="649">
        <v>318.8</v>
      </c>
      <c r="CP97" s="649">
        <v>457.9</v>
      </c>
      <c r="CQ97" s="649">
        <v>14.7</v>
      </c>
      <c r="CR97" s="649">
        <v>2.25</v>
      </c>
      <c r="CS97" s="405">
        <v>6738.7</v>
      </c>
      <c r="CT97" s="405">
        <v>16.539000000000001</v>
      </c>
      <c r="CU97" s="405">
        <v>50</v>
      </c>
      <c r="CV97" s="522">
        <v>0</v>
      </c>
      <c r="CW97" s="522">
        <v>0</v>
      </c>
      <c r="CX97" s="522">
        <v>0</v>
      </c>
      <c r="CY97" s="522">
        <v>0</v>
      </c>
      <c r="CZ97" s="689">
        <v>1090</v>
      </c>
      <c r="DA97" s="689">
        <v>2130</v>
      </c>
      <c r="DB97" s="689">
        <v>1080</v>
      </c>
      <c r="DC97" s="643">
        <v>1135.26</v>
      </c>
      <c r="DD97" s="522"/>
      <c r="DE97" s="522"/>
      <c r="DF97" s="522"/>
      <c r="DG97" s="522"/>
      <c r="DH97" s="522"/>
      <c r="DI97" s="522"/>
      <c r="DJ97" s="522"/>
      <c r="DK97" s="522"/>
      <c r="DL97" s="649"/>
      <c r="DM97" s="689"/>
      <c r="DN97" s="649"/>
      <c r="DO97" s="522"/>
      <c r="DP97" s="522"/>
      <c r="DQ97" s="522"/>
      <c r="DR97" s="522"/>
      <c r="DS97" s="522"/>
      <c r="DT97" s="522"/>
      <c r="DU97" s="522"/>
      <c r="DV97" s="522"/>
      <c r="DW97" s="522"/>
      <c r="DX97" s="522"/>
      <c r="DY97" s="522"/>
      <c r="DZ97" s="522"/>
      <c r="EA97" s="522"/>
      <c r="EB97" s="522"/>
      <c r="EC97" s="522"/>
      <c r="ED97" s="522"/>
      <c r="EE97" s="522"/>
      <c r="EF97" s="522"/>
      <c r="EG97" s="645">
        <f t="shared" si="56"/>
        <v>13.41249</v>
      </c>
      <c r="EH97" s="361">
        <v>0</v>
      </c>
      <c r="EI97" s="647">
        <v>0</v>
      </c>
      <c r="EJ97" s="647">
        <f t="shared" si="86"/>
        <v>3.5</v>
      </c>
      <c r="EK97" s="647">
        <f t="shared" si="87"/>
        <v>5.17</v>
      </c>
      <c r="EL97" s="522"/>
      <c r="EM97" s="522"/>
      <c r="EN97" s="522"/>
      <c r="EO97" s="522"/>
      <c r="EP97" s="522"/>
      <c r="EQ97" s="522"/>
      <c r="ER97" s="522"/>
      <c r="ES97" s="407"/>
      <c r="ET97" s="407"/>
    </row>
    <row r="98" spans="1:150" s="357" customFormat="1" ht="15">
      <c r="A98" s="675" t="s">
        <v>6</v>
      </c>
      <c r="B98" s="712">
        <v>41724</v>
      </c>
      <c r="C98" s="713">
        <v>0</v>
      </c>
      <c r="D98" s="681">
        <v>0.32</v>
      </c>
      <c r="E98" s="681">
        <v>0</v>
      </c>
      <c r="F98" s="681">
        <v>42</v>
      </c>
      <c r="G98" s="807">
        <v>1.7</v>
      </c>
      <c r="H98" s="807" t="s">
        <v>744</v>
      </c>
      <c r="I98" s="807">
        <v>94.96</v>
      </c>
      <c r="J98" s="807">
        <v>0</v>
      </c>
      <c r="K98" s="807">
        <v>0.06</v>
      </c>
      <c r="L98" s="821">
        <f t="shared" si="69"/>
        <v>46.57</v>
      </c>
      <c r="M98" s="807">
        <v>21.2</v>
      </c>
      <c r="N98" s="807">
        <v>0</v>
      </c>
      <c r="O98" s="807" t="s">
        <v>743</v>
      </c>
      <c r="P98" s="807">
        <v>1.48</v>
      </c>
      <c r="Q98" s="807">
        <v>1.8115657373291378</v>
      </c>
      <c r="R98" s="865">
        <v>688.94569616908848</v>
      </c>
      <c r="S98" s="807">
        <v>0</v>
      </c>
      <c r="T98" s="807">
        <v>8.1</v>
      </c>
      <c r="U98" s="807">
        <v>0</v>
      </c>
      <c r="V98" s="807">
        <v>0.7</v>
      </c>
      <c r="W98" s="807">
        <v>32</v>
      </c>
      <c r="X98" s="690">
        <v>44.42</v>
      </c>
      <c r="Y98" s="807">
        <v>20.5</v>
      </c>
      <c r="Z98" s="807">
        <v>26.04</v>
      </c>
      <c r="AA98" s="794">
        <v>20.51</v>
      </c>
      <c r="AB98" s="794">
        <v>26.06</v>
      </c>
      <c r="AC98" s="775">
        <f t="shared" ref="AC98" si="90">AA98+AB98</f>
        <v>46.57</v>
      </c>
      <c r="AD98" s="775">
        <f t="shared" ref="AD98" si="91">AC98*1.547</f>
        <v>72.043790000000001</v>
      </c>
      <c r="AE98" s="775"/>
      <c r="AF98" s="567"/>
      <c r="AG98" s="2">
        <v>1</v>
      </c>
      <c r="AH98" s="705"/>
      <c r="AI98" s="362"/>
      <c r="AJ98" s="2"/>
      <c r="AK98" s="407"/>
      <c r="AL98" s="407"/>
      <c r="AM98" s="407"/>
      <c r="AN98" s="407"/>
      <c r="AO98" s="387"/>
      <c r="AP98" s="387"/>
      <c r="AQ98" s="405"/>
      <c r="AR98" s="578">
        <v>0</v>
      </c>
      <c r="AS98" s="405">
        <v>10.4</v>
      </c>
      <c r="AT98" s="578">
        <v>0</v>
      </c>
      <c r="AU98" s="405">
        <v>21.2</v>
      </c>
      <c r="AV98" s="644">
        <v>388.9</v>
      </c>
      <c r="AW98" s="644">
        <v>448.9</v>
      </c>
      <c r="AX98" s="405">
        <v>0</v>
      </c>
      <c r="AY98" s="578">
        <v>0</v>
      </c>
      <c r="AZ98" s="578">
        <v>0</v>
      </c>
      <c r="BA98" s="578">
        <v>0</v>
      </c>
      <c r="BB98" s="1086">
        <v>0.99</v>
      </c>
      <c r="BC98" s="405">
        <v>0</v>
      </c>
      <c r="BD98" s="405">
        <v>1.5</v>
      </c>
      <c r="BE98" s="578">
        <v>0</v>
      </c>
      <c r="BF98" s="405">
        <v>2</v>
      </c>
      <c r="BG98" s="405">
        <v>0</v>
      </c>
      <c r="BH98" s="578">
        <v>0</v>
      </c>
      <c r="BI98" s="405">
        <v>0</v>
      </c>
      <c r="BJ98" s="405">
        <v>22.6</v>
      </c>
      <c r="BK98" s="405">
        <v>2.95</v>
      </c>
      <c r="BL98" s="405">
        <v>2.15</v>
      </c>
      <c r="BM98" s="405">
        <v>0</v>
      </c>
      <c r="BN98" s="405">
        <v>16.399999999999999</v>
      </c>
      <c r="BO98" s="405">
        <v>1022.7</v>
      </c>
      <c r="BP98" s="405">
        <v>0</v>
      </c>
      <c r="BQ98" s="649">
        <v>20.58</v>
      </c>
      <c r="BR98" s="649">
        <v>20.55</v>
      </c>
      <c r="BS98" s="649">
        <v>8.86</v>
      </c>
      <c r="BT98" s="649">
        <v>8.98</v>
      </c>
      <c r="BU98" s="648">
        <v>19.8</v>
      </c>
      <c r="BV98" s="648">
        <v>19.7</v>
      </c>
      <c r="BW98" s="649">
        <v>667.1</v>
      </c>
      <c r="BX98" s="876"/>
      <c r="BY98" s="649">
        <v>0.15</v>
      </c>
      <c r="BZ98" s="649">
        <v>1.44</v>
      </c>
      <c r="CA98" s="649">
        <v>1.3</v>
      </c>
      <c r="CB98" s="649">
        <v>8.9</v>
      </c>
      <c r="CC98" s="649">
        <v>8.1999999999999993</v>
      </c>
      <c r="CD98" s="649">
        <v>15.4</v>
      </c>
      <c r="CE98" s="649">
        <v>33.6</v>
      </c>
      <c r="CF98" s="649">
        <v>14.3</v>
      </c>
      <c r="CG98" s="649">
        <v>8</v>
      </c>
      <c r="CH98" s="649">
        <v>13.5</v>
      </c>
      <c r="CI98" s="649">
        <v>17.5</v>
      </c>
      <c r="CJ98" s="649">
        <v>14.04</v>
      </c>
      <c r="CK98" s="649">
        <v>247.9</v>
      </c>
      <c r="CL98" s="649">
        <v>2</v>
      </c>
      <c r="CM98" s="649">
        <v>1.7</v>
      </c>
      <c r="CN98" s="991">
        <v>820</v>
      </c>
      <c r="CO98" s="649">
        <v>319.60000000000002</v>
      </c>
      <c r="CP98" s="649">
        <v>462.1</v>
      </c>
      <c r="CQ98" s="649">
        <v>14.1</v>
      </c>
      <c r="CR98" s="649">
        <v>2.15</v>
      </c>
      <c r="CS98" s="405">
        <v>6602.4</v>
      </c>
      <c r="CT98" s="405">
        <v>16.638999999999999</v>
      </c>
      <c r="CU98" s="405">
        <v>50</v>
      </c>
      <c r="CV98" s="522">
        <v>0</v>
      </c>
      <c r="CW98" s="522">
        <v>0</v>
      </c>
      <c r="CX98" s="522">
        <v>0</v>
      </c>
      <c r="CY98" s="522">
        <v>0</v>
      </c>
      <c r="CZ98" s="689">
        <v>1060</v>
      </c>
      <c r="DA98" s="689">
        <v>2090</v>
      </c>
      <c r="DB98" s="689">
        <v>1070</v>
      </c>
      <c r="DC98" s="643">
        <v>1135.7</v>
      </c>
      <c r="DD98" s="522"/>
      <c r="DE98" s="522"/>
      <c r="DF98" s="522"/>
      <c r="DG98" s="522"/>
      <c r="DH98" s="522"/>
      <c r="DI98" s="522"/>
      <c r="DJ98" s="522"/>
      <c r="DK98" s="522"/>
      <c r="DL98" s="649"/>
      <c r="DM98" s="689"/>
      <c r="DN98" s="649"/>
      <c r="DO98" s="522"/>
      <c r="DP98" s="522"/>
      <c r="DQ98" s="522"/>
      <c r="DR98" s="522"/>
      <c r="DS98" s="522"/>
      <c r="DT98" s="522"/>
      <c r="DU98" s="522"/>
      <c r="DV98" s="522"/>
      <c r="DW98" s="522"/>
      <c r="DX98" s="522"/>
      <c r="DY98" s="522"/>
      <c r="DZ98" s="522"/>
      <c r="EA98" s="522"/>
      <c r="EB98" s="522"/>
      <c r="EC98" s="522"/>
      <c r="ED98" s="522"/>
      <c r="EE98" s="522"/>
      <c r="EF98" s="522"/>
      <c r="EG98" s="645">
        <f t="shared" si="56"/>
        <v>13.304199999999998</v>
      </c>
      <c r="EH98" s="361">
        <v>0</v>
      </c>
      <c r="EI98" s="647">
        <v>0</v>
      </c>
      <c r="EJ98" s="647">
        <f t="shared" si="86"/>
        <v>3.5</v>
      </c>
      <c r="EK98" s="647">
        <f t="shared" si="87"/>
        <v>5.0999999999999996</v>
      </c>
      <c r="EL98" s="522"/>
      <c r="EM98" s="522"/>
      <c r="EN98" s="522"/>
      <c r="EO98" s="522"/>
      <c r="EP98" s="522"/>
      <c r="EQ98" s="522"/>
      <c r="ER98" s="522"/>
      <c r="ES98" s="407"/>
      <c r="ET98" s="407"/>
    </row>
    <row r="99" spans="1:150" s="357" customFormat="1" ht="15">
      <c r="A99" s="675" t="s">
        <v>7</v>
      </c>
      <c r="B99" s="712">
        <v>41725</v>
      </c>
      <c r="C99" s="713">
        <v>0</v>
      </c>
      <c r="D99" s="681">
        <v>0.49</v>
      </c>
      <c r="E99" s="681">
        <v>0</v>
      </c>
      <c r="F99" s="681">
        <v>42</v>
      </c>
      <c r="G99" s="807">
        <v>1.7</v>
      </c>
      <c r="H99" s="807" t="s">
        <v>744</v>
      </c>
      <c r="I99" s="807">
        <v>93.5</v>
      </c>
      <c r="J99" s="807">
        <v>0</v>
      </c>
      <c r="K99" s="807">
        <v>0.06</v>
      </c>
      <c r="L99" s="821">
        <f t="shared" si="69"/>
        <v>46.599999999999994</v>
      </c>
      <c r="M99" s="807">
        <v>21</v>
      </c>
      <c r="N99" s="807">
        <v>0</v>
      </c>
      <c r="O99" s="807" t="s">
        <v>743</v>
      </c>
      <c r="P99" s="807">
        <v>1.5</v>
      </c>
      <c r="Q99" s="807">
        <v>1.7155979222176012</v>
      </c>
      <c r="R99" s="865">
        <v>675.34169088507258</v>
      </c>
      <c r="S99" s="807">
        <v>0</v>
      </c>
      <c r="T99" s="807">
        <v>8.1</v>
      </c>
      <c r="U99" s="807">
        <v>0</v>
      </c>
      <c r="V99" s="807">
        <v>0.7</v>
      </c>
      <c r="W99" s="807">
        <v>32</v>
      </c>
      <c r="X99" s="690">
        <v>44.42</v>
      </c>
      <c r="Y99" s="807">
        <v>19.77</v>
      </c>
      <c r="Z99" s="807">
        <v>25.1</v>
      </c>
      <c r="AA99" s="794">
        <v>20.54</v>
      </c>
      <c r="AB99" s="794">
        <v>26.06</v>
      </c>
      <c r="AC99" s="775">
        <f t="shared" ref="AC99" si="92">AA99+AB99</f>
        <v>46.599999999999994</v>
      </c>
      <c r="AD99" s="775">
        <f t="shared" ref="AD99" si="93">AC99*1.547</f>
        <v>72.090199999999982</v>
      </c>
      <c r="AE99" s="775"/>
      <c r="AF99" s="567"/>
      <c r="AG99" s="2">
        <v>1</v>
      </c>
      <c r="AH99" s="705"/>
      <c r="AI99" s="362"/>
      <c r="AJ99" s="2"/>
      <c r="AK99" s="407"/>
      <c r="AL99" s="407"/>
      <c r="AM99" s="407"/>
      <c r="AN99" s="407"/>
      <c r="AO99" s="387"/>
      <c r="AP99" s="387"/>
      <c r="AQ99" s="405"/>
      <c r="AR99" s="578">
        <v>0</v>
      </c>
      <c r="AS99" s="405">
        <v>10.7</v>
      </c>
      <c r="AT99" s="578">
        <v>0</v>
      </c>
      <c r="AU99" s="405">
        <v>21.2</v>
      </c>
      <c r="AV99" s="644">
        <v>314</v>
      </c>
      <c r="AW99" s="644">
        <v>395.6</v>
      </c>
      <c r="AX99" s="405">
        <v>0</v>
      </c>
      <c r="AY99" s="578">
        <v>0</v>
      </c>
      <c r="AZ99" s="578">
        <v>0</v>
      </c>
      <c r="BA99" s="578">
        <v>0</v>
      </c>
      <c r="BB99" s="1086">
        <v>1</v>
      </c>
      <c r="BC99" s="405">
        <v>0</v>
      </c>
      <c r="BD99" s="405">
        <v>1.5</v>
      </c>
      <c r="BE99" s="578">
        <v>0</v>
      </c>
      <c r="BF99" s="405">
        <v>2</v>
      </c>
      <c r="BG99" s="405">
        <v>0</v>
      </c>
      <c r="BH99" s="578">
        <v>0</v>
      </c>
      <c r="BI99" s="405">
        <v>0</v>
      </c>
      <c r="BJ99" s="405">
        <v>22.6</v>
      </c>
      <c r="BK99" s="405">
        <v>2.99</v>
      </c>
      <c r="BL99" s="405">
        <v>2.15</v>
      </c>
      <c r="BM99" s="405">
        <v>0</v>
      </c>
      <c r="BN99" s="405">
        <v>16.399999999999999</v>
      </c>
      <c r="BO99" s="405">
        <v>1057.2</v>
      </c>
      <c r="BP99" s="405">
        <v>0</v>
      </c>
      <c r="BQ99" s="649">
        <v>21.11</v>
      </c>
      <c r="BR99" s="649">
        <v>21.07</v>
      </c>
      <c r="BS99" s="649">
        <v>8.9459999999999997</v>
      </c>
      <c r="BT99" s="649">
        <v>9.0530000000000008</v>
      </c>
      <c r="BU99" s="648">
        <v>19.899999999999999</v>
      </c>
      <c r="BV99" s="648">
        <v>19.5</v>
      </c>
      <c r="BW99" s="649">
        <v>468.9</v>
      </c>
      <c r="BX99" s="876"/>
      <c r="BY99" s="649">
        <v>0.15</v>
      </c>
      <c r="BZ99" s="649">
        <v>1.43</v>
      </c>
      <c r="CA99" s="649">
        <v>1.3</v>
      </c>
      <c r="CB99" s="649">
        <v>8.9</v>
      </c>
      <c r="CC99" s="649">
        <v>8.3000000000000007</v>
      </c>
      <c r="CD99" s="522">
        <v>15.2</v>
      </c>
      <c r="CE99" s="522">
        <v>33.4</v>
      </c>
      <c r="CF99" s="522">
        <v>13.8</v>
      </c>
      <c r="CG99" s="522">
        <v>8.1</v>
      </c>
      <c r="CH99" s="522">
        <v>13.6</v>
      </c>
      <c r="CI99" s="522">
        <v>17.600000000000001</v>
      </c>
      <c r="CJ99" s="522">
        <v>13.58</v>
      </c>
      <c r="CK99" s="522">
        <v>304.2</v>
      </c>
      <c r="CL99" s="522">
        <v>1.4</v>
      </c>
      <c r="CM99" s="522">
        <v>1.4</v>
      </c>
      <c r="CN99" s="991">
        <v>820</v>
      </c>
      <c r="CO99" s="522">
        <v>315.3</v>
      </c>
      <c r="CP99" s="522">
        <v>460.6</v>
      </c>
      <c r="CQ99" s="522">
        <v>14.1</v>
      </c>
      <c r="CR99" s="522">
        <v>2.15</v>
      </c>
      <c r="CS99" s="405">
        <v>5107.8</v>
      </c>
      <c r="CT99" s="405">
        <v>16.3</v>
      </c>
      <c r="CU99" s="405">
        <v>50</v>
      </c>
      <c r="CV99" s="522">
        <v>0</v>
      </c>
      <c r="CW99" s="522">
        <v>0</v>
      </c>
      <c r="CX99" s="522">
        <v>0</v>
      </c>
      <c r="CY99" s="522">
        <v>0</v>
      </c>
      <c r="CZ99" s="689">
        <v>1040</v>
      </c>
      <c r="DA99" s="689">
        <v>2050</v>
      </c>
      <c r="DB99" s="689">
        <v>1060</v>
      </c>
      <c r="DC99" s="643">
        <v>1136.23</v>
      </c>
      <c r="DD99" s="522"/>
      <c r="DE99" s="522"/>
      <c r="DF99" s="522"/>
      <c r="DG99" s="522"/>
      <c r="DH99" s="522"/>
      <c r="DI99" s="522"/>
      <c r="DJ99" s="522"/>
      <c r="DK99" s="522"/>
      <c r="DL99" s="649"/>
      <c r="DM99" s="649"/>
      <c r="DN99" s="649"/>
      <c r="DO99" s="522"/>
      <c r="DP99" s="522"/>
      <c r="DQ99" s="522"/>
      <c r="DR99" s="522"/>
      <c r="DS99" s="522"/>
      <c r="DT99" s="522"/>
      <c r="DU99" s="522"/>
      <c r="DV99" s="522"/>
      <c r="DW99" s="522"/>
      <c r="DX99" s="522"/>
      <c r="DY99" s="522"/>
      <c r="DZ99" s="522"/>
      <c r="EA99" s="522"/>
      <c r="EB99" s="522"/>
      <c r="EC99" s="522"/>
      <c r="ED99" s="522"/>
      <c r="EE99" s="522"/>
      <c r="EF99" s="522"/>
      <c r="EG99" s="645">
        <f t="shared" si="56"/>
        <v>13.36608</v>
      </c>
      <c r="EH99" s="361">
        <v>0</v>
      </c>
      <c r="EI99" s="647">
        <v>0</v>
      </c>
      <c r="EJ99" s="647">
        <f t="shared" si="86"/>
        <v>3.5</v>
      </c>
      <c r="EK99" s="647">
        <f t="shared" si="87"/>
        <v>5.1400000000000006</v>
      </c>
      <c r="EL99" s="522"/>
      <c r="EM99" s="522"/>
      <c r="EN99" s="522"/>
      <c r="EO99" s="522"/>
      <c r="EP99" s="522"/>
      <c r="EQ99" s="522"/>
      <c r="ER99" s="522"/>
      <c r="ES99" s="407"/>
      <c r="ET99" s="407"/>
    </row>
    <row r="100" spans="1:150" s="357" customFormat="1" ht="15">
      <c r="A100" s="675" t="s">
        <v>8</v>
      </c>
      <c r="B100" s="712">
        <v>41726</v>
      </c>
      <c r="C100" s="713">
        <v>0</v>
      </c>
      <c r="D100" s="681">
        <v>0.7</v>
      </c>
      <c r="E100" s="681">
        <v>0</v>
      </c>
      <c r="F100" s="681">
        <v>42</v>
      </c>
      <c r="G100" s="807">
        <v>1.75</v>
      </c>
      <c r="H100" s="807" t="s">
        <v>744</v>
      </c>
      <c r="I100" s="807">
        <v>93.4</v>
      </c>
      <c r="J100" s="807">
        <v>0</v>
      </c>
      <c r="K100" s="807">
        <v>0.06</v>
      </c>
      <c r="L100" s="821">
        <f t="shared" si="69"/>
        <v>46.5</v>
      </c>
      <c r="M100" s="807">
        <v>21</v>
      </c>
      <c r="N100" s="807">
        <v>0</v>
      </c>
      <c r="O100" s="807" t="s">
        <v>743</v>
      </c>
      <c r="P100" s="807">
        <v>1.53</v>
      </c>
      <c r="Q100" s="807">
        <v>1.7416072122952231</v>
      </c>
      <c r="R100" s="865">
        <v>695.74769881109637</v>
      </c>
      <c r="S100" s="807">
        <v>0</v>
      </c>
      <c r="T100" s="807">
        <v>8.1199999999999992</v>
      </c>
      <c r="U100" s="807">
        <v>0</v>
      </c>
      <c r="V100" s="807">
        <v>0.7</v>
      </c>
      <c r="W100" s="807">
        <v>32</v>
      </c>
      <c r="X100" s="690">
        <v>44.42</v>
      </c>
      <c r="Y100" s="807">
        <v>20.54</v>
      </c>
      <c r="Z100" s="807">
        <v>26.06</v>
      </c>
      <c r="AA100" s="794">
        <v>20.7</v>
      </c>
      <c r="AB100" s="794">
        <v>25.8</v>
      </c>
      <c r="AC100" s="775">
        <f t="shared" ref="AC100:AC103" si="94">AA100+AB100</f>
        <v>46.5</v>
      </c>
      <c r="AD100" s="775">
        <f t="shared" ref="AD100:AD103" si="95">AC100*1.547</f>
        <v>71.93549999999999</v>
      </c>
      <c r="AE100" s="775"/>
      <c r="AF100" s="567"/>
      <c r="AG100" s="2">
        <v>1</v>
      </c>
      <c r="AH100" s="705"/>
      <c r="AI100" s="362"/>
      <c r="AJ100" s="2"/>
      <c r="AK100" s="407"/>
      <c r="AL100" s="407"/>
      <c r="AM100" s="407"/>
      <c r="AN100" s="407"/>
      <c r="AO100" s="387"/>
      <c r="AP100" s="387"/>
      <c r="AQ100" s="405"/>
      <c r="AR100" s="578">
        <v>0</v>
      </c>
      <c r="AS100" s="405">
        <v>10.6</v>
      </c>
      <c r="AT100" s="578">
        <v>0</v>
      </c>
      <c r="AU100" s="405">
        <v>21.3</v>
      </c>
      <c r="AV100" s="644">
        <v>332.2</v>
      </c>
      <c r="AW100" s="644">
        <v>340.3</v>
      </c>
      <c r="AX100" s="405">
        <v>0</v>
      </c>
      <c r="AY100" s="578">
        <v>0</v>
      </c>
      <c r="AZ100" s="578">
        <v>0</v>
      </c>
      <c r="BA100" s="578">
        <v>0</v>
      </c>
      <c r="BB100" s="1086">
        <v>1</v>
      </c>
      <c r="BC100" s="405">
        <v>0</v>
      </c>
      <c r="BD100" s="405">
        <v>1.64</v>
      </c>
      <c r="BE100" s="578">
        <v>0</v>
      </c>
      <c r="BF100" s="405">
        <v>1.23</v>
      </c>
      <c r="BG100" s="405">
        <v>0</v>
      </c>
      <c r="BH100" s="578">
        <v>0</v>
      </c>
      <c r="BI100" s="405">
        <v>0</v>
      </c>
      <c r="BJ100" s="405">
        <v>22.9</v>
      </c>
      <c r="BK100" s="405">
        <v>2.98</v>
      </c>
      <c r="BL100" s="405">
        <v>2.46</v>
      </c>
      <c r="BM100" s="405">
        <v>0</v>
      </c>
      <c r="BN100" s="405">
        <v>16.5</v>
      </c>
      <c r="BO100" s="405">
        <v>987.4</v>
      </c>
      <c r="BP100" s="405">
        <v>0</v>
      </c>
      <c r="BQ100" s="649">
        <v>20.54</v>
      </c>
      <c r="BR100" s="649">
        <v>20.5</v>
      </c>
      <c r="BS100" s="649">
        <v>9.0399999999999991</v>
      </c>
      <c r="BT100" s="649">
        <v>9.1300000000000008</v>
      </c>
      <c r="BU100" s="648">
        <v>20.100000000000001</v>
      </c>
      <c r="BV100" s="648">
        <v>22.6</v>
      </c>
      <c r="BW100" s="649">
        <v>649.5</v>
      </c>
      <c r="BX100" s="876"/>
      <c r="BY100" s="649">
        <v>0.16</v>
      </c>
      <c r="BZ100" s="649">
        <v>1.45</v>
      </c>
      <c r="CA100" s="649">
        <v>1.3</v>
      </c>
      <c r="CB100" s="649">
        <v>8.9</v>
      </c>
      <c r="CC100" s="649">
        <v>8.3000000000000007</v>
      </c>
      <c r="CD100" s="522">
        <v>15.1</v>
      </c>
      <c r="CE100" s="649">
        <v>32.9</v>
      </c>
      <c r="CF100" s="649">
        <v>13.4</v>
      </c>
      <c r="CG100" s="649">
        <v>8</v>
      </c>
      <c r="CH100" s="649">
        <v>13.5</v>
      </c>
      <c r="CI100" s="649">
        <v>17.5</v>
      </c>
      <c r="CJ100" s="649">
        <v>13.97</v>
      </c>
      <c r="CK100" s="522">
        <v>374.9</v>
      </c>
      <c r="CL100" s="522">
        <v>2</v>
      </c>
      <c r="CM100" s="522">
        <v>2.4</v>
      </c>
      <c r="CN100" s="991">
        <v>820</v>
      </c>
      <c r="CO100" s="522">
        <v>305.5</v>
      </c>
      <c r="CP100" s="522">
        <v>458.7</v>
      </c>
      <c r="CQ100" s="649">
        <v>14.3</v>
      </c>
      <c r="CR100" s="649">
        <v>2.13</v>
      </c>
      <c r="CS100" s="405">
        <v>4487.3999999999996</v>
      </c>
      <c r="CT100" s="405">
        <v>16.734000000000002</v>
      </c>
      <c r="CU100" s="405">
        <v>49</v>
      </c>
      <c r="CV100" s="522">
        <v>0</v>
      </c>
      <c r="CW100" s="522">
        <v>0</v>
      </c>
      <c r="CX100" s="522">
        <v>0</v>
      </c>
      <c r="CY100" s="522">
        <v>0</v>
      </c>
      <c r="CZ100" s="689">
        <v>1440</v>
      </c>
      <c r="DA100" s="689">
        <v>2520</v>
      </c>
      <c r="DB100" s="689">
        <v>1480</v>
      </c>
      <c r="DC100" s="643">
        <v>1137</v>
      </c>
      <c r="DD100" s="522"/>
      <c r="DE100" s="522"/>
      <c r="DF100" s="522"/>
      <c r="DG100" s="522"/>
      <c r="DH100" s="522"/>
      <c r="DI100" s="522"/>
      <c r="DJ100" s="522"/>
      <c r="DK100" s="522"/>
      <c r="DL100" s="649"/>
      <c r="DM100" s="649"/>
      <c r="DN100" s="649"/>
      <c r="DO100" s="522"/>
      <c r="DP100" s="522"/>
      <c r="DQ100" s="522"/>
      <c r="DR100" s="522"/>
      <c r="DS100" s="522"/>
      <c r="DT100" s="522"/>
      <c r="DU100" s="522"/>
      <c r="DV100" s="522"/>
      <c r="DW100" s="522"/>
      <c r="DX100" s="522"/>
      <c r="DY100" s="522"/>
      <c r="DZ100" s="522"/>
      <c r="EA100" s="522"/>
      <c r="EB100" s="522"/>
      <c r="EC100" s="522"/>
      <c r="ED100" s="522"/>
      <c r="EE100" s="522"/>
      <c r="EF100" s="522"/>
      <c r="EG100" s="645">
        <f t="shared" si="56"/>
        <v>12.855569999999997</v>
      </c>
      <c r="EH100" s="361">
        <v>0</v>
      </c>
      <c r="EI100" s="647">
        <v>0</v>
      </c>
      <c r="EJ100" s="647">
        <f t="shared" si="86"/>
        <v>2.87</v>
      </c>
      <c r="EK100" s="647">
        <f t="shared" si="87"/>
        <v>5.4399999999999995</v>
      </c>
      <c r="EL100" s="522"/>
      <c r="EM100" s="522"/>
      <c r="EN100" s="522"/>
      <c r="EO100" s="522"/>
      <c r="EP100" s="522"/>
      <c r="EQ100" s="522"/>
      <c r="ER100" s="522"/>
      <c r="ES100" s="407"/>
      <c r="ET100" s="407"/>
    </row>
    <row r="101" spans="1:150" s="357" customFormat="1" ht="15">
      <c r="A101" s="675" t="s">
        <v>9</v>
      </c>
      <c r="B101" s="712">
        <v>41727</v>
      </c>
      <c r="C101" s="713">
        <v>0</v>
      </c>
      <c r="D101" s="681">
        <v>0.6</v>
      </c>
      <c r="E101" s="681">
        <v>0</v>
      </c>
      <c r="F101" s="681">
        <v>41.7</v>
      </c>
      <c r="G101" s="807">
        <v>1.8</v>
      </c>
      <c r="H101" s="807" t="s">
        <v>744</v>
      </c>
      <c r="I101" s="807">
        <v>93.5</v>
      </c>
      <c r="J101" s="807">
        <v>0</v>
      </c>
      <c r="K101" s="807">
        <v>0.06</v>
      </c>
      <c r="L101" s="821">
        <f t="shared" si="69"/>
        <v>46.6</v>
      </c>
      <c r="M101" s="807">
        <v>20.9</v>
      </c>
      <c r="N101" s="807">
        <v>0</v>
      </c>
      <c r="O101" s="807" t="s">
        <v>743</v>
      </c>
      <c r="P101" s="807">
        <v>1.52</v>
      </c>
      <c r="Q101" s="807">
        <v>1.7151847421210709</v>
      </c>
      <c r="R101" s="865">
        <v>666.59625891677661</v>
      </c>
      <c r="S101" s="807">
        <v>0</v>
      </c>
      <c r="T101" s="807">
        <v>8.06</v>
      </c>
      <c r="U101" s="807">
        <v>0</v>
      </c>
      <c r="V101" s="807">
        <v>0.71</v>
      </c>
      <c r="W101" s="807">
        <v>32</v>
      </c>
      <c r="X101" s="690">
        <v>45.14</v>
      </c>
      <c r="Y101" s="807">
        <v>20.7</v>
      </c>
      <c r="Z101" s="807">
        <v>25.8</v>
      </c>
      <c r="AA101" s="794">
        <v>21</v>
      </c>
      <c r="AB101" s="794">
        <v>25.6</v>
      </c>
      <c r="AC101" s="775">
        <f t="shared" si="94"/>
        <v>46.6</v>
      </c>
      <c r="AD101" s="775">
        <f t="shared" si="95"/>
        <v>72.090199999999996</v>
      </c>
      <c r="AE101" s="775"/>
      <c r="AF101" s="567"/>
      <c r="AG101" s="2">
        <v>1</v>
      </c>
      <c r="AH101" s="705"/>
      <c r="AI101" s="362"/>
      <c r="AJ101" s="2"/>
      <c r="AK101" s="407"/>
      <c r="AL101" s="407"/>
      <c r="AM101" s="407"/>
      <c r="AN101" s="407"/>
      <c r="AO101" s="387"/>
      <c r="AP101" s="387"/>
      <c r="AQ101" s="405"/>
      <c r="AR101" s="578">
        <v>0</v>
      </c>
      <c r="AS101" s="405">
        <v>10.8</v>
      </c>
      <c r="AT101" s="578">
        <v>0</v>
      </c>
      <c r="AU101" s="405">
        <v>21.7</v>
      </c>
      <c r="AV101" s="644">
        <v>316.39999999999998</v>
      </c>
      <c r="AW101" s="644">
        <v>526.6</v>
      </c>
      <c r="AX101" s="405">
        <v>0</v>
      </c>
      <c r="AY101" s="578">
        <v>0</v>
      </c>
      <c r="AZ101" s="578">
        <v>0</v>
      </c>
      <c r="BA101" s="578">
        <v>0</v>
      </c>
      <c r="BB101" s="1086">
        <v>0.99</v>
      </c>
      <c r="BC101" s="405">
        <v>0</v>
      </c>
      <c r="BD101" s="405">
        <v>1.79</v>
      </c>
      <c r="BE101" s="578">
        <v>0</v>
      </c>
      <c r="BF101" s="405">
        <v>0.79</v>
      </c>
      <c r="BG101" s="405">
        <v>0</v>
      </c>
      <c r="BH101" s="578">
        <v>0</v>
      </c>
      <c r="BI101" s="405">
        <v>0</v>
      </c>
      <c r="BJ101" s="405">
        <v>23.1</v>
      </c>
      <c r="BK101" s="405">
        <v>3</v>
      </c>
      <c r="BL101" s="405">
        <v>2.89</v>
      </c>
      <c r="BM101" s="405">
        <v>0</v>
      </c>
      <c r="BN101" s="405">
        <v>16.2</v>
      </c>
      <c r="BO101" s="405">
        <v>1015.1</v>
      </c>
      <c r="BP101" s="405">
        <v>0</v>
      </c>
      <c r="BQ101" s="649">
        <v>22.2</v>
      </c>
      <c r="BR101" s="649">
        <v>22.17</v>
      </c>
      <c r="BS101" s="649">
        <v>9.0399999999999991</v>
      </c>
      <c r="BT101" s="649">
        <v>9.19</v>
      </c>
      <c r="BU101" s="648">
        <v>20.100000000000001</v>
      </c>
      <c r="BV101" s="648">
        <v>16.600000000000001</v>
      </c>
      <c r="BW101" s="649">
        <v>507.4</v>
      </c>
      <c r="BX101" s="876"/>
      <c r="BY101" s="649">
        <v>0.15</v>
      </c>
      <c r="BZ101" s="649">
        <v>1.47</v>
      </c>
      <c r="CA101" s="649">
        <v>1.3</v>
      </c>
      <c r="CB101" s="649">
        <v>8.9</v>
      </c>
      <c r="CC101" s="649">
        <v>8.3000000000000007</v>
      </c>
      <c r="CD101" s="522">
        <v>15.1</v>
      </c>
      <c r="CE101" s="522">
        <v>27</v>
      </c>
      <c r="CF101" s="522">
        <v>12.8</v>
      </c>
      <c r="CG101" s="649">
        <v>7.6</v>
      </c>
      <c r="CH101" s="649">
        <v>13</v>
      </c>
      <c r="CI101" s="522">
        <v>17.100000000000001</v>
      </c>
      <c r="CJ101" s="522">
        <v>13.6</v>
      </c>
      <c r="CK101" s="522">
        <v>221.1</v>
      </c>
      <c r="CL101" s="522">
        <v>1.6</v>
      </c>
      <c r="CM101" s="522">
        <v>1.4</v>
      </c>
      <c r="CN101" s="991">
        <v>820</v>
      </c>
      <c r="CO101" s="522">
        <v>330.2</v>
      </c>
      <c r="CP101" s="522">
        <v>406.2</v>
      </c>
      <c r="CQ101" s="649">
        <v>13.7</v>
      </c>
      <c r="CR101" s="649">
        <v>2.0299999999999998</v>
      </c>
      <c r="CS101" s="405">
        <v>6365.1</v>
      </c>
      <c r="CT101" s="405">
        <v>16.675000000000001</v>
      </c>
      <c r="CU101" s="405">
        <v>50</v>
      </c>
      <c r="CV101" s="522">
        <v>0</v>
      </c>
      <c r="CW101" s="522">
        <v>0</v>
      </c>
      <c r="CX101" s="522">
        <v>0</v>
      </c>
      <c r="CY101" s="522">
        <v>0</v>
      </c>
      <c r="CZ101" s="689">
        <v>1440</v>
      </c>
      <c r="DA101" s="689">
        <v>2670</v>
      </c>
      <c r="DB101" s="689">
        <v>1480</v>
      </c>
      <c r="DC101" s="643">
        <v>1137.8</v>
      </c>
      <c r="DD101" s="522"/>
      <c r="DE101" s="522"/>
      <c r="DF101" s="522"/>
      <c r="DG101" s="522"/>
      <c r="DH101" s="522"/>
      <c r="DI101" s="522"/>
      <c r="DJ101" s="522"/>
      <c r="DK101" s="522"/>
      <c r="DL101" s="649"/>
      <c r="DM101" s="649"/>
      <c r="DN101" s="649"/>
      <c r="DO101" s="522"/>
      <c r="DP101" s="522"/>
      <c r="DQ101" s="522"/>
      <c r="DR101" s="522"/>
      <c r="DS101" s="522"/>
      <c r="DT101" s="522"/>
      <c r="DU101" s="522"/>
      <c r="DV101" s="522"/>
      <c r="DW101" s="522"/>
      <c r="DX101" s="522"/>
      <c r="DY101" s="522"/>
      <c r="DZ101" s="522"/>
      <c r="EA101" s="522"/>
      <c r="EB101" s="522"/>
      <c r="EC101" s="522"/>
      <c r="ED101" s="522"/>
      <c r="EE101" s="522"/>
      <c r="EF101" s="522"/>
      <c r="EG101" s="645">
        <f t="shared" si="56"/>
        <v>13.10309</v>
      </c>
      <c r="EH101" s="361">
        <v>0</v>
      </c>
      <c r="EI101" s="647">
        <v>0</v>
      </c>
      <c r="EJ101" s="647">
        <f t="shared" si="86"/>
        <v>2.58</v>
      </c>
      <c r="EK101" s="647">
        <f t="shared" si="87"/>
        <v>5.8900000000000006</v>
      </c>
      <c r="EL101" s="522"/>
      <c r="EM101" s="522"/>
      <c r="EN101" s="522"/>
      <c r="EO101" s="522"/>
      <c r="EP101" s="522"/>
      <c r="EQ101" s="522"/>
      <c r="ER101" s="522"/>
      <c r="ES101" s="407"/>
      <c r="ET101" s="407"/>
    </row>
    <row r="102" spans="1:150" s="357" customFormat="1" ht="15">
      <c r="A102" s="675" t="s">
        <v>3</v>
      </c>
      <c r="B102" s="712">
        <v>41728</v>
      </c>
      <c r="C102" s="713">
        <v>0</v>
      </c>
      <c r="D102" s="681">
        <v>0.05</v>
      </c>
      <c r="E102" s="681">
        <v>0</v>
      </c>
      <c r="F102" s="681">
        <v>38</v>
      </c>
      <c r="G102" s="807">
        <v>1.8</v>
      </c>
      <c r="H102" s="807" t="s">
        <v>744</v>
      </c>
      <c r="I102" s="807">
        <v>93.4</v>
      </c>
      <c r="J102" s="807">
        <v>0</v>
      </c>
      <c r="K102" s="807">
        <v>0.06</v>
      </c>
      <c r="L102" s="821">
        <f t="shared" si="69"/>
        <v>46.6</v>
      </c>
      <c r="M102" s="807">
        <v>20.9</v>
      </c>
      <c r="N102" s="807">
        <v>0</v>
      </c>
      <c r="O102" s="807" t="s">
        <v>743</v>
      </c>
      <c r="P102" s="807">
        <v>1.51</v>
      </c>
      <c r="Q102" s="807">
        <v>1.7157333244148469</v>
      </c>
      <c r="R102" s="865">
        <v>678.25683487450453</v>
      </c>
      <c r="S102" s="807">
        <v>0</v>
      </c>
      <c r="T102" s="807">
        <v>8.1199999999999992</v>
      </c>
      <c r="U102" s="807">
        <v>0</v>
      </c>
      <c r="V102" s="807">
        <v>0.71</v>
      </c>
      <c r="W102" s="807">
        <v>32</v>
      </c>
      <c r="X102" s="690">
        <v>44.42</v>
      </c>
      <c r="Y102" s="807">
        <v>21</v>
      </c>
      <c r="Z102" s="807">
        <v>25.6</v>
      </c>
      <c r="AA102" s="794">
        <v>21</v>
      </c>
      <c r="AB102" s="794">
        <v>25.6</v>
      </c>
      <c r="AC102" s="775">
        <f t="shared" si="94"/>
        <v>46.6</v>
      </c>
      <c r="AD102" s="775">
        <f t="shared" si="95"/>
        <v>72.090199999999996</v>
      </c>
      <c r="AE102" s="775"/>
      <c r="AF102" s="567"/>
      <c r="AG102" s="2">
        <v>1</v>
      </c>
      <c r="AH102" s="705"/>
      <c r="AI102" s="362"/>
      <c r="AJ102" s="2"/>
      <c r="AK102" s="407"/>
      <c r="AL102" s="407"/>
      <c r="AM102" s="407"/>
      <c r="AN102" s="407"/>
      <c r="AO102" s="387"/>
      <c r="AP102" s="387"/>
      <c r="AQ102" s="405"/>
      <c r="AR102" s="578">
        <v>0</v>
      </c>
      <c r="AS102" s="405">
        <v>15.9</v>
      </c>
      <c r="AT102" s="578">
        <v>0</v>
      </c>
      <c r="AU102" s="405">
        <v>21.7</v>
      </c>
      <c r="AV102" s="644">
        <v>529.70000000000005</v>
      </c>
      <c r="AW102" s="644">
        <v>642.79999999999995</v>
      </c>
      <c r="AX102" s="405">
        <v>0</v>
      </c>
      <c r="AY102" s="578">
        <v>0</v>
      </c>
      <c r="AZ102" s="578">
        <v>0</v>
      </c>
      <c r="BA102" s="578">
        <v>0</v>
      </c>
      <c r="BB102" s="1086">
        <v>0.99</v>
      </c>
      <c r="BC102" s="405">
        <v>0</v>
      </c>
      <c r="BD102" s="405">
        <v>1.79</v>
      </c>
      <c r="BE102" s="578">
        <v>0</v>
      </c>
      <c r="BF102" s="405">
        <v>0.71</v>
      </c>
      <c r="BG102" s="405">
        <v>0</v>
      </c>
      <c r="BH102" s="578">
        <v>0</v>
      </c>
      <c r="BI102" s="405">
        <v>0</v>
      </c>
      <c r="BJ102" s="405">
        <v>23.1</v>
      </c>
      <c r="BK102" s="405">
        <v>2.66</v>
      </c>
      <c r="BL102" s="405">
        <v>3.28</v>
      </c>
      <c r="BM102" s="405">
        <v>0</v>
      </c>
      <c r="BN102" s="405">
        <v>16.100000000000001</v>
      </c>
      <c r="BO102" s="405">
        <v>1070.2</v>
      </c>
      <c r="BP102" s="405">
        <v>0</v>
      </c>
      <c r="BQ102" s="649">
        <v>23.53</v>
      </c>
      <c r="BR102" s="649">
        <v>23.5</v>
      </c>
      <c r="BS102" s="649">
        <v>8.9</v>
      </c>
      <c r="BT102" s="649">
        <v>9</v>
      </c>
      <c r="BU102" s="648">
        <v>19.899999999999999</v>
      </c>
      <c r="BV102" s="648">
        <v>17.2</v>
      </c>
      <c r="BW102" s="649">
        <v>675</v>
      </c>
      <c r="BX102" s="876"/>
      <c r="BY102" s="649">
        <v>0.15</v>
      </c>
      <c r="BZ102" s="649">
        <v>1.46</v>
      </c>
      <c r="CA102" s="649">
        <v>1.3</v>
      </c>
      <c r="CB102" s="649">
        <v>8.9</v>
      </c>
      <c r="CC102" s="649">
        <v>8.3000000000000007</v>
      </c>
      <c r="CD102" s="522">
        <v>14.9</v>
      </c>
      <c r="CE102" s="522">
        <v>24.2</v>
      </c>
      <c r="CF102" s="522">
        <v>12.2</v>
      </c>
      <c r="CG102" s="649">
        <v>7.2</v>
      </c>
      <c r="CH102" s="649">
        <v>12.6</v>
      </c>
      <c r="CI102" s="522">
        <v>16.7</v>
      </c>
      <c r="CJ102" s="522">
        <v>13.57</v>
      </c>
      <c r="CK102" s="522">
        <v>221.8</v>
      </c>
      <c r="CL102" s="522">
        <v>1.2</v>
      </c>
      <c r="CM102" s="522">
        <v>0.8</v>
      </c>
      <c r="CN102" s="991">
        <v>820</v>
      </c>
      <c r="CO102" s="522">
        <v>344.1</v>
      </c>
      <c r="CP102" s="522">
        <v>378.9</v>
      </c>
      <c r="CQ102" s="649">
        <v>13.8</v>
      </c>
      <c r="CR102" s="649">
        <v>2.04</v>
      </c>
      <c r="CS102" s="405">
        <v>6468.9</v>
      </c>
      <c r="CT102" s="405">
        <v>16.262</v>
      </c>
      <c r="CU102" s="405">
        <v>50</v>
      </c>
      <c r="CV102" s="522">
        <v>0</v>
      </c>
      <c r="CW102" s="522">
        <v>0</v>
      </c>
      <c r="CX102" s="522">
        <v>0</v>
      </c>
      <c r="CY102" s="522">
        <v>0</v>
      </c>
      <c r="CZ102" s="689">
        <v>1440</v>
      </c>
      <c r="DA102" s="689">
        <v>2570</v>
      </c>
      <c r="DB102" s="689">
        <v>1490</v>
      </c>
      <c r="DC102" s="643">
        <v>1138.4000000000001</v>
      </c>
      <c r="DD102" s="522"/>
      <c r="DE102" s="522"/>
      <c r="DF102" s="522"/>
      <c r="DG102" s="522"/>
      <c r="DH102" s="522"/>
      <c r="DI102" s="522"/>
      <c r="DJ102" s="522"/>
      <c r="DK102" s="522"/>
      <c r="DL102" s="649"/>
      <c r="DM102" s="649"/>
      <c r="DN102" s="649"/>
      <c r="DO102" s="522"/>
      <c r="DP102" s="522"/>
      <c r="DQ102" s="522"/>
      <c r="DR102" s="522"/>
      <c r="DS102" s="522"/>
      <c r="DT102" s="522"/>
      <c r="DU102" s="522"/>
      <c r="DV102" s="522"/>
      <c r="DW102" s="522"/>
      <c r="DX102" s="522"/>
      <c r="DY102" s="522"/>
      <c r="DZ102" s="522"/>
      <c r="EA102" s="522"/>
      <c r="EB102" s="522"/>
      <c r="EC102" s="522"/>
      <c r="ED102" s="522"/>
      <c r="EE102" s="522"/>
      <c r="EF102" s="522"/>
      <c r="EG102" s="645">
        <f t="shared" si="56"/>
        <v>13.056679999999998</v>
      </c>
      <c r="EH102" s="361">
        <v>0</v>
      </c>
      <c r="EI102" s="647">
        <v>0</v>
      </c>
      <c r="EJ102" s="647">
        <f t="shared" si="86"/>
        <v>2.5</v>
      </c>
      <c r="EK102" s="647">
        <f t="shared" si="87"/>
        <v>5.9399999999999995</v>
      </c>
      <c r="EL102" s="522"/>
      <c r="EM102" s="522"/>
      <c r="EN102" s="522"/>
      <c r="EO102" s="522"/>
      <c r="EP102" s="522"/>
      <c r="EQ102" s="522"/>
      <c r="ER102" s="522"/>
      <c r="ES102" s="407"/>
      <c r="ET102" s="407"/>
    </row>
    <row r="103" spans="1:150" s="357" customFormat="1" ht="15">
      <c r="A103" s="675" t="s">
        <v>4</v>
      </c>
      <c r="B103" s="712">
        <v>41729</v>
      </c>
      <c r="C103" s="713">
        <v>0</v>
      </c>
      <c r="D103" s="681">
        <v>0</v>
      </c>
      <c r="E103" s="681">
        <v>0</v>
      </c>
      <c r="F103" s="681">
        <v>43</v>
      </c>
      <c r="G103" s="807">
        <v>1.5</v>
      </c>
      <c r="H103" s="807" t="s">
        <v>744</v>
      </c>
      <c r="I103" s="807">
        <v>93.2</v>
      </c>
      <c r="J103" s="807">
        <v>0</v>
      </c>
      <c r="K103" s="807">
        <v>0.06</v>
      </c>
      <c r="L103" s="821">
        <f t="shared" si="69"/>
        <v>46.6</v>
      </c>
      <c r="M103" s="807">
        <v>20.7</v>
      </c>
      <c r="N103" s="807">
        <v>0</v>
      </c>
      <c r="O103" s="807" t="s">
        <v>743</v>
      </c>
      <c r="P103" s="807">
        <v>1.51</v>
      </c>
      <c r="Q103" s="807">
        <v>1.7386753172919882</v>
      </c>
      <c r="R103" s="865">
        <v>687.32617173051517</v>
      </c>
      <c r="S103" s="807">
        <v>0</v>
      </c>
      <c r="T103" s="807">
        <v>8.1300000000000008</v>
      </c>
      <c r="U103" s="807">
        <v>0</v>
      </c>
      <c r="V103" s="807">
        <v>0.71</v>
      </c>
      <c r="W103" s="807">
        <v>32</v>
      </c>
      <c r="X103" s="690">
        <v>44.42</v>
      </c>
      <c r="Y103" s="807">
        <v>21</v>
      </c>
      <c r="Z103" s="807">
        <v>25.6</v>
      </c>
      <c r="AA103" s="794">
        <v>21.1</v>
      </c>
      <c r="AB103" s="794">
        <v>25.5</v>
      </c>
      <c r="AC103" s="775">
        <f t="shared" si="94"/>
        <v>46.6</v>
      </c>
      <c r="AD103" s="775">
        <f t="shared" si="95"/>
        <v>72.090199999999996</v>
      </c>
      <c r="AE103" s="775"/>
      <c r="AF103" s="567"/>
      <c r="AG103" s="2">
        <v>1</v>
      </c>
      <c r="AH103" s="705"/>
      <c r="AI103" s="362"/>
      <c r="AJ103" s="2"/>
      <c r="AK103" s="407"/>
      <c r="AL103" s="407"/>
      <c r="AM103" s="407"/>
      <c r="AN103" s="407"/>
      <c r="AO103" s="387"/>
      <c r="AP103" s="387"/>
      <c r="AQ103" s="405"/>
      <c r="AR103" s="578">
        <v>0</v>
      </c>
      <c r="AS103" s="405">
        <v>16.03</v>
      </c>
      <c r="AT103" s="578">
        <v>0</v>
      </c>
      <c r="AU103" s="405">
        <v>21.8</v>
      </c>
      <c r="AV103" s="644">
        <v>264</v>
      </c>
      <c r="AW103" s="644">
        <v>258.7</v>
      </c>
      <c r="AX103" s="405">
        <v>0</v>
      </c>
      <c r="AY103" s="578">
        <v>0</v>
      </c>
      <c r="AZ103" s="578">
        <v>0</v>
      </c>
      <c r="BA103" s="578">
        <v>0</v>
      </c>
      <c r="BB103" s="1086">
        <v>1</v>
      </c>
      <c r="BC103" s="405">
        <v>0</v>
      </c>
      <c r="BD103" s="405">
        <v>1.78</v>
      </c>
      <c r="BE103" s="578">
        <v>0</v>
      </c>
      <c r="BF103" s="405">
        <v>0.71</v>
      </c>
      <c r="BG103" s="405">
        <v>0</v>
      </c>
      <c r="BH103" s="578">
        <v>0</v>
      </c>
      <c r="BI103" s="405">
        <v>0</v>
      </c>
      <c r="BJ103" s="405">
        <v>23</v>
      </c>
      <c r="BK103" s="405">
        <v>2.86</v>
      </c>
      <c r="BL103" s="405">
        <v>3.09</v>
      </c>
      <c r="BM103" s="405">
        <v>0</v>
      </c>
      <c r="BN103" s="405">
        <v>16</v>
      </c>
      <c r="BO103" s="405">
        <v>993.8</v>
      </c>
      <c r="BP103" s="405">
        <v>39</v>
      </c>
      <c r="BQ103" s="649">
        <v>22.64</v>
      </c>
      <c r="BR103" s="649">
        <v>22.6</v>
      </c>
      <c r="BS103" s="649">
        <v>9.3000000000000007</v>
      </c>
      <c r="BT103" s="649">
        <v>9.4</v>
      </c>
      <c r="BU103" s="648">
        <v>20.5</v>
      </c>
      <c r="BV103" s="648">
        <v>24</v>
      </c>
      <c r="BW103" s="649">
        <v>480.2</v>
      </c>
      <c r="BX103" s="876"/>
      <c r="BY103" s="649">
        <v>0.15</v>
      </c>
      <c r="BZ103" s="649">
        <v>1.46</v>
      </c>
      <c r="CA103" s="649">
        <v>1.3</v>
      </c>
      <c r="CB103" s="649">
        <v>8.9</v>
      </c>
      <c r="CC103" s="649">
        <v>8.1999999999999993</v>
      </c>
      <c r="CD103" s="522">
        <v>16.100000000000001</v>
      </c>
      <c r="CE103" s="522">
        <v>0.6</v>
      </c>
      <c r="CF103" s="522">
        <v>14.9</v>
      </c>
      <c r="CG103" s="649">
        <v>7.2</v>
      </c>
      <c r="CH103" s="649">
        <v>12.6</v>
      </c>
      <c r="CI103" s="522">
        <v>16.600000000000001</v>
      </c>
      <c r="CJ103" s="522">
        <v>13.78</v>
      </c>
      <c r="CK103" s="522">
        <v>335.2</v>
      </c>
      <c r="CL103" s="522">
        <v>2.2999999999999998</v>
      </c>
      <c r="CM103" s="522">
        <v>1.6</v>
      </c>
      <c r="CN103" s="991">
        <v>820</v>
      </c>
      <c r="CO103" s="522">
        <v>325.2</v>
      </c>
      <c r="CP103" s="522">
        <v>423.9</v>
      </c>
      <c r="CQ103" s="649">
        <v>13.7</v>
      </c>
      <c r="CR103" s="649">
        <v>2.02</v>
      </c>
      <c r="CS103" s="405">
        <v>4070.4</v>
      </c>
      <c r="CT103" s="405">
        <v>16.052</v>
      </c>
      <c r="CU103" s="405">
        <v>49</v>
      </c>
      <c r="CV103" s="522">
        <v>0</v>
      </c>
      <c r="CW103" s="522">
        <v>0</v>
      </c>
      <c r="CX103" s="522">
        <v>0</v>
      </c>
      <c r="CY103" s="522">
        <v>0</v>
      </c>
      <c r="CZ103" s="689">
        <v>1350</v>
      </c>
      <c r="DA103" s="689">
        <v>2380</v>
      </c>
      <c r="DB103" s="689">
        <v>1370</v>
      </c>
      <c r="DC103" s="643">
        <v>1138.68</v>
      </c>
      <c r="DD103" s="522"/>
      <c r="DE103" s="522"/>
      <c r="DF103" s="522"/>
      <c r="DG103" s="522"/>
      <c r="DH103" s="522"/>
      <c r="DI103" s="522"/>
      <c r="DJ103" s="522"/>
      <c r="DK103" s="522"/>
      <c r="DL103" s="649"/>
      <c r="DM103" s="649"/>
      <c r="DN103" s="649"/>
      <c r="DO103" s="522"/>
      <c r="DP103" s="522"/>
      <c r="DQ103" s="522"/>
      <c r="DR103" s="522"/>
      <c r="DS103" s="522"/>
      <c r="DT103" s="522"/>
      <c r="DU103" s="522"/>
      <c r="DV103" s="522"/>
      <c r="DW103" s="522"/>
      <c r="DX103" s="522"/>
      <c r="DY103" s="522"/>
      <c r="DZ103" s="522"/>
      <c r="EA103" s="522"/>
      <c r="EB103" s="522"/>
      <c r="EC103" s="522"/>
      <c r="ED103" s="522"/>
      <c r="EE103" s="522"/>
      <c r="EF103" s="522"/>
      <c r="EG103" s="645">
        <f t="shared" si="56"/>
        <v>13.056679999999998</v>
      </c>
      <c r="EH103" s="361">
        <v>0</v>
      </c>
      <c r="EI103" s="647">
        <v>0</v>
      </c>
      <c r="EJ103" s="647">
        <f t="shared" si="86"/>
        <v>2.4900000000000002</v>
      </c>
      <c r="EK103" s="647">
        <f t="shared" si="87"/>
        <v>5.9499999999999993</v>
      </c>
      <c r="EL103" s="522"/>
      <c r="EM103" s="522"/>
      <c r="EN103" s="522"/>
      <c r="EO103" s="522"/>
      <c r="EP103" s="522"/>
      <c r="EQ103" s="522"/>
      <c r="ER103" s="522"/>
      <c r="ES103" s="407"/>
      <c r="ET103" s="407"/>
    </row>
    <row r="104" spans="1:150" s="357" customFormat="1" ht="15">
      <c r="A104" s="675" t="s">
        <v>5</v>
      </c>
      <c r="B104" s="712">
        <v>41730</v>
      </c>
      <c r="C104" s="713">
        <v>0</v>
      </c>
      <c r="D104" s="681">
        <v>0</v>
      </c>
      <c r="E104" s="681">
        <v>0</v>
      </c>
      <c r="F104" s="681">
        <v>43.3</v>
      </c>
      <c r="G104" s="807">
        <v>1.4</v>
      </c>
      <c r="H104" s="807" t="s">
        <v>744</v>
      </c>
      <c r="I104" s="807">
        <v>93</v>
      </c>
      <c r="J104" s="807">
        <v>0</v>
      </c>
      <c r="K104" s="807">
        <v>0.06</v>
      </c>
      <c r="L104" s="821">
        <f t="shared" si="69"/>
        <v>46.44</v>
      </c>
      <c r="M104" s="807">
        <v>20.5</v>
      </c>
      <c r="N104" s="807">
        <v>0</v>
      </c>
      <c r="O104" s="807" t="s">
        <v>743</v>
      </c>
      <c r="P104" s="807">
        <v>1.51</v>
      </c>
      <c r="Q104" s="807">
        <v>1.7188225213324073</v>
      </c>
      <c r="R104" s="865">
        <v>678.90464464993374</v>
      </c>
      <c r="S104" s="807">
        <v>0</v>
      </c>
      <c r="T104" s="807">
        <v>8.14</v>
      </c>
      <c r="U104" s="807">
        <v>0</v>
      </c>
      <c r="V104" s="807">
        <v>0.71</v>
      </c>
      <c r="W104" s="807">
        <v>32</v>
      </c>
      <c r="X104" s="690">
        <v>44.42</v>
      </c>
      <c r="Y104" s="807">
        <v>21.1</v>
      </c>
      <c r="Z104" s="807">
        <v>25.5</v>
      </c>
      <c r="AA104" s="794">
        <v>21</v>
      </c>
      <c r="AB104" s="794">
        <v>25.44</v>
      </c>
      <c r="AC104" s="775">
        <f t="shared" ref="AC104:AC106" si="96">AA104+AB104</f>
        <v>46.44</v>
      </c>
      <c r="AD104" s="775">
        <f t="shared" ref="AD104:AD106" si="97">AC104*1.547</f>
        <v>71.842679999999987</v>
      </c>
      <c r="AE104" s="775"/>
      <c r="AF104" s="567"/>
      <c r="AG104" s="2">
        <v>1</v>
      </c>
      <c r="AH104" s="705"/>
      <c r="AI104" s="362"/>
      <c r="AJ104" s="2"/>
      <c r="AK104" s="407"/>
      <c r="AL104" s="407"/>
      <c r="AM104" s="407"/>
      <c r="AN104" s="407"/>
      <c r="AO104" s="387"/>
      <c r="AP104" s="387"/>
      <c r="AQ104" s="405"/>
      <c r="AR104" s="578">
        <v>0</v>
      </c>
      <c r="AS104" s="405">
        <v>10.6</v>
      </c>
      <c r="AT104" s="578">
        <v>0</v>
      </c>
      <c r="AU104" s="405">
        <v>21.7</v>
      </c>
      <c r="AV104" s="644">
        <v>410</v>
      </c>
      <c r="AW104" s="644">
        <v>513</v>
      </c>
      <c r="AX104" s="405">
        <v>0</v>
      </c>
      <c r="AY104" s="578">
        <v>0</v>
      </c>
      <c r="AZ104" s="578">
        <v>0</v>
      </c>
      <c r="BA104" s="578">
        <v>0</v>
      </c>
      <c r="BB104" s="1086">
        <v>1.23</v>
      </c>
      <c r="BC104" s="405">
        <v>0</v>
      </c>
      <c r="BD104" s="405">
        <v>1.79</v>
      </c>
      <c r="BE104" s="578">
        <v>0</v>
      </c>
      <c r="BF104" s="405">
        <v>0.71</v>
      </c>
      <c r="BG104" s="405">
        <v>0</v>
      </c>
      <c r="BH104" s="578">
        <v>0</v>
      </c>
      <c r="BI104" s="405">
        <v>0</v>
      </c>
      <c r="BJ104" s="405">
        <v>23</v>
      </c>
      <c r="BK104" s="405">
        <v>3.01</v>
      </c>
      <c r="BL104" s="405">
        <v>2.9</v>
      </c>
      <c r="BM104" s="405">
        <v>0</v>
      </c>
      <c r="BN104" s="405">
        <v>15.8</v>
      </c>
      <c r="BO104" s="405">
        <v>954.1</v>
      </c>
      <c r="BP104" s="405">
        <v>0</v>
      </c>
      <c r="BQ104" s="649">
        <v>21.61</v>
      </c>
      <c r="BR104" s="649">
        <v>21.57</v>
      </c>
      <c r="BS104" s="649">
        <v>9.0299999999999994</v>
      </c>
      <c r="BT104" s="649">
        <v>9.18</v>
      </c>
      <c r="BU104" s="648">
        <v>20.100000000000001</v>
      </c>
      <c r="BV104" s="648">
        <v>24</v>
      </c>
      <c r="BW104" s="649">
        <v>455.2</v>
      </c>
      <c r="BX104" s="876"/>
      <c r="BY104" s="649">
        <v>0.15</v>
      </c>
      <c r="BZ104" s="649">
        <v>1.46</v>
      </c>
      <c r="CA104" s="649">
        <v>1.3</v>
      </c>
      <c r="CB104" s="649">
        <v>8.9</v>
      </c>
      <c r="CC104" s="649">
        <v>8.3000000000000007</v>
      </c>
      <c r="CD104" s="522">
        <v>15.9</v>
      </c>
      <c r="CE104" s="522">
        <v>0</v>
      </c>
      <c r="CF104" s="522">
        <v>14.4</v>
      </c>
      <c r="CG104" s="522">
        <v>7</v>
      </c>
      <c r="CH104" s="522">
        <v>12.3</v>
      </c>
      <c r="CI104" s="522">
        <v>16.3</v>
      </c>
      <c r="CJ104" s="522">
        <v>13.91</v>
      </c>
      <c r="CK104" s="522">
        <v>400.2</v>
      </c>
      <c r="CL104" s="522">
        <v>2</v>
      </c>
      <c r="CM104" s="522">
        <v>3</v>
      </c>
      <c r="CN104" s="991">
        <v>820</v>
      </c>
      <c r="CO104" s="522">
        <v>310.8</v>
      </c>
      <c r="CP104" s="649">
        <v>459.9</v>
      </c>
      <c r="CQ104" s="649">
        <v>13.1</v>
      </c>
      <c r="CR104" s="649">
        <v>1.78</v>
      </c>
      <c r="CS104" s="405">
        <v>2442.9</v>
      </c>
      <c r="CT104" s="405">
        <v>15.996</v>
      </c>
      <c r="CU104" s="405">
        <v>49</v>
      </c>
      <c r="CV104" s="522">
        <v>0</v>
      </c>
      <c r="CW104" s="522">
        <v>0</v>
      </c>
      <c r="CX104" s="522">
        <v>0</v>
      </c>
      <c r="CY104" s="522">
        <v>0</v>
      </c>
      <c r="CZ104" s="689">
        <v>1160</v>
      </c>
      <c r="DA104" s="689">
        <v>2120</v>
      </c>
      <c r="DB104" s="689">
        <v>1160</v>
      </c>
      <c r="DC104" s="643">
        <v>1139.0999999999999</v>
      </c>
      <c r="DD104" s="522"/>
      <c r="DE104" s="522"/>
      <c r="DF104" s="522"/>
      <c r="DG104" s="522"/>
      <c r="DH104" s="522"/>
      <c r="DI104" s="522"/>
      <c r="DJ104" s="522"/>
      <c r="DK104" s="522"/>
      <c r="DL104" s="649"/>
      <c r="DM104" s="649"/>
      <c r="DN104" s="649"/>
      <c r="DO104" s="522"/>
      <c r="DP104" s="522"/>
      <c r="DQ104" s="522"/>
      <c r="DR104" s="522"/>
      <c r="DS104" s="522"/>
      <c r="DT104" s="522"/>
      <c r="DU104" s="522"/>
      <c r="DV104" s="522"/>
      <c r="DW104" s="522"/>
      <c r="DX104" s="522"/>
      <c r="DY104" s="522"/>
      <c r="DZ104" s="522"/>
      <c r="EA104" s="522"/>
      <c r="EB104" s="522"/>
      <c r="EC104" s="522"/>
      <c r="ED104" s="522"/>
      <c r="EE104" s="522"/>
      <c r="EF104" s="522"/>
      <c r="EG104" s="645">
        <f t="shared" si="56"/>
        <v>13.01027</v>
      </c>
      <c r="EH104" s="361">
        <v>0</v>
      </c>
      <c r="EI104" s="647">
        <v>0</v>
      </c>
      <c r="EJ104" s="647">
        <f t="shared" si="86"/>
        <v>2.5</v>
      </c>
      <c r="EK104" s="647">
        <f t="shared" si="87"/>
        <v>5.91</v>
      </c>
      <c r="EL104" s="522"/>
      <c r="EM104" s="522"/>
      <c r="EN104" s="522"/>
      <c r="EO104" s="522"/>
      <c r="EP104" s="522"/>
      <c r="EQ104" s="522"/>
      <c r="ER104" s="522"/>
      <c r="ES104" s="407"/>
      <c r="ET104" s="407"/>
    </row>
    <row r="105" spans="1:150" s="357" customFormat="1" ht="15">
      <c r="A105" s="675" t="s">
        <v>6</v>
      </c>
      <c r="B105" s="712">
        <v>41731</v>
      </c>
      <c r="C105" s="713">
        <v>0</v>
      </c>
      <c r="D105" s="681">
        <v>0</v>
      </c>
      <c r="E105" s="681">
        <v>0</v>
      </c>
      <c r="F105" s="681">
        <v>41.5</v>
      </c>
      <c r="G105" s="807">
        <v>1.6</v>
      </c>
      <c r="H105" s="807" t="s">
        <v>744</v>
      </c>
      <c r="I105" s="807">
        <v>93.7</v>
      </c>
      <c r="J105" s="807">
        <v>0</v>
      </c>
      <c r="K105" s="807">
        <v>0.06</v>
      </c>
      <c r="L105" s="821">
        <f t="shared" si="69"/>
        <v>46.5</v>
      </c>
      <c r="M105" s="807">
        <v>20.3</v>
      </c>
      <c r="N105" s="807">
        <v>0</v>
      </c>
      <c r="O105" s="807" t="s">
        <v>743</v>
      </c>
      <c r="P105" s="807">
        <v>1.51</v>
      </c>
      <c r="Q105" s="807">
        <v>1.7187282867299802</v>
      </c>
      <c r="R105" s="865">
        <v>678.5807397622192</v>
      </c>
      <c r="S105" s="807">
        <v>0</v>
      </c>
      <c r="T105" s="807">
        <v>8.15</v>
      </c>
      <c r="U105" s="807">
        <v>0</v>
      </c>
      <c r="V105" s="807">
        <v>0.71</v>
      </c>
      <c r="W105" s="807">
        <v>32</v>
      </c>
      <c r="X105" s="690">
        <v>45.14</v>
      </c>
      <c r="Y105" s="807">
        <v>21</v>
      </c>
      <c r="Z105" s="807">
        <v>25.44</v>
      </c>
      <c r="AA105" s="794">
        <v>21.04</v>
      </c>
      <c r="AB105" s="794">
        <v>25.46</v>
      </c>
      <c r="AC105" s="775">
        <f t="shared" si="96"/>
        <v>46.5</v>
      </c>
      <c r="AD105" s="775">
        <f t="shared" si="97"/>
        <v>71.93549999999999</v>
      </c>
      <c r="AE105" s="775"/>
      <c r="AF105" s="567"/>
      <c r="AG105" s="2">
        <v>1.6</v>
      </c>
      <c r="AH105" s="705"/>
      <c r="AI105" s="362"/>
      <c r="AJ105" s="2"/>
      <c r="AK105" s="407"/>
      <c r="AL105" s="407"/>
      <c r="AM105" s="407"/>
      <c r="AN105" s="407"/>
      <c r="AO105" s="387"/>
      <c r="AP105" s="387"/>
      <c r="AQ105" s="405"/>
      <c r="AR105" s="578">
        <v>0</v>
      </c>
      <c r="AS105" s="405">
        <v>10.7</v>
      </c>
      <c r="AT105" s="578">
        <v>0</v>
      </c>
      <c r="AU105" s="405">
        <v>21.7</v>
      </c>
      <c r="AV105" s="644">
        <v>504.4</v>
      </c>
      <c r="AW105" s="644">
        <v>606.20000000000005</v>
      </c>
      <c r="AX105" s="405">
        <v>0</v>
      </c>
      <c r="AY105" s="578">
        <v>0</v>
      </c>
      <c r="AZ105" s="578">
        <v>0</v>
      </c>
      <c r="BA105" s="578">
        <v>0</v>
      </c>
      <c r="BB105" s="1086">
        <v>1.6</v>
      </c>
      <c r="BC105" s="405">
        <v>0</v>
      </c>
      <c r="BD105" s="405">
        <v>1.79</v>
      </c>
      <c r="BE105" s="578">
        <v>0</v>
      </c>
      <c r="BF105" s="405">
        <v>0.71</v>
      </c>
      <c r="BG105" s="405">
        <v>0</v>
      </c>
      <c r="BH105" s="578">
        <v>0</v>
      </c>
      <c r="BI105" s="405">
        <v>0</v>
      </c>
      <c r="BJ105" s="405">
        <v>23</v>
      </c>
      <c r="BK105" s="405">
        <v>3.01</v>
      </c>
      <c r="BL105" s="405">
        <v>2.9</v>
      </c>
      <c r="BM105" s="405">
        <v>0</v>
      </c>
      <c r="BN105" s="405">
        <v>15.4</v>
      </c>
      <c r="BO105" s="405">
        <v>995.8</v>
      </c>
      <c r="BP105" s="405">
        <v>0</v>
      </c>
      <c r="BQ105" s="649">
        <v>20.8</v>
      </c>
      <c r="BR105" s="649">
        <v>20.76</v>
      </c>
      <c r="BS105" s="649">
        <v>9</v>
      </c>
      <c r="BT105" s="649">
        <v>9.1</v>
      </c>
      <c r="BU105" s="648">
        <v>20</v>
      </c>
      <c r="BV105" s="648">
        <v>23.3</v>
      </c>
      <c r="BW105" s="649">
        <v>673.2</v>
      </c>
      <c r="BX105" s="876"/>
      <c r="BY105" s="649">
        <v>0.15</v>
      </c>
      <c r="BZ105" s="649">
        <v>1.46</v>
      </c>
      <c r="CA105" s="649">
        <v>1.3</v>
      </c>
      <c r="CB105" s="649">
        <v>8.9</v>
      </c>
      <c r="CC105" s="649">
        <v>8.3000000000000007</v>
      </c>
      <c r="CD105" s="522">
        <v>16.5</v>
      </c>
      <c r="CE105" s="522">
        <v>14.1</v>
      </c>
      <c r="CF105" s="522">
        <v>13.9</v>
      </c>
      <c r="CG105" s="522">
        <v>6.9</v>
      </c>
      <c r="CH105" s="522">
        <v>12.2</v>
      </c>
      <c r="CI105" s="522">
        <v>16.3</v>
      </c>
      <c r="CJ105" s="522">
        <v>14.23</v>
      </c>
      <c r="CK105" s="522">
        <v>290.39999999999998</v>
      </c>
      <c r="CL105" s="522">
        <v>1.6</v>
      </c>
      <c r="CM105" s="522">
        <v>0.7</v>
      </c>
      <c r="CN105" s="991">
        <v>820</v>
      </c>
      <c r="CO105" s="522">
        <v>327.60000000000002</v>
      </c>
      <c r="CP105" s="522">
        <v>380.4</v>
      </c>
      <c r="CQ105" s="649">
        <v>12.9</v>
      </c>
      <c r="CR105" s="649">
        <v>1.86</v>
      </c>
      <c r="CS105" s="405">
        <v>3989</v>
      </c>
      <c r="CT105" s="405">
        <v>13.555</v>
      </c>
      <c r="CU105" s="405">
        <v>49</v>
      </c>
      <c r="CV105" s="522">
        <v>0</v>
      </c>
      <c r="CW105" s="522">
        <v>0</v>
      </c>
      <c r="CX105" s="522">
        <v>0</v>
      </c>
      <c r="CY105" s="522">
        <v>0</v>
      </c>
      <c r="CZ105" s="689">
        <v>967</v>
      </c>
      <c r="DA105" s="689">
        <v>1890</v>
      </c>
      <c r="DB105" s="689">
        <v>982</v>
      </c>
      <c r="DC105" s="643">
        <v>1139.5</v>
      </c>
      <c r="DD105" s="522"/>
      <c r="DE105" s="522"/>
      <c r="DF105" s="522"/>
      <c r="DG105" s="522"/>
      <c r="DH105" s="522"/>
      <c r="DI105" s="522"/>
      <c r="DJ105" s="522"/>
      <c r="DK105" s="522"/>
      <c r="DL105" s="649"/>
      <c r="DM105" s="649"/>
      <c r="DN105" s="649"/>
      <c r="DO105" s="522"/>
      <c r="DP105" s="522"/>
      <c r="DQ105" s="522"/>
      <c r="DR105" s="522"/>
      <c r="DS105" s="522"/>
      <c r="DT105" s="522"/>
      <c r="DU105" s="522"/>
      <c r="DV105" s="522"/>
      <c r="DW105" s="522"/>
      <c r="DX105" s="522"/>
      <c r="DY105" s="522"/>
      <c r="DZ105" s="522"/>
      <c r="EA105" s="522"/>
      <c r="EB105" s="522"/>
      <c r="EC105" s="522"/>
      <c r="ED105" s="522"/>
      <c r="EE105" s="522"/>
      <c r="EF105" s="522"/>
      <c r="EG105" s="645">
        <f t="shared" si="56"/>
        <v>13.01027</v>
      </c>
      <c r="EH105" s="361">
        <v>0</v>
      </c>
      <c r="EI105" s="647">
        <v>0</v>
      </c>
      <c r="EJ105" s="647">
        <f t="shared" si="86"/>
        <v>2.5</v>
      </c>
      <c r="EK105" s="647">
        <f t="shared" si="87"/>
        <v>5.91</v>
      </c>
      <c r="EL105" s="522"/>
      <c r="EM105" s="522"/>
      <c r="EN105" s="522"/>
      <c r="EO105" s="522"/>
      <c r="EP105" s="522"/>
      <c r="EQ105" s="522"/>
      <c r="ER105" s="522"/>
      <c r="ES105" s="407"/>
      <c r="ET105" s="407"/>
    </row>
    <row r="106" spans="1:150" s="357" customFormat="1" ht="15">
      <c r="A106" s="675" t="s">
        <v>7</v>
      </c>
      <c r="B106" s="712">
        <v>41732</v>
      </c>
      <c r="C106" s="358">
        <v>0</v>
      </c>
      <c r="D106" s="405">
        <v>0.25</v>
      </c>
      <c r="E106" s="681">
        <v>0</v>
      </c>
      <c r="F106" s="681">
        <v>42</v>
      </c>
      <c r="G106" s="807">
        <v>1.25</v>
      </c>
      <c r="H106" s="643" t="s">
        <v>744</v>
      </c>
      <c r="I106" s="643">
        <v>92.5</v>
      </c>
      <c r="J106" s="643">
        <v>0</v>
      </c>
      <c r="K106" s="643">
        <v>0.06</v>
      </c>
      <c r="L106" s="821">
        <f t="shared" si="69"/>
        <v>46.56</v>
      </c>
      <c r="M106" s="643">
        <v>20.100000000000001</v>
      </c>
      <c r="N106" s="643">
        <v>0</v>
      </c>
      <c r="O106" s="643" t="s">
        <v>743</v>
      </c>
      <c r="P106" s="643">
        <v>1.49</v>
      </c>
      <c r="Q106" s="643">
        <v>1.7159420777623264</v>
      </c>
      <c r="R106" s="974">
        <v>674.04607133421393</v>
      </c>
      <c r="S106" s="643">
        <v>0</v>
      </c>
      <c r="T106" s="643">
        <v>8.16</v>
      </c>
      <c r="U106" s="643">
        <v>0</v>
      </c>
      <c r="V106" s="807">
        <v>0.7</v>
      </c>
      <c r="W106" s="807">
        <v>32</v>
      </c>
      <c r="X106" s="699">
        <v>45.319999999999993</v>
      </c>
      <c r="Y106" s="806">
        <v>21.04</v>
      </c>
      <c r="Z106" s="807">
        <v>25.46</v>
      </c>
      <c r="AA106" s="794">
        <v>21.06</v>
      </c>
      <c r="AB106" s="794">
        <v>25.5</v>
      </c>
      <c r="AC106" s="775">
        <f t="shared" si="96"/>
        <v>46.56</v>
      </c>
      <c r="AD106" s="775">
        <f t="shared" si="97"/>
        <v>72.028319999999994</v>
      </c>
      <c r="AE106" s="775"/>
      <c r="AF106" s="567"/>
      <c r="AG106" s="2">
        <v>1.6</v>
      </c>
      <c r="AH106" s="705"/>
      <c r="AI106" s="362"/>
      <c r="AJ106" s="2"/>
      <c r="AK106" s="407"/>
      <c r="AL106" s="407"/>
      <c r="AM106" s="407"/>
      <c r="AN106" s="407"/>
      <c r="AO106" s="387"/>
      <c r="AP106" s="387"/>
      <c r="AQ106" s="405"/>
      <c r="AR106" s="578">
        <v>0</v>
      </c>
      <c r="AS106" s="405">
        <v>20.6</v>
      </c>
      <c r="AT106" s="578">
        <v>0</v>
      </c>
      <c r="AU106" s="405">
        <v>21.7</v>
      </c>
      <c r="AV106" s="644">
        <v>355.1</v>
      </c>
      <c r="AW106" s="644">
        <v>561.6</v>
      </c>
      <c r="AX106" s="405">
        <v>0</v>
      </c>
      <c r="AY106" s="578">
        <v>0</v>
      </c>
      <c r="AZ106" s="578">
        <v>0</v>
      </c>
      <c r="BA106" s="578">
        <v>0</v>
      </c>
      <c r="BB106" s="1086">
        <v>1.59</v>
      </c>
      <c r="BC106" s="405">
        <v>0</v>
      </c>
      <c r="BD106" s="405">
        <v>1.79</v>
      </c>
      <c r="BE106" s="578">
        <v>0</v>
      </c>
      <c r="BF106" s="405">
        <v>0.71</v>
      </c>
      <c r="BG106" s="405">
        <v>0</v>
      </c>
      <c r="BH106" s="578">
        <v>0</v>
      </c>
      <c r="BI106" s="405">
        <v>0</v>
      </c>
      <c r="BJ106" s="405">
        <v>23</v>
      </c>
      <c r="BK106" s="405">
        <v>2.99</v>
      </c>
      <c r="BL106" s="405">
        <v>2.9</v>
      </c>
      <c r="BM106" s="405">
        <v>0</v>
      </c>
      <c r="BN106" s="405">
        <v>15.5</v>
      </c>
      <c r="BO106" s="405">
        <v>964.5</v>
      </c>
      <c r="BP106" s="405">
        <v>0</v>
      </c>
      <c r="BQ106" s="649">
        <v>20.56</v>
      </c>
      <c r="BR106" s="649">
        <v>20.52</v>
      </c>
      <c r="BS106" s="649">
        <v>9</v>
      </c>
      <c r="BT106" s="649">
        <v>9.1</v>
      </c>
      <c r="BU106" s="648">
        <v>20</v>
      </c>
      <c r="BV106" s="648">
        <v>21.7</v>
      </c>
      <c r="BW106" s="649">
        <v>465.2</v>
      </c>
      <c r="BX106" s="876"/>
      <c r="BY106" s="649">
        <v>0.15</v>
      </c>
      <c r="BZ106" s="649">
        <v>1.46</v>
      </c>
      <c r="CA106" s="649">
        <v>1.3</v>
      </c>
      <c r="CB106" s="649">
        <v>8.9</v>
      </c>
      <c r="CC106" s="649">
        <v>8.1999999999999993</v>
      </c>
      <c r="CD106" s="522">
        <v>15.5</v>
      </c>
      <c r="CE106" s="522">
        <v>33.1</v>
      </c>
      <c r="CF106" s="522">
        <v>13.3</v>
      </c>
      <c r="CG106" s="522">
        <v>6.7</v>
      </c>
      <c r="CH106" s="522">
        <v>12</v>
      </c>
      <c r="CI106" s="522">
        <v>16</v>
      </c>
      <c r="CJ106" s="522">
        <v>13.35</v>
      </c>
      <c r="CK106" s="649">
        <v>79.099999999999994</v>
      </c>
      <c r="CL106" s="522">
        <v>1.3</v>
      </c>
      <c r="CM106" s="522">
        <v>2.2000000000000002</v>
      </c>
      <c r="CN106" s="991">
        <v>820</v>
      </c>
      <c r="CO106" s="522">
        <v>322.60000000000002</v>
      </c>
      <c r="CP106" s="522">
        <v>449</v>
      </c>
      <c r="CQ106" s="649">
        <v>6.2</v>
      </c>
      <c r="CR106" s="649">
        <v>1.88</v>
      </c>
      <c r="CS106" s="405">
        <v>4009.8</v>
      </c>
      <c r="CT106" s="405">
        <v>14.773999999999999</v>
      </c>
      <c r="CU106" s="405">
        <v>49</v>
      </c>
      <c r="CV106" s="522">
        <v>0</v>
      </c>
      <c r="CW106" s="522">
        <v>0</v>
      </c>
      <c r="CX106" s="522">
        <v>0</v>
      </c>
      <c r="CY106" s="522">
        <v>0</v>
      </c>
      <c r="CZ106" s="689">
        <v>906</v>
      </c>
      <c r="DA106" s="689">
        <v>1780</v>
      </c>
      <c r="DB106" s="689">
        <v>939</v>
      </c>
      <c r="DC106" s="643">
        <v>1140.1400000000001</v>
      </c>
      <c r="DD106" s="522"/>
      <c r="DE106" s="522"/>
      <c r="DF106" s="522"/>
      <c r="DG106" s="522"/>
      <c r="DH106" s="522"/>
      <c r="DI106" s="522"/>
      <c r="DJ106" s="522"/>
      <c r="DK106" s="522"/>
      <c r="DL106" s="649"/>
      <c r="DM106" s="649"/>
      <c r="DN106" s="649"/>
      <c r="DO106" s="522"/>
      <c r="DP106" s="522"/>
      <c r="DQ106" s="522"/>
      <c r="DR106" s="522"/>
      <c r="DS106" s="522"/>
      <c r="DT106" s="522"/>
      <c r="DU106" s="522"/>
      <c r="DV106" s="522"/>
      <c r="DW106" s="522"/>
      <c r="DX106" s="522"/>
      <c r="DY106" s="522"/>
      <c r="DZ106" s="522"/>
      <c r="EA106" s="522"/>
      <c r="EB106" s="522"/>
      <c r="EC106" s="522"/>
      <c r="ED106" s="522"/>
      <c r="EE106" s="522"/>
      <c r="EF106" s="522"/>
      <c r="EG106" s="645">
        <f t="shared" si="56"/>
        <v>12.979330000000001</v>
      </c>
      <c r="EH106" s="361">
        <v>0</v>
      </c>
      <c r="EI106" s="647">
        <v>0</v>
      </c>
      <c r="EJ106" s="647">
        <f t="shared" si="86"/>
        <v>2.5</v>
      </c>
      <c r="EK106" s="647">
        <f t="shared" si="87"/>
        <v>5.8900000000000006</v>
      </c>
      <c r="EL106" s="522"/>
      <c r="EM106" s="522"/>
      <c r="EN106" s="522"/>
      <c r="EO106" s="522"/>
      <c r="EP106" s="522"/>
      <c r="EQ106" s="522"/>
      <c r="ER106" s="522"/>
      <c r="ES106" s="407"/>
      <c r="ET106" s="407"/>
    </row>
    <row r="107" spans="1:150" s="357" customFormat="1" ht="15">
      <c r="A107" s="675" t="s">
        <v>8</v>
      </c>
      <c r="B107" s="712">
        <v>41733</v>
      </c>
      <c r="C107" s="358">
        <v>0</v>
      </c>
      <c r="D107" s="405">
        <v>0.23</v>
      </c>
      <c r="E107" s="681">
        <v>0</v>
      </c>
      <c r="F107" s="681">
        <v>43</v>
      </c>
      <c r="G107" s="807">
        <v>1.4</v>
      </c>
      <c r="H107" s="643" t="s">
        <v>744</v>
      </c>
      <c r="I107" s="643">
        <v>94.84</v>
      </c>
      <c r="J107" s="643">
        <v>0</v>
      </c>
      <c r="K107" s="643">
        <v>0.06</v>
      </c>
      <c r="L107" s="821">
        <f t="shared" si="69"/>
        <v>46.58</v>
      </c>
      <c r="M107" s="643">
        <v>19.899999999999999</v>
      </c>
      <c r="N107" s="643">
        <v>0</v>
      </c>
      <c r="O107" s="643" t="s">
        <v>743</v>
      </c>
      <c r="P107" s="643">
        <v>1.52</v>
      </c>
      <c r="Q107" s="643">
        <v>1.7136130435874397</v>
      </c>
      <c r="R107" s="974">
        <v>675.9895006605019</v>
      </c>
      <c r="S107" s="643">
        <v>0</v>
      </c>
      <c r="T107" s="643">
        <v>8.15</v>
      </c>
      <c r="U107" s="643">
        <v>0</v>
      </c>
      <c r="V107" s="807">
        <v>0.7</v>
      </c>
      <c r="W107" s="807">
        <v>32</v>
      </c>
      <c r="X107" s="699">
        <v>44.42</v>
      </c>
      <c r="Y107" s="806">
        <v>21.06</v>
      </c>
      <c r="Z107" s="807">
        <v>25.5</v>
      </c>
      <c r="AA107" s="970">
        <v>21.08</v>
      </c>
      <c r="AB107" s="970">
        <v>25.5</v>
      </c>
      <c r="AC107" s="775">
        <f t="shared" ref="AC107:AC109" si="98">AA107+AB107</f>
        <v>46.58</v>
      </c>
      <c r="AD107" s="775">
        <f t="shared" ref="AD107:AD109" si="99">AC107*1.547</f>
        <v>72.059259999999995</v>
      </c>
      <c r="AE107" s="775"/>
      <c r="AF107" s="567"/>
      <c r="AG107" s="2">
        <v>1.6</v>
      </c>
      <c r="AH107" s="705"/>
      <c r="AI107" s="362"/>
      <c r="AJ107" s="2"/>
      <c r="AK107" s="407"/>
      <c r="AL107" s="407"/>
      <c r="AM107" s="407"/>
      <c r="AN107" s="407"/>
      <c r="AO107" s="387"/>
      <c r="AP107" s="387"/>
      <c r="AQ107" s="405"/>
      <c r="AR107" s="578">
        <v>0</v>
      </c>
      <c r="AS107" s="405">
        <v>10.5</v>
      </c>
      <c r="AT107" s="578">
        <v>0</v>
      </c>
      <c r="AU107" s="405">
        <v>21.8</v>
      </c>
      <c r="AV107" s="644">
        <v>95.3</v>
      </c>
      <c r="AW107" s="644">
        <v>165</v>
      </c>
      <c r="AX107" s="405">
        <v>0</v>
      </c>
      <c r="AY107" s="578">
        <v>0</v>
      </c>
      <c r="AZ107" s="578">
        <v>0</v>
      </c>
      <c r="BA107" s="578">
        <v>0</v>
      </c>
      <c r="BB107" s="1086">
        <v>1.6</v>
      </c>
      <c r="BC107" s="405">
        <v>0</v>
      </c>
      <c r="BD107" s="405">
        <v>1.79</v>
      </c>
      <c r="BE107" s="578">
        <v>0</v>
      </c>
      <c r="BF107" s="405">
        <v>0.71</v>
      </c>
      <c r="BG107" s="405">
        <v>0</v>
      </c>
      <c r="BH107" s="578">
        <v>0</v>
      </c>
      <c r="BI107" s="405">
        <v>0</v>
      </c>
      <c r="BJ107" s="405">
        <v>23</v>
      </c>
      <c r="BK107" s="405">
        <v>2.98</v>
      </c>
      <c r="BL107" s="405">
        <v>2.92</v>
      </c>
      <c r="BM107" s="405">
        <v>0</v>
      </c>
      <c r="BN107" s="405">
        <v>15.4</v>
      </c>
      <c r="BO107" s="405">
        <v>1002.2</v>
      </c>
      <c r="BP107" s="405">
        <v>0</v>
      </c>
      <c r="BQ107" s="649">
        <v>20.39</v>
      </c>
      <c r="BR107" s="649">
        <v>20.34</v>
      </c>
      <c r="BS107" s="649">
        <v>9.4</v>
      </c>
      <c r="BT107" s="649">
        <v>9.5</v>
      </c>
      <c r="BU107" s="648">
        <v>20.8</v>
      </c>
      <c r="BV107" s="648">
        <v>22.4</v>
      </c>
      <c r="BW107" s="649">
        <v>649.9</v>
      </c>
      <c r="BX107" s="876"/>
      <c r="BY107" s="649">
        <v>0.15</v>
      </c>
      <c r="BZ107" s="649">
        <v>1.47</v>
      </c>
      <c r="CA107" s="649">
        <v>1.3</v>
      </c>
      <c r="CB107" s="649">
        <v>8.9</v>
      </c>
      <c r="CC107" s="649">
        <v>8.1999999999999993</v>
      </c>
      <c r="CD107" s="522">
        <v>15</v>
      </c>
      <c r="CE107" s="522">
        <v>36.700000000000003</v>
      </c>
      <c r="CF107" s="522">
        <v>12.9</v>
      </c>
      <c r="CG107" s="522">
        <v>6.6</v>
      </c>
      <c r="CH107" s="522">
        <v>11.9</v>
      </c>
      <c r="CI107" s="649">
        <v>16</v>
      </c>
      <c r="CJ107" s="649">
        <v>12.8</v>
      </c>
      <c r="CK107" s="649">
        <v>1</v>
      </c>
      <c r="CL107" s="522">
        <v>2</v>
      </c>
      <c r="CM107" s="522">
        <v>3.3</v>
      </c>
      <c r="CN107" s="991">
        <v>820</v>
      </c>
      <c r="CO107" s="522">
        <v>328.8</v>
      </c>
      <c r="CP107" s="522">
        <v>467.5</v>
      </c>
      <c r="CQ107" s="522">
        <v>3.1</v>
      </c>
      <c r="CR107" s="649">
        <v>1.94</v>
      </c>
      <c r="CS107" s="405">
        <v>3881</v>
      </c>
      <c r="CT107" s="405">
        <v>16.338999999999999</v>
      </c>
      <c r="CU107" s="405">
        <v>50</v>
      </c>
      <c r="CV107" s="522">
        <v>0</v>
      </c>
      <c r="CW107" s="522">
        <v>0</v>
      </c>
      <c r="CX107" s="522">
        <v>0</v>
      </c>
      <c r="CY107" s="522">
        <v>0</v>
      </c>
      <c r="CZ107" s="689">
        <v>1020</v>
      </c>
      <c r="DA107" s="689">
        <v>1850</v>
      </c>
      <c r="DB107" s="689">
        <v>1040</v>
      </c>
      <c r="DC107" s="643">
        <v>1140.7</v>
      </c>
      <c r="DD107" s="522"/>
      <c r="DE107" s="522"/>
      <c r="DF107" s="522"/>
      <c r="DG107" s="522"/>
      <c r="DH107" s="522"/>
      <c r="DI107" s="522"/>
      <c r="DJ107" s="522"/>
      <c r="DK107" s="522"/>
      <c r="DL107" s="649"/>
      <c r="DM107" s="649"/>
      <c r="DN107" s="649"/>
      <c r="DO107" s="522"/>
      <c r="DP107" s="522"/>
      <c r="DQ107" s="522"/>
      <c r="DR107" s="522"/>
      <c r="DS107" s="522"/>
      <c r="DT107" s="522"/>
      <c r="DU107" s="522"/>
      <c r="DV107" s="522"/>
      <c r="DW107" s="522"/>
      <c r="DX107" s="522"/>
      <c r="DY107" s="522"/>
      <c r="DZ107" s="522"/>
      <c r="EA107" s="522"/>
      <c r="EB107" s="522"/>
      <c r="EC107" s="522"/>
      <c r="ED107" s="522"/>
      <c r="EE107" s="522"/>
      <c r="EF107" s="522"/>
      <c r="EG107" s="645">
        <f t="shared" si="56"/>
        <v>12.9948</v>
      </c>
      <c r="EH107" s="361">
        <v>0</v>
      </c>
      <c r="EI107" s="647">
        <v>0</v>
      </c>
      <c r="EJ107" s="647">
        <f t="shared" ref="EJ107:EJ119" si="100">BC107+BD107+BF107</f>
        <v>2.5</v>
      </c>
      <c r="EK107" s="647">
        <f t="shared" ref="EK107:EK119" si="101">BK107+BL107+BM107</f>
        <v>5.9</v>
      </c>
      <c r="EL107" s="522"/>
      <c r="EM107" s="522"/>
      <c r="EN107" s="522"/>
      <c r="EO107" s="522"/>
      <c r="EP107" s="522"/>
      <c r="EQ107" s="522"/>
      <c r="ER107" s="522"/>
      <c r="ES107" s="407"/>
      <c r="ET107" s="407"/>
    </row>
    <row r="108" spans="1:150" s="357" customFormat="1" ht="15">
      <c r="A108" s="675" t="s">
        <v>9</v>
      </c>
      <c r="B108" s="712">
        <v>41734</v>
      </c>
      <c r="C108" s="358">
        <v>0</v>
      </c>
      <c r="D108" s="968">
        <v>0.97</v>
      </c>
      <c r="E108">
        <v>0</v>
      </c>
      <c r="F108" s="968">
        <v>46</v>
      </c>
      <c r="G108" s="975">
        <v>1.4</v>
      </c>
      <c r="H108" s="969" t="s">
        <v>744</v>
      </c>
      <c r="I108" s="975">
        <v>93</v>
      </c>
      <c r="J108" s="969">
        <v>0</v>
      </c>
      <c r="K108" s="975">
        <v>0.06</v>
      </c>
      <c r="L108" s="821">
        <f t="shared" si="69"/>
        <v>46.42</v>
      </c>
      <c r="M108" s="975">
        <v>19.899999999999999</v>
      </c>
      <c r="N108" s="969">
        <v>0</v>
      </c>
      <c r="O108" s="975" t="s">
        <v>743</v>
      </c>
      <c r="P108" s="969">
        <v>1.56</v>
      </c>
      <c r="Q108" s="972">
        <v>1.7448500852177882</v>
      </c>
      <c r="R108" s="976">
        <v>687.00226684280051</v>
      </c>
      <c r="S108" s="975">
        <v>0</v>
      </c>
      <c r="T108" s="969">
        <v>8.1300000000000008</v>
      </c>
      <c r="U108" s="975">
        <v>0</v>
      </c>
      <c r="V108" s="969">
        <v>0.7</v>
      </c>
      <c r="W108" s="969">
        <v>32</v>
      </c>
      <c r="X108" s="977">
        <v>44.239999999999995</v>
      </c>
      <c r="Y108" s="978">
        <v>21.08</v>
      </c>
      <c r="Z108" s="972">
        <v>25.5</v>
      </c>
      <c r="AA108" s="971">
        <v>21.02</v>
      </c>
      <c r="AB108" s="971">
        <v>25.4</v>
      </c>
      <c r="AC108" s="775">
        <f t="shared" si="98"/>
        <v>46.42</v>
      </c>
      <c r="AD108" s="775">
        <f t="shared" si="99"/>
        <v>71.81174</v>
      </c>
      <c r="AE108" s="775"/>
      <c r="AF108" s="567"/>
      <c r="AG108" s="2">
        <v>1.6</v>
      </c>
      <c r="AH108" s="705"/>
      <c r="AI108" s="362"/>
      <c r="AJ108" s="2"/>
      <c r="AK108" s="407"/>
      <c r="AL108" s="407"/>
      <c r="AM108" s="407"/>
      <c r="AN108" s="407"/>
      <c r="AO108" s="387"/>
      <c r="AP108" s="387"/>
      <c r="AQ108" s="405"/>
      <c r="AR108" s="578">
        <v>0</v>
      </c>
      <c r="AS108" s="405">
        <v>11</v>
      </c>
      <c r="AT108" s="578">
        <v>0</v>
      </c>
      <c r="AU108" s="405">
        <v>21.8</v>
      </c>
      <c r="AV108" s="644">
        <v>595</v>
      </c>
      <c r="AW108" s="644">
        <v>648.6</v>
      </c>
      <c r="AX108" s="405">
        <v>0</v>
      </c>
      <c r="AY108" s="578">
        <v>0</v>
      </c>
      <c r="AZ108" s="578">
        <v>0</v>
      </c>
      <c r="BA108" s="578">
        <v>0</v>
      </c>
      <c r="BB108" s="1086">
        <v>1.6</v>
      </c>
      <c r="BC108" s="405">
        <v>0</v>
      </c>
      <c r="BD108" s="405">
        <v>1.78</v>
      </c>
      <c r="BE108" s="578">
        <v>0</v>
      </c>
      <c r="BF108" s="405">
        <v>0.71</v>
      </c>
      <c r="BG108" s="405">
        <v>0</v>
      </c>
      <c r="BH108" s="578">
        <v>0</v>
      </c>
      <c r="BI108" s="405">
        <v>0</v>
      </c>
      <c r="BJ108" s="405">
        <v>23</v>
      </c>
      <c r="BK108" s="405">
        <v>2.99</v>
      </c>
      <c r="BL108" s="405">
        <v>2.93</v>
      </c>
      <c r="BM108" s="405">
        <v>0</v>
      </c>
      <c r="BN108" s="405">
        <v>15.4</v>
      </c>
      <c r="BO108" s="405">
        <v>1150.4000000000001</v>
      </c>
      <c r="BP108" s="405">
        <v>0</v>
      </c>
      <c r="BQ108" s="649">
        <v>20.010000000000002</v>
      </c>
      <c r="BR108" s="649">
        <v>19.98</v>
      </c>
      <c r="BS108" s="649">
        <v>8.9</v>
      </c>
      <c r="BT108" s="649">
        <v>9</v>
      </c>
      <c r="BU108" s="648">
        <v>19.899999999999999</v>
      </c>
      <c r="BV108" s="648">
        <v>22</v>
      </c>
      <c r="BW108" s="649">
        <v>497.1</v>
      </c>
      <c r="BX108" s="876"/>
      <c r="BY108" s="649">
        <v>0.15</v>
      </c>
      <c r="BZ108" s="649">
        <v>1.52</v>
      </c>
      <c r="CA108" s="649">
        <v>1.3</v>
      </c>
      <c r="CB108" s="649">
        <v>8.9</v>
      </c>
      <c r="CC108" s="649">
        <v>8.3000000000000007</v>
      </c>
      <c r="CD108" s="649">
        <v>15</v>
      </c>
      <c r="CE108" s="649">
        <v>36</v>
      </c>
      <c r="CF108" s="649">
        <v>12.4</v>
      </c>
      <c r="CG108" s="649">
        <v>7</v>
      </c>
      <c r="CH108" s="649">
        <v>12.3</v>
      </c>
      <c r="CI108" s="649">
        <v>16.3</v>
      </c>
      <c r="CJ108" s="649">
        <v>12.8</v>
      </c>
      <c r="CK108" s="649">
        <v>1</v>
      </c>
      <c r="CL108" s="649">
        <v>2.1</v>
      </c>
      <c r="CM108" s="649">
        <v>2.9</v>
      </c>
      <c r="CN108" s="991">
        <v>820</v>
      </c>
      <c r="CO108" s="649">
        <v>322.60000000000002</v>
      </c>
      <c r="CP108" s="649">
        <v>456.7</v>
      </c>
      <c r="CQ108" s="649">
        <v>3.2</v>
      </c>
      <c r="CR108" s="649">
        <v>1.95</v>
      </c>
      <c r="CS108" s="405">
        <v>3920.9</v>
      </c>
      <c r="CT108" s="405">
        <v>16.524999999999999</v>
      </c>
      <c r="CU108" s="405">
        <v>50</v>
      </c>
      <c r="CV108" s="522">
        <v>0</v>
      </c>
      <c r="CW108" s="522">
        <v>0</v>
      </c>
      <c r="CX108" s="522">
        <v>0</v>
      </c>
      <c r="CY108" s="522">
        <v>0</v>
      </c>
      <c r="CZ108" s="689">
        <v>1040</v>
      </c>
      <c r="DA108" s="689">
        <v>1870</v>
      </c>
      <c r="DB108" s="689">
        <v>1100</v>
      </c>
      <c r="DC108" s="643">
        <v>1141.4000000000001</v>
      </c>
      <c r="DD108" s="522"/>
      <c r="DE108" s="522"/>
      <c r="DF108" s="522"/>
      <c r="DG108" s="522"/>
      <c r="DH108" s="522"/>
      <c r="DI108" s="522"/>
      <c r="DJ108" s="522"/>
      <c r="DK108" s="522"/>
      <c r="DL108" s="649"/>
      <c r="DM108" s="649"/>
      <c r="DN108" s="649"/>
      <c r="DO108" s="522"/>
      <c r="DP108" s="522"/>
      <c r="DQ108" s="522"/>
      <c r="DR108" s="522"/>
      <c r="DS108" s="522"/>
      <c r="DT108" s="522"/>
      <c r="DU108" s="522"/>
      <c r="DV108" s="522"/>
      <c r="DW108" s="522"/>
      <c r="DX108" s="522"/>
      <c r="DY108" s="522"/>
      <c r="DZ108" s="522"/>
      <c r="EA108" s="522"/>
      <c r="EB108" s="522"/>
      <c r="EC108" s="522"/>
      <c r="ED108" s="522"/>
      <c r="EE108" s="522"/>
      <c r="EF108" s="522"/>
      <c r="EG108" s="645">
        <f t="shared" si="56"/>
        <v>13.01027</v>
      </c>
      <c r="EH108" s="361">
        <v>0</v>
      </c>
      <c r="EI108" s="647">
        <v>0</v>
      </c>
      <c r="EJ108" s="647">
        <f t="shared" si="100"/>
        <v>2.4900000000000002</v>
      </c>
      <c r="EK108" s="647">
        <f t="shared" si="101"/>
        <v>5.92</v>
      </c>
      <c r="EL108" s="522"/>
      <c r="EM108" s="522"/>
      <c r="EN108" s="522"/>
      <c r="EO108" s="522"/>
      <c r="EP108" s="522"/>
      <c r="EQ108" s="522"/>
      <c r="ER108" s="522"/>
      <c r="ES108" s="407"/>
      <c r="ET108" s="407"/>
    </row>
    <row r="109" spans="1:150" s="357" customFormat="1" ht="15">
      <c r="A109" s="675" t="s">
        <v>3</v>
      </c>
      <c r="B109" s="712">
        <v>41735</v>
      </c>
      <c r="C109" s="358">
        <v>0</v>
      </c>
      <c r="D109" s="968">
        <v>0.42</v>
      </c>
      <c r="E109">
        <v>0</v>
      </c>
      <c r="F109" s="968">
        <v>49</v>
      </c>
      <c r="G109" s="975">
        <v>1.8</v>
      </c>
      <c r="H109" s="969" t="s">
        <v>744</v>
      </c>
      <c r="I109" s="975">
        <v>92.57</v>
      </c>
      <c r="J109" s="969">
        <v>0</v>
      </c>
      <c r="K109" s="975">
        <v>0.06</v>
      </c>
      <c r="L109" s="821">
        <f t="shared" si="69"/>
        <v>46.58</v>
      </c>
      <c r="M109" s="975">
        <v>20.5</v>
      </c>
      <c r="N109" s="969">
        <v>0</v>
      </c>
      <c r="O109" s="975" t="s">
        <v>743</v>
      </c>
      <c r="P109" s="969">
        <v>1.55</v>
      </c>
      <c r="Q109" s="972">
        <v>1.7180817201150269</v>
      </c>
      <c r="R109" s="976">
        <v>677.60902509907521</v>
      </c>
      <c r="S109" s="975">
        <v>0</v>
      </c>
      <c r="T109" s="969">
        <v>8.11</v>
      </c>
      <c r="U109" s="975">
        <v>0</v>
      </c>
      <c r="V109" s="969">
        <v>0.7</v>
      </c>
      <c r="W109" s="969">
        <v>32</v>
      </c>
      <c r="X109" s="977">
        <v>44.239999999999995</v>
      </c>
      <c r="Y109" s="978">
        <v>21.02</v>
      </c>
      <c r="Z109" s="972">
        <v>25.4</v>
      </c>
      <c r="AA109" s="971">
        <v>21.01</v>
      </c>
      <c r="AB109" s="971">
        <v>25.57</v>
      </c>
      <c r="AC109" s="775">
        <f t="shared" si="98"/>
        <v>46.58</v>
      </c>
      <c r="AD109" s="775">
        <f t="shared" si="99"/>
        <v>72.059259999999995</v>
      </c>
      <c r="AE109" s="775"/>
      <c r="AF109" s="567"/>
      <c r="AG109" s="2">
        <v>1.6</v>
      </c>
      <c r="AH109" s="705"/>
      <c r="AI109" s="362"/>
      <c r="AJ109" s="2"/>
      <c r="AK109" s="407"/>
      <c r="AL109" s="407"/>
      <c r="AM109" s="407"/>
      <c r="AN109" s="407"/>
      <c r="AO109" s="387"/>
      <c r="AP109" s="387"/>
      <c r="AQ109" s="405"/>
      <c r="AR109" s="578">
        <v>0</v>
      </c>
      <c r="AS109" s="405">
        <v>15</v>
      </c>
      <c r="AT109" s="578">
        <v>0</v>
      </c>
      <c r="AU109" s="405">
        <v>21.8</v>
      </c>
      <c r="AV109" s="644">
        <v>448.2</v>
      </c>
      <c r="AW109" s="644">
        <v>644</v>
      </c>
      <c r="AX109" s="405">
        <v>0</v>
      </c>
      <c r="AY109" s="578">
        <v>0</v>
      </c>
      <c r="AZ109" s="578">
        <v>0</v>
      </c>
      <c r="BA109" s="578">
        <v>0</v>
      </c>
      <c r="BB109" s="1086">
        <v>1.6</v>
      </c>
      <c r="BC109" s="405">
        <v>0</v>
      </c>
      <c r="BD109" s="405">
        <v>1.78</v>
      </c>
      <c r="BE109" s="578">
        <v>0</v>
      </c>
      <c r="BF109" s="405">
        <v>0.71</v>
      </c>
      <c r="BG109" s="405">
        <v>0</v>
      </c>
      <c r="BH109" s="578">
        <v>0</v>
      </c>
      <c r="BI109" s="405">
        <v>0</v>
      </c>
      <c r="BJ109" s="405">
        <v>23</v>
      </c>
      <c r="BK109" s="405">
        <v>2.99</v>
      </c>
      <c r="BL109" s="405">
        <v>2.93</v>
      </c>
      <c r="BM109" s="405">
        <v>0</v>
      </c>
      <c r="BN109" s="405">
        <v>15.4</v>
      </c>
      <c r="BO109" s="405">
        <v>1097.7</v>
      </c>
      <c r="BP109" s="405">
        <v>0</v>
      </c>
      <c r="BQ109" s="649">
        <v>19.47</v>
      </c>
      <c r="BR109" s="649">
        <v>19.43</v>
      </c>
      <c r="BS109" s="649">
        <v>8.9</v>
      </c>
      <c r="BT109" s="649">
        <v>9</v>
      </c>
      <c r="BU109" s="648">
        <v>20</v>
      </c>
      <c r="BV109" s="648">
        <v>22.5</v>
      </c>
      <c r="BW109" s="649">
        <v>599.6</v>
      </c>
      <c r="BX109" s="876">
        <v>0</v>
      </c>
      <c r="BY109" s="649">
        <v>0.15</v>
      </c>
      <c r="BZ109" s="649">
        <v>1.55</v>
      </c>
      <c r="CA109" s="649">
        <v>1.4</v>
      </c>
      <c r="CB109" s="649">
        <v>8.9</v>
      </c>
      <c r="CC109" s="649">
        <v>8.3000000000000007</v>
      </c>
      <c r="CD109" s="649">
        <v>15.3</v>
      </c>
      <c r="CE109" s="649">
        <v>35.4</v>
      </c>
      <c r="CF109" s="649">
        <v>15.3</v>
      </c>
      <c r="CG109" s="649">
        <v>6.5</v>
      </c>
      <c r="CH109" s="649">
        <v>11.6</v>
      </c>
      <c r="CI109" s="649">
        <v>16.2</v>
      </c>
      <c r="CJ109" s="649">
        <v>13.32</v>
      </c>
      <c r="CK109" s="649">
        <v>1</v>
      </c>
      <c r="CL109" s="649">
        <v>2.1</v>
      </c>
      <c r="CM109" s="649">
        <v>2.5</v>
      </c>
      <c r="CN109" s="991">
        <v>820</v>
      </c>
      <c r="CO109" s="649">
        <v>355.3</v>
      </c>
      <c r="CP109" s="649">
        <v>458.2</v>
      </c>
      <c r="CQ109" s="649">
        <v>3.2</v>
      </c>
      <c r="CR109" s="649">
        <v>1.93</v>
      </c>
      <c r="CS109" s="405">
        <v>5484.7</v>
      </c>
      <c r="CT109" s="405">
        <v>16.523</v>
      </c>
      <c r="CU109" s="405">
        <v>50</v>
      </c>
      <c r="CV109" s="522">
        <v>0</v>
      </c>
      <c r="CW109" s="522">
        <v>0</v>
      </c>
      <c r="CX109" s="522">
        <v>0</v>
      </c>
      <c r="CY109" s="522">
        <v>0</v>
      </c>
      <c r="CZ109" s="689">
        <v>1700</v>
      </c>
      <c r="DA109" s="689">
        <v>2550</v>
      </c>
      <c r="DB109" s="689">
        <v>1780</v>
      </c>
      <c r="DC109" s="643">
        <v>1144.31</v>
      </c>
      <c r="DD109" s="522"/>
      <c r="DE109" s="522"/>
      <c r="DF109" s="522"/>
      <c r="DG109" s="522"/>
      <c r="DH109" s="522"/>
      <c r="DI109" s="522"/>
      <c r="DJ109" s="522"/>
      <c r="DK109" s="522"/>
      <c r="DL109" s="649"/>
      <c r="DM109" s="649"/>
      <c r="DN109" s="649"/>
      <c r="DO109" s="522"/>
      <c r="DP109" s="522"/>
      <c r="DQ109" s="522"/>
      <c r="DR109" s="522"/>
      <c r="DS109" s="522"/>
      <c r="DT109" s="522"/>
      <c r="DU109" s="522"/>
      <c r="DV109" s="522"/>
      <c r="DW109" s="522"/>
      <c r="DX109" s="522"/>
      <c r="DY109" s="522"/>
      <c r="DZ109" s="522"/>
      <c r="EA109" s="522"/>
      <c r="EB109" s="522"/>
      <c r="EC109" s="522"/>
      <c r="ED109" s="522"/>
      <c r="EE109" s="522"/>
      <c r="EF109" s="522"/>
      <c r="EG109" s="645">
        <f t="shared" si="56"/>
        <v>13.01027</v>
      </c>
      <c r="EH109" s="361">
        <v>0</v>
      </c>
      <c r="EI109" s="647">
        <v>0</v>
      </c>
      <c r="EJ109" s="647">
        <f t="shared" si="100"/>
        <v>2.4900000000000002</v>
      </c>
      <c r="EK109" s="647">
        <f t="shared" si="101"/>
        <v>5.92</v>
      </c>
      <c r="EL109" s="522"/>
      <c r="EM109" s="522"/>
      <c r="EN109" s="522"/>
      <c r="EO109" s="522"/>
      <c r="EP109" s="522"/>
      <c r="EQ109" s="522"/>
      <c r="ER109" s="522"/>
      <c r="ES109" s="407"/>
      <c r="ET109" s="407"/>
    </row>
    <row r="110" spans="1:150" s="357" customFormat="1" ht="15">
      <c r="A110" s="675" t="s">
        <v>4</v>
      </c>
      <c r="B110" s="712">
        <v>41736</v>
      </c>
      <c r="C110" s="358">
        <v>0</v>
      </c>
      <c r="D110" s="968">
        <v>0</v>
      </c>
      <c r="E110">
        <v>0</v>
      </c>
      <c r="F110" s="968">
        <v>49</v>
      </c>
      <c r="G110" s="975">
        <v>2</v>
      </c>
      <c r="H110" s="969" t="s">
        <v>744</v>
      </c>
      <c r="I110" s="975">
        <v>93.4</v>
      </c>
      <c r="J110" s="969">
        <v>0</v>
      </c>
      <c r="K110" s="975">
        <v>0.06</v>
      </c>
      <c r="L110" s="821">
        <f t="shared" si="69"/>
        <v>46.59</v>
      </c>
      <c r="M110" s="975">
        <v>20.399999999999999</v>
      </c>
      <c r="N110" s="969">
        <v>0</v>
      </c>
      <c r="O110" s="975" t="s">
        <v>743</v>
      </c>
      <c r="P110" s="969">
        <v>1.55</v>
      </c>
      <c r="Q110" s="972">
        <v>1.7107196488324801</v>
      </c>
      <c r="R110" s="976">
        <v>675.9895006605019</v>
      </c>
      <c r="S110" s="975">
        <v>0</v>
      </c>
      <c r="T110" s="969">
        <v>8.07</v>
      </c>
      <c r="U110" s="975">
        <v>0</v>
      </c>
      <c r="V110" s="969">
        <v>0.7</v>
      </c>
      <c r="W110" s="969">
        <v>32</v>
      </c>
      <c r="X110" s="977">
        <v>44.42</v>
      </c>
      <c r="Y110" s="978">
        <v>21.01</v>
      </c>
      <c r="Z110" s="972">
        <v>25.57</v>
      </c>
      <c r="AA110" s="971">
        <v>21.06</v>
      </c>
      <c r="AB110" s="971">
        <v>25.53</v>
      </c>
      <c r="AC110" s="775">
        <f t="shared" ref="AC110:AC112" si="102">AA110+AB110</f>
        <v>46.59</v>
      </c>
      <c r="AD110" s="775">
        <f t="shared" ref="AD110:AD112" si="103">AC110*1.547</f>
        <v>72.074730000000002</v>
      </c>
      <c r="AE110" s="775"/>
      <c r="AF110" s="567"/>
      <c r="AG110" s="2">
        <v>1.6</v>
      </c>
      <c r="AH110" s="705"/>
      <c r="AI110" s="362"/>
      <c r="AJ110" s="2"/>
      <c r="AK110" s="407"/>
      <c r="AL110" s="407"/>
      <c r="AM110" s="407"/>
      <c r="AN110" s="407"/>
      <c r="AO110" s="387"/>
      <c r="AP110" s="387"/>
      <c r="AQ110" s="405"/>
      <c r="AR110" s="578">
        <v>0</v>
      </c>
      <c r="AS110" s="405">
        <v>18.8</v>
      </c>
      <c r="AT110" s="578">
        <v>0</v>
      </c>
      <c r="AU110" s="405">
        <v>21.7</v>
      </c>
      <c r="AV110" s="644">
        <v>363.1</v>
      </c>
      <c r="AW110" s="644">
        <v>404.9</v>
      </c>
      <c r="AX110" s="405">
        <v>0</v>
      </c>
      <c r="AY110" s="578">
        <v>0</v>
      </c>
      <c r="AZ110" s="578">
        <v>0</v>
      </c>
      <c r="BA110" s="578">
        <v>0</v>
      </c>
      <c r="BB110" s="1086">
        <v>1.6</v>
      </c>
      <c r="BC110" s="405">
        <v>0</v>
      </c>
      <c r="BD110" s="405">
        <v>1.78</v>
      </c>
      <c r="BE110" s="578">
        <v>0</v>
      </c>
      <c r="BF110" s="405">
        <v>0.71</v>
      </c>
      <c r="BG110" s="405">
        <v>0</v>
      </c>
      <c r="BH110" s="578">
        <v>0</v>
      </c>
      <c r="BI110" s="405">
        <v>0</v>
      </c>
      <c r="BJ110" s="405">
        <v>23.1</v>
      </c>
      <c r="BK110" s="405">
        <v>2.91</v>
      </c>
      <c r="BL110" s="405">
        <v>2.93</v>
      </c>
      <c r="BM110" s="405">
        <v>0</v>
      </c>
      <c r="BN110" s="405">
        <v>15.6</v>
      </c>
      <c r="BO110" s="405">
        <v>558.4</v>
      </c>
      <c r="BP110" s="405">
        <v>0</v>
      </c>
      <c r="BQ110" s="649">
        <v>20.8</v>
      </c>
      <c r="BR110" s="649">
        <v>20.8</v>
      </c>
      <c r="BS110" s="649">
        <v>9.1</v>
      </c>
      <c r="BT110" s="649">
        <v>9.1999999999999993</v>
      </c>
      <c r="BU110" s="648">
        <v>20.3</v>
      </c>
      <c r="BV110" s="648">
        <v>17.7</v>
      </c>
      <c r="BW110" s="649">
        <v>555.70000000000005</v>
      </c>
      <c r="BX110" s="876"/>
      <c r="BY110" s="649">
        <v>0.15</v>
      </c>
      <c r="BZ110" s="649">
        <v>1.55</v>
      </c>
      <c r="CA110" s="649">
        <v>1.4</v>
      </c>
      <c r="CB110" s="649">
        <v>8.9</v>
      </c>
      <c r="CC110" s="649">
        <v>8.1999999999999993</v>
      </c>
      <c r="CD110" s="649">
        <v>15</v>
      </c>
      <c r="CE110" s="649">
        <v>33.4</v>
      </c>
      <c r="CF110" s="649">
        <v>14.7</v>
      </c>
      <c r="CG110" s="649">
        <v>3.8</v>
      </c>
      <c r="CH110" s="649">
        <v>8.6</v>
      </c>
      <c r="CI110" s="649">
        <v>12.7</v>
      </c>
      <c r="CJ110" s="649">
        <v>12.8</v>
      </c>
      <c r="CK110" s="649">
        <v>1</v>
      </c>
      <c r="CL110" s="649">
        <v>2.1</v>
      </c>
      <c r="CM110" s="649">
        <v>3</v>
      </c>
      <c r="CN110" s="991">
        <v>820</v>
      </c>
      <c r="CO110" s="649">
        <v>348</v>
      </c>
      <c r="CP110" s="649">
        <v>472.6</v>
      </c>
      <c r="CQ110" s="649">
        <v>3.2</v>
      </c>
      <c r="CR110" s="649">
        <v>1.84</v>
      </c>
      <c r="CS110" s="405">
        <v>6778.5</v>
      </c>
      <c r="CT110" s="405">
        <v>16.675999999999998</v>
      </c>
      <c r="CU110" s="405">
        <v>51</v>
      </c>
      <c r="CV110" s="522">
        <v>0</v>
      </c>
      <c r="CW110" s="522">
        <v>0</v>
      </c>
      <c r="CX110" s="522">
        <v>0</v>
      </c>
      <c r="CY110" s="522">
        <v>0</v>
      </c>
      <c r="CZ110" s="689">
        <v>1900</v>
      </c>
      <c r="DA110" s="689">
        <v>2750</v>
      </c>
      <c r="DB110" s="689">
        <v>1930</v>
      </c>
      <c r="DC110" s="643">
        <v>1145.8</v>
      </c>
      <c r="DD110" s="522"/>
      <c r="DE110" s="522"/>
      <c r="DF110" s="522"/>
      <c r="DG110" s="522"/>
      <c r="DH110" s="522"/>
      <c r="DI110" s="522"/>
      <c r="DJ110" s="522"/>
      <c r="DK110" s="522"/>
      <c r="DL110" s="649"/>
      <c r="DM110" s="649"/>
      <c r="DN110" s="649"/>
      <c r="DO110" s="522"/>
      <c r="DP110" s="522"/>
      <c r="DQ110" s="522"/>
      <c r="DR110" s="522"/>
      <c r="DS110" s="522"/>
      <c r="DT110" s="522"/>
      <c r="DU110" s="522"/>
      <c r="DV110" s="522"/>
      <c r="DW110" s="522"/>
      <c r="DX110" s="522"/>
      <c r="DY110" s="522"/>
      <c r="DZ110" s="522"/>
      <c r="EA110" s="522"/>
      <c r="EB110" s="522"/>
      <c r="EC110" s="522"/>
      <c r="ED110" s="522"/>
      <c r="EE110" s="522"/>
      <c r="EF110" s="522"/>
      <c r="EG110" s="645">
        <f t="shared" si="56"/>
        <v>12.886509999999999</v>
      </c>
      <c r="EH110" s="361">
        <v>0</v>
      </c>
      <c r="EI110" s="647">
        <v>0</v>
      </c>
      <c r="EJ110" s="647">
        <f t="shared" si="100"/>
        <v>2.4900000000000002</v>
      </c>
      <c r="EK110" s="647">
        <f t="shared" si="101"/>
        <v>5.84</v>
      </c>
      <c r="EL110" s="522"/>
      <c r="EM110" s="522"/>
      <c r="EN110" s="522"/>
      <c r="EO110" s="522"/>
      <c r="EP110" s="522"/>
      <c r="EQ110" s="522"/>
      <c r="ER110" s="522"/>
      <c r="ES110" s="407"/>
      <c r="ET110" s="407"/>
    </row>
    <row r="111" spans="1:150" s="357" customFormat="1" ht="15">
      <c r="A111" s="675" t="s">
        <v>5</v>
      </c>
      <c r="B111" s="712">
        <v>41737</v>
      </c>
      <c r="C111" s="358">
        <v>0</v>
      </c>
      <c r="D111" s="405">
        <v>0.5</v>
      </c>
      <c r="E111" s="681">
        <v>0</v>
      </c>
      <c r="F111" s="681">
        <v>48</v>
      </c>
      <c r="G111" s="807">
        <v>2.2000000000000002</v>
      </c>
      <c r="H111" s="643" t="s">
        <v>744</v>
      </c>
      <c r="I111" s="643">
        <v>98.2</v>
      </c>
      <c r="J111" s="643">
        <v>0</v>
      </c>
      <c r="K111" s="643">
        <v>0.06</v>
      </c>
      <c r="L111" s="821">
        <f t="shared" si="69"/>
        <v>46.33</v>
      </c>
      <c r="M111" s="643">
        <v>20.5</v>
      </c>
      <c r="N111" s="643">
        <v>0</v>
      </c>
      <c r="O111" s="643" t="s">
        <v>743</v>
      </c>
      <c r="P111" s="643">
        <v>1.53</v>
      </c>
      <c r="Q111" s="643">
        <v>1.7161717461486488</v>
      </c>
      <c r="R111" s="974">
        <v>677.28512021136044</v>
      </c>
      <c r="S111" s="643">
        <v>0</v>
      </c>
      <c r="T111" s="643">
        <v>8.08</v>
      </c>
      <c r="U111" s="643">
        <v>0</v>
      </c>
      <c r="V111" s="807">
        <v>0.7</v>
      </c>
      <c r="W111" s="807">
        <v>32</v>
      </c>
      <c r="X111" s="699">
        <v>44.239999999999995</v>
      </c>
      <c r="Y111" s="806">
        <v>21.06</v>
      </c>
      <c r="Z111" s="807">
        <v>25.53</v>
      </c>
      <c r="AA111" s="970">
        <v>20.83</v>
      </c>
      <c r="AB111" s="970">
        <v>25.5</v>
      </c>
      <c r="AC111" s="775">
        <f t="shared" si="102"/>
        <v>46.33</v>
      </c>
      <c r="AD111" s="775">
        <f t="shared" si="103"/>
        <v>71.672509999999988</v>
      </c>
      <c r="AE111" s="775"/>
      <c r="AF111" s="567"/>
      <c r="AG111" s="2">
        <v>1.6</v>
      </c>
      <c r="AH111" s="705"/>
      <c r="AI111" s="362"/>
      <c r="AJ111" s="2"/>
      <c r="AK111" s="407"/>
      <c r="AL111" s="407"/>
      <c r="AM111" s="407"/>
      <c r="AN111" s="407"/>
      <c r="AO111" s="387"/>
      <c r="AP111" s="387"/>
      <c r="AQ111" s="405"/>
      <c r="AR111" s="578">
        <v>0</v>
      </c>
      <c r="AS111" s="405">
        <v>10.4</v>
      </c>
      <c r="AT111" s="578">
        <v>0</v>
      </c>
      <c r="AU111" s="405">
        <v>21.5</v>
      </c>
      <c r="AV111" s="644">
        <v>241.1</v>
      </c>
      <c r="AW111" s="644">
        <v>316.3</v>
      </c>
      <c r="AX111" s="405">
        <v>0</v>
      </c>
      <c r="AY111" s="578">
        <v>0</v>
      </c>
      <c r="AZ111" s="578">
        <v>0</v>
      </c>
      <c r="BA111" s="578">
        <v>0</v>
      </c>
      <c r="BB111" s="1086">
        <v>1.6</v>
      </c>
      <c r="BC111" s="405">
        <v>0</v>
      </c>
      <c r="BD111" s="405">
        <v>1.79</v>
      </c>
      <c r="BE111" s="578">
        <v>0</v>
      </c>
      <c r="BF111" s="405">
        <v>0.71</v>
      </c>
      <c r="BG111" s="405">
        <v>0</v>
      </c>
      <c r="BH111" s="578">
        <v>0</v>
      </c>
      <c r="BI111" s="405">
        <v>0</v>
      </c>
      <c r="BJ111" s="405">
        <v>23.1</v>
      </c>
      <c r="BK111" s="405">
        <v>2.89</v>
      </c>
      <c r="BL111" s="405">
        <v>2.93</v>
      </c>
      <c r="BM111" s="405">
        <v>0</v>
      </c>
      <c r="BN111" s="405">
        <v>15.5</v>
      </c>
      <c r="BO111" s="405">
        <v>203.4</v>
      </c>
      <c r="BP111" s="405">
        <v>0</v>
      </c>
      <c r="BQ111" s="649">
        <v>22.6</v>
      </c>
      <c r="BR111" s="649">
        <v>22.6</v>
      </c>
      <c r="BS111" s="649">
        <v>9.1</v>
      </c>
      <c r="BT111" s="649">
        <v>9.1999999999999993</v>
      </c>
      <c r="BU111" s="648">
        <v>20.3</v>
      </c>
      <c r="BV111" s="648">
        <v>16.5</v>
      </c>
      <c r="BW111" s="649">
        <v>469.9</v>
      </c>
      <c r="BX111" s="876"/>
      <c r="BY111" s="649">
        <v>0.15</v>
      </c>
      <c r="BZ111" s="649">
        <v>1.56</v>
      </c>
      <c r="CA111" s="649">
        <v>1.4</v>
      </c>
      <c r="CB111" s="649">
        <v>8.8000000000000007</v>
      </c>
      <c r="CC111" s="649">
        <v>8.1</v>
      </c>
      <c r="CD111" s="649">
        <v>15.2</v>
      </c>
      <c r="CE111" s="649">
        <v>31.4</v>
      </c>
      <c r="CF111" s="649">
        <v>14.2</v>
      </c>
      <c r="CG111" s="649">
        <v>4.7</v>
      </c>
      <c r="CH111" s="649">
        <v>11.2</v>
      </c>
      <c r="CI111" s="649">
        <v>3.4</v>
      </c>
      <c r="CJ111" s="649">
        <v>13</v>
      </c>
      <c r="CK111" s="649">
        <v>1</v>
      </c>
      <c r="CL111" s="649">
        <v>2.1</v>
      </c>
      <c r="CM111" s="649">
        <v>2.7</v>
      </c>
      <c r="CN111" s="991">
        <v>820</v>
      </c>
      <c r="CO111" s="649">
        <v>321.60000000000002</v>
      </c>
      <c r="CP111" s="649">
        <v>443.7</v>
      </c>
      <c r="CQ111" s="649">
        <v>3.4</v>
      </c>
      <c r="CR111" s="649">
        <v>1.79</v>
      </c>
      <c r="CS111" s="405">
        <v>7038.1</v>
      </c>
      <c r="CT111" s="405">
        <v>16.847000000000001</v>
      </c>
      <c r="CU111" s="405">
        <v>51</v>
      </c>
      <c r="CV111" s="522">
        <v>0</v>
      </c>
      <c r="CW111" s="522">
        <v>0</v>
      </c>
      <c r="CX111" s="522">
        <v>0</v>
      </c>
      <c r="CY111" s="522">
        <v>0</v>
      </c>
      <c r="CZ111" s="689">
        <v>2220</v>
      </c>
      <c r="DA111" s="689">
        <v>3110</v>
      </c>
      <c r="DB111" s="689">
        <v>2240</v>
      </c>
      <c r="DC111" s="643">
        <v>1146.5</v>
      </c>
      <c r="DD111" s="522"/>
      <c r="DE111" s="522"/>
      <c r="DF111" s="522"/>
      <c r="DG111" s="522"/>
      <c r="DH111" s="522"/>
      <c r="DI111" s="522"/>
      <c r="DJ111" s="522"/>
      <c r="DK111" s="522"/>
      <c r="DL111" s="649"/>
      <c r="DM111" s="649"/>
      <c r="DN111" s="649"/>
      <c r="DO111" s="522"/>
      <c r="DP111" s="522"/>
      <c r="DQ111" s="522"/>
      <c r="DR111" s="522"/>
      <c r="DS111" s="522"/>
      <c r="DT111" s="522"/>
      <c r="DU111" s="522"/>
      <c r="DV111" s="522"/>
      <c r="DW111" s="522"/>
      <c r="DX111" s="522"/>
      <c r="DY111" s="522"/>
      <c r="DZ111" s="522"/>
      <c r="EA111" s="522"/>
      <c r="EB111" s="522"/>
      <c r="EC111" s="522"/>
      <c r="ED111" s="522"/>
      <c r="EE111" s="522"/>
      <c r="EF111" s="522"/>
      <c r="EG111" s="645">
        <f t="shared" si="56"/>
        <v>12.871040000000001</v>
      </c>
      <c r="EH111" s="361">
        <v>0</v>
      </c>
      <c r="EI111" s="647">
        <v>0</v>
      </c>
      <c r="EJ111" s="647">
        <f t="shared" si="100"/>
        <v>2.5</v>
      </c>
      <c r="EK111" s="647">
        <f t="shared" si="101"/>
        <v>5.82</v>
      </c>
      <c r="EL111" s="522"/>
      <c r="EM111" s="522"/>
      <c r="EN111" s="522"/>
      <c r="EO111" s="522"/>
      <c r="EP111" s="522"/>
      <c r="EQ111" s="522"/>
      <c r="ER111" s="522"/>
      <c r="ES111" s="407"/>
      <c r="ET111" s="407"/>
    </row>
    <row r="112" spans="1:150" s="357" customFormat="1" ht="15">
      <c r="A112" s="675" t="s">
        <v>6</v>
      </c>
      <c r="B112" s="712">
        <v>41738</v>
      </c>
      <c r="C112" s="358">
        <v>0</v>
      </c>
      <c r="D112" s="405">
        <v>0</v>
      </c>
      <c r="E112" s="681">
        <v>0</v>
      </c>
      <c r="F112" s="681">
        <v>43</v>
      </c>
      <c r="G112" s="807">
        <v>2.2000000000000002</v>
      </c>
      <c r="H112" s="643" t="s">
        <v>744</v>
      </c>
      <c r="I112" s="643">
        <v>91.7</v>
      </c>
      <c r="J112" s="643">
        <v>0</v>
      </c>
      <c r="K112" s="643">
        <v>0.06</v>
      </c>
      <c r="L112" s="821">
        <f t="shared" si="69"/>
        <v>46.11</v>
      </c>
      <c r="M112" s="643">
        <v>20.5</v>
      </c>
      <c r="N112" s="643">
        <v>0</v>
      </c>
      <c r="O112" s="643" t="s">
        <v>743</v>
      </c>
      <c r="P112" s="643">
        <v>1.49</v>
      </c>
      <c r="Q112" s="643">
        <v>1.684038560774932</v>
      </c>
      <c r="R112" s="974">
        <v>656.87911228533676</v>
      </c>
      <c r="S112" s="643">
        <v>0</v>
      </c>
      <c r="T112" s="643">
        <v>8.09</v>
      </c>
      <c r="U112" s="643">
        <v>0</v>
      </c>
      <c r="V112" s="807">
        <v>0.69</v>
      </c>
      <c r="W112" s="807">
        <v>32</v>
      </c>
      <c r="X112" s="699">
        <v>44.239999999999995</v>
      </c>
      <c r="Y112" s="806">
        <v>20.83</v>
      </c>
      <c r="Z112" s="807">
        <v>25.5</v>
      </c>
      <c r="AA112" s="970">
        <v>20.69</v>
      </c>
      <c r="AB112" s="970">
        <v>25.42</v>
      </c>
      <c r="AC112" s="775">
        <f t="shared" si="102"/>
        <v>46.11</v>
      </c>
      <c r="AD112" s="775">
        <f t="shared" si="103"/>
        <v>71.332169999999991</v>
      </c>
      <c r="AE112" s="775"/>
      <c r="AF112" s="567"/>
      <c r="AG112" s="2">
        <v>1.6</v>
      </c>
      <c r="AH112" s="705"/>
      <c r="AI112" s="362"/>
      <c r="AJ112" s="2"/>
      <c r="AK112" s="407"/>
      <c r="AL112" s="407"/>
      <c r="AM112" s="407"/>
      <c r="AN112" s="407"/>
      <c r="AO112" s="387"/>
      <c r="AP112" s="387"/>
      <c r="AQ112" s="405"/>
      <c r="AR112" s="578">
        <v>0</v>
      </c>
      <c r="AS112" s="405">
        <v>10.3</v>
      </c>
      <c r="AT112" s="578">
        <v>0</v>
      </c>
      <c r="AU112" s="405">
        <v>21.7</v>
      </c>
      <c r="AV112" s="644">
        <v>229.5</v>
      </c>
      <c r="AW112" s="644">
        <v>302.3</v>
      </c>
      <c r="AX112" s="405">
        <v>0</v>
      </c>
      <c r="AY112" s="578">
        <v>0</v>
      </c>
      <c r="AZ112" s="578">
        <v>0</v>
      </c>
      <c r="BA112" s="578">
        <v>0</v>
      </c>
      <c r="BB112" s="1086">
        <v>1.6</v>
      </c>
      <c r="BC112" s="405">
        <v>0</v>
      </c>
      <c r="BD112" s="405">
        <v>1.79</v>
      </c>
      <c r="BE112" s="578">
        <v>0</v>
      </c>
      <c r="BF112" s="405">
        <v>0.71</v>
      </c>
      <c r="BG112" s="405">
        <v>0</v>
      </c>
      <c r="BH112" s="578">
        <v>0</v>
      </c>
      <c r="BI112" s="405">
        <v>0</v>
      </c>
      <c r="BJ112" s="405">
        <v>23.1</v>
      </c>
      <c r="BK112" s="405">
        <v>3.27</v>
      </c>
      <c r="BL112" s="405">
        <v>2.74</v>
      </c>
      <c r="BM112" s="405">
        <v>0</v>
      </c>
      <c r="BN112" s="405">
        <v>15.4</v>
      </c>
      <c r="BO112" s="405">
        <v>1117.2</v>
      </c>
      <c r="BP112" s="405">
        <v>0</v>
      </c>
      <c r="BQ112" s="649">
        <v>21.4</v>
      </c>
      <c r="BR112" s="649">
        <v>21.3</v>
      </c>
      <c r="BS112" s="649">
        <v>9.1</v>
      </c>
      <c r="BT112" s="649">
        <v>9.1999999999999993</v>
      </c>
      <c r="BU112" s="648">
        <v>20.3</v>
      </c>
      <c r="BV112" s="648">
        <v>24.8</v>
      </c>
      <c r="BW112" s="649">
        <v>674.8</v>
      </c>
      <c r="BX112" s="876"/>
      <c r="BY112" s="649">
        <v>0.15</v>
      </c>
      <c r="BZ112" s="649">
        <v>1.53</v>
      </c>
      <c r="CA112" s="649">
        <v>1.4</v>
      </c>
      <c r="CB112" s="649">
        <v>8.8000000000000007</v>
      </c>
      <c r="CC112" s="649">
        <v>8</v>
      </c>
      <c r="CD112" s="649">
        <v>15.4</v>
      </c>
      <c r="CE112" s="649">
        <v>35.1</v>
      </c>
      <c r="CF112" s="649">
        <v>13.7</v>
      </c>
      <c r="CG112" s="649">
        <v>8.1</v>
      </c>
      <c r="CH112" s="649">
        <v>13.4</v>
      </c>
      <c r="CI112" s="649">
        <v>0.1</v>
      </c>
      <c r="CJ112" s="649">
        <v>13.8</v>
      </c>
      <c r="CK112" s="649">
        <v>294</v>
      </c>
      <c r="CL112" s="649">
        <v>2.1</v>
      </c>
      <c r="CM112" s="649">
        <v>2.5</v>
      </c>
      <c r="CN112" s="991">
        <v>820</v>
      </c>
      <c r="CO112" s="649">
        <v>335.1</v>
      </c>
      <c r="CP112" s="649">
        <v>437.9</v>
      </c>
      <c r="CQ112" s="649">
        <v>3.4</v>
      </c>
      <c r="CR112" s="649">
        <v>2.06</v>
      </c>
      <c r="CS112" s="405">
        <v>4350.3</v>
      </c>
      <c r="CT112" s="405">
        <v>16.626000000000001</v>
      </c>
      <c r="CU112" s="405">
        <v>50</v>
      </c>
      <c r="CV112" s="522">
        <v>0</v>
      </c>
      <c r="CW112" s="522">
        <v>0</v>
      </c>
      <c r="CX112" s="522">
        <v>0</v>
      </c>
      <c r="CY112" s="522">
        <v>0</v>
      </c>
      <c r="CZ112" s="689">
        <v>2320</v>
      </c>
      <c r="DA112" s="689">
        <v>3160</v>
      </c>
      <c r="DB112" s="689">
        <v>2310</v>
      </c>
      <c r="DC112" s="643">
        <v>1147.58</v>
      </c>
      <c r="DD112" s="522"/>
      <c r="DE112" s="522"/>
      <c r="DF112" s="522"/>
      <c r="DG112" s="522"/>
      <c r="DH112" s="522"/>
      <c r="DI112" s="522"/>
      <c r="DJ112" s="522"/>
      <c r="DK112" s="522"/>
      <c r="DL112" s="649"/>
      <c r="DM112" s="649"/>
      <c r="DN112" s="649"/>
      <c r="DO112" s="522"/>
      <c r="DP112" s="522"/>
      <c r="DQ112" s="522"/>
      <c r="DR112" s="522"/>
      <c r="DS112" s="522"/>
      <c r="DT112" s="522"/>
      <c r="DU112" s="522"/>
      <c r="DV112" s="522"/>
      <c r="DW112" s="522"/>
      <c r="DX112" s="522"/>
      <c r="DY112" s="522"/>
      <c r="DZ112" s="522"/>
      <c r="EA112" s="522"/>
      <c r="EB112" s="522"/>
      <c r="EC112" s="522"/>
      <c r="ED112" s="522"/>
      <c r="EE112" s="522"/>
      <c r="EF112" s="522"/>
      <c r="EG112" s="645">
        <f t="shared" si="56"/>
        <v>13.164969999999999</v>
      </c>
      <c r="EH112" s="361">
        <v>0</v>
      </c>
      <c r="EI112" s="647">
        <v>0</v>
      </c>
      <c r="EJ112" s="647">
        <f t="shared" si="100"/>
        <v>2.5</v>
      </c>
      <c r="EK112" s="647">
        <f t="shared" si="101"/>
        <v>6.01</v>
      </c>
      <c r="EL112" s="522"/>
      <c r="EM112" s="522"/>
      <c r="EN112" s="522"/>
      <c r="EO112" s="522"/>
      <c r="EP112" s="522"/>
      <c r="EQ112" s="522"/>
      <c r="ER112" s="522"/>
      <c r="ES112" s="407"/>
      <c r="ET112" s="407"/>
    </row>
    <row r="113" spans="1:150" s="357" customFormat="1" ht="15">
      <c r="A113" s="675" t="s">
        <v>7</v>
      </c>
      <c r="B113" s="712">
        <v>41739</v>
      </c>
      <c r="C113" s="358">
        <v>0</v>
      </c>
      <c r="D113" s="405">
        <v>0</v>
      </c>
      <c r="E113" s="681">
        <v>0</v>
      </c>
      <c r="F113" s="681">
        <v>45</v>
      </c>
      <c r="G113" s="807">
        <v>0</v>
      </c>
      <c r="H113" s="643" t="s">
        <v>744</v>
      </c>
      <c r="I113" s="643">
        <v>92.5</v>
      </c>
      <c r="J113" s="643">
        <v>0</v>
      </c>
      <c r="K113" s="643">
        <v>0.06</v>
      </c>
      <c r="L113" s="821">
        <f t="shared" si="69"/>
        <v>46.56</v>
      </c>
      <c r="M113" s="643">
        <v>20.2</v>
      </c>
      <c r="N113" s="643">
        <v>0</v>
      </c>
      <c r="O113" s="643" t="s">
        <v>743</v>
      </c>
      <c r="P113" s="643">
        <v>1.5</v>
      </c>
      <c r="Q113" s="643">
        <v>1.6874798179950092</v>
      </c>
      <c r="R113" s="974">
        <v>664.9767344782033</v>
      </c>
      <c r="S113" s="643">
        <v>0</v>
      </c>
      <c r="T113" s="643">
        <v>8.1</v>
      </c>
      <c r="U113" s="643">
        <v>0</v>
      </c>
      <c r="V113" s="807">
        <v>0.7</v>
      </c>
      <c r="W113" s="807">
        <v>32</v>
      </c>
      <c r="X113" s="699">
        <v>44.42</v>
      </c>
      <c r="Y113" s="806">
        <v>20.69</v>
      </c>
      <c r="Z113" s="807">
        <v>25.42</v>
      </c>
      <c r="AA113" s="794">
        <v>21.06</v>
      </c>
      <c r="AB113" s="794">
        <v>25.5</v>
      </c>
      <c r="AC113" s="775">
        <f t="shared" ref="AC113" si="104">AA113+AB113</f>
        <v>46.56</v>
      </c>
      <c r="AD113" s="775">
        <f t="shared" ref="AD113" si="105">AC113*1.547</f>
        <v>72.028319999999994</v>
      </c>
      <c r="AE113" s="775"/>
      <c r="AF113" s="567"/>
      <c r="AG113" s="2">
        <v>1.6</v>
      </c>
      <c r="AH113" s="705"/>
      <c r="AI113" s="362"/>
      <c r="AJ113" s="2"/>
      <c r="AK113" s="407"/>
      <c r="AL113" s="407"/>
      <c r="AM113" s="407"/>
      <c r="AN113" s="407"/>
      <c r="AO113" s="387"/>
      <c r="AP113" s="387"/>
      <c r="AQ113" s="405"/>
      <c r="AR113" s="578">
        <v>0</v>
      </c>
      <c r="AS113" s="405">
        <v>20.9</v>
      </c>
      <c r="AT113" s="578">
        <v>0</v>
      </c>
      <c r="AU113" s="405">
        <v>21.7</v>
      </c>
      <c r="AV113" s="644">
        <v>510.7</v>
      </c>
      <c r="AW113" s="644">
        <v>569.29999999999995</v>
      </c>
      <c r="AX113" s="405">
        <v>0</v>
      </c>
      <c r="AY113" s="578">
        <v>0</v>
      </c>
      <c r="AZ113" s="578">
        <v>0</v>
      </c>
      <c r="BA113" s="578">
        <v>0</v>
      </c>
      <c r="BB113" s="1086">
        <v>1.6</v>
      </c>
      <c r="BC113" s="405">
        <v>0</v>
      </c>
      <c r="BD113" s="405">
        <v>1.78</v>
      </c>
      <c r="BE113" s="578">
        <v>0</v>
      </c>
      <c r="BF113" s="405">
        <v>0.71</v>
      </c>
      <c r="BG113" s="405">
        <v>0</v>
      </c>
      <c r="BH113" s="578">
        <v>0</v>
      </c>
      <c r="BI113" s="405">
        <v>0</v>
      </c>
      <c r="BJ113" s="405">
        <v>23</v>
      </c>
      <c r="BK113" s="405">
        <v>2.88</v>
      </c>
      <c r="BL113" s="405">
        <v>3</v>
      </c>
      <c r="BM113" s="405">
        <v>0</v>
      </c>
      <c r="BN113" s="405">
        <v>15.4</v>
      </c>
      <c r="BO113" s="405">
        <v>909.6</v>
      </c>
      <c r="BP113" s="405">
        <v>0</v>
      </c>
      <c r="BQ113" s="649">
        <v>20.7</v>
      </c>
      <c r="BR113" s="649">
        <v>20.7</v>
      </c>
      <c r="BS113" s="649">
        <v>8.9</v>
      </c>
      <c r="BT113" s="649">
        <v>9.1</v>
      </c>
      <c r="BU113" s="648">
        <v>20</v>
      </c>
      <c r="BV113" s="648">
        <v>23</v>
      </c>
      <c r="BW113" s="649">
        <v>472.8</v>
      </c>
      <c r="BX113" s="876"/>
      <c r="BY113" s="649">
        <v>0.15</v>
      </c>
      <c r="BZ113" s="649">
        <v>1.52</v>
      </c>
      <c r="CA113" s="649">
        <v>1.4</v>
      </c>
      <c r="CB113" s="649">
        <v>8.9</v>
      </c>
      <c r="CC113" s="649">
        <v>8</v>
      </c>
      <c r="CD113" s="649">
        <v>15.7</v>
      </c>
      <c r="CE113" s="649">
        <v>35</v>
      </c>
      <c r="CF113" s="649">
        <v>13</v>
      </c>
      <c r="CG113" s="649">
        <v>5.2</v>
      </c>
      <c r="CH113" s="649">
        <v>10.199999999999999</v>
      </c>
      <c r="CI113" s="649">
        <v>0.1</v>
      </c>
      <c r="CJ113" s="649">
        <v>13.9</v>
      </c>
      <c r="CK113" s="649">
        <v>323.5</v>
      </c>
      <c r="CL113" s="649">
        <v>2.1</v>
      </c>
      <c r="CM113" s="649">
        <v>2.2999999999999998</v>
      </c>
      <c r="CN113" s="991">
        <v>820</v>
      </c>
      <c r="CO113" s="649">
        <v>355.1</v>
      </c>
      <c r="CP113" s="649">
        <v>469.7</v>
      </c>
      <c r="CQ113" s="649">
        <v>3.4</v>
      </c>
      <c r="CR113" s="649">
        <v>2.02</v>
      </c>
      <c r="CS113" s="405">
        <v>4386</v>
      </c>
      <c r="CT113" s="405">
        <v>16.006</v>
      </c>
      <c r="CU113" s="405">
        <v>50</v>
      </c>
      <c r="CV113" s="522">
        <v>0</v>
      </c>
      <c r="CW113" s="522">
        <v>0</v>
      </c>
      <c r="CX113" s="522">
        <v>0</v>
      </c>
      <c r="CY113" s="522">
        <v>0</v>
      </c>
      <c r="CZ113" s="689">
        <v>1830</v>
      </c>
      <c r="DA113" s="689">
        <v>2650</v>
      </c>
      <c r="DB113" s="689">
        <v>1830</v>
      </c>
      <c r="DC113" s="643">
        <v>1147.98</v>
      </c>
      <c r="DD113" s="522"/>
      <c r="DE113" s="522"/>
      <c r="DF113" s="522"/>
      <c r="DG113" s="522"/>
      <c r="DH113" s="522"/>
      <c r="DI113" s="522"/>
      <c r="DJ113" s="522"/>
      <c r="DK113" s="522"/>
      <c r="DL113" s="649"/>
      <c r="DM113" s="689"/>
      <c r="DN113" s="649"/>
      <c r="DO113" s="522"/>
      <c r="DP113" s="522"/>
      <c r="DQ113" s="522"/>
      <c r="DR113" s="522"/>
      <c r="DS113" s="522"/>
      <c r="DT113" s="522"/>
      <c r="DU113" s="522"/>
      <c r="DV113" s="522"/>
      <c r="DW113" s="522"/>
      <c r="DX113" s="522"/>
      <c r="DY113" s="522"/>
      <c r="DZ113" s="522"/>
      <c r="EA113" s="522"/>
      <c r="EB113" s="522"/>
      <c r="EC113" s="522"/>
      <c r="ED113" s="522"/>
      <c r="EE113" s="522"/>
      <c r="EF113" s="522"/>
      <c r="EG113" s="645">
        <f t="shared" si="56"/>
        <v>12.948390000000002</v>
      </c>
      <c r="EH113" s="361">
        <v>0</v>
      </c>
      <c r="EI113" s="647">
        <v>0</v>
      </c>
      <c r="EJ113" s="647">
        <f t="shared" si="100"/>
        <v>2.4900000000000002</v>
      </c>
      <c r="EK113" s="647">
        <f t="shared" si="101"/>
        <v>5.88</v>
      </c>
      <c r="EL113" s="522"/>
      <c r="EM113" s="522"/>
      <c r="EN113" s="522"/>
      <c r="EO113" s="522"/>
      <c r="EP113" s="522"/>
      <c r="EQ113" s="522"/>
      <c r="ER113" s="522"/>
      <c r="ES113" s="407"/>
      <c r="ET113" s="407"/>
    </row>
    <row r="114" spans="1:150" s="357" customFormat="1" ht="15">
      <c r="A114" s="675" t="s">
        <v>8</v>
      </c>
      <c r="B114" s="712">
        <v>41740</v>
      </c>
      <c r="C114" s="358">
        <v>0</v>
      </c>
      <c r="D114" s="405">
        <v>0</v>
      </c>
      <c r="E114" s="681">
        <v>0</v>
      </c>
      <c r="F114" s="681">
        <v>47</v>
      </c>
      <c r="G114" s="807">
        <v>1.5</v>
      </c>
      <c r="H114" s="643" t="s">
        <v>744</v>
      </c>
      <c r="I114" s="643">
        <v>92.12</v>
      </c>
      <c r="J114" s="643">
        <v>0.35</v>
      </c>
      <c r="K114" s="643">
        <v>2.169</v>
      </c>
      <c r="L114" s="821">
        <f t="shared" si="69"/>
        <v>46.6</v>
      </c>
      <c r="M114" s="643">
        <v>19.8</v>
      </c>
      <c r="N114" s="643">
        <v>1.44</v>
      </c>
      <c r="O114" s="643">
        <v>1.8424367736873912</v>
      </c>
      <c r="P114" s="643">
        <v>1.468</v>
      </c>
      <c r="Q114" s="643">
        <v>1.6632274729541541</v>
      </c>
      <c r="R114" s="974">
        <v>691.21303038309111</v>
      </c>
      <c r="S114" s="643">
        <v>7.59</v>
      </c>
      <c r="T114" s="643">
        <v>7.23</v>
      </c>
      <c r="U114" s="643">
        <v>0.48199999999999998</v>
      </c>
      <c r="V114" s="807">
        <v>0.40300000000000002</v>
      </c>
      <c r="W114" s="807">
        <v>44.960000000000008</v>
      </c>
      <c r="X114" s="699">
        <v>45.319999999999993</v>
      </c>
      <c r="Y114" s="806">
        <v>21.06</v>
      </c>
      <c r="Z114" s="807">
        <v>25.5</v>
      </c>
      <c r="AA114" s="794">
        <v>21</v>
      </c>
      <c r="AB114" s="794">
        <v>25.6</v>
      </c>
      <c r="AC114" s="775">
        <f t="shared" ref="AC114:AC116" si="106">AA114+AB114</f>
        <v>46.6</v>
      </c>
      <c r="AD114" s="775">
        <f t="shared" ref="AD114:AD116" si="107">AC114*1.547</f>
        <v>72.090199999999996</v>
      </c>
      <c r="AE114" s="775"/>
      <c r="AF114" s="567"/>
      <c r="AG114" s="2">
        <v>1.6</v>
      </c>
      <c r="AH114" s="705"/>
      <c r="AI114" s="362"/>
      <c r="AJ114" s="2"/>
      <c r="AK114" s="407"/>
      <c r="AL114" s="407"/>
      <c r="AM114" s="407"/>
      <c r="AN114" s="407"/>
      <c r="AO114" s="387"/>
      <c r="AP114" s="387"/>
      <c r="AQ114" s="405"/>
      <c r="AR114" s="578">
        <v>0</v>
      </c>
      <c r="AS114" s="405">
        <v>11.3</v>
      </c>
      <c r="AT114" s="578">
        <v>0</v>
      </c>
      <c r="AU114" s="405">
        <v>21.6</v>
      </c>
      <c r="AV114" s="644">
        <v>422</v>
      </c>
      <c r="AW114" s="644">
        <v>603.29999999999995</v>
      </c>
      <c r="AX114" s="405">
        <v>0</v>
      </c>
      <c r="AY114" s="578">
        <v>0</v>
      </c>
      <c r="AZ114" s="578">
        <v>0</v>
      </c>
      <c r="BA114" s="578">
        <v>0</v>
      </c>
      <c r="BB114" s="1086">
        <v>1.6</v>
      </c>
      <c r="BC114" s="405">
        <v>0</v>
      </c>
      <c r="BD114" s="405">
        <v>1.79</v>
      </c>
      <c r="BE114" s="578">
        <v>0</v>
      </c>
      <c r="BF114" s="405">
        <v>0.71</v>
      </c>
      <c r="BG114" s="405">
        <v>0</v>
      </c>
      <c r="BH114" s="578">
        <v>0</v>
      </c>
      <c r="BI114" s="405">
        <v>0</v>
      </c>
      <c r="BJ114" s="405">
        <v>23.1</v>
      </c>
      <c r="BK114" s="405">
        <v>2.88</v>
      </c>
      <c r="BL114" s="405">
        <v>3.09</v>
      </c>
      <c r="BM114" s="405">
        <v>0</v>
      </c>
      <c r="BN114" s="405">
        <v>15.6</v>
      </c>
      <c r="BO114" s="405">
        <v>1909.5</v>
      </c>
      <c r="BP114" s="405">
        <v>0</v>
      </c>
      <c r="BQ114" s="649">
        <v>19.3</v>
      </c>
      <c r="BR114" s="649">
        <v>19.260000000000002</v>
      </c>
      <c r="BS114" s="649">
        <v>8.93</v>
      </c>
      <c r="BT114" s="649">
        <v>9.0299999999999994</v>
      </c>
      <c r="BU114" s="648">
        <v>19.899999999999999</v>
      </c>
      <c r="BV114" s="648">
        <v>25</v>
      </c>
      <c r="BW114" s="649">
        <v>675</v>
      </c>
      <c r="BX114" s="876"/>
      <c r="BY114" s="649">
        <v>1.02</v>
      </c>
      <c r="BZ114" s="649">
        <v>1.49</v>
      </c>
      <c r="CA114" s="649">
        <v>1.4</v>
      </c>
      <c r="CB114" s="649">
        <v>8.9</v>
      </c>
      <c r="CC114" s="649">
        <v>7.9</v>
      </c>
      <c r="CD114" s="649">
        <v>16.2</v>
      </c>
      <c r="CE114" s="649">
        <v>34.700000000000003</v>
      </c>
      <c r="CF114" s="649">
        <v>12.5</v>
      </c>
      <c r="CG114" s="649">
        <v>7.98</v>
      </c>
      <c r="CH114" s="649">
        <v>13.2</v>
      </c>
      <c r="CI114" s="649">
        <v>6.4</v>
      </c>
      <c r="CJ114" s="649">
        <v>14.25</v>
      </c>
      <c r="CK114" s="649">
        <v>308.10000000000002</v>
      </c>
      <c r="CL114" s="649">
        <v>2.1</v>
      </c>
      <c r="CM114" s="649">
        <v>2.2999999999999998</v>
      </c>
      <c r="CN114" s="991">
        <v>820</v>
      </c>
      <c r="CO114" s="649">
        <v>345.4</v>
      </c>
      <c r="CP114" s="649">
        <v>468.5</v>
      </c>
      <c r="CQ114" s="649">
        <v>3.4</v>
      </c>
      <c r="CR114" s="649">
        <v>2.0499999999999998</v>
      </c>
      <c r="CS114" s="405">
        <v>4356.2</v>
      </c>
      <c r="CT114" s="405">
        <v>16.03</v>
      </c>
      <c r="CU114" s="405">
        <v>50</v>
      </c>
      <c r="CV114" s="522">
        <v>0</v>
      </c>
      <c r="CW114" s="522">
        <v>0</v>
      </c>
      <c r="CX114" s="522">
        <v>0</v>
      </c>
      <c r="CY114" s="522">
        <v>0</v>
      </c>
      <c r="CZ114" s="689">
        <v>1370</v>
      </c>
      <c r="DA114" s="689">
        <v>2160</v>
      </c>
      <c r="DB114" s="689">
        <v>1390</v>
      </c>
      <c r="DC114" s="643">
        <v>1148.4000000000001</v>
      </c>
      <c r="DD114" s="522"/>
      <c r="DE114" s="522"/>
      <c r="DF114" s="522"/>
      <c r="DG114" s="522"/>
      <c r="DH114" s="522"/>
      <c r="DI114" s="522"/>
      <c r="DJ114" s="522"/>
      <c r="DK114" s="522"/>
      <c r="DL114" s="649"/>
      <c r="DM114" s="689"/>
      <c r="DN114" s="649"/>
      <c r="DO114" s="522"/>
      <c r="DP114" s="522"/>
      <c r="DQ114" s="522"/>
      <c r="DR114" s="522"/>
      <c r="DS114" s="522"/>
      <c r="DT114" s="522"/>
      <c r="DU114" s="522"/>
      <c r="DV114" s="522"/>
      <c r="DW114" s="522"/>
      <c r="DX114" s="522"/>
      <c r="DY114" s="522"/>
      <c r="DZ114" s="522"/>
      <c r="EA114" s="522"/>
      <c r="EB114" s="522"/>
      <c r="EC114" s="522"/>
      <c r="ED114" s="522"/>
      <c r="EE114" s="522"/>
      <c r="EF114" s="522"/>
      <c r="EG114" s="645">
        <f t="shared" si="56"/>
        <v>13.103089999999998</v>
      </c>
      <c r="EH114" s="361">
        <v>0</v>
      </c>
      <c r="EI114" s="647">
        <v>0</v>
      </c>
      <c r="EJ114" s="647">
        <f t="shared" si="100"/>
        <v>2.5</v>
      </c>
      <c r="EK114" s="647">
        <f t="shared" si="101"/>
        <v>5.97</v>
      </c>
      <c r="EL114" s="522"/>
      <c r="EM114" s="522"/>
      <c r="EN114" s="522"/>
      <c r="EO114" s="522"/>
      <c r="EP114" s="522"/>
      <c r="EQ114" s="522"/>
      <c r="ER114" s="522"/>
      <c r="ES114" s="407"/>
      <c r="ET114" s="407"/>
    </row>
    <row r="115" spans="1:150" s="357" customFormat="1" ht="15">
      <c r="A115" s="675" t="s">
        <v>9</v>
      </c>
      <c r="B115" s="712">
        <v>41741</v>
      </c>
      <c r="C115" s="358">
        <v>0</v>
      </c>
      <c r="D115" s="405">
        <v>0</v>
      </c>
      <c r="E115" s="681">
        <v>0</v>
      </c>
      <c r="F115" s="681">
        <v>44</v>
      </c>
      <c r="G115" s="807">
        <v>1.5</v>
      </c>
      <c r="H115" s="643" t="s">
        <v>744</v>
      </c>
      <c r="I115" s="643">
        <v>92</v>
      </c>
      <c r="J115" s="643">
        <v>0.15</v>
      </c>
      <c r="K115" s="643" t="s">
        <v>744</v>
      </c>
      <c r="L115" s="821">
        <f t="shared" si="69"/>
        <v>46.099999999999994</v>
      </c>
      <c r="M115" s="643">
        <v>19.600000000000001</v>
      </c>
      <c r="N115" s="643">
        <v>1.48</v>
      </c>
      <c r="O115" s="643">
        <v>1.7272126816377456</v>
      </c>
      <c r="P115" s="643">
        <v>1.468</v>
      </c>
      <c r="Q115" s="643" t="s">
        <v>743</v>
      </c>
      <c r="R115" s="974">
        <v>677.60902509907521</v>
      </c>
      <c r="S115" s="807">
        <v>7.74</v>
      </c>
      <c r="T115" s="643" t="s">
        <v>744</v>
      </c>
      <c r="U115" s="643">
        <v>0.33</v>
      </c>
      <c r="V115" s="807" t="s">
        <v>744</v>
      </c>
      <c r="W115" s="807">
        <v>44.42</v>
      </c>
      <c r="X115" s="699" t="e">
        <v>#VALUE!</v>
      </c>
      <c r="Y115" s="806">
        <v>21</v>
      </c>
      <c r="Z115" s="807">
        <v>25.6</v>
      </c>
      <c r="AA115" s="794">
        <v>20.9</v>
      </c>
      <c r="AB115" s="794">
        <v>25.2</v>
      </c>
      <c r="AC115" s="775">
        <f t="shared" si="106"/>
        <v>46.099999999999994</v>
      </c>
      <c r="AD115" s="775">
        <f t="shared" si="107"/>
        <v>71.316699999999983</v>
      </c>
      <c r="AE115" s="775"/>
      <c r="AF115" s="567"/>
      <c r="AG115" s="2">
        <v>1.6</v>
      </c>
      <c r="AH115" s="705"/>
      <c r="AI115" s="362"/>
      <c r="AJ115" s="2"/>
      <c r="AK115" s="407"/>
      <c r="AL115" s="407"/>
      <c r="AM115" s="407"/>
      <c r="AN115" s="407"/>
      <c r="AO115" s="387"/>
      <c r="AP115" s="387"/>
      <c r="AQ115" s="405"/>
      <c r="AR115" s="578">
        <v>0</v>
      </c>
      <c r="AS115" s="405">
        <v>0.4</v>
      </c>
      <c r="AT115" s="578">
        <v>0</v>
      </c>
      <c r="AU115" s="405">
        <v>21.7</v>
      </c>
      <c r="AV115" s="644">
        <v>585.29999999999995</v>
      </c>
      <c r="AW115" s="644">
        <v>631.1</v>
      </c>
      <c r="AX115" s="405">
        <v>0</v>
      </c>
      <c r="AY115" s="578">
        <v>0</v>
      </c>
      <c r="AZ115" s="578">
        <v>0</v>
      </c>
      <c r="BA115" s="578">
        <v>0</v>
      </c>
      <c r="BB115" s="1086">
        <v>1.6</v>
      </c>
      <c r="BC115" s="405">
        <v>0</v>
      </c>
      <c r="BD115" s="405">
        <v>1.79</v>
      </c>
      <c r="BE115" s="578">
        <v>0</v>
      </c>
      <c r="BF115" s="405">
        <v>0.71</v>
      </c>
      <c r="BG115" s="405">
        <v>0</v>
      </c>
      <c r="BH115" s="578">
        <v>0</v>
      </c>
      <c r="BI115" s="405">
        <v>0</v>
      </c>
      <c r="BJ115" s="405">
        <v>22.8</v>
      </c>
      <c r="BK115" s="405">
        <v>2.76</v>
      </c>
      <c r="BL115" s="405">
        <v>2.94</v>
      </c>
      <c r="BM115" s="405">
        <v>0</v>
      </c>
      <c r="BN115" s="405">
        <v>15.3</v>
      </c>
      <c r="BO115" s="405">
        <v>1777.4</v>
      </c>
      <c r="BP115" s="405">
        <v>0</v>
      </c>
      <c r="BQ115" s="649">
        <v>19.100000000000001</v>
      </c>
      <c r="BR115" s="649">
        <v>19.2</v>
      </c>
      <c r="BS115" s="649">
        <v>8.9600000000000009</v>
      </c>
      <c r="BT115" s="649">
        <v>9.0500000000000007</v>
      </c>
      <c r="BU115" s="648">
        <v>19.899999999999999</v>
      </c>
      <c r="BV115" s="648">
        <v>21.5</v>
      </c>
      <c r="BW115" s="649">
        <v>493.6</v>
      </c>
      <c r="BX115" s="876"/>
      <c r="BY115" s="649">
        <v>0.18</v>
      </c>
      <c r="BZ115" s="649">
        <v>1.49</v>
      </c>
      <c r="CA115" s="649">
        <v>1.4</v>
      </c>
      <c r="CB115" s="649">
        <v>8.6999999999999993</v>
      </c>
      <c r="CC115" s="649">
        <v>7.9</v>
      </c>
      <c r="CD115" s="649">
        <v>15.5</v>
      </c>
      <c r="CE115" s="649">
        <v>34.700000000000003</v>
      </c>
      <c r="CF115" s="649">
        <v>12.3</v>
      </c>
      <c r="CG115" s="649">
        <v>7.9</v>
      </c>
      <c r="CH115" s="649">
        <v>13.1</v>
      </c>
      <c r="CI115" s="649">
        <v>10.85</v>
      </c>
      <c r="CJ115" s="649">
        <v>13.44</v>
      </c>
      <c r="CK115" s="649">
        <v>245.4</v>
      </c>
      <c r="CL115" s="649">
        <v>1.4</v>
      </c>
      <c r="CM115" s="649">
        <v>2.5</v>
      </c>
      <c r="CN115" s="991">
        <v>820</v>
      </c>
      <c r="CO115" s="649">
        <v>372.5</v>
      </c>
      <c r="CP115" s="649">
        <v>453.9</v>
      </c>
      <c r="CQ115" s="649">
        <v>3.3</v>
      </c>
      <c r="CR115" s="649">
        <v>1.95</v>
      </c>
      <c r="CS115" s="405">
        <v>4389.2</v>
      </c>
      <c r="CT115" s="405">
        <v>16.03</v>
      </c>
      <c r="CU115" s="405">
        <v>51</v>
      </c>
      <c r="CV115" s="522">
        <v>0</v>
      </c>
      <c r="CW115" s="522">
        <v>0</v>
      </c>
      <c r="CX115" s="522">
        <v>0</v>
      </c>
      <c r="CY115" s="522">
        <v>0</v>
      </c>
      <c r="CZ115" s="689">
        <v>1380</v>
      </c>
      <c r="DA115" s="689">
        <v>2090</v>
      </c>
      <c r="DB115" s="689">
        <v>1380</v>
      </c>
      <c r="DC115" s="643">
        <v>1148.8</v>
      </c>
      <c r="DD115" s="522"/>
      <c r="DE115" s="522"/>
      <c r="DF115" s="522"/>
      <c r="DG115" s="522"/>
      <c r="DH115" s="522"/>
      <c r="DI115" s="522"/>
      <c r="DJ115" s="522"/>
      <c r="DK115" s="522"/>
      <c r="DL115" s="649"/>
      <c r="DM115" s="689"/>
      <c r="DN115" s="649"/>
      <c r="DO115" s="522"/>
      <c r="DP115" s="522"/>
      <c r="DQ115" s="522"/>
      <c r="DR115" s="522"/>
      <c r="DS115" s="522"/>
      <c r="DT115" s="522"/>
      <c r="DU115" s="522"/>
      <c r="DV115" s="522"/>
      <c r="DW115" s="522"/>
      <c r="DX115" s="522"/>
      <c r="DY115" s="522"/>
      <c r="DZ115" s="522"/>
      <c r="EA115" s="522"/>
      <c r="EB115" s="522"/>
      <c r="EC115" s="522"/>
      <c r="ED115" s="522"/>
      <c r="EE115" s="522"/>
      <c r="EF115" s="522"/>
      <c r="EG115" s="645">
        <f t="shared" si="56"/>
        <v>12.685399999999998</v>
      </c>
      <c r="EH115" s="361">
        <v>0</v>
      </c>
      <c r="EI115" s="647">
        <v>0</v>
      </c>
      <c r="EJ115" s="647">
        <f t="shared" si="100"/>
        <v>2.5</v>
      </c>
      <c r="EK115" s="647">
        <f t="shared" si="101"/>
        <v>5.6999999999999993</v>
      </c>
      <c r="EL115" s="522"/>
      <c r="EM115" s="522"/>
      <c r="EN115" s="522"/>
      <c r="EO115" s="522"/>
      <c r="EP115" s="522"/>
      <c r="EQ115" s="522"/>
      <c r="ER115" s="522"/>
      <c r="ES115" s="407"/>
      <c r="ET115" s="407"/>
    </row>
    <row r="116" spans="1:150" s="357" customFormat="1" ht="15">
      <c r="A116" s="675" t="s">
        <v>3</v>
      </c>
      <c r="B116" s="712">
        <v>41742</v>
      </c>
      <c r="C116" s="358">
        <v>0</v>
      </c>
      <c r="D116" s="405">
        <v>0</v>
      </c>
      <c r="E116" s="681">
        <v>0</v>
      </c>
      <c r="F116" s="681">
        <v>51</v>
      </c>
      <c r="G116" s="807">
        <v>1.5</v>
      </c>
      <c r="H116" s="643" t="s">
        <v>744</v>
      </c>
      <c r="I116" s="643">
        <v>92.2</v>
      </c>
      <c r="J116" s="643">
        <v>0.06</v>
      </c>
      <c r="K116" s="643" t="s">
        <v>744</v>
      </c>
      <c r="L116" s="821">
        <f t="shared" si="69"/>
        <v>46.28</v>
      </c>
      <c r="M116" s="643">
        <v>19.399999999999999</v>
      </c>
      <c r="N116" s="643">
        <v>1.53</v>
      </c>
      <c r="O116" s="643">
        <v>1.7140026420081589</v>
      </c>
      <c r="P116" s="643">
        <v>0</v>
      </c>
      <c r="Q116" s="643">
        <v>0.77675033020577788</v>
      </c>
      <c r="R116" s="974">
        <v>673.07435667106984</v>
      </c>
      <c r="S116" s="643">
        <v>7.93</v>
      </c>
      <c r="T116" s="643">
        <v>0</v>
      </c>
      <c r="U116" s="643">
        <v>0.67</v>
      </c>
      <c r="V116" s="807">
        <v>0</v>
      </c>
      <c r="W116" s="807">
        <v>44.42</v>
      </c>
      <c r="X116" s="699" t="e">
        <v>#VALUE!</v>
      </c>
      <c r="Y116" s="806">
        <v>20.9</v>
      </c>
      <c r="Z116" s="807">
        <v>25.2</v>
      </c>
      <c r="AA116" s="794">
        <v>20.78</v>
      </c>
      <c r="AB116" s="794">
        <v>25.5</v>
      </c>
      <c r="AC116" s="775">
        <f t="shared" si="106"/>
        <v>46.28</v>
      </c>
      <c r="AD116" s="775">
        <f t="shared" si="107"/>
        <v>71.595159999999993</v>
      </c>
      <c r="AE116" s="775"/>
      <c r="AF116" s="567"/>
      <c r="AG116" s="2">
        <v>1.6</v>
      </c>
      <c r="AH116" s="705"/>
      <c r="AI116" s="362"/>
      <c r="AJ116" s="2"/>
      <c r="AK116" s="407"/>
      <c r="AL116" s="407"/>
      <c r="AM116" s="407"/>
      <c r="AN116" s="407"/>
      <c r="AO116" s="387"/>
      <c r="AP116" s="387"/>
      <c r="AQ116" s="405"/>
      <c r="AR116" s="578">
        <v>0</v>
      </c>
      <c r="AS116" s="405">
        <v>11.4</v>
      </c>
      <c r="AT116" s="578">
        <v>0</v>
      </c>
      <c r="AU116" s="405">
        <v>21.3</v>
      </c>
      <c r="AV116" s="644">
        <v>373.1</v>
      </c>
      <c r="AW116" s="644">
        <v>572.70000000000005</v>
      </c>
      <c r="AX116" s="405">
        <v>0</v>
      </c>
      <c r="AY116" s="578">
        <v>0</v>
      </c>
      <c r="AZ116" s="578">
        <v>0</v>
      </c>
      <c r="BA116" s="578">
        <v>0</v>
      </c>
      <c r="BB116" s="1086">
        <v>1.6</v>
      </c>
      <c r="BC116" s="405">
        <v>0</v>
      </c>
      <c r="BD116" s="405">
        <v>1.79</v>
      </c>
      <c r="BE116" s="578">
        <v>0</v>
      </c>
      <c r="BF116" s="405">
        <v>0.71</v>
      </c>
      <c r="BG116" s="405">
        <v>0</v>
      </c>
      <c r="BH116" s="578">
        <v>0</v>
      </c>
      <c r="BI116" s="405">
        <v>0</v>
      </c>
      <c r="BJ116" s="405">
        <v>23.1</v>
      </c>
      <c r="BK116" s="405">
        <v>2.9</v>
      </c>
      <c r="BL116" s="405">
        <v>2.94</v>
      </c>
      <c r="BM116" s="405">
        <v>0</v>
      </c>
      <c r="BN116" s="405">
        <v>15.5</v>
      </c>
      <c r="BO116" s="405">
        <v>1781.7</v>
      </c>
      <c r="BP116" s="405">
        <v>0</v>
      </c>
      <c r="BQ116" s="649">
        <v>19.05</v>
      </c>
      <c r="BR116" s="649">
        <v>18.95</v>
      </c>
      <c r="BS116" s="649">
        <v>8.81</v>
      </c>
      <c r="BT116" s="649">
        <v>8.93</v>
      </c>
      <c r="BU116" s="648">
        <v>19.7</v>
      </c>
      <c r="BV116" s="648">
        <v>24.9</v>
      </c>
      <c r="BW116" s="649">
        <v>724.8</v>
      </c>
      <c r="BX116" s="876"/>
      <c r="BY116" s="649">
        <v>0.17</v>
      </c>
      <c r="BZ116" s="649">
        <v>1.45</v>
      </c>
      <c r="CA116" s="649">
        <v>1.4</v>
      </c>
      <c r="CB116" s="649">
        <v>8.8000000000000007</v>
      </c>
      <c r="CC116" s="649">
        <v>7.9</v>
      </c>
      <c r="CD116" s="522">
        <v>14.8</v>
      </c>
      <c r="CE116" s="522">
        <v>34.700000000000003</v>
      </c>
      <c r="CF116" s="649">
        <v>11.8</v>
      </c>
      <c r="CG116" s="522">
        <v>5.6</v>
      </c>
      <c r="CH116" s="522">
        <v>10.7</v>
      </c>
      <c r="CI116" s="522">
        <v>13.7</v>
      </c>
      <c r="CJ116" s="522">
        <v>12.7</v>
      </c>
      <c r="CK116" s="522">
        <v>256.7</v>
      </c>
      <c r="CL116" s="649">
        <v>1.6</v>
      </c>
      <c r="CM116" s="649">
        <v>1.6</v>
      </c>
      <c r="CN116" s="991">
        <v>820</v>
      </c>
      <c r="CO116" s="522">
        <v>417.8</v>
      </c>
      <c r="CP116" s="522">
        <v>468</v>
      </c>
      <c r="CQ116" s="522">
        <v>3.3</v>
      </c>
      <c r="CR116" s="649">
        <v>1.93</v>
      </c>
      <c r="CS116" s="405">
        <v>5204.3</v>
      </c>
      <c r="CT116" s="405">
        <v>16</v>
      </c>
      <c r="CU116" s="405">
        <v>51</v>
      </c>
      <c r="CV116" s="522">
        <v>0</v>
      </c>
      <c r="CW116" s="522">
        <v>0</v>
      </c>
      <c r="CX116" s="522">
        <v>0</v>
      </c>
      <c r="CY116" s="522">
        <v>0</v>
      </c>
      <c r="CZ116" s="689">
        <v>1380</v>
      </c>
      <c r="DA116" s="689">
        <v>2060</v>
      </c>
      <c r="DB116" s="689">
        <v>1370</v>
      </c>
      <c r="DC116" s="643">
        <v>1148.8499999999999</v>
      </c>
      <c r="DD116" s="522"/>
      <c r="DE116" s="522"/>
      <c r="DF116" s="522"/>
      <c r="DG116" s="522"/>
      <c r="DH116" s="522"/>
      <c r="DI116" s="522"/>
      <c r="DJ116" s="522"/>
      <c r="DK116" s="522"/>
      <c r="DL116" s="649"/>
      <c r="DM116" s="689"/>
      <c r="DN116" s="649"/>
      <c r="DO116" s="522"/>
      <c r="DP116" s="522"/>
      <c r="DQ116" s="522"/>
      <c r="DR116" s="522"/>
      <c r="DS116" s="522"/>
      <c r="DT116" s="522"/>
      <c r="DU116" s="522"/>
      <c r="DV116" s="522"/>
      <c r="DW116" s="522"/>
      <c r="DX116" s="522"/>
      <c r="DY116" s="522"/>
      <c r="DZ116" s="522"/>
      <c r="EA116" s="522"/>
      <c r="EB116" s="522"/>
      <c r="EC116" s="522"/>
      <c r="ED116" s="522"/>
      <c r="EE116" s="522"/>
      <c r="EF116" s="522"/>
      <c r="EG116" s="645">
        <f t="shared" si="56"/>
        <v>12.90198</v>
      </c>
      <c r="EH116" s="361">
        <v>0</v>
      </c>
      <c r="EI116" s="647">
        <v>0</v>
      </c>
      <c r="EJ116" s="647">
        <f t="shared" si="100"/>
        <v>2.5</v>
      </c>
      <c r="EK116" s="647">
        <f t="shared" si="101"/>
        <v>5.84</v>
      </c>
      <c r="EL116" s="522"/>
      <c r="EM116" s="522"/>
      <c r="EN116" s="522"/>
      <c r="EO116" s="522"/>
      <c r="EP116" s="522"/>
      <c r="EQ116" s="522"/>
      <c r="ER116" s="522"/>
      <c r="ES116" s="407"/>
      <c r="ET116" s="407"/>
    </row>
    <row r="117" spans="1:150" s="357" customFormat="1" ht="15">
      <c r="A117" s="675" t="s">
        <v>4</v>
      </c>
      <c r="B117" s="712">
        <v>41743</v>
      </c>
      <c r="C117" s="358">
        <v>0</v>
      </c>
      <c r="D117" s="405">
        <v>0</v>
      </c>
      <c r="E117" s="681">
        <v>0</v>
      </c>
      <c r="F117" s="681">
        <v>48</v>
      </c>
      <c r="G117" s="807">
        <v>1.6</v>
      </c>
      <c r="H117" s="643" t="s">
        <v>744</v>
      </c>
      <c r="I117" s="643">
        <v>93.1</v>
      </c>
      <c r="J117" s="643">
        <v>0.11</v>
      </c>
      <c r="K117" s="643" t="s">
        <v>744</v>
      </c>
      <c r="L117" s="821">
        <f t="shared" si="69"/>
        <v>46.22</v>
      </c>
      <c r="M117" s="643">
        <v>19.2</v>
      </c>
      <c r="N117" s="643">
        <v>1.56</v>
      </c>
      <c r="O117" s="643">
        <v>1.7359443603030313</v>
      </c>
      <c r="P117" s="643">
        <v>0</v>
      </c>
      <c r="Q117" s="643">
        <v>0</v>
      </c>
      <c r="R117" s="974">
        <v>679.87635931307784</v>
      </c>
      <c r="S117" s="643">
        <v>7.86</v>
      </c>
      <c r="T117" s="643">
        <v>0</v>
      </c>
      <c r="U117" s="643">
        <v>0.69</v>
      </c>
      <c r="V117" s="807">
        <v>0</v>
      </c>
      <c r="W117" s="807">
        <v>44.42</v>
      </c>
      <c r="X117" s="699" t="e">
        <v>#VALUE!</v>
      </c>
      <c r="Y117" s="806">
        <v>20.78</v>
      </c>
      <c r="Z117" s="807">
        <v>25.5</v>
      </c>
      <c r="AA117" s="794">
        <v>20.72</v>
      </c>
      <c r="AB117" s="794">
        <v>25.5</v>
      </c>
      <c r="AC117" s="775">
        <f t="shared" ref="AC117:AC119" si="108">AA117+AB117</f>
        <v>46.22</v>
      </c>
      <c r="AD117" s="775">
        <f t="shared" ref="AD117:AD119" si="109">AC117*1.547</f>
        <v>71.50233999999999</v>
      </c>
      <c r="AE117" s="775"/>
      <c r="AF117" s="567"/>
      <c r="AG117" s="2">
        <v>1.6</v>
      </c>
      <c r="AH117" s="705"/>
      <c r="AI117" s="362"/>
      <c r="AJ117" s="2"/>
      <c r="AK117" s="407"/>
      <c r="AL117" s="407"/>
      <c r="AM117" s="407"/>
      <c r="AN117" s="407"/>
      <c r="AO117" s="387"/>
      <c r="AP117" s="387"/>
      <c r="AQ117" s="405"/>
      <c r="AR117" s="578">
        <v>0</v>
      </c>
      <c r="AS117" s="405">
        <v>14.1</v>
      </c>
      <c r="AT117" s="578">
        <v>0</v>
      </c>
      <c r="AU117" s="405">
        <v>21.4</v>
      </c>
      <c r="AV117" s="644">
        <v>230.8</v>
      </c>
      <c r="AW117" s="644">
        <v>366.1</v>
      </c>
      <c r="AX117" s="405">
        <v>0</v>
      </c>
      <c r="AY117" s="578">
        <v>0</v>
      </c>
      <c r="AZ117" s="578">
        <v>0</v>
      </c>
      <c r="BA117" s="578">
        <v>0</v>
      </c>
      <c r="BB117" s="1086">
        <v>1.6</v>
      </c>
      <c r="BC117" s="405">
        <v>0</v>
      </c>
      <c r="BD117" s="405">
        <v>1.79</v>
      </c>
      <c r="BE117" s="578">
        <v>0</v>
      </c>
      <c r="BF117" s="405">
        <v>0.71</v>
      </c>
      <c r="BG117" s="405">
        <v>0</v>
      </c>
      <c r="BH117" s="578">
        <v>0</v>
      </c>
      <c r="BI117" s="405">
        <v>0</v>
      </c>
      <c r="BJ117" s="405">
        <v>23.1</v>
      </c>
      <c r="BK117" s="405">
        <v>2.99</v>
      </c>
      <c r="BL117" s="405">
        <v>2.69</v>
      </c>
      <c r="BM117" s="405">
        <v>0</v>
      </c>
      <c r="BN117" s="405">
        <v>15.5</v>
      </c>
      <c r="BO117" s="405">
        <v>1781.7</v>
      </c>
      <c r="BP117" s="405">
        <v>0.6</v>
      </c>
      <c r="BQ117" s="649">
        <v>17.68</v>
      </c>
      <c r="BR117" s="649">
        <v>17.64</v>
      </c>
      <c r="BS117" s="649">
        <v>9.0500000000000007</v>
      </c>
      <c r="BT117" s="649">
        <v>9.1300000000000008</v>
      </c>
      <c r="BU117" s="648">
        <v>20.100000000000001</v>
      </c>
      <c r="BV117" s="648">
        <v>21.1</v>
      </c>
      <c r="BW117" s="649">
        <v>735</v>
      </c>
      <c r="BX117" s="876"/>
      <c r="BY117" s="649">
        <v>0.15</v>
      </c>
      <c r="BZ117" s="649">
        <v>1.47</v>
      </c>
      <c r="CA117" s="649">
        <v>1.4</v>
      </c>
      <c r="CB117" s="649">
        <v>8.8000000000000007</v>
      </c>
      <c r="CC117" s="649">
        <v>7.9</v>
      </c>
      <c r="CD117" s="522">
        <v>14.6</v>
      </c>
      <c r="CE117" s="522">
        <v>34.6</v>
      </c>
      <c r="CF117" s="649">
        <v>13.8</v>
      </c>
      <c r="CG117" s="522">
        <v>7.17</v>
      </c>
      <c r="CH117" s="522">
        <v>12.37</v>
      </c>
      <c r="CI117" s="522">
        <v>16.84</v>
      </c>
      <c r="CJ117" s="522">
        <v>12.45</v>
      </c>
      <c r="CK117" s="522">
        <v>96.1</v>
      </c>
      <c r="CL117" s="649">
        <v>2.2000000000000002</v>
      </c>
      <c r="CM117" s="649">
        <v>2.6</v>
      </c>
      <c r="CN117" s="991">
        <v>820</v>
      </c>
      <c r="CO117" s="522">
        <v>372.5</v>
      </c>
      <c r="CP117" s="522">
        <v>485.9</v>
      </c>
      <c r="CQ117" s="522">
        <v>3.5</v>
      </c>
      <c r="CR117" s="522">
        <v>2.06</v>
      </c>
      <c r="CS117" s="405">
        <v>6839.4</v>
      </c>
      <c r="CT117" s="405">
        <v>17.05</v>
      </c>
      <c r="CU117" s="405">
        <v>51</v>
      </c>
      <c r="CV117" s="522">
        <v>0</v>
      </c>
      <c r="CW117" s="522">
        <v>0</v>
      </c>
      <c r="CX117" s="522">
        <v>0</v>
      </c>
      <c r="CY117" s="522">
        <v>0</v>
      </c>
      <c r="CZ117" s="689">
        <v>1060</v>
      </c>
      <c r="DA117" s="689">
        <v>1800</v>
      </c>
      <c r="DB117" s="689">
        <v>1060</v>
      </c>
      <c r="DC117" s="643">
        <v>1149</v>
      </c>
      <c r="DD117" s="522"/>
      <c r="DE117" s="522"/>
      <c r="DF117" s="522"/>
      <c r="DG117" s="522"/>
      <c r="DH117" s="522"/>
      <c r="DI117" s="522"/>
      <c r="DJ117" s="522"/>
      <c r="DK117" s="522"/>
      <c r="DL117" s="649"/>
      <c r="DM117" s="689"/>
      <c r="DN117" s="649"/>
      <c r="DO117" s="522"/>
      <c r="DP117" s="522"/>
      <c r="DQ117" s="522"/>
      <c r="DR117" s="522"/>
      <c r="DS117" s="522"/>
      <c r="DT117" s="522"/>
      <c r="DU117" s="522"/>
      <c r="DV117" s="522"/>
      <c r="DW117" s="522"/>
      <c r="DX117" s="522"/>
      <c r="DY117" s="522"/>
      <c r="DZ117" s="522"/>
      <c r="EA117" s="522"/>
      <c r="EB117" s="522"/>
      <c r="EC117" s="522"/>
      <c r="ED117" s="522"/>
      <c r="EE117" s="522"/>
      <c r="EF117" s="522"/>
      <c r="EG117" s="645">
        <f t="shared" si="56"/>
        <v>12.654459999999998</v>
      </c>
      <c r="EH117" s="361">
        <v>0</v>
      </c>
      <c r="EI117" s="647">
        <v>0</v>
      </c>
      <c r="EJ117" s="647">
        <f t="shared" si="100"/>
        <v>2.5</v>
      </c>
      <c r="EK117" s="647">
        <f t="shared" si="101"/>
        <v>5.68</v>
      </c>
      <c r="EL117" s="522"/>
      <c r="EM117" s="522"/>
      <c r="EN117" s="522"/>
      <c r="EO117" s="522"/>
      <c r="EP117" s="522"/>
      <c r="EQ117" s="522"/>
      <c r="ER117" s="522"/>
      <c r="ES117" s="407"/>
      <c r="ET117" s="407"/>
    </row>
    <row r="118" spans="1:150" s="357" customFormat="1" ht="15">
      <c r="A118" s="675" t="s">
        <v>5</v>
      </c>
      <c r="B118" s="712">
        <v>41744</v>
      </c>
      <c r="C118" s="358">
        <v>0</v>
      </c>
      <c r="D118" s="405">
        <v>0.04</v>
      </c>
      <c r="E118" s="681">
        <v>0</v>
      </c>
      <c r="F118" s="681">
        <v>45</v>
      </c>
      <c r="G118" s="807">
        <v>1.6</v>
      </c>
      <c r="H118" s="643" t="s">
        <v>744</v>
      </c>
      <c r="I118" s="643">
        <v>92.6</v>
      </c>
      <c r="J118" s="643">
        <v>0.09</v>
      </c>
      <c r="K118" s="643" t="s">
        <v>744</v>
      </c>
      <c r="L118" s="821">
        <f t="shared" si="69"/>
        <v>46.1</v>
      </c>
      <c r="M118" s="643">
        <v>19</v>
      </c>
      <c r="N118" s="643">
        <v>1.57</v>
      </c>
      <c r="O118" s="643">
        <v>1.749176904260147</v>
      </c>
      <c r="P118" s="643">
        <v>0</v>
      </c>
      <c r="Q118" s="643">
        <v>0</v>
      </c>
      <c r="R118" s="974">
        <v>685.05883751651243</v>
      </c>
      <c r="S118" s="643">
        <v>7.68</v>
      </c>
      <c r="T118" s="643">
        <v>0</v>
      </c>
      <c r="U118" s="643">
        <v>0.72</v>
      </c>
      <c r="V118" s="807">
        <v>0</v>
      </c>
      <c r="W118" s="807">
        <v>44.239999999999995</v>
      </c>
      <c r="X118" s="699" t="e">
        <v>#VALUE!</v>
      </c>
      <c r="Y118" s="806">
        <v>20.72</v>
      </c>
      <c r="Z118" s="807">
        <v>25.5</v>
      </c>
      <c r="AA118" s="794">
        <v>20.6</v>
      </c>
      <c r="AB118" s="794">
        <v>25.5</v>
      </c>
      <c r="AC118" s="775">
        <f t="shared" si="108"/>
        <v>46.1</v>
      </c>
      <c r="AD118" s="775">
        <f t="shared" si="109"/>
        <v>71.316699999999997</v>
      </c>
      <c r="AE118" s="775"/>
      <c r="AF118" s="567"/>
      <c r="AG118" s="2">
        <v>1.6</v>
      </c>
      <c r="AH118" s="705"/>
      <c r="AI118" s="362"/>
      <c r="AJ118" s="2"/>
      <c r="AK118" s="407"/>
      <c r="AL118" s="407"/>
      <c r="AM118" s="407"/>
      <c r="AN118" s="407"/>
      <c r="AO118" s="387"/>
      <c r="AP118" s="387"/>
      <c r="AQ118" s="405"/>
      <c r="AR118" s="578">
        <v>0</v>
      </c>
      <c r="AS118" s="405">
        <v>49.7</v>
      </c>
      <c r="AT118" s="578">
        <v>0</v>
      </c>
      <c r="AU118" s="405">
        <v>21.1</v>
      </c>
      <c r="AV118" s="644">
        <v>298.39999999999998</v>
      </c>
      <c r="AW118" s="644">
        <v>447.2</v>
      </c>
      <c r="AX118" s="405">
        <v>0</v>
      </c>
      <c r="AY118" s="578">
        <v>0</v>
      </c>
      <c r="AZ118" s="578">
        <v>0</v>
      </c>
      <c r="BA118" s="578">
        <v>0</v>
      </c>
      <c r="BB118" s="1086">
        <v>1.6</v>
      </c>
      <c r="BC118" s="405">
        <v>0</v>
      </c>
      <c r="BD118" s="405">
        <v>1.78</v>
      </c>
      <c r="BE118" s="578">
        <v>0</v>
      </c>
      <c r="BF118" s="405">
        <v>0.71</v>
      </c>
      <c r="BG118" s="405">
        <v>0</v>
      </c>
      <c r="BH118" s="578">
        <v>0</v>
      </c>
      <c r="BI118" s="405">
        <v>0</v>
      </c>
      <c r="BJ118" s="405">
        <v>23.1</v>
      </c>
      <c r="BK118" s="405">
        <v>3.28</v>
      </c>
      <c r="BL118" s="405">
        <v>2.69</v>
      </c>
      <c r="BM118" s="405">
        <v>0</v>
      </c>
      <c r="BN118" s="405">
        <v>15.5</v>
      </c>
      <c r="BO118" s="405">
        <v>1323.1</v>
      </c>
      <c r="BP118" s="405">
        <v>0</v>
      </c>
      <c r="BQ118" s="649">
        <v>17.760000000000002</v>
      </c>
      <c r="BR118" s="649">
        <v>17.72</v>
      </c>
      <c r="BS118" s="649">
        <v>8.86</v>
      </c>
      <c r="BT118" s="649">
        <v>8.93</v>
      </c>
      <c r="BU118" s="648">
        <v>19.8</v>
      </c>
      <c r="BV118" s="648">
        <v>18.5</v>
      </c>
      <c r="BW118" s="649">
        <v>481.4</v>
      </c>
      <c r="BX118" s="876"/>
      <c r="BY118" s="649">
        <v>0.15</v>
      </c>
      <c r="BZ118" s="649">
        <v>1.49</v>
      </c>
      <c r="CA118" s="649">
        <v>1.4</v>
      </c>
      <c r="CB118" s="649">
        <v>8.6999999999999993</v>
      </c>
      <c r="CC118" s="649">
        <v>7.9</v>
      </c>
      <c r="CD118" s="522">
        <v>15.2</v>
      </c>
      <c r="CE118" s="522">
        <v>34.5</v>
      </c>
      <c r="CF118" s="649">
        <v>13.5</v>
      </c>
      <c r="CG118" s="522">
        <v>6</v>
      </c>
      <c r="CH118" s="522">
        <v>11.7</v>
      </c>
      <c r="CI118" s="522">
        <v>15.2</v>
      </c>
      <c r="CJ118" s="522">
        <v>13.34</v>
      </c>
      <c r="CK118" s="522">
        <v>1</v>
      </c>
      <c r="CL118" s="649">
        <v>3.1</v>
      </c>
      <c r="CM118" s="649">
        <v>3.9</v>
      </c>
      <c r="CN118" s="991">
        <v>820</v>
      </c>
      <c r="CO118" s="522">
        <v>367</v>
      </c>
      <c r="CP118" s="649">
        <v>479.9</v>
      </c>
      <c r="CQ118" s="522">
        <v>3.2</v>
      </c>
      <c r="CR118" s="522">
        <v>1.95</v>
      </c>
      <c r="CS118" s="405">
        <v>8868.5</v>
      </c>
      <c r="CT118" s="405">
        <v>17.05</v>
      </c>
      <c r="CU118" s="405">
        <v>52</v>
      </c>
      <c r="CV118" s="522">
        <v>0</v>
      </c>
      <c r="CW118" s="522">
        <v>0</v>
      </c>
      <c r="CX118" s="522">
        <v>0</v>
      </c>
      <c r="CY118" s="522">
        <v>0</v>
      </c>
      <c r="CZ118" s="689">
        <v>1020</v>
      </c>
      <c r="DA118" s="689">
        <v>1690</v>
      </c>
      <c r="DB118" s="689">
        <v>1010</v>
      </c>
      <c r="DC118" s="643">
        <v>1149.4000000000001</v>
      </c>
      <c r="DD118" s="522"/>
      <c r="DE118" s="522"/>
      <c r="DF118" s="522"/>
      <c r="DG118" s="522"/>
      <c r="DH118" s="522"/>
      <c r="DI118" s="522"/>
      <c r="DJ118" s="522"/>
      <c r="DK118" s="522"/>
      <c r="DL118" s="649"/>
      <c r="DM118" s="689"/>
      <c r="DN118" s="649"/>
      <c r="DO118" s="522"/>
      <c r="DP118" s="522"/>
      <c r="DQ118" s="522"/>
      <c r="DR118" s="522"/>
      <c r="DS118" s="522"/>
      <c r="DT118" s="522"/>
      <c r="DU118" s="522"/>
      <c r="DV118" s="522"/>
      <c r="DW118" s="522"/>
      <c r="DX118" s="522"/>
      <c r="DY118" s="522"/>
      <c r="DZ118" s="522"/>
      <c r="EA118" s="522"/>
      <c r="EB118" s="522"/>
      <c r="EC118" s="522"/>
      <c r="ED118" s="522"/>
      <c r="EE118" s="522"/>
      <c r="EF118" s="522"/>
      <c r="EG118" s="645">
        <f t="shared" si="56"/>
        <v>13.087620000000001</v>
      </c>
      <c r="EH118" s="361">
        <v>0</v>
      </c>
      <c r="EI118" s="647">
        <v>0</v>
      </c>
      <c r="EJ118" s="647">
        <f t="shared" si="100"/>
        <v>2.4900000000000002</v>
      </c>
      <c r="EK118" s="647">
        <f t="shared" si="101"/>
        <v>5.97</v>
      </c>
      <c r="EL118" s="522"/>
      <c r="EM118" s="522"/>
      <c r="EN118" s="522"/>
      <c r="EO118" s="522"/>
      <c r="EP118" s="522"/>
      <c r="EQ118" s="522"/>
      <c r="ER118" s="522"/>
      <c r="ES118" s="407"/>
      <c r="ET118" s="407"/>
    </row>
    <row r="119" spans="1:150" s="357" customFormat="1" ht="15">
      <c r="A119" s="675" t="s">
        <v>6</v>
      </c>
      <c r="B119" s="712">
        <v>41745</v>
      </c>
      <c r="C119" s="358">
        <v>0</v>
      </c>
      <c r="D119" s="405">
        <v>1.18</v>
      </c>
      <c r="E119" s="681">
        <v>0</v>
      </c>
      <c r="F119" s="681">
        <v>47</v>
      </c>
      <c r="G119" s="807">
        <v>1.4</v>
      </c>
      <c r="H119" s="643" t="s">
        <v>744</v>
      </c>
      <c r="I119" s="643">
        <v>92.5</v>
      </c>
      <c r="J119" s="643">
        <v>0.06</v>
      </c>
      <c r="K119" s="643" t="s">
        <v>744</v>
      </c>
      <c r="L119" s="821">
        <f t="shared" si="69"/>
        <v>46.16</v>
      </c>
      <c r="M119" s="643">
        <v>18.899999999999999</v>
      </c>
      <c r="N119" s="643">
        <v>1.62</v>
      </c>
      <c r="O119" s="643">
        <v>1.8259429405150482</v>
      </c>
      <c r="P119" s="643">
        <v>0</v>
      </c>
      <c r="Q119" s="643">
        <v>-0.38837516510288894</v>
      </c>
      <c r="R119" s="974">
        <v>713.88637252311742</v>
      </c>
      <c r="S119" s="643">
        <v>7.61</v>
      </c>
      <c r="T119" s="643">
        <v>0</v>
      </c>
      <c r="U119" s="643">
        <v>0.7</v>
      </c>
      <c r="V119" s="807">
        <v>0</v>
      </c>
      <c r="W119" s="807">
        <v>44.42</v>
      </c>
      <c r="X119" s="699" t="e">
        <v>#VALUE!</v>
      </c>
      <c r="Y119" s="806">
        <v>20.6</v>
      </c>
      <c r="Z119" s="807">
        <v>25.5</v>
      </c>
      <c r="AA119" s="794">
        <v>20.66</v>
      </c>
      <c r="AB119" s="794">
        <v>25.5</v>
      </c>
      <c r="AC119" s="775">
        <f t="shared" si="108"/>
        <v>46.16</v>
      </c>
      <c r="AD119" s="775">
        <f t="shared" si="109"/>
        <v>71.409519999999986</v>
      </c>
      <c r="AE119" s="775"/>
      <c r="AF119" s="567"/>
      <c r="AG119" s="2">
        <v>1.6</v>
      </c>
      <c r="AH119" s="705"/>
      <c r="AI119" s="362"/>
      <c r="AJ119" s="2"/>
      <c r="AK119" s="407"/>
      <c r="AL119" s="407"/>
      <c r="AM119" s="407"/>
      <c r="AN119" s="407"/>
      <c r="AO119" s="387"/>
      <c r="AP119" s="387"/>
      <c r="AQ119" s="405"/>
      <c r="AR119" s="578">
        <v>0</v>
      </c>
      <c r="AS119" s="405">
        <v>7.8</v>
      </c>
      <c r="AT119" s="578">
        <v>0</v>
      </c>
      <c r="AU119" s="405">
        <v>21.3</v>
      </c>
      <c r="AV119" s="644">
        <v>284.3</v>
      </c>
      <c r="AW119" s="644">
        <v>387.2</v>
      </c>
      <c r="AX119" s="405">
        <v>0</v>
      </c>
      <c r="AY119" s="578">
        <v>0</v>
      </c>
      <c r="AZ119" s="578">
        <v>0</v>
      </c>
      <c r="BA119" s="578">
        <v>0</v>
      </c>
      <c r="BB119" s="1086">
        <v>1.6</v>
      </c>
      <c r="BC119" s="405">
        <v>0</v>
      </c>
      <c r="BD119" s="405">
        <v>1.79</v>
      </c>
      <c r="BE119" s="578">
        <v>0</v>
      </c>
      <c r="BF119" s="405">
        <v>0.71</v>
      </c>
      <c r="BG119" s="405">
        <v>0</v>
      </c>
      <c r="BH119" s="578">
        <v>0</v>
      </c>
      <c r="BI119" s="405">
        <v>0</v>
      </c>
      <c r="BJ119" s="405">
        <v>23.1</v>
      </c>
      <c r="BK119" s="405">
        <v>3.33</v>
      </c>
      <c r="BL119" s="405">
        <v>2.63</v>
      </c>
      <c r="BM119" s="405">
        <v>0</v>
      </c>
      <c r="BN119" s="405">
        <v>15.4</v>
      </c>
      <c r="BO119" s="405">
        <v>1020</v>
      </c>
      <c r="BP119" s="405">
        <v>0</v>
      </c>
      <c r="BQ119" s="522">
        <v>18.649999999999999</v>
      </c>
      <c r="BR119" s="522">
        <v>18.62</v>
      </c>
      <c r="BS119" s="522">
        <v>8.99</v>
      </c>
      <c r="BT119" s="522">
        <v>9.09</v>
      </c>
      <c r="BU119" s="648">
        <v>20</v>
      </c>
      <c r="BV119" s="648">
        <v>15.7</v>
      </c>
      <c r="BW119" s="649">
        <v>692.2</v>
      </c>
      <c r="BX119" s="876"/>
      <c r="BY119" s="649">
        <v>0.15</v>
      </c>
      <c r="BZ119" s="649">
        <v>1.53</v>
      </c>
      <c r="CA119" s="649">
        <v>1.4</v>
      </c>
      <c r="CB119" s="649">
        <v>8.5</v>
      </c>
      <c r="CC119" s="649">
        <v>7.8</v>
      </c>
      <c r="CD119" s="649">
        <v>15.2</v>
      </c>
      <c r="CE119" s="649">
        <v>34.6</v>
      </c>
      <c r="CF119" s="649">
        <v>13.1</v>
      </c>
      <c r="CG119" s="649">
        <v>8.35</v>
      </c>
      <c r="CH119" s="649">
        <v>13.9</v>
      </c>
      <c r="CI119" s="649">
        <v>18</v>
      </c>
      <c r="CJ119" s="649">
        <v>12.8</v>
      </c>
      <c r="CK119" s="649">
        <v>1</v>
      </c>
      <c r="CL119" s="649">
        <v>3.3</v>
      </c>
      <c r="CM119" s="649">
        <v>4.4000000000000004</v>
      </c>
      <c r="CN119" s="991">
        <v>820</v>
      </c>
      <c r="CO119" s="649">
        <v>344.8</v>
      </c>
      <c r="CP119" s="649">
        <v>478.2</v>
      </c>
      <c r="CQ119" s="649">
        <v>2.7</v>
      </c>
      <c r="CR119" s="649">
        <v>1.84</v>
      </c>
      <c r="CS119" s="405">
        <v>9685.2000000000007</v>
      </c>
      <c r="CT119" s="405">
        <v>16.75</v>
      </c>
      <c r="CU119" s="405">
        <v>52</v>
      </c>
      <c r="CV119" s="522">
        <v>0</v>
      </c>
      <c r="CW119" s="522">
        <v>0</v>
      </c>
      <c r="CX119" s="522">
        <v>0</v>
      </c>
      <c r="CY119" s="522">
        <v>0</v>
      </c>
      <c r="CZ119" s="689">
        <v>1120</v>
      </c>
      <c r="DA119" s="689">
        <v>1860</v>
      </c>
      <c r="DB119" s="689">
        <v>1130</v>
      </c>
      <c r="DC119" s="643">
        <v>1150.1400000000001</v>
      </c>
      <c r="DD119" s="522"/>
      <c r="DE119" s="522"/>
      <c r="DF119" s="522"/>
      <c r="DG119" s="522"/>
      <c r="DH119" s="522"/>
      <c r="DI119" s="522"/>
      <c r="DJ119" s="522"/>
      <c r="DK119" s="522"/>
      <c r="DL119" s="649"/>
      <c r="DM119" s="689"/>
      <c r="DN119" s="649"/>
      <c r="DO119" s="522"/>
      <c r="DP119" s="522"/>
      <c r="DQ119" s="522"/>
      <c r="DR119" s="522"/>
      <c r="DS119" s="522"/>
      <c r="DT119" s="522"/>
      <c r="DU119" s="522"/>
      <c r="DV119" s="522"/>
      <c r="DW119" s="522"/>
      <c r="DX119" s="522"/>
      <c r="DY119" s="522"/>
      <c r="DZ119" s="522"/>
      <c r="EA119" s="522"/>
      <c r="EB119" s="522"/>
      <c r="EC119" s="522"/>
      <c r="ED119" s="522"/>
      <c r="EE119" s="522"/>
      <c r="EF119" s="522"/>
      <c r="EG119" s="645">
        <f t="shared" si="56"/>
        <v>13.087620000000001</v>
      </c>
      <c r="EH119" s="361">
        <v>0</v>
      </c>
      <c r="EI119" s="647">
        <v>0</v>
      </c>
      <c r="EJ119" s="647">
        <f t="shared" si="100"/>
        <v>2.5</v>
      </c>
      <c r="EK119" s="647">
        <f t="shared" si="101"/>
        <v>5.96</v>
      </c>
      <c r="EL119" s="522"/>
      <c r="EM119" s="522"/>
      <c r="EN119" s="522"/>
      <c r="EO119" s="522"/>
      <c r="EP119" s="522"/>
      <c r="EQ119" s="522"/>
      <c r="ER119" s="522"/>
      <c r="ES119" s="407"/>
      <c r="ET119" s="407"/>
    </row>
    <row r="120" spans="1:150" s="357" customFormat="1" ht="15">
      <c r="A120" s="675" t="s">
        <v>7</v>
      </c>
      <c r="B120" s="712">
        <v>41746</v>
      </c>
      <c r="C120" s="358">
        <v>0</v>
      </c>
      <c r="D120" s="405">
        <v>1.1000000000000001</v>
      </c>
      <c r="E120" s="681">
        <v>0</v>
      </c>
      <c r="F120" s="681">
        <v>44</v>
      </c>
      <c r="G120" s="807">
        <v>2.5</v>
      </c>
      <c r="H120" s="643" t="s">
        <v>744</v>
      </c>
      <c r="I120" s="643">
        <v>92.5</v>
      </c>
      <c r="J120" s="643">
        <v>0.06</v>
      </c>
      <c r="K120" s="643" t="s">
        <v>744</v>
      </c>
      <c r="L120" s="821">
        <f t="shared" si="69"/>
        <v>46.239999999999995</v>
      </c>
      <c r="M120" s="643">
        <v>19.3</v>
      </c>
      <c r="N120" s="643">
        <v>1.6</v>
      </c>
      <c r="O120" s="643">
        <v>1.82352408174248</v>
      </c>
      <c r="P120" s="643">
        <v>0</v>
      </c>
      <c r="Q120" s="643" t="s">
        <v>743</v>
      </c>
      <c r="R120" s="974">
        <v>716.15370673712005</v>
      </c>
      <c r="S120" s="643">
        <v>7.63</v>
      </c>
      <c r="T120" s="643">
        <v>0</v>
      </c>
      <c r="U120" s="643">
        <v>0.68</v>
      </c>
      <c r="V120" s="807">
        <v>0</v>
      </c>
      <c r="W120" s="807">
        <v>46.760000000000005</v>
      </c>
      <c r="X120" s="699" t="e">
        <v>#VALUE!</v>
      </c>
      <c r="Y120" s="806">
        <v>20.66</v>
      </c>
      <c r="Z120" s="807">
        <v>25.5</v>
      </c>
      <c r="AA120" s="794">
        <v>20.74</v>
      </c>
      <c r="AB120" s="794">
        <v>25.5</v>
      </c>
      <c r="AC120" s="775">
        <f t="shared" ref="AC120" si="110">AA120+AB120</f>
        <v>46.239999999999995</v>
      </c>
      <c r="AD120" s="775">
        <f t="shared" ref="AD120" si="111">AC120*1.547</f>
        <v>71.533279999999991</v>
      </c>
      <c r="AE120" s="775"/>
      <c r="AF120" s="567"/>
      <c r="AG120" s="2">
        <v>1.6</v>
      </c>
      <c r="AH120" s="705"/>
      <c r="AI120" s="362"/>
      <c r="AJ120" s="2"/>
      <c r="AK120" s="407"/>
      <c r="AL120" s="407"/>
      <c r="AM120" s="407"/>
      <c r="AN120" s="407"/>
      <c r="AO120" s="387"/>
      <c r="AP120" s="387"/>
      <c r="AQ120" s="405"/>
      <c r="AR120" s="578">
        <v>0</v>
      </c>
      <c r="AS120" s="405">
        <v>0.3</v>
      </c>
      <c r="AT120" s="578">
        <v>0</v>
      </c>
      <c r="AU120" s="405">
        <v>21.3</v>
      </c>
      <c r="AV120" s="644">
        <v>282.10000000000002</v>
      </c>
      <c r="AW120" s="644">
        <v>367</v>
      </c>
      <c r="AX120" s="405">
        <v>0</v>
      </c>
      <c r="AY120" s="578">
        <v>0</v>
      </c>
      <c r="AZ120" s="578">
        <v>0</v>
      </c>
      <c r="BA120" s="578">
        <v>0</v>
      </c>
      <c r="BB120" s="1086">
        <v>1.6</v>
      </c>
      <c r="BC120" s="405">
        <v>0</v>
      </c>
      <c r="BD120" s="405">
        <v>1.79</v>
      </c>
      <c r="BE120" s="578">
        <v>0</v>
      </c>
      <c r="BF120" s="405">
        <v>0.71</v>
      </c>
      <c r="BG120" s="405">
        <v>0</v>
      </c>
      <c r="BH120" s="578">
        <v>0</v>
      </c>
      <c r="BI120" s="405">
        <v>0</v>
      </c>
      <c r="BJ120" s="405">
        <v>23.2</v>
      </c>
      <c r="BK120" s="405">
        <v>3.25</v>
      </c>
      <c r="BL120" s="405">
        <v>2.81</v>
      </c>
      <c r="BM120" s="405">
        <v>0</v>
      </c>
      <c r="BN120" s="405">
        <v>15.4</v>
      </c>
      <c r="BO120" s="405">
        <v>1025.9000000000001</v>
      </c>
      <c r="BP120" s="405">
        <v>0</v>
      </c>
      <c r="BQ120" s="649">
        <v>20.67</v>
      </c>
      <c r="BR120" s="649">
        <v>20.63</v>
      </c>
      <c r="BS120" s="649">
        <v>9.02</v>
      </c>
      <c r="BT120" s="649">
        <v>9.1</v>
      </c>
      <c r="BU120" s="648">
        <v>20.100000000000001</v>
      </c>
      <c r="BV120" s="648">
        <v>18</v>
      </c>
      <c r="BW120" s="649">
        <v>466.3</v>
      </c>
      <c r="BX120" s="876"/>
      <c r="BY120" s="649">
        <v>0.15</v>
      </c>
      <c r="BZ120" s="649">
        <v>1.57</v>
      </c>
      <c r="CA120" s="649">
        <v>1.4</v>
      </c>
      <c r="CB120" s="649">
        <v>8.5</v>
      </c>
      <c r="CC120" s="649">
        <v>7.8</v>
      </c>
      <c r="CD120" s="649">
        <v>15.6</v>
      </c>
      <c r="CE120" s="649">
        <v>34.6</v>
      </c>
      <c r="CF120" s="649">
        <v>12.5</v>
      </c>
      <c r="CG120" s="649">
        <v>8.1999999999999993</v>
      </c>
      <c r="CH120" s="649">
        <v>13.8</v>
      </c>
      <c r="CI120" s="649">
        <v>17.8</v>
      </c>
      <c r="CJ120" s="649">
        <v>12.9</v>
      </c>
      <c r="CK120" s="649">
        <v>100.8</v>
      </c>
      <c r="CL120" s="649">
        <v>2.8</v>
      </c>
      <c r="CM120" s="649">
        <v>3.7</v>
      </c>
      <c r="CN120" s="991">
        <v>820</v>
      </c>
      <c r="CO120" s="649">
        <v>355</v>
      </c>
      <c r="CP120" s="649">
        <v>483</v>
      </c>
      <c r="CQ120" s="649">
        <v>2.7</v>
      </c>
      <c r="CR120" s="649">
        <v>1.91</v>
      </c>
      <c r="CS120" s="405">
        <v>8308.7999999999993</v>
      </c>
      <c r="CT120" s="405">
        <v>16.71</v>
      </c>
      <c r="CU120" s="405">
        <v>51</v>
      </c>
      <c r="CV120" s="522">
        <v>0</v>
      </c>
      <c r="CW120" s="522">
        <v>0</v>
      </c>
      <c r="CX120" s="522">
        <v>0</v>
      </c>
      <c r="CY120" s="522">
        <v>0</v>
      </c>
      <c r="CZ120" s="689">
        <v>2080</v>
      </c>
      <c r="DA120" s="689">
        <v>3060</v>
      </c>
      <c r="DB120" s="689">
        <v>2150</v>
      </c>
      <c r="DC120" s="643">
        <v>1151.6199999999999</v>
      </c>
      <c r="DD120" s="522"/>
      <c r="DE120" s="522"/>
      <c r="DF120" s="522"/>
      <c r="DG120" s="522"/>
      <c r="DH120" s="522"/>
      <c r="DI120" s="522"/>
      <c r="DJ120" s="522"/>
      <c r="DK120" s="522"/>
      <c r="DL120" s="649"/>
      <c r="DM120" s="690"/>
      <c r="DN120" s="649"/>
      <c r="DO120" s="522"/>
      <c r="DP120" s="522"/>
      <c r="DQ120" s="522"/>
      <c r="DR120" s="522"/>
      <c r="DS120" s="522"/>
      <c r="DT120" s="522"/>
      <c r="DU120" s="522"/>
      <c r="DV120" s="522"/>
      <c r="DW120" s="522"/>
      <c r="DX120" s="522"/>
      <c r="DY120" s="522"/>
      <c r="DZ120" s="522"/>
      <c r="EA120" s="522"/>
      <c r="EB120" s="522"/>
      <c r="EC120" s="522"/>
      <c r="ED120" s="522"/>
      <c r="EE120" s="522"/>
      <c r="EF120" s="522"/>
      <c r="EG120" s="645">
        <f t="shared" si="56"/>
        <v>13.242319999999999</v>
      </c>
      <c r="EH120" s="361">
        <v>0</v>
      </c>
      <c r="EI120" s="647">
        <v>0</v>
      </c>
      <c r="EJ120" s="647">
        <f t="shared" ref="EJ120:EJ127" si="112">BC120+BD120+BF120</f>
        <v>2.5</v>
      </c>
      <c r="EK120" s="647">
        <f t="shared" ref="EK120:EK127" si="113">BK120+BL120+BM120</f>
        <v>6.0600000000000005</v>
      </c>
      <c r="EL120" s="522"/>
      <c r="EM120" s="522"/>
      <c r="EN120" s="522"/>
      <c r="EO120" s="522"/>
      <c r="EP120" s="522"/>
      <c r="EQ120" s="522"/>
      <c r="ER120" s="522"/>
      <c r="ES120" s="407"/>
      <c r="ET120" s="407"/>
    </row>
    <row r="121" spans="1:150" s="357" customFormat="1" ht="15">
      <c r="A121" s="675" t="s">
        <v>8</v>
      </c>
      <c r="B121" s="712">
        <v>41747</v>
      </c>
      <c r="C121" s="358">
        <v>0</v>
      </c>
      <c r="D121" s="405">
        <v>0.02</v>
      </c>
      <c r="E121" s="681">
        <v>0</v>
      </c>
      <c r="F121" s="681">
        <v>42</v>
      </c>
      <c r="G121" s="807">
        <v>0</v>
      </c>
      <c r="H121" s="643" t="s">
        <v>744</v>
      </c>
      <c r="I121" s="643">
        <v>93.2</v>
      </c>
      <c r="J121" s="643">
        <v>0.52</v>
      </c>
      <c r="K121" s="643" t="s">
        <v>744</v>
      </c>
      <c r="L121" s="821">
        <f t="shared" si="69"/>
        <v>46.3</v>
      </c>
      <c r="M121" s="643">
        <v>19.2</v>
      </c>
      <c r="N121" s="643">
        <v>1.6</v>
      </c>
      <c r="O121" s="643">
        <v>1.8266832761234721</v>
      </c>
      <c r="P121" s="643">
        <v>0</v>
      </c>
      <c r="Q121" s="643" t="s">
        <v>743</v>
      </c>
      <c r="R121" s="974">
        <v>721.66008982826941</v>
      </c>
      <c r="S121" s="643">
        <v>7.6</v>
      </c>
      <c r="T121" s="643">
        <v>0</v>
      </c>
      <c r="U121" s="643">
        <v>0.69</v>
      </c>
      <c r="V121" s="807">
        <v>0</v>
      </c>
      <c r="W121" s="807">
        <v>44.239999999999995</v>
      </c>
      <c r="X121" s="699" t="e">
        <v>#VALUE!</v>
      </c>
      <c r="Y121" s="806">
        <v>20.74</v>
      </c>
      <c r="Z121" s="807">
        <v>25.5</v>
      </c>
      <c r="AA121" s="794">
        <v>20.7</v>
      </c>
      <c r="AB121" s="794">
        <v>25.6</v>
      </c>
      <c r="AC121" s="775">
        <f t="shared" ref="AC121:AC123" si="114">AA121+AB121</f>
        <v>46.3</v>
      </c>
      <c r="AD121" s="775">
        <f t="shared" ref="AD121:AD123" si="115">AC121*1.547</f>
        <v>71.626099999999994</v>
      </c>
      <c r="AE121" s="775"/>
      <c r="AF121" s="567"/>
      <c r="AG121" s="2">
        <v>1.6</v>
      </c>
      <c r="AH121" s="705"/>
      <c r="AI121" s="362"/>
      <c r="AJ121" s="2"/>
      <c r="AK121" s="407"/>
      <c r="AL121" s="407"/>
      <c r="AM121" s="407"/>
      <c r="AN121" s="407"/>
      <c r="AO121" s="387"/>
      <c r="AP121" s="387"/>
      <c r="AQ121" s="405"/>
      <c r="AR121" s="578">
        <v>0</v>
      </c>
      <c r="AS121" s="405">
        <v>3.9</v>
      </c>
      <c r="AT121" s="578">
        <v>0</v>
      </c>
      <c r="AU121" s="405">
        <v>21.4</v>
      </c>
      <c r="AV121" s="644">
        <v>371.2</v>
      </c>
      <c r="AW121" s="644">
        <v>515</v>
      </c>
      <c r="AX121" s="405">
        <v>0</v>
      </c>
      <c r="AY121" s="578">
        <v>0</v>
      </c>
      <c r="AZ121" s="578">
        <v>0</v>
      </c>
      <c r="BA121" s="578">
        <v>0</v>
      </c>
      <c r="BB121" s="1086">
        <v>1.6</v>
      </c>
      <c r="BC121" s="405">
        <v>0</v>
      </c>
      <c r="BD121" s="405">
        <v>1.79</v>
      </c>
      <c r="BE121" s="578">
        <v>0</v>
      </c>
      <c r="BF121" s="405">
        <v>0.71</v>
      </c>
      <c r="BG121" s="405">
        <v>0</v>
      </c>
      <c r="BH121" s="578">
        <v>0</v>
      </c>
      <c r="BI121" s="405">
        <v>0</v>
      </c>
      <c r="BJ121" s="405">
        <v>23.1</v>
      </c>
      <c r="BK121" s="405">
        <v>3</v>
      </c>
      <c r="BL121" s="405">
        <v>3.13</v>
      </c>
      <c r="BM121" s="405">
        <v>0</v>
      </c>
      <c r="BN121" s="405">
        <v>15.4</v>
      </c>
      <c r="BO121" s="405">
        <v>1006.5</v>
      </c>
      <c r="BP121" s="405">
        <v>0</v>
      </c>
      <c r="BQ121" s="649">
        <v>21.29</v>
      </c>
      <c r="BR121" s="649">
        <v>21.24</v>
      </c>
      <c r="BS121" s="649">
        <v>8.8000000000000007</v>
      </c>
      <c r="BT121" s="649">
        <v>9.0299999999999994</v>
      </c>
      <c r="BU121" s="648">
        <v>19.899999999999999</v>
      </c>
      <c r="BV121" s="648">
        <v>22.7</v>
      </c>
      <c r="BW121" s="649">
        <v>668</v>
      </c>
      <c r="BX121" s="876"/>
      <c r="BY121" s="649">
        <v>0.97</v>
      </c>
      <c r="BZ121" s="649">
        <v>1.55</v>
      </c>
      <c r="CA121" s="649">
        <v>1.4</v>
      </c>
      <c r="CB121" s="649">
        <v>8.6</v>
      </c>
      <c r="CC121" s="649">
        <v>7.8</v>
      </c>
      <c r="CD121" s="649">
        <v>15.9</v>
      </c>
      <c r="CE121" s="649">
        <v>34.6</v>
      </c>
      <c r="CF121" s="649">
        <v>14.7</v>
      </c>
      <c r="CG121" s="649">
        <v>7.7</v>
      </c>
      <c r="CH121" s="649">
        <v>13.1</v>
      </c>
      <c r="CI121" s="649">
        <v>17.13</v>
      </c>
      <c r="CJ121" s="649">
        <v>14.48</v>
      </c>
      <c r="CK121" s="649">
        <v>242.1</v>
      </c>
      <c r="CL121" s="649">
        <v>1.8</v>
      </c>
      <c r="CM121" s="649">
        <v>2.1</v>
      </c>
      <c r="CN121" s="991">
        <v>820</v>
      </c>
      <c r="CO121" s="649">
        <v>342.8</v>
      </c>
      <c r="CP121" s="649">
        <v>480.3</v>
      </c>
      <c r="CQ121" s="649">
        <v>3.2</v>
      </c>
      <c r="CR121" s="649">
        <v>2.2000000000000002</v>
      </c>
      <c r="CS121" s="405">
        <v>6178</v>
      </c>
      <c r="CT121" s="405">
        <v>17.021000000000001</v>
      </c>
      <c r="CU121" s="405">
        <v>51</v>
      </c>
      <c r="CV121" s="522">
        <v>0</v>
      </c>
      <c r="CW121" s="522">
        <v>0</v>
      </c>
      <c r="CX121" s="522">
        <v>0</v>
      </c>
      <c r="CY121" s="522">
        <v>0</v>
      </c>
      <c r="CZ121" s="689">
        <v>1980</v>
      </c>
      <c r="DA121" s="689">
        <v>2930</v>
      </c>
      <c r="DB121" s="689">
        <v>2030</v>
      </c>
      <c r="DC121" s="643">
        <v>1152.5</v>
      </c>
      <c r="DD121" s="522"/>
      <c r="DE121" s="522"/>
      <c r="DF121" s="522"/>
      <c r="DG121" s="522"/>
      <c r="DH121" s="522"/>
      <c r="DI121" s="522"/>
      <c r="DJ121" s="522"/>
      <c r="DK121" s="522"/>
      <c r="DL121" s="649"/>
      <c r="DM121" s="689"/>
      <c r="DN121" s="649"/>
      <c r="DO121" s="522"/>
      <c r="DP121" s="522"/>
      <c r="DQ121" s="522"/>
      <c r="DR121" s="522"/>
      <c r="DS121" s="522"/>
      <c r="DT121" s="522"/>
      <c r="DU121" s="522"/>
      <c r="DV121" s="522"/>
      <c r="DW121" s="522"/>
      <c r="DX121" s="522"/>
      <c r="DY121" s="522"/>
      <c r="DZ121" s="522"/>
      <c r="EA121" s="522"/>
      <c r="EB121" s="522"/>
      <c r="EC121" s="522"/>
      <c r="ED121" s="522"/>
      <c r="EE121" s="522"/>
      <c r="EF121" s="522"/>
      <c r="EG121" s="645">
        <f t="shared" si="56"/>
        <v>13.350609999999998</v>
      </c>
      <c r="EH121" s="361">
        <v>0</v>
      </c>
      <c r="EI121" s="647">
        <v>0</v>
      </c>
      <c r="EJ121" s="647">
        <f t="shared" si="112"/>
        <v>2.5</v>
      </c>
      <c r="EK121" s="647">
        <f t="shared" si="113"/>
        <v>6.13</v>
      </c>
      <c r="EL121" s="522"/>
      <c r="EM121" s="522"/>
      <c r="EN121" s="522"/>
      <c r="EO121" s="522"/>
      <c r="EP121" s="522"/>
      <c r="EQ121" s="522"/>
      <c r="ER121" s="522"/>
      <c r="ES121" s="407"/>
      <c r="ET121" s="407"/>
    </row>
    <row r="122" spans="1:150" s="357" customFormat="1" ht="15">
      <c r="A122" s="675" t="s">
        <v>9</v>
      </c>
      <c r="B122" s="712">
        <v>41748</v>
      </c>
      <c r="C122" s="358">
        <v>0</v>
      </c>
      <c r="D122" s="405">
        <v>0.83</v>
      </c>
      <c r="E122" s="681">
        <v>0</v>
      </c>
      <c r="F122" s="681">
        <v>42.6</v>
      </c>
      <c r="G122" s="807">
        <v>2.1</v>
      </c>
      <c r="H122" s="643" t="s">
        <v>744</v>
      </c>
      <c r="I122" s="643">
        <v>93.1</v>
      </c>
      <c r="J122" s="643">
        <v>0.06</v>
      </c>
      <c r="K122" s="643" t="s">
        <v>744</v>
      </c>
      <c r="L122" s="821">
        <f t="shared" si="69"/>
        <v>46.2</v>
      </c>
      <c r="M122" s="643">
        <v>19.100000000000001</v>
      </c>
      <c r="N122" s="643">
        <v>1.55</v>
      </c>
      <c r="O122" s="643">
        <v>1.7359068156967092</v>
      </c>
      <c r="P122" s="643">
        <v>0</v>
      </c>
      <c r="Q122" s="643" t="s">
        <v>743</v>
      </c>
      <c r="R122" s="974">
        <v>682.46759841479525</v>
      </c>
      <c r="S122" s="643">
        <v>7.85</v>
      </c>
      <c r="T122" s="643">
        <v>0</v>
      </c>
      <c r="U122" s="643">
        <v>0.68</v>
      </c>
      <c r="V122" s="807">
        <v>0</v>
      </c>
      <c r="W122" s="807">
        <v>44.42</v>
      </c>
      <c r="X122" s="699" t="e">
        <v>#VALUE!</v>
      </c>
      <c r="Y122" s="806">
        <v>20.7</v>
      </c>
      <c r="Z122" s="807">
        <v>25.6</v>
      </c>
      <c r="AA122" s="794">
        <v>20.7</v>
      </c>
      <c r="AB122" s="794">
        <v>25.5</v>
      </c>
      <c r="AC122" s="775">
        <f t="shared" si="114"/>
        <v>46.2</v>
      </c>
      <c r="AD122" s="775">
        <f t="shared" si="115"/>
        <v>71.471400000000003</v>
      </c>
      <c r="AE122" s="775"/>
      <c r="AF122" s="567"/>
      <c r="AG122" s="2">
        <v>1.6</v>
      </c>
      <c r="AH122" s="705"/>
      <c r="AI122" s="362"/>
      <c r="AJ122" s="2"/>
      <c r="AK122" s="407"/>
      <c r="AL122" s="407"/>
      <c r="AM122" s="407"/>
      <c r="AN122" s="407"/>
      <c r="AO122" s="387"/>
      <c r="AP122" s="387"/>
      <c r="AQ122" s="405"/>
      <c r="AR122" s="578">
        <v>0</v>
      </c>
      <c r="AS122" s="405">
        <v>12.7</v>
      </c>
      <c r="AT122" s="578">
        <v>0</v>
      </c>
      <c r="AU122" s="405">
        <v>21.4</v>
      </c>
      <c r="AV122" s="644">
        <v>595.6</v>
      </c>
      <c r="AW122" s="644">
        <v>644.1</v>
      </c>
      <c r="AX122" s="405">
        <v>0</v>
      </c>
      <c r="AY122" s="578">
        <v>0</v>
      </c>
      <c r="AZ122" s="578">
        <v>0</v>
      </c>
      <c r="BA122" s="578">
        <v>0</v>
      </c>
      <c r="BB122" s="1086">
        <v>1.61</v>
      </c>
      <c r="BC122" s="405">
        <v>0</v>
      </c>
      <c r="BD122" s="405">
        <v>1.79</v>
      </c>
      <c r="BE122" s="578">
        <v>0</v>
      </c>
      <c r="BF122" s="405">
        <v>0.71</v>
      </c>
      <c r="BG122" s="405">
        <v>0</v>
      </c>
      <c r="BH122" s="578">
        <v>0</v>
      </c>
      <c r="BI122" s="405">
        <v>0</v>
      </c>
      <c r="BJ122" s="405">
        <v>23.2</v>
      </c>
      <c r="BK122" s="405">
        <v>2.95</v>
      </c>
      <c r="BL122" s="405">
        <v>3.14</v>
      </c>
      <c r="BM122" s="405">
        <v>0</v>
      </c>
      <c r="BN122" s="405">
        <v>15.4</v>
      </c>
      <c r="BO122" s="405">
        <v>1102.9000000000001</v>
      </c>
      <c r="BP122" s="405">
        <v>0</v>
      </c>
      <c r="BQ122" s="649">
        <v>20.63</v>
      </c>
      <c r="BR122" s="649">
        <v>20.59</v>
      </c>
      <c r="BS122" s="649">
        <v>8.74</v>
      </c>
      <c r="BT122" s="522">
        <v>8.84</v>
      </c>
      <c r="BU122" s="648">
        <v>19.600000000000001</v>
      </c>
      <c r="BV122" s="648">
        <v>22.6</v>
      </c>
      <c r="BW122" s="649">
        <v>487.8</v>
      </c>
      <c r="BX122" s="876"/>
      <c r="BY122" s="649">
        <v>0.15</v>
      </c>
      <c r="BZ122" s="649">
        <v>1.53</v>
      </c>
      <c r="CA122" s="649">
        <v>1.4</v>
      </c>
      <c r="CB122" s="649">
        <v>8.8000000000000007</v>
      </c>
      <c r="CC122" s="649">
        <v>8</v>
      </c>
      <c r="CD122" s="649">
        <v>16.100000000000001</v>
      </c>
      <c r="CE122" s="649">
        <v>34.6</v>
      </c>
      <c r="CF122" s="649">
        <v>14.1</v>
      </c>
      <c r="CG122" s="649">
        <v>7.4</v>
      </c>
      <c r="CH122" s="649">
        <v>12.8</v>
      </c>
      <c r="CI122" s="649">
        <v>16.8</v>
      </c>
      <c r="CJ122" s="649">
        <v>14.077</v>
      </c>
      <c r="CK122" s="649">
        <v>295.60000000000002</v>
      </c>
      <c r="CL122" s="649">
        <v>2</v>
      </c>
      <c r="CM122" s="649">
        <v>2.2000000000000002</v>
      </c>
      <c r="CN122" s="991">
        <v>820</v>
      </c>
      <c r="CO122" s="649">
        <v>352.3</v>
      </c>
      <c r="CP122" s="649">
        <v>472</v>
      </c>
      <c r="CQ122" s="649">
        <v>3</v>
      </c>
      <c r="CR122" s="649">
        <v>2.0099999999999998</v>
      </c>
      <c r="CS122" s="405">
        <v>4377.5</v>
      </c>
      <c r="CT122" s="405">
        <v>16.593</v>
      </c>
      <c r="CU122" s="405">
        <v>50</v>
      </c>
      <c r="CV122" s="522">
        <v>0</v>
      </c>
      <c r="CW122" s="522">
        <v>0</v>
      </c>
      <c r="CX122" s="522">
        <v>0</v>
      </c>
      <c r="CY122" s="522">
        <v>0</v>
      </c>
      <c r="CZ122" s="689">
        <v>1980</v>
      </c>
      <c r="DA122" s="689">
        <v>3010</v>
      </c>
      <c r="DB122" s="689">
        <v>2020</v>
      </c>
      <c r="DC122" s="643">
        <v>1152.7</v>
      </c>
      <c r="DD122" s="522"/>
      <c r="DE122" s="522"/>
      <c r="DF122" s="522"/>
      <c r="DG122" s="522"/>
      <c r="DH122" s="522"/>
      <c r="DI122" s="522"/>
      <c r="DJ122" s="522"/>
      <c r="DK122" s="522"/>
      <c r="DL122" s="649"/>
      <c r="DM122" s="689"/>
      <c r="DN122" s="649"/>
      <c r="DO122" s="522"/>
      <c r="DP122" s="522"/>
      <c r="DQ122" s="522"/>
      <c r="DR122" s="522"/>
      <c r="DS122" s="522"/>
      <c r="DT122" s="522"/>
      <c r="DU122" s="522"/>
      <c r="DV122" s="522"/>
      <c r="DW122" s="522"/>
      <c r="DX122" s="522"/>
      <c r="DY122" s="522"/>
      <c r="DZ122" s="522"/>
      <c r="EA122" s="522"/>
      <c r="EB122" s="522"/>
      <c r="EC122" s="522"/>
      <c r="ED122" s="522"/>
      <c r="EE122" s="522"/>
      <c r="EF122" s="522"/>
      <c r="EG122" s="645">
        <f t="shared" si="56"/>
        <v>13.288729999999999</v>
      </c>
      <c r="EH122" s="361">
        <v>0</v>
      </c>
      <c r="EI122" s="647">
        <v>0</v>
      </c>
      <c r="EJ122" s="647">
        <f t="shared" si="112"/>
        <v>2.5</v>
      </c>
      <c r="EK122" s="647">
        <f t="shared" si="113"/>
        <v>6.09</v>
      </c>
      <c r="EL122" s="522"/>
      <c r="EM122" s="522"/>
      <c r="EN122" s="522"/>
      <c r="EO122" s="522"/>
      <c r="EP122" s="522"/>
      <c r="EQ122" s="522"/>
      <c r="ER122" s="522"/>
      <c r="ES122" s="407"/>
      <c r="ET122" s="407"/>
    </row>
    <row r="123" spans="1:150" s="357" customFormat="1" ht="15">
      <c r="A123" s="675" t="s">
        <v>3</v>
      </c>
      <c r="B123" s="712">
        <v>41749</v>
      </c>
      <c r="C123" s="358">
        <v>0</v>
      </c>
      <c r="D123" s="405">
        <v>0.02</v>
      </c>
      <c r="E123" s="681">
        <v>0</v>
      </c>
      <c r="F123" s="681">
        <v>44</v>
      </c>
      <c r="G123" s="807">
        <v>1.8</v>
      </c>
      <c r="H123" s="643" t="s">
        <v>744</v>
      </c>
      <c r="I123" s="643">
        <v>92.7</v>
      </c>
      <c r="J123" s="643">
        <v>0.06</v>
      </c>
      <c r="K123" s="643" t="s">
        <v>744</v>
      </c>
      <c r="L123" s="821">
        <f t="shared" si="69"/>
        <v>46.3</v>
      </c>
      <c r="M123" s="643">
        <v>18.899999999999999</v>
      </c>
      <c r="N123" s="643">
        <v>1.54</v>
      </c>
      <c r="O123" s="643">
        <v>1.7262936558137243</v>
      </c>
      <c r="P123" s="643">
        <v>0</v>
      </c>
      <c r="Q123" s="643" t="s">
        <v>743</v>
      </c>
      <c r="R123" s="974">
        <v>683.439313077939</v>
      </c>
      <c r="S123" s="643">
        <v>7.91</v>
      </c>
      <c r="T123" s="643">
        <v>0</v>
      </c>
      <c r="U123" s="643">
        <v>0.69</v>
      </c>
      <c r="V123" s="807">
        <v>0</v>
      </c>
      <c r="W123" s="807">
        <v>44.239999999999995</v>
      </c>
      <c r="X123" s="699" t="e">
        <v>#VALUE!</v>
      </c>
      <c r="Y123" s="806">
        <v>20.7</v>
      </c>
      <c r="Z123" s="807">
        <v>25.5</v>
      </c>
      <c r="AA123" s="794">
        <v>20.7</v>
      </c>
      <c r="AB123" s="794">
        <v>25.6</v>
      </c>
      <c r="AC123" s="775">
        <f t="shared" si="114"/>
        <v>46.3</v>
      </c>
      <c r="AD123" s="775">
        <f t="shared" si="115"/>
        <v>71.626099999999994</v>
      </c>
      <c r="AE123" s="775"/>
      <c r="AF123" s="567"/>
      <c r="AG123" s="2">
        <v>1.6</v>
      </c>
      <c r="AH123" s="705"/>
      <c r="AI123" s="362"/>
      <c r="AJ123" s="2"/>
      <c r="AK123" s="407"/>
      <c r="AL123" s="407"/>
      <c r="AM123" s="407"/>
      <c r="AN123" s="407"/>
      <c r="AO123" s="387"/>
      <c r="AP123" s="387"/>
      <c r="AQ123" s="405"/>
      <c r="AR123" s="578">
        <v>0</v>
      </c>
      <c r="AS123" s="405">
        <v>24.3</v>
      </c>
      <c r="AT123" s="578">
        <v>0.03</v>
      </c>
      <c r="AU123" s="405">
        <v>21.3</v>
      </c>
      <c r="AV123" s="644">
        <v>458.3</v>
      </c>
      <c r="AW123" s="644">
        <v>653.1</v>
      </c>
      <c r="AX123" s="405">
        <v>0</v>
      </c>
      <c r="AY123" s="578">
        <v>0</v>
      </c>
      <c r="AZ123" s="578">
        <v>0</v>
      </c>
      <c r="BA123" s="578">
        <v>0</v>
      </c>
      <c r="BB123" s="1086">
        <v>1.6</v>
      </c>
      <c r="BC123" s="405">
        <v>0</v>
      </c>
      <c r="BD123" s="405">
        <v>1.79</v>
      </c>
      <c r="BE123" s="578">
        <v>0</v>
      </c>
      <c r="BF123" s="405">
        <v>0.71</v>
      </c>
      <c r="BG123" s="405">
        <v>0</v>
      </c>
      <c r="BH123" s="578">
        <v>0</v>
      </c>
      <c r="BI123" s="405">
        <v>0</v>
      </c>
      <c r="BJ123" s="405">
        <v>23.1</v>
      </c>
      <c r="BK123" s="405">
        <v>3.04</v>
      </c>
      <c r="BL123" s="405">
        <v>3.13</v>
      </c>
      <c r="BM123" s="405">
        <v>0</v>
      </c>
      <c r="BN123" s="405">
        <v>15.3</v>
      </c>
      <c r="BO123" s="405">
        <v>1166.9000000000001</v>
      </c>
      <c r="BP123" s="405">
        <v>0</v>
      </c>
      <c r="BQ123" s="649">
        <v>20.239999999999998</v>
      </c>
      <c r="BR123" s="649">
        <v>20.21</v>
      </c>
      <c r="BS123" s="649">
        <v>8.74</v>
      </c>
      <c r="BT123" s="522">
        <v>8.84</v>
      </c>
      <c r="BU123" s="648">
        <v>19.5</v>
      </c>
      <c r="BV123" s="648">
        <v>21.9</v>
      </c>
      <c r="BW123" s="649">
        <v>698.4</v>
      </c>
      <c r="BX123" s="876"/>
      <c r="BY123" s="649">
        <v>1.4999999999999999E-2</v>
      </c>
      <c r="BZ123" s="649">
        <v>1.48</v>
      </c>
      <c r="CA123" s="649">
        <v>1.4</v>
      </c>
      <c r="CB123" s="649">
        <v>8.9</v>
      </c>
      <c r="CC123" s="649">
        <v>8</v>
      </c>
      <c r="CD123" s="649">
        <v>15.6</v>
      </c>
      <c r="CE123" s="649">
        <v>34.6</v>
      </c>
      <c r="CF123" s="649">
        <v>13.4</v>
      </c>
      <c r="CG123" s="649">
        <v>7.1</v>
      </c>
      <c r="CH123" s="649">
        <v>12.4</v>
      </c>
      <c r="CI123" s="649">
        <v>16.5</v>
      </c>
      <c r="CJ123" s="649">
        <v>13.65</v>
      </c>
      <c r="CK123" s="649">
        <v>255.1</v>
      </c>
      <c r="CL123" s="649">
        <v>1.6</v>
      </c>
      <c r="CM123" s="649">
        <v>2.4</v>
      </c>
      <c r="CN123" s="991">
        <v>820</v>
      </c>
      <c r="CO123" s="649">
        <v>385</v>
      </c>
      <c r="CP123" s="649">
        <v>467.5</v>
      </c>
      <c r="CQ123" s="649">
        <v>2.7</v>
      </c>
      <c r="CR123" s="649">
        <v>1.83</v>
      </c>
      <c r="CS123" s="405">
        <v>4368.6000000000004</v>
      </c>
      <c r="CT123" s="405">
        <v>16.28</v>
      </c>
      <c r="CU123" s="405">
        <v>51</v>
      </c>
      <c r="CV123" s="522">
        <v>0</v>
      </c>
      <c r="CW123" s="522">
        <v>0</v>
      </c>
      <c r="CX123" s="522">
        <v>0</v>
      </c>
      <c r="CY123" s="522">
        <v>0</v>
      </c>
      <c r="CZ123" s="689">
        <v>1810</v>
      </c>
      <c r="DA123" s="689">
        <v>2730</v>
      </c>
      <c r="DB123" s="689">
        <v>1830</v>
      </c>
      <c r="DC123" s="643">
        <v>1152.3399999999999</v>
      </c>
      <c r="DD123" s="522"/>
      <c r="DE123" s="522"/>
      <c r="DF123" s="522"/>
      <c r="DG123" s="522"/>
      <c r="DH123" s="522"/>
      <c r="DI123" s="522"/>
      <c r="DJ123" s="522"/>
      <c r="DK123" s="522"/>
      <c r="DL123" s="649"/>
      <c r="DM123" s="689"/>
      <c r="DN123" s="649"/>
      <c r="DO123" s="522"/>
      <c r="DP123" s="522"/>
      <c r="DQ123" s="522"/>
      <c r="DR123" s="522"/>
      <c r="DS123" s="522"/>
      <c r="DT123" s="522"/>
      <c r="DU123" s="522"/>
      <c r="DV123" s="522"/>
      <c r="DW123" s="522"/>
      <c r="DX123" s="522"/>
      <c r="DY123" s="522"/>
      <c r="DZ123" s="522"/>
      <c r="EA123" s="522"/>
      <c r="EB123" s="522"/>
      <c r="EC123" s="522"/>
      <c r="ED123" s="522"/>
      <c r="EE123" s="522"/>
      <c r="EF123" s="522"/>
      <c r="EG123" s="645">
        <f t="shared" si="56"/>
        <v>13.41249</v>
      </c>
      <c r="EH123" s="361">
        <v>0</v>
      </c>
      <c r="EI123" s="647">
        <v>0</v>
      </c>
      <c r="EJ123" s="647">
        <f t="shared" si="112"/>
        <v>2.5</v>
      </c>
      <c r="EK123" s="647">
        <f t="shared" si="113"/>
        <v>6.17</v>
      </c>
      <c r="EL123" s="522"/>
      <c r="EM123" s="522"/>
      <c r="EN123" s="522"/>
      <c r="EO123" s="522"/>
      <c r="EP123" s="522"/>
      <c r="EQ123" s="522"/>
      <c r="ER123" s="522"/>
      <c r="ES123" s="407"/>
      <c r="ET123" s="407"/>
    </row>
    <row r="124" spans="1:150" s="357" customFormat="1" ht="15">
      <c r="A124" s="675" t="s">
        <v>4</v>
      </c>
      <c r="B124" s="712">
        <v>41750</v>
      </c>
      <c r="C124" s="358">
        <v>0</v>
      </c>
      <c r="D124" s="405">
        <v>0.25</v>
      </c>
      <c r="E124" s="681">
        <v>0</v>
      </c>
      <c r="F124" s="681">
        <v>46</v>
      </c>
      <c r="G124" s="807">
        <v>2</v>
      </c>
      <c r="H124" s="643" t="s">
        <v>744</v>
      </c>
      <c r="I124" s="643">
        <v>92.4</v>
      </c>
      <c r="J124" s="643">
        <v>0.06</v>
      </c>
      <c r="K124" s="643" t="s">
        <v>744</v>
      </c>
      <c r="L124" s="821">
        <f t="shared" si="69"/>
        <v>46.2</v>
      </c>
      <c r="M124" s="643">
        <v>18.7</v>
      </c>
      <c r="N124" s="643">
        <v>1.5</v>
      </c>
      <c r="O124" s="643">
        <v>1.7198061632303911</v>
      </c>
      <c r="P124" s="643">
        <v>0</v>
      </c>
      <c r="Q124" s="643" t="s">
        <v>743</v>
      </c>
      <c r="R124" s="974">
        <v>677.28512021136044</v>
      </c>
      <c r="S124" s="643">
        <v>7.91</v>
      </c>
      <c r="T124" s="643">
        <v>0</v>
      </c>
      <c r="U124" s="643">
        <v>0.7</v>
      </c>
      <c r="V124" s="807">
        <v>0</v>
      </c>
      <c r="W124" s="807">
        <v>33.242000000000004</v>
      </c>
      <c r="X124" s="699" t="e">
        <v>#VALUE!</v>
      </c>
      <c r="Y124" s="806">
        <v>20.7</v>
      </c>
      <c r="Z124" s="807">
        <v>25.6</v>
      </c>
      <c r="AA124" s="794">
        <v>20.7</v>
      </c>
      <c r="AB124" s="794">
        <v>25.5</v>
      </c>
      <c r="AC124" s="775">
        <f t="shared" ref="AC124:AC127" si="116">AA124+AB124</f>
        <v>46.2</v>
      </c>
      <c r="AD124" s="775">
        <f t="shared" ref="AD124:AD127" si="117">AC124*1.547</f>
        <v>71.471400000000003</v>
      </c>
      <c r="AE124" s="775"/>
      <c r="AF124" s="567"/>
      <c r="AG124" s="2">
        <v>1.6</v>
      </c>
      <c r="AH124" s="705"/>
      <c r="AI124" s="362"/>
      <c r="AJ124" s="2"/>
      <c r="AK124" s="407"/>
      <c r="AL124" s="407"/>
      <c r="AM124" s="407"/>
      <c r="AN124" s="407"/>
      <c r="AO124" s="387"/>
      <c r="AP124" s="387"/>
      <c r="AQ124" s="405"/>
      <c r="AR124" s="578">
        <v>0</v>
      </c>
      <c r="AS124" s="405">
        <v>9.9</v>
      </c>
      <c r="AT124" s="578">
        <v>0</v>
      </c>
      <c r="AU124" s="405">
        <v>21.4</v>
      </c>
      <c r="AV124" s="644">
        <v>368.7</v>
      </c>
      <c r="AW124" s="644">
        <v>591</v>
      </c>
      <c r="AX124" s="405">
        <v>0</v>
      </c>
      <c r="AY124" s="578">
        <v>0</v>
      </c>
      <c r="AZ124" s="578">
        <v>0</v>
      </c>
      <c r="BA124" s="578">
        <v>0</v>
      </c>
      <c r="BB124" s="1086">
        <v>1.6</v>
      </c>
      <c r="BC124" s="405">
        <v>0</v>
      </c>
      <c r="BD124" s="405">
        <v>1.78</v>
      </c>
      <c r="BE124" s="578">
        <v>0</v>
      </c>
      <c r="BF124" s="405">
        <v>0.71</v>
      </c>
      <c r="BG124" s="405">
        <v>0</v>
      </c>
      <c r="BH124" s="578">
        <v>0</v>
      </c>
      <c r="BI124" s="405">
        <v>0</v>
      </c>
      <c r="BJ124" s="405">
        <v>23.2</v>
      </c>
      <c r="BK124" s="405">
        <v>3.04</v>
      </c>
      <c r="BL124" s="405">
        <v>3.04</v>
      </c>
      <c r="BM124" s="405">
        <v>0</v>
      </c>
      <c r="BN124" s="405">
        <v>15.4</v>
      </c>
      <c r="BO124" s="405">
        <v>988.6</v>
      </c>
      <c r="BP124" s="405">
        <v>0</v>
      </c>
      <c r="BQ124" s="522">
        <v>20.49</v>
      </c>
      <c r="BR124" s="522">
        <v>20.45</v>
      </c>
      <c r="BS124" s="649">
        <v>8.76</v>
      </c>
      <c r="BT124" s="522">
        <v>8.89</v>
      </c>
      <c r="BU124" s="648">
        <v>19.600000000000001</v>
      </c>
      <c r="BV124" s="648">
        <v>20.2</v>
      </c>
      <c r="BW124" s="649">
        <v>480.3</v>
      </c>
      <c r="BX124" s="876"/>
      <c r="BY124" s="649">
        <v>0.15</v>
      </c>
      <c r="BZ124" s="649">
        <v>1.47</v>
      </c>
      <c r="CA124" s="649">
        <v>1.4</v>
      </c>
      <c r="CB124" s="649">
        <v>8.8000000000000007</v>
      </c>
      <c r="CC124" s="649">
        <v>8</v>
      </c>
      <c r="CD124" s="649">
        <v>15.87</v>
      </c>
      <c r="CE124" s="649">
        <v>34.5</v>
      </c>
      <c r="CF124" s="649">
        <v>13.11</v>
      </c>
      <c r="CG124" s="649">
        <v>6.72</v>
      </c>
      <c r="CH124" s="649">
        <v>11.95</v>
      </c>
      <c r="CI124" s="649">
        <v>16.07</v>
      </c>
      <c r="CJ124" s="649">
        <v>13.77</v>
      </c>
      <c r="CK124" s="649">
        <v>256.2</v>
      </c>
      <c r="CL124" s="649">
        <v>1.2</v>
      </c>
      <c r="CM124" s="649">
        <v>1.2</v>
      </c>
      <c r="CN124" s="991">
        <v>820</v>
      </c>
      <c r="CO124" s="649">
        <v>355.2</v>
      </c>
      <c r="CP124" s="649">
        <v>490.6</v>
      </c>
      <c r="CQ124" s="649">
        <v>2.7</v>
      </c>
      <c r="CR124" s="649">
        <v>1.86</v>
      </c>
      <c r="CS124" s="405">
        <v>4376.1000000000004</v>
      </c>
      <c r="CT124" s="405">
        <v>14.332000000000001</v>
      </c>
      <c r="CU124" s="405">
        <v>51</v>
      </c>
      <c r="CV124" s="522">
        <v>0</v>
      </c>
      <c r="CW124" s="522">
        <v>0</v>
      </c>
      <c r="CX124" s="522">
        <v>0</v>
      </c>
      <c r="CY124" s="522">
        <v>0</v>
      </c>
      <c r="CZ124" s="689">
        <v>1800</v>
      </c>
      <c r="DA124" s="689">
        <v>2310</v>
      </c>
      <c r="DB124" s="689">
        <v>1490</v>
      </c>
      <c r="DC124" s="643">
        <v>1152.2</v>
      </c>
      <c r="DD124" s="522"/>
      <c r="DE124" s="522"/>
      <c r="DF124" s="522"/>
      <c r="DG124" s="522"/>
      <c r="DH124" s="522"/>
      <c r="DI124" s="522"/>
      <c r="DJ124" s="522"/>
      <c r="DK124" s="522"/>
      <c r="DL124" s="649"/>
      <c r="DM124" s="689"/>
      <c r="DN124" s="649"/>
      <c r="DO124" s="522"/>
      <c r="DP124" s="522"/>
      <c r="DQ124" s="522"/>
      <c r="DR124" s="522"/>
      <c r="DS124" s="522"/>
      <c r="DT124" s="522"/>
      <c r="DU124" s="522"/>
      <c r="DV124" s="522"/>
      <c r="DW124" s="522"/>
      <c r="DX124" s="522"/>
      <c r="DY124" s="522"/>
      <c r="DZ124" s="522"/>
      <c r="EA124" s="522"/>
      <c r="EB124" s="522"/>
      <c r="EC124" s="522"/>
      <c r="ED124" s="522"/>
      <c r="EE124" s="522"/>
      <c r="EF124" s="522"/>
      <c r="EG124" s="645">
        <f t="shared" si="56"/>
        <v>13.25779</v>
      </c>
      <c r="EH124" s="361">
        <v>0</v>
      </c>
      <c r="EI124" s="647">
        <v>0</v>
      </c>
      <c r="EJ124" s="647">
        <f t="shared" si="112"/>
        <v>2.4900000000000002</v>
      </c>
      <c r="EK124" s="647">
        <f t="shared" si="113"/>
        <v>6.08</v>
      </c>
      <c r="EL124" s="522"/>
      <c r="EM124" s="522"/>
      <c r="EN124" s="522"/>
      <c r="EO124" s="522"/>
      <c r="EP124" s="522"/>
      <c r="EQ124" s="522"/>
      <c r="ER124" s="522"/>
      <c r="ES124" s="407"/>
      <c r="ET124" s="407"/>
    </row>
    <row r="125" spans="1:150" s="357" customFormat="1" ht="15">
      <c r="A125" s="675" t="s">
        <v>5</v>
      </c>
      <c r="B125" s="712">
        <v>41751</v>
      </c>
      <c r="C125" s="358">
        <v>0</v>
      </c>
      <c r="D125" s="405">
        <v>1.48</v>
      </c>
      <c r="E125" s="681">
        <v>0</v>
      </c>
      <c r="F125" s="681">
        <v>40</v>
      </c>
      <c r="G125" s="807">
        <v>1.9</v>
      </c>
      <c r="H125" s="643" t="s">
        <v>744</v>
      </c>
      <c r="I125" s="643">
        <v>91.9</v>
      </c>
      <c r="J125" s="643">
        <v>0.06</v>
      </c>
      <c r="K125" s="643" t="s">
        <v>744</v>
      </c>
      <c r="L125" s="821">
        <f t="shared" si="69"/>
        <v>46.2</v>
      </c>
      <c r="M125" s="643">
        <v>18.8</v>
      </c>
      <c r="N125" s="643">
        <v>1.49</v>
      </c>
      <c r="O125" s="643">
        <v>1.7111497761553542</v>
      </c>
      <c r="P125" s="643">
        <v>0</v>
      </c>
      <c r="Q125" s="643" t="s">
        <v>743</v>
      </c>
      <c r="R125" s="974">
        <v>675.01778599735781</v>
      </c>
      <c r="S125" s="643">
        <v>7.96</v>
      </c>
      <c r="T125" s="643">
        <v>0</v>
      </c>
      <c r="U125" s="643">
        <v>0.69</v>
      </c>
      <c r="V125" s="807">
        <v>0</v>
      </c>
      <c r="W125" s="807">
        <v>33.242000000000004</v>
      </c>
      <c r="X125" s="699" t="e">
        <v>#VALUE!</v>
      </c>
      <c r="Y125" s="806">
        <v>20.7</v>
      </c>
      <c r="Z125" s="807">
        <v>25.5</v>
      </c>
      <c r="AA125" s="794">
        <v>20.7</v>
      </c>
      <c r="AB125" s="794">
        <v>25.5</v>
      </c>
      <c r="AC125" s="775">
        <f t="shared" si="116"/>
        <v>46.2</v>
      </c>
      <c r="AD125" s="775">
        <f t="shared" si="117"/>
        <v>71.471400000000003</v>
      </c>
      <c r="AE125" s="775"/>
      <c r="AF125" s="567"/>
      <c r="AG125" s="2">
        <v>1.6</v>
      </c>
      <c r="AH125" s="705"/>
      <c r="AI125" s="362"/>
      <c r="AJ125" s="2"/>
      <c r="AK125" s="407"/>
      <c r="AL125" s="407"/>
      <c r="AM125" s="407"/>
      <c r="AN125" s="407"/>
      <c r="AO125" s="387"/>
      <c r="AP125" s="387"/>
      <c r="AQ125" s="405"/>
      <c r="AR125" s="578">
        <v>0</v>
      </c>
      <c r="AS125" s="405">
        <v>17.399999999999999</v>
      </c>
      <c r="AT125" s="578">
        <v>0</v>
      </c>
      <c r="AU125" s="405">
        <v>21.3</v>
      </c>
      <c r="AV125" s="644">
        <v>237</v>
      </c>
      <c r="AW125" s="644">
        <v>346.7</v>
      </c>
      <c r="AX125" s="405">
        <v>0</v>
      </c>
      <c r="AY125" s="578">
        <v>0</v>
      </c>
      <c r="AZ125" s="578">
        <v>0</v>
      </c>
      <c r="BA125" s="578">
        <v>0</v>
      </c>
      <c r="BB125" s="1086">
        <v>1.6</v>
      </c>
      <c r="BC125" s="405">
        <v>0</v>
      </c>
      <c r="BD125" s="405">
        <v>1.79</v>
      </c>
      <c r="BE125" s="578">
        <v>0</v>
      </c>
      <c r="BF125" s="405">
        <v>0.71</v>
      </c>
      <c r="BG125" s="405">
        <v>0</v>
      </c>
      <c r="BH125" s="578">
        <v>0</v>
      </c>
      <c r="BI125" s="405">
        <v>0</v>
      </c>
      <c r="BJ125" s="405">
        <v>23.1</v>
      </c>
      <c r="BK125" s="405">
        <v>3.12</v>
      </c>
      <c r="BL125" s="405">
        <v>2.97</v>
      </c>
      <c r="BM125" s="405">
        <v>0</v>
      </c>
      <c r="BN125" s="405">
        <v>15.4</v>
      </c>
      <c r="BO125" s="405">
        <v>965.6</v>
      </c>
      <c r="BP125" s="405">
        <v>0</v>
      </c>
      <c r="BQ125" s="649">
        <v>20.86</v>
      </c>
      <c r="BR125" s="649">
        <v>20.81</v>
      </c>
      <c r="BS125" s="649">
        <v>9.06</v>
      </c>
      <c r="BT125" s="522">
        <v>9.18</v>
      </c>
      <c r="BU125" s="648">
        <v>20.100000000000001</v>
      </c>
      <c r="BV125" s="648">
        <v>20.5</v>
      </c>
      <c r="BW125" s="649">
        <v>662.7</v>
      </c>
      <c r="BX125" s="876"/>
      <c r="BY125" s="649">
        <v>0.15</v>
      </c>
      <c r="BZ125" s="649">
        <v>1.45</v>
      </c>
      <c r="CA125" s="649">
        <v>1.4</v>
      </c>
      <c r="CB125" s="649">
        <v>8.6999999999999993</v>
      </c>
      <c r="CC125" s="649">
        <v>8</v>
      </c>
      <c r="CD125" s="649">
        <v>15.6</v>
      </c>
      <c r="CE125" s="649">
        <v>34.6</v>
      </c>
      <c r="CF125" s="649">
        <v>14.6</v>
      </c>
      <c r="CG125" s="649">
        <v>6</v>
      </c>
      <c r="CH125" s="649">
        <v>11.2</v>
      </c>
      <c r="CI125" s="649">
        <v>15.2</v>
      </c>
      <c r="CJ125" s="649">
        <v>13.64</v>
      </c>
      <c r="CK125" s="649">
        <v>256.89999999999998</v>
      </c>
      <c r="CL125" s="649">
        <v>0.9</v>
      </c>
      <c r="CM125" s="649">
        <v>0.2</v>
      </c>
      <c r="CN125" s="991">
        <v>820</v>
      </c>
      <c r="CO125" s="649">
        <v>331.7</v>
      </c>
      <c r="CP125" s="649">
        <v>478.8</v>
      </c>
      <c r="CQ125" s="649">
        <v>3.2</v>
      </c>
      <c r="CR125" s="649">
        <v>2.13</v>
      </c>
      <c r="CS125" s="405">
        <v>5808.8</v>
      </c>
      <c r="CT125" s="405">
        <v>14.999000000000001</v>
      </c>
      <c r="CU125" s="405">
        <v>51</v>
      </c>
      <c r="CV125" s="522">
        <v>0</v>
      </c>
      <c r="CW125" s="522">
        <v>0</v>
      </c>
      <c r="CX125" s="522">
        <v>0</v>
      </c>
      <c r="CY125" s="522">
        <v>0</v>
      </c>
      <c r="CZ125" s="689">
        <v>1290</v>
      </c>
      <c r="DA125" s="689">
        <v>2480</v>
      </c>
      <c r="DB125" s="689">
        <v>1430</v>
      </c>
      <c r="DC125" s="643">
        <v>1152.8</v>
      </c>
      <c r="DD125" s="522"/>
      <c r="DE125" s="522"/>
      <c r="DF125" s="522"/>
      <c r="DG125" s="522"/>
      <c r="DH125" s="522"/>
      <c r="DI125" s="522"/>
      <c r="DJ125" s="522"/>
      <c r="DK125" s="522"/>
      <c r="DL125" s="649"/>
      <c r="DM125" s="689"/>
      <c r="DN125" s="649"/>
      <c r="DO125" s="522"/>
      <c r="DP125" s="522"/>
      <c r="DQ125" s="522"/>
      <c r="DR125" s="522"/>
      <c r="DS125" s="522"/>
      <c r="DT125" s="522"/>
      <c r="DU125" s="522"/>
      <c r="DV125" s="522"/>
      <c r="DW125" s="522"/>
      <c r="DX125" s="522"/>
      <c r="DY125" s="522"/>
      <c r="DZ125" s="522"/>
      <c r="EA125" s="522"/>
      <c r="EB125" s="522"/>
      <c r="EC125" s="522"/>
      <c r="ED125" s="522"/>
      <c r="EE125" s="522"/>
      <c r="EF125" s="522"/>
      <c r="EG125" s="645">
        <f t="shared" si="56"/>
        <v>13.288729999999999</v>
      </c>
      <c r="EH125" s="361">
        <v>0</v>
      </c>
      <c r="EI125" s="647">
        <v>0</v>
      </c>
      <c r="EJ125" s="647">
        <f t="shared" si="112"/>
        <v>2.5</v>
      </c>
      <c r="EK125" s="647">
        <f t="shared" si="113"/>
        <v>6.09</v>
      </c>
      <c r="EL125" s="522"/>
      <c r="EM125" s="522"/>
      <c r="EN125" s="522"/>
      <c r="EO125" s="522"/>
      <c r="EP125" s="522"/>
      <c r="EQ125" s="522"/>
      <c r="ER125" s="522"/>
      <c r="ES125" s="407"/>
      <c r="ET125" s="407"/>
    </row>
    <row r="126" spans="1:150" s="357" customFormat="1" ht="15">
      <c r="A126" s="675" t="s">
        <v>6</v>
      </c>
      <c r="B126" s="712">
        <v>41752</v>
      </c>
      <c r="C126" s="358">
        <v>0</v>
      </c>
      <c r="D126" s="405">
        <v>0.79</v>
      </c>
      <c r="E126" s="681">
        <v>0</v>
      </c>
      <c r="F126" s="681">
        <v>45</v>
      </c>
      <c r="G126" s="681">
        <v>0</v>
      </c>
      <c r="H126" s="405" t="s">
        <v>744</v>
      </c>
      <c r="I126" s="405">
        <v>93.44</v>
      </c>
      <c r="J126" s="405">
        <v>0.06</v>
      </c>
      <c r="K126" s="405" t="s">
        <v>744</v>
      </c>
      <c r="L126" s="821">
        <f t="shared" si="69"/>
        <v>46.2</v>
      </c>
      <c r="M126" s="405">
        <v>18.899999999999999</v>
      </c>
      <c r="N126" s="405">
        <v>1.46</v>
      </c>
      <c r="O126" s="643">
        <v>1.6643478682812605</v>
      </c>
      <c r="P126" s="405">
        <v>0</v>
      </c>
      <c r="Q126" s="405" t="s">
        <v>743</v>
      </c>
      <c r="R126" s="790">
        <v>657.52692206076608</v>
      </c>
      <c r="S126" s="405">
        <v>8</v>
      </c>
      <c r="T126" s="405">
        <v>0</v>
      </c>
      <c r="U126" s="405">
        <v>0.71</v>
      </c>
      <c r="V126" s="807">
        <v>0</v>
      </c>
      <c r="W126" s="807">
        <v>44.239999999999995</v>
      </c>
      <c r="X126" s="647" t="e">
        <v>#VALUE!</v>
      </c>
      <c r="Y126" s="383">
        <v>20.7</v>
      </c>
      <c r="Z126" s="681">
        <v>25.5</v>
      </c>
      <c r="AA126" s="794">
        <v>20.7</v>
      </c>
      <c r="AB126" s="794">
        <v>25.5</v>
      </c>
      <c r="AC126" s="775">
        <f t="shared" si="116"/>
        <v>46.2</v>
      </c>
      <c r="AD126" s="775">
        <f t="shared" si="117"/>
        <v>71.471400000000003</v>
      </c>
      <c r="AE126" s="775"/>
      <c r="AF126" s="567"/>
      <c r="AG126" s="2">
        <v>1.6</v>
      </c>
      <c r="AH126" s="705"/>
      <c r="AI126" s="362"/>
      <c r="AJ126" s="2"/>
      <c r="AK126" s="407"/>
      <c r="AL126" s="407"/>
      <c r="AM126" s="407"/>
      <c r="AN126" s="407"/>
      <c r="AO126" s="387"/>
      <c r="AP126" s="387"/>
      <c r="AQ126" s="405"/>
      <c r="AR126" s="578">
        <v>0</v>
      </c>
      <c r="AS126" s="405">
        <v>14.6</v>
      </c>
      <c r="AT126" s="578">
        <v>0</v>
      </c>
      <c r="AU126" s="405">
        <v>21.4</v>
      </c>
      <c r="AV126" s="644">
        <v>344.6</v>
      </c>
      <c r="AW126" s="644">
        <v>460.6</v>
      </c>
      <c r="AX126" s="405">
        <v>0</v>
      </c>
      <c r="AY126" s="578">
        <v>0</v>
      </c>
      <c r="AZ126" s="578">
        <v>0</v>
      </c>
      <c r="BA126" s="578">
        <v>0</v>
      </c>
      <c r="BB126" s="1086">
        <v>1.6</v>
      </c>
      <c r="BC126" s="405">
        <v>0</v>
      </c>
      <c r="BD126" s="405">
        <v>1.78</v>
      </c>
      <c r="BE126" s="578">
        <v>0</v>
      </c>
      <c r="BF126" s="405">
        <v>0.71</v>
      </c>
      <c r="BG126" s="405">
        <v>0</v>
      </c>
      <c r="BH126" s="578">
        <v>0</v>
      </c>
      <c r="BI126" s="405">
        <v>0</v>
      </c>
      <c r="BJ126" s="405">
        <v>23.1</v>
      </c>
      <c r="BK126" s="405">
        <v>2.99</v>
      </c>
      <c r="BL126" s="405">
        <v>2.93</v>
      </c>
      <c r="BM126" s="405">
        <v>0</v>
      </c>
      <c r="BN126" s="405">
        <v>15.5</v>
      </c>
      <c r="BO126" s="405">
        <v>1010.3</v>
      </c>
      <c r="BP126" s="405">
        <v>0</v>
      </c>
      <c r="BQ126" s="522">
        <v>20.67</v>
      </c>
      <c r="BR126" s="649">
        <v>20.63</v>
      </c>
      <c r="BS126" s="649">
        <v>8.9499999999999993</v>
      </c>
      <c r="BT126" s="649">
        <v>9.0399999999999991</v>
      </c>
      <c r="BU126" s="648">
        <v>19.899999999999999</v>
      </c>
      <c r="BV126" s="648">
        <v>21.6</v>
      </c>
      <c r="BW126" s="649">
        <v>466.1</v>
      </c>
      <c r="BX126" s="876"/>
      <c r="BY126" s="649">
        <v>0.15</v>
      </c>
      <c r="BZ126" s="649">
        <v>1.38</v>
      </c>
      <c r="CA126" s="649">
        <v>1.4</v>
      </c>
      <c r="CB126" s="649">
        <v>8.6999999999999993</v>
      </c>
      <c r="CC126" s="649">
        <v>8</v>
      </c>
      <c r="CD126" s="649">
        <v>15.6</v>
      </c>
      <c r="CE126" s="649">
        <v>34.6</v>
      </c>
      <c r="CF126" s="649">
        <v>14.9</v>
      </c>
      <c r="CG126" s="649">
        <v>5.8</v>
      </c>
      <c r="CH126" s="649">
        <v>11</v>
      </c>
      <c r="CI126" s="649">
        <v>15</v>
      </c>
      <c r="CJ126" s="649">
        <v>13.91</v>
      </c>
      <c r="CK126" s="649">
        <v>255.6</v>
      </c>
      <c r="CL126" s="649">
        <v>2</v>
      </c>
      <c r="CM126" s="649">
        <v>2.5</v>
      </c>
      <c r="CN126" s="991">
        <v>820</v>
      </c>
      <c r="CO126" s="649">
        <v>325.60000000000002</v>
      </c>
      <c r="CP126" s="649">
        <v>476.2</v>
      </c>
      <c r="CQ126" s="649">
        <v>2.7</v>
      </c>
      <c r="CR126" s="649">
        <v>1.81</v>
      </c>
      <c r="CS126" s="405">
        <v>4351.3999999999996</v>
      </c>
      <c r="CT126" s="405">
        <v>15.492000000000001</v>
      </c>
      <c r="CU126" s="405">
        <v>51</v>
      </c>
      <c r="CV126" s="522">
        <v>0</v>
      </c>
      <c r="CW126" s="522">
        <v>0</v>
      </c>
      <c r="CX126" s="522">
        <v>0</v>
      </c>
      <c r="CY126" s="522">
        <v>0</v>
      </c>
      <c r="CZ126" s="689">
        <v>1460</v>
      </c>
      <c r="DA126" s="689">
        <v>2440</v>
      </c>
      <c r="DB126" s="689">
        <v>1650</v>
      </c>
      <c r="DC126" s="643">
        <v>1153.5999999999999</v>
      </c>
      <c r="DD126" s="522"/>
      <c r="DE126" s="522"/>
      <c r="DF126" s="522"/>
      <c r="DG126" s="522"/>
      <c r="DH126" s="522"/>
      <c r="DI126" s="522"/>
      <c r="DJ126" s="522"/>
      <c r="DK126" s="522"/>
      <c r="DL126" s="649"/>
      <c r="DM126" s="690"/>
      <c r="DN126" s="649"/>
      <c r="DO126" s="522"/>
      <c r="DP126" s="522"/>
      <c r="DQ126" s="522"/>
      <c r="DR126" s="522"/>
      <c r="DS126" s="522"/>
      <c r="DT126" s="522"/>
      <c r="DU126" s="522"/>
      <c r="DV126" s="522"/>
      <c r="DW126" s="522"/>
      <c r="DX126" s="522"/>
      <c r="DY126" s="522"/>
      <c r="DZ126" s="522"/>
      <c r="EA126" s="522"/>
      <c r="EB126" s="522"/>
      <c r="EC126" s="522"/>
      <c r="ED126" s="522"/>
      <c r="EE126" s="522"/>
      <c r="EF126" s="522"/>
      <c r="EG126" s="645">
        <f t="shared" si="56"/>
        <v>13.01027</v>
      </c>
      <c r="EH126" s="361">
        <v>0</v>
      </c>
      <c r="EI126" s="647">
        <v>0</v>
      </c>
      <c r="EJ126" s="647">
        <f t="shared" si="112"/>
        <v>2.4900000000000002</v>
      </c>
      <c r="EK126" s="647">
        <f t="shared" si="113"/>
        <v>5.92</v>
      </c>
      <c r="EL126" s="522"/>
      <c r="EM126" s="522"/>
      <c r="EN126" s="522"/>
      <c r="EO126" s="522"/>
      <c r="EP126" s="522"/>
      <c r="EQ126" s="522"/>
      <c r="ER126" s="522"/>
      <c r="ES126" s="407"/>
      <c r="ET126" s="407"/>
    </row>
    <row r="127" spans="1:150" s="357" customFormat="1" ht="15">
      <c r="A127" s="675" t="s">
        <v>7</v>
      </c>
      <c r="B127" s="712">
        <v>41753</v>
      </c>
      <c r="C127" s="358">
        <v>0</v>
      </c>
      <c r="D127" s="405">
        <v>1.01</v>
      </c>
      <c r="E127" s="681">
        <v>0</v>
      </c>
      <c r="F127" s="681">
        <v>45</v>
      </c>
      <c r="G127" s="681">
        <v>2.8</v>
      </c>
      <c r="H127" s="405" t="s">
        <v>744</v>
      </c>
      <c r="I127" s="405">
        <v>91.4</v>
      </c>
      <c r="J127" s="405">
        <v>0.06</v>
      </c>
      <c r="K127" s="405" t="s">
        <v>744</v>
      </c>
      <c r="L127" s="821">
        <f t="shared" si="69"/>
        <v>46.28</v>
      </c>
      <c r="M127" s="405">
        <v>20.2</v>
      </c>
      <c r="N127" s="405">
        <v>1.49</v>
      </c>
      <c r="O127" s="405">
        <v>1.7271137039243103</v>
      </c>
      <c r="P127" s="405">
        <v>0</v>
      </c>
      <c r="Q127" s="405" t="s">
        <v>743</v>
      </c>
      <c r="R127" s="790">
        <v>682.46759841479525</v>
      </c>
      <c r="S127" s="405">
        <v>7.98</v>
      </c>
      <c r="T127" s="405">
        <v>0</v>
      </c>
      <c r="U127" s="405">
        <v>0.7</v>
      </c>
      <c r="V127" s="807">
        <v>0</v>
      </c>
      <c r="W127" s="807">
        <v>44.239999999999995</v>
      </c>
      <c r="X127" s="647" t="e">
        <v>#VALUE!</v>
      </c>
      <c r="Y127" s="383">
        <v>20.7</v>
      </c>
      <c r="Z127" s="681">
        <v>25.5</v>
      </c>
      <c r="AA127" s="794">
        <v>20.78</v>
      </c>
      <c r="AB127" s="794">
        <v>25.5</v>
      </c>
      <c r="AC127" s="775">
        <f t="shared" si="116"/>
        <v>46.28</v>
      </c>
      <c r="AD127" s="775">
        <f t="shared" si="117"/>
        <v>71.595159999999993</v>
      </c>
      <c r="AE127" s="775"/>
      <c r="AF127" s="567"/>
      <c r="AG127" s="2">
        <v>1.6</v>
      </c>
      <c r="AH127" s="705"/>
      <c r="AI127" s="362"/>
      <c r="AJ127" s="2"/>
      <c r="AK127" s="407"/>
      <c r="AL127" s="407"/>
      <c r="AM127" s="407"/>
      <c r="AN127" s="407"/>
      <c r="AO127" s="387"/>
      <c r="AP127" s="387"/>
      <c r="AQ127" s="405"/>
      <c r="AR127" s="578">
        <v>0</v>
      </c>
      <c r="AS127" s="405">
        <v>13.4</v>
      </c>
      <c r="AT127" s="578">
        <v>0</v>
      </c>
      <c r="AU127" s="405">
        <v>21.3</v>
      </c>
      <c r="AV127" s="644">
        <v>205.8</v>
      </c>
      <c r="AW127" s="644">
        <v>218</v>
      </c>
      <c r="AX127" s="405">
        <v>0</v>
      </c>
      <c r="AY127" s="578">
        <v>0</v>
      </c>
      <c r="AZ127" s="578">
        <v>0</v>
      </c>
      <c r="BA127" s="578">
        <v>0</v>
      </c>
      <c r="BB127" s="1086">
        <v>1.6</v>
      </c>
      <c r="BC127" s="405">
        <v>0</v>
      </c>
      <c r="BD127" s="405">
        <v>1.79</v>
      </c>
      <c r="BE127" s="578">
        <v>0</v>
      </c>
      <c r="BF127" s="405">
        <v>0.71</v>
      </c>
      <c r="BG127" s="405">
        <v>0</v>
      </c>
      <c r="BH127" s="578">
        <v>0</v>
      </c>
      <c r="BI127" s="405">
        <v>0</v>
      </c>
      <c r="BJ127" s="405">
        <v>23.1</v>
      </c>
      <c r="BK127" s="405">
        <v>2.94</v>
      </c>
      <c r="BL127" s="405">
        <v>2.88</v>
      </c>
      <c r="BM127" s="405">
        <v>0</v>
      </c>
      <c r="BN127" s="405">
        <v>15.6</v>
      </c>
      <c r="BO127" s="405">
        <v>1029.2</v>
      </c>
      <c r="BP127" s="405">
        <v>0</v>
      </c>
      <c r="BQ127" s="522">
        <v>20.58</v>
      </c>
      <c r="BR127" s="522">
        <v>20.53</v>
      </c>
      <c r="BS127" s="649">
        <v>9.1199999999999992</v>
      </c>
      <c r="BT127" s="522">
        <v>9.23</v>
      </c>
      <c r="BU127" s="648">
        <v>20.3</v>
      </c>
      <c r="BV127" s="648">
        <v>21.8</v>
      </c>
      <c r="BW127" s="649">
        <v>668</v>
      </c>
      <c r="BX127" s="876"/>
      <c r="BY127" s="649">
        <v>0.15</v>
      </c>
      <c r="BZ127" s="649">
        <v>1.39</v>
      </c>
      <c r="CA127" s="649">
        <v>1.3</v>
      </c>
      <c r="CB127" s="649">
        <v>8.6999999999999993</v>
      </c>
      <c r="CC127" s="649">
        <v>8.1</v>
      </c>
      <c r="CD127" s="649">
        <v>15.2</v>
      </c>
      <c r="CE127" s="649">
        <v>34.6</v>
      </c>
      <c r="CF127" s="649">
        <v>14.4</v>
      </c>
      <c r="CG127" s="649">
        <v>5.8</v>
      </c>
      <c r="CH127" s="649">
        <v>11</v>
      </c>
      <c r="CI127" s="649">
        <v>15</v>
      </c>
      <c r="CJ127" s="649">
        <v>13.12</v>
      </c>
      <c r="CK127" s="649">
        <v>264</v>
      </c>
      <c r="CL127" s="649">
        <v>2</v>
      </c>
      <c r="CM127" s="649">
        <v>2.9</v>
      </c>
      <c r="CN127" s="991">
        <v>820</v>
      </c>
      <c r="CO127" s="649">
        <v>335</v>
      </c>
      <c r="CP127" s="649">
        <v>479.7</v>
      </c>
      <c r="CQ127" s="649">
        <v>2.9</v>
      </c>
      <c r="CR127" s="649">
        <v>1.96</v>
      </c>
      <c r="CS127" s="405">
        <v>4358.3</v>
      </c>
      <c r="CT127" s="405">
        <v>16.605</v>
      </c>
      <c r="CU127" s="405">
        <v>50</v>
      </c>
      <c r="CV127" s="522">
        <v>0</v>
      </c>
      <c r="CW127" s="522">
        <v>0</v>
      </c>
      <c r="CX127" s="522">
        <v>0</v>
      </c>
      <c r="CY127" s="522">
        <v>0</v>
      </c>
      <c r="CZ127" s="689">
        <v>2360</v>
      </c>
      <c r="DA127" s="689">
        <v>3580</v>
      </c>
      <c r="DB127" s="689">
        <v>2530</v>
      </c>
      <c r="DC127" s="643">
        <v>1155.2</v>
      </c>
      <c r="DD127" s="522"/>
      <c r="DE127" s="522"/>
      <c r="DF127" s="522"/>
      <c r="DG127" s="522"/>
      <c r="DH127" s="522"/>
      <c r="DI127" s="522"/>
      <c r="DJ127" s="522"/>
      <c r="DK127" s="522"/>
      <c r="DL127" s="649"/>
      <c r="DM127" s="689"/>
      <c r="DN127" s="649"/>
      <c r="DO127" s="522"/>
      <c r="DP127" s="522"/>
      <c r="DQ127" s="522"/>
      <c r="DR127" s="522"/>
      <c r="DS127" s="522"/>
      <c r="DT127" s="522"/>
      <c r="DU127" s="522"/>
      <c r="DV127" s="522"/>
      <c r="DW127" s="522"/>
      <c r="DX127" s="522"/>
      <c r="DY127" s="522"/>
      <c r="DZ127" s="522"/>
      <c r="EA127" s="522"/>
      <c r="EB127" s="522"/>
      <c r="EC127" s="522"/>
      <c r="ED127" s="522"/>
      <c r="EE127" s="522"/>
      <c r="EF127" s="522"/>
      <c r="EG127" s="645">
        <f t="shared" si="56"/>
        <v>12.871040000000001</v>
      </c>
      <c r="EH127" s="361">
        <v>0</v>
      </c>
      <c r="EI127" s="647">
        <v>0</v>
      </c>
      <c r="EJ127" s="647">
        <f t="shared" si="112"/>
        <v>2.5</v>
      </c>
      <c r="EK127" s="647">
        <f t="shared" si="113"/>
        <v>5.82</v>
      </c>
      <c r="EL127" s="522"/>
      <c r="EM127" s="522"/>
      <c r="EN127" s="522"/>
      <c r="EO127" s="522"/>
      <c r="EP127" s="522"/>
      <c r="EQ127" s="522"/>
      <c r="ER127" s="522"/>
      <c r="ES127" s="407"/>
      <c r="ET127" s="407"/>
    </row>
    <row r="128" spans="1:150" s="357" customFormat="1" ht="15">
      <c r="A128" s="675" t="s">
        <v>8</v>
      </c>
      <c r="B128" s="712">
        <v>41754</v>
      </c>
      <c r="C128" s="358">
        <v>0</v>
      </c>
      <c r="D128" s="405">
        <v>0.05</v>
      </c>
      <c r="E128" s="681">
        <v>0</v>
      </c>
      <c r="F128" s="681">
        <v>44</v>
      </c>
      <c r="G128" s="681">
        <v>2.5</v>
      </c>
      <c r="H128" s="405" t="s">
        <v>744</v>
      </c>
      <c r="I128" s="405">
        <v>92.3</v>
      </c>
      <c r="J128" s="405">
        <v>0.06</v>
      </c>
      <c r="K128" s="405" t="s">
        <v>744</v>
      </c>
      <c r="L128" s="821">
        <f t="shared" si="69"/>
        <v>46.3</v>
      </c>
      <c r="M128" s="405">
        <v>20.7</v>
      </c>
      <c r="N128" s="405">
        <v>1.48</v>
      </c>
      <c r="O128" s="405">
        <v>1.6989368533397706</v>
      </c>
      <c r="P128" s="405">
        <v>0</v>
      </c>
      <c r="Q128" s="405" t="s">
        <v>743</v>
      </c>
      <c r="R128" s="790">
        <v>672.75045178335529</v>
      </c>
      <c r="S128" s="405">
        <v>7.92</v>
      </c>
      <c r="T128" s="405">
        <v>0</v>
      </c>
      <c r="U128" s="405">
        <v>0.73</v>
      </c>
      <c r="V128" s="807">
        <v>0</v>
      </c>
      <c r="W128" s="807">
        <v>44.239999999999995</v>
      </c>
      <c r="X128" s="647" t="e">
        <v>#VALUE!</v>
      </c>
      <c r="Y128" s="383">
        <v>20.78</v>
      </c>
      <c r="Z128" s="681">
        <v>25.5</v>
      </c>
      <c r="AA128" s="794">
        <v>20.8</v>
      </c>
      <c r="AB128" s="794">
        <v>25.5</v>
      </c>
      <c r="AC128" s="775">
        <f t="shared" ref="AC128:AC130" si="118">AA128+AB128</f>
        <v>46.3</v>
      </c>
      <c r="AD128" s="775">
        <f t="shared" ref="AD128:AD130" si="119">AC128*1.547</f>
        <v>71.626099999999994</v>
      </c>
      <c r="AE128" s="775"/>
      <c r="AF128" s="567"/>
      <c r="AG128" s="2">
        <v>1.6</v>
      </c>
      <c r="AH128" s="705"/>
      <c r="AI128" s="362"/>
      <c r="AJ128" s="2"/>
      <c r="AK128" s="407"/>
      <c r="AL128" s="407"/>
      <c r="AM128" s="407"/>
      <c r="AN128" s="407"/>
      <c r="AO128" s="387"/>
      <c r="AP128" s="387"/>
      <c r="AQ128" s="405"/>
      <c r="AR128" s="578">
        <v>0</v>
      </c>
      <c r="AS128" s="405">
        <v>10.5</v>
      </c>
      <c r="AT128" s="578">
        <v>0</v>
      </c>
      <c r="AU128" s="405">
        <v>21.5</v>
      </c>
      <c r="AV128" s="644">
        <v>375.8</v>
      </c>
      <c r="AW128" s="644">
        <v>509.2</v>
      </c>
      <c r="AX128" s="405">
        <v>0</v>
      </c>
      <c r="AY128" s="578">
        <v>0</v>
      </c>
      <c r="AZ128" s="578">
        <v>0</v>
      </c>
      <c r="BA128" s="578">
        <v>0</v>
      </c>
      <c r="BB128" s="1086">
        <v>1.6</v>
      </c>
      <c r="BC128" s="405">
        <v>0</v>
      </c>
      <c r="BD128" s="405">
        <v>1.78</v>
      </c>
      <c r="BE128" s="578">
        <v>0</v>
      </c>
      <c r="BF128" s="405">
        <v>0.71</v>
      </c>
      <c r="BG128" s="405">
        <v>0</v>
      </c>
      <c r="BH128" s="578">
        <v>0</v>
      </c>
      <c r="BI128" s="405">
        <v>0</v>
      </c>
      <c r="BJ128" s="405">
        <v>23.1</v>
      </c>
      <c r="BK128" s="405">
        <v>2.99</v>
      </c>
      <c r="BL128" s="405">
        <v>2.93</v>
      </c>
      <c r="BM128" s="405">
        <v>0</v>
      </c>
      <c r="BN128" s="405">
        <v>15.5</v>
      </c>
      <c r="BO128" s="405">
        <v>1061.0999999999999</v>
      </c>
      <c r="BP128" s="405">
        <v>0</v>
      </c>
      <c r="BQ128" s="522">
        <v>19.91</v>
      </c>
      <c r="BR128" s="522">
        <v>19.87</v>
      </c>
      <c r="BS128" s="649">
        <v>8.92</v>
      </c>
      <c r="BT128" s="649">
        <v>9.0500000000000007</v>
      </c>
      <c r="BU128" s="648">
        <v>19.899999999999999</v>
      </c>
      <c r="BV128" s="648">
        <v>23.1</v>
      </c>
      <c r="BW128" s="649">
        <v>467.5</v>
      </c>
      <c r="BX128" s="876"/>
      <c r="BY128" s="649">
        <v>0.15</v>
      </c>
      <c r="BZ128" s="649">
        <v>1.45</v>
      </c>
      <c r="CA128" s="649">
        <v>1.3</v>
      </c>
      <c r="CB128" s="649">
        <v>8.6999999999999993</v>
      </c>
      <c r="CC128" s="649">
        <v>8.1</v>
      </c>
      <c r="CD128" s="649">
        <v>15.3</v>
      </c>
      <c r="CE128" s="522">
        <v>34.5</v>
      </c>
      <c r="CF128" s="649">
        <v>13.9</v>
      </c>
      <c r="CG128" s="649">
        <v>6</v>
      </c>
      <c r="CH128" s="522">
        <v>11.2</v>
      </c>
      <c r="CI128" s="522">
        <v>15.3</v>
      </c>
      <c r="CJ128" s="522">
        <v>13.03</v>
      </c>
      <c r="CK128" s="522">
        <v>294.39999999999998</v>
      </c>
      <c r="CL128" s="522">
        <v>2.2000000000000002</v>
      </c>
      <c r="CM128" s="522">
        <v>3</v>
      </c>
      <c r="CN128" s="991">
        <v>820</v>
      </c>
      <c r="CO128" s="522">
        <v>328.5</v>
      </c>
      <c r="CP128" s="522">
        <v>472.1</v>
      </c>
      <c r="CQ128" s="649">
        <v>3</v>
      </c>
      <c r="CR128" s="649">
        <v>2.04</v>
      </c>
      <c r="CS128" s="405">
        <v>4353.6000000000004</v>
      </c>
      <c r="CT128" s="405">
        <v>17.120999999999999</v>
      </c>
      <c r="CU128" s="405">
        <v>51</v>
      </c>
      <c r="CV128" s="522">
        <v>0</v>
      </c>
      <c r="CW128" s="522">
        <v>0</v>
      </c>
      <c r="CX128" s="649">
        <v>0</v>
      </c>
      <c r="CY128" s="522">
        <v>0</v>
      </c>
      <c r="CZ128" s="689">
        <v>1990</v>
      </c>
      <c r="DA128" s="689">
        <v>3070</v>
      </c>
      <c r="DB128" s="689">
        <v>2150</v>
      </c>
      <c r="DC128" s="643">
        <v>1156.3</v>
      </c>
      <c r="DD128" s="522"/>
      <c r="DE128" s="522"/>
      <c r="DF128" s="522"/>
      <c r="DG128" s="522"/>
      <c r="DH128" s="522"/>
      <c r="DI128" s="522"/>
      <c r="DJ128" s="522"/>
      <c r="DK128" s="522"/>
      <c r="DL128" s="649"/>
      <c r="DM128" s="689"/>
      <c r="DN128" s="649"/>
      <c r="DO128" s="522"/>
      <c r="DP128" s="522"/>
      <c r="DQ128" s="522"/>
      <c r="DR128" s="522"/>
      <c r="DS128" s="522"/>
      <c r="DT128" s="522"/>
      <c r="DU128" s="522"/>
      <c r="DV128" s="522"/>
      <c r="DW128" s="522"/>
      <c r="DX128" s="522"/>
      <c r="DY128" s="522"/>
      <c r="DZ128" s="522"/>
      <c r="EA128" s="522"/>
      <c r="EB128" s="522"/>
      <c r="EC128" s="522"/>
      <c r="ED128" s="522"/>
      <c r="EE128" s="522"/>
      <c r="EF128" s="522"/>
      <c r="EG128" s="645">
        <f t="shared" si="56"/>
        <v>13.01027</v>
      </c>
      <c r="EH128" s="361">
        <v>0</v>
      </c>
      <c r="EI128" s="647">
        <v>0</v>
      </c>
      <c r="EJ128" s="647">
        <f t="shared" ref="EJ128:EJ134" si="120">BC128+BD128+BF128</f>
        <v>2.4900000000000002</v>
      </c>
      <c r="EK128" s="647">
        <f t="shared" ref="EK128:EK134" si="121">BK128+BL128+BM128</f>
        <v>5.92</v>
      </c>
      <c r="EL128" s="522"/>
      <c r="EM128" s="522"/>
      <c r="EN128" s="522"/>
      <c r="EO128" s="522"/>
      <c r="EP128" s="522"/>
      <c r="EQ128" s="522"/>
      <c r="ER128" s="522"/>
      <c r="ES128" s="407"/>
      <c r="ET128" s="407"/>
    </row>
    <row r="129" spans="1:150" s="357" customFormat="1" ht="15">
      <c r="A129" s="675" t="s">
        <v>9</v>
      </c>
      <c r="B129" s="712">
        <v>41755</v>
      </c>
      <c r="C129" s="358">
        <v>0</v>
      </c>
      <c r="D129" s="405">
        <v>0.11</v>
      </c>
      <c r="E129" s="681">
        <v>0</v>
      </c>
      <c r="F129" s="681">
        <v>42</v>
      </c>
      <c r="G129" s="681">
        <v>2</v>
      </c>
      <c r="H129" s="405" t="s">
        <v>744</v>
      </c>
      <c r="I129" s="405">
        <v>92.9</v>
      </c>
      <c r="J129" s="405">
        <v>0.06</v>
      </c>
      <c r="K129" s="405" t="s">
        <v>744</v>
      </c>
      <c r="L129" s="821">
        <f t="shared" si="69"/>
        <v>46.3</v>
      </c>
      <c r="M129" s="405">
        <v>20.6</v>
      </c>
      <c r="N129" s="405">
        <v>1.47</v>
      </c>
      <c r="O129" s="643">
        <v>1.6967926334991914</v>
      </c>
      <c r="P129" s="405">
        <v>0</v>
      </c>
      <c r="Q129" s="405" t="s">
        <v>743</v>
      </c>
      <c r="R129" s="790">
        <v>672.75045178335529</v>
      </c>
      <c r="S129" s="405">
        <v>7.93</v>
      </c>
      <c r="T129" s="405">
        <v>0</v>
      </c>
      <c r="U129" s="405">
        <v>0.72</v>
      </c>
      <c r="V129" s="807">
        <v>0</v>
      </c>
      <c r="W129" s="807">
        <v>44.239999999999995</v>
      </c>
      <c r="X129" s="647" t="e">
        <v>#VALUE!</v>
      </c>
      <c r="Y129" s="383">
        <v>20.8</v>
      </c>
      <c r="Z129" s="681">
        <v>25.5</v>
      </c>
      <c r="AA129" s="794">
        <v>20.8</v>
      </c>
      <c r="AB129" s="794">
        <v>25.5</v>
      </c>
      <c r="AC129" s="775">
        <f t="shared" si="118"/>
        <v>46.3</v>
      </c>
      <c r="AD129" s="775">
        <f t="shared" si="119"/>
        <v>71.626099999999994</v>
      </c>
      <c r="AE129" s="775"/>
      <c r="AF129" s="567"/>
      <c r="AG129" s="2">
        <v>1.6</v>
      </c>
      <c r="AH129" s="705"/>
      <c r="AI129" s="362"/>
      <c r="AJ129" s="2"/>
      <c r="AK129" s="407"/>
      <c r="AL129" s="407"/>
      <c r="AM129" s="407"/>
      <c r="AN129" s="407"/>
      <c r="AO129" s="387"/>
      <c r="AP129" s="387"/>
      <c r="AQ129" s="405"/>
      <c r="AR129" s="578">
        <v>0</v>
      </c>
      <c r="AS129" s="405">
        <v>11.1</v>
      </c>
      <c r="AT129" s="578">
        <v>0</v>
      </c>
      <c r="AU129" s="405">
        <v>21.5</v>
      </c>
      <c r="AV129" s="644">
        <v>371.3</v>
      </c>
      <c r="AW129" s="644">
        <v>618.4</v>
      </c>
      <c r="AX129" s="405">
        <v>0</v>
      </c>
      <c r="AY129" s="578">
        <v>0</v>
      </c>
      <c r="AZ129" s="578">
        <v>0</v>
      </c>
      <c r="BA129" s="578">
        <v>0</v>
      </c>
      <c r="BB129" s="1086">
        <v>1.6</v>
      </c>
      <c r="BC129" s="405">
        <v>0</v>
      </c>
      <c r="BD129" s="405">
        <v>1.78</v>
      </c>
      <c r="BE129" s="578">
        <v>0</v>
      </c>
      <c r="BF129" s="405">
        <v>0.71</v>
      </c>
      <c r="BG129" s="405">
        <v>0</v>
      </c>
      <c r="BH129" s="578">
        <v>0</v>
      </c>
      <c r="BI129" s="405">
        <v>0</v>
      </c>
      <c r="BJ129" s="405">
        <v>23.1</v>
      </c>
      <c r="BK129" s="405">
        <v>2.99</v>
      </c>
      <c r="BL129" s="405">
        <v>2.93</v>
      </c>
      <c r="BM129" s="405">
        <v>0</v>
      </c>
      <c r="BN129" s="405">
        <v>15.5</v>
      </c>
      <c r="BO129" s="405">
        <v>1271.3</v>
      </c>
      <c r="BP129" s="405">
        <v>0</v>
      </c>
      <c r="BQ129" s="522">
        <v>19.07</v>
      </c>
      <c r="BR129" s="522">
        <v>19.03</v>
      </c>
      <c r="BS129" s="522">
        <v>8.7799999999999994</v>
      </c>
      <c r="BT129" s="649">
        <v>8.92</v>
      </c>
      <c r="BU129" s="648">
        <v>19.600000000000001</v>
      </c>
      <c r="BV129" s="648">
        <v>23.2</v>
      </c>
      <c r="BW129" s="649">
        <v>676.9</v>
      </c>
      <c r="BX129" s="876"/>
      <c r="BY129" s="649">
        <v>0.15</v>
      </c>
      <c r="BZ129" s="649">
        <v>1.37</v>
      </c>
      <c r="CA129" s="649">
        <v>1.3</v>
      </c>
      <c r="CB129" s="649">
        <v>8.6999999999999993</v>
      </c>
      <c r="CC129" s="649">
        <v>8.1</v>
      </c>
      <c r="CD129" s="522">
        <v>15.6</v>
      </c>
      <c r="CE129" s="522">
        <v>34.5</v>
      </c>
      <c r="CF129" s="522">
        <v>13.2</v>
      </c>
      <c r="CG129" s="522">
        <v>6.8</v>
      </c>
      <c r="CH129" s="522">
        <v>12.11</v>
      </c>
      <c r="CI129" s="522">
        <v>16.100000000000001</v>
      </c>
      <c r="CJ129" s="522">
        <v>13.43</v>
      </c>
      <c r="CK129" s="522">
        <v>276.10000000000002</v>
      </c>
      <c r="CL129" s="522">
        <v>2.1</v>
      </c>
      <c r="CM129" s="522">
        <v>2.6</v>
      </c>
      <c r="CN129" s="991">
        <v>820</v>
      </c>
      <c r="CO129" s="522">
        <v>353.1</v>
      </c>
      <c r="CP129" s="522">
        <v>465.3</v>
      </c>
      <c r="CQ129" s="522">
        <v>2.8</v>
      </c>
      <c r="CR129" s="522">
        <v>1.9</v>
      </c>
      <c r="CS129" s="405">
        <v>4353.6000000000004</v>
      </c>
      <c r="CT129" s="405">
        <v>16.23</v>
      </c>
      <c r="CU129" s="405">
        <v>50</v>
      </c>
      <c r="CV129" s="522">
        <v>0</v>
      </c>
      <c r="CW129" s="522">
        <v>0</v>
      </c>
      <c r="CX129" s="522">
        <v>0</v>
      </c>
      <c r="CY129" s="522">
        <v>0</v>
      </c>
      <c r="CZ129" s="689">
        <v>1990</v>
      </c>
      <c r="DA129" s="689">
        <v>2910</v>
      </c>
      <c r="DB129" s="689">
        <v>2120</v>
      </c>
      <c r="DC129" s="643">
        <v>1156.7</v>
      </c>
      <c r="DD129" s="522"/>
      <c r="DE129" s="522"/>
      <c r="DF129" s="522"/>
      <c r="DG129" s="522"/>
      <c r="DH129" s="522"/>
      <c r="DI129" s="522"/>
      <c r="DJ129" s="522"/>
      <c r="DK129" s="522"/>
      <c r="DL129" s="649"/>
      <c r="DM129" s="689"/>
      <c r="DN129" s="649"/>
      <c r="DO129" s="522"/>
      <c r="DP129" s="522"/>
      <c r="DQ129" s="522"/>
      <c r="DR129" s="522"/>
      <c r="DS129" s="522"/>
      <c r="DT129" s="522"/>
      <c r="DU129" s="522"/>
      <c r="DV129" s="522"/>
      <c r="DW129" s="522"/>
      <c r="DX129" s="522"/>
      <c r="DY129" s="522"/>
      <c r="DZ129" s="522"/>
      <c r="EA129" s="522"/>
      <c r="EB129" s="522"/>
      <c r="EC129" s="522"/>
      <c r="ED129" s="522"/>
      <c r="EE129" s="522"/>
      <c r="EF129" s="522"/>
      <c r="EG129" s="645">
        <f t="shared" si="56"/>
        <v>13.01027</v>
      </c>
      <c r="EH129" s="361">
        <v>0</v>
      </c>
      <c r="EI129" s="647">
        <v>0</v>
      </c>
      <c r="EJ129" s="647">
        <f t="shared" si="120"/>
        <v>2.4900000000000002</v>
      </c>
      <c r="EK129" s="647">
        <f t="shared" si="121"/>
        <v>5.92</v>
      </c>
      <c r="EL129" s="522"/>
      <c r="EM129" s="522"/>
      <c r="EN129" s="522"/>
      <c r="EO129" s="522"/>
      <c r="EP129" s="522"/>
      <c r="EQ129" s="522"/>
      <c r="ER129" s="522"/>
      <c r="ES129" s="407"/>
      <c r="ET129" s="407"/>
    </row>
    <row r="130" spans="1:150" s="357" customFormat="1" ht="15">
      <c r="A130" s="675" t="s">
        <v>3</v>
      </c>
      <c r="B130" s="712">
        <v>41756</v>
      </c>
      <c r="C130" s="358">
        <v>0</v>
      </c>
      <c r="D130" s="405">
        <v>0.55000000000000004</v>
      </c>
      <c r="E130" s="681">
        <v>0</v>
      </c>
      <c r="F130" s="681">
        <v>42</v>
      </c>
      <c r="G130" s="681">
        <v>2.2999999999999998</v>
      </c>
      <c r="H130" s="405" t="s">
        <v>744</v>
      </c>
      <c r="I130" s="405">
        <v>92.4</v>
      </c>
      <c r="J130" s="405">
        <v>0.06</v>
      </c>
      <c r="K130" s="405" t="s">
        <v>744</v>
      </c>
      <c r="L130" s="821">
        <f t="shared" si="69"/>
        <v>46.4</v>
      </c>
      <c r="M130" s="405">
        <v>20.5</v>
      </c>
      <c r="N130" s="405">
        <v>1.49</v>
      </c>
      <c r="O130" s="643">
        <v>1.7307489975570243</v>
      </c>
      <c r="P130" s="405">
        <v>0</v>
      </c>
      <c r="Q130" s="405" t="s">
        <v>743</v>
      </c>
      <c r="R130" s="790">
        <v>685.05883751651243</v>
      </c>
      <c r="S130" s="405">
        <v>7.97</v>
      </c>
      <c r="T130" s="405">
        <v>0</v>
      </c>
      <c r="U130" s="405">
        <v>0.73</v>
      </c>
      <c r="V130" s="807">
        <v>0</v>
      </c>
      <c r="W130" s="807">
        <v>44.239999999999995</v>
      </c>
      <c r="X130" s="647" t="e">
        <v>#VALUE!</v>
      </c>
      <c r="Y130" s="383">
        <v>20.8</v>
      </c>
      <c r="Z130" s="681">
        <v>25.5</v>
      </c>
      <c r="AA130" s="794">
        <v>20.9</v>
      </c>
      <c r="AB130" s="794">
        <v>25.5</v>
      </c>
      <c r="AC130" s="775">
        <f t="shared" si="118"/>
        <v>46.4</v>
      </c>
      <c r="AD130" s="775">
        <f t="shared" si="119"/>
        <v>71.780799999999999</v>
      </c>
      <c r="AE130" s="775"/>
      <c r="AF130" s="567"/>
      <c r="AG130" s="2">
        <v>1.6</v>
      </c>
      <c r="AH130" s="705"/>
      <c r="AI130" s="362"/>
      <c r="AJ130" s="2"/>
      <c r="AK130" s="407"/>
      <c r="AL130" s="407"/>
      <c r="AM130" s="407"/>
      <c r="AN130" s="407"/>
      <c r="AO130" s="387"/>
      <c r="AP130" s="387"/>
      <c r="AQ130" s="405"/>
      <c r="AR130" s="578">
        <v>0</v>
      </c>
      <c r="AS130" s="405">
        <v>21</v>
      </c>
      <c r="AT130" s="578">
        <v>0</v>
      </c>
      <c r="AU130" s="405">
        <v>21.5</v>
      </c>
      <c r="AV130" s="644">
        <v>469.7</v>
      </c>
      <c r="AW130" s="644">
        <v>665.6</v>
      </c>
      <c r="AX130" s="405">
        <v>0</v>
      </c>
      <c r="AY130" s="578">
        <v>0</v>
      </c>
      <c r="AZ130" s="578">
        <v>0</v>
      </c>
      <c r="BA130" s="578">
        <v>0</v>
      </c>
      <c r="BB130" s="1086">
        <v>1.61</v>
      </c>
      <c r="BC130" s="405">
        <v>0</v>
      </c>
      <c r="BD130" s="405">
        <v>1.78</v>
      </c>
      <c r="BE130" s="578">
        <v>0</v>
      </c>
      <c r="BF130" s="405">
        <v>0.71</v>
      </c>
      <c r="BG130" s="405">
        <v>0</v>
      </c>
      <c r="BH130" s="578">
        <v>0</v>
      </c>
      <c r="BI130" s="405">
        <v>0</v>
      </c>
      <c r="BJ130" s="405">
        <v>23.1</v>
      </c>
      <c r="BK130" s="405">
        <v>2.99</v>
      </c>
      <c r="BL130" s="405">
        <v>2.93</v>
      </c>
      <c r="BM130" s="405">
        <v>0</v>
      </c>
      <c r="BN130" s="405">
        <v>15.5</v>
      </c>
      <c r="BO130" s="405">
        <v>1221.5</v>
      </c>
      <c r="BP130" s="405">
        <v>0</v>
      </c>
      <c r="BQ130" s="522">
        <v>18.75</v>
      </c>
      <c r="BR130" s="522">
        <v>18.71</v>
      </c>
      <c r="BS130" s="522">
        <v>8.81</v>
      </c>
      <c r="BT130" s="649">
        <v>8.9</v>
      </c>
      <c r="BU130" s="648">
        <v>19.7</v>
      </c>
      <c r="BV130" s="648">
        <v>21.8</v>
      </c>
      <c r="BW130" s="649">
        <v>503.5</v>
      </c>
      <c r="BX130" s="876"/>
      <c r="BY130" s="649">
        <v>0.15</v>
      </c>
      <c r="BZ130" s="649">
        <v>1.4</v>
      </c>
      <c r="CA130" s="649">
        <v>1.3</v>
      </c>
      <c r="CB130" s="649">
        <v>8.6999999999999993</v>
      </c>
      <c r="CC130" s="649">
        <v>8.1</v>
      </c>
      <c r="CD130" s="649">
        <v>15.3</v>
      </c>
      <c r="CE130" s="649">
        <v>34.6</v>
      </c>
      <c r="CF130" s="649">
        <v>12.6</v>
      </c>
      <c r="CG130" s="649">
        <v>7</v>
      </c>
      <c r="CH130" s="649">
        <v>12.3</v>
      </c>
      <c r="CI130" s="649">
        <v>16.399999999999999</v>
      </c>
      <c r="CJ130" s="649">
        <v>13.37</v>
      </c>
      <c r="CK130" s="522">
        <v>267.8</v>
      </c>
      <c r="CL130" s="522">
        <v>1.7</v>
      </c>
      <c r="CM130" s="522">
        <v>2.2999999999999998</v>
      </c>
      <c r="CN130" s="991">
        <v>820</v>
      </c>
      <c r="CO130" s="522">
        <v>359.1</v>
      </c>
      <c r="CP130" s="522">
        <v>470.3</v>
      </c>
      <c r="CQ130" s="522">
        <v>2.8</v>
      </c>
      <c r="CR130" s="522">
        <v>1.9</v>
      </c>
      <c r="CS130" s="405">
        <v>4353.5</v>
      </c>
      <c r="CT130" s="405">
        <v>16.242999999999999</v>
      </c>
      <c r="CU130" s="405">
        <v>50</v>
      </c>
      <c r="CV130" s="522">
        <v>0</v>
      </c>
      <c r="CW130" s="522">
        <v>0</v>
      </c>
      <c r="CX130" s="522">
        <v>0</v>
      </c>
      <c r="CY130" s="522">
        <v>0</v>
      </c>
      <c r="CZ130" s="689">
        <v>1810</v>
      </c>
      <c r="DA130" s="689">
        <v>2850</v>
      </c>
      <c r="DB130" s="689">
        <v>1930</v>
      </c>
      <c r="DC130" s="643">
        <v>1156.76</v>
      </c>
      <c r="DD130" s="522"/>
      <c r="DE130" s="522"/>
      <c r="DF130" s="522"/>
      <c r="DG130" s="522"/>
      <c r="DH130" s="522"/>
      <c r="DI130" s="522"/>
      <c r="DJ130" s="522"/>
      <c r="DK130" s="522"/>
      <c r="DL130" s="649"/>
      <c r="DM130" s="690"/>
      <c r="DN130" s="649"/>
      <c r="DO130" s="522"/>
      <c r="DP130" s="522"/>
      <c r="DQ130" s="522"/>
      <c r="DR130" s="522"/>
      <c r="DS130" s="522"/>
      <c r="DT130" s="522"/>
      <c r="DU130" s="522"/>
      <c r="DV130" s="522"/>
      <c r="DW130" s="522"/>
      <c r="DX130" s="522"/>
      <c r="DY130" s="522"/>
      <c r="DZ130" s="522"/>
      <c r="EA130" s="522"/>
      <c r="EB130" s="522"/>
      <c r="EC130" s="522"/>
      <c r="ED130" s="522"/>
      <c r="EE130" s="522"/>
      <c r="EF130" s="522"/>
      <c r="EG130" s="645">
        <f t="shared" si="56"/>
        <v>13.01027</v>
      </c>
      <c r="EH130" s="361">
        <v>0</v>
      </c>
      <c r="EI130" s="647">
        <v>0</v>
      </c>
      <c r="EJ130" s="647">
        <f t="shared" si="120"/>
        <v>2.4900000000000002</v>
      </c>
      <c r="EK130" s="647">
        <f t="shared" si="121"/>
        <v>5.92</v>
      </c>
      <c r="EL130" s="522"/>
      <c r="EM130" s="522"/>
      <c r="EN130" s="522"/>
      <c r="EO130" s="522"/>
      <c r="EP130" s="522"/>
      <c r="EQ130" s="522"/>
      <c r="ER130" s="522"/>
      <c r="ES130" s="407"/>
      <c r="ET130" s="407"/>
    </row>
    <row r="131" spans="1:150" s="357" customFormat="1" ht="15">
      <c r="A131" s="675" t="s">
        <v>4</v>
      </c>
      <c r="B131" s="712">
        <v>41757</v>
      </c>
      <c r="C131" s="358">
        <v>0</v>
      </c>
      <c r="D131" s="405">
        <v>0</v>
      </c>
      <c r="E131" s="681">
        <v>0</v>
      </c>
      <c r="F131" s="681">
        <v>46</v>
      </c>
      <c r="G131" s="681">
        <v>1.6</v>
      </c>
      <c r="H131" s="405" t="s">
        <v>744</v>
      </c>
      <c r="I131" s="405">
        <v>92.9</v>
      </c>
      <c r="J131" s="405">
        <v>0.06</v>
      </c>
      <c r="K131" s="405" t="s">
        <v>744</v>
      </c>
      <c r="L131" s="821">
        <f t="shared" si="69"/>
        <v>46.400000000000006</v>
      </c>
      <c r="M131" s="405">
        <v>20.3</v>
      </c>
      <c r="N131" s="405">
        <v>1.49</v>
      </c>
      <c r="O131" s="405">
        <v>1.7262936558137243</v>
      </c>
      <c r="P131" s="405">
        <v>0</v>
      </c>
      <c r="Q131" s="405" t="s">
        <v>743</v>
      </c>
      <c r="R131" s="790">
        <v>683.439313077939</v>
      </c>
      <c r="S131" s="405">
        <v>8.01</v>
      </c>
      <c r="T131" s="405">
        <v>0</v>
      </c>
      <c r="U131" s="405">
        <v>0.71899999999999997</v>
      </c>
      <c r="V131" s="807">
        <v>0</v>
      </c>
      <c r="W131" s="807">
        <v>44.239999999999995</v>
      </c>
      <c r="X131" s="647" t="e">
        <v>#VALUE!</v>
      </c>
      <c r="Y131" s="383">
        <v>20.9</v>
      </c>
      <c r="Z131" s="681">
        <v>25.5</v>
      </c>
      <c r="AA131" s="794">
        <v>20.8</v>
      </c>
      <c r="AB131" s="794">
        <v>25.6</v>
      </c>
      <c r="AC131" s="775">
        <f t="shared" ref="AC131:AC132" si="122">AA131+AB131</f>
        <v>46.400000000000006</v>
      </c>
      <c r="AD131" s="775">
        <f t="shared" ref="AD131:AD132" si="123">AC131*1.547</f>
        <v>71.780799999999999</v>
      </c>
      <c r="AE131" s="775"/>
      <c r="AF131" s="567"/>
      <c r="AG131" s="2">
        <v>1.6</v>
      </c>
      <c r="AH131" s="705"/>
      <c r="AI131" s="362"/>
      <c r="AJ131" s="2"/>
      <c r="AK131" s="407"/>
      <c r="AL131" s="407"/>
      <c r="AM131" s="407"/>
      <c r="AN131" s="407"/>
      <c r="AO131" s="387"/>
      <c r="AP131" s="387"/>
      <c r="AQ131" s="405"/>
      <c r="AR131" s="578">
        <v>0</v>
      </c>
      <c r="AS131" s="405">
        <v>11.2</v>
      </c>
      <c r="AT131" s="578">
        <v>0</v>
      </c>
      <c r="AU131" s="405">
        <v>21.5</v>
      </c>
      <c r="AV131" s="644">
        <v>310.10000000000002</v>
      </c>
      <c r="AW131" s="644">
        <v>352</v>
      </c>
      <c r="AX131" s="405">
        <v>0</v>
      </c>
      <c r="AY131" s="578">
        <v>0</v>
      </c>
      <c r="AZ131" s="578">
        <v>0</v>
      </c>
      <c r="BA131" s="578">
        <v>0</v>
      </c>
      <c r="BB131" s="1086">
        <v>1.6</v>
      </c>
      <c r="BC131" s="405">
        <v>0</v>
      </c>
      <c r="BD131" s="405">
        <v>1.79</v>
      </c>
      <c r="BE131" s="578">
        <v>0</v>
      </c>
      <c r="BF131" s="405">
        <v>0.71</v>
      </c>
      <c r="BG131" s="405">
        <v>0</v>
      </c>
      <c r="BH131" s="578">
        <v>0</v>
      </c>
      <c r="BI131" s="405">
        <v>0</v>
      </c>
      <c r="BJ131" s="405">
        <v>23.1</v>
      </c>
      <c r="BK131" s="405">
        <v>1.75</v>
      </c>
      <c r="BL131" s="405">
        <v>1.78</v>
      </c>
      <c r="BM131" s="405">
        <v>0</v>
      </c>
      <c r="BN131" s="405">
        <v>17.8</v>
      </c>
      <c r="BO131" s="405">
        <v>994.3</v>
      </c>
      <c r="BP131" s="405">
        <v>34.200000000000003</v>
      </c>
      <c r="BQ131" s="522">
        <v>19.38</v>
      </c>
      <c r="BR131" s="522">
        <v>19.350000000000001</v>
      </c>
      <c r="BS131" s="649">
        <v>9.09</v>
      </c>
      <c r="BT131" s="649">
        <v>9.2100000000000009</v>
      </c>
      <c r="BU131" s="648">
        <v>20.2</v>
      </c>
      <c r="BV131" s="648">
        <v>19.7</v>
      </c>
      <c r="BW131" s="649">
        <v>698.1</v>
      </c>
      <c r="BX131" s="876"/>
      <c r="BY131" s="649">
        <v>0.15</v>
      </c>
      <c r="BZ131" s="649">
        <v>1.4</v>
      </c>
      <c r="CA131" s="649">
        <v>1.3</v>
      </c>
      <c r="CB131" s="649">
        <v>8.6999999999999993</v>
      </c>
      <c r="CC131" s="649">
        <v>8.1</v>
      </c>
      <c r="CD131" s="649">
        <v>15.1</v>
      </c>
      <c r="CE131" s="649">
        <v>34.5</v>
      </c>
      <c r="CF131" s="649">
        <v>12</v>
      </c>
      <c r="CG131" s="649">
        <v>6.58</v>
      </c>
      <c r="CH131" s="649">
        <v>11.8</v>
      </c>
      <c r="CI131" s="649">
        <v>15.9</v>
      </c>
      <c r="CJ131" s="649">
        <v>13.78</v>
      </c>
      <c r="CK131" s="522">
        <v>266.60000000000002</v>
      </c>
      <c r="CL131" s="649">
        <v>1.7</v>
      </c>
      <c r="CM131" s="522">
        <v>2</v>
      </c>
      <c r="CN131" s="991">
        <v>820</v>
      </c>
      <c r="CO131" s="522">
        <v>351.8</v>
      </c>
      <c r="CP131" s="522">
        <v>484</v>
      </c>
      <c r="CQ131" s="522">
        <v>2.9</v>
      </c>
      <c r="CR131" s="649">
        <v>1.98</v>
      </c>
      <c r="CS131" s="405">
        <v>5118.1000000000004</v>
      </c>
      <c r="CT131" s="405">
        <v>15.496</v>
      </c>
      <c r="CU131" s="405">
        <v>51</v>
      </c>
      <c r="CV131" s="522">
        <v>0</v>
      </c>
      <c r="CW131" s="522">
        <v>0</v>
      </c>
      <c r="CX131" s="522">
        <v>0</v>
      </c>
      <c r="CY131" s="522">
        <v>0</v>
      </c>
      <c r="CZ131" s="689">
        <v>1480</v>
      </c>
      <c r="DA131" s="689">
        <v>2320</v>
      </c>
      <c r="DB131" s="689">
        <v>1590</v>
      </c>
      <c r="DC131" s="643">
        <v>1157</v>
      </c>
      <c r="DD131" s="522"/>
      <c r="DE131" s="522"/>
      <c r="DF131" s="522"/>
      <c r="DG131" s="522"/>
      <c r="DH131" s="522"/>
      <c r="DI131" s="522"/>
      <c r="DJ131" s="522"/>
      <c r="DK131" s="522"/>
      <c r="DL131" s="649"/>
      <c r="DM131" s="689"/>
      <c r="DN131" s="649"/>
      <c r="DO131" s="522"/>
      <c r="DP131" s="522"/>
      <c r="DQ131" s="522"/>
      <c r="DR131" s="522"/>
      <c r="DS131" s="522"/>
      <c r="DT131" s="522"/>
      <c r="DU131" s="522"/>
      <c r="DV131" s="522"/>
      <c r="DW131" s="522"/>
      <c r="DX131" s="522"/>
      <c r="DY131" s="522"/>
      <c r="DZ131" s="522"/>
      <c r="EA131" s="522"/>
      <c r="EB131" s="522"/>
      <c r="EC131" s="522"/>
      <c r="ED131" s="522"/>
      <c r="EE131" s="522"/>
      <c r="EF131" s="522"/>
      <c r="EG131" s="645">
        <f t="shared" si="56"/>
        <v>9.3284099999999999</v>
      </c>
      <c r="EH131" s="361">
        <v>0</v>
      </c>
      <c r="EI131" s="647">
        <v>0</v>
      </c>
      <c r="EJ131" s="647">
        <f t="shared" si="120"/>
        <v>2.5</v>
      </c>
      <c r="EK131" s="647">
        <f t="shared" si="121"/>
        <v>3.5300000000000002</v>
      </c>
      <c r="EL131" s="522"/>
      <c r="EM131" s="522"/>
      <c r="EN131" s="522"/>
      <c r="EO131" s="522"/>
      <c r="EP131" s="522"/>
      <c r="EQ131" s="522"/>
      <c r="ER131" s="522"/>
      <c r="ES131" s="407"/>
      <c r="ET131" s="407"/>
    </row>
    <row r="132" spans="1:150" s="357" customFormat="1" ht="15">
      <c r="A132" s="675" t="s">
        <v>5</v>
      </c>
      <c r="B132" s="712">
        <v>41758</v>
      </c>
      <c r="C132" s="358">
        <v>0</v>
      </c>
      <c r="D132" s="405">
        <v>0</v>
      </c>
      <c r="E132" s="681">
        <v>0</v>
      </c>
      <c r="F132" s="681">
        <v>58.2</v>
      </c>
      <c r="G132" s="681">
        <v>1.6</v>
      </c>
      <c r="H132" s="405" t="s">
        <v>744</v>
      </c>
      <c r="I132" s="405">
        <v>92.2</v>
      </c>
      <c r="J132" s="405">
        <v>0.06</v>
      </c>
      <c r="K132" s="405" t="s">
        <v>744</v>
      </c>
      <c r="L132" s="821">
        <f t="shared" si="69"/>
        <v>46.2</v>
      </c>
      <c r="M132" s="405">
        <v>20</v>
      </c>
      <c r="N132" s="405">
        <v>1.49</v>
      </c>
      <c r="O132" s="405">
        <v>1.7273805118345824</v>
      </c>
      <c r="P132" s="405">
        <v>0</v>
      </c>
      <c r="Q132" s="405" t="s">
        <v>743</v>
      </c>
      <c r="R132" s="790">
        <v>686.03055217965641</v>
      </c>
      <c r="S132" s="405">
        <v>8</v>
      </c>
      <c r="T132" s="405">
        <v>0</v>
      </c>
      <c r="U132" s="405">
        <v>0.72199999999999998</v>
      </c>
      <c r="V132" s="807">
        <v>0</v>
      </c>
      <c r="W132" s="807">
        <v>44.239999999999995</v>
      </c>
      <c r="X132" s="647" t="e">
        <v>#VALUE!</v>
      </c>
      <c r="Y132" s="383">
        <v>20.8</v>
      </c>
      <c r="Z132" s="681">
        <v>25.6</v>
      </c>
      <c r="AA132" s="794">
        <v>20.7</v>
      </c>
      <c r="AB132" s="794">
        <v>25.5</v>
      </c>
      <c r="AC132" s="775">
        <f t="shared" si="122"/>
        <v>46.2</v>
      </c>
      <c r="AD132" s="775">
        <f t="shared" si="123"/>
        <v>71.471400000000003</v>
      </c>
      <c r="AE132" s="775"/>
      <c r="AF132" s="567"/>
      <c r="AG132" s="2">
        <v>1.6</v>
      </c>
      <c r="AH132" s="705"/>
      <c r="AI132" s="362"/>
      <c r="AJ132" s="2"/>
      <c r="AK132" s="407"/>
      <c r="AL132" s="407"/>
      <c r="AM132" s="407"/>
      <c r="AN132" s="407"/>
      <c r="AO132" s="387"/>
      <c r="AP132" s="387"/>
      <c r="AQ132" s="405"/>
      <c r="AR132" s="578">
        <v>0</v>
      </c>
      <c r="AS132" s="405">
        <v>11</v>
      </c>
      <c r="AT132" s="578">
        <v>0</v>
      </c>
      <c r="AU132" s="405">
        <v>21.3</v>
      </c>
      <c r="AV132" s="644">
        <v>392.3</v>
      </c>
      <c r="AW132" s="644">
        <v>489.6</v>
      </c>
      <c r="AX132" s="405">
        <v>0</v>
      </c>
      <c r="AY132" s="578">
        <v>0</v>
      </c>
      <c r="AZ132" s="578">
        <v>0</v>
      </c>
      <c r="BA132" s="578">
        <v>0</v>
      </c>
      <c r="BB132" s="1086">
        <v>1.6</v>
      </c>
      <c r="BC132" s="405">
        <v>0</v>
      </c>
      <c r="BD132" s="405">
        <v>1.79</v>
      </c>
      <c r="BE132" s="578">
        <v>0</v>
      </c>
      <c r="BF132" s="405">
        <v>0.71</v>
      </c>
      <c r="BG132" s="405">
        <v>0</v>
      </c>
      <c r="BH132" s="578">
        <v>0</v>
      </c>
      <c r="BI132" s="405">
        <v>0</v>
      </c>
      <c r="BJ132" s="405">
        <v>23.2</v>
      </c>
      <c r="BK132" s="405">
        <v>2.4900000000000002</v>
      </c>
      <c r="BL132" s="405">
        <v>2.16</v>
      </c>
      <c r="BM132" s="405">
        <v>0</v>
      </c>
      <c r="BN132" s="405">
        <v>17</v>
      </c>
      <c r="BO132" s="405">
        <v>1019.7</v>
      </c>
      <c r="BP132" s="405">
        <v>0</v>
      </c>
      <c r="BQ132" s="522">
        <v>19.829999999999998</v>
      </c>
      <c r="BR132" s="522">
        <v>19.8</v>
      </c>
      <c r="BS132" s="649">
        <v>8.8699999999999992</v>
      </c>
      <c r="BT132" s="649">
        <v>8.99</v>
      </c>
      <c r="BU132" s="648">
        <v>19.8</v>
      </c>
      <c r="BV132" s="648">
        <v>19.899999999999999</v>
      </c>
      <c r="BW132" s="649">
        <v>491.3</v>
      </c>
      <c r="BX132" s="876"/>
      <c r="BY132" s="991">
        <v>0.15</v>
      </c>
      <c r="BZ132" s="649">
        <v>1.41</v>
      </c>
      <c r="CA132" s="649">
        <v>1.3</v>
      </c>
      <c r="CB132" s="649">
        <v>8.8000000000000007</v>
      </c>
      <c r="CC132" s="649">
        <v>8.3000000000000007</v>
      </c>
      <c r="CD132" s="649">
        <v>15.1</v>
      </c>
      <c r="CE132" s="649">
        <v>34.299999999999997</v>
      </c>
      <c r="CF132" s="649">
        <v>14.7</v>
      </c>
      <c r="CG132" s="649">
        <v>5.9</v>
      </c>
      <c r="CH132" s="649">
        <v>11</v>
      </c>
      <c r="CI132" s="649">
        <v>15.1</v>
      </c>
      <c r="CJ132" s="649">
        <v>14.06</v>
      </c>
      <c r="CK132" s="522">
        <v>234.7</v>
      </c>
      <c r="CL132" s="649">
        <v>1.1000000000000001</v>
      </c>
      <c r="CM132" s="522">
        <v>0.5</v>
      </c>
      <c r="CN132" s="991">
        <v>820</v>
      </c>
      <c r="CO132" s="522">
        <v>385.8</v>
      </c>
      <c r="CP132" s="522">
        <v>475.8</v>
      </c>
      <c r="CQ132" s="522">
        <v>3.4</v>
      </c>
      <c r="CR132" s="649">
        <v>2.35</v>
      </c>
      <c r="CS132" s="405">
        <v>6854</v>
      </c>
      <c r="CT132" s="405">
        <v>15.617000000000001</v>
      </c>
      <c r="CU132" s="405">
        <v>51</v>
      </c>
      <c r="CV132" s="522">
        <v>0</v>
      </c>
      <c r="CW132" s="522">
        <v>0</v>
      </c>
      <c r="CX132" s="522">
        <v>0</v>
      </c>
      <c r="CY132" s="522">
        <v>0</v>
      </c>
      <c r="CZ132" s="689">
        <v>1430</v>
      </c>
      <c r="DA132" s="689">
        <v>2180</v>
      </c>
      <c r="DB132" s="689">
        <v>1510</v>
      </c>
      <c r="DC132" s="643">
        <v>1157.3699999999999</v>
      </c>
      <c r="DD132" s="522"/>
      <c r="DE132" s="522"/>
      <c r="DF132" s="522"/>
      <c r="DG132" s="522"/>
      <c r="DH132" s="522"/>
      <c r="DI132" s="522"/>
      <c r="DJ132" s="522"/>
      <c r="DK132" s="522"/>
      <c r="DL132" s="649"/>
      <c r="DM132" s="689"/>
      <c r="DN132" s="649"/>
      <c r="DO132" s="522"/>
      <c r="DP132" s="522"/>
      <c r="DQ132" s="522"/>
      <c r="DR132" s="522"/>
      <c r="DS132" s="522"/>
      <c r="DT132" s="522"/>
      <c r="DU132" s="522"/>
      <c r="DV132" s="522"/>
      <c r="DW132" s="522"/>
      <c r="DX132" s="522"/>
      <c r="DY132" s="522"/>
      <c r="DZ132" s="522"/>
      <c r="EA132" s="522"/>
      <c r="EB132" s="522"/>
      <c r="EC132" s="522"/>
      <c r="ED132" s="522"/>
      <c r="EE132" s="522"/>
      <c r="EF132" s="522"/>
      <c r="EG132" s="645">
        <f t="shared" si="56"/>
        <v>11.06105</v>
      </c>
      <c r="EH132" s="361">
        <v>0</v>
      </c>
      <c r="EI132" s="647">
        <v>0</v>
      </c>
      <c r="EJ132" s="647">
        <f t="shared" si="120"/>
        <v>2.5</v>
      </c>
      <c r="EK132" s="647">
        <f t="shared" si="121"/>
        <v>4.6500000000000004</v>
      </c>
      <c r="EL132" s="522"/>
      <c r="EM132" s="522"/>
      <c r="EN132" s="522"/>
      <c r="EO132" s="522"/>
      <c r="EP132" s="522"/>
      <c r="EQ132" s="522"/>
      <c r="ER132" s="522"/>
      <c r="ES132" s="407"/>
      <c r="ET132" s="407"/>
    </row>
    <row r="133" spans="1:150" s="357" customFormat="1" ht="15">
      <c r="A133" s="675" t="s">
        <v>6</v>
      </c>
      <c r="B133" s="712">
        <v>41759</v>
      </c>
      <c r="C133" s="358">
        <v>0</v>
      </c>
      <c r="D133" s="405">
        <v>0</v>
      </c>
      <c r="E133" s="681">
        <v>0</v>
      </c>
      <c r="F133" s="681">
        <v>65</v>
      </c>
      <c r="G133" s="681">
        <v>1.5</v>
      </c>
      <c r="H133" s="405" t="s">
        <v>744</v>
      </c>
      <c r="I133" s="405">
        <v>92.4</v>
      </c>
      <c r="J133" s="405">
        <v>0.06</v>
      </c>
      <c r="K133" s="405" t="s">
        <v>744</v>
      </c>
      <c r="L133" s="821">
        <f t="shared" si="69"/>
        <v>46.269999999999996</v>
      </c>
      <c r="M133" s="405">
        <v>19.8</v>
      </c>
      <c r="N133" s="405">
        <v>1.52</v>
      </c>
      <c r="O133" s="405">
        <v>1.7245599145305595</v>
      </c>
      <c r="P133" s="405">
        <v>0</v>
      </c>
      <c r="Q133" s="405" t="s">
        <v>743</v>
      </c>
      <c r="R133" s="790">
        <v>679.87635931307784</v>
      </c>
      <c r="S133" s="405">
        <v>7.91</v>
      </c>
      <c r="T133" s="405">
        <v>0</v>
      </c>
      <c r="U133" s="405">
        <v>0.71</v>
      </c>
      <c r="V133" s="807">
        <v>0</v>
      </c>
      <c r="W133" s="807">
        <v>44.600000000000009</v>
      </c>
      <c r="X133" s="647" t="e">
        <v>#VALUE!</v>
      </c>
      <c r="Y133" s="383">
        <v>20.7</v>
      </c>
      <c r="Z133" s="681">
        <v>25.5</v>
      </c>
      <c r="AA133" s="794">
        <v>20.8</v>
      </c>
      <c r="AB133" s="794">
        <v>25.47</v>
      </c>
      <c r="AC133" s="775">
        <f t="shared" ref="AC133" si="124">AA133+AB133</f>
        <v>46.269999999999996</v>
      </c>
      <c r="AD133" s="775">
        <f t="shared" ref="AD133" si="125">AC133*1.547</f>
        <v>71.579689999999985</v>
      </c>
      <c r="AE133" s="775"/>
      <c r="AF133" s="567"/>
      <c r="AG133" s="2">
        <v>1.6</v>
      </c>
      <c r="AH133" s="705"/>
      <c r="AI133" s="362"/>
      <c r="AJ133" s="2"/>
      <c r="AK133" s="407"/>
      <c r="AL133" s="407"/>
      <c r="AM133" s="407"/>
      <c r="AN133" s="407"/>
      <c r="AO133" s="387"/>
      <c r="AP133" s="387"/>
      <c r="AQ133" s="405"/>
      <c r="AR133" s="578">
        <v>0</v>
      </c>
      <c r="AS133" s="405">
        <v>22</v>
      </c>
      <c r="AT133" s="578">
        <v>0</v>
      </c>
      <c r="AU133" s="405">
        <v>21.4</v>
      </c>
      <c r="AV133" s="644">
        <v>371.4</v>
      </c>
      <c r="AW133" s="644">
        <v>567.70000000000005</v>
      </c>
      <c r="AX133" s="405">
        <v>0</v>
      </c>
      <c r="AY133" s="578">
        <v>0</v>
      </c>
      <c r="AZ133" s="578">
        <v>0</v>
      </c>
      <c r="BA133" s="578">
        <v>0</v>
      </c>
      <c r="BB133" s="1086">
        <v>1.6</v>
      </c>
      <c r="BC133" s="405">
        <v>0.37</v>
      </c>
      <c r="BD133" s="405">
        <v>1.8</v>
      </c>
      <c r="BE133" s="578">
        <v>0</v>
      </c>
      <c r="BF133" s="405">
        <v>0.33</v>
      </c>
      <c r="BG133" s="405">
        <v>0</v>
      </c>
      <c r="BH133" s="578">
        <v>0</v>
      </c>
      <c r="BI133" s="405">
        <v>0</v>
      </c>
      <c r="BJ133" s="405">
        <v>23.2</v>
      </c>
      <c r="BK133" s="405">
        <v>3.25</v>
      </c>
      <c r="BL133" s="405">
        <v>2.69</v>
      </c>
      <c r="BM133" s="405">
        <v>0</v>
      </c>
      <c r="BN133" s="405">
        <v>15.5</v>
      </c>
      <c r="BO133" s="405">
        <v>1587.8</v>
      </c>
      <c r="BP133" s="405">
        <v>0</v>
      </c>
      <c r="BQ133" s="522">
        <v>19.579999999999998</v>
      </c>
      <c r="BR133" s="522">
        <v>19.55</v>
      </c>
      <c r="BS133" s="649">
        <v>8.82</v>
      </c>
      <c r="BT133" s="649">
        <v>8.93</v>
      </c>
      <c r="BU133" s="648">
        <v>19.7</v>
      </c>
      <c r="BV133" s="648">
        <v>21.7</v>
      </c>
      <c r="BW133" s="649">
        <v>716.8</v>
      </c>
      <c r="BX133" s="876"/>
      <c r="BY133" s="649">
        <v>0.15</v>
      </c>
      <c r="BZ133" s="649">
        <v>1.41</v>
      </c>
      <c r="CA133" s="649">
        <v>1.3</v>
      </c>
      <c r="CB133" s="649">
        <v>8.8000000000000007</v>
      </c>
      <c r="CC133" s="649">
        <v>8.4</v>
      </c>
      <c r="CD133" s="649">
        <v>15.2</v>
      </c>
      <c r="CE133" s="649">
        <v>34.1</v>
      </c>
      <c r="CF133" s="649">
        <v>13.8</v>
      </c>
      <c r="CG133" s="649">
        <v>7.8</v>
      </c>
      <c r="CH133" s="649">
        <v>13.3</v>
      </c>
      <c r="CI133" s="649">
        <v>17.350000000000001</v>
      </c>
      <c r="CJ133" s="649">
        <v>14.29</v>
      </c>
      <c r="CK133" s="522">
        <v>214.8</v>
      </c>
      <c r="CL133" s="649">
        <v>1.1000000000000001</v>
      </c>
      <c r="CM133" s="522">
        <v>0.4</v>
      </c>
      <c r="CN133" s="991">
        <v>820</v>
      </c>
      <c r="CO133" s="522">
        <v>413.7</v>
      </c>
      <c r="CP133" s="522">
        <v>492</v>
      </c>
      <c r="CQ133" s="522">
        <v>3.5</v>
      </c>
      <c r="CR133" s="649">
        <v>2.46</v>
      </c>
      <c r="CS133" s="405">
        <v>7233.6</v>
      </c>
      <c r="CT133" s="405">
        <v>15.404</v>
      </c>
      <c r="CU133" s="405">
        <v>52</v>
      </c>
      <c r="CV133" s="522">
        <v>0</v>
      </c>
      <c r="CW133" s="522">
        <v>0</v>
      </c>
      <c r="CX133" s="522">
        <v>0</v>
      </c>
      <c r="CY133" s="522">
        <v>0</v>
      </c>
      <c r="CZ133" s="689">
        <v>1420</v>
      </c>
      <c r="DA133" s="689">
        <v>2100</v>
      </c>
      <c r="DB133" s="689">
        <v>1510</v>
      </c>
      <c r="DC133" s="643">
        <v>1157.6099999999999</v>
      </c>
      <c r="DD133" s="522"/>
      <c r="DE133" s="522"/>
      <c r="DF133" s="522"/>
      <c r="DG133" s="522"/>
      <c r="DH133" s="522"/>
      <c r="DI133" s="522"/>
      <c r="DJ133" s="522"/>
      <c r="DK133" s="522"/>
      <c r="DL133" s="649"/>
      <c r="DM133" s="689"/>
      <c r="DN133" s="649"/>
      <c r="DO133" s="522"/>
      <c r="DP133" s="522"/>
      <c r="DQ133" s="522"/>
      <c r="DR133" s="522"/>
      <c r="DS133" s="522"/>
      <c r="DT133" s="522"/>
      <c r="DU133" s="522"/>
      <c r="DV133" s="522"/>
      <c r="DW133" s="522"/>
      <c r="DX133" s="522"/>
      <c r="DY133" s="522"/>
      <c r="DZ133" s="522"/>
      <c r="EA133" s="522"/>
      <c r="EB133" s="522"/>
      <c r="EC133" s="522"/>
      <c r="ED133" s="522"/>
      <c r="EE133" s="522"/>
      <c r="EF133" s="522"/>
      <c r="EG133" s="645">
        <f t="shared" si="56"/>
        <v>13.056679999999998</v>
      </c>
      <c r="EH133" s="361">
        <v>0</v>
      </c>
      <c r="EI133" s="647">
        <v>0</v>
      </c>
      <c r="EJ133" s="647">
        <f t="shared" si="120"/>
        <v>2.5</v>
      </c>
      <c r="EK133" s="647">
        <f t="shared" si="121"/>
        <v>5.9399999999999995</v>
      </c>
      <c r="EL133" s="522"/>
      <c r="EM133" s="522"/>
      <c r="EN133" s="522"/>
      <c r="EO133" s="522"/>
      <c r="EP133" s="522"/>
      <c r="EQ133" s="522"/>
      <c r="ER133" s="522"/>
      <c r="ES133" s="407"/>
      <c r="ET133" s="407"/>
    </row>
    <row r="134" spans="1:150" s="357" customFormat="1" ht="15">
      <c r="A134" s="675" t="s">
        <v>7</v>
      </c>
      <c r="B134" s="712">
        <v>41760</v>
      </c>
      <c r="C134" s="358">
        <v>0</v>
      </c>
      <c r="D134" s="405">
        <v>0</v>
      </c>
      <c r="E134" s="681">
        <v>0</v>
      </c>
      <c r="F134" s="681">
        <v>52</v>
      </c>
      <c r="G134" s="681">
        <v>2.1</v>
      </c>
      <c r="H134" s="405" t="s">
        <v>744</v>
      </c>
      <c r="I134" s="405">
        <v>92.4</v>
      </c>
      <c r="J134" s="405">
        <v>0.06</v>
      </c>
      <c r="K134" s="405" t="s">
        <v>744</v>
      </c>
      <c r="L134" s="821">
        <f t="shared" si="69"/>
        <v>46.230000000000004</v>
      </c>
      <c r="M134" s="405">
        <v>19.7</v>
      </c>
      <c r="N134" s="405">
        <v>1.51</v>
      </c>
      <c r="O134" s="405">
        <v>1.7301167448744688</v>
      </c>
      <c r="P134" s="405">
        <v>0</v>
      </c>
      <c r="Q134" s="405" t="s">
        <v>743</v>
      </c>
      <c r="R134" s="790">
        <v>684.08712285336844</v>
      </c>
      <c r="S134" s="405">
        <v>7.81</v>
      </c>
      <c r="T134" s="405">
        <v>0</v>
      </c>
      <c r="U134" s="405">
        <v>0.7</v>
      </c>
      <c r="V134" s="807">
        <v>0</v>
      </c>
      <c r="W134" s="807">
        <v>44.239999999999995</v>
      </c>
      <c r="X134" s="647" t="e">
        <v>#VALUE!</v>
      </c>
      <c r="Y134" s="383">
        <v>20.8</v>
      </c>
      <c r="Z134" s="681">
        <v>25.47</v>
      </c>
      <c r="AA134" s="794">
        <v>20.7</v>
      </c>
      <c r="AB134" s="794">
        <v>25.53</v>
      </c>
      <c r="AC134" s="775">
        <f t="shared" ref="AC134" si="126">AA134+AB134</f>
        <v>46.230000000000004</v>
      </c>
      <c r="AD134" s="775">
        <f t="shared" ref="AD134" si="127">AC134*1.547</f>
        <v>71.517809999999997</v>
      </c>
      <c r="AE134" s="775"/>
      <c r="AF134" s="567"/>
      <c r="AG134" s="2">
        <v>1.6</v>
      </c>
      <c r="AH134" s="995"/>
      <c r="AI134" s="362"/>
      <c r="AJ134" s="996"/>
      <c r="AK134" s="407"/>
      <c r="AL134" s="407"/>
      <c r="AM134" s="407"/>
      <c r="AN134" s="407"/>
      <c r="AO134" s="387"/>
      <c r="AP134" s="387"/>
      <c r="AQ134" s="1028"/>
      <c r="AR134" s="578">
        <v>0</v>
      </c>
      <c r="AS134" s="405">
        <v>11.1</v>
      </c>
      <c r="AT134" s="578">
        <v>0</v>
      </c>
      <c r="AU134" s="405">
        <v>21.4</v>
      </c>
      <c r="AV134" s="644">
        <v>398.4</v>
      </c>
      <c r="AW134" s="644">
        <v>603.70000000000005</v>
      </c>
      <c r="AX134" s="405">
        <v>0</v>
      </c>
      <c r="AY134" s="578">
        <v>0</v>
      </c>
      <c r="AZ134" s="578">
        <v>0</v>
      </c>
      <c r="BA134" s="578">
        <v>0</v>
      </c>
      <c r="BB134" s="1086">
        <v>1.6</v>
      </c>
      <c r="BC134" s="405">
        <v>0.73</v>
      </c>
      <c r="BD134" s="405">
        <v>1.78</v>
      </c>
      <c r="BE134" s="578">
        <v>0</v>
      </c>
      <c r="BF134" s="405">
        <v>0</v>
      </c>
      <c r="BG134" s="405">
        <v>0</v>
      </c>
      <c r="BH134" s="578">
        <v>0</v>
      </c>
      <c r="BI134" s="405">
        <v>0</v>
      </c>
      <c r="BJ134" s="405">
        <v>23.2</v>
      </c>
      <c r="BK134" s="405">
        <v>3.28</v>
      </c>
      <c r="BL134" s="405">
        <v>2.67</v>
      </c>
      <c r="BM134" s="405">
        <v>0</v>
      </c>
      <c r="BN134" s="405">
        <v>15.6</v>
      </c>
      <c r="BO134" s="405">
        <v>1153.4000000000001</v>
      </c>
      <c r="BP134" s="405">
        <v>0</v>
      </c>
      <c r="BQ134" s="649">
        <v>19.11</v>
      </c>
      <c r="BR134" s="649">
        <v>19.079999999999998</v>
      </c>
      <c r="BS134" s="522">
        <v>8.7799999999999994</v>
      </c>
      <c r="BT134" s="649">
        <v>8.8800000000000008</v>
      </c>
      <c r="BU134" s="648">
        <v>19.600000000000001</v>
      </c>
      <c r="BV134" s="648">
        <v>22.3</v>
      </c>
      <c r="BW134" s="649">
        <v>747.6</v>
      </c>
      <c r="BX134" s="876"/>
      <c r="BY134" s="649">
        <v>0.15</v>
      </c>
      <c r="BZ134" s="649">
        <v>1.42</v>
      </c>
      <c r="CA134" s="649">
        <v>1.3</v>
      </c>
      <c r="CB134" s="649">
        <v>8.8000000000000007</v>
      </c>
      <c r="CC134" s="649">
        <v>8.5</v>
      </c>
      <c r="CD134" s="649">
        <v>15</v>
      </c>
      <c r="CE134" s="649">
        <v>33.9</v>
      </c>
      <c r="CF134" s="649">
        <v>13</v>
      </c>
      <c r="CG134" s="649">
        <v>7</v>
      </c>
      <c r="CH134" s="649">
        <v>12.3</v>
      </c>
      <c r="CI134" s="649">
        <v>16.329999999999998</v>
      </c>
      <c r="CJ134" s="649">
        <v>14.1</v>
      </c>
      <c r="CK134" s="522">
        <v>207.7</v>
      </c>
      <c r="CL134" s="649">
        <v>1.6</v>
      </c>
      <c r="CM134" s="522">
        <v>1.5</v>
      </c>
      <c r="CN134" s="991">
        <v>820</v>
      </c>
      <c r="CO134" s="522">
        <v>411.9</v>
      </c>
      <c r="CP134" s="522">
        <v>491.3</v>
      </c>
      <c r="CQ134" s="522">
        <v>3.6</v>
      </c>
      <c r="CR134" s="649">
        <v>2.4</v>
      </c>
      <c r="CS134" s="405">
        <v>7415.3</v>
      </c>
      <c r="CT134" s="405">
        <v>16.832000000000001</v>
      </c>
      <c r="CU134" s="405">
        <v>52</v>
      </c>
      <c r="CV134" s="522">
        <v>0</v>
      </c>
      <c r="CW134" s="522">
        <v>0</v>
      </c>
      <c r="CX134" s="522">
        <v>0</v>
      </c>
      <c r="CY134" s="522">
        <v>0</v>
      </c>
      <c r="CZ134" s="689">
        <v>1520</v>
      </c>
      <c r="DA134" s="689">
        <v>2150</v>
      </c>
      <c r="DB134" s="689">
        <v>1620</v>
      </c>
      <c r="DC134" s="643">
        <v>1157.95</v>
      </c>
      <c r="DD134" s="522"/>
      <c r="DE134" s="522"/>
      <c r="DF134" s="522"/>
      <c r="DG134" s="522"/>
      <c r="DH134" s="522"/>
      <c r="DI134" s="522"/>
      <c r="DJ134" s="522"/>
      <c r="DK134" s="522"/>
      <c r="DL134" s="649"/>
      <c r="DM134" s="689"/>
      <c r="DN134" s="649"/>
      <c r="DO134" s="522"/>
      <c r="DP134" s="522"/>
      <c r="DQ134" s="522"/>
      <c r="DR134" s="522"/>
      <c r="DS134" s="522"/>
      <c r="DT134" s="522"/>
      <c r="DU134" s="522"/>
      <c r="DV134" s="522"/>
      <c r="DW134" s="522"/>
      <c r="DX134" s="522"/>
      <c r="DY134" s="522"/>
      <c r="DZ134" s="522"/>
      <c r="EA134" s="522"/>
      <c r="EB134" s="522"/>
      <c r="EC134" s="522"/>
      <c r="ED134" s="522"/>
      <c r="EE134" s="522"/>
      <c r="EF134" s="522"/>
      <c r="EG134" s="645">
        <f t="shared" si="56"/>
        <v>13.087619999999998</v>
      </c>
      <c r="EH134" s="361">
        <v>0</v>
      </c>
      <c r="EI134" s="647">
        <v>0</v>
      </c>
      <c r="EJ134" s="647">
        <f t="shared" si="120"/>
        <v>2.5099999999999998</v>
      </c>
      <c r="EK134" s="647">
        <f t="shared" si="121"/>
        <v>5.9499999999999993</v>
      </c>
      <c r="EL134" s="522"/>
      <c r="EM134" s="522"/>
      <c r="EN134" s="522"/>
      <c r="EO134" s="522"/>
      <c r="EP134" s="522"/>
      <c r="EQ134" s="522"/>
      <c r="ER134" s="522"/>
      <c r="ES134" s="407"/>
      <c r="ET134" s="407"/>
    </row>
    <row r="135" spans="1:150" s="357" customFormat="1" ht="15">
      <c r="A135" s="675" t="s">
        <v>8</v>
      </c>
      <c r="B135" s="712">
        <v>41761</v>
      </c>
      <c r="C135" s="358">
        <v>0</v>
      </c>
      <c r="D135" s="405">
        <v>0.14000000000000001</v>
      </c>
      <c r="E135" s="681">
        <v>0</v>
      </c>
      <c r="F135" s="681">
        <v>52</v>
      </c>
      <c r="G135" s="681">
        <v>2.5499999999999998</v>
      </c>
      <c r="H135" s="405" t="s">
        <v>744</v>
      </c>
      <c r="I135" s="405">
        <v>92.23</v>
      </c>
      <c r="J135" s="405">
        <v>0.06</v>
      </c>
      <c r="K135" s="405" t="s">
        <v>744</v>
      </c>
      <c r="L135" s="821">
        <f t="shared" si="69"/>
        <v>46.4</v>
      </c>
      <c r="M135" s="405">
        <v>19.5</v>
      </c>
      <c r="N135" s="405">
        <v>1.51</v>
      </c>
      <c r="O135" s="405">
        <v>1.7217639562238793</v>
      </c>
      <c r="P135" s="405">
        <v>0</v>
      </c>
      <c r="Q135" s="405">
        <v>0</v>
      </c>
      <c r="R135" s="790">
        <v>684.08712285336844</v>
      </c>
      <c r="S135" s="405">
        <v>7.76</v>
      </c>
      <c r="T135" s="405">
        <v>0</v>
      </c>
      <c r="U135" s="405">
        <v>0.69</v>
      </c>
      <c r="V135" s="807">
        <v>0</v>
      </c>
      <c r="W135" s="807">
        <v>44.239999999999995</v>
      </c>
      <c r="X135" s="647" t="e">
        <v>#VALUE!</v>
      </c>
      <c r="Y135" s="383">
        <v>20.7</v>
      </c>
      <c r="Z135" s="681">
        <v>25.53</v>
      </c>
      <c r="AA135" s="794">
        <v>20.9</v>
      </c>
      <c r="AB135" s="794">
        <v>25.5</v>
      </c>
      <c r="AC135" s="775">
        <f t="shared" ref="AC135:AC137" si="128">AA135+AB135</f>
        <v>46.4</v>
      </c>
      <c r="AD135" s="775">
        <f t="shared" ref="AD135:AD137" si="129">AC135*1.547</f>
        <v>71.780799999999999</v>
      </c>
      <c r="AE135" s="775"/>
      <c r="AF135" s="567"/>
      <c r="AG135" s="2">
        <v>1.6</v>
      </c>
      <c r="AH135" s="995"/>
      <c r="AI135" s="362"/>
      <c r="AJ135" s="996"/>
      <c r="AK135" s="407"/>
      <c r="AL135" s="407"/>
      <c r="AM135" s="407"/>
      <c r="AN135" s="407"/>
      <c r="AO135" s="387"/>
      <c r="AP135" s="387"/>
      <c r="AQ135" s="1028"/>
      <c r="AR135" s="578">
        <v>0</v>
      </c>
      <c r="AS135" s="405">
        <v>21.6</v>
      </c>
      <c r="AT135" s="578">
        <v>0</v>
      </c>
      <c r="AU135" s="405">
        <v>21.4</v>
      </c>
      <c r="AV135" s="644">
        <v>242.4</v>
      </c>
      <c r="AW135" s="644">
        <v>341</v>
      </c>
      <c r="AX135" s="405">
        <v>0</v>
      </c>
      <c r="AY135" s="578">
        <v>0</v>
      </c>
      <c r="AZ135" s="578">
        <v>0</v>
      </c>
      <c r="BA135" s="578">
        <v>0</v>
      </c>
      <c r="BB135" s="1086">
        <v>1.6</v>
      </c>
      <c r="BC135" s="405">
        <v>1.23</v>
      </c>
      <c r="BD135" s="405">
        <v>1.93</v>
      </c>
      <c r="BE135" s="578">
        <v>0</v>
      </c>
      <c r="BF135" s="405">
        <v>0</v>
      </c>
      <c r="BG135" s="405">
        <v>0</v>
      </c>
      <c r="BH135" s="578">
        <v>0</v>
      </c>
      <c r="BI135" s="405">
        <v>0</v>
      </c>
      <c r="BJ135" s="405">
        <v>22.5</v>
      </c>
      <c r="BK135" s="405">
        <v>3.27</v>
      </c>
      <c r="BL135" s="405">
        <v>2.12</v>
      </c>
      <c r="BM135" s="405">
        <v>0</v>
      </c>
      <c r="BN135" s="405">
        <v>15.4</v>
      </c>
      <c r="BO135" s="405">
        <v>1066.5999999999999</v>
      </c>
      <c r="BP135" s="405">
        <v>0</v>
      </c>
      <c r="BQ135" s="649">
        <v>19.100000000000001</v>
      </c>
      <c r="BR135" s="649">
        <v>19</v>
      </c>
      <c r="BS135" s="522">
        <v>9</v>
      </c>
      <c r="BT135" s="522">
        <v>9.1</v>
      </c>
      <c r="BU135" s="648">
        <v>20</v>
      </c>
      <c r="BV135" s="648">
        <v>21.4</v>
      </c>
      <c r="BW135" s="649">
        <v>501.3</v>
      </c>
      <c r="BX135" s="876"/>
      <c r="BY135" s="649">
        <v>0.15</v>
      </c>
      <c r="BZ135" s="649">
        <v>1.42</v>
      </c>
      <c r="CA135" s="649">
        <v>1.3</v>
      </c>
      <c r="CB135" s="649">
        <v>8.8000000000000007</v>
      </c>
      <c r="CC135" s="649">
        <v>8.5</v>
      </c>
      <c r="CD135" s="522">
        <v>14.7</v>
      </c>
      <c r="CE135" s="522">
        <v>34</v>
      </c>
      <c r="CF135" s="522">
        <v>12.3</v>
      </c>
      <c r="CG135" s="522">
        <v>6.2</v>
      </c>
      <c r="CH135" s="522">
        <v>11.4</v>
      </c>
      <c r="CI135" s="522">
        <v>15.4</v>
      </c>
      <c r="CJ135" s="522">
        <v>12.69</v>
      </c>
      <c r="CK135" s="522">
        <v>242</v>
      </c>
      <c r="CL135" s="649">
        <v>1.6</v>
      </c>
      <c r="CM135" s="522">
        <v>2</v>
      </c>
      <c r="CN135" s="991">
        <v>820</v>
      </c>
      <c r="CO135" s="522">
        <v>371.9</v>
      </c>
      <c r="CP135" s="649">
        <v>502.8</v>
      </c>
      <c r="CQ135" s="522">
        <v>3.4</v>
      </c>
      <c r="CR135" s="522">
        <v>20.7</v>
      </c>
      <c r="CS135" s="405">
        <v>5642</v>
      </c>
      <c r="CT135" s="405">
        <v>16.286000000000001</v>
      </c>
      <c r="CU135" s="405">
        <v>52</v>
      </c>
      <c r="CV135" s="522">
        <v>0</v>
      </c>
      <c r="CW135" s="522">
        <v>0</v>
      </c>
      <c r="CX135" s="522">
        <v>0</v>
      </c>
      <c r="CY135" s="522">
        <v>0</v>
      </c>
      <c r="CZ135" s="689">
        <v>2180</v>
      </c>
      <c r="DA135" s="689">
        <v>2750</v>
      </c>
      <c r="DB135" s="689">
        <v>2250</v>
      </c>
      <c r="DC135" s="643">
        <v>1158.0999999999999</v>
      </c>
      <c r="DD135" s="522"/>
      <c r="DE135" s="522"/>
      <c r="DF135" s="522"/>
      <c r="DG135" s="522"/>
      <c r="DH135" s="522"/>
      <c r="DI135" s="522"/>
      <c r="DJ135" s="522"/>
      <c r="DK135" s="522"/>
      <c r="DL135" s="649"/>
      <c r="DM135" s="689"/>
      <c r="DN135" s="649"/>
      <c r="DO135" s="522"/>
      <c r="DP135" s="522"/>
      <c r="DQ135" s="522"/>
      <c r="DR135" s="522"/>
      <c r="DS135" s="522"/>
      <c r="DT135" s="522"/>
      <c r="DU135" s="522"/>
      <c r="DV135" s="522"/>
      <c r="DW135" s="522"/>
      <c r="DX135" s="522"/>
      <c r="DY135" s="522"/>
      <c r="DZ135" s="522"/>
      <c r="EA135" s="522"/>
      <c r="EB135" s="522"/>
      <c r="EC135" s="522"/>
      <c r="ED135" s="522"/>
      <c r="EE135" s="522"/>
      <c r="EF135" s="522"/>
      <c r="EG135" s="645">
        <f t="shared" si="56"/>
        <v>13.226850000000001</v>
      </c>
      <c r="EH135" s="361">
        <v>0</v>
      </c>
      <c r="EI135" s="647">
        <v>0</v>
      </c>
      <c r="EJ135" s="647">
        <f t="shared" ref="EJ135:EJ141" si="130">BC135+BD135+BF135</f>
        <v>3.16</v>
      </c>
      <c r="EK135" s="647">
        <f t="shared" ref="EK135:EK141" si="131">BK135+BL135+BM135</f>
        <v>5.3900000000000006</v>
      </c>
      <c r="EL135" s="522"/>
      <c r="EM135" s="522"/>
      <c r="EN135" s="522"/>
      <c r="EO135" s="522"/>
      <c r="EP135" s="522"/>
      <c r="EQ135" s="522"/>
      <c r="ER135" s="522"/>
      <c r="ES135" s="407"/>
      <c r="ET135" s="407"/>
    </row>
    <row r="136" spans="1:150" s="357" customFormat="1" ht="15">
      <c r="A136" s="675" t="s">
        <v>9</v>
      </c>
      <c r="B136" s="712">
        <v>41762</v>
      </c>
      <c r="C136" s="358">
        <v>0</v>
      </c>
      <c r="D136" s="405">
        <v>0.34</v>
      </c>
      <c r="E136" s="681">
        <v>0</v>
      </c>
      <c r="F136" s="681">
        <v>49</v>
      </c>
      <c r="G136" s="681">
        <v>2.5499999999999998</v>
      </c>
      <c r="H136" s="405" t="s">
        <v>744</v>
      </c>
      <c r="I136" s="405">
        <v>91.72</v>
      </c>
      <c r="J136" s="405">
        <v>0.06</v>
      </c>
      <c r="K136" s="405" t="s">
        <v>744</v>
      </c>
      <c r="L136" s="821">
        <f t="shared" si="69"/>
        <v>46.61</v>
      </c>
      <c r="M136" s="405">
        <v>19.2</v>
      </c>
      <c r="N136" s="405">
        <v>1.52</v>
      </c>
      <c r="O136" s="405">
        <v>1.738032506915286</v>
      </c>
      <c r="P136" s="405">
        <v>0</v>
      </c>
      <c r="Q136" s="405">
        <v>0</v>
      </c>
      <c r="R136" s="790">
        <v>682.14369352708047</v>
      </c>
      <c r="S136" s="405">
        <v>8.0730000000000004</v>
      </c>
      <c r="T136" s="405">
        <v>0</v>
      </c>
      <c r="U136" s="405">
        <v>0.67</v>
      </c>
      <c r="V136" s="807">
        <v>0</v>
      </c>
      <c r="W136" s="807">
        <v>44.239999999999995</v>
      </c>
      <c r="X136" s="647" t="e">
        <v>#VALUE!</v>
      </c>
      <c r="Y136" s="383">
        <v>20.9</v>
      </c>
      <c r="Z136" s="681">
        <v>25.5</v>
      </c>
      <c r="AA136" s="794">
        <v>21.06</v>
      </c>
      <c r="AB136" s="794">
        <v>25.55</v>
      </c>
      <c r="AC136" s="775">
        <f t="shared" si="128"/>
        <v>46.61</v>
      </c>
      <c r="AD136" s="775">
        <f t="shared" si="129"/>
        <v>72.105669999999989</v>
      </c>
      <c r="AE136" s="775"/>
      <c r="AF136" s="567"/>
      <c r="AG136" s="2">
        <v>1.6</v>
      </c>
      <c r="AH136" s="995"/>
      <c r="AI136" s="362"/>
      <c r="AJ136" s="996"/>
      <c r="AK136" s="407"/>
      <c r="AL136" s="407"/>
      <c r="AM136" s="407"/>
      <c r="AN136" s="407"/>
      <c r="AO136" s="387"/>
      <c r="AP136" s="387"/>
      <c r="AQ136" s="1028"/>
      <c r="AR136" s="578">
        <v>0</v>
      </c>
      <c r="AS136" s="405">
        <v>10.9</v>
      </c>
      <c r="AT136" s="578">
        <v>0</v>
      </c>
      <c r="AU136" s="405">
        <v>21.7</v>
      </c>
      <c r="AV136" s="644">
        <v>315.39999999999998</v>
      </c>
      <c r="AW136" s="644">
        <v>394.8</v>
      </c>
      <c r="AX136" s="405">
        <v>0</v>
      </c>
      <c r="AY136" s="578">
        <v>0</v>
      </c>
      <c r="AZ136" s="578">
        <v>0</v>
      </c>
      <c r="BA136" s="578">
        <v>0</v>
      </c>
      <c r="BB136" s="1086">
        <v>1.6</v>
      </c>
      <c r="BC136" s="405">
        <v>1.5</v>
      </c>
      <c r="BD136" s="405">
        <v>2</v>
      </c>
      <c r="BE136" s="578">
        <v>0</v>
      </c>
      <c r="BF136" s="405">
        <v>0</v>
      </c>
      <c r="BG136" s="405">
        <v>0</v>
      </c>
      <c r="BH136" s="578">
        <v>0</v>
      </c>
      <c r="BI136" s="405">
        <v>0</v>
      </c>
      <c r="BJ136" s="405">
        <v>22.2</v>
      </c>
      <c r="BK136" s="405">
        <v>3.28</v>
      </c>
      <c r="BL136" s="405">
        <v>1.74</v>
      </c>
      <c r="BM136" s="405">
        <v>0</v>
      </c>
      <c r="BN136" s="405">
        <v>15.5</v>
      </c>
      <c r="BO136" s="405">
        <v>1207.9000000000001</v>
      </c>
      <c r="BP136" s="405">
        <v>0</v>
      </c>
      <c r="BQ136" s="649">
        <v>20.3</v>
      </c>
      <c r="BR136" s="649">
        <v>20.3</v>
      </c>
      <c r="BS136" s="522">
        <v>9.1</v>
      </c>
      <c r="BT136" s="522">
        <v>9.1999999999999993</v>
      </c>
      <c r="BU136" s="648">
        <v>20.2</v>
      </c>
      <c r="BV136" s="648">
        <v>18.3</v>
      </c>
      <c r="BW136" s="649">
        <v>698.3</v>
      </c>
      <c r="BX136" s="876"/>
      <c r="BY136" s="649">
        <v>0.15</v>
      </c>
      <c r="BZ136" s="649">
        <v>1.4</v>
      </c>
      <c r="CA136" s="649">
        <v>1.3</v>
      </c>
      <c r="CB136" s="649">
        <v>8.8000000000000007</v>
      </c>
      <c r="CC136" s="649">
        <v>8.3000000000000007</v>
      </c>
      <c r="CD136" s="522">
        <v>15.2</v>
      </c>
      <c r="CE136" s="522">
        <v>34.4</v>
      </c>
      <c r="CF136" s="522">
        <v>14.7</v>
      </c>
      <c r="CG136" s="522">
        <v>6.2</v>
      </c>
      <c r="CH136" s="649">
        <v>11.4</v>
      </c>
      <c r="CI136" s="522">
        <v>15.4</v>
      </c>
      <c r="CJ136" s="522">
        <v>13.36</v>
      </c>
      <c r="CK136" s="522">
        <v>0</v>
      </c>
      <c r="CL136" s="522">
        <v>2.2000000000000002</v>
      </c>
      <c r="CM136" s="522">
        <v>2.1</v>
      </c>
      <c r="CN136" s="991">
        <v>820</v>
      </c>
      <c r="CO136" s="522">
        <v>356.1</v>
      </c>
      <c r="CP136" s="522">
        <v>481.4</v>
      </c>
      <c r="CQ136" s="522">
        <v>3.2</v>
      </c>
      <c r="CR136" s="522">
        <v>2.16</v>
      </c>
      <c r="CS136" s="405">
        <v>9412.2999999999993</v>
      </c>
      <c r="CT136" s="405">
        <v>16.323</v>
      </c>
      <c r="CU136" s="405">
        <v>52</v>
      </c>
      <c r="CV136" s="522">
        <v>0</v>
      </c>
      <c r="CW136" s="522">
        <v>0</v>
      </c>
      <c r="CX136" s="522">
        <v>0</v>
      </c>
      <c r="CY136" s="522">
        <v>0</v>
      </c>
      <c r="CZ136" s="689">
        <v>2180</v>
      </c>
      <c r="DA136" s="689">
        <v>2860</v>
      </c>
      <c r="DB136" s="689">
        <v>2250</v>
      </c>
      <c r="DC136" s="643">
        <v>1157.9000000000001</v>
      </c>
      <c r="DD136" s="522"/>
      <c r="DE136" s="522"/>
      <c r="DF136" s="522"/>
      <c r="DG136" s="522"/>
      <c r="DH136" s="522"/>
      <c r="DI136" s="522"/>
      <c r="DJ136" s="522"/>
      <c r="DK136" s="522"/>
      <c r="DL136" s="649"/>
      <c r="DM136" s="689"/>
      <c r="DN136" s="649"/>
      <c r="DO136" s="522"/>
      <c r="DP136" s="522"/>
      <c r="DQ136" s="522"/>
      <c r="DR136" s="522"/>
      <c r="DS136" s="522"/>
      <c r="DT136" s="522"/>
      <c r="DU136" s="522"/>
      <c r="DV136" s="522"/>
      <c r="DW136" s="522"/>
      <c r="DX136" s="522"/>
      <c r="DY136" s="522"/>
      <c r="DZ136" s="522"/>
      <c r="EA136" s="522"/>
      <c r="EB136" s="522"/>
      <c r="EC136" s="522"/>
      <c r="ED136" s="522"/>
      <c r="EE136" s="522"/>
      <c r="EF136" s="522"/>
      <c r="EG136" s="645">
        <f t="shared" si="56"/>
        <v>13.180439999999999</v>
      </c>
      <c r="EH136" s="361">
        <v>0</v>
      </c>
      <c r="EI136" s="647">
        <v>0</v>
      </c>
      <c r="EJ136" s="647">
        <f t="shared" si="130"/>
        <v>3.5</v>
      </c>
      <c r="EK136" s="647">
        <f t="shared" si="131"/>
        <v>5.0199999999999996</v>
      </c>
      <c r="EL136" s="522"/>
      <c r="EM136" s="522"/>
      <c r="EN136" s="522"/>
      <c r="EO136" s="522"/>
      <c r="EP136" s="522"/>
      <c r="EQ136" s="522"/>
      <c r="ER136" s="522"/>
      <c r="ES136" s="407"/>
      <c r="ET136" s="407"/>
    </row>
    <row r="137" spans="1:150" s="357" customFormat="1" ht="15">
      <c r="A137" s="675" t="s">
        <v>3</v>
      </c>
      <c r="B137" s="712">
        <v>41763</v>
      </c>
      <c r="C137" s="358">
        <v>0</v>
      </c>
      <c r="D137" s="405">
        <v>0.5</v>
      </c>
      <c r="E137" s="681">
        <v>0</v>
      </c>
      <c r="F137" s="681">
        <v>47</v>
      </c>
      <c r="G137" s="681">
        <v>2.25</v>
      </c>
      <c r="H137" s="405" t="s">
        <v>744</v>
      </c>
      <c r="I137" s="405">
        <v>92.6</v>
      </c>
      <c r="J137" s="405">
        <v>0.06</v>
      </c>
      <c r="K137" s="405" t="s">
        <v>744</v>
      </c>
      <c r="L137" s="821">
        <f t="shared" si="69"/>
        <v>46.66</v>
      </c>
      <c r="M137" s="405">
        <v>18.899999999999999</v>
      </c>
      <c r="N137" s="405">
        <v>1.5289999999999999</v>
      </c>
      <c r="O137" s="405">
        <v>1.7761361054781604</v>
      </c>
      <c r="P137" s="405">
        <v>0</v>
      </c>
      <c r="Q137" s="405" t="s">
        <v>743</v>
      </c>
      <c r="R137" s="790">
        <v>697.69112813738434</v>
      </c>
      <c r="S137" s="405">
        <v>8.09</v>
      </c>
      <c r="T137" s="405">
        <v>0</v>
      </c>
      <c r="U137" s="405">
        <v>0.69</v>
      </c>
      <c r="V137" s="807">
        <v>0</v>
      </c>
      <c r="W137" s="807">
        <v>44.239999999999995</v>
      </c>
      <c r="X137" s="647" t="e">
        <v>#VALUE!</v>
      </c>
      <c r="Y137" s="383">
        <v>21.06</v>
      </c>
      <c r="Z137" s="681">
        <v>25.55</v>
      </c>
      <c r="AA137" s="794">
        <v>21.14</v>
      </c>
      <c r="AB137" s="794">
        <v>25.52</v>
      </c>
      <c r="AC137" s="775">
        <f t="shared" si="128"/>
        <v>46.66</v>
      </c>
      <c r="AD137" s="775">
        <f t="shared" si="129"/>
        <v>72.183019999999985</v>
      </c>
      <c r="AE137" s="775"/>
      <c r="AF137" s="567"/>
      <c r="AG137" s="2">
        <v>1.6</v>
      </c>
      <c r="AH137" s="995"/>
      <c r="AI137" s="362"/>
      <c r="AJ137" s="996"/>
      <c r="AK137" s="407"/>
      <c r="AL137" s="407"/>
      <c r="AM137" s="407"/>
      <c r="AN137" s="407"/>
      <c r="AO137" s="387"/>
      <c r="AP137" s="387"/>
      <c r="AQ137" s="1028"/>
      <c r="AR137" s="578">
        <v>0</v>
      </c>
      <c r="AS137" s="405">
        <v>11.2</v>
      </c>
      <c r="AT137" s="578">
        <v>0</v>
      </c>
      <c r="AU137" s="405">
        <v>21.8</v>
      </c>
      <c r="AV137" s="644">
        <v>475.1</v>
      </c>
      <c r="AW137" s="644">
        <v>555.29999999999995</v>
      </c>
      <c r="AX137" s="405">
        <v>0</v>
      </c>
      <c r="AY137" s="578">
        <v>0</v>
      </c>
      <c r="AZ137" s="578">
        <v>0</v>
      </c>
      <c r="BA137" s="578">
        <v>0</v>
      </c>
      <c r="BB137" s="1086">
        <v>1.6</v>
      </c>
      <c r="BC137" s="405">
        <v>1.49</v>
      </c>
      <c r="BD137" s="405">
        <v>1.99</v>
      </c>
      <c r="BE137" s="578">
        <v>0</v>
      </c>
      <c r="BF137" s="405">
        <v>0</v>
      </c>
      <c r="BG137" s="405">
        <v>0</v>
      </c>
      <c r="BH137" s="578">
        <v>0</v>
      </c>
      <c r="BI137" s="405">
        <v>0</v>
      </c>
      <c r="BJ137" s="405">
        <v>22.1</v>
      </c>
      <c r="BK137" s="405">
        <v>3.19</v>
      </c>
      <c r="BL137" s="405">
        <v>1.94</v>
      </c>
      <c r="BM137" s="405">
        <v>0</v>
      </c>
      <c r="BN137" s="405">
        <v>15.3</v>
      </c>
      <c r="BO137" s="405">
        <v>1189.5999999999999</v>
      </c>
      <c r="BP137" s="405">
        <v>0</v>
      </c>
      <c r="BQ137" s="649">
        <v>22</v>
      </c>
      <c r="BR137" s="649">
        <v>22</v>
      </c>
      <c r="BS137" s="522">
        <v>9</v>
      </c>
      <c r="BT137" s="522">
        <v>9.1</v>
      </c>
      <c r="BU137" s="648">
        <v>20.100000000000001</v>
      </c>
      <c r="BV137" s="648">
        <v>16.8</v>
      </c>
      <c r="BW137" s="649">
        <v>691.2</v>
      </c>
      <c r="BX137" s="876"/>
      <c r="BY137" s="649">
        <v>0.15</v>
      </c>
      <c r="BZ137" s="649">
        <v>1.41</v>
      </c>
      <c r="CA137" s="649">
        <v>1.3</v>
      </c>
      <c r="CB137" s="649">
        <v>8.6999999999999993</v>
      </c>
      <c r="CC137" s="649">
        <v>8.1999999999999993</v>
      </c>
      <c r="CD137" s="649">
        <v>15.8</v>
      </c>
      <c r="CE137" s="522">
        <v>34.299999999999997</v>
      </c>
      <c r="CF137" s="522">
        <v>14</v>
      </c>
      <c r="CG137" s="522">
        <v>5.9</v>
      </c>
      <c r="CH137" s="522">
        <v>11.1</v>
      </c>
      <c r="CI137" s="522">
        <v>15.1</v>
      </c>
      <c r="CJ137" s="522">
        <v>13.79</v>
      </c>
      <c r="CK137" s="522">
        <v>0</v>
      </c>
      <c r="CL137" s="522">
        <v>2</v>
      </c>
      <c r="CM137" s="522">
        <v>1.6</v>
      </c>
      <c r="CN137" s="991">
        <v>820</v>
      </c>
      <c r="CO137" s="522">
        <v>382.6</v>
      </c>
      <c r="CP137" s="522">
        <v>483.7</v>
      </c>
      <c r="CQ137" s="522">
        <v>2.9</v>
      </c>
      <c r="CR137" s="522">
        <v>1.97</v>
      </c>
      <c r="CS137" s="405">
        <v>8446.1</v>
      </c>
      <c r="CT137" s="405">
        <v>15.398</v>
      </c>
      <c r="CU137" s="405">
        <v>52</v>
      </c>
      <c r="CV137" s="522">
        <v>0</v>
      </c>
      <c r="CW137" s="522">
        <v>0</v>
      </c>
      <c r="CX137" s="522">
        <v>0</v>
      </c>
      <c r="CY137" s="522">
        <v>0</v>
      </c>
      <c r="CZ137" s="689">
        <v>1800</v>
      </c>
      <c r="DA137" s="689">
        <v>2560</v>
      </c>
      <c r="DB137" s="689">
        <v>1870</v>
      </c>
      <c r="DC137" s="643">
        <v>1157.75</v>
      </c>
      <c r="DD137" s="522"/>
      <c r="DE137" s="522"/>
      <c r="DF137" s="522"/>
      <c r="DG137" s="522"/>
      <c r="DH137" s="522"/>
      <c r="DI137" s="522"/>
      <c r="DJ137" s="522"/>
      <c r="DK137" s="522"/>
      <c r="DL137" s="649"/>
      <c r="DM137" s="689"/>
      <c r="DN137" s="649"/>
      <c r="DO137" s="522"/>
      <c r="DP137" s="522"/>
      <c r="DQ137" s="522"/>
      <c r="DR137" s="522"/>
      <c r="DS137" s="522"/>
      <c r="DT137" s="522"/>
      <c r="DU137" s="522"/>
      <c r="DV137" s="522"/>
      <c r="DW137" s="522"/>
      <c r="DX137" s="522"/>
      <c r="DY137" s="522"/>
      <c r="DZ137" s="522"/>
      <c r="EA137" s="522"/>
      <c r="EB137" s="522"/>
      <c r="EC137" s="522"/>
      <c r="ED137" s="522"/>
      <c r="EE137" s="522"/>
      <c r="EF137" s="522"/>
      <c r="EG137" s="645">
        <f t="shared" ref="EG137:EG200" si="132">(SUM(EH137:EK137))*1.547</f>
        <v>13.319669999999999</v>
      </c>
      <c r="EH137" s="361">
        <v>0</v>
      </c>
      <c r="EI137" s="647">
        <v>0</v>
      </c>
      <c r="EJ137" s="647">
        <f t="shared" si="130"/>
        <v>3.48</v>
      </c>
      <c r="EK137" s="647">
        <f t="shared" si="131"/>
        <v>5.13</v>
      </c>
      <c r="EL137" s="522"/>
      <c r="EM137" s="522"/>
      <c r="EN137" s="522"/>
      <c r="EO137" s="522"/>
      <c r="EP137" s="522"/>
      <c r="EQ137" s="522"/>
      <c r="ER137" s="522"/>
      <c r="ES137" s="407"/>
      <c r="ET137" s="407"/>
    </row>
    <row r="138" spans="1:150" s="357" customFormat="1" ht="15">
      <c r="A138" s="675" t="s">
        <v>4</v>
      </c>
      <c r="B138" s="712">
        <v>41764</v>
      </c>
      <c r="C138" s="358">
        <v>0</v>
      </c>
      <c r="D138" s="405">
        <v>1.1499999999999999</v>
      </c>
      <c r="E138" s="681">
        <v>0</v>
      </c>
      <c r="F138" s="681">
        <v>48</v>
      </c>
      <c r="G138" s="681">
        <v>1.9</v>
      </c>
      <c r="H138" s="405" t="s">
        <v>744</v>
      </c>
      <c r="I138" s="405">
        <v>92.9</v>
      </c>
      <c r="J138" s="405">
        <v>0.06</v>
      </c>
      <c r="K138" s="405" t="s">
        <v>744</v>
      </c>
      <c r="L138" s="821">
        <f t="shared" si="69"/>
        <v>46.63</v>
      </c>
      <c r="M138" s="405">
        <v>18.8</v>
      </c>
      <c r="N138" s="405">
        <v>1.54</v>
      </c>
      <c r="O138" s="405">
        <v>1.802263838164363</v>
      </c>
      <c r="P138" s="405">
        <v>0</v>
      </c>
      <c r="Q138" s="405" t="s">
        <v>743</v>
      </c>
      <c r="R138" s="790">
        <v>735.91190488771451</v>
      </c>
      <c r="S138" s="405">
        <v>8.1</v>
      </c>
      <c r="T138" s="405">
        <v>0</v>
      </c>
      <c r="U138" s="405">
        <v>0.67</v>
      </c>
      <c r="V138" s="807">
        <v>0</v>
      </c>
      <c r="W138" s="807">
        <v>44.06</v>
      </c>
      <c r="X138" s="647" t="e">
        <v>#VALUE!</v>
      </c>
      <c r="Y138" s="383">
        <v>21.14</v>
      </c>
      <c r="Z138" s="681">
        <v>25.52</v>
      </c>
      <c r="AA138" s="794">
        <v>21.1</v>
      </c>
      <c r="AB138" s="794">
        <v>25.53</v>
      </c>
      <c r="AC138" s="775">
        <f t="shared" ref="AC138" si="133">AA138+AB138</f>
        <v>46.63</v>
      </c>
      <c r="AD138" s="775">
        <f t="shared" ref="AD138" si="134">AC138*1.547</f>
        <v>72.136610000000005</v>
      </c>
      <c r="AE138" s="775"/>
      <c r="AF138" s="567"/>
      <c r="AG138" s="2">
        <v>1.6</v>
      </c>
      <c r="AH138" s="995"/>
      <c r="AI138" s="362"/>
      <c r="AJ138" s="996"/>
      <c r="AK138" s="407"/>
      <c r="AL138" s="407"/>
      <c r="AM138" s="407"/>
      <c r="AN138" s="407"/>
      <c r="AO138" s="387"/>
      <c r="AP138" s="387"/>
      <c r="AQ138" s="1028"/>
      <c r="AR138" s="578">
        <v>0</v>
      </c>
      <c r="AS138" s="405">
        <v>21.2</v>
      </c>
      <c r="AT138" s="578">
        <v>0</v>
      </c>
      <c r="AU138" s="405">
        <v>21.7</v>
      </c>
      <c r="AV138" s="644">
        <v>301.7</v>
      </c>
      <c r="AW138" s="644">
        <v>433.5</v>
      </c>
      <c r="AX138" s="405">
        <v>0</v>
      </c>
      <c r="AY138" s="578">
        <v>0</v>
      </c>
      <c r="AZ138" s="578">
        <v>0</v>
      </c>
      <c r="BA138" s="578">
        <v>0</v>
      </c>
      <c r="BB138" s="1086">
        <v>1.6</v>
      </c>
      <c r="BC138" s="405">
        <v>1.5</v>
      </c>
      <c r="BD138" s="405">
        <v>2</v>
      </c>
      <c r="BE138" s="578">
        <v>0</v>
      </c>
      <c r="BF138" s="405">
        <v>0</v>
      </c>
      <c r="BG138" s="405">
        <v>0</v>
      </c>
      <c r="BH138" s="578">
        <v>0</v>
      </c>
      <c r="BI138" s="405">
        <v>0</v>
      </c>
      <c r="BJ138" s="405">
        <v>22.2</v>
      </c>
      <c r="BK138" s="405">
        <v>2.95</v>
      </c>
      <c r="BL138" s="405">
        <v>2.08</v>
      </c>
      <c r="BM138" s="405">
        <v>0</v>
      </c>
      <c r="BN138" s="405">
        <v>15.5</v>
      </c>
      <c r="BO138" s="405">
        <v>1050</v>
      </c>
      <c r="BP138" s="405">
        <v>0</v>
      </c>
      <c r="BQ138" s="649">
        <v>22</v>
      </c>
      <c r="BR138" s="649">
        <v>22</v>
      </c>
      <c r="BS138" s="649">
        <v>9.1</v>
      </c>
      <c r="BT138" s="649">
        <v>9.1999999999999993</v>
      </c>
      <c r="BU138" s="648">
        <v>20.3</v>
      </c>
      <c r="BV138" s="648">
        <v>21.8</v>
      </c>
      <c r="BW138" s="649">
        <v>475.1</v>
      </c>
      <c r="BX138" s="876"/>
      <c r="BY138" s="649">
        <v>0.15</v>
      </c>
      <c r="BZ138" s="649">
        <v>1.42</v>
      </c>
      <c r="CA138" s="649">
        <v>1.3</v>
      </c>
      <c r="CB138" s="649">
        <v>8.6999999999999993</v>
      </c>
      <c r="CC138" s="649">
        <v>8.1</v>
      </c>
      <c r="CD138" s="522">
        <v>15.7</v>
      </c>
      <c r="CE138" s="522">
        <v>34.200000000000003</v>
      </c>
      <c r="CF138" s="522">
        <v>13.4</v>
      </c>
      <c r="CG138" s="522">
        <v>5.4</v>
      </c>
      <c r="CH138" s="522">
        <v>10.5</v>
      </c>
      <c r="CI138" s="522">
        <v>14.5</v>
      </c>
      <c r="CJ138" s="522">
        <v>13.9</v>
      </c>
      <c r="CK138" s="522">
        <v>334.5</v>
      </c>
      <c r="CL138" s="522">
        <v>1.7</v>
      </c>
      <c r="CM138" s="649">
        <v>1.9</v>
      </c>
      <c r="CN138" s="991">
        <v>820</v>
      </c>
      <c r="CO138" s="522">
        <v>343.3</v>
      </c>
      <c r="CP138" s="522">
        <v>500</v>
      </c>
      <c r="CQ138" s="522">
        <v>3</v>
      </c>
      <c r="CR138" s="649">
        <v>2.08</v>
      </c>
      <c r="CS138" s="405">
        <v>4388.3</v>
      </c>
      <c r="CT138" s="405">
        <v>15.641</v>
      </c>
      <c r="CU138" s="405">
        <v>52</v>
      </c>
      <c r="CV138" s="522">
        <v>0</v>
      </c>
      <c r="CW138" s="522">
        <v>0</v>
      </c>
      <c r="CX138" s="522">
        <v>0</v>
      </c>
      <c r="CY138" s="522">
        <v>0</v>
      </c>
      <c r="CZ138" s="689">
        <v>1390</v>
      </c>
      <c r="DA138" s="689">
        <v>2250</v>
      </c>
      <c r="DB138" s="689">
        <v>1470</v>
      </c>
      <c r="DC138" s="643">
        <v>1158.1199999999999</v>
      </c>
      <c r="DD138" s="522"/>
      <c r="DE138" s="522"/>
      <c r="DF138" s="522"/>
      <c r="DG138" s="522"/>
      <c r="DH138" s="522"/>
      <c r="DI138" s="522"/>
      <c r="DJ138" s="522"/>
      <c r="DK138" s="522"/>
      <c r="DL138" s="649"/>
      <c r="DM138" s="689"/>
      <c r="DN138" s="649"/>
      <c r="DO138" s="522"/>
      <c r="DP138" s="522"/>
      <c r="DQ138" s="522"/>
      <c r="DR138" s="522"/>
      <c r="DS138" s="522"/>
      <c r="DT138" s="522"/>
      <c r="DU138" s="522"/>
      <c r="DV138" s="522"/>
      <c r="DW138" s="522"/>
      <c r="DX138" s="522"/>
      <c r="DY138" s="522"/>
      <c r="DZ138" s="522"/>
      <c r="EA138" s="522"/>
      <c r="EB138" s="522"/>
      <c r="EC138" s="522"/>
      <c r="ED138" s="522"/>
      <c r="EE138" s="522"/>
      <c r="EF138" s="522"/>
      <c r="EG138" s="645">
        <f t="shared" si="132"/>
        <v>13.195910000000001</v>
      </c>
      <c r="EH138" s="361">
        <v>0</v>
      </c>
      <c r="EI138" s="647">
        <v>0</v>
      </c>
      <c r="EJ138" s="647">
        <f t="shared" si="130"/>
        <v>3.5</v>
      </c>
      <c r="EK138" s="647">
        <f t="shared" si="131"/>
        <v>5.03</v>
      </c>
      <c r="EL138" s="522"/>
      <c r="EM138" s="522"/>
      <c r="EN138" s="522"/>
      <c r="EO138" s="522"/>
      <c r="EP138" s="522"/>
      <c r="EQ138" s="522"/>
      <c r="ER138" s="522"/>
      <c r="ES138" s="407"/>
      <c r="ET138" s="407"/>
    </row>
    <row r="139" spans="1:150" s="357" customFormat="1" ht="15">
      <c r="A139" s="675" t="s">
        <v>5</v>
      </c>
      <c r="B139" s="712">
        <v>41765</v>
      </c>
      <c r="C139" s="358">
        <v>0</v>
      </c>
      <c r="D139" s="405">
        <v>0.45</v>
      </c>
      <c r="E139" s="681">
        <v>0</v>
      </c>
      <c r="F139" s="681">
        <v>46</v>
      </c>
      <c r="G139" s="681">
        <v>2.0499999999999998</v>
      </c>
      <c r="H139" s="405" t="s">
        <v>744</v>
      </c>
      <c r="I139" s="405">
        <v>93.2</v>
      </c>
      <c r="J139" s="405">
        <v>0.06</v>
      </c>
      <c r="K139" s="405" t="s">
        <v>744</v>
      </c>
      <c r="L139" s="821">
        <f t="shared" si="69"/>
        <v>46.5</v>
      </c>
      <c r="M139" s="405">
        <v>18.899999999999999</v>
      </c>
      <c r="N139" s="405">
        <v>1.52</v>
      </c>
      <c r="O139" s="405">
        <v>1.8073309859976052</v>
      </c>
      <c r="P139" s="405">
        <v>0</v>
      </c>
      <c r="Q139" s="405" t="s">
        <v>743</v>
      </c>
      <c r="R139" s="790">
        <v>713.56246763540275</v>
      </c>
      <c r="S139" s="405">
        <v>8.08</v>
      </c>
      <c r="T139" s="405">
        <v>0</v>
      </c>
      <c r="U139" s="405">
        <v>0.66</v>
      </c>
      <c r="V139" s="807">
        <v>0</v>
      </c>
      <c r="W139" s="807">
        <v>44.42</v>
      </c>
      <c r="X139" s="647" t="e">
        <v>#VALUE!</v>
      </c>
      <c r="Y139" s="383">
        <v>21.1</v>
      </c>
      <c r="Z139" s="681">
        <v>25.53</v>
      </c>
      <c r="AA139" s="794">
        <v>21</v>
      </c>
      <c r="AB139" s="794">
        <v>25.5</v>
      </c>
      <c r="AC139" s="775">
        <f t="shared" ref="AC139" si="135">AA139+AB139</f>
        <v>46.5</v>
      </c>
      <c r="AD139" s="775">
        <f t="shared" ref="AD139" si="136">AC139*1.547</f>
        <v>71.93549999999999</v>
      </c>
      <c r="AE139" s="775"/>
      <c r="AF139" s="567"/>
      <c r="AG139" s="2">
        <v>1.6</v>
      </c>
      <c r="AH139" s="995"/>
      <c r="AI139" s="362"/>
      <c r="AJ139" s="996"/>
      <c r="AK139" s="407"/>
      <c r="AL139" s="407"/>
      <c r="AM139" s="407"/>
      <c r="AN139" s="407"/>
      <c r="AO139" s="387"/>
      <c r="AP139" s="387"/>
      <c r="AQ139" s="1028"/>
      <c r="AR139" s="578">
        <v>0</v>
      </c>
      <c r="AS139" s="405">
        <v>11</v>
      </c>
      <c r="AT139" s="578">
        <v>0</v>
      </c>
      <c r="AU139" s="405">
        <v>21.7</v>
      </c>
      <c r="AV139" s="644">
        <v>270.7</v>
      </c>
      <c r="AW139" s="644">
        <v>443.5</v>
      </c>
      <c r="AX139" s="405">
        <v>0</v>
      </c>
      <c r="AY139" s="578">
        <v>0</v>
      </c>
      <c r="AZ139" s="578">
        <v>0</v>
      </c>
      <c r="BA139" s="578">
        <v>0</v>
      </c>
      <c r="BB139" s="1086">
        <v>1.6</v>
      </c>
      <c r="BC139" s="405">
        <v>1.5</v>
      </c>
      <c r="BD139" s="405">
        <v>2</v>
      </c>
      <c r="BE139" s="578">
        <v>0</v>
      </c>
      <c r="BF139" s="405">
        <v>0</v>
      </c>
      <c r="BG139" s="405">
        <v>0</v>
      </c>
      <c r="BH139" s="578">
        <v>0</v>
      </c>
      <c r="BI139" s="405">
        <v>0</v>
      </c>
      <c r="BJ139" s="405">
        <v>22.2</v>
      </c>
      <c r="BK139" s="405">
        <v>2.92</v>
      </c>
      <c r="BL139" s="405">
        <v>2.0699999999999998</v>
      </c>
      <c r="BM139" s="405">
        <v>0</v>
      </c>
      <c r="BN139" s="405">
        <v>15.5</v>
      </c>
      <c r="BO139" s="405">
        <v>1231.7</v>
      </c>
      <c r="BP139" s="405">
        <v>0</v>
      </c>
      <c r="BQ139" s="649">
        <v>21.8</v>
      </c>
      <c r="BR139" s="649">
        <v>21.8</v>
      </c>
      <c r="BS139" s="649">
        <v>9</v>
      </c>
      <c r="BT139" s="649">
        <v>9.1999999999999993</v>
      </c>
      <c r="BU139" s="648">
        <v>20.2</v>
      </c>
      <c r="BV139" s="648">
        <v>22.1</v>
      </c>
      <c r="BW139" s="649">
        <v>677</v>
      </c>
      <c r="BX139" s="876"/>
      <c r="BY139" s="649">
        <v>0.15</v>
      </c>
      <c r="BZ139" s="649">
        <v>1.44</v>
      </c>
      <c r="CA139" s="649">
        <v>1.3</v>
      </c>
      <c r="CB139" s="649">
        <v>8.8000000000000007</v>
      </c>
      <c r="CC139" s="649">
        <v>8</v>
      </c>
      <c r="CD139" s="522">
        <v>14.9</v>
      </c>
      <c r="CE139" s="522">
        <v>34.200000000000003</v>
      </c>
      <c r="CF139" s="522">
        <v>12.8</v>
      </c>
      <c r="CG139" s="522">
        <v>5.8</v>
      </c>
      <c r="CH139" s="522">
        <v>10.8</v>
      </c>
      <c r="CI139" s="522">
        <v>15.27</v>
      </c>
      <c r="CJ139" s="649">
        <v>13.2</v>
      </c>
      <c r="CK139" s="522">
        <v>326</v>
      </c>
      <c r="CL139" s="522">
        <v>1.3</v>
      </c>
      <c r="CM139" s="649">
        <v>1.7</v>
      </c>
      <c r="CN139" s="991">
        <v>820</v>
      </c>
      <c r="CO139" s="522">
        <v>355.7</v>
      </c>
      <c r="CP139" s="522">
        <v>193.1</v>
      </c>
      <c r="CQ139" s="522">
        <v>3.1</v>
      </c>
      <c r="CR139" s="649">
        <v>2</v>
      </c>
      <c r="CS139" s="405">
        <v>4336.8999999999996</v>
      </c>
      <c r="CT139" s="405">
        <v>15.686999999999999</v>
      </c>
      <c r="CU139" s="405">
        <v>51</v>
      </c>
      <c r="CV139" s="522">
        <v>0</v>
      </c>
      <c r="CW139" s="522">
        <v>0</v>
      </c>
      <c r="CX139" s="522">
        <v>0</v>
      </c>
      <c r="CY139" s="522">
        <v>0</v>
      </c>
      <c r="CZ139" s="689">
        <v>1600</v>
      </c>
      <c r="DA139" s="689">
        <v>2330</v>
      </c>
      <c r="DB139" s="689">
        <v>1700</v>
      </c>
      <c r="DC139" s="643">
        <v>1158.76</v>
      </c>
      <c r="DD139" s="522"/>
      <c r="DE139" s="522"/>
      <c r="DF139" s="522"/>
      <c r="DG139" s="522"/>
      <c r="DH139" s="522"/>
      <c r="DI139" s="522"/>
      <c r="DJ139" s="522"/>
      <c r="DK139" s="522"/>
      <c r="DL139" s="649"/>
      <c r="DM139" s="689"/>
      <c r="DN139" s="649"/>
      <c r="DO139" s="522"/>
      <c r="DP139" s="522"/>
      <c r="DQ139" s="522"/>
      <c r="DR139" s="522"/>
      <c r="DS139" s="522"/>
      <c r="DT139" s="522"/>
      <c r="DU139" s="522"/>
      <c r="DV139" s="522"/>
      <c r="DW139" s="522"/>
      <c r="DX139" s="522"/>
      <c r="DY139" s="522"/>
      <c r="DZ139" s="522"/>
      <c r="EA139" s="522"/>
      <c r="EB139" s="522"/>
      <c r="EC139" s="522"/>
      <c r="ED139" s="522"/>
      <c r="EE139" s="522"/>
      <c r="EF139" s="522"/>
      <c r="EG139" s="645">
        <f t="shared" si="132"/>
        <v>13.134029999999999</v>
      </c>
      <c r="EH139" s="361">
        <v>0</v>
      </c>
      <c r="EI139" s="647">
        <v>0</v>
      </c>
      <c r="EJ139" s="647">
        <f t="shared" si="130"/>
        <v>3.5</v>
      </c>
      <c r="EK139" s="647">
        <f t="shared" si="131"/>
        <v>4.99</v>
      </c>
      <c r="EL139" s="522"/>
      <c r="EM139" s="522"/>
      <c r="EN139" s="522"/>
      <c r="EO139" s="522"/>
      <c r="EP139" s="522"/>
      <c r="EQ139" s="522"/>
      <c r="ER139" s="522"/>
      <c r="ES139" s="407"/>
      <c r="ET139" s="407"/>
    </row>
    <row r="140" spans="1:150" s="357" customFormat="1" ht="15">
      <c r="A140" s="675" t="s">
        <v>6</v>
      </c>
      <c r="B140" s="712">
        <v>41766</v>
      </c>
      <c r="C140" s="358">
        <v>0</v>
      </c>
      <c r="D140" s="405">
        <v>0</v>
      </c>
      <c r="E140" s="681">
        <v>0</v>
      </c>
      <c r="F140" s="681">
        <v>49</v>
      </c>
      <c r="G140" s="681">
        <v>1.95</v>
      </c>
      <c r="H140" s="405" t="s">
        <v>744</v>
      </c>
      <c r="I140" s="405">
        <v>93.4</v>
      </c>
      <c r="J140" s="405">
        <v>0.06</v>
      </c>
      <c r="K140" s="405" t="s">
        <v>744</v>
      </c>
      <c r="L140" s="821">
        <f t="shared" si="69"/>
        <v>46.6</v>
      </c>
      <c r="M140" s="405">
        <v>18.600000000000001</v>
      </c>
      <c r="N140" s="405">
        <v>1.51</v>
      </c>
      <c r="O140" s="405">
        <v>1.8044352005397351</v>
      </c>
      <c r="P140" s="405">
        <v>0</v>
      </c>
      <c r="Q140" s="405" t="s">
        <v>743</v>
      </c>
      <c r="R140" s="790">
        <v>693.15645970937896</v>
      </c>
      <c r="S140" s="405">
        <v>8.01</v>
      </c>
      <c r="T140" s="405">
        <v>0</v>
      </c>
      <c r="U140" s="405">
        <v>0.67700000000000005</v>
      </c>
      <c r="V140" s="807">
        <v>0</v>
      </c>
      <c r="W140" s="807">
        <v>44.239999999999995</v>
      </c>
      <c r="X140" s="647" t="e">
        <v>#VALUE!</v>
      </c>
      <c r="Y140" s="383">
        <v>21</v>
      </c>
      <c r="Z140" s="681">
        <v>25.5</v>
      </c>
      <c r="AA140" s="794">
        <v>21.1</v>
      </c>
      <c r="AB140" s="794">
        <v>25.5</v>
      </c>
      <c r="AC140" s="775">
        <f t="shared" ref="AC140" si="137">AA140+AB140</f>
        <v>46.6</v>
      </c>
      <c r="AD140" s="775">
        <f t="shared" ref="AD140" si="138">AC140*1.547</f>
        <v>72.090199999999996</v>
      </c>
      <c r="AE140" s="775"/>
      <c r="AF140" s="567"/>
      <c r="AG140" s="2">
        <v>1.6</v>
      </c>
      <c r="AH140" s="995"/>
      <c r="AI140" s="362"/>
      <c r="AJ140" s="996"/>
      <c r="AK140" s="407"/>
      <c r="AL140" s="407"/>
      <c r="AM140" s="407"/>
      <c r="AN140" s="407"/>
      <c r="AO140" s="387"/>
      <c r="AP140" s="387"/>
      <c r="AQ140" s="1028"/>
      <c r="AR140" s="578">
        <v>0</v>
      </c>
      <c r="AS140" s="405">
        <v>10.9</v>
      </c>
      <c r="AT140" s="992">
        <v>0.27</v>
      </c>
      <c r="AU140" s="405">
        <v>21.5</v>
      </c>
      <c r="AV140" s="644">
        <v>397.2</v>
      </c>
      <c r="AW140" s="644">
        <v>484.1</v>
      </c>
      <c r="AX140" s="405">
        <v>0</v>
      </c>
      <c r="AY140" s="578">
        <v>0</v>
      </c>
      <c r="AZ140" s="578">
        <v>0</v>
      </c>
      <c r="BA140" s="578">
        <v>0</v>
      </c>
      <c r="BB140" s="1086">
        <v>1.6</v>
      </c>
      <c r="BC140" s="405">
        <v>1.51</v>
      </c>
      <c r="BD140" s="405">
        <v>2</v>
      </c>
      <c r="BE140" s="578">
        <v>0</v>
      </c>
      <c r="BF140" s="405">
        <v>0</v>
      </c>
      <c r="BG140" s="405">
        <v>0</v>
      </c>
      <c r="BH140" s="578">
        <v>0</v>
      </c>
      <c r="BI140" s="405">
        <v>0</v>
      </c>
      <c r="BJ140" s="405">
        <v>22.1</v>
      </c>
      <c r="BK140" s="405">
        <v>2.84</v>
      </c>
      <c r="BL140" s="405">
        <v>2.14</v>
      </c>
      <c r="BM140" s="405">
        <v>0</v>
      </c>
      <c r="BN140" s="405">
        <v>15.5</v>
      </c>
      <c r="BO140" s="405">
        <v>1636.1</v>
      </c>
      <c r="BP140" s="405">
        <v>0</v>
      </c>
      <c r="BQ140" s="649">
        <v>20.5</v>
      </c>
      <c r="BR140" s="649">
        <v>20.5</v>
      </c>
      <c r="BS140" s="649">
        <v>8.9</v>
      </c>
      <c r="BT140" s="649">
        <v>9</v>
      </c>
      <c r="BU140" s="648">
        <v>19.899999999999999</v>
      </c>
      <c r="BV140" s="648">
        <v>25</v>
      </c>
      <c r="BW140" s="649">
        <v>485.5</v>
      </c>
      <c r="BX140" s="876"/>
      <c r="BY140" s="649">
        <v>0.15</v>
      </c>
      <c r="BZ140" s="649">
        <v>1.4</v>
      </c>
      <c r="CA140" s="649">
        <v>1.3</v>
      </c>
      <c r="CB140" s="649">
        <v>8.8000000000000007</v>
      </c>
      <c r="CC140" s="649">
        <v>8</v>
      </c>
      <c r="CD140" s="522">
        <v>14.8</v>
      </c>
      <c r="CE140" s="522">
        <v>34</v>
      </c>
      <c r="CF140" s="522">
        <v>12.1</v>
      </c>
      <c r="CG140" s="522">
        <v>8.4</v>
      </c>
      <c r="CH140" s="522">
        <v>13.8</v>
      </c>
      <c r="CI140" s="522">
        <v>18.100000000000001</v>
      </c>
      <c r="CJ140" s="522">
        <v>13.1</v>
      </c>
      <c r="CK140" s="522">
        <v>325.8</v>
      </c>
      <c r="CL140" s="522">
        <v>1.7</v>
      </c>
      <c r="CM140" s="522">
        <v>1.8</v>
      </c>
      <c r="CN140" s="991">
        <v>820</v>
      </c>
      <c r="CO140" s="522">
        <v>374.1</v>
      </c>
      <c r="CP140" s="522">
        <v>497.3</v>
      </c>
      <c r="CQ140" s="522">
        <v>3.2</v>
      </c>
      <c r="CR140" s="649">
        <v>2.21</v>
      </c>
      <c r="CS140" s="405">
        <v>4355</v>
      </c>
      <c r="CT140" s="405">
        <v>15.881</v>
      </c>
      <c r="CU140" s="405">
        <v>52</v>
      </c>
      <c r="CV140" s="522">
        <v>0</v>
      </c>
      <c r="CW140" s="522">
        <v>0</v>
      </c>
      <c r="CX140" s="522">
        <v>0</v>
      </c>
      <c r="CY140" s="522">
        <v>0</v>
      </c>
      <c r="CZ140" s="689">
        <v>1390</v>
      </c>
      <c r="DA140" s="689">
        <v>2090</v>
      </c>
      <c r="DB140" s="689">
        <v>1470</v>
      </c>
      <c r="DC140" s="643">
        <v>1159.1600000000001</v>
      </c>
      <c r="DD140" s="522"/>
      <c r="DE140" s="522"/>
      <c r="DF140" s="522"/>
      <c r="DG140" s="522"/>
      <c r="DH140" s="522"/>
      <c r="DI140" s="522"/>
      <c r="DJ140" s="522"/>
      <c r="DK140" s="522"/>
      <c r="DL140" s="649"/>
      <c r="DM140" s="689"/>
      <c r="DN140" s="649"/>
      <c r="DO140" s="522"/>
      <c r="DP140" s="522"/>
      <c r="DQ140" s="522"/>
      <c r="DR140" s="522"/>
      <c r="DS140" s="522"/>
      <c r="DT140" s="522"/>
      <c r="DU140" s="522"/>
      <c r="DV140" s="522"/>
      <c r="DW140" s="522"/>
      <c r="DX140" s="522"/>
      <c r="DY140" s="522"/>
      <c r="DZ140" s="522"/>
      <c r="EA140" s="522"/>
      <c r="EB140" s="522"/>
      <c r="EC140" s="522"/>
      <c r="ED140" s="522"/>
      <c r="EE140" s="522"/>
      <c r="EF140" s="522"/>
      <c r="EG140" s="645">
        <f t="shared" si="132"/>
        <v>13.134029999999999</v>
      </c>
      <c r="EH140" s="361">
        <v>0</v>
      </c>
      <c r="EI140" s="647">
        <v>0</v>
      </c>
      <c r="EJ140" s="647">
        <f t="shared" si="130"/>
        <v>3.51</v>
      </c>
      <c r="EK140" s="647">
        <f t="shared" si="131"/>
        <v>4.9800000000000004</v>
      </c>
      <c r="EL140" s="522"/>
      <c r="EM140" s="522"/>
      <c r="EN140" s="522"/>
      <c r="EO140" s="522"/>
      <c r="EP140" s="522"/>
      <c r="EQ140" s="522"/>
      <c r="ER140" s="522"/>
      <c r="ES140" s="407"/>
      <c r="ET140" s="407"/>
    </row>
    <row r="141" spans="1:150" s="357" customFormat="1" ht="15">
      <c r="A141" s="675" t="s">
        <v>7</v>
      </c>
      <c r="B141" s="712">
        <v>41767</v>
      </c>
      <c r="C141" s="358">
        <v>0</v>
      </c>
      <c r="D141" s="405">
        <v>0.8</v>
      </c>
      <c r="E141" s="681">
        <v>0</v>
      </c>
      <c r="F141" s="681">
        <v>46</v>
      </c>
      <c r="G141" s="681">
        <v>1.85</v>
      </c>
      <c r="H141" s="405" t="s">
        <v>744</v>
      </c>
      <c r="I141" s="405">
        <v>93.5</v>
      </c>
      <c r="J141" s="405">
        <v>0.06</v>
      </c>
      <c r="K141" s="405" t="s">
        <v>744</v>
      </c>
      <c r="L141" s="821">
        <f t="shared" si="69"/>
        <v>46.5</v>
      </c>
      <c r="M141" s="405">
        <v>18.399999999999999</v>
      </c>
      <c r="N141" s="405">
        <v>1.54</v>
      </c>
      <c r="O141" s="405">
        <v>1.7391661633867719</v>
      </c>
      <c r="P141" s="405">
        <v>0</v>
      </c>
      <c r="Q141" s="405" t="s">
        <v>743</v>
      </c>
      <c r="R141" s="790">
        <v>680.84807397622194</v>
      </c>
      <c r="S141" s="405">
        <v>8.0500000000000007</v>
      </c>
      <c r="T141" s="405">
        <v>0</v>
      </c>
      <c r="U141" s="405">
        <v>0.66500000000000004</v>
      </c>
      <c r="V141" s="807">
        <v>0</v>
      </c>
      <c r="W141" s="807">
        <v>44.600000000000009</v>
      </c>
      <c r="X141" s="647" t="e">
        <v>#VALUE!</v>
      </c>
      <c r="Y141" s="383">
        <v>21.1</v>
      </c>
      <c r="Z141" s="681">
        <v>25.5</v>
      </c>
      <c r="AA141" s="794">
        <v>21</v>
      </c>
      <c r="AB141" s="794">
        <v>25.5</v>
      </c>
      <c r="AC141" s="775">
        <f t="shared" ref="AC141" si="139">AA141+AB141</f>
        <v>46.5</v>
      </c>
      <c r="AD141" s="775">
        <f t="shared" ref="AD141" si="140">AC141*1.547</f>
        <v>71.93549999999999</v>
      </c>
      <c r="AE141" s="775"/>
      <c r="AF141" s="567"/>
      <c r="AG141" s="2">
        <v>1.6</v>
      </c>
      <c r="AH141" s="995"/>
      <c r="AI141" s="362"/>
      <c r="AJ141" s="996"/>
      <c r="AK141" s="407"/>
      <c r="AL141" s="407"/>
      <c r="AM141" s="407"/>
      <c r="AN141" s="407"/>
      <c r="AO141" s="387"/>
      <c r="AP141" s="387"/>
      <c r="AQ141" s="1028"/>
      <c r="AR141" s="578">
        <v>0</v>
      </c>
      <c r="AS141" s="405">
        <v>10.9</v>
      </c>
      <c r="AT141" s="992">
        <v>0</v>
      </c>
      <c r="AU141" s="405">
        <v>21.7</v>
      </c>
      <c r="AV141" s="644">
        <v>360.4</v>
      </c>
      <c r="AW141" s="644">
        <v>424.1</v>
      </c>
      <c r="AX141" s="405">
        <v>0</v>
      </c>
      <c r="AY141" s="578">
        <v>0</v>
      </c>
      <c r="AZ141" s="578">
        <v>0</v>
      </c>
      <c r="BA141" s="578">
        <v>0</v>
      </c>
      <c r="BB141" s="1086">
        <v>1.6</v>
      </c>
      <c r="BC141" s="405">
        <v>1.5</v>
      </c>
      <c r="BD141" s="405">
        <v>2</v>
      </c>
      <c r="BE141" s="578">
        <v>0</v>
      </c>
      <c r="BF141" s="405">
        <v>0</v>
      </c>
      <c r="BG141" s="405">
        <v>0</v>
      </c>
      <c r="BH141" s="578">
        <v>0</v>
      </c>
      <c r="BI141" s="405">
        <v>0</v>
      </c>
      <c r="BJ141" s="405">
        <v>22.2</v>
      </c>
      <c r="BK141" s="405">
        <v>2.96</v>
      </c>
      <c r="BL141" s="405">
        <v>2.0699999999999998</v>
      </c>
      <c r="BM141" s="405">
        <v>0</v>
      </c>
      <c r="BN141" s="405">
        <v>15.4</v>
      </c>
      <c r="BO141" s="405">
        <v>1035.8</v>
      </c>
      <c r="BP141" s="405">
        <v>0</v>
      </c>
      <c r="BQ141" s="649">
        <v>19.399999999999999</v>
      </c>
      <c r="BR141" s="649">
        <v>19.3</v>
      </c>
      <c r="BS141" s="649">
        <v>9.1</v>
      </c>
      <c r="BT141" s="649">
        <v>9.1999999999999993</v>
      </c>
      <c r="BU141" s="648">
        <v>20.2</v>
      </c>
      <c r="BV141" s="648">
        <v>24.8</v>
      </c>
      <c r="BW141" s="649">
        <v>673.4</v>
      </c>
      <c r="BX141" s="876"/>
      <c r="BY141" s="649">
        <v>0.15</v>
      </c>
      <c r="BZ141" s="649">
        <v>1.4</v>
      </c>
      <c r="CA141" s="649">
        <v>1.3</v>
      </c>
      <c r="CB141" s="649">
        <v>8.6999999999999993</v>
      </c>
      <c r="CC141" s="649">
        <v>8</v>
      </c>
      <c r="CD141" s="522">
        <v>15.2</v>
      </c>
      <c r="CE141" s="522">
        <v>34.200000000000003</v>
      </c>
      <c r="CF141" s="522">
        <v>14.9</v>
      </c>
      <c r="CG141" s="649">
        <v>8.1999999999999993</v>
      </c>
      <c r="CH141" s="522">
        <v>13.7</v>
      </c>
      <c r="CI141" s="522">
        <v>17.7</v>
      </c>
      <c r="CJ141" s="522">
        <v>13.5</v>
      </c>
      <c r="CK141" s="522">
        <v>326</v>
      </c>
      <c r="CL141" s="522">
        <v>1.8</v>
      </c>
      <c r="CM141" s="522">
        <v>1.3</v>
      </c>
      <c r="CN141" s="991">
        <v>820</v>
      </c>
      <c r="CO141" s="522">
        <v>313.10000000000002</v>
      </c>
      <c r="CP141" s="522">
        <v>496.4</v>
      </c>
      <c r="CQ141" s="522">
        <v>3.2</v>
      </c>
      <c r="CR141" s="649">
        <v>1.9</v>
      </c>
      <c r="CS141" s="405">
        <v>4367.1000000000004</v>
      </c>
      <c r="CT141" s="405">
        <v>15.445</v>
      </c>
      <c r="CU141" s="405">
        <v>51</v>
      </c>
      <c r="CV141" s="522">
        <v>0</v>
      </c>
      <c r="CW141" s="522">
        <v>0</v>
      </c>
      <c r="CX141" s="522">
        <v>0</v>
      </c>
      <c r="CY141" s="522">
        <v>0</v>
      </c>
      <c r="CZ141" s="689">
        <v>1390</v>
      </c>
      <c r="DA141" s="689">
        <v>2150</v>
      </c>
      <c r="DB141" s="689">
        <v>1500</v>
      </c>
      <c r="DC141" s="643">
        <v>1159.73</v>
      </c>
      <c r="DD141" s="522"/>
      <c r="DE141" s="522"/>
      <c r="DF141" s="522"/>
      <c r="DG141" s="522"/>
      <c r="DH141" s="522"/>
      <c r="DI141" s="522"/>
      <c r="DJ141" s="522"/>
      <c r="DK141" s="522"/>
      <c r="DL141" s="649"/>
      <c r="DM141" s="689"/>
      <c r="DN141" s="649"/>
      <c r="DO141" s="522"/>
      <c r="DP141" s="522"/>
      <c r="DQ141" s="522"/>
      <c r="DR141" s="522"/>
      <c r="DS141" s="522"/>
      <c r="DT141" s="522"/>
      <c r="DU141" s="522"/>
      <c r="DV141" s="522"/>
      <c r="DW141" s="522"/>
      <c r="DX141" s="522"/>
      <c r="DY141" s="522"/>
      <c r="DZ141" s="522"/>
      <c r="EA141" s="522"/>
      <c r="EB141" s="522"/>
      <c r="EC141" s="522"/>
      <c r="ED141" s="522"/>
      <c r="EE141" s="522"/>
      <c r="EF141" s="522"/>
      <c r="EG141" s="645">
        <f t="shared" si="132"/>
        <v>13.195909999999998</v>
      </c>
      <c r="EH141" s="361">
        <v>0</v>
      </c>
      <c r="EI141" s="647">
        <v>0</v>
      </c>
      <c r="EJ141" s="647">
        <f t="shared" si="130"/>
        <v>3.5</v>
      </c>
      <c r="EK141" s="647">
        <f t="shared" si="131"/>
        <v>5.0299999999999994</v>
      </c>
      <c r="EL141" s="522"/>
      <c r="EM141" s="522"/>
      <c r="EN141" s="522"/>
      <c r="EO141" s="522"/>
      <c r="EP141" s="522"/>
      <c r="EQ141" s="522"/>
      <c r="ER141" s="522"/>
      <c r="ES141" s="407"/>
      <c r="ET141" s="407"/>
    </row>
    <row r="142" spans="1:150" s="357" customFormat="1" ht="15">
      <c r="A142" s="675" t="s">
        <v>8</v>
      </c>
      <c r="B142" s="712">
        <v>41768</v>
      </c>
      <c r="C142" s="358">
        <v>0</v>
      </c>
      <c r="D142" s="405">
        <v>0.39</v>
      </c>
      <c r="E142" s="681">
        <v>0</v>
      </c>
      <c r="F142" s="681">
        <v>42</v>
      </c>
      <c r="G142" s="681">
        <v>1.95</v>
      </c>
      <c r="H142" s="405">
        <v>1.62</v>
      </c>
      <c r="I142" s="405">
        <v>91.2</v>
      </c>
      <c r="J142" s="405">
        <v>2.0099999999999998</v>
      </c>
      <c r="K142" s="405" t="s">
        <v>744</v>
      </c>
      <c r="L142" s="644">
        <v>27.430000000000291</v>
      </c>
      <c r="M142" s="405">
        <v>22.6</v>
      </c>
      <c r="N142" s="405">
        <v>1.605</v>
      </c>
      <c r="O142" s="405">
        <v>1.9755998403702131</v>
      </c>
      <c r="P142" s="405">
        <v>0</v>
      </c>
      <c r="Q142" s="405" t="s">
        <v>743</v>
      </c>
      <c r="R142" s="790">
        <v>815.91641215323625</v>
      </c>
      <c r="S142" s="405">
        <v>8.15</v>
      </c>
      <c r="T142" s="405">
        <v>0</v>
      </c>
      <c r="U142" s="405">
        <v>0.66400000000000003</v>
      </c>
      <c r="V142" s="807">
        <v>0</v>
      </c>
      <c r="W142" s="807">
        <v>47.480000000000004</v>
      </c>
      <c r="X142" s="647" t="e">
        <v>#VALUE!</v>
      </c>
      <c r="Y142" s="383">
        <v>21</v>
      </c>
      <c r="Z142" s="681">
        <v>25.5</v>
      </c>
      <c r="AA142" s="794">
        <v>21.7</v>
      </c>
      <c r="AB142" s="794">
        <v>25.5</v>
      </c>
      <c r="AC142" s="775">
        <f t="shared" ref="AC142:AC144" si="141">AA142+AB142</f>
        <v>47.2</v>
      </c>
      <c r="AD142" s="775">
        <f t="shared" ref="AD142:AD144" si="142">AC142*1.547</f>
        <v>73.0184</v>
      </c>
      <c r="AE142" s="775"/>
      <c r="AF142" s="567"/>
      <c r="AG142" s="2">
        <v>1.6</v>
      </c>
      <c r="AH142" s="995"/>
      <c r="AI142" s="362"/>
      <c r="AJ142" s="996"/>
      <c r="AK142" s="407"/>
      <c r="AL142" s="407"/>
      <c r="AM142" s="407"/>
      <c r="AN142" s="407"/>
      <c r="AO142" s="387"/>
      <c r="AP142" s="387"/>
      <c r="AQ142" s="1028"/>
      <c r="AR142" s="578">
        <v>0</v>
      </c>
      <c r="AS142" s="405">
        <v>20.7</v>
      </c>
      <c r="AT142" s="578">
        <v>0</v>
      </c>
      <c r="AU142" s="405">
        <v>22.2</v>
      </c>
      <c r="AV142" s="644">
        <v>331.7</v>
      </c>
      <c r="AW142" s="644">
        <v>408.5</v>
      </c>
      <c r="AX142" s="405">
        <v>0</v>
      </c>
      <c r="AY142" s="578">
        <v>0</v>
      </c>
      <c r="AZ142" s="578">
        <v>0</v>
      </c>
      <c r="BA142" s="578">
        <v>0</v>
      </c>
      <c r="BB142" s="1086">
        <v>1.6</v>
      </c>
      <c r="BC142" s="405">
        <v>1.05</v>
      </c>
      <c r="BD142" s="405">
        <v>1.86</v>
      </c>
      <c r="BE142" s="578">
        <v>0</v>
      </c>
      <c r="BF142" s="405">
        <v>7.0000000000000007E-2</v>
      </c>
      <c r="BG142" s="405">
        <v>0</v>
      </c>
      <c r="BH142" s="578">
        <v>0</v>
      </c>
      <c r="BI142" s="405">
        <v>0</v>
      </c>
      <c r="BJ142" s="405">
        <v>22.7</v>
      </c>
      <c r="BK142" s="405">
        <v>3.02</v>
      </c>
      <c r="BL142" s="992">
        <v>2.0619999999999998</v>
      </c>
      <c r="BM142" s="405">
        <v>0</v>
      </c>
      <c r="BN142" s="992">
        <v>15.9</v>
      </c>
      <c r="BO142" s="405">
        <v>991.1</v>
      </c>
      <c r="BP142" s="405">
        <v>0</v>
      </c>
      <c r="BQ142" s="649">
        <v>19.5</v>
      </c>
      <c r="BR142" s="649">
        <v>19.54</v>
      </c>
      <c r="BS142" s="649">
        <v>9.3800000000000008</v>
      </c>
      <c r="BT142" s="649">
        <v>9.5</v>
      </c>
      <c r="BU142" s="648">
        <v>20.7</v>
      </c>
      <c r="BV142" s="648">
        <v>22.1</v>
      </c>
      <c r="BW142" s="649">
        <v>482.2</v>
      </c>
      <c r="BX142" s="876"/>
      <c r="BY142" s="649">
        <v>1.07</v>
      </c>
      <c r="BZ142" s="649">
        <v>1.41</v>
      </c>
      <c r="CA142" s="649">
        <v>1.3</v>
      </c>
      <c r="CB142" s="649">
        <v>8.8000000000000007</v>
      </c>
      <c r="CC142" s="649">
        <v>8</v>
      </c>
      <c r="CD142" s="522">
        <v>15.6</v>
      </c>
      <c r="CE142" s="522">
        <v>34.299999999999997</v>
      </c>
      <c r="CF142" s="522">
        <v>14.5</v>
      </c>
      <c r="CG142" s="649">
        <v>7.7</v>
      </c>
      <c r="CH142" s="522">
        <v>13.1</v>
      </c>
      <c r="CI142" s="522">
        <v>17.2</v>
      </c>
      <c r="CJ142" s="522">
        <v>13.86</v>
      </c>
      <c r="CK142" s="522">
        <v>316.5</v>
      </c>
      <c r="CL142" s="522">
        <v>1.7</v>
      </c>
      <c r="CM142" s="522">
        <v>1.3</v>
      </c>
      <c r="CN142" s="991">
        <v>820</v>
      </c>
      <c r="CO142" s="522">
        <v>3.12</v>
      </c>
      <c r="CP142" s="522">
        <v>491.3</v>
      </c>
      <c r="CQ142" s="522">
        <v>8</v>
      </c>
      <c r="CR142" s="522">
        <v>2.08</v>
      </c>
      <c r="CS142" s="405">
        <v>4358.3999999999996</v>
      </c>
      <c r="CT142" s="405">
        <v>15.52</v>
      </c>
      <c r="CU142" s="405">
        <v>51</v>
      </c>
      <c r="CV142" s="522">
        <v>0</v>
      </c>
      <c r="CW142" s="522">
        <v>0</v>
      </c>
      <c r="CX142" s="522">
        <v>0</v>
      </c>
      <c r="CY142" s="522">
        <v>0</v>
      </c>
      <c r="CZ142" s="689">
        <v>1670</v>
      </c>
      <c r="DA142" s="689">
        <v>2410</v>
      </c>
      <c r="DB142" s="689">
        <v>1730</v>
      </c>
      <c r="DC142" s="643">
        <v>1160.8</v>
      </c>
      <c r="DD142" s="522"/>
      <c r="DE142" s="522"/>
      <c r="DF142" s="522"/>
      <c r="DG142" s="522"/>
      <c r="DH142" s="522"/>
      <c r="DI142" s="522"/>
      <c r="DJ142" s="522"/>
      <c r="DK142" s="522"/>
      <c r="DL142" s="649"/>
      <c r="DM142" s="689"/>
      <c r="DN142" s="649"/>
      <c r="DO142" s="522"/>
      <c r="DP142" s="522"/>
      <c r="DQ142" s="522"/>
      <c r="DR142" s="522"/>
      <c r="DS142" s="522"/>
      <c r="DT142" s="522"/>
      <c r="DU142" s="522"/>
      <c r="DV142" s="522"/>
      <c r="DW142" s="522"/>
      <c r="DX142" s="522"/>
      <c r="DY142" s="522"/>
      <c r="DZ142" s="522"/>
      <c r="EA142" s="522"/>
      <c r="EB142" s="522"/>
      <c r="EC142" s="522"/>
      <c r="ED142" s="522"/>
      <c r="EE142" s="522"/>
      <c r="EF142" s="522"/>
      <c r="EG142" s="645">
        <f t="shared" si="132"/>
        <v>12.471913999999998</v>
      </c>
      <c r="EH142" s="361">
        <v>0</v>
      </c>
      <c r="EI142" s="647">
        <v>0</v>
      </c>
      <c r="EJ142" s="647">
        <f t="shared" ref="EJ142:EJ147" si="143">BC142+BD142+BF142</f>
        <v>2.98</v>
      </c>
      <c r="EK142" s="647">
        <f t="shared" ref="EK142:EK147" si="144">BK142+BL142+BM142</f>
        <v>5.0819999999999999</v>
      </c>
      <c r="EL142" s="522"/>
      <c r="EM142" s="522"/>
      <c r="EN142" s="522"/>
      <c r="EO142" s="522"/>
      <c r="EP142" s="522"/>
      <c r="EQ142" s="522"/>
      <c r="ER142" s="522"/>
      <c r="ES142" s="407"/>
      <c r="ET142" s="407"/>
    </row>
    <row r="143" spans="1:150" s="357" customFormat="1" ht="15">
      <c r="A143" s="675" t="s">
        <v>9</v>
      </c>
      <c r="B143" s="712">
        <v>41769</v>
      </c>
      <c r="C143" s="358">
        <v>0</v>
      </c>
      <c r="D143" s="405">
        <v>0.14000000000000001</v>
      </c>
      <c r="E143" s="681">
        <v>0</v>
      </c>
      <c r="F143" s="681">
        <v>46</v>
      </c>
      <c r="G143" s="681">
        <v>1.95</v>
      </c>
      <c r="H143" s="405">
        <v>1.62</v>
      </c>
      <c r="I143" s="405">
        <v>91.59</v>
      </c>
      <c r="J143" s="405">
        <v>1.35</v>
      </c>
      <c r="K143" s="405" t="s">
        <v>744</v>
      </c>
      <c r="L143" s="644">
        <v>0</v>
      </c>
      <c r="M143" s="405">
        <v>24</v>
      </c>
      <c r="N143" s="405">
        <v>1.72</v>
      </c>
      <c r="O143" s="643">
        <v>2.5083670907439748</v>
      </c>
      <c r="P143" s="405">
        <v>0</v>
      </c>
      <c r="Q143" s="405" t="s">
        <v>743</v>
      </c>
      <c r="R143" s="790">
        <v>1069.2100343461029</v>
      </c>
      <c r="S143" s="405">
        <v>8.18</v>
      </c>
      <c r="T143" s="405">
        <v>0</v>
      </c>
      <c r="U143" s="405">
        <v>0.67</v>
      </c>
      <c r="V143" s="807">
        <v>0</v>
      </c>
      <c r="W143" s="807">
        <v>47.120000000000005</v>
      </c>
      <c r="X143" s="647" t="e">
        <v>#VALUE!</v>
      </c>
      <c r="Y143" s="383">
        <v>21.7</v>
      </c>
      <c r="Z143" s="681">
        <v>25.5</v>
      </c>
      <c r="AA143" s="794">
        <v>22.3</v>
      </c>
      <c r="AB143" s="794">
        <v>28.8</v>
      </c>
      <c r="AC143" s="775">
        <f t="shared" si="141"/>
        <v>51.1</v>
      </c>
      <c r="AD143" s="775">
        <f t="shared" si="142"/>
        <v>79.051699999999997</v>
      </c>
      <c r="AE143" s="775"/>
      <c r="AF143" s="567"/>
      <c r="AG143" s="2">
        <v>1.6</v>
      </c>
      <c r="AH143" s="995"/>
      <c r="AI143" s="362"/>
      <c r="AJ143" s="996"/>
      <c r="AK143" s="407"/>
      <c r="AL143" s="407"/>
      <c r="AM143" s="407"/>
      <c r="AN143" s="407"/>
      <c r="AO143" s="387"/>
      <c r="AP143" s="387"/>
      <c r="AQ143" s="1028"/>
      <c r="AR143" s="578">
        <v>0</v>
      </c>
      <c r="AS143" s="405">
        <v>11.1</v>
      </c>
      <c r="AT143" s="578">
        <v>0</v>
      </c>
      <c r="AU143" s="405">
        <v>23</v>
      </c>
      <c r="AV143" s="644">
        <v>294.10000000000002</v>
      </c>
      <c r="AW143" s="644">
        <v>538.5</v>
      </c>
      <c r="AX143" s="405">
        <v>0</v>
      </c>
      <c r="AY143" s="578">
        <v>0</v>
      </c>
      <c r="AZ143" s="578">
        <v>0</v>
      </c>
      <c r="BA143" s="578">
        <v>0</v>
      </c>
      <c r="BB143" s="1086">
        <v>1.6</v>
      </c>
      <c r="BC143" s="405">
        <v>0.62</v>
      </c>
      <c r="BD143" s="405">
        <v>1.87</v>
      </c>
      <c r="BE143" s="578">
        <v>0</v>
      </c>
      <c r="BF143" s="405">
        <v>0</v>
      </c>
      <c r="BG143" s="405">
        <v>0</v>
      </c>
      <c r="BH143" s="578">
        <v>0</v>
      </c>
      <c r="BI143" s="405">
        <v>0</v>
      </c>
      <c r="BJ143" s="405">
        <v>26.4</v>
      </c>
      <c r="BK143" s="405">
        <v>3.07</v>
      </c>
      <c r="BL143" s="992">
        <v>0</v>
      </c>
      <c r="BM143" s="405">
        <v>0</v>
      </c>
      <c r="BN143" s="992">
        <v>21.6</v>
      </c>
      <c r="BO143" s="405">
        <v>1065.7</v>
      </c>
      <c r="BP143" s="405">
        <v>0</v>
      </c>
      <c r="BQ143" s="649">
        <v>20.55</v>
      </c>
      <c r="BR143" s="522">
        <v>20.52</v>
      </c>
      <c r="BS143" s="649">
        <v>9.7200000000000006</v>
      </c>
      <c r="BT143" s="649">
        <v>9.85</v>
      </c>
      <c r="BU143" s="648">
        <v>21.3</v>
      </c>
      <c r="BV143" s="648">
        <v>19.7</v>
      </c>
      <c r="BW143" s="649">
        <v>707</v>
      </c>
      <c r="BX143" s="876"/>
      <c r="BY143" s="649">
        <v>0.52</v>
      </c>
      <c r="BZ143" s="649">
        <v>1.25</v>
      </c>
      <c r="CA143" s="649">
        <v>1.3</v>
      </c>
      <c r="CB143" s="649">
        <v>9</v>
      </c>
      <c r="CC143" s="649">
        <v>7.9</v>
      </c>
      <c r="CD143" s="522">
        <v>15.7</v>
      </c>
      <c r="CE143" s="522">
        <v>34</v>
      </c>
      <c r="CF143" s="522">
        <v>13.9</v>
      </c>
      <c r="CG143" s="522">
        <v>6.95</v>
      </c>
      <c r="CH143" s="522">
        <v>12.3</v>
      </c>
      <c r="CI143" s="522">
        <v>16.3</v>
      </c>
      <c r="CJ143" s="522">
        <v>13.82</v>
      </c>
      <c r="CK143" s="522">
        <v>424.6</v>
      </c>
      <c r="CL143" s="522">
        <v>1.4</v>
      </c>
      <c r="CM143" s="649">
        <v>0.9</v>
      </c>
      <c r="CN143" s="991">
        <v>820</v>
      </c>
      <c r="CO143" s="522">
        <v>346.8</v>
      </c>
      <c r="CP143" s="649">
        <v>488.9</v>
      </c>
      <c r="CQ143" s="522">
        <v>13.9</v>
      </c>
      <c r="CR143" s="522">
        <v>2.02</v>
      </c>
      <c r="CS143" s="405">
        <v>2017.9</v>
      </c>
      <c r="CT143" s="405">
        <v>15.04</v>
      </c>
      <c r="CU143" s="405">
        <v>51</v>
      </c>
      <c r="CV143" s="522">
        <v>0</v>
      </c>
      <c r="CW143" s="522">
        <v>0</v>
      </c>
      <c r="CX143" s="522">
        <v>0</v>
      </c>
      <c r="CY143" s="522">
        <v>0</v>
      </c>
      <c r="CZ143" s="689">
        <v>1670</v>
      </c>
      <c r="DA143" s="689">
        <v>2370</v>
      </c>
      <c r="DB143" s="689">
        <v>1710</v>
      </c>
      <c r="DC143" s="643">
        <v>1161.7</v>
      </c>
      <c r="DD143" s="522"/>
      <c r="DE143" s="522"/>
      <c r="DF143" s="522"/>
      <c r="DG143" s="522"/>
      <c r="DH143" s="522"/>
      <c r="DI143" s="522"/>
      <c r="DJ143" s="522"/>
      <c r="DK143" s="522"/>
      <c r="DL143" s="649"/>
      <c r="DM143" s="649"/>
      <c r="DN143" s="649"/>
      <c r="DO143" s="522"/>
      <c r="DP143" s="522"/>
      <c r="DQ143" s="522"/>
      <c r="DR143" s="522"/>
      <c r="DS143" s="522"/>
      <c r="DT143" s="522"/>
      <c r="DU143" s="522"/>
      <c r="DV143" s="522"/>
      <c r="DW143" s="522"/>
      <c r="DX143" s="522"/>
      <c r="DY143" s="522"/>
      <c r="DZ143" s="522"/>
      <c r="EA143" s="522"/>
      <c r="EB143" s="522"/>
      <c r="EC143" s="522"/>
      <c r="ED143" s="522"/>
      <c r="EE143" s="522"/>
      <c r="EF143" s="522"/>
      <c r="EG143" s="645">
        <f t="shared" si="132"/>
        <v>8.6013200000000012</v>
      </c>
      <c r="EH143" s="361">
        <v>0</v>
      </c>
      <c r="EI143" s="647">
        <v>0</v>
      </c>
      <c r="EJ143" s="647">
        <f t="shared" si="143"/>
        <v>2.4900000000000002</v>
      </c>
      <c r="EK143" s="647">
        <f t="shared" si="144"/>
        <v>3.07</v>
      </c>
      <c r="EL143" s="522"/>
      <c r="EM143" s="522"/>
      <c r="EN143" s="522"/>
      <c r="EO143" s="522"/>
      <c r="EP143" s="522"/>
      <c r="EQ143" s="522"/>
      <c r="ER143" s="522"/>
      <c r="ES143" s="407"/>
      <c r="ET143" s="407"/>
    </row>
    <row r="144" spans="1:150" s="357" customFormat="1" ht="15">
      <c r="A144" s="675" t="s">
        <v>3</v>
      </c>
      <c r="B144" s="712">
        <v>41770</v>
      </c>
      <c r="C144" s="358">
        <v>0</v>
      </c>
      <c r="D144" s="405">
        <v>0.01</v>
      </c>
      <c r="E144" s="681">
        <v>0</v>
      </c>
      <c r="F144" s="681">
        <v>49</v>
      </c>
      <c r="G144" s="681">
        <v>1.95</v>
      </c>
      <c r="H144" s="405">
        <v>2.0499999999999998</v>
      </c>
      <c r="I144" s="405">
        <v>92.39</v>
      </c>
      <c r="J144" s="405">
        <v>1.41</v>
      </c>
      <c r="K144" s="405" t="s">
        <v>744</v>
      </c>
      <c r="L144" s="644">
        <v>0</v>
      </c>
      <c r="M144" s="405">
        <v>24.3</v>
      </c>
      <c r="N144" s="405">
        <v>1.76</v>
      </c>
      <c r="O144" s="643">
        <v>2.1136429273921951</v>
      </c>
      <c r="P144" s="405">
        <v>0</v>
      </c>
      <c r="Q144" s="405" t="s">
        <v>743</v>
      </c>
      <c r="R144" s="790">
        <v>1018.3569669749007</v>
      </c>
      <c r="S144" s="405">
        <v>8.0399999999999991</v>
      </c>
      <c r="T144" s="405">
        <v>0</v>
      </c>
      <c r="U144" s="405">
        <v>0.67</v>
      </c>
      <c r="V144" s="807">
        <v>0</v>
      </c>
      <c r="W144" s="807">
        <v>47.480000000000004</v>
      </c>
      <c r="X144" s="647" t="e">
        <v>#VALUE!</v>
      </c>
      <c r="Y144" s="383">
        <v>22.3</v>
      </c>
      <c r="Z144" s="681">
        <v>28.8</v>
      </c>
      <c r="AA144" s="794">
        <v>22</v>
      </c>
      <c r="AB144" s="794">
        <v>34</v>
      </c>
      <c r="AC144" s="775">
        <f t="shared" si="141"/>
        <v>56</v>
      </c>
      <c r="AD144" s="775">
        <f t="shared" si="142"/>
        <v>86.631999999999991</v>
      </c>
      <c r="AE144" s="775"/>
      <c r="AF144" s="567"/>
      <c r="AG144" s="2">
        <v>1.6</v>
      </c>
      <c r="AH144" s="995"/>
      <c r="AI144" s="362"/>
      <c r="AJ144" s="996"/>
      <c r="AK144" s="407"/>
      <c r="AL144" s="407"/>
      <c r="AM144" s="407"/>
      <c r="AN144" s="407"/>
      <c r="AO144" s="387"/>
      <c r="AP144" s="387"/>
      <c r="AQ144" s="1028"/>
      <c r="AR144" s="578">
        <v>0</v>
      </c>
      <c r="AS144" s="405">
        <v>11.8</v>
      </c>
      <c r="AT144" s="578">
        <v>0</v>
      </c>
      <c r="AU144" s="405">
        <v>22.7</v>
      </c>
      <c r="AV144" s="644">
        <v>518.79999999999995</v>
      </c>
      <c r="AW144" s="644">
        <v>650.4</v>
      </c>
      <c r="AX144" s="405">
        <v>0</v>
      </c>
      <c r="AY144" s="578">
        <v>0</v>
      </c>
      <c r="AZ144" s="578">
        <v>0</v>
      </c>
      <c r="BA144" s="578">
        <v>0</v>
      </c>
      <c r="BB144" s="1086">
        <v>1.61</v>
      </c>
      <c r="BC144" s="405">
        <v>0.64</v>
      </c>
      <c r="BD144" s="405">
        <v>1.87</v>
      </c>
      <c r="BE144" s="578">
        <v>0</v>
      </c>
      <c r="BF144" s="405">
        <v>0</v>
      </c>
      <c r="BG144" s="405">
        <v>0</v>
      </c>
      <c r="BH144" s="578">
        <v>0</v>
      </c>
      <c r="BI144" s="405">
        <v>0</v>
      </c>
      <c r="BJ144" s="405">
        <v>31.7</v>
      </c>
      <c r="BK144" s="405">
        <v>3.02</v>
      </c>
      <c r="BL144" s="992">
        <v>0</v>
      </c>
      <c r="BM144" s="405">
        <v>0</v>
      </c>
      <c r="BN144" s="992">
        <v>26.8</v>
      </c>
      <c r="BO144" s="405">
        <v>1082.2</v>
      </c>
      <c r="BP144" s="405">
        <v>0</v>
      </c>
      <c r="BQ144" s="649">
        <v>22.06</v>
      </c>
      <c r="BR144" s="649">
        <v>22.03</v>
      </c>
      <c r="BS144" s="649">
        <v>9.4600000000000009</v>
      </c>
      <c r="BT144" s="649">
        <v>9.61</v>
      </c>
      <c r="BU144" s="648">
        <v>20.9</v>
      </c>
      <c r="BV144" s="648">
        <v>18.5</v>
      </c>
      <c r="BW144" s="649">
        <v>730.5</v>
      </c>
      <c r="BX144" s="876"/>
      <c r="BY144" s="649">
        <v>0.74</v>
      </c>
      <c r="BZ144" s="649">
        <v>1.28</v>
      </c>
      <c r="CA144" s="649">
        <v>1.3</v>
      </c>
      <c r="CB144" s="649">
        <v>9</v>
      </c>
      <c r="CC144" s="649">
        <v>8</v>
      </c>
      <c r="CD144" s="522">
        <v>15.3</v>
      </c>
      <c r="CE144" s="522">
        <v>33.4</v>
      </c>
      <c r="CF144" s="522">
        <v>13.1</v>
      </c>
      <c r="CG144" s="522">
        <v>5.9</v>
      </c>
      <c r="CH144" s="522">
        <v>11.1</v>
      </c>
      <c r="CI144" s="649">
        <v>15.1</v>
      </c>
      <c r="CJ144" s="649">
        <v>13.29</v>
      </c>
      <c r="CK144" s="522">
        <v>545.4</v>
      </c>
      <c r="CL144" s="522">
        <v>1.4</v>
      </c>
      <c r="CM144" s="522">
        <v>1.1000000000000001</v>
      </c>
      <c r="CN144" s="991">
        <v>820</v>
      </c>
      <c r="CO144" s="522">
        <v>395.8</v>
      </c>
      <c r="CP144" s="522">
        <v>465.3</v>
      </c>
      <c r="CQ144" s="522">
        <v>13.4</v>
      </c>
      <c r="CR144" s="649">
        <v>2.0499999999999998</v>
      </c>
      <c r="CS144" s="405">
        <v>0</v>
      </c>
      <c r="CT144" s="405">
        <v>15.34</v>
      </c>
      <c r="CU144" s="405">
        <v>51</v>
      </c>
      <c r="CV144" s="522">
        <v>0</v>
      </c>
      <c r="CW144" s="522">
        <v>0</v>
      </c>
      <c r="CX144" s="522">
        <v>0</v>
      </c>
      <c r="CY144" s="522">
        <v>0</v>
      </c>
      <c r="CZ144" s="689">
        <v>1670</v>
      </c>
      <c r="DA144" s="689">
        <v>2270</v>
      </c>
      <c r="DB144" s="689">
        <v>1670</v>
      </c>
      <c r="DC144" s="643">
        <v>1162.1099999999999</v>
      </c>
      <c r="DD144" s="522"/>
      <c r="DE144" s="522"/>
      <c r="DF144" s="522"/>
      <c r="DG144" s="522"/>
      <c r="DH144" s="522"/>
      <c r="DI144" s="522"/>
      <c r="DJ144" s="522"/>
      <c r="DK144" s="522"/>
      <c r="DL144" s="649"/>
      <c r="DM144" s="649"/>
      <c r="DN144" s="649"/>
      <c r="DO144" s="522"/>
      <c r="DP144" s="522"/>
      <c r="DQ144" s="522"/>
      <c r="DR144" s="522"/>
      <c r="DS144" s="522"/>
      <c r="DT144" s="522"/>
      <c r="DU144" s="522"/>
      <c r="DV144" s="522"/>
      <c r="DW144" s="522"/>
      <c r="DX144" s="522"/>
      <c r="DY144" s="522"/>
      <c r="DZ144" s="522"/>
      <c r="EA144" s="522"/>
      <c r="EB144" s="522"/>
      <c r="EC144" s="522"/>
      <c r="ED144" s="522"/>
      <c r="EE144" s="522"/>
      <c r="EF144" s="522"/>
      <c r="EG144" s="645">
        <f t="shared" si="132"/>
        <v>8.5549099999999996</v>
      </c>
      <c r="EH144" s="361">
        <v>0</v>
      </c>
      <c r="EI144" s="647">
        <v>0</v>
      </c>
      <c r="EJ144" s="647">
        <f t="shared" si="143"/>
        <v>2.5100000000000002</v>
      </c>
      <c r="EK144" s="647">
        <f t="shared" si="144"/>
        <v>3.02</v>
      </c>
      <c r="EL144" s="522"/>
      <c r="EM144" s="522"/>
      <c r="EN144" s="522"/>
      <c r="EO144" s="522"/>
      <c r="EP144" s="522"/>
      <c r="EQ144" s="522"/>
      <c r="ER144" s="522"/>
      <c r="ES144" s="407"/>
      <c r="ET144" s="407"/>
    </row>
    <row r="145" spans="1:150" s="357" customFormat="1" ht="15">
      <c r="A145" s="675" t="s">
        <v>4</v>
      </c>
      <c r="B145" s="712">
        <v>41771</v>
      </c>
      <c r="C145" s="358">
        <v>0</v>
      </c>
      <c r="D145" s="405">
        <v>0</v>
      </c>
      <c r="E145" s="681">
        <v>0</v>
      </c>
      <c r="F145" s="681">
        <v>55</v>
      </c>
      <c r="G145" s="681">
        <v>1.65</v>
      </c>
      <c r="H145" s="405">
        <v>1.87</v>
      </c>
      <c r="I145" s="405">
        <v>93.2</v>
      </c>
      <c r="J145" s="405">
        <v>1.35</v>
      </c>
      <c r="K145" s="405" t="s">
        <v>744</v>
      </c>
      <c r="L145" s="644">
        <v>0</v>
      </c>
      <c r="M145" s="405">
        <v>24.2</v>
      </c>
      <c r="N145" s="405">
        <v>1.77</v>
      </c>
      <c r="O145" s="405">
        <v>2.3275255509977053</v>
      </c>
      <c r="P145" s="405">
        <v>0</v>
      </c>
      <c r="Q145" s="405" t="s">
        <v>743</v>
      </c>
      <c r="R145" s="790">
        <v>1106.459096433289</v>
      </c>
      <c r="S145" s="405">
        <v>8.01</v>
      </c>
      <c r="T145" s="405">
        <v>0</v>
      </c>
      <c r="U145" s="405">
        <v>0.65400000000000003</v>
      </c>
      <c r="V145" s="807">
        <v>0</v>
      </c>
      <c r="W145" s="807">
        <v>48.739999999999995</v>
      </c>
      <c r="X145" s="647" t="e">
        <v>#VALUE!</v>
      </c>
      <c r="Y145" s="383">
        <v>22</v>
      </c>
      <c r="Z145" s="681">
        <v>34</v>
      </c>
      <c r="AA145" s="794">
        <v>22.1</v>
      </c>
      <c r="AB145" s="794">
        <v>34.01</v>
      </c>
      <c r="AC145" s="775">
        <f t="shared" ref="AC145:AC146" si="145">AA145+AB145</f>
        <v>56.11</v>
      </c>
      <c r="AD145" s="775">
        <f t="shared" ref="AD145:AD146" si="146">AC145*1.547</f>
        <v>86.80216999999999</v>
      </c>
      <c r="AE145" s="775"/>
      <c r="AF145" s="567"/>
      <c r="AG145" s="2">
        <v>1.6</v>
      </c>
      <c r="AH145" s="995"/>
      <c r="AI145" s="362"/>
      <c r="AJ145" s="996"/>
      <c r="AK145" s="407"/>
      <c r="AL145" s="407"/>
      <c r="AM145" s="407"/>
      <c r="AN145" s="407"/>
      <c r="AO145" s="387"/>
      <c r="AP145" s="387"/>
      <c r="AQ145" s="1028"/>
      <c r="AR145" s="578">
        <v>0</v>
      </c>
      <c r="AS145" s="405">
        <v>23.4</v>
      </c>
      <c r="AT145" s="578">
        <v>0</v>
      </c>
      <c r="AU145" s="405">
        <v>22.7</v>
      </c>
      <c r="AV145" s="644">
        <v>537.70000000000005</v>
      </c>
      <c r="AW145" s="644">
        <v>600.70000000000005</v>
      </c>
      <c r="AX145" s="405">
        <v>0</v>
      </c>
      <c r="AY145" s="578">
        <v>0</v>
      </c>
      <c r="AZ145" s="578">
        <v>0</v>
      </c>
      <c r="BA145" s="578">
        <v>0</v>
      </c>
      <c r="BB145" s="1086">
        <v>1.6</v>
      </c>
      <c r="BC145" s="405">
        <v>0.82</v>
      </c>
      <c r="BD145" s="405">
        <v>1.69</v>
      </c>
      <c r="BE145" s="578">
        <v>0</v>
      </c>
      <c r="BF145" s="405">
        <v>0</v>
      </c>
      <c r="BG145" s="405">
        <v>0</v>
      </c>
      <c r="BH145" s="578">
        <v>0</v>
      </c>
      <c r="BI145" s="405">
        <v>0</v>
      </c>
      <c r="BJ145" s="405">
        <v>31.7</v>
      </c>
      <c r="BK145" s="405">
        <v>3.02</v>
      </c>
      <c r="BL145" s="992">
        <v>2.38</v>
      </c>
      <c r="BM145" s="405">
        <v>0</v>
      </c>
      <c r="BN145" s="992">
        <v>24.5</v>
      </c>
      <c r="BO145" s="405">
        <v>1234.7</v>
      </c>
      <c r="BP145" s="405">
        <v>27.8</v>
      </c>
      <c r="BQ145" s="649">
        <v>21.45</v>
      </c>
      <c r="BR145" s="649">
        <v>21.39</v>
      </c>
      <c r="BS145" s="649">
        <v>9.4499999999999993</v>
      </c>
      <c r="BT145" s="649">
        <v>9.59</v>
      </c>
      <c r="BU145" s="648">
        <v>20.9</v>
      </c>
      <c r="BV145" s="648">
        <v>24.6</v>
      </c>
      <c r="BW145" s="649">
        <v>514.6</v>
      </c>
      <c r="BX145" s="876"/>
      <c r="BY145" s="649">
        <v>0.88</v>
      </c>
      <c r="BZ145" s="649">
        <v>1.28</v>
      </c>
      <c r="CA145" s="649">
        <v>1.3</v>
      </c>
      <c r="CB145" s="649">
        <v>8.8000000000000007</v>
      </c>
      <c r="CC145" s="649">
        <v>8.1</v>
      </c>
      <c r="CD145" s="649">
        <v>14.5</v>
      </c>
      <c r="CE145" s="649">
        <v>33</v>
      </c>
      <c r="CF145" s="649">
        <v>12.3</v>
      </c>
      <c r="CG145" s="649">
        <v>5.65</v>
      </c>
      <c r="CH145" s="649">
        <v>10.65</v>
      </c>
      <c r="CI145" s="649">
        <v>15.1</v>
      </c>
      <c r="CJ145" s="649">
        <v>13.1</v>
      </c>
      <c r="CK145" s="649">
        <v>602.29999999999995</v>
      </c>
      <c r="CL145" s="649">
        <v>1.9</v>
      </c>
      <c r="CM145" s="649">
        <v>2.8</v>
      </c>
      <c r="CN145" s="991">
        <v>820</v>
      </c>
      <c r="CO145" s="649">
        <v>401.5</v>
      </c>
      <c r="CP145" s="649">
        <v>500.6</v>
      </c>
      <c r="CQ145" s="649">
        <v>14.5</v>
      </c>
      <c r="CR145" s="649">
        <v>2.3199999999999998</v>
      </c>
      <c r="CS145" s="405">
        <v>0</v>
      </c>
      <c r="CT145" s="405">
        <v>16.95</v>
      </c>
      <c r="CU145" s="405">
        <v>51</v>
      </c>
      <c r="CV145" s="522">
        <v>0</v>
      </c>
      <c r="CW145" s="522">
        <v>0</v>
      </c>
      <c r="CX145" s="522">
        <v>0</v>
      </c>
      <c r="CY145" s="522">
        <v>0</v>
      </c>
      <c r="CZ145" s="689">
        <v>1550</v>
      </c>
      <c r="DA145" s="689">
        <v>1980</v>
      </c>
      <c r="DB145" s="689">
        <v>1380</v>
      </c>
      <c r="DC145" s="643">
        <v>1162.3</v>
      </c>
      <c r="DD145" s="522"/>
      <c r="DE145" s="522"/>
      <c r="DF145" s="522"/>
      <c r="DG145" s="522"/>
      <c r="DH145" s="522"/>
      <c r="DI145" s="522"/>
      <c r="DJ145" s="522"/>
      <c r="DK145" s="522"/>
      <c r="DL145" s="649"/>
      <c r="DM145" s="649"/>
      <c r="DN145" s="649"/>
      <c r="DO145" s="522"/>
      <c r="DP145" s="522"/>
      <c r="DQ145" s="522"/>
      <c r="DR145" s="522"/>
      <c r="DS145" s="522"/>
      <c r="DT145" s="522"/>
      <c r="DU145" s="522"/>
      <c r="DV145" s="522"/>
      <c r="DW145" s="522"/>
      <c r="DX145" s="522"/>
      <c r="DY145" s="522"/>
      <c r="DZ145" s="522"/>
      <c r="EA145" s="522"/>
      <c r="EB145" s="522"/>
      <c r="EC145" s="522"/>
      <c r="ED145" s="522"/>
      <c r="EE145" s="522"/>
      <c r="EF145" s="522"/>
      <c r="EG145" s="645">
        <f t="shared" si="132"/>
        <v>12.23677</v>
      </c>
      <c r="EH145" s="361">
        <v>0</v>
      </c>
      <c r="EI145" s="647">
        <v>0</v>
      </c>
      <c r="EJ145" s="647">
        <f t="shared" si="143"/>
        <v>2.5099999999999998</v>
      </c>
      <c r="EK145" s="647">
        <f t="shared" si="144"/>
        <v>5.4</v>
      </c>
      <c r="EL145" s="522"/>
      <c r="EM145" s="522"/>
      <c r="EN145" s="522"/>
      <c r="EO145" s="522"/>
      <c r="EP145" s="522"/>
      <c r="EQ145" s="522"/>
      <c r="ER145" s="522"/>
      <c r="ES145" s="407"/>
      <c r="ET145" s="407"/>
    </row>
    <row r="146" spans="1:150" s="357" customFormat="1" ht="15">
      <c r="A146" s="675" t="s">
        <v>5</v>
      </c>
      <c r="B146" s="712">
        <v>41772</v>
      </c>
      <c r="C146" s="358">
        <v>0</v>
      </c>
      <c r="D146" s="405">
        <v>0</v>
      </c>
      <c r="E146" s="681">
        <v>0</v>
      </c>
      <c r="F146" s="681">
        <v>58</v>
      </c>
      <c r="G146" s="681">
        <v>1.55</v>
      </c>
      <c r="H146" s="405">
        <v>1.31</v>
      </c>
      <c r="I146" s="405">
        <v>92.8</v>
      </c>
      <c r="J146" s="405">
        <v>1.25</v>
      </c>
      <c r="K146" s="405" t="s">
        <v>744</v>
      </c>
      <c r="L146" s="644">
        <v>0</v>
      </c>
      <c r="M146" s="405">
        <v>24</v>
      </c>
      <c r="N146" s="405">
        <v>1.78</v>
      </c>
      <c r="O146" s="405">
        <v>2.3899485946569343</v>
      </c>
      <c r="P146" s="405">
        <v>0</v>
      </c>
      <c r="Q146" s="405" t="s">
        <v>743</v>
      </c>
      <c r="R146" s="790">
        <v>1135.9344412153234</v>
      </c>
      <c r="S146" s="405">
        <v>8.0239999999999991</v>
      </c>
      <c r="T146" s="405">
        <v>0</v>
      </c>
      <c r="U146" s="405">
        <v>0.65700000000000003</v>
      </c>
      <c r="V146" s="807">
        <v>0</v>
      </c>
      <c r="W146" s="807">
        <v>48.2</v>
      </c>
      <c r="X146" s="647" t="e">
        <v>#VALUE!</v>
      </c>
      <c r="Y146" s="383">
        <v>22.1</v>
      </c>
      <c r="Z146" s="681">
        <v>34.01</v>
      </c>
      <c r="AA146" s="794">
        <v>22.09</v>
      </c>
      <c r="AB146" s="794">
        <v>33.99</v>
      </c>
      <c r="AC146" s="775">
        <f t="shared" si="145"/>
        <v>56.08</v>
      </c>
      <c r="AD146" s="775">
        <f t="shared" si="146"/>
        <v>86.755759999999995</v>
      </c>
      <c r="AE146" s="775"/>
      <c r="AF146" s="567"/>
      <c r="AG146" s="2">
        <v>1.6</v>
      </c>
      <c r="AH146" s="995"/>
      <c r="AI146" s="362"/>
      <c r="AJ146" s="996"/>
      <c r="AK146" s="407"/>
      <c r="AL146" s="407"/>
      <c r="AM146" s="407"/>
      <c r="AN146" s="407"/>
      <c r="AO146" s="387"/>
      <c r="AP146" s="387"/>
      <c r="AQ146" s="1028"/>
      <c r="AR146" s="578">
        <v>0</v>
      </c>
      <c r="AS146" s="405">
        <v>12.5</v>
      </c>
      <c r="AT146" s="578">
        <v>0</v>
      </c>
      <c r="AU146" s="405">
        <v>22.7</v>
      </c>
      <c r="AV146" s="644">
        <v>455.7</v>
      </c>
      <c r="AW146" s="644">
        <v>812.8</v>
      </c>
      <c r="AX146" s="405">
        <v>0.3</v>
      </c>
      <c r="AY146" s="578">
        <v>0</v>
      </c>
      <c r="AZ146" s="578">
        <v>0</v>
      </c>
      <c r="BA146" s="578">
        <v>0</v>
      </c>
      <c r="BB146" s="1086">
        <v>1.6</v>
      </c>
      <c r="BC146" s="405">
        <v>0.99</v>
      </c>
      <c r="BD146" s="405">
        <v>1.51</v>
      </c>
      <c r="BE146" s="578">
        <v>0</v>
      </c>
      <c r="BF146" s="405">
        <v>0</v>
      </c>
      <c r="BG146" s="405">
        <v>0</v>
      </c>
      <c r="BH146" s="578">
        <v>0</v>
      </c>
      <c r="BI146" s="405">
        <v>0</v>
      </c>
      <c r="BJ146" s="405">
        <v>31.6</v>
      </c>
      <c r="BK146" s="405">
        <v>3</v>
      </c>
      <c r="BL146" s="405">
        <v>3.3</v>
      </c>
      <c r="BM146" s="405">
        <v>0</v>
      </c>
      <c r="BN146" s="405">
        <v>23.4</v>
      </c>
      <c r="BO146" s="405">
        <v>1562.6</v>
      </c>
      <c r="BP146" s="405">
        <v>0</v>
      </c>
      <c r="BQ146" s="649">
        <v>18.88</v>
      </c>
      <c r="BR146" s="649">
        <v>18.829999999999998</v>
      </c>
      <c r="BS146" s="649">
        <v>9.23</v>
      </c>
      <c r="BT146" s="649">
        <v>9.3800000000000008</v>
      </c>
      <c r="BU146" s="648">
        <v>20.6</v>
      </c>
      <c r="BV146" s="648">
        <v>29.7</v>
      </c>
      <c r="BW146" s="649">
        <v>734.5</v>
      </c>
      <c r="BX146" s="876"/>
      <c r="BY146" s="649">
        <v>1.03</v>
      </c>
      <c r="BZ146" s="649">
        <v>1.34</v>
      </c>
      <c r="CA146" s="649">
        <v>1.2</v>
      </c>
      <c r="CB146" s="649">
        <v>8.6999999999999993</v>
      </c>
      <c r="CC146" s="649">
        <v>8.3000000000000007</v>
      </c>
      <c r="CD146" s="649">
        <v>14.6</v>
      </c>
      <c r="CE146" s="649">
        <v>32</v>
      </c>
      <c r="CF146" s="649">
        <v>14.4</v>
      </c>
      <c r="CG146" s="649">
        <v>7.19</v>
      </c>
      <c r="CH146" s="649">
        <v>12.4</v>
      </c>
      <c r="CI146" s="649">
        <v>16.899999999999999</v>
      </c>
      <c r="CJ146" s="649">
        <v>13.03</v>
      </c>
      <c r="CK146" s="649">
        <v>592.5</v>
      </c>
      <c r="CL146" s="649">
        <v>2</v>
      </c>
      <c r="CM146" s="649">
        <v>1.9</v>
      </c>
      <c r="CN146" s="991">
        <v>820</v>
      </c>
      <c r="CO146" s="649">
        <v>446.8</v>
      </c>
      <c r="CP146" s="649">
        <v>495.1</v>
      </c>
      <c r="CQ146" s="649">
        <v>14.9</v>
      </c>
      <c r="CR146" s="649">
        <v>2.04</v>
      </c>
      <c r="CS146" s="405">
        <v>0</v>
      </c>
      <c r="CT146" s="405">
        <v>16.559999999999999</v>
      </c>
      <c r="CU146" s="405">
        <v>52</v>
      </c>
      <c r="CV146" s="522">
        <v>0</v>
      </c>
      <c r="CW146" s="522">
        <v>0</v>
      </c>
      <c r="CX146" s="522">
        <v>0</v>
      </c>
      <c r="CY146" s="522">
        <v>0</v>
      </c>
      <c r="CZ146" s="689">
        <v>1280</v>
      </c>
      <c r="DA146" s="689">
        <v>1800</v>
      </c>
      <c r="DB146" s="1094">
        <v>1240</v>
      </c>
      <c r="DC146" s="1095">
        <v>1162.69</v>
      </c>
      <c r="DD146" s="522"/>
      <c r="DE146" s="522"/>
      <c r="DF146" s="522"/>
      <c r="DG146" s="522"/>
      <c r="DH146" s="522"/>
      <c r="DI146" s="522"/>
      <c r="DJ146" s="522"/>
      <c r="DK146" s="522"/>
      <c r="DL146" s="649"/>
      <c r="DM146" s="649"/>
      <c r="DN146" s="649"/>
      <c r="DO146" s="522"/>
      <c r="DP146" s="522"/>
      <c r="DQ146" s="522"/>
      <c r="DR146" s="522"/>
      <c r="DS146" s="522"/>
      <c r="DT146" s="522"/>
      <c r="DU146" s="522"/>
      <c r="DV146" s="522"/>
      <c r="DW146" s="522"/>
      <c r="DX146" s="522"/>
      <c r="DY146" s="522"/>
      <c r="DZ146" s="522"/>
      <c r="EA146" s="522"/>
      <c r="EB146" s="522"/>
      <c r="EC146" s="522"/>
      <c r="ED146" s="522"/>
      <c r="EE146" s="522"/>
      <c r="EF146" s="522"/>
      <c r="EG146" s="645">
        <f t="shared" si="132"/>
        <v>13.6136</v>
      </c>
      <c r="EH146" s="361">
        <v>0</v>
      </c>
      <c r="EI146" s="647">
        <v>0</v>
      </c>
      <c r="EJ146" s="647">
        <f t="shared" si="143"/>
        <v>2.5</v>
      </c>
      <c r="EK146" s="647">
        <f t="shared" si="144"/>
        <v>6.3</v>
      </c>
      <c r="EL146" s="522"/>
      <c r="EM146" s="522"/>
      <c r="EN146" s="522"/>
      <c r="EO146" s="522"/>
      <c r="EP146" s="522"/>
      <c r="EQ146" s="522"/>
      <c r="ER146" s="522"/>
      <c r="ES146" s="407"/>
      <c r="ET146" s="407"/>
    </row>
    <row r="147" spans="1:150" s="357" customFormat="1" ht="15">
      <c r="A147" s="675" t="s">
        <v>6</v>
      </c>
      <c r="B147" s="712">
        <v>41773</v>
      </c>
      <c r="C147" s="358">
        <v>0</v>
      </c>
      <c r="D147" s="405">
        <v>0</v>
      </c>
      <c r="E147" s="681">
        <v>0</v>
      </c>
      <c r="F147" s="681">
        <v>63</v>
      </c>
      <c r="G147" s="681">
        <v>1.65</v>
      </c>
      <c r="H147" s="405">
        <v>1.02</v>
      </c>
      <c r="I147" s="405">
        <v>93.7</v>
      </c>
      <c r="J147" s="405">
        <v>1.1599999999999999</v>
      </c>
      <c r="K147" s="405" t="s">
        <v>744</v>
      </c>
      <c r="L147" s="644">
        <v>0</v>
      </c>
      <c r="M147" s="405">
        <v>23.9</v>
      </c>
      <c r="N147" s="405">
        <v>1.77</v>
      </c>
      <c r="O147" s="405">
        <v>2.3896941336437156</v>
      </c>
      <c r="P147" s="405">
        <v>0</v>
      </c>
      <c r="Q147" s="405" t="s">
        <v>743</v>
      </c>
      <c r="R147" s="790">
        <v>1164.1141664464992</v>
      </c>
      <c r="S147" s="405">
        <v>8.0500000000000007</v>
      </c>
      <c r="T147" s="405">
        <v>0</v>
      </c>
      <c r="U147" s="405">
        <v>0.6</v>
      </c>
      <c r="V147" s="807">
        <v>0</v>
      </c>
      <c r="W147" s="807">
        <v>47.3</v>
      </c>
      <c r="X147" s="647" t="e">
        <v>#VALUE!</v>
      </c>
      <c r="Y147" s="383">
        <v>22.09</v>
      </c>
      <c r="Z147" s="681">
        <v>33.99</v>
      </c>
      <c r="AA147" s="794">
        <v>21.91</v>
      </c>
      <c r="AB147" s="794">
        <v>36.42</v>
      </c>
      <c r="AC147" s="775">
        <f t="shared" ref="AC147" si="147">AA147+AB147</f>
        <v>58.33</v>
      </c>
      <c r="AD147" s="775">
        <f t="shared" ref="AD147" si="148">AC147*1.547</f>
        <v>90.236509999999996</v>
      </c>
      <c r="AE147" s="775"/>
      <c r="AF147" s="567"/>
      <c r="AG147" s="2">
        <v>1.6</v>
      </c>
      <c r="AH147" s="995"/>
      <c r="AI147" s="362"/>
      <c r="AJ147" s="996"/>
      <c r="AK147" s="407"/>
      <c r="AL147" s="407"/>
      <c r="AM147" s="407"/>
      <c r="AN147" s="407"/>
      <c r="AO147" s="387"/>
      <c r="AP147" s="387"/>
      <c r="AQ147" s="1028"/>
      <c r="AR147" s="578">
        <v>0</v>
      </c>
      <c r="AS147" s="405">
        <v>22.7</v>
      </c>
      <c r="AT147" s="992">
        <v>0</v>
      </c>
      <c r="AU147" s="405">
        <v>22.6</v>
      </c>
      <c r="AV147" s="644">
        <v>443.4</v>
      </c>
      <c r="AW147" s="644">
        <v>532.9</v>
      </c>
      <c r="AX147" s="405">
        <v>1.1000000000000001</v>
      </c>
      <c r="AY147" s="578">
        <v>0</v>
      </c>
      <c r="AZ147" s="578">
        <v>0</v>
      </c>
      <c r="BA147" s="578">
        <v>0</v>
      </c>
      <c r="BB147" s="1086">
        <v>1.6</v>
      </c>
      <c r="BC147" s="405">
        <v>0.99</v>
      </c>
      <c r="BD147" s="405">
        <v>1.51</v>
      </c>
      <c r="BE147" s="578">
        <v>0</v>
      </c>
      <c r="BF147" s="405">
        <v>0</v>
      </c>
      <c r="BG147" s="405">
        <v>0</v>
      </c>
      <c r="BH147" s="578">
        <v>0</v>
      </c>
      <c r="BI147" s="405">
        <v>0</v>
      </c>
      <c r="BJ147" s="405">
        <v>34.1</v>
      </c>
      <c r="BK147" s="405">
        <v>3.3</v>
      </c>
      <c r="BL147" s="405">
        <v>3.16</v>
      </c>
      <c r="BM147" s="405">
        <v>0</v>
      </c>
      <c r="BN147" s="405">
        <v>25.9</v>
      </c>
      <c r="BO147" s="405">
        <v>1426.8</v>
      </c>
      <c r="BP147" s="405">
        <v>0</v>
      </c>
      <c r="BQ147" s="649">
        <v>17.86</v>
      </c>
      <c r="BR147" s="649">
        <v>17.809999999999999</v>
      </c>
      <c r="BS147" s="649">
        <v>9.9</v>
      </c>
      <c r="BT147" s="649">
        <v>9.51</v>
      </c>
      <c r="BU147" s="648">
        <v>20.9</v>
      </c>
      <c r="BV147" s="648">
        <v>26</v>
      </c>
      <c r="BW147" s="649">
        <v>829</v>
      </c>
      <c r="BX147" s="876"/>
      <c r="BY147" s="649">
        <v>1.07</v>
      </c>
      <c r="BZ147" s="649">
        <v>1.32</v>
      </c>
      <c r="CA147" s="649">
        <v>1.2</v>
      </c>
      <c r="CB147" s="649">
        <v>8.6999999999999993</v>
      </c>
      <c r="CC147" s="649">
        <v>8.5</v>
      </c>
      <c r="CD147" s="649">
        <v>14.8</v>
      </c>
      <c r="CE147" s="649">
        <v>35.799999999999997</v>
      </c>
      <c r="CF147" s="649">
        <v>13.1</v>
      </c>
      <c r="CG147" s="649">
        <v>7.3</v>
      </c>
      <c r="CH147" s="649">
        <v>12.5</v>
      </c>
      <c r="CI147" s="649">
        <v>17.100000000000001</v>
      </c>
      <c r="CJ147" s="649">
        <v>13.57</v>
      </c>
      <c r="CK147" s="649">
        <v>524.4</v>
      </c>
      <c r="CL147" s="649">
        <v>1.5</v>
      </c>
      <c r="CM147" s="649">
        <v>0.8</v>
      </c>
      <c r="CN147" s="991">
        <v>820</v>
      </c>
      <c r="CO147" s="649">
        <v>513.70000000000005</v>
      </c>
      <c r="CP147" s="649">
        <v>535.79999999999995</v>
      </c>
      <c r="CQ147" s="649">
        <v>14.9</v>
      </c>
      <c r="CR147" s="649">
        <v>1.51</v>
      </c>
      <c r="CS147" s="405">
        <v>1437.7</v>
      </c>
      <c r="CT147" s="405">
        <v>15.61</v>
      </c>
      <c r="CU147" s="405">
        <v>52</v>
      </c>
      <c r="CV147" s="522">
        <v>0</v>
      </c>
      <c r="CW147" s="522">
        <v>0</v>
      </c>
      <c r="CX147" s="522">
        <v>0</v>
      </c>
      <c r="CY147" s="522">
        <v>0</v>
      </c>
      <c r="CZ147" s="689">
        <v>1410</v>
      </c>
      <c r="DA147" s="689">
        <v>1840</v>
      </c>
      <c r="DB147" s="689">
        <v>1370</v>
      </c>
      <c r="DC147" s="643">
        <v>1163.04</v>
      </c>
      <c r="DD147" s="522"/>
      <c r="DE147" s="522"/>
      <c r="DF147" s="522"/>
      <c r="DG147" s="522"/>
      <c r="DH147" s="522"/>
      <c r="DI147" s="522"/>
      <c r="DJ147" s="522"/>
      <c r="DK147" s="522"/>
      <c r="DL147" s="649"/>
      <c r="DM147" s="649"/>
      <c r="DN147" s="649"/>
      <c r="DO147" s="522"/>
      <c r="DP147" s="522"/>
      <c r="DQ147" s="522"/>
      <c r="DR147" s="522"/>
      <c r="DS147" s="522"/>
      <c r="DT147" s="522"/>
      <c r="DU147" s="522"/>
      <c r="DV147" s="522"/>
      <c r="DW147" s="522"/>
      <c r="DX147" s="522"/>
      <c r="DY147" s="522"/>
      <c r="DZ147" s="522"/>
      <c r="EA147" s="522"/>
      <c r="EB147" s="522"/>
      <c r="EC147" s="522"/>
      <c r="ED147" s="522"/>
      <c r="EE147" s="522"/>
      <c r="EF147" s="522"/>
      <c r="EG147" s="645">
        <f t="shared" si="132"/>
        <v>13.861120000000001</v>
      </c>
      <c r="EH147" s="361">
        <v>0</v>
      </c>
      <c r="EI147" s="647">
        <v>0</v>
      </c>
      <c r="EJ147" s="647">
        <f t="shared" si="143"/>
        <v>2.5</v>
      </c>
      <c r="EK147" s="647">
        <f t="shared" si="144"/>
        <v>6.46</v>
      </c>
      <c r="EL147" s="522"/>
      <c r="EM147" s="522"/>
      <c r="EN147" s="522"/>
      <c r="EO147" s="522"/>
      <c r="EP147" s="522"/>
      <c r="EQ147" s="522"/>
      <c r="ER147" s="522"/>
      <c r="ES147" s="407"/>
      <c r="ET147" s="407"/>
    </row>
    <row r="148" spans="1:150" s="357" customFormat="1" ht="15">
      <c r="A148" s="675" t="s">
        <v>7</v>
      </c>
      <c r="B148" s="712">
        <v>41774</v>
      </c>
      <c r="C148" s="358">
        <v>0</v>
      </c>
      <c r="D148" s="405">
        <v>0</v>
      </c>
      <c r="E148" s="681">
        <v>0</v>
      </c>
      <c r="F148" s="681">
        <v>60</v>
      </c>
      <c r="G148" s="681">
        <v>1.8</v>
      </c>
      <c r="H148" s="405">
        <v>1.82</v>
      </c>
      <c r="I148" s="405">
        <v>95.3</v>
      </c>
      <c r="J148" s="405">
        <v>1.0900000000000001</v>
      </c>
      <c r="K148" s="405" t="s">
        <v>744</v>
      </c>
      <c r="L148" s="644">
        <v>0</v>
      </c>
      <c r="M148" s="405">
        <v>23.7</v>
      </c>
      <c r="N148" s="405">
        <v>1.81</v>
      </c>
      <c r="O148" s="405">
        <v>2.3970817821542103</v>
      </c>
      <c r="P148" s="405">
        <v>0</v>
      </c>
      <c r="Q148" s="405" t="s">
        <v>743</v>
      </c>
      <c r="R148" s="790">
        <v>1231.486383091149</v>
      </c>
      <c r="S148" s="405">
        <v>7.92</v>
      </c>
      <c r="T148" s="405">
        <v>0</v>
      </c>
      <c r="U148" s="405">
        <v>0.151</v>
      </c>
      <c r="V148" s="807">
        <v>0</v>
      </c>
      <c r="W148" s="807">
        <v>47.660000000000011</v>
      </c>
      <c r="X148" s="647" t="e">
        <v>#VALUE!</v>
      </c>
      <c r="Y148" s="383">
        <v>21.91</v>
      </c>
      <c r="Z148" s="681">
        <v>36.42</v>
      </c>
      <c r="AA148" s="794">
        <v>21.9</v>
      </c>
      <c r="AB148" s="794">
        <v>38.979999999999997</v>
      </c>
      <c r="AC148" s="775">
        <f t="shared" ref="AC148" si="149">AA148+AB148</f>
        <v>60.879999999999995</v>
      </c>
      <c r="AD148" s="775">
        <f t="shared" ref="AD148" si="150">AC148*1.547</f>
        <v>94.181359999999984</v>
      </c>
      <c r="AE148" s="775"/>
      <c r="AF148" s="567"/>
      <c r="AG148" s="2">
        <v>1.6</v>
      </c>
      <c r="AH148" s="995"/>
      <c r="AI148" s="362"/>
      <c r="AJ148" s="996"/>
      <c r="AK148" s="407"/>
      <c r="AL148" s="407"/>
      <c r="AM148" s="407"/>
      <c r="AN148" s="407"/>
      <c r="AO148" s="387"/>
      <c r="AP148" s="387"/>
      <c r="AQ148" s="1028"/>
      <c r="AR148" s="578">
        <v>0</v>
      </c>
      <c r="AS148" s="405">
        <v>23.5</v>
      </c>
      <c r="AT148" s="992">
        <v>0</v>
      </c>
      <c r="AU148" s="405">
        <v>22.6</v>
      </c>
      <c r="AV148" s="644">
        <v>424.9</v>
      </c>
      <c r="AW148" s="644">
        <v>483.3</v>
      </c>
      <c r="AX148" s="405">
        <v>16</v>
      </c>
      <c r="AY148" s="578">
        <v>0</v>
      </c>
      <c r="AZ148" s="578">
        <v>0</v>
      </c>
      <c r="BA148" s="578">
        <v>0</v>
      </c>
      <c r="BB148" s="1086">
        <v>1.58</v>
      </c>
      <c r="BC148" s="405">
        <v>0.8</v>
      </c>
      <c r="BD148" s="405">
        <v>1.7</v>
      </c>
      <c r="BE148" s="578">
        <v>0</v>
      </c>
      <c r="BF148" s="405">
        <v>0</v>
      </c>
      <c r="BG148" s="405">
        <v>0</v>
      </c>
      <c r="BH148" s="578">
        <v>0</v>
      </c>
      <c r="BI148" s="405">
        <v>0</v>
      </c>
      <c r="BJ148" s="405">
        <v>36.700000000000003</v>
      </c>
      <c r="BK148" s="405">
        <v>3.3</v>
      </c>
      <c r="BL148" s="405">
        <v>3.15</v>
      </c>
      <c r="BM148" s="405">
        <v>0</v>
      </c>
      <c r="BN148" s="405">
        <v>28.5</v>
      </c>
      <c r="BO148" s="405">
        <v>1233.3</v>
      </c>
      <c r="BP148" s="405">
        <v>0</v>
      </c>
      <c r="BQ148" s="649">
        <v>17.45</v>
      </c>
      <c r="BR148" s="522">
        <v>17.399999999999999</v>
      </c>
      <c r="BS148" s="522">
        <v>9.3000000000000007</v>
      </c>
      <c r="BT148" s="522">
        <v>9.42</v>
      </c>
      <c r="BU148" s="648">
        <v>20.8</v>
      </c>
      <c r="BV148" s="648">
        <v>24.3</v>
      </c>
      <c r="BW148" s="649">
        <v>585.79999999999995</v>
      </c>
      <c r="BX148" s="876"/>
      <c r="BY148" s="649">
        <v>1.1100000000000001</v>
      </c>
      <c r="BZ148" s="649">
        <v>1.35</v>
      </c>
      <c r="CA148" s="649">
        <v>1.2</v>
      </c>
      <c r="CB148" s="649">
        <v>8.6999999999999993</v>
      </c>
      <c r="CC148" s="649">
        <v>8.6</v>
      </c>
      <c r="CD148" s="522">
        <v>15.2</v>
      </c>
      <c r="CE148" s="522">
        <v>35.200000000000003</v>
      </c>
      <c r="CF148" s="649">
        <v>12.05</v>
      </c>
      <c r="CG148" s="522">
        <v>6.7</v>
      </c>
      <c r="CH148" s="522">
        <v>11.9</v>
      </c>
      <c r="CI148" s="522">
        <v>16</v>
      </c>
      <c r="CJ148" s="522">
        <v>13.95</v>
      </c>
      <c r="CK148" s="649">
        <v>625.5</v>
      </c>
      <c r="CL148" s="649">
        <v>1.5</v>
      </c>
      <c r="CM148" s="522">
        <v>0.7</v>
      </c>
      <c r="CN148" s="991">
        <v>820</v>
      </c>
      <c r="CO148" s="649">
        <v>498.4</v>
      </c>
      <c r="CP148" s="522">
        <v>556.29999999999995</v>
      </c>
      <c r="CQ148" s="522">
        <v>15</v>
      </c>
      <c r="CR148" s="649">
        <v>1.05</v>
      </c>
      <c r="CS148" s="405">
        <v>0</v>
      </c>
      <c r="CT148" s="405">
        <v>15.598000000000001</v>
      </c>
      <c r="CU148" s="405">
        <v>52</v>
      </c>
      <c r="CV148" s="522">
        <v>0</v>
      </c>
      <c r="CW148" s="522">
        <v>0</v>
      </c>
      <c r="CX148" s="522">
        <v>0</v>
      </c>
      <c r="CY148" s="522">
        <v>0</v>
      </c>
      <c r="CZ148" s="689">
        <v>1560</v>
      </c>
      <c r="DA148" s="689">
        <v>1950</v>
      </c>
      <c r="DB148" s="689">
        <v>1520</v>
      </c>
      <c r="DC148" s="643">
        <v>1163.45</v>
      </c>
      <c r="DD148" s="522"/>
      <c r="DE148" s="522"/>
      <c r="DF148" s="522"/>
      <c r="DG148" s="522"/>
      <c r="DH148" s="522"/>
      <c r="DI148" s="522"/>
      <c r="DJ148" s="522"/>
      <c r="DK148" s="522"/>
      <c r="DL148" s="649"/>
      <c r="DM148" s="689"/>
      <c r="DN148" s="649"/>
      <c r="DO148" s="522"/>
      <c r="DP148" s="522"/>
      <c r="DQ148" s="522"/>
      <c r="DR148" s="522"/>
      <c r="DS148" s="522"/>
      <c r="DT148" s="522"/>
      <c r="DU148" s="522"/>
      <c r="DV148" s="522"/>
      <c r="DW148" s="522"/>
      <c r="DX148" s="522"/>
      <c r="DY148" s="522"/>
      <c r="DZ148" s="522"/>
      <c r="EA148" s="522"/>
      <c r="EB148" s="522"/>
      <c r="EC148" s="522"/>
      <c r="ED148" s="522"/>
      <c r="EE148" s="522"/>
      <c r="EF148" s="522"/>
      <c r="EG148" s="645">
        <f t="shared" si="132"/>
        <v>13.845649999999999</v>
      </c>
      <c r="EH148" s="361">
        <v>0</v>
      </c>
      <c r="EI148" s="647">
        <v>0</v>
      </c>
      <c r="EJ148" s="647">
        <f t="shared" ref="EJ148:EJ155" si="151">BC148+BD148+BF148</f>
        <v>2.5</v>
      </c>
      <c r="EK148" s="647">
        <f t="shared" ref="EK148:EK155" si="152">BK148+BL148+BM148</f>
        <v>6.4499999999999993</v>
      </c>
      <c r="EL148" s="522"/>
      <c r="EM148" s="522"/>
      <c r="EN148" s="522"/>
      <c r="EO148" s="522"/>
      <c r="EP148" s="522"/>
      <c r="EQ148" s="522"/>
      <c r="ER148" s="522"/>
      <c r="ES148" s="407"/>
      <c r="ET148" s="407"/>
    </row>
    <row r="149" spans="1:150" s="357" customFormat="1" ht="15">
      <c r="A149" s="675" t="s">
        <v>8</v>
      </c>
      <c r="B149" s="712">
        <v>41775</v>
      </c>
      <c r="C149" s="358">
        <v>0</v>
      </c>
      <c r="D149" s="405">
        <v>0</v>
      </c>
      <c r="E149" s="681">
        <v>0</v>
      </c>
      <c r="F149" s="681">
        <v>54</v>
      </c>
      <c r="G149" s="681">
        <v>1.75</v>
      </c>
      <c r="H149" s="405">
        <v>1.01</v>
      </c>
      <c r="I149" s="405">
        <v>93.3</v>
      </c>
      <c r="J149" s="405">
        <v>1.08</v>
      </c>
      <c r="K149" s="405" t="s">
        <v>744</v>
      </c>
      <c r="L149" s="644">
        <v>0</v>
      </c>
      <c r="M149" s="405">
        <v>23.6</v>
      </c>
      <c r="N149" s="405">
        <v>1.89</v>
      </c>
      <c r="O149" s="643">
        <v>2.3596511752996299</v>
      </c>
      <c r="P149" s="405">
        <v>0</v>
      </c>
      <c r="Q149" s="405" t="s">
        <v>743</v>
      </c>
      <c r="R149" s="790">
        <v>1201.0393236459709</v>
      </c>
      <c r="S149" s="405">
        <v>7.96</v>
      </c>
      <c r="T149" s="405">
        <v>0</v>
      </c>
      <c r="U149" s="405">
        <v>0.38300000000000001</v>
      </c>
      <c r="V149" s="807">
        <v>0</v>
      </c>
      <c r="W149" s="807">
        <v>47.84</v>
      </c>
      <c r="X149" s="647" t="e">
        <v>#VALUE!</v>
      </c>
      <c r="Y149" s="383">
        <v>21.9</v>
      </c>
      <c r="Z149" s="681">
        <v>38.979999999999997</v>
      </c>
      <c r="AA149" s="794">
        <v>21.9</v>
      </c>
      <c r="AB149" s="794">
        <v>39</v>
      </c>
      <c r="AC149" s="775">
        <f t="shared" ref="AC149:AC151" si="153">AA149+AB149</f>
        <v>60.9</v>
      </c>
      <c r="AD149" s="775">
        <f t="shared" ref="AD149:AD151" si="154">AC149*1.547</f>
        <v>94.212299999999999</v>
      </c>
      <c r="AE149" s="775"/>
      <c r="AF149" s="567"/>
      <c r="AG149" s="2">
        <v>1.6</v>
      </c>
      <c r="AH149" s="995"/>
      <c r="AI149" s="362"/>
      <c r="AJ149" s="996"/>
      <c r="AK149" s="407"/>
      <c r="AL149" s="407"/>
      <c r="AM149" s="407"/>
      <c r="AN149" s="407"/>
      <c r="AO149" s="387"/>
      <c r="AP149" s="387"/>
      <c r="AQ149" s="1028"/>
      <c r="AR149" s="578">
        <v>0</v>
      </c>
      <c r="AS149" s="405">
        <v>12.9</v>
      </c>
      <c r="AT149" s="992">
        <v>0</v>
      </c>
      <c r="AU149" s="405">
        <v>22.5</v>
      </c>
      <c r="AV149" s="644">
        <v>394.8</v>
      </c>
      <c r="AW149" s="644">
        <v>548.9</v>
      </c>
      <c r="AX149" s="405">
        <v>0.1</v>
      </c>
      <c r="AY149" s="578">
        <v>0</v>
      </c>
      <c r="AZ149" s="578">
        <v>0</v>
      </c>
      <c r="BA149" s="578">
        <v>0</v>
      </c>
      <c r="BB149" s="1086">
        <v>1.6</v>
      </c>
      <c r="BC149" s="405">
        <v>0.8</v>
      </c>
      <c r="BD149" s="405">
        <v>1.69</v>
      </c>
      <c r="BE149" s="578">
        <v>0</v>
      </c>
      <c r="BF149" s="405">
        <v>0</v>
      </c>
      <c r="BG149" s="405">
        <v>0</v>
      </c>
      <c r="BH149" s="578">
        <v>0</v>
      </c>
      <c r="BI149" s="405">
        <v>0</v>
      </c>
      <c r="BJ149" s="405">
        <v>36.700000000000003</v>
      </c>
      <c r="BK149" s="405">
        <v>3.29</v>
      </c>
      <c r="BL149" s="405">
        <v>3.23</v>
      </c>
      <c r="BM149" s="405">
        <v>0</v>
      </c>
      <c r="BN149" s="405">
        <v>28.3</v>
      </c>
      <c r="BO149" s="405">
        <v>1050.8</v>
      </c>
      <c r="BP149" s="405">
        <v>0</v>
      </c>
      <c r="BQ149" s="522">
        <v>17.34</v>
      </c>
      <c r="BR149" s="649">
        <v>17.309999999999999</v>
      </c>
      <c r="BS149" s="649">
        <v>9.2799999999999994</v>
      </c>
      <c r="BT149" s="649">
        <v>9.36</v>
      </c>
      <c r="BU149" s="648">
        <v>20.6</v>
      </c>
      <c r="BV149" s="648">
        <v>23.6</v>
      </c>
      <c r="BW149" s="649">
        <v>717.3</v>
      </c>
      <c r="BX149" s="876"/>
      <c r="BY149" s="649">
        <v>2.39</v>
      </c>
      <c r="BZ149" s="649">
        <v>1.39</v>
      </c>
      <c r="CA149" s="649">
        <v>1.2</v>
      </c>
      <c r="CB149" s="649">
        <v>8.6999999999999993</v>
      </c>
      <c r="CC149" s="649">
        <v>8.1999999999999993</v>
      </c>
      <c r="CD149" s="649">
        <v>15.1</v>
      </c>
      <c r="CE149" s="649">
        <v>35.700000000000003</v>
      </c>
      <c r="CF149" s="649">
        <v>14.5</v>
      </c>
      <c r="CG149" s="649">
        <v>5.3</v>
      </c>
      <c r="CH149" s="522">
        <v>10.3</v>
      </c>
      <c r="CI149" s="522">
        <v>14.3</v>
      </c>
      <c r="CJ149" s="522">
        <v>13.86</v>
      </c>
      <c r="CK149" s="649">
        <v>621.70000000000005</v>
      </c>
      <c r="CL149" s="649">
        <v>1.4</v>
      </c>
      <c r="CM149" s="649">
        <v>1.2</v>
      </c>
      <c r="CN149" s="991">
        <v>820</v>
      </c>
      <c r="CO149" s="649">
        <v>478</v>
      </c>
      <c r="CP149" s="649">
        <v>543.4</v>
      </c>
      <c r="CQ149" s="649">
        <v>15.2</v>
      </c>
      <c r="CR149" s="649">
        <v>1.1000000000000001</v>
      </c>
      <c r="CS149" s="405">
        <v>0</v>
      </c>
      <c r="CT149" s="405">
        <v>16.396999999999998</v>
      </c>
      <c r="CU149" s="405">
        <v>52</v>
      </c>
      <c r="CV149" s="522">
        <v>0</v>
      </c>
      <c r="CW149" s="522">
        <v>0</v>
      </c>
      <c r="CX149" s="522">
        <v>0</v>
      </c>
      <c r="CY149" s="522">
        <v>0</v>
      </c>
      <c r="CZ149" s="689">
        <v>1520</v>
      </c>
      <c r="DA149" s="689">
        <v>1910</v>
      </c>
      <c r="DB149" s="689">
        <v>1470</v>
      </c>
      <c r="DC149" s="643">
        <v>1163.8</v>
      </c>
      <c r="DD149" s="522"/>
      <c r="DE149" s="522"/>
      <c r="DF149" s="522"/>
      <c r="DG149" s="522"/>
      <c r="DH149" s="522"/>
      <c r="DI149" s="522"/>
      <c r="DJ149" s="522"/>
      <c r="DK149" s="522"/>
      <c r="DL149" s="649"/>
      <c r="DM149" s="689"/>
      <c r="DN149" s="649"/>
      <c r="DO149" s="522"/>
      <c r="DP149" s="522"/>
      <c r="DQ149" s="522"/>
      <c r="DR149" s="522"/>
      <c r="DS149" s="522"/>
      <c r="DT149" s="522"/>
      <c r="DU149" s="522"/>
      <c r="DV149" s="522"/>
      <c r="DW149" s="522"/>
      <c r="DX149" s="522"/>
      <c r="DY149" s="522"/>
      <c r="DZ149" s="522"/>
      <c r="EA149" s="522"/>
      <c r="EB149" s="522"/>
      <c r="EC149" s="522"/>
      <c r="ED149" s="522"/>
      <c r="EE149" s="522"/>
      <c r="EF149" s="522"/>
      <c r="EG149" s="645">
        <f t="shared" si="132"/>
        <v>13.938469999999999</v>
      </c>
      <c r="EH149" s="361">
        <v>0</v>
      </c>
      <c r="EI149" s="647">
        <v>0</v>
      </c>
      <c r="EJ149" s="647">
        <f t="shared" si="151"/>
        <v>2.4900000000000002</v>
      </c>
      <c r="EK149" s="647">
        <f t="shared" si="152"/>
        <v>6.52</v>
      </c>
      <c r="EL149" s="522"/>
      <c r="EM149" s="522"/>
      <c r="EN149" s="522"/>
      <c r="EO149" s="522"/>
      <c r="EP149" s="522"/>
      <c r="EQ149" s="522"/>
      <c r="ER149" s="522"/>
      <c r="ES149" s="407"/>
      <c r="ET149" s="407"/>
    </row>
    <row r="150" spans="1:150" s="357" customFormat="1" ht="15">
      <c r="A150" s="675" t="s">
        <v>9</v>
      </c>
      <c r="B150" s="712">
        <v>41776</v>
      </c>
      <c r="C150" s="358">
        <v>0</v>
      </c>
      <c r="D150" s="405">
        <v>0</v>
      </c>
      <c r="E150" s="681">
        <v>0</v>
      </c>
      <c r="F150" s="681">
        <v>52</v>
      </c>
      <c r="G150" s="681">
        <v>1.75</v>
      </c>
      <c r="H150" s="405">
        <v>0.86</v>
      </c>
      <c r="I150" s="405">
        <v>92.87</v>
      </c>
      <c r="J150" s="405">
        <v>1.1399999999999999</v>
      </c>
      <c r="K150" s="405" t="s">
        <v>744</v>
      </c>
      <c r="L150" s="644">
        <v>0</v>
      </c>
      <c r="M150" s="405">
        <v>23.3</v>
      </c>
      <c r="N150" s="405">
        <v>1.9790000000000001</v>
      </c>
      <c r="O150" s="643">
        <v>2.3640774176327768</v>
      </c>
      <c r="P150" s="405">
        <v>0</v>
      </c>
      <c r="Q150" s="405" t="s">
        <v>743</v>
      </c>
      <c r="R150" s="790">
        <v>1217.8823778071333</v>
      </c>
      <c r="S150" s="405">
        <v>8</v>
      </c>
      <c r="T150" s="405">
        <v>0</v>
      </c>
      <c r="U150" s="405">
        <v>0.65200000000000002</v>
      </c>
      <c r="V150" s="807">
        <v>0</v>
      </c>
      <c r="W150" s="807">
        <v>47.660000000000011</v>
      </c>
      <c r="X150" s="647" t="e">
        <v>#VALUE!</v>
      </c>
      <c r="Y150" s="383">
        <v>21.9</v>
      </c>
      <c r="Z150" s="681">
        <v>39</v>
      </c>
      <c r="AA150" s="794">
        <v>21.9</v>
      </c>
      <c r="AB150" s="794">
        <v>39</v>
      </c>
      <c r="AC150" s="775">
        <f t="shared" si="153"/>
        <v>60.9</v>
      </c>
      <c r="AD150" s="775">
        <f t="shared" si="154"/>
        <v>94.212299999999999</v>
      </c>
      <c r="AE150" s="775"/>
      <c r="AF150" s="567"/>
      <c r="AG150" s="2">
        <v>1.6</v>
      </c>
      <c r="AH150" s="995"/>
      <c r="AI150" s="362"/>
      <c r="AJ150" s="996"/>
      <c r="AK150" s="407"/>
      <c r="AL150" s="407"/>
      <c r="AM150" s="407"/>
      <c r="AN150" s="407"/>
      <c r="AO150" s="387"/>
      <c r="AP150" s="387"/>
      <c r="AQ150" s="1028"/>
      <c r="AR150" s="578">
        <v>0</v>
      </c>
      <c r="AS150" s="405">
        <v>11</v>
      </c>
      <c r="AT150" s="992">
        <v>0</v>
      </c>
      <c r="AU150" s="405">
        <v>22.6</v>
      </c>
      <c r="AV150" s="644">
        <v>441.2</v>
      </c>
      <c r="AW150" s="644">
        <v>446.6</v>
      </c>
      <c r="AX150" s="405">
        <v>0</v>
      </c>
      <c r="AY150" s="578">
        <v>0</v>
      </c>
      <c r="AZ150" s="578">
        <v>0</v>
      </c>
      <c r="BA150" s="578">
        <v>0</v>
      </c>
      <c r="BB150" s="1086">
        <v>1.6</v>
      </c>
      <c r="BC150" s="405">
        <v>0.99</v>
      </c>
      <c r="BD150" s="405">
        <v>1.51</v>
      </c>
      <c r="BE150" s="578">
        <v>0</v>
      </c>
      <c r="BF150" s="405">
        <v>0</v>
      </c>
      <c r="BG150" s="405">
        <v>0</v>
      </c>
      <c r="BH150" s="578">
        <v>0</v>
      </c>
      <c r="BI150" s="405">
        <v>0</v>
      </c>
      <c r="BJ150" s="405">
        <v>36.700000000000003</v>
      </c>
      <c r="BK150" s="405">
        <v>3.3</v>
      </c>
      <c r="BL150" s="405">
        <v>3.23</v>
      </c>
      <c r="BM150" s="405">
        <v>0</v>
      </c>
      <c r="BN150" s="405">
        <v>28.3</v>
      </c>
      <c r="BO150" s="405">
        <v>1974.1</v>
      </c>
      <c r="BP150" s="405">
        <v>0</v>
      </c>
      <c r="BQ150" s="522">
        <v>17.350000000000001</v>
      </c>
      <c r="BR150" s="649">
        <v>17.32</v>
      </c>
      <c r="BS150" s="649">
        <v>9.26</v>
      </c>
      <c r="BT150" s="649">
        <v>9.41</v>
      </c>
      <c r="BU150" s="648">
        <v>20.7</v>
      </c>
      <c r="BV150" s="648">
        <v>23.6</v>
      </c>
      <c r="BW150" s="649">
        <v>774.2</v>
      </c>
      <c r="BX150" s="876"/>
      <c r="BY150" s="649">
        <v>1.1200000000000001</v>
      </c>
      <c r="BZ150" s="649">
        <v>1.41</v>
      </c>
      <c r="CA150" s="649">
        <v>1.2</v>
      </c>
      <c r="CB150" s="649">
        <v>8.6</v>
      </c>
      <c r="CC150" s="649">
        <v>8</v>
      </c>
      <c r="CD150" s="649">
        <v>15.8</v>
      </c>
      <c r="CE150" s="649">
        <v>35.4</v>
      </c>
      <c r="CF150" s="649">
        <v>13.2</v>
      </c>
      <c r="CG150" s="649">
        <v>8</v>
      </c>
      <c r="CH150" s="522">
        <v>13.4</v>
      </c>
      <c r="CI150" s="522">
        <v>17.399999999999999</v>
      </c>
      <c r="CJ150" s="522">
        <v>14.28</v>
      </c>
      <c r="CK150" s="649">
        <v>612.1</v>
      </c>
      <c r="CL150" s="649">
        <v>1.4</v>
      </c>
      <c r="CM150" s="649">
        <v>0.3</v>
      </c>
      <c r="CN150" s="991">
        <v>820</v>
      </c>
      <c r="CO150" s="649">
        <v>501.4</v>
      </c>
      <c r="CP150" s="649">
        <v>514.6</v>
      </c>
      <c r="CQ150" s="649">
        <v>14.7</v>
      </c>
      <c r="CR150" s="649">
        <v>1.04</v>
      </c>
      <c r="CS150" s="405">
        <v>0</v>
      </c>
      <c r="CT150" s="405">
        <v>15.664999999999999</v>
      </c>
      <c r="CU150" s="405">
        <v>52</v>
      </c>
      <c r="CV150" s="522">
        <v>0</v>
      </c>
      <c r="CW150" s="522">
        <v>0</v>
      </c>
      <c r="CX150" s="522">
        <v>0</v>
      </c>
      <c r="CY150" s="522">
        <v>0</v>
      </c>
      <c r="CZ150" s="689">
        <v>1510</v>
      </c>
      <c r="DA150" s="689">
        <v>1870</v>
      </c>
      <c r="DB150" s="689">
        <v>1460</v>
      </c>
      <c r="DC150" s="643">
        <v>1163.9000000000001</v>
      </c>
      <c r="DD150" s="522"/>
      <c r="DE150" s="522"/>
      <c r="DF150" s="522"/>
      <c r="DG150" s="522"/>
      <c r="DH150" s="522"/>
      <c r="DI150" s="522"/>
      <c r="DJ150" s="522"/>
      <c r="DK150" s="522"/>
      <c r="DL150" s="649"/>
      <c r="DM150" s="689"/>
      <c r="DN150" s="649"/>
      <c r="DO150" s="522"/>
      <c r="DP150" s="522"/>
      <c r="DQ150" s="522"/>
      <c r="DR150" s="522"/>
      <c r="DS150" s="522"/>
      <c r="DT150" s="522"/>
      <c r="DU150" s="522"/>
      <c r="DV150" s="522"/>
      <c r="DW150" s="522"/>
      <c r="DX150" s="522"/>
      <c r="DY150" s="522"/>
      <c r="DZ150" s="522"/>
      <c r="EA150" s="522"/>
      <c r="EB150" s="522"/>
      <c r="EC150" s="522"/>
      <c r="ED150" s="522"/>
      <c r="EE150" s="522"/>
      <c r="EF150" s="522"/>
      <c r="EG150" s="645">
        <f t="shared" si="132"/>
        <v>13.969409999999998</v>
      </c>
      <c r="EH150" s="361">
        <v>0</v>
      </c>
      <c r="EI150" s="647">
        <v>0</v>
      </c>
      <c r="EJ150" s="647">
        <f t="shared" si="151"/>
        <v>2.5</v>
      </c>
      <c r="EK150" s="647">
        <f t="shared" si="152"/>
        <v>6.5299999999999994</v>
      </c>
      <c r="EL150" s="522"/>
      <c r="EM150" s="522"/>
      <c r="EN150" s="522"/>
      <c r="EO150" s="522"/>
      <c r="EP150" s="522"/>
      <c r="EQ150" s="522"/>
      <c r="ER150" s="522"/>
      <c r="ES150" s="407"/>
      <c r="ET150" s="407"/>
    </row>
    <row r="151" spans="1:150" s="357" customFormat="1" ht="15">
      <c r="A151" s="675" t="s">
        <v>3</v>
      </c>
      <c r="B151" s="712">
        <v>41777</v>
      </c>
      <c r="C151" s="358">
        <v>0</v>
      </c>
      <c r="D151" s="405">
        <v>0.17</v>
      </c>
      <c r="E151" s="681">
        <v>0</v>
      </c>
      <c r="F151" s="681">
        <v>50</v>
      </c>
      <c r="G151" s="681">
        <v>1.5</v>
      </c>
      <c r="H151" s="405">
        <v>1.02</v>
      </c>
      <c r="I151" s="405">
        <v>96.67</v>
      </c>
      <c r="J151" s="405">
        <v>1.1399999999999999</v>
      </c>
      <c r="K151" s="405">
        <v>0.85</v>
      </c>
      <c r="L151" s="644">
        <v>0</v>
      </c>
      <c r="M151" s="405">
        <v>23.2</v>
      </c>
      <c r="N151" s="405">
        <v>2.04</v>
      </c>
      <c r="O151" s="643">
        <v>2.4271134227224294</v>
      </c>
      <c r="P151" s="405">
        <v>0</v>
      </c>
      <c r="Q151" s="405" t="s">
        <v>743</v>
      </c>
      <c r="R151" s="790">
        <v>1274.2418282694846</v>
      </c>
      <c r="S151" s="405">
        <v>8</v>
      </c>
      <c r="T151" s="405">
        <v>0</v>
      </c>
      <c r="U151" s="405">
        <v>0.67800000000000005</v>
      </c>
      <c r="V151" s="807">
        <v>0</v>
      </c>
      <c r="W151" s="807">
        <v>48.38000000000001</v>
      </c>
      <c r="X151" s="647" t="e">
        <v>#VALUE!</v>
      </c>
      <c r="Y151" s="383">
        <v>21.9</v>
      </c>
      <c r="Z151" s="681">
        <v>39</v>
      </c>
      <c r="AA151" s="794">
        <v>21.9</v>
      </c>
      <c r="AB151" s="794">
        <v>39</v>
      </c>
      <c r="AC151" s="775">
        <f t="shared" si="153"/>
        <v>60.9</v>
      </c>
      <c r="AD151" s="775">
        <f t="shared" si="154"/>
        <v>94.212299999999999</v>
      </c>
      <c r="AE151" s="775"/>
      <c r="AF151" s="567"/>
      <c r="AG151" s="2">
        <v>1.6</v>
      </c>
      <c r="AH151" s="995"/>
      <c r="AI151" s="362"/>
      <c r="AJ151" s="996"/>
      <c r="AK151" s="407"/>
      <c r="AL151" s="407"/>
      <c r="AM151" s="407"/>
      <c r="AN151" s="407"/>
      <c r="AO151" s="387"/>
      <c r="AP151" s="387"/>
      <c r="AQ151" s="1028"/>
      <c r="AR151" s="578">
        <v>0</v>
      </c>
      <c r="AS151" s="405">
        <v>22</v>
      </c>
      <c r="AT151" s="992">
        <v>0</v>
      </c>
      <c r="AU151" s="405">
        <v>22.5</v>
      </c>
      <c r="AV151" s="644">
        <v>482.7</v>
      </c>
      <c r="AW151" s="644">
        <v>535.29999999999995</v>
      </c>
      <c r="AX151" s="405">
        <v>0</v>
      </c>
      <c r="AY151" s="578">
        <v>0</v>
      </c>
      <c r="AZ151" s="578">
        <v>0</v>
      </c>
      <c r="BA151" s="578">
        <v>0</v>
      </c>
      <c r="BB151" s="1086">
        <v>1.6</v>
      </c>
      <c r="BC151" s="405">
        <v>0.99</v>
      </c>
      <c r="BD151" s="405">
        <v>1.51</v>
      </c>
      <c r="BE151" s="578">
        <v>0</v>
      </c>
      <c r="BF151" s="405">
        <v>0</v>
      </c>
      <c r="BG151" s="405">
        <v>0</v>
      </c>
      <c r="BH151" s="578">
        <v>0</v>
      </c>
      <c r="BI151" s="405">
        <v>0</v>
      </c>
      <c r="BJ151" s="405">
        <v>36.700000000000003</v>
      </c>
      <c r="BK151" s="405">
        <v>3.28</v>
      </c>
      <c r="BL151" s="405">
        <v>3.23</v>
      </c>
      <c r="BM151" s="405">
        <v>0</v>
      </c>
      <c r="BN151" s="405">
        <v>28.4</v>
      </c>
      <c r="BO151" s="405">
        <v>1151</v>
      </c>
      <c r="BP151" s="405">
        <v>0</v>
      </c>
      <c r="BQ151" s="522">
        <v>18</v>
      </c>
      <c r="BR151" s="522">
        <v>17.97</v>
      </c>
      <c r="BS151" s="649">
        <v>9.0299999999999994</v>
      </c>
      <c r="BT151" s="649">
        <v>9.19</v>
      </c>
      <c r="BU151" s="648">
        <v>20.399999999999999</v>
      </c>
      <c r="BV151" s="648">
        <v>21.7</v>
      </c>
      <c r="BW151" s="649">
        <v>769.7</v>
      </c>
      <c r="BX151" s="876"/>
      <c r="BY151" s="649">
        <v>1.1000000000000001</v>
      </c>
      <c r="BZ151" s="649">
        <v>1.44</v>
      </c>
      <c r="CA151" s="649">
        <v>1.2</v>
      </c>
      <c r="CB151" s="649">
        <v>8.5</v>
      </c>
      <c r="CC151" s="649">
        <v>7.8</v>
      </c>
      <c r="CD151" s="649">
        <v>15.5</v>
      </c>
      <c r="CE151" s="649">
        <v>35.299999999999997</v>
      </c>
      <c r="CF151" s="649">
        <v>15.4</v>
      </c>
      <c r="CG151" s="649">
        <v>6.3</v>
      </c>
      <c r="CH151" s="649">
        <v>11.5</v>
      </c>
      <c r="CI151" s="649">
        <v>15.6</v>
      </c>
      <c r="CJ151" s="649">
        <v>13.7</v>
      </c>
      <c r="CK151" s="649">
        <v>547.79999999999995</v>
      </c>
      <c r="CL151" s="649">
        <v>1.4</v>
      </c>
      <c r="CM151" s="649">
        <v>1.3</v>
      </c>
      <c r="CN151" s="991">
        <v>820</v>
      </c>
      <c r="CO151" s="649">
        <v>532.20000000000005</v>
      </c>
      <c r="CP151" s="649">
        <v>512.4</v>
      </c>
      <c r="CQ151" s="649">
        <v>13.6</v>
      </c>
      <c r="CR151" s="649">
        <v>0.94</v>
      </c>
      <c r="CS151" s="405">
        <v>0</v>
      </c>
      <c r="CT151" s="405">
        <v>15.632</v>
      </c>
      <c r="CU151" s="405">
        <v>52</v>
      </c>
      <c r="CV151" s="522">
        <v>0</v>
      </c>
      <c r="CW151" s="522">
        <v>0</v>
      </c>
      <c r="CX151" s="522">
        <v>0</v>
      </c>
      <c r="CY151" s="522">
        <v>0</v>
      </c>
      <c r="CZ151" s="689">
        <v>1230</v>
      </c>
      <c r="DA151" s="689">
        <v>1660</v>
      </c>
      <c r="DB151" s="689">
        <v>1170</v>
      </c>
      <c r="DC151" s="643">
        <v>1163.96</v>
      </c>
      <c r="DD151" s="522"/>
      <c r="DE151" s="522"/>
      <c r="DF151" s="522"/>
      <c r="DG151" s="522"/>
      <c r="DH151" s="522"/>
      <c r="DI151" s="522"/>
      <c r="DJ151" s="522"/>
      <c r="DK151" s="522"/>
      <c r="DL151" s="649"/>
      <c r="DM151" s="689"/>
      <c r="DN151" s="649"/>
      <c r="DO151" s="522"/>
      <c r="DP151" s="522"/>
      <c r="DQ151" s="522"/>
      <c r="DR151" s="522"/>
      <c r="DS151" s="522"/>
      <c r="DT151" s="522"/>
      <c r="DU151" s="522"/>
      <c r="DV151" s="522"/>
      <c r="DW151" s="522"/>
      <c r="DX151" s="522"/>
      <c r="DY151" s="522"/>
      <c r="DZ151" s="522"/>
      <c r="EA151" s="522"/>
      <c r="EB151" s="522"/>
      <c r="EC151" s="522"/>
      <c r="ED151" s="522"/>
      <c r="EE151" s="522"/>
      <c r="EF151" s="522"/>
      <c r="EG151" s="645">
        <f t="shared" si="132"/>
        <v>13.938469999999999</v>
      </c>
      <c r="EH151" s="361">
        <v>0</v>
      </c>
      <c r="EI151" s="647">
        <v>0</v>
      </c>
      <c r="EJ151" s="647">
        <f t="shared" si="151"/>
        <v>2.5</v>
      </c>
      <c r="EK151" s="647">
        <f t="shared" si="152"/>
        <v>6.51</v>
      </c>
      <c r="EL151" s="522"/>
      <c r="EM151" s="522"/>
      <c r="EN151" s="522"/>
      <c r="EO151" s="522"/>
      <c r="EP151" s="522"/>
      <c r="EQ151" s="522"/>
      <c r="ER151" s="522"/>
      <c r="ES151" s="407"/>
      <c r="ET151" s="407"/>
    </row>
    <row r="152" spans="1:150" s="357" customFormat="1" ht="15">
      <c r="A152" s="675" t="s">
        <v>4</v>
      </c>
      <c r="B152" s="712">
        <v>41778</v>
      </c>
      <c r="C152" s="358">
        <v>0</v>
      </c>
      <c r="D152" s="405">
        <v>0.01</v>
      </c>
      <c r="E152" s="681">
        <v>0</v>
      </c>
      <c r="F152" s="681">
        <v>50</v>
      </c>
      <c r="G152" s="681">
        <v>1.85</v>
      </c>
      <c r="H152" s="405">
        <v>0.93</v>
      </c>
      <c r="I152" s="405">
        <v>92.7</v>
      </c>
      <c r="J152" s="405">
        <v>0.87</v>
      </c>
      <c r="K152" s="405" t="s">
        <v>744</v>
      </c>
      <c r="L152" s="644">
        <v>0</v>
      </c>
      <c r="M152" s="405">
        <v>23</v>
      </c>
      <c r="N152" s="405">
        <v>1.99</v>
      </c>
      <c r="O152" s="405">
        <v>2.3778071334211983</v>
      </c>
      <c r="P152" s="405">
        <v>0</v>
      </c>
      <c r="Q152" s="405" t="s">
        <v>743</v>
      </c>
      <c r="R152" s="790">
        <v>1224.3604755614265</v>
      </c>
      <c r="S152" s="405">
        <v>8.02</v>
      </c>
      <c r="T152" s="405">
        <v>0</v>
      </c>
      <c r="U152" s="405">
        <v>0.70599999999999996</v>
      </c>
      <c r="V152" s="807">
        <v>0</v>
      </c>
      <c r="W152" s="807">
        <v>47.84</v>
      </c>
      <c r="X152" s="647" t="e">
        <v>#VALUE!</v>
      </c>
      <c r="Y152" s="383">
        <v>21.9</v>
      </c>
      <c r="Z152" s="681">
        <v>39</v>
      </c>
      <c r="AA152" s="794">
        <v>21.9</v>
      </c>
      <c r="AB152" s="794">
        <v>39</v>
      </c>
      <c r="AC152" s="775">
        <f t="shared" ref="AC152:AC155" si="155">AA152+AB152</f>
        <v>60.9</v>
      </c>
      <c r="AD152" s="775">
        <f t="shared" ref="AD152:AD155" si="156">AC152*1.547</f>
        <v>94.212299999999999</v>
      </c>
      <c r="AE152" s="775"/>
      <c r="AF152" s="567"/>
      <c r="AG152" s="2">
        <v>1.6</v>
      </c>
      <c r="AH152" s="995"/>
      <c r="AI152" s="362"/>
      <c r="AJ152" s="996"/>
      <c r="AK152" s="407"/>
      <c r="AL152" s="407"/>
      <c r="AM152" s="407"/>
      <c r="AN152" s="407"/>
      <c r="AO152" s="387"/>
      <c r="AP152" s="387"/>
      <c r="AQ152" s="1028"/>
      <c r="AR152" s="578">
        <v>0</v>
      </c>
      <c r="AS152" s="405">
        <v>11.1</v>
      </c>
      <c r="AT152" s="992">
        <v>0</v>
      </c>
      <c r="AU152" s="405">
        <v>22.6</v>
      </c>
      <c r="AV152" s="644">
        <v>381.5</v>
      </c>
      <c r="AW152" s="644">
        <v>513.5</v>
      </c>
      <c r="AX152" s="405">
        <v>0.3</v>
      </c>
      <c r="AY152" s="578">
        <v>0</v>
      </c>
      <c r="AZ152" s="578">
        <v>0</v>
      </c>
      <c r="BA152" s="578">
        <v>0</v>
      </c>
      <c r="BB152" s="1086">
        <v>1.6</v>
      </c>
      <c r="BC152" s="405">
        <v>1.1599999999999999</v>
      </c>
      <c r="BD152" s="405">
        <v>1.0900000000000001</v>
      </c>
      <c r="BE152" s="578">
        <v>0</v>
      </c>
      <c r="BF152" s="405">
        <v>0.24</v>
      </c>
      <c r="BG152" s="405">
        <v>0</v>
      </c>
      <c r="BH152" s="578">
        <v>0</v>
      </c>
      <c r="BI152" s="405">
        <v>0</v>
      </c>
      <c r="BJ152" s="405">
        <v>36.700000000000003</v>
      </c>
      <c r="BK152" s="405">
        <v>3.3</v>
      </c>
      <c r="BL152" s="405">
        <v>3.23</v>
      </c>
      <c r="BM152" s="405">
        <v>0</v>
      </c>
      <c r="BN152" s="405">
        <v>28.4</v>
      </c>
      <c r="BO152" s="405">
        <v>1131.9000000000001</v>
      </c>
      <c r="BP152" s="405">
        <v>0</v>
      </c>
      <c r="BQ152" s="522">
        <v>19</v>
      </c>
      <c r="BR152" s="522">
        <v>18.95</v>
      </c>
      <c r="BS152" s="649">
        <v>8.99</v>
      </c>
      <c r="BT152" s="649">
        <v>9.09</v>
      </c>
      <c r="BU152" s="648">
        <v>20.2</v>
      </c>
      <c r="BV152" s="648">
        <v>20.8</v>
      </c>
      <c r="BW152" s="649">
        <v>549.70000000000005</v>
      </c>
      <c r="BX152" s="876"/>
      <c r="BY152" s="649">
        <v>1.07</v>
      </c>
      <c r="BZ152" s="649">
        <v>1.44</v>
      </c>
      <c r="CA152" s="649">
        <v>1.2</v>
      </c>
      <c r="CB152" s="649">
        <v>8.6</v>
      </c>
      <c r="CC152" s="649">
        <v>7.8</v>
      </c>
      <c r="CD152" s="649">
        <v>14.9</v>
      </c>
      <c r="CE152" s="649">
        <v>35.1</v>
      </c>
      <c r="CF152" s="649">
        <v>14.1</v>
      </c>
      <c r="CG152" s="649">
        <v>5.3</v>
      </c>
      <c r="CH152" s="649">
        <v>10.3</v>
      </c>
      <c r="CI152" s="649">
        <v>14.6</v>
      </c>
      <c r="CJ152" s="649">
        <v>13.48</v>
      </c>
      <c r="CK152" s="649">
        <v>583.9</v>
      </c>
      <c r="CL152" s="649">
        <v>1.4</v>
      </c>
      <c r="CM152" s="649">
        <v>1.7</v>
      </c>
      <c r="CN152" s="991">
        <v>820</v>
      </c>
      <c r="CO152" s="649">
        <v>519.79999999999995</v>
      </c>
      <c r="CP152" s="649">
        <v>532.29999999999995</v>
      </c>
      <c r="CQ152" s="649">
        <v>14.3</v>
      </c>
      <c r="CR152" s="649">
        <v>1.02</v>
      </c>
      <c r="CS152" s="405">
        <v>0</v>
      </c>
      <c r="CT152" s="405">
        <v>15.874000000000001</v>
      </c>
      <c r="CU152" s="405">
        <v>52</v>
      </c>
      <c r="CV152" s="522">
        <v>0</v>
      </c>
      <c r="CW152" s="522">
        <v>0</v>
      </c>
      <c r="CX152" s="522">
        <v>0</v>
      </c>
      <c r="CY152" s="522">
        <v>0</v>
      </c>
      <c r="CZ152" s="689">
        <v>1010</v>
      </c>
      <c r="DA152" s="689">
        <v>1430</v>
      </c>
      <c r="DB152" s="689">
        <v>956</v>
      </c>
      <c r="DC152" s="643">
        <v>1164.2</v>
      </c>
      <c r="DD152" s="522"/>
      <c r="DE152" s="522"/>
      <c r="DF152" s="522"/>
      <c r="DG152" s="522"/>
      <c r="DH152" s="522"/>
      <c r="DI152" s="522"/>
      <c r="DJ152" s="522"/>
      <c r="DK152" s="522"/>
      <c r="DL152" s="649"/>
      <c r="DM152" s="689"/>
      <c r="DN152" s="649"/>
      <c r="DO152" s="522"/>
      <c r="DP152" s="522"/>
      <c r="DQ152" s="522"/>
      <c r="DR152" s="522"/>
      <c r="DS152" s="522"/>
      <c r="DT152" s="522"/>
      <c r="DU152" s="522"/>
      <c r="DV152" s="522"/>
      <c r="DW152" s="522"/>
      <c r="DX152" s="522"/>
      <c r="DY152" s="522"/>
      <c r="DZ152" s="522"/>
      <c r="EA152" s="522"/>
      <c r="EB152" s="522"/>
      <c r="EC152" s="522"/>
      <c r="ED152" s="522"/>
      <c r="EE152" s="522"/>
      <c r="EF152" s="522"/>
      <c r="EG152" s="645">
        <f t="shared" si="132"/>
        <v>13.953939999999999</v>
      </c>
      <c r="EH152" s="361">
        <v>0</v>
      </c>
      <c r="EI152" s="647">
        <v>0</v>
      </c>
      <c r="EJ152" s="647">
        <f t="shared" si="151"/>
        <v>2.4900000000000002</v>
      </c>
      <c r="EK152" s="647">
        <f t="shared" si="152"/>
        <v>6.5299999999999994</v>
      </c>
      <c r="EL152" s="522"/>
      <c r="EM152" s="522"/>
      <c r="EN152" s="522"/>
      <c r="EO152" s="522"/>
      <c r="EP152" s="522"/>
      <c r="EQ152" s="522"/>
      <c r="ER152" s="522"/>
      <c r="ES152" s="407"/>
      <c r="ET152" s="407"/>
    </row>
    <row r="153" spans="1:150" s="357" customFormat="1" ht="15">
      <c r="A153" s="675" t="s">
        <v>5</v>
      </c>
      <c r="B153" s="712">
        <v>41779</v>
      </c>
      <c r="C153" s="358">
        <v>0</v>
      </c>
      <c r="D153" s="405">
        <v>0</v>
      </c>
      <c r="E153" s="681">
        <v>0</v>
      </c>
      <c r="F153" s="681">
        <v>53</v>
      </c>
      <c r="G153" s="681">
        <v>1.35</v>
      </c>
      <c r="H153" s="405">
        <v>0.87</v>
      </c>
      <c r="I153" s="405">
        <v>91.5</v>
      </c>
      <c r="J153" s="405">
        <v>0.93</v>
      </c>
      <c r="K153" s="405" t="s">
        <v>744</v>
      </c>
      <c r="L153" s="644">
        <v>0</v>
      </c>
      <c r="M153" s="405">
        <v>22.7</v>
      </c>
      <c r="N153" s="405">
        <v>1.96</v>
      </c>
      <c r="O153" s="405">
        <v>2.2902887508210381</v>
      </c>
      <c r="P153" s="405">
        <v>0</v>
      </c>
      <c r="Q153" s="405" t="s">
        <v>743</v>
      </c>
      <c r="R153" s="790">
        <v>1180.6333157199469</v>
      </c>
      <c r="S153" s="405">
        <v>7.99</v>
      </c>
      <c r="T153" s="405">
        <v>0</v>
      </c>
      <c r="U153" s="405">
        <v>0.69</v>
      </c>
      <c r="V153" s="807">
        <v>0</v>
      </c>
      <c r="W153" s="807">
        <v>48.38000000000001</v>
      </c>
      <c r="X153" s="647" t="e">
        <v>#VALUE!</v>
      </c>
      <c r="Y153" s="383">
        <v>21.9</v>
      </c>
      <c r="Z153" s="681">
        <v>39</v>
      </c>
      <c r="AA153" s="794">
        <v>21.87</v>
      </c>
      <c r="AB153" s="794">
        <v>39.03</v>
      </c>
      <c r="AC153" s="775">
        <f t="shared" si="155"/>
        <v>60.900000000000006</v>
      </c>
      <c r="AD153" s="775">
        <f t="shared" si="156"/>
        <v>94.212299999999999</v>
      </c>
      <c r="AE153" s="775"/>
      <c r="AF153" s="567"/>
      <c r="AG153" s="2">
        <v>1.6</v>
      </c>
      <c r="AH153" s="995"/>
      <c r="AI153" s="362"/>
      <c r="AJ153" s="996"/>
      <c r="AK153" s="407"/>
      <c r="AL153" s="407"/>
      <c r="AM153" s="407"/>
      <c r="AN153" s="407"/>
      <c r="AO153" s="387"/>
      <c r="AP153" s="387"/>
      <c r="AQ153" s="1028"/>
      <c r="AR153" s="578">
        <v>0</v>
      </c>
      <c r="AS153" s="405">
        <v>22.2</v>
      </c>
      <c r="AT153" s="992">
        <v>0</v>
      </c>
      <c r="AU153" s="405">
        <v>22.5</v>
      </c>
      <c r="AV153" s="644">
        <v>500.8</v>
      </c>
      <c r="AW153" s="644">
        <v>673.2</v>
      </c>
      <c r="AX153" s="405">
        <v>3.2</v>
      </c>
      <c r="AY153" s="578">
        <v>0</v>
      </c>
      <c r="AZ153" s="578">
        <v>0</v>
      </c>
      <c r="BA153" s="578">
        <v>0</v>
      </c>
      <c r="BB153" s="1086">
        <v>1.61</v>
      </c>
      <c r="BC153" s="405">
        <v>0.94</v>
      </c>
      <c r="BD153" s="405">
        <v>1.06</v>
      </c>
      <c r="BE153" s="578">
        <v>0</v>
      </c>
      <c r="BF153" s="405">
        <v>0.49</v>
      </c>
      <c r="BG153" s="405">
        <v>0</v>
      </c>
      <c r="BH153" s="578">
        <v>0</v>
      </c>
      <c r="BI153" s="405">
        <v>0</v>
      </c>
      <c r="BJ153" s="405">
        <v>36.700000000000003</v>
      </c>
      <c r="BK153" s="405">
        <v>3.28</v>
      </c>
      <c r="BL153" s="405">
        <v>3.23</v>
      </c>
      <c r="BM153" s="405">
        <v>0</v>
      </c>
      <c r="BN153" s="405">
        <v>28.4</v>
      </c>
      <c r="BO153" s="405">
        <v>1790.6</v>
      </c>
      <c r="BP153" s="405">
        <v>0</v>
      </c>
      <c r="BQ153" s="522">
        <v>18.670000000000002</v>
      </c>
      <c r="BR153" s="522">
        <v>18.63</v>
      </c>
      <c r="BS153" s="649">
        <v>8.7899999999999991</v>
      </c>
      <c r="BT153" s="649">
        <v>8.91</v>
      </c>
      <c r="BU153" s="648">
        <v>19.600000000000001</v>
      </c>
      <c r="BV153" s="648">
        <v>24.2</v>
      </c>
      <c r="BW153" s="649">
        <v>749.2</v>
      </c>
      <c r="BX153" s="876"/>
      <c r="BY153" s="649">
        <v>1.01</v>
      </c>
      <c r="BZ153" s="649">
        <v>1.42</v>
      </c>
      <c r="CA153" s="649">
        <v>6.2</v>
      </c>
      <c r="CB153" s="649">
        <v>8.6999999999999993</v>
      </c>
      <c r="CC153" s="649">
        <v>7.8</v>
      </c>
      <c r="CD153" s="649">
        <v>15.3</v>
      </c>
      <c r="CE153" s="649">
        <v>35.1</v>
      </c>
      <c r="CF153" s="649">
        <v>12.7</v>
      </c>
      <c r="CG153" s="649">
        <v>7.6</v>
      </c>
      <c r="CH153" s="649">
        <v>13</v>
      </c>
      <c r="CI153" s="649">
        <v>17</v>
      </c>
      <c r="CJ153" s="649">
        <v>13.01</v>
      </c>
      <c r="CK153" s="649">
        <v>580.79999999999995</v>
      </c>
      <c r="CL153" s="649">
        <v>1.9</v>
      </c>
      <c r="CM153" s="649">
        <v>1.4</v>
      </c>
      <c r="CN153" s="991">
        <v>820</v>
      </c>
      <c r="CO153" s="649">
        <v>531.70000000000005</v>
      </c>
      <c r="CP153" s="649">
        <v>540.20000000000005</v>
      </c>
      <c r="CQ153" s="649">
        <v>14.4</v>
      </c>
      <c r="CR153" s="649">
        <v>1.01</v>
      </c>
      <c r="CS153" s="405">
        <v>0</v>
      </c>
      <c r="CT153" s="405">
        <v>15.597</v>
      </c>
      <c r="CU153" s="405">
        <v>52</v>
      </c>
      <c r="CV153" s="522">
        <v>0</v>
      </c>
      <c r="CW153" s="522">
        <v>0</v>
      </c>
      <c r="CX153" s="522">
        <v>0</v>
      </c>
      <c r="CY153" s="522">
        <v>0</v>
      </c>
      <c r="CZ153" s="689">
        <v>911</v>
      </c>
      <c r="DA153" s="689">
        <v>1290</v>
      </c>
      <c r="DB153" s="689">
        <v>872</v>
      </c>
      <c r="DC153" s="643">
        <v>1164.5</v>
      </c>
      <c r="DD153" s="522"/>
      <c r="DE153" s="522"/>
      <c r="DF153" s="522"/>
      <c r="DG153" s="522"/>
      <c r="DH153" s="522"/>
      <c r="DI153" s="522"/>
      <c r="DJ153" s="522"/>
      <c r="DK153" s="522"/>
      <c r="DL153" s="649"/>
      <c r="DM153" s="689"/>
      <c r="DN153" s="649"/>
      <c r="DO153" s="522"/>
      <c r="DP153" s="522"/>
      <c r="DQ153" s="522"/>
      <c r="DR153" s="522"/>
      <c r="DS153" s="522"/>
      <c r="DT153" s="522"/>
      <c r="DU153" s="522"/>
      <c r="DV153" s="522"/>
      <c r="DW153" s="522"/>
      <c r="DX153" s="522"/>
      <c r="DY153" s="522"/>
      <c r="DZ153" s="522"/>
      <c r="EA153" s="522"/>
      <c r="EB153" s="522"/>
      <c r="EC153" s="522"/>
      <c r="ED153" s="522"/>
      <c r="EE153" s="522"/>
      <c r="EF153" s="522"/>
      <c r="EG153" s="645">
        <f t="shared" si="132"/>
        <v>13.923</v>
      </c>
      <c r="EH153" s="361">
        <v>0</v>
      </c>
      <c r="EI153" s="647">
        <v>0</v>
      </c>
      <c r="EJ153" s="647">
        <f t="shared" si="151"/>
        <v>2.4900000000000002</v>
      </c>
      <c r="EK153" s="647">
        <f t="shared" si="152"/>
        <v>6.51</v>
      </c>
      <c r="EL153" s="522"/>
      <c r="EM153" s="522"/>
      <c r="EN153" s="522"/>
      <c r="EO153" s="522"/>
      <c r="EP153" s="522"/>
      <c r="EQ153" s="522"/>
      <c r="ER153" s="522"/>
      <c r="ES153" s="407"/>
      <c r="ET153" s="407"/>
    </row>
    <row r="154" spans="1:150" s="357" customFormat="1" ht="15">
      <c r="A154" s="675" t="s">
        <v>6</v>
      </c>
      <c r="B154" s="712">
        <v>41780</v>
      </c>
      <c r="C154" s="358">
        <v>0</v>
      </c>
      <c r="D154" s="405">
        <v>0</v>
      </c>
      <c r="E154" s="681">
        <v>0</v>
      </c>
      <c r="F154" s="681">
        <v>53</v>
      </c>
      <c r="G154" s="681">
        <v>1.1000000000000001</v>
      </c>
      <c r="H154" s="405">
        <v>0.74</v>
      </c>
      <c r="I154" s="405">
        <v>92.63</v>
      </c>
      <c r="J154" s="405">
        <v>1.1200000000000001</v>
      </c>
      <c r="K154" s="405" t="s">
        <v>744</v>
      </c>
      <c r="L154" s="644">
        <v>0</v>
      </c>
      <c r="M154" s="405">
        <v>22.6</v>
      </c>
      <c r="N154" s="405">
        <v>1.9750000000000001</v>
      </c>
      <c r="O154" s="405">
        <v>2.2607388511822863</v>
      </c>
      <c r="P154" s="405">
        <v>0</v>
      </c>
      <c r="Q154" s="405">
        <v>0</v>
      </c>
      <c r="R154" s="790">
        <v>1148.2428269484806</v>
      </c>
      <c r="S154" s="405">
        <v>8.0399999999999991</v>
      </c>
      <c r="T154" s="405">
        <v>0</v>
      </c>
      <c r="U154" s="405">
        <v>0.71799999999999997</v>
      </c>
      <c r="V154" s="807">
        <v>0</v>
      </c>
      <c r="W154" s="807">
        <v>48.56</v>
      </c>
      <c r="X154" s="647" t="e">
        <v>#VALUE!</v>
      </c>
      <c r="Y154" s="383">
        <v>21.87</v>
      </c>
      <c r="Z154" s="681">
        <v>39.03</v>
      </c>
      <c r="AA154" s="794">
        <v>21.83</v>
      </c>
      <c r="AB154" s="794">
        <v>38.99</v>
      </c>
      <c r="AC154" s="775">
        <f t="shared" si="155"/>
        <v>60.82</v>
      </c>
      <c r="AD154" s="775">
        <f t="shared" si="156"/>
        <v>94.088539999999995</v>
      </c>
      <c r="AE154" s="775"/>
      <c r="AF154" s="567"/>
      <c r="AG154" s="2">
        <v>1.6</v>
      </c>
      <c r="AH154" s="995"/>
      <c r="AI154" s="362"/>
      <c r="AJ154" s="996"/>
      <c r="AK154" s="407"/>
      <c r="AL154" s="407"/>
      <c r="AM154" s="407"/>
      <c r="AN154" s="407"/>
      <c r="AO154" s="387"/>
      <c r="AP154" s="387"/>
      <c r="AQ154" s="1028"/>
      <c r="AR154" s="578">
        <v>0</v>
      </c>
      <c r="AS154" s="405">
        <v>11.5</v>
      </c>
      <c r="AT154" s="992">
        <v>0</v>
      </c>
      <c r="AU154" s="405">
        <v>22.5</v>
      </c>
      <c r="AV154" s="644">
        <v>499.8</v>
      </c>
      <c r="AW154" s="644">
        <v>639.79999999999995</v>
      </c>
      <c r="AX154" s="405">
        <v>3.2</v>
      </c>
      <c r="AY154" s="578">
        <v>0</v>
      </c>
      <c r="AZ154" s="578">
        <v>0</v>
      </c>
      <c r="BA154" s="578">
        <v>0</v>
      </c>
      <c r="BB154" s="1086">
        <v>1.6</v>
      </c>
      <c r="BC154" s="405">
        <v>0.93</v>
      </c>
      <c r="BD154" s="405">
        <v>1.08</v>
      </c>
      <c r="BE154" s="578">
        <v>0</v>
      </c>
      <c r="BF154" s="405">
        <v>0.5</v>
      </c>
      <c r="BG154" s="405">
        <v>0</v>
      </c>
      <c r="BH154" s="578">
        <v>0</v>
      </c>
      <c r="BI154" s="405">
        <v>0</v>
      </c>
      <c r="BJ154" s="405">
        <v>36.700000000000003</v>
      </c>
      <c r="BK154" s="405">
        <v>3.3</v>
      </c>
      <c r="BL154" s="405">
        <v>3.23</v>
      </c>
      <c r="BM154" s="405">
        <v>0</v>
      </c>
      <c r="BN154" s="405">
        <v>28.4</v>
      </c>
      <c r="BO154" s="405">
        <v>955.5</v>
      </c>
      <c r="BP154" s="405">
        <v>0</v>
      </c>
      <c r="BQ154" s="522">
        <v>19.309999999999999</v>
      </c>
      <c r="BR154" s="522">
        <v>19.260000000000002</v>
      </c>
      <c r="BS154" s="649">
        <v>8.66</v>
      </c>
      <c r="BT154" s="649">
        <v>8.77</v>
      </c>
      <c r="BU154" s="648">
        <v>19.3</v>
      </c>
      <c r="BV154" s="648">
        <v>21.7</v>
      </c>
      <c r="BW154" s="649">
        <v>748.2</v>
      </c>
      <c r="BX154" s="876">
        <v>0</v>
      </c>
      <c r="BY154" s="649">
        <v>1.03</v>
      </c>
      <c r="BZ154" s="649">
        <v>1.35</v>
      </c>
      <c r="CA154" s="649">
        <v>1.1000000000000001</v>
      </c>
      <c r="CB154" s="649">
        <v>8.6999999999999993</v>
      </c>
      <c r="CC154" s="649">
        <v>7.9</v>
      </c>
      <c r="CD154" s="649">
        <v>14.99</v>
      </c>
      <c r="CE154" s="649">
        <v>34.200000000000003</v>
      </c>
      <c r="CF154" s="649">
        <v>15.2</v>
      </c>
      <c r="CG154" s="649">
        <v>5.2</v>
      </c>
      <c r="CH154" s="649">
        <v>10.3</v>
      </c>
      <c r="CI154" s="649">
        <v>14.3</v>
      </c>
      <c r="CJ154" s="649">
        <v>12.43</v>
      </c>
      <c r="CK154" s="649">
        <v>488.7</v>
      </c>
      <c r="CL154" s="649">
        <v>2</v>
      </c>
      <c r="CM154" s="649">
        <v>2.8</v>
      </c>
      <c r="CN154" s="991">
        <v>820</v>
      </c>
      <c r="CO154" s="649">
        <v>551.9</v>
      </c>
      <c r="CP154" s="649">
        <v>564.70000000000005</v>
      </c>
      <c r="CQ154" s="649">
        <v>12.7</v>
      </c>
      <c r="CR154" s="649">
        <v>0.88</v>
      </c>
      <c r="CS154" s="405">
        <v>0</v>
      </c>
      <c r="CT154" s="405">
        <v>14.907</v>
      </c>
      <c r="CU154" s="405">
        <v>52</v>
      </c>
      <c r="CV154" s="522">
        <v>0</v>
      </c>
      <c r="CW154" s="522">
        <v>0</v>
      </c>
      <c r="CX154" s="522">
        <v>0</v>
      </c>
      <c r="CY154" s="522">
        <v>0</v>
      </c>
      <c r="CZ154" s="689">
        <v>871</v>
      </c>
      <c r="DA154" s="689">
        <v>1220</v>
      </c>
      <c r="DB154" s="689">
        <v>832</v>
      </c>
      <c r="DC154" s="643">
        <v>1164.9000000000001</v>
      </c>
      <c r="DD154" s="522"/>
      <c r="DE154" s="522"/>
      <c r="DF154" s="522"/>
      <c r="DG154" s="522"/>
      <c r="DH154" s="522"/>
      <c r="DI154" s="522"/>
      <c r="DJ154" s="522"/>
      <c r="DK154" s="522"/>
      <c r="DL154" s="649"/>
      <c r="DM154" s="689"/>
      <c r="DN154" s="649"/>
      <c r="DO154" s="522"/>
      <c r="DP154" s="522"/>
      <c r="DQ154" s="522"/>
      <c r="DR154" s="522"/>
      <c r="DS154" s="522"/>
      <c r="DT154" s="522"/>
      <c r="DU154" s="522"/>
      <c r="DV154" s="522"/>
      <c r="DW154" s="522"/>
      <c r="DX154" s="522"/>
      <c r="DY154" s="522"/>
      <c r="DZ154" s="522"/>
      <c r="EA154" s="522"/>
      <c r="EB154" s="522"/>
      <c r="EC154" s="522"/>
      <c r="ED154" s="522"/>
      <c r="EE154" s="522"/>
      <c r="EF154" s="522"/>
      <c r="EG154" s="645">
        <f t="shared" si="132"/>
        <v>13.984879999999999</v>
      </c>
      <c r="EH154" s="361">
        <v>0</v>
      </c>
      <c r="EI154" s="647">
        <v>0</v>
      </c>
      <c r="EJ154" s="647">
        <f t="shared" si="151"/>
        <v>2.5100000000000002</v>
      </c>
      <c r="EK154" s="647">
        <f t="shared" si="152"/>
        <v>6.5299999999999994</v>
      </c>
      <c r="EL154" s="522"/>
      <c r="EM154" s="522"/>
      <c r="EN154" s="522"/>
      <c r="EO154" s="522"/>
      <c r="EP154" s="522"/>
      <c r="EQ154" s="522"/>
      <c r="ER154" s="522"/>
      <c r="ES154" s="407"/>
      <c r="ET154" s="407"/>
    </row>
    <row r="155" spans="1:150" s="357" customFormat="1" ht="15">
      <c r="A155" s="675" t="s">
        <v>7</v>
      </c>
      <c r="B155" s="712">
        <v>41781</v>
      </c>
      <c r="C155" s="358">
        <v>0</v>
      </c>
      <c r="D155" s="405">
        <v>0</v>
      </c>
      <c r="E155" s="681">
        <v>0</v>
      </c>
      <c r="F155" s="681">
        <v>58</v>
      </c>
      <c r="G155" s="681">
        <v>1.1499999999999999</v>
      </c>
      <c r="H155" s="405">
        <v>0.83</v>
      </c>
      <c r="I155" s="405">
        <v>95.76</v>
      </c>
      <c r="J155" s="405">
        <v>1.26</v>
      </c>
      <c r="K155" s="405" t="s">
        <v>744</v>
      </c>
      <c r="L155" s="644">
        <v>0</v>
      </c>
      <c r="M155" s="405">
        <v>22.4</v>
      </c>
      <c r="N155" s="405">
        <v>1.9930000000000001</v>
      </c>
      <c r="O155" s="405">
        <v>2.3783295883650819</v>
      </c>
      <c r="P155" s="405">
        <v>0</v>
      </c>
      <c r="Q155" s="405">
        <v>0</v>
      </c>
      <c r="R155" s="790">
        <v>1233.7537173051517</v>
      </c>
      <c r="S155" s="405">
        <v>8.01</v>
      </c>
      <c r="T155" s="405">
        <v>0</v>
      </c>
      <c r="U155" s="405">
        <v>0.69399999999999995</v>
      </c>
      <c r="V155" s="807">
        <v>0</v>
      </c>
      <c r="W155" s="807">
        <v>51.08</v>
      </c>
      <c r="X155" s="647" t="e">
        <v>#VALUE!</v>
      </c>
      <c r="Y155" s="383">
        <v>21.83</v>
      </c>
      <c r="Z155" s="681">
        <v>38.99</v>
      </c>
      <c r="AA155" s="794">
        <v>21.9</v>
      </c>
      <c r="AB155" s="794">
        <v>38.979999999999997</v>
      </c>
      <c r="AC155" s="775">
        <f t="shared" si="155"/>
        <v>60.879999999999995</v>
      </c>
      <c r="AD155" s="775">
        <f t="shared" si="156"/>
        <v>94.181359999999984</v>
      </c>
      <c r="AE155" s="775"/>
      <c r="AF155" s="567"/>
      <c r="AG155" s="2">
        <v>1.6</v>
      </c>
      <c r="AH155" s="995"/>
      <c r="AI155" s="362"/>
      <c r="AJ155" s="996"/>
      <c r="AK155" s="407"/>
      <c r="AL155" s="407"/>
      <c r="AM155" s="407"/>
      <c r="AN155" s="407"/>
      <c r="AO155" s="387"/>
      <c r="AP155" s="387"/>
      <c r="AQ155" s="1028"/>
      <c r="AR155" s="578">
        <v>0</v>
      </c>
      <c r="AS155" s="405">
        <v>23.7</v>
      </c>
      <c r="AT155" s="992">
        <v>0</v>
      </c>
      <c r="AU155" s="405">
        <v>22.3</v>
      </c>
      <c r="AV155" s="644">
        <v>603</v>
      </c>
      <c r="AW155" s="644">
        <v>898.7</v>
      </c>
      <c r="AX155" s="405">
        <v>0.3</v>
      </c>
      <c r="AY155" s="578">
        <v>0</v>
      </c>
      <c r="AZ155" s="578">
        <v>0</v>
      </c>
      <c r="BA155" s="578">
        <v>0</v>
      </c>
      <c r="BB155" s="1086">
        <v>1.55</v>
      </c>
      <c r="BC155" s="992">
        <v>1.01</v>
      </c>
      <c r="BD155" s="992">
        <v>1</v>
      </c>
      <c r="BE155" s="578">
        <v>0</v>
      </c>
      <c r="BF155" s="992">
        <v>0.5</v>
      </c>
      <c r="BG155" s="405">
        <v>0</v>
      </c>
      <c r="BH155" s="578">
        <v>0</v>
      </c>
      <c r="BI155" s="405">
        <v>0</v>
      </c>
      <c r="BJ155" s="405">
        <v>36.700000000000003</v>
      </c>
      <c r="BK155" s="405">
        <v>3.28</v>
      </c>
      <c r="BL155" s="405">
        <v>3.23</v>
      </c>
      <c r="BM155" s="405">
        <v>0</v>
      </c>
      <c r="BN155" s="405">
        <v>28.4</v>
      </c>
      <c r="BO155" s="405">
        <v>1971.9</v>
      </c>
      <c r="BP155" s="405">
        <v>0</v>
      </c>
      <c r="BQ155" s="522">
        <v>18.57</v>
      </c>
      <c r="BR155" s="522">
        <v>18.510000000000002</v>
      </c>
      <c r="BS155" s="649">
        <v>8.09</v>
      </c>
      <c r="BT155" s="649">
        <v>8.19</v>
      </c>
      <c r="BU155" s="648">
        <v>19.2</v>
      </c>
      <c r="BV155" s="648">
        <v>24.9</v>
      </c>
      <c r="BW155" s="649">
        <v>771.1</v>
      </c>
      <c r="BX155" s="876"/>
      <c r="BY155" s="649">
        <v>0.99</v>
      </c>
      <c r="BZ155" s="649">
        <v>1.4</v>
      </c>
      <c r="CA155" s="649">
        <v>1.1000000000000001</v>
      </c>
      <c r="CB155" s="649">
        <v>8.6999999999999993</v>
      </c>
      <c r="CC155" s="649">
        <v>8</v>
      </c>
      <c r="CD155" s="649">
        <v>14.3</v>
      </c>
      <c r="CE155" s="649">
        <v>34.200000000000003</v>
      </c>
      <c r="CF155" s="649">
        <v>13.7</v>
      </c>
      <c r="CG155" s="649">
        <v>8.1</v>
      </c>
      <c r="CH155" s="649">
        <v>13.4</v>
      </c>
      <c r="CI155" s="649">
        <v>18</v>
      </c>
      <c r="CJ155" s="649">
        <v>12.63</v>
      </c>
      <c r="CK155" s="649">
        <v>582.29999999999995</v>
      </c>
      <c r="CL155" s="649">
        <v>2</v>
      </c>
      <c r="CM155" s="649">
        <v>2.2000000000000002</v>
      </c>
      <c r="CN155" s="991">
        <v>820</v>
      </c>
      <c r="CO155" s="649">
        <v>577.9</v>
      </c>
      <c r="CP155" s="649">
        <v>528.29999999999995</v>
      </c>
      <c r="CQ155" s="649">
        <v>14</v>
      </c>
      <c r="CR155" s="649">
        <v>1.01</v>
      </c>
      <c r="CS155" s="405">
        <v>0</v>
      </c>
      <c r="CT155" s="405">
        <v>15.622</v>
      </c>
      <c r="CU155" s="405">
        <v>53</v>
      </c>
      <c r="CV155" s="522">
        <v>0</v>
      </c>
      <c r="CW155" s="522">
        <v>0</v>
      </c>
      <c r="CX155" s="522">
        <v>0</v>
      </c>
      <c r="CY155" s="522">
        <v>0</v>
      </c>
      <c r="CZ155" s="689">
        <v>871</v>
      </c>
      <c r="DA155" s="689">
        <v>1160</v>
      </c>
      <c r="DB155" s="689">
        <v>832</v>
      </c>
      <c r="DC155" s="643">
        <v>1165.26</v>
      </c>
      <c r="DD155" s="522"/>
      <c r="DE155" s="522"/>
      <c r="DF155" s="522"/>
      <c r="DG155" s="522"/>
      <c r="DH155" s="522"/>
      <c r="DI155" s="522"/>
      <c r="DJ155" s="522"/>
      <c r="DK155" s="522"/>
      <c r="DL155" s="649"/>
      <c r="DM155" s="689"/>
      <c r="DN155" s="649"/>
      <c r="DO155" s="522"/>
      <c r="DP155" s="522"/>
      <c r="DQ155" s="522"/>
      <c r="DR155" s="522"/>
      <c r="DS155" s="522"/>
      <c r="DT155" s="522"/>
      <c r="DU155" s="522"/>
      <c r="DV155" s="522"/>
      <c r="DW155" s="522"/>
      <c r="DX155" s="522"/>
      <c r="DY155" s="522"/>
      <c r="DZ155" s="522"/>
      <c r="EA155" s="522"/>
      <c r="EB155" s="522"/>
      <c r="EC155" s="522"/>
      <c r="ED155" s="522"/>
      <c r="EE155" s="522"/>
      <c r="EF155" s="522"/>
      <c r="EG155" s="645">
        <f t="shared" si="132"/>
        <v>13.953939999999999</v>
      </c>
      <c r="EH155" s="361">
        <v>0</v>
      </c>
      <c r="EI155" s="647">
        <v>0</v>
      </c>
      <c r="EJ155" s="647">
        <f t="shared" si="151"/>
        <v>2.5099999999999998</v>
      </c>
      <c r="EK155" s="647">
        <f t="shared" si="152"/>
        <v>6.51</v>
      </c>
      <c r="EL155" s="522"/>
      <c r="EM155" s="522"/>
      <c r="EN155" s="522"/>
      <c r="EO155" s="522"/>
      <c r="EP155" s="522"/>
      <c r="EQ155" s="522"/>
      <c r="ER155" s="522"/>
      <c r="ES155" s="407"/>
      <c r="ET155" s="407"/>
    </row>
    <row r="156" spans="1:150" s="357" customFormat="1" ht="15">
      <c r="A156" s="675" t="s">
        <v>8</v>
      </c>
      <c r="B156" s="712">
        <v>41782</v>
      </c>
      <c r="C156" s="358">
        <v>0</v>
      </c>
      <c r="D156" s="405">
        <v>0.36</v>
      </c>
      <c r="E156" s="681">
        <v>0</v>
      </c>
      <c r="F156" s="681">
        <v>54</v>
      </c>
      <c r="G156" s="681">
        <v>1.2</v>
      </c>
      <c r="H156" s="405">
        <v>0.92</v>
      </c>
      <c r="I156" s="405">
        <v>94.73</v>
      </c>
      <c r="J156" s="405">
        <v>1.04</v>
      </c>
      <c r="K156" s="405" t="s">
        <v>744</v>
      </c>
      <c r="L156" s="644">
        <v>0</v>
      </c>
      <c r="M156" s="405">
        <v>22.4</v>
      </c>
      <c r="N156" s="405">
        <v>1.97</v>
      </c>
      <c r="O156" s="405">
        <v>2.3775010108422885</v>
      </c>
      <c r="P156" s="405">
        <v>0</v>
      </c>
      <c r="Q156" s="405" t="s">
        <v>743</v>
      </c>
      <c r="R156" s="790">
        <v>1232.1341928665784</v>
      </c>
      <c r="S156" s="405">
        <v>8.02</v>
      </c>
      <c r="T156" s="405">
        <v>0</v>
      </c>
      <c r="U156" s="405">
        <v>0.67</v>
      </c>
      <c r="V156" s="807">
        <v>0</v>
      </c>
      <c r="W156" s="807">
        <v>49.100000000000009</v>
      </c>
      <c r="X156" s="647" t="e">
        <v>#VALUE!</v>
      </c>
      <c r="Y156" s="383">
        <v>21.9</v>
      </c>
      <c r="Z156" s="681">
        <v>38.979999999999997</v>
      </c>
      <c r="AA156" s="794">
        <v>21.9</v>
      </c>
      <c r="AB156" s="794">
        <v>38.92</v>
      </c>
      <c r="AC156" s="775">
        <f t="shared" ref="AC156:AC159" si="157">AA156+AB156</f>
        <v>60.82</v>
      </c>
      <c r="AD156" s="775">
        <f t="shared" ref="AD156:AD159" si="158">AC156*1.547</f>
        <v>94.088539999999995</v>
      </c>
      <c r="AE156" s="775"/>
      <c r="AF156" s="567"/>
      <c r="AG156" s="2">
        <v>1.6</v>
      </c>
      <c r="AH156" s="995"/>
      <c r="AI156" s="362"/>
      <c r="AJ156" s="996"/>
      <c r="AK156" s="407"/>
      <c r="AL156" s="407"/>
      <c r="AM156" s="407"/>
      <c r="AN156" s="407"/>
      <c r="AO156" s="387"/>
      <c r="AP156" s="387"/>
      <c r="AQ156" s="1028"/>
      <c r="AR156" s="578">
        <v>0</v>
      </c>
      <c r="AS156" s="405">
        <v>11.4</v>
      </c>
      <c r="AT156" s="992">
        <v>0</v>
      </c>
      <c r="AU156" s="405">
        <v>22.6</v>
      </c>
      <c r="AV156" s="644">
        <v>240.4</v>
      </c>
      <c r="AW156" s="644">
        <v>274.5</v>
      </c>
      <c r="AX156" s="405">
        <v>5.3</v>
      </c>
      <c r="AY156" s="578">
        <v>0</v>
      </c>
      <c r="AZ156" s="578">
        <v>0</v>
      </c>
      <c r="BA156" s="578">
        <v>0</v>
      </c>
      <c r="BB156" s="1086">
        <v>1.6</v>
      </c>
      <c r="BC156" s="405">
        <v>1.01</v>
      </c>
      <c r="BD156" s="405">
        <v>1</v>
      </c>
      <c r="BE156" s="578">
        <v>0</v>
      </c>
      <c r="BF156" s="405">
        <v>0.5</v>
      </c>
      <c r="BG156" s="405">
        <v>0</v>
      </c>
      <c r="BH156" s="578">
        <v>0</v>
      </c>
      <c r="BI156" s="405">
        <v>0</v>
      </c>
      <c r="BJ156" s="405">
        <v>36.299999999999997</v>
      </c>
      <c r="BK156" s="405">
        <v>3.2</v>
      </c>
      <c r="BL156" s="405">
        <v>3.35</v>
      </c>
      <c r="BM156" s="405">
        <v>0</v>
      </c>
      <c r="BN156" s="405">
        <v>28</v>
      </c>
      <c r="BO156" s="405">
        <v>951.9</v>
      </c>
      <c r="BP156" s="405">
        <v>0</v>
      </c>
      <c r="BQ156" s="522">
        <v>18.61</v>
      </c>
      <c r="BR156" s="522">
        <v>18.57</v>
      </c>
      <c r="BS156" s="649">
        <v>9.49</v>
      </c>
      <c r="BT156" s="649">
        <v>9.58</v>
      </c>
      <c r="BU156" s="648">
        <v>20</v>
      </c>
      <c r="BV156" s="648">
        <v>24.1</v>
      </c>
      <c r="BW156" s="649">
        <v>719.7</v>
      </c>
      <c r="BX156" s="876"/>
      <c r="BY156" s="649">
        <v>0.98</v>
      </c>
      <c r="BZ156" s="649">
        <v>1.46</v>
      </c>
      <c r="CA156" s="649">
        <v>1.2</v>
      </c>
      <c r="CB156" s="649">
        <v>8.6999999999999993</v>
      </c>
      <c r="CC156" s="649">
        <v>8</v>
      </c>
      <c r="CD156" s="649">
        <v>16.100000000000001</v>
      </c>
      <c r="CE156" s="649">
        <v>34.5</v>
      </c>
      <c r="CF156" s="649">
        <v>12.5</v>
      </c>
      <c r="CG156" s="649">
        <v>6.7</v>
      </c>
      <c r="CH156" s="649">
        <v>11.9</v>
      </c>
      <c r="CI156" s="649">
        <v>16</v>
      </c>
      <c r="CJ156" s="649">
        <v>12.85</v>
      </c>
      <c r="CK156" s="649">
        <v>221</v>
      </c>
      <c r="CL156" s="649">
        <v>4</v>
      </c>
      <c r="CM156" s="649">
        <v>3.9</v>
      </c>
      <c r="CN156" s="991">
        <v>820</v>
      </c>
      <c r="CO156" s="649">
        <v>483.5</v>
      </c>
      <c r="CP156" s="649">
        <v>518</v>
      </c>
      <c r="CQ156" s="649">
        <v>12.5</v>
      </c>
      <c r="CR156" s="649">
        <v>0.89</v>
      </c>
      <c r="CS156" s="405">
        <v>0</v>
      </c>
      <c r="CT156" s="405">
        <v>16.03</v>
      </c>
      <c r="CU156" s="405">
        <v>53</v>
      </c>
      <c r="CV156" s="522">
        <v>0</v>
      </c>
      <c r="CW156" s="522">
        <v>0</v>
      </c>
      <c r="CX156" s="522">
        <v>0</v>
      </c>
      <c r="CY156" s="522">
        <v>0</v>
      </c>
      <c r="CZ156" s="689">
        <v>931</v>
      </c>
      <c r="DA156" s="689">
        <v>1230</v>
      </c>
      <c r="DB156" s="689">
        <v>885</v>
      </c>
      <c r="DC156" s="643">
        <v>1165.8</v>
      </c>
      <c r="DD156" s="808"/>
      <c r="DE156" s="522"/>
      <c r="DF156" s="522"/>
      <c r="DG156" s="522"/>
      <c r="DH156" s="522"/>
      <c r="DI156" s="522"/>
      <c r="DJ156" s="522"/>
      <c r="DK156" s="522"/>
      <c r="DL156" s="649"/>
      <c r="DM156" s="689"/>
      <c r="DN156" s="649"/>
      <c r="DO156" s="522"/>
      <c r="DP156" s="522"/>
      <c r="DQ156" s="522"/>
      <c r="DR156" s="522"/>
      <c r="DS156" s="522"/>
      <c r="DT156" s="522"/>
      <c r="DU156" s="522"/>
      <c r="DV156" s="522"/>
      <c r="DW156" s="522"/>
      <c r="DX156" s="522"/>
      <c r="DY156" s="522"/>
      <c r="DZ156" s="522"/>
      <c r="EA156" s="522"/>
      <c r="EB156" s="522"/>
      <c r="EC156" s="522"/>
      <c r="ED156" s="522"/>
      <c r="EE156" s="522"/>
      <c r="EF156" s="522"/>
      <c r="EG156" s="645">
        <f t="shared" si="132"/>
        <v>14.01582</v>
      </c>
      <c r="EH156" s="361">
        <v>0</v>
      </c>
      <c r="EI156" s="647">
        <v>0</v>
      </c>
      <c r="EJ156" s="647">
        <f t="shared" ref="EJ156:EJ163" si="159">BC156+BD156+BF156</f>
        <v>2.5099999999999998</v>
      </c>
      <c r="EK156" s="647">
        <f t="shared" ref="EK156:EK163" si="160">BK156+BL156+BM156</f>
        <v>6.5500000000000007</v>
      </c>
      <c r="EL156" s="522"/>
      <c r="EM156" s="522"/>
      <c r="EN156" s="522"/>
      <c r="EO156" s="522"/>
      <c r="EP156" s="522"/>
      <c r="EQ156" s="522"/>
      <c r="ER156" s="522"/>
      <c r="ES156" s="407"/>
      <c r="ET156" s="407"/>
    </row>
    <row r="157" spans="1:150" s="357" customFormat="1" ht="15">
      <c r="A157" s="675" t="s">
        <v>9</v>
      </c>
      <c r="B157" s="712">
        <v>41783</v>
      </c>
      <c r="C157" s="358">
        <v>0</v>
      </c>
      <c r="D157" s="405">
        <v>0.02</v>
      </c>
      <c r="E157" s="681">
        <v>0</v>
      </c>
      <c r="F157" s="681">
        <v>51</v>
      </c>
      <c r="G157" s="681">
        <v>1.2</v>
      </c>
      <c r="H157" s="405">
        <v>0.82</v>
      </c>
      <c r="I157" s="405">
        <v>95.4</v>
      </c>
      <c r="J157" s="405">
        <v>0.87</v>
      </c>
      <c r="K157" s="405" t="s">
        <v>744</v>
      </c>
      <c r="L157" s="644">
        <v>0</v>
      </c>
      <c r="M157" s="405">
        <v>22.1</v>
      </c>
      <c r="N157" s="405">
        <v>1.95</v>
      </c>
      <c r="O157" s="405">
        <v>2.3664951734996689</v>
      </c>
      <c r="P157" s="405">
        <v>0</v>
      </c>
      <c r="Q157" s="405" t="s">
        <v>743</v>
      </c>
      <c r="R157" s="790">
        <v>1226.6278097754291</v>
      </c>
      <c r="S157" s="405">
        <v>8.0399999999999991</v>
      </c>
      <c r="T157" s="405">
        <v>0</v>
      </c>
      <c r="U157" s="405">
        <v>0.65</v>
      </c>
      <c r="V157" s="807">
        <v>0</v>
      </c>
      <c r="W157" s="807">
        <v>48.92</v>
      </c>
      <c r="X157" s="647" t="e">
        <v>#VALUE!</v>
      </c>
      <c r="Y157" s="383">
        <v>21.9</v>
      </c>
      <c r="Z157" s="681">
        <v>38.92</v>
      </c>
      <c r="AA157" s="794">
        <v>21.83</v>
      </c>
      <c r="AB157" s="794">
        <v>38.880000000000003</v>
      </c>
      <c r="AC157" s="775">
        <f t="shared" si="157"/>
        <v>60.71</v>
      </c>
      <c r="AD157" s="775">
        <f t="shared" si="158"/>
        <v>93.918369999999996</v>
      </c>
      <c r="AE157" s="775"/>
      <c r="AF157" s="567"/>
      <c r="AG157" s="2">
        <v>1.6</v>
      </c>
      <c r="AH157" s="995"/>
      <c r="AI157" s="362"/>
      <c r="AJ157" s="996"/>
      <c r="AK157" s="407"/>
      <c r="AL157" s="407"/>
      <c r="AM157" s="407"/>
      <c r="AN157" s="407"/>
      <c r="AO157" s="387"/>
      <c r="AP157" s="387"/>
      <c r="AQ157" s="1028"/>
      <c r="AR157" s="578">
        <v>0</v>
      </c>
      <c r="AS157" s="405">
        <v>22</v>
      </c>
      <c r="AT157" s="578">
        <v>0</v>
      </c>
      <c r="AU157" s="405">
        <v>22.5</v>
      </c>
      <c r="AV157" s="644">
        <v>488</v>
      </c>
      <c r="AW157" s="644">
        <v>609.6</v>
      </c>
      <c r="AX157" s="405">
        <v>0</v>
      </c>
      <c r="AY157" s="578">
        <v>0</v>
      </c>
      <c r="AZ157" s="578">
        <v>0</v>
      </c>
      <c r="BA157" s="578">
        <v>0</v>
      </c>
      <c r="BB157" s="1086">
        <v>1.6</v>
      </c>
      <c r="BC157" s="405">
        <v>1.5</v>
      </c>
      <c r="BD157" s="405">
        <v>1</v>
      </c>
      <c r="BE157" s="578">
        <v>0</v>
      </c>
      <c r="BF157" s="405">
        <v>0.49</v>
      </c>
      <c r="BG157" s="405">
        <v>0</v>
      </c>
      <c r="BH157" s="578">
        <v>0</v>
      </c>
      <c r="BI157" s="405">
        <v>0</v>
      </c>
      <c r="BJ157" s="405">
        <v>36.200000000000003</v>
      </c>
      <c r="BK157" s="405">
        <v>2.99</v>
      </c>
      <c r="BL157" s="405">
        <v>3.55</v>
      </c>
      <c r="BM157" s="405">
        <v>0</v>
      </c>
      <c r="BN157" s="405">
        <v>27.8</v>
      </c>
      <c r="BO157" s="405">
        <v>1093</v>
      </c>
      <c r="BP157" s="405">
        <v>0</v>
      </c>
      <c r="BQ157" s="522">
        <v>19.28</v>
      </c>
      <c r="BR157" s="522">
        <v>19.23</v>
      </c>
      <c r="BS157" s="649">
        <v>9.36</v>
      </c>
      <c r="BT157" s="649">
        <v>9.5</v>
      </c>
      <c r="BU157" s="648">
        <v>19.2</v>
      </c>
      <c r="BV157" s="648">
        <v>21.8</v>
      </c>
      <c r="BW157" s="649">
        <v>763.2</v>
      </c>
      <c r="BX157" s="876"/>
      <c r="BY157" s="649">
        <v>1</v>
      </c>
      <c r="BZ157" s="649">
        <v>1.39</v>
      </c>
      <c r="CA157" s="649">
        <v>1.2</v>
      </c>
      <c r="CB157" s="649">
        <v>8.6999999999999993</v>
      </c>
      <c r="CC157" s="649">
        <v>7.9</v>
      </c>
      <c r="CD157" s="649">
        <v>15.7</v>
      </c>
      <c r="CE157" s="649">
        <v>34.700000000000003</v>
      </c>
      <c r="CF157" s="649">
        <v>11.95</v>
      </c>
      <c r="CG157" s="649">
        <v>5.5</v>
      </c>
      <c r="CH157" s="649">
        <v>10.5</v>
      </c>
      <c r="CI157" s="649">
        <v>14.5</v>
      </c>
      <c r="CJ157" s="649">
        <v>13.44</v>
      </c>
      <c r="CK157" s="649">
        <v>0</v>
      </c>
      <c r="CL157" s="522">
        <v>2.4</v>
      </c>
      <c r="CM157" s="522">
        <v>3.1</v>
      </c>
      <c r="CN157" s="991">
        <v>820</v>
      </c>
      <c r="CO157" s="522">
        <v>512.1</v>
      </c>
      <c r="CP157" s="522">
        <v>483.9</v>
      </c>
      <c r="CQ157" s="522">
        <v>12.9</v>
      </c>
      <c r="CR157" s="522">
        <v>0.86</v>
      </c>
      <c r="CS157" s="405">
        <v>0</v>
      </c>
      <c r="CT157" s="405">
        <v>15.762</v>
      </c>
      <c r="CU157" s="405">
        <v>53</v>
      </c>
      <c r="CV157" s="522">
        <v>0</v>
      </c>
      <c r="CW157" s="522">
        <v>0</v>
      </c>
      <c r="CX157" s="522">
        <v>0</v>
      </c>
      <c r="CY157" s="522">
        <v>0</v>
      </c>
      <c r="CZ157" s="689">
        <v>931</v>
      </c>
      <c r="DA157" s="689">
        <v>1210</v>
      </c>
      <c r="DB157" s="689">
        <v>881</v>
      </c>
      <c r="DC157" s="643">
        <v>1166.2</v>
      </c>
      <c r="DD157" s="808"/>
      <c r="DE157" s="522"/>
      <c r="DF157" s="522"/>
      <c r="DG157" s="522"/>
      <c r="DH157" s="522"/>
      <c r="DI157" s="522"/>
      <c r="DJ157" s="522"/>
      <c r="DK157" s="522"/>
      <c r="DL157" s="649"/>
      <c r="DM157" s="689"/>
      <c r="DN157" s="649"/>
      <c r="DO157" s="522"/>
      <c r="DP157" s="522"/>
      <c r="DQ157" s="522"/>
      <c r="DR157" s="522"/>
      <c r="DS157" s="522"/>
      <c r="DT157" s="522"/>
      <c r="DU157" s="522"/>
      <c r="DV157" s="522"/>
      <c r="DW157" s="522"/>
      <c r="DX157" s="522"/>
      <c r="DY157" s="522"/>
      <c r="DZ157" s="522"/>
      <c r="EA157" s="522"/>
      <c r="EB157" s="522"/>
      <c r="EC157" s="522"/>
      <c r="ED157" s="522"/>
      <c r="EE157" s="522"/>
      <c r="EF157" s="522"/>
      <c r="EG157" s="645">
        <f t="shared" si="132"/>
        <v>14.742910000000002</v>
      </c>
      <c r="EH157" s="361">
        <v>0</v>
      </c>
      <c r="EI157" s="647">
        <v>0</v>
      </c>
      <c r="EJ157" s="647">
        <f t="shared" si="159"/>
        <v>2.99</v>
      </c>
      <c r="EK157" s="647">
        <f t="shared" si="160"/>
        <v>6.54</v>
      </c>
      <c r="EL157" s="522"/>
      <c r="EM157" s="522"/>
      <c r="EN157" s="522"/>
      <c r="EO157" s="522"/>
      <c r="EP157" s="522"/>
      <c r="EQ157" s="522"/>
      <c r="ER157" s="522"/>
      <c r="ES157" s="407"/>
      <c r="ET157" s="407"/>
    </row>
    <row r="158" spans="1:150" s="357" customFormat="1" ht="15">
      <c r="A158" s="675" t="s">
        <v>3</v>
      </c>
      <c r="B158" s="712">
        <v>41784</v>
      </c>
      <c r="C158" s="358">
        <v>0</v>
      </c>
      <c r="D158" s="405">
        <v>0.34</v>
      </c>
      <c r="E158" s="681">
        <v>0</v>
      </c>
      <c r="F158" s="681">
        <v>50</v>
      </c>
      <c r="G158" s="681">
        <v>1.2</v>
      </c>
      <c r="H158" s="405">
        <v>0.77</v>
      </c>
      <c r="I158" s="405">
        <v>94.4</v>
      </c>
      <c r="J158" s="405">
        <v>0.83</v>
      </c>
      <c r="K158" s="405" t="s">
        <v>744</v>
      </c>
      <c r="L158" s="644">
        <v>0</v>
      </c>
      <c r="M158" s="405">
        <v>21.9</v>
      </c>
      <c r="N158" s="405">
        <v>1.96</v>
      </c>
      <c r="O158" s="405">
        <v>2.3601308525074511</v>
      </c>
      <c r="P158" s="405">
        <v>0</v>
      </c>
      <c r="Q158" s="405" t="s">
        <v>743</v>
      </c>
      <c r="R158" s="790">
        <v>1212.6998996036987</v>
      </c>
      <c r="S158" s="405">
        <v>7.93</v>
      </c>
      <c r="T158" s="405">
        <v>0</v>
      </c>
      <c r="U158" s="405">
        <v>0.71</v>
      </c>
      <c r="V158" s="807">
        <v>0</v>
      </c>
      <c r="W158" s="807">
        <v>49.28</v>
      </c>
      <c r="X158" s="647" t="e">
        <v>#VALUE!</v>
      </c>
      <c r="Y158" s="383">
        <v>21.83</v>
      </c>
      <c r="Z158" s="681">
        <v>38.880000000000003</v>
      </c>
      <c r="AA158" s="794">
        <v>21.87</v>
      </c>
      <c r="AB158" s="794">
        <v>39</v>
      </c>
      <c r="AC158" s="775">
        <f t="shared" si="157"/>
        <v>60.870000000000005</v>
      </c>
      <c r="AD158" s="775">
        <f t="shared" si="158"/>
        <v>94.165890000000005</v>
      </c>
      <c r="AE158" s="775"/>
      <c r="AF158" s="567"/>
      <c r="AG158" s="2">
        <v>1.6</v>
      </c>
      <c r="AH158" s="995"/>
      <c r="AI158" s="362"/>
      <c r="AJ158" s="996"/>
      <c r="AK158" s="407"/>
      <c r="AL158" s="407"/>
      <c r="AM158" s="407"/>
      <c r="AN158" s="407"/>
      <c r="AO158" s="387"/>
      <c r="AP158" s="387"/>
      <c r="AQ158" s="1028"/>
      <c r="AR158" s="578">
        <v>0</v>
      </c>
      <c r="AS158" s="405">
        <v>11.7</v>
      </c>
      <c r="AT158" s="578">
        <v>0</v>
      </c>
      <c r="AU158" s="405">
        <v>22.6</v>
      </c>
      <c r="AV158" s="644">
        <v>378.9</v>
      </c>
      <c r="AW158" s="644">
        <v>535</v>
      </c>
      <c r="AX158" s="405">
        <v>0</v>
      </c>
      <c r="AY158" s="578">
        <v>0</v>
      </c>
      <c r="AZ158" s="578">
        <v>0</v>
      </c>
      <c r="BA158" s="578">
        <v>0</v>
      </c>
      <c r="BB158" s="1086">
        <v>1.61</v>
      </c>
      <c r="BC158" s="405">
        <v>1.5</v>
      </c>
      <c r="BD158" s="405">
        <v>1</v>
      </c>
      <c r="BE158" s="578">
        <v>0</v>
      </c>
      <c r="BF158" s="405">
        <v>0.49</v>
      </c>
      <c r="BG158" s="405">
        <v>0</v>
      </c>
      <c r="BH158" s="578">
        <v>0</v>
      </c>
      <c r="BI158" s="405">
        <v>0</v>
      </c>
      <c r="BJ158" s="405">
        <v>36.200000000000003</v>
      </c>
      <c r="BK158" s="405">
        <v>3.01</v>
      </c>
      <c r="BL158" s="405">
        <v>3.55</v>
      </c>
      <c r="BM158" s="405">
        <v>0</v>
      </c>
      <c r="BN158" s="405">
        <v>27.9</v>
      </c>
      <c r="BO158" s="405">
        <v>1835.9</v>
      </c>
      <c r="BP158" s="405">
        <v>0</v>
      </c>
      <c r="BQ158" s="522">
        <v>19.239999999999998</v>
      </c>
      <c r="BR158" s="522">
        <v>19.190000000000001</v>
      </c>
      <c r="BS158" s="522">
        <v>9.41</v>
      </c>
      <c r="BT158" s="522">
        <v>9.5500000000000007</v>
      </c>
      <c r="BU158" s="648">
        <v>19</v>
      </c>
      <c r="BV158" s="648">
        <v>23.9</v>
      </c>
      <c r="BW158" s="522">
        <v>732.8</v>
      </c>
      <c r="BX158" s="878"/>
      <c r="BY158" s="649">
        <v>0.96</v>
      </c>
      <c r="BZ158" s="649">
        <v>1.41</v>
      </c>
      <c r="CA158" s="649">
        <v>1.2</v>
      </c>
      <c r="CB158" s="649">
        <v>8.6999999999999993</v>
      </c>
      <c r="CC158" s="649">
        <v>7.9</v>
      </c>
      <c r="CD158" s="649">
        <v>15.6</v>
      </c>
      <c r="CE158" s="649">
        <v>34.700000000000003</v>
      </c>
      <c r="CF158" s="649">
        <v>14.5</v>
      </c>
      <c r="CG158" s="649">
        <v>8.3000000000000007</v>
      </c>
      <c r="CH158" s="649">
        <v>13.8</v>
      </c>
      <c r="CI158" s="649">
        <v>17.899999999999999</v>
      </c>
      <c r="CJ158" s="649">
        <v>13.34</v>
      </c>
      <c r="CK158" s="649">
        <v>0</v>
      </c>
      <c r="CL158" s="649">
        <v>2.7</v>
      </c>
      <c r="CM158" s="649">
        <v>3.3</v>
      </c>
      <c r="CN158" s="991">
        <v>820</v>
      </c>
      <c r="CO158" s="649">
        <v>476.8</v>
      </c>
      <c r="CP158" s="649">
        <v>481.7</v>
      </c>
      <c r="CQ158" s="649">
        <v>13.3</v>
      </c>
      <c r="CR158" s="649">
        <v>0.88</v>
      </c>
      <c r="CS158" s="405">
        <v>0</v>
      </c>
      <c r="CT158" s="405">
        <v>16.771999999999998</v>
      </c>
      <c r="CU158" s="405">
        <v>53</v>
      </c>
      <c r="CV158" s="522">
        <v>0</v>
      </c>
      <c r="CW158" s="522">
        <v>0</v>
      </c>
      <c r="CX158" s="522">
        <v>0</v>
      </c>
      <c r="CY158" s="522">
        <v>0</v>
      </c>
      <c r="CZ158" s="689">
        <v>926</v>
      </c>
      <c r="DA158" s="689">
        <v>1250</v>
      </c>
      <c r="DB158" s="689">
        <v>881</v>
      </c>
      <c r="DC158" s="643">
        <v>1166.4000000000001</v>
      </c>
      <c r="DD158" s="808"/>
      <c r="DE158" s="522"/>
      <c r="DF158" s="522"/>
      <c r="DG158" s="522"/>
      <c r="DH158" s="522"/>
      <c r="DI158" s="522"/>
      <c r="DJ158" s="522"/>
      <c r="DK158" s="522"/>
      <c r="DL158" s="649"/>
      <c r="DM158" s="689"/>
      <c r="DN158" s="649"/>
      <c r="DO158" s="522"/>
      <c r="DP158" s="522"/>
      <c r="DQ158" s="522"/>
      <c r="DR158" s="522"/>
      <c r="DS158" s="522"/>
      <c r="DT158" s="522"/>
      <c r="DU158" s="522"/>
      <c r="DV158" s="522"/>
      <c r="DW158" s="522"/>
      <c r="DX158" s="522"/>
      <c r="DY158" s="522"/>
      <c r="DZ158" s="522"/>
      <c r="EA158" s="522"/>
      <c r="EB158" s="522"/>
      <c r="EC158" s="522"/>
      <c r="ED158" s="522"/>
      <c r="EE158" s="522"/>
      <c r="EF158" s="522"/>
      <c r="EG158" s="645">
        <f t="shared" si="132"/>
        <v>14.773850000000001</v>
      </c>
      <c r="EH158" s="361">
        <v>0</v>
      </c>
      <c r="EI158" s="647">
        <v>0</v>
      </c>
      <c r="EJ158" s="647">
        <f t="shared" si="159"/>
        <v>2.99</v>
      </c>
      <c r="EK158" s="647">
        <f t="shared" si="160"/>
        <v>6.56</v>
      </c>
      <c r="EL158" s="522"/>
      <c r="EM158" s="522"/>
      <c r="EN158" s="522"/>
      <c r="EO158" s="522"/>
      <c r="EP158" s="522"/>
      <c r="EQ158" s="522"/>
      <c r="ER158" s="522"/>
      <c r="ES158" s="407"/>
      <c r="ET158" s="407"/>
    </row>
    <row r="159" spans="1:150" s="357" customFormat="1" ht="15">
      <c r="A159" s="675" t="s">
        <v>4</v>
      </c>
      <c r="B159" s="712">
        <v>41785</v>
      </c>
      <c r="C159" s="358">
        <v>0</v>
      </c>
      <c r="D159" s="405">
        <v>0.32</v>
      </c>
      <c r="E159" s="681">
        <v>0</v>
      </c>
      <c r="F159" s="681">
        <v>49</v>
      </c>
      <c r="G159" s="681">
        <v>1.1499999999999999</v>
      </c>
      <c r="H159" s="405">
        <v>0.81</v>
      </c>
      <c r="I159" s="405">
        <v>94.12</v>
      </c>
      <c r="J159" s="405">
        <v>0.98</v>
      </c>
      <c r="K159" s="405" t="s">
        <v>744</v>
      </c>
      <c r="L159" s="644">
        <v>0</v>
      </c>
      <c r="M159" s="405">
        <v>21.9</v>
      </c>
      <c r="N159" s="405">
        <v>1.93</v>
      </c>
      <c r="O159" s="405">
        <v>2.3455313251185648</v>
      </c>
      <c r="P159" s="405">
        <v>0</v>
      </c>
      <c r="Q159" s="405" t="s">
        <v>743</v>
      </c>
      <c r="R159" s="790">
        <v>1193.2656063408187</v>
      </c>
      <c r="S159" s="405">
        <v>8.0299999999999994</v>
      </c>
      <c r="T159" s="405">
        <v>0</v>
      </c>
      <c r="U159" s="405">
        <v>0.70699999999999996</v>
      </c>
      <c r="V159" s="807">
        <v>0</v>
      </c>
      <c r="W159" s="807">
        <v>49.64</v>
      </c>
      <c r="X159" s="647" t="e">
        <v>#VALUE!</v>
      </c>
      <c r="Y159" s="383">
        <v>21.87</v>
      </c>
      <c r="Z159" s="681">
        <v>39</v>
      </c>
      <c r="AA159" s="794">
        <v>21.9</v>
      </c>
      <c r="AB159" s="794">
        <v>38.97</v>
      </c>
      <c r="AC159" s="775">
        <f t="shared" si="157"/>
        <v>60.87</v>
      </c>
      <c r="AD159" s="775">
        <f t="shared" si="158"/>
        <v>94.16588999999999</v>
      </c>
      <c r="AE159" s="775"/>
      <c r="AF159" s="567"/>
      <c r="AG159" s="2">
        <v>1.6</v>
      </c>
      <c r="AH159" s="995"/>
      <c r="AI159" s="362"/>
      <c r="AJ159" s="996"/>
      <c r="AK159" s="407"/>
      <c r="AL159" s="407"/>
      <c r="AM159" s="407"/>
      <c r="AN159" s="407"/>
      <c r="AO159" s="387"/>
      <c r="AP159" s="387"/>
      <c r="AQ159" s="1028"/>
      <c r="AR159" s="578">
        <v>0</v>
      </c>
      <c r="AS159" s="405">
        <v>17.2</v>
      </c>
      <c r="AT159" s="578">
        <v>0</v>
      </c>
      <c r="AU159" s="405">
        <v>22.6</v>
      </c>
      <c r="AV159" s="644">
        <v>502.6</v>
      </c>
      <c r="AW159" s="644">
        <v>656.4</v>
      </c>
      <c r="AX159" s="405">
        <v>0.3</v>
      </c>
      <c r="AY159" s="578">
        <v>0</v>
      </c>
      <c r="AZ159" s="578">
        <v>0</v>
      </c>
      <c r="BA159" s="578">
        <v>0</v>
      </c>
      <c r="BB159" s="1086">
        <v>1.6</v>
      </c>
      <c r="BC159" s="405">
        <v>1.5</v>
      </c>
      <c r="BD159" s="405">
        <v>1</v>
      </c>
      <c r="BE159" s="578">
        <v>0</v>
      </c>
      <c r="BF159" s="405">
        <v>0.49</v>
      </c>
      <c r="BG159" s="405">
        <v>0</v>
      </c>
      <c r="BH159" s="578">
        <v>0</v>
      </c>
      <c r="BI159" s="405">
        <v>0</v>
      </c>
      <c r="BJ159" s="405">
        <v>36.200000000000003</v>
      </c>
      <c r="BK159" s="405">
        <v>2.99</v>
      </c>
      <c r="BL159" s="405">
        <v>3.55</v>
      </c>
      <c r="BM159" s="405">
        <v>0</v>
      </c>
      <c r="BN159" s="405">
        <v>27.9</v>
      </c>
      <c r="BO159" s="405">
        <v>1066.2</v>
      </c>
      <c r="BP159" s="405">
        <v>80</v>
      </c>
      <c r="BQ159" s="649">
        <v>19.97</v>
      </c>
      <c r="BR159" s="649">
        <v>19.920000000000002</v>
      </c>
      <c r="BS159" s="649">
        <v>9.3000000000000007</v>
      </c>
      <c r="BT159" s="649">
        <v>9.4</v>
      </c>
      <c r="BU159" s="648">
        <v>19</v>
      </c>
      <c r="BV159" s="648">
        <v>21.7</v>
      </c>
      <c r="BW159" s="649">
        <v>556.9</v>
      </c>
      <c r="BX159" s="876"/>
      <c r="BY159" s="649">
        <v>0.93</v>
      </c>
      <c r="BZ159" s="649">
        <v>1.38</v>
      </c>
      <c r="CA159" s="649">
        <v>1.2</v>
      </c>
      <c r="CB159" s="649">
        <v>8.6999999999999993</v>
      </c>
      <c r="CC159" s="649">
        <v>7.8</v>
      </c>
      <c r="CD159" s="649">
        <v>15.6</v>
      </c>
      <c r="CE159" s="649">
        <v>34.5</v>
      </c>
      <c r="CF159" s="649">
        <v>13.1</v>
      </c>
      <c r="CG159" s="649">
        <v>7</v>
      </c>
      <c r="CH159" s="649">
        <v>12.3</v>
      </c>
      <c r="CI159" s="649">
        <v>16.3</v>
      </c>
      <c r="CJ159" s="649">
        <v>13.44</v>
      </c>
      <c r="CK159" s="649">
        <v>0</v>
      </c>
      <c r="CL159" s="649">
        <v>2.2000000000000002</v>
      </c>
      <c r="CM159" s="649">
        <v>2.2000000000000002</v>
      </c>
      <c r="CN159" s="991">
        <v>820</v>
      </c>
      <c r="CO159" s="649">
        <v>531.5</v>
      </c>
      <c r="CP159" s="649">
        <v>504.4</v>
      </c>
      <c r="CQ159" s="649">
        <v>13.2</v>
      </c>
      <c r="CR159" s="649">
        <v>0.89</v>
      </c>
      <c r="CS159" s="405">
        <v>0</v>
      </c>
      <c r="CT159" s="405">
        <v>15.682</v>
      </c>
      <c r="CU159" s="405">
        <v>53</v>
      </c>
      <c r="CV159" s="522">
        <v>0</v>
      </c>
      <c r="CW159" s="522">
        <v>0</v>
      </c>
      <c r="CX159" s="522">
        <v>0</v>
      </c>
      <c r="CY159" s="522">
        <v>0</v>
      </c>
      <c r="CZ159" s="689">
        <v>926</v>
      </c>
      <c r="DA159" s="689">
        <v>1230</v>
      </c>
      <c r="DB159" s="689">
        <v>881</v>
      </c>
      <c r="DC159" s="643">
        <v>1166.8499999999999</v>
      </c>
      <c r="DD159" s="808"/>
      <c r="DE159" s="522"/>
      <c r="DF159" s="522"/>
      <c r="DG159" s="522"/>
      <c r="DH159" s="522"/>
      <c r="DI159" s="522"/>
      <c r="DJ159" s="522"/>
      <c r="DK159" s="522"/>
      <c r="DL159" s="649"/>
      <c r="DM159" s="689"/>
      <c r="DN159" s="649"/>
      <c r="DO159" s="522"/>
      <c r="DP159" s="522"/>
      <c r="DQ159" s="522"/>
      <c r="DR159" s="522"/>
      <c r="DS159" s="522"/>
      <c r="DT159" s="522"/>
      <c r="DU159" s="522"/>
      <c r="DV159" s="522"/>
      <c r="DW159" s="522"/>
      <c r="DX159" s="522"/>
      <c r="DY159" s="522"/>
      <c r="DZ159" s="522"/>
      <c r="EA159" s="522"/>
      <c r="EB159" s="522"/>
      <c r="EC159" s="522"/>
      <c r="ED159" s="522"/>
      <c r="EE159" s="522"/>
      <c r="EF159" s="522"/>
      <c r="EG159" s="645">
        <f t="shared" si="132"/>
        <v>14.742910000000002</v>
      </c>
      <c r="EH159" s="361">
        <v>0</v>
      </c>
      <c r="EI159" s="647">
        <v>0</v>
      </c>
      <c r="EJ159" s="647">
        <f t="shared" si="159"/>
        <v>2.99</v>
      </c>
      <c r="EK159" s="647">
        <f t="shared" si="160"/>
        <v>6.54</v>
      </c>
      <c r="EL159" s="522"/>
      <c r="EM159" s="522"/>
      <c r="EN159" s="522"/>
      <c r="EO159" s="522"/>
      <c r="EP159" s="522"/>
      <c r="EQ159" s="522"/>
      <c r="ER159" s="522"/>
      <c r="ES159" s="407"/>
      <c r="ET159" s="407"/>
    </row>
    <row r="160" spans="1:150" s="357" customFormat="1" ht="15">
      <c r="A160" s="675" t="s">
        <v>5</v>
      </c>
      <c r="B160" s="712">
        <v>41786</v>
      </c>
      <c r="C160" s="358">
        <v>0</v>
      </c>
      <c r="D160" s="405">
        <v>0.02</v>
      </c>
      <c r="E160" s="681">
        <v>0</v>
      </c>
      <c r="F160" s="681">
        <v>50</v>
      </c>
      <c r="G160" s="681">
        <v>1.2</v>
      </c>
      <c r="H160" s="405">
        <v>0.92</v>
      </c>
      <c r="I160" s="405">
        <v>95.3</v>
      </c>
      <c r="J160" s="405">
        <v>0.83</v>
      </c>
      <c r="K160" s="405" t="s">
        <v>744</v>
      </c>
      <c r="L160" s="644">
        <v>0</v>
      </c>
      <c r="M160" s="405">
        <v>21.7</v>
      </c>
      <c r="N160" s="405">
        <v>1.897</v>
      </c>
      <c r="O160" s="405">
        <v>2.3327326212013837</v>
      </c>
      <c r="P160" s="405">
        <v>0</v>
      </c>
      <c r="Q160" s="405" t="s">
        <v>743</v>
      </c>
      <c r="R160" s="790">
        <v>1217.8823778071333</v>
      </c>
      <c r="S160" s="405">
        <v>8.0730000000000004</v>
      </c>
      <c r="T160" s="405">
        <v>0</v>
      </c>
      <c r="U160" s="405">
        <v>0.71699999999999997</v>
      </c>
      <c r="V160" s="807">
        <v>0</v>
      </c>
      <c r="W160" s="807">
        <v>50.360000000000014</v>
      </c>
      <c r="X160" s="647" t="e">
        <v>#VALUE!</v>
      </c>
      <c r="Y160" s="383">
        <v>21.9</v>
      </c>
      <c r="Z160" s="681">
        <v>38.97</v>
      </c>
      <c r="AA160" s="794">
        <v>21.9</v>
      </c>
      <c r="AB160" s="794">
        <v>38.950000000000003</v>
      </c>
      <c r="AC160" s="775">
        <f t="shared" ref="AC160" si="161">AA160+AB160</f>
        <v>60.85</v>
      </c>
      <c r="AD160" s="775">
        <f t="shared" ref="AD160" si="162">AC160*1.547</f>
        <v>94.134950000000003</v>
      </c>
      <c r="AE160" s="775"/>
      <c r="AF160" s="567"/>
      <c r="AG160" s="2">
        <v>1.6</v>
      </c>
      <c r="AH160" s="995"/>
      <c r="AI160" s="362"/>
      <c r="AJ160" s="996"/>
      <c r="AK160" s="407"/>
      <c r="AL160" s="407"/>
      <c r="AM160" s="407"/>
      <c r="AN160" s="407"/>
      <c r="AO160" s="387"/>
      <c r="AP160" s="387"/>
      <c r="AQ160" s="1028"/>
      <c r="AR160" s="578">
        <v>0</v>
      </c>
      <c r="AS160" s="405">
        <v>17.600000000000001</v>
      </c>
      <c r="AT160" s="578">
        <v>0</v>
      </c>
      <c r="AU160" s="405">
        <v>22.5</v>
      </c>
      <c r="AV160" s="644">
        <v>357.9</v>
      </c>
      <c r="AW160" s="644">
        <v>481.7</v>
      </c>
      <c r="AX160" s="405">
        <v>2.9</v>
      </c>
      <c r="AY160" s="578">
        <v>0</v>
      </c>
      <c r="AZ160" s="578">
        <v>0</v>
      </c>
      <c r="BA160" s="578">
        <v>0</v>
      </c>
      <c r="BB160" s="1086">
        <v>1.6</v>
      </c>
      <c r="BC160" s="405">
        <v>1.5</v>
      </c>
      <c r="BD160" s="405">
        <v>0.99</v>
      </c>
      <c r="BE160" s="578">
        <v>0</v>
      </c>
      <c r="BF160" s="405">
        <v>0.49</v>
      </c>
      <c r="BG160" s="405">
        <v>0</v>
      </c>
      <c r="BH160" s="578">
        <v>0</v>
      </c>
      <c r="BI160" s="405">
        <v>0</v>
      </c>
      <c r="BJ160" s="405">
        <v>36.200000000000003</v>
      </c>
      <c r="BK160" s="405">
        <v>3.23</v>
      </c>
      <c r="BL160" s="405">
        <v>3.34</v>
      </c>
      <c r="BM160" s="405">
        <v>0</v>
      </c>
      <c r="BN160" s="405">
        <v>27.9</v>
      </c>
      <c r="BO160" s="405">
        <v>967.3</v>
      </c>
      <c r="BP160" s="405">
        <v>0</v>
      </c>
      <c r="BQ160" s="649">
        <v>19.940000000000001</v>
      </c>
      <c r="BR160" s="649">
        <v>19.89</v>
      </c>
      <c r="BS160" s="649">
        <v>9.5</v>
      </c>
      <c r="BT160" s="649">
        <v>9.6</v>
      </c>
      <c r="BU160" s="648">
        <v>19.2</v>
      </c>
      <c r="BV160" s="648">
        <v>24</v>
      </c>
      <c r="BW160" s="649">
        <v>727.2</v>
      </c>
      <c r="BX160" s="876"/>
      <c r="BY160" s="649">
        <v>0.91</v>
      </c>
      <c r="BZ160" s="649">
        <v>1.39</v>
      </c>
      <c r="CA160" s="649">
        <v>1.2</v>
      </c>
      <c r="CB160" s="649">
        <v>8.6</v>
      </c>
      <c r="CC160" s="649">
        <v>7.9</v>
      </c>
      <c r="CD160" s="649">
        <v>15.8</v>
      </c>
      <c r="CE160" s="649">
        <v>34.200000000000003</v>
      </c>
      <c r="CF160" s="649">
        <v>13.3</v>
      </c>
      <c r="CG160" s="649">
        <v>5.2</v>
      </c>
      <c r="CH160" s="649">
        <v>10.199999999999999</v>
      </c>
      <c r="CI160" s="649">
        <v>14.2</v>
      </c>
      <c r="CJ160" s="649">
        <v>13.21</v>
      </c>
      <c r="CK160" s="649">
        <v>0</v>
      </c>
      <c r="CL160" s="649">
        <v>2.8</v>
      </c>
      <c r="CM160" s="649">
        <v>3.6</v>
      </c>
      <c r="CN160" s="991">
        <v>820</v>
      </c>
      <c r="CO160" s="649">
        <v>497.5</v>
      </c>
      <c r="CP160" s="649">
        <v>540.79999999999995</v>
      </c>
      <c r="CQ160" s="649">
        <v>13.5</v>
      </c>
      <c r="CR160" s="649">
        <v>0.95</v>
      </c>
      <c r="CS160" s="405">
        <v>0</v>
      </c>
      <c r="CT160" s="405">
        <v>16.905000000000001</v>
      </c>
      <c r="CU160" s="405">
        <v>53</v>
      </c>
      <c r="CV160" s="522">
        <v>0</v>
      </c>
      <c r="CW160" s="522">
        <v>0</v>
      </c>
      <c r="CX160" s="522">
        <v>0</v>
      </c>
      <c r="CY160" s="522">
        <v>0</v>
      </c>
      <c r="CZ160" s="689">
        <v>977</v>
      </c>
      <c r="DA160" s="689">
        <v>1240</v>
      </c>
      <c r="DB160" s="689">
        <v>922</v>
      </c>
      <c r="DC160" s="643">
        <v>1167.06</v>
      </c>
      <c r="DD160" s="808"/>
      <c r="DE160" s="522"/>
      <c r="DF160" s="522"/>
      <c r="DG160" s="522"/>
      <c r="DH160" s="522"/>
      <c r="DI160" s="522"/>
      <c r="DJ160" s="522"/>
      <c r="DK160" s="522"/>
      <c r="DL160" s="649"/>
      <c r="DM160" s="689"/>
      <c r="DN160" s="649"/>
      <c r="DO160" s="522"/>
      <c r="DP160" s="522"/>
      <c r="DQ160" s="522"/>
      <c r="DR160" s="522"/>
      <c r="DS160" s="522"/>
      <c r="DT160" s="522"/>
      <c r="DU160" s="522"/>
      <c r="DV160" s="522"/>
      <c r="DW160" s="522"/>
      <c r="DX160" s="522"/>
      <c r="DY160" s="522"/>
      <c r="DZ160" s="522"/>
      <c r="EA160" s="522"/>
      <c r="EB160" s="522"/>
      <c r="EC160" s="522"/>
      <c r="ED160" s="522"/>
      <c r="EE160" s="522"/>
      <c r="EF160" s="522"/>
      <c r="EG160" s="645">
        <f t="shared" si="132"/>
        <v>14.773850000000001</v>
      </c>
      <c r="EH160" s="361">
        <v>0</v>
      </c>
      <c r="EI160" s="647">
        <v>0</v>
      </c>
      <c r="EJ160" s="647">
        <f t="shared" si="159"/>
        <v>2.9800000000000004</v>
      </c>
      <c r="EK160" s="647">
        <f t="shared" si="160"/>
        <v>6.57</v>
      </c>
      <c r="EL160" s="522"/>
      <c r="EM160" s="522"/>
      <c r="EN160" s="522"/>
      <c r="EO160" s="522"/>
      <c r="EP160" s="522"/>
      <c r="EQ160" s="522"/>
      <c r="ER160" s="522"/>
      <c r="ES160" s="407"/>
      <c r="ET160" s="407"/>
    </row>
    <row r="161" spans="1:150" s="357" customFormat="1" ht="15">
      <c r="A161" s="675" t="s">
        <v>6</v>
      </c>
      <c r="B161" s="712">
        <v>41787</v>
      </c>
      <c r="C161" s="358">
        <v>0</v>
      </c>
      <c r="D161" s="405">
        <v>0.26</v>
      </c>
      <c r="E161" s="681">
        <v>0</v>
      </c>
      <c r="F161" s="681">
        <v>50</v>
      </c>
      <c r="G161" s="681">
        <v>1.25</v>
      </c>
      <c r="H161" s="405">
        <v>0.89</v>
      </c>
      <c r="I161" s="405">
        <v>94.18</v>
      </c>
      <c r="J161" s="405">
        <v>0.97</v>
      </c>
      <c r="K161" s="405" t="s">
        <v>744</v>
      </c>
      <c r="L161" s="644">
        <v>0</v>
      </c>
      <c r="M161" s="405">
        <v>21.6</v>
      </c>
      <c r="N161" s="405">
        <v>1.93</v>
      </c>
      <c r="O161" s="405">
        <v>2.4498665377438744</v>
      </c>
      <c r="P161" s="405">
        <v>0</v>
      </c>
      <c r="Q161" s="405" t="s">
        <v>743</v>
      </c>
      <c r="R161" s="790">
        <v>1268.4115402906207</v>
      </c>
      <c r="S161" s="405">
        <v>8.06</v>
      </c>
      <c r="T161" s="405">
        <v>0</v>
      </c>
      <c r="U161" s="405">
        <v>0.70199999999999996</v>
      </c>
      <c r="V161" s="807">
        <v>0</v>
      </c>
      <c r="W161" s="807">
        <v>49.819999999999993</v>
      </c>
      <c r="X161" s="647" t="e">
        <v>#VALUE!</v>
      </c>
      <c r="Y161" s="383">
        <v>21.9</v>
      </c>
      <c r="Z161" s="681">
        <v>38.950000000000003</v>
      </c>
      <c r="AA161" s="794">
        <v>21.84</v>
      </c>
      <c r="AB161" s="794">
        <v>38.979999999999997</v>
      </c>
      <c r="AC161" s="775">
        <f t="shared" ref="AC161" si="163">AA161+AB161</f>
        <v>60.819999999999993</v>
      </c>
      <c r="AD161" s="775">
        <f t="shared" ref="AD161" si="164">AC161*1.547</f>
        <v>94.088539999999981</v>
      </c>
      <c r="AE161" s="775"/>
      <c r="AF161" s="567"/>
      <c r="AG161" s="2">
        <v>1.6</v>
      </c>
      <c r="AH161" s="995"/>
      <c r="AI161" s="362"/>
      <c r="AJ161" s="996"/>
      <c r="AK161" s="407"/>
      <c r="AL161" s="407"/>
      <c r="AM161" s="407"/>
      <c r="AN161" s="407"/>
      <c r="AO161" s="387"/>
      <c r="AP161" s="387"/>
      <c r="AQ161" s="1028"/>
      <c r="AR161" s="578">
        <v>0</v>
      </c>
      <c r="AS161" s="405">
        <v>11</v>
      </c>
      <c r="AT161" s="578">
        <v>0</v>
      </c>
      <c r="AU161" s="405">
        <v>22.6</v>
      </c>
      <c r="AV161" s="644">
        <v>388.5</v>
      </c>
      <c r="AW161" s="644">
        <v>507.3</v>
      </c>
      <c r="AX161" s="405">
        <v>2.7</v>
      </c>
      <c r="AY161" s="578">
        <v>0</v>
      </c>
      <c r="AZ161" s="578">
        <v>0</v>
      </c>
      <c r="BA161" s="578">
        <v>0</v>
      </c>
      <c r="BB161" s="1086">
        <v>1.61</v>
      </c>
      <c r="BC161" s="405">
        <v>1.5</v>
      </c>
      <c r="BD161" s="405">
        <v>1</v>
      </c>
      <c r="BE161" s="578">
        <v>0</v>
      </c>
      <c r="BF161" s="405">
        <v>0.5</v>
      </c>
      <c r="BG161" s="405">
        <v>0</v>
      </c>
      <c r="BH161" s="578">
        <v>0</v>
      </c>
      <c r="BI161" s="405">
        <v>0</v>
      </c>
      <c r="BJ161" s="405">
        <v>36.1</v>
      </c>
      <c r="BK161" s="405">
        <v>3.29</v>
      </c>
      <c r="BL161" s="405">
        <v>3.23</v>
      </c>
      <c r="BM161" s="405">
        <v>0</v>
      </c>
      <c r="BN161" s="405">
        <v>27.9</v>
      </c>
      <c r="BO161" s="405">
        <v>1955.6</v>
      </c>
      <c r="BP161" s="405">
        <v>0</v>
      </c>
      <c r="BQ161" s="649">
        <v>18.86</v>
      </c>
      <c r="BR161" s="649">
        <v>18.8</v>
      </c>
      <c r="BS161" s="649">
        <v>9.4</v>
      </c>
      <c r="BT161" s="649">
        <v>9.5500000000000007</v>
      </c>
      <c r="BU161" s="648">
        <v>19</v>
      </c>
      <c r="BV161" s="648">
        <v>26.9</v>
      </c>
      <c r="BW161" s="649">
        <v>710.7</v>
      </c>
      <c r="BX161" s="876"/>
      <c r="BY161" s="649">
        <v>0.93</v>
      </c>
      <c r="BZ161" s="649">
        <v>1.43</v>
      </c>
      <c r="CA161" s="649">
        <v>1.2</v>
      </c>
      <c r="CB161" s="649">
        <v>8.6999999999999993</v>
      </c>
      <c r="CC161" s="649">
        <v>8.1</v>
      </c>
      <c r="CD161" s="649">
        <v>16.100000000000001</v>
      </c>
      <c r="CE161" s="649">
        <v>34</v>
      </c>
      <c r="CF161" s="649">
        <v>14.2</v>
      </c>
      <c r="CG161" s="649">
        <v>8.02</v>
      </c>
      <c r="CH161" s="649">
        <v>13.4</v>
      </c>
      <c r="CI161" s="649">
        <v>17.899999999999999</v>
      </c>
      <c r="CJ161" s="649">
        <v>13.39</v>
      </c>
      <c r="CK161" s="649">
        <v>0</v>
      </c>
      <c r="CL161" s="649">
        <v>3.3</v>
      </c>
      <c r="CM161" s="649">
        <v>4.5999999999999996</v>
      </c>
      <c r="CN161" s="991">
        <v>820</v>
      </c>
      <c r="CO161" s="649">
        <v>547.79999999999995</v>
      </c>
      <c r="CP161" s="649">
        <v>530.6</v>
      </c>
      <c r="CQ161" s="649">
        <v>13.1</v>
      </c>
      <c r="CR161" s="649">
        <v>0.89</v>
      </c>
      <c r="CS161" s="405">
        <v>0</v>
      </c>
      <c r="CT161" s="405">
        <v>17.003</v>
      </c>
      <c r="CU161" s="405">
        <v>53</v>
      </c>
      <c r="CV161" s="522">
        <v>0</v>
      </c>
      <c r="CW161" s="522">
        <v>0</v>
      </c>
      <c r="CX161" s="522">
        <v>0</v>
      </c>
      <c r="CY161" s="522">
        <v>0</v>
      </c>
      <c r="CZ161" s="689">
        <v>1040</v>
      </c>
      <c r="DA161" s="689">
        <v>1230</v>
      </c>
      <c r="DB161" s="689">
        <v>974</v>
      </c>
      <c r="DC161" s="643">
        <v>1167.1300000000001</v>
      </c>
      <c r="DD161" s="808"/>
      <c r="DE161" s="522"/>
      <c r="DF161" s="522"/>
      <c r="DG161" s="522"/>
      <c r="DH161" s="522"/>
      <c r="DI161" s="522"/>
      <c r="DJ161" s="522"/>
      <c r="DK161" s="522"/>
      <c r="DL161" s="649"/>
      <c r="DM161" s="689"/>
      <c r="DN161" s="649"/>
      <c r="DO161" s="522"/>
      <c r="DP161" s="522"/>
      <c r="DQ161" s="522"/>
      <c r="DR161" s="522"/>
      <c r="DS161" s="522"/>
      <c r="DT161" s="522"/>
      <c r="DU161" s="522"/>
      <c r="DV161" s="522"/>
      <c r="DW161" s="522"/>
      <c r="DX161" s="522"/>
      <c r="DY161" s="522"/>
      <c r="DZ161" s="522"/>
      <c r="EA161" s="522"/>
      <c r="EB161" s="522"/>
      <c r="EC161" s="522"/>
      <c r="ED161" s="522"/>
      <c r="EE161" s="522"/>
      <c r="EF161" s="522"/>
      <c r="EG161" s="645">
        <f t="shared" si="132"/>
        <v>14.727439999999998</v>
      </c>
      <c r="EH161" s="361">
        <v>0</v>
      </c>
      <c r="EI161" s="647">
        <v>0</v>
      </c>
      <c r="EJ161" s="647">
        <f t="shared" si="159"/>
        <v>3</v>
      </c>
      <c r="EK161" s="647">
        <f t="shared" si="160"/>
        <v>6.52</v>
      </c>
      <c r="EL161" s="522"/>
      <c r="EM161" s="522"/>
      <c r="EN161" s="522"/>
      <c r="EO161" s="522"/>
      <c r="EP161" s="522"/>
      <c r="EQ161" s="522"/>
      <c r="ER161" s="522"/>
      <c r="ES161" s="407"/>
      <c r="ET161" s="407"/>
    </row>
    <row r="162" spans="1:150" s="357" customFormat="1" ht="15">
      <c r="A162" s="675" t="s">
        <v>7</v>
      </c>
      <c r="B162" s="712">
        <v>41788</v>
      </c>
      <c r="C162" s="358">
        <v>0</v>
      </c>
      <c r="D162" s="405">
        <v>0.01</v>
      </c>
      <c r="E162" s="681">
        <v>0</v>
      </c>
      <c r="F162" s="681">
        <v>47</v>
      </c>
      <c r="G162" s="681">
        <v>1.25</v>
      </c>
      <c r="H162" s="405">
        <v>0.94</v>
      </c>
      <c r="I162" s="405">
        <v>94.27</v>
      </c>
      <c r="J162" s="405">
        <v>0.89</v>
      </c>
      <c r="K162" s="405" t="s">
        <v>744</v>
      </c>
      <c r="L162" s="644">
        <v>0</v>
      </c>
      <c r="M162" s="405">
        <v>21.4</v>
      </c>
      <c r="N162" s="405">
        <v>1.96</v>
      </c>
      <c r="O162" s="405">
        <v>2.4395834952208899</v>
      </c>
      <c r="P162" s="405">
        <v>0</v>
      </c>
      <c r="Q162" s="405" t="s">
        <v>743</v>
      </c>
      <c r="R162" s="790">
        <v>1259.0182985468955</v>
      </c>
      <c r="S162" s="405">
        <v>8.02</v>
      </c>
      <c r="T162" s="405">
        <v>0</v>
      </c>
      <c r="U162" s="405">
        <v>0.69</v>
      </c>
      <c r="V162" s="807">
        <v>0</v>
      </c>
      <c r="W162" s="807">
        <v>50</v>
      </c>
      <c r="X162" s="647" t="e">
        <v>#VALUE!</v>
      </c>
      <c r="Y162" s="383">
        <v>21.84</v>
      </c>
      <c r="Z162" s="681">
        <v>38.979999999999997</v>
      </c>
      <c r="AA162" s="794">
        <v>21.86</v>
      </c>
      <c r="AB162" s="794">
        <v>38.799999999999997</v>
      </c>
      <c r="AC162" s="775">
        <f t="shared" ref="AC162" si="165">AA162+AB162</f>
        <v>60.66</v>
      </c>
      <c r="AD162" s="775">
        <f t="shared" ref="AD162" si="166">AC162*1.547</f>
        <v>93.841019999999986</v>
      </c>
      <c r="AE162" s="775"/>
      <c r="AF162" s="567"/>
      <c r="AG162" s="2">
        <v>1.6</v>
      </c>
      <c r="AH162" s="995"/>
      <c r="AI162" s="362"/>
      <c r="AJ162" s="996"/>
      <c r="AK162" s="407"/>
      <c r="AL162" s="407"/>
      <c r="AM162" s="407"/>
      <c r="AN162" s="407"/>
      <c r="AO162" s="387"/>
      <c r="AP162" s="387"/>
      <c r="AQ162" s="1028"/>
      <c r="AR162" s="578">
        <v>0</v>
      </c>
      <c r="AS162" s="405">
        <v>22.4</v>
      </c>
      <c r="AT162" s="578">
        <v>0</v>
      </c>
      <c r="AU162" s="405">
        <v>22.6</v>
      </c>
      <c r="AV162" s="644">
        <v>434.6</v>
      </c>
      <c r="AW162" s="644">
        <v>519.79999999999995</v>
      </c>
      <c r="AX162" s="405">
        <v>0</v>
      </c>
      <c r="AY162" s="578">
        <v>0</v>
      </c>
      <c r="AZ162" s="578">
        <v>0</v>
      </c>
      <c r="BA162" s="578">
        <v>0</v>
      </c>
      <c r="BB162" s="1086">
        <v>1.6</v>
      </c>
      <c r="BC162" s="405">
        <v>1.5</v>
      </c>
      <c r="BD162" s="405">
        <v>1</v>
      </c>
      <c r="BE162" s="578">
        <v>0</v>
      </c>
      <c r="BF162" s="405">
        <v>0.49</v>
      </c>
      <c r="BG162" s="405">
        <v>0</v>
      </c>
      <c r="BH162" s="578">
        <v>0</v>
      </c>
      <c r="BI162" s="405">
        <v>0</v>
      </c>
      <c r="BJ162" s="405">
        <v>36.1</v>
      </c>
      <c r="BK162" s="405">
        <v>3.43</v>
      </c>
      <c r="BL162" s="405">
        <v>3.12</v>
      </c>
      <c r="BM162" s="405">
        <v>0</v>
      </c>
      <c r="BN162" s="405">
        <v>27.7</v>
      </c>
      <c r="BO162" s="405">
        <v>1003</v>
      </c>
      <c r="BP162" s="405">
        <v>0</v>
      </c>
      <c r="BQ162" s="649">
        <v>18.7</v>
      </c>
      <c r="BR162" s="649">
        <v>18.649999999999999</v>
      </c>
      <c r="BS162" s="649">
        <v>9.41</v>
      </c>
      <c r="BT162" s="649">
        <v>9.52</v>
      </c>
      <c r="BU162" s="648">
        <v>18.899999999999999</v>
      </c>
      <c r="BV162" s="648">
        <v>24.3</v>
      </c>
      <c r="BW162" s="649">
        <v>549.79999999999995</v>
      </c>
      <c r="BX162" s="876"/>
      <c r="BY162" s="649">
        <v>0.91</v>
      </c>
      <c r="BZ162" s="649">
        <v>1.48</v>
      </c>
      <c r="CA162" s="649">
        <v>1.2</v>
      </c>
      <c r="CB162" s="649">
        <v>8.6999999999999993</v>
      </c>
      <c r="CC162" s="649">
        <v>8</v>
      </c>
      <c r="CD162" s="649">
        <v>16.100000000000001</v>
      </c>
      <c r="CE162" s="649">
        <v>34.1</v>
      </c>
      <c r="CF162" s="649">
        <v>12.7</v>
      </c>
      <c r="CG162" s="649">
        <v>6.2</v>
      </c>
      <c r="CH162" s="649">
        <v>11.3</v>
      </c>
      <c r="CI162" s="649">
        <v>15.3</v>
      </c>
      <c r="CJ162" s="649">
        <v>13.3</v>
      </c>
      <c r="CK162" s="649">
        <v>0</v>
      </c>
      <c r="CL162" s="649">
        <v>3.2</v>
      </c>
      <c r="CM162" s="649">
        <v>4.4000000000000004</v>
      </c>
      <c r="CN162" s="991">
        <v>820</v>
      </c>
      <c r="CO162" s="649">
        <v>595.5</v>
      </c>
      <c r="CP162" s="649">
        <v>526.9</v>
      </c>
      <c r="CQ162" s="649">
        <v>13.2</v>
      </c>
      <c r="CR162" s="649">
        <v>0.88</v>
      </c>
      <c r="CS162" s="992">
        <v>0</v>
      </c>
      <c r="CT162" s="405">
        <v>16.64</v>
      </c>
      <c r="CU162" s="405">
        <v>53</v>
      </c>
      <c r="CV162" s="522">
        <v>0</v>
      </c>
      <c r="CW162" s="522">
        <v>0</v>
      </c>
      <c r="CX162" s="522">
        <v>0</v>
      </c>
      <c r="CY162" s="522">
        <v>0</v>
      </c>
      <c r="CZ162" s="689">
        <v>972</v>
      </c>
      <c r="DA162" s="689">
        <v>1260</v>
      </c>
      <c r="DB162" s="689">
        <v>918</v>
      </c>
      <c r="DC162" s="643">
        <v>1167.06</v>
      </c>
      <c r="DD162" s="522"/>
      <c r="DE162" s="522"/>
      <c r="DF162" s="522"/>
      <c r="DG162" s="522"/>
      <c r="DH162" s="522"/>
      <c r="DI162" s="522"/>
      <c r="DJ162" s="522"/>
      <c r="DK162" s="522"/>
      <c r="DL162" s="649"/>
      <c r="DM162" s="689"/>
      <c r="DN162" s="649"/>
      <c r="DO162" s="522"/>
      <c r="DP162" s="522"/>
      <c r="DQ162" s="522"/>
      <c r="DR162" s="522"/>
      <c r="DS162" s="522"/>
      <c r="DT162" s="522"/>
      <c r="DU162" s="522"/>
      <c r="DV162" s="522"/>
      <c r="DW162" s="522"/>
      <c r="DX162" s="522"/>
      <c r="DY162" s="522"/>
      <c r="DZ162" s="522"/>
      <c r="EA162" s="522"/>
      <c r="EB162" s="522"/>
      <c r="EC162" s="522"/>
      <c r="ED162" s="522"/>
      <c r="EE162" s="522"/>
      <c r="EF162" s="522"/>
      <c r="EG162" s="645">
        <f t="shared" si="132"/>
        <v>14.758380000000001</v>
      </c>
      <c r="EH162" s="361">
        <v>0</v>
      </c>
      <c r="EI162" s="647">
        <v>0</v>
      </c>
      <c r="EJ162" s="647">
        <f t="shared" si="159"/>
        <v>2.99</v>
      </c>
      <c r="EK162" s="647">
        <f t="shared" si="160"/>
        <v>6.5500000000000007</v>
      </c>
      <c r="EL162" s="522"/>
      <c r="EM162" s="522"/>
      <c r="EN162" s="522"/>
      <c r="EO162" s="522"/>
      <c r="EP162" s="522"/>
      <c r="EQ162" s="522"/>
      <c r="ER162" s="522"/>
      <c r="ES162" s="407"/>
      <c r="ET162" s="407"/>
    </row>
    <row r="163" spans="1:150" s="357" customFormat="1" ht="15">
      <c r="A163" s="675" t="s">
        <v>8</v>
      </c>
      <c r="B163" s="712">
        <v>41789</v>
      </c>
      <c r="C163" s="358">
        <v>0</v>
      </c>
      <c r="D163" s="405">
        <v>0</v>
      </c>
      <c r="E163" s="681">
        <v>0</v>
      </c>
      <c r="F163" s="681">
        <v>50</v>
      </c>
      <c r="G163" s="681">
        <v>1.1000000000000001</v>
      </c>
      <c r="H163" s="405">
        <v>0.91</v>
      </c>
      <c r="I163" s="405">
        <v>21.2</v>
      </c>
      <c r="J163" s="405">
        <v>0.89</v>
      </c>
      <c r="K163" s="405">
        <v>0.83</v>
      </c>
      <c r="L163" s="644">
        <v>0</v>
      </c>
      <c r="M163" s="405">
        <v>21.2</v>
      </c>
      <c r="N163" s="405">
        <v>1.98</v>
      </c>
      <c r="O163" s="405">
        <v>2.3599830608106593</v>
      </c>
      <c r="P163" s="405">
        <v>0</v>
      </c>
      <c r="Q163" s="405" t="s">
        <v>743</v>
      </c>
      <c r="R163" s="790">
        <v>1275.2135429326286</v>
      </c>
      <c r="S163" s="405">
        <v>8.02</v>
      </c>
      <c r="T163" s="405">
        <v>0</v>
      </c>
      <c r="U163" s="405">
        <v>0.7</v>
      </c>
      <c r="V163" s="807">
        <v>0</v>
      </c>
      <c r="W163" s="807">
        <v>51.08</v>
      </c>
      <c r="X163" s="647" t="e">
        <v>#VALUE!</v>
      </c>
      <c r="Y163" s="383">
        <v>21.86</v>
      </c>
      <c r="Z163" s="681">
        <v>38.799999999999997</v>
      </c>
      <c r="AA163" s="794">
        <v>22.8</v>
      </c>
      <c r="AB163" s="794">
        <v>40.1</v>
      </c>
      <c r="AC163" s="775">
        <f t="shared" ref="AC163:AC165" si="167">AA163+AB163</f>
        <v>62.900000000000006</v>
      </c>
      <c r="AD163" s="775">
        <f t="shared" ref="AD163:AD165" si="168">AC163*1.547</f>
        <v>97.306300000000007</v>
      </c>
      <c r="AE163" s="775"/>
      <c r="AF163" s="567"/>
      <c r="AG163" s="2">
        <v>1.6</v>
      </c>
      <c r="AH163" s="995"/>
      <c r="AI163" s="362"/>
      <c r="AJ163" s="996"/>
      <c r="AK163" s="407"/>
      <c r="AL163" s="407"/>
      <c r="AM163" s="407"/>
      <c r="AN163" s="407"/>
      <c r="AO163" s="387"/>
      <c r="AP163" s="387"/>
      <c r="AQ163" s="1028"/>
      <c r="AR163" s="578">
        <v>0</v>
      </c>
      <c r="AS163" s="405">
        <v>12.3</v>
      </c>
      <c r="AT163" s="578">
        <v>0</v>
      </c>
      <c r="AU163" s="405">
        <v>23.3</v>
      </c>
      <c r="AV163" s="644">
        <v>509.6</v>
      </c>
      <c r="AW163" s="644">
        <v>730.5</v>
      </c>
      <c r="AX163" s="405">
        <v>1.9</v>
      </c>
      <c r="AY163" s="578">
        <v>0</v>
      </c>
      <c r="AZ163" s="578">
        <v>0</v>
      </c>
      <c r="BA163" s="578">
        <v>0</v>
      </c>
      <c r="BB163" s="1086">
        <v>1.6</v>
      </c>
      <c r="BC163" s="405">
        <v>1.18</v>
      </c>
      <c r="BD163" s="405">
        <v>1</v>
      </c>
      <c r="BE163" s="578">
        <v>0</v>
      </c>
      <c r="BF163" s="405">
        <v>0.17</v>
      </c>
      <c r="BG163" s="405">
        <v>0</v>
      </c>
      <c r="BH163" s="578">
        <v>0</v>
      </c>
      <c r="BI163" s="405">
        <v>0</v>
      </c>
      <c r="BJ163" s="405">
        <v>38</v>
      </c>
      <c r="BK163" s="405">
        <v>3.43</v>
      </c>
      <c r="BL163" s="405">
        <v>3.46</v>
      </c>
      <c r="BM163" s="405">
        <v>0</v>
      </c>
      <c r="BN163" s="405">
        <v>29.4</v>
      </c>
      <c r="BO163" s="405">
        <v>1673.2</v>
      </c>
      <c r="BP163" s="405">
        <v>0</v>
      </c>
      <c r="BQ163" s="649">
        <v>17.829999999999998</v>
      </c>
      <c r="BR163" s="649">
        <v>17.78</v>
      </c>
      <c r="BS163" s="649">
        <v>9.5299999999999994</v>
      </c>
      <c r="BT163" s="649">
        <v>9.65</v>
      </c>
      <c r="BU163" s="648">
        <v>18.899999999999999</v>
      </c>
      <c r="BV163" s="648">
        <v>26.6</v>
      </c>
      <c r="BW163" s="649">
        <v>775.7</v>
      </c>
      <c r="BX163" s="876"/>
      <c r="BY163" s="649">
        <v>3.22</v>
      </c>
      <c r="BZ163" s="649">
        <v>1.49</v>
      </c>
      <c r="CA163" s="649">
        <v>1.2</v>
      </c>
      <c r="CB163" s="649">
        <v>8.6999999999999993</v>
      </c>
      <c r="CC163" s="649">
        <v>8</v>
      </c>
      <c r="CD163" s="649">
        <v>15.6</v>
      </c>
      <c r="CE163" s="649">
        <v>34</v>
      </c>
      <c r="CF163" s="649">
        <v>13.7</v>
      </c>
      <c r="CG163" s="649">
        <v>6.2</v>
      </c>
      <c r="CH163" s="649">
        <v>11.3</v>
      </c>
      <c r="CI163" s="649">
        <v>15.8</v>
      </c>
      <c r="CJ163" s="649">
        <v>13.11</v>
      </c>
      <c r="CK163" s="649">
        <v>0</v>
      </c>
      <c r="CL163" s="649">
        <v>3</v>
      </c>
      <c r="CM163" s="649">
        <v>4.3</v>
      </c>
      <c r="CN163" s="991">
        <v>820</v>
      </c>
      <c r="CO163" s="649">
        <v>654</v>
      </c>
      <c r="CP163" s="649">
        <v>839.2</v>
      </c>
      <c r="CQ163" s="649">
        <v>13.2</v>
      </c>
      <c r="CR163" s="649">
        <v>0.83</v>
      </c>
      <c r="CS163" s="648">
        <v>0</v>
      </c>
      <c r="CT163" s="405">
        <v>15.9</v>
      </c>
      <c r="CU163" s="405">
        <v>53</v>
      </c>
      <c r="CV163" s="792">
        <v>0</v>
      </c>
      <c r="CW163" s="792">
        <v>0</v>
      </c>
      <c r="CX163" s="792">
        <v>0</v>
      </c>
      <c r="CY163" s="792">
        <v>0</v>
      </c>
      <c r="CZ163" s="689">
        <v>827</v>
      </c>
      <c r="DA163" s="689">
        <v>1110</v>
      </c>
      <c r="DB163" s="689">
        <v>772</v>
      </c>
      <c r="DC163" s="643">
        <v>1167.05</v>
      </c>
      <c r="DD163" s="522"/>
      <c r="DE163" s="522"/>
      <c r="DF163" s="522"/>
      <c r="DG163" s="522"/>
      <c r="DH163" s="522"/>
      <c r="DI163" s="522"/>
      <c r="DJ163" s="522"/>
      <c r="DK163" s="522"/>
      <c r="DL163" s="649"/>
      <c r="DM163" s="689"/>
      <c r="DN163" s="649"/>
      <c r="DO163" s="522"/>
      <c r="DP163" s="522"/>
      <c r="DQ163" s="522"/>
      <c r="DR163" s="522"/>
      <c r="DS163" s="522"/>
      <c r="DT163" s="522"/>
      <c r="DU163" s="522"/>
      <c r="DV163" s="522"/>
      <c r="DW163" s="522"/>
      <c r="DX163" s="522"/>
      <c r="DY163" s="522"/>
      <c r="DZ163" s="522"/>
      <c r="EA163" s="522"/>
      <c r="EB163" s="522"/>
      <c r="EC163" s="522"/>
      <c r="ED163" s="522"/>
      <c r="EE163" s="522"/>
      <c r="EF163" s="522"/>
      <c r="EG163" s="645">
        <f t="shared" si="132"/>
        <v>14.294280000000001</v>
      </c>
      <c r="EH163" s="361">
        <v>0</v>
      </c>
      <c r="EI163" s="647">
        <v>0</v>
      </c>
      <c r="EJ163" s="647">
        <f t="shared" si="159"/>
        <v>2.3499999999999996</v>
      </c>
      <c r="EK163" s="647">
        <f t="shared" si="160"/>
        <v>6.8900000000000006</v>
      </c>
      <c r="EL163" s="522"/>
      <c r="EM163" s="522"/>
      <c r="EN163" s="522"/>
      <c r="EO163" s="522"/>
      <c r="EP163" s="522"/>
      <c r="EQ163" s="522"/>
      <c r="ER163" s="522"/>
      <c r="ES163" s="407"/>
      <c r="ET163" s="407"/>
    </row>
    <row r="164" spans="1:150" s="357" customFormat="1" ht="15">
      <c r="A164" s="675" t="s">
        <v>9</v>
      </c>
      <c r="B164" s="712">
        <v>41790</v>
      </c>
      <c r="C164" s="358">
        <v>0</v>
      </c>
      <c r="D164" s="405">
        <v>0</v>
      </c>
      <c r="E164" s="681">
        <v>0</v>
      </c>
      <c r="F164" s="681">
        <v>56</v>
      </c>
      <c r="G164" s="681">
        <v>1.1000000000000001</v>
      </c>
      <c r="H164" s="405">
        <v>0.89</v>
      </c>
      <c r="I164" s="405">
        <v>94.31</v>
      </c>
      <c r="J164" s="405">
        <v>1.02</v>
      </c>
      <c r="K164" s="405">
        <v>0.83</v>
      </c>
      <c r="L164" s="644">
        <v>0</v>
      </c>
      <c r="M164" s="405">
        <v>21.1</v>
      </c>
      <c r="N164" s="405">
        <v>1.9430000000000001</v>
      </c>
      <c r="O164" s="405">
        <v>2.3725255074452973</v>
      </c>
      <c r="P164" s="405">
        <v>0</v>
      </c>
      <c r="Q164" s="405" t="s">
        <v>743</v>
      </c>
      <c r="R164" s="790">
        <v>1312.4626050198149</v>
      </c>
      <c r="S164" s="405">
        <v>8.0299999999999994</v>
      </c>
      <c r="T164" s="405">
        <v>0</v>
      </c>
      <c r="U164" s="405">
        <v>0.69699999999999995</v>
      </c>
      <c r="V164" s="807">
        <v>0</v>
      </c>
      <c r="W164" s="807">
        <v>51.980000000000004</v>
      </c>
      <c r="X164" s="647" t="e">
        <v>#VALUE!</v>
      </c>
      <c r="Y164" s="383">
        <v>22.8</v>
      </c>
      <c r="Z164" s="681">
        <v>40.1</v>
      </c>
      <c r="AA164" s="794">
        <v>23.5</v>
      </c>
      <c r="AB164" s="794">
        <v>42.18</v>
      </c>
      <c r="AC164" s="775">
        <f t="shared" si="167"/>
        <v>65.680000000000007</v>
      </c>
      <c r="AD164" s="775">
        <f t="shared" si="168"/>
        <v>101.60696</v>
      </c>
      <c r="AE164" s="775"/>
      <c r="AF164" s="567"/>
      <c r="AG164" s="2">
        <v>1.6</v>
      </c>
      <c r="AH164" s="995"/>
      <c r="AI164" s="362"/>
      <c r="AJ164" s="996"/>
      <c r="AK164" s="407"/>
      <c r="AL164" s="407"/>
      <c r="AM164" s="407"/>
      <c r="AN164" s="407"/>
      <c r="AO164" s="387"/>
      <c r="AP164" s="387"/>
      <c r="AQ164" s="1028"/>
      <c r="AR164" s="578">
        <v>0</v>
      </c>
      <c r="AS164" s="405">
        <v>26.4</v>
      </c>
      <c r="AT164" s="578">
        <v>0</v>
      </c>
      <c r="AU164" s="405">
        <v>24.2</v>
      </c>
      <c r="AV164" s="644">
        <v>654.6</v>
      </c>
      <c r="AW164" s="644">
        <v>827.3</v>
      </c>
      <c r="AX164" s="405">
        <v>2.7</v>
      </c>
      <c r="AY164" s="578">
        <v>0</v>
      </c>
      <c r="AZ164" s="578">
        <v>0</v>
      </c>
      <c r="BA164" s="578">
        <v>0</v>
      </c>
      <c r="BB164" s="1086">
        <v>1.6</v>
      </c>
      <c r="BC164" s="405">
        <v>1.01</v>
      </c>
      <c r="BD164" s="405">
        <v>1</v>
      </c>
      <c r="BE164" s="578">
        <v>0</v>
      </c>
      <c r="BF164" s="405">
        <v>0</v>
      </c>
      <c r="BG164" s="405">
        <v>0</v>
      </c>
      <c r="BH164" s="578">
        <v>0</v>
      </c>
      <c r="BI164" s="405">
        <v>0</v>
      </c>
      <c r="BJ164" s="405">
        <v>40.299999999999997</v>
      </c>
      <c r="BK164" s="405">
        <v>3.44</v>
      </c>
      <c r="BL164" s="405">
        <v>3.62</v>
      </c>
      <c r="BM164" s="405">
        <v>0</v>
      </c>
      <c r="BN164" s="405">
        <v>31.5</v>
      </c>
      <c r="BO164" s="405">
        <v>1851.1</v>
      </c>
      <c r="BP164" s="405">
        <v>0</v>
      </c>
      <c r="BQ164" s="649">
        <v>17.350000000000001</v>
      </c>
      <c r="BR164" s="649">
        <v>17.3</v>
      </c>
      <c r="BS164" s="649">
        <v>9.9</v>
      </c>
      <c r="BT164" s="649">
        <v>10</v>
      </c>
      <c r="BU164" s="648">
        <v>19.3</v>
      </c>
      <c r="BV164" s="648">
        <v>26.3</v>
      </c>
      <c r="BW164" s="649">
        <v>1136.9000000000001</v>
      </c>
      <c r="BX164" s="876"/>
      <c r="BY164" s="649">
        <v>0.93</v>
      </c>
      <c r="BZ164" s="649">
        <v>1.44</v>
      </c>
      <c r="CA164" s="649">
        <v>1.2</v>
      </c>
      <c r="CB164" s="649">
        <v>8.6999999999999993</v>
      </c>
      <c r="CC164" s="649">
        <v>8.1999999999999993</v>
      </c>
      <c r="CD164" s="649">
        <v>15.7</v>
      </c>
      <c r="CE164" s="649">
        <v>33.700000000000003</v>
      </c>
      <c r="CF164" s="649">
        <v>12</v>
      </c>
      <c r="CG164" s="649">
        <v>6.4</v>
      </c>
      <c r="CH164" s="649">
        <v>11.6</v>
      </c>
      <c r="CI164" s="649">
        <v>15.6</v>
      </c>
      <c r="CJ164" s="649">
        <v>13.16</v>
      </c>
      <c r="CK164" s="649">
        <v>0</v>
      </c>
      <c r="CL164" s="649">
        <v>3.1</v>
      </c>
      <c r="CM164" s="649">
        <v>3.8</v>
      </c>
      <c r="CN164" s="991">
        <v>820</v>
      </c>
      <c r="CO164" s="649">
        <v>702.9</v>
      </c>
      <c r="CP164" s="649">
        <v>535.5</v>
      </c>
      <c r="CQ164" s="649">
        <v>13.1</v>
      </c>
      <c r="CR164" s="649">
        <v>0.88</v>
      </c>
      <c r="CS164" s="648">
        <v>0</v>
      </c>
      <c r="CT164" s="405">
        <v>15.426</v>
      </c>
      <c r="CU164" s="405">
        <v>54</v>
      </c>
      <c r="CV164" s="522">
        <v>0</v>
      </c>
      <c r="CW164" s="522">
        <v>0</v>
      </c>
      <c r="CX164" s="522">
        <v>0</v>
      </c>
      <c r="CY164" s="522">
        <v>0</v>
      </c>
      <c r="CZ164" s="689">
        <v>827</v>
      </c>
      <c r="DA164" s="689">
        <v>1030</v>
      </c>
      <c r="DB164" s="689">
        <v>765</v>
      </c>
      <c r="DC164" s="643">
        <v>1167.1199999999999</v>
      </c>
      <c r="DD164" s="522"/>
      <c r="DE164" s="522"/>
      <c r="DF164" s="522"/>
      <c r="DG164" s="522"/>
      <c r="DH164" s="522"/>
      <c r="DI164" s="522"/>
      <c r="DJ164" s="522"/>
      <c r="DK164" s="522"/>
      <c r="DL164" s="649"/>
      <c r="DM164" s="689"/>
      <c r="DN164" s="649"/>
      <c r="DO164" s="522"/>
      <c r="DP164" s="522"/>
      <c r="DQ164" s="522"/>
      <c r="DR164" s="522"/>
      <c r="DS164" s="522"/>
      <c r="DT164" s="522"/>
      <c r="DU164" s="522"/>
      <c r="DV164" s="522"/>
      <c r="DW164" s="522"/>
      <c r="DX164" s="522"/>
      <c r="DY164" s="522"/>
      <c r="DZ164" s="522"/>
      <c r="EA164" s="522"/>
      <c r="EB164" s="522"/>
      <c r="EC164" s="522"/>
      <c r="ED164" s="522"/>
      <c r="EE164" s="522"/>
      <c r="EF164" s="522"/>
      <c r="EG164" s="645">
        <f t="shared" si="132"/>
        <v>14.03129</v>
      </c>
      <c r="EH164" s="361">
        <v>0</v>
      </c>
      <c r="EI164" s="647">
        <v>0</v>
      </c>
      <c r="EJ164" s="647">
        <f t="shared" ref="EJ164:EJ177" si="169">BC164+BD164+BF164</f>
        <v>2.0099999999999998</v>
      </c>
      <c r="EK164" s="647">
        <f t="shared" ref="EK164:EK177" si="170">BK164+BL164+BM164</f>
        <v>7.0600000000000005</v>
      </c>
      <c r="EL164" s="522"/>
      <c r="EM164" s="522"/>
      <c r="EN164" s="522"/>
      <c r="EO164" s="522"/>
      <c r="EP164" s="522"/>
      <c r="EQ164" s="522"/>
      <c r="ER164" s="522"/>
      <c r="ES164" s="407"/>
      <c r="ET164" s="407"/>
    </row>
    <row r="165" spans="1:150" s="357" customFormat="1" ht="15">
      <c r="A165" s="675" t="s">
        <v>3</v>
      </c>
      <c r="B165" s="712">
        <v>41791</v>
      </c>
      <c r="C165" s="358">
        <v>0</v>
      </c>
      <c r="D165" s="405">
        <v>0</v>
      </c>
      <c r="E165" s="681">
        <v>0</v>
      </c>
      <c r="F165" s="681">
        <v>53</v>
      </c>
      <c r="G165" s="681">
        <v>1.1000000000000001</v>
      </c>
      <c r="H165" s="405">
        <v>0.93</v>
      </c>
      <c r="I165" s="405">
        <v>93.84</v>
      </c>
      <c r="J165" s="405">
        <v>0.73</v>
      </c>
      <c r="K165" s="405">
        <v>0.83</v>
      </c>
      <c r="L165" s="644">
        <v>0</v>
      </c>
      <c r="M165" s="405">
        <v>21</v>
      </c>
      <c r="N165" s="405">
        <v>1.8979999999999999</v>
      </c>
      <c r="O165" s="405">
        <v>2.3358301121516853</v>
      </c>
      <c r="P165" s="405">
        <v>0</v>
      </c>
      <c r="Q165" s="405" t="s">
        <v>743</v>
      </c>
      <c r="R165" s="790">
        <v>1328.9817542932628</v>
      </c>
      <c r="S165" s="405">
        <v>8.02</v>
      </c>
      <c r="T165" s="405">
        <v>0</v>
      </c>
      <c r="U165" s="405">
        <v>0.69599999999999995</v>
      </c>
      <c r="V165" s="807">
        <v>0</v>
      </c>
      <c r="W165" s="807">
        <v>51.980000000000004</v>
      </c>
      <c r="X165" s="647" t="e">
        <v>#VALUE!</v>
      </c>
      <c r="Y165" s="383">
        <v>23.5</v>
      </c>
      <c r="Z165" s="681">
        <v>42.18</v>
      </c>
      <c r="AA165" s="794">
        <v>23.31</v>
      </c>
      <c r="AB165" s="794">
        <v>44.92</v>
      </c>
      <c r="AC165" s="775">
        <f t="shared" si="167"/>
        <v>68.23</v>
      </c>
      <c r="AD165" s="775">
        <f t="shared" si="168"/>
        <v>105.55181</v>
      </c>
      <c r="AE165" s="775"/>
      <c r="AF165" s="567"/>
      <c r="AG165" s="2">
        <v>1.6</v>
      </c>
      <c r="AH165" s="995"/>
      <c r="AI165" s="362"/>
      <c r="AJ165" s="996"/>
      <c r="AK165" s="407"/>
      <c r="AL165" s="407"/>
      <c r="AM165" s="407"/>
      <c r="AN165" s="407"/>
      <c r="AO165" s="387"/>
      <c r="AP165" s="387"/>
      <c r="AQ165" s="1028"/>
      <c r="AR165" s="578">
        <v>0</v>
      </c>
      <c r="AS165" s="405">
        <v>13</v>
      </c>
      <c r="AT165" s="578">
        <v>0</v>
      </c>
      <c r="AU165" s="405">
        <v>24.1</v>
      </c>
      <c r="AV165" s="644">
        <v>492.2</v>
      </c>
      <c r="AW165" s="644">
        <v>862.2</v>
      </c>
      <c r="AX165" s="405">
        <v>24.8</v>
      </c>
      <c r="AY165" s="578">
        <v>0</v>
      </c>
      <c r="AZ165" s="578">
        <v>0</v>
      </c>
      <c r="BA165" s="578">
        <v>0</v>
      </c>
      <c r="BB165" s="1086">
        <v>1.6</v>
      </c>
      <c r="BC165" s="405">
        <v>1</v>
      </c>
      <c r="BD165" s="405">
        <v>1</v>
      </c>
      <c r="BE165" s="578">
        <v>0</v>
      </c>
      <c r="BF165" s="405">
        <v>0</v>
      </c>
      <c r="BG165" s="405">
        <v>0</v>
      </c>
      <c r="BH165" s="578">
        <v>0</v>
      </c>
      <c r="BI165" s="405">
        <v>0</v>
      </c>
      <c r="BJ165" s="405">
        <v>43.1</v>
      </c>
      <c r="BK165" s="405">
        <v>3.45</v>
      </c>
      <c r="BL165" s="405">
        <v>3.55</v>
      </c>
      <c r="BM165" s="405">
        <v>0</v>
      </c>
      <c r="BN165" s="405">
        <v>34.4</v>
      </c>
      <c r="BO165" s="405">
        <v>2222.5</v>
      </c>
      <c r="BP165" s="405">
        <v>0</v>
      </c>
      <c r="BQ165" s="649">
        <v>16.93</v>
      </c>
      <c r="BR165" s="649">
        <v>16.89</v>
      </c>
      <c r="BS165" s="649">
        <v>9.6999999999999993</v>
      </c>
      <c r="BT165" s="649">
        <v>9.8000000000000007</v>
      </c>
      <c r="BU165" s="648">
        <v>19</v>
      </c>
      <c r="BV165" s="648">
        <v>25.8</v>
      </c>
      <c r="BW165" s="649">
        <v>930.5</v>
      </c>
      <c r="BX165" s="876"/>
      <c r="BY165" s="649">
        <v>0.9</v>
      </c>
      <c r="BZ165" s="649">
        <v>1.43</v>
      </c>
      <c r="CA165" s="649">
        <v>1.2</v>
      </c>
      <c r="CB165" s="649">
        <v>8.6999999999999993</v>
      </c>
      <c r="CC165" s="649">
        <v>8.1999999999999993</v>
      </c>
      <c r="CD165" s="649">
        <v>16.3</v>
      </c>
      <c r="CE165" s="649">
        <v>33.299999999999997</v>
      </c>
      <c r="CF165" s="649">
        <v>13.4</v>
      </c>
      <c r="CG165" s="649">
        <v>7.4</v>
      </c>
      <c r="CH165" s="649">
        <v>12.6</v>
      </c>
      <c r="CI165" s="649">
        <v>17.100000000000001</v>
      </c>
      <c r="CJ165" s="649">
        <v>13.89</v>
      </c>
      <c r="CK165" s="649">
        <v>0</v>
      </c>
      <c r="CL165" s="649">
        <v>3</v>
      </c>
      <c r="CM165" s="649">
        <v>3.1</v>
      </c>
      <c r="CN165" s="991">
        <v>820</v>
      </c>
      <c r="CO165" s="649">
        <v>768.8</v>
      </c>
      <c r="CP165" s="649">
        <v>539.6</v>
      </c>
      <c r="CQ165" s="649">
        <v>12.7</v>
      </c>
      <c r="CR165" s="649">
        <v>0.79</v>
      </c>
      <c r="CS165" s="648">
        <v>0</v>
      </c>
      <c r="CT165" s="405">
        <v>15.43</v>
      </c>
      <c r="CU165" s="405">
        <v>54</v>
      </c>
      <c r="CV165" s="522">
        <v>0</v>
      </c>
      <c r="CW165" s="522">
        <v>0</v>
      </c>
      <c r="CX165" s="522">
        <v>0</v>
      </c>
      <c r="CY165" s="522">
        <v>0</v>
      </c>
      <c r="CZ165" s="689">
        <v>827</v>
      </c>
      <c r="DA165" s="689">
        <v>1010</v>
      </c>
      <c r="DB165" s="689">
        <v>762</v>
      </c>
      <c r="DC165" s="643">
        <v>1167.1500000000001</v>
      </c>
      <c r="DD165" s="522"/>
      <c r="DE165" s="522"/>
      <c r="DF165" s="522"/>
      <c r="DG165" s="522"/>
      <c r="DH165" s="522"/>
      <c r="DI165" s="522"/>
      <c r="DJ165" s="522"/>
      <c r="DK165" s="522"/>
      <c r="DL165" s="649"/>
      <c r="DM165" s="649"/>
      <c r="DN165" s="649"/>
      <c r="DO165" s="522"/>
      <c r="DP165" s="522"/>
      <c r="DQ165" s="522"/>
      <c r="DR165" s="522"/>
      <c r="DS165" s="522"/>
      <c r="DT165" s="522"/>
      <c r="DU165" s="522"/>
      <c r="DV165" s="522"/>
      <c r="DW165" s="522"/>
      <c r="DX165" s="522"/>
      <c r="DY165" s="522"/>
      <c r="DZ165" s="522"/>
      <c r="EA165" s="522"/>
      <c r="EB165" s="522"/>
      <c r="EC165" s="522"/>
      <c r="ED165" s="522"/>
      <c r="EE165" s="522"/>
      <c r="EF165" s="522"/>
      <c r="EG165" s="645">
        <f t="shared" si="132"/>
        <v>13.923</v>
      </c>
      <c r="EH165" s="361">
        <v>0</v>
      </c>
      <c r="EI165" s="647">
        <v>0</v>
      </c>
      <c r="EJ165" s="647">
        <f t="shared" si="169"/>
        <v>2</v>
      </c>
      <c r="EK165" s="647">
        <f t="shared" si="170"/>
        <v>7</v>
      </c>
      <c r="EL165" s="522"/>
      <c r="EM165" s="522"/>
      <c r="EN165" s="522"/>
      <c r="EO165" s="522"/>
      <c r="EP165" s="522"/>
      <c r="EQ165" s="522"/>
      <c r="ER165" s="522"/>
      <c r="ES165" s="407"/>
      <c r="ET165" s="407"/>
    </row>
    <row r="166" spans="1:150" s="357" customFormat="1" ht="15">
      <c r="A166" s="675" t="s">
        <v>4</v>
      </c>
      <c r="B166" s="712">
        <v>41792</v>
      </c>
      <c r="C166" s="358">
        <v>0</v>
      </c>
      <c r="D166" s="405">
        <v>0</v>
      </c>
      <c r="E166" s="681">
        <v>0</v>
      </c>
      <c r="F166" s="681">
        <v>56</v>
      </c>
      <c r="G166" s="681">
        <v>1.1000000000000001</v>
      </c>
      <c r="H166" s="405">
        <v>0.8</v>
      </c>
      <c r="I166" s="405">
        <v>94.1</v>
      </c>
      <c r="J166" s="405">
        <v>0.81</v>
      </c>
      <c r="K166" s="405" t="s">
        <v>744</v>
      </c>
      <c r="L166" s="644">
        <v>0</v>
      </c>
      <c r="M166" s="405">
        <v>20.8</v>
      </c>
      <c r="N166" s="405">
        <v>1.84</v>
      </c>
      <c r="O166" s="405">
        <v>2.4038320405560496</v>
      </c>
      <c r="P166" s="405">
        <v>0</v>
      </c>
      <c r="Q166" s="405" t="s">
        <v>743</v>
      </c>
      <c r="R166" s="790">
        <v>1407.3667371202109</v>
      </c>
      <c r="S166" s="405">
        <v>7.88</v>
      </c>
      <c r="T166" s="405">
        <v>0</v>
      </c>
      <c r="U166" s="405">
        <v>0.69</v>
      </c>
      <c r="V166" s="807">
        <v>0</v>
      </c>
      <c r="W166" s="807">
        <v>50</v>
      </c>
      <c r="X166" s="647" t="e">
        <v>#VALUE!</v>
      </c>
      <c r="Y166" s="383">
        <v>23.31</v>
      </c>
      <c r="Z166" s="681">
        <v>44.92</v>
      </c>
      <c r="AA166" s="794">
        <v>23.39</v>
      </c>
      <c r="AB166" s="794">
        <v>44.9</v>
      </c>
      <c r="AC166" s="775">
        <f t="shared" ref="AC166" si="171">AA166+AB166</f>
        <v>68.289999999999992</v>
      </c>
      <c r="AD166" s="775">
        <f t="shared" ref="AD166" si="172">AC166*1.547</f>
        <v>105.64462999999998</v>
      </c>
      <c r="AE166" s="775"/>
      <c r="AF166" s="567"/>
      <c r="AG166" s="2">
        <v>1.6</v>
      </c>
      <c r="AH166" s="995"/>
      <c r="AI166" s="362"/>
      <c r="AJ166" s="996"/>
      <c r="AK166" s="407"/>
      <c r="AL166" s="407"/>
      <c r="AM166" s="407"/>
      <c r="AN166" s="407"/>
      <c r="AO166" s="387"/>
      <c r="AP166" s="387"/>
      <c r="AQ166" s="1028"/>
      <c r="AR166" s="578">
        <v>0</v>
      </c>
      <c r="AS166" s="405">
        <v>24.7</v>
      </c>
      <c r="AT166" s="578">
        <v>0</v>
      </c>
      <c r="AU166" s="405">
        <v>24.1</v>
      </c>
      <c r="AV166" s="644">
        <v>655.8</v>
      </c>
      <c r="AW166" s="644">
        <v>898.7</v>
      </c>
      <c r="AX166" s="405">
        <v>28.9</v>
      </c>
      <c r="AY166" s="578">
        <v>0</v>
      </c>
      <c r="AZ166" s="578">
        <v>0</v>
      </c>
      <c r="BA166" s="578">
        <v>0</v>
      </c>
      <c r="BB166" s="1086">
        <v>1.6</v>
      </c>
      <c r="BC166" s="405">
        <v>1</v>
      </c>
      <c r="BD166" s="405">
        <v>1</v>
      </c>
      <c r="BE166" s="578">
        <v>0</v>
      </c>
      <c r="BF166" s="405">
        <v>0</v>
      </c>
      <c r="BG166" s="405">
        <v>0</v>
      </c>
      <c r="BH166" s="578">
        <v>0</v>
      </c>
      <c r="BI166" s="405">
        <v>0</v>
      </c>
      <c r="BJ166" s="405">
        <v>43.1</v>
      </c>
      <c r="BK166" s="405">
        <v>4.4000000000000004</v>
      </c>
      <c r="BL166" s="405">
        <v>2.68</v>
      </c>
      <c r="BM166" s="405">
        <v>0</v>
      </c>
      <c r="BN166" s="405">
        <v>34.4</v>
      </c>
      <c r="BO166" s="405">
        <v>1779.9</v>
      </c>
      <c r="BP166" s="405">
        <v>0</v>
      </c>
      <c r="BQ166" s="649">
        <v>17.260000000000002</v>
      </c>
      <c r="BR166" s="649">
        <v>17.21</v>
      </c>
      <c r="BS166" s="649">
        <v>9.76</v>
      </c>
      <c r="BT166" s="649">
        <v>9.8800000000000008</v>
      </c>
      <c r="BU166" s="648">
        <v>19</v>
      </c>
      <c r="BV166" s="648">
        <v>24</v>
      </c>
      <c r="BW166" s="649">
        <v>1019.3</v>
      </c>
      <c r="BX166" s="876"/>
      <c r="BY166" s="649">
        <v>0.86</v>
      </c>
      <c r="BZ166" s="649">
        <v>1.41</v>
      </c>
      <c r="CA166" s="649">
        <v>1.2</v>
      </c>
      <c r="CB166" s="649">
        <v>8.6999999999999993</v>
      </c>
      <c r="CC166" s="649">
        <v>8.1999999999999993</v>
      </c>
      <c r="CD166" s="649">
        <v>15.1</v>
      </c>
      <c r="CE166" s="649">
        <v>33.200000000000003</v>
      </c>
      <c r="CF166" s="649">
        <v>15.4</v>
      </c>
      <c r="CG166" s="649">
        <v>6.5</v>
      </c>
      <c r="CH166" s="649">
        <v>11.6</v>
      </c>
      <c r="CI166" s="649">
        <v>16.100000000000001</v>
      </c>
      <c r="CJ166" s="649">
        <v>12.8</v>
      </c>
      <c r="CK166" s="649">
        <v>0</v>
      </c>
      <c r="CL166" s="649">
        <v>2.2999999999999998</v>
      </c>
      <c r="CM166" s="649">
        <v>3.7</v>
      </c>
      <c r="CN166" s="991">
        <v>820</v>
      </c>
      <c r="CO166" s="649">
        <v>723.4</v>
      </c>
      <c r="CP166" s="649">
        <v>573</v>
      </c>
      <c r="CQ166" s="649">
        <v>13.7</v>
      </c>
      <c r="CR166" s="649">
        <v>0.93</v>
      </c>
      <c r="CS166" s="648">
        <v>0</v>
      </c>
      <c r="CT166" s="405">
        <v>16.622</v>
      </c>
      <c r="CU166" s="405">
        <v>54</v>
      </c>
      <c r="CV166" s="522">
        <v>0</v>
      </c>
      <c r="CW166" s="522">
        <v>0</v>
      </c>
      <c r="CX166" s="522">
        <v>0</v>
      </c>
      <c r="CY166" s="522">
        <v>0</v>
      </c>
      <c r="CZ166" s="689">
        <v>827</v>
      </c>
      <c r="DA166" s="689">
        <v>968</v>
      </c>
      <c r="DB166" s="689">
        <v>762</v>
      </c>
      <c r="DC166" s="643">
        <v>1167.1400000000001</v>
      </c>
      <c r="DD166" s="522"/>
      <c r="DE166" s="522"/>
      <c r="DF166" s="522"/>
      <c r="DG166" s="522"/>
      <c r="DH166" s="522"/>
      <c r="DI166" s="522"/>
      <c r="DJ166" s="522"/>
      <c r="DK166" s="522"/>
      <c r="DL166" s="649"/>
      <c r="DM166" s="649"/>
      <c r="DN166" s="649"/>
      <c r="DO166" s="522"/>
      <c r="DP166" s="522"/>
      <c r="DQ166" s="522"/>
      <c r="DR166" s="522"/>
      <c r="DS166" s="522"/>
      <c r="DT166" s="522"/>
      <c r="DU166" s="522"/>
      <c r="DV166" s="522"/>
      <c r="DW166" s="522"/>
      <c r="DX166" s="522"/>
      <c r="DY166" s="522"/>
      <c r="DZ166" s="522"/>
      <c r="EA166" s="522"/>
      <c r="EB166" s="522"/>
      <c r="EC166" s="522"/>
      <c r="ED166" s="522"/>
      <c r="EE166" s="522"/>
      <c r="EF166" s="522"/>
      <c r="EG166" s="645">
        <f t="shared" si="132"/>
        <v>14.046759999999999</v>
      </c>
      <c r="EH166" s="361">
        <v>0</v>
      </c>
      <c r="EI166" s="647">
        <v>0</v>
      </c>
      <c r="EJ166" s="647">
        <f t="shared" si="169"/>
        <v>2</v>
      </c>
      <c r="EK166" s="647">
        <f t="shared" si="170"/>
        <v>7.08</v>
      </c>
      <c r="EL166" s="522"/>
      <c r="EM166" s="522"/>
      <c r="EN166" s="522"/>
      <c r="EO166" s="522"/>
      <c r="EP166" s="522"/>
      <c r="EQ166" s="522"/>
      <c r="ER166" s="522"/>
      <c r="ES166" s="407"/>
      <c r="ET166" s="407"/>
    </row>
    <row r="167" spans="1:150" s="357" customFormat="1" ht="15">
      <c r="A167" s="675" t="s">
        <v>5</v>
      </c>
      <c r="B167" s="712">
        <v>41793</v>
      </c>
      <c r="C167" s="358">
        <v>0</v>
      </c>
      <c r="D167" s="405">
        <v>0.01</v>
      </c>
      <c r="E167" s="681">
        <v>0</v>
      </c>
      <c r="F167" s="681">
        <v>53</v>
      </c>
      <c r="G167" s="681">
        <v>1.1000000000000001</v>
      </c>
      <c r="H167" s="405">
        <v>0.82</v>
      </c>
      <c r="I167" s="405">
        <v>95.49</v>
      </c>
      <c r="J167" s="405">
        <v>0.77</v>
      </c>
      <c r="K167" s="405" t="s">
        <v>744</v>
      </c>
      <c r="L167" s="644">
        <v>0</v>
      </c>
      <c r="M167" s="405">
        <v>20.7</v>
      </c>
      <c r="N167" s="405">
        <v>1.86</v>
      </c>
      <c r="O167" s="405">
        <v>2.4238472658910029</v>
      </c>
      <c r="P167" s="405">
        <v>0</v>
      </c>
      <c r="Q167" s="405" t="s">
        <v>743</v>
      </c>
      <c r="R167" s="790">
        <v>1431.0117939233814</v>
      </c>
      <c r="S167" s="405">
        <v>7.94</v>
      </c>
      <c r="T167" s="405">
        <v>0</v>
      </c>
      <c r="U167" s="405">
        <v>0.67</v>
      </c>
      <c r="V167" s="807">
        <v>0</v>
      </c>
      <c r="W167" s="807">
        <v>50.180000000000007</v>
      </c>
      <c r="X167" s="647" t="e">
        <v>#VALUE!</v>
      </c>
      <c r="Y167" s="383">
        <v>23.39</v>
      </c>
      <c r="Z167" s="681">
        <v>44.9</v>
      </c>
      <c r="AA167" s="794">
        <v>23.3</v>
      </c>
      <c r="AB167" s="794">
        <v>46.3</v>
      </c>
      <c r="AC167" s="775">
        <f t="shared" ref="AC167" si="173">AA167+AB167</f>
        <v>69.599999999999994</v>
      </c>
      <c r="AD167" s="775">
        <f t="shared" ref="AD167" si="174">AC167*1.547</f>
        <v>107.67119999999998</v>
      </c>
      <c r="AE167" s="775"/>
      <c r="AF167" s="567"/>
      <c r="AG167" s="2">
        <v>1.6</v>
      </c>
      <c r="AH167" s="995"/>
      <c r="AI167" s="362"/>
      <c r="AJ167" s="996"/>
      <c r="AK167" s="407"/>
      <c r="AL167" s="407"/>
      <c r="AM167" s="407"/>
      <c r="AN167" s="407"/>
      <c r="AO167" s="387"/>
      <c r="AP167" s="387"/>
      <c r="AQ167" s="1028"/>
      <c r="AR167" s="578">
        <v>0</v>
      </c>
      <c r="AS167" s="405">
        <v>12.2</v>
      </c>
      <c r="AT167" s="578">
        <v>0</v>
      </c>
      <c r="AU167" s="405">
        <v>24</v>
      </c>
      <c r="AV167" s="644">
        <v>619.6</v>
      </c>
      <c r="AW167" s="644">
        <v>827.9</v>
      </c>
      <c r="AX167" s="405">
        <v>24</v>
      </c>
      <c r="AY167" s="578">
        <v>0</v>
      </c>
      <c r="AZ167" s="578">
        <v>0</v>
      </c>
      <c r="BA167" s="578">
        <v>0</v>
      </c>
      <c r="BB167" s="1086">
        <v>1.61</v>
      </c>
      <c r="BC167" s="405">
        <v>1.05</v>
      </c>
      <c r="BD167" s="405">
        <v>1.22</v>
      </c>
      <c r="BE167" s="578">
        <v>0</v>
      </c>
      <c r="BF167" s="405">
        <v>0</v>
      </c>
      <c r="BG167" s="405">
        <v>0</v>
      </c>
      <c r="BH167" s="578">
        <v>0</v>
      </c>
      <c r="BI167" s="405">
        <v>0</v>
      </c>
      <c r="BJ167" s="405">
        <v>44.2</v>
      </c>
      <c r="BK167" s="405">
        <v>4.12</v>
      </c>
      <c r="BL167" s="405">
        <v>2.88</v>
      </c>
      <c r="BM167" s="405">
        <v>0</v>
      </c>
      <c r="BN167" s="405">
        <v>35.4</v>
      </c>
      <c r="BO167" s="405">
        <v>1441.2</v>
      </c>
      <c r="BP167" s="405">
        <v>0</v>
      </c>
      <c r="BQ167" s="649">
        <v>17.64</v>
      </c>
      <c r="BR167" s="649">
        <v>17.61</v>
      </c>
      <c r="BS167" s="649">
        <v>9.69</v>
      </c>
      <c r="BT167" s="649">
        <v>9.81</v>
      </c>
      <c r="BU167" s="648">
        <v>18.8</v>
      </c>
      <c r="BV167" s="648">
        <v>23.7</v>
      </c>
      <c r="BW167" s="649">
        <v>988.8</v>
      </c>
      <c r="BX167" s="876"/>
      <c r="BY167" s="649">
        <v>0.83</v>
      </c>
      <c r="BZ167" s="649">
        <v>1.45</v>
      </c>
      <c r="CA167" s="649">
        <v>1.2</v>
      </c>
      <c r="CB167" s="649">
        <v>8.6</v>
      </c>
      <c r="CC167" s="649">
        <v>8.1999999999999993</v>
      </c>
      <c r="CD167" s="649">
        <v>16</v>
      </c>
      <c r="CE167" s="649">
        <v>33.6</v>
      </c>
      <c r="CF167" s="649">
        <v>13.1</v>
      </c>
      <c r="CG167" s="649">
        <v>5.0999999999999996</v>
      </c>
      <c r="CH167" s="649">
        <v>10.1</v>
      </c>
      <c r="CI167" s="649">
        <v>14.09</v>
      </c>
      <c r="CJ167" s="649">
        <v>13.27</v>
      </c>
      <c r="CK167" s="649">
        <v>0</v>
      </c>
      <c r="CL167" s="649">
        <v>3.9</v>
      </c>
      <c r="CM167" s="649">
        <v>4.4000000000000004</v>
      </c>
      <c r="CN167" s="991">
        <v>820</v>
      </c>
      <c r="CO167" s="649">
        <v>744.4</v>
      </c>
      <c r="CP167" s="649">
        <v>583.79999999999995</v>
      </c>
      <c r="CQ167" s="649">
        <v>14.1</v>
      </c>
      <c r="CR167" s="649">
        <v>0.82</v>
      </c>
      <c r="CS167" s="648">
        <v>0</v>
      </c>
      <c r="CT167" s="405">
        <v>17.559000000000001</v>
      </c>
      <c r="CU167" s="405">
        <v>54</v>
      </c>
      <c r="CV167" s="522">
        <v>0</v>
      </c>
      <c r="CW167" s="522">
        <v>0</v>
      </c>
      <c r="CX167" s="522">
        <v>0</v>
      </c>
      <c r="CY167" s="522">
        <v>0</v>
      </c>
      <c r="CZ167" s="689">
        <v>823</v>
      </c>
      <c r="DA167" s="689">
        <v>955</v>
      </c>
      <c r="DB167" s="689">
        <v>754</v>
      </c>
      <c r="DC167" s="643">
        <v>1167.0899999999999</v>
      </c>
      <c r="DD167" s="522"/>
      <c r="DE167" s="522"/>
      <c r="DF167" s="522"/>
      <c r="DG167" s="522"/>
      <c r="DH167" s="522"/>
      <c r="DI167" s="522"/>
      <c r="DJ167" s="522"/>
      <c r="DK167" s="522"/>
      <c r="DL167" s="649"/>
      <c r="DM167" s="649"/>
      <c r="DN167" s="649"/>
      <c r="DO167" s="522"/>
      <c r="DP167" s="522"/>
      <c r="DQ167" s="522"/>
      <c r="DR167" s="522"/>
      <c r="DS167" s="522"/>
      <c r="DT167" s="522"/>
      <c r="DU167" s="522"/>
      <c r="DV167" s="522"/>
      <c r="DW167" s="522"/>
      <c r="DX167" s="522"/>
      <c r="DY167" s="522"/>
      <c r="DZ167" s="522"/>
      <c r="EA167" s="522"/>
      <c r="EB167" s="522"/>
      <c r="EC167" s="522"/>
      <c r="ED167" s="522"/>
      <c r="EE167" s="522"/>
      <c r="EF167" s="522"/>
      <c r="EG167" s="645">
        <f t="shared" si="132"/>
        <v>14.340689999999999</v>
      </c>
      <c r="EH167" s="361">
        <v>0</v>
      </c>
      <c r="EI167" s="647">
        <v>0</v>
      </c>
      <c r="EJ167" s="647">
        <f t="shared" si="169"/>
        <v>2.27</v>
      </c>
      <c r="EK167" s="647">
        <f t="shared" si="170"/>
        <v>7</v>
      </c>
      <c r="EL167" s="522"/>
      <c r="EM167" s="522"/>
      <c r="EN167" s="522"/>
      <c r="EO167" s="522"/>
      <c r="EP167" s="522"/>
      <c r="EQ167" s="522"/>
      <c r="ER167" s="522"/>
      <c r="ES167" s="407"/>
      <c r="ET167" s="407"/>
    </row>
    <row r="168" spans="1:150" s="357" customFormat="1" ht="15">
      <c r="A168" s="675" t="s">
        <v>6</v>
      </c>
      <c r="B168" s="712">
        <v>41794</v>
      </c>
      <c r="C168" s="358">
        <v>0</v>
      </c>
      <c r="D168" s="405">
        <v>0</v>
      </c>
      <c r="E168" s="681">
        <v>0</v>
      </c>
      <c r="F168" s="681">
        <v>55</v>
      </c>
      <c r="G168" s="681">
        <v>1.1000000000000001</v>
      </c>
      <c r="H168" s="405">
        <v>0.83</v>
      </c>
      <c r="I168" s="405">
        <v>95.21</v>
      </c>
      <c r="J168" s="405">
        <v>0.76</v>
      </c>
      <c r="K168" s="405" t="s">
        <v>744</v>
      </c>
      <c r="L168" s="644">
        <v>0</v>
      </c>
      <c r="M168" s="405">
        <v>20.399999999999999</v>
      </c>
      <c r="N168" s="405">
        <v>1.87</v>
      </c>
      <c r="O168" s="405">
        <v>2.4016751570504304</v>
      </c>
      <c r="P168" s="405">
        <v>0</v>
      </c>
      <c r="Q168" s="405" t="s">
        <v>743</v>
      </c>
      <c r="R168" s="790">
        <v>1553.1239365918095</v>
      </c>
      <c r="S168" s="405">
        <v>7.95</v>
      </c>
      <c r="T168" s="405">
        <v>0</v>
      </c>
      <c r="U168" s="405">
        <v>0.67</v>
      </c>
      <c r="V168" s="807">
        <v>0</v>
      </c>
      <c r="W168" s="807">
        <v>51.620000000000005</v>
      </c>
      <c r="X168" s="647" t="e">
        <v>#VALUE!</v>
      </c>
      <c r="Y168" s="383">
        <v>23.3</v>
      </c>
      <c r="Z168" s="681">
        <v>46.3</v>
      </c>
      <c r="AA168" s="794">
        <v>23.2</v>
      </c>
      <c r="AB168" s="794">
        <v>48</v>
      </c>
      <c r="AC168" s="775">
        <f t="shared" ref="AC168:AC169" si="175">AA168+AB168</f>
        <v>71.2</v>
      </c>
      <c r="AD168" s="775">
        <f t="shared" ref="AD168:AD169" si="176">AC168*1.547</f>
        <v>110.1464</v>
      </c>
      <c r="AE168" s="775"/>
      <c r="AF168" s="567"/>
      <c r="AG168" s="2">
        <v>1.6</v>
      </c>
      <c r="AH168" s="995"/>
      <c r="AI168" s="362"/>
      <c r="AJ168" s="996"/>
      <c r="AK168" s="407"/>
      <c r="AL168" s="407"/>
      <c r="AM168" s="407"/>
      <c r="AN168" s="407"/>
      <c r="AO168" s="387"/>
      <c r="AP168" s="387"/>
      <c r="AQ168" s="1028"/>
      <c r="AR168" s="578">
        <v>0</v>
      </c>
      <c r="AS168" s="405">
        <v>22.4</v>
      </c>
      <c r="AT168" s="578">
        <v>0</v>
      </c>
      <c r="AU168" s="405">
        <v>23.9</v>
      </c>
      <c r="AV168" s="644">
        <v>452.4</v>
      </c>
      <c r="AW168" s="644">
        <v>808.2</v>
      </c>
      <c r="AX168" s="405">
        <v>81.3</v>
      </c>
      <c r="AY168" s="578">
        <v>0</v>
      </c>
      <c r="AZ168" s="578">
        <v>0</v>
      </c>
      <c r="BA168" s="578">
        <v>0</v>
      </c>
      <c r="BB168" s="1086">
        <v>1.58</v>
      </c>
      <c r="BC168" s="405">
        <v>1.1499999999999999</v>
      </c>
      <c r="BD168" s="405">
        <v>1.36</v>
      </c>
      <c r="BE168" s="578">
        <v>0</v>
      </c>
      <c r="BF168" s="405">
        <v>0</v>
      </c>
      <c r="BG168" s="405">
        <v>0</v>
      </c>
      <c r="BH168" s="578">
        <v>0</v>
      </c>
      <c r="BI168" s="405">
        <v>0</v>
      </c>
      <c r="BJ168" s="405">
        <v>45.7</v>
      </c>
      <c r="BK168" s="405">
        <v>4.01</v>
      </c>
      <c r="BL168" s="405">
        <v>3.03</v>
      </c>
      <c r="BM168" s="405">
        <v>0</v>
      </c>
      <c r="BN168" s="405">
        <v>36.9</v>
      </c>
      <c r="BO168" s="405">
        <v>2397.4</v>
      </c>
      <c r="BP168" s="405">
        <v>0</v>
      </c>
      <c r="BQ168" s="649">
        <v>16.79</v>
      </c>
      <c r="BR168" s="649">
        <v>16.75</v>
      </c>
      <c r="BS168" s="649">
        <v>9.81</v>
      </c>
      <c r="BT168" s="649">
        <v>9.9499999999999993</v>
      </c>
      <c r="BU168" s="648">
        <v>18.7</v>
      </c>
      <c r="BV168" s="648">
        <v>27</v>
      </c>
      <c r="BW168" s="649">
        <v>840.7</v>
      </c>
      <c r="BX168" s="876"/>
      <c r="BY168" s="649">
        <v>0.86</v>
      </c>
      <c r="BZ168" s="649">
        <v>1.49</v>
      </c>
      <c r="CA168" s="649">
        <v>1.2</v>
      </c>
      <c r="CB168" s="649">
        <v>8.6</v>
      </c>
      <c r="CC168" s="649">
        <v>8.1</v>
      </c>
      <c r="CD168" s="649">
        <v>17</v>
      </c>
      <c r="CE168" s="649">
        <v>33.200000000000003</v>
      </c>
      <c r="CF168" s="649">
        <v>14.2</v>
      </c>
      <c r="CG168" s="649">
        <v>8</v>
      </c>
      <c r="CH168" s="649">
        <v>13.4</v>
      </c>
      <c r="CI168" s="649">
        <v>17.399999999999999</v>
      </c>
      <c r="CJ168" s="649">
        <v>13.3</v>
      </c>
      <c r="CK168" s="649">
        <v>0</v>
      </c>
      <c r="CL168" s="649">
        <v>4.7</v>
      </c>
      <c r="CM168" s="649">
        <v>5.8</v>
      </c>
      <c r="CN168" s="991">
        <v>820</v>
      </c>
      <c r="CO168" s="649">
        <v>729</v>
      </c>
      <c r="CP168" s="649">
        <v>600.9</v>
      </c>
      <c r="CQ168" s="649">
        <v>13.1</v>
      </c>
      <c r="CR168" s="649">
        <v>0.79</v>
      </c>
      <c r="CS168" s="648">
        <v>0</v>
      </c>
      <c r="CT168" s="405">
        <v>17.782</v>
      </c>
      <c r="CU168" s="405">
        <v>54</v>
      </c>
      <c r="CV168" s="522">
        <v>0</v>
      </c>
      <c r="CW168" s="522">
        <v>0</v>
      </c>
      <c r="CX168" s="522">
        <v>0</v>
      </c>
      <c r="CY168" s="522">
        <v>0</v>
      </c>
      <c r="CZ168" s="689">
        <v>776</v>
      </c>
      <c r="DA168" s="689">
        <v>917</v>
      </c>
      <c r="DB168" s="689">
        <v>709</v>
      </c>
      <c r="DC168" s="643">
        <v>1167.01</v>
      </c>
      <c r="DD168" s="522"/>
      <c r="DE168" s="522"/>
      <c r="DF168" s="522"/>
      <c r="DG168" s="522"/>
      <c r="DH168" s="522"/>
      <c r="DI168" s="522"/>
      <c r="DJ168" s="522"/>
      <c r="DK168" s="522"/>
      <c r="DL168" s="649"/>
      <c r="DM168" s="649"/>
      <c r="DN168" s="649"/>
      <c r="DO168" s="522"/>
      <c r="DP168" s="522"/>
      <c r="DQ168" s="522"/>
      <c r="DR168" s="522"/>
      <c r="DS168" s="522"/>
      <c r="DT168" s="522"/>
      <c r="DU168" s="522"/>
      <c r="DV168" s="522"/>
      <c r="DW168" s="522"/>
      <c r="DX168" s="522"/>
      <c r="DY168" s="522"/>
      <c r="DZ168" s="522"/>
      <c r="EA168" s="522"/>
      <c r="EB168" s="522"/>
      <c r="EC168" s="522"/>
      <c r="ED168" s="522"/>
      <c r="EE168" s="522"/>
      <c r="EF168" s="522"/>
      <c r="EG168" s="645">
        <f t="shared" si="132"/>
        <v>14.773849999999998</v>
      </c>
      <c r="EH168" s="361">
        <v>0</v>
      </c>
      <c r="EI168" s="647">
        <v>0</v>
      </c>
      <c r="EJ168" s="647">
        <f t="shared" si="169"/>
        <v>2.5099999999999998</v>
      </c>
      <c r="EK168" s="647">
        <f t="shared" si="170"/>
        <v>7.0399999999999991</v>
      </c>
      <c r="EL168" s="522"/>
      <c r="EM168" s="522"/>
      <c r="EN168" s="522"/>
      <c r="EO168" s="522"/>
      <c r="EP168" s="522"/>
      <c r="EQ168" s="522"/>
      <c r="ER168" s="522"/>
      <c r="ES168" s="407"/>
      <c r="ET168" s="407"/>
    </row>
    <row r="169" spans="1:150" s="357" customFormat="1" ht="15">
      <c r="A169" s="675" t="s">
        <v>7</v>
      </c>
      <c r="B169" s="712">
        <v>41795</v>
      </c>
      <c r="C169" s="358">
        <v>0</v>
      </c>
      <c r="D169" s="405">
        <v>0</v>
      </c>
      <c r="E169" s="681">
        <v>0</v>
      </c>
      <c r="F169" s="681">
        <v>49</v>
      </c>
      <c r="G169" s="681">
        <v>0.95</v>
      </c>
      <c r="H169" s="405">
        <v>1.02</v>
      </c>
      <c r="I169" s="405">
        <v>93.89</v>
      </c>
      <c r="J169" s="405">
        <v>0.81</v>
      </c>
      <c r="K169" s="405" t="s">
        <v>744</v>
      </c>
      <c r="L169" s="644">
        <v>0</v>
      </c>
      <c r="M169" s="405">
        <v>20.399999999999999</v>
      </c>
      <c r="N169" s="405">
        <v>1.85</v>
      </c>
      <c r="O169" s="405">
        <v>2.4195668163355375</v>
      </c>
      <c r="P169" s="405">
        <v>0</v>
      </c>
      <c r="Q169" s="405" t="s">
        <v>743</v>
      </c>
      <c r="R169" s="790">
        <v>1423.2380766182296</v>
      </c>
      <c r="S169" s="405">
        <v>7.96</v>
      </c>
      <c r="T169" s="405">
        <v>0</v>
      </c>
      <c r="U169" s="405">
        <v>0.68</v>
      </c>
      <c r="V169" s="807">
        <v>0</v>
      </c>
      <c r="W169" s="807">
        <v>52.34</v>
      </c>
      <c r="X169" s="647" t="e">
        <v>#VALUE!</v>
      </c>
      <c r="Y169" s="383">
        <v>23.2</v>
      </c>
      <c r="Z169" s="681">
        <v>48</v>
      </c>
      <c r="AA169" s="794">
        <v>23.5</v>
      </c>
      <c r="AB169" s="794">
        <v>49.8</v>
      </c>
      <c r="AC169" s="775">
        <f t="shared" si="175"/>
        <v>73.3</v>
      </c>
      <c r="AD169" s="775">
        <f t="shared" si="176"/>
        <v>113.39509999999999</v>
      </c>
      <c r="AE169" s="775"/>
      <c r="AF169" s="567"/>
      <c r="AG169" s="2">
        <v>1.6</v>
      </c>
      <c r="AH169" s="995"/>
      <c r="AI169" s="362"/>
      <c r="AJ169" s="996"/>
      <c r="AK169" s="407"/>
      <c r="AL169" s="407"/>
      <c r="AM169" s="407"/>
      <c r="AN169" s="407"/>
      <c r="AO169" s="387"/>
      <c r="AP169" s="387"/>
      <c r="AQ169" s="1028"/>
      <c r="AR169" s="578">
        <v>0</v>
      </c>
      <c r="AS169" s="405">
        <v>23.8</v>
      </c>
      <c r="AT169" s="578">
        <v>0</v>
      </c>
      <c r="AU169" s="405">
        <v>24.2</v>
      </c>
      <c r="AV169" s="644">
        <v>773.8</v>
      </c>
      <c r="AW169" s="644">
        <v>864.8</v>
      </c>
      <c r="AX169" s="405">
        <v>28.3</v>
      </c>
      <c r="AY169" s="578">
        <v>0</v>
      </c>
      <c r="AZ169" s="578">
        <v>0</v>
      </c>
      <c r="BA169" s="578">
        <v>0</v>
      </c>
      <c r="BB169" s="1086">
        <v>1.61</v>
      </c>
      <c r="BC169" s="405">
        <v>1.1399999999999999</v>
      </c>
      <c r="BD169" s="405">
        <v>1.36</v>
      </c>
      <c r="BE169" s="578">
        <v>0</v>
      </c>
      <c r="BF169" s="405">
        <v>0</v>
      </c>
      <c r="BG169" s="405">
        <v>0</v>
      </c>
      <c r="BH169" s="578">
        <v>0</v>
      </c>
      <c r="BI169" s="405">
        <v>0</v>
      </c>
      <c r="BJ169" s="405">
        <v>47.5</v>
      </c>
      <c r="BK169" s="405">
        <v>3.46</v>
      </c>
      <c r="BL169" s="405">
        <v>3.51</v>
      </c>
      <c r="BM169" s="405">
        <v>0</v>
      </c>
      <c r="BN169" s="405">
        <v>38.700000000000003</v>
      </c>
      <c r="BO169" s="405">
        <v>1768.7</v>
      </c>
      <c r="BP169" s="405">
        <v>0</v>
      </c>
      <c r="BQ169" s="649">
        <v>17.52</v>
      </c>
      <c r="BR169" s="649">
        <v>17.46</v>
      </c>
      <c r="BS169" s="649">
        <v>10.1</v>
      </c>
      <c r="BT169" s="649">
        <v>10.199999999999999</v>
      </c>
      <c r="BU169" s="648">
        <v>18.899999999999999</v>
      </c>
      <c r="BV169" s="648">
        <v>23</v>
      </c>
      <c r="BW169" s="649">
        <v>841.4</v>
      </c>
      <c r="BX169" s="876"/>
      <c r="BY169" s="649">
        <v>0.84</v>
      </c>
      <c r="BZ169" s="649">
        <v>1.47</v>
      </c>
      <c r="CA169" s="649">
        <v>1.2</v>
      </c>
      <c r="CB169" s="649">
        <v>8.6999999999999993</v>
      </c>
      <c r="CC169" s="649">
        <v>8.1</v>
      </c>
      <c r="CD169" s="649">
        <v>17</v>
      </c>
      <c r="CE169" s="649">
        <v>33.200000000000003</v>
      </c>
      <c r="CF169" s="649">
        <v>14</v>
      </c>
      <c r="CG169" s="649">
        <v>6.8</v>
      </c>
      <c r="CH169" s="649">
        <v>12</v>
      </c>
      <c r="CI169" s="649">
        <v>16.5</v>
      </c>
      <c r="CJ169" s="649">
        <v>14.3</v>
      </c>
      <c r="CK169" s="649">
        <v>0</v>
      </c>
      <c r="CL169" s="649">
        <v>3.9</v>
      </c>
      <c r="CM169" s="649">
        <v>5.4</v>
      </c>
      <c r="CN169" s="991">
        <v>820</v>
      </c>
      <c r="CO169" s="649">
        <v>795.8</v>
      </c>
      <c r="CP169" s="649">
        <v>597.1</v>
      </c>
      <c r="CQ169" s="649">
        <v>12.7</v>
      </c>
      <c r="CR169" s="649">
        <v>0.8</v>
      </c>
      <c r="CS169" s="648">
        <v>0</v>
      </c>
      <c r="CT169" s="405">
        <v>16.617000000000001</v>
      </c>
      <c r="CU169" s="405">
        <v>54</v>
      </c>
      <c r="CV169" s="522">
        <v>0</v>
      </c>
      <c r="CW169" s="522">
        <v>0</v>
      </c>
      <c r="CX169" s="522">
        <v>0</v>
      </c>
      <c r="CY169" s="522">
        <v>0</v>
      </c>
      <c r="CZ169" s="689">
        <v>625</v>
      </c>
      <c r="DA169" s="689">
        <v>831</v>
      </c>
      <c r="DB169" s="689">
        <v>543</v>
      </c>
      <c r="DC169" s="643">
        <v>1167.04</v>
      </c>
      <c r="DD169" s="522"/>
      <c r="DE169" s="522"/>
      <c r="DF169" s="522"/>
      <c r="DG169" s="522"/>
      <c r="DH169" s="522"/>
      <c r="DI169" s="522"/>
      <c r="DJ169" s="522"/>
      <c r="DK169" s="522"/>
      <c r="DL169" s="649"/>
      <c r="DM169" s="649"/>
      <c r="DN169" s="649"/>
      <c r="DO169" s="522"/>
      <c r="DP169" s="522"/>
      <c r="DQ169" s="522"/>
      <c r="DR169" s="522"/>
      <c r="DS169" s="522"/>
      <c r="DT169" s="522"/>
      <c r="DU169" s="522"/>
      <c r="DV169" s="522"/>
      <c r="DW169" s="522"/>
      <c r="DX169" s="522"/>
      <c r="DY169" s="522"/>
      <c r="DZ169" s="522"/>
      <c r="EA169" s="522"/>
      <c r="EB169" s="522"/>
      <c r="EC169" s="522"/>
      <c r="ED169" s="522"/>
      <c r="EE169" s="522"/>
      <c r="EF169" s="522"/>
      <c r="EG169" s="645">
        <f t="shared" si="132"/>
        <v>14.650089999999997</v>
      </c>
      <c r="EH169" s="361">
        <v>0</v>
      </c>
      <c r="EI169" s="647">
        <v>0</v>
      </c>
      <c r="EJ169" s="647">
        <f t="shared" si="169"/>
        <v>2.5</v>
      </c>
      <c r="EK169" s="647">
        <f t="shared" si="170"/>
        <v>6.97</v>
      </c>
      <c r="EL169" s="522"/>
      <c r="EM169" s="522"/>
      <c r="EN169" s="522"/>
      <c r="EO169" s="522"/>
      <c r="EP169" s="522"/>
      <c r="EQ169" s="522"/>
      <c r="ER169" s="522"/>
      <c r="ES169" s="407"/>
      <c r="ET169" s="407"/>
    </row>
    <row r="170" spans="1:150" s="357" customFormat="1" ht="15">
      <c r="A170" s="675" t="s">
        <v>8</v>
      </c>
      <c r="B170" s="712">
        <v>41796</v>
      </c>
      <c r="C170" s="358">
        <v>0</v>
      </c>
      <c r="D170" s="405">
        <v>0</v>
      </c>
      <c r="E170" s="681">
        <v>0</v>
      </c>
      <c r="F170" s="681">
        <v>57</v>
      </c>
      <c r="G170" s="681">
        <v>0.9</v>
      </c>
      <c r="H170" s="405">
        <v>0.83</v>
      </c>
      <c r="I170" s="405">
        <v>93.71</v>
      </c>
      <c r="J170" s="405">
        <v>0.81</v>
      </c>
      <c r="K170" s="405" t="s">
        <v>744</v>
      </c>
      <c r="L170" s="644">
        <v>0</v>
      </c>
      <c r="M170" s="405">
        <v>20.2</v>
      </c>
      <c r="N170" s="405">
        <v>1.83</v>
      </c>
      <c r="O170" s="405">
        <v>2.3246542307820088</v>
      </c>
      <c r="P170" s="405">
        <v>0</v>
      </c>
      <c r="Q170" s="405" t="s">
        <v>743</v>
      </c>
      <c r="R170" s="790">
        <v>1506.8055376486127</v>
      </c>
      <c r="S170" s="405">
        <v>8</v>
      </c>
      <c r="T170" s="405">
        <v>0</v>
      </c>
      <c r="U170" s="405">
        <v>0.66</v>
      </c>
      <c r="V170" s="807">
        <v>0</v>
      </c>
      <c r="W170" s="807">
        <v>50.539999999999992</v>
      </c>
      <c r="X170" s="647" t="e">
        <v>#VALUE!</v>
      </c>
      <c r="Y170" s="383">
        <v>23.5</v>
      </c>
      <c r="Z170" s="681">
        <v>49.8</v>
      </c>
      <c r="AA170" s="794">
        <v>23.7</v>
      </c>
      <c r="AB170" s="794">
        <v>52.7</v>
      </c>
      <c r="AC170" s="775">
        <f t="shared" ref="AC170:AC172" si="177">AA170+AB170</f>
        <v>76.400000000000006</v>
      </c>
      <c r="AD170" s="775">
        <f t="shared" ref="AD170:AD172" si="178">AC170*1.547</f>
        <v>118.19080000000001</v>
      </c>
      <c r="AE170" s="775"/>
      <c r="AF170" s="567"/>
      <c r="AG170" s="2">
        <v>1.6</v>
      </c>
      <c r="AH170" s="995"/>
      <c r="AI170" s="362"/>
      <c r="AJ170" s="996"/>
      <c r="AK170" s="407"/>
      <c r="AL170" s="407"/>
      <c r="AM170" s="407"/>
      <c r="AN170" s="407"/>
      <c r="AO170" s="387"/>
      <c r="AP170" s="387"/>
      <c r="AQ170" s="1028"/>
      <c r="AR170" s="578">
        <v>0</v>
      </c>
      <c r="AS170" s="405">
        <v>13.4</v>
      </c>
      <c r="AT170" s="578">
        <v>0</v>
      </c>
      <c r="AU170" s="405">
        <v>24.4</v>
      </c>
      <c r="AV170" s="644">
        <v>547.4</v>
      </c>
      <c r="AW170" s="644">
        <v>988.9</v>
      </c>
      <c r="AX170" s="405">
        <v>37.1</v>
      </c>
      <c r="AY170" s="578">
        <v>0</v>
      </c>
      <c r="AZ170" s="578">
        <v>0</v>
      </c>
      <c r="BA170" s="578">
        <v>0</v>
      </c>
      <c r="BB170" s="1086">
        <v>1.6</v>
      </c>
      <c r="BC170" s="405">
        <v>1.1399999999999999</v>
      </c>
      <c r="BD170" s="405">
        <v>1.36</v>
      </c>
      <c r="BE170" s="578">
        <v>0</v>
      </c>
      <c r="BF170" s="405">
        <v>0.32</v>
      </c>
      <c r="BG170" s="405">
        <v>0</v>
      </c>
      <c r="BH170" s="578">
        <v>0</v>
      </c>
      <c r="BI170" s="405">
        <v>0</v>
      </c>
      <c r="BJ170" s="405">
        <v>50.1</v>
      </c>
      <c r="BK170" s="405">
        <v>4.03</v>
      </c>
      <c r="BL170" s="405">
        <v>3.79</v>
      </c>
      <c r="BM170" s="405">
        <v>0</v>
      </c>
      <c r="BN170" s="405">
        <v>40.6</v>
      </c>
      <c r="BO170" s="405">
        <v>2073</v>
      </c>
      <c r="BP170" s="405">
        <v>0</v>
      </c>
      <c r="BQ170" s="649">
        <v>18.77</v>
      </c>
      <c r="BR170" s="649">
        <v>18.73</v>
      </c>
      <c r="BS170" s="649">
        <v>10.130000000000001</v>
      </c>
      <c r="BT170" s="649">
        <v>10.23</v>
      </c>
      <c r="BU170" s="648">
        <v>18.8</v>
      </c>
      <c r="BV170" s="648">
        <v>21.5</v>
      </c>
      <c r="BW170" s="649">
        <v>928.3</v>
      </c>
      <c r="BX170" s="876"/>
      <c r="BY170" s="649">
        <v>2.36</v>
      </c>
      <c r="BZ170" s="649">
        <v>1.48</v>
      </c>
      <c r="CA170" s="649">
        <v>1.2</v>
      </c>
      <c r="CB170" s="649">
        <v>8.6999999999999993</v>
      </c>
      <c r="CC170" s="649">
        <v>8.1</v>
      </c>
      <c r="CD170" s="649">
        <v>16.5</v>
      </c>
      <c r="CE170" s="649">
        <v>33.299999999999997</v>
      </c>
      <c r="CF170" s="649">
        <v>12.75</v>
      </c>
      <c r="CG170" s="649">
        <v>6.55</v>
      </c>
      <c r="CH170" s="649">
        <v>11.65</v>
      </c>
      <c r="CI170" s="649">
        <v>16.13</v>
      </c>
      <c r="CJ170" s="649">
        <v>14.22</v>
      </c>
      <c r="CK170" s="649">
        <v>0</v>
      </c>
      <c r="CL170" s="649">
        <v>3.1</v>
      </c>
      <c r="CM170" s="649">
        <v>4.3</v>
      </c>
      <c r="CN170" s="991">
        <v>820</v>
      </c>
      <c r="CO170" s="649">
        <v>897.3</v>
      </c>
      <c r="CP170" s="649">
        <v>612.29999999999995</v>
      </c>
      <c r="CQ170" s="649">
        <v>13.3</v>
      </c>
      <c r="CR170" s="649">
        <v>0.9</v>
      </c>
      <c r="CS170" s="648">
        <v>0</v>
      </c>
      <c r="CT170" s="405">
        <v>16.102</v>
      </c>
      <c r="CU170" s="405">
        <v>55</v>
      </c>
      <c r="CV170" s="522">
        <v>0</v>
      </c>
      <c r="CW170" s="522">
        <v>0</v>
      </c>
      <c r="CX170" s="522">
        <v>0</v>
      </c>
      <c r="CY170" s="522">
        <v>0</v>
      </c>
      <c r="CZ170" s="689">
        <v>625</v>
      </c>
      <c r="DA170" s="689">
        <v>731</v>
      </c>
      <c r="DB170" s="689">
        <v>536</v>
      </c>
      <c r="DC170" s="643">
        <v>1167.2</v>
      </c>
      <c r="DD170" s="522"/>
      <c r="DE170" s="522"/>
      <c r="DF170" s="522"/>
      <c r="DG170" s="522"/>
      <c r="DH170" s="522"/>
      <c r="DI170" s="522"/>
      <c r="DJ170" s="522"/>
      <c r="DK170" s="522"/>
      <c r="DL170" s="649"/>
      <c r="DM170" s="649"/>
      <c r="DN170" s="649"/>
      <c r="DO170" s="522"/>
      <c r="DP170" s="522"/>
      <c r="DQ170" s="522"/>
      <c r="DR170" s="522"/>
      <c r="DS170" s="522"/>
      <c r="DT170" s="522"/>
      <c r="DU170" s="522"/>
      <c r="DV170" s="522"/>
      <c r="DW170" s="522"/>
      <c r="DX170" s="522"/>
      <c r="DY170" s="522"/>
      <c r="DZ170" s="522"/>
      <c r="EA170" s="522"/>
      <c r="EB170" s="522"/>
      <c r="EC170" s="522"/>
      <c r="ED170" s="522"/>
      <c r="EE170" s="522"/>
      <c r="EF170" s="522"/>
      <c r="EG170" s="645">
        <f t="shared" si="132"/>
        <v>16.460080000000001</v>
      </c>
      <c r="EH170" s="361">
        <v>0</v>
      </c>
      <c r="EI170" s="647">
        <v>0</v>
      </c>
      <c r="EJ170" s="647">
        <f t="shared" si="169"/>
        <v>2.82</v>
      </c>
      <c r="EK170" s="647">
        <f t="shared" si="170"/>
        <v>7.82</v>
      </c>
      <c r="EL170" s="522"/>
      <c r="EM170" s="522"/>
      <c r="EN170" s="522"/>
      <c r="EO170" s="522"/>
      <c r="EP170" s="522"/>
      <c r="EQ170" s="522"/>
      <c r="ER170" s="522"/>
      <c r="ES170" s="407"/>
      <c r="ET170" s="407"/>
    </row>
    <row r="171" spans="1:150" s="357" customFormat="1" ht="15">
      <c r="A171" s="675" t="s">
        <v>9</v>
      </c>
      <c r="B171" s="712">
        <v>41797</v>
      </c>
      <c r="C171" s="358">
        <v>0</v>
      </c>
      <c r="D171" s="405">
        <v>0</v>
      </c>
      <c r="E171" s="681">
        <v>0</v>
      </c>
      <c r="F171" s="681">
        <v>54</v>
      </c>
      <c r="G171" s="681">
        <v>0.9</v>
      </c>
      <c r="H171" s="405">
        <v>0.87</v>
      </c>
      <c r="I171" s="405">
        <v>94.4</v>
      </c>
      <c r="J171" s="405">
        <v>0.8</v>
      </c>
      <c r="K171" s="405" t="s">
        <v>744</v>
      </c>
      <c r="L171" s="644">
        <v>0</v>
      </c>
      <c r="M171" s="405">
        <v>20.2</v>
      </c>
      <c r="N171" s="405">
        <v>1.82</v>
      </c>
      <c r="O171" s="405">
        <v>2.3238596277887407</v>
      </c>
      <c r="P171" s="405">
        <v>0</v>
      </c>
      <c r="Q171" s="405" t="s">
        <v>743</v>
      </c>
      <c r="R171" s="790">
        <v>1507.453347424042</v>
      </c>
      <c r="S171" s="405">
        <v>8.0399999999999991</v>
      </c>
      <c r="T171" s="405">
        <v>0</v>
      </c>
      <c r="U171" s="405">
        <v>0.67</v>
      </c>
      <c r="V171" s="807">
        <v>0</v>
      </c>
      <c r="W171" s="807">
        <v>50.360000000000014</v>
      </c>
      <c r="X171" s="647" t="e">
        <v>#VALUE!</v>
      </c>
      <c r="Y171" s="383">
        <v>23.7</v>
      </c>
      <c r="Z171" s="681">
        <v>52.7</v>
      </c>
      <c r="AA171" s="794">
        <v>23.6</v>
      </c>
      <c r="AB171" s="794">
        <v>53.9</v>
      </c>
      <c r="AC171" s="775">
        <f t="shared" si="177"/>
        <v>77.5</v>
      </c>
      <c r="AD171" s="775">
        <f t="shared" si="178"/>
        <v>119.8925</v>
      </c>
      <c r="AE171" s="775"/>
      <c r="AF171" s="567"/>
      <c r="AG171" s="2">
        <v>1.6</v>
      </c>
      <c r="AH171" s="995"/>
      <c r="AI171" s="362"/>
      <c r="AJ171" s="996"/>
      <c r="AK171" s="407"/>
      <c r="AL171" s="407"/>
      <c r="AM171" s="407"/>
      <c r="AN171" s="407"/>
      <c r="AO171" s="387"/>
      <c r="AP171" s="387"/>
      <c r="AQ171" s="1028"/>
      <c r="AR171" s="578">
        <v>0</v>
      </c>
      <c r="AS171" s="405">
        <v>25.7</v>
      </c>
      <c r="AT171" s="578">
        <v>0</v>
      </c>
      <c r="AU171" s="405">
        <v>24.3</v>
      </c>
      <c r="AV171" s="644">
        <v>710</v>
      </c>
      <c r="AW171" s="644">
        <v>932.6</v>
      </c>
      <c r="AX171" s="405">
        <v>23.3</v>
      </c>
      <c r="AY171" s="578">
        <v>0</v>
      </c>
      <c r="AZ171" s="578">
        <v>0</v>
      </c>
      <c r="BA171" s="578">
        <v>0</v>
      </c>
      <c r="BB171" s="1086">
        <v>1.6</v>
      </c>
      <c r="BC171" s="405">
        <v>1.1399999999999999</v>
      </c>
      <c r="BD171" s="405">
        <v>1.36</v>
      </c>
      <c r="BE171" s="578">
        <v>0</v>
      </c>
      <c r="BF171" s="405">
        <v>0.5</v>
      </c>
      <c r="BG171" s="405">
        <v>0</v>
      </c>
      <c r="BH171" s="578">
        <v>0</v>
      </c>
      <c r="BI171" s="405">
        <v>0</v>
      </c>
      <c r="BJ171" s="405">
        <v>51.1</v>
      </c>
      <c r="BK171" s="405">
        <v>4.4800000000000004</v>
      </c>
      <c r="BL171" s="405">
        <v>3.56</v>
      </c>
      <c r="BM171" s="405">
        <v>0</v>
      </c>
      <c r="BN171" s="405">
        <v>41.3</v>
      </c>
      <c r="BO171" s="405">
        <v>2085.1</v>
      </c>
      <c r="BP171" s="405">
        <v>0</v>
      </c>
      <c r="BQ171" s="649">
        <v>20.309999999999999</v>
      </c>
      <c r="BR171" s="649">
        <v>20.25</v>
      </c>
      <c r="BS171" s="649">
        <v>10.14</v>
      </c>
      <c r="BT171" s="649">
        <v>10.27</v>
      </c>
      <c r="BU171" s="648">
        <v>18.7</v>
      </c>
      <c r="BV171" s="648">
        <v>20.8</v>
      </c>
      <c r="BW171" s="649">
        <v>1103</v>
      </c>
      <c r="BX171" s="876"/>
      <c r="BY171" s="649">
        <v>0.8</v>
      </c>
      <c r="BZ171" s="649">
        <v>1.43</v>
      </c>
      <c r="CA171" s="649">
        <v>1.2</v>
      </c>
      <c r="CB171" s="649">
        <v>8.6</v>
      </c>
      <c r="CC171" s="649">
        <v>8</v>
      </c>
      <c r="CD171" s="649">
        <v>15.65</v>
      </c>
      <c r="CE171" s="649">
        <v>33.200000000000003</v>
      </c>
      <c r="CF171" s="649">
        <v>14.35</v>
      </c>
      <c r="CG171" s="649">
        <v>5.53</v>
      </c>
      <c r="CH171" s="649">
        <v>10.45</v>
      </c>
      <c r="CI171" s="649">
        <v>14.85</v>
      </c>
      <c r="CJ171" s="649">
        <v>13.5</v>
      </c>
      <c r="CK171" s="649">
        <v>0</v>
      </c>
      <c r="CL171" s="649">
        <v>2</v>
      </c>
      <c r="CM171" s="649">
        <v>3.1</v>
      </c>
      <c r="CN171" s="991">
        <v>820</v>
      </c>
      <c r="CO171" s="649">
        <v>877.4</v>
      </c>
      <c r="CP171" s="649">
        <v>573.4</v>
      </c>
      <c r="CQ171" s="649">
        <v>13.7</v>
      </c>
      <c r="CR171" s="649">
        <v>0.97</v>
      </c>
      <c r="CS171" s="648">
        <v>0</v>
      </c>
      <c r="CT171" s="405">
        <v>16.14</v>
      </c>
      <c r="CU171" s="405">
        <v>55</v>
      </c>
      <c r="CV171" s="522">
        <v>0</v>
      </c>
      <c r="CW171" s="522">
        <v>0</v>
      </c>
      <c r="CX171" s="522">
        <v>0</v>
      </c>
      <c r="CY171" s="522">
        <v>0</v>
      </c>
      <c r="CZ171" s="689">
        <v>625</v>
      </c>
      <c r="DA171" s="689">
        <v>719</v>
      </c>
      <c r="DB171" s="689">
        <v>536</v>
      </c>
      <c r="DC171" s="643">
        <v>1167.2</v>
      </c>
      <c r="DD171" s="522"/>
      <c r="DE171" s="522"/>
      <c r="DF171" s="522"/>
      <c r="DG171" s="522"/>
      <c r="DH171" s="522"/>
      <c r="DI171" s="522"/>
      <c r="DJ171" s="522"/>
      <c r="DK171" s="522"/>
      <c r="DL171" s="649"/>
      <c r="DM171" s="649"/>
      <c r="DN171" s="649"/>
      <c r="DO171" s="522"/>
      <c r="DP171" s="522"/>
      <c r="DQ171" s="522"/>
      <c r="DR171" s="522"/>
      <c r="DS171" s="522"/>
      <c r="DT171" s="522"/>
      <c r="DU171" s="522"/>
      <c r="DV171" s="522"/>
      <c r="DW171" s="522"/>
      <c r="DX171" s="522"/>
      <c r="DY171" s="522"/>
      <c r="DZ171" s="522"/>
      <c r="EA171" s="522"/>
      <c r="EB171" s="522"/>
      <c r="EC171" s="522"/>
      <c r="ED171" s="522"/>
      <c r="EE171" s="522"/>
      <c r="EF171" s="522"/>
      <c r="EG171" s="645">
        <f t="shared" si="132"/>
        <v>17.078880000000002</v>
      </c>
      <c r="EH171" s="361">
        <v>0</v>
      </c>
      <c r="EI171" s="647">
        <v>0</v>
      </c>
      <c r="EJ171" s="647">
        <f t="shared" si="169"/>
        <v>3</v>
      </c>
      <c r="EK171" s="647">
        <f t="shared" si="170"/>
        <v>8.0400000000000009</v>
      </c>
      <c r="EL171" s="522"/>
      <c r="EM171" s="522"/>
      <c r="EN171" s="522"/>
      <c r="EO171" s="522"/>
      <c r="EP171" s="522"/>
      <c r="EQ171" s="522"/>
      <c r="ER171" s="522"/>
      <c r="ES171" s="407"/>
      <c r="ET171" s="407"/>
    </row>
    <row r="172" spans="1:150" s="357" customFormat="1" ht="15">
      <c r="A172" s="675" t="s">
        <v>3</v>
      </c>
      <c r="B172" s="712">
        <v>41798</v>
      </c>
      <c r="C172" s="358">
        <v>0</v>
      </c>
      <c r="D172" s="405">
        <v>0</v>
      </c>
      <c r="E172" s="681">
        <v>0</v>
      </c>
      <c r="F172" s="681">
        <v>61</v>
      </c>
      <c r="G172" s="681">
        <v>0.9</v>
      </c>
      <c r="H172" s="405">
        <v>0.94</v>
      </c>
      <c r="I172" s="405">
        <v>93.9</v>
      </c>
      <c r="J172" s="405">
        <v>0.77</v>
      </c>
      <c r="K172" s="405" t="s">
        <v>744</v>
      </c>
      <c r="L172" s="644">
        <v>0</v>
      </c>
      <c r="M172" s="405">
        <v>20</v>
      </c>
      <c r="N172" s="405">
        <v>1.85</v>
      </c>
      <c r="O172" s="405">
        <v>2.3396094284666664</v>
      </c>
      <c r="P172" s="405">
        <v>0</v>
      </c>
      <c r="Q172" s="405" t="s">
        <v>743</v>
      </c>
      <c r="R172" s="790">
        <v>1538.5482166446498</v>
      </c>
      <c r="S172" s="405">
        <v>8.06</v>
      </c>
      <c r="T172" s="405">
        <v>0</v>
      </c>
      <c r="U172" s="405">
        <v>0.68</v>
      </c>
      <c r="V172" s="807">
        <v>0</v>
      </c>
      <c r="W172" s="807">
        <v>50.539999999999992</v>
      </c>
      <c r="X172" s="647" t="e">
        <v>#VALUE!</v>
      </c>
      <c r="Y172" s="383">
        <v>23.6</v>
      </c>
      <c r="Z172" s="681">
        <v>53.9</v>
      </c>
      <c r="AA172" s="794">
        <v>23.67</v>
      </c>
      <c r="AB172" s="794">
        <v>53.87</v>
      </c>
      <c r="AC172" s="775">
        <f t="shared" si="177"/>
        <v>77.539999999999992</v>
      </c>
      <c r="AD172" s="775">
        <f t="shared" si="178"/>
        <v>119.95437999999999</v>
      </c>
      <c r="AE172" s="775"/>
      <c r="AF172" s="567"/>
      <c r="AG172" s="2">
        <v>1.6</v>
      </c>
      <c r="AH172" s="995"/>
      <c r="AI172" s="362"/>
      <c r="AJ172" s="996"/>
      <c r="AK172" s="407"/>
      <c r="AL172" s="407"/>
      <c r="AM172" s="407"/>
      <c r="AN172" s="407"/>
      <c r="AO172" s="387"/>
      <c r="AP172" s="387"/>
      <c r="AQ172" s="1028"/>
      <c r="AR172" s="578">
        <v>0</v>
      </c>
      <c r="AS172" s="405">
        <v>24.3</v>
      </c>
      <c r="AT172" s="578">
        <v>0</v>
      </c>
      <c r="AU172" s="405">
        <v>24.3</v>
      </c>
      <c r="AV172" s="644">
        <v>830.7</v>
      </c>
      <c r="AW172" s="644">
        <v>1037.3</v>
      </c>
      <c r="AX172" s="405">
        <v>32</v>
      </c>
      <c r="AY172" s="578">
        <v>0</v>
      </c>
      <c r="AZ172" s="578">
        <v>0</v>
      </c>
      <c r="BA172" s="578">
        <v>0</v>
      </c>
      <c r="BB172" s="1086">
        <v>1.61</v>
      </c>
      <c r="BC172" s="405">
        <v>1.1399999999999999</v>
      </c>
      <c r="BD172" s="405">
        <v>1.36</v>
      </c>
      <c r="BE172" s="578">
        <v>0</v>
      </c>
      <c r="BF172" s="405">
        <v>0.49</v>
      </c>
      <c r="BG172" s="405">
        <v>0</v>
      </c>
      <c r="BH172" s="578">
        <v>0</v>
      </c>
      <c r="BI172" s="405">
        <v>0</v>
      </c>
      <c r="BJ172" s="405">
        <v>51.1</v>
      </c>
      <c r="BK172" s="405">
        <v>4.88</v>
      </c>
      <c r="BL172" s="405">
        <v>3.14</v>
      </c>
      <c r="BM172" s="405">
        <v>0</v>
      </c>
      <c r="BN172" s="405">
        <v>41.4</v>
      </c>
      <c r="BO172" s="405">
        <v>2483.9</v>
      </c>
      <c r="BP172" s="405">
        <v>0</v>
      </c>
      <c r="BQ172" s="649">
        <v>20.83</v>
      </c>
      <c r="BR172" s="649">
        <v>20.79</v>
      </c>
      <c r="BS172" s="649">
        <v>10.06</v>
      </c>
      <c r="BT172" s="649">
        <v>10.18</v>
      </c>
      <c r="BU172" s="648">
        <v>18.600000000000001</v>
      </c>
      <c r="BV172" s="648">
        <v>23.5</v>
      </c>
      <c r="BW172" s="649">
        <v>1113.7</v>
      </c>
      <c r="BX172" s="876"/>
      <c r="BY172" s="649">
        <v>0.8</v>
      </c>
      <c r="BZ172" s="649">
        <v>1.43</v>
      </c>
      <c r="CA172" s="649">
        <v>1.2</v>
      </c>
      <c r="CB172" s="649">
        <v>8.6999999999999993</v>
      </c>
      <c r="CC172" s="649">
        <v>8</v>
      </c>
      <c r="CD172" s="649">
        <v>15.4</v>
      </c>
      <c r="CE172" s="649">
        <v>33.299999999999997</v>
      </c>
      <c r="CF172" s="649">
        <v>18.25</v>
      </c>
      <c r="CG172" s="649">
        <v>6.2</v>
      </c>
      <c r="CH172" s="649">
        <v>11.4</v>
      </c>
      <c r="CI172" s="649">
        <v>15.35</v>
      </c>
      <c r="CJ172" s="649">
        <v>13.12</v>
      </c>
      <c r="CK172" s="649">
        <v>0</v>
      </c>
      <c r="CL172" s="649">
        <v>2.2999999999999998</v>
      </c>
      <c r="CM172" s="649">
        <v>2.9</v>
      </c>
      <c r="CN172" s="991">
        <v>820</v>
      </c>
      <c r="CO172" s="649">
        <v>902.2</v>
      </c>
      <c r="CP172" s="649">
        <v>600</v>
      </c>
      <c r="CQ172" s="649">
        <v>13.5</v>
      </c>
      <c r="CR172" s="649">
        <v>0.94</v>
      </c>
      <c r="CS172" s="648">
        <v>0</v>
      </c>
      <c r="CT172" s="405">
        <v>15.81</v>
      </c>
      <c r="CU172" s="405">
        <v>55</v>
      </c>
      <c r="CV172" s="522">
        <v>0</v>
      </c>
      <c r="CW172" s="522">
        <v>0</v>
      </c>
      <c r="CX172" s="522">
        <v>0</v>
      </c>
      <c r="CY172" s="522">
        <v>0</v>
      </c>
      <c r="CZ172" s="689">
        <v>625</v>
      </c>
      <c r="DA172" s="689">
        <v>685</v>
      </c>
      <c r="DB172" s="689">
        <v>533</v>
      </c>
      <c r="DC172" s="643">
        <v>1167.21</v>
      </c>
      <c r="DD172" s="522"/>
      <c r="DE172" s="522"/>
      <c r="DF172" s="522"/>
      <c r="DG172" s="522"/>
      <c r="DH172" s="522"/>
      <c r="DI172" s="522"/>
      <c r="DJ172" s="522"/>
      <c r="DK172" s="522"/>
      <c r="DL172" s="649"/>
      <c r="DM172" s="649"/>
      <c r="DN172" s="649"/>
      <c r="DO172" s="522"/>
      <c r="DP172" s="522"/>
      <c r="DQ172" s="522"/>
      <c r="DR172" s="522"/>
      <c r="DS172" s="522"/>
      <c r="DT172" s="522"/>
      <c r="DU172" s="522"/>
      <c r="DV172" s="522"/>
      <c r="DW172" s="522"/>
      <c r="DX172" s="522"/>
      <c r="DY172" s="522"/>
      <c r="DZ172" s="522"/>
      <c r="EA172" s="522"/>
      <c r="EB172" s="522"/>
      <c r="EC172" s="522"/>
      <c r="ED172" s="522"/>
      <c r="EE172" s="522"/>
      <c r="EF172" s="522"/>
      <c r="EG172" s="645">
        <f t="shared" si="132"/>
        <v>17.03247</v>
      </c>
      <c r="EH172" s="361">
        <v>0</v>
      </c>
      <c r="EI172" s="647">
        <v>0</v>
      </c>
      <c r="EJ172" s="647">
        <f t="shared" si="169"/>
        <v>2.99</v>
      </c>
      <c r="EK172" s="647">
        <f t="shared" si="170"/>
        <v>8.02</v>
      </c>
      <c r="EL172" s="522"/>
      <c r="EM172" s="522"/>
      <c r="EN172" s="522"/>
      <c r="EO172" s="522"/>
      <c r="EP172" s="522"/>
      <c r="EQ172" s="522"/>
      <c r="ER172" s="522"/>
      <c r="ES172" s="407"/>
      <c r="ET172" s="407"/>
    </row>
    <row r="173" spans="1:150" s="357" customFormat="1" ht="15">
      <c r="A173" s="675" t="s">
        <v>4</v>
      </c>
      <c r="B173" s="712">
        <v>41799</v>
      </c>
      <c r="C173" s="358">
        <v>0</v>
      </c>
      <c r="D173" s="405">
        <v>0</v>
      </c>
      <c r="E173" s="681">
        <v>0</v>
      </c>
      <c r="F173" s="681">
        <v>57</v>
      </c>
      <c r="G173" s="681">
        <v>0.7</v>
      </c>
      <c r="H173" s="405">
        <v>4.1500000000000004</v>
      </c>
      <c r="I173" s="405">
        <v>94.6</v>
      </c>
      <c r="J173" s="405">
        <v>3.41</v>
      </c>
      <c r="K173" s="405" t="s">
        <v>744</v>
      </c>
      <c r="L173" s="644">
        <v>1.069999999999709</v>
      </c>
      <c r="M173" s="405">
        <v>19.8</v>
      </c>
      <c r="N173" s="405">
        <v>1.81</v>
      </c>
      <c r="O173" s="405">
        <v>2.3573752829548429</v>
      </c>
      <c r="P173" s="405">
        <v>0</v>
      </c>
      <c r="Q173" s="405" t="s">
        <v>743</v>
      </c>
      <c r="R173" s="790">
        <v>1503.2425838837514</v>
      </c>
      <c r="S173" s="405">
        <v>8.0399999999999991</v>
      </c>
      <c r="T173" s="405">
        <v>0</v>
      </c>
      <c r="U173" s="405">
        <v>0.64</v>
      </c>
      <c r="V173" s="807">
        <v>0</v>
      </c>
      <c r="W173" s="807">
        <v>52.7</v>
      </c>
      <c r="X173" s="647" t="e">
        <v>#VALUE!</v>
      </c>
      <c r="Y173" s="383">
        <v>23.67</v>
      </c>
      <c r="Z173" s="681">
        <v>53.87</v>
      </c>
      <c r="AA173" s="794">
        <v>23.7</v>
      </c>
      <c r="AB173" s="794">
        <v>52.73</v>
      </c>
      <c r="AC173" s="775">
        <f t="shared" ref="AC173:AC174" si="179">AA173+AB173</f>
        <v>76.429999999999993</v>
      </c>
      <c r="AD173" s="775">
        <f t="shared" ref="AD173:AD174" si="180">AC173*1.547</f>
        <v>118.23720999999999</v>
      </c>
      <c r="AE173" s="775"/>
      <c r="AF173" s="567"/>
      <c r="AG173" s="2">
        <v>1.6</v>
      </c>
      <c r="AH173" s="995"/>
      <c r="AI173" s="362"/>
      <c r="AJ173" s="996"/>
      <c r="AK173" s="407"/>
      <c r="AL173" s="407"/>
      <c r="AM173" s="407"/>
      <c r="AN173" s="407"/>
      <c r="AO173" s="387"/>
      <c r="AP173" s="387"/>
      <c r="AQ173" s="1028"/>
      <c r="AR173" s="578">
        <v>0</v>
      </c>
      <c r="AS173" s="405">
        <v>24.8</v>
      </c>
      <c r="AT173" s="578">
        <v>0</v>
      </c>
      <c r="AU173" s="405">
        <v>24.4</v>
      </c>
      <c r="AV173" s="644">
        <v>799.9</v>
      </c>
      <c r="AW173" s="644">
        <v>1008.6</v>
      </c>
      <c r="AX173" s="405">
        <v>126.9</v>
      </c>
      <c r="AY173" s="578">
        <v>0</v>
      </c>
      <c r="AZ173" s="578">
        <v>0</v>
      </c>
      <c r="BA173" s="578">
        <v>0</v>
      </c>
      <c r="BB173" s="1086">
        <v>1.61</v>
      </c>
      <c r="BC173" s="405">
        <v>1.0900000000000001</v>
      </c>
      <c r="BD173" s="405">
        <v>1.48</v>
      </c>
      <c r="BE173" s="578">
        <v>0</v>
      </c>
      <c r="BF173" s="405">
        <v>0.42</v>
      </c>
      <c r="BG173" s="405">
        <v>0</v>
      </c>
      <c r="BH173" s="578">
        <v>0</v>
      </c>
      <c r="BI173" s="405">
        <v>0</v>
      </c>
      <c r="BJ173" s="405">
        <v>49.9</v>
      </c>
      <c r="BK173" s="405">
        <v>4.3</v>
      </c>
      <c r="BL173" s="405">
        <v>2.99</v>
      </c>
      <c r="BM173" s="405">
        <v>0</v>
      </c>
      <c r="BN173" s="405">
        <v>40.799999999999997</v>
      </c>
      <c r="BO173" s="405">
        <v>1997.3</v>
      </c>
      <c r="BP173" s="405">
        <v>186.2</v>
      </c>
      <c r="BQ173" s="522">
        <v>22.44</v>
      </c>
      <c r="BR173" s="522">
        <v>22.39</v>
      </c>
      <c r="BS173" s="649">
        <v>9.9600000000000009</v>
      </c>
      <c r="BT173" s="649">
        <v>10.09</v>
      </c>
      <c r="BU173" s="648">
        <v>20.5</v>
      </c>
      <c r="BV173" s="648">
        <v>20.399999999999999</v>
      </c>
      <c r="BW173" s="649">
        <v>1011.3</v>
      </c>
      <c r="BX173" s="876"/>
      <c r="BY173" s="649">
        <v>0.81</v>
      </c>
      <c r="BZ173" s="649">
        <v>1.42</v>
      </c>
      <c r="CA173" s="649">
        <v>1.2</v>
      </c>
      <c r="CB173" s="649">
        <v>8.6999999999999993</v>
      </c>
      <c r="CC173" s="649">
        <v>8</v>
      </c>
      <c r="CD173" s="649">
        <v>15.9</v>
      </c>
      <c r="CE173" s="649">
        <v>32.700000000000003</v>
      </c>
      <c r="CF173" s="649">
        <v>15.8</v>
      </c>
      <c r="CG173" s="649">
        <v>6.47</v>
      </c>
      <c r="CH173" s="649">
        <v>11.5</v>
      </c>
      <c r="CI173" s="649">
        <v>16.149999999999999</v>
      </c>
      <c r="CJ173" s="649">
        <v>13.47</v>
      </c>
      <c r="CK173" s="649">
        <v>0</v>
      </c>
      <c r="CL173" s="649">
        <v>3.6</v>
      </c>
      <c r="CM173" s="649">
        <v>4.0999999999999996</v>
      </c>
      <c r="CN173" s="991">
        <v>820</v>
      </c>
      <c r="CO173" s="649">
        <v>794</v>
      </c>
      <c r="CP173" s="649">
        <v>610.70000000000005</v>
      </c>
      <c r="CQ173" s="649">
        <v>13.3</v>
      </c>
      <c r="CR173" s="649">
        <v>0.94</v>
      </c>
      <c r="CS173" s="648">
        <v>0</v>
      </c>
      <c r="CT173" s="405">
        <v>15.94</v>
      </c>
      <c r="CU173" s="405">
        <v>55</v>
      </c>
      <c r="CV173" s="522">
        <v>0</v>
      </c>
      <c r="CW173" s="522">
        <v>0</v>
      </c>
      <c r="CX173" s="522">
        <v>0</v>
      </c>
      <c r="CY173" s="522">
        <v>0</v>
      </c>
      <c r="CZ173" s="689">
        <v>608</v>
      </c>
      <c r="DA173" s="689">
        <v>657</v>
      </c>
      <c r="DB173" s="689">
        <v>527</v>
      </c>
      <c r="DC173" s="643">
        <v>1167.18</v>
      </c>
      <c r="DD173" s="522"/>
      <c r="DE173" s="522"/>
      <c r="DF173" s="522"/>
      <c r="DG173" s="522"/>
      <c r="DH173" s="522"/>
      <c r="DI173" s="522"/>
      <c r="DJ173" s="522"/>
      <c r="DK173" s="522"/>
      <c r="DL173" s="649"/>
      <c r="DM173" s="649"/>
      <c r="DN173" s="649"/>
      <c r="DO173" s="522"/>
      <c r="DP173" s="522"/>
      <c r="DQ173" s="522"/>
      <c r="DR173" s="522"/>
      <c r="DS173" s="522"/>
      <c r="DT173" s="522"/>
      <c r="DU173" s="522"/>
      <c r="DV173" s="522"/>
      <c r="DW173" s="522"/>
      <c r="DX173" s="522"/>
      <c r="DY173" s="522"/>
      <c r="DZ173" s="522"/>
      <c r="EA173" s="522"/>
      <c r="EB173" s="522"/>
      <c r="EC173" s="522"/>
      <c r="ED173" s="522"/>
      <c r="EE173" s="522"/>
      <c r="EF173" s="522"/>
      <c r="EG173" s="645">
        <f t="shared" si="132"/>
        <v>15.903160000000002</v>
      </c>
      <c r="EH173" s="361">
        <v>0</v>
      </c>
      <c r="EI173" s="647">
        <v>0</v>
      </c>
      <c r="EJ173" s="647">
        <f t="shared" si="169"/>
        <v>2.99</v>
      </c>
      <c r="EK173" s="647">
        <f t="shared" si="170"/>
        <v>7.29</v>
      </c>
      <c r="EL173" s="522"/>
      <c r="EM173" s="522"/>
      <c r="EN173" s="522"/>
      <c r="EO173" s="522"/>
      <c r="EP173" s="522"/>
      <c r="EQ173" s="522"/>
      <c r="ER173" s="522"/>
      <c r="ES173" s="407"/>
      <c r="ET173" s="407"/>
    </row>
    <row r="174" spans="1:150" s="357" customFormat="1" ht="15">
      <c r="A174" s="675" t="s">
        <v>5</v>
      </c>
      <c r="B174" s="712">
        <v>41800</v>
      </c>
      <c r="C174" s="358">
        <v>0</v>
      </c>
      <c r="D174" s="405">
        <v>0</v>
      </c>
      <c r="E174" s="681">
        <v>0</v>
      </c>
      <c r="F174" s="681">
        <v>54</v>
      </c>
      <c r="G174" s="681">
        <v>0.75</v>
      </c>
      <c r="H174" s="405">
        <v>0.82</v>
      </c>
      <c r="I174" s="405">
        <v>94.3</v>
      </c>
      <c r="J174" s="405">
        <v>0.73</v>
      </c>
      <c r="K174" s="405" t="s">
        <v>744</v>
      </c>
      <c r="L174" s="644">
        <v>0</v>
      </c>
      <c r="M174" s="405">
        <v>19.7</v>
      </c>
      <c r="N174" s="405">
        <v>1.85</v>
      </c>
      <c r="O174" s="405">
        <v>2.3636383576533762</v>
      </c>
      <c r="P174" s="405">
        <v>0</v>
      </c>
      <c r="Q174" s="405" t="s">
        <v>743</v>
      </c>
      <c r="R174" s="790">
        <v>1472.1477146631435</v>
      </c>
      <c r="S174" s="405">
        <v>8.08</v>
      </c>
      <c r="T174" s="405">
        <v>0</v>
      </c>
      <c r="U174" s="405">
        <v>0.65</v>
      </c>
      <c r="V174" s="807">
        <v>0</v>
      </c>
      <c r="W174" s="807">
        <v>51.260000000000005</v>
      </c>
      <c r="X174" s="647" t="e">
        <v>#VALUE!</v>
      </c>
      <c r="Y174" s="383">
        <v>23.7</v>
      </c>
      <c r="Z174" s="681">
        <v>52.73</v>
      </c>
      <c r="AA174" s="794">
        <v>25.13</v>
      </c>
      <c r="AB174" s="794">
        <v>48.2</v>
      </c>
      <c r="AC174" s="775">
        <f t="shared" si="179"/>
        <v>73.33</v>
      </c>
      <c r="AD174" s="775">
        <f t="shared" si="180"/>
        <v>113.44150999999999</v>
      </c>
      <c r="AE174" s="775"/>
      <c r="AF174" s="567"/>
      <c r="AG174" s="2">
        <v>1.6</v>
      </c>
      <c r="AH174" s="995"/>
      <c r="AI174" s="362"/>
      <c r="AJ174" s="996"/>
      <c r="AK174" s="407"/>
      <c r="AL174" s="407"/>
      <c r="AM174" s="407"/>
      <c r="AN174" s="407"/>
      <c r="AO174" s="387"/>
      <c r="AP174" s="387"/>
      <c r="AQ174" s="1028"/>
      <c r="AR174" s="578">
        <v>0</v>
      </c>
      <c r="AS174" s="405">
        <v>14.7</v>
      </c>
      <c r="AT174" s="578">
        <v>0</v>
      </c>
      <c r="AU174" s="405">
        <v>25.6</v>
      </c>
      <c r="AV174" s="644">
        <v>747.2</v>
      </c>
      <c r="AW174" s="644">
        <v>874.6</v>
      </c>
      <c r="AX174" s="405">
        <v>29.7</v>
      </c>
      <c r="AY174" s="578">
        <v>0</v>
      </c>
      <c r="AZ174" s="578">
        <v>0</v>
      </c>
      <c r="BA174" s="578">
        <v>0</v>
      </c>
      <c r="BB174" s="1086">
        <v>1.61</v>
      </c>
      <c r="BC174" s="405">
        <v>1</v>
      </c>
      <c r="BD174" s="405">
        <v>1.71</v>
      </c>
      <c r="BE174" s="578">
        <v>0</v>
      </c>
      <c r="BF174" s="405">
        <v>0.28000000000000003</v>
      </c>
      <c r="BG174" s="405">
        <v>0</v>
      </c>
      <c r="BH174" s="578">
        <v>0</v>
      </c>
      <c r="BI174" s="405">
        <v>0</v>
      </c>
      <c r="BJ174" s="405">
        <v>45.4</v>
      </c>
      <c r="BK174" s="405">
        <v>4.12</v>
      </c>
      <c r="BL174" s="405">
        <v>2.91</v>
      </c>
      <c r="BM174" s="405">
        <v>0</v>
      </c>
      <c r="BN174" s="405">
        <v>36.700000000000003</v>
      </c>
      <c r="BO174" s="405">
        <v>1904.9</v>
      </c>
      <c r="BP174" s="405">
        <v>0</v>
      </c>
      <c r="BQ174" s="522">
        <v>23.2</v>
      </c>
      <c r="BR174" s="522">
        <v>23.12</v>
      </c>
      <c r="BS174" s="649">
        <v>10.8</v>
      </c>
      <c r="BT174" s="649">
        <v>10.91</v>
      </c>
      <c r="BU174" s="648">
        <v>23.4</v>
      </c>
      <c r="BV174" s="648">
        <v>24.3</v>
      </c>
      <c r="BW174" s="649">
        <v>853.8</v>
      </c>
      <c r="BX174" s="876"/>
      <c r="BY174" s="649">
        <v>0.9</v>
      </c>
      <c r="BZ174" s="649">
        <v>1.48</v>
      </c>
      <c r="CA174" s="649">
        <v>1.2</v>
      </c>
      <c r="CB174" s="649">
        <v>8.6999999999999993</v>
      </c>
      <c r="CC174" s="649">
        <v>7.9</v>
      </c>
      <c r="CD174" s="649">
        <v>15.8</v>
      </c>
      <c r="CE174" s="649">
        <v>33.5</v>
      </c>
      <c r="CF174" s="649">
        <v>17.149999999999999</v>
      </c>
      <c r="CG174" s="649">
        <v>6.1</v>
      </c>
      <c r="CH174" s="649">
        <v>11.15</v>
      </c>
      <c r="CI174" s="649">
        <v>15.65</v>
      </c>
      <c r="CJ174" s="649">
        <v>13.41</v>
      </c>
      <c r="CK174" s="649">
        <v>0</v>
      </c>
      <c r="CL174" s="649">
        <v>3</v>
      </c>
      <c r="CM174" s="649">
        <v>3.8</v>
      </c>
      <c r="CN174" s="991">
        <v>820</v>
      </c>
      <c r="CO174" s="649">
        <v>775.2</v>
      </c>
      <c r="CP174" s="649">
        <v>602.29999999999995</v>
      </c>
      <c r="CQ174" s="649">
        <v>13.4</v>
      </c>
      <c r="CR174" s="649">
        <v>0.96</v>
      </c>
      <c r="CS174" s="648">
        <v>0</v>
      </c>
      <c r="CT174" s="405">
        <v>15.76</v>
      </c>
      <c r="CU174" s="405">
        <v>55</v>
      </c>
      <c r="CV174" s="522">
        <v>0</v>
      </c>
      <c r="CW174" s="522">
        <v>0</v>
      </c>
      <c r="CX174" s="522">
        <v>0</v>
      </c>
      <c r="CY174" s="522">
        <v>0</v>
      </c>
      <c r="CZ174" s="689">
        <v>608</v>
      </c>
      <c r="DA174" s="689">
        <v>657</v>
      </c>
      <c r="DB174" s="689">
        <v>527</v>
      </c>
      <c r="DC174" s="643">
        <v>1167.1099999999999</v>
      </c>
      <c r="DD174" s="522"/>
      <c r="DE174" s="522"/>
      <c r="DF174" s="522"/>
      <c r="DG174" s="522"/>
      <c r="DH174" s="522"/>
      <c r="DI174" s="522"/>
      <c r="DJ174" s="522"/>
      <c r="DK174" s="522"/>
      <c r="DL174" s="649"/>
      <c r="DM174" s="649"/>
      <c r="DN174" s="649"/>
      <c r="DO174" s="522"/>
      <c r="DP174" s="522"/>
      <c r="DQ174" s="522"/>
      <c r="DR174" s="522"/>
      <c r="DS174" s="522"/>
      <c r="DT174" s="522"/>
      <c r="DU174" s="522"/>
      <c r="DV174" s="522"/>
      <c r="DW174" s="522"/>
      <c r="DX174" s="522"/>
      <c r="DY174" s="522"/>
      <c r="DZ174" s="522"/>
      <c r="EA174" s="522"/>
      <c r="EB174" s="522"/>
      <c r="EC174" s="522"/>
      <c r="ED174" s="522"/>
      <c r="EE174" s="522"/>
      <c r="EF174" s="522"/>
      <c r="EG174" s="645">
        <f t="shared" si="132"/>
        <v>15.500939999999998</v>
      </c>
      <c r="EH174" s="361">
        <v>0</v>
      </c>
      <c r="EI174" s="647">
        <v>0</v>
      </c>
      <c r="EJ174" s="647">
        <f t="shared" si="169"/>
        <v>2.99</v>
      </c>
      <c r="EK174" s="647">
        <f t="shared" si="170"/>
        <v>7.03</v>
      </c>
      <c r="EL174" s="522"/>
      <c r="EM174" s="522"/>
      <c r="EN174" s="522"/>
      <c r="EO174" s="522"/>
      <c r="EP174" s="522"/>
      <c r="EQ174" s="522"/>
      <c r="ER174" s="522"/>
      <c r="ES174" s="407"/>
      <c r="ET174" s="407"/>
    </row>
    <row r="175" spans="1:150" s="357" customFormat="1" ht="15">
      <c r="A175" s="675" t="s">
        <v>6</v>
      </c>
      <c r="B175" s="712">
        <v>41801</v>
      </c>
      <c r="C175" s="358">
        <v>0</v>
      </c>
      <c r="D175" s="405">
        <v>0</v>
      </c>
      <c r="E175" s="681">
        <v>0</v>
      </c>
      <c r="F175" s="681">
        <v>55</v>
      </c>
      <c r="G175" s="681">
        <v>0.75</v>
      </c>
      <c r="H175" s="405">
        <v>0.77</v>
      </c>
      <c r="I175" s="405">
        <v>95.11</v>
      </c>
      <c r="J175" s="405">
        <v>0.71</v>
      </c>
      <c r="K175" s="405" t="s">
        <v>744</v>
      </c>
      <c r="L175" s="644">
        <v>0</v>
      </c>
      <c r="M175" s="405">
        <v>19.600000000000001</v>
      </c>
      <c r="N175" s="405">
        <v>1.89</v>
      </c>
      <c r="O175" s="405">
        <v>2.3519403542502162</v>
      </c>
      <c r="P175" s="405">
        <v>0</v>
      </c>
      <c r="Q175" s="405" t="s">
        <v>743</v>
      </c>
      <c r="R175" s="790">
        <v>1461.1349484808452</v>
      </c>
      <c r="S175" s="405">
        <v>8.0399999999999991</v>
      </c>
      <c r="T175" s="405">
        <v>0</v>
      </c>
      <c r="U175" s="405">
        <v>0.68</v>
      </c>
      <c r="V175" s="807">
        <v>0</v>
      </c>
      <c r="W175" s="807">
        <v>51.260000000000005</v>
      </c>
      <c r="X175" s="647" t="e">
        <v>#VALUE!</v>
      </c>
      <c r="Y175" s="383">
        <v>25.13</v>
      </c>
      <c r="Z175" s="681">
        <v>48.2</v>
      </c>
      <c r="AA175" s="794">
        <v>30.28</v>
      </c>
      <c r="AB175" s="794">
        <v>41.81</v>
      </c>
      <c r="AC175" s="775">
        <f t="shared" ref="AC175:AC179" si="181">AA175+AB175</f>
        <v>72.09</v>
      </c>
      <c r="AD175" s="775">
        <f t="shared" ref="AD175:AD179" si="182">AC175*1.547</f>
        <v>111.52323</v>
      </c>
      <c r="AE175" s="775"/>
      <c r="AF175" s="567"/>
      <c r="AG175" s="2">
        <v>1.6</v>
      </c>
      <c r="AH175" s="995"/>
      <c r="AI175" s="362"/>
      <c r="AJ175" s="996"/>
      <c r="AK175" s="407"/>
      <c r="AL175" s="407"/>
      <c r="AM175" s="407"/>
      <c r="AN175" s="407"/>
      <c r="AO175" s="387"/>
      <c r="AP175" s="387"/>
      <c r="AQ175" s="1028"/>
      <c r="AR175" s="578">
        <v>0</v>
      </c>
      <c r="AS175" s="405">
        <v>22.6</v>
      </c>
      <c r="AT175" s="578">
        <v>0</v>
      </c>
      <c r="AU175" s="405">
        <v>30.6</v>
      </c>
      <c r="AV175" s="644">
        <v>782.5</v>
      </c>
      <c r="AW175" s="644">
        <v>1001.5</v>
      </c>
      <c r="AX175" s="405">
        <v>50.1</v>
      </c>
      <c r="AY175" s="578">
        <v>0</v>
      </c>
      <c r="AZ175" s="578">
        <v>0</v>
      </c>
      <c r="BA175" s="578">
        <v>0</v>
      </c>
      <c r="BB175" s="1086">
        <v>1.56</v>
      </c>
      <c r="BC175" s="405">
        <v>0.99</v>
      </c>
      <c r="BD175" s="405">
        <v>1.65</v>
      </c>
      <c r="BE175" s="578">
        <v>0</v>
      </c>
      <c r="BF175" s="405">
        <v>0.49</v>
      </c>
      <c r="BG175" s="405">
        <v>0</v>
      </c>
      <c r="BH175" s="578">
        <v>0</v>
      </c>
      <c r="BI175" s="405">
        <v>0</v>
      </c>
      <c r="BJ175" s="405">
        <v>39</v>
      </c>
      <c r="BK175" s="405">
        <v>4.1500000000000004</v>
      </c>
      <c r="BL175" s="405">
        <v>2.86</v>
      </c>
      <c r="BM175" s="405">
        <v>0</v>
      </c>
      <c r="BN175" s="405">
        <v>30.4</v>
      </c>
      <c r="BO175" s="405">
        <v>2181.9</v>
      </c>
      <c r="BP175" s="405">
        <v>0</v>
      </c>
      <c r="BQ175" s="522">
        <v>21.85</v>
      </c>
      <c r="BR175" s="522">
        <v>21.76</v>
      </c>
      <c r="BS175" s="649">
        <v>13.02</v>
      </c>
      <c r="BT175" s="649">
        <v>13.18</v>
      </c>
      <c r="BU175" s="648">
        <v>28</v>
      </c>
      <c r="BV175" s="648">
        <v>34.6</v>
      </c>
      <c r="BW175" s="649">
        <v>1115.7</v>
      </c>
      <c r="BX175" s="876"/>
      <c r="BY175" s="649">
        <v>0.9</v>
      </c>
      <c r="BZ175" s="649">
        <v>1.5</v>
      </c>
      <c r="CA175" s="649">
        <v>1.2</v>
      </c>
      <c r="CB175" s="649">
        <v>8.6999999999999993</v>
      </c>
      <c r="CC175" s="649">
        <v>7.9</v>
      </c>
      <c r="CD175" s="649">
        <v>15.8</v>
      </c>
      <c r="CE175" s="649">
        <v>32.799999999999997</v>
      </c>
      <c r="CF175" s="649">
        <v>17.489999999999998</v>
      </c>
      <c r="CG175" s="649">
        <v>6.15</v>
      </c>
      <c r="CH175" s="649">
        <v>11.25</v>
      </c>
      <c r="CI175" s="649">
        <v>15.65</v>
      </c>
      <c r="CJ175" s="649">
        <v>13.85</v>
      </c>
      <c r="CK175" s="649">
        <v>246.2</v>
      </c>
      <c r="CL175" s="649">
        <v>2.8</v>
      </c>
      <c r="CM175" s="649">
        <v>3.6</v>
      </c>
      <c r="CN175" s="991">
        <v>820</v>
      </c>
      <c r="CO175" s="649">
        <v>905.1</v>
      </c>
      <c r="CP175" s="649">
        <v>640.1</v>
      </c>
      <c r="CQ175" s="649">
        <v>13.8</v>
      </c>
      <c r="CR175" s="649">
        <v>1.02</v>
      </c>
      <c r="CS175" s="648">
        <v>0</v>
      </c>
      <c r="CT175" s="405">
        <v>15.9</v>
      </c>
      <c r="CU175" s="405">
        <v>55</v>
      </c>
      <c r="CV175" s="522">
        <v>0</v>
      </c>
      <c r="CW175" s="522">
        <v>0</v>
      </c>
      <c r="CX175" s="522">
        <v>0</v>
      </c>
      <c r="CY175" s="522">
        <v>0</v>
      </c>
      <c r="CZ175" s="689">
        <v>604</v>
      </c>
      <c r="DA175" s="689">
        <v>674</v>
      </c>
      <c r="DB175" s="689">
        <v>521</v>
      </c>
      <c r="DC175" s="643">
        <v>1167</v>
      </c>
      <c r="DD175" s="522"/>
      <c r="DE175" s="522"/>
      <c r="DF175" s="522"/>
      <c r="DG175" s="522"/>
      <c r="DH175" s="522"/>
      <c r="DI175" s="522"/>
      <c r="DJ175" s="522"/>
      <c r="DK175" s="522"/>
      <c r="DL175" s="649"/>
      <c r="DM175" s="649"/>
      <c r="DN175" s="649"/>
      <c r="DO175" s="522"/>
      <c r="DP175" s="522"/>
      <c r="DQ175" s="522"/>
      <c r="DR175" s="522"/>
      <c r="DS175" s="522"/>
      <c r="DT175" s="522"/>
      <c r="DU175" s="522"/>
      <c r="DV175" s="522"/>
      <c r="DW175" s="522"/>
      <c r="DX175" s="522"/>
      <c r="DY175" s="522"/>
      <c r="DZ175" s="522"/>
      <c r="EA175" s="522"/>
      <c r="EB175" s="522"/>
      <c r="EC175" s="522"/>
      <c r="ED175" s="522"/>
      <c r="EE175" s="522"/>
      <c r="EF175" s="522"/>
      <c r="EG175" s="645">
        <f t="shared" si="132"/>
        <v>15.686579999999999</v>
      </c>
      <c r="EH175" s="361">
        <v>0</v>
      </c>
      <c r="EI175" s="647">
        <v>0</v>
      </c>
      <c r="EJ175" s="647">
        <f t="shared" si="169"/>
        <v>3.13</v>
      </c>
      <c r="EK175" s="647">
        <f t="shared" si="170"/>
        <v>7.01</v>
      </c>
      <c r="EL175" s="522"/>
      <c r="EM175" s="522"/>
      <c r="EN175" s="522"/>
      <c r="EO175" s="522"/>
      <c r="EP175" s="522"/>
      <c r="EQ175" s="522"/>
      <c r="ER175" s="522"/>
      <c r="ES175" s="407"/>
      <c r="ET175" s="407"/>
    </row>
    <row r="176" spans="1:150" s="357" customFormat="1" ht="15">
      <c r="A176" s="675" t="s">
        <v>7</v>
      </c>
      <c r="B176" s="712">
        <v>41802</v>
      </c>
      <c r="C176" s="358">
        <v>0</v>
      </c>
      <c r="D176" s="405">
        <v>0.36</v>
      </c>
      <c r="E176" s="681">
        <v>0</v>
      </c>
      <c r="F176" s="681">
        <v>50</v>
      </c>
      <c r="G176" s="681">
        <v>0.65</v>
      </c>
      <c r="H176" s="405">
        <v>0.76</v>
      </c>
      <c r="I176" s="405">
        <v>95.01</v>
      </c>
      <c r="J176" s="405">
        <v>0.78</v>
      </c>
      <c r="K176" s="405" t="s">
        <v>744</v>
      </c>
      <c r="L176" s="644">
        <v>0</v>
      </c>
      <c r="M176" s="405">
        <v>19.600000000000001</v>
      </c>
      <c r="N176" s="405">
        <v>1.85</v>
      </c>
      <c r="O176" s="405">
        <v>2.2640775346262014</v>
      </c>
      <c r="P176" s="405">
        <v>0</v>
      </c>
      <c r="Q176" s="405" t="s">
        <v>743</v>
      </c>
      <c r="R176" s="790">
        <v>1396.3539709379124</v>
      </c>
      <c r="S176" s="405">
        <v>8.09</v>
      </c>
      <c r="T176" s="405">
        <v>0</v>
      </c>
      <c r="U176" s="405">
        <v>0.65</v>
      </c>
      <c r="V176" s="807">
        <v>0</v>
      </c>
      <c r="W176" s="807">
        <v>50.900000000000006</v>
      </c>
      <c r="X176" s="647" t="e">
        <v>#VALUE!</v>
      </c>
      <c r="Y176" s="383">
        <v>30.28</v>
      </c>
      <c r="Z176" s="681">
        <v>41.81</v>
      </c>
      <c r="AA176" s="794">
        <v>36.42</v>
      </c>
      <c r="AB176" s="794">
        <v>35.9</v>
      </c>
      <c r="AC176" s="775">
        <f t="shared" si="181"/>
        <v>72.319999999999993</v>
      </c>
      <c r="AD176" s="775">
        <f t="shared" si="182"/>
        <v>111.87903999999999</v>
      </c>
      <c r="AE176" s="775"/>
      <c r="AF176" s="567"/>
      <c r="AG176" s="2">
        <v>1.6</v>
      </c>
      <c r="AH176" s="995"/>
      <c r="AI176" s="362"/>
      <c r="AJ176" s="996"/>
      <c r="AK176" s="407"/>
      <c r="AL176" s="407"/>
      <c r="AM176" s="407"/>
      <c r="AN176" s="407"/>
      <c r="AO176" s="387"/>
      <c r="AP176" s="387"/>
      <c r="AQ176" s="1028"/>
      <c r="AR176" s="578">
        <v>0</v>
      </c>
      <c r="AS176" s="405">
        <v>20.100000000000001</v>
      </c>
      <c r="AT176" s="578">
        <v>0</v>
      </c>
      <c r="AU176" s="405">
        <v>37.700000000000003</v>
      </c>
      <c r="AV176" s="644">
        <v>330.4</v>
      </c>
      <c r="AW176" s="644">
        <v>394.1</v>
      </c>
      <c r="AX176" s="405">
        <v>17.899999999999999</v>
      </c>
      <c r="AY176" s="578">
        <v>0</v>
      </c>
      <c r="AZ176" s="578">
        <v>0</v>
      </c>
      <c r="BA176" s="578">
        <v>0</v>
      </c>
      <c r="BB176" s="1086">
        <v>1.6</v>
      </c>
      <c r="BC176" s="405">
        <v>0.99</v>
      </c>
      <c r="BD176" s="405">
        <v>1.5</v>
      </c>
      <c r="BE176" s="578">
        <v>0</v>
      </c>
      <c r="BF176" s="405">
        <v>0.5</v>
      </c>
      <c r="BG176" s="405">
        <v>0</v>
      </c>
      <c r="BH176" s="578">
        <v>0</v>
      </c>
      <c r="BI176" s="405">
        <v>0</v>
      </c>
      <c r="BJ176" s="405">
        <v>33.1</v>
      </c>
      <c r="BK176" s="405">
        <v>4.3</v>
      </c>
      <c r="BL176" s="405">
        <v>2.86</v>
      </c>
      <c r="BM176" s="405">
        <v>0</v>
      </c>
      <c r="BN176" s="405">
        <v>24.3</v>
      </c>
      <c r="BO176" s="405">
        <v>1732.4</v>
      </c>
      <c r="BP176" s="405">
        <v>0</v>
      </c>
      <c r="BQ176" s="649">
        <v>23.14</v>
      </c>
      <c r="BR176" s="649">
        <v>23.03</v>
      </c>
      <c r="BS176" s="649">
        <v>17.2</v>
      </c>
      <c r="BT176" s="649">
        <v>17.28</v>
      </c>
      <c r="BU176" s="648">
        <v>36.200000000000003</v>
      </c>
      <c r="BV176" s="648">
        <v>35.700000000000003</v>
      </c>
      <c r="BW176" s="649">
        <v>968.8</v>
      </c>
      <c r="BX176" s="876"/>
      <c r="BY176" s="649">
        <v>1.02</v>
      </c>
      <c r="BZ176" s="649">
        <v>1.5</v>
      </c>
      <c r="CA176" s="649">
        <v>1.2</v>
      </c>
      <c r="CB176" s="649">
        <v>9.5</v>
      </c>
      <c r="CC176" s="649">
        <v>7.9</v>
      </c>
      <c r="CD176" s="649">
        <v>15.3</v>
      </c>
      <c r="CE176" s="649">
        <v>32.9</v>
      </c>
      <c r="CF176" s="649">
        <v>17.399999999999999</v>
      </c>
      <c r="CG176" s="649">
        <v>6.1</v>
      </c>
      <c r="CH176" s="649">
        <v>11.2</v>
      </c>
      <c r="CI176" s="649">
        <v>15.2</v>
      </c>
      <c r="CJ176" s="649">
        <v>13.31</v>
      </c>
      <c r="CK176" s="649">
        <v>566</v>
      </c>
      <c r="CL176" s="649">
        <v>2.5</v>
      </c>
      <c r="CM176" s="649">
        <v>3.6</v>
      </c>
      <c r="CN176" s="991">
        <v>820</v>
      </c>
      <c r="CO176" s="649">
        <v>784.6</v>
      </c>
      <c r="CP176" s="649">
        <v>587.6</v>
      </c>
      <c r="CQ176" s="649">
        <v>14.5</v>
      </c>
      <c r="CR176" s="649">
        <v>1.05</v>
      </c>
      <c r="CS176" s="648">
        <v>0</v>
      </c>
      <c r="CT176" s="405">
        <v>16.79</v>
      </c>
      <c r="CU176" s="405">
        <v>55</v>
      </c>
      <c r="CV176" s="522">
        <v>0</v>
      </c>
      <c r="CW176" s="522">
        <v>0</v>
      </c>
      <c r="CX176" s="522">
        <v>0</v>
      </c>
      <c r="CY176" s="522">
        <v>0</v>
      </c>
      <c r="CZ176" s="689">
        <v>546</v>
      </c>
      <c r="DA176" s="689">
        <v>657</v>
      </c>
      <c r="DB176" s="689">
        <v>464</v>
      </c>
      <c r="DC176" s="643">
        <v>1166.9100000000001</v>
      </c>
      <c r="DD176" s="522"/>
      <c r="DE176" s="522"/>
      <c r="DF176" s="522"/>
      <c r="DG176" s="522"/>
      <c r="DH176" s="522"/>
      <c r="DI176" s="522"/>
      <c r="DJ176" s="522"/>
      <c r="DK176" s="522"/>
      <c r="DL176" s="649"/>
      <c r="DM176" s="649"/>
      <c r="DN176" s="649"/>
      <c r="DO176" s="522"/>
      <c r="DP176" s="522"/>
      <c r="DQ176" s="522"/>
      <c r="DR176" s="522"/>
      <c r="DS176" s="522"/>
      <c r="DT176" s="522"/>
      <c r="DU176" s="522"/>
      <c r="DV176" s="522"/>
      <c r="DW176" s="522"/>
      <c r="DX176" s="522"/>
      <c r="DY176" s="522"/>
      <c r="DZ176" s="522"/>
      <c r="EA176" s="522"/>
      <c r="EB176" s="522"/>
      <c r="EC176" s="522"/>
      <c r="ED176" s="522"/>
      <c r="EE176" s="522"/>
      <c r="EF176" s="522"/>
      <c r="EG176" s="645">
        <f t="shared" si="132"/>
        <v>15.70205</v>
      </c>
      <c r="EH176" s="361">
        <v>0</v>
      </c>
      <c r="EI176" s="647">
        <v>0</v>
      </c>
      <c r="EJ176" s="647">
        <f t="shared" si="169"/>
        <v>2.99</v>
      </c>
      <c r="EK176" s="647">
        <f t="shared" si="170"/>
        <v>7.16</v>
      </c>
      <c r="EL176" s="522"/>
      <c r="EM176" s="522"/>
      <c r="EN176" s="522"/>
      <c r="EO176" s="522"/>
      <c r="EP176" s="522"/>
      <c r="EQ176" s="522"/>
      <c r="ER176" s="522"/>
      <c r="ES176" s="407"/>
      <c r="ET176" s="407"/>
    </row>
    <row r="177" spans="1:150" s="357" customFormat="1" ht="15">
      <c r="A177" s="675" t="s">
        <v>8</v>
      </c>
      <c r="B177" s="712">
        <v>41803</v>
      </c>
      <c r="C177" s="358">
        <v>0</v>
      </c>
      <c r="D177" s="405">
        <v>0.93</v>
      </c>
      <c r="E177" s="681">
        <v>0</v>
      </c>
      <c r="F177" s="681">
        <v>49</v>
      </c>
      <c r="G177" s="681">
        <v>0.5</v>
      </c>
      <c r="H177" s="405">
        <v>0.95</v>
      </c>
      <c r="I177" s="405">
        <v>93.95</v>
      </c>
      <c r="J177" s="405">
        <v>0.75</v>
      </c>
      <c r="K177" s="405" t="s">
        <v>744</v>
      </c>
      <c r="L177" s="644">
        <v>0</v>
      </c>
      <c r="M177" s="405">
        <v>19.899999999999999</v>
      </c>
      <c r="N177" s="405">
        <v>1.87</v>
      </c>
      <c r="O177" s="405">
        <v>2.3159839290316366</v>
      </c>
      <c r="P177" s="405">
        <v>0</v>
      </c>
      <c r="Q177" s="405" t="s">
        <v>743</v>
      </c>
      <c r="R177" s="790">
        <v>1398.6213051519153</v>
      </c>
      <c r="S177" s="405">
        <v>7.99</v>
      </c>
      <c r="T177" s="405">
        <v>0</v>
      </c>
      <c r="U177" s="405">
        <v>0.59</v>
      </c>
      <c r="V177" s="807">
        <v>0</v>
      </c>
      <c r="W177" s="807">
        <v>51.08</v>
      </c>
      <c r="X177" s="647" t="e">
        <v>#VALUE!</v>
      </c>
      <c r="Y177" s="383">
        <v>36.42</v>
      </c>
      <c r="Z177" s="681">
        <v>35.9</v>
      </c>
      <c r="AA177" s="794">
        <v>36.42</v>
      </c>
      <c r="AB177" s="794">
        <v>35.700000000000003</v>
      </c>
      <c r="AC177" s="775">
        <f t="shared" si="181"/>
        <v>72.12</v>
      </c>
      <c r="AD177" s="775">
        <f t="shared" si="182"/>
        <v>111.56964000000001</v>
      </c>
      <c r="AE177" s="775"/>
      <c r="AF177" s="567"/>
      <c r="AG177" s="2">
        <v>1.6</v>
      </c>
      <c r="AH177" s="705"/>
      <c r="AI177" s="362"/>
      <c r="AJ177" s="996"/>
      <c r="AK177" s="407"/>
      <c r="AL177" s="407"/>
      <c r="AM177" s="407"/>
      <c r="AN177" s="407"/>
      <c r="AO177" s="387"/>
      <c r="AP177" s="387"/>
      <c r="AQ177" s="1028"/>
      <c r="AR177" s="578">
        <v>0</v>
      </c>
      <c r="AS177" s="405">
        <v>11.1</v>
      </c>
      <c r="AT177" s="578">
        <v>0</v>
      </c>
      <c r="AU177" s="405">
        <v>37.700000000000003</v>
      </c>
      <c r="AV177" s="644">
        <v>552.29999999999995</v>
      </c>
      <c r="AW177" s="644">
        <v>689.8</v>
      </c>
      <c r="AX177" s="405">
        <v>14.7</v>
      </c>
      <c r="AY177" s="578">
        <v>0</v>
      </c>
      <c r="AZ177" s="578">
        <v>0</v>
      </c>
      <c r="BA177" s="578">
        <v>0</v>
      </c>
      <c r="BB177" s="1086">
        <v>1.6</v>
      </c>
      <c r="BC177" s="405">
        <v>1.5</v>
      </c>
      <c r="BD177" s="405">
        <v>1.31</v>
      </c>
      <c r="BE177" s="578">
        <v>0</v>
      </c>
      <c r="BF177" s="405">
        <v>0.49</v>
      </c>
      <c r="BG177" s="405">
        <v>0</v>
      </c>
      <c r="BH177" s="578">
        <v>0</v>
      </c>
      <c r="BI177" s="405">
        <v>0</v>
      </c>
      <c r="BJ177" s="405">
        <v>32.6</v>
      </c>
      <c r="BK177" s="405">
        <v>4.37</v>
      </c>
      <c r="BL177" s="405">
        <v>3.21</v>
      </c>
      <c r="BM177" s="405">
        <v>0</v>
      </c>
      <c r="BN177" s="405">
        <v>23.4</v>
      </c>
      <c r="BO177" s="405">
        <v>1441.9</v>
      </c>
      <c r="BP177" s="405">
        <v>0</v>
      </c>
      <c r="BQ177" s="649">
        <v>24.22</v>
      </c>
      <c r="BR177" s="649">
        <v>24.12</v>
      </c>
      <c r="BS177" s="649">
        <v>16.89</v>
      </c>
      <c r="BT177" s="649">
        <v>17.02</v>
      </c>
      <c r="BU177" s="648">
        <v>35.700000000000003</v>
      </c>
      <c r="BV177" s="648">
        <v>35.799999999999997</v>
      </c>
      <c r="BW177" s="649">
        <v>735</v>
      </c>
      <c r="BX177" s="876"/>
      <c r="BY177" s="649">
        <v>2.27</v>
      </c>
      <c r="BZ177" s="649">
        <v>1.48</v>
      </c>
      <c r="CA177" s="649">
        <v>1.2</v>
      </c>
      <c r="CB177" s="649">
        <v>9.3000000000000007</v>
      </c>
      <c r="CC177" s="649">
        <v>7.9</v>
      </c>
      <c r="CD177" s="649">
        <v>16</v>
      </c>
      <c r="CE177" s="649">
        <v>33.200000000000003</v>
      </c>
      <c r="CF177" s="649">
        <v>19.3</v>
      </c>
      <c r="CG177" s="649">
        <v>5.0999999999999996</v>
      </c>
      <c r="CH177" s="649">
        <v>10.1</v>
      </c>
      <c r="CI177" s="649">
        <v>14.1</v>
      </c>
      <c r="CJ177" s="649">
        <v>14.2</v>
      </c>
      <c r="CK177" s="649">
        <v>602.1</v>
      </c>
      <c r="CL177" s="649">
        <v>2.9</v>
      </c>
      <c r="CM177" s="649">
        <v>3.3</v>
      </c>
      <c r="CN177" s="991">
        <v>820</v>
      </c>
      <c r="CO177" s="649">
        <v>662</v>
      </c>
      <c r="CP177" s="649">
        <v>574.4</v>
      </c>
      <c r="CQ177" s="649">
        <v>14.6</v>
      </c>
      <c r="CR177" s="649">
        <v>1.06</v>
      </c>
      <c r="CS177" s="648">
        <v>0</v>
      </c>
      <c r="CT177" s="405">
        <v>16.934999999999999</v>
      </c>
      <c r="CU177" s="405">
        <v>55</v>
      </c>
      <c r="CV177" s="522">
        <v>0</v>
      </c>
      <c r="CW177" s="522">
        <v>0</v>
      </c>
      <c r="CX177" s="522">
        <v>0</v>
      </c>
      <c r="CY177" s="522">
        <v>0</v>
      </c>
      <c r="CZ177" s="689">
        <v>608</v>
      </c>
      <c r="DA177" s="689">
        <v>685</v>
      </c>
      <c r="DB177" s="689">
        <v>455</v>
      </c>
      <c r="DC177" s="643">
        <v>1167.0899999999999</v>
      </c>
      <c r="DD177" s="522"/>
      <c r="DE177" s="522"/>
      <c r="DF177" s="522"/>
      <c r="DG177" s="522"/>
      <c r="DH177" s="522"/>
      <c r="DI177" s="522"/>
      <c r="DJ177" s="522"/>
      <c r="DK177" s="522"/>
      <c r="DL177" s="649"/>
      <c r="DM177" s="649"/>
      <c r="DN177" s="649"/>
      <c r="DO177" s="522"/>
      <c r="DP177" s="522"/>
      <c r="DQ177" s="522"/>
      <c r="DR177" s="522"/>
      <c r="DS177" s="522"/>
      <c r="DT177" s="522"/>
      <c r="DU177" s="522"/>
      <c r="DV177" s="522"/>
      <c r="DW177" s="522"/>
      <c r="DX177" s="522"/>
      <c r="DY177" s="522"/>
      <c r="DZ177" s="522"/>
      <c r="EA177" s="522"/>
      <c r="EB177" s="522"/>
      <c r="EC177" s="522"/>
      <c r="ED177" s="522"/>
      <c r="EE177" s="522"/>
      <c r="EF177" s="522"/>
      <c r="EG177" s="645">
        <f t="shared" si="132"/>
        <v>16.831359999999997</v>
      </c>
      <c r="EH177" s="361">
        <v>0</v>
      </c>
      <c r="EI177" s="649">
        <v>0</v>
      </c>
      <c r="EJ177" s="647">
        <f t="shared" si="169"/>
        <v>3.3</v>
      </c>
      <c r="EK177" s="647">
        <f t="shared" si="170"/>
        <v>7.58</v>
      </c>
      <c r="EL177" s="522"/>
      <c r="EM177" s="522"/>
      <c r="EN177" s="522"/>
      <c r="EO177" s="522"/>
      <c r="EP177" s="522"/>
      <c r="EQ177" s="522"/>
      <c r="ER177" s="522"/>
      <c r="ES177" s="407"/>
      <c r="ET177" s="407"/>
    </row>
    <row r="178" spans="1:150" s="357" customFormat="1" ht="15">
      <c r="A178" s="675" t="s">
        <v>9</v>
      </c>
      <c r="B178" s="712">
        <v>41804</v>
      </c>
      <c r="C178" s="358">
        <v>0</v>
      </c>
      <c r="D178" s="405">
        <v>0.12</v>
      </c>
      <c r="E178" s="681">
        <v>0</v>
      </c>
      <c r="F178" s="681">
        <v>50</v>
      </c>
      <c r="G178" s="681">
        <v>0.7</v>
      </c>
      <c r="H178" s="405">
        <v>0.81</v>
      </c>
      <c r="I178" s="405">
        <v>93.7</v>
      </c>
      <c r="J178" s="405">
        <v>0.72</v>
      </c>
      <c r="K178" s="405" t="s">
        <v>744</v>
      </c>
      <c r="L178" s="644">
        <v>0</v>
      </c>
      <c r="M178" s="405">
        <v>19.600000000000001</v>
      </c>
      <c r="N178" s="405">
        <v>1.86</v>
      </c>
      <c r="O178" s="405">
        <v>2.2730332570413969</v>
      </c>
      <c r="P178" s="405">
        <v>0</v>
      </c>
      <c r="Q178" s="405" t="s">
        <v>743</v>
      </c>
      <c r="R178" s="790">
        <v>1315.0538441215322</v>
      </c>
      <c r="S178" s="405">
        <v>8.02</v>
      </c>
      <c r="T178" s="405">
        <v>0</v>
      </c>
      <c r="U178" s="405">
        <v>0.68</v>
      </c>
      <c r="V178" s="807">
        <v>0</v>
      </c>
      <c r="W178" s="807">
        <v>51.260000000000005</v>
      </c>
      <c r="X178" s="647" t="e">
        <v>#VALUE!</v>
      </c>
      <c r="Y178" s="383">
        <v>36.42</v>
      </c>
      <c r="Z178" s="681">
        <v>35.700000000000003</v>
      </c>
      <c r="AA178" s="1100">
        <v>36.770000000000003</v>
      </c>
      <c r="AB178" s="1100">
        <v>31.2</v>
      </c>
      <c r="AC178" s="775">
        <f t="shared" si="181"/>
        <v>67.97</v>
      </c>
      <c r="AD178" s="775">
        <f t="shared" si="182"/>
        <v>105.14958999999999</v>
      </c>
      <c r="AE178" s="775"/>
      <c r="AF178" s="567"/>
      <c r="AG178" s="2">
        <v>1.6</v>
      </c>
      <c r="AH178" s="705"/>
      <c r="AI178" s="362"/>
      <c r="AJ178" s="996"/>
      <c r="AK178" s="407"/>
      <c r="AL178" s="407"/>
      <c r="AM178" s="407"/>
      <c r="AN178" s="407"/>
      <c r="AO178" s="387"/>
      <c r="AP178" s="387"/>
      <c r="AQ178" s="1028"/>
      <c r="AR178" s="578">
        <v>0</v>
      </c>
      <c r="AS178" s="405">
        <v>22.7</v>
      </c>
      <c r="AT178" s="578">
        <v>0</v>
      </c>
      <c r="AU178" s="405">
        <v>38</v>
      </c>
      <c r="AV178" s="644">
        <v>567.9</v>
      </c>
      <c r="AW178" s="644">
        <v>680.5</v>
      </c>
      <c r="AX178" s="405">
        <v>3.5</v>
      </c>
      <c r="AY178" s="578">
        <v>0</v>
      </c>
      <c r="AZ178" s="578">
        <v>0</v>
      </c>
      <c r="BA178" s="578">
        <v>0</v>
      </c>
      <c r="BB178" s="1086">
        <v>1.6</v>
      </c>
      <c r="BC178" s="405">
        <v>1.38</v>
      </c>
      <c r="BD178" s="405">
        <v>1.5</v>
      </c>
      <c r="BE178" s="578">
        <v>0</v>
      </c>
      <c r="BF178" s="405">
        <v>0.5</v>
      </c>
      <c r="BG178" s="405">
        <v>0</v>
      </c>
      <c r="BH178" s="578">
        <v>0</v>
      </c>
      <c r="BI178" s="405">
        <v>0</v>
      </c>
      <c r="BJ178" s="405">
        <v>28</v>
      </c>
      <c r="BK178" s="405">
        <v>3.13</v>
      </c>
      <c r="BL178" s="405">
        <v>4.91</v>
      </c>
      <c r="BM178" s="405">
        <v>0</v>
      </c>
      <c r="BN178" s="405">
        <v>18.3</v>
      </c>
      <c r="BO178" s="405">
        <v>2249.8000000000002</v>
      </c>
      <c r="BP178" s="405">
        <v>0</v>
      </c>
      <c r="BQ178" s="649">
        <v>24.55</v>
      </c>
      <c r="BR178" s="649">
        <v>24.44</v>
      </c>
      <c r="BS178" s="649">
        <v>17.12</v>
      </c>
      <c r="BT178" s="649">
        <v>17.2</v>
      </c>
      <c r="BU178" s="648">
        <v>36.1</v>
      </c>
      <c r="BV178" s="648">
        <v>38.200000000000003</v>
      </c>
      <c r="BW178" s="649">
        <v>881</v>
      </c>
      <c r="BX178" s="876"/>
      <c r="BY178" s="649">
        <v>0.79</v>
      </c>
      <c r="BZ178" s="649">
        <v>1.52</v>
      </c>
      <c r="CA178" s="649">
        <v>1.2</v>
      </c>
      <c r="CB178" s="649">
        <v>9.1</v>
      </c>
      <c r="CC178" s="649">
        <v>8</v>
      </c>
      <c r="CD178" s="649">
        <v>15.78</v>
      </c>
      <c r="CE178" s="649">
        <v>33.200000000000003</v>
      </c>
      <c r="CF178" s="649">
        <v>18.100000000000001</v>
      </c>
      <c r="CG178" s="649">
        <v>8.1999999999999993</v>
      </c>
      <c r="CH178" s="649">
        <v>13.6</v>
      </c>
      <c r="CI178" s="649">
        <v>18</v>
      </c>
      <c r="CJ178" s="649">
        <v>13.98</v>
      </c>
      <c r="CK178" s="649">
        <v>574.79999999999995</v>
      </c>
      <c r="CL178" s="649">
        <v>1.8</v>
      </c>
      <c r="CM178" s="649">
        <v>2.1</v>
      </c>
      <c r="CN178" s="991">
        <v>820</v>
      </c>
      <c r="CO178" s="689">
        <v>642.79999999999995</v>
      </c>
      <c r="CP178" s="649">
        <v>541.1</v>
      </c>
      <c r="CQ178" s="649">
        <v>14.6</v>
      </c>
      <c r="CR178" s="649">
        <v>1.02</v>
      </c>
      <c r="CS178" s="648">
        <v>0</v>
      </c>
      <c r="CT178" s="405">
        <v>16.684000000000001</v>
      </c>
      <c r="CU178" s="405">
        <v>55</v>
      </c>
      <c r="CV178" s="522">
        <v>0</v>
      </c>
      <c r="CW178" s="522">
        <v>0</v>
      </c>
      <c r="CX178" s="522">
        <v>0</v>
      </c>
      <c r="CY178" s="522">
        <v>0</v>
      </c>
      <c r="CZ178" s="689">
        <v>608</v>
      </c>
      <c r="DA178" s="689">
        <v>641</v>
      </c>
      <c r="DB178" s="689">
        <v>452</v>
      </c>
      <c r="DC178" s="643">
        <v>1167.1300000000001</v>
      </c>
      <c r="DD178" s="522"/>
      <c r="DE178" s="522"/>
      <c r="DF178" s="522"/>
      <c r="DG178" s="522"/>
      <c r="DH178" s="522"/>
      <c r="DI178" s="522"/>
      <c r="DJ178" s="522"/>
      <c r="DK178" s="522"/>
      <c r="DL178" s="649"/>
      <c r="DM178" s="649"/>
      <c r="DN178" s="649"/>
      <c r="DO178" s="522"/>
      <c r="DP178" s="522"/>
      <c r="DQ178" s="522"/>
      <c r="DR178" s="522"/>
      <c r="DS178" s="522"/>
      <c r="DT178" s="522"/>
      <c r="DU178" s="522"/>
      <c r="DV178" s="522"/>
      <c r="DW178" s="522"/>
      <c r="DX178" s="522"/>
      <c r="DY178" s="522"/>
      <c r="DZ178" s="522"/>
      <c r="EA178" s="522"/>
      <c r="EB178" s="522"/>
      <c r="EC178" s="522"/>
      <c r="ED178" s="522"/>
      <c r="EE178" s="522"/>
      <c r="EF178" s="522"/>
      <c r="EG178" s="645">
        <f t="shared" si="132"/>
        <v>17.666739999999997</v>
      </c>
      <c r="EH178" s="361">
        <v>0</v>
      </c>
      <c r="EI178" s="649">
        <v>0</v>
      </c>
      <c r="EJ178" s="647">
        <f t="shared" ref="EJ178:EJ183" si="183">BC178+BD178+BF178</f>
        <v>3.38</v>
      </c>
      <c r="EK178" s="647">
        <f t="shared" ref="EK178:EK183" si="184">BK178+BL178+BM178</f>
        <v>8.0399999999999991</v>
      </c>
      <c r="EL178" s="522"/>
      <c r="EM178" s="522"/>
      <c r="EN178" s="522"/>
      <c r="EO178" s="522"/>
      <c r="EP178" s="522"/>
      <c r="EQ178" s="522"/>
      <c r="ER178" s="522"/>
      <c r="ES178" s="407"/>
      <c r="ET178" s="407"/>
    </row>
    <row r="179" spans="1:150" s="357" customFormat="1" ht="15">
      <c r="A179" s="675" t="s">
        <v>3</v>
      </c>
      <c r="B179" s="712">
        <v>41805</v>
      </c>
      <c r="C179" s="358">
        <v>0</v>
      </c>
      <c r="D179" s="405">
        <v>0.68</v>
      </c>
      <c r="E179" s="681">
        <v>0</v>
      </c>
      <c r="F179" s="681">
        <v>47</v>
      </c>
      <c r="G179" s="681">
        <v>0.6</v>
      </c>
      <c r="H179" s="405">
        <v>0.77</v>
      </c>
      <c r="I179" s="405">
        <v>93.8</v>
      </c>
      <c r="J179" s="405">
        <v>0.7</v>
      </c>
      <c r="K179" s="405" t="s">
        <v>744</v>
      </c>
      <c r="L179" s="644">
        <v>0</v>
      </c>
      <c r="M179" s="643">
        <v>19.5</v>
      </c>
      <c r="N179" s="405">
        <v>1.82</v>
      </c>
      <c r="O179" s="405">
        <v>2.1528399371117652</v>
      </c>
      <c r="P179" s="405">
        <v>0</v>
      </c>
      <c r="Q179" s="405" t="s">
        <v>743</v>
      </c>
      <c r="R179" s="790">
        <v>1178.3659815059443</v>
      </c>
      <c r="S179" s="405">
        <v>8.02</v>
      </c>
      <c r="T179" s="405">
        <v>0</v>
      </c>
      <c r="U179" s="405">
        <v>0.66</v>
      </c>
      <c r="V179" s="807">
        <v>0</v>
      </c>
      <c r="W179" s="807">
        <v>51.980000000000004</v>
      </c>
      <c r="X179" s="647" t="e">
        <v>#VALUE!</v>
      </c>
      <c r="Y179" s="383">
        <v>36.770000000000003</v>
      </c>
      <c r="Z179" s="681">
        <v>31.2</v>
      </c>
      <c r="AA179" s="1100">
        <v>34.299999999999997</v>
      </c>
      <c r="AB179" s="1100">
        <v>30</v>
      </c>
      <c r="AC179" s="775">
        <f t="shared" si="181"/>
        <v>64.3</v>
      </c>
      <c r="AD179" s="775">
        <f t="shared" si="182"/>
        <v>99.472099999999998</v>
      </c>
      <c r="AE179" s="775"/>
      <c r="AF179" s="567"/>
      <c r="AG179" s="2">
        <v>1.6</v>
      </c>
      <c r="AH179" s="705"/>
      <c r="AI179" s="362"/>
      <c r="AJ179" s="996"/>
      <c r="AK179" s="407"/>
      <c r="AL179" s="407"/>
      <c r="AM179" s="407"/>
      <c r="AN179" s="407"/>
      <c r="AO179" s="387"/>
      <c r="AP179" s="387"/>
      <c r="AQ179" s="1028"/>
      <c r="AR179" s="578">
        <v>0</v>
      </c>
      <c r="AS179" s="405">
        <v>12.1</v>
      </c>
      <c r="AT179" s="578">
        <v>0</v>
      </c>
      <c r="AU179" s="405">
        <v>35.799999999999997</v>
      </c>
      <c r="AV179" s="644">
        <v>531.4</v>
      </c>
      <c r="AW179" s="644">
        <v>804.3</v>
      </c>
      <c r="AX179" s="405">
        <v>8</v>
      </c>
      <c r="AY179" s="578">
        <v>0</v>
      </c>
      <c r="AZ179" s="578">
        <v>0</v>
      </c>
      <c r="BA179" s="578">
        <v>0</v>
      </c>
      <c r="BB179" s="1086">
        <v>1.6</v>
      </c>
      <c r="BC179" s="405">
        <v>0.69</v>
      </c>
      <c r="BD179" s="405">
        <v>1.5</v>
      </c>
      <c r="BE179" s="578">
        <v>0</v>
      </c>
      <c r="BF179" s="405">
        <v>0.49</v>
      </c>
      <c r="BG179" s="405">
        <v>0</v>
      </c>
      <c r="BH179" s="578">
        <v>0</v>
      </c>
      <c r="BI179" s="405">
        <v>0</v>
      </c>
      <c r="BJ179" s="405">
        <v>27.1</v>
      </c>
      <c r="BK179" s="405">
        <v>3.57</v>
      </c>
      <c r="BL179" s="405">
        <v>4.51</v>
      </c>
      <c r="BM179" s="405">
        <v>0</v>
      </c>
      <c r="BN179" s="405">
        <v>17.5</v>
      </c>
      <c r="BO179" s="405">
        <v>1299.9000000000001</v>
      </c>
      <c r="BP179" s="405">
        <v>0</v>
      </c>
      <c r="BQ179" s="649">
        <v>24.26</v>
      </c>
      <c r="BR179" s="649">
        <v>24.18</v>
      </c>
      <c r="BS179" s="649">
        <v>15.88</v>
      </c>
      <c r="BT179" s="649">
        <v>15.98</v>
      </c>
      <c r="BU179" s="648">
        <v>33.700000000000003</v>
      </c>
      <c r="BV179" s="648">
        <v>37.4</v>
      </c>
      <c r="BW179" s="649">
        <v>693.8</v>
      </c>
      <c r="BX179" s="876"/>
      <c r="BY179" s="649">
        <v>0.79</v>
      </c>
      <c r="BZ179" s="649">
        <v>1.41</v>
      </c>
      <c r="CA179" s="649">
        <v>1.2</v>
      </c>
      <c r="CB179" s="649">
        <v>9</v>
      </c>
      <c r="CC179" s="649">
        <v>8.1</v>
      </c>
      <c r="CD179" s="649">
        <v>16.3</v>
      </c>
      <c r="CE179" s="649">
        <v>33</v>
      </c>
      <c r="CF179" s="649">
        <v>15.8</v>
      </c>
      <c r="CG179" s="649">
        <v>6.1</v>
      </c>
      <c r="CH179" s="649">
        <v>11.2</v>
      </c>
      <c r="CI179" s="649">
        <v>15.2</v>
      </c>
      <c r="CJ179" s="649">
        <v>14.15</v>
      </c>
      <c r="CK179" s="649">
        <v>556.1</v>
      </c>
      <c r="CL179" s="649">
        <v>2.2000000000000002</v>
      </c>
      <c r="CM179" s="649">
        <v>2</v>
      </c>
      <c r="CN179" s="991">
        <v>820</v>
      </c>
      <c r="CO179" s="649">
        <v>740.8</v>
      </c>
      <c r="CP179" s="649">
        <v>538.29999999999995</v>
      </c>
      <c r="CQ179" s="649">
        <v>13.9</v>
      </c>
      <c r="CR179" s="649">
        <v>0.95</v>
      </c>
      <c r="CS179" s="648">
        <v>0</v>
      </c>
      <c r="CT179" s="405">
        <v>15.993</v>
      </c>
      <c r="CU179" s="405">
        <v>55</v>
      </c>
      <c r="CV179" s="522">
        <v>0</v>
      </c>
      <c r="CW179" s="522">
        <v>0</v>
      </c>
      <c r="CX179" s="522">
        <v>0</v>
      </c>
      <c r="CY179" s="522">
        <v>0</v>
      </c>
      <c r="CZ179" s="689">
        <v>531</v>
      </c>
      <c r="DA179" s="689">
        <v>668</v>
      </c>
      <c r="DB179" s="689">
        <v>473</v>
      </c>
      <c r="DC179" s="643">
        <v>1167.2</v>
      </c>
      <c r="DD179" s="522"/>
      <c r="DE179" s="522"/>
      <c r="DF179" s="522"/>
      <c r="DG179" s="522"/>
      <c r="DH179" s="522"/>
      <c r="DI179" s="522"/>
      <c r="DJ179" s="522"/>
      <c r="DK179" s="522"/>
      <c r="DL179" s="649"/>
      <c r="DM179" s="649"/>
      <c r="DN179" s="649"/>
      <c r="DO179" s="522"/>
      <c r="DP179" s="522"/>
      <c r="DQ179" s="522"/>
      <c r="DR179" s="522"/>
      <c r="DS179" s="522"/>
      <c r="DT179" s="522"/>
      <c r="DU179" s="522"/>
      <c r="DV179" s="522"/>
      <c r="DW179" s="522"/>
      <c r="DX179" s="522"/>
      <c r="DY179" s="522"/>
      <c r="DZ179" s="522"/>
      <c r="EA179" s="522"/>
      <c r="EB179" s="522"/>
      <c r="EC179" s="522"/>
      <c r="ED179" s="522"/>
      <c r="EE179" s="522"/>
      <c r="EF179" s="522"/>
      <c r="EG179" s="645">
        <f t="shared" si="132"/>
        <v>16.645719999999997</v>
      </c>
      <c r="EH179" s="361">
        <v>0</v>
      </c>
      <c r="EI179" s="649">
        <v>0</v>
      </c>
      <c r="EJ179" s="647">
        <f t="shared" si="183"/>
        <v>2.6799999999999997</v>
      </c>
      <c r="EK179" s="647">
        <f t="shared" si="184"/>
        <v>8.08</v>
      </c>
      <c r="EL179" s="522"/>
      <c r="EM179" s="522"/>
      <c r="EN179" s="522"/>
      <c r="EO179" s="522"/>
      <c r="EP179" s="522"/>
      <c r="EQ179" s="522"/>
      <c r="ER179" s="522"/>
      <c r="ES179" s="407"/>
      <c r="ET179" s="407"/>
    </row>
    <row r="180" spans="1:150" s="357" customFormat="1" ht="15">
      <c r="A180" s="675" t="s">
        <v>4</v>
      </c>
      <c r="B180" s="712">
        <v>41806</v>
      </c>
      <c r="C180" s="358">
        <v>0</v>
      </c>
      <c r="D180" s="405">
        <v>1.04</v>
      </c>
      <c r="E180" s="681">
        <v>0</v>
      </c>
      <c r="F180" s="681">
        <v>50</v>
      </c>
      <c r="G180" s="681">
        <v>0.7</v>
      </c>
      <c r="H180" s="405">
        <v>2</v>
      </c>
      <c r="I180" s="405">
        <v>94.2</v>
      </c>
      <c r="J180" s="405">
        <v>1.29</v>
      </c>
      <c r="K180" s="405" t="s">
        <v>744</v>
      </c>
      <c r="L180" s="644">
        <v>0</v>
      </c>
      <c r="M180" s="405">
        <v>19.8</v>
      </c>
      <c r="N180" s="405">
        <v>1.82</v>
      </c>
      <c r="O180" s="405">
        <v>2.2005925121331216</v>
      </c>
      <c r="P180" s="405">
        <v>0</v>
      </c>
      <c r="Q180" s="405" t="s">
        <v>743</v>
      </c>
      <c r="R180" s="790">
        <v>1187.4353183619548</v>
      </c>
      <c r="S180" s="405">
        <v>8.06</v>
      </c>
      <c r="T180" s="405">
        <v>0</v>
      </c>
      <c r="U180" s="405">
        <v>0.68</v>
      </c>
      <c r="V180" s="807">
        <v>0</v>
      </c>
      <c r="W180" s="807">
        <v>51.620000000000005</v>
      </c>
      <c r="X180" s="647" t="e">
        <v>#VALUE!</v>
      </c>
      <c r="Y180" s="383">
        <v>34.299999999999997</v>
      </c>
      <c r="Z180" s="681">
        <v>30</v>
      </c>
      <c r="AA180" s="1100">
        <v>32.81</v>
      </c>
      <c r="AB180" s="1100">
        <v>30.4</v>
      </c>
      <c r="AC180" s="775">
        <f t="shared" ref="AC180" si="185">AA180+AB180</f>
        <v>63.21</v>
      </c>
      <c r="AD180" s="775">
        <f t="shared" ref="AD180" si="186">AC180*1.547</f>
        <v>97.785870000000003</v>
      </c>
      <c r="AE180" s="775"/>
      <c r="AF180" s="567"/>
      <c r="AG180" s="2">
        <v>1.6</v>
      </c>
      <c r="AH180" s="705"/>
      <c r="AI180" s="362"/>
      <c r="AJ180" s="996"/>
      <c r="AK180" s="407"/>
      <c r="AL180" s="407"/>
      <c r="AM180" s="407"/>
      <c r="AN180" s="407"/>
      <c r="AO180" s="387"/>
      <c r="AP180" s="387"/>
      <c r="AQ180" s="1028"/>
      <c r="AR180" s="578">
        <v>0</v>
      </c>
      <c r="AS180" s="405">
        <v>23.2</v>
      </c>
      <c r="AT180" s="578">
        <v>0</v>
      </c>
      <c r="AU180" s="405">
        <v>34</v>
      </c>
      <c r="AV180" s="644">
        <v>588.5</v>
      </c>
      <c r="AW180" s="644">
        <v>608.1</v>
      </c>
      <c r="AX180" s="405">
        <v>17.399999999999999</v>
      </c>
      <c r="AY180" s="578">
        <v>0</v>
      </c>
      <c r="AZ180" s="578">
        <v>0</v>
      </c>
      <c r="BA180" s="578">
        <v>0</v>
      </c>
      <c r="BB180" s="1086">
        <v>1.6</v>
      </c>
      <c r="BC180" s="405">
        <v>1</v>
      </c>
      <c r="BD180" s="405">
        <v>1.5</v>
      </c>
      <c r="BE180" s="578">
        <v>0</v>
      </c>
      <c r="BF180" s="405">
        <v>0.49</v>
      </c>
      <c r="BG180" s="405">
        <v>0</v>
      </c>
      <c r="BH180" s="578">
        <v>0</v>
      </c>
      <c r="BI180" s="405">
        <v>0</v>
      </c>
      <c r="BJ180" s="405">
        <v>27.6</v>
      </c>
      <c r="BK180" s="405">
        <v>4.1100000000000003</v>
      </c>
      <c r="BL180" s="405">
        <v>3.9</v>
      </c>
      <c r="BM180" s="405">
        <v>0</v>
      </c>
      <c r="BN180" s="405">
        <v>18</v>
      </c>
      <c r="BO180" s="405">
        <v>1743.5</v>
      </c>
      <c r="BP180" s="405">
        <v>0</v>
      </c>
      <c r="BQ180" s="649">
        <v>22.01</v>
      </c>
      <c r="BR180" s="649">
        <v>21.93</v>
      </c>
      <c r="BS180" s="649">
        <v>15.14</v>
      </c>
      <c r="BT180" s="649">
        <v>15.21</v>
      </c>
      <c r="BU180" s="648">
        <v>32.200000000000003</v>
      </c>
      <c r="BV180" s="648">
        <v>41.5</v>
      </c>
      <c r="BW180" s="649">
        <v>869.5</v>
      </c>
      <c r="BX180" s="876"/>
      <c r="BY180" s="649">
        <v>0.77</v>
      </c>
      <c r="BZ180" s="649">
        <v>1.37</v>
      </c>
      <c r="CA180" s="649">
        <v>1.2</v>
      </c>
      <c r="CB180" s="649">
        <v>8.4</v>
      </c>
      <c r="CC180" s="649">
        <v>8</v>
      </c>
      <c r="CD180" s="649">
        <v>16</v>
      </c>
      <c r="CE180" s="649">
        <v>32.700000000000003</v>
      </c>
      <c r="CF180" s="649">
        <v>19.100000000000001</v>
      </c>
      <c r="CG180" s="649">
        <v>5.2</v>
      </c>
      <c r="CH180" s="649">
        <v>10.1</v>
      </c>
      <c r="CI180" s="649">
        <v>14.3</v>
      </c>
      <c r="CJ180" s="649">
        <v>13.94</v>
      </c>
      <c r="CK180" s="649">
        <v>546.5</v>
      </c>
      <c r="CL180" s="649">
        <v>2.1</v>
      </c>
      <c r="CM180" s="649">
        <v>2.7</v>
      </c>
      <c r="CN180" s="991">
        <v>820</v>
      </c>
      <c r="CO180" s="649">
        <v>809.6</v>
      </c>
      <c r="CP180" s="649">
        <v>603.6</v>
      </c>
      <c r="CQ180" s="649">
        <v>14</v>
      </c>
      <c r="CR180" s="649">
        <v>1</v>
      </c>
      <c r="CS180" s="648">
        <v>0</v>
      </c>
      <c r="CT180" s="405">
        <v>16.260000000000002</v>
      </c>
      <c r="CU180" s="405">
        <v>55</v>
      </c>
      <c r="CV180" s="522">
        <v>0</v>
      </c>
      <c r="CW180" s="522">
        <v>0</v>
      </c>
      <c r="CX180" s="522">
        <v>0</v>
      </c>
      <c r="CY180" s="522">
        <v>0</v>
      </c>
      <c r="CZ180" s="689">
        <v>608</v>
      </c>
      <c r="DA180" s="689">
        <v>754</v>
      </c>
      <c r="DB180" s="689">
        <v>611</v>
      </c>
      <c r="DC180" s="643">
        <v>1167.3599999999999</v>
      </c>
      <c r="DD180" s="522"/>
      <c r="DE180" s="522"/>
      <c r="DF180" s="522"/>
      <c r="DG180" s="522"/>
      <c r="DH180" s="522"/>
      <c r="DI180" s="522"/>
      <c r="DJ180" s="522"/>
      <c r="DK180" s="522"/>
      <c r="DL180" s="649"/>
      <c r="DM180" s="649"/>
      <c r="DN180" s="649"/>
      <c r="DO180" s="522"/>
      <c r="DP180" s="522"/>
      <c r="DQ180" s="522"/>
      <c r="DR180" s="522"/>
      <c r="DS180" s="522"/>
      <c r="DT180" s="522"/>
      <c r="DU180" s="522"/>
      <c r="DV180" s="522"/>
      <c r="DW180" s="522"/>
      <c r="DX180" s="522"/>
      <c r="DY180" s="522"/>
      <c r="DZ180" s="522"/>
      <c r="EA180" s="522"/>
      <c r="EB180" s="522"/>
      <c r="EC180" s="522"/>
      <c r="ED180" s="522"/>
      <c r="EE180" s="522"/>
      <c r="EF180" s="522"/>
      <c r="EG180" s="645">
        <f t="shared" si="132"/>
        <v>17.016999999999999</v>
      </c>
      <c r="EH180" s="361">
        <v>0</v>
      </c>
      <c r="EI180" s="649">
        <v>0</v>
      </c>
      <c r="EJ180" s="647">
        <f t="shared" si="183"/>
        <v>2.99</v>
      </c>
      <c r="EK180" s="647">
        <f t="shared" si="184"/>
        <v>8.01</v>
      </c>
      <c r="EL180" s="522"/>
      <c r="EM180" s="522"/>
      <c r="EN180" s="522"/>
      <c r="EO180" s="522"/>
      <c r="EP180" s="522"/>
      <c r="EQ180" s="522"/>
      <c r="ER180" s="522"/>
      <c r="ES180" s="407"/>
      <c r="ET180" s="407"/>
    </row>
    <row r="181" spans="1:150" s="357" customFormat="1" ht="15">
      <c r="A181" s="675" t="s">
        <v>5</v>
      </c>
      <c r="B181" s="712">
        <v>41807</v>
      </c>
      <c r="C181" s="358">
        <v>0</v>
      </c>
      <c r="D181" s="405">
        <v>0.26</v>
      </c>
      <c r="E181" s="681">
        <v>0</v>
      </c>
      <c r="F181" s="681">
        <v>51</v>
      </c>
      <c r="G181" s="681">
        <v>0.3</v>
      </c>
      <c r="H181" s="405">
        <v>0.93</v>
      </c>
      <c r="I181" s="405">
        <v>94.4</v>
      </c>
      <c r="J181" s="405">
        <v>0.79</v>
      </c>
      <c r="K181" s="405" t="s">
        <v>744</v>
      </c>
      <c r="L181" s="644">
        <v>0</v>
      </c>
      <c r="M181" s="405">
        <v>19.8</v>
      </c>
      <c r="N181" s="405">
        <v>1.87</v>
      </c>
      <c r="O181" s="405">
        <v>2.2516850032305236</v>
      </c>
      <c r="P181" s="405">
        <v>0</v>
      </c>
      <c r="Q181" s="405" t="s">
        <v>743</v>
      </c>
      <c r="R181" s="790">
        <v>1260.6378229854686</v>
      </c>
      <c r="S181" s="405">
        <v>8.0399999999999991</v>
      </c>
      <c r="T181" s="405">
        <v>0</v>
      </c>
      <c r="U181" s="405">
        <v>0.68</v>
      </c>
      <c r="V181" s="807">
        <v>0</v>
      </c>
      <c r="W181" s="807">
        <v>52.160000000000011</v>
      </c>
      <c r="X181" s="647" t="e">
        <v>#VALUE!</v>
      </c>
      <c r="Y181" s="383">
        <v>32.81</v>
      </c>
      <c r="Z181" s="681">
        <v>30.4</v>
      </c>
      <c r="AA181" s="794">
        <v>32.799999999999997</v>
      </c>
      <c r="AB181" s="794">
        <v>33</v>
      </c>
      <c r="AC181" s="775">
        <f t="shared" ref="AC181:AC182" si="187">AA181+AB181</f>
        <v>65.8</v>
      </c>
      <c r="AD181" s="775">
        <f t="shared" ref="AD181:AD182" si="188">AC181*1.547</f>
        <v>101.79259999999999</v>
      </c>
      <c r="AE181" s="775"/>
      <c r="AF181" s="567"/>
      <c r="AG181" s="2">
        <v>1.6</v>
      </c>
      <c r="AH181" s="705"/>
      <c r="AI181" s="362"/>
      <c r="AJ181" s="996"/>
      <c r="AK181" s="407"/>
      <c r="AL181" s="407"/>
      <c r="AM181" s="407"/>
      <c r="AN181" s="407"/>
      <c r="AO181" s="387"/>
      <c r="AP181" s="387"/>
      <c r="AQ181" s="1028"/>
      <c r="AR181" s="578">
        <v>0</v>
      </c>
      <c r="AS181" s="405">
        <v>11.3</v>
      </c>
      <c r="AT181" s="578">
        <v>0</v>
      </c>
      <c r="AU181" s="405">
        <v>33.9</v>
      </c>
      <c r="AV181" s="644">
        <v>423.2</v>
      </c>
      <c r="AW181" s="644">
        <v>565.79999999999995</v>
      </c>
      <c r="AX181" s="405">
        <v>10.3</v>
      </c>
      <c r="AY181" s="578">
        <v>0</v>
      </c>
      <c r="AZ181" s="578">
        <v>0</v>
      </c>
      <c r="BA181" s="578">
        <v>0</v>
      </c>
      <c r="BB181" s="1086">
        <v>1.59</v>
      </c>
      <c r="BC181" s="405">
        <v>1</v>
      </c>
      <c r="BD181" s="405">
        <v>1.5</v>
      </c>
      <c r="BE181" s="578">
        <v>0</v>
      </c>
      <c r="BF181" s="405">
        <v>0.49</v>
      </c>
      <c r="BG181" s="405">
        <v>0</v>
      </c>
      <c r="BH181" s="578">
        <v>0</v>
      </c>
      <c r="BI181" s="405">
        <v>0</v>
      </c>
      <c r="BJ181" s="405">
        <v>30.2</v>
      </c>
      <c r="BK181" s="405">
        <v>3.46</v>
      </c>
      <c r="BL181" s="405">
        <v>4.5</v>
      </c>
      <c r="BM181" s="405">
        <v>0</v>
      </c>
      <c r="BN181" s="405">
        <v>20.5</v>
      </c>
      <c r="BO181" s="405">
        <v>1985.3</v>
      </c>
      <c r="BP181" s="405">
        <v>0</v>
      </c>
      <c r="BQ181" s="649">
        <v>21.58</v>
      </c>
      <c r="BR181" s="649">
        <v>21.48</v>
      </c>
      <c r="BS181" s="649">
        <v>15.18</v>
      </c>
      <c r="BT181" s="649">
        <v>15.28</v>
      </c>
      <c r="BU181" s="648">
        <v>32.299999999999997</v>
      </c>
      <c r="BV181" s="648">
        <v>36.5</v>
      </c>
      <c r="BW181" s="649">
        <v>655.4</v>
      </c>
      <c r="BX181" s="876"/>
      <c r="BY181" s="649">
        <v>0.76</v>
      </c>
      <c r="BZ181" s="649">
        <v>1.44</v>
      </c>
      <c r="CA181" s="649">
        <v>1.2</v>
      </c>
      <c r="CB181" s="649">
        <v>7.8</v>
      </c>
      <c r="CC181" s="649">
        <v>8.1</v>
      </c>
      <c r="CD181" s="649">
        <v>16</v>
      </c>
      <c r="CE181" s="649">
        <v>33</v>
      </c>
      <c r="CF181" s="649">
        <v>16.8</v>
      </c>
      <c r="CG181" s="649">
        <v>6.6</v>
      </c>
      <c r="CH181" s="649">
        <v>11.8</v>
      </c>
      <c r="CI181" s="649">
        <v>16.100000000000001</v>
      </c>
      <c r="CJ181" s="649">
        <v>13.58</v>
      </c>
      <c r="CK181" s="649">
        <v>195.8</v>
      </c>
      <c r="CL181" s="649">
        <v>2.8</v>
      </c>
      <c r="CM181" s="649">
        <v>3.7</v>
      </c>
      <c r="CN181" s="991">
        <v>820</v>
      </c>
      <c r="CO181" s="649">
        <v>743.2</v>
      </c>
      <c r="CP181" s="649">
        <v>583.79999999999995</v>
      </c>
      <c r="CQ181" s="649">
        <v>13.9</v>
      </c>
      <c r="CR181" s="649">
        <v>0.99</v>
      </c>
      <c r="CS181" s="648">
        <v>0</v>
      </c>
      <c r="CT181" s="405">
        <v>16.905000000000001</v>
      </c>
      <c r="CU181" s="405">
        <v>55</v>
      </c>
      <c r="CV181" s="522">
        <v>0</v>
      </c>
      <c r="CW181" s="522">
        <v>0</v>
      </c>
      <c r="CX181" s="522">
        <v>0</v>
      </c>
      <c r="CY181" s="522">
        <v>0</v>
      </c>
      <c r="CZ181" s="689">
        <v>658</v>
      </c>
      <c r="DA181" s="689">
        <v>825</v>
      </c>
      <c r="DB181" s="689">
        <v>604</v>
      </c>
      <c r="DC181" s="643">
        <v>1167.3699999999999</v>
      </c>
      <c r="DD181" s="522"/>
      <c r="DE181" s="522"/>
      <c r="DF181" s="522"/>
      <c r="DG181" s="522"/>
      <c r="DH181" s="522"/>
      <c r="DI181" s="522"/>
      <c r="DJ181" s="522"/>
      <c r="DK181" s="522"/>
      <c r="DL181" s="649"/>
      <c r="DM181" s="649"/>
      <c r="DN181" s="649"/>
      <c r="DO181" s="522"/>
      <c r="DP181" s="522"/>
      <c r="DQ181" s="522"/>
      <c r="DR181" s="522"/>
      <c r="DS181" s="522"/>
      <c r="DT181" s="522"/>
      <c r="DU181" s="522"/>
      <c r="DV181" s="522"/>
      <c r="DW181" s="522"/>
      <c r="DX181" s="522"/>
      <c r="DY181" s="522"/>
      <c r="DZ181" s="522"/>
      <c r="EA181" s="522"/>
      <c r="EB181" s="522"/>
      <c r="EC181" s="522"/>
      <c r="ED181" s="522"/>
      <c r="EE181" s="522"/>
      <c r="EF181" s="522"/>
      <c r="EG181" s="645">
        <f t="shared" si="132"/>
        <v>16.939649999999997</v>
      </c>
      <c r="EH181" s="361">
        <v>0</v>
      </c>
      <c r="EI181" s="649">
        <v>0</v>
      </c>
      <c r="EJ181" s="647">
        <f t="shared" si="183"/>
        <v>2.99</v>
      </c>
      <c r="EK181" s="647">
        <f t="shared" si="184"/>
        <v>7.96</v>
      </c>
      <c r="EL181" s="522"/>
      <c r="EM181" s="522"/>
      <c r="EN181" s="522"/>
      <c r="EO181" s="522"/>
      <c r="EP181" s="522"/>
      <c r="EQ181" s="522"/>
      <c r="ER181" s="522"/>
      <c r="ES181" s="407"/>
      <c r="ET181" s="407"/>
    </row>
    <row r="182" spans="1:150" s="357" customFormat="1" ht="15">
      <c r="A182" s="675" t="s">
        <v>6</v>
      </c>
      <c r="B182" s="712">
        <v>41808</v>
      </c>
      <c r="C182" s="358">
        <v>0</v>
      </c>
      <c r="D182" s="405">
        <v>0</v>
      </c>
      <c r="E182" s="681">
        <v>0</v>
      </c>
      <c r="F182" s="681">
        <v>50</v>
      </c>
      <c r="G182" s="681">
        <v>0.6</v>
      </c>
      <c r="H182" s="405">
        <v>0.7</v>
      </c>
      <c r="I182" s="405">
        <v>93.84</v>
      </c>
      <c r="J182" s="405">
        <v>0.83</v>
      </c>
      <c r="K182" s="405" t="s">
        <v>744</v>
      </c>
      <c r="L182" s="644">
        <v>0</v>
      </c>
      <c r="M182" s="405">
        <v>19.5</v>
      </c>
      <c r="N182" s="405">
        <v>1.85</v>
      </c>
      <c r="O182" s="405">
        <v>2.259924663802074</v>
      </c>
      <c r="P182" s="405">
        <v>0</v>
      </c>
      <c r="Q182" s="405" t="s">
        <v>743</v>
      </c>
      <c r="R182" s="790">
        <v>1296.9151704095111</v>
      </c>
      <c r="S182" s="405">
        <v>8.11</v>
      </c>
      <c r="T182" s="405">
        <v>0</v>
      </c>
      <c r="U182" s="405">
        <v>0.67</v>
      </c>
      <c r="V182" s="807">
        <v>0</v>
      </c>
      <c r="W182" s="807">
        <v>53.42</v>
      </c>
      <c r="X182" s="647" t="e">
        <v>#VALUE!</v>
      </c>
      <c r="Y182" s="383">
        <v>32.799999999999997</v>
      </c>
      <c r="Z182" s="681">
        <v>33</v>
      </c>
      <c r="AA182" s="794">
        <v>32.700000000000003</v>
      </c>
      <c r="AB182" s="794">
        <v>34.9</v>
      </c>
      <c r="AC182" s="775">
        <f t="shared" si="187"/>
        <v>67.599999999999994</v>
      </c>
      <c r="AD182" s="775">
        <f t="shared" si="188"/>
        <v>104.57719999999999</v>
      </c>
      <c r="AE182" s="775"/>
      <c r="AF182" s="567"/>
      <c r="AG182" s="2">
        <v>1.6</v>
      </c>
      <c r="AH182" s="705"/>
      <c r="AI182" s="362"/>
      <c r="AJ182" s="996"/>
      <c r="AK182" s="407"/>
      <c r="AL182" s="407"/>
      <c r="AM182" s="407"/>
      <c r="AN182" s="407"/>
      <c r="AO182" s="387"/>
      <c r="AP182" s="387"/>
      <c r="AQ182" s="1028"/>
      <c r="AR182" s="578">
        <v>0</v>
      </c>
      <c r="AS182" s="405">
        <v>22.9</v>
      </c>
      <c r="AT182" s="578">
        <v>0</v>
      </c>
      <c r="AU182" s="405">
        <v>33.799999999999997</v>
      </c>
      <c r="AV182" s="644">
        <v>378</v>
      </c>
      <c r="AW182" s="644">
        <v>568.9</v>
      </c>
      <c r="AX182" s="405">
        <v>17.899999999999999</v>
      </c>
      <c r="AY182" s="578">
        <v>0</v>
      </c>
      <c r="AZ182" s="578">
        <v>0</v>
      </c>
      <c r="BA182" s="578">
        <v>0</v>
      </c>
      <c r="BB182" s="1086">
        <v>1.38</v>
      </c>
      <c r="BC182" s="405">
        <v>1</v>
      </c>
      <c r="BD182" s="405">
        <v>1.5</v>
      </c>
      <c r="BE182" s="578">
        <v>0</v>
      </c>
      <c r="BF182" s="405">
        <v>0.49</v>
      </c>
      <c r="BG182" s="405">
        <v>0</v>
      </c>
      <c r="BH182" s="578">
        <v>0</v>
      </c>
      <c r="BI182" s="405">
        <v>0</v>
      </c>
      <c r="BJ182" s="405">
        <v>32</v>
      </c>
      <c r="BK182" s="405">
        <v>3.51</v>
      </c>
      <c r="BL182" s="405">
        <v>4.49</v>
      </c>
      <c r="BM182" s="405">
        <v>0</v>
      </c>
      <c r="BN182" s="405">
        <v>22.6</v>
      </c>
      <c r="BO182" s="405">
        <v>1695</v>
      </c>
      <c r="BP182" s="405">
        <v>0</v>
      </c>
      <c r="BQ182" s="649">
        <v>19.86</v>
      </c>
      <c r="BR182" s="649">
        <v>19.760000000000002</v>
      </c>
      <c r="BS182" s="649">
        <v>15.07</v>
      </c>
      <c r="BT182" s="649">
        <v>15.16</v>
      </c>
      <c r="BU182" s="648">
        <v>32.1</v>
      </c>
      <c r="BV182" s="648">
        <v>39.799999999999997</v>
      </c>
      <c r="BW182" s="649">
        <v>716.9</v>
      </c>
      <c r="BX182" s="876"/>
      <c r="BY182" s="649">
        <v>0.74</v>
      </c>
      <c r="BZ182" s="649">
        <v>1.45</v>
      </c>
      <c r="CA182" s="649">
        <v>1.2</v>
      </c>
      <c r="CB182" s="649">
        <v>7.8</v>
      </c>
      <c r="CC182" s="649">
        <v>8.1</v>
      </c>
      <c r="CD182" s="649">
        <v>16.3</v>
      </c>
      <c r="CE182" s="649">
        <v>32.799999999999997</v>
      </c>
      <c r="CF182" s="649">
        <v>18.5</v>
      </c>
      <c r="CG182" s="649">
        <v>5.2</v>
      </c>
      <c r="CH182" s="649">
        <v>10.199999999999999</v>
      </c>
      <c r="CI182" s="649">
        <v>14.1</v>
      </c>
      <c r="CJ182" s="649">
        <v>13.53</v>
      </c>
      <c r="CK182" s="649">
        <v>0</v>
      </c>
      <c r="CL182" s="649">
        <v>3.5</v>
      </c>
      <c r="CM182" s="649">
        <v>4.9000000000000004</v>
      </c>
      <c r="CN182" s="991">
        <v>1200</v>
      </c>
      <c r="CO182" s="649">
        <v>832.1</v>
      </c>
      <c r="CP182" s="649">
        <v>620.4</v>
      </c>
      <c r="CQ182" s="649">
        <v>13.7</v>
      </c>
      <c r="CR182" s="649">
        <v>0.98</v>
      </c>
      <c r="CS182" s="648">
        <v>0</v>
      </c>
      <c r="CT182" s="405">
        <v>14.423</v>
      </c>
      <c r="CU182" s="405">
        <v>55</v>
      </c>
      <c r="CV182" s="522">
        <v>0</v>
      </c>
      <c r="CW182" s="522">
        <v>0</v>
      </c>
      <c r="CX182" s="522">
        <v>0</v>
      </c>
      <c r="CY182" s="522">
        <v>0</v>
      </c>
      <c r="CZ182" s="689">
        <v>608</v>
      </c>
      <c r="DA182" s="689">
        <v>801</v>
      </c>
      <c r="DB182" s="689">
        <v>598</v>
      </c>
      <c r="DC182" s="643">
        <v>1167.3599999999999</v>
      </c>
      <c r="DD182" s="522"/>
      <c r="DE182" s="522"/>
      <c r="DF182" s="522"/>
      <c r="DG182" s="522"/>
      <c r="DH182" s="522"/>
      <c r="DI182" s="522"/>
      <c r="DJ182" s="522"/>
      <c r="DK182" s="522"/>
      <c r="DL182" s="649"/>
      <c r="DM182" s="649"/>
      <c r="DN182" s="649"/>
      <c r="DO182" s="522"/>
      <c r="DP182" s="522"/>
      <c r="DQ182" s="522"/>
      <c r="DR182" s="522"/>
      <c r="DS182" s="522"/>
      <c r="DT182" s="522"/>
      <c r="DU182" s="522"/>
      <c r="DV182" s="522"/>
      <c r="DW182" s="522"/>
      <c r="DX182" s="522"/>
      <c r="DY182" s="522"/>
      <c r="DZ182" s="522"/>
      <c r="EA182" s="522"/>
      <c r="EB182" s="522"/>
      <c r="EC182" s="522"/>
      <c r="ED182" s="522"/>
      <c r="EE182" s="522"/>
      <c r="EF182" s="522"/>
      <c r="EG182" s="645">
        <f t="shared" si="132"/>
        <v>17.001529999999999</v>
      </c>
      <c r="EH182" s="361">
        <v>0</v>
      </c>
      <c r="EI182" s="649">
        <v>0</v>
      </c>
      <c r="EJ182" s="647">
        <f t="shared" si="183"/>
        <v>2.99</v>
      </c>
      <c r="EK182" s="647">
        <f t="shared" si="184"/>
        <v>8</v>
      </c>
      <c r="EL182" s="522"/>
      <c r="EM182" s="522"/>
      <c r="EN182" s="522"/>
      <c r="EO182" s="522"/>
      <c r="EP182" s="522"/>
      <c r="EQ182" s="522"/>
      <c r="ER182" s="522"/>
      <c r="ES182" s="407"/>
      <c r="ET182" s="407"/>
    </row>
    <row r="183" spans="1:150" s="357" customFormat="1" ht="15">
      <c r="A183" s="675" t="s">
        <v>7</v>
      </c>
      <c r="B183" s="712">
        <v>41809</v>
      </c>
      <c r="C183" s="358">
        <v>0</v>
      </c>
      <c r="D183" s="405">
        <v>7.0000000000000007E-2</v>
      </c>
      <c r="E183" s="681">
        <v>0</v>
      </c>
      <c r="F183" s="681">
        <v>56</v>
      </c>
      <c r="G183" s="681">
        <v>0.6</v>
      </c>
      <c r="H183" s="405">
        <v>0.66</v>
      </c>
      <c r="I183" s="405">
        <v>94.8</v>
      </c>
      <c r="J183" s="405">
        <v>0.57999999999999996</v>
      </c>
      <c r="K183" s="405" t="s">
        <v>744</v>
      </c>
      <c r="L183" s="644">
        <v>0</v>
      </c>
      <c r="M183" s="405">
        <v>19.399999999999999</v>
      </c>
      <c r="N183" s="405">
        <v>1.9</v>
      </c>
      <c r="O183" s="405">
        <v>2.2576323656949717</v>
      </c>
      <c r="P183" s="405">
        <v>0</v>
      </c>
      <c r="Q183" s="405" t="s">
        <v>743</v>
      </c>
      <c r="R183" s="790">
        <v>1359.428813738441</v>
      </c>
      <c r="S183" s="405">
        <v>8</v>
      </c>
      <c r="T183" s="405">
        <v>0</v>
      </c>
      <c r="U183" s="405">
        <v>0.68</v>
      </c>
      <c r="V183" s="807">
        <v>0</v>
      </c>
      <c r="W183" s="807">
        <v>55.22</v>
      </c>
      <c r="X183" s="647" t="e">
        <v>#VALUE!</v>
      </c>
      <c r="Y183" s="383">
        <v>32.700000000000003</v>
      </c>
      <c r="Z183" s="681">
        <v>34.9</v>
      </c>
      <c r="AA183" s="794">
        <v>32.4</v>
      </c>
      <c r="AB183" s="794">
        <v>38.4</v>
      </c>
      <c r="AC183" s="775">
        <f t="shared" ref="AC183:AC186" si="189">AA183+AB183</f>
        <v>70.8</v>
      </c>
      <c r="AD183" s="775">
        <f t="shared" ref="AD183:AD186" si="190">AC183*1.547</f>
        <v>109.52759999999999</v>
      </c>
      <c r="AE183" s="775"/>
      <c r="AF183" s="567"/>
      <c r="AG183" s="2">
        <v>1.6</v>
      </c>
      <c r="AH183" s="705"/>
      <c r="AI183" s="362"/>
      <c r="AJ183" s="996"/>
      <c r="AK183" s="407"/>
      <c r="AL183" s="407"/>
      <c r="AM183" s="407"/>
      <c r="AN183" s="407"/>
      <c r="AO183" s="387"/>
      <c r="AP183" s="387"/>
      <c r="AQ183" s="1028"/>
      <c r="AR183" s="578">
        <v>0</v>
      </c>
      <c r="AS183" s="405">
        <v>12.6</v>
      </c>
      <c r="AT183" s="578">
        <v>0</v>
      </c>
      <c r="AU183" s="405">
        <v>33.5</v>
      </c>
      <c r="AV183" s="644">
        <v>801</v>
      </c>
      <c r="AW183" s="644">
        <v>1031.3</v>
      </c>
      <c r="AX183" s="405">
        <v>12.6</v>
      </c>
      <c r="AY183" s="578">
        <v>0</v>
      </c>
      <c r="AZ183" s="578">
        <v>0</v>
      </c>
      <c r="BA183" s="578">
        <v>0</v>
      </c>
      <c r="BB183" s="1086">
        <v>1.6</v>
      </c>
      <c r="BC183" s="405">
        <v>0.99</v>
      </c>
      <c r="BD183" s="405">
        <v>1.5</v>
      </c>
      <c r="BE183" s="578">
        <v>0</v>
      </c>
      <c r="BF183" s="405">
        <v>0.49</v>
      </c>
      <c r="BG183" s="405">
        <v>0</v>
      </c>
      <c r="BH183" s="578">
        <v>0</v>
      </c>
      <c r="BI183" s="405">
        <v>0</v>
      </c>
      <c r="BJ183" s="405">
        <v>35.6</v>
      </c>
      <c r="BK183" s="405">
        <v>3.86</v>
      </c>
      <c r="BL183" s="405">
        <v>4.17</v>
      </c>
      <c r="BM183" s="405">
        <v>0</v>
      </c>
      <c r="BN183" s="405">
        <v>26</v>
      </c>
      <c r="BO183" s="405">
        <v>2474</v>
      </c>
      <c r="BP183" s="405">
        <v>0</v>
      </c>
      <c r="BQ183" s="649">
        <v>19.690000000000001</v>
      </c>
      <c r="BR183" s="649">
        <v>19.63</v>
      </c>
      <c r="BS183" s="649">
        <v>14.59</v>
      </c>
      <c r="BT183" s="649">
        <v>14.71</v>
      </c>
      <c r="BU183" s="648">
        <v>31.1</v>
      </c>
      <c r="BV183" s="648">
        <v>34.700000000000003</v>
      </c>
      <c r="BW183" s="649">
        <v>867.1</v>
      </c>
      <c r="BX183" s="876">
        <v>0</v>
      </c>
      <c r="BY183" s="649">
        <v>0.83</v>
      </c>
      <c r="BZ183" s="649">
        <v>1.48</v>
      </c>
      <c r="CA183" s="649">
        <v>1.2</v>
      </c>
      <c r="CB183" s="649">
        <v>7.8</v>
      </c>
      <c r="CC183" s="649">
        <v>8.3000000000000007</v>
      </c>
      <c r="CD183" s="649">
        <v>16</v>
      </c>
      <c r="CE183" s="649">
        <v>32.799999999999997</v>
      </c>
      <c r="CF183" s="649">
        <v>17.399999999999999</v>
      </c>
      <c r="CG183" s="649">
        <v>7.2</v>
      </c>
      <c r="CH183" s="649">
        <v>12.4</v>
      </c>
      <c r="CI183" s="649">
        <v>16.899999999999999</v>
      </c>
      <c r="CJ183" s="649">
        <v>14.25</v>
      </c>
      <c r="CK183" s="649">
        <v>0</v>
      </c>
      <c r="CL183" s="649">
        <v>1.5</v>
      </c>
      <c r="CM183" s="649">
        <v>2</v>
      </c>
      <c r="CN183" s="991">
        <v>1200</v>
      </c>
      <c r="CO183" s="649">
        <v>877.6</v>
      </c>
      <c r="CP183" s="649">
        <v>596.1</v>
      </c>
      <c r="CQ183" s="649">
        <v>12.7</v>
      </c>
      <c r="CR183" s="649">
        <v>0.86</v>
      </c>
      <c r="CS183" s="648">
        <v>0</v>
      </c>
      <c r="CT183" s="405">
        <v>13.331</v>
      </c>
      <c r="CU183" s="405">
        <v>55</v>
      </c>
      <c r="CV183" s="522">
        <v>0</v>
      </c>
      <c r="CW183" s="522">
        <v>0</v>
      </c>
      <c r="CX183" s="522">
        <v>0</v>
      </c>
      <c r="CY183" s="522">
        <v>0</v>
      </c>
      <c r="CZ183" s="689">
        <v>612</v>
      </c>
      <c r="DA183" s="689">
        <v>772</v>
      </c>
      <c r="DB183" s="689">
        <v>536</v>
      </c>
      <c r="DC183" s="643">
        <v>1167.08</v>
      </c>
      <c r="DD183" s="522"/>
      <c r="DE183" s="522"/>
      <c r="DF183" s="522"/>
      <c r="DG183" s="522"/>
      <c r="DH183" s="522"/>
      <c r="DI183" s="522"/>
      <c r="DJ183" s="522"/>
      <c r="DK183" s="522"/>
      <c r="DL183" s="649"/>
      <c r="DM183" s="649"/>
      <c r="DN183" s="649"/>
      <c r="DO183" s="522"/>
      <c r="DP183" s="522"/>
      <c r="DQ183" s="522"/>
      <c r="DR183" s="522"/>
      <c r="DS183" s="522"/>
      <c r="DT183" s="522"/>
      <c r="DU183" s="522"/>
      <c r="DV183" s="522"/>
      <c r="DW183" s="522"/>
      <c r="DX183" s="522"/>
      <c r="DY183" s="522"/>
      <c r="DZ183" s="522"/>
      <c r="EA183" s="522"/>
      <c r="EB183" s="522"/>
      <c r="EC183" s="522"/>
      <c r="ED183" s="522"/>
      <c r="EE183" s="522"/>
      <c r="EF183" s="522"/>
      <c r="EG183" s="645">
        <f t="shared" si="132"/>
        <v>17.03247</v>
      </c>
      <c r="EH183" s="361">
        <v>0</v>
      </c>
      <c r="EI183" s="649">
        <v>0</v>
      </c>
      <c r="EJ183" s="647">
        <f t="shared" si="183"/>
        <v>2.9800000000000004</v>
      </c>
      <c r="EK183" s="647">
        <f t="shared" si="184"/>
        <v>8.0299999999999994</v>
      </c>
      <c r="EL183" s="522"/>
      <c r="EM183" s="522"/>
      <c r="EN183" s="522"/>
      <c r="EO183" s="522"/>
      <c r="EP183" s="522"/>
      <c r="EQ183" s="522"/>
      <c r="ER183" s="522"/>
      <c r="ES183" s="407"/>
      <c r="ET183" s="407"/>
    </row>
    <row r="184" spans="1:150" s="357" customFormat="1" ht="15">
      <c r="A184" s="675" t="s">
        <v>8</v>
      </c>
      <c r="B184" s="712">
        <v>41810</v>
      </c>
      <c r="C184" s="358">
        <v>0</v>
      </c>
      <c r="D184" s="405">
        <v>0.19</v>
      </c>
      <c r="E184" s="681">
        <v>0</v>
      </c>
      <c r="F184" s="681">
        <v>49</v>
      </c>
      <c r="G184" s="681">
        <v>0.6</v>
      </c>
      <c r="H184" s="405">
        <v>0.66</v>
      </c>
      <c r="I184" s="405">
        <v>95.1</v>
      </c>
      <c r="J184" s="405">
        <v>0.55000000000000004</v>
      </c>
      <c r="K184" s="405" t="s">
        <v>744</v>
      </c>
      <c r="L184" s="644">
        <v>0</v>
      </c>
      <c r="M184" s="405">
        <v>19.5</v>
      </c>
      <c r="N184" s="405">
        <v>1.9</v>
      </c>
      <c r="O184" s="405">
        <v>2.2533942438474996</v>
      </c>
      <c r="P184" s="405">
        <v>0</v>
      </c>
      <c r="Q184" s="405" t="s">
        <v>743</v>
      </c>
      <c r="R184" s="790">
        <v>1409.3101664464991</v>
      </c>
      <c r="S184" s="405">
        <v>7.98</v>
      </c>
      <c r="T184" s="405">
        <v>0</v>
      </c>
      <c r="U184" s="405">
        <v>0.68</v>
      </c>
      <c r="V184" s="807">
        <v>0</v>
      </c>
      <c r="W184" s="807">
        <v>53.06</v>
      </c>
      <c r="X184" s="647" t="e">
        <v>#VALUE!</v>
      </c>
      <c r="Y184" s="383">
        <v>32.4</v>
      </c>
      <c r="Z184" s="681">
        <v>38.4</v>
      </c>
      <c r="AA184" s="794">
        <v>32.299999999999997</v>
      </c>
      <c r="AB184" s="794">
        <v>40.9</v>
      </c>
      <c r="AC184" s="775">
        <f t="shared" si="189"/>
        <v>73.199999999999989</v>
      </c>
      <c r="AD184" s="775">
        <f t="shared" si="190"/>
        <v>113.24039999999998</v>
      </c>
      <c r="AE184" s="775"/>
      <c r="AF184" s="567"/>
      <c r="AG184" s="2">
        <v>1.6</v>
      </c>
      <c r="AH184" s="705"/>
      <c r="AI184" s="362"/>
      <c r="AJ184" s="996"/>
      <c r="AK184" s="407"/>
      <c r="AL184" s="407"/>
      <c r="AM184" s="407"/>
      <c r="AN184" s="407"/>
      <c r="AO184" s="387"/>
      <c r="AP184" s="387"/>
      <c r="AQ184" s="1028"/>
      <c r="AR184" s="578">
        <v>0</v>
      </c>
      <c r="AS184" s="405">
        <v>19.7</v>
      </c>
      <c r="AT184" s="578">
        <v>0</v>
      </c>
      <c r="AU184" s="405">
        <v>33.299999999999997</v>
      </c>
      <c r="AV184" s="644">
        <v>546.5</v>
      </c>
      <c r="AW184" s="644">
        <v>674.6</v>
      </c>
      <c r="AX184" s="405">
        <v>30</v>
      </c>
      <c r="AY184" s="578">
        <v>0</v>
      </c>
      <c r="AZ184" s="578">
        <v>0</v>
      </c>
      <c r="BA184" s="578">
        <v>0</v>
      </c>
      <c r="BB184" s="1086">
        <v>1.6</v>
      </c>
      <c r="BC184" s="405">
        <v>0.98</v>
      </c>
      <c r="BD184" s="405">
        <v>1.47</v>
      </c>
      <c r="BE184" s="578">
        <v>0</v>
      </c>
      <c r="BF184" s="405">
        <v>0.49</v>
      </c>
      <c r="BG184" s="405">
        <v>0</v>
      </c>
      <c r="BH184" s="578">
        <v>0</v>
      </c>
      <c r="BI184" s="405">
        <v>0</v>
      </c>
      <c r="BJ184" s="405">
        <v>38.1</v>
      </c>
      <c r="BK184" s="405">
        <v>4.22</v>
      </c>
      <c r="BL184" s="405">
        <v>4.2300000000000004</v>
      </c>
      <c r="BM184" s="405">
        <v>0</v>
      </c>
      <c r="BN184" s="405">
        <v>28.1</v>
      </c>
      <c r="BO184" s="405">
        <v>1752.7</v>
      </c>
      <c r="BP184" s="405">
        <v>0</v>
      </c>
      <c r="BQ184" s="649">
        <v>19.63</v>
      </c>
      <c r="BR184" s="649">
        <v>19.54</v>
      </c>
      <c r="BS184" s="649">
        <v>14.79</v>
      </c>
      <c r="BT184" s="649">
        <v>14.89</v>
      </c>
      <c r="BU184" s="648">
        <v>31.5</v>
      </c>
      <c r="BV184" s="648">
        <v>34.9</v>
      </c>
      <c r="BW184" s="649">
        <v>913.9</v>
      </c>
      <c r="BX184" s="876"/>
      <c r="BY184" s="649">
        <v>2</v>
      </c>
      <c r="BZ184" s="649">
        <v>1.51</v>
      </c>
      <c r="CA184" s="649">
        <v>1.2</v>
      </c>
      <c r="CB184" s="649">
        <v>8.3000000000000007</v>
      </c>
      <c r="CC184" s="649">
        <v>8.1999999999999993</v>
      </c>
      <c r="CD184" s="649">
        <v>16.3</v>
      </c>
      <c r="CE184" s="649">
        <v>32.700000000000003</v>
      </c>
      <c r="CF184" s="649">
        <v>17.100000000000001</v>
      </c>
      <c r="CG184" s="649">
        <v>5.6</v>
      </c>
      <c r="CH184" s="649">
        <v>10.6</v>
      </c>
      <c r="CI184" s="649">
        <v>14.9</v>
      </c>
      <c r="CJ184" s="649">
        <v>13.76</v>
      </c>
      <c r="CK184" s="649">
        <v>0</v>
      </c>
      <c r="CL184" s="649">
        <v>3</v>
      </c>
      <c r="CM184" s="649">
        <v>3.8</v>
      </c>
      <c r="CN184" s="991">
        <v>1200</v>
      </c>
      <c r="CO184" s="649">
        <v>865.4</v>
      </c>
      <c r="CP184" s="649">
        <v>616.9</v>
      </c>
      <c r="CQ184" s="649">
        <v>14.3</v>
      </c>
      <c r="CR184" s="649">
        <v>0.97</v>
      </c>
      <c r="CS184" s="648">
        <v>0</v>
      </c>
      <c r="CT184" s="405">
        <v>17.059999999999999</v>
      </c>
      <c r="CU184" s="405">
        <v>56</v>
      </c>
      <c r="CV184" s="522">
        <v>0</v>
      </c>
      <c r="CW184" s="522">
        <v>0</v>
      </c>
      <c r="CX184" s="522">
        <v>0</v>
      </c>
      <c r="CY184" s="522">
        <v>0</v>
      </c>
      <c r="CZ184" s="689">
        <v>542</v>
      </c>
      <c r="DA184" s="689">
        <v>714</v>
      </c>
      <c r="DB184" s="689">
        <v>470</v>
      </c>
      <c r="DC184" s="643">
        <v>1167</v>
      </c>
      <c r="DD184" s="522"/>
      <c r="DE184" s="522"/>
      <c r="DF184" s="522"/>
      <c r="DG184" s="522"/>
      <c r="DH184" s="522"/>
      <c r="DI184" s="522"/>
      <c r="DJ184" s="522"/>
      <c r="DK184" s="522"/>
      <c r="DL184" s="649"/>
      <c r="DM184" s="649"/>
      <c r="DN184" s="649"/>
      <c r="DO184" s="522"/>
      <c r="DP184" s="522"/>
      <c r="DQ184" s="522"/>
      <c r="DR184" s="522"/>
      <c r="DS184" s="522"/>
      <c r="DT184" s="522"/>
      <c r="DU184" s="522"/>
      <c r="DV184" s="522"/>
      <c r="DW184" s="522"/>
      <c r="DX184" s="522"/>
      <c r="DY184" s="522"/>
      <c r="DZ184" s="522"/>
      <c r="EA184" s="522"/>
      <c r="EB184" s="522"/>
      <c r="EC184" s="522"/>
      <c r="ED184" s="522"/>
      <c r="EE184" s="522"/>
      <c r="EF184" s="522"/>
      <c r="EG184" s="645">
        <f t="shared" si="132"/>
        <v>17.790499999999998</v>
      </c>
      <c r="EH184" s="361">
        <v>0</v>
      </c>
      <c r="EI184" s="649">
        <v>0</v>
      </c>
      <c r="EJ184" s="649">
        <v>3</v>
      </c>
      <c r="EK184" s="649">
        <v>8.5</v>
      </c>
      <c r="EL184" s="522"/>
      <c r="EM184" s="522"/>
      <c r="EN184" s="522"/>
      <c r="EO184" s="522"/>
      <c r="EP184" s="522"/>
      <c r="EQ184" s="522"/>
      <c r="ER184" s="522"/>
      <c r="ES184" s="407"/>
      <c r="ET184" s="407"/>
    </row>
    <row r="185" spans="1:150" s="357" customFormat="1" ht="15">
      <c r="A185" s="675" t="s">
        <v>9</v>
      </c>
      <c r="B185" s="712">
        <v>41811</v>
      </c>
      <c r="C185" s="358">
        <v>0</v>
      </c>
      <c r="D185" s="405">
        <v>0</v>
      </c>
      <c r="E185" s="681">
        <v>0</v>
      </c>
      <c r="F185" s="681">
        <v>51</v>
      </c>
      <c r="G185" s="681">
        <v>0.6</v>
      </c>
      <c r="H185" s="405">
        <v>0.7</v>
      </c>
      <c r="I185" s="405">
        <v>94.4</v>
      </c>
      <c r="J185" s="405">
        <v>0.55000000000000004</v>
      </c>
      <c r="K185" s="405" t="s">
        <v>744</v>
      </c>
      <c r="L185" s="644">
        <v>0</v>
      </c>
      <c r="M185" s="405">
        <v>19.3</v>
      </c>
      <c r="N185" s="405">
        <v>1.92</v>
      </c>
      <c r="O185" s="405">
        <v>2.2493700553662839</v>
      </c>
      <c r="P185" s="405">
        <v>0</v>
      </c>
      <c r="Q185" s="405" t="s">
        <v>743</v>
      </c>
      <c r="R185" s="790">
        <v>1390.8475878467634</v>
      </c>
      <c r="S185" s="405">
        <v>7.96</v>
      </c>
      <c r="T185" s="405">
        <v>0</v>
      </c>
      <c r="U185" s="405">
        <v>0.68</v>
      </c>
      <c r="V185" s="807">
        <v>0</v>
      </c>
      <c r="W185" s="807">
        <v>52.519999999999996</v>
      </c>
      <c r="X185" s="647" t="e">
        <v>#VALUE!</v>
      </c>
      <c r="Y185" s="383">
        <v>32.299999999999997</v>
      </c>
      <c r="Z185" s="681">
        <v>40.9</v>
      </c>
      <c r="AA185" s="794">
        <v>32.200000000000003</v>
      </c>
      <c r="AB185" s="794">
        <v>41</v>
      </c>
      <c r="AC185" s="775">
        <f t="shared" si="189"/>
        <v>73.2</v>
      </c>
      <c r="AD185" s="775">
        <f t="shared" si="190"/>
        <v>113.24039999999999</v>
      </c>
      <c r="AE185" s="775"/>
      <c r="AF185" s="567"/>
      <c r="AG185" s="2">
        <v>1.6</v>
      </c>
      <c r="AH185" s="705"/>
      <c r="AI185" s="362"/>
      <c r="AJ185" s="996"/>
      <c r="AK185" s="407"/>
      <c r="AL185" s="407"/>
      <c r="AM185" s="407"/>
      <c r="AN185" s="407"/>
      <c r="AO185" s="387"/>
      <c r="AP185" s="387"/>
      <c r="AQ185" s="1028"/>
      <c r="AR185" s="578">
        <v>0</v>
      </c>
      <c r="AS185" s="405">
        <v>15.5</v>
      </c>
      <c r="AT185" s="578">
        <v>0</v>
      </c>
      <c r="AU185" s="405">
        <v>33.299999999999997</v>
      </c>
      <c r="AV185" s="644">
        <v>724.6</v>
      </c>
      <c r="AW185" s="644">
        <v>866</v>
      </c>
      <c r="AX185" s="405">
        <v>36.299999999999997</v>
      </c>
      <c r="AY185" s="578">
        <v>0</v>
      </c>
      <c r="AZ185" s="578">
        <v>0</v>
      </c>
      <c r="BA185" s="578">
        <v>0</v>
      </c>
      <c r="BB185" s="1086">
        <v>1.6</v>
      </c>
      <c r="BC185" s="405">
        <v>1</v>
      </c>
      <c r="BD185" s="405">
        <v>1.5</v>
      </c>
      <c r="BE185" s="578">
        <v>0</v>
      </c>
      <c r="BF185" s="405">
        <v>0.49</v>
      </c>
      <c r="BG185" s="405">
        <v>0</v>
      </c>
      <c r="BH185" s="578">
        <v>0</v>
      </c>
      <c r="BI185" s="405">
        <v>0</v>
      </c>
      <c r="BJ185" s="405">
        <v>38.1</v>
      </c>
      <c r="BK185" s="405">
        <v>4.24</v>
      </c>
      <c r="BL185" s="405">
        <v>4.3099999999999996</v>
      </c>
      <c r="BM185" s="405">
        <v>0</v>
      </c>
      <c r="BN185" s="405">
        <v>28</v>
      </c>
      <c r="BO185" s="405">
        <v>2696</v>
      </c>
      <c r="BP185" s="405">
        <v>0</v>
      </c>
      <c r="BQ185" s="649">
        <v>18</v>
      </c>
      <c r="BR185" s="649">
        <v>17.940000000000001</v>
      </c>
      <c r="BS185" s="649">
        <v>14.59</v>
      </c>
      <c r="BT185" s="649">
        <v>14.72</v>
      </c>
      <c r="BU185" s="648">
        <v>31.1</v>
      </c>
      <c r="BV185" s="648">
        <v>38.799999999999997</v>
      </c>
      <c r="BW185" s="649">
        <v>993</v>
      </c>
      <c r="BX185" s="876"/>
      <c r="BY185" s="649">
        <v>0.57999999999999996</v>
      </c>
      <c r="BZ185" s="649">
        <v>1.52</v>
      </c>
      <c r="CA185" s="649">
        <v>1.2</v>
      </c>
      <c r="CB185" s="649">
        <v>8.8000000000000007</v>
      </c>
      <c r="CC185" s="649">
        <v>8</v>
      </c>
      <c r="CD185" s="522">
        <v>16.2</v>
      </c>
      <c r="CE185" s="649">
        <v>32.5</v>
      </c>
      <c r="CF185" s="649">
        <v>17.5</v>
      </c>
      <c r="CG185" s="649">
        <v>7.9</v>
      </c>
      <c r="CH185" s="649">
        <v>13.3</v>
      </c>
      <c r="CI185" s="649">
        <v>17.23</v>
      </c>
      <c r="CJ185" s="649">
        <v>13.51</v>
      </c>
      <c r="CK185" s="649">
        <v>0</v>
      </c>
      <c r="CL185" s="649">
        <v>3.2</v>
      </c>
      <c r="CM185" s="649">
        <v>4.9000000000000004</v>
      </c>
      <c r="CN185" s="991">
        <v>1200</v>
      </c>
      <c r="CO185" s="649">
        <v>910.8</v>
      </c>
      <c r="CP185" s="649">
        <v>583.6</v>
      </c>
      <c r="CQ185" s="649">
        <v>13.3</v>
      </c>
      <c r="CR185" s="649">
        <v>0.94</v>
      </c>
      <c r="CS185" s="648">
        <v>0</v>
      </c>
      <c r="CT185" s="405">
        <v>17.526</v>
      </c>
      <c r="CU185" s="405">
        <v>56</v>
      </c>
      <c r="CV185" s="522">
        <v>0</v>
      </c>
      <c r="CW185" s="522">
        <v>0</v>
      </c>
      <c r="CX185" s="522">
        <v>0</v>
      </c>
      <c r="CY185" s="522">
        <v>0</v>
      </c>
      <c r="CZ185" s="689">
        <v>542</v>
      </c>
      <c r="DA185" s="689">
        <v>772</v>
      </c>
      <c r="DB185" s="689">
        <v>464</v>
      </c>
      <c r="DC185" s="643">
        <v>1166.8</v>
      </c>
      <c r="DD185" s="522"/>
      <c r="DE185" s="522"/>
      <c r="DF185" s="522"/>
      <c r="DG185" s="522"/>
      <c r="DH185" s="522"/>
      <c r="DI185" s="522"/>
      <c r="DJ185" s="522"/>
      <c r="DK185" s="522"/>
      <c r="DL185" s="649"/>
      <c r="DM185" s="649"/>
      <c r="DN185" s="649"/>
      <c r="DO185" s="522"/>
      <c r="DP185" s="522"/>
      <c r="DQ185" s="522"/>
      <c r="DR185" s="522"/>
      <c r="DS185" s="522"/>
      <c r="DT185" s="522"/>
      <c r="DU185" s="522"/>
      <c r="DV185" s="522"/>
      <c r="DW185" s="522"/>
      <c r="DX185" s="522"/>
      <c r="DY185" s="522"/>
      <c r="DZ185" s="522"/>
      <c r="EA185" s="522"/>
      <c r="EB185" s="522"/>
      <c r="EC185" s="522"/>
      <c r="ED185" s="522"/>
      <c r="EE185" s="522"/>
      <c r="EF185" s="522"/>
      <c r="EG185" s="645">
        <f t="shared" si="132"/>
        <v>17.790499999999998</v>
      </c>
      <c r="EH185" s="361">
        <v>0</v>
      </c>
      <c r="EI185" s="649">
        <v>0</v>
      </c>
      <c r="EJ185" s="649">
        <v>3</v>
      </c>
      <c r="EK185" s="649">
        <v>8.5</v>
      </c>
      <c r="EL185" s="522"/>
      <c r="EM185" s="522"/>
      <c r="EN185" s="522"/>
      <c r="EO185" s="522"/>
      <c r="EP185" s="522"/>
      <c r="EQ185" s="522"/>
      <c r="ER185" s="522"/>
      <c r="ES185" s="407"/>
      <c r="ET185" s="407"/>
    </row>
    <row r="186" spans="1:150" s="357" customFormat="1" ht="15">
      <c r="A186" s="675" t="s">
        <v>3</v>
      </c>
      <c r="B186" s="712">
        <v>41812</v>
      </c>
      <c r="C186" s="358">
        <v>0</v>
      </c>
      <c r="D186" s="405">
        <v>0</v>
      </c>
      <c r="E186" s="681">
        <v>0</v>
      </c>
      <c r="F186" s="681">
        <v>57</v>
      </c>
      <c r="G186" s="681">
        <v>0.6</v>
      </c>
      <c r="H186" s="405">
        <v>0.77</v>
      </c>
      <c r="I186" s="405">
        <v>94.7</v>
      </c>
      <c r="J186" s="405">
        <v>0.61</v>
      </c>
      <c r="K186" s="405" t="s">
        <v>744</v>
      </c>
      <c r="L186" s="644">
        <v>0</v>
      </c>
      <c r="M186" s="405">
        <v>19.3</v>
      </c>
      <c r="N186" s="405">
        <v>1.92</v>
      </c>
      <c r="O186" s="405">
        <v>2.2538510322745315</v>
      </c>
      <c r="P186" s="405">
        <v>0</v>
      </c>
      <c r="Q186" s="405" t="s">
        <v>743</v>
      </c>
      <c r="R186" s="790">
        <v>1397.001780713342</v>
      </c>
      <c r="S186" s="405">
        <v>7.91</v>
      </c>
      <c r="T186" s="405">
        <v>0</v>
      </c>
      <c r="U186" s="405">
        <v>0.7</v>
      </c>
      <c r="V186" s="807">
        <v>0</v>
      </c>
      <c r="W186" s="807">
        <v>52.34</v>
      </c>
      <c r="X186" s="647" t="e">
        <v>#VALUE!</v>
      </c>
      <c r="Y186" s="383">
        <v>32.200000000000003</v>
      </c>
      <c r="Z186" s="681">
        <v>41</v>
      </c>
      <c r="AA186" s="794">
        <v>32.299999999999997</v>
      </c>
      <c r="AB186" s="794">
        <v>41</v>
      </c>
      <c r="AC186" s="775">
        <f t="shared" si="189"/>
        <v>73.3</v>
      </c>
      <c r="AD186" s="775">
        <f t="shared" si="190"/>
        <v>113.39509999999999</v>
      </c>
      <c r="AE186" s="775"/>
      <c r="AF186" s="567"/>
      <c r="AG186" s="2">
        <v>1.6</v>
      </c>
      <c r="AH186" s="705"/>
      <c r="AI186" s="362"/>
      <c r="AJ186" s="996"/>
      <c r="AK186" s="407"/>
      <c r="AL186" s="407"/>
      <c r="AM186" s="407"/>
      <c r="AN186" s="407"/>
      <c r="AO186" s="387"/>
      <c r="AP186" s="387"/>
      <c r="AQ186" s="1028"/>
      <c r="AR186" s="578">
        <v>0</v>
      </c>
      <c r="AS186" s="405">
        <v>24.1</v>
      </c>
      <c r="AT186" s="578">
        <v>0</v>
      </c>
      <c r="AU186" s="405">
        <v>33.299999999999997</v>
      </c>
      <c r="AV186" s="644">
        <v>911.8</v>
      </c>
      <c r="AW186" s="644">
        <v>1144.8</v>
      </c>
      <c r="AX186" s="405">
        <v>51.1</v>
      </c>
      <c r="AY186" s="578">
        <v>0</v>
      </c>
      <c r="AZ186" s="578">
        <v>0</v>
      </c>
      <c r="BA186" s="578">
        <v>0</v>
      </c>
      <c r="BB186" s="1086">
        <v>1.6</v>
      </c>
      <c r="BC186" s="405">
        <v>1</v>
      </c>
      <c r="BD186" s="405">
        <v>1.5</v>
      </c>
      <c r="BE186" s="578">
        <v>0</v>
      </c>
      <c r="BF186" s="405">
        <v>0.49</v>
      </c>
      <c r="BG186" s="405">
        <v>0</v>
      </c>
      <c r="BH186" s="578">
        <v>0</v>
      </c>
      <c r="BI186" s="405">
        <v>0</v>
      </c>
      <c r="BJ186" s="405">
        <v>38.1</v>
      </c>
      <c r="BK186" s="405">
        <v>4.34</v>
      </c>
      <c r="BL186" s="405">
        <v>4.25</v>
      </c>
      <c r="BM186" s="405">
        <v>0</v>
      </c>
      <c r="BN186" s="405">
        <v>28</v>
      </c>
      <c r="BO186" s="405">
        <v>2349.6</v>
      </c>
      <c r="BP186" s="405">
        <v>0</v>
      </c>
      <c r="BQ186" s="649">
        <v>15.8</v>
      </c>
      <c r="BR186" s="649">
        <v>15.8</v>
      </c>
      <c r="BS186" s="649">
        <v>14.24</v>
      </c>
      <c r="BT186" s="649">
        <v>14.35</v>
      </c>
      <c r="BU186" s="648">
        <v>30.4</v>
      </c>
      <c r="BV186" s="648">
        <v>39.799999999999997</v>
      </c>
      <c r="BW186" s="649">
        <v>1089.8</v>
      </c>
      <c r="BX186" s="876"/>
      <c r="BY186" s="649">
        <v>0.6</v>
      </c>
      <c r="BZ186" s="649">
        <v>1.51</v>
      </c>
      <c r="CA186" s="649">
        <v>1.3</v>
      </c>
      <c r="CB186" s="649">
        <v>8.8000000000000007</v>
      </c>
      <c r="CC186" s="649">
        <v>8.1</v>
      </c>
      <c r="CD186" s="522">
        <v>16.2</v>
      </c>
      <c r="CE186" s="649">
        <v>32.5</v>
      </c>
      <c r="CF186" s="649">
        <v>17.5</v>
      </c>
      <c r="CG186" s="649">
        <v>7.9</v>
      </c>
      <c r="CH186" s="649">
        <v>13.3</v>
      </c>
      <c r="CI186" s="649">
        <v>17.23</v>
      </c>
      <c r="CJ186" s="649">
        <v>13.51</v>
      </c>
      <c r="CK186" s="649">
        <v>0</v>
      </c>
      <c r="CL186" s="649">
        <v>3.2</v>
      </c>
      <c r="CM186" s="649">
        <v>4.7</v>
      </c>
      <c r="CN186" s="991">
        <v>1200</v>
      </c>
      <c r="CO186" s="649">
        <v>971.3</v>
      </c>
      <c r="CP186" s="649">
        <v>599.20000000000005</v>
      </c>
      <c r="CQ186" s="649">
        <v>13.2</v>
      </c>
      <c r="CR186" s="649">
        <v>0.93</v>
      </c>
      <c r="CS186" s="648">
        <v>0</v>
      </c>
      <c r="CT186" s="405">
        <v>17.204999999999998</v>
      </c>
      <c r="CU186" s="405">
        <v>56</v>
      </c>
      <c r="CV186" s="522">
        <v>0</v>
      </c>
      <c r="CW186" s="522">
        <v>0</v>
      </c>
      <c r="CX186" s="522">
        <v>0</v>
      </c>
      <c r="CY186" s="522">
        <v>0</v>
      </c>
      <c r="CZ186" s="689">
        <v>612</v>
      </c>
      <c r="DA186" s="689">
        <v>760</v>
      </c>
      <c r="DB186" s="689">
        <v>533</v>
      </c>
      <c r="DC186" s="643">
        <v>1166.8499999999999</v>
      </c>
      <c r="DD186" s="522"/>
      <c r="DE186" s="522"/>
      <c r="DF186" s="522"/>
      <c r="DG186" s="522"/>
      <c r="DH186" s="522"/>
      <c r="DI186" s="522"/>
      <c r="DJ186" s="522"/>
      <c r="DK186" s="522"/>
      <c r="DL186" s="649"/>
      <c r="DM186" s="649"/>
      <c r="DN186" s="649"/>
      <c r="DO186" s="522"/>
      <c r="DP186" s="522"/>
      <c r="DQ186" s="522"/>
      <c r="DR186" s="522"/>
      <c r="DS186" s="522"/>
      <c r="DT186" s="522"/>
      <c r="DU186" s="522"/>
      <c r="DV186" s="522"/>
      <c r="DW186" s="522"/>
      <c r="DX186" s="522"/>
      <c r="DY186" s="522"/>
      <c r="DZ186" s="522"/>
      <c r="EA186" s="522"/>
      <c r="EB186" s="522"/>
      <c r="EC186" s="522"/>
      <c r="ED186" s="522"/>
      <c r="EE186" s="522"/>
      <c r="EF186" s="522"/>
      <c r="EG186" s="645">
        <f t="shared" si="132"/>
        <v>17.790499999999998</v>
      </c>
      <c r="EH186" s="361">
        <v>0</v>
      </c>
      <c r="EI186" s="649">
        <v>0</v>
      </c>
      <c r="EJ186" s="649">
        <v>3</v>
      </c>
      <c r="EK186" s="649">
        <v>8.5</v>
      </c>
      <c r="EL186" s="522"/>
      <c r="EM186" s="522"/>
      <c r="EN186" s="522"/>
      <c r="EO186" s="522"/>
      <c r="EP186" s="522"/>
      <c r="EQ186" s="522"/>
      <c r="ER186" s="522"/>
      <c r="ES186" s="407"/>
      <c r="ET186" s="407"/>
    </row>
    <row r="187" spans="1:150" s="357" customFormat="1" ht="15">
      <c r="A187" s="675" t="s">
        <v>4</v>
      </c>
      <c r="B187" s="712">
        <v>41813</v>
      </c>
      <c r="C187" s="358">
        <v>0</v>
      </c>
      <c r="D187" s="405">
        <v>0</v>
      </c>
      <c r="E187" s="681">
        <v>0</v>
      </c>
      <c r="F187" s="681">
        <v>57</v>
      </c>
      <c r="G187" s="681">
        <v>0.6</v>
      </c>
      <c r="H187" s="405">
        <v>0.74</v>
      </c>
      <c r="I187" s="405">
        <v>94.99</v>
      </c>
      <c r="J187" s="405">
        <v>0.61</v>
      </c>
      <c r="K187" s="405" t="s">
        <v>744</v>
      </c>
      <c r="L187" s="644">
        <v>0</v>
      </c>
      <c r="M187" s="405">
        <v>19.100000000000001</v>
      </c>
      <c r="N187" s="405">
        <v>1.89</v>
      </c>
      <c r="O187" s="405">
        <v>2.266166188742452</v>
      </c>
      <c r="P187" s="405">
        <v>0</v>
      </c>
      <c r="Q187" s="405" t="s">
        <v>743</v>
      </c>
      <c r="R187" s="790">
        <v>1518.7900184940552</v>
      </c>
      <c r="S187" s="405">
        <v>8.02</v>
      </c>
      <c r="T187" s="405">
        <v>0</v>
      </c>
      <c r="U187" s="405">
        <v>0.7</v>
      </c>
      <c r="V187" s="807">
        <v>0</v>
      </c>
      <c r="W187" s="807">
        <v>55.58</v>
      </c>
      <c r="X187" s="647" t="e">
        <v>#VALUE!</v>
      </c>
      <c r="Y187" s="383">
        <v>32.299999999999997</v>
      </c>
      <c r="Z187" s="681">
        <v>41</v>
      </c>
      <c r="AA187" s="794">
        <v>31.84</v>
      </c>
      <c r="AB187" s="794">
        <v>47.1</v>
      </c>
      <c r="AC187" s="775">
        <f t="shared" ref="AC187:AC188" si="191">AA187+AB187</f>
        <v>78.94</v>
      </c>
      <c r="AD187" s="775">
        <f t="shared" ref="AD187:AD188" si="192">AC187*1.547</f>
        <v>122.12017999999999</v>
      </c>
      <c r="AE187" s="775"/>
      <c r="AF187" s="567"/>
      <c r="AG187" s="2">
        <v>1.6</v>
      </c>
      <c r="AH187" s="705"/>
      <c r="AI187" s="362"/>
      <c r="AJ187" s="996"/>
      <c r="AK187" s="407"/>
      <c r="AL187" s="407"/>
      <c r="AM187" s="407"/>
      <c r="AN187" s="407"/>
      <c r="AO187" s="387"/>
      <c r="AP187" s="387"/>
      <c r="AQ187" s="405"/>
      <c r="AR187" s="578">
        <v>0</v>
      </c>
      <c r="AS187" s="405">
        <v>24</v>
      </c>
      <c r="AT187" s="578">
        <v>0</v>
      </c>
      <c r="AU187" s="405">
        <v>32.9</v>
      </c>
      <c r="AV187" s="644">
        <v>569.29999999999995</v>
      </c>
      <c r="AW187" s="644">
        <v>1023.3</v>
      </c>
      <c r="AX187" s="405">
        <v>49.8</v>
      </c>
      <c r="AY187" s="578">
        <v>0</v>
      </c>
      <c r="AZ187" s="578">
        <v>0</v>
      </c>
      <c r="BA187" s="578">
        <v>0</v>
      </c>
      <c r="BB187" s="1086">
        <v>1.6</v>
      </c>
      <c r="BC187" s="405">
        <v>0.86</v>
      </c>
      <c r="BD187" s="405">
        <v>1.96</v>
      </c>
      <c r="BE187" s="578">
        <v>0</v>
      </c>
      <c r="BF187" s="405">
        <v>0.5</v>
      </c>
      <c r="BG187" s="405">
        <v>0</v>
      </c>
      <c r="BH187" s="578">
        <v>0</v>
      </c>
      <c r="BI187" s="405">
        <v>0</v>
      </c>
      <c r="BJ187" s="405">
        <v>43.9</v>
      </c>
      <c r="BK187" s="405">
        <v>4.46</v>
      </c>
      <c r="BL187" s="405">
        <v>4.04</v>
      </c>
      <c r="BM187" s="405">
        <v>0</v>
      </c>
      <c r="BN187" s="405">
        <v>33.799999999999997</v>
      </c>
      <c r="BO187" s="405">
        <v>2017.6</v>
      </c>
      <c r="BP187" s="405">
        <v>36</v>
      </c>
      <c r="BQ187" s="649">
        <v>16.059999999999999</v>
      </c>
      <c r="BR187" s="649">
        <v>16</v>
      </c>
      <c r="BS187" s="649">
        <v>14.19</v>
      </c>
      <c r="BT187" s="649">
        <v>14.26</v>
      </c>
      <c r="BU187" s="648">
        <v>31.1</v>
      </c>
      <c r="BV187" s="648">
        <v>33</v>
      </c>
      <c r="BW187" s="649">
        <v>1078.9000000000001</v>
      </c>
      <c r="BX187" s="876"/>
      <c r="BY187" s="649">
        <v>0.56000000000000005</v>
      </c>
      <c r="BZ187" s="649">
        <v>1.5</v>
      </c>
      <c r="CA187" s="649">
        <v>1.3</v>
      </c>
      <c r="CB187" s="649">
        <v>8.8000000000000007</v>
      </c>
      <c r="CC187" s="649">
        <v>8.1</v>
      </c>
      <c r="CD187" s="522">
        <v>16.2</v>
      </c>
      <c r="CE187" s="649">
        <v>32.200000000000003</v>
      </c>
      <c r="CF187" s="649">
        <v>16.8</v>
      </c>
      <c r="CG187" s="649">
        <v>5.9</v>
      </c>
      <c r="CH187" s="649">
        <v>10.9</v>
      </c>
      <c r="CI187" s="649">
        <v>15.4</v>
      </c>
      <c r="CJ187" s="649">
        <v>13.7</v>
      </c>
      <c r="CK187" s="649">
        <v>0</v>
      </c>
      <c r="CL187" s="649">
        <v>3.5</v>
      </c>
      <c r="CM187" s="649">
        <v>4.5999999999999996</v>
      </c>
      <c r="CN187" s="991">
        <v>1200</v>
      </c>
      <c r="CO187" s="649">
        <v>892.4</v>
      </c>
      <c r="CP187" s="649">
        <v>630</v>
      </c>
      <c r="CQ187" s="649">
        <v>13.7</v>
      </c>
      <c r="CR187" s="649">
        <v>1</v>
      </c>
      <c r="CS187" s="648">
        <v>0</v>
      </c>
      <c r="CT187" s="405">
        <v>17.059000000000001</v>
      </c>
      <c r="CU187" s="405">
        <v>56</v>
      </c>
      <c r="CV187" s="522">
        <v>0</v>
      </c>
      <c r="CW187" s="522">
        <v>0</v>
      </c>
      <c r="CX187" s="522">
        <v>0</v>
      </c>
      <c r="CY187" s="522">
        <v>0</v>
      </c>
      <c r="CZ187" s="689">
        <v>596</v>
      </c>
      <c r="DA187" s="689">
        <v>737</v>
      </c>
      <c r="DB187" s="689">
        <v>497</v>
      </c>
      <c r="DC187" s="643">
        <v>1166.6500000000001</v>
      </c>
      <c r="DD187" s="522"/>
      <c r="DE187" s="649"/>
      <c r="DF187" s="522"/>
      <c r="DG187" s="522"/>
      <c r="DH187" s="522"/>
      <c r="DI187" s="522"/>
      <c r="DJ187" s="522"/>
      <c r="DK187" s="522"/>
      <c r="DL187" s="649"/>
      <c r="DM187" s="649"/>
      <c r="DN187" s="649"/>
      <c r="DO187" s="522"/>
      <c r="DP187" s="522"/>
      <c r="DQ187" s="522"/>
      <c r="DR187" s="522"/>
      <c r="DS187" s="522"/>
      <c r="DT187" s="522"/>
      <c r="DU187" s="522"/>
      <c r="DV187" s="522"/>
      <c r="DW187" s="522"/>
      <c r="DX187" s="522"/>
      <c r="DY187" s="522"/>
      <c r="DZ187" s="522"/>
      <c r="EA187" s="522"/>
      <c r="EB187" s="522"/>
      <c r="EC187" s="522"/>
      <c r="ED187" s="522"/>
      <c r="EE187" s="522"/>
      <c r="EF187" s="522"/>
      <c r="EG187" s="645">
        <f t="shared" si="132"/>
        <v>18.564</v>
      </c>
      <c r="EH187" s="361">
        <v>0</v>
      </c>
      <c r="EI187" s="649">
        <v>0</v>
      </c>
      <c r="EJ187" s="649">
        <v>3.5</v>
      </c>
      <c r="EK187" s="649">
        <v>8.5</v>
      </c>
      <c r="EL187" s="522"/>
      <c r="EM187" s="522"/>
      <c r="EN187" s="522"/>
      <c r="EO187" s="522"/>
      <c r="EP187" s="522"/>
      <c r="EQ187" s="522"/>
      <c r="ER187" s="522"/>
      <c r="ES187" s="407"/>
      <c r="ET187" s="407"/>
    </row>
    <row r="188" spans="1:150" s="357" customFormat="1" ht="15">
      <c r="A188" s="675" t="s">
        <v>5</v>
      </c>
      <c r="B188" s="712">
        <v>41814</v>
      </c>
      <c r="C188" s="358">
        <v>0</v>
      </c>
      <c r="D188" s="405">
        <v>0.01</v>
      </c>
      <c r="E188" s="681">
        <v>0</v>
      </c>
      <c r="F188" s="681">
        <v>56</v>
      </c>
      <c r="G188" s="681">
        <v>0.6</v>
      </c>
      <c r="H188" s="405">
        <v>0.67</v>
      </c>
      <c r="I188" s="405">
        <v>95.07</v>
      </c>
      <c r="J188" s="405">
        <v>0.59</v>
      </c>
      <c r="K188" s="405" t="s">
        <v>744</v>
      </c>
      <c r="L188" s="644">
        <v>0</v>
      </c>
      <c r="M188" s="405">
        <v>19.100000000000001</v>
      </c>
      <c r="N188" s="405">
        <v>1.86</v>
      </c>
      <c r="O188" s="405">
        <v>2.25544045053205</v>
      </c>
      <c r="P188" s="405">
        <v>0</v>
      </c>
      <c r="Q188" s="405" t="s">
        <v>743</v>
      </c>
      <c r="R188" s="790">
        <v>1576.1211836195507</v>
      </c>
      <c r="S188" s="405">
        <v>8.0500000000000007</v>
      </c>
      <c r="T188" s="405">
        <v>0</v>
      </c>
      <c r="U188" s="405">
        <v>0.62</v>
      </c>
      <c r="V188" s="807">
        <v>0</v>
      </c>
      <c r="W188" s="807">
        <v>53.600000000000009</v>
      </c>
      <c r="X188" s="647" t="e">
        <v>#VALUE!</v>
      </c>
      <c r="Y188" s="383">
        <v>31.84</v>
      </c>
      <c r="Z188" s="681">
        <v>47.1</v>
      </c>
      <c r="AA188" s="794">
        <v>31.6</v>
      </c>
      <c r="AB188" s="794">
        <v>51</v>
      </c>
      <c r="AC188" s="775">
        <f t="shared" si="191"/>
        <v>82.6</v>
      </c>
      <c r="AD188" s="775">
        <f t="shared" si="192"/>
        <v>127.78219999999999</v>
      </c>
      <c r="AE188" s="775"/>
      <c r="AF188" s="567"/>
      <c r="AG188" s="2">
        <v>1.6</v>
      </c>
      <c r="AH188" s="705"/>
      <c r="AI188" s="362"/>
      <c r="AJ188" s="996"/>
      <c r="AK188" s="407"/>
      <c r="AL188" s="407"/>
      <c r="AM188" s="407"/>
      <c r="AN188" s="407"/>
      <c r="AO188" s="387"/>
      <c r="AP188" s="387"/>
      <c r="AQ188" s="405"/>
      <c r="AR188" s="578">
        <v>0</v>
      </c>
      <c r="AS188" s="405">
        <v>11.8</v>
      </c>
      <c r="AT188" s="578">
        <v>0</v>
      </c>
      <c r="AU188" s="405">
        <v>32.6</v>
      </c>
      <c r="AV188" s="644">
        <v>924.3</v>
      </c>
      <c r="AW188" s="644">
        <v>1000.9</v>
      </c>
      <c r="AX188" s="405">
        <v>35.6</v>
      </c>
      <c r="AY188" s="578">
        <v>0</v>
      </c>
      <c r="AZ188" s="578">
        <v>0</v>
      </c>
      <c r="BA188" s="578">
        <v>0</v>
      </c>
      <c r="BB188" s="1086">
        <v>1.6</v>
      </c>
      <c r="BC188" s="405">
        <v>0.8</v>
      </c>
      <c r="BD188" s="405">
        <v>2.21</v>
      </c>
      <c r="BE188" s="578">
        <v>0</v>
      </c>
      <c r="BF188" s="405">
        <v>0.49</v>
      </c>
      <c r="BG188" s="405">
        <v>0</v>
      </c>
      <c r="BH188" s="578">
        <v>0</v>
      </c>
      <c r="BI188" s="405">
        <v>0</v>
      </c>
      <c r="BJ188" s="405">
        <v>47.5</v>
      </c>
      <c r="BK188" s="405">
        <v>4.4800000000000004</v>
      </c>
      <c r="BL188" s="405">
        <v>3.9</v>
      </c>
      <c r="BM188" s="405">
        <v>0</v>
      </c>
      <c r="BN188" s="405">
        <v>37.5</v>
      </c>
      <c r="BO188" s="405">
        <v>2342.4</v>
      </c>
      <c r="BP188" s="405">
        <v>0</v>
      </c>
      <c r="BQ188" s="649">
        <v>18.420000000000002</v>
      </c>
      <c r="BR188" s="649">
        <v>18.350000000000001</v>
      </c>
      <c r="BS188" s="649">
        <v>14.17</v>
      </c>
      <c r="BT188" s="649">
        <v>14.29</v>
      </c>
      <c r="BU188" s="648">
        <v>30.9</v>
      </c>
      <c r="BV188" s="648">
        <v>27.1</v>
      </c>
      <c r="BW188" s="649">
        <v>959.1</v>
      </c>
      <c r="BX188" s="876"/>
      <c r="BY188" s="649">
        <v>0.56000000000000005</v>
      </c>
      <c r="BZ188" s="649">
        <v>1.48</v>
      </c>
      <c r="CA188" s="649">
        <v>1.2</v>
      </c>
      <c r="CB188" s="649">
        <v>8.9</v>
      </c>
      <c r="CC188" s="649">
        <v>8</v>
      </c>
      <c r="CD188" s="522">
        <v>15.8</v>
      </c>
      <c r="CE188" s="649">
        <v>31.4</v>
      </c>
      <c r="CF188" s="649">
        <v>16.2</v>
      </c>
      <c r="CG188" s="649">
        <v>6.2</v>
      </c>
      <c r="CH188" s="649">
        <v>11.3</v>
      </c>
      <c r="CI188" s="649">
        <v>15.8</v>
      </c>
      <c r="CJ188" s="649">
        <v>13.2</v>
      </c>
      <c r="CK188" s="649">
        <v>0</v>
      </c>
      <c r="CL188" s="649">
        <v>3.4</v>
      </c>
      <c r="CM188" s="649">
        <v>4.8</v>
      </c>
      <c r="CN188" s="991">
        <v>1200</v>
      </c>
      <c r="CO188" s="649">
        <v>856.3</v>
      </c>
      <c r="CP188" s="649">
        <v>629.4</v>
      </c>
      <c r="CQ188" s="649">
        <v>13.5</v>
      </c>
      <c r="CR188" s="649">
        <v>0.99</v>
      </c>
      <c r="CS188" s="648">
        <v>0</v>
      </c>
      <c r="CT188" s="405">
        <v>16.994</v>
      </c>
      <c r="CU188" s="405">
        <v>57</v>
      </c>
      <c r="CV188" s="522">
        <v>0</v>
      </c>
      <c r="CW188" s="522">
        <v>0</v>
      </c>
      <c r="CX188" s="522">
        <v>0</v>
      </c>
      <c r="CY188" s="522">
        <v>0</v>
      </c>
      <c r="CZ188" s="689">
        <v>589</v>
      </c>
      <c r="DA188" s="689">
        <v>731</v>
      </c>
      <c r="DB188" s="689">
        <v>493</v>
      </c>
      <c r="DC188" s="643">
        <v>1166.3699999999999</v>
      </c>
      <c r="DD188" s="522"/>
      <c r="DE188" s="522"/>
      <c r="DF188" s="522"/>
      <c r="DG188" s="522"/>
      <c r="DH188" s="522"/>
      <c r="DI188" s="522"/>
      <c r="DJ188" s="522"/>
      <c r="DK188" s="522"/>
      <c r="DL188" s="649"/>
      <c r="DM188" s="649"/>
      <c r="DN188" s="649"/>
      <c r="DO188" s="522"/>
      <c r="DP188" s="522"/>
      <c r="DQ188" s="522"/>
      <c r="DR188" s="522"/>
      <c r="DS188" s="522"/>
      <c r="DT188" s="522"/>
      <c r="DU188" s="522"/>
      <c r="DV188" s="522"/>
      <c r="DW188" s="522"/>
      <c r="DX188" s="522"/>
      <c r="DY188" s="522"/>
      <c r="DZ188" s="522"/>
      <c r="EA188" s="522"/>
      <c r="EB188" s="522"/>
      <c r="EC188" s="522"/>
      <c r="ED188" s="522"/>
      <c r="EE188" s="522"/>
      <c r="EF188" s="522"/>
      <c r="EG188" s="645">
        <f t="shared" si="132"/>
        <v>18.564</v>
      </c>
      <c r="EH188" s="361">
        <v>0</v>
      </c>
      <c r="EI188" s="649">
        <v>0</v>
      </c>
      <c r="EJ188" s="649">
        <v>3.5</v>
      </c>
      <c r="EK188" s="649">
        <v>8.5</v>
      </c>
      <c r="EL188" s="522"/>
      <c r="EM188" s="522"/>
      <c r="EN188" s="522"/>
      <c r="EO188" s="522"/>
      <c r="EP188" s="522"/>
      <c r="EQ188" s="522"/>
      <c r="ER188" s="522"/>
      <c r="ES188" s="407"/>
      <c r="ET188" s="407"/>
    </row>
    <row r="189" spans="1:150" s="357" customFormat="1" ht="15">
      <c r="A189" s="675" t="s">
        <v>6</v>
      </c>
      <c r="B189" s="712">
        <v>41815</v>
      </c>
      <c r="C189" s="358">
        <v>0</v>
      </c>
      <c r="D189" s="405">
        <v>0</v>
      </c>
      <c r="E189" s="681">
        <v>0</v>
      </c>
      <c r="F189" s="681">
        <v>62</v>
      </c>
      <c r="G189" s="681">
        <v>0.6</v>
      </c>
      <c r="H189" s="405">
        <v>0.51</v>
      </c>
      <c r="I189" s="405">
        <v>94.3</v>
      </c>
      <c r="J189" s="405">
        <v>0.51</v>
      </c>
      <c r="K189" s="405" t="s">
        <v>744</v>
      </c>
      <c r="L189" s="644">
        <v>0</v>
      </c>
      <c r="M189" s="405">
        <v>18.899999999999999</v>
      </c>
      <c r="N189" s="405">
        <v>1.86</v>
      </c>
      <c r="O189" s="405">
        <v>2.2424531705492416</v>
      </c>
      <c r="P189" s="405">
        <v>0</v>
      </c>
      <c r="Q189" s="405" t="s">
        <v>743</v>
      </c>
      <c r="R189" s="790">
        <v>1590.0490937912809</v>
      </c>
      <c r="S189" s="405">
        <v>7.87</v>
      </c>
      <c r="T189" s="405">
        <v>0</v>
      </c>
      <c r="U189" s="405">
        <v>0.62</v>
      </c>
      <c r="V189" s="807">
        <v>0</v>
      </c>
      <c r="W189" s="807">
        <v>53.42</v>
      </c>
      <c r="X189" s="647" t="e">
        <v>#VALUE!</v>
      </c>
      <c r="Y189" s="383">
        <v>31.6</v>
      </c>
      <c r="Z189" s="681">
        <v>51</v>
      </c>
      <c r="AA189" s="794">
        <v>35.159999999999997</v>
      </c>
      <c r="AB189" s="794">
        <v>48.4</v>
      </c>
      <c r="AC189" s="775">
        <f t="shared" ref="AC189" si="193">AA189+AB189</f>
        <v>83.56</v>
      </c>
      <c r="AD189" s="775">
        <f t="shared" ref="AD189" si="194">AC189*1.547</f>
        <v>129.26731999999998</v>
      </c>
      <c r="AE189" s="775"/>
      <c r="AF189" s="567"/>
      <c r="AG189" s="2">
        <v>1.6</v>
      </c>
      <c r="AH189" s="705"/>
      <c r="AI189" s="362"/>
      <c r="AJ189" s="996"/>
      <c r="AK189" s="407"/>
      <c r="AL189" s="407"/>
      <c r="AM189" s="407"/>
      <c r="AN189" s="407"/>
      <c r="AO189" s="387"/>
      <c r="AP189" s="387"/>
      <c r="AQ189" s="405"/>
      <c r="AR189" s="578">
        <v>0</v>
      </c>
      <c r="AS189" s="405">
        <v>25.4</v>
      </c>
      <c r="AT189" s="578">
        <v>0</v>
      </c>
      <c r="AU189" s="405">
        <v>32.6</v>
      </c>
      <c r="AV189" s="644">
        <v>777.2</v>
      </c>
      <c r="AW189" s="644">
        <v>1077</v>
      </c>
      <c r="AX189" s="405">
        <v>66.5</v>
      </c>
      <c r="AY189" s="578">
        <v>0</v>
      </c>
      <c r="AZ189" s="578">
        <v>0</v>
      </c>
      <c r="BA189" s="578">
        <v>0</v>
      </c>
      <c r="BB189" s="1086">
        <v>1.6</v>
      </c>
      <c r="BC189" s="405">
        <v>0.8</v>
      </c>
      <c r="BD189" s="405">
        <v>2.21</v>
      </c>
      <c r="BE189" s="578">
        <v>0</v>
      </c>
      <c r="BF189" s="405">
        <v>0.5</v>
      </c>
      <c r="BG189" s="405">
        <v>0</v>
      </c>
      <c r="BH189" s="578">
        <v>0</v>
      </c>
      <c r="BI189" s="405">
        <v>0</v>
      </c>
      <c r="BJ189" s="405">
        <v>45</v>
      </c>
      <c r="BK189" s="405">
        <v>4.5599999999999996</v>
      </c>
      <c r="BL189" s="405">
        <v>3.84</v>
      </c>
      <c r="BM189" s="405">
        <v>0</v>
      </c>
      <c r="BN189" s="405">
        <v>35</v>
      </c>
      <c r="BO189" s="405">
        <v>2404</v>
      </c>
      <c r="BP189" s="405">
        <v>0</v>
      </c>
      <c r="BQ189" s="649">
        <v>18.73</v>
      </c>
      <c r="BR189" s="649">
        <v>18.64</v>
      </c>
      <c r="BS189" s="649">
        <v>15.5</v>
      </c>
      <c r="BT189" s="649">
        <v>15.7</v>
      </c>
      <c r="BU189" s="648">
        <v>33.6</v>
      </c>
      <c r="BV189" s="648">
        <v>35.700000000000003</v>
      </c>
      <c r="BW189" s="649">
        <v>1032.0999999999999</v>
      </c>
      <c r="BX189" s="876"/>
      <c r="BY189" s="649">
        <v>0.72</v>
      </c>
      <c r="BZ189" s="649">
        <v>1.47</v>
      </c>
      <c r="CA189" s="649">
        <v>1.2</v>
      </c>
      <c r="CB189" s="649">
        <v>8.9</v>
      </c>
      <c r="CC189" s="649">
        <v>8</v>
      </c>
      <c r="CD189" s="522">
        <v>15.8</v>
      </c>
      <c r="CE189" s="649">
        <v>31.2</v>
      </c>
      <c r="CF189" s="649">
        <v>18.5</v>
      </c>
      <c r="CG189" s="649">
        <v>6.1</v>
      </c>
      <c r="CH189" s="649">
        <v>11.15</v>
      </c>
      <c r="CI189" s="649">
        <v>15.5</v>
      </c>
      <c r="CJ189" s="649">
        <v>13</v>
      </c>
      <c r="CK189" s="649">
        <v>0</v>
      </c>
      <c r="CL189" s="649">
        <v>3.8</v>
      </c>
      <c r="CM189" s="649">
        <v>5.0999999999999996</v>
      </c>
      <c r="CN189" s="991">
        <v>1200</v>
      </c>
      <c r="CO189" s="649">
        <v>937.2</v>
      </c>
      <c r="CP189" s="649">
        <v>662.2</v>
      </c>
      <c r="CQ189" s="649">
        <v>13.9</v>
      </c>
      <c r="CR189" s="649">
        <v>1.03</v>
      </c>
      <c r="CS189" s="648">
        <v>0</v>
      </c>
      <c r="CT189" s="405">
        <v>17.588999999999999</v>
      </c>
      <c r="CU189" s="405">
        <v>57</v>
      </c>
      <c r="CV189" s="522">
        <v>0</v>
      </c>
      <c r="CW189" s="522">
        <v>0</v>
      </c>
      <c r="CX189" s="522">
        <v>0</v>
      </c>
      <c r="CY189" s="522">
        <v>0</v>
      </c>
      <c r="CZ189" s="689">
        <v>589</v>
      </c>
      <c r="DA189" s="689">
        <v>708</v>
      </c>
      <c r="DB189" s="689">
        <v>487</v>
      </c>
      <c r="DC189" s="643">
        <v>1166.1099999999999</v>
      </c>
      <c r="DD189" s="522"/>
      <c r="DE189" s="522"/>
      <c r="DF189" s="522"/>
      <c r="DG189" s="522"/>
      <c r="DH189" s="522"/>
      <c r="DI189" s="522"/>
      <c r="DJ189" s="522"/>
      <c r="DK189" s="522"/>
      <c r="DL189" s="649">
        <v>0</v>
      </c>
      <c r="DM189" s="649">
        <v>0</v>
      </c>
      <c r="DN189" s="649">
        <v>0</v>
      </c>
      <c r="DO189" s="522"/>
      <c r="DP189" s="522"/>
      <c r="DQ189" s="522"/>
      <c r="DR189" s="522"/>
      <c r="DS189" s="522"/>
      <c r="DT189" s="522"/>
      <c r="DU189" s="522"/>
      <c r="DV189" s="522"/>
      <c r="DW189" s="522"/>
      <c r="DX189" s="522"/>
      <c r="DY189" s="522"/>
      <c r="DZ189" s="522"/>
      <c r="EA189" s="522"/>
      <c r="EB189" s="522"/>
      <c r="EC189" s="522"/>
      <c r="ED189" s="522"/>
      <c r="EE189" s="522"/>
      <c r="EF189" s="522"/>
      <c r="EG189" s="645">
        <f t="shared" si="132"/>
        <v>18.564</v>
      </c>
      <c r="EH189" s="361">
        <v>0</v>
      </c>
      <c r="EI189" s="649">
        <v>0</v>
      </c>
      <c r="EJ189" s="649">
        <v>3.5</v>
      </c>
      <c r="EK189" s="649">
        <v>8.5</v>
      </c>
      <c r="EL189" s="522"/>
      <c r="EM189" s="522"/>
      <c r="EN189" s="522"/>
      <c r="EO189" s="522"/>
      <c r="EP189" s="522"/>
      <c r="EQ189" s="522"/>
      <c r="ER189" s="522"/>
      <c r="ES189" s="407"/>
      <c r="ET189" s="407"/>
    </row>
    <row r="190" spans="1:150" s="357" customFormat="1" ht="15">
      <c r="A190" s="675" t="s">
        <v>7</v>
      </c>
      <c r="B190" s="712">
        <v>41816</v>
      </c>
      <c r="C190" s="358">
        <v>0</v>
      </c>
      <c r="D190" s="405">
        <v>0.14000000000000001</v>
      </c>
      <c r="E190" s="681">
        <v>0</v>
      </c>
      <c r="F190" s="681">
        <v>54</v>
      </c>
      <c r="G190" s="681">
        <v>0.7</v>
      </c>
      <c r="H190" s="405">
        <v>0.62</v>
      </c>
      <c r="I190" s="405">
        <v>92.7</v>
      </c>
      <c r="J190" s="405">
        <v>0.61</v>
      </c>
      <c r="K190" s="405" t="s">
        <v>744</v>
      </c>
      <c r="L190" s="644">
        <v>0</v>
      </c>
      <c r="M190" s="405">
        <v>18.8</v>
      </c>
      <c r="N190" s="405">
        <v>1.95</v>
      </c>
      <c r="O190" s="405">
        <v>2.2511789576039263</v>
      </c>
      <c r="P190" s="405">
        <v>0</v>
      </c>
      <c r="Q190" s="405" t="s">
        <v>743</v>
      </c>
      <c r="R190" s="790">
        <v>1597.1750013210037</v>
      </c>
      <c r="S190" s="405">
        <v>7.9</v>
      </c>
      <c r="T190" s="405">
        <v>0</v>
      </c>
      <c r="U190" s="405">
        <v>0.71</v>
      </c>
      <c r="V190" s="807">
        <v>0</v>
      </c>
      <c r="W190" s="807">
        <v>54.319999999999993</v>
      </c>
      <c r="X190" s="647" t="e">
        <v>#VALUE!</v>
      </c>
      <c r="Y190" s="383">
        <v>35.159999999999997</v>
      </c>
      <c r="Z190" s="681">
        <v>48.4</v>
      </c>
      <c r="AA190" s="794">
        <v>41.68</v>
      </c>
      <c r="AB190" s="794">
        <v>41.94</v>
      </c>
      <c r="AC190" s="775">
        <f t="shared" ref="AC190" si="195">AA190+AB190</f>
        <v>83.62</v>
      </c>
      <c r="AD190" s="775">
        <f t="shared" ref="AD190" si="196">AC190*1.547</f>
        <v>129.36014</v>
      </c>
      <c r="AE190" s="775"/>
      <c r="AF190" s="567"/>
      <c r="AG190" s="2">
        <v>1.6</v>
      </c>
      <c r="AH190" s="705"/>
      <c r="AI190" s="362"/>
      <c r="AJ190" s="996"/>
      <c r="AK190" s="407"/>
      <c r="AL190" s="407"/>
      <c r="AM190" s="407"/>
      <c r="AN190" s="407"/>
      <c r="AO190" s="387"/>
      <c r="AP190" s="387"/>
      <c r="AQ190" s="405"/>
      <c r="AR190" s="578">
        <v>0</v>
      </c>
      <c r="AS190" s="405">
        <v>11.6</v>
      </c>
      <c r="AT190" s="578">
        <v>0</v>
      </c>
      <c r="AU190" s="405">
        <v>39.200000000000003</v>
      </c>
      <c r="AV190" s="644">
        <v>383.5</v>
      </c>
      <c r="AW190" s="644">
        <v>539</v>
      </c>
      <c r="AX190" s="405">
        <v>31.6</v>
      </c>
      <c r="AY190" s="578">
        <v>0</v>
      </c>
      <c r="AZ190" s="578">
        <v>0</v>
      </c>
      <c r="BA190" s="578">
        <v>0</v>
      </c>
      <c r="BB190" s="1086">
        <v>1.6</v>
      </c>
      <c r="BC190" s="405">
        <v>0.8</v>
      </c>
      <c r="BD190" s="405">
        <v>2.21</v>
      </c>
      <c r="BE190" s="578">
        <v>0</v>
      </c>
      <c r="BF190" s="405">
        <v>0.5</v>
      </c>
      <c r="BG190" s="405">
        <v>0</v>
      </c>
      <c r="BH190" s="578">
        <v>0</v>
      </c>
      <c r="BI190" s="405">
        <v>0</v>
      </c>
      <c r="BJ190" s="405">
        <v>38.6</v>
      </c>
      <c r="BK190" s="405">
        <v>4.75</v>
      </c>
      <c r="BL190" s="405">
        <v>3.66</v>
      </c>
      <c r="BM190" s="405">
        <v>0</v>
      </c>
      <c r="BN190" s="405">
        <v>28.6</v>
      </c>
      <c r="BO190" s="405">
        <v>1817.4</v>
      </c>
      <c r="BP190" s="405">
        <v>0</v>
      </c>
      <c r="BQ190" s="649">
        <v>21.81</v>
      </c>
      <c r="BR190" s="649">
        <v>21.73</v>
      </c>
      <c r="BS190" s="649">
        <v>19.8</v>
      </c>
      <c r="BT190" s="649">
        <v>19.899999999999999</v>
      </c>
      <c r="BU190" s="648">
        <v>41.3</v>
      </c>
      <c r="BV190" s="648">
        <v>36.4</v>
      </c>
      <c r="BW190" s="649">
        <v>962.9</v>
      </c>
      <c r="BX190" s="876"/>
      <c r="BY190" s="649">
        <v>2.16</v>
      </c>
      <c r="BZ190" s="649">
        <v>1.5</v>
      </c>
      <c r="CA190" s="649">
        <v>1.2</v>
      </c>
      <c r="CB190" s="649">
        <v>9.6999999999999993</v>
      </c>
      <c r="CC190" s="649">
        <v>8</v>
      </c>
      <c r="CD190" s="649">
        <v>16.100000000000001</v>
      </c>
      <c r="CE190" s="649">
        <v>31.8</v>
      </c>
      <c r="CF190" s="649">
        <v>20.3</v>
      </c>
      <c r="CG190" s="649">
        <v>5.4</v>
      </c>
      <c r="CH190" s="649">
        <v>10.5</v>
      </c>
      <c r="CI190" s="649">
        <v>14.4</v>
      </c>
      <c r="CJ190" s="649">
        <v>13.5</v>
      </c>
      <c r="CK190" s="649">
        <v>283.8</v>
      </c>
      <c r="CL190" s="649">
        <v>3.7</v>
      </c>
      <c r="CM190" s="649">
        <v>5</v>
      </c>
      <c r="CN190" s="991">
        <v>1200</v>
      </c>
      <c r="CO190" s="649">
        <v>782.3</v>
      </c>
      <c r="CP190" s="649">
        <v>604.1</v>
      </c>
      <c r="CQ190" s="649">
        <v>13.6</v>
      </c>
      <c r="CR190" s="649">
        <v>0.99</v>
      </c>
      <c r="CS190" s="648">
        <v>0</v>
      </c>
      <c r="CT190" s="405">
        <v>17.152999999999999</v>
      </c>
      <c r="CU190" s="405">
        <v>57</v>
      </c>
      <c r="CV190" s="522">
        <v>0</v>
      </c>
      <c r="CW190" s="522">
        <v>0</v>
      </c>
      <c r="CX190" s="522">
        <v>0</v>
      </c>
      <c r="CY190" s="522">
        <v>0</v>
      </c>
      <c r="CZ190" s="689">
        <v>589</v>
      </c>
      <c r="DA190" s="689">
        <v>719</v>
      </c>
      <c r="DB190" s="689">
        <v>490</v>
      </c>
      <c r="DC190" s="643">
        <v>1165.83</v>
      </c>
      <c r="DD190" s="522"/>
      <c r="DE190" s="522"/>
      <c r="DF190" s="522"/>
      <c r="DG190" s="522"/>
      <c r="DH190" s="522"/>
      <c r="DI190" s="522"/>
      <c r="DJ190" s="522"/>
      <c r="DK190" s="522"/>
      <c r="DL190" s="649"/>
      <c r="DM190" s="649"/>
      <c r="DN190" s="649"/>
      <c r="DO190" s="522"/>
      <c r="DP190" s="522"/>
      <c r="DQ190" s="522"/>
      <c r="DR190" s="522"/>
      <c r="DS190" s="522"/>
      <c r="DT190" s="522"/>
      <c r="DU190" s="522"/>
      <c r="DV190" s="522"/>
      <c r="DW190" s="522"/>
      <c r="DX190" s="522"/>
      <c r="DY190" s="522"/>
      <c r="DZ190" s="522"/>
      <c r="EA190" s="522"/>
      <c r="EB190" s="522"/>
      <c r="EC190" s="522"/>
      <c r="ED190" s="522"/>
      <c r="EE190" s="522"/>
      <c r="EF190" s="522"/>
      <c r="EG190" s="645">
        <f t="shared" si="132"/>
        <v>18.564</v>
      </c>
      <c r="EH190" s="361">
        <v>0</v>
      </c>
      <c r="EI190" s="649">
        <v>0</v>
      </c>
      <c r="EJ190" s="649">
        <v>3.5</v>
      </c>
      <c r="EK190" s="649">
        <v>8.5</v>
      </c>
      <c r="EL190" s="522"/>
      <c r="EM190" s="522"/>
      <c r="EN190" s="522"/>
      <c r="EO190" s="522"/>
      <c r="EP190" s="522"/>
      <c r="EQ190" s="522"/>
      <c r="ER190" s="522"/>
      <c r="ES190" s="407"/>
      <c r="ET190" s="407"/>
    </row>
    <row r="191" spans="1:150" s="357" customFormat="1" ht="15">
      <c r="A191" s="675" t="s">
        <v>8</v>
      </c>
      <c r="B191" s="712">
        <v>41817</v>
      </c>
      <c r="C191" s="358">
        <v>0</v>
      </c>
      <c r="D191" s="405">
        <v>0.63</v>
      </c>
      <c r="E191" s="681">
        <v>0</v>
      </c>
      <c r="F191" s="681">
        <v>54</v>
      </c>
      <c r="G191" s="681">
        <v>0.6</v>
      </c>
      <c r="H191" s="405">
        <v>0.82</v>
      </c>
      <c r="I191" s="405">
        <v>92.96</v>
      </c>
      <c r="J191" s="405">
        <v>0.79</v>
      </c>
      <c r="K191" s="405" t="s">
        <v>744</v>
      </c>
      <c r="L191" s="644">
        <v>0</v>
      </c>
      <c r="M191" s="405">
        <v>18.7</v>
      </c>
      <c r="N191" s="405">
        <v>1.83</v>
      </c>
      <c r="O191" s="405">
        <v>2.2634468919495294</v>
      </c>
      <c r="P191" s="405">
        <v>0</v>
      </c>
      <c r="Q191" s="405" t="s">
        <v>743</v>
      </c>
      <c r="R191" s="790">
        <v>1560.5737490092465</v>
      </c>
      <c r="S191" s="405">
        <v>8.01</v>
      </c>
      <c r="T191" s="405">
        <v>0</v>
      </c>
      <c r="U191" s="405">
        <v>0.69</v>
      </c>
      <c r="V191" s="807">
        <v>0</v>
      </c>
      <c r="W191" s="807">
        <v>53.78</v>
      </c>
      <c r="X191" s="647" t="e">
        <v>#VALUE!</v>
      </c>
      <c r="Y191" s="383">
        <v>41.68</v>
      </c>
      <c r="Z191" s="681">
        <v>41.94</v>
      </c>
      <c r="AA191" s="794">
        <v>41.92</v>
      </c>
      <c r="AB191" s="794">
        <v>39.36</v>
      </c>
      <c r="AC191" s="775">
        <f t="shared" ref="AC191:AC193" si="197">AA191+AB191</f>
        <v>81.28</v>
      </c>
      <c r="AD191" s="775">
        <f t="shared" ref="AD191:AD193" si="198">AC191*1.547</f>
        <v>125.74016</v>
      </c>
      <c r="AE191" s="775"/>
      <c r="AF191" s="567"/>
      <c r="AG191" s="2">
        <v>1.6</v>
      </c>
      <c r="AH191" s="705"/>
      <c r="AI191" s="362"/>
      <c r="AJ191" s="996"/>
      <c r="AK191" s="407"/>
      <c r="AL191" s="407"/>
      <c r="AM191" s="407"/>
      <c r="AN191" s="407"/>
      <c r="AO191" s="387"/>
      <c r="AP191" s="387"/>
      <c r="AQ191" s="405"/>
      <c r="AR191" s="578">
        <v>0</v>
      </c>
      <c r="AS191" s="405">
        <v>11.3</v>
      </c>
      <c r="AT191" s="578">
        <v>0</v>
      </c>
      <c r="AU191" s="405">
        <v>43.2</v>
      </c>
      <c r="AV191" s="644">
        <v>623.70000000000005</v>
      </c>
      <c r="AW191" s="644">
        <v>777.5</v>
      </c>
      <c r="AX191" s="405">
        <v>23.2</v>
      </c>
      <c r="AY191" s="578">
        <v>0</v>
      </c>
      <c r="AZ191" s="578">
        <v>0</v>
      </c>
      <c r="BA191" s="578">
        <v>0</v>
      </c>
      <c r="BB191" s="1086">
        <v>1.59</v>
      </c>
      <c r="BC191" s="405">
        <v>1.08</v>
      </c>
      <c r="BD191" s="405">
        <v>2.21</v>
      </c>
      <c r="BE191" s="578">
        <v>0</v>
      </c>
      <c r="BF191" s="405">
        <v>0.49</v>
      </c>
      <c r="BG191" s="405">
        <v>0</v>
      </c>
      <c r="BH191" s="578">
        <v>0</v>
      </c>
      <c r="BI191" s="405">
        <v>0</v>
      </c>
      <c r="BJ191" s="405">
        <v>35.700000000000003</v>
      </c>
      <c r="BK191" s="405">
        <v>4.07</v>
      </c>
      <c r="BL191" s="405">
        <v>4.18</v>
      </c>
      <c r="BM191" s="405">
        <v>0</v>
      </c>
      <c r="BN191" s="405">
        <v>25.9</v>
      </c>
      <c r="BO191" s="405">
        <v>1988.1</v>
      </c>
      <c r="BP191" s="405">
        <v>0</v>
      </c>
      <c r="BQ191" s="649">
        <v>23.79</v>
      </c>
      <c r="BR191" s="649">
        <v>23.65</v>
      </c>
      <c r="BS191" s="649">
        <v>19.75</v>
      </c>
      <c r="BT191" s="649">
        <v>19.829999999999998</v>
      </c>
      <c r="BU191" s="648">
        <v>41.1</v>
      </c>
      <c r="BV191" s="648">
        <v>39.4</v>
      </c>
      <c r="BW191" s="649">
        <v>874.1</v>
      </c>
      <c r="BX191" s="876"/>
      <c r="BY191" s="649">
        <v>1.81</v>
      </c>
      <c r="BZ191" s="649">
        <v>1.44</v>
      </c>
      <c r="CA191" s="649">
        <v>1.2</v>
      </c>
      <c r="CB191" s="649">
        <v>9.1</v>
      </c>
      <c r="CC191" s="649">
        <v>7.8</v>
      </c>
      <c r="CD191" s="649">
        <v>17</v>
      </c>
      <c r="CE191" s="649">
        <v>36.9</v>
      </c>
      <c r="CF191" s="649">
        <v>21.7</v>
      </c>
      <c r="CG191" s="649">
        <v>6</v>
      </c>
      <c r="CH191" s="649">
        <v>11</v>
      </c>
      <c r="CI191" s="649">
        <v>15.4</v>
      </c>
      <c r="CJ191" s="649">
        <v>14.5</v>
      </c>
      <c r="CK191" s="649">
        <v>625.70000000000005</v>
      </c>
      <c r="CL191" s="649">
        <v>4.2</v>
      </c>
      <c r="CM191" s="649">
        <v>5.4</v>
      </c>
      <c r="CN191" s="991">
        <v>1200</v>
      </c>
      <c r="CO191" s="649">
        <v>723.1</v>
      </c>
      <c r="CP191" s="649">
        <v>608.20000000000005</v>
      </c>
      <c r="CQ191" s="649">
        <v>14.2</v>
      </c>
      <c r="CR191" s="649">
        <v>1.04</v>
      </c>
      <c r="CS191" s="648">
        <v>0</v>
      </c>
      <c r="CT191" s="405">
        <v>18.097000000000001</v>
      </c>
      <c r="CU191" s="405">
        <v>57</v>
      </c>
      <c r="CV191" s="522">
        <v>0</v>
      </c>
      <c r="CW191" s="522">
        <v>0</v>
      </c>
      <c r="CX191" s="522">
        <v>0</v>
      </c>
      <c r="CY191" s="522">
        <v>0</v>
      </c>
      <c r="CZ191" s="689">
        <v>620</v>
      </c>
      <c r="DA191" s="689">
        <v>760</v>
      </c>
      <c r="DB191" s="689">
        <v>533</v>
      </c>
      <c r="DC191" s="643">
        <v>1165.5999999999999</v>
      </c>
      <c r="DD191" s="522"/>
      <c r="DE191" s="522"/>
      <c r="DF191" s="522"/>
      <c r="DG191" s="522"/>
      <c r="DH191" s="522"/>
      <c r="DI191" s="522"/>
      <c r="DJ191" s="522"/>
      <c r="DK191" s="522"/>
      <c r="DL191" s="649"/>
      <c r="DM191" s="649"/>
      <c r="DN191" s="649"/>
      <c r="DO191" s="522"/>
      <c r="DP191" s="522"/>
      <c r="DQ191" s="522"/>
      <c r="DR191" s="522"/>
      <c r="DS191" s="522"/>
      <c r="DT191" s="522"/>
      <c r="DU191" s="522"/>
      <c r="DV191" s="522"/>
      <c r="DW191" s="522"/>
      <c r="DX191" s="522"/>
      <c r="DY191" s="522"/>
      <c r="DZ191" s="522"/>
      <c r="EA191" s="522"/>
      <c r="EB191" s="522"/>
      <c r="EC191" s="522"/>
      <c r="ED191" s="522"/>
      <c r="EE191" s="522"/>
      <c r="EF191" s="522"/>
      <c r="EG191" s="645">
        <f t="shared" si="132"/>
        <v>19.337499999999999</v>
      </c>
      <c r="EH191" s="361">
        <v>0</v>
      </c>
      <c r="EI191" s="522">
        <v>0</v>
      </c>
      <c r="EJ191" s="649">
        <v>4</v>
      </c>
      <c r="EK191" s="649">
        <v>8.5</v>
      </c>
      <c r="EL191" s="522"/>
      <c r="EM191" s="522"/>
      <c r="EN191" s="522"/>
      <c r="EO191" s="522"/>
      <c r="EP191" s="522"/>
      <c r="EQ191" s="522"/>
      <c r="ER191" s="522"/>
      <c r="ES191" s="407"/>
      <c r="ET191" s="407"/>
    </row>
    <row r="192" spans="1:150" s="357" customFormat="1" ht="15">
      <c r="A192" s="675" t="s">
        <v>9</v>
      </c>
      <c r="B192" s="712">
        <v>41818</v>
      </c>
      <c r="C192" s="358">
        <v>0</v>
      </c>
      <c r="D192" s="405">
        <v>0.77</v>
      </c>
      <c r="E192" s="681">
        <v>0</v>
      </c>
      <c r="F192" s="681">
        <v>53</v>
      </c>
      <c r="G192" s="681">
        <v>0.6</v>
      </c>
      <c r="H192" s="405">
        <v>0.77</v>
      </c>
      <c r="I192" s="405">
        <v>93.05</v>
      </c>
      <c r="J192" s="405">
        <v>0.71</v>
      </c>
      <c r="K192" s="405" t="s">
        <v>744</v>
      </c>
      <c r="L192" s="644">
        <v>0</v>
      </c>
      <c r="M192" s="405">
        <v>19</v>
      </c>
      <c r="N192" s="405">
        <v>1.84</v>
      </c>
      <c r="O192" s="405">
        <v>2.2502839075730341</v>
      </c>
      <c r="P192" s="405">
        <v>0</v>
      </c>
      <c r="Q192" s="405" t="s">
        <v>743</v>
      </c>
      <c r="R192" s="790">
        <v>1431.0117939233814</v>
      </c>
      <c r="S192" s="405">
        <v>8.01</v>
      </c>
      <c r="T192" s="405">
        <v>0</v>
      </c>
      <c r="U192" s="405">
        <v>0.72</v>
      </c>
      <c r="V192" s="807">
        <v>0</v>
      </c>
      <c r="W192" s="807">
        <v>53.78</v>
      </c>
      <c r="X192" s="647" t="e">
        <v>#VALUE!</v>
      </c>
      <c r="Y192" s="383">
        <v>41.92</v>
      </c>
      <c r="Z192" s="681">
        <v>39.36</v>
      </c>
      <c r="AA192" s="794">
        <v>40.840000000000003</v>
      </c>
      <c r="AB192" s="794">
        <v>33.9</v>
      </c>
      <c r="AC192" s="775">
        <f t="shared" si="197"/>
        <v>74.740000000000009</v>
      </c>
      <c r="AD192" s="775">
        <f t="shared" si="198"/>
        <v>115.62278000000001</v>
      </c>
      <c r="AE192" s="775"/>
      <c r="AF192" s="567"/>
      <c r="AG192" s="2">
        <v>1.6</v>
      </c>
      <c r="AH192" s="705"/>
      <c r="AI192" s="362"/>
      <c r="AJ192" s="996"/>
      <c r="AK192" s="407"/>
      <c r="AL192" s="407"/>
      <c r="AM192" s="407"/>
      <c r="AN192" s="407"/>
      <c r="AO192" s="387"/>
      <c r="AP192" s="387"/>
      <c r="AQ192" s="405"/>
      <c r="AR192" s="578">
        <v>0</v>
      </c>
      <c r="AS192" s="405">
        <v>21.7</v>
      </c>
      <c r="AT192" s="578">
        <v>0</v>
      </c>
      <c r="AU192" s="405">
        <v>42.4</v>
      </c>
      <c r="AV192" s="644">
        <v>543.5</v>
      </c>
      <c r="AW192" s="644">
        <v>775</v>
      </c>
      <c r="AX192" s="405">
        <v>6.5</v>
      </c>
      <c r="AY192" s="578">
        <v>0</v>
      </c>
      <c r="AZ192" s="578">
        <v>0</v>
      </c>
      <c r="BA192" s="578">
        <v>0</v>
      </c>
      <c r="BB192" s="1086">
        <v>1.6</v>
      </c>
      <c r="BC192" s="405">
        <v>1.29</v>
      </c>
      <c r="BD192" s="405">
        <v>2.21</v>
      </c>
      <c r="BE192" s="578">
        <v>0</v>
      </c>
      <c r="BF192" s="405">
        <v>0.5</v>
      </c>
      <c r="BG192" s="405">
        <v>0</v>
      </c>
      <c r="BH192" s="578">
        <v>0</v>
      </c>
      <c r="BI192" s="405">
        <v>0</v>
      </c>
      <c r="BJ192" s="405">
        <v>29.9</v>
      </c>
      <c r="BK192" s="405">
        <v>3.25</v>
      </c>
      <c r="BL192" s="405">
        <v>5.04</v>
      </c>
      <c r="BM192" s="405">
        <v>0</v>
      </c>
      <c r="BN192" s="405">
        <v>20.100000000000001</v>
      </c>
      <c r="BO192" s="405">
        <v>2001.6</v>
      </c>
      <c r="BP192" s="405">
        <v>0</v>
      </c>
      <c r="BQ192" s="649">
        <v>24.8</v>
      </c>
      <c r="BR192" s="649">
        <v>24.7</v>
      </c>
      <c r="BS192" s="649">
        <v>19.3</v>
      </c>
      <c r="BT192" s="649">
        <v>19.399999999999999</v>
      </c>
      <c r="BU192" s="648">
        <v>40.200000000000003</v>
      </c>
      <c r="BV192" s="648">
        <v>41.1</v>
      </c>
      <c r="BW192" s="649">
        <v>668.9</v>
      </c>
      <c r="BX192" s="876"/>
      <c r="BY192" s="649">
        <v>0.63</v>
      </c>
      <c r="BZ192" s="649">
        <v>1.39</v>
      </c>
      <c r="CA192" s="649">
        <v>1.2</v>
      </c>
      <c r="CB192" s="649">
        <v>8.6</v>
      </c>
      <c r="CC192" s="649">
        <v>7.8</v>
      </c>
      <c r="CD192" s="649">
        <v>18.5</v>
      </c>
      <c r="CE192" s="649">
        <v>37.299999999999997</v>
      </c>
      <c r="CF192" s="649">
        <v>22.5</v>
      </c>
      <c r="CG192" s="649">
        <v>7.8</v>
      </c>
      <c r="CH192" s="649">
        <v>13.2</v>
      </c>
      <c r="CI192" s="649">
        <v>17.2</v>
      </c>
      <c r="CJ192" s="649">
        <v>15.6</v>
      </c>
      <c r="CK192" s="649">
        <v>488</v>
      </c>
      <c r="CL192" s="649">
        <v>4.3</v>
      </c>
      <c r="CM192" s="649">
        <v>5</v>
      </c>
      <c r="CN192" s="991">
        <v>1200</v>
      </c>
      <c r="CO192" s="649">
        <v>620.29999999999995</v>
      </c>
      <c r="CP192" s="649">
        <v>596</v>
      </c>
      <c r="CQ192" s="649">
        <v>12.9</v>
      </c>
      <c r="CR192" s="649">
        <v>0.89</v>
      </c>
      <c r="CS192" s="648">
        <v>0</v>
      </c>
      <c r="CT192" s="405">
        <v>17.010999999999999</v>
      </c>
      <c r="CU192" s="405">
        <v>57</v>
      </c>
      <c r="CV192" s="522">
        <v>0</v>
      </c>
      <c r="CW192" s="522">
        <v>0</v>
      </c>
      <c r="CX192" s="522">
        <v>0</v>
      </c>
      <c r="CY192" s="522">
        <v>0</v>
      </c>
      <c r="CZ192" s="689">
        <v>620</v>
      </c>
      <c r="DA192" s="689">
        <v>825</v>
      </c>
      <c r="DB192" s="689">
        <v>581</v>
      </c>
      <c r="DC192" s="643">
        <v>1165.5</v>
      </c>
      <c r="DD192" s="522"/>
      <c r="DE192" s="522"/>
      <c r="DF192" s="522"/>
      <c r="DG192" s="522"/>
      <c r="DH192" s="522"/>
      <c r="DI192" s="522"/>
      <c r="DJ192" s="522"/>
      <c r="DK192" s="522"/>
      <c r="DL192" s="649"/>
      <c r="DM192" s="649"/>
      <c r="DN192" s="649"/>
      <c r="DO192" s="522"/>
      <c r="DP192" s="522"/>
      <c r="DQ192" s="522"/>
      <c r="DR192" s="522"/>
      <c r="DS192" s="522"/>
      <c r="DT192" s="522"/>
      <c r="DU192" s="522"/>
      <c r="DV192" s="522"/>
      <c r="DW192" s="522"/>
      <c r="DX192" s="522"/>
      <c r="DY192" s="522"/>
      <c r="DZ192" s="522"/>
      <c r="EA192" s="522"/>
      <c r="EB192" s="522"/>
      <c r="EC192" s="522"/>
      <c r="ED192" s="522"/>
      <c r="EE192" s="522"/>
      <c r="EF192" s="522"/>
      <c r="EG192" s="645">
        <f t="shared" si="132"/>
        <v>19.337499999999999</v>
      </c>
      <c r="EH192" s="361">
        <v>0</v>
      </c>
      <c r="EI192" s="522">
        <v>0</v>
      </c>
      <c r="EJ192" s="649">
        <v>4</v>
      </c>
      <c r="EK192" s="649">
        <v>8.5</v>
      </c>
      <c r="EL192" s="522"/>
      <c r="EM192" s="522"/>
      <c r="EN192" s="522"/>
      <c r="EO192" s="522"/>
      <c r="EP192" s="522"/>
      <c r="EQ192" s="522"/>
      <c r="ER192" s="522"/>
      <c r="ES192" s="407"/>
      <c r="ET192" s="407"/>
    </row>
    <row r="193" spans="1:150" s="357" customFormat="1" ht="15">
      <c r="A193" s="675" t="s">
        <v>3</v>
      </c>
      <c r="B193" s="712">
        <v>41819</v>
      </c>
      <c r="C193" s="358">
        <v>0</v>
      </c>
      <c r="D193" s="405">
        <v>0.6</v>
      </c>
      <c r="E193" s="681">
        <v>0</v>
      </c>
      <c r="F193" s="681">
        <v>52</v>
      </c>
      <c r="G193" s="681">
        <v>0.6</v>
      </c>
      <c r="H193" s="405">
        <v>0.71</v>
      </c>
      <c r="I193" s="405">
        <v>93.05</v>
      </c>
      <c r="J193" s="405">
        <v>0.54</v>
      </c>
      <c r="K193" s="405" t="s">
        <v>744</v>
      </c>
      <c r="L193" s="644">
        <v>0</v>
      </c>
      <c r="M193" s="405">
        <v>19.2</v>
      </c>
      <c r="N193" s="405">
        <v>1.83</v>
      </c>
      <c r="O193" s="405">
        <v>2.2370080280087219</v>
      </c>
      <c r="P193" s="405">
        <v>0</v>
      </c>
      <c r="Q193" s="405" t="s">
        <v>743</v>
      </c>
      <c r="R193" s="790">
        <v>1232.458097754293</v>
      </c>
      <c r="S193" s="405">
        <v>8</v>
      </c>
      <c r="T193" s="405">
        <v>0</v>
      </c>
      <c r="U193" s="405">
        <v>0.69</v>
      </c>
      <c r="V193" s="807">
        <v>0</v>
      </c>
      <c r="W193" s="807">
        <v>53.239999999999995</v>
      </c>
      <c r="X193" s="647" t="e">
        <v>#VALUE!</v>
      </c>
      <c r="Y193" s="383">
        <v>40.840000000000003</v>
      </c>
      <c r="Z193" s="681">
        <v>33.9</v>
      </c>
      <c r="AA193" s="794">
        <v>38.56</v>
      </c>
      <c r="AB193" s="794">
        <v>26</v>
      </c>
      <c r="AC193" s="775">
        <f t="shared" si="197"/>
        <v>64.56</v>
      </c>
      <c r="AD193" s="775">
        <f t="shared" si="198"/>
        <v>99.874319999999997</v>
      </c>
      <c r="AE193" s="775"/>
      <c r="AF193" s="567"/>
      <c r="AG193" s="2">
        <v>1.6</v>
      </c>
      <c r="AH193" s="705"/>
      <c r="AI193" s="362"/>
      <c r="AJ193" s="996"/>
      <c r="AK193" s="407"/>
      <c r="AL193" s="407"/>
      <c r="AM193" s="407"/>
      <c r="AN193" s="407"/>
      <c r="AO193" s="387"/>
      <c r="AP193" s="387"/>
      <c r="AQ193" s="405"/>
      <c r="AR193" s="578">
        <v>0</v>
      </c>
      <c r="AS193" s="405">
        <v>11.7</v>
      </c>
      <c r="AT193" s="578">
        <v>0</v>
      </c>
      <c r="AU193" s="405">
        <v>40</v>
      </c>
      <c r="AV193" s="644">
        <v>654.6</v>
      </c>
      <c r="AW193" s="644">
        <v>829.9</v>
      </c>
      <c r="AX193" s="405">
        <v>11</v>
      </c>
      <c r="AY193" s="578">
        <v>0</v>
      </c>
      <c r="AZ193" s="578">
        <v>0</v>
      </c>
      <c r="BA193" s="578">
        <v>0</v>
      </c>
      <c r="BB193" s="1086">
        <v>1.59</v>
      </c>
      <c r="BC193" s="405">
        <v>1.29</v>
      </c>
      <c r="BD193" s="405">
        <v>1.88</v>
      </c>
      <c r="BE193" s="578">
        <v>0</v>
      </c>
      <c r="BF193" s="405">
        <v>0.49</v>
      </c>
      <c r="BG193" s="405">
        <v>0</v>
      </c>
      <c r="BH193" s="578">
        <v>0</v>
      </c>
      <c r="BI193" s="405">
        <v>0</v>
      </c>
      <c r="BJ193" s="405">
        <v>22.5</v>
      </c>
      <c r="BK193" s="405">
        <v>3.56</v>
      </c>
      <c r="BL193" s="405">
        <v>4.74</v>
      </c>
      <c r="BM193" s="405">
        <v>0</v>
      </c>
      <c r="BN193" s="405">
        <v>12.7</v>
      </c>
      <c r="BO193" s="405">
        <v>1548.5</v>
      </c>
      <c r="BP193" s="405">
        <v>0</v>
      </c>
      <c r="BQ193" s="649">
        <v>23.36</v>
      </c>
      <c r="BR193" s="649">
        <v>23.25</v>
      </c>
      <c r="BS193" s="649">
        <v>18</v>
      </c>
      <c r="BT193" s="649">
        <v>18</v>
      </c>
      <c r="BU193" s="648">
        <v>37.700000000000003</v>
      </c>
      <c r="BV193" s="648">
        <v>45.7</v>
      </c>
      <c r="BW193" s="649">
        <v>844.3</v>
      </c>
      <c r="BX193" s="876"/>
      <c r="BY193" s="649">
        <v>0.63</v>
      </c>
      <c r="BZ193" s="649">
        <v>1.36</v>
      </c>
      <c r="CA193" s="649">
        <v>1.2</v>
      </c>
      <c r="CB193" s="649">
        <v>8.6</v>
      </c>
      <c r="CC193" s="649">
        <v>7.8</v>
      </c>
      <c r="CD193" s="649">
        <v>18</v>
      </c>
      <c r="CE193" s="649">
        <v>37.4</v>
      </c>
      <c r="CF193" s="649">
        <v>20.399999999999999</v>
      </c>
      <c r="CG193" s="649">
        <v>6.2</v>
      </c>
      <c r="CH193" s="649">
        <v>11.3</v>
      </c>
      <c r="CI193" s="649">
        <v>15.3</v>
      </c>
      <c r="CJ193" s="649">
        <v>15.7</v>
      </c>
      <c r="CK193" s="649">
        <v>584</v>
      </c>
      <c r="CL193" s="649">
        <v>3.1</v>
      </c>
      <c r="CM193" s="649">
        <v>4.9000000000000004</v>
      </c>
      <c r="CN193" s="991">
        <v>1200</v>
      </c>
      <c r="CO193" s="649">
        <v>701.8</v>
      </c>
      <c r="CP193" s="649">
        <v>597.5</v>
      </c>
      <c r="CQ193" s="649">
        <v>13.1</v>
      </c>
      <c r="CR193" s="649">
        <v>0.89</v>
      </c>
      <c r="CS193" s="648">
        <v>0</v>
      </c>
      <c r="CT193" s="405">
        <v>17.109000000000002</v>
      </c>
      <c r="CU193" s="405">
        <v>57</v>
      </c>
      <c r="CV193" s="522">
        <v>0</v>
      </c>
      <c r="CW193" s="522">
        <v>0</v>
      </c>
      <c r="CX193" s="522">
        <v>0</v>
      </c>
      <c r="CY193" s="522">
        <v>0</v>
      </c>
      <c r="CZ193" s="689">
        <v>616</v>
      </c>
      <c r="DA193" s="689">
        <v>837</v>
      </c>
      <c r="DB193" s="689">
        <v>575</v>
      </c>
      <c r="DC193" s="643">
        <v>1165.54</v>
      </c>
      <c r="DD193" s="522"/>
      <c r="DE193" s="522"/>
      <c r="DF193" s="522"/>
      <c r="DG193" s="522"/>
      <c r="DH193" s="522"/>
      <c r="DI193" s="522"/>
      <c r="DJ193" s="522"/>
      <c r="DK193" s="522"/>
      <c r="DL193" s="649"/>
      <c r="DM193" s="649"/>
      <c r="DN193" s="649"/>
      <c r="DO193" s="522"/>
      <c r="DP193" s="522"/>
      <c r="DQ193" s="522"/>
      <c r="DR193" s="522"/>
      <c r="DS193" s="522"/>
      <c r="DT193" s="522"/>
      <c r="DU193" s="522"/>
      <c r="DV193" s="522"/>
      <c r="DW193" s="522"/>
      <c r="DX193" s="522"/>
      <c r="DY193" s="522"/>
      <c r="DZ193" s="522"/>
      <c r="EA193" s="522"/>
      <c r="EB193" s="522"/>
      <c r="EC193" s="522"/>
      <c r="ED193" s="522"/>
      <c r="EE193" s="522"/>
      <c r="EF193" s="522"/>
      <c r="EG193" s="645">
        <f t="shared" si="132"/>
        <v>20.111000000000001</v>
      </c>
      <c r="EH193" s="361">
        <v>0</v>
      </c>
      <c r="EI193" s="522">
        <v>0</v>
      </c>
      <c r="EJ193" s="688">
        <v>4.5</v>
      </c>
      <c r="EK193" s="649">
        <v>8.5</v>
      </c>
      <c r="EL193" s="522"/>
      <c r="EM193" s="522"/>
      <c r="EN193" s="522"/>
      <c r="EO193" s="522"/>
      <c r="EP193" s="522"/>
      <c r="EQ193" s="522"/>
      <c r="ER193" s="522"/>
      <c r="ES193" s="407"/>
      <c r="ET193" s="407"/>
    </row>
    <row r="194" spans="1:150" s="357" customFormat="1" ht="15">
      <c r="A194" s="675" t="s">
        <v>4</v>
      </c>
      <c r="B194" s="712">
        <v>41820</v>
      </c>
      <c r="C194" s="358">
        <v>0</v>
      </c>
      <c r="D194" s="405">
        <v>0</v>
      </c>
      <c r="E194" s="681">
        <v>0</v>
      </c>
      <c r="F194" s="681">
        <v>61</v>
      </c>
      <c r="G194" s="681">
        <v>0.6</v>
      </c>
      <c r="H194" s="405">
        <v>0.66</v>
      </c>
      <c r="I194" s="405">
        <v>94.6</v>
      </c>
      <c r="J194" s="405">
        <v>0.84</v>
      </c>
      <c r="K194" s="405" t="s">
        <v>744</v>
      </c>
      <c r="L194" s="644">
        <v>0</v>
      </c>
      <c r="M194" s="405">
        <v>19</v>
      </c>
      <c r="N194" s="405">
        <v>1.84</v>
      </c>
      <c r="O194" s="405">
        <v>2.3114744520221713</v>
      </c>
      <c r="P194" s="405">
        <v>0</v>
      </c>
      <c r="Q194" s="405" t="s">
        <v>743</v>
      </c>
      <c r="R194" s="790">
        <v>1451.4178018494051</v>
      </c>
      <c r="S194" s="405">
        <v>7.94</v>
      </c>
      <c r="T194" s="405">
        <v>0</v>
      </c>
      <c r="U194" s="405">
        <v>0.7</v>
      </c>
      <c r="V194" s="807">
        <v>0</v>
      </c>
      <c r="W194" s="807">
        <v>53.239999999999995</v>
      </c>
      <c r="X194" s="647" t="e">
        <v>#VALUE!</v>
      </c>
      <c r="Y194" s="383">
        <v>38.56</v>
      </c>
      <c r="Z194" s="681">
        <v>26</v>
      </c>
      <c r="AA194" s="794">
        <v>40.1</v>
      </c>
      <c r="AB194" s="794">
        <v>33.200000000000003</v>
      </c>
      <c r="AC194" s="775">
        <f t="shared" ref="AC194" si="199">AA194+AB194</f>
        <v>73.300000000000011</v>
      </c>
      <c r="AD194" s="775">
        <f t="shared" ref="AD194" si="200">AC194*1.547</f>
        <v>113.39510000000001</v>
      </c>
      <c r="AE194" s="775"/>
      <c r="AF194" s="567"/>
      <c r="AG194" s="2">
        <v>1.6</v>
      </c>
      <c r="AH194" s="705"/>
      <c r="AI194" s="362"/>
      <c r="AJ194" s="996"/>
      <c r="AK194" s="407"/>
      <c r="AL194" s="407"/>
      <c r="AM194" s="407"/>
      <c r="AN194" s="407"/>
      <c r="AO194" s="387"/>
      <c r="AP194" s="387"/>
      <c r="AQ194" s="405"/>
      <c r="AR194" s="578">
        <v>0</v>
      </c>
      <c r="AS194" s="405">
        <v>24</v>
      </c>
      <c r="AT194" s="578">
        <v>0</v>
      </c>
      <c r="AU194" s="405">
        <v>41.3</v>
      </c>
      <c r="AV194" s="644">
        <v>715.8</v>
      </c>
      <c r="AW194" s="644">
        <v>878.4</v>
      </c>
      <c r="AX194" s="405">
        <v>19.100000000000001</v>
      </c>
      <c r="AY194" s="578">
        <v>0</v>
      </c>
      <c r="AZ194" s="578">
        <v>0</v>
      </c>
      <c r="BA194" s="578">
        <v>0</v>
      </c>
      <c r="BB194" s="1086">
        <v>1.6</v>
      </c>
      <c r="BC194" s="405">
        <v>1.59</v>
      </c>
      <c r="BD194" s="405">
        <v>2.0499999999999998</v>
      </c>
      <c r="BE194" s="578">
        <v>0</v>
      </c>
      <c r="BF194" s="405">
        <v>0.49</v>
      </c>
      <c r="BG194" s="405">
        <v>0</v>
      </c>
      <c r="BH194" s="578">
        <v>0</v>
      </c>
      <c r="BI194" s="405">
        <v>0</v>
      </c>
      <c r="BJ194" s="405">
        <v>29.2</v>
      </c>
      <c r="BK194" s="405">
        <v>4.1100000000000003</v>
      </c>
      <c r="BL194" s="405">
        <v>4.74</v>
      </c>
      <c r="BM194" s="405">
        <v>0</v>
      </c>
      <c r="BN194" s="405">
        <v>18.8</v>
      </c>
      <c r="BO194" s="405">
        <v>2639.8</v>
      </c>
      <c r="BP194" s="405">
        <v>0</v>
      </c>
      <c r="BQ194" s="649">
        <v>21.55</v>
      </c>
      <c r="BR194" s="649">
        <v>21.46</v>
      </c>
      <c r="BS194" s="649">
        <v>18.5</v>
      </c>
      <c r="BT194" s="649">
        <v>18.600000000000001</v>
      </c>
      <c r="BU194" s="648">
        <v>38.799999999999997</v>
      </c>
      <c r="BV194" s="648">
        <v>47.8</v>
      </c>
      <c r="BW194" s="649">
        <v>898.2</v>
      </c>
      <c r="BX194" s="876"/>
      <c r="BY194" s="649">
        <v>0.57999999999999996</v>
      </c>
      <c r="BZ194" s="649">
        <v>1.4</v>
      </c>
      <c r="CA194" s="649">
        <v>1.2</v>
      </c>
      <c r="CB194" s="649">
        <v>8.6</v>
      </c>
      <c r="CC194" s="649">
        <v>7.9</v>
      </c>
      <c r="CD194" s="649">
        <v>17.2</v>
      </c>
      <c r="CE194" s="649">
        <v>36.200000000000003</v>
      </c>
      <c r="CF194" s="649">
        <v>22.8</v>
      </c>
      <c r="CG194" s="649">
        <v>8</v>
      </c>
      <c r="CH194" s="649">
        <v>13.4</v>
      </c>
      <c r="CI194" s="649">
        <v>17.3</v>
      </c>
      <c r="CJ194" s="649">
        <v>14.2</v>
      </c>
      <c r="CK194" s="649">
        <v>503.5</v>
      </c>
      <c r="CL194" s="649">
        <v>3</v>
      </c>
      <c r="CM194" s="649">
        <v>5.0999999999999996</v>
      </c>
      <c r="CN194" s="991">
        <v>1200</v>
      </c>
      <c r="CO194" s="649">
        <v>906.2</v>
      </c>
      <c r="CP194" s="649">
        <v>689.6</v>
      </c>
      <c r="CQ194" s="649">
        <v>13.8</v>
      </c>
      <c r="CR194" s="649">
        <v>0.99</v>
      </c>
      <c r="CS194" s="648">
        <v>0</v>
      </c>
      <c r="CT194" s="405">
        <v>17.215</v>
      </c>
      <c r="CU194" s="405">
        <v>57</v>
      </c>
      <c r="CV194" s="522">
        <v>0</v>
      </c>
      <c r="CW194" s="522">
        <v>0</v>
      </c>
      <c r="CX194" s="522">
        <v>0</v>
      </c>
      <c r="CY194" s="522">
        <v>0</v>
      </c>
      <c r="CZ194" s="689">
        <v>539</v>
      </c>
      <c r="DA194" s="689">
        <v>737</v>
      </c>
      <c r="DB194" s="689">
        <v>470</v>
      </c>
      <c r="DC194" s="643">
        <v>1165.48</v>
      </c>
      <c r="DD194" s="522"/>
      <c r="DE194" s="522"/>
      <c r="DF194" s="522"/>
      <c r="DG194" s="522"/>
      <c r="DH194" s="522"/>
      <c r="DI194" s="522"/>
      <c r="DJ194" s="522"/>
      <c r="DK194" s="522"/>
      <c r="DL194" s="649"/>
      <c r="DM194" s="649"/>
      <c r="DN194" s="649"/>
      <c r="DO194" s="522"/>
      <c r="DP194" s="522"/>
      <c r="DQ194" s="522"/>
      <c r="DR194" s="522"/>
      <c r="DS194" s="522"/>
      <c r="DT194" s="522"/>
      <c r="DU194" s="522"/>
      <c r="DV194" s="522"/>
      <c r="DW194" s="522"/>
      <c r="DX194" s="522"/>
      <c r="DY194" s="522"/>
      <c r="DZ194" s="522"/>
      <c r="EA194" s="522"/>
      <c r="EB194" s="522"/>
      <c r="EC194" s="522"/>
      <c r="ED194" s="522"/>
      <c r="EE194" s="522"/>
      <c r="EF194" s="522"/>
      <c r="EG194" s="645">
        <f t="shared" si="132"/>
        <v>20.884499999999999</v>
      </c>
      <c r="EH194" s="361">
        <v>0</v>
      </c>
      <c r="EI194" s="522">
        <v>0</v>
      </c>
      <c r="EJ194" s="688">
        <v>4.5</v>
      </c>
      <c r="EK194" s="649">
        <v>9</v>
      </c>
      <c r="EL194" s="522"/>
      <c r="EM194" s="522"/>
      <c r="EN194" s="522"/>
      <c r="EO194" s="522"/>
      <c r="EP194" s="522"/>
      <c r="EQ194" s="522"/>
      <c r="ER194" s="522"/>
      <c r="ES194" s="407"/>
      <c r="ET194" s="407"/>
    </row>
    <row r="195" spans="1:150" s="357" customFormat="1" ht="15">
      <c r="A195" s="675" t="s">
        <v>5</v>
      </c>
      <c r="B195" s="712">
        <v>41821</v>
      </c>
      <c r="C195" s="358">
        <v>0</v>
      </c>
      <c r="D195" s="405">
        <v>0</v>
      </c>
      <c r="E195" s="681">
        <v>0</v>
      </c>
      <c r="F195" s="681">
        <v>62</v>
      </c>
      <c r="G195" s="681">
        <v>0.5</v>
      </c>
      <c r="H195" s="405">
        <v>0.55000000000000004</v>
      </c>
      <c r="I195" s="405">
        <v>93.8</v>
      </c>
      <c r="J195" s="405">
        <v>0.47</v>
      </c>
      <c r="K195" s="405" t="s">
        <v>744</v>
      </c>
      <c r="L195" s="644">
        <v>0</v>
      </c>
      <c r="M195" s="405">
        <v>18.8</v>
      </c>
      <c r="N195" s="405">
        <v>1.88</v>
      </c>
      <c r="O195" s="405">
        <v>2.3732449032395588</v>
      </c>
      <c r="P195" s="405">
        <v>0</v>
      </c>
      <c r="Q195" s="405" t="s">
        <v>743</v>
      </c>
      <c r="R195" s="790">
        <v>1612.7224359313075</v>
      </c>
      <c r="S195" s="405">
        <v>7.94</v>
      </c>
      <c r="T195" s="405">
        <v>0</v>
      </c>
      <c r="U195" s="405">
        <v>0.73</v>
      </c>
      <c r="V195" s="807">
        <v>0</v>
      </c>
      <c r="W195" s="807">
        <v>53.960000000000008</v>
      </c>
      <c r="X195" s="647" t="e">
        <v>#VALUE!</v>
      </c>
      <c r="Y195" s="383">
        <v>40.1</v>
      </c>
      <c r="Z195" s="681">
        <v>33.200000000000003</v>
      </c>
      <c r="AA195" s="794">
        <v>42.4</v>
      </c>
      <c r="AB195" s="794">
        <v>38</v>
      </c>
      <c r="AC195" s="775">
        <f t="shared" ref="AC195" si="201">AA195+AB195</f>
        <v>80.400000000000006</v>
      </c>
      <c r="AD195" s="775">
        <f t="shared" ref="AD195" si="202">AC195*1.547</f>
        <v>124.3788</v>
      </c>
      <c r="AE195" s="775"/>
      <c r="AF195" s="567"/>
      <c r="AG195" s="2">
        <v>1.6</v>
      </c>
      <c r="AH195" s="705"/>
      <c r="AI195" s="362"/>
      <c r="AJ195" s="996"/>
      <c r="AK195" s="407"/>
      <c r="AL195" s="407"/>
      <c r="AM195" s="407"/>
      <c r="AN195" s="407"/>
      <c r="AO195" s="387"/>
      <c r="AP195" s="387"/>
      <c r="AQ195" s="405"/>
      <c r="AR195" s="578">
        <v>0</v>
      </c>
      <c r="AS195" s="405">
        <v>21.1</v>
      </c>
      <c r="AT195" s="578">
        <v>0.01</v>
      </c>
      <c r="AU195" s="405">
        <v>43.9</v>
      </c>
      <c r="AV195" s="644">
        <v>682</v>
      </c>
      <c r="AW195" s="644">
        <v>1117</v>
      </c>
      <c r="AX195" s="405">
        <v>33.1</v>
      </c>
      <c r="AY195" s="578">
        <v>0</v>
      </c>
      <c r="AZ195" s="578">
        <v>0</v>
      </c>
      <c r="BA195" s="578">
        <v>0</v>
      </c>
      <c r="BB195" s="1087">
        <v>1.56</v>
      </c>
      <c r="BC195" s="405">
        <v>1.75</v>
      </c>
      <c r="BD195" s="405">
        <v>2.2400000000000002</v>
      </c>
      <c r="BE195" s="578">
        <v>0</v>
      </c>
      <c r="BF195" s="405">
        <v>0.5</v>
      </c>
      <c r="BG195" s="405">
        <v>0</v>
      </c>
      <c r="BH195" s="578">
        <v>0</v>
      </c>
      <c r="BI195" s="405">
        <v>0</v>
      </c>
      <c r="BJ195" s="405">
        <v>33.6</v>
      </c>
      <c r="BK195" s="405">
        <v>5.52</v>
      </c>
      <c r="BL195" s="405">
        <v>3.53</v>
      </c>
      <c r="BM195" s="405">
        <v>0</v>
      </c>
      <c r="BN195" s="405">
        <v>23.1</v>
      </c>
      <c r="BO195" s="405">
        <v>2304.8000000000002</v>
      </c>
      <c r="BP195" s="405">
        <v>0</v>
      </c>
      <c r="BQ195" s="649">
        <v>20.6</v>
      </c>
      <c r="BR195" s="649">
        <v>20.48</v>
      </c>
      <c r="BS195" s="649">
        <v>19.5</v>
      </c>
      <c r="BT195" s="649">
        <v>19.600000000000001</v>
      </c>
      <c r="BU195" s="648">
        <v>40.1</v>
      </c>
      <c r="BV195" s="648">
        <v>47.6</v>
      </c>
      <c r="BW195" s="649">
        <v>1121</v>
      </c>
      <c r="BX195" s="876"/>
      <c r="BY195" s="649">
        <v>0.63</v>
      </c>
      <c r="BZ195" s="649">
        <v>1.46</v>
      </c>
      <c r="CA195" s="649">
        <v>1.2</v>
      </c>
      <c r="CB195" s="649">
        <v>8.5</v>
      </c>
      <c r="CC195" s="649">
        <v>8.5</v>
      </c>
      <c r="CD195" s="649">
        <v>16</v>
      </c>
      <c r="CE195" s="649">
        <v>35.6</v>
      </c>
      <c r="CF195" s="649">
        <v>18.899999999999999</v>
      </c>
      <c r="CG195" s="649">
        <v>5.5</v>
      </c>
      <c r="CH195" s="649">
        <v>10.6</v>
      </c>
      <c r="CI195" s="649">
        <v>14.8</v>
      </c>
      <c r="CJ195" s="649">
        <v>13.6</v>
      </c>
      <c r="CK195" s="649">
        <v>550</v>
      </c>
      <c r="CL195" s="649">
        <v>3</v>
      </c>
      <c r="CM195" s="649">
        <v>5.4</v>
      </c>
      <c r="CN195" s="991">
        <v>1200</v>
      </c>
      <c r="CO195" s="649">
        <v>1132.5</v>
      </c>
      <c r="CP195" s="649">
        <v>706.7</v>
      </c>
      <c r="CQ195" s="649">
        <v>14</v>
      </c>
      <c r="CR195" s="649">
        <v>1.04</v>
      </c>
      <c r="CS195" s="648">
        <v>0</v>
      </c>
      <c r="CT195" s="405">
        <v>17.766999999999999</v>
      </c>
      <c r="CU195" s="405">
        <v>58</v>
      </c>
      <c r="CV195" s="522">
        <v>0</v>
      </c>
      <c r="CW195" s="522">
        <v>0</v>
      </c>
      <c r="CX195" s="522">
        <v>0</v>
      </c>
      <c r="CY195" s="522">
        <v>0</v>
      </c>
      <c r="CZ195" s="689">
        <v>495</v>
      </c>
      <c r="DA195" s="689">
        <v>646</v>
      </c>
      <c r="DB195" s="689">
        <v>416</v>
      </c>
      <c r="DC195" s="643">
        <v>1165.47</v>
      </c>
      <c r="DD195" s="522"/>
      <c r="DE195" s="808"/>
      <c r="DF195" s="522"/>
      <c r="DG195" s="522"/>
      <c r="DH195" s="522"/>
      <c r="DI195" s="522"/>
      <c r="DJ195" s="522"/>
      <c r="DK195" s="522"/>
      <c r="DL195" s="649"/>
      <c r="DM195" s="649"/>
      <c r="DN195" s="649"/>
      <c r="DO195" s="522"/>
      <c r="DP195" s="522"/>
      <c r="DQ195" s="522"/>
      <c r="DR195" s="522"/>
      <c r="DS195" s="522"/>
      <c r="DT195" s="522"/>
      <c r="DU195" s="522"/>
      <c r="DV195" s="522"/>
      <c r="DW195" s="522"/>
      <c r="DX195" s="522"/>
      <c r="DY195" s="522"/>
      <c r="DZ195" s="522"/>
      <c r="EA195" s="522"/>
      <c r="EB195" s="522"/>
      <c r="EC195" s="522"/>
      <c r="ED195" s="522"/>
      <c r="EE195" s="522"/>
      <c r="EF195" s="522"/>
      <c r="EG195" s="645">
        <f t="shared" si="132"/>
        <v>20.884499999999999</v>
      </c>
      <c r="EH195" s="361">
        <v>0</v>
      </c>
      <c r="EI195" s="522">
        <v>0</v>
      </c>
      <c r="EJ195" s="688">
        <v>4.5</v>
      </c>
      <c r="EK195" s="649">
        <v>9</v>
      </c>
      <c r="EL195" s="522"/>
      <c r="EM195" s="522"/>
      <c r="EN195" s="522"/>
      <c r="EO195" s="522"/>
      <c r="EP195" s="522"/>
      <c r="EQ195" s="522"/>
      <c r="ER195" s="522"/>
      <c r="ES195" s="407"/>
      <c r="ET195" s="407"/>
    </row>
    <row r="196" spans="1:150" s="357" customFormat="1" ht="15">
      <c r="A196" s="675" t="s">
        <v>6</v>
      </c>
      <c r="B196" s="712">
        <v>41822</v>
      </c>
      <c r="C196" s="358">
        <v>0</v>
      </c>
      <c r="D196" s="405">
        <v>0</v>
      </c>
      <c r="E196" s="681">
        <v>0</v>
      </c>
      <c r="F196" s="681">
        <v>60</v>
      </c>
      <c r="G196" s="681">
        <v>0.5</v>
      </c>
      <c r="H196" s="405">
        <v>0.56999999999999995</v>
      </c>
      <c r="I196" s="405">
        <v>93.66</v>
      </c>
      <c r="J196" s="405">
        <v>0.49</v>
      </c>
      <c r="K196" s="405" t="s">
        <v>744</v>
      </c>
      <c r="L196" s="644">
        <v>0</v>
      </c>
      <c r="M196" s="405">
        <v>18.7</v>
      </c>
      <c r="N196" s="405">
        <v>1.87</v>
      </c>
      <c r="O196" s="405">
        <v>2.2949441575598759</v>
      </c>
      <c r="P196" s="405">
        <v>0</v>
      </c>
      <c r="Q196" s="405" t="s">
        <v>743</v>
      </c>
      <c r="R196" s="790">
        <v>1562.19327344782</v>
      </c>
      <c r="S196" s="405">
        <v>7.94</v>
      </c>
      <c r="T196" s="405">
        <v>0</v>
      </c>
      <c r="U196" s="405">
        <v>0.59</v>
      </c>
      <c r="V196" s="807">
        <v>0</v>
      </c>
      <c r="W196" s="807">
        <v>55.760000000000005</v>
      </c>
      <c r="X196" s="647" t="e">
        <v>#VALUE!</v>
      </c>
      <c r="Y196" s="383">
        <v>42.4</v>
      </c>
      <c r="Z196" s="681">
        <v>38</v>
      </c>
      <c r="AA196" s="794">
        <v>42.3</v>
      </c>
      <c r="AB196" s="794">
        <v>37.979999999999997</v>
      </c>
      <c r="AC196" s="775">
        <f t="shared" ref="AC196" si="203">AA196+AB196</f>
        <v>80.28</v>
      </c>
      <c r="AD196" s="775">
        <f t="shared" ref="AD196" si="204">AC196*1.547</f>
        <v>124.19315999999999</v>
      </c>
      <c r="AE196" s="775"/>
      <c r="AF196" s="567"/>
      <c r="AG196" s="407">
        <v>1.6</v>
      </c>
      <c r="AH196" s="705"/>
      <c r="AI196" s="362"/>
      <c r="AJ196" s="996"/>
      <c r="AK196" s="407"/>
      <c r="AL196" s="407"/>
      <c r="AM196" s="407"/>
      <c r="AN196" s="407"/>
      <c r="AO196" s="387"/>
      <c r="AP196" s="387"/>
      <c r="AQ196" s="405"/>
      <c r="AR196" s="578">
        <v>0</v>
      </c>
      <c r="AS196" s="405">
        <v>16.100000000000001</v>
      </c>
      <c r="AT196" s="578">
        <v>0</v>
      </c>
      <c r="AU196" s="405">
        <v>43.8</v>
      </c>
      <c r="AV196" s="644">
        <v>944.6</v>
      </c>
      <c r="AW196" s="644">
        <v>839.1</v>
      </c>
      <c r="AX196" s="405">
        <v>54.1</v>
      </c>
      <c r="AY196" s="578">
        <v>0</v>
      </c>
      <c r="AZ196" s="578">
        <v>0</v>
      </c>
      <c r="BA196" s="578">
        <v>0</v>
      </c>
      <c r="BB196" s="1087">
        <v>1.6</v>
      </c>
      <c r="BC196" s="405">
        <v>1.66</v>
      </c>
      <c r="BD196" s="405">
        <v>2.35</v>
      </c>
      <c r="BE196" s="578">
        <v>0</v>
      </c>
      <c r="BF196" s="405">
        <v>0.5</v>
      </c>
      <c r="BG196" s="405">
        <v>0</v>
      </c>
      <c r="BH196" s="578">
        <v>0</v>
      </c>
      <c r="BI196" s="405">
        <v>0</v>
      </c>
      <c r="BJ196" s="405">
        <v>33</v>
      </c>
      <c r="BK196" s="405">
        <v>5.38</v>
      </c>
      <c r="BL196" s="405">
        <v>3.59</v>
      </c>
      <c r="BM196" s="405">
        <v>0</v>
      </c>
      <c r="BN196" s="405">
        <v>22.4</v>
      </c>
      <c r="BO196" s="405">
        <v>2605.8000000000002</v>
      </c>
      <c r="BP196" s="405">
        <v>0</v>
      </c>
      <c r="BQ196" s="649">
        <v>17.86</v>
      </c>
      <c r="BR196" s="649">
        <v>17.739999999999998</v>
      </c>
      <c r="BS196" s="649">
        <v>19.5</v>
      </c>
      <c r="BT196" s="649">
        <v>19.600000000000001</v>
      </c>
      <c r="BU196" s="648">
        <v>40.700000000000003</v>
      </c>
      <c r="BV196" s="648">
        <v>52.8</v>
      </c>
      <c r="BW196" s="649">
        <v>1167.2</v>
      </c>
      <c r="BX196" s="876"/>
      <c r="BY196" s="649">
        <v>2.1</v>
      </c>
      <c r="BZ196" s="649">
        <v>1.46</v>
      </c>
      <c r="CA196" s="649">
        <v>1.2</v>
      </c>
      <c r="CB196" s="649">
        <v>8.3000000000000007</v>
      </c>
      <c r="CC196" s="649">
        <v>8.6</v>
      </c>
      <c r="CD196" s="649">
        <v>15.9</v>
      </c>
      <c r="CE196" s="649">
        <v>35.799999999999997</v>
      </c>
      <c r="CF196" s="649">
        <v>22.3</v>
      </c>
      <c r="CG196" s="649">
        <v>5.7</v>
      </c>
      <c r="CH196" s="649">
        <v>10.7</v>
      </c>
      <c r="CI196" s="649">
        <v>15.1</v>
      </c>
      <c r="CJ196" s="649">
        <v>13.4</v>
      </c>
      <c r="CK196" s="649">
        <v>562</v>
      </c>
      <c r="CL196" s="649">
        <v>3.2</v>
      </c>
      <c r="CM196" s="649">
        <v>4.8</v>
      </c>
      <c r="CN196" s="991">
        <v>1200</v>
      </c>
      <c r="CO196" s="649">
        <v>1050.5</v>
      </c>
      <c r="CP196" s="649">
        <v>728.3</v>
      </c>
      <c r="CQ196" s="649">
        <v>14.2</v>
      </c>
      <c r="CR196" s="649">
        <v>1.08</v>
      </c>
      <c r="CS196" s="648">
        <v>0</v>
      </c>
      <c r="CT196" s="405">
        <v>17.015999999999998</v>
      </c>
      <c r="CU196" s="405">
        <v>58</v>
      </c>
      <c r="CV196" s="522">
        <v>0</v>
      </c>
      <c r="CW196" s="522">
        <v>0</v>
      </c>
      <c r="CX196" s="522">
        <v>0</v>
      </c>
      <c r="CY196" s="522">
        <v>0</v>
      </c>
      <c r="CZ196" s="689">
        <v>495</v>
      </c>
      <c r="DA196" s="689">
        <v>608</v>
      </c>
      <c r="DB196" s="689">
        <v>413</v>
      </c>
      <c r="DC196" s="643">
        <v>1165.45</v>
      </c>
      <c r="DD196" s="522"/>
      <c r="DE196" s="808"/>
      <c r="DF196" s="522"/>
      <c r="DG196" s="522"/>
      <c r="DH196" s="522"/>
      <c r="DI196" s="522"/>
      <c r="DJ196" s="522"/>
      <c r="DK196" s="522"/>
      <c r="DL196" s="649"/>
      <c r="DM196" s="649"/>
      <c r="DN196" s="649"/>
      <c r="DO196" s="522"/>
      <c r="DP196" s="522"/>
      <c r="DQ196" s="522"/>
      <c r="DR196" s="522"/>
      <c r="DS196" s="522"/>
      <c r="DT196" s="522"/>
      <c r="DU196" s="522"/>
      <c r="DV196" s="522"/>
      <c r="DW196" s="522"/>
      <c r="DX196" s="522"/>
      <c r="DY196" s="522"/>
      <c r="DZ196" s="522"/>
      <c r="EA196" s="522"/>
      <c r="EB196" s="522"/>
      <c r="EC196" s="522"/>
      <c r="ED196" s="522"/>
      <c r="EE196" s="522"/>
      <c r="EF196" s="522"/>
      <c r="EG196" s="645">
        <f t="shared" si="132"/>
        <v>22.4315</v>
      </c>
      <c r="EH196" s="361">
        <v>0</v>
      </c>
      <c r="EI196" s="522">
        <v>1</v>
      </c>
      <c r="EJ196" s="688">
        <v>4.5</v>
      </c>
      <c r="EK196" s="649">
        <v>9</v>
      </c>
      <c r="EL196" s="522"/>
      <c r="EM196" s="522"/>
      <c r="EN196" s="522"/>
      <c r="EO196" s="522"/>
      <c r="EP196" s="522"/>
      <c r="EQ196" s="522"/>
      <c r="ER196" s="522"/>
      <c r="ES196" s="407"/>
      <c r="ET196" s="407"/>
    </row>
    <row r="197" spans="1:150" s="357" customFormat="1" ht="15">
      <c r="A197" s="675" t="s">
        <v>7</v>
      </c>
      <c r="B197" s="712">
        <v>41823</v>
      </c>
      <c r="C197" s="358">
        <v>0</v>
      </c>
      <c r="D197" s="405">
        <v>0.02</v>
      </c>
      <c r="E197" s="681">
        <v>0</v>
      </c>
      <c r="F197" s="681">
        <v>55</v>
      </c>
      <c r="G197" s="681">
        <v>0.4</v>
      </c>
      <c r="H197" s="405">
        <v>0.57999999999999996</v>
      </c>
      <c r="I197" s="405">
        <v>94.3</v>
      </c>
      <c r="J197" s="405">
        <v>0.49</v>
      </c>
      <c r="K197" s="405" t="s">
        <v>744</v>
      </c>
      <c r="L197" s="644">
        <v>0</v>
      </c>
      <c r="M197" s="405">
        <v>18.7</v>
      </c>
      <c r="N197" s="405">
        <v>1.82</v>
      </c>
      <c r="O197" s="405">
        <v>2.2449145629445399</v>
      </c>
      <c r="P197" s="405">
        <v>0</v>
      </c>
      <c r="Q197" s="405" t="s">
        <v>743</v>
      </c>
      <c r="R197" s="790">
        <v>1617.2571043593127</v>
      </c>
      <c r="S197" s="405">
        <v>8.0299999999999994</v>
      </c>
      <c r="T197" s="405">
        <v>0</v>
      </c>
      <c r="U197" s="405">
        <v>0.71</v>
      </c>
      <c r="V197" s="807">
        <v>0</v>
      </c>
      <c r="W197" s="807">
        <v>54.5</v>
      </c>
      <c r="X197" s="647" t="e">
        <v>#VALUE!</v>
      </c>
      <c r="Y197" s="383">
        <v>42.3</v>
      </c>
      <c r="Z197" s="681">
        <v>37.979999999999997</v>
      </c>
      <c r="AA197" s="794">
        <v>41.85</v>
      </c>
      <c r="AB197" s="794">
        <v>42.64</v>
      </c>
      <c r="AC197" s="775">
        <f t="shared" ref="AC197:AC200" si="205">AA197+AB197</f>
        <v>84.490000000000009</v>
      </c>
      <c r="AD197" s="775">
        <f t="shared" ref="AD197:AD200" si="206">AC197*1.547</f>
        <v>130.70603</v>
      </c>
      <c r="AE197" s="775"/>
      <c r="AF197" s="567"/>
      <c r="AG197" s="407">
        <v>1.6</v>
      </c>
      <c r="AH197" s="705"/>
      <c r="AI197" s="362"/>
      <c r="AJ197" s="1000"/>
      <c r="AK197" s="407"/>
      <c r="AL197" s="407"/>
      <c r="AM197" s="407"/>
      <c r="AN197" s="407"/>
      <c r="AO197" s="387"/>
      <c r="AP197" s="387"/>
      <c r="AQ197" s="405"/>
      <c r="AR197" s="578">
        <v>0</v>
      </c>
      <c r="AS197" s="405">
        <v>23.1</v>
      </c>
      <c r="AT197" s="578">
        <v>0</v>
      </c>
      <c r="AU197" s="405">
        <v>43.4</v>
      </c>
      <c r="AV197" s="644">
        <v>903.2</v>
      </c>
      <c r="AW197" s="644">
        <v>897.7</v>
      </c>
      <c r="AX197" s="405">
        <v>37.200000000000003</v>
      </c>
      <c r="AY197" s="578">
        <v>0</v>
      </c>
      <c r="AZ197" s="578">
        <v>0</v>
      </c>
      <c r="BA197" s="578">
        <v>0</v>
      </c>
      <c r="BB197" s="1087">
        <v>1.6</v>
      </c>
      <c r="BC197" s="405">
        <v>2.13</v>
      </c>
      <c r="BD197" s="405">
        <v>1.87</v>
      </c>
      <c r="BE197" s="578">
        <v>0</v>
      </c>
      <c r="BF197" s="405">
        <v>0.5</v>
      </c>
      <c r="BG197" s="405">
        <v>0</v>
      </c>
      <c r="BH197" s="578">
        <v>0</v>
      </c>
      <c r="BI197" s="405">
        <v>0</v>
      </c>
      <c r="BJ197" s="405">
        <v>37.299999999999997</v>
      </c>
      <c r="BK197" s="405">
        <v>5.0599999999999996</v>
      </c>
      <c r="BL197" s="405">
        <v>3.83</v>
      </c>
      <c r="BM197" s="405">
        <v>0</v>
      </c>
      <c r="BN197" s="405">
        <v>26.8</v>
      </c>
      <c r="BO197" s="405">
        <v>2879</v>
      </c>
      <c r="BP197" s="405">
        <v>0</v>
      </c>
      <c r="BQ197" s="649">
        <v>18.41</v>
      </c>
      <c r="BR197" s="649">
        <v>18.32</v>
      </c>
      <c r="BS197" s="649">
        <v>19.399999999999999</v>
      </c>
      <c r="BT197" s="649">
        <v>19.5</v>
      </c>
      <c r="BU197" s="648">
        <v>40.4</v>
      </c>
      <c r="BV197" s="648">
        <v>43.2</v>
      </c>
      <c r="BW197" s="649">
        <v>1096.2</v>
      </c>
      <c r="BX197" s="876"/>
      <c r="BY197" s="649">
        <v>0.54</v>
      </c>
      <c r="BZ197" s="649">
        <v>1.4</v>
      </c>
      <c r="CA197" s="649">
        <v>1.2</v>
      </c>
      <c r="CB197" s="649">
        <v>8.9</v>
      </c>
      <c r="CC197" s="649">
        <v>8.1</v>
      </c>
      <c r="CD197" s="649">
        <v>16.2</v>
      </c>
      <c r="CE197" s="649">
        <v>35.799999999999997</v>
      </c>
      <c r="CF197" s="649">
        <v>18.8</v>
      </c>
      <c r="CG197" s="649">
        <v>9</v>
      </c>
      <c r="CH197" s="649">
        <v>14.6</v>
      </c>
      <c r="CI197" s="649">
        <v>18.899999999999999</v>
      </c>
      <c r="CJ197" s="649">
        <v>13.8</v>
      </c>
      <c r="CK197" s="649">
        <v>568</v>
      </c>
      <c r="CL197" s="649">
        <v>3.6</v>
      </c>
      <c r="CM197" s="649">
        <v>4.9000000000000004</v>
      </c>
      <c r="CN197" s="991">
        <v>1200</v>
      </c>
      <c r="CO197" s="649">
        <v>1006.3</v>
      </c>
      <c r="CP197" s="649">
        <v>665.2</v>
      </c>
      <c r="CQ197" s="649">
        <v>14.3</v>
      </c>
      <c r="CR197" s="649">
        <v>1.06</v>
      </c>
      <c r="CS197" s="648">
        <v>0</v>
      </c>
      <c r="CT197" s="405">
        <v>17.282</v>
      </c>
      <c r="CU197" s="405">
        <v>58</v>
      </c>
      <c r="CV197" s="522">
        <v>0</v>
      </c>
      <c r="CW197" s="522">
        <v>0</v>
      </c>
      <c r="CX197" s="522">
        <v>0</v>
      </c>
      <c r="CY197" s="522">
        <v>0</v>
      </c>
      <c r="CZ197" s="689">
        <v>449</v>
      </c>
      <c r="DA197" s="689">
        <v>562</v>
      </c>
      <c r="DB197" s="689">
        <v>355</v>
      </c>
      <c r="DC197" s="643">
        <v>1165.3800000000001</v>
      </c>
      <c r="DD197" s="522"/>
      <c r="DE197" s="808"/>
      <c r="DF197" s="522"/>
      <c r="DG197" s="522"/>
      <c r="DH197" s="522"/>
      <c r="DI197" s="522"/>
      <c r="DJ197" s="522"/>
      <c r="DK197" s="522"/>
      <c r="DL197" s="649"/>
      <c r="DM197" s="649"/>
      <c r="DN197" s="649"/>
      <c r="DO197" s="522"/>
      <c r="DP197" s="522"/>
      <c r="DQ197" s="522"/>
      <c r="DR197" s="522"/>
      <c r="DS197" s="522"/>
      <c r="DT197" s="522"/>
      <c r="DU197" s="522"/>
      <c r="DV197" s="522"/>
      <c r="DW197" s="522"/>
      <c r="DX197" s="522"/>
      <c r="DY197" s="522"/>
      <c r="DZ197" s="522"/>
      <c r="EA197" s="522"/>
      <c r="EB197" s="522"/>
      <c r="EC197" s="522"/>
      <c r="ED197" s="522"/>
      <c r="EE197" s="522"/>
      <c r="EF197" s="522"/>
      <c r="EG197" s="645">
        <f t="shared" si="132"/>
        <v>22.4315</v>
      </c>
      <c r="EH197" s="361">
        <v>0</v>
      </c>
      <c r="EI197" s="522">
        <v>1</v>
      </c>
      <c r="EJ197" s="688">
        <v>4.5</v>
      </c>
      <c r="EK197" s="649">
        <v>9</v>
      </c>
      <c r="EL197" s="522"/>
      <c r="EM197" s="522"/>
      <c r="EN197" s="522"/>
      <c r="EO197" s="522"/>
      <c r="EP197" s="522"/>
      <c r="EQ197" s="522"/>
      <c r="ER197" s="522"/>
      <c r="ES197" s="407"/>
      <c r="ET197" s="407"/>
    </row>
    <row r="198" spans="1:150" s="357" customFormat="1" ht="15">
      <c r="A198" s="675" t="s">
        <v>8</v>
      </c>
      <c r="B198" s="712">
        <v>41824</v>
      </c>
      <c r="C198" s="358">
        <v>0</v>
      </c>
      <c r="D198" s="405">
        <v>0</v>
      </c>
      <c r="E198" s="681">
        <v>0</v>
      </c>
      <c r="F198" s="681">
        <v>56</v>
      </c>
      <c r="G198" s="681">
        <v>0.4</v>
      </c>
      <c r="H198" s="405">
        <v>0.66</v>
      </c>
      <c r="I198" s="405">
        <v>93.5</v>
      </c>
      <c r="J198" s="405">
        <v>0.52</v>
      </c>
      <c r="K198" s="405" t="s">
        <v>744</v>
      </c>
      <c r="L198" s="644">
        <v>0</v>
      </c>
      <c r="M198" s="405">
        <v>18.8</v>
      </c>
      <c r="N198" s="405">
        <v>1.81</v>
      </c>
      <c r="O198" s="405">
        <v>2.252760250541646</v>
      </c>
      <c r="P198" s="405">
        <v>0</v>
      </c>
      <c r="Q198" s="405" t="s">
        <v>743</v>
      </c>
      <c r="R198" s="790">
        <v>1662.9276935270805</v>
      </c>
      <c r="S198" s="405">
        <v>7.98</v>
      </c>
      <c r="T198" s="405">
        <v>0</v>
      </c>
      <c r="U198" s="405">
        <v>0.74</v>
      </c>
      <c r="V198" s="807">
        <v>0</v>
      </c>
      <c r="W198" s="807">
        <v>54.319999999999993</v>
      </c>
      <c r="X198" s="647" t="e">
        <v>#VALUE!</v>
      </c>
      <c r="Y198" s="383">
        <v>41.85</v>
      </c>
      <c r="Z198" s="681">
        <v>42.64</v>
      </c>
      <c r="AA198" s="794">
        <v>41.55</v>
      </c>
      <c r="AB198" s="794">
        <v>45.98</v>
      </c>
      <c r="AC198" s="775">
        <f t="shared" si="205"/>
        <v>87.53</v>
      </c>
      <c r="AD198" s="775">
        <f t="shared" si="206"/>
        <v>135.40890999999999</v>
      </c>
      <c r="AE198" s="775"/>
      <c r="AF198" s="567"/>
      <c r="AG198" s="407">
        <v>1.6</v>
      </c>
      <c r="AH198" s="705"/>
      <c r="AI198" s="362"/>
      <c r="AJ198" s="1000"/>
      <c r="AK198" s="407"/>
      <c r="AL198" s="407"/>
      <c r="AM198" s="407"/>
      <c r="AN198" s="407"/>
      <c r="AO198" s="387"/>
      <c r="AP198" s="387"/>
      <c r="AQ198" s="405"/>
      <c r="AR198" s="578">
        <v>0</v>
      </c>
      <c r="AS198" s="405">
        <v>25.2</v>
      </c>
      <c r="AT198" s="578">
        <v>0</v>
      </c>
      <c r="AU198" s="405">
        <v>43</v>
      </c>
      <c r="AV198" s="644">
        <v>1039.5</v>
      </c>
      <c r="AW198" s="644">
        <v>830.7</v>
      </c>
      <c r="AX198" s="405">
        <v>41.1</v>
      </c>
      <c r="AY198" s="578">
        <v>0</v>
      </c>
      <c r="AZ198" s="578">
        <v>0</v>
      </c>
      <c r="BA198" s="578">
        <v>0</v>
      </c>
      <c r="BB198" s="1087">
        <v>1.6</v>
      </c>
      <c r="BC198" s="405">
        <v>2.0499999999999998</v>
      </c>
      <c r="BD198" s="405">
        <v>2.25</v>
      </c>
      <c r="BE198" s="578">
        <v>0</v>
      </c>
      <c r="BF198" s="405">
        <v>0.5</v>
      </c>
      <c r="BG198" s="405">
        <v>0</v>
      </c>
      <c r="BH198" s="578">
        <v>0</v>
      </c>
      <c r="BI198" s="405">
        <v>1.01</v>
      </c>
      <c r="BJ198" s="405">
        <v>40.299999999999997</v>
      </c>
      <c r="BK198" s="405">
        <v>4.76</v>
      </c>
      <c r="BL198" s="405">
        <v>4.2699999999999996</v>
      </c>
      <c r="BM198" s="405">
        <v>0</v>
      </c>
      <c r="BN198" s="405">
        <v>29.7</v>
      </c>
      <c r="BO198" s="405">
        <v>2431.1999999999998</v>
      </c>
      <c r="BP198" s="405">
        <v>0</v>
      </c>
      <c r="BQ198" s="649">
        <v>19.43</v>
      </c>
      <c r="BR198" s="649">
        <v>19.329999999999998</v>
      </c>
      <c r="BS198" s="649">
        <v>19.14</v>
      </c>
      <c r="BT198" s="649">
        <v>19.239999999999998</v>
      </c>
      <c r="BU198" s="648">
        <v>39.799999999999997</v>
      </c>
      <c r="BV198" s="648">
        <v>41.3</v>
      </c>
      <c r="BW198" s="649">
        <v>1164.5999999999999</v>
      </c>
      <c r="BX198" s="876"/>
      <c r="BY198" s="649">
        <v>0.52</v>
      </c>
      <c r="BZ198" s="649">
        <v>1.39</v>
      </c>
      <c r="CA198" s="649">
        <v>1.2</v>
      </c>
      <c r="CB198" s="649">
        <v>8.8000000000000007</v>
      </c>
      <c r="CC198" s="649">
        <v>8</v>
      </c>
      <c r="CD198" s="649">
        <v>16.399999999999999</v>
      </c>
      <c r="CE198" s="649">
        <v>36</v>
      </c>
      <c r="CF198" s="649">
        <v>22.5</v>
      </c>
      <c r="CG198" s="649">
        <v>8.32</v>
      </c>
      <c r="CH198" s="649">
        <v>13.75</v>
      </c>
      <c r="CI198" s="649">
        <v>18.05</v>
      </c>
      <c r="CJ198" s="649">
        <v>14.25</v>
      </c>
      <c r="CK198" s="649">
        <v>547.29999999999995</v>
      </c>
      <c r="CL198" s="649">
        <v>3.2</v>
      </c>
      <c r="CM198" s="649">
        <v>4.0999999999999996</v>
      </c>
      <c r="CN198" s="991">
        <v>1200</v>
      </c>
      <c r="CO198" s="649">
        <v>1031.0999999999999</v>
      </c>
      <c r="CP198" s="649">
        <v>635.79999999999995</v>
      </c>
      <c r="CQ198" s="649">
        <v>13.8</v>
      </c>
      <c r="CR198" s="649">
        <v>1</v>
      </c>
      <c r="CS198" s="648">
        <v>0</v>
      </c>
      <c r="CT198" s="405">
        <v>16.78</v>
      </c>
      <c r="CU198" s="405">
        <v>58</v>
      </c>
      <c r="CV198" s="522">
        <v>0</v>
      </c>
      <c r="CW198" s="522">
        <v>0</v>
      </c>
      <c r="CX198" s="522">
        <v>0</v>
      </c>
      <c r="CY198" s="522">
        <v>0</v>
      </c>
      <c r="CZ198" s="689">
        <v>449</v>
      </c>
      <c r="DA198" s="689">
        <v>555</v>
      </c>
      <c r="DB198" s="689">
        <v>351</v>
      </c>
      <c r="DC198" s="643">
        <v>1165.33</v>
      </c>
      <c r="DD198" s="522"/>
      <c r="DE198" s="808"/>
      <c r="DF198" s="522"/>
      <c r="DG198" s="522"/>
      <c r="DH198" s="522"/>
      <c r="DI198" s="522"/>
      <c r="DJ198" s="522"/>
      <c r="DK198" s="522"/>
      <c r="DL198" s="649"/>
      <c r="DM198" s="649"/>
      <c r="DN198" s="649"/>
      <c r="DO198" s="522"/>
      <c r="DP198" s="522"/>
      <c r="DQ198" s="522"/>
      <c r="DR198" s="522"/>
      <c r="DS198" s="522"/>
      <c r="DT198" s="522"/>
      <c r="DU198" s="522"/>
      <c r="DV198" s="522"/>
      <c r="DW198" s="522"/>
      <c r="DX198" s="522"/>
      <c r="DY198" s="522"/>
      <c r="DZ198" s="522"/>
      <c r="EA198" s="522"/>
      <c r="EB198" s="522"/>
      <c r="EC198" s="522"/>
      <c r="ED198" s="522"/>
      <c r="EE198" s="522"/>
      <c r="EF198" s="522"/>
      <c r="EG198" s="645">
        <f t="shared" si="132"/>
        <v>22.4315</v>
      </c>
      <c r="EH198" s="361">
        <v>0</v>
      </c>
      <c r="EI198" s="649">
        <v>1</v>
      </c>
      <c r="EJ198" s="649">
        <v>4.5</v>
      </c>
      <c r="EK198" s="649">
        <v>9</v>
      </c>
      <c r="EL198" s="522"/>
      <c r="EM198" s="522"/>
      <c r="EN198" s="522"/>
      <c r="EO198" s="522"/>
      <c r="EP198" s="522"/>
      <c r="EQ198" s="522"/>
      <c r="ER198" s="522"/>
      <c r="ES198" s="407"/>
      <c r="ET198" s="407"/>
    </row>
    <row r="199" spans="1:150" s="357" customFormat="1" ht="15">
      <c r="A199" s="675" t="s">
        <v>9</v>
      </c>
      <c r="B199" s="712">
        <v>41825</v>
      </c>
      <c r="C199" s="358">
        <v>0</v>
      </c>
      <c r="D199" s="405">
        <v>0</v>
      </c>
      <c r="E199" s="681">
        <v>0</v>
      </c>
      <c r="F199" s="681">
        <v>58</v>
      </c>
      <c r="G199" s="681">
        <v>0.4</v>
      </c>
      <c r="H199" s="405">
        <v>0.67</v>
      </c>
      <c r="I199" s="405">
        <v>93.9</v>
      </c>
      <c r="J199" s="405">
        <v>0.52</v>
      </c>
      <c r="K199" s="405" t="s">
        <v>744</v>
      </c>
      <c r="L199" s="644">
        <v>0</v>
      </c>
      <c r="M199" s="405">
        <v>18.7</v>
      </c>
      <c r="N199" s="405">
        <v>1.84</v>
      </c>
      <c r="O199" s="405">
        <v>2.2452257242140252</v>
      </c>
      <c r="P199" s="405">
        <v>0</v>
      </c>
      <c r="Q199" s="405" t="s">
        <v>743</v>
      </c>
      <c r="R199" s="790">
        <v>1666.1667424042271</v>
      </c>
      <c r="S199" s="405">
        <v>7.94</v>
      </c>
      <c r="T199" s="405">
        <v>0</v>
      </c>
      <c r="U199" s="405">
        <v>0.7</v>
      </c>
      <c r="V199" s="807">
        <v>0</v>
      </c>
      <c r="W199" s="807">
        <v>54.14</v>
      </c>
      <c r="X199" s="647" t="e">
        <v>#VALUE!</v>
      </c>
      <c r="Y199" s="383">
        <v>41.55</v>
      </c>
      <c r="Z199" s="681">
        <v>45.98</v>
      </c>
      <c r="AA199" s="794">
        <v>41.5</v>
      </c>
      <c r="AB199" s="794">
        <v>46</v>
      </c>
      <c r="AC199" s="775">
        <f t="shared" si="205"/>
        <v>87.5</v>
      </c>
      <c r="AD199" s="775">
        <f t="shared" si="206"/>
        <v>135.36249999999998</v>
      </c>
      <c r="AE199" s="775"/>
      <c r="AF199" s="567"/>
      <c r="AG199" s="407">
        <v>1.6</v>
      </c>
      <c r="AH199" s="705"/>
      <c r="AI199" s="362"/>
      <c r="AJ199" s="1000"/>
      <c r="AK199" s="407"/>
      <c r="AL199" s="407"/>
      <c r="AM199" s="407"/>
      <c r="AN199" s="407"/>
      <c r="AO199" s="387"/>
      <c r="AP199" s="387"/>
      <c r="AQ199" s="405"/>
      <c r="AR199" s="578">
        <v>0</v>
      </c>
      <c r="AS199" s="405">
        <v>26.5</v>
      </c>
      <c r="AT199" s="578">
        <v>0</v>
      </c>
      <c r="AU199" s="405">
        <v>43</v>
      </c>
      <c r="AV199" s="644">
        <v>895.8</v>
      </c>
      <c r="AW199" s="644">
        <v>631.70000000000005</v>
      </c>
      <c r="AX199" s="405">
        <v>32.799999999999997</v>
      </c>
      <c r="AY199" s="578">
        <v>0</v>
      </c>
      <c r="AZ199" s="578">
        <v>0</v>
      </c>
      <c r="BA199" s="578">
        <v>0</v>
      </c>
      <c r="BB199" s="1087">
        <v>1.6</v>
      </c>
      <c r="BC199" s="405">
        <v>1.99</v>
      </c>
      <c r="BD199" s="405">
        <v>2.52</v>
      </c>
      <c r="BE199" s="578">
        <v>0</v>
      </c>
      <c r="BF199" s="405">
        <v>0.5</v>
      </c>
      <c r="BG199" s="405">
        <v>0</v>
      </c>
      <c r="BH199" s="578">
        <v>0</v>
      </c>
      <c r="BI199" s="405">
        <v>1</v>
      </c>
      <c r="BJ199" s="405">
        <v>40.1</v>
      </c>
      <c r="BK199" s="405">
        <v>0</v>
      </c>
      <c r="BL199" s="405">
        <v>4.18</v>
      </c>
      <c r="BM199" s="405">
        <v>4.8600000000000003</v>
      </c>
      <c r="BN199" s="405">
        <v>29.5</v>
      </c>
      <c r="BO199" s="405">
        <v>2449</v>
      </c>
      <c r="BP199" s="405">
        <v>0</v>
      </c>
      <c r="BQ199" s="649">
        <v>22.12</v>
      </c>
      <c r="BR199" s="649">
        <v>22.04</v>
      </c>
      <c r="BS199" s="649">
        <v>19.37</v>
      </c>
      <c r="BT199" s="649">
        <v>19.440000000000001</v>
      </c>
      <c r="BU199" s="648">
        <v>40.200000000000003</v>
      </c>
      <c r="BV199" s="648">
        <v>36.9</v>
      </c>
      <c r="BW199" s="649">
        <v>1185</v>
      </c>
      <c r="BX199" s="876"/>
      <c r="BY199" s="649">
        <v>0.53</v>
      </c>
      <c r="BZ199" s="649">
        <v>1.4</v>
      </c>
      <c r="CA199" s="649">
        <v>1.2</v>
      </c>
      <c r="CB199" s="649">
        <v>8.8000000000000007</v>
      </c>
      <c r="CC199" s="649">
        <v>8</v>
      </c>
      <c r="CD199" s="649">
        <v>16.2</v>
      </c>
      <c r="CE199" s="649">
        <v>35.6</v>
      </c>
      <c r="CF199" s="649">
        <v>19.5</v>
      </c>
      <c r="CG199" s="649">
        <v>8.6</v>
      </c>
      <c r="CH199" s="649">
        <v>14.06</v>
      </c>
      <c r="CI199" s="649">
        <v>18</v>
      </c>
      <c r="CJ199" s="649">
        <v>14.25</v>
      </c>
      <c r="CK199" s="649">
        <v>565.20000000000005</v>
      </c>
      <c r="CL199" s="649">
        <v>2.4</v>
      </c>
      <c r="CM199" s="649">
        <v>2.9</v>
      </c>
      <c r="CN199" s="991">
        <v>1200</v>
      </c>
      <c r="CO199" s="649">
        <v>914.8</v>
      </c>
      <c r="CP199" s="649">
        <v>633.70000000000005</v>
      </c>
      <c r="CQ199" s="649">
        <v>14.3</v>
      </c>
      <c r="CR199" s="649">
        <v>1.05</v>
      </c>
      <c r="CS199" s="648">
        <v>0</v>
      </c>
      <c r="CT199" s="405">
        <v>16.2</v>
      </c>
      <c r="CU199" s="405">
        <v>58</v>
      </c>
      <c r="CV199" s="522">
        <v>0</v>
      </c>
      <c r="CW199" s="522">
        <v>0</v>
      </c>
      <c r="CX199" s="522">
        <v>0</v>
      </c>
      <c r="CY199" s="522">
        <v>0</v>
      </c>
      <c r="CZ199" s="689">
        <v>449</v>
      </c>
      <c r="DA199" s="689">
        <v>544</v>
      </c>
      <c r="DB199" s="689">
        <v>350</v>
      </c>
      <c r="DC199" s="643">
        <v>1165.25</v>
      </c>
      <c r="DD199" s="522"/>
      <c r="DE199" s="808"/>
      <c r="DF199" s="522"/>
      <c r="DG199" s="522"/>
      <c r="DH199" s="522"/>
      <c r="DI199" s="522"/>
      <c r="DJ199" s="522"/>
      <c r="DK199" s="522"/>
      <c r="DL199" s="649"/>
      <c r="DM199" s="649"/>
      <c r="DN199" s="649"/>
      <c r="DO199" s="522"/>
      <c r="DP199" s="522"/>
      <c r="DQ199" s="522"/>
      <c r="DR199" s="522"/>
      <c r="DS199" s="522"/>
      <c r="DT199" s="522"/>
      <c r="DU199" s="522"/>
      <c r="DV199" s="522"/>
      <c r="DW199" s="522"/>
      <c r="DX199" s="522"/>
      <c r="DY199" s="522"/>
      <c r="DZ199" s="522"/>
      <c r="EA199" s="522"/>
      <c r="EB199" s="522"/>
      <c r="EC199" s="522"/>
      <c r="ED199" s="522"/>
      <c r="EE199" s="522"/>
      <c r="EF199" s="522"/>
      <c r="EG199" s="645">
        <f t="shared" si="132"/>
        <v>23.204999999999998</v>
      </c>
      <c r="EH199" s="361">
        <v>0</v>
      </c>
      <c r="EI199" s="649">
        <v>1</v>
      </c>
      <c r="EJ199" s="649">
        <v>5</v>
      </c>
      <c r="EK199" s="649">
        <v>9</v>
      </c>
      <c r="EL199" s="522"/>
      <c r="EM199" s="522"/>
      <c r="EN199" s="522"/>
      <c r="EO199" s="522"/>
      <c r="EP199" s="522"/>
      <c r="EQ199" s="522"/>
      <c r="ER199" s="522"/>
      <c r="ES199" s="407"/>
      <c r="ET199" s="407"/>
    </row>
    <row r="200" spans="1:150" s="357" customFormat="1" ht="15">
      <c r="A200" s="675" t="s">
        <v>3</v>
      </c>
      <c r="B200" s="712">
        <v>41826</v>
      </c>
      <c r="C200" s="358">
        <v>0</v>
      </c>
      <c r="D200" s="405">
        <v>0</v>
      </c>
      <c r="E200" s="681">
        <v>0</v>
      </c>
      <c r="F200" s="681">
        <v>62</v>
      </c>
      <c r="G200" s="681">
        <v>0.4</v>
      </c>
      <c r="H200" s="405">
        <v>0.61</v>
      </c>
      <c r="I200" s="405">
        <v>94.3</v>
      </c>
      <c r="J200" s="405">
        <v>0.55000000000000004</v>
      </c>
      <c r="K200" s="405" t="s">
        <v>744</v>
      </c>
      <c r="L200" s="644">
        <v>0</v>
      </c>
      <c r="M200" s="405">
        <v>18.600000000000001</v>
      </c>
      <c r="N200" s="405">
        <v>1.87</v>
      </c>
      <c r="O200" s="405">
        <v>2.2505934085271377</v>
      </c>
      <c r="P200" s="405">
        <v>0</v>
      </c>
      <c r="Q200" s="405" t="s">
        <v>743</v>
      </c>
      <c r="R200" s="790">
        <v>1639.9304464993393</v>
      </c>
      <c r="S200" s="405">
        <v>7.81</v>
      </c>
      <c r="T200" s="405">
        <v>0</v>
      </c>
      <c r="U200" s="405">
        <v>0.73</v>
      </c>
      <c r="V200" s="807">
        <v>0</v>
      </c>
      <c r="W200" s="807">
        <v>54.5</v>
      </c>
      <c r="X200" s="647" t="e">
        <v>#VALUE!</v>
      </c>
      <c r="Y200" s="383">
        <v>41.5</v>
      </c>
      <c r="Z200" s="681">
        <v>46</v>
      </c>
      <c r="AA200" s="794">
        <v>41.7</v>
      </c>
      <c r="AB200" s="794">
        <v>44.4</v>
      </c>
      <c r="AC200" s="775">
        <f t="shared" si="205"/>
        <v>86.1</v>
      </c>
      <c r="AD200" s="775">
        <f t="shared" si="206"/>
        <v>133.19669999999999</v>
      </c>
      <c r="AE200" s="775"/>
      <c r="AF200" s="567"/>
      <c r="AG200" s="407">
        <v>1.6</v>
      </c>
      <c r="AH200" s="705"/>
      <c r="AI200" s="362"/>
      <c r="AJ200" s="1000"/>
      <c r="AK200" s="407"/>
      <c r="AL200" s="407"/>
      <c r="AM200" s="407"/>
      <c r="AN200" s="407"/>
      <c r="AO200" s="387"/>
      <c r="AP200" s="387"/>
      <c r="AQ200" s="405"/>
      <c r="AR200" s="578">
        <v>0</v>
      </c>
      <c r="AS200" s="405">
        <v>28</v>
      </c>
      <c r="AT200" s="578">
        <v>0</v>
      </c>
      <c r="AU200" s="405">
        <v>43</v>
      </c>
      <c r="AV200" s="644">
        <v>1296.9000000000001</v>
      </c>
      <c r="AW200" s="644">
        <v>841.5</v>
      </c>
      <c r="AX200" s="405">
        <v>56.6</v>
      </c>
      <c r="AY200" s="578">
        <v>0</v>
      </c>
      <c r="AZ200" s="578">
        <v>0</v>
      </c>
      <c r="BA200" s="578">
        <v>0</v>
      </c>
      <c r="BB200" s="1087">
        <v>1.6</v>
      </c>
      <c r="BC200" s="405">
        <v>1.5</v>
      </c>
      <c r="BD200" s="405">
        <v>3</v>
      </c>
      <c r="BE200" s="578">
        <v>0</v>
      </c>
      <c r="BF200" s="405">
        <v>0.5</v>
      </c>
      <c r="BG200" s="405">
        <v>0</v>
      </c>
      <c r="BH200" s="578">
        <v>0</v>
      </c>
      <c r="BI200" s="405">
        <v>1.01</v>
      </c>
      <c r="BJ200" s="405">
        <v>38.5</v>
      </c>
      <c r="BK200" s="405">
        <v>4.59</v>
      </c>
      <c r="BL200" s="405">
        <v>4.4800000000000004</v>
      </c>
      <c r="BM200" s="405">
        <v>0</v>
      </c>
      <c r="BN200" s="405">
        <v>27.9</v>
      </c>
      <c r="BO200" s="405">
        <v>3037.3</v>
      </c>
      <c r="BP200" s="405">
        <v>0</v>
      </c>
      <c r="BQ200" s="649">
        <v>21.34</v>
      </c>
      <c r="BR200" s="649">
        <v>21.22</v>
      </c>
      <c r="BS200" s="649">
        <v>19</v>
      </c>
      <c r="BT200" s="649">
        <v>19.09</v>
      </c>
      <c r="BU200" s="648">
        <v>39.5</v>
      </c>
      <c r="BV200" s="648">
        <v>46.1</v>
      </c>
      <c r="BW200" s="649">
        <v>1357.7</v>
      </c>
      <c r="BX200" s="876"/>
      <c r="BY200" s="649">
        <v>0.53</v>
      </c>
      <c r="BZ200" s="649">
        <v>1.44</v>
      </c>
      <c r="CA200" s="649">
        <v>1.2</v>
      </c>
      <c r="CB200" s="649">
        <v>8.8000000000000007</v>
      </c>
      <c r="CC200" s="649">
        <v>8.1999999999999993</v>
      </c>
      <c r="CD200" s="649">
        <v>15.4</v>
      </c>
      <c r="CE200" s="649">
        <v>35</v>
      </c>
      <c r="CF200" s="649">
        <v>18.75</v>
      </c>
      <c r="CG200" s="649">
        <v>9.25</v>
      </c>
      <c r="CH200" s="649">
        <v>14.83</v>
      </c>
      <c r="CI200" s="649">
        <v>19.100000000000001</v>
      </c>
      <c r="CJ200" s="649">
        <v>13.32</v>
      </c>
      <c r="CK200" s="649">
        <v>546.20000000000005</v>
      </c>
      <c r="CL200" s="649">
        <v>2.4</v>
      </c>
      <c r="CM200" s="649">
        <v>3.4</v>
      </c>
      <c r="CN200" s="991">
        <v>1200</v>
      </c>
      <c r="CO200" s="649">
        <v>1134.5999999999999</v>
      </c>
      <c r="CP200" s="649">
        <v>689</v>
      </c>
      <c r="CQ200" s="649">
        <v>14.4</v>
      </c>
      <c r="CR200" s="649">
        <v>1.08</v>
      </c>
      <c r="CS200" s="648">
        <v>0</v>
      </c>
      <c r="CT200" s="405">
        <v>16.670000000000002</v>
      </c>
      <c r="CU200" s="405">
        <v>58</v>
      </c>
      <c r="CV200" s="522">
        <v>0</v>
      </c>
      <c r="CW200" s="522">
        <v>0</v>
      </c>
      <c r="CX200" s="522">
        <v>0</v>
      </c>
      <c r="CY200" s="522">
        <v>0</v>
      </c>
      <c r="CZ200" s="689">
        <v>449</v>
      </c>
      <c r="DA200" s="689">
        <v>534</v>
      </c>
      <c r="DB200" s="689">
        <v>351</v>
      </c>
      <c r="DC200" s="643">
        <v>1165.1400000000001</v>
      </c>
      <c r="DD200" s="522"/>
      <c r="DE200" s="808"/>
      <c r="DF200" s="522"/>
      <c r="DG200" s="522"/>
      <c r="DH200" s="522"/>
      <c r="DI200" s="522"/>
      <c r="DJ200" s="522"/>
      <c r="DK200" s="522"/>
      <c r="DL200" s="649"/>
      <c r="DM200" s="649"/>
      <c r="DN200" s="649"/>
      <c r="DO200" s="522"/>
      <c r="DP200" s="522"/>
      <c r="DQ200" s="522"/>
      <c r="DR200" s="522"/>
      <c r="DS200" s="522"/>
      <c r="DT200" s="522"/>
      <c r="DU200" s="522"/>
      <c r="DV200" s="522"/>
      <c r="DW200" s="522"/>
      <c r="DX200" s="522"/>
      <c r="DY200" s="522"/>
      <c r="DZ200" s="522"/>
      <c r="EA200" s="522"/>
      <c r="EB200" s="522"/>
      <c r="EC200" s="522"/>
      <c r="ED200" s="522"/>
      <c r="EE200" s="522"/>
      <c r="EF200" s="522"/>
      <c r="EG200" s="645">
        <f t="shared" si="132"/>
        <v>23.204999999999998</v>
      </c>
      <c r="EH200" s="361">
        <v>0</v>
      </c>
      <c r="EI200" s="649">
        <v>1</v>
      </c>
      <c r="EJ200" s="649">
        <v>5</v>
      </c>
      <c r="EK200" s="649">
        <v>9</v>
      </c>
      <c r="EL200" s="522"/>
      <c r="EM200" s="522"/>
      <c r="EN200" s="522"/>
      <c r="EO200" s="522"/>
      <c r="EP200" s="522"/>
      <c r="EQ200" s="522"/>
      <c r="ER200" s="522"/>
      <c r="ES200" s="407"/>
      <c r="ET200" s="407"/>
    </row>
    <row r="201" spans="1:150" s="357" customFormat="1" ht="15">
      <c r="A201" s="675" t="s">
        <v>4</v>
      </c>
      <c r="B201" s="712">
        <v>41827</v>
      </c>
      <c r="C201" s="358">
        <v>0</v>
      </c>
      <c r="D201" s="405">
        <v>0</v>
      </c>
      <c r="E201" s="681">
        <v>0</v>
      </c>
      <c r="F201" s="681">
        <v>61</v>
      </c>
      <c r="G201" s="681">
        <v>0.4</v>
      </c>
      <c r="H201" s="405">
        <v>0.56000000000000005</v>
      </c>
      <c r="I201" s="405">
        <v>93.54</v>
      </c>
      <c r="J201" s="405">
        <v>0.56000000000000005</v>
      </c>
      <c r="K201" s="405" t="s">
        <v>744</v>
      </c>
      <c r="L201" s="644">
        <v>0</v>
      </c>
      <c r="M201" s="405">
        <v>18.5</v>
      </c>
      <c r="N201" s="405">
        <v>1.91</v>
      </c>
      <c r="O201" s="405">
        <v>2.2641371369286043</v>
      </c>
      <c r="P201" s="405">
        <v>0</v>
      </c>
      <c r="Q201" s="405">
        <v>0</v>
      </c>
      <c r="R201" s="790">
        <v>1677.1795085865253</v>
      </c>
      <c r="S201" s="405">
        <v>7.96</v>
      </c>
      <c r="T201" s="405">
        <v>0</v>
      </c>
      <c r="U201" s="405">
        <v>0.72</v>
      </c>
      <c r="V201" s="807">
        <v>0</v>
      </c>
      <c r="W201" s="807">
        <v>57.38000000000001</v>
      </c>
      <c r="X201" s="647" t="e">
        <v>#VALUE!</v>
      </c>
      <c r="Y201" s="383">
        <v>41.7</v>
      </c>
      <c r="Z201" s="681">
        <v>44.4</v>
      </c>
      <c r="AA201" s="794">
        <v>41.22</v>
      </c>
      <c r="AB201" s="794">
        <v>46.43</v>
      </c>
      <c r="AC201" s="775">
        <f t="shared" ref="AC201" si="207">AA201+AB201</f>
        <v>87.65</v>
      </c>
      <c r="AD201" s="775">
        <f t="shared" ref="AD201" si="208">AC201*1.547</f>
        <v>135.59455</v>
      </c>
      <c r="AE201" s="775"/>
      <c r="AF201" s="567"/>
      <c r="AG201" s="407">
        <v>1.6</v>
      </c>
      <c r="AH201" s="705"/>
      <c r="AI201" s="362"/>
      <c r="AJ201" s="1000"/>
      <c r="AK201" s="407"/>
      <c r="AL201" s="407"/>
      <c r="AM201" s="407"/>
      <c r="AN201" s="407"/>
      <c r="AO201" s="387"/>
      <c r="AP201" s="387"/>
      <c r="AQ201" s="405"/>
      <c r="AR201" s="578">
        <v>0</v>
      </c>
      <c r="AS201" s="405">
        <v>27.1</v>
      </c>
      <c r="AT201" s="578">
        <v>0</v>
      </c>
      <c r="AU201" s="405">
        <v>42.8</v>
      </c>
      <c r="AV201" s="405">
        <v>1157.3</v>
      </c>
      <c r="AW201" s="405">
        <v>660.5</v>
      </c>
      <c r="AX201" s="405">
        <v>60.4</v>
      </c>
      <c r="AY201" s="578">
        <v>0</v>
      </c>
      <c r="AZ201" s="578">
        <v>0</v>
      </c>
      <c r="BA201" s="578">
        <v>0</v>
      </c>
      <c r="BB201" s="1087">
        <v>1.6</v>
      </c>
      <c r="BC201" s="405">
        <v>1.46</v>
      </c>
      <c r="BD201" s="405">
        <v>2.72</v>
      </c>
      <c r="BE201" s="578">
        <v>0</v>
      </c>
      <c r="BF201" s="405">
        <v>0.5</v>
      </c>
      <c r="BG201" s="405">
        <v>0</v>
      </c>
      <c r="BH201" s="578">
        <v>0</v>
      </c>
      <c r="BI201" s="405">
        <v>1.36</v>
      </c>
      <c r="BJ201" s="405">
        <v>40.700000000000003</v>
      </c>
      <c r="BK201" s="405">
        <v>5.86</v>
      </c>
      <c r="BL201" s="405">
        <v>3.86</v>
      </c>
      <c r="BM201" s="405">
        <v>0</v>
      </c>
      <c r="BN201" s="405">
        <v>29.5</v>
      </c>
      <c r="BO201" s="405">
        <v>2790</v>
      </c>
      <c r="BP201" s="405">
        <v>26.6</v>
      </c>
      <c r="BQ201" s="649">
        <v>19.75</v>
      </c>
      <c r="BR201" s="649">
        <v>19.670000000000002</v>
      </c>
      <c r="BS201" s="649">
        <v>19.079999999999998</v>
      </c>
      <c r="BT201" s="649">
        <v>19.149999999999999</v>
      </c>
      <c r="BU201" s="648">
        <v>39.6</v>
      </c>
      <c r="BV201" s="648">
        <v>48.6</v>
      </c>
      <c r="BW201" s="649">
        <v>1212.8</v>
      </c>
      <c r="BX201" s="876"/>
      <c r="BY201" s="649">
        <v>0.53</v>
      </c>
      <c r="BZ201" s="649">
        <v>1.42</v>
      </c>
      <c r="CA201" s="649">
        <v>1.2</v>
      </c>
      <c r="CB201" s="649">
        <v>8.8000000000000007</v>
      </c>
      <c r="CC201" s="649">
        <v>8.1</v>
      </c>
      <c r="CD201" s="649">
        <v>15.7</v>
      </c>
      <c r="CE201" s="649">
        <v>35</v>
      </c>
      <c r="CF201" s="649">
        <v>20.5</v>
      </c>
      <c r="CG201" s="649">
        <v>9.1999999999999993</v>
      </c>
      <c r="CH201" s="649">
        <v>14.8</v>
      </c>
      <c r="CI201" s="649">
        <v>19</v>
      </c>
      <c r="CJ201" s="649">
        <v>13.81</v>
      </c>
      <c r="CK201" s="649">
        <v>573.4</v>
      </c>
      <c r="CL201" s="649">
        <v>3.4</v>
      </c>
      <c r="CM201" s="649">
        <v>4.4000000000000004</v>
      </c>
      <c r="CN201" s="991">
        <v>1200</v>
      </c>
      <c r="CO201" s="649">
        <v>1163.3</v>
      </c>
      <c r="CP201" s="649">
        <v>730.6</v>
      </c>
      <c r="CQ201" s="649">
        <v>14.5</v>
      </c>
      <c r="CR201" s="649">
        <v>1.1200000000000001</v>
      </c>
      <c r="CS201" s="648">
        <v>0</v>
      </c>
      <c r="CT201" s="405">
        <v>16.809999999999999</v>
      </c>
      <c r="CU201" s="405">
        <v>59</v>
      </c>
      <c r="CV201" s="522">
        <v>0</v>
      </c>
      <c r="CW201" s="522">
        <v>0</v>
      </c>
      <c r="CX201" s="522">
        <v>0</v>
      </c>
      <c r="CY201" s="522">
        <v>0</v>
      </c>
      <c r="CZ201" s="689">
        <v>406</v>
      </c>
      <c r="DA201" s="689">
        <v>483</v>
      </c>
      <c r="DB201" s="689">
        <v>301</v>
      </c>
      <c r="DC201" s="643">
        <v>1165.06</v>
      </c>
      <c r="DD201" s="522"/>
      <c r="DE201" s="808"/>
      <c r="DF201" s="522"/>
      <c r="DG201" s="522"/>
      <c r="DH201" s="522"/>
      <c r="DI201" s="522"/>
      <c r="DJ201" s="522"/>
      <c r="DK201" s="522"/>
      <c r="DL201" s="649"/>
      <c r="DM201" s="649"/>
      <c r="DN201" s="649"/>
      <c r="DO201" s="522"/>
      <c r="DP201" s="522"/>
      <c r="DQ201" s="522"/>
      <c r="DR201" s="522"/>
      <c r="DS201" s="522"/>
      <c r="DT201" s="522"/>
      <c r="DU201" s="522"/>
      <c r="DV201" s="522"/>
      <c r="DW201" s="522"/>
      <c r="DX201" s="522"/>
      <c r="DY201" s="522"/>
      <c r="DZ201" s="522"/>
      <c r="EA201" s="522"/>
      <c r="EB201" s="522"/>
      <c r="EC201" s="522"/>
      <c r="ED201" s="522"/>
      <c r="EE201" s="522"/>
      <c r="EF201" s="522"/>
      <c r="EG201" s="645">
        <f t="shared" ref="EG201:EG264" si="209">(SUM(EH201:EK201))*1.547</f>
        <v>25.525499999999997</v>
      </c>
      <c r="EH201" s="361">
        <v>0</v>
      </c>
      <c r="EI201" s="649">
        <v>2</v>
      </c>
      <c r="EJ201" s="649">
        <v>4.5</v>
      </c>
      <c r="EK201" s="649">
        <v>10</v>
      </c>
      <c r="EL201" s="522"/>
      <c r="EM201" s="522"/>
      <c r="EN201" s="522"/>
      <c r="EO201" s="522"/>
      <c r="EP201" s="522"/>
      <c r="EQ201" s="522"/>
      <c r="ER201" s="522"/>
      <c r="ES201" s="407"/>
      <c r="ET201" s="407"/>
    </row>
    <row r="202" spans="1:150" s="357" customFormat="1" ht="15">
      <c r="A202" s="675" t="s">
        <v>5</v>
      </c>
      <c r="B202" s="712">
        <v>41828</v>
      </c>
      <c r="C202" s="358">
        <v>0</v>
      </c>
      <c r="D202" s="405">
        <v>0</v>
      </c>
      <c r="E202" s="681">
        <v>0</v>
      </c>
      <c r="F202" s="681">
        <v>62</v>
      </c>
      <c r="G202" s="681">
        <v>0.4</v>
      </c>
      <c r="H202" s="405">
        <v>0.57999999999999996</v>
      </c>
      <c r="I202" s="405">
        <v>93.2</v>
      </c>
      <c r="J202" s="405">
        <v>0.5</v>
      </c>
      <c r="K202" s="405" t="s">
        <v>744</v>
      </c>
      <c r="L202" s="644">
        <v>0</v>
      </c>
      <c r="M202" s="405">
        <v>18.399999999999999</v>
      </c>
      <c r="N202" s="405">
        <v>1.9</v>
      </c>
      <c r="O202" s="405">
        <v>2.2457902993732399</v>
      </c>
      <c r="P202" s="405">
        <v>0</v>
      </c>
      <c r="Q202" s="405" t="s">
        <v>743</v>
      </c>
      <c r="R202" s="790">
        <v>1717.3437146631436</v>
      </c>
      <c r="S202" s="405">
        <v>7.97</v>
      </c>
      <c r="T202" s="405">
        <v>0</v>
      </c>
      <c r="U202" s="405">
        <v>0.7</v>
      </c>
      <c r="V202" s="807">
        <v>0</v>
      </c>
      <c r="W202" s="807">
        <v>58.460000000000008</v>
      </c>
      <c r="X202" s="647" t="e">
        <v>#VALUE!</v>
      </c>
      <c r="Y202" s="383">
        <v>41.22</v>
      </c>
      <c r="Z202" s="681">
        <v>46.43</v>
      </c>
      <c r="AA202" s="794">
        <v>41.2</v>
      </c>
      <c r="AB202" s="794">
        <v>48.95</v>
      </c>
      <c r="AC202" s="775">
        <f t="shared" ref="AC202" si="210">AA202+AB202</f>
        <v>90.15</v>
      </c>
      <c r="AD202" s="775">
        <f t="shared" ref="AD202" si="211">AC202*1.547</f>
        <v>139.46205</v>
      </c>
      <c r="AE202" s="775"/>
      <c r="AF202" s="567"/>
      <c r="AG202" s="407">
        <v>1.6</v>
      </c>
      <c r="AH202" s="705"/>
      <c r="AI202" s="362"/>
      <c r="AJ202" s="1000"/>
      <c r="AK202" s="407"/>
      <c r="AL202" s="407"/>
      <c r="AM202" s="407"/>
      <c r="AN202" s="407"/>
      <c r="AO202" s="387"/>
      <c r="AP202" s="387"/>
      <c r="AQ202" s="405"/>
      <c r="AR202" s="578">
        <v>0</v>
      </c>
      <c r="AS202" s="405">
        <v>28</v>
      </c>
      <c r="AT202" s="578">
        <v>0</v>
      </c>
      <c r="AU202" s="405">
        <v>42.6</v>
      </c>
      <c r="AV202" s="405">
        <v>1337.6</v>
      </c>
      <c r="AW202" s="405">
        <v>912.6</v>
      </c>
      <c r="AX202" s="405">
        <v>50.8</v>
      </c>
      <c r="AY202" s="578">
        <v>0</v>
      </c>
      <c r="AZ202" s="578">
        <v>0</v>
      </c>
      <c r="BA202" s="578">
        <v>0</v>
      </c>
      <c r="BB202" s="1087">
        <v>1.6</v>
      </c>
      <c r="BC202" s="405">
        <v>1.5</v>
      </c>
      <c r="BD202" s="405">
        <v>2.5</v>
      </c>
      <c r="BE202" s="578">
        <v>0</v>
      </c>
      <c r="BF202" s="405">
        <v>0.5</v>
      </c>
      <c r="BG202" s="405">
        <v>0</v>
      </c>
      <c r="BH202" s="578">
        <v>0</v>
      </c>
      <c r="BI202" s="405">
        <v>1.86</v>
      </c>
      <c r="BJ202" s="405">
        <v>42.7</v>
      </c>
      <c r="BK202" s="405">
        <v>5.29</v>
      </c>
      <c r="BL202" s="405">
        <v>4.92</v>
      </c>
      <c r="BM202" s="405">
        <v>0</v>
      </c>
      <c r="BN202" s="405">
        <v>31.1</v>
      </c>
      <c r="BO202" s="405">
        <v>2698</v>
      </c>
      <c r="BP202" s="405">
        <v>0</v>
      </c>
      <c r="BQ202" s="649">
        <v>18.61</v>
      </c>
      <c r="BR202" s="649">
        <v>18.489999999999998</v>
      </c>
      <c r="BS202" s="649">
        <v>18.77</v>
      </c>
      <c r="BT202" s="649">
        <v>18.84</v>
      </c>
      <c r="BU202" s="648">
        <v>39.61</v>
      </c>
      <c r="BV202" s="648">
        <v>46.9</v>
      </c>
      <c r="BW202" s="649">
        <v>1326.1</v>
      </c>
      <c r="BX202" s="876"/>
      <c r="BY202" s="649">
        <v>0.52</v>
      </c>
      <c r="BZ202" s="649">
        <v>1.42</v>
      </c>
      <c r="CA202" s="649">
        <v>1.2</v>
      </c>
      <c r="CB202" s="649">
        <v>8.8000000000000007</v>
      </c>
      <c r="CC202" s="649">
        <v>8.3000000000000007</v>
      </c>
      <c r="CD202" s="649">
        <v>15</v>
      </c>
      <c r="CE202" s="649">
        <v>34.5</v>
      </c>
      <c r="CF202" s="649">
        <v>20.9</v>
      </c>
      <c r="CG202" s="649">
        <v>8.1999999999999993</v>
      </c>
      <c r="CH202" s="649">
        <v>13.7</v>
      </c>
      <c r="CI202" s="649">
        <v>18</v>
      </c>
      <c r="CJ202" s="649">
        <v>13.01</v>
      </c>
      <c r="CK202" s="649">
        <v>561.1</v>
      </c>
      <c r="CL202" s="649">
        <v>2.9</v>
      </c>
      <c r="CM202" s="649">
        <v>4.3</v>
      </c>
      <c r="CN202" s="991">
        <v>1200</v>
      </c>
      <c r="CO202" s="649">
        <v>1108.7</v>
      </c>
      <c r="CP202" s="649">
        <v>727</v>
      </c>
      <c r="CQ202" s="649">
        <v>14.8</v>
      </c>
      <c r="CR202" s="649">
        <v>1.1399999999999999</v>
      </c>
      <c r="CS202" s="648">
        <v>0</v>
      </c>
      <c r="CT202" s="405">
        <v>16.95</v>
      </c>
      <c r="CU202" s="405">
        <v>59</v>
      </c>
      <c r="CV202" s="522">
        <v>0</v>
      </c>
      <c r="CW202" s="522">
        <v>0</v>
      </c>
      <c r="CX202" s="522">
        <v>0</v>
      </c>
      <c r="CY202" s="522">
        <v>0</v>
      </c>
      <c r="CZ202" s="689">
        <v>433</v>
      </c>
      <c r="DA202" s="689">
        <v>473</v>
      </c>
      <c r="DB202" s="689">
        <v>326</v>
      </c>
      <c r="DC202" s="643">
        <v>1164.95</v>
      </c>
      <c r="DD202" s="522"/>
      <c r="DE202" s="808"/>
      <c r="DF202" s="522"/>
      <c r="DG202" s="522"/>
      <c r="DH202" s="522"/>
      <c r="DI202" s="522"/>
      <c r="DJ202" s="522"/>
      <c r="DK202" s="522"/>
      <c r="DL202" s="649"/>
      <c r="DM202" s="649"/>
      <c r="DN202" s="649"/>
      <c r="DO202" s="522"/>
      <c r="DP202" s="522"/>
      <c r="DQ202" s="522"/>
      <c r="DR202" s="522"/>
      <c r="DS202" s="522"/>
      <c r="DT202" s="522"/>
      <c r="DU202" s="522"/>
      <c r="DV202" s="522"/>
      <c r="DW202" s="522"/>
      <c r="DX202" s="522"/>
      <c r="DY202" s="522"/>
      <c r="DZ202" s="522"/>
      <c r="EA202" s="522"/>
      <c r="EB202" s="522"/>
      <c r="EC202" s="522"/>
      <c r="ED202" s="522"/>
      <c r="EE202" s="522"/>
      <c r="EF202" s="522"/>
      <c r="EG202" s="645">
        <f t="shared" si="209"/>
        <v>30.166499999999999</v>
      </c>
      <c r="EH202" s="361">
        <v>3</v>
      </c>
      <c r="EI202" s="649">
        <v>2</v>
      </c>
      <c r="EJ202" s="649">
        <v>4.5</v>
      </c>
      <c r="EK202" s="649">
        <v>10</v>
      </c>
      <c r="EL202" s="522"/>
      <c r="EM202" s="522"/>
      <c r="EN202" s="522"/>
      <c r="EO202" s="522"/>
      <c r="EP202" s="522"/>
      <c r="EQ202" s="522"/>
      <c r="ER202" s="522"/>
      <c r="ES202" s="407"/>
      <c r="ET202" s="407"/>
    </row>
    <row r="203" spans="1:150" s="357" customFormat="1" ht="15">
      <c r="A203" s="675" t="s">
        <v>6</v>
      </c>
      <c r="B203" s="712">
        <v>41829</v>
      </c>
      <c r="C203" s="358">
        <v>0</v>
      </c>
      <c r="D203" s="405">
        <v>0</v>
      </c>
      <c r="E203" s="681">
        <v>0</v>
      </c>
      <c r="F203" s="681">
        <v>59</v>
      </c>
      <c r="G203" s="681">
        <v>0.4</v>
      </c>
      <c r="H203" s="405">
        <v>1.07</v>
      </c>
      <c r="I203" s="405">
        <v>93.7</v>
      </c>
      <c r="J203" s="405">
        <v>0.56999999999999995</v>
      </c>
      <c r="K203" s="405" t="s">
        <v>744</v>
      </c>
      <c r="L203" s="644">
        <v>0</v>
      </c>
      <c r="M203" s="405">
        <v>18.3</v>
      </c>
      <c r="N203" s="405">
        <v>1.9</v>
      </c>
      <c r="O203" s="405">
        <v>2.2560740737025586</v>
      </c>
      <c r="P203" s="405">
        <v>0</v>
      </c>
      <c r="Q203" s="405" t="s">
        <v>743</v>
      </c>
      <c r="R203" s="790">
        <v>1733.8628639365916</v>
      </c>
      <c r="S203" s="405">
        <v>7.89</v>
      </c>
      <c r="T203" s="405">
        <v>0</v>
      </c>
      <c r="U203" s="405">
        <v>0.76</v>
      </c>
      <c r="V203" s="807">
        <v>0</v>
      </c>
      <c r="W203" s="807">
        <v>55.58</v>
      </c>
      <c r="X203" s="647" t="e">
        <v>#VALUE!</v>
      </c>
      <c r="Y203" s="383">
        <v>41.2</v>
      </c>
      <c r="Z203" s="681">
        <v>48.95</v>
      </c>
      <c r="AA203" s="794">
        <v>43.58</v>
      </c>
      <c r="AB203" s="794">
        <v>47.34</v>
      </c>
      <c r="AC203" s="775">
        <f t="shared" ref="AC203" si="212">AA203+AB203</f>
        <v>90.92</v>
      </c>
      <c r="AD203" s="775">
        <f t="shared" ref="AD203" si="213">AC203*1.547</f>
        <v>140.65323999999998</v>
      </c>
      <c r="AE203" s="775"/>
      <c r="AF203" s="775"/>
      <c r="AG203" s="407">
        <v>1.6</v>
      </c>
      <c r="AH203" s="705"/>
      <c r="AI203" s="705"/>
      <c r="AJ203" s="407"/>
      <c r="AK203" s="407"/>
      <c r="AL203" s="407"/>
      <c r="AM203" s="407"/>
      <c r="AN203" s="407"/>
      <c r="AO203" s="387"/>
      <c r="AP203" s="387"/>
      <c r="AQ203" s="405"/>
      <c r="AR203" s="578">
        <v>0</v>
      </c>
      <c r="AS203" s="405">
        <v>25.3</v>
      </c>
      <c r="AT203" s="578">
        <v>0</v>
      </c>
      <c r="AU203" s="405">
        <v>44.6</v>
      </c>
      <c r="AV203" s="405">
        <v>1351.1</v>
      </c>
      <c r="AW203" s="405">
        <v>959.6</v>
      </c>
      <c r="AX203" s="405">
        <v>75.400000000000006</v>
      </c>
      <c r="AY203" s="578">
        <v>0</v>
      </c>
      <c r="AZ203" s="578">
        <v>0</v>
      </c>
      <c r="BA203" s="578">
        <v>0</v>
      </c>
      <c r="BB203" s="1087">
        <v>1.6</v>
      </c>
      <c r="BC203" s="405">
        <v>1.5</v>
      </c>
      <c r="BD203" s="405">
        <v>2.5</v>
      </c>
      <c r="BE203" s="578">
        <v>0</v>
      </c>
      <c r="BF203" s="405">
        <v>0.5</v>
      </c>
      <c r="BG203" s="405">
        <v>0</v>
      </c>
      <c r="BH203" s="578">
        <v>0</v>
      </c>
      <c r="BI203" s="405">
        <v>2.02</v>
      </c>
      <c r="BJ203" s="405">
        <v>40.9</v>
      </c>
      <c r="BK203" s="405">
        <v>5.1100000000000003</v>
      </c>
      <c r="BL203" s="405">
        <v>4.8899999999999997</v>
      </c>
      <c r="BM203" s="405">
        <v>0</v>
      </c>
      <c r="BN203" s="405">
        <v>29.4</v>
      </c>
      <c r="BO203" s="405">
        <v>2919</v>
      </c>
      <c r="BP203" s="405">
        <v>0</v>
      </c>
      <c r="BQ203" s="649">
        <v>17.66</v>
      </c>
      <c r="BR203" s="649">
        <v>17.54</v>
      </c>
      <c r="BS203" s="649">
        <v>19.760000000000002</v>
      </c>
      <c r="BT203" s="649">
        <v>19.850000000000001</v>
      </c>
      <c r="BU203" s="648">
        <v>40.9</v>
      </c>
      <c r="BV203" s="648">
        <v>48.4</v>
      </c>
      <c r="BW203" s="649">
        <v>1504.8</v>
      </c>
      <c r="BX203" s="876"/>
      <c r="BY203" s="649">
        <v>0.55000000000000004</v>
      </c>
      <c r="BZ203" s="649">
        <v>1.41</v>
      </c>
      <c r="CA203" s="649">
        <v>1.2</v>
      </c>
      <c r="CB203" s="649">
        <v>8.8000000000000007</v>
      </c>
      <c r="CC203" s="649">
        <v>8.4</v>
      </c>
      <c r="CD203" s="649">
        <v>14.1</v>
      </c>
      <c r="CE203" s="649">
        <v>34.6</v>
      </c>
      <c r="CF203" s="649">
        <v>19.5</v>
      </c>
      <c r="CG203" s="649">
        <v>8.4</v>
      </c>
      <c r="CH203" s="649">
        <v>13.8</v>
      </c>
      <c r="CI203" s="649">
        <v>18.100000000000001</v>
      </c>
      <c r="CJ203" s="649">
        <v>12.08</v>
      </c>
      <c r="CK203" s="649">
        <v>558.70000000000005</v>
      </c>
      <c r="CL203" s="649">
        <v>2.8</v>
      </c>
      <c r="CM203" s="649">
        <v>4.4000000000000004</v>
      </c>
      <c r="CN203" s="991">
        <v>1200</v>
      </c>
      <c r="CO203" s="649">
        <v>1138.8</v>
      </c>
      <c r="CP203" s="649">
        <v>743.1</v>
      </c>
      <c r="CQ203" s="649">
        <v>15</v>
      </c>
      <c r="CR203" s="649">
        <v>1.1399999999999999</v>
      </c>
      <c r="CS203" s="648">
        <v>0</v>
      </c>
      <c r="CT203" s="405">
        <v>17.21</v>
      </c>
      <c r="CU203" s="405">
        <v>59</v>
      </c>
      <c r="CV203" s="522">
        <v>0</v>
      </c>
      <c r="CW203" s="522">
        <v>0</v>
      </c>
      <c r="CX203" s="522">
        <v>0</v>
      </c>
      <c r="CY203" s="522">
        <v>0</v>
      </c>
      <c r="CZ203" s="689">
        <v>416</v>
      </c>
      <c r="DA203" s="689">
        <v>488</v>
      </c>
      <c r="DB203" s="689">
        <v>303</v>
      </c>
      <c r="DC203" s="643">
        <v>1164.81</v>
      </c>
      <c r="DD203" s="522"/>
      <c r="DE203" s="808"/>
      <c r="DF203" s="522"/>
      <c r="DG203" s="522"/>
      <c r="DH203" s="522"/>
      <c r="DI203" s="522"/>
      <c r="DJ203" s="522"/>
      <c r="DK203" s="522"/>
      <c r="DL203" s="649"/>
      <c r="DM203" s="649"/>
      <c r="DN203" s="649"/>
      <c r="DO203" s="522"/>
      <c r="DP203" s="522"/>
      <c r="DQ203" s="522"/>
      <c r="DR203" s="522"/>
      <c r="DS203" s="522"/>
      <c r="DT203" s="522"/>
      <c r="DU203" s="522"/>
      <c r="DV203" s="522"/>
      <c r="DW203" s="522"/>
      <c r="DX203" s="522"/>
      <c r="DY203" s="522"/>
      <c r="DZ203" s="522"/>
      <c r="EA203" s="522"/>
      <c r="EB203" s="522"/>
      <c r="EC203" s="522"/>
      <c r="ED203" s="522"/>
      <c r="EE203" s="522"/>
      <c r="EF203" s="522"/>
      <c r="EG203" s="645">
        <f t="shared" si="209"/>
        <v>30.166499999999999</v>
      </c>
      <c r="EH203" s="361">
        <v>3</v>
      </c>
      <c r="EI203" s="649">
        <v>2</v>
      </c>
      <c r="EJ203" s="649">
        <v>4.5</v>
      </c>
      <c r="EK203" s="649">
        <v>10</v>
      </c>
      <c r="EL203" s="522"/>
      <c r="EM203" s="522"/>
      <c r="EN203" s="522"/>
      <c r="EO203" s="522"/>
      <c r="EP203" s="522"/>
      <c r="EQ203" s="522"/>
      <c r="ER203" s="522"/>
      <c r="ES203" s="407"/>
      <c r="ET203" s="407"/>
    </row>
    <row r="204" spans="1:150" s="357" customFormat="1" ht="15">
      <c r="A204" s="675" t="s">
        <v>7</v>
      </c>
      <c r="B204" s="712">
        <v>41830</v>
      </c>
      <c r="C204" s="358">
        <v>0</v>
      </c>
      <c r="D204" s="405">
        <v>0</v>
      </c>
      <c r="E204" s="681">
        <v>0</v>
      </c>
      <c r="F204" s="681">
        <v>62</v>
      </c>
      <c r="G204" s="681">
        <v>0.4</v>
      </c>
      <c r="H204" s="405">
        <v>0.65</v>
      </c>
      <c r="I204" s="405">
        <v>92.5</v>
      </c>
      <c r="J204" s="405">
        <v>0.8</v>
      </c>
      <c r="K204" s="405" t="s">
        <v>744</v>
      </c>
      <c r="L204" s="644">
        <v>0</v>
      </c>
      <c r="M204" s="405">
        <v>18.2</v>
      </c>
      <c r="N204" s="405">
        <v>1.89</v>
      </c>
      <c r="O204" s="405">
        <v>2.2551078658370876</v>
      </c>
      <c r="P204" s="405">
        <v>0</v>
      </c>
      <c r="Q204" s="405" t="s">
        <v>743</v>
      </c>
      <c r="R204" s="790">
        <v>1794.4330779392333</v>
      </c>
      <c r="S204" s="405">
        <v>7.85</v>
      </c>
      <c r="T204" s="405">
        <v>0</v>
      </c>
      <c r="U204" s="405">
        <v>0.73</v>
      </c>
      <c r="V204" s="807">
        <v>0</v>
      </c>
      <c r="W204" s="807">
        <v>55.760000000000005</v>
      </c>
      <c r="X204" s="647" t="e">
        <v>#VALUE!</v>
      </c>
      <c r="Y204" s="383">
        <v>43.58</v>
      </c>
      <c r="Z204" s="681">
        <v>47.34</v>
      </c>
      <c r="AA204" s="794">
        <v>48.32</v>
      </c>
      <c r="AB204" s="794">
        <v>45.4</v>
      </c>
      <c r="AC204" s="775">
        <f t="shared" ref="AC204" si="214">AA204+AB204</f>
        <v>93.72</v>
      </c>
      <c r="AD204" s="775">
        <f t="shared" ref="AD204" si="215">AC204*1.547</f>
        <v>144.98483999999999</v>
      </c>
      <c r="AE204" s="775"/>
      <c r="AF204" s="775"/>
      <c r="AG204" s="407">
        <v>1.6</v>
      </c>
      <c r="AH204" s="705"/>
      <c r="AI204" s="705"/>
      <c r="AJ204" s="407"/>
      <c r="AK204" s="407"/>
      <c r="AL204" s="407"/>
      <c r="AM204" s="407"/>
      <c r="AN204" s="407"/>
      <c r="AO204" s="387"/>
      <c r="AP204" s="387"/>
      <c r="AQ204" s="405"/>
      <c r="AR204" s="578">
        <v>0</v>
      </c>
      <c r="AS204" s="405">
        <v>24</v>
      </c>
      <c r="AT204" s="578">
        <v>0</v>
      </c>
      <c r="AU204" s="405">
        <v>49.9</v>
      </c>
      <c r="AV204" s="405">
        <v>1284.8</v>
      </c>
      <c r="AW204" s="405">
        <v>811.2</v>
      </c>
      <c r="AX204" s="405">
        <v>68.5</v>
      </c>
      <c r="AY204" s="578">
        <v>0</v>
      </c>
      <c r="AZ204" s="578">
        <v>0</v>
      </c>
      <c r="BA204" s="578">
        <v>0</v>
      </c>
      <c r="BB204" s="1087">
        <v>1.6</v>
      </c>
      <c r="BC204" s="405">
        <v>1.5</v>
      </c>
      <c r="BD204" s="405">
        <v>2.5</v>
      </c>
      <c r="BE204" s="578">
        <v>0</v>
      </c>
      <c r="BF204" s="405">
        <v>0.5</v>
      </c>
      <c r="BG204" s="405">
        <v>0</v>
      </c>
      <c r="BH204" s="578">
        <v>0</v>
      </c>
      <c r="BI204" s="405">
        <v>2.02</v>
      </c>
      <c r="BJ204" s="405">
        <v>39</v>
      </c>
      <c r="BK204" s="405">
        <v>5.08</v>
      </c>
      <c r="BL204" s="405">
        <v>4.8899999999999997</v>
      </c>
      <c r="BM204" s="405">
        <v>0</v>
      </c>
      <c r="BN204" s="405">
        <v>27.5</v>
      </c>
      <c r="BO204" s="405">
        <v>2788.8</v>
      </c>
      <c r="BP204" s="405">
        <v>0</v>
      </c>
      <c r="BQ204" s="649">
        <v>17.57</v>
      </c>
      <c r="BR204" s="649">
        <v>17.47</v>
      </c>
      <c r="BS204" s="649">
        <v>23.36</v>
      </c>
      <c r="BT204" s="649">
        <v>22.43</v>
      </c>
      <c r="BU204" s="648">
        <v>46</v>
      </c>
      <c r="BV204" s="648">
        <v>51.4</v>
      </c>
      <c r="BW204" s="649">
        <v>1571.4</v>
      </c>
      <c r="BX204" s="876"/>
      <c r="BY204" s="649">
        <v>1.8</v>
      </c>
      <c r="BZ204" s="649">
        <v>1.42</v>
      </c>
      <c r="CA204" s="649">
        <v>1.2</v>
      </c>
      <c r="CB204" s="649">
        <v>8.8000000000000007</v>
      </c>
      <c r="CC204" s="649">
        <v>8.3000000000000007</v>
      </c>
      <c r="CD204" s="649">
        <v>14.2</v>
      </c>
      <c r="CE204" s="649">
        <v>34.6</v>
      </c>
      <c r="CF204" s="649">
        <v>15.4</v>
      </c>
      <c r="CG204" s="649">
        <v>8.25</v>
      </c>
      <c r="CH204" s="649">
        <v>13.74</v>
      </c>
      <c r="CI204" s="649">
        <v>18.05</v>
      </c>
      <c r="CJ204" s="649">
        <v>12.08</v>
      </c>
      <c r="CK204" s="649">
        <v>574.29999999999995</v>
      </c>
      <c r="CL204" s="649">
        <v>3.6</v>
      </c>
      <c r="CM204" s="649">
        <v>5.0999999999999996</v>
      </c>
      <c r="CN204" s="991">
        <v>1200</v>
      </c>
      <c r="CO204" s="649">
        <v>1129.3</v>
      </c>
      <c r="CP204" s="649">
        <v>701.6</v>
      </c>
      <c r="CQ204" s="649">
        <v>14.9</v>
      </c>
      <c r="CR204" s="649">
        <v>1.1599999999999999</v>
      </c>
      <c r="CS204" s="648">
        <v>0</v>
      </c>
      <c r="CT204" s="405">
        <v>17.78</v>
      </c>
      <c r="CU204" s="405">
        <v>59</v>
      </c>
      <c r="CV204" s="522">
        <v>0</v>
      </c>
      <c r="CW204" s="522">
        <v>0</v>
      </c>
      <c r="CX204" s="522">
        <v>0</v>
      </c>
      <c r="CY204" s="522">
        <v>0</v>
      </c>
      <c r="CZ204" s="689">
        <v>416</v>
      </c>
      <c r="DA204" s="689">
        <v>458</v>
      </c>
      <c r="DB204" s="689">
        <v>289</v>
      </c>
      <c r="DC204" s="643">
        <v>1164.6500000000001</v>
      </c>
      <c r="DD204" s="522"/>
      <c r="DE204" s="808"/>
      <c r="DF204" s="522"/>
      <c r="DG204" s="522"/>
      <c r="DH204" s="522"/>
      <c r="DI204" s="522"/>
      <c r="DJ204" s="522"/>
      <c r="DK204" s="522"/>
      <c r="DL204" s="649"/>
      <c r="DM204" s="649"/>
      <c r="DN204" s="649"/>
      <c r="DO204" s="522"/>
      <c r="DP204" s="522"/>
      <c r="DQ204" s="522"/>
      <c r="DR204" s="522"/>
      <c r="DS204" s="522"/>
      <c r="DT204" s="522"/>
      <c r="DU204" s="522"/>
      <c r="DV204" s="522"/>
      <c r="DW204" s="522"/>
      <c r="DX204" s="522"/>
      <c r="DY204" s="522"/>
      <c r="DZ204" s="522"/>
      <c r="EA204" s="522"/>
      <c r="EB204" s="522"/>
      <c r="EC204" s="522"/>
      <c r="ED204" s="522"/>
      <c r="EE204" s="522"/>
      <c r="EF204" s="522"/>
      <c r="EG204" s="645">
        <f t="shared" si="209"/>
        <v>32.487000000000002</v>
      </c>
      <c r="EH204" s="361">
        <v>4.5</v>
      </c>
      <c r="EI204" s="649">
        <v>2</v>
      </c>
      <c r="EJ204" s="649">
        <v>4.5</v>
      </c>
      <c r="EK204" s="649">
        <v>10</v>
      </c>
      <c r="EL204" s="522"/>
      <c r="EM204" s="522"/>
      <c r="EN204" s="522"/>
      <c r="EO204" s="522"/>
      <c r="EP204" s="522"/>
      <c r="EQ204" s="522"/>
      <c r="ER204" s="522"/>
      <c r="ES204" s="407"/>
      <c r="ET204" s="407"/>
    </row>
    <row r="205" spans="1:150" s="357" customFormat="1" ht="15">
      <c r="A205" s="675" t="s">
        <v>8</v>
      </c>
      <c r="B205" s="712">
        <v>41831</v>
      </c>
      <c r="C205" s="358">
        <v>0</v>
      </c>
      <c r="D205" s="405">
        <v>0</v>
      </c>
      <c r="E205" s="681">
        <v>0</v>
      </c>
      <c r="F205" s="681">
        <v>66</v>
      </c>
      <c r="G205" s="681">
        <v>0.3</v>
      </c>
      <c r="H205" s="405">
        <v>0.7</v>
      </c>
      <c r="I205" s="405">
        <v>93.5</v>
      </c>
      <c r="J205" s="405">
        <v>0.46</v>
      </c>
      <c r="K205" s="405" t="s">
        <v>744</v>
      </c>
      <c r="L205" s="644">
        <v>0</v>
      </c>
      <c r="M205" s="405">
        <v>18.100000000000001</v>
      </c>
      <c r="N205" s="405">
        <v>1.91</v>
      </c>
      <c r="O205" s="405">
        <v>2.2974035308825154</v>
      </c>
      <c r="P205" s="405">
        <v>0</v>
      </c>
      <c r="Q205" s="405" t="s">
        <v>743</v>
      </c>
      <c r="R205" s="790">
        <v>1939.2185627476879</v>
      </c>
      <c r="S205" s="405">
        <v>7.98</v>
      </c>
      <c r="T205" s="405">
        <v>0</v>
      </c>
      <c r="U205" s="405">
        <v>0.64</v>
      </c>
      <c r="V205" s="807">
        <v>0</v>
      </c>
      <c r="W205" s="807">
        <v>58.819999999999993</v>
      </c>
      <c r="X205" s="647" t="e">
        <v>#VALUE!</v>
      </c>
      <c r="Y205" s="383">
        <v>48.32</v>
      </c>
      <c r="Z205" s="681">
        <v>45.4</v>
      </c>
      <c r="AA205" s="794">
        <v>47.4</v>
      </c>
      <c r="AB205" s="794">
        <v>52.9</v>
      </c>
      <c r="AC205" s="775">
        <f t="shared" ref="AC205:AC207" si="216">AA205+AB205</f>
        <v>100.3</v>
      </c>
      <c r="AD205" s="775">
        <f t="shared" ref="AD205:AD207" si="217">AC205*1.547</f>
        <v>155.16409999999999</v>
      </c>
      <c r="AE205" s="775"/>
      <c r="AF205" s="775"/>
      <c r="AG205" s="407">
        <v>1.6</v>
      </c>
      <c r="AH205" s="705"/>
      <c r="AI205" s="705"/>
      <c r="AJ205" s="407"/>
      <c r="AK205" s="407"/>
      <c r="AL205" s="407"/>
      <c r="AM205" s="407"/>
      <c r="AN205" s="407"/>
      <c r="AO205" s="387"/>
      <c r="AP205" s="387"/>
      <c r="AQ205" s="405"/>
      <c r="AR205" s="578">
        <v>0</v>
      </c>
      <c r="AS205" s="405">
        <v>26.3</v>
      </c>
      <c r="AT205" s="578">
        <v>0</v>
      </c>
      <c r="AU205" s="405">
        <v>49</v>
      </c>
      <c r="AV205" s="405">
        <v>1410.4</v>
      </c>
      <c r="AW205" s="405">
        <v>901.1</v>
      </c>
      <c r="AX205" s="405">
        <v>81.5</v>
      </c>
      <c r="AY205" s="578">
        <v>0</v>
      </c>
      <c r="AZ205" s="578">
        <v>0</v>
      </c>
      <c r="BA205" s="578">
        <v>0</v>
      </c>
      <c r="BB205" s="1087">
        <v>1.6</v>
      </c>
      <c r="BC205" s="405">
        <v>2.2400000000000002</v>
      </c>
      <c r="BD205" s="405">
        <v>2.81</v>
      </c>
      <c r="BE205" s="578">
        <v>0</v>
      </c>
      <c r="BF205" s="405">
        <v>1.1000000000000001</v>
      </c>
      <c r="BG205" s="405">
        <v>0</v>
      </c>
      <c r="BH205" s="578">
        <v>0</v>
      </c>
      <c r="BI205" s="405">
        <v>2.02</v>
      </c>
      <c r="BJ205" s="405">
        <v>44.9</v>
      </c>
      <c r="BK205" s="405">
        <v>5.64</v>
      </c>
      <c r="BL205" s="405">
        <v>5.19</v>
      </c>
      <c r="BM205" s="405">
        <v>0</v>
      </c>
      <c r="BN205" s="405">
        <v>32.5</v>
      </c>
      <c r="BO205" s="405">
        <v>3075.4</v>
      </c>
      <c r="BP205" s="405">
        <v>0</v>
      </c>
      <c r="BQ205" s="649">
        <v>17.350000000000001</v>
      </c>
      <c r="BR205" s="649">
        <v>17.25</v>
      </c>
      <c r="BS205" s="649">
        <v>21.93</v>
      </c>
      <c r="BT205" s="649">
        <v>22</v>
      </c>
      <c r="BU205" s="648">
        <v>44.8</v>
      </c>
      <c r="BV205" s="648">
        <v>50.7</v>
      </c>
      <c r="BW205" s="649">
        <v>1450.2</v>
      </c>
      <c r="BX205" s="876"/>
      <c r="BY205" s="649">
        <v>3.43</v>
      </c>
      <c r="BZ205" s="649">
        <v>1.44</v>
      </c>
      <c r="CA205" s="649">
        <v>1.2</v>
      </c>
      <c r="CB205" s="649">
        <v>8.8000000000000007</v>
      </c>
      <c r="CC205" s="649">
        <v>8.6999999999999993</v>
      </c>
      <c r="CD205" s="649">
        <v>14.4</v>
      </c>
      <c r="CE205" s="649">
        <v>34.4</v>
      </c>
      <c r="CF205" s="649">
        <v>12.7</v>
      </c>
      <c r="CG205" s="649">
        <v>8.1999999999999993</v>
      </c>
      <c r="CH205" s="649">
        <v>13.7</v>
      </c>
      <c r="CI205" s="649">
        <v>18</v>
      </c>
      <c r="CJ205" s="649">
        <v>13.1</v>
      </c>
      <c r="CK205" s="649">
        <v>614</v>
      </c>
      <c r="CL205" s="649">
        <v>3.4</v>
      </c>
      <c r="CM205" s="649">
        <v>4.3</v>
      </c>
      <c r="CN205" s="991">
        <v>1200</v>
      </c>
      <c r="CO205" s="649">
        <v>1179.5999999999999</v>
      </c>
      <c r="CP205" s="649">
        <v>7.29</v>
      </c>
      <c r="CQ205" s="649">
        <v>15.4</v>
      </c>
      <c r="CR205" s="649">
        <v>1.2</v>
      </c>
      <c r="CS205" s="648">
        <v>0</v>
      </c>
      <c r="CT205" s="405">
        <v>17.234999999999999</v>
      </c>
      <c r="CU205" s="405">
        <v>59</v>
      </c>
      <c r="CV205" s="522">
        <v>0</v>
      </c>
      <c r="CW205" s="522">
        <v>0</v>
      </c>
      <c r="CX205" s="522">
        <v>0</v>
      </c>
      <c r="CY205" s="522">
        <v>0</v>
      </c>
      <c r="CZ205" s="689">
        <v>372</v>
      </c>
      <c r="DA205" s="689">
        <v>444</v>
      </c>
      <c r="DB205" s="689">
        <v>243</v>
      </c>
      <c r="DC205" s="643">
        <v>1164.5</v>
      </c>
      <c r="DD205" s="522"/>
      <c r="DE205" s="808"/>
      <c r="DF205" s="522"/>
      <c r="DG205" s="522"/>
      <c r="DH205" s="522"/>
      <c r="DI205" s="522"/>
      <c r="DJ205" s="522"/>
      <c r="DK205" s="522"/>
      <c r="DL205" s="649"/>
      <c r="DM205" s="649"/>
      <c r="DN205" s="649"/>
      <c r="DO205" s="522"/>
      <c r="DP205" s="522"/>
      <c r="DQ205" s="522"/>
      <c r="DR205" s="522"/>
      <c r="DS205" s="522"/>
      <c r="DT205" s="522"/>
      <c r="DU205" s="522"/>
      <c r="DV205" s="522"/>
      <c r="DW205" s="522"/>
      <c r="DX205" s="522"/>
      <c r="DY205" s="522"/>
      <c r="DZ205" s="522"/>
      <c r="EA205" s="522"/>
      <c r="EB205" s="522"/>
      <c r="EC205" s="522"/>
      <c r="ED205" s="522"/>
      <c r="EE205" s="522"/>
      <c r="EF205" s="522"/>
      <c r="EG205" s="645">
        <f t="shared" si="209"/>
        <v>43.315999999999995</v>
      </c>
      <c r="EH205" s="522">
        <v>8</v>
      </c>
      <c r="EI205" s="649">
        <v>2</v>
      </c>
      <c r="EJ205" s="649">
        <v>7</v>
      </c>
      <c r="EK205" s="649">
        <v>11</v>
      </c>
      <c r="EL205" s="522"/>
      <c r="EM205" s="522"/>
      <c r="EN205" s="522"/>
      <c r="EO205" s="522"/>
      <c r="EP205" s="522"/>
      <c r="EQ205" s="522"/>
      <c r="ER205" s="522"/>
      <c r="ES205" s="407"/>
      <c r="ET205" s="407"/>
    </row>
    <row r="206" spans="1:150" s="357" customFormat="1" ht="15">
      <c r="A206" s="675" t="s">
        <v>9</v>
      </c>
      <c r="B206" s="712">
        <v>41832</v>
      </c>
      <c r="C206" s="358">
        <v>0</v>
      </c>
      <c r="D206" s="405">
        <v>0</v>
      </c>
      <c r="E206" s="681">
        <v>0</v>
      </c>
      <c r="F206" s="681">
        <v>68</v>
      </c>
      <c r="G206" s="681">
        <v>0.4</v>
      </c>
      <c r="H206" s="405">
        <v>0.72</v>
      </c>
      <c r="I206" s="405">
        <v>93.4</v>
      </c>
      <c r="J206" s="405">
        <v>0.49</v>
      </c>
      <c r="K206" s="405" t="s">
        <v>744</v>
      </c>
      <c r="L206" s="644">
        <v>0</v>
      </c>
      <c r="M206" s="405">
        <v>18.3</v>
      </c>
      <c r="N206" s="405">
        <v>1.95</v>
      </c>
      <c r="O206" s="405">
        <v>2.3479599212383748</v>
      </c>
      <c r="P206" s="405">
        <v>0</v>
      </c>
      <c r="Q206" s="405" t="s">
        <v>743</v>
      </c>
      <c r="R206" s="790">
        <v>1992.662869220607</v>
      </c>
      <c r="S206" s="405">
        <v>8.0500000000000007</v>
      </c>
      <c r="T206" s="405">
        <v>0</v>
      </c>
      <c r="U206" s="405">
        <v>0.74</v>
      </c>
      <c r="V206" s="807">
        <v>0</v>
      </c>
      <c r="W206" s="807">
        <v>58.28</v>
      </c>
      <c r="X206" s="647" t="e">
        <v>#VALUE!</v>
      </c>
      <c r="Y206" s="383">
        <v>47.4</v>
      </c>
      <c r="Z206" s="681">
        <v>52.9</v>
      </c>
      <c r="AA206" s="794">
        <v>47.4</v>
      </c>
      <c r="AB206" s="794">
        <v>52.92</v>
      </c>
      <c r="AC206" s="775">
        <f t="shared" si="216"/>
        <v>100.32</v>
      </c>
      <c r="AD206" s="775">
        <f t="shared" si="217"/>
        <v>155.19503999999998</v>
      </c>
      <c r="AE206" s="775"/>
      <c r="AF206" s="775"/>
      <c r="AG206" s="407">
        <v>1.6</v>
      </c>
      <c r="AH206" s="705"/>
      <c r="AI206" s="705"/>
      <c r="AJ206" s="407"/>
      <c r="AK206" s="407"/>
      <c r="AL206" s="407"/>
      <c r="AM206" s="407"/>
      <c r="AN206" s="407"/>
      <c r="AO206" s="387"/>
      <c r="AP206" s="387"/>
      <c r="AQ206" s="405"/>
      <c r="AR206" s="578">
        <v>0</v>
      </c>
      <c r="AS206" s="405">
        <v>25.3</v>
      </c>
      <c r="AT206" s="578">
        <v>0</v>
      </c>
      <c r="AU206" s="405">
        <v>49</v>
      </c>
      <c r="AV206" s="405">
        <v>1400.7</v>
      </c>
      <c r="AW206" s="405">
        <v>929.2</v>
      </c>
      <c r="AX206" s="405">
        <v>84.6</v>
      </c>
      <c r="AY206" s="578">
        <v>0</v>
      </c>
      <c r="AZ206" s="578">
        <v>0</v>
      </c>
      <c r="BA206" s="578">
        <v>0</v>
      </c>
      <c r="BB206" s="1087">
        <v>1.61</v>
      </c>
      <c r="BC206" s="405">
        <v>2.83</v>
      </c>
      <c r="BD206" s="405">
        <v>2.67</v>
      </c>
      <c r="BE206" s="578">
        <v>0</v>
      </c>
      <c r="BF206" s="405">
        <v>1.5</v>
      </c>
      <c r="BG206" s="405">
        <v>0</v>
      </c>
      <c r="BH206" s="578">
        <v>0</v>
      </c>
      <c r="BI206" s="405">
        <v>2.02</v>
      </c>
      <c r="BJ206" s="405">
        <v>44.1</v>
      </c>
      <c r="BK206" s="405">
        <v>6.04</v>
      </c>
      <c r="BL206" s="405">
        <v>4.97</v>
      </c>
      <c r="BM206" s="405">
        <v>0</v>
      </c>
      <c r="BN206" s="405">
        <v>31.6</v>
      </c>
      <c r="BO206" s="405">
        <v>3191.6</v>
      </c>
      <c r="BP206" s="405">
        <v>0</v>
      </c>
      <c r="BQ206" s="649">
        <v>16.88</v>
      </c>
      <c r="BR206" s="649">
        <v>16.78</v>
      </c>
      <c r="BS206" s="649">
        <v>21.89</v>
      </c>
      <c r="BT206" s="649">
        <v>21.98</v>
      </c>
      <c r="BU206" s="648">
        <v>44.8</v>
      </c>
      <c r="BV206" s="648">
        <v>51.6</v>
      </c>
      <c r="BW206" s="649">
        <v>1495.5</v>
      </c>
      <c r="BX206" s="876"/>
      <c r="BY206" s="649">
        <v>0.61</v>
      </c>
      <c r="BZ206" s="649">
        <v>1.47</v>
      </c>
      <c r="CA206" s="649">
        <v>1.2</v>
      </c>
      <c r="CB206" s="649">
        <v>8.9</v>
      </c>
      <c r="CC206" s="649">
        <v>9.1999999999999993</v>
      </c>
      <c r="CD206" s="649">
        <v>14</v>
      </c>
      <c r="CE206" s="649">
        <v>34.200000000000003</v>
      </c>
      <c r="CF206" s="649">
        <v>13.3</v>
      </c>
      <c r="CG206" s="649">
        <v>8.4</v>
      </c>
      <c r="CH206" s="649">
        <v>13.9</v>
      </c>
      <c r="CI206" s="649">
        <v>18.2</v>
      </c>
      <c r="CJ206" s="649">
        <v>13.4</v>
      </c>
      <c r="CK206" s="649">
        <v>618.70000000000005</v>
      </c>
      <c r="CL206" s="649">
        <v>2</v>
      </c>
      <c r="CM206" s="649">
        <v>2.1</v>
      </c>
      <c r="CN206" s="991">
        <v>1200</v>
      </c>
      <c r="CO206" s="649">
        <v>1176.4000000000001</v>
      </c>
      <c r="CP206" s="649">
        <v>701.4</v>
      </c>
      <c r="CQ206" s="649">
        <v>16.2</v>
      </c>
      <c r="CR206" s="649">
        <v>1.25</v>
      </c>
      <c r="CS206" s="648">
        <v>333.3</v>
      </c>
      <c r="CT206" s="405">
        <v>16.937000000000001</v>
      </c>
      <c r="CU206" s="405">
        <v>60</v>
      </c>
      <c r="CV206" s="522">
        <v>0</v>
      </c>
      <c r="CW206" s="522">
        <v>0</v>
      </c>
      <c r="CX206" s="522">
        <v>0</v>
      </c>
      <c r="CY206" s="522">
        <v>0</v>
      </c>
      <c r="CZ206" s="689">
        <v>372</v>
      </c>
      <c r="DA206" s="689">
        <v>401</v>
      </c>
      <c r="DB206" s="689">
        <v>241</v>
      </c>
      <c r="DC206" s="643">
        <v>1164.3699999999999</v>
      </c>
      <c r="DD206" s="522"/>
      <c r="DE206" s="808"/>
      <c r="DF206" s="522"/>
      <c r="DG206" s="522"/>
      <c r="DH206" s="522"/>
      <c r="DI206" s="522"/>
      <c r="DJ206" s="522"/>
      <c r="DK206" s="522"/>
      <c r="DL206" s="649"/>
      <c r="DM206" s="649"/>
      <c r="DN206" s="649"/>
      <c r="DO206" s="522"/>
      <c r="DP206" s="522"/>
      <c r="DQ206" s="522"/>
      <c r="DR206" s="522"/>
      <c r="DS206" s="522"/>
      <c r="DT206" s="522"/>
      <c r="DU206" s="522"/>
      <c r="DV206" s="522"/>
      <c r="DW206" s="522"/>
      <c r="DX206" s="522"/>
      <c r="DY206" s="522"/>
      <c r="DZ206" s="522"/>
      <c r="EA206" s="522"/>
      <c r="EB206" s="522"/>
      <c r="EC206" s="522"/>
      <c r="ED206" s="522"/>
      <c r="EE206" s="522"/>
      <c r="EF206" s="522"/>
      <c r="EG206" s="645">
        <f t="shared" si="209"/>
        <v>43.315999999999995</v>
      </c>
      <c r="EH206" s="522">
        <v>8</v>
      </c>
      <c r="EI206" s="649">
        <v>2</v>
      </c>
      <c r="EJ206" s="649">
        <v>7</v>
      </c>
      <c r="EK206" s="649">
        <v>11</v>
      </c>
      <c r="EL206" s="522"/>
      <c r="EM206" s="522"/>
      <c r="EN206" s="522"/>
      <c r="EO206" s="522"/>
      <c r="EP206" s="522"/>
      <c r="EQ206" s="522"/>
      <c r="ER206" s="522"/>
      <c r="ES206" s="407"/>
      <c r="ET206" s="407"/>
    </row>
    <row r="207" spans="1:150" s="357" customFormat="1" ht="15">
      <c r="A207" s="675" t="s">
        <v>3</v>
      </c>
      <c r="B207" s="712">
        <v>41833</v>
      </c>
      <c r="C207" s="358">
        <v>0</v>
      </c>
      <c r="D207" s="405">
        <v>0</v>
      </c>
      <c r="E207" s="681">
        <v>0</v>
      </c>
      <c r="F207" s="681">
        <v>66</v>
      </c>
      <c r="G207" s="681">
        <v>0.3</v>
      </c>
      <c r="H207" s="405">
        <v>0.81</v>
      </c>
      <c r="I207" s="405">
        <v>93.5</v>
      </c>
      <c r="J207" s="405">
        <v>0.66</v>
      </c>
      <c r="K207" s="405" t="s">
        <v>744</v>
      </c>
      <c r="L207" s="644">
        <v>0</v>
      </c>
      <c r="M207" s="405">
        <v>18.3</v>
      </c>
      <c r="N207" s="405">
        <v>1.93</v>
      </c>
      <c r="O207" s="405">
        <v>2.3044128240740065</v>
      </c>
      <c r="P207" s="405">
        <v>0</v>
      </c>
      <c r="Q207" s="405" t="s">
        <v>743</v>
      </c>
      <c r="R207" s="790">
        <v>1952.8225680317037</v>
      </c>
      <c r="S207" s="405">
        <v>8.0500000000000007</v>
      </c>
      <c r="T207" s="405">
        <v>0</v>
      </c>
      <c r="U207" s="405">
        <v>0.73</v>
      </c>
      <c r="V207" s="807">
        <v>0</v>
      </c>
      <c r="W207" s="807">
        <v>57.92</v>
      </c>
      <c r="X207" s="647" t="e">
        <v>#VALUE!</v>
      </c>
      <c r="Y207" s="383">
        <v>47.4</v>
      </c>
      <c r="Z207" s="681">
        <v>52.92</v>
      </c>
      <c r="AA207" s="794">
        <v>47.4</v>
      </c>
      <c r="AB207" s="794">
        <v>52.92</v>
      </c>
      <c r="AC207" s="775">
        <f t="shared" si="216"/>
        <v>100.32</v>
      </c>
      <c r="AD207" s="775">
        <f t="shared" si="217"/>
        <v>155.19503999999998</v>
      </c>
      <c r="AE207" s="775"/>
      <c r="AF207" s="775"/>
      <c r="AG207" s="407">
        <v>1.6</v>
      </c>
      <c r="AH207" s="705"/>
      <c r="AI207" s="705"/>
      <c r="AJ207" s="407"/>
      <c r="AK207" s="407"/>
      <c r="AL207" s="407"/>
      <c r="AM207" s="407"/>
      <c r="AN207" s="407"/>
      <c r="AO207" s="387"/>
      <c r="AP207" s="387"/>
      <c r="AQ207" s="405"/>
      <c r="AR207" s="578">
        <v>0</v>
      </c>
      <c r="AS207" s="405">
        <v>25.7</v>
      </c>
      <c r="AT207" s="578">
        <v>0</v>
      </c>
      <c r="AU207" s="405">
        <v>49</v>
      </c>
      <c r="AV207" s="405">
        <v>1332</v>
      </c>
      <c r="AW207" s="405">
        <v>850.6</v>
      </c>
      <c r="AX207" s="405">
        <v>73.2</v>
      </c>
      <c r="AY207" s="578">
        <v>0</v>
      </c>
      <c r="AZ207" s="578">
        <v>0</v>
      </c>
      <c r="BA207" s="578">
        <v>0</v>
      </c>
      <c r="BB207" s="1087">
        <v>1.6</v>
      </c>
      <c r="BC207" s="405">
        <v>2.81</v>
      </c>
      <c r="BD207" s="405">
        <v>2.72</v>
      </c>
      <c r="BE207" s="578">
        <v>0</v>
      </c>
      <c r="BF207" s="405">
        <v>1.5</v>
      </c>
      <c r="BG207" s="405">
        <v>0</v>
      </c>
      <c r="BH207" s="578">
        <v>0</v>
      </c>
      <c r="BI207" s="405">
        <v>2.0099999999999998</v>
      </c>
      <c r="BJ207" s="405">
        <v>44</v>
      </c>
      <c r="BK207" s="405">
        <v>5.22</v>
      </c>
      <c r="BL207" s="405">
        <v>5.68</v>
      </c>
      <c r="BM207" s="405">
        <v>0</v>
      </c>
      <c r="BN207" s="405">
        <v>31.5</v>
      </c>
      <c r="BO207" s="405">
        <v>2939.6</v>
      </c>
      <c r="BP207" s="405">
        <v>0</v>
      </c>
      <c r="BQ207" s="649">
        <v>19.23</v>
      </c>
      <c r="BR207" s="649">
        <v>19.16</v>
      </c>
      <c r="BS207" s="649">
        <v>21.95</v>
      </c>
      <c r="BT207" s="649">
        <v>22.02</v>
      </c>
      <c r="BU207" s="648">
        <v>45</v>
      </c>
      <c r="BV207" s="648">
        <v>43.7</v>
      </c>
      <c r="BW207" s="649">
        <v>1485.3</v>
      </c>
      <c r="BX207" s="876"/>
      <c r="BY207" s="649">
        <v>0.94</v>
      </c>
      <c r="BZ207" s="649">
        <v>1.43</v>
      </c>
      <c r="CA207" s="649">
        <v>1.2</v>
      </c>
      <c r="CB207" s="649">
        <v>8.9</v>
      </c>
      <c r="CC207" s="649">
        <v>9.3000000000000007</v>
      </c>
      <c r="CD207" s="649">
        <v>14.9</v>
      </c>
      <c r="CE207" s="649">
        <v>34.700000000000003</v>
      </c>
      <c r="CF207" s="649">
        <v>13.4</v>
      </c>
      <c r="CG207" s="649">
        <v>8.6</v>
      </c>
      <c r="CH207" s="649">
        <v>14.2</v>
      </c>
      <c r="CI207" s="649">
        <v>18.100000000000001</v>
      </c>
      <c r="CJ207" s="649">
        <v>13.19</v>
      </c>
      <c r="CK207" s="649">
        <v>390.1</v>
      </c>
      <c r="CL207" s="649">
        <v>2.8</v>
      </c>
      <c r="CM207" s="649">
        <v>2.7</v>
      </c>
      <c r="CN207" s="991">
        <v>1200</v>
      </c>
      <c r="CO207" s="649">
        <v>1149.8</v>
      </c>
      <c r="CP207" s="649">
        <v>687.9</v>
      </c>
      <c r="CQ207" s="649">
        <v>16.2</v>
      </c>
      <c r="CR207" s="649">
        <v>1.24</v>
      </c>
      <c r="CS207" s="648">
        <v>3849.8</v>
      </c>
      <c r="CT207" s="405">
        <v>17.553000000000001</v>
      </c>
      <c r="CU207" s="405">
        <v>59</v>
      </c>
      <c r="CV207" s="522">
        <v>0</v>
      </c>
      <c r="CW207" s="522">
        <v>0</v>
      </c>
      <c r="CX207" s="522">
        <v>0</v>
      </c>
      <c r="CY207" s="522">
        <v>0</v>
      </c>
      <c r="CZ207" s="689">
        <v>372</v>
      </c>
      <c r="DA207" s="689">
        <v>392</v>
      </c>
      <c r="DB207" s="689">
        <v>251</v>
      </c>
      <c r="DC207" s="643">
        <v>1164.26</v>
      </c>
      <c r="DD207" s="522"/>
      <c r="DE207" s="808"/>
      <c r="DF207" s="522"/>
      <c r="DG207" s="522"/>
      <c r="DH207" s="522"/>
      <c r="DI207" s="522"/>
      <c r="DJ207" s="522"/>
      <c r="DK207" s="522"/>
      <c r="DL207" s="649"/>
      <c r="DM207" s="649"/>
      <c r="DN207" s="649"/>
      <c r="DO207" s="522"/>
      <c r="DP207" s="522"/>
      <c r="DQ207" s="522"/>
      <c r="DR207" s="522"/>
      <c r="DS207" s="522"/>
      <c r="DT207" s="522"/>
      <c r="DU207" s="522"/>
      <c r="DV207" s="522"/>
      <c r="DW207" s="522"/>
      <c r="DX207" s="522"/>
      <c r="DY207" s="522"/>
      <c r="DZ207" s="522"/>
      <c r="EA207" s="522"/>
      <c r="EB207" s="522"/>
      <c r="EC207" s="522"/>
      <c r="ED207" s="522"/>
      <c r="EE207" s="522"/>
      <c r="EF207" s="522"/>
      <c r="EG207" s="645">
        <f t="shared" si="209"/>
        <v>43.315999999999995</v>
      </c>
      <c r="EH207" s="522">
        <v>8</v>
      </c>
      <c r="EI207" s="649">
        <v>2</v>
      </c>
      <c r="EJ207" s="649">
        <v>7</v>
      </c>
      <c r="EK207" s="649">
        <v>11</v>
      </c>
      <c r="EL207" s="522"/>
      <c r="EM207" s="522"/>
      <c r="EN207" s="522"/>
      <c r="EO207" s="522"/>
      <c r="EP207" s="522"/>
      <c r="EQ207" s="522"/>
      <c r="ER207" s="522"/>
      <c r="ES207" s="407"/>
      <c r="ET207" s="407"/>
    </row>
    <row r="208" spans="1:150" s="357" customFormat="1" ht="15">
      <c r="A208" s="675" t="s">
        <v>4</v>
      </c>
      <c r="B208" s="712">
        <v>41834</v>
      </c>
      <c r="C208" s="358">
        <v>0</v>
      </c>
      <c r="D208" s="405">
        <v>0</v>
      </c>
      <c r="E208" s="681">
        <v>0</v>
      </c>
      <c r="F208" s="681">
        <v>65</v>
      </c>
      <c r="G208" s="681">
        <v>0.4</v>
      </c>
      <c r="H208" s="405">
        <v>0.56000000000000005</v>
      </c>
      <c r="I208" s="405">
        <v>94.76</v>
      </c>
      <c r="J208" s="405">
        <v>0.59</v>
      </c>
      <c r="K208" s="405" t="s">
        <v>744</v>
      </c>
      <c r="L208" s="644">
        <v>0</v>
      </c>
      <c r="M208" s="405">
        <v>17.899999999999999</v>
      </c>
      <c r="N208" s="405">
        <v>1.88</v>
      </c>
      <c r="O208" s="405">
        <v>2.2717365641017984</v>
      </c>
      <c r="P208" s="405">
        <v>0</v>
      </c>
      <c r="Q208" s="405" t="s">
        <v>743</v>
      </c>
      <c r="R208" s="790">
        <v>1923.9950330250986</v>
      </c>
      <c r="S208" s="405">
        <v>7.89</v>
      </c>
      <c r="T208" s="405">
        <v>0</v>
      </c>
      <c r="U208" s="405">
        <v>0.72</v>
      </c>
      <c r="V208" s="807">
        <v>0</v>
      </c>
      <c r="W208" s="807">
        <v>57.38000000000001</v>
      </c>
      <c r="X208" s="647" t="e">
        <v>#VALUE!</v>
      </c>
      <c r="Y208" s="383">
        <v>47.4</v>
      </c>
      <c r="Z208" s="681">
        <v>52.92</v>
      </c>
      <c r="AA208" s="794">
        <v>47.4</v>
      </c>
      <c r="AB208" s="794">
        <v>52.93</v>
      </c>
      <c r="AC208" s="775">
        <f t="shared" ref="AC208" si="218">AA208+AB208</f>
        <v>100.33</v>
      </c>
      <c r="AD208" s="775">
        <f t="shared" ref="AD208" si="219">AC208*1.547</f>
        <v>155.21051</v>
      </c>
      <c r="AE208" s="775"/>
      <c r="AF208" s="775"/>
      <c r="AG208" s="407">
        <v>1.6</v>
      </c>
      <c r="AH208" s="705"/>
      <c r="AI208" s="705"/>
      <c r="AJ208" s="407"/>
      <c r="AK208" s="407"/>
      <c r="AL208" s="407"/>
      <c r="AM208" s="407"/>
      <c r="AN208" s="407"/>
      <c r="AO208" s="387"/>
      <c r="AP208" s="387"/>
      <c r="AQ208" s="405"/>
      <c r="AR208" s="578">
        <v>0</v>
      </c>
      <c r="AS208" s="405">
        <v>26.8</v>
      </c>
      <c r="AT208" s="578">
        <v>0</v>
      </c>
      <c r="AU208" s="405">
        <v>49</v>
      </c>
      <c r="AV208" s="405">
        <v>1480</v>
      </c>
      <c r="AW208" s="405">
        <v>1032</v>
      </c>
      <c r="AX208" s="405">
        <v>69.3</v>
      </c>
      <c r="AY208" s="578">
        <v>0</v>
      </c>
      <c r="AZ208" s="578">
        <v>0</v>
      </c>
      <c r="BA208" s="578">
        <v>0</v>
      </c>
      <c r="BB208" s="1087">
        <v>1.6</v>
      </c>
      <c r="BC208" s="405">
        <v>1.87</v>
      </c>
      <c r="BD208" s="405">
        <v>3.03</v>
      </c>
      <c r="BE208" s="578">
        <v>0</v>
      </c>
      <c r="BF208" s="405">
        <v>1.2</v>
      </c>
      <c r="BG208" s="405">
        <v>0</v>
      </c>
      <c r="BH208" s="578">
        <v>0</v>
      </c>
      <c r="BI208" s="405">
        <v>2.31</v>
      </c>
      <c r="BJ208" s="405">
        <v>44.7</v>
      </c>
      <c r="BK208" s="405">
        <v>5.29</v>
      </c>
      <c r="BL208" s="405">
        <v>5.7</v>
      </c>
      <c r="BM208" s="405">
        <v>0</v>
      </c>
      <c r="BN208" s="405">
        <v>32.1</v>
      </c>
      <c r="BO208" s="405">
        <v>3110.8</v>
      </c>
      <c r="BP208" s="405">
        <v>0</v>
      </c>
      <c r="BQ208" s="649">
        <v>20.57</v>
      </c>
      <c r="BR208" s="649">
        <v>20.440000000000001</v>
      </c>
      <c r="BS208" s="649">
        <v>20.81</v>
      </c>
      <c r="BT208" s="649">
        <v>21.85</v>
      </c>
      <c r="BU208" s="648">
        <v>44.8</v>
      </c>
      <c r="BV208" s="648">
        <v>46.4</v>
      </c>
      <c r="BW208" s="649">
        <v>1390.4</v>
      </c>
      <c r="BX208" s="876"/>
      <c r="BY208" s="649">
        <v>0.65</v>
      </c>
      <c r="BZ208" s="649">
        <v>1.42</v>
      </c>
      <c r="CA208" s="649">
        <v>1.2</v>
      </c>
      <c r="CB208" s="649">
        <v>8.8000000000000007</v>
      </c>
      <c r="CC208" s="649">
        <v>9.1</v>
      </c>
      <c r="CD208" s="649">
        <v>14.9</v>
      </c>
      <c r="CE208" s="649">
        <v>34.1</v>
      </c>
      <c r="CF208" s="649">
        <v>18.7</v>
      </c>
      <c r="CG208" s="649">
        <v>9.1999999999999993</v>
      </c>
      <c r="CH208" s="649">
        <v>14.8</v>
      </c>
      <c r="CI208" s="649">
        <v>19.100000000000001</v>
      </c>
      <c r="CJ208" s="649">
        <v>12.49</v>
      </c>
      <c r="CK208" s="649">
        <v>488.9</v>
      </c>
      <c r="CL208" s="649">
        <v>3.2</v>
      </c>
      <c r="CM208" s="649">
        <v>4.3</v>
      </c>
      <c r="CN208" s="991">
        <v>1200</v>
      </c>
      <c r="CO208" s="649">
        <v>1130.4000000000001</v>
      </c>
      <c r="CP208" s="649">
        <v>715.9</v>
      </c>
      <c r="CQ208" s="649">
        <v>15.3</v>
      </c>
      <c r="CR208" s="649">
        <v>1.2</v>
      </c>
      <c r="CS208" s="648">
        <v>1379.3</v>
      </c>
      <c r="CT208" s="405">
        <v>17.198</v>
      </c>
      <c r="CU208" s="405">
        <v>60</v>
      </c>
      <c r="CV208" s="522">
        <v>0</v>
      </c>
      <c r="CW208" s="522">
        <v>0</v>
      </c>
      <c r="CX208" s="522">
        <v>0</v>
      </c>
      <c r="CY208" s="522">
        <v>0</v>
      </c>
      <c r="CZ208" s="689">
        <v>372</v>
      </c>
      <c r="DA208" s="689">
        <v>392</v>
      </c>
      <c r="DB208" s="689">
        <v>259</v>
      </c>
      <c r="DC208" s="643">
        <v>1164.1300000000001</v>
      </c>
      <c r="DD208" s="522"/>
      <c r="DE208" s="808"/>
      <c r="DF208" s="522"/>
      <c r="DG208" s="522"/>
      <c r="DH208" s="522"/>
      <c r="DI208" s="522"/>
      <c r="DJ208" s="522"/>
      <c r="DK208" s="522"/>
      <c r="DL208" s="649"/>
      <c r="DM208" s="649"/>
      <c r="DN208" s="649"/>
      <c r="DO208" s="522"/>
      <c r="DP208" s="522"/>
      <c r="DQ208" s="522"/>
      <c r="DR208" s="522"/>
      <c r="DS208" s="522"/>
      <c r="DT208" s="522"/>
      <c r="DU208" s="522"/>
      <c r="DV208" s="522"/>
      <c r="DW208" s="522"/>
      <c r="DX208" s="522"/>
      <c r="DY208" s="522"/>
      <c r="DZ208" s="522"/>
      <c r="EA208" s="522"/>
      <c r="EB208" s="522"/>
      <c r="EC208" s="522"/>
      <c r="ED208" s="522"/>
      <c r="EE208" s="522"/>
      <c r="EF208" s="522"/>
      <c r="EG208" s="645">
        <f t="shared" si="209"/>
        <v>43.315999999999995</v>
      </c>
      <c r="EH208" s="522">
        <v>8</v>
      </c>
      <c r="EI208" s="649">
        <v>3</v>
      </c>
      <c r="EJ208" s="649">
        <v>6</v>
      </c>
      <c r="EK208" s="649">
        <v>11</v>
      </c>
      <c r="EL208" s="522"/>
      <c r="EM208" s="522"/>
      <c r="EN208" s="522"/>
      <c r="EO208" s="522"/>
      <c r="EP208" s="522"/>
      <c r="EQ208" s="522"/>
      <c r="ER208" s="522"/>
      <c r="ES208" s="407"/>
      <c r="ET208" s="407"/>
    </row>
    <row r="209" spans="1:150" s="357" customFormat="1" ht="15">
      <c r="A209" s="675" t="s">
        <v>5</v>
      </c>
      <c r="B209" s="712">
        <v>41835</v>
      </c>
      <c r="C209" s="358">
        <v>0</v>
      </c>
      <c r="D209" s="405">
        <v>0</v>
      </c>
      <c r="E209" s="681">
        <v>0</v>
      </c>
      <c r="F209" s="681">
        <v>67</v>
      </c>
      <c r="G209" s="681">
        <v>0.4</v>
      </c>
      <c r="H209" s="405">
        <v>0.82</v>
      </c>
      <c r="I209" s="405">
        <v>92.83</v>
      </c>
      <c r="J209" s="405">
        <v>0.63</v>
      </c>
      <c r="K209" s="405" t="s">
        <v>744</v>
      </c>
      <c r="L209" s="644">
        <v>0</v>
      </c>
      <c r="M209" s="405">
        <v>17.7</v>
      </c>
      <c r="N209" s="405">
        <v>1.88</v>
      </c>
      <c r="O209" s="405">
        <v>2.2665403519422185</v>
      </c>
      <c r="P209" s="405">
        <v>0</v>
      </c>
      <c r="Q209" s="405">
        <v>0</v>
      </c>
      <c r="R209" s="790">
        <v>1922.0516036988108</v>
      </c>
      <c r="S209" s="405">
        <v>7.86</v>
      </c>
      <c r="T209" s="405">
        <v>0</v>
      </c>
      <c r="U209" s="405">
        <v>0.72</v>
      </c>
      <c r="V209" s="807">
        <v>0</v>
      </c>
      <c r="W209" s="807">
        <v>57.56</v>
      </c>
      <c r="X209" s="647" t="e">
        <v>#VALUE!</v>
      </c>
      <c r="Y209" s="383">
        <v>47.4</v>
      </c>
      <c r="Z209" s="681">
        <v>52.92</v>
      </c>
      <c r="AA209" s="794">
        <v>47.4</v>
      </c>
      <c r="AB209" s="794">
        <v>52.93</v>
      </c>
      <c r="AC209" s="775">
        <f t="shared" ref="AC209" si="220">AA209+AB209</f>
        <v>100.33</v>
      </c>
      <c r="AD209" s="775">
        <f t="shared" ref="AD209" si="221">AC209*1.547</f>
        <v>155.21051</v>
      </c>
      <c r="AE209" s="775"/>
      <c r="AF209" s="775"/>
      <c r="AG209" s="407">
        <v>1.6</v>
      </c>
      <c r="AH209" s="705"/>
      <c r="AI209" s="705"/>
      <c r="AJ209" s="407"/>
      <c r="AK209" s="407"/>
      <c r="AL209" s="407"/>
      <c r="AM209" s="407"/>
      <c r="AN209" s="407"/>
      <c r="AO209" s="387"/>
      <c r="AP209" s="387"/>
      <c r="AQ209" s="405"/>
      <c r="AR209" s="578">
        <v>0</v>
      </c>
      <c r="AS209" s="405">
        <v>28.3</v>
      </c>
      <c r="AT209" s="578">
        <v>0</v>
      </c>
      <c r="AU209" s="405">
        <v>48.9</v>
      </c>
      <c r="AV209" s="405">
        <v>1458.3</v>
      </c>
      <c r="AW209" s="405">
        <v>917.6</v>
      </c>
      <c r="AX209" s="405">
        <v>58.6</v>
      </c>
      <c r="AY209" s="578">
        <v>0</v>
      </c>
      <c r="AZ209" s="578">
        <v>0</v>
      </c>
      <c r="BA209" s="578">
        <v>0</v>
      </c>
      <c r="BB209" s="1087">
        <v>1.6</v>
      </c>
      <c r="BC209" s="405">
        <v>1.5</v>
      </c>
      <c r="BD209" s="405">
        <v>3</v>
      </c>
      <c r="BE209" s="578">
        <v>0</v>
      </c>
      <c r="BF209" s="405">
        <v>1.32</v>
      </c>
      <c r="BG209" s="405">
        <v>0</v>
      </c>
      <c r="BH209" s="578">
        <v>0</v>
      </c>
      <c r="BI209" s="405">
        <v>2.8</v>
      </c>
      <c r="BJ209" s="405">
        <v>44.5</v>
      </c>
      <c r="BK209" s="405">
        <v>5.43</v>
      </c>
      <c r="BL209" s="405">
        <v>5.27</v>
      </c>
      <c r="BM209" s="405">
        <v>0</v>
      </c>
      <c r="BN209" s="405">
        <v>31.9</v>
      </c>
      <c r="BO209" s="405">
        <v>2545.1</v>
      </c>
      <c r="BP209" s="405">
        <v>0</v>
      </c>
      <c r="BQ209" s="649">
        <v>20.58</v>
      </c>
      <c r="BR209" s="649">
        <v>20.46</v>
      </c>
      <c r="BS209" s="649">
        <v>21.75</v>
      </c>
      <c r="BT209" s="649">
        <v>21.81</v>
      </c>
      <c r="BU209" s="648">
        <v>44.7</v>
      </c>
      <c r="BV209" s="648">
        <v>50.1</v>
      </c>
      <c r="BW209" s="649">
        <v>1364.9</v>
      </c>
      <c r="BX209" s="876"/>
      <c r="BY209" s="649">
        <v>0.67</v>
      </c>
      <c r="BZ209" s="649">
        <v>1.4</v>
      </c>
      <c r="CA209" s="649">
        <v>1.2</v>
      </c>
      <c r="CB209" s="649">
        <v>8.8000000000000007</v>
      </c>
      <c r="CC209" s="649">
        <v>8.9</v>
      </c>
      <c r="CD209" s="649">
        <v>15.8</v>
      </c>
      <c r="CE209" s="649">
        <v>34.1</v>
      </c>
      <c r="CF209" s="649">
        <v>21</v>
      </c>
      <c r="CG209" s="649">
        <v>7.5</v>
      </c>
      <c r="CH209" s="649">
        <v>12.8</v>
      </c>
      <c r="CI209" s="649">
        <v>17.2</v>
      </c>
      <c r="CJ209" s="649">
        <v>14.06</v>
      </c>
      <c r="CK209" s="649">
        <v>608.20000000000005</v>
      </c>
      <c r="CL209" s="649">
        <v>3.6</v>
      </c>
      <c r="CM209" s="649">
        <v>4</v>
      </c>
      <c r="CN209" s="991">
        <v>1200</v>
      </c>
      <c r="CO209" s="649">
        <v>1094.9000000000001</v>
      </c>
      <c r="CP209" s="649">
        <v>718</v>
      </c>
      <c r="CQ209" s="649">
        <v>14.7</v>
      </c>
      <c r="CR209" s="649">
        <v>1.07</v>
      </c>
      <c r="CS209" s="648">
        <v>0</v>
      </c>
      <c r="CT209" s="405">
        <v>16.399000000000001</v>
      </c>
      <c r="CU209" s="405">
        <v>60</v>
      </c>
      <c r="CV209" s="522">
        <v>0</v>
      </c>
      <c r="CW209" s="522">
        <v>0</v>
      </c>
      <c r="CX209" s="522">
        <v>0</v>
      </c>
      <c r="CY209" s="522">
        <v>0</v>
      </c>
      <c r="CZ209" s="689">
        <v>360</v>
      </c>
      <c r="DA209" s="689">
        <v>387</v>
      </c>
      <c r="DB209" s="689">
        <v>253</v>
      </c>
      <c r="DC209" s="643">
        <v>1163.97</v>
      </c>
      <c r="DD209" s="522"/>
      <c r="DE209" s="808"/>
      <c r="DF209" s="522"/>
      <c r="DG209" s="522"/>
      <c r="DH209" s="522"/>
      <c r="DI209" s="522"/>
      <c r="DJ209" s="522"/>
      <c r="DK209" s="522"/>
      <c r="DL209" s="649"/>
      <c r="DM209" s="649"/>
      <c r="DN209" s="649"/>
      <c r="DO209" s="522"/>
      <c r="DP209" s="522"/>
      <c r="DQ209" s="522"/>
      <c r="DR209" s="522"/>
      <c r="DS209" s="522"/>
      <c r="DT209" s="522"/>
      <c r="DU209" s="522"/>
      <c r="DV209" s="522"/>
      <c r="DW209" s="522"/>
      <c r="DX209" s="522"/>
      <c r="DY209" s="522"/>
      <c r="DZ209" s="522"/>
      <c r="EA209" s="522"/>
      <c r="EB209" s="522"/>
      <c r="EC209" s="522"/>
      <c r="ED209" s="522"/>
      <c r="EE209" s="522"/>
      <c r="EF209" s="522"/>
      <c r="EG209" s="645">
        <f t="shared" si="209"/>
        <v>43.315999999999995</v>
      </c>
      <c r="EH209" s="522">
        <v>8</v>
      </c>
      <c r="EI209" s="649">
        <v>3</v>
      </c>
      <c r="EJ209" s="649">
        <v>6</v>
      </c>
      <c r="EK209" s="649">
        <v>11</v>
      </c>
      <c r="EL209" s="522"/>
      <c r="EM209" s="522"/>
      <c r="EN209" s="522"/>
      <c r="EO209" s="522"/>
      <c r="EP209" s="522"/>
      <c r="EQ209" s="522"/>
      <c r="ER209" s="522"/>
      <c r="ES209" s="407"/>
      <c r="ET209" s="407"/>
    </row>
    <row r="210" spans="1:150" s="357" customFormat="1" ht="15">
      <c r="A210" s="675" t="s">
        <v>6</v>
      </c>
      <c r="B210" s="712">
        <v>41836</v>
      </c>
      <c r="C210" s="358">
        <v>0</v>
      </c>
      <c r="D210" s="405">
        <v>0</v>
      </c>
      <c r="E210" s="681">
        <v>0</v>
      </c>
      <c r="F210" s="681">
        <v>63</v>
      </c>
      <c r="G210" s="681">
        <v>0.3</v>
      </c>
      <c r="H210" s="405">
        <v>0.67</v>
      </c>
      <c r="I210" s="405">
        <v>93.1</v>
      </c>
      <c r="J210" s="405">
        <v>0.59</v>
      </c>
      <c r="K210" s="405" t="s">
        <v>744</v>
      </c>
      <c r="L210" s="644">
        <v>0</v>
      </c>
      <c r="M210" s="405">
        <v>17.8</v>
      </c>
      <c r="N210" s="405">
        <v>1.9</v>
      </c>
      <c r="O210" s="405">
        <v>2.2608220709277895</v>
      </c>
      <c r="P210" s="405">
        <v>0</v>
      </c>
      <c r="Q210" s="405">
        <v>0</v>
      </c>
      <c r="R210" s="790">
        <v>1921.7276988110959</v>
      </c>
      <c r="S210" s="405">
        <v>7.97</v>
      </c>
      <c r="T210" s="405">
        <v>0</v>
      </c>
      <c r="U210" s="405">
        <v>0.67</v>
      </c>
      <c r="V210" s="807">
        <v>0</v>
      </c>
      <c r="W210" s="807">
        <v>58.28</v>
      </c>
      <c r="X210" s="647" t="e">
        <v>#VALUE!</v>
      </c>
      <c r="Y210" s="383">
        <v>47.4</v>
      </c>
      <c r="Z210" s="681">
        <v>52.93</v>
      </c>
      <c r="AA210" s="794">
        <v>47.3</v>
      </c>
      <c r="AB210" s="794">
        <v>52.9</v>
      </c>
      <c r="AC210" s="775">
        <f t="shared" ref="AC210" si="222">AA210+AB210</f>
        <v>100.19999999999999</v>
      </c>
      <c r="AD210" s="775">
        <f t="shared" ref="AD210" si="223">AC210*1.547</f>
        <v>155.00939999999997</v>
      </c>
      <c r="AE210" s="775"/>
      <c r="AF210" s="775"/>
      <c r="AG210" s="407">
        <v>1.6</v>
      </c>
      <c r="AH210" s="705"/>
      <c r="AI210" s="705"/>
      <c r="AJ210" s="407"/>
      <c r="AK210" s="407"/>
      <c r="AL210" s="407"/>
      <c r="AM210" s="407"/>
      <c r="AN210" s="407"/>
      <c r="AO210" s="387"/>
      <c r="AP210" s="387"/>
      <c r="AQ210" s="405"/>
      <c r="AR210" s="578">
        <v>0</v>
      </c>
      <c r="AS210" s="405">
        <v>27.5</v>
      </c>
      <c r="AT210" s="578">
        <v>0</v>
      </c>
      <c r="AU210" s="405">
        <v>49</v>
      </c>
      <c r="AV210" s="405">
        <v>1552.4</v>
      </c>
      <c r="AW210" s="405">
        <v>1186.3</v>
      </c>
      <c r="AX210" s="405">
        <v>101.8</v>
      </c>
      <c r="AY210" s="578">
        <v>0</v>
      </c>
      <c r="AZ210" s="578">
        <v>0</v>
      </c>
      <c r="BA210" s="578">
        <v>0</v>
      </c>
      <c r="BB210" s="925">
        <v>1.6</v>
      </c>
      <c r="BC210" s="405">
        <v>1.5</v>
      </c>
      <c r="BD210" s="405">
        <v>3</v>
      </c>
      <c r="BE210" s="578">
        <v>0</v>
      </c>
      <c r="BF210" s="405">
        <v>1.5</v>
      </c>
      <c r="BG210" s="405">
        <v>0</v>
      </c>
      <c r="BH210" s="578">
        <v>0</v>
      </c>
      <c r="BI210" s="405">
        <v>3</v>
      </c>
      <c r="BJ210" s="405">
        <v>44.1</v>
      </c>
      <c r="BK210" s="405">
        <v>5.8</v>
      </c>
      <c r="BL210" s="405">
        <v>5.14</v>
      </c>
      <c r="BM210" s="405">
        <v>0</v>
      </c>
      <c r="BN210" s="405">
        <v>31.6</v>
      </c>
      <c r="BO210" s="405">
        <v>2913.3</v>
      </c>
      <c r="BP210" s="405">
        <v>0</v>
      </c>
      <c r="BQ210" s="649">
        <v>20.14</v>
      </c>
      <c r="BR210" s="649">
        <v>20.010000000000002</v>
      </c>
      <c r="BS210" s="649">
        <v>21.65</v>
      </c>
      <c r="BT210" s="649">
        <v>21.73</v>
      </c>
      <c r="BU210" s="648">
        <v>44.5</v>
      </c>
      <c r="BV210" s="648">
        <v>51.2</v>
      </c>
      <c r="BW210" s="649">
        <v>1588.5</v>
      </c>
      <c r="BX210" s="876"/>
      <c r="BY210" s="649">
        <v>3.28</v>
      </c>
      <c r="BZ210" s="649">
        <v>1.36</v>
      </c>
      <c r="CA210" s="649">
        <v>1.2</v>
      </c>
      <c r="CB210" s="649">
        <v>8.8000000000000007</v>
      </c>
      <c r="CC210" s="649">
        <v>9.1</v>
      </c>
      <c r="CD210" s="649">
        <v>16.899999999999999</v>
      </c>
      <c r="CE210" s="649">
        <v>33.799999999999997</v>
      </c>
      <c r="CF210" s="649">
        <v>19.45</v>
      </c>
      <c r="CG210" s="649">
        <v>6.8</v>
      </c>
      <c r="CH210" s="649">
        <v>12.02</v>
      </c>
      <c r="CI210" s="649">
        <v>16.399999999999999</v>
      </c>
      <c r="CJ210" s="649">
        <v>14.57</v>
      </c>
      <c r="CK210" s="649">
        <v>568.4</v>
      </c>
      <c r="CL210" s="649">
        <v>3.5</v>
      </c>
      <c r="CM210" s="649">
        <v>3.8</v>
      </c>
      <c r="CN210" s="991">
        <v>1200</v>
      </c>
      <c r="CO210" s="649">
        <v>1144</v>
      </c>
      <c r="CP210" s="649">
        <v>741</v>
      </c>
      <c r="CQ210" s="649">
        <v>14.4</v>
      </c>
      <c r="CR210" s="649">
        <v>0.99</v>
      </c>
      <c r="CS210" s="648">
        <v>0</v>
      </c>
      <c r="CT210" s="405">
        <v>15.679</v>
      </c>
      <c r="CU210" s="405">
        <v>60</v>
      </c>
      <c r="CV210" s="522">
        <v>0</v>
      </c>
      <c r="CW210" s="522">
        <v>0</v>
      </c>
      <c r="CX210" s="522">
        <v>0</v>
      </c>
      <c r="CY210" s="522">
        <v>0</v>
      </c>
      <c r="CZ210" s="689">
        <v>360</v>
      </c>
      <c r="DA210" s="689">
        <v>369</v>
      </c>
      <c r="DB210" s="689">
        <v>253</v>
      </c>
      <c r="DC210" s="643">
        <v>1163.81</v>
      </c>
      <c r="DD210" s="522"/>
      <c r="DE210" s="808"/>
      <c r="DF210" s="522"/>
      <c r="DG210" s="522"/>
      <c r="DH210" s="522"/>
      <c r="DI210" s="522"/>
      <c r="DJ210" s="522"/>
      <c r="DK210" s="522"/>
      <c r="DL210" s="649"/>
      <c r="DM210" s="649"/>
      <c r="DN210" s="649"/>
      <c r="DO210" s="522"/>
      <c r="DP210" s="522"/>
      <c r="DQ210" s="522"/>
      <c r="DR210" s="522"/>
      <c r="DS210" s="522"/>
      <c r="DT210" s="522"/>
      <c r="DU210" s="522"/>
      <c r="DV210" s="522"/>
      <c r="DW210" s="522"/>
      <c r="DX210" s="522"/>
      <c r="DY210" s="522"/>
      <c r="DZ210" s="522"/>
      <c r="EA210" s="522"/>
      <c r="EB210" s="522"/>
      <c r="EC210" s="522"/>
      <c r="ED210" s="522"/>
      <c r="EE210" s="522"/>
      <c r="EF210" s="522"/>
      <c r="EG210" s="645">
        <f t="shared" si="209"/>
        <v>43.315999999999995</v>
      </c>
      <c r="EH210" s="522">
        <v>8</v>
      </c>
      <c r="EI210" s="649">
        <v>3</v>
      </c>
      <c r="EJ210" s="649">
        <v>6</v>
      </c>
      <c r="EK210" s="649">
        <v>11</v>
      </c>
      <c r="EL210" s="522"/>
      <c r="EM210" s="522"/>
      <c r="EN210" s="522"/>
      <c r="EO210" s="522"/>
      <c r="EP210" s="522"/>
      <c r="EQ210" s="522"/>
      <c r="ER210" s="522"/>
      <c r="ES210" s="407"/>
      <c r="ET210" s="407"/>
    </row>
    <row r="211" spans="1:150" s="357" customFormat="1" ht="15">
      <c r="A211" s="675" t="s">
        <v>7</v>
      </c>
      <c r="B211" s="712">
        <v>41837</v>
      </c>
      <c r="C211" s="358">
        <v>0</v>
      </c>
      <c r="D211" s="405">
        <v>0</v>
      </c>
      <c r="E211" s="681">
        <v>0</v>
      </c>
      <c r="F211" s="681">
        <v>58</v>
      </c>
      <c r="G211" s="681">
        <v>0.3</v>
      </c>
      <c r="H211" s="405">
        <v>0.73</v>
      </c>
      <c r="I211" s="405">
        <v>92.7</v>
      </c>
      <c r="J211" s="405">
        <v>0.63</v>
      </c>
      <c r="K211" s="405" t="s">
        <v>744</v>
      </c>
      <c r="L211" s="644">
        <v>0</v>
      </c>
      <c r="M211" s="405">
        <v>17.7</v>
      </c>
      <c r="N211" s="405">
        <v>1.91</v>
      </c>
      <c r="O211" s="405">
        <v>2.397329748829772</v>
      </c>
      <c r="P211" s="405">
        <v>0</v>
      </c>
      <c r="Q211" s="405">
        <v>0</v>
      </c>
      <c r="R211" s="790">
        <v>2004.9712549537646</v>
      </c>
      <c r="S211" s="405">
        <v>7.98</v>
      </c>
      <c r="T211" s="405">
        <v>0</v>
      </c>
      <c r="U211" s="405">
        <v>0.66</v>
      </c>
      <c r="V211" s="807">
        <v>0</v>
      </c>
      <c r="W211" s="807">
        <v>59</v>
      </c>
      <c r="X211" s="647" t="e">
        <v>#VALUE!</v>
      </c>
      <c r="Y211" s="383">
        <v>47.3</v>
      </c>
      <c r="Z211" s="681">
        <v>52.9</v>
      </c>
      <c r="AA211" s="794">
        <v>46.7</v>
      </c>
      <c r="AB211" s="794">
        <v>52.26</v>
      </c>
      <c r="AC211" s="775">
        <f t="shared" ref="AC211:AC218" si="224">AA211+AB211</f>
        <v>98.960000000000008</v>
      </c>
      <c r="AD211" s="775">
        <f t="shared" ref="AD211:AD218" si="225">AC211*1.547</f>
        <v>153.09112000000002</v>
      </c>
      <c r="AE211" s="775"/>
      <c r="AF211" s="775"/>
      <c r="AG211" s="407">
        <v>1.6</v>
      </c>
      <c r="AH211" s="705"/>
      <c r="AI211" s="705"/>
      <c r="AJ211" s="407"/>
      <c r="AK211" s="407"/>
      <c r="AL211" s="407"/>
      <c r="AM211" s="407"/>
      <c r="AN211" s="407"/>
      <c r="AO211" s="387"/>
      <c r="AP211" s="387"/>
      <c r="AQ211" s="405"/>
      <c r="AR211" s="578">
        <v>0</v>
      </c>
      <c r="AS211" s="405">
        <v>24</v>
      </c>
      <c r="AT211" s="578">
        <v>0</v>
      </c>
      <c r="AU211" s="405">
        <v>49</v>
      </c>
      <c r="AV211" s="405">
        <v>1322.3</v>
      </c>
      <c r="AW211" s="405">
        <v>958</v>
      </c>
      <c r="AX211" s="405">
        <v>71.3</v>
      </c>
      <c r="AY211" s="578">
        <v>0</v>
      </c>
      <c r="AZ211" s="578">
        <v>0</v>
      </c>
      <c r="BA211" s="578">
        <v>0</v>
      </c>
      <c r="BB211" s="925">
        <v>1.6</v>
      </c>
      <c r="BC211" s="405">
        <v>1.5</v>
      </c>
      <c r="BD211" s="405">
        <v>3</v>
      </c>
      <c r="BE211" s="578">
        <v>0</v>
      </c>
      <c r="BF211" s="405">
        <v>1.5</v>
      </c>
      <c r="BG211" s="405">
        <v>0</v>
      </c>
      <c r="BH211" s="578">
        <v>0</v>
      </c>
      <c r="BI211" s="405">
        <v>3</v>
      </c>
      <c r="BJ211" s="405">
        <v>44.2</v>
      </c>
      <c r="BK211" s="405">
        <v>5.59</v>
      </c>
      <c r="BL211" s="405">
        <v>5.41</v>
      </c>
      <c r="BM211" s="405">
        <v>0</v>
      </c>
      <c r="BN211" s="405">
        <v>31.66</v>
      </c>
      <c r="BO211" s="405">
        <v>3160</v>
      </c>
      <c r="BP211" s="405">
        <v>0</v>
      </c>
      <c r="BQ211" s="649">
        <v>21.9</v>
      </c>
      <c r="BR211" s="649">
        <v>21.79</v>
      </c>
      <c r="BS211" s="649">
        <v>21.95</v>
      </c>
      <c r="BT211" s="649">
        <v>22.02</v>
      </c>
      <c r="BU211" s="648">
        <v>45.1</v>
      </c>
      <c r="BV211" s="648">
        <v>45.4</v>
      </c>
      <c r="BW211" s="649">
        <v>1687.7</v>
      </c>
      <c r="BX211" s="876"/>
      <c r="BY211" s="649">
        <v>0.77</v>
      </c>
      <c r="BZ211" s="649">
        <v>1.34</v>
      </c>
      <c r="CA211" s="649">
        <v>1.2</v>
      </c>
      <c r="CB211" s="649">
        <v>8.9</v>
      </c>
      <c r="CC211" s="649">
        <v>9</v>
      </c>
      <c r="CD211" s="649">
        <v>15.7</v>
      </c>
      <c r="CE211" s="649">
        <v>34.1</v>
      </c>
      <c r="CF211" s="649">
        <v>21.2</v>
      </c>
      <c r="CG211" s="649">
        <v>8.6999999999999993</v>
      </c>
      <c r="CH211" s="649">
        <v>14.2</v>
      </c>
      <c r="CI211" s="649">
        <v>18.5</v>
      </c>
      <c r="CJ211" s="649">
        <v>13.68</v>
      </c>
      <c r="CK211" s="649">
        <v>542.5</v>
      </c>
      <c r="CL211" s="649">
        <v>22</v>
      </c>
      <c r="CM211" s="649">
        <v>3.6</v>
      </c>
      <c r="CN211" s="991">
        <v>1200</v>
      </c>
      <c r="CO211" s="649">
        <v>1114.5999999999999</v>
      </c>
      <c r="CP211" s="649">
        <v>708.3</v>
      </c>
      <c r="CQ211" s="649">
        <v>14.4</v>
      </c>
      <c r="CR211" s="649">
        <v>1.1000000000000001</v>
      </c>
      <c r="CS211" s="648">
        <v>0</v>
      </c>
      <c r="CT211" s="405">
        <v>15.722</v>
      </c>
      <c r="CU211" s="405">
        <v>60</v>
      </c>
      <c r="CV211" s="522">
        <v>0</v>
      </c>
      <c r="CW211" s="522">
        <v>0</v>
      </c>
      <c r="CX211" s="522">
        <v>0</v>
      </c>
      <c r="CY211" s="522">
        <v>0</v>
      </c>
      <c r="CZ211" s="689">
        <v>336</v>
      </c>
      <c r="DA211" s="689">
        <v>360</v>
      </c>
      <c r="DB211" s="689">
        <v>229</v>
      </c>
      <c r="DC211" s="643">
        <v>1163.6500000000001</v>
      </c>
      <c r="DD211" s="522"/>
      <c r="DE211" s="522"/>
      <c r="DF211" s="522"/>
      <c r="DG211" s="522"/>
      <c r="DH211" s="522"/>
      <c r="DI211" s="522"/>
      <c r="DJ211" s="522"/>
      <c r="DK211" s="522"/>
      <c r="DL211" s="649"/>
      <c r="DM211" s="649"/>
      <c r="DN211" s="649"/>
      <c r="DO211" s="522"/>
      <c r="DP211" s="522"/>
      <c r="DQ211" s="522"/>
      <c r="DR211" s="522"/>
      <c r="DS211" s="522"/>
      <c r="DT211" s="522"/>
      <c r="DU211" s="522"/>
      <c r="DV211" s="522"/>
      <c r="DW211" s="522"/>
      <c r="DX211" s="522"/>
      <c r="DY211" s="522"/>
      <c r="DZ211" s="522"/>
      <c r="EA211" s="522"/>
      <c r="EB211" s="522"/>
      <c r="EC211" s="522"/>
      <c r="ED211" s="522"/>
      <c r="EE211" s="522"/>
      <c r="EF211" s="522"/>
      <c r="EG211" s="645">
        <f t="shared" si="209"/>
        <v>43.315999999999995</v>
      </c>
      <c r="EH211" s="522">
        <v>8</v>
      </c>
      <c r="EI211" s="649">
        <v>3</v>
      </c>
      <c r="EJ211" s="649">
        <v>6</v>
      </c>
      <c r="EK211" s="649">
        <v>11</v>
      </c>
      <c r="EL211" s="522"/>
      <c r="EM211" s="522"/>
      <c r="EN211" s="522"/>
      <c r="EO211" s="522"/>
      <c r="EP211" s="522"/>
      <c r="EQ211" s="522"/>
      <c r="ER211" s="522"/>
      <c r="ES211" s="407"/>
      <c r="ET211" s="407"/>
    </row>
    <row r="212" spans="1:150" s="357" customFormat="1" ht="15">
      <c r="A212" s="675" t="s">
        <v>8</v>
      </c>
      <c r="B212" s="712">
        <v>41838</v>
      </c>
      <c r="C212" s="358">
        <v>0</v>
      </c>
      <c r="D212" s="405">
        <v>0</v>
      </c>
      <c r="E212" s="681">
        <v>0</v>
      </c>
      <c r="F212" s="681">
        <v>62</v>
      </c>
      <c r="G212" s="681">
        <v>0.3</v>
      </c>
      <c r="H212" s="405">
        <v>0.82</v>
      </c>
      <c r="I212" s="405">
        <v>92.93</v>
      </c>
      <c r="J212" s="405">
        <v>4.0999999999999996</v>
      </c>
      <c r="K212" s="405">
        <v>1.02</v>
      </c>
      <c r="L212" s="644">
        <v>0.33000000000174623</v>
      </c>
      <c r="M212" s="405">
        <v>17.600000000000001</v>
      </c>
      <c r="N212" s="405">
        <v>1.9</v>
      </c>
      <c r="O212" s="405">
        <v>2.3303769230376474</v>
      </c>
      <c r="P212" s="405">
        <v>1.78</v>
      </c>
      <c r="Q212" s="992">
        <v>-6283.5022100750957</v>
      </c>
      <c r="R212" s="1106">
        <v>-1879595.4466367236</v>
      </c>
      <c r="S212" s="405">
        <v>7.99</v>
      </c>
      <c r="T212" s="405">
        <v>7.93</v>
      </c>
      <c r="U212" s="405">
        <v>0.49</v>
      </c>
      <c r="V212" s="807">
        <v>0.34</v>
      </c>
      <c r="W212" s="807">
        <v>59</v>
      </c>
      <c r="X212" s="647">
        <v>58.460000000000008</v>
      </c>
      <c r="Y212" s="383">
        <v>46.7</v>
      </c>
      <c r="Z212" s="681">
        <v>52.26</v>
      </c>
      <c r="AA212" s="794">
        <v>47.68</v>
      </c>
      <c r="AB212" s="794">
        <v>48.5</v>
      </c>
      <c r="AC212" s="775">
        <f t="shared" si="224"/>
        <v>96.18</v>
      </c>
      <c r="AD212" s="775">
        <f t="shared" si="225"/>
        <v>148.79046</v>
      </c>
      <c r="AE212" s="775"/>
      <c r="AF212" s="775"/>
      <c r="AG212" s="407">
        <v>1.6</v>
      </c>
      <c r="AH212" s="705"/>
      <c r="AI212" s="705"/>
      <c r="AJ212" s="407"/>
      <c r="AK212" s="407"/>
      <c r="AL212" s="407"/>
      <c r="AM212" s="407"/>
      <c r="AN212" s="407"/>
      <c r="AO212" s="387"/>
      <c r="AP212" s="387"/>
      <c r="AQ212" s="405"/>
      <c r="AR212" s="578">
        <v>0</v>
      </c>
      <c r="AS212" s="405">
        <v>22.3</v>
      </c>
      <c r="AT212" s="578">
        <v>0</v>
      </c>
      <c r="AU212" s="405">
        <v>49</v>
      </c>
      <c r="AV212" s="405">
        <v>1069.2</v>
      </c>
      <c r="AW212" s="405">
        <v>1091.3</v>
      </c>
      <c r="AX212" s="405">
        <v>73.599999999999994</v>
      </c>
      <c r="AY212" s="578">
        <v>0</v>
      </c>
      <c r="AZ212" s="578">
        <v>0</v>
      </c>
      <c r="BA212" s="578">
        <v>0</v>
      </c>
      <c r="BB212" s="925">
        <v>1.6</v>
      </c>
      <c r="BC212" s="405">
        <v>1.53</v>
      </c>
      <c r="BD212" s="405">
        <v>2.98</v>
      </c>
      <c r="BE212" s="578">
        <v>0</v>
      </c>
      <c r="BF212" s="405">
        <v>1.5</v>
      </c>
      <c r="BG212" s="405">
        <v>0</v>
      </c>
      <c r="BH212" s="578">
        <v>0</v>
      </c>
      <c r="BI212" s="405">
        <v>3</v>
      </c>
      <c r="BJ212" s="405">
        <v>39.700000000000003</v>
      </c>
      <c r="BK212" s="405">
        <v>4.93</v>
      </c>
      <c r="BL212" s="405">
        <v>6.11</v>
      </c>
      <c r="BM212" s="405">
        <v>0</v>
      </c>
      <c r="BN212" s="405">
        <v>27.3</v>
      </c>
      <c r="BO212" s="405">
        <v>2548</v>
      </c>
      <c r="BP212" s="405">
        <v>0</v>
      </c>
      <c r="BQ212" s="649">
        <v>22.51</v>
      </c>
      <c r="BR212" s="649">
        <v>22.36</v>
      </c>
      <c r="BS212" s="649">
        <v>22.12</v>
      </c>
      <c r="BT212" s="649">
        <v>22.18</v>
      </c>
      <c r="BU212" s="648">
        <v>45.4</v>
      </c>
      <c r="BV212" s="648">
        <v>49</v>
      </c>
      <c r="BW212" s="649">
        <v>1467.2</v>
      </c>
      <c r="BX212" s="876"/>
      <c r="BY212" s="649">
        <v>2.5499999999999998</v>
      </c>
      <c r="BZ212" s="649">
        <v>1.46</v>
      </c>
      <c r="CA212" s="649">
        <v>1.2</v>
      </c>
      <c r="CB212" s="649">
        <v>8.8000000000000007</v>
      </c>
      <c r="CC212" s="649">
        <v>8.3000000000000007</v>
      </c>
      <c r="CD212" s="649">
        <v>15.5</v>
      </c>
      <c r="CE212" s="649">
        <v>34.299999999999997</v>
      </c>
      <c r="CF212" s="649">
        <v>19.2</v>
      </c>
      <c r="CG212" s="649">
        <v>7.3</v>
      </c>
      <c r="CH212" s="649">
        <v>12.6</v>
      </c>
      <c r="CI212" s="649">
        <v>16.850000000000001</v>
      </c>
      <c r="CJ212" s="649">
        <v>13.87</v>
      </c>
      <c r="CK212" s="649">
        <v>582.6</v>
      </c>
      <c r="CL212" s="649">
        <v>2.9</v>
      </c>
      <c r="CM212" s="649">
        <v>4</v>
      </c>
      <c r="CN212" s="991">
        <v>1200</v>
      </c>
      <c r="CO212" s="649">
        <v>1060.3</v>
      </c>
      <c r="CP212" s="649">
        <v>709.7</v>
      </c>
      <c r="CQ212" s="649">
        <v>14.8</v>
      </c>
      <c r="CR212" s="649">
        <v>1.1299999999999999</v>
      </c>
      <c r="CS212" s="648">
        <v>0</v>
      </c>
      <c r="CT212" s="405">
        <v>16.234999999999999</v>
      </c>
      <c r="CU212" s="405">
        <v>60</v>
      </c>
      <c r="CV212" s="522">
        <v>0</v>
      </c>
      <c r="CW212" s="522">
        <v>0</v>
      </c>
      <c r="CX212" s="522">
        <v>0</v>
      </c>
      <c r="CY212" s="522">
        <v>0</v>
      </c>
      <c r="CZ212" s="1104">
        <v>336</v>
      </c>
      <c r="DA212" s="1104">
        <v>346</v>
      </c>
      <c r="DB212" s="1104">
        <v>241</v>
      </c>
      <c r="DC212" s="968">
        <v>1163.5</v>
      </c>
      <c r="DD212" s="522"/>
      <c r="DE212" s="522"/>
      <c r="DF212" s="522"/>
      <c r="DG212" s="522"/>
      <c r="DH212" s="522"/>
      <c r="DI212" s="522"/>
      <c r="DJ212" s="522"/>
      <c r="DK212" s="522"/>
      <c r="DL212" s="649"/>
      <c r="DM212" s="649"/>
      <c r="DN212" s="649"/>
      <c r="DO212" s="522"/>
      <c r="DP212" s="522"/>
      <c r="DQ212" s="522"/>
      <c r="DR212" s="522"/>
      <c r="DS212" s="522"/>
      <c r="DT212" s="522"/>
      <c r="DU212" s="522"/>
      <c r="DV212" s="522"/>
      <c r="DW212" s="522"/>
      <c r="DX212" s="522"/>
      <c r="DY212" s="522"/>
      <c r="DZ212" s="522"/>
      <c r="EA212" s="522"/>
      <c r="EB212" s="522"/>
      <c r="EC212" s="522"/>
      <c r="ED212" s="522"/>
      <c r="EE212" s="522"/>
      <c r="EF212" s="522"/>
      <c r="EG212" s="645">
        <f t="shared" si="209"/>
        <v>37.128</v>
      </c>
      <c r="EH212" s="522">
        <v>4</v>
      </c>
      <c r="EI212" s="649">
        <v>3</v>
      </c>
      <c r="EJ212" s="649">
        <v>6</v>
      </c>
      <c r="EK212" s="649">
        <v>11</v>
      </c>
      <c r="EL212" s="522"/>
      <c r="EM212" s="522"/>
      <c r="EN212" s="522"/>
      <c r="EO212" s="522"/>
      <c r="EP212" s="522"/>
      <c r="EQ212" s="522"/>
      <c r="ER212" s="522"/>
      <c r="ES212" s="407"/>
      <c r="ET212" s="407"/>
    </row>
    <row r="213" spans="1:150" s="357" customFormat="1" ht="15">
      <c r="A213" s="675" t="s">
        <v>9</v>
      </c>
      <c r="B213" s="712">
        <v>41839</v>
      </c>
      <c r="C213" s="358">
        <v>0</v>
      </c>
      <c r="D213" s="405">
        <v>0.05</v>
      </c>
      <c r="E213" s="681">
        <v>0</v>
      </c>
      <c r="F213" s="681">
        <v>62</v>
      </c>
      <c r="G213" s="681">
        <v>0.3</v>
      </c>
      <c r="H213" s="405">
        <v>0.75</v>
      </c>
      <c r="I213" s="405">
        <v>92.15</v>
      </c>
      <c r="J213" s="405" t="s">
        <v>744</v>
      </c>
      <c r="K213" s="405">
        <v>0.67</v>
      </c>
      <c r="L213" s="644">
        <v>0</v>
      </c>
      <c r="M213" s="405">
        <v>17.8</v>
      </c>
      <c r="N213" s="405" t="s">
        <v>744</v>
      </c>
      <c r="O213" s="405">
        <v>0</v>
      </c>
      <c r="P213" s="405">
        <v>1.81</v>
      </c>
      <c r="Q213" s="405">
        <v>8.0184340098479883</v>
      </c>
      <c r="R213" s="790">
        <v>6179.1335429326282</v>
      </c>
      <c r="S213" s="405" t="s">
        <v>744</v>
      </c>
      <c r="T213" s="405">
        <v>8.0399999999999991</v>
      </c>
      <c r="U213" s="405" t="s">
        <v>744</v>
      </c>
      <c r="V213" s="807">
        <v>0.7</v>
      </c>
      <c r="W213" s="807" t="e">
        <v>#VALUE!</v>
      </c>
      <c r="X213" s="647">
        <v>55.58</v>
      </c>
      <c r="Y213" s="383">
        <v>47.68</v>
      </c>
      <c r="Z213" s="681">
        <v>48.5</v>
      </c>
      <c r="AA213" s="794">
        <v>47.82</v>
      </c>
      <c r="AB213" s="794">
        <v>44.9</v>
      </c>
      <c r="AC213" s="775">
        <f t="shared" si="224"/>
        <v>92.72</v>
      </c>
      <c r="AD213" s="775">
        <f t="shared" si="225"/>
        <v>143.43783999999999</v>
      </c>
      <c r="AE213" s="775"/>
      <c r="AF213" s="775"/>
      <c r="AG213" s="407">
        <v>1.6</v>
      </c>
      <c r="AH213" s="705"/>
      <c r="AI213" s="705"/>
      <c r="AJ213" s="407"/>
      <c r="AK213" s="407"/>
      <c r="AL213" s="407"/>
      <c r="AM213" s="407"/>
      <c r="AN213" s="407"/>
      <c r="AO213" s="387"/>
      <c r="AP213" s="387"/>
      <c r="AQ213" s="405"/>
      <c r="AR213" s="578">
        <v>0</v>
      </c>
      <c r="AS213" s="405">
        <v>14.1</v>
      </c>
      <c r="AT213" s="578">
        <v>0</v>
      </c>
      <c r="AU213" s="405">
        <v>48.9</v>
      </c>
      <c r="AV213" s="405">
        <v>1063.5999999999999</v>
      </c>
      <c r="AW213" s="405">
        <v>765.1</v>
      </c>
      <c r="AX213" s="405">
        <v>49.4</v>
      </c>
      <c r="AY213" s="578">
        <v>0</v>
      </c>
      <c r="AZ213" s="578">
        <v>0</v>
      </c>
      <c r="BA213" s="578">
        <v>0</v>
      </c>
      <c r="BB213" s="925">
        <v>1.6</v>
      </c>
      <c r="BC213" s="405">
        <v>1.5</v>
      </c>
      <c r="BD213" s="405">
        <v>2.34</v>
      </c>
      <c r="BE213" s="578">
        <v>0</v>
      </c>
      <c r="BF213" s="405">
        <v>1.5</v>
      </c>
      <c r="BG213" s="405">
        <v>0</v>
      </c>
      <c r="BH213" s="578">
        <v>0</v>
      </c>
      <c r="BI213" s="405">
        <v>3</v>
      </c>
      <c r="BJ213" s="405">
        <v>37</v>
      </c>
      <c r="BK213" s="405">
        <v>5.04</v>
      </c>
      <c r="BL213" s="405">
        <v>6.03</v>
      </c>
      <c r="BM213" s="405">
        <v>0</v>
      </c>
      <c r="BN213" s="405">
        <v>24.5</v>
      </c>
      <c r="BO213" s="405">
        <v>2892.1</v>
      </c>
      <c r="BP213" s="405">
        <v>0</v>
      </c>
      <c r="BQ213" s="649">
        <v>23.24</v>
      </c>
      <c r="BR213" s="649">
        <v>23.1</v>
      </c>
      <c r="BS213" s="649">
        <v>22.19</v>
      </c>
      <c r="BT213" s="649">
        <v>22.25</v>
      </c>
      <c r="BU213" s="648">
        <v>45.5</v>
      </c>
      <c r="BV213" s="648">
        <v>48.7</v>
      </c>
      <c r="BW213" s="649">
        <v>1375.7</v>
      </c>
      <c r="BX213" s="876"/>
      <c r="BY213" s="649">
        <v>0.83</v>
      </c>
      <c r="BZ213" s="649">
        <v>1.8</v>
      </c>
      <c r="CA213" s="649">
        <v>1.3</v>
      </c>
      <c r="CB213" s="649">
        <v>8.6999999999999993</v>
      </c>
      <c r="CC213" s="649">
        <v>8</v>
      </c>
      <c r="CD213" s="649">
        <v>15.3</v>
      </c>
      <c r="CE213" s="649">
        <v>34.4</v>
      </c>
      <c r="CF213" s="649">
        <v>21.7</v>
      </c>
      <c r="CG213" s="649">
        <v>8.9</v>
      </c>
      <c r="CH213" s="649">
        <v>14.5</v>
      </c>
      <c r="CI213" s="649">
        <v>18.8</v>
      </c>
      <c r="CJ213" s="649">
        <v>13.38</v>
      </c>
      <c r="CK213" s="649">
        <v>558.4</v>
      </c>
      <c r="CL213" s="649">
        <v>2.4</v>
      </c>
      <c r="CM213" s="649">
        <v>3.2</v>
      </c>
      <c r="CN213" s="991">
        <v>1200</v>
      </c>
      <c r="CO213" s="649">
        <v>900.6</v>
      </c>
      <c r="CP213" s="649">
        <v>666.4</v>
      </c>
      <c r="CQ213" s="649">
        <v>14.6</v>
      </c>
      <c r="CR213" s="649">
        <v>1.08</v>
      </c>
      <c r="CS213" s="648">
        <v>0</v>
      </c>
      <c r="CT213" s="405">
        <v>16.228000000000002</v>
      </c>
      <c r="CU213" s="405">
        <v>60</v>
      </c>
      <c r="CV213" s="522">
        <v>0</v>
      </c>
      <c r="CW213" s="522">
        <v>0</v>
      </c>
      <c r="CX213" s="522">
        <v>0</v>
      </c>
      <c r="CY213" s="522">
        <v>0</v>
      </c>
      <c r="CZ213" s="1104">
        <v>357</v>
      </c>
      <c r="DA213" s="1104">
        <v>355</v>
      </c>
      <c r="DB213" s="1104">
        <v>236</v>
      </c>
      <c r="DC213" s="968">
        <v>1163.4000000000001</v>
      </c>
      <c r="DD213" s="522"/>
      <c r="DE213" s="522"/>
      <c r="DF213" s="522"/>
      <c r="DG213" s="522"/>
      <c r="DH213" s="522"/>
      <c r="DI213" s="522"/>
      <c r="DJ213" s="522"/>
      <c r="DK213" s="522"/>
      <c r="DL213" s="649"/>
      <c r="DM213" s="649"/>
      <c r="DN213" s="649"/>
      <c r="DO213" s="522"/>
      <c r="DP213" s="522"/>
      <c r="DQ213" s="522"/>
      <c r="DR213" s="522"/>
      <c r="DS213" s="522"/>
      <c r="DT213" s="522"/>
      <c r="DU213" s="522"/>
      <c r="DV213" s="522"/>
      <c r="DW213" s="522"/>
      <c r="DX213" s="522"/>
      <c r="DY213" s="522"/>
      <c r="DZ213" s="522"/>
      <c r="EA213" s="522"/>
      <c r="EB213" s="522"/>
      <c r="EC213" s="522"/>
      <c r="ED213" s="522"/>
      <c r="EE213" s="522"/>
      <c r="EF213" s="522"/>
      <c r="EG213" s="645">
        <f t="shared" si="209"/>
        <v>30.939999999999998</v>
      </c>
      <c r="EH213" s="522">
        <v>0</v>
      </c>
      <c r="EI213" s="649">
        <v>3</v>
      </c>
      <c r="EJ213" s="649">
        <v>6</v>
      </c>
      <c r="EK213" s="649">
        <v>11</v>
      </c>
      <c r="EL213" s="522"/>
      <c r="EM213" s="522"/>
      <c r="EN213" s="522"/>
      <c r="EO213" s="522"/>
      <c r="EP213" s="522"/>
      <c r="EQ213" s="522"/>
      <c r="ER213" s="522"/>
      <c r="ES213" s="407"/>
      <c r="ET213" s="407"/>
    </row>
    <row r="214" spans="1:150" s="357" customFormat="1" ht="15">
      <c r="A214" s="675" t="s">
        <v>3</v>
      </c>
      <c r="B214" s="712">
        <v>41840</v>
      </c>
      <c r="C214" s="358">
        <v>0</v>
      </c>
      <c r="D214" s="405">
        <v>0.05</v>
      </c>
      <c r="E214" s="681">
        <v>0</v>
      </c>
      <c r="F214" s="681">
        <v>56</v>
      </c>
      <c r="G214" s="681">
        <v>0.3</v>
      </c>
      <c r="H214" s="405">
        <v>0.7</v>
      </c>
      <c r="I214" s="405">
        <v>92.72</v>
      </c>
      <c r="J214" s="405" t="s">
        <v>744</v>
      </c>
      <c r="K214" s="405">
        <v>0.76</v>
      </c>
      <c r="L214" s="644">
        <v>0</v>
      </c>
      <c r="M214" s="405">
        <v>18</v>
      </c>
      <c r="N214" s="405" t="s">
        <v>744</v>
      </c>
      <c r="O214" s="405">
        <v>0</v>
      </c>
      <c r="P214" s="405">
        <v>1.87</v>
      </c>
      <c r="Q214" s="405">
        <v>2.4944593303033842</v>
      </c>
      <c r="R214" s="790">
        <v>1908.1236935270801</v>
      </c>
      <c r="S214" s="405" t="s">
        <v>744</v>
      </c>
      <c r="T214" s="405">
        <v>8.14</v>
      </c>
      <c r="U214" s="405" t="s">
        <v>744</v>
      </c>
      <c r="V214" s="807">
        <v>0.63</v>
      </c>
      <c r="W214" s="807" t="e">
        <v>#VALUE!</v>
      </c>
      <c r="X214" s="647">
        <v>56.120000000000005</v>
      </c>
      <c r="Y214" s="383">
        <v>47.82</v>
      </c>
      <c r="Z214" s="681">
        <v>44.9</v>
      </c>
      <c r="AA214" s="794">
        <v>47.9</v>
      </c>
      <c r="AB214" s="794">
        <v>44.95</v>
      </c>
      <c r="AC214" s="775">
        <f t="shared" si="224"/>
        <v>92.85</v>
      </c>
      <c r="AD214" s="775">
        <f t="shared" si="225"/>
        <v>143.63894999999999</v>
      </c>
      <c r="AE214" s="775"/>
      <c r="AF214" s="775"/>
      <c r="AG214" s="407">
        <v>1.6</v>
      </c>
      <c r="AH214" s="705"/>
      <c r="AI214" s="705"/>
      <c r="AJ214" s="407"/>
      <c r="AK214" s="407"/>
      <c r="AL214" s="407"/>
      <c r="AM214" s="407"/>
      <c r="AN214" s="407"/>
      <c r="AO214" s="387"/>
      <c r="AP214" s="387"/>
      <c r="AQ214" s="405"/>
      <c r="AR214" s="578">
        <v>0</v>
      </c>
      <c r="AS214" s="405">
        <v>25.9</v>
      </c>
      <c r="AT214" s="578">
        <v>0</v>
      </c>
      <c r="AU214" s="405">
        <v>49</v>
      </c>
      <c r="AV214" s="405">
        <v>985.9</v>
      </c>
      <c r="AW214" s="405">
        <v>674.3</v>
      </c>
      <c r="AX214" s="405">
        <v>59.3</v>
      </c>
      <c r="AY214" s="578">
        <v>0</v>
      </c>
      <c r="AZ214" s="578">
        <v>0</v>
      </c>
      <c r="BA214" s="578">
        <v>0</v>
      </c>
      <c r="BB214" s="925">
        <v>1.6</v>
      </c>
      <c r="BC214" s="405">
        <v>1.5</v>
      </c>
      <c r="BD214" s="405">
        <v>2</v>
      </c>
      <c r="BE214" s="578">
        <v>0</v>
      </c>
      <c r="BF214" s="405">
        <v>1.5</v>
      </c>
      <c r="BG214" s="405">
        <v>0</v>
      </c>
      <c r="BH214" s="578">
        <v>0</v>
      </c>
      <c r="BI214" s="405">
        <v>3</v>
      </c>
      <c r="BJ214" s="405">
        <v>37.299999999999997</v>
      </c>
      <c r="BK214" s="405">
        <v>4.9800000000000004</v>
      </c>
      <c r="BL214" s="405">
        <v>6.03</v>
      </c>
      <c r="BM214" s="405">
        <v>0</v>
      </c>
      <c r="BN214" s="405">
        <v>24.88</v>
      </c>
      <c r="BO214" s="405">
        <v>2418.9</v>
      </c>
      <c r="BP214" s="405">
        <v>0</v>
      </c>
      <c r="BQ214" s="649">
        <v>24.25</v>
      </c>
      <c r="BR214" s="649">
        <v>24.13</v>
      </c>
      <c r="BS214" s="649">
        <v>22.24</v>
      </c>
      <c r="BT214" s="649">
        <v>22.31</v>
      </c>
      <c r="BU214" s="648">
        <v>45.7</v>
      </c>
      <c r="BV214" s="648">
        <v>48</v>
      </c>
      <c r="BW214" s="649">
        <v>1322</v>
      </c>
      <c r="BX214" s="876"/>
      <c r="BY214" s="649">
        <v>0.88</v>
      </c>
      <c r="BZ214" s="649">
        <v>1.6</v>
      </c>
      <c r="CA214" s="649">
        <v>1.3</v>
      </c>
      <c r="CB214" s="649">
        <v>8.6999999999999993</v>
      </c>
      <c r="CC214" s="649">
        <v>7.8</v>
      </c>
      <c r="CD214" s="649">
        <v>15.5</v>
      </c>
      <c r="CE214" s="649">
        <v>34.4</v>
      </c>
      <c r="CF214" s="649">
        <v>20.3</v>
      </c>
      <c r="CG214" s="649">
        <v>7.6</v>
      </c>
      <c r="CH214" s="649">
        <v>12.9</v>
      </c>
      <c r="CI214" s="649">
        <v>17.2</v>
      </c>
      <c r="CJ214" s="649">
        <v>13.6</v>
      </c>
      <c r="CK214" s="649">
        <v>578.5</v>
      </c>
      <c r="CL214" s="649">
        <v>2.8</v>
      </c>
      <c r="CM214" s="649">
        <v>3.5</v>
      </c>
      <c r="CN214" s="991">
        <v>1200</v>
      </c>
      <c r="CO214" s="649">
        <v>980.5</v>
      </c>
      <c r="CP214" s="649">
        <v>672.1</v>
      </c>
      <c r="CQ214" s="649">
        <v>14.6</v>
      </c>
      <c r="CR214" s="649">
        <v>1.07</v>
      </c>
      <c r="CS214" s="648">
        <v>0</v>
      </c>
      <c r="CT214" s="405">
        <v>16.859000000000002</v>
      </c>
      <c r="CU214" s="405">
        <v>60</v>
      </c>
      <c r="CV214" s="522">
        <v>0</v>
      </c>
      <c r="CW214" s="522">
        <v>0</v>
      </c>
      <c r="CX214" s="522">
        <v>0</v>
      </c>
      <c r="CY214" s="522">
        <v>0</v>
      </c>
      <c r="CZ214" s="1104">
        <v>357</v>
      </c>
      <c r="DA214" s="1104">
        <v>357</v>
      </c>
      <c r="DB214" s="1104">
        <v>231</v>
      </c>
      <c r="DC214" s="968">
        <v>1163.26</v>
      </c>
      <c r="DD214" s="522"/>
      <c r="DE214" s="522"/>
      <c r="DF214" s="522"/>
      <c r="DG214" s="522"/>
      <c r="DH214" s="522"/>
      <c r="DI214" s="522"/>
      <c r="DJ214" s="522"/>
      <c r="DK214" s="522"/>
      <c r="DL214" s="649"/>
      <c r="DM214" s="649"/>
      <c r="DN214" s="649"/>
      <c r="DO214" s="522"/>
      <c r="DP214" s="522"/>
      <c r="DQ214" s="522"/>
      <c r="DR214" s="522"/>
      <c r="DS214" s="522"/>
      <c r="DT214" s="522"/>
      <c r="DU214" s="522"/>
      <c r="DV214" s="522"/>
      <c r="DW214" s="522"/>
      <c r="DX214" s="522"/>
      <c r="DY214" s="522"/>
      <c r="DZ214" s="522"/>
      <c r="EA214" s="522"/>
      <c r="EB214" s="522"/>
      <c r="EC214" s="522"/>
      <c r="ED214" s="522"/>
      <c r="EE214" s="522"/>
      <c r="EF214" s="522"/>
      <c r="EG214" s="645">
        <f t="shared" si="209"/>
        <v>30.939999999999998</v>
      </c>
      <c r="EH214" s="522">
        <v>0</v>
      </c>
      <c r="EI214" s="649">
        <v>3</v>
      </c>
      <c r="EJ214" s="649">
        <v>6</v>
      </c>
      <c r="EK214" s="649">
        <v>11</v>
      </c>
      <c r="EL214" s="522"/>
      <c r="EM214" s="522"/>
      <c r="EN214" s="522"/>
      <c r="EO214" s="522"/>
      <c r="EP214" s="522"/>
      <c r="EQ214" s="522"/>
      <c r="ER214" s="522"/>
      <c r="ES214" s="407"/>
      <c r="ET214" s="407"/>
    </row>
    <row r="215" spans="1:150" s="357" customFormat="1" ht="15">
      <c r="A215" s="675" t="s">
        <v>4</v>
      </c>
      <c r="B215" s="712">
        <v>41841</v>
      </c>
      <c r="C215" s="358">
        <v>0</v>
      </c>
      <c r="D215" s="405">
        <v>0.16</v>
      </c>
      <c r="E215" s="681">
        <v>0</v>
      </c>
      <c r="F215" s="681">
        <v>56</v>
      </c>
      <c r="G215" s="681">
        <v>0.3</v>
      </c>
      <c r="H215" s="405">
        <v>0.8</v>
      </c>
      <c r="I215" s="405">
        <v>93.04</v>
      </c>
      <c r="J215" s="405" t="s">
        <v>744</v>
      </c>
      <c r="K215" s="405">
        <v>0.83</v>
      </c>
      <c r="L215" s="644">
        <v>0</v>
      </c>
      <c r="M215" s="405">
        <v>17.600000000000001</v>
      </c>
      <c r="N215" s="405" t="s">
        <v>744</v>
      </c>
      <c r="O215" s="405">
        <v>0</v>
      </c>
      <c r="P215" s="405">
        <v>1.8</v>
      </c>
      <c r="Q215" s="405">
        <v>2.3603673201974975</v>
      </c>
      <c r="R215" s="790">
        <v>1827.7952813738439</v>
      </c>
      <c r="S215" s="405" t="s">
        <v>744</v>
      </c>
      <c r="T215" s="405">
        <v>8.18</v>
      </c>
      <c r="U215" s="405" t="s">
        <v>744</v>
      </c>
      <c r="V215" s="807">
        <v>0.63</v>
      </c>
      <c r="W215" s="807" t="e">
        <v>#VALUE!</v>
      </c>
      <c r="X215" s="647">
        <v>56.480000000000004</v>
      </c>
      <c r="Y215" s="383">
        <v>47.9</v>
      </c>
      <c r="Z215" s="681">
        <v>44.95</v>
      </c>
      <c r="AA215" s="794">
        <v>47.88</v>
      </c>
      <c r="AB215" s="794">
        <v>44.95</v>
      </c>
      <c r="AC215" s="775">
        <f t="shared" si="224"/>
        <v>92.830000000000013</v>
      </c>
      <c r="AD215" s="775">
        <f t="shared" si="225"/>
        <v>143.60801000000001</v>
      </c>
      <c r="AE215" s="775"/>
      <c r="AF215" s="775"/>
      <c r="AG215" s="407">
        <v>1.6</v>
      </c>
      <c r="AH215" s="705"/>
      <c r="AI215" s="705"/>
      <c r="AJ215" s="407"/>
      <c r="AK215" s="407"/>
      <c r="AL215" s="407"/>
      <c r="AM215" s="407"/>
      <c r="AN215" s="407"/>
      <c r="AO215" s="387"/>
      <c r="AP215" s="387"/>
      <c r="AQ215" s="405"/>
      <c r="AR215" s="578">
        <v>0</v>
      </c>
      <c r="AS215" s="405">
        <v>14.1</v>
      </c>
      <c r="AT215" s="578">
        <v>0</v>
      </c>
      <c r="AU215" s="405">
        <v>49.1</v>
      </c>
      <c r="AV215" s="405">
        <v>1239.8</v>
      </c>
      <c r="AW215" s="405">
        <v>949.5</v>
      </c>
      <c r="AX215" s="405">
        <v>73.599999999999994</v>
      </c>
      <c r="AY215" s="578">
        <v>0</v>
      </c>
      <c r="AZ215" s="578">
        <v>0</v>
      </c>
      <c r="BA215" s="578">
        <v>0</v>
      </c>
      <c r="BB215" s="925">
        <v>1.6</v>
      </c>
      <c r="BC215" s="405">
        <v>1.39</v>
      </c>
      <c r="BD215" s="405">
        <v>2.11</v>
      </c>
      <c r="BE215" s="578">
        <v>0</v>
      </c>
      <c r="BF215" s="405">
        <v>1.5</v>
      </c>
      <c r="BG215" s="405">
        <v>0</v>
      </c>
      <c r="BH215" s="578">
        <v>0</v>
      </c>
      <c r="BI215" s="405">
        <v>3</v>
      </c>
      <c r="BJ215" s="405">
        <v>37.299999999999997</v>
      </c>
      <c r="BK215" s="405">
        <v>5.34</v>
      </c>
      <c r="BL215" s="405">
        <v>5.76</v>
      </c>
      <c r="BM215" s="405">
        <v>0</v>
      </c>
      <c r="BN215" s="405">
        <v>24.95</v>
      </c>
      <c r="BO215" s="405">
        <v>2750.5</v>
      </c>
      <c r="BP215" s="405">
        <v>34.9</v>
      </c>
      <c r="BQ215" s="649">
        <v>23.5</v>
      </c>
      <c r="BR215" s="649">
        <v>23.4</v>
      </c>
      <c r="BS215" s="649">
        <v>22</v>
      </c>
      <c r="BT215" s="649">
        <v>22.1</v>
      </c>
      <c r="BU215" s="648">
        <v>45.4</v>
      </c>
      <c r="BV215" s="648">
        <v>52.4</v>
      </c>
      <c r="BW215" s="649">
        <v>1297.8</v>
      </c>
      <c r="BX215" s="876"/>
      <c r="BY215" s="649">
        <v>0.8</v>
      </c>
      <c r="BZ215" s="649">
        <v>1.57</v>
      </c>
      <c r="CA215" s="649">
        <v>1.3</v>
      </c>
      <c r="CB215" s="649">
        <v>8.8000000000000007</v>
      </c>
      <c r="CC215" s="649">
        <v>7.9</v>
      </c>
      <c r="CD215" s="649">
        <v>15.6</v>
      </c>
      <c r="CE215" s="649">
        <v>34.1</v>
      </c>
      <c r="CF215" s="649">
        <v>21.6</v>
      </c>
      <c r="CG215" s="649">
        <v>7.2</v>
      </c>
      <c r="CH215" s="649">
        <v>12.5</v>
      </c>
      <c r="CI215" s="649">
        <v>16.8</v>
      </c>
      <c r="CJ215" s="649">
        <v>13.6</v>
      </c>
      <c r="CK215" s="649">
        <v>567.5</v>
      </c>
      <c r="CL215" s="649">
        <v>2.9</v>
      </c>
      <c r="CM215" s="649">
        <v>3.8</v>
      </c>
      <c r="CN215" s="991">
        <v>1200</v>
      </c>
      <c r="CO215" s="649">
        <v>1090.8</v>
      </c>
      <c r="CP215" s="649">
        <v>710.7</v>
      </c>
      <c r="CQ215" s="649">
        <v>14.6</v>
      </c>
      <c r="CR215" s="649">
        <v>1.1000000000000001</v>
      </c>
      <c r="CS215" s="648">
        <v>0</v>
      </c>
      <c r="CT215" s="405">
        <v>16.297999999999998</v>
      </c>
      <c r="CU215" s="405">
        <v>60</v>
      </c>
      <c r="CV215" s="522">
        <v>0</v>
      </c>
      <c r="CW215" s="522">
        <v>0</v>
      </c>
      <c r="CX215" s="522">
        <v>0</v>
      </c>
      <c r="CY215" s="522">
        <v>0</v>
      </c>
      <c r="CZ215" s="689">
        <v>333</v>
      </c>
      <c r="DA215" s="689">
        <v>333</v>
      </c>
      <c r="DB215" s="689">
        <v>227</v>
      </c>
      <c r="DC215" s="643">
        <v>1163.1400000000001</v>
      </c>
      <c r="DD215" s="522"/>
      <c r="DE215" s="522"/>
      <c r="DF215" s="522"/>
      <c r="DG215" s="522"/>
      <c r="DH215" s="522"/>
      <c r="DI215" s="522"/>
      <c r="DJ215" s="522"/>
      <c r="DK215" s="522"/>
      <c r="DL215" s="649"/>
      <c r="DM215" s="649"/>
      <c r="DN215" s="649"/>
      <c r="DO215" s="522"/>
      <c r="DP215" s="522"/>
      <c r="DQ215" s="522"/>
      <c r="DR215" s="522"/>
      <c r="DS215" s="522"/>
      <c r="DT215" s="522"/>
      <c r="DU215" s="522"/>
      <c r="DV215" s="522"/>
      <c r="DW215" s="522"/>
      <c r="DX215" s="522"/>
      <c r="DY215" s="522"/>
      <c r="DZ215" s="522"/>
      <c r="EA215" s="522"/>
      <c r="EB215" s="522"/>
      <c r="EC215" s="522"/>
      <c r="ED215" s="522"/>
      <c r="EE215" s="522"/>
      <c r="EF215" s="522"/>
      <c r="EG215" s="645">
        <f t="shared" si="209"/>
        <v>31.0947</v>
      </c>
      <c r="EH215" s="649">
        <v>0.6</v>
      </c>
      <c r="EI215" s="649">
        <v>3</v>
      </c>
      <c r="EJ215" s="649">
        <v>5.5</v>
      </c>
      <c r="EK215" s="649">
        <v>11</v>
      </c>
      <c r="EL215" s="522"/>
      <c r="EM215" s="522"/>
      <c r="EN215" s="522"/>
      <c r="EO215" s="522"/>
      <c r="EP215" s="522"/>
      <c r="EQ215" s="522"/>
      <c r="ER215" s="522"/>
      <c r="ES215" s="407"/>
      <c r="ET215" s="407"/>
    </row>
    <row r="216" spans="1:150" s="357" customFormat="1" ht="15">
      <c r="A216" s="675" t="s">
        <v>5</v>
      </c>
      <c r="B216" s="712">
        <v>41842</v>
      </c>
      <c r="C216" s="358">
        <v>0</v>
      </c>
      <c r="D216" s="405">
        <v>0.02</v>
      </c>
      <c r="E216" s="681">
        <v>0</v>
      </c>
      <c r="F216" s="681">
        <v>61</v>
      </c>
      <c r="G216" s="681">
        <v>0.35</v>
      </c>
      <c r="H216" s="405">
        <v>0.74</v>
      </c>
      <c r="I216" s="405">
        <v>92.88</v>
      </c>
      <c r="J216" s="405" t="s">
        <v>744</v>
      </c>
      <c r="K216" s="405">
        <v>0.76</v>
      </c>
      <c r="L216" s="644">
        <v>0</v>
      </c>
      <c r="M216" s="405">
        <v>17.8</v>
      </c>
      <c r="N216" s="405" t="s">
        <v>744</v>
      </c>
      <c r="O216" s="405" t="s">
        <v>743</v>
      </c>
      <c r="P216" s="405">
        <v>1.78</v>
      </c>
      <c r="Q216" s="405">
        <v>2.3666885344361726</v>
      </c>
      <c r="R216" s="790">
        <v>1750.3820132100393</v>
      </c>
      <c r="S216" s="405" t="s">
        <v>744</v>
      </c>
      <c r="T216" s="405">
        <v>8.1300000000000008</v>
      </c>
      <c r="U216" s="405" t="s">
        <v>744</v>
      </c>
      <c r="V216" s="807">
        <v>0.64</v>
      </c>
      <c r="W216" s="807" t="e">
        <v>#VALUE!</v>
      </c>
      <c r="X216" s="647">
        <v>57.019999999999996</v>
      </c>
      <c r="Y216" s="383">
        <v>47.88</v>
      </c>
      <c r="Z216" s="681">
        <v>44.95</v>
      </c>
      <c r="AA216" s="794">
        <v>47.66</v>
      </c>
      <c r="AB216" s="794">
        <v>40.299999999999997</v>
      </c>
      <c r="AC216" s="775">
        <f t="shared" si="224"/>
        <v>87.96</v>
      </c>
      <c r="AD216" s="775">
        <f t="shared" si="225"/>
        <v>136.07411999999999</v>
      </c>
      <c r="AE216" s="775"/>
      <c r="AF216" s="775"/>
      <c r="AG216" s="407">
        <v>1.6</v>
      </c>
      <c r="AH216" s="705"/>
      <c r="AI216" s="705"/>
      <c r="AJ216" s="407"/>
      <c r="AK216" s="407"/>
      <c r="AL216" s="407"/>
      <c r="AM216" s="407"/>
      <c r="AN216" s="407"/>
      <c r="AO216" s="387"/>
      <c r="AP216" s="387"/>
      <c r="AQ216" s="405"/>
      <c r="AR216" s="578">
        <v>0</v>
      </c>
      <c r="AS216" s="405">
        <v>19.8</v>
      </c>
      <c r="AT216" s="578">
        <v>0</v>
      </c>
      <c r="AU216" s="405">
        <v>48.8</v>
      </c>
      <c r="AV216" s="405">
        <v>1166.9000000000001</v>
      </c>
      <c r="AW216" s="405">
        <v>747.5</v>
      </c>
      <c r="AX216" s="405">
        <v>42.3</v>
      </c>
      <c r="AY216" s="578">
        <v>0</v>
      </c>
      <c r="AZ216" s="578">
        <v>0</v>
      </c>
      <c r="BA216" s="578">
        <v>0</v>
      </c>
      <c r="BB216" s="925">
        <v>1.6</v>
      </c>
      <c r="BC216" s="405">
        <v>1.36</v>
      </c>
      <c r="BD216" s="405">
        <v>2</v>
      </c>
      <c r="BE216" s="578">
        <v>0</v>
      </c>
      <c r="BF216" s="405">
        <v>1.5</v>
      </c>
      <c r="BG216" s="405">
        <v>0</v>
      </c>
      <c r="BH216" s="578">
        <v>0</v>
      </c>
      <c r="BI216" s="405">
        <v>3</v>
      </c>
      <c r="BJ216" s="405">
        <v>32.799999999999997</v>
      </c>
      <c r="BK216" s="405">
        <v>6.04</v>
      </c>
      <c r="BL216" s="405">
        <v>4.9800000000000004</v>
      </c>
      <c r="BM216" s="405">
        <v>0</v>
      </c>
      <c r="BN216" s="405">
        <v>20.5</v>
      </c>
      <c r="BO216" s="405">
        <v>2230.5</v>
      </c>
      <c r="BP216" s="405">
        <v>0</v>
      </c>
      <c r="BQ216" s="649">
        <v>23.4</v>
      </c>
      <c r="BR216" s="649">
        <v>23.3</v>
      </c>
      <c r="BS216" s="649">
        <v>22.1</v>
      </c>
      <c r="BT216" s="649">
        <v>22.2</v>
      </c>
      <c r="BU216" s="648">
        <v>45.5</v>
      </c>
      <c r="BV216" s="648">
        <v>50.8</v>
      </c>
      <c r="BW216" s="649">
        <v>1102.2</v>
      </c>
      <c r="BX216" s="876"/>
      <c r="BY216" s="649">
        <v>0.76</v>
      </c>
      <c r="BZ216" s="649">
        <v>1.54</v>
      </c>
      <c r="CA216" s="649">
        <v>1.3</v>
      </c>
      <c r="CB216" s="649">
        <v>8.8000000000000007</v>
      </c>
      <c r="CC216" s="649">
        <v>8</v>
      </c>
      <c r="CD216" s="649">
        <v>15.9</v>
      </c>
      <c r="CE216" s="649">
        <v>34.4</v>
      </c>
      <c r="CF216" s="649">
        <v>18.600000000000001</v>
      </c>
      <c r="CG216" s="649">
        <v>7.2</v>
      </c>
      <c r="CH216" s="649">
        <v>12.5</v>
      </c>
      <c r="CI216" s="649">
        <v>16.8</v>
      </c>
      <c r="CJ216" s="649">
        <v>13.6</v>
      </c>
      <c r="CK216" s="649">
        <v>567.9</v>
      </c>
      <c r="CL216" s="649">
        <v>3.8</v>
      </c>
      <c r="CM216" s="649">
        <v>5.3</v>
      </c>
      <c r="CN216" s="991">
        <v>1200</v>
      </c>
      <c r="CO216" s="649">
        <v>900</v>
      </c>
      <c r="CP216" s="649">
        <v>680.6</v>
      </c>
      <c r="CQ216" s="649">
        <v>14.6</v>
      </c>
      <c r="CR216" s="649">
        <v>1.0900000000000001</v>
      </c>
      <c r="CS216" s="648">
        <v>0</v>
      </c>
      <c r="CT216" s="405">
        <v>17.684999999999999</v>
      </c>
      <c r="CU216" s="405">
        <v>60</v>
      </c>
      <c r="CV216" s="522">
        <v>0</v>
      </c>
      <c r="CW216" s="522">
        <v>0</v>
      </c>
      <c r="CX216" s="522">
        <v>0</v>
      </c>
      <c r="CY216" s="522">
        <v>0</v>
      </c>
      <c r="CZ216" s="689">
        <v>333</v>
      </c>
      <c r="DA216" s="689">
        <v>338</v>
      </c>
      <c r="DB216" s="689">
        <v>239</v>
      </c>
      <c r="DC216" s="643">
        <v>1162.99</v>
      </c>
      <c r="DD216" s="522"/>
      <c r="DE216" s="522"/>
      <c r="DF216" s="522"/>
      <c r="DG216" s="522"/>
      <c r="DH216" s="522"/>
      <c r="DI216" s="522"/>
      <c r="DJ216" s="522"/>
      <c r="DK216" s="522"/>
      <c r="DL216" s="649"/>
      <c r="DM216" s="649"/>
      <c r="DN216" s="649"/>
      <c r="DO216" s="522"/>
      <c r="DP216" s="522"/>
      <c r="DQ216" s="522"/>
      <c r="DR216" s="522"/>
      <c r="DS216" s="522"/>
      <c r="DT216" s="522"/>
      <c r="DU216" s="522"/>
      <c r="DV216" s="522"/>
      <c r="DW216" s="522"/>
      <c r="DX216" s="522"/>
      <c r="DY216" s="522"/>
      <c r="DZ216" s="522"/>
      <c r="EA216" s="522"/>
      <c r="EB216" s="522"/>
      <c r="EC216" s="522"/>
      <c r="ED216" s="522"/>
      <c r="EE216" s="522"/>
      <c r="EF216" s="522"/>
      <c r="EG216" s="645">
        <f t="shared" si="209"/>
        <v>30.166499999999999</v>
      </c>
      <c r="EH216" s="649">
        <v>0</v>
      </c>
      <c r="EI216" s="649">
        <v>3</v>
      </c>
      <c r="EJ216" s="649">
        <v>5.5</v>
      </c>
      <c r="EK216" s="649">
        <v>11</v>
      </c>
      <c r="EL216" s="522"/>
      <c r="EM216" s="522"/>
      <c r="EN216" s="522"/>
      <c r="EO216" s="522"/>
      <c r="EP216" s="522"/>
      <c r="EQ216" s="522"/>
      <c r="ER216" s="522"/>
      <c r="ES216" s="407"/>
      <c r="ET216" s="407"/>
    </row>
    <row r="217" spans="1:150" s="357" customFormat="1" ht="15">
      <c r="A217" s="675" t="s">
        <v>6</v>
      </c>
      <c r="B217" s="712">
        <v>41843</v>
      </c>
      <c r="C217" s="358">
        <v>0</v>
      </c>
      <c r="D217" s="405">
        <v>1.45</v>
      </c>
      <c r="E217" s="681">
        <v>0</v>
      </c>
      <c r="F217" s="681">
        <v>53</v>
      </c>
      <c r="G217" s="681">
        <v>0.4</v>
      </c>
      <c r="H217" s="405">
        <v>0.94</v>
      </c>
      <c r="I217" s="405">
        <v>92.2</v>
      </c>
      <c r="J217" s="405" t="s">
        <v>744</v>
      </c>
      <c r="K217" s="405">
        <v>0.99</v>
      </c>
      <c r="L217" s="644">
        <v>0</v>
      </c>
      <c r="M217" s="405">
        <v>18.600000000000001</v>
      </c>
      <c r="N217" s="405" t="s">
        <v>744</v>
      </c>
      <c r="O217" s="405" t="s">
        <v>743</v>
      </c>
      <c r="P217" s="405">
        <v>1.75</v>
      </c>
      <c r="Q217" s="992">
        <v>19.147862154417947</v>
      </c>
      <c r="R217" s="1106">
        <v>13668.138451783354</v>
      </c>
      <c r="S217" s="405" t="s">
        <v>744</v>
      </c>
      <c r="T217" s="405">
        <v>8.17</v>
      </c>
      <c r="U217" s="405" t="s">
        <v>744</v>
      </c>
      <c r="V217" s="807">
        <v>0.69</v>
      </c>
      <c r="W217" s="807" t="e">
        <v>#VALUE!</v>
      </c>
      <c r="X217" s="647">
        <v>56.120000000000005</v>
      </c>
      <c r="Y217" s="383">
        <v>47.66</v>
      </c>
      <c r="Z217" s="681">
        <v>40.299999999999997</v>
      </c>
      <c r="AA217" s="794">
        <v>47.86</v>
      </c>
      <c r="AB217" s="794">
        <v>36.96</v>
      </c>
      <c r="AC217" s="775">
        <f t="shared" si="224"/>
        <v>84.82</v>
      </c>
      <c r="AD217" s="775">
        <f t="shared" si="225"/>
        <v>131.21653999999998</v>
      </c>
      <c r="AE217" s="775"/>
      <c r="AF217" s="775"/>
      <c r="AG217" s="407">
        <v>1.6</v>
      </c>
      <c r="AH217" s="705"/>
      <c r="AI217" s="705"/>
      <c r="AJ217" s="407"/>
      <c r="AK217" s="407"/>
      <c r="AL217" s="407"/>
      <c r="AM217" s="407"/>
      <c r="AN217" s="407"/>
      <c r="AO217" s="387"/>
      <c r="AP217" s="387"/>
      <c r="AQ217" s="405"/>
      <c r="AR217" s="578">
        <v>0</v>
      </c>
      <c r="AS217" s="405">
        <v>11</v>
      </c>
      <c r="AT217" s="578">
        <v>0</v>
      </c>
      <c r="AU217" s="405">
        <v>49.1</v>
      </c>
      <c r="AV217" s="405">
        <v>796.2</v>
      </c>
      <c r="AW217" s="405">
        <v>526.20000000000005</v>
      </c>
      <c r="AX217" s="405">
        <v>44.3</v>
      </c>
      <c r="AY217" s="578">
        <v>0</v>
      </c>
      <c r="AZ217" s="578">
        <v>0</v>
      </c>
      <c r="BA217" s="578">
        <v>0</v>
      </c>
      <c r="BB217" s="925">
        <v>1.59</v>
      </c>
      <c r="BC217" s="405">
        <v>1.25</v>
      </c>
      <c r="BD217" s="405">
        <v>1.58</v>
      </c>
      <c r="BE217" s="578">
        <v>0</v>
      </c>
      <c r="BF217" s="405">
        <v>1.08</v>
      </c>
      <c r="BG217" s="405">
        <v>0</v>
      </c>
      <c r="BH217" s="578">
        <v>0</v>
      </c>
      <c r="BI217" s="405">
        <v>3</v>
      </c>
      <c r="BJ217" s="405">
        <v>30.5</v>
      </c>
      <c r="BK217" s="405">
        <v>4.1500000000000004</v>
      </c>
      <c r="BL217" s="405">
        <v>6.79</v>
      </c>
      <c r="BM217" s="405">
        <v>0</v>
      </c>
      <c r="BN217" s="405">
        <v>18.2</v>
      </c>
      <c r="BO217" s="405">
        <v>1916.4</v>
      </c>
      <c r="BP217" s="405">
        <v>0</v>
      </c>
      <c r="BQ217" s="649">
        <v>24.27</v>
      </c>
      <c r="BR217" s="649">
        <v>24.08</v>
      </c>
      <c r="BS217" s="649">
        <v>22.69</v>
      </c>
      <c r="BT217" s="649">
        <v>22.77</v>
      </c>
      <c r="BU217" s="648">
        <v>46.6</v>
      </c>
      <c r="BV217" s="648">
        <v>49.6</v>
      </c>
      <c r="BW217" s="649">
        <v>967.4</v>
      </c>
      <c r="BX217" s="876"/>
      <c r="BY217" s="649">
        <v>0.73</v>
      </c>
      <c r="BZ217" s="649">
        <v>1.47</v>
      </c>
      <c r="CA217" s="649">
        <v>1.3</v>
      </c>
      <c r="CB217" s="649">
        <v>8.8000000000000007</v>
      </c>
      <c r="CC217" s="649">
        <v>7.9</v>
      </c>
      <c r="CD217" s="649">
        <v>18.399999999999999</v>
      </c>
      <c r="CE217" s="649">
        <v>34.6</v>
      </c>
      <c r="CF217" s="649">
        <v>22.3</v>
      </c>
      <c r="CG217" s="649">
        <v>7.8</v>
      </c>
      <c r="CH217" s="649">
        <v>13.11</v>
      </c>
      <c r="CI217" s="649">
        <v>17.440000000000001</v>
      </c>
      <c r="CJ217" s="649">
        <v>15.18</v>
      </c>
      <c r="CK217" s="649">
        <v>565</v>
      </c>
      <c r="CL217" s="649">
        <v>3.8</v>
      </c>
      <c r="CM217" s="649">
        <v>3.3</v>
      </c>
      <c r="CN217" s="991">
        <v>1200</v>
      </c>
      <c r="CO217" s="649">
        <v>709.1</v>
      </c>
      <c r="CP217" s="649">
        <v>670.6</v>
      </c>
      <c r="CQ217" s="649">
        <v>13.6</v>
      </c>
      <c r="CR217" s="649">
        <v>0.99</v>
      </c>
      <c r="CS217" s="648">
        <v>0</v>
      </c>
      <c r="CT217" s="405">
        <v>14.932</v>
      </c>
      <c r="CU217" s="405">
        <v>59</v>
      </c>
      <c r="CV217" s="522">
        <v>0</v>
      </c>
      <c r="CW217" s="522">
        <v>0</v>
      </c>
      <c r="CX217" s="522">
        <v>0</v>
      </c>
      <c r="CY217" s="522">
        <v>0</v>
      </c>
      <c r="CZ217" s="689">
        <v>336</v>
      </c>
      <c r="DA217" s="689">
        <v>503</v>
      </c>
      <c r="DB217" s="689">
        <v>255</v>
      </c>
      <c r="DC217" s="643">
        <v>1163.0999999999999</v>
      </c>
      <c r="DD217" s="522"/>
      <c r="DE217" s="522"/>
      <c r="DF217" s="522"/>
      <c r="DG217" s="522"/>
      <c r="DH217" s="522"/>
      <c r="DI217" s="522"/>
      <c r="DJ217" s="522"/>
      <c r="DK217" s="522"/>
      <c r="DL217" s="649"/>
      <c r="DM217" s="649"/>
      <c r="DN217" s="649"/>
      <c r="DO217" s="522"/>
      <c r="DP217" s="522"/>
      <c r="DQ217" s="522"/>
      <c r="DR217" s="522"/>
      <c r="DS217" s="522"/>
      <c r="DT217" s="522"/>
      <c r="DU217" s="522"/>
      <c r="DV217" s="522"/>
      <c r="DW217" s="522"/>
      <c r="DX217" s="522"/>
      <c r="DY217" s="522"/>
      <c r="DZ217" s="522"/>
      <c r="EA217" s="522"/>
      <c r="EB217" s="522"/>
      <c r="EC217" s="522"/>
      <c r="ED217" s="522"/>
      <c r="EE217" s="522"/>
      <c r="EF217" s="522"/>
      <c r="EG217" s="645">
        <f t="shared" si="209"/>
        <v>30.166499999999999</v>
      </c>
      <c r="EH217" s="649">
        <v>0</v>
      </c>
      <c r="EI217" s="649">
        <v>3</v>
      </c>
      <c r="EJ217" s="649">
        <v>5.5</v>
      </c>
      <c r="EK217" s="649">
        <v>11</v>
      </c>
      <c r="EL217" s="522"/>
      <c r="EM217" s="522"/>
      <c r="EN217" s="522"/>
      <c r="EO217" s="522"/>
      <c r="EP217" s="522"/>
      <c r="EQ217" s="522"/>
      <c r="ER217" s="522"/>
      <c r="ES217" s="407"/>
      <c r="ET217" s="407"/>
    </row>
    <row r="218" spans="1:150" s="357" customFormat="1" ht="15">
      <c r="A218" s="675" t="s">
        <v>7</v>
      </c>
      <c r="B218" s="712">
        <v>41844</v>
      </c>
      <c r="C218" s="358">
        <v>0</v>
      </c>
      <c r="D218" s="405">
        <v>0.2</v>
      </c>
      <c r="E218" s="681">
        <v>0</v>
      </c>
      <c r="F218" s="681">
        <v>55</v>
      </c>
      <c r="G218" s="681">
        <v>0.4</v>
      </c>
      <c r="H218" s="405">
        <v>0.79</v>
      </c>
      <c r="I218" s="405">
        <v>92.7</v>
      </c>
      <c r="J218" s="405" t="s">
        <v>744</v>
      </c>
      <c r="K218" s="405">
        <v>0.73</v>
      </c>
      <c r="L218" s="644">
        <v>0</v>
      </c>
      <c r="M218" s="405">
        <v>18</v>
      </c>
      <c r="N218" s="405" t="s">
        <v>744</v>
      </c>
      <c r="O218" s="405" t="s">
        <v>743</v>
      </c>
      <c r="P218" s="405">
        <v>1.79</v>
      </c>
      <c r="Q218" s="405">
        <v>2.6068881814168092</v>
      </c>
      <c r="R218" s="790">
        <v>1699.5289458388372</v>
      </c>
      <c r="S218" s="405" t="s">
        <v>744</v>
      </c>
      <c r="T218" s="405">
        <v>8.17</v>
      </c>
      <c r="U218" s="405" t="s">
        <v>744</v>
      </c>
      <c r="V218" s="807">
        <v>0.71</v>
      </c>
      <c r="W218" s="807" t="e">
        <v>#VALUE!</v>
      </c>
      <c r="X218" s="647">
        <v>55.039999999999992</v>
      </c>
      <c r="Y218" s="383">
        <v>47.86</v>
      </c>
      <c r="Z218" s="681">
        <v>36.96</v>
      </c>
      <c r="AA218" s="794">
        <v>42.4</v>
      </c>
      <c r="AB218" s="794">
        <v>35.04</v>
      </c>
      <c r="AC218" s="775">
        <f t="shared" si="224"/>
        <v>77.44</v>
      </c>
      <c r="AD218" s="775">
        <f t="shared" si="225"/>
        <v>119.79968</v>
      </c>
      <c r="AE218" s="775"/>
      <c r="AF218" s="775"/>
      <c r="AG218" s="407">
        <v>1.6</v>
      </c>
      <c r="AH218" s="705"/>
      <c r="AI218" s="705"/>
      <c r="AJ218" s="407"/>
      <c r="AK218" s="407"/>
      <c r="AL218" s="407"/>
      <c r="AM218" s="407"/>
      <c r="AN218" s="407"/>
      <c r="AO218" s="387"/>
      <c r="AP218" s="387"/>
      <c r="AQ218" s="405"/>
      <c r="AR218" s="578">
        <v>0</v>
      </c>
      <c r="AS218" s="405">
        <v>14.4</v>
      </c>
      <c r="AT218" s="578">
        <v>0</v>
      </c>
      <c r="AU218" s="405">
        <v>44.2</v>
      </c>
      <c r="AV218" s="405">
        <v>667.1</v>
      </c>
      <c r="AW218" s="405">
        <v>517.29999999999995</v>
      </c>
      <c r="AX218" s="405">
        <v>25.3</v>
      </c>
      <c r="AY218" s="578">
        <v>0</v>
      </c>
      <c r="AZ218" s="578">
        <v>0</v>
      </c>
      <c r="BA218" s="578">
        <v>0</v>
      </c>
      <c r="BB218" s="925">
        <v>1.6</v>
      </c>
      <c r="BC218" s="405">
        <v>1.31</v>
      </c>
      <c r="BD218" s="405">
        <v>1.19</v>
      </c>
      <c r="BE218" s="578">
        <v>0</v>
      </c>
      <c r="BF218" s="405">
        <v>0.5</v>
      </c>
      <c r="BG218" s="405">
        <v>0</v>
      </c>
      <c r="BH218" s="578">
        <v>0</v>
      </c>
      <c r="BI218" s="405">
        <v>3</v>
      </c>
      <c r="BJ218" s="405">
        <v>29.4</v>
      </c>
      <c r="BK218" s="405">
        <v>4.04</v>
      </c>
      <c r="BL218" s="405">
        <v>7</v>
      </c>
      <c r="BM218" s="405">
        <v>0</v>
      </c>
      <c r="BN218" s="405">
        <v>17.3</v>
      </c>
      <c r="BO218" s="405">
        <v>1621.5</v>
      </c>
      <c r="BP218" s="405">
        <v>0</v>
      </c>
      <c r="BQ218" s="649">
        <v>25.32</v>
      </c>
      <c r="BR218" s="649">
        <v>25.23</v>
      </c>
      <c r="BS218" s="649">
        <v>20.39</v>
      </c>
      <c r="BT218" s="649">
        <v>20.45</v>
      </c>
      <c r="BU218" s="648">
        <v>42</v>
      </c>
      <c r="BV218" s="648">
        <v>43.8</v>
      </c>
      <c r="BW218" s="649">
        <v>917.7</v>
      </c>
      <c r="BX218" s="876"/>
      <c r="BY218" s="649">
        <v>0.76</v>
      </c>
      <c r="BZ218" s="649">
        <v>1.48</v>
      </c>
      <c r="CA218" s="649">
        <v>1.2</v>
      </c>
      <c r="CB218" s="649">
        <v>8.8000000000000007</v>
      </c>
      <c r="CC218" s="649">
        <v>7.8</v>
      </c>
      <c r="CD218" s="649">
        <v>19</v>
      </c>
      <c r="CE218" s="649">
        <v>34.5</v>
      </c>
      <c r="CF218" s="649">
        <v>21.6</v>
      </c>
      <c r="CG218" s="649">
        <v>7.2</v>
      </c>
      <c r="CH218" s="649">
        <v>12.5</v>
      </c>
      <c r="CI218" s="649">
        <v>16.75</v>
      </c>
      <c r="CJ218" s="649">
        <v>15.49</v>
      </c>
      <c r="CK218" s="649">
        <v>460.9</v>
      </c>
      <c r="CL218" s="649">
        <v>4</v>
      </c>
      <c r="CM218" s="649">
        <v>5.5</v>
      </c>
      <c r="CN218" s="991">
        <v>1200</v>
      </c>
      <c r="CO218" s="649">
        <v>710.5</v>
      </c>
      <c r="CP218" s="649">
        <v>644.6</v>
      </c>
      <c r="CQ218" s="649">
        <v>11.6</v>
      </c>
      <c r="CR218" s="649">
        <v>0.84</v>
      </c>
      <c r="CS218" s="648">
        <v>204.8</v>
      </c>
      <c r="CT218" s="405">
        <v>14.981</v>
      </c>
      <c r="CU218" s="405">
        <v>59</v>
      </c>
      <c r="CV218" s="522">
        <v>0</v>
      </c>
      <c r="CW218" s="522">
        <v>0</v>
      </c>
      <c r="CX218" s="522">
        <v>0</v>
      </c>
      <c r="CY218" s="522">
        <v>0</v>
      </c>
      <c r="CZ218" s="689">
        <v>339</v>
      </c>
      <c r="DA218" s="689">
        <v>429</v>
      </c>
      <c r="DB218" s="689">
        <v>236</v>
      </c>
      <c r="DC218" s="643">
        <v>1163.1600000000001</v>
      </c>
      <c r="DD218" s="522"/>
      <c r="DE218" s="522"/>
      <c r="DF218" s="522"/>
      <c r="DG218" s="522"/>
      <c r="DH218" s="522"/>
      <c r="DI218" s="522"/>
      <c r="DJ218" s="522"/>
      <c r="DK218" s="522"/>
      <c r="DL218" s="649"/>
      <c r="DM218" s="649"/>
      <c r="DN218" s="649"/>
      <c r="DO218" s="522"/>
      <c r="DP218" s="522"/>
      <c r="DQ218" s="522"/>
      <c r="DR218" s="522"/>
      <c r="DS218" s="522"/>
      <c r="DT218" s="522"/>
      <c r="DU218" s="522"/>
      <c r="DV218" s="522"/>
      <c r="DW218" s="522"/>
      <c r="DX218" s="522"/>
      <c r="DY218" s="522"/>
      <c r="DZ218" s="522"/>
      <c r="EA218" s="522"/>
      <c r="EB218" s="522"/>
      <c r="EC218" s="522"/>
      <c r="ED218" s="522"/>
      <c r="EE218" s="522"/>
      <c r="EF218" s="522"/>
      <c r="EG218" s="645">
        <f t="shared" si="209"/>
        <v>30.939999999999998</v>
      </c>
      <c r="EH218" s="649">
        <v>0</v>
      </c>
      <c r="EI218" s="649">
        <v>3</v>
      </c>
      <c r="EJ218" s="649">
        <v>6</v>
      </c>
      <c r="EK218" s="649">
        <v>11</v>
      </c>
      <c r="EL218" s="522"/>
      <c r="EM218" s="522"/>
      <c r="EN218" s="522"/>
      <c r="EO218" s="522"/>
      <c r="EP218" s="522"/>
      <c r="EQ218" s="522"/>
      <c r="ER218" s="522"/>
      <c r="ES218" s="407"/>
      <c r="ET218" s="407"/>
    </row>
    <row r="219" spans="1:150" s="357" customFormat="1" ht="15">
      <c r="A219" s="675" t="s">
        <v>8</v>
      </c>
      <c r="B219" s="712">
        <v>41845</v>
      </c>
      <c r="C219" s="358">
        <v>0</v>
      </c>
      <c r="D219" s="405">
        <v>0</v>
      </c>
      <c r="E219" s="681">
        <v>0</v>
      </c>
      <c r="F219" s="681">
        <v>55</v>
      </c>
      <c r="G219" s="681">
        <v>0.4</v>
      </c>
      <c r="H219" s="405">
        <v>0.83</v>
      </c>
      <c r="I219" s="405">
        <v>92.5</v>
      </c>
      <c r="J219" s="405" t="s">
        <v>744</v>
      </c>
      <c r="K219" s="405">
        <v>0.72</v>
      </c>
      <c r="L219" s="644">
        <v>0</v>
      </c>
      <c r="M219" s="405">
        <v>17.899999999999999</v>
      </c>
      <c r="N219" s="405" t="s">
        <v>744</v>
      </c>
      <c r="O219" s="405" t="s">
        <v>743</v>
      </c>
      <c r="P219" s="405">
        <v>1.75</v>
      </c>
      <c r="Q219" s="405">
        <v>2.4768875760793714</v>
      </c>
      <c r="R219" s="790">
        <v>1591.0208084544249</v>
      </c>
      <c r="S219" s="405" t="s">
        <v>744</v>
      </c>
      <c r="T219" s="405">
        <v>8.1199999999999992</v>
      </c>
      <c r="U219" s="405" t="s">
        <v>744</v>
      </c>
      <c r="V219" s="681">
        <v>0.69</v>
      </c>
      <c r="W219" s="681" t="e">
        <v>#VALUE!</v>
      </c>
      <c r="X219" s="647">
        <v>58.28</v>
      </c>
      <c r="Y219" s="383">
        <v>42.4</v>
      </c>
      <c r="Z219" s="681">
        <v>35.04</v>
      </c>
      <c r="AA219" s="794">
        <v>40.42</v>
      </c>
      <c r="AB219" s="794">
        <v>36</v>
      </c>
      <c r="AC219" s="775">
        <f t="shared" ref="AC219:AC221" si="226">AA219+AB219</f>
        <v>76.42</v>
      </c>
      <c r="AD219" s="775">
        <f t="shared" ref="AD219:AD221" si="227">AC219*1.547</f>
        <v>118.22174</v>
      </c>
      <c r="AE219" s="775"/>
      <c r="AF219" s="775"/>
      <c r="AG219" s="407">
        <v>1.6</v>
      </c>
      <c r="AH219" s="705"/>
      <c r="AI219" s="705"/>
      <c r="AJ219" s="407"/>
      <c r="AK219" s="407"/>
      <c r="AL219" s="407"/>
      <c r="AM219" s="407"/>
      <c r="AN219" s="407"/>
      <c r="AO219" s="387"/>
      <c r="AP219" s="387"/>
      <c r="AQ219" s="405"/>
      <c r="AR219" s="578">
        <v>0</v>
      </c>
      <c r="AS219" s="405">
        <v>19.899999999999999</v>
      </c>
      <c r="AT219" s="578">
        <v>0</v>
      </c>
      <c r="AU219" s="405">
        <v>41.1</v>
      </c>
      <c r="AV219" s="405">
        <v>740.6</v>
      </c>
      <c r="AW219" s="405">
        <v>837.8</v>
      </c>
      <c r="AX219" s="405">
        <v>40.200000000000003</v>
      </c>
      <c r="AY219" s="578">
        <v>0</v>
      </c>
      <c r="AZ219" s="578">
        <v>0</v>
      </c>
      <c r="BA219" s="578">
        <v>0</v>
      </c>
      <c r="BB219" s="925">
        <v>1.6</v>
      </c>
      <c r="BC219" s="405">
        <v>1.68</v>
      </c>
      <c r="BD219" s="405">
        <v>1.55</v>
      </c>
      <c r="BE219" s="578">
        <v>0</v>
      </c>
      <c r="BF219" s="405">
        <v>0.74</v>
      </c>
      <c r="BG219" s="405">
        <v>0</v>
      </c>
      <c r="BH219" s="578">
        <v>0</v>
      </c>
      <c r="BI219" s="405">
        <v>3</v>
      </c>
      <c r="BJ219" s="405">
        <v>29.4</v>
      </c>
      <c r="BK219" s="405">
        <v>4.59</v>
      </c>
      <c r="BL219" s="405">
        <v>6.51</v>
      </c>
      <c r="BM219" s="405">
        <v>0</v>
      </c>
      <c r="BN219" s="405">
        <v>17.2</v>
      </c>
      <c r="BO219" s="405">
        <v>2092.5</v>
      </c>
      <c r="BP219" s="405">
        <v>0</v>
      </c>
      <c r="BQ219" s="649">
        <v>24.09</v>
      </c>
      <c r="BR219" s="649">
        <v>23.99</v>
      </c>
      <c r="BS219" s="649">
        <v>18.55</v>
      </c>
      <c r="BT219" s="649">
        <v>18.64</v>
      </c>
      <c r="BU219" s="648">
        <v>38.5</v>
      </c>
      <c r="BV219" s="648">
        <v>46.7</v>
      </c>
      <c r="BW219" s="649">
        <v>982.6</v>
      </c>
      <c r="BX219" s="876"/>
      <c r="BY219" s="649">
        <v>2.27</v>
      </c>
      <c r="BZ219" s="649">
        <v>1.47</v>
      </c>
      <c r="CA219" s="649">
        <v>1.2</v>
      </c>
      <c r="CB219" s="649">
        <v>8.8000000000000007</v>
      </c>
      <c r="CC219" s="649">
        <v>7.8</v>
      </c>
      <c r="CD219" s="649">
        <v>17.399999999999999</v>
      </c>
      <c r="CE219" s="649">
        <v>34.299999999999997</v>
      </c>
      <c r="CF219" s="649">
        <v>18.7</v>
      </c>
      <c r="CG219" s="649">
        <v>7.4</v>
      </c>
      <c r="CH219" s="649">
        <v>12.6</v>
      </c>
      <c r="CI219" s="649">
        <v>17</v>
      </c>
      <c r="CJ219" s="649">
        <v>14.9</v>
      </c>
      <c r="CK219" s="649">
        <v>0</v>
      </c>
      <c r="CL219" s="649">
        <v>2.6</v>
      </c>
      <c r="CM219" s="649">
        <v>5.2</v>
      </c>
      <c r="CN219" s="991">
        <v>1200</v>
      </c>
      <c r="CO219" s="649">
        <v>913.4</v>
      </c>
      <c r="CP219" s="649">
        <v>655.7</v>
      </c>
      <c r="CQ219" s="649">
        <v>12.7</v>
      </c>
      <c r="CR219" s="649">
        <v>0.95</v>
      </c>
      <c r="CS219" s="648">
        <v>0</v>
      </c>
      <c r="CT219" s="405">
        <v>15.81</v>
      </c>
      <c r="CU219" s="405">
        <v>59</v>
      </c>
      <c r="CV219" s="522">
        <v>0</v>
      </c>
      <c r="CW219" s="522">
        <v>0</v>
      </c>
      <c r="CX219" s="522">
        <v>0</v>
      </c>
      <c r="CY219" s="522">
        <v>0</v>
      </c>
      <c r="CZ219" s="689">
        <v>339</v>
      </c>
      <c r="DA219" s="689">
        <v>415</v>
      </c>
      <c r="DB219" s="689">
        <v>195</v>
      </c>
      <c r="DC219" s="643">
        <v>1163.0899999999999</v>
      </c>
      <c r="DD219" s="522"/>
      <c r="DE219" s="522"/>
      <c r="DF219" s="522"/>
      <c r="DG219" s="522"/>
      <c r="DH219" s="522"/>
      <c r="DI219" s="522"/>
      <c r="DJ219" s="522"/>
      <c r="DK219" s="1105"/>
      <c r="DL219" s="649"/>
      <c r="DM219" s="649"/>
      <c r="DN219" s="649"/>
      <c r="DO219" s="522"/>
      <c r="DP219" s="522"/>
      <c r="DQ219" s="522"/>
      <c r="DR219" s="522"/>
      <c r="DS219" s="522"/>
      <c r="DT219" s="522"/>
      <c r="DU219" s="522"/>
      <c r="DV219" s="522"/>
      <c r="DW219" s="522"/>
      <c r="DX219" s="522"/>
      <c r="DY219" s="522"/>
      <c r="DZ219" s="522"/>
      <c r="EA219" s="522"/>
      <c r="EB219" s="522"/>
      <c r="EC219" s="522"/>
      <c r="ED219" s="522"/>
      <c r="EE219" s="522"/>
      <c r="EF219" s="522"/>
      <c r="EG219" s="645">
        <f t="shared" si="209"/>
        <v>29.392999999999997</v>
      </c>
      <c r="EH219" s="649">
        <v>0</v>
      </c>
      <c r="EI219" s="649">
        <v>3</v>
      </c>
      <c r="EJ219" s="649">
        <v>5</v>
      </c>
      <c r="EK219" s="649">
        <v>11</v>
      </c>
      <c r="EL219" s="522"/>
      <c r="EM219" s="522"/>
      <c r="EN219" s="522"/>
      <c r="EO219" s="522"/>
      <c r="EP219" s="522"/>
      <c r="EQ219" s="522"/>
      <c r="ER219" s="522"/>
      <c r="ES219" s="407"/>
      <c r="ET219" s="407"/>
    </row>
    <row r="220" spans="1:150" s="357" customFormat="1" ht="15">
      <c r="A220" s="675" t="s">
        <v>9</v>
      </c>
      <c r="B220" s="712">
        <v>41846</v>
      </c>
      <c r="C220" s="358">
        <v>0</v>
      </c>
      <c r="D220" s="405">
        <v>0</v>
      </c>
      <c r="E220" s="681">
        <v>0</v>
      </c>
      <c r="F220" s="681">
        <v>59</v>
      </c>
      <c r="G220" s="681">
        <v>0.4</v>
      </c>
      <c r="H220" s="405">
        <v>0.8</v>
      </c>
      <c r="I220" s="405">
        <v>92.5</v>
      </c>
      <c r="J220" s="405" t="s">
        <v>744</v>
      </c>
      <c r="K220" s="405">
        <v>0.71</v>
      </c>
      <c r="L220" s="644">
        <v>0</v>
      </c>
      <c r="M220" s="405">
        <v>17.8</v>
      </c>
      <c r="N220" s="405" t="s">
        <v>744</v>
      </c>
      <c r="O220" s="405" t="s">
        <v>743</v>
      </c>
      <c r="P220" s="405">
        <v>1.67</v>
      </c>
      <c r="Q220" s="405">
        <v>2.4598914584364806</v>
      </c>
      <c r="R220" s="790">
        <v>1750.3820132100393</v>
      </c>
      <c r="S220" s="405" t="s">
        <v>744</v>
      </c>
      <c r="T220" s="405">
        <v>7.99</v>
      </c>
      <c r="U220" s="405" t="s">
        <v>744</v>
      </c>
      <c r="V220" s="681">
        <v>0.74</v>
      </c>
      <c r="W220" s="681" t="e">
        <v>#VALUE!</v>
      </c>
      <c r="X220" s="647">
        <v>58.460000000000008</v>
      </c>
      <c r="Y220" s="383">
        <v>40.42</v>
      </c>
      <c r="Z220" s="681">
        <v>36</v>
      </c>
      <c r="AA220" s="794">
        <v>43.05</v>
      </c>
      <c r="AB220" s="794">
        <v>41.85</v>
      </c>
      <c r="AC220" s="775">
        <f t="shared" si="226"/>
        <v>84.9</v>
      </c>
      <c r="AD220" s="775">
        <f t="shared" si="227"/>
        <v>131.34030000000001</v>
      </c>
      <c r="AE220" s="775"/>
      <c r="AF220" s="775"/>
      <c r="AG220" s="407">
        <v>1.6</v>
      </c>
      <c r="AH220" s="705"/>
      <c r="AI220" s="705"/>
      <c r="AJ220" s="407"/>
      <c r="AK220" s="407"/>
      <c r="AL220" s="407"/>
      <c r="AM220" s="407"/>
      <c r="AN220" s="407"/>
      <c r="AO220" s="387"/>
      <c r="AP220" s="387"/>
      <c r="AQ220" s="405"/>
      <c r="AR220" s="578">
        <v>0</v>
      </c>
      <c r="AS220" s="405">
        <v>11.9</v>
      </c>
      <c r="AT220" s="578">
        <v>0</v>
      </c>
      <c r="AU220" s="405">
        <v>44</v>
      </c>
      <c r="AV220" s="405">
        <v>859.2</v>
      </c>
      <c r="AW220" s="405">
        <v>950.5</v>
      </c>
      <c r="AX220" s="405">
        <v>46.4</v>
      </c>
      <c r="AY220" s="578">
        <v>0</v>
      </c>
      <c r="AZ220" s="578">
        <v>0</v>
      </c>
      <c r="BA220" s="578">
        <v>0</v>
      </c>
      <c r="BB220" s="925">
        <v>1.6</v>
      </c>
      <c r="BC220" s="405">
        <v>1.96</v>
      </c>
      <c r="BD220" s="405">
        <v>2.04</v>
      </c>
      <c r="BE220" s="578">
        <v>0</v>
      </c>
      <c r="BF220" s="405">
        <v>1</v>
      </c>
      <c r="BG220" s="405">
        <v>0</v>
      </c>
      <c r="BH220" s="578">
        <v>0</v>
      </c>
      <c r="BI220" s="405">
        <v>3</v>
      </c>
      <c r="BJ220" s="405">
        <v>34.200000000000003</v>
      </c>
      <c r="BK220" s="405">
        <v>5.29</v>
      </c>
      <c r="BL220" s="405">
        <v>5.94</v>
      </c>
      <c r="BM220" s="405">
        <v>0</v>
      </c>
      <c r="BN220" s="405">
        <v>22</v>
      </c>
      <c r="BO220" s="405">
        <v>2252.1</v>
      </c>
      <c r="BP220" s="405">
        <v>0</v>
      </c>
      <c r="BQ220" s="649">
        <v>22.81</v>
      </c>
      <c r="BR220" s="649">
        <v>22.73</v>
      </c>
      <c r="BS220" s="649">
        <v>19.899999999999999</v>
      </c>
      <c r="BT220" s="649">
        <v>20</v>
      </c>
      <c r="BU220" s="648">
        <v>41.1</v>
      </c>
      <c r="BV220" s="648">
        <v>49.6</v>
      </c>
      <c r="BW220" s="649">
        <v>1131.5</v>
      </c>
      <c r="BX220" s="876"/>
      <c r="BY220" s="649">
        <v>0.71</v>
      </c>
      <c r="BZ220" s="649">
        <v>1.54</v>
      </c>
      <c r="CA220" s="649">
        <v>1.3</v>
      </c>
      <c r="CB220" s="649">
        <v>8.8000000000000007</v>
      </c>
      <c r="CC220" s="649">
        <v>7.9</v>
      </c>
      <c r="CD220" s="649">
        <v>17.2</v>
      </c>
      <c r="CE220" s="649">
        <v>34.299999999999997</v>
      </c>
      <c r="CF220" s="649">
        <v>22.9</v>
      </c>
      <c r="CG220" s="649">
        <v>6.8</v>
      </c>
      <c r="CH220" s="649">
        <v>12.1</v>
      </c>
      <c r="CI220" s="649">
        <v>16.100000000000001</v>
      </c>
      <c r="CJ220" s="649">
        <v>14.5</v>
      </c>
      <c r="CK220" s="649">
        <v>0</v>
      </c>
      <c r="CL220" s="649">
        <v>3</v>
      </c>
      <c r="CM220" s="649">
        <v>4.5999999999999996</v>
      </c>
      <c r="CN220" s="991">
        <v>1200</v>
      </c>
      <c r="CO220" s="649">
        <v>968.1</v>
      </c>
      <c r="CP220" s="649">
        <v>663.5</v>
      </c>
      <c r="CQ220" s="649">
        <v>13.4</v>
      </c>
      <c r="CR220" s="649">
        <v>0.98</v>
      </c>
      <c r="CS220" s="648">
        <v>0</v>
      </c>
      <c r="CT220" s="405">
        <v>16.315000000000001</v>
      </c>
      <c r="CU220" s="405">
        <v>60</v>
      </c>
      <c r="CV220" s="522">
        <v>0</v>
      </c>
      <c r="CW220" s="522">
        <v>0</v>
      </c>
      <c r="CX220" s="522">
        <v>0</v>
      </c>
      <c r="CY220" s="522">
        <v>0</v>
      </c>
      <c r="CZ220" s="689">
        <v>339</v>
      </c>
      <c r="DA220" s="689">
        <v>373</v>
      </c>
      <c r="DB220" s="689">
        <v>193</v>
      </c>
      <c r="DC220" s="643">
        <v>1162.99</v>
      </c>
      <c r="DD220" s="522"/>
      <c r="DE220" s="522"/>
      <c r="DF220" s="522"/>
      <c r="DG220" s="522"/>
      <c r="DH220" s="968"/>
      <c r="DI220" s="968"/>
      <c r="DJ220" s="968"/>
      <c r="DK220"/>
      <c r="DL220" s="649"/>
      <c r="DM220" s="649"/>
      <c r="DN220" s="649"/>
      <c r="DO220" s="522"/>
      <c r="DP220" s="522"/>
      <c r="DQ220" s="522"/>
      <c r="DR220" s="522"/>
      <c r="DS220" s="522"/>
      <c r="DT220" s="522"/>
      <c r="DU220" s="522"/>
      <c r="DV220" s="522"/>
      <c r="DW220" s="522"/>
      <c r="DX220" s="522"/>
      <c r="DY220" s="522"/>
      <c r="DZ220" s="522"/>
      <c r="EA220" s="522"/>
      <c r="EB220" s="522"/>
      <c r="EC220" s="522"/>
      <c r="ED220" s="522"/>
      <c r="EE220" s="522"/>
      <c r="EF220" s="522"/>
      <c r="EG220" s="645">
        <f t="shared" si="209"/>
        <v>30.166499999999999</v>
      </c>
      <c r="EH220" s="649">
        <v>0</v>
      </c>
      <c r="EI220" s="649">
        <v>3</v>
      </c>
      <c r="EJ220" s="649">
        <v>5.5</v>
      </c>
      <c r="EK220" s="649">
        <v>11</v>
      </c>
      <c r="EL220" s="522"/>
      <c r="EM220" s="522"/>
      <c r="EN220" s="522"/>
      <c r="EO220" s="522"/>
      <c r="EP220" s="522"/>
      <c r="EQ220" s="522"/>
      <c r="ER220" s="522"/>
      <c r="ES220" s="407"/>
      <c r="ET220" s="407"/>
    </row>
    <row r="221" spans="1:150" s="357" customFormat="1" ht="15">
      <c r="A221" s="675" t="s">
        <v>3</v>
      </c>
      <c r="B221" s="712">
        <v>41847</v>
      </c>
      <c r="C221" s="358">
        <v>0</v>
      </c>
      <c r="D221" s="405">
        <v>0</v>
      </c>
      <c r="E221" s="681">
        <v>0</v>
      </c>
      <c r="F221" s="681">
        <v>61</v>
      </c>
      <c r="G221" s="681">
        <v>0.4</v>
      </c>
      <c r="H221" s="405">
        <v>0.8</v>
      </c>
      <c r="I221" s="405">
        <v>92.7</v>
      </c>
      <c r="J221" s="405" t="s">
        <v>744</v>
      </c>
      <c r="K221" s="405">
        <v>0.74</v>
      </c>
      <c r="L221" s="644">
        <v>0</v>
      </c>
      <c r="M221" s="405">
        <v>17.8</v>
      </c>
      <c r="N221" s="405" t="s">
        <v>744</v>
      </c>
      <c r="O221" s="405" t="s">
        <v>743</v>
      </c>
      <c r="P221" s="405">
        <v>1.67</v>
      </c>
      <c r="Q221" s="405">
        <v>2.4457126481372575</v>
      </c>
      <c r="R221" s="790">
        <v>1741.3126763540288</v>
      </c>
      <c r="S221" s="405" t="s">
        <v>744</v>
      </c>
      <c r="T221" s="405">
        <v>7.99</v>
      </c>
      <c r="U221" s="405" t="s">
        <v>744</v>
      </c>
      <c r="V221" s="681">
        <v>0.67</v>
      </c>
      <c r="W221" s="681" t="e">
        <v>#VALUE!</v>
      </c>
      <c r="X221" s="647">
        <v>58.64</v>
      </c>
      <c r="Y221" s="383">
        <v>43.05</v>
      </c>
      <c r="Z221" s="681">
        <v>41.85</v>
      </c>
      <c r="AA221" s="794">
        <v>43.02</v>
      </c>
      <c r="AB221" s="794">
        <v>41.95</v>
      </c>
      <c r="AC221" s="775">
        <f t="shared" si="226"/>
        <v>84.97</v>
      </c>
      <c r="AD221" s="775">
        <f t="shared" si="227"/>
        <v>131.44859</v>
      </c>
      <c r="AE221" s="775"/>
      <c r="AF221" s="775"/>
      <c r="AG221" s="407">
        <v>1.6</v>
      </c>
      <c r="AH221" s="705"/>
      <c r="AI221" s="705"/>
      <c r="AJ221" s="407"/>
      <c r="AK221" s="407"/>
      <c r="AL221" s="407"/>
      <c r="AM221" s="407"/>
      <c r="AN221" s="407"/>
      <c r="AO221" s="387"/>
      <c r="AP221" s="387"/>
      <c r="AQ221" s="405"/>
      <c r="AR221" s="578">
        <v>0</v>
      </c>
      <c r="AS221" s="405">
        <v>25.6</v>
      </c>
      <c r="AT221" s="578">
        <v>0</v>
      </c>
      <c r="AU221" s="405">
        <v>44</v>
      </c>
      <c r="AV221" s="405">
        <v>1225.5</v>
      </c>
      <c r="AW221" s="405">
        <v>945.6</v>
      </c>
      <c r="AX221" s="405">
        <v>76</v>
      </c>
      <c r="AY221" s="578">
        <v>0</v>
      </c>
      <c r="AZ221" s="578">
        <v>0</v>
      </c>
      <c r="BA221" s="578">
        <v>0</v>
      </c>
      <c r="BB221" s="925">
        <v>1.6</v>
      </c>
      <c r="BC221" s="405">
        <v>1.78</v>
      </c>
      <c r="BD221" s="405">
        <v>2.23</v>
      </c>
      <c r="BE221" s="578">
        <v>0</v>
      </c>
      <c r="BF221" s="405">
        <v>1</v>
      </c>
      <c r="BG221" s="405">
        <v>0</v>
      </c>
      <c r="BH221" s="578">
        <v>0</v>
      </c>
      <c r="BI221" s="405">
        <v>3</v>
      </c>
      <c r="BJ221" s="405">
        <v>34.200000000000003</v>
      </c>
      <c r="BK221" s="405">
        <v>5</v>
      </c>
      <c r="BL221" s="405">
        <v>6.18</v>
      </c>
      <c r="BM221" s="405">
        <v>0</v>
      </c>
      <c r="BN221" s="405">
        <v>22</v>
      </c>
      <c r="BO221" s="405">
        <v>2806.9</v>
      </c>
      <c r="BP221" s="405">
        <v>0</v>
      </c>
      <c r="BQ221" s="649">
        <v>19.899999999999999</v>
      </c>
      <c r="BR221" s="649">
        <v>19.79</v>
      </c>
      <c r="BS221" s="649">
        <v>19.5</v>
      </c>
      <c r="BT221" s="649">
        <v>19.600000000000001</v>
      </c>
      <c r="BU221" s="648">
        <v>40.299999999999997</v>
      </c>
      <c r="BV221" s="648">
        <v>53.6</v>
      </c>
      <c r="BW221" s="649">
        <v>1555.1</v>
      </c>
      <c r="BX221" s="876"/>
      <c r="BY221" s="649">
        <v>0.72</v>
      </c>
      <c r="BZ221" s="649">
        <v>1.48</v>
      </c>
      <c r="CA221" s="649">
        <v>1.3</v>
      </c>
      <c r="CB221" s="649">
        <v>8.6999999999999993</v>
      </c>
      <c r="CC221" s="649">
        <v>8</v>
      </c>
      <c r="CD221" s="649">
        <v>17.399999999999999</v>
      </c>
      <c r="CE221" s="649">
        <v>33.9</v>
      </c>
      <c r="CF221" s="649">
        <v>19.2</v>
      </c>
      <c r="CG221" s="649">
        <v>7.4</v>
      </c>
      <c r="CH221" s="649">
        <v>12.7</v>
      </c>
      <c r="CI221" s="649">
        <v>17</v>
      </c>
      <c r="CJ221" s="649">
        <v>14.3</v>
      </c>
      <c r="CK221" s="649">
        <v>0</v>
      </c>
      <c r="CL221" s="649">
        <v>3.7</v>
      </c>
      <c r="CM221" s="649">
        <v>5.4</v>
      </c>
      <c r="CN221" s="991">
        <v>1200</v>
      </c>
      <c r="CO221" s="649">
        <v>1089.3</v>
      </c>
      <c r="CP221" s="649">
        <v>695.5</v>
      </c>
      <c r="CQ221" s="649">
        <v>13.3</v>
      </c>
      <c r="CR221" s="649">
        <v>0.97</v>
      </c>
      <c r="CS221" s="648">
        <v>0</v>
      </c>
      <c r="CT221" s="405">
        <v>17.189</v>
      </c>
      <c r="CU221" s="405">
        <v>60</v>
      </c>
      <c r="CV221" s="522">
        <v>0</v>
      </c>
      <c r="CW221" s="522">
        <v>0</v>
      </c>
      <c r="CX221" s="522">
        <v>0</v>
      </c>
      <c r="CY221" s="522">
        <v>0</v>
      </c>
      <c r="CZ221" s="689">
        <v>339</v>
      </c>
      <c r="DA221" s="689">
        <v>360</v>
      </c>
      <c r="DB221" s="689">
        <v>195</v>
      </c>
      <c r="DC221" s="643">
        <v>1162.8800000000001</v>
      </c>
      <c r="DD221" s="522"/>
      <c r="DE221" s="522"/>
      <c r="DF221" s="522"/>
      <c r="DG221" s="522"/>
      <c r="DH221" s="968"/>
      <c r="DI221" s="968"/>
      <c r="DJ221" s="968"/>
      <c r="DK221"/>
      <c r="DL221" s="649"/>
      <c r="DM221" s="649"/>
      <c r="DN221" s="649"/>
      <c r="DO221" s="522"/>
      <c r="DP221" s="522"/>
      <c r="DQ221" s="522"/>
      <c r="DR221" s="522"/>
      <c r="DS221" s="522"/>
      <c r="DT221" s="522"/>
      <c r="DU221" s="522"/>
      <c r="DV221" s="522"/>
      <c r="DW221" s="522"/>
      <c r="DX221" s="522"/>
      <c r="DY221" s="522"/>
      <c r="DZ221" s="522"/>
      <c r="EA221" s="522"/>
      <c r="EB221" s="522"/>
      <c r="EC221" s="522"/>
      <c r="ED221" s="522"/>
      <c r="EE221" s="522"/>
      <c r="EF221" s="522"/>
      <c r="EG221" s="645">
        <f t="shared" si="209"/>
        <v>29.392999999999997</v>
      </c>
      <c r="EH221" s="649">
        <v>0</v>
      </c>
      <c r="EI221" s="649">
        <v>3</v>
      </c>
      <c r="EJ221" s="649">
        <v>5</v>
      </c>
      <c r="EK221" s="649">
        <v>11</v>
      </c>
      <c r="EL221" s="522"/>
      <c r="EM221" s="522"/>
      <c r="EN221" s="522"/>
      <c r="EO221" s="522"/>
      <c r="EP221" s="522"/>
      <c r="EQ221" s="522"/>
      <c r="ER221" s="522"/>
      <c r="ES221" s="407"/>
      <c r="ET221" s="407"/>
    </row>
    <row r="222" spans="1:150" s="357" customFormat="1" ht="15">
      <c r="A222" s="675" t="s">
        <v>4</v>
      </c>
      <c r="B222" s="712">
        <v>41848</v>
      </c>
      <c r="C222" s="358">
        <v>0</v>
      </c>
      <c r="D222" s="405">
        <v>0</v>
      </c>
      <c r="E222" s="681">
        <v>0</v>
      </c>
      <c r="F222" s="681">
        <v>64</v>
      </c>
      <c r="G222" s="681">
        <v>0.4</v>
      </c>
      <c r="H222" s="405">
        <v>0.85</v>
      </c>
      <c r="I222" s="405">
        <v>93.2</v>
      </c>
      <c r="J222" s="405" t="s">
        <v>744</v>
      </c>
      <c r="K222" s="405">
        <v>0.74</v>
      </c>
      <c r="L222" s="644">
        <v>0</v>
      </c>
      <c r="M222" s="405">
        <v>17.5</v>
      </c>
      <c r="N222" s="405" t="s">
        <v>744</v>
      </c>
      <c r="O222" s="405" t="s">
        <v>743</v>
      </c>
      <c r="P222" s="405">
        <v>1.68</v>
      </c>
      <c r="Q222" s="405">
        <v>2.406017404202756</v>
      </c>
      <c r="R222" s="790">
        <v>1900.6738811096429</v>
      </c>
      <c r="S222" s="405" t="s">
        <v>744</v>
      </c>
      <c r="T222" s="405">
        <v>8.0299999999999994</v>
      </c>
      <c r="U222" s="405" t="s">
        <v>744</v>
      </c>
      <c r="V222" s="681">
        <v>0.66</v>
      </c>
      <c r="W222" s="681" t="e">
        <v>#VALUE!</v>
      </c>
      <c r="X222" s="647">
        <v>59.360000000000014</v>
      </c>
      <c r="Y222" s="383">
        <v>43.02</v>
      </c>
      <c r="Z222" s="681">
        <v>41.95</v>
      </c>
      <c r="AA222" s="794">
        <v>45.51</v>
      </c>
      <c r="AB222" s="794">
        <v>48.13</v>
      </c>
      <c r="AC222" s="775">
        <f t="shared" ref="AC222" si="228">AA222+AB222</f>
        <v>93.64</v>
      </c>
      <c r="AD222" s="775">
        <f t="shared" ref="AD222" si="229">AC222*1.547</f>
        <v>144.86107999999999</v>
      </c>
      <c r="AE222" s="775"/>
      <c r="AF222" s="775"/>
      <c r="AG222" s="407">
        <v>1.6</v>
      </c>
      <c r="AH222" s="705"/>
      <c r="AI222" s="705"/>
      <c r="AJ222" s="407"/>
      <c r="AK222" s="407"/>
      <c r="AL222" s="407"/>
      <c r="AM222" s="407"/>
      <c r="AN222" s="407"/>
      <c r="AO222" s="387"/>
      <c r="AP222" s="387"/>
      <c r="AQ222" s="405"/>
      <c r="AR222" s="578">
        <v>0</v>
      </c>
      <c r="AS222" s="405">
        <v>25.7</v>
      </c>
      <c r="AT222" s="578">
        <v>0</v>
      </c>
      <c r="AU222" s="405">
        <v>46.2</v>
      </c>
      <c r="AV222" s="405">
        <v>1393.7</v>
      </c>
      <c r="AW222" s="405">
        <v>857.5</v>
      </c>
      <c r="AX222" s="405">
        <v>81.2</v>
      </c>
      <c r="AY222" s="578">
        <v>0</v>
      </c>
      <c r="AZ222" s="578">
        <v>0</v>
      </c>
      <c r="BA222" s="578">
        <v>0</v>
      </c>
      <c r="BB222" s="925">
        <v>1.6</v>
      </c>
      <c r="BC222" s="405">
        <v>1.69</v>
      </c>
      <c r="BD222" s="405">
        <v>2.31</v>
      </c>
      <c r="BE222" s="578">
        <v>0</v>
      </c>
      <c r="BF222" s="405">
        <v>1</v>
      </c>
      <c r="BG222" s="405">
        <v>0</v>
      </c>
      <c r="BH222" s="578">
        <v>0</v>
      </c>
      <c r="BI222" s="405">
        <v>3</v>
      </c>
      <c r="BJ222" s="405">
        <v>40.5</v>
      </c>
      <c r="BK222" s="405">
        <v>5.72</v>
      </c>
      <c r="BL222" s="405">
        <v>5.41</v>
      </c>
      <c r="BM222" s="405">
        <v>0</v>
      </c>
      <c r="BN222" s="405">
        <v>28.2</v>
      </c>
      <c r="BO222" s="405">
        <v>2891.4</v>
      </c>
      <c r="BP222" s="405">
        <v>0</v>
      </c>
      <c r="BQ222" s="649">
        <v>17.38</v>
      </c>
      <c r="BR222" s="649">
        <v>17.3</v>
      </c>
      <c r="BS222" s="649">
        <v>20.6</v>
      </c>
      <c r="BT222" s="649">
        <v>20.6</v>
      </c>
      <c r="BU222" s="648">
        <v>42.3</v>
      </c>
      <c r="BV222" s="648">
        <v>55</v>
      </c>
      <c r="BW222" s="649">
        <v>1350.7</v>
      </c>
      <c r="BX222" s="876"/>
      <c r="BY222" s="649">
        <v>0.69</v>
      </c>
      <c r="BZ222" s="649">
        <v>1.53</v>
      </c>
      <c r="CA222" s="649">
        <v>1.3</v>
      </c>
      <c r="CB222" s="649">
        <v>8.8000000000000007</v>
      </c>
      <c r="CC222" s="649">
        <v>8.1</v>
      </c>
      <c r="CD222" s="649">
        <v>17.600000000000001</v>
      </c>
      <c r="CE222" s="649">
        <v>34.299999999999997</v>
      </c>
      <c r="CF222" s="649">
        <v>22.4</v>
      </c>
      <c r="CG222" s="649">
        <v>7.2</v>
      </c>
      <c r="CH222" s="649">
        <v>12.5</v>
      </c>
      <c r="CI222" s="649">
        <v>16.8</v>
      </c>
      <c r="CJ222" s="649">
        <v>15</v>
      </c>
      <c r="CK222" s="649">
        <v>541.20000000000005</v>
      </c>
      <c r="CL222" s="649">
        <v>4.0999999999999996</v>
      </c>
      <c r="CM222" s="649">
        <v>5.9</v>
      </c>
      <c r="CN222" s="991">
        <v>1200</v>
      </c>
      <c r="CO222" s="649">
        <v>1128.7</v>
      </c>
      <c r="CP222" s="649">
        <v>711.2</v>
      </c>
      <c r="CQ222" s="649">
        <v>13.7</v>
      </c>
      <c r="CR222" s="649">
        <v>1.03</v>
      </c>
      <c r="CS222" s="648">
        <v>264.3</v>
      </c>
      <c r="CT222" s="405">
        <v>17.279</v>
      </c>
      <c r="CU222" s="405">
        <v>60</v>
      </c>
      <c r="CV222" s="522">
        <v>0</v>
      </c>
      <c r="CW222" s="522">
        <v>0</v>
      </c>
      <c r="CX222" s="522">
        <v>0</v>
      </c>
      <c r="CY222" s="522">
        <v>0</v>
      </c>
      <c r="CZ222" s="689">
        <v>351</v>
      </c>
      <c r="DA222" s="689">
        <v>333</v>
      </c>
      <c r="DB222" s="689">
        <v>191</v>
      </c>
      <c r="DC222" s="643">
        <v>1162.7</v>
      </c>
      <c r="DD222" s="522"/>
      <c r="DE222" s="522"/>
      <c r="DF222" s="522"/>
      <c r="DG222" s="522"/>
      <c r="DH222" s="968"/>
      <c r="DI222" s="968"/>
      <c r="DJ222" s="968"/>
      <c r="DK222"/>
      <c r="DL222" s="649"/>
      <c r="DM222" s="649"/>
      <c r="DN222" s="649"/>
      <c r="DO222" s="522"/>
      <c r="DP222" s="522"/>
      <c r="DQ222" s="522"/>
      <c r="DR222" s="522"/>
      <c r="DS222" s="522"/>
      <c r="DT222" s="522"/>
      <c r="DU222" s="522"/>
      <c r="DV222" s="522"/>
      <c r="DW222" s="522"/>
      <c r="DX222" s="522"/>
      <c r="DY222" s="522"/>
      <c r="DZ222" s="522"/>
      <c r="EA222" s="522"/>
      <c r="EB222" s="522"/>
      <c r="EC222" s="522"/>
      <c r="ED222" s="522"/>
      <c r="EE222" s="522"/>
      <c r="EF222" s="522"/>
      <c r="EG222" s="1107">
        <f t="shared" si="209"/>
        <v>39.448499999999996</v>
      </c>
      <c r="EH222" s="649">
        <v>6</v>
      </c>
      <c r="EI222" s="649">
        <v>3</v>
      </c>
      <c r="EJ222" s="649">
        <v>5.5</v>
      </c>
      <c r="EK222" s="649">
        <v>11</v>
      </c>
      <c r="EL222" s="522"/>
      <c r="EM222" s="522"/>
      <c r="EN222" s="522"/>
      <c r="EO222" s="522"/>
      <c r="EP222" s="522"/>
      <c r="EQ222" s="522"/>
      <c r="ER222" s="522"/>
      <c r="ES222" s="407"/>
      <c r="ET222" s="407"/>
    </row>
    <row r="223" spans="1:150" s="357" customFormat="1" ht="15">
      <c r="A223" s="675" t="s">
        <v>5</v>
      </c>
      <c r="B223" s="712">
        <v>41849</v>
      </c>
      <c r="C223" s="358">
        <v>0</v>
      </c>
      <c r="D223" s="405">
        <v>0</v>
      </c>
      <c r="E223" s="681">
        <v>0</v>
      </c>
      <c r="F223" s="681">
        <v>62</v>
      </c>
      <c r="G223" s="681">
        <v>0.4</v>
      </c>
      <c r="H223" s="405">
        <v>1.08</v>
      </c>
      <c r="I223" s="405">
        <v>92.2</v>
      </c>
      <c r="J223" s="405" t="s">
        <v>744</v>
      </c>
      <c r="K223" s="405">
        <v>0.87</v>
      </c>
      <c r="L223" s="644">
        <v>0</v>
      </c>
      <c r="M223" s="405">
        <v>16.899999999999999</v>
      </c>
      <c r="N223" s="405" t="s">
        <v>744</v>
      </c>
      <c r="O223" s="405" t="s">
        <v>743</v>
      </c>
      <c r="P223" s="405">
        <v>1.68</v>
      </c>
      <c r="Q223" s="405">
        <v>2.3885514908350594</v>
      </c>
      <c r="R223" s="1106">
        <v>-1661300.3953712019</v>
      </c>
      <c r="S223" s="405" t="s">
        <v>744</v>
      </c>
      <c r="T223" s="405">
        <v>7.92</v>
      </c>
      <c r="U223" s="405" t="s">
        <v>744</v>
      </c>
      <c r="V223" s="681">
        <v>0.57999999999999996</v>
      </c>
      <c r="W223" s="681" t="e">
        <v>#VALUE!</v>
      </c>
      <c r="X223" s="647">
        <v>61.160000000000011</v>
      </c>
      <c r="Y223" s="383">
        <v>45.51</v>
      </c>
      <c r="Z223" s="681">
        <v>48.13</v>
      </c>
      <c r="AA223" s="794">
        <v>47.91</v>
      </c>
      <c r="AB223" s="794">
        <v>52.92</v>
      </c>
      <c r="AC223" s="775">
        <f t="shared" ref="AC223:AC224" si="230">AA223+AB223</f>
        <v>100.83</v>
      </c>
      <c r="AD223" s="775">
        <f t="shared" ref="AD223:AD224" si="231">AC223*1.547</f>
        <v>155.98400999999998</v>
      </c>
      <c r="AE223" s="775"/>
      <c r="AF223" s="775"/>
      <c r="AG223" s="407">
        <v>1.6</v>
      </c>
      <c r="AH223" s="705"/>
      <c r="AI223" s="705"/>
      <c r="AJ223" s="407"/>
      <c r="AK223" s="407"/>
      <c r="AL223" s="407"/>
      <c r="AM223" s="407"/>
      <c r="AN223" s="407"/>
      <c r="AO223" s="387"/>
      <c r="AP223" s="387"/>
      <c r="AQ223" s="405"/>
      <c r="AR223" s="578">
        <v>0</v>
      </c>
      <c r="AS223" s="405">
        <v>26.5</v>
      </c>
      <c r="AT223" s="578">
        <v>0</v>
      </c>
      <c r="AU223" s="405">
        <v>49</v>
      </c>
      <c r="AV223" s="405">
        <v>1202.0999999999999</v>
      </c>
      <c r="AW223" s="405">
        <v>811.9</v>
      </c>
      <c r="AX223" s="405">
        <v>71.900000000000006</v>
      </c>
      <c r="AY223" s="578">
        <v>0</v>
      </c>
      <c r="AZ223" s="578">
        <v>0</v>
      </c>
      <c r="BA223" s="578">
        <v>0</v>
      </c>
      <c r="BB223" s="925">
        <v>1.6</v>
      </c>
      <c r="BC223" s="405">
        <v>1.44</v>
      </c>
      <c r="BD223" s="405">
        <v>2.57</v>
      </c>
      <c r="BE223" s="578">
        <v>0</v>
      </c>
      <c r="BF223" s="405">
        <v>1</v>
      </c>
      <c r="BG223" s="405">
        <v>0</v>
      </c>
      <c r="BH223" s="578">
        <v>0</v>
      </c>
      <c r="BI223" s="405">
        <v>3</v>
      </c>
      <c r="BJ223" s="405">
        <v>45.2</v>
      </c>
      <c r="BK223" s="405">
        <v>5.95</v>
      </c>
      <c r="BL223" s="405">
        <v>5.21</v>
      </c>
      <c r="BM223" s="405">
        <v>0</v>
      </c>
      <c r="BN223" s="405">
        <v>32.9</v>
      </c>
      <c r="BO223" s="405">
        <v>3101.9</v>
      </c>
      <c r="BP223" s="405">
        <v>0</v>
      </c>
      <c r="BQ223" s="649">
        <v>20.350000000000001</v>
      </c>
      <c r="BR223" s="649">
        <v>20.28</v>
      </c>
      <c r="BS223" s="649">
        <v>22.1</v>
      </c>
      <c r="BT223" s="649">
        <v>22.2</v>
      </c>
      <c r="BU223" s="648">
        <v>45.4</v>
      </c>
      <c r="BV223" s="648">
        <v>42.7</v>
      </c>
      <c r="BW223" s="649">
        <v>1303.5</v>
      </c>
      <c r="BX223" s="876"/>
      <c r="BY223" s="649">
        <v>0.7</v>
      </c>
      <c r="BZ223" s="649">
        <v>1.53</v>
      </c>
      <c r="CA223" s="649">
        <v>1.3</v>
      </c>
      <c r="CB223" s="649">
        <v>8.6</v>
      </c>
      <c r="CC223" s="649">
        <v>8.1999999999999993</v>
      </c>
      <c r="CD223" s="649">
        <v>14.9</v>
      </c>
      <c r="CE223" s="649">
        <v>33.9</v>
      </c>
      <c r="CF223" s="649">
        <v>21.4</v>
      </c>
      <c r="CG223" s="649">
        <v>8.4</v>
      </c>
      <c r="CH223" s="649">
        <v>13.9</v>
      </c>
      <c r="CI223" s="649">
        <v>18.2</v>
      </c>
      <c r="CJ223" s="649">
        <v>13.1</v>
      </c>
      <c r="CK223" s="649">
        <v>646.70000000000005</v>
      </c>
      <c r="CL223" s="649">
        <v>2.2999999999999998</v>
      </c>
      <c r="CM223" s="649">
        <v>5.4</v>
      </c>
      <c r="CN223" s="991">
        <v>1200</v>
      </c>
      <c r="CO223" s="649">
        <v>1095</v>
      </c>
      <c r="CP223" s="649">
        <v>705.4</v>
      </c>
      <c r="CQ223" s="649">
        <v>14.2</v>
      </c>
      <c r="CR223" s="649">
        <v>1.08</v>
      </c>
      <c r="CS223" s="648">
        <v>533.6</v>
      </c>
      <c r="CT223" s="405">
        <v>17.376999999999999</v>
      </c>
      <c r="CU223" s="405">
        <v>61</v>
      </c>
      <c r="CV223" s="522">
        <v>0</v>
      </c>
      <c r="CW223" s="522">
        <v>0</v>
      </c>
      <c r="CX223" s="522">
        <v>0</v>
      </c>
      <c r="CY223" s="522">
        <v>0</v>
      </c>
      <c r="CZ223" s="689">
        <v>348</v>
      </c>
      <c r="DA223" s="689">
        <v>333</v>
      </c>
      <c r="DB223" s="689">
        <v>174</v>
      </c>
      <c r="DC223" s="643">
        <v>1162.52</v>
      </c>
      <c r="DD223" s="522"/>
      <c r="DE223" s="522"/>
      <c r="DF223" s="522"/>
      <c r="DG223" s="522"/>
      <c r="DH223" s="522"/>
      <c r="DI223" s="522"/>
      <c r="DJ223" s="522"/>
      <c r="DK223" s="1105"/>
      <c r="DL223" s="649"/>
      <c r="DM223" s="649"/>
      <c r="DN223" s="649"/>
      <c r="DO223" s="522"/>
      <c r="DP223" s="522"/>
      <c r="DQ223" s="522"/>
      <c r="DR223" s="522"/>
      <c r="DS223" s="522"/>
      <c r="DT223" s="522"/>
      <c r="DU223" s="522"/>
      <c r="DV223" s="522"/>
      <c r="DW223" s="522"/>
      <c r="DX223" s="522"/>
      <c r="DY223" s="522"/>
      <c r="DZ223" s="522"/>
      <c r="EA223" s="522"/>
      <c r="EB223" s="522"/>
      <c r="EC223" s="522"/>
      <c r="ED223" s="522"/>
      <c r="EE223" s="522"/>
      <c r="EF223" s="522"/>
      <c r="EG223" s="1107">
        <f t="shared" si="209"/>
        <v>48.266399999999997</v>
      </c>
      <c r="EH223" s="649">
        <v>12.2</v>
      </c>
      <c r="EI223" s="649">
        <v>3</v>
      </c>
      <c r="EJ223" s="649">
        <v>5</v>
      </c>
      <c r="EK223" s="649">
        <v>11</v>
      </c>
      <c r="EL223" s="522"/>
      <c r="EM223" s="522"/>
      <c r="EN223" s="522"/>
      <c r="EO223" s="522"/>
      <c r="EP223" s="522"/>
      <c r="EQ223" s="522"/>
      <c r="ER223" s="522"/>
      <c r="ES223" s="407"/>
      <c r="ET223" s="407"/>
    </row>
    <row r="224" spans="1:150" s="357" customFormat="1" ht="15">
      <c r="A224" s="675" t="s">
        <v>6</v>
      </c>
      <c r="B224" s="712">
        <v>41850</v>
      </c>
      <c r="C224" s="358">
        <v>0</v>
      </c>
      <c r="D224" s="405">
        <v>0</v>
      </c>
      <c r="E224" s="681">
        <v>0</v>
      </c>
      <c r="F224" s="681">
        <v>61</v>
      </c>
      <c r="G224" s="681">
        <v>0.4</v>
      </c>
      <c r="H224" s="405">
        <v>0.97</v>
      </c>
      <c r="I224" s="405">
        <v>93.07</v>
      </c>
      <c r="J224" s="405" t="s">
        <v>744</v>
      </c>
      <c r="K224" s="405">
        <v>1.1100000000000001</v>
      </c>
      <c r="L224" s="644">
        <v>0</v>
      </c>
      <c r="M224" s="405">
        <v>16.7</v>
      </c>
      <c r="N224" s="405" t="s">
        <v>744</v>
      </c>
      <c r="O224" s="405" t="s">
        <v>743</v>
      </c>
      <c r="P224" s="405">
        <v>1.74</v>
      </c>
      <c r="Q224" s="405">
        <v>2.4474062779040127</v>
      </c>
      <c r="R224" s="790">
        <v>2059.7111809775424</v>
      </c>
      <c r="S224" s="405" t="s">
        <v>744</v>
      </c>
      <c r="T224" s="405">
        <v>7.97</v>
      </c>
      <c r="U224" s="405" t="s">
        <v>744</v>
      </c>
      <c r="V224" s="681">
        <v>0.69</v>
      </c>
      <c r="W224" s="681" t="e">
        <v>#VALUE!</v>
      </c>
      <c r="X224" s="647">
        <v>58.460000000000008</v>
      </c>
      <c r="Y224" s="383">
        <v>47.91</v>
      </c>
      <c r="Z224" s="681">
        <v>52.92</v>
      </c>
      <c r="AA224" s="794">
        <v>50.19</v>
      </c>
      <c r="AB224" s="794">
        <v>50.61</v>
      </c>
      <c r="AC224" s="775">
        <f t="shared" si="230"/>
        <v>100.8</v>
      </c>
      <c r="AD224" s="775">
        <f t="shared" si="231"/>
        <v>155.93759999999997</v>
      </c>
      <c r="AE224" s="775"/>
      <c r="AF224" s="775"/>
      <c r="AG224" s="407">
        <v>1.6</v>
      </c>
      <c r="AH224" s="705"/>
      <c r="AI224" s="705"/>
      <c r="AJ224" s="407"/>
      <c r="AK224" s="407"/>
      <c r="AL224" s="407"/>
      <c r="AM224" s="407"/>
      <c r="AN224" s="407"/>
      <c r="AO224" s="387"/>
      <c r="AP224" s="387"/>
      <c r="AQ224" s="405"/>
      <c r="AR224" s="578">
        <v>0</v>
      </c>
      <c r="AS224" s="405">
        <v>27.2</v>
      </c>
      <c r="AT224" s="578">
        <v>0.48</v>
      </c>
      <c r="AU224" s="405">
        <v>50.4</v>
      </c>
      <c r="AV224" s="405">
        <v>1383.6</v>
      </c>
      <c r="AW224" s="405">
        <v>1090.4000000000001</v>
      </c>
      <c r="AX224" s="405">
        <v>85.8</v>
      </c>
      <c r="AY224" s="578">
        <v>0</v>
      </c>
      <c r="AZ224" s="578">
        <v>0</v>
      </c>
      <c r="BA224" s="578">
        <v>0</v>
      </c>
      <c r="BB224" s="925">
        <v>1.6</v>
      </c>
      <c r="BC224" s="405">
        <v>1.56</v>
      </c>
      <c r="BD224" s="405">
        <v>2.44</v>
      </c>
      <c r="BE224" s="578">
        <v>0</v>
      </c>
      <c r="BF224" s="405">
        <v>1</v>
      </c>
      <c r="BG224" s="405">
        <v>0</v>
      </c>
      <c r="BH224" s="578">
        <v>0</v>
      </c>
      <c r="BI224" s="405">
        <v>3</v>
      </c>
      <c r="BJ224" s="405">
        <v>42.9</v>
      </c>
      <c r="BK224" s="405">
        <v>6</v>
      </c>
      <c r="BL224" s="405">
        <v>5.04</v>
      </c>
      <c r="BM224" s="405">
        <v>0</v>
      </c>
      <c r="BN224" s="405">
        <v>30.9</v>
      </c>
      <c r="BO224" s="405">
        <v>2553.1</v>
      </c>
      <c r="BP224" s="405">
        <v>0</v>
      </c>
      <c r="BQ224" s="649">
        <v>21.66</v>
      </c>
      <c r="BR224" s="649">
        <v>21.53</v>
      </c>
      <c r="BS224" s="649">
        <v>22.6</v>
      </c>
      <c r="BT224" s="649">
        <v>22.7</v>
      </c>
      <c r="BU224" s="648">
        <v>46.4</v>
      </c>
      <c r="BV224" s="648">
        <v>48.6</v>
      </c>
      <c r="BW224" s="649">
        <v>1531.2</v>
      </c>
      <c r="BX224" s="876"/>
      <c r="BY224" s="649">
        <v>0.89</v>
      </c>
      <c r="BZ224" s="649">
        <v>1.56</v>
      </c>
      <c r="CA224" s="649">
        <v>1.3</v>
      </c>
      <c r="CB224" s="649">
        <v>8.6999999999999993</v>
      </c>
      <c r="CC224" s="649">
        <v>8.3000000000000007</v>
      </c>
      <c r="CD224" s="649">
        <v>15.5</v>
      </c>
      <c r="CE224" s="649">
        <v>29.3</v>
      </c>
      <c r="CF224" s="649">
        <v>19</v>
      </c>
      <c r="CG224" s="649">
        <v>6.9</v>
      </c>
      <c r="CH224" s="649">
        <v>12.1</v>
      </c>
      <c r="CI224" s="649">
        <v>16.399999999999999</v>
      </c>
      <c r="CJ224" s="649">
        <v>13.6</v>
      </c>
      <c r="CK224" s="649">
        <v>639</v>
      </c>
      <c r="CL224" s="649">
        <v>3.5</v>
      </c>
      <c r="CM224" s="649">
        <v>4.2</v>
      </c>
      <c r="CN224" s="991">
        <v>1200</v>
      </c>
      <c r="CO224" s="649">
        <v>1098</v>
      </c>
      <c r="CP224" s="649">
        <v>698.2</v>
      </c>
      <c r="CQ224" s="649">
        <v>14.2</v>
      </c>
      <c r="CR224" s="649">
        <v>1.1399999999999999</v>
      </c>
      <c r="CS224" s="648">
        <v>0</v>
      </c>
      <c r="CT224" s="405">
        <v>17.094000000000001</v>
      </c>
      <c r="CU224" s="405">
        <v>61</v>
      </c>
      <c r="CV224" s="792">
        <v>0</v>
      </c>
      <c r="CW224" s="792">
        <v>0</v>
      </c>
      <c r="CX224" s="792">
        <v>0</v>
      </c>
      <c r="CY224" s="792">
        <v>0</v>
      </c>
      <c r="CZ224" s="689">
        <v>348</v>
      </c>
      <c r="DA224" s="689">
        <v>324</v>
      </c>
      <c r="DB224" s="689">
        <v>172</v>
      </c>
      <c r="DC224" s="643">
        <v>1162.3</v>
      </c>
      <c r="DD224" s="522"/>
      <c r="DE224" s="522"/>
      <c r="DF224" s="522"/>
      <c r="DG224" s="522"/>
      <c r="DH224" s="522"/>
      <c r="DI224" s="522"/>
      <c r="DJ224" s="522"/>
      <c r="DK224" s="1105"/>
      <c r="DL224" s="649"/>
      <c r="DM224" s="649"/>
      <c r="DN224" s="649"/>
      <c r="DO224" s="522"/>
      <c r="DP224" s="522"/>
      <c r="DQ224" s="522"/>
      <c r="DR224" s="522"/>
      <c r="DS224" s="522"/>
      <c r="DT224" s="522"/>
      <c r="DU224" s="522"/>
      <c r="DV224" s="522"/>
      <c r="DW224" s="522"/>
      <c r="DX224" s="522"/>
      <c r="DY224" s="522"/>
      <c r="DZ224" s="522"/>
      <c r="EA224" s="522"/>
      <c r="EB224" s="522"/>
      <c r="EC224" s="522"/>
      <c r="ED224" s="522"/>
      <c r="EE224" s="522"/>
      <c r="EF224" s="522"/>
      <c r="EG224" s="1107">
        <f t="shared" si="209"/>
        <v>50.741599999999991</v>
      </c>
      <c r="EH224" s="649">
        <v>13.8</v>
      </c>
      <c r="EI224" s="649">
        <v>3</v>
      </c>
      <c r="EJ224" s="649">
        <v>5</v>
      </c>
      <c r="EK224" s="649">
        <v>11</v>
      </c>
      <c r="EL224" s="522"/>
      <c r="EM224" s="522"/>
      <c r="EN224" s="522"/>
      <c r="EO224" s="522"/>
      <c r="EP224" s="522"/>
      <c r="EQ224" s="522"/>
      <c r="ER224" s="522"/>
      <c r="ES224" s="407"/>
      <c r="ET224" s="407"/>
    </row>
    <row r="225" spans="1:150" s="357" customFormat="1" ht="15">
      <c r="A225" s="675" t="s">
        <v>7</v>
      </c>
      <c r="B225" s="712">
        <v>41851</v>
      </c>
      <c r="C225" s="358">
        <v>0</v>
      </c>
      <c r="D225" s="405">
        <v>0</v>
      </c>
      <c r="E225" s="681">
        <v>0</v>
      </c>
      <c r="F225" s="681">
        <v>62</v>
      </c>
      <c r="G225" s="681">
        <v>0.4</v>
      </c>
      <c r="H225" s="405">
        <v>0.85</v>
      </c>
      <c r="I225" s="405">
        <v>92.68</v>
      </c>
      <c r="J225" s="405" t="s">
        <v>744</v>
      </c>
      <c r="K225" s="405">
        <v>0.69</v>
      </c>
      <c r="L225" s="644">
        <v>0</v>
      </c>
      <c r="M225" s="405">
        <v>17</v>
      </c>
      <c r="N225" s="405" t="s">
        <v>744</v>
      </c>
      <c r="O225" s="405" t="s">
        <v>743</v>
      </c>
      <c r="P225" s="405">
        <v>1.73</v>
      </c>
      <c r="Q225" s="405">
        <v>2.3869851300766816</v>
      </c>
      <c r="R225" s="790">
        <v>2011.4493527080579</v>
      </c>
      <c r="S225" s="405" t="s">
        <v>744</v>
      </c>
      <c r="T225" s="405">
        <v>8.06</v>
      </c>
      <c r="U225" s="405" t="s">
        <v>744</v>
      </c>
      <c r="V225" s="681">
        <v>0.64</v>
      </c>
      <c r="W225" s="681" t="e">
        <v>#VALUE!</v>
      </c>
      <c r="X225" s="647">
        <v>59.180000000000007</v>
      </c>
      <c r="Y225" s="383">
        <v>50.19</v>
      </c>
      <c r="Z225" s="681">
        <v>50.61</v>
      </c>
      <c r="AA225" s="794">
        <v>53.8</v>
      </c>
      <c r="AB225" s="794">
        <v>47.02</v>
      </c>
      <c r="AC225" s="775">
        <f t="shared" ref="AC225" si="232">AA225+AB225</f>
        <v>100.82</v>
      </c>
      <c r="AD225" s="775">
        <f t="shared" ref="AD225" si="233">AC225*1.547</f>
        <v>155.96853999999999</v>
      </c>
      <c r="AE225" s="775"/>
      <c r="AF225" s="775"/>
      <c r="AG225" s="407">
        <v>1.6</v>
      </c>
      <c r="AH225" s="705"/>
      <c r="AI225" s="705"/>
      <c r="AJ225" s="407"/>
      <c r="AK225" s="407"/>
      <c r="AL225" s="407"/>
      <c r="AM225" s="407"/>
      <c r="AN225" s="407"/>
      <c r="AO225" s="387"/>
      <c r="AP225" s="387"/>
      <c r="AQ225" s="405"/>
      <c r="AR225" s="578">
        <v>0</v>
      </c>
      <c r="AS225" s="405">
        <v>24.2</v>
      </c>
      <c r="AT225" s="578">
        <v>0.31</v>
      </c>
      <c r="AU225" s="405">
        <v>54.7</v>
      </c>
      <c r="AV225" s="405">
        <v>1179</v>
      </c>
      <c r="AW225" s="405">
        <v>714</v>
      </c>
      <c r="AX225" s="405">
        <v>72.8</v>
      </c>
      <c r="AY225" s="578">
        <v>0</v>
      </c>
      <c r="AZ225" s="578">
        <v>0</v>
      </c>
      <c r="BA225" s="578">
        <v>0</v>
      </c>
      <c r="BB225" s="925">
        <v>1.6</v>
      </c>
      <c r="BC225" s="405">
        <v>1.41</v>
      </c>
      <c r="BD225" s="405">
        <v>2.59</v>
      </c>
      <c r="BE225" s="578">
        <v>0</v>
      </c>
      <c r="BF225" s="405">
        <v>1</v>
      </c>
      <c r="BG225" s="405">
        <v>0</v>
      </c>
      <c r="BH225" s="578">
        <v>0</v>
      </c>
      <c r="BI225" s="405">
        <v>3</v>
      </c>
      <c r="BJ225" s="405">
        <v>39.4</v>
      </c>
      <c r="BK225" s="681">
        <v>5.94</v>
      </c>
      <c r="BL225" s="405">
        <v>5.09</v>
      </c>
      <c r="BM225" s="405">
        <v>0</v>
      </c>
      <c r="BN225" s="405">
        <v>27.35</v>
      </c>
      <c r="BO225" s="405">
        <v>2641.3</v>
      </c>
      <c r="BP225" s="405">
        <v>0</v>
      </c>
      <c r="BQ225" s="649">
        <v>21.74</v>
      </c>
      <c r="BR225" s="649">
        <v>21.66</v>
      </c>
      <c r="BS225" s="649">
        <v>24.98</v>
      </c>
      <c r="BT225" s="649">
        <v>25.07</v>
      </c>
      <c r="BU225" s="648">
        <v>51</v>
      </c>
      <c r="BV225" s="648">
        <v>57.1</v>
      </c>
      <c r="BW225" s="649">
        <v>1341.8</v>
      </c>
      <c r="BX225" s="876"/>
      <c r="BY225" s="649">
        <v>4.8099999999999996</v>
      </c>
      <c r="BZ225" s="649">
        <v>1.61</v>
      </c>
      <c r="CA225" s="649">
        <v>1.4</v>
      </c>
      <c r="CB225" s="649">
        <v>8.6999999999999993</v>
      </c>
      <c r="CC225" s="649">
        <v>8.4</v>
      </c>
      <c r="CD225" s="649">
        <v>16.600000000000001</v>
      </c>
      <c r="CE225" s="649">
        <v>34</v>
      </c>
      <c r="CF225" s="649">
        <v>23.1</v>
      </c>
      <c r="CG225" s="649">
        <v>6.4</v>
      </c>
      <c r="CH225" s="649">
        <v>11.6</v>
      </c>
      <c r="CI225" s="649">
        <v>15.9</v>
      </c>
      <c r="CJ225" s="649">
        <v>14.68</v>
      </c>
      <c r="CK225" s="649">
        <v>592.9</v>
      </c>
      <c r="CL225" s="649">
        <v>3.9</v>
      </c>
      <c r="CM225" s="649">
        <v>4.5</v>
      </c>
      <c r="CN225" s="991">
        <v>1200</v>
      </c>
      <c r="CO225" s="649">
        <v>1096.9000000000001</v>
      </c>
      <c r="CP225" s="649">
        <v>680</v>
      </c>
      <c r="CQ225" s="649">
        <v>15</v>
      </c>
      <c r="CR225" s="649">
        <v>1.05</v>
      </c>
      <c r="CS225" s="648">
        <v>640.70000000000005</v>
      </c>
      <c r="CT225" s="405">
        <v>17.25</v>
      </c>
      <c r="CU225" s="405">
        <v>61</v>
      </c>
      <c r="CV225" s="792">
        <v>0</v>
      </c>
      <c r="CW225" s="792">
        <v>0</v>
      </c>
      <c r="CX225" s="792">
        <v>0</v>
      </c>
      <c r="CY225" s="792">
        <v>0</v>
      </c>
      <c r="CZ225" s="689">
        <v>348</v>
      </c>
      <c r="DA225" s="689">
        <v>333</v>
      </c>
      <c r="DB225" s="689">
        <v>191</v>
      </c>
      <c r="DC225" s="643">
        <v>1162.05</v>
      </c>
      <c r="DD225" s="522"/>
      <c r="DE225" s="522"/>
      <c r="DF225" s="522"/>
      <c r="DG225" s="522"/>
      <c r="DH225" s="522"/>
      <c r="DI225" s="522"/>
      <c r="DJ225" s="522"/>
      <c r="DK225" s="522"/>
      <c r="DL225" s="649"/>
      <c r="DM225" s="649"/>
      <c r="DN225" s="649"/>
      <c r="DO225" s="522"/>
      <c r="DP225" s="522"/>
      <c r="DQ225" s="522"/>
      <c r="DR225" s="522"/>
      <c r="DS225" s="522"/>
      <c r="DT225" s="522"/>
      <c r="DU225" s="522"/>
      <c r="DV225" s="522"/>
      <c r="DW225" s="522"/>
      <c r="DX225" s="522"/>
      <c r="DY225" s="522"/>
      <c r="DZ225" s="522"/>
      <c r="EA225" s="522"/>
      <c r="EB225" s="522"/>
      <c r="EC225" s="522"/>
      <c r="ED225" s="522"/>
      <c r="EE225" s="522"/>
      <c r="EF225" s="522"/>
      <c r="EG225" s="1107">
        <f t="shared" si="209"/>
        <v>43.315999999999995</v>
      </c>
      <c r="EH225" s="649">
        <v>9</v>
      </c>
      <c r="EI225" s="649">
        <v>3</v>
      </c>
      <c r="EJ225" s="649">
        <v>5</v>
      </c>
      <c r="EK225" s="649">
        <v>11</v>
      </c>
      <c r="EL225" s="522"/>
      <c r="EM225" s="522"/>
      <c r="EN225" s="522"/>
      <c r="EO225" s="522"/>
      <c r="EP225" s="522"/>
      <c r="EQ225" s="522"/>
      <c r="ER225" s="522"/>
      <c r="ES225" s="407"/>
      <c r="ET225" s="407"/>
    </row>
    <row r="226" spans="1:150" s="357" customFormat="1" ht="15">
      <c r="A226" s="675" t="s">
        <v>8</v>
      </c>
      <c r="B226" s="712">
        <v>41852</v>
      </c>
      <c r="C226" s="358">
        <v>0</v>
      </c>
      <c r="D226" s="405">
        <v>0.01</v>
      </c>
      <c r="E226" s="681">
        <v>0</v>
      </c>
      <c r="F226" s="681">
        <v>64</v>
      </c>
      <c r="G226" s="681">
        <v>0.4</v>
      </c>
      <c r="H226" s="405">
        <v>0.88</v>
      </c>
      <c r="I226" s="405">
        <v>93.1</v>
      </c>
      <c r="J226" s="405" t="s">
        <v>744</v>
      </c>
      <c r="K226" s="405">
        <v>0.73</v>
      </c>
      <c r="L226" s="644">
        <v>0</v>
      </c>
      <c r="M226" s="405">
        <v>17.3</v>
      </c>
      <c r="N226" s="405" t="s">
        <v>744</v>
      </c>
      <c r="O226" s="405">
        <v>0</v>
      </c>
      <c r="P226" s="405">
        <v>1.7</v>
      </c>
      <c r="Q226" s="405">
        <v>2.3273608296286934</v>
      </c>
      <c r="R226" s="790">
        <v>1930.1492258916771</v>
      </c>
      <c r="S226" s="405" t="s">
        <v>744</v>
      </c>
      <c r="T226" s="405">
        <v>8.02</v>
      </c>
      <c r="U226" s="405" t="s">
        <v>744</v>
      </c>
      <c r="V226" s="681">
        <v>0.65</v>
      </c>
      <c r="W226" s="681" t="e">
        <v>#VALUE!</v>
      </c>
      <c r="X226" s="647">
        <v>58.819999999999993</v>
      </c>
      <c r="Y226" s="383">
        <v>53.8</v>
      </c>
      <c r="Z226" s="681">
        <v>47.02</v>
      </c>
      <c r="AA226" s="794">
        <v>54</v>
      </c>
      <c r="AB226" s="794">
        <v>45.12</v>
      </c>
      <c r="AC226" s="775">
        <f t="shared" ref="AC226:AC228" si="234">AA226+AB226</f>
        <v>99.12</v>
      </c>
      <c r="AD226" s="775">
        <f t="shared" ref="AD226:AD228" si="235">AC226*1.547</f>
        <v>153.33864</v>
      </c>
      <c r="AE226" s="775"/>
      <c r="AF226" s="775"/>
      <c r="AG226" s="407">
        <v>1.6</v>
      </c>
      <c r="AH226" s="705"/>
      <c r="AI226" s="705"/>
      <c r="AJ226" s="407"/>
      <c r="AK226" s="407"/>
      <c r="AL226" s="407"/>
      <c r="AM226" s="407"/>
      <c r="AN226" s="407"/>
      <c r="AO226" s="387"/>
      <c r="AP226" s="387"/>
      <c r="AQ226" s="405"/>
      <c r="AR226" s="578">
        <v>0</v>
      </c>
      <c r="AS226" s="405">
        <v>12.3</v>
      </c>
      <c r="AT226" s="578">
        <v>0</v>
      </c>
      <c r="AU226" s="405">
        <v>55.2</v>
      </c>
      <c r="AV226" s="405">
        <v>1140.4000000000001</v>
      </c>
      <c r="AW226" s="405">
        <v>873.8</v>
      </c>
      <c r="AX226" s="405">
        <v>73</v>
      </c>
      <c r="AY226" s="578">
        <v>0</v>
      </c>
      <c r="AZ226" s="578">
        <v>0</v>
      </c>
      <c r="BA226" s="578">
        <v>0</v>
      </c>
      <c r="BB226" s="925">
        <v>1.6</v>
      </c>
      <c r="BC226" s="405">
        <v>1.45</v>
      </c>
      <c r="BD226" s="405">
        <v>2.5499999999999998</v>
      </c>
      <c r="BE226" s="578">
        <v>0</v>
      </c>
      <c r="BF226" s="405">
        <v>1.32</v>
      </c>
      <c r="BG226" s="405">
        <v>0</v>
      </c>
      <c r="BH226" s="578">
        <v>0</v>
      </c>
      <c r="BI226" s="405">
        <v>3</v>
      </c>
      <c r="BJ226" s="405">
        <v>37.4</v>
      </c>
      <c r="BK226" s="405">
        <v>5.94</v>
      </c>
      <c r="BL226" s="405">
        <v>5.21</v>
      </c>
      <c r="BM226" s="405">
        <v>0</v>
      </c>
      <c r="BN226" s="405">
        <v>25.4</v>
      </c>
      <c r="BO226" s="405">
        <v>2766.6</v>
      </c>
      <c r="BP226" s="405">
        <v>0</v>
      </c>
      <c r="BQ226" s="649">
        <v>23.81</v>
      </c>
      <c r="BR226" s="649">
        <v>23.7</v>
      </c>
      <c r="BS226" s="649">
        <v>25.15</v>
      </c>
      <c r="BT226" s="649">
        <v>25.24</v>
      </c>
      <c r="BU226" s="648">
        <v>51.3</v>
      </c>
      <c r="BV226" s="648">
        <v>51.9</v>
      </c>
      <c r="BW226" s="649">
        <v>1278.8</v>
      </c>
      <c r="BX226" s="876"/>
      <c r="BY226" s="649">
        <v>2.79</v>
      </c>
      <c r="BZ226" s="649">
        <v>1.53</v>
      </c>
      <c r="CA226" s="649">
        <v>1.4</v>
      </c>
      <c r="CB226" s="649">
        <v>8.6999999999999993</v>
      </c>
      <c r="CC226" s="649">
        <v>8.6</v>
      </c>
      <c r="CD226" s="649">
        <v>16.2</v>
      </c>
      <c r="CE226" s="649">
        <v>34.1</v>
      </c>
      <c r="CF226" s="649">
        <v>20.5</v>
      </c>
      <c r="CG226" s="649">
        <v>7.05</v>
      </c>
      <c r="CH226" s="649">
        <v>12.35</v>
      </c>
      <c r="CI226" s="649">
        <v>16.55</v>
      </c>
      <c r="CJ226" s="649">
        <v>14.5</v>
      </c>
      <c r="CK226" s="649">
        <v>210.6</v>
      </c>
      <c r="CL226" s="649">
        <v>3</v>
      </c>
      <c r="CM226" s="649">
        <v>4.4000000000000004</v>
      </c>
      <c r="CN226" s="991">
        <v>1200</v>
      </c>
      <c r="CO226" s="649">
        <v>1032.8</v>
      </c>
      <c r="CP226" s="649">
        <v>669.8</v>
      </c>
      <c r="CQ226" s="649">
        <v>14.6</v>
      </c>
      <c r="CR226" s="649">
        <v>0.95</v>
      </c>
      <c r="CS226" s="648">
        <v>0</v>
      </c>
      <c r="CT226" s="405">
        <v>16.54</v>
      </c>
      <c r="CU226" s="405">
        <v>61</v>
      </c>
      <c r="CV226" s="792">
        <v>0</v>
      </c>
      <c r="CW226" s="792">
        <v>0</v>
      </c>
      <c r="CX226" s="792">
        <v>0</v>
      </c>
      <c r="CY226" s="792">
        <v>0</v>
      </c>
      <c r="CZ226" s="689">
        <v>348</v>
      </c>
      <c r="DA226" s="689">
        <v>333</v>
      </c>
      <c r="DB226" s="689">
        <v>191</v>
      </c>
      <c r="DC226" s="807">
        <v>1161.8</v>
      </c>
      <c r="DD226" s="522"/>
      <c r="DE226" s="522"/>
      <c r="DF226" s="522"/>
      <c r="DG226" s="522"/>
      <c r="DH226" s="522"/>
      <c r="DI226" s="522"/>
      <c r="DJ226" s="522"/>
      <c r="DK226" s="522"/>
      <c r="DL226" s="649"/>
      <c r="DM226" s="649"/>
      <c r="DN226" s="649"/>
      <c r="DO226" s="522"/>
      <c r="DP226" s="522"/>
      <c r="DQ226" s="522"/>
      <c r="DR226" s="522"/>
      <c r="DS226" s="522"/>
      <c r="DT226" s="522"/>
      <c r="DU226" s="522"/>
      <c r="DV226" s="522"/>
      <c r="DW226" s="522"/>
      <c r="DX226" s="522"/>
      <c r="DY226" s="522"/>
      <c r="DZ226" s="522"/>
      <c r="EA226" s="522"/>
      <c r="EB226" s="522"/>
      <c r="EC226" s="522"/>
      <c r="ED226" s="522"/>
      <c r="EE226" s="522"/>
      <c r="EF226" s="522"/>
      <c r="EG226" s="1107">
        <f t="shared" si="209"/>
        <v>42.542499999999997</v>
      </c>
      <c r="EH226" s="649">
        <v>8</v>
      </c>
      <c r="EI226" s="649">
        <v>3</v>
      </c>
      <c r="EJ226" s="649">
        <v>5.5</v>
      </c>
      <c r="EK226" s="649">
        <v>11</v>
      </c>
      <c r="EL226" s="522"/>
      <c r="EM226" s="522"/>
      <c r="EN226" s="522"/>
      <c r="EO226" s="522"/>
      <c r="EP226" s="522"/>
      <c r="EQ226" s="522"/>
      <c r="ER226" s="522"/>
      <c r="ES226" s="407"/>
      <c r="ET226" s="407"/>
    </row>
    <row r="227" spans="1:150" s="357" customFormat="1" ht="15">
      <c r="A227" s="675" t="s">
        <v>9</v>
      </c>
      <c r="B227" s="712">
        <v>41853</v>
      </c>
      <c r="C227" s="358">
        <v>0</v>
      </c>
      <c r="D227" s="405">
        <v>0.01</v>
      </c>
      <c r="E227" s="681">
        <v>0</v>
      </c>
      <c r="F227" s="681">
        <v>63</v>
      </c>
      <c r="G227" s="681">
        <v>0.4</v>
      </c>
      <c r="H227" s="405">
        <v>0.89</v>
      </c>
      <c r="I227" s="405">
        <v>93</v>
      </c>
      <c r="J227" s="405" t="s">
        <v>744</v>
      </c>
      <c r="K227" s="405">
        <v>0.7</v>
      </c>
      <c r="L227" s="644">
        <v>0</v>
      </c>
      <c r="M227" s="405">
        <v>17.399999999999999</v>
      </c>
      <c r="N227" s="405" t="s">
        <v>744</v>
      </c>
      <c r="O227" s="405" t="s">
        <v>743</v>
      </c>
      <c r="P227" s="405">
        <v>1.75</v>
      </c>
      <c r="Q227" s="405">
        <v>2.2962385017501963</v>
      </c>
      <c r="R227" s="790">
        <v>1880.5917780713339</v>
      </c>
      <c r="S227" s="405" t="s">
        <v>744</v>
      </c>
      <c r="T227" s="405">
        <v>8.0299999999999994</v>
      </c>
      <c r="U227" s="405" t="s">
        <v>744</v>
      </c>
      <c r="V227" s="681">
        <v>0.63</v>
      </c>
      <c r="W227" s="681" t="e">
        <v>#VALUE!</v>
      </c>
      <c r="X227" s="647">
        <v>57.2</v>
      </c>
      <c r="Y227" s="383">
        <v>54</v>
      </c>
      <c r="Z227" s="681">
        <v>45.12</v>
      </c>
      <c r="AA227" s="794">
        <v>54.1</v>
      </c>
      <c r="AB227" s="794">
        <v>43.8</v>
      </c>
      <c r="AC227" s="775">
        <f t="shared" si="234"/>
        <v>97.9</v>
      </c>
      <c r="AD227" s="775">
        <f t="shared" si="235"/>
        <v>151.4513</v>
      </c>
      <c r="AE227" s="775"/>
      <c r="AF227" s="775"/>
      <c r="AG227" s="407">
        <v>1.6</v>
      </c>
      <c r="AH227" s="705"/>
      <c r="AI227" s="705"/>
      <c r="AJ227" s="407"/>
      <c r="AK227" s="407"/>
      <c r="AL227" s="407"/>
      <c r="AM227" s="407"/>
      <c r="AN227" s="407"/>
      <c r="AO227" s="387"/>
      <c r="AP227" s="387"/>
      <c r="AQ227" s="405"/>
      <c r="AR227" s="578">
        <v>0</v>
      </c>
      <c r="AS227" s="405">
        <v>22.5</v>
      </c>
      <c r="AT227" s="578">
        <v>0</v>
      </c>
      <c r="AU227" s="405">
        <v>55.4</v>
      </c>
      <c r="AV227" s="405">
        <v>1168.0999999999999</v>
      </c>
      <c r="AW227" s="405">
        <v>865.3</v>
      </c>
      <c r="AX227" s="405">
        <v>66.099999999999994</v>
      </c>
      <c r="AY227" s="578">
        <v>0</v>
      </c>
      <c r="AZ227" s="578">
        <v>0</v>
      </c>
      <c r="BA227" s="578">
        <v>0</v>
      </c>
      <c r="BB227" s="925">
        <v>1.6</v>
      </c>
      <c r="BC227" s="405">
        <v>1.5</v>
      </c>
      <c r="BD227" s="405">
        <v>2.5</v>
      </c>
      <c r="BE227" s="578">
        <v>0</v>
      </c>
      <c r="BF227" s="405">
        <v>1.5</v>
      </c>
      <c r="BG227" s="405">
        <v>0</v>
      </c>
      <c r="BH227" s="578">
        <v>0</v>
      </c>
      <c r="BI227" s="405">
        <v>3</v>
      </c>
      <c r="BJ227" s="405">
        <v>35.799999999999997</v>
      </c>
      <c r="BK227" s="405">
        <v>5.74</v>
      </c>
      <c r="BL227" s="405">
        <v>5.31</v>
      </c>
      <c r="BM227" s="405">
        <v>0</v>
      </c>
      <c r="BN227" s="405">
        <v>23.7</v>
      </c>
      <c r="BO227" s="405">
        <v>2759.7</v>
      </c>
      <c r="BP227" s="405">
        <v>0</v>
      </c>
      <c r="BQ227" s="649">
        <v>25.04</v>
      </c>
      <c r="BR227" s="649">
        <v>24.93</v>
      </c>
      <c r="BS227" s="649">
        <v>25.27</v>
      </c>
      <c r="BT227" s="649">
        <v>25.35</v>
      </c>
      <c r="BU227" s="648">
        <v>51.5</v>
      </c>
      <c r="BV227" s="648">
        <v>54.5</v>
      </c>
      <c r="BW227" s="649">
        <v>1381.7</v>
      </c>
      <c r="BX227" s="876"/>
      <c r="BY227" s="649">
        <v>0.81</v>
      </c>
      <c r="BZ227" s="649">
        <v>1.52</v>
      </c>
      <c r="CA227" s="649">
        <v>1.3</v>
      </c>
      <c r="CB227" s="649">
        <v>8.6999999999999993</v>
      </c>
      <c r="CC227" s="649">
        <v>8.6999999999999993</v>
      </c>
      <c r="CD227" s="649">
        <v>16.2</v>
      </c>
      <c r="CE227" s="649">
        <v>34.1</v>
      </c>
      <c r="CF227" s="649">
        <v>20.399999999999999</v>
      </c>
      <c r="CG227" s="649">
        <v>7.3</v>
      </c>
      <c r="CH227" s="649">
        <v>12.6</v>
      </c>
      <c r="CI227" s="649">
        <v>16.899999999999999</v>
      </c>
      <c r="CJ227" s="649">
        <v>14.05</v>
      </c>
      <c r="CK227" s="649">
        <v>0</v>
      </c>
      <c r="CL227" s="649">
        <v>3</v>
      </c>
      <c r="CM227" s="649">
        <v>3.9</v>
      </c>
      <c r="CN227" s="991">
        <v>1200</v>
      </c>
      <c r="CO227" s="649">
        <v>975.9</v>
      </c>
      <c r="CP227" s="649">
        <v>691.4</v>
      </c>
      <c r="CQ227" s="649">
        <v>15.1</v>
      </c>
      <c r="CR227" s="649">
        <v>1.1200000000000001</v>
      </c>
      <c r="CS227" s="648">
        <v>0</v>
      </c>
      <c r="CT227" s="405">
        <v>17.54</v>
      </c>
      <c r="CU227" s="405">
        <v>61</v>
      </c>
      <c r="CV227" s="792">
        <v>0</v>
      </c>
      <c r="CW227" s="792">
        <v>0</v>
      </c>
      <c r="CX227" s="792">
        <v>0</v>
      </c>
      <c r="CY227" s="792">
        <v>0</v>
      </c>
      <c r="CZ227" s="689">
        <v>348</v>
      </c>
      <c r="DA227" s="689">
        <v>333</v>
      </c>
      <c r="DB227" s="689">
        <v>174</v>
      </c>
      <c r="DC227" s="643">
        <v>1161.5999999999999</v>
      </c>
      <c r="DD227" s="522"/>
      <c r="DE227" s="522"/>
      <c r="DF227" s="522"/>
      <c r="DG227" s="522"/>
      <c r="DH227" s="522"/>
      <c r="DI227" s="522"/>
      <c r="DJ227" s="522"/>
      <c r="DK227" s="522"/>
      <c r="DL227" s="649"/>
      <c r="DM227" s="649"/>
      <c r="DN227" s="649"/>
      <c r="DO227" s="522"/>
      <c r="DP227" s="522"/>
      <c r="DQ227" s="522"/>
      <c r="DR227" s="522"/>
      <c r="DS227" s="522"/>
      <c r="DT227" s="522"/>
      <c r="DU227" s="522"/>
      <c r="DV227" s="522"/>
      <c r="DW227" s="522"/>
      <c r="DX227" s="522"/>
      <c r="DY227" s="522"/>
      <c r="DZ227" s="522"/>
      <c r="EA227" s="522"/>
      <c r="EB227" s="522"/>
      <c r="EC227" s="522"/>
      <c r="ED227" s="522"/>
      <c r="EE227" s="522"/>
      <c r="EF227" s="522"/>
      <c r="EG227" s="1107">
        <f t="shared" si="209"/>
        <v>38.999870000000001</v>
      </c>
      <c r="EH227" s="649">
        <v>5.71</v>
      </c>
      <c r="EI227" s="649">
        <v>3</v>
      </c>
      <c r="EJ227" s="649">
        <v>5.5</v>
      </c>
      <c r="EK227" s="649">
        <v>11</v>
      </c>
      <c r="EL227" s="522"/>
      <c r="EM227" s="522"/>
      <c r="EN227" s="522"/>
      <c r="EO227" s="522"/>
      <c r="EP227" s="522"/>
      <c r="EQ227" s="522"/>
      <c r="ER227" s="522"/>
      <c r="ES227" s="407"/>
      <c r="ET227" s="407"/>
    </row>
    <row r="228" spans="1:150" s="357" customFormat="1" ht="15">
      <c r="A228" s="675" t="s">
        <v>3</v>
      </c>
      <c r="B228" s="712">
        <v>41854</v>
      </c>
      <c r="C228" s="358">
        <v>0</v>
      </c>
      <c r="D228" s="405">
        <v>0</v>
      </c>
      <c r="E228" s="681">
        <v>0</v>
      </c>
      <c r="F228" s="681">
        <v>64</v>
      </c>
      <c r="G228" s="681">
        <v>0.4</v>
      </c>
      <c r="H228" s="405">
        <v>0.84</v>
      </c>
      <c r="I228" s="405">
        <v>92.5</v>
      </c>
      <c r="J228" s="405" t="s">
        <v>744</v>
      </c>
      <c r="K228" s="405">
        <v>0.68</v>
      </c>
      <c r="L228" s="644">
        <v>0</v>
      </c>
      <c r="M228" s="405">
        <v>17.399999999999999</v>
      </c>
      <c r="N228" s="405" t="s">
        <v>744</v>
      </c>
      <c r="O228" s="405" t="s">
        <v>743</v>
      </c>
      <c r="P228" s="405">
        <v>1.67</v>
      </c>
      <c r="Q228" s="405">
        <v>2.3335626864053687</v>
      </c>
      <c r="R228" s="790">
        <v>1917.1930303830907</v>
      </c>
      <c r="S228" s="405" t="s">
        <v>744</v>
      </c>
      <c r="T228" s="405">
        <v>8.06</v>
      </c>
      <c r="U228" s="405" t="s">
        <v>744</v>
      </c>
      <c r="V228" s="681">
        <v>0.65</v>
      </c>
      <c r="W228" s="681" t="e">
        <v>#VALUE!</v>
      </c>
      <c r="X228" s="647">
        <v>59.180000000000007</v>
      </c>
      <c r="Y228" s="383">
        <v>54.1</v>
      </c>
      <c r="Z228" s="681">
        <v>43.8</v>
      </c>
      <c r="AA228" s="794">
        <v>54.14</v>
      </c>
      <c r="AB228" s="794">
        <v>44.1</v>
      </c>
      <c r="AC228" s="775">
        <f t="shared" si="234"/>
        <v>98.240000000000009</v>
      </c>
      <c r="AD228" s="775">
        <f t="shared" si="235"/>
        <v>151.97728000000001</v>
      </c>
      <c r="AE228" s="775"/>
      <c r="AF228" s="775"/>
      <c r="AG228" s="407">
        <v>1.6</v>
      </c>
      <c r="AH228" s="705"/>
      <c r="AI228" s="705"/>
      <c r="AJ228" s="407"/>
      <c r="AK228" s="407"/>
      <c r="AL228" s="407"/>
      <c r="AM228" s="407"/>
      <c r="AN228" s="407"/>
      <c r="AO228" s="387"/>
      <c r="AP228" s="387"/>
      <c r="AQ228" s="405"/>
      <c r="AR228" s="578">
        <v>0</v>
      </c>
      <c r="AS228" s="405">
        <v>27.6</v>
      </c>
      <c r="AT228" s="578">
        <v>0</v>
      </c>
      <c r="AU228" s="405">
        <v>55.4</v>
      </c>
      <c r="AV228" s="405">
        <v>1293.3</v>
      </c>
      <c r="AW228" s="405">
        <v>1191.3</v>
      </c>
      <c r="AX228" s="405">
        <v>76.599999999999994</v>
      </c>
      <c r="AY228" s="578">
        <v>0</v>
      </c>
      <c r="AZ228" s="578">
        <v>0</v>
      </c>
      <c r="BA228" s="578">
        <v>0</v>
      </c>
      <c r="BB228" s="925">
        <v>1.6</v>
      </c>
      <c r="BC228" s="405">
        <v>1.49</v>
      </c>
      <c r="BD228" s="405">
        <v>2.5</v>
      </c>
      <c r="BE228" s="578">
        <v>0</v>
      </c>
      <c r="BF228" s="405">
        <v>1.5</v>
      </c>
      <c r="BG228" s="405">
        <v>0</v>
      </c>
      <c r="BH228" s="578">
        <v>0</v>
      </c>
      <c r="BI228" s="405">
        <v>3</v>
      </c>
      <c r="BJ228" s="405">
        <v>36</v>
      </c>
      <c r="BK228" s="405">
        <v>5.72</v>
      </c>
      <c r="BL228" s="405">
        <v>5.31</v>
      </c>
      <c r="BM228" s="405">
        <v>0</v>
      </c>
      <c r="BN228" s="405">
        <v>24.06</v>
      </c>
      <c r="BO228" s="405">
        <v>2874.5</v>
      </c>
      <c r="BP228" s="405">
        <v>0</v>
      </c>
      <c r="BQ228" s="649">
        <v>24.7</v>
      </c>
      <c r="BR228" s="649">
        <v>24.59</v>
      </c>
      <c r="BS228" s="649">
        <v>25.1</v>
      </c>
      <c r="BT228" s="649">
        <v>25.2</v>
      </c>
      <c r="BU228" s="648">
        <v>51.2</v>
      </c>
      <c r="BV228" s="648">
        <v>58.6</v>
      </c>
      <c r="BW228" s="649">
        <v>1543.2</v>
      </c>
      <c r="BX228" s="876"/>
      <c r="BY228" s="649">
        <v>1.05</v>
      </c>
      <c r="BZ228" s="649">
        <v>1.46</v>
      </c>
      <c r="CA228" s="649">
        <v>1.3</v>
      </c>
      <c r="CB228" s="649">
        <v>8.6999999999999993</v>
      </c>
      <c r="CC228" s="649">
        <v>8.6999999999999993</v>
      </c>
      <c r="CD228" s="649">
        <v>17.100000000000001</v>
      </c>
      <c r="CE228" s="649">
        <v>33.700000000000003</v>
      </c>
      <c r="CF228" s="649">
        <v>19.600000000000001</v>
      </c>
      <c r="CG228" s="649">
        <v>7.1</v>
      </c>
      <c r="CH228" s="649">
        <v>12.4</v>
      </c>
      <c r="CI228" s="649">
        <v>16.600000000000001</v>
      </c>
      <c r="CJ228" s="649">
        <v>14.23</v>
      </c>
      <c r="CK228" s="649">
        <v>0</v>
      </c>
      <c r="CL228" s="649">
        <v>4.5</v>
      </c>
      <c r="CM228" s="649">
        <v>5.9</v>
      </c>
      <c r="CN228" s="991">
        <v>1200</v>
      </c>
      <c r="CO228" s="649">
        <v>1095.3</v>
      </c>
      <c r="CP228" s="649">
        <v>668.7</v>
      </c>
      <c r="CQ228" s="649">
        <v>13.8</v>
      </c>
      <c r="CR228" s="649">
        <v>1.01</v>
      </c>
      <c r="CS228" s="648">
        <v>0</v>
      </c>
      <c r="CT228" s="405">
        <v>18.100000000000001</v>
      </c>
      <c r="CU228" s="405">
        <v>61</v>
      </c>
      <c r="CV228" s="792">
        <v>0</v>
      </c>
      <c r="CW228" s="792">
        <v>0</v>
      </c>
      <c r="CX228" s="792">
        <v>0</v>
      </c>
      <c r="CY228" s="792">
        <v>0</v>
      </c>
      <c r="CZ228" s="689">
        <v>348</v>
      </c>
      <c r="DA228" s="689">
        <v>329</v>
      </c>
      <c r="DB228" s="689">
        <v>174</v>
      </c>
      <c r="DC228" s="643">
        <v>1161.3399999999999</v>
      </c>
      <c r="DD228" s="522"/>
      <c r="DE228" s="522"/>
      <c r="DF228" s="522"/>
      <c r="DG228" s="522"/>
      <c r="DH228" s="522"/>
      <c r="DI228" s="522"/>
      <c r="DJ228" s="522"/>
      <c r="DK228" s="522"/>
      <c r="DL228" s="649"/>
      <c r="DM228" s="649"/>
      <c r="DN228" s="649"/>
      <c r="DO228" s="522"/>
      <c r="DP228" s="522"/>
      <c r="DQ228" s="522"/>
      <c r="DR228" s="522"/>
      <c r="DS228" s="522"/>
      <c r="DT228" s="522"/>
      <c r="DU228" s="522"/>
      <c r="DV228" s="522"/>
      <c r="DW228" s="522"/>
      <c r="DX228" s="522"/>
      <c r="DY228" s="522"/>
      <c r="DZ228" s="522"/>
      <c r="EA228" s="522"/>
      <c r="EB228" s="522"/>
      <c r="EC228" s="522"/>
      <c r="ED228" s="522"/>
      <c r="EE228" s="522"/>
      <c r="EF228" s="522"/>
      <c r="EG228" s="1107">
        <f t="shared" si="209"/>
        <v>39.046280000000003</v>
      </c>
      <c r="EH228" s="649">
        <v>5.74</v>
      </c>
      <c r="EI228" s="649">
        <v>3</v>
      </c>
      <c r="EJ228" s="649">
        <v>5.5</v>
      </c>
      <c r="EK228" s="649">
        <v>11</v>
      </c>
      <c r="EL228" s="522"/>
      <c r="EM228" s="522"/>
      <c r="EN228" s="522"/>
      <c r="EO228" s="522"/>
      <c r="EP228" s="522"/>
      <c r="EQ228" s="522"/>
      <c r="ER228" s="522"/>
      <c r="ES228" s="407"/>
      <c r="ET228" s="407"/>
    </row>
    <row r="229" spans="1:150" s="357" customFormat="1" ht="15">
      <c r="A229" s="675" t="s">
        <v>4</v>
      </c>
      <c r="B229" s="712">
        <v>41855</v>
      </c>
      <c r="C229" s="358">
        <v>0</v>
      </c>
      <c r="D229" s="405">
        <v>0</v>
      </c>
      <c r="E229" s="681">
        <v>0</v>
      </c>
      <c r="F229" s="681">
        <v>63</v>
      </c>
      <c r="G229" s="681">
        <v>0.4</v>
      </c>
      <c r="H229" s="405">
        <v>0.83</v>
      </c>
      <c r="I229" s="405">
        <v>92.64</v>
      </c>
      <c r="J229" s="405" t="s">
        <v>744</v>
      </c>
      <c r="K229" s="405">
        <v>0.7</v>
      </c>
      <c r="L229" s="644">
        <v>0</v>
      </c>
      <c r="M229" s="405">
        <v>17.100000000000001</v>
      </c>
      <c r="N229" s="405" t="s">
        <v>744</v>
      </c>
      <c r="O229" s="405" t="s">
        <v>743</v>
      </c>
      <c r="P229" s="405">
        <v>1.68</v>
      </c>
      <c r="Q229" s="405">
        <v>2.3582072545782689</v>
      </c>
      <c r="R229" s="790">
        <v>1901.6455957727871</v>
      </c>
      <c r="S229" s="405" t="s">
        <v>744</v>
      </c>
      <c r="T229" s="405">
        <v>8.09</v>
      </c>
      <c r="U229" s="405" t="s">
        <v>744</v>
      </c>
      <c r="V229" s="681">
        <v>0.66</v>
      </c>
      <c r="W229" s="681" t="e">
        <v>#VALUE!</v>
      </c>
      <c r="X229" s="647">
        <v>59.180000000000007</v>
      </c>
      <c r="Y229" s="383">
        <v>54.14</v>
      </c>
      <c r="Z229" s="681">
        <v>44.1</v>
      </c>
      <c r="AA229" s="794">
        <v>53.96</v>
      </c>
      <c r="AB229" s="794">
        <v>42.3</v>
      </c>
      <c r="AC229" s="775">
        <f t="shared" ref="AC229:AC230" si="236">AA229+AB229</f>
        <v>96.259999999999991</v>
      </c>
      <c r="AD229" s="775">
        <f t="shared" ref="AD229:AD230" si="237">AC229*1.547</f>
        <v>148.91421999999997</v>
      </c>
      <c r="AE229" s="775"/>
      <c r="AF229" s="775"/>
      <c r="AG229" s="407">
        <v>1.6</v>
      </c>
      <c r="AH229" s="705"/>
      <c r="AI229" s="705"/>
      <c r="AJ229" s="407"/>
      <c r="AK229" s="407"/>
      <c r="AL229" s="407"/>
      <c r="AM229" s="407"/>
      <c r="AN229" s="407"/>
      <c r="AO229" s="387"/>
      <c r="AP229" s="387"/>
      <c r="AQ229" s="405"/>
      <c r="AR229" s="578">
        <v>0</v>
      </c>
      <c r="AS229" s="405">
        <v>31.1</v>
      </c>
      <c r="AT229" s="578">
        <v>0</v>
      </c>
      <c r="AU229" s="405">
        <v>55.2</v>
      </c>
      <c r="AV229" s="405">
        <v>1349</v>
      </c>
      <c r="AW229" s="405">
        <v>1377.6</v>
      </c>
      <c r="AX229" s="405">
        <v>71.599999999999994</v>
      </c>
      <c r="AY229" s="578">
        <v>0</v>
      </c>
      <c r="AZ229" s="578">
        <v>0</v>
      </c>
      <c r="BA229" s="578">
        <v>0</v>
      </c>
      <c r="BB229" s="925">
        <v>1.6</v>
      </c>
      <c r="BC229" s="405">
        <v>1.5</v>
      </c>
      <c r="BD229" s="405">
        <v>2.5</v>
      </c>
      <c r="BE229" s="578">
        <v>0</v>
      </c>
      <c r="BF229" s="405">
        <v>1.2</v>
      </c>
      <c r="BG229" s="405">
        <v>0</v>
      </c>
      <c r="BH229" s="578">
        <v>0</v>
      </c>
      <c r="BI229" s="405">
        <v>3</v>
      </c>
      <c r="BJ229" s="405">
        <v>34.5</v>
      </c>
      <c r="BK229" s="405">
        <v>5.72</v>
      </c>
      <c r="BL229" s="405">
        <v>5.7</v>
      </c>
      <c r="BM229" s="405">
        <v>0</v>
      </c>
      <c r="BN229" s="405">
        <v>22.5</v>
      </c>
      <c r="BO229" s="405">
        <v>3118.3</v>
      </c>
      <c r="BP229" s="405">
        <v>0</v>
      </c>
      <c r="BQ229" s="649">
        <v>23.03</v>
      </c>
      <c r="BR229" s="649">
        <v>22.9</v>
      </c>
      <c r="BS229" s="649">
        <v>24.86</v>
      </c>
      <c r="BT229" s="649">
        <v>24.95</v>
      </c>
      <c r="BU229" s="648">
        <v>50.8</v>
      </c>
      <c r="BV229" s="648">
        <v>62.2</v>
      </c>
      <c r="BW229" s="649">
        <v>1550.7</v>
      </c>
      <c r="BX229" s="876"/>
      <c r="BY229" s="649">
        <v>4.16</v>
      </c>
      <c r="BZ229" s="649">
        <v>1.51</v>
      </c>
      <c r="CA229" s="649">
        <v>1.3</v>
      </c>
      <c r="CB229" s="649">
        <v>8.8000000000000007</v>
      </c>
      <c r="CC229" s="649">
        <v>8.6999999999999993</v>
      </c>
      <c r="CD229" s="649">
        <v>18</v>
      </c>
      <c r="CE229" s="649">
        <v>31.8</v>
      </c>
      <c r="CF229" s="649">
        <v>18.57</v>
      </c>
      <c r="CG229" s="649">
        <v>7.65</v>
      </c>
      <c r="CH229" s="649">
        <v>12.95</v>
      </c>
      <c r="CI229" s="649">
        <v>17.350000000000001</v>
      </c>
      <c r="CJ229" s="649">
        <v>15.32</v>
      </c>
      <c r="CK229" s="649">
        <v>209.8</v>
      </c>
      <c r="CL229" s="649">
        <v>4.4000000000000004</v>
      </c>
      <c r="CM229" s="649">
        <v>5.6</v>
      </c>
      <c r="CN229" s="991">
        <v>1200</v>
      </c>
      <c r="CO229" s="649">
        <v>1162.3</v>
      </c>
      <c r="CP229" s="649">
        <v>734.3</v>
      </c>
      <c r="CQ229" s="649">
        <v>13.4</v>
      </c>
      <c r="CR229" s="649">
        <v>0.92</v>
      </c>
      <c r="CS229" s="648">
        <v>0</v>
      </c>
      <c r="CT229" s="405">
        <v>16.184999999999999</v>
      </c>
      <c r="CU229" s="405">
        <v>62</v>
      </c>
      <c r="CV229" s="792">
        <v>0</v>
      </c>
      <c r="CW229" s="792">
        <v>0</v>
      </c>
      <c r="CX229" s="792">
        <v>0</v>
      </c>
      <c r="CY229" s="792">
        <v>0</v>
      </c>
      <c r="CZ229" s="689">
        <v>325</v>
      </c>
      <c r="DA229" s="689">
        <v>325</v>
      </c>
      <c r="DB229" s="689">
        <v>166</v>
      </c>
      <c r="DC229" s="643">
        <v>1161.0999999999999</v>
      </c>
      <c r="DD229" s="522"/>
      <c r="DE229" s="522"/>
      <c r="DF229" s="522"/>
      <c r="DG229" s="522"/>
      <c r="DH229" s="522"/>
      <c r="DI229" s="522"/>
      <c r="DJ229" s="522"/>
      <c r="DK229" s="522"/>
      <c r="DL229" s="649"/>
      <c r="DM229" s="649"/>
      <c r="DN229" s="649"/>
      <c r="DO229" s="522"/>
      <c r="DP229" s="522"/>
      <c r="DQ229" s="522"/>
      <c r="DR229" s="522"/>
      <c r="DS229" s="522"/>
      <c r="DT229" s="522"/>
      <c r="DU229" s="522"/>
      <c r="DV229" s="522"/>
      <c r="DW229" s="522"/>
      <c r="DX229" s="522"/>
      <c r="DY229" s="522"/>
      <c r="DZ229" s="522"/>
      <c r="EA229" s="522"/>
      <c r="EB229" s="522"/>
      <c r="EC229" s="522"/>
      <c r="ED229" s="522"/>
      <c r="EE229" s="522"/>
      <c r="EF229" s="522"/>
      <c r="EG229" s="1107">
        <f t="shared" si="209"/>
        <v>38.674999999999997</v>
      </c>
      <c r="EH229" s="649">
        <v>6</v>
      </c>
      <c r="EI229" s="649">
        <v>3</v>
      </c>
      <c r="EJ229" s="649">
        <v>5</v>
      </c>
      <c r="EK229" s="649">
        <v>11</v>
      </c>
      <c r="EL229" s="522"/>
      <c r="EM229" s="522"/>
      <c r="EN229" s="522"/>
      <c r="EO229" s="522"/>
      <c r="EP229" s="522"/>
      <c r="EQ229" s="522"/>
      <c r="ER229" s="522"/>
      <c r="ES229" s="407"/>
      <c r="ET229" s="407"/>
    </row>
    <row r="230" spans="1:150" s="357" customFormat="1" ht="15">
      <c r="A230" s="675" t="s">
        <v>5</v>
      </c>
      <c r="B230" s="712">
        <v>41856</v>
      </c>
      <c r="C230" s="358">
        <v>0</v>
      </c>
      <c r="D230" s="405">
        <v>0</v>
      </c>
      <c r="E230" s="681">
        <v>0</v>
      </c>
      <c r="F230" s="681">
        <v>59</v>
      </c>
      <c r="G230" s="681">
        <v>0.4</v>
      </c>
      <c r="H230" s="405">
        <v>0.75</v>
      </c>
      <c r="I230" s="405">
        <v>92.48</v>
      </c>
      <c r="J230" s="405" t="s">
        <v>744</v>
      </c>
      <c r="K230" s="405">
        <v>0.66</v>
      </c>
      <c r="L230" s="644">
        <v>0</v>
      </c>
      <c r="M230" s="405">
        <v>16.899999999999999</v>
      </c>
      <c r="N230" s="405" t="s">
        <v>744</v>
      </c>
      <c r="O230" s="405">
        <v>0</v>
      </c>
      <c r="P230" s="405">
        <v>1.66</v>
      </c>
      <c r="Q230" s="405">
        <v>2.4109854342689823</v>
      </c>
      <c r="R230" s="790">
        <v>1837.8363328929981</v>
      </c>
      <c r="S230" s="405" t="s">
        <v>744</v>
      </c>
      <c r="T230" s="405">
        <v>8.07</v>
      </c>
      <c r="U230" s="405" t="s">
        <v>744</v>
      </c>
      <c r="V230" s="681">
        <v>0.66</v>
      </c>
      <c r="W230" s="681" t="e">
        <v>#VALUE!</v>
      </c>
      <c r="X230" s="647">
        <v>59.72</v>
      </c>
      <c r="Y230" s="383">
        <v>53.96</v>
      </c>
      <c r="Z230" s="681">
        <v>42.3</v>
      </c>
      <c r="AA230" s="794">
        <v>56.4</v>
      </c>
      <c r="AB230" s="794">
        <v>34.4</v>
      </c>
      <c r="AC230" s="775">
        <f t="shared" si="236"/>
        <v>90.8</v>
      </c>
      <c r="AD230" s="775">
        <f t="shared" si="237"/>
        <v>140.46759999999998</v>
      </c>
      <c r="AE230" s="775"/>
      <c r="AF230" s="775"/>
      <c r="AG230" s="407">
        <v>1.6</v>
      </c>
      <c r="AH230" s="705"/>
      <c r="AI230" s="705"/>
      <c r="AJ230" s="407"/>
      <c r="AK230" s="407"/>
      <c r="AL230" s="407"/>
      <c r="AM230" s="407"/>
      <c r="AN230" s="407"/>
      <c r="AO230" s="387"/>
      <c r="AP230" s="387"/>
      <c r="AQ230" s="405"/>
      <c r="AR230" s="578">
        <v>0</v>
      </c>
      <c r="AS230" s="405">
        <v>16.899999999999999</v>
      </c>
      <c r="AT230" s="578">
        <v>0</v>
      </c>
      <c r="AU230" s="405">
        <v>57.4</v>
      </c>
      <c r="AV230" s="405">
        <v>1052.5999999999999</v>
      </c>
      <c r="AW230" s="405">
        <v>866.6</v>
      </c>
      <c r="AX230" s="405">
        <v>60.8</v>
      </c>
      <c r="AY230" s="578">
        <v>0</v>
      </c>
      <c r="AZ230" s="578">
        <v>0</v>
      </c>
      <c r="BA230" s="578">
        <v>0</v>
      </c>
      <c r="BB230" s="925">
        <v>1.6</v>
      </c>
      <c r="BC230" s="405">
        <v>1.44</v>
      </c>
      <c r="BD230" s="405">
        <v>2.56</v>
      </c>
      <c r="BE230" s="578">
        <v>0</v>
      </c>
      <c r="BF230" s="405">
        <v>1</v>
      </c>
      <c r="BG230" s="405">
        <v>0</v>
      </c>
      <c r="BH230" s="578">
        <v>0</v>
      </c>
      <c r="BI230" s="405">
        <v>3</v>
      </c>
      <c r="BJ230" s="405">
        <v>27</v>
      </c>
      <c r="BK230" s="405">
        <v>5.38</v>
      </c>
      <c r="BL230" s="405">
        <v>5.67</v>
      </c>
      <c r="BM230" s="405">
        <v>0</v>
      </c>
      <c r="BN230" s="405">
        <v>14.8</v>
      </c>
      <c r="BO230" s="405">
        <v>2460.6</v>
      </c>
      <c r="BP230" s="405">
        <v>0</v>
      </c>
      <c r="BQ230" s="649">
        <v>22.11</v>
      </c>
      <c r="BR230" s="649">
        <v>21.95</v>
      </c>
      <c r="BS230" s="649">
        <v>26.33</v>
      </c>
      <c r="BT230" s="649">
        <v>26.38</v>
      </c>
      <c r="BU230" s="648">
        <v>53.6</v>
      </c>
      <c r="BV230" s="648">
        <v>63.1</v>
      </c>
      <c r="BW230" s="649">
        <v>1287.7</v>
      </c>
      <c r="BX230" s="876"/>
      <c r="BY230" s="649">
        <v>3.4</v>
      </c>
      <c r="BZ230" s="649">
        <v>1.49</v>
      </c>
      <c r="CA230" s="649">
        <v>1.3</v>
      </c>
      <c r="CB230" s="649">
        <v>8.8000000000000007</v>
      </c>
      <c r="CC230" s="649">
        <v>8.6</v>
      </c>
      <c r="CD230" s="649">
        <v>17.5</v>
      </c>
      <c r="CE230" s="649">
        <v>30.3</v>
      </c>
      <c r="CF230" s="649">
        <v>21.5</v>
      </c>
      <c r="CG230" s="649">
        <v>6.9</v>
      </c>
      <c r="CH230" s="649">
        <v>12.15</v>
      </c>
      <c r="CI230" s="649">
        <v>16.399999999999999</v>
      </c>
      <c r="CJ230" s="649">
        <v>14.6</v>
      </c>
      <c r="CK230" s="649">
        <v>486.7</v>
      </c>
      <c r="CL230" s="649">
        <v>3.6</v>
      </c>
      <c r="CM230" s="649">
        <v>5.7</v>
      </c>
      <c r="CN230" s="991">
        <v>1200</v>
      </c>
      <c r="CO230" s="649">
        <v>988.5</v>
      </c>
      <c r="CP230" s="649">
        <v>693</v>
      </c>
      <c r="CQ230" s="649">
        <v>13.4</v>
      </c>
      <c r="CR230" s="649">
        <v>0.99</v>
      </c>
      <c r="CS230" s="648">
        <v>0</v>
      </c>
      <c r="CT230" s="405">
        <v>16.600000000000001</v>
      </c>
      <c r="CU230" s="405">
        <v>62</v>
      </c>
      <c r="CV230" s="792">
        <v>0</v>
      </c>
      <c r="CW230" s="792">
        <v>0</v>
      </c>
      <c r="CX230" s="792">
        <v>0</v>
      </c>
      <c r="CY230" s="792">
        <v>0</v>
      </c>
      <c r="CZ230" s="689">
        <v>328</v>
      </c>
      <c r="DA230" s="689">
        <v>312</v>
      </c>
      <c r="DB230" s="689">
        <v>182</v>
      </c>
      <c r="DC230" s="643">
        <v>1160.8499999999999</v>
      </c>
      <c r="DD230" s="522"/>
      <c r="DE230" s="522"/>
      <c r="DF230" s="522"/>
      <c r="DG230" s="522"/>
      <c r="DH230" s="522"/>
      <c r="DI230" s="522"/>
      <c r="DJ230" s="522"/>
      <c r="DK230" s="522"/>
      <c r="DL230" s="649"/>
      <c r="DM230" s="649"/>
      <c r="DN230" s="649"/>
      <c r="DO230" s="522"/>
      <c r="DP230" s="522"/>
      <c r="DQ230" s="522"/>
      <c r="DR230" s="522"/>
      <c r="DS230" s="522"/>
      <c r="DT230" s="522"/>
      <c r="DU230" s="522"/>
      <c r="DV230" s="522"/>
      <c r="DW230" s="522"/>
      <c r="DX230" s="522"/>
      <c r="DY230" s="522"/>
      <c r="DZ230" s="522"/>
      <c r="EA230" s="522"/>
      <c r="EB230" s="522"/>
      <c r="EC230" s="522"/>
      <c r="ED230" s="522"/>
      <c r="EE230" s="522"/>
      <c r="EF230" s="522"/>
      <c r="EG230" s="1107">
        <f t="shared" si="209"/>
        <v>29.392999999999997</v>
      </c>
      <c r="EH230" s="649">
        <v>0</v>
      </c>
      <c r="EI230" s="649">
        <v>3</v>
      </c>
      <c r="EJ230" s="649">
        <v>5</v>
      </c>
      <c r="EK230" s="649">
        <v>11</v>
      </c>
      <c r="EL230" s="522"/>
      <c r="EM230" s="522"/>
      <c r="EN230" s="522"/>
      <c r="EO230" s="522"/>
      <c r="EP230" s="522"/>
      <c r="EQ230" s="522"/>
      <c r="ER230" s="522"/>
      <c r="ES230" s="407"/>
      <c r="ET230" s="407"/>
    </row>
    <row r="231" spans="1:150" s="357" customFormat="1" ht="15">
      <c r="A231" s="675" t="s">
        <v>6</v>
      </c>
      <c r="B231" s="712">
        <v>41857</v>
      </c>
      <c r="C231" s="358">
        <v>0</v>
      </c>
      <c r="D231" s="405">
        <v>0</v>
      </c>
      <c r="E231" s="681">
        <v>0</v>
      </c>
      <c r="F231" s="681">
        <v>58</v>
      </c>
      <c r="G231" s="681">
        <v>0.4</v>
      </c>
      <c r="H231" s="405">
        <v>0.69</v>
      </c>
      <c r="I231" s="405">
        <v>91</v>
      </c>
      <c r="J231" s="405" t="s">
        <v>744</v>
      </c>
      <c r="K231" s="405">
        <v>0.59</v>
      </c>
      <c r="L231" s="644">
        <v>0</v>
      </c>
      <c r="M231" s="405">
        <v>17.2</v>
      </c>
      <c r="N231" s="405" t="s">
        <v>744</v>
      </c>
      <c r="O231" s="405" t="s">
        <v>743</v>
      </c>
      <c r="P231" s="405">
        <v>1.81</v>
      </c>
      <c r="Q231" s="405">
        <v>2.4076934380077195</v>
      </c>
      <c r="R231" s="790">
        <v>1810.6283223249668</v>
      </c>
      <c r="S231" s="405" t="s">
        <v>744</v>
      </c>
      <c r="T231" s="405">
        <v>8.01</v>
      </c>
      <c r="U231" s="405" t="s">
        <v>744</v>
      </c>
      <c r="V231" s="681">
        <v>0.68</v>
      </c>
      <c r="W231" s="681" t="e">
        <v>#VALUE!</v>
      </c>
      <c r="X231" s="647">
        <v>57.739999999999995</v>
      </c>
      <c r="Y231" s="383">
        <v>56.4</v>
      </c>
      <c r="Z231" s="681">
        <v>34.4</v>
      </c>
      <c r="AA231" s="794">
        <v>56</v>
      </c>
      <c r="AB231" s="794">
        <v>34.1</v>
      </c>
      <c r="AC231" s="775">
        <f t="shared" ref="AC231" si="238">AA231+AB231</f>
        <v>90.1</v>
      </c>
      <c r="AD231" s="775">
        <f t="shared" ref="AD231" si="239">AC231*1.547</f>
        <v>139.38469999999998</v>
      </c>
      <c r="AE231" s="775"/>
      <c r="AF231" s="775"/>
      <c r="AG231" s="407">
        <v>1.6</v>
      </c>
      <c r="AH231" s="705"/>
      <c r="AI231" s="705"/>
      <c r="AJ231" s="407"/>
      <c r="AK231" s="407"/>
      <c r="AL231" s="407"/>
      <c r="AM231" s="407"/>
      <c r="AN231" s="407"/>
      <c r="AO231" s="387"/>
      <c r="AP231" s="387"/>
      <c r="AQ231" s="405"/>
      <c r="AR231" s="578">
        <v>0</v>
      </c>
      <c r="AS231" s="405">
        <v>18.2</v>
      </c>
      <c r="AT231" s="578">
        <v>0</v>
      </c>
      <c r="AU231" s="405">
        <v>58.9</v>
      </c>
      <c r="AV231" s="405">
        <v>1250.0999999999999</v>
      </c>
      <c r="AW231" s="405">
        <v>1090.7</v>
      </c>
      <c r="AX231" s="405">
        <v>82.6</v>
      </c>
      <c r="AY231" s="578">
        <v>0</v>
      </c>
      <c r="AZ231" s="578">
        <v>0</v>
      </c>
      <c r="BA231" s="578">
        <v>0</v>
      </c>
      <c r="BB231" s="925">
        <v>0</v>
      </c>
      <c r="BC231" s="405">
        <v>1.65</v>
      </c>
      <c r="BD231" s="405">
        <v>2.35</v>
      </c>
      <c r="BE231" s="578">
        <v>0</v>
      </c>
      <c r="BF231" s="405">
        <v>1</v>
      </c>
      <c r="BG231" s="405">
        <v>0</v>
      </c>
      <c r="BH231" s="578">
        <v>0</v>
      </c>
      <c r="BI231" s="405">
        <v>3</v>
      </c>
      <c r="BJ231" s="405">
        <v>21.8</v>
      </c>
      <c r="BK231" s="405">
        <v>5.44</v>
      </c>
      <c r="BL231" s="405">
        <v>5.59</v>
      </c>
      <c r="BM231" s="405">
        <v>0</v>
      </c>
      <c r="BN231" s="405">
        <v>15</v>
      </c>
      <c r="BO231" s="405">
        <v>2800</v>
      </c>
      <c r="BP231" s="405">
        <v>0</v>
      </c>
      <c r="BQ231" s="649">
        <v>22.41</v>
      </c>
      <c r="BR231" s="649">
        <v>22.41</v>
      </c>
      <c r="BS231" s="649">
        <v>26.83</v>
      </c>
      <c r="BT231" s="649">
        <v>26.89</v>
      </c>
      <c r="BU231" s="648">
        <v>54.4</v>
      </c>
      <c r="BV231" s="648">
        <v>60.7</v>
      </c>
      <c r="BW231" s="649">
        <v>1280</v>
      </c>
      <c r="BX231" s="876"/>
      <c r="BY231" s="649">
        <v>1.46</v>
      </c>
      <c r="BZ231" s="649">
        <v>1.55</v>
      </c>
      <c r="CA231" s="649">
        <v>1.3</v>
      </c>
      <c r="CB231" s="649">
        <v>8.6999999999999993</v>
      </c>
      <c r="CC231" s="649">
        <v>8.4</v>
      </c>
      <c r="CD231" s="649">
        <v>18.2</v>
      </c>
      <c r="CE231" s="649">
        <v>34.200000000000003</v>
      </c>
      <c r="CF231" s="649">
        <v>22.1</v>
      </c>
      <c r="CG231" s="649">
        <v>7.85</v>
      </c>
      <c r="CH231" s="649">
        <v>13.3</v>
      </c>
      <c r="CI231" s="649">
        <v>17.100000000000001</v>
      </c>
      <c r="CJ231" s="649">
        <v>16.059999999999999</v>
      </c>
      <c r="CK231" s="649">
        <v>511.9</v>
      </c>
      <c r="CL231" s="649">
        <v>4.5</v>
      </c>
      <c r="CM231" s="649">
        <v>6.3</v>
      </c>
      <c r="CN231" s="991">
        <v>1200</v>
      </c>
      <c r="CO231" s="649">
        <v>1034.5</v>
      </c>
      <c r="CP231" s="649">
        <v>713.4</v>
      </c>
      <c r="CQ231" s="649">
        <v>13.6</v>
      </c>
      <c r="CR231" s="649">
        <v>1.05</v>
      </c>
      <c r="CS231" s="648">
        <v>3586.8</v>
      </c>
      <c r="CT231" s="405">
        <v>17.376000000000001</v>
      </c>
      <c r="CU231" s="405">
        <v>62</v>
      </c>
      <c r="CV231" s="792">
        <v>0</v>
      </c>
      <c r="CW231" s="792">
        <v>0</v>
      </c>
      <c r="CX231" s="792">
        <v>0</v>
      </c>
      <c r="CY231" s="792">
        <v>0</v>
      </c>
      <c r="CZ231" s="689">
        <v>325</v>
      </c>
      <c r="DA231" s="689">
        <v>312</v>
      </c>
      <c r="DB231" s="689">
        <v>193</v>
      </c>
      <c r="DC231" s="643">
        <v>1160.5999999999999</v>
      </c>
      <c r="DD231" s="522"/>
      <c r="DE231" s="522"/>
      <c r="DF231" s="522"/>
      <c r="DG231" s="522"/>
      <c r="DH231" s="522"/>
      <c r="DI231" s="522"/>
      <c r="DJ231" s="522"/>
      <c r="DK231" s="522"/>
      <c r="DL231" s="649"/>
      <c r="DM231" s="649"/>
      <c r="DN231" s="649"/>
      <c r="DO231" s="522"/>
      <c r="DP231" s="522"/>
      <c r="DQ231" s="522"/>
      <c r="DR231" s="522"/>
      <c r="DS231" s="522"/>
      <c r="DT231" s="522"/>
      <c r="DU231" s="522"/>
      <c r="DV231" s="522"/>
      <c r="DW231" s="522"/>
      <c r="DX231" s="522"/>
      <c r="DY231" s="522"/>
      <c r="DZ231" s="522"/>
      <c r="EA231" s="522"/>
      <c r="EB231" s="522"/>
      <c r="EC231" s="522"/>
      <c r="ED231" s="522"/>
      <c r="EE231" s="522"/>
      <c r="EF231" s="522"/>
      <c r="EG231" s="1107">
        <f t="shared" si="209"/>
        <v>29.392999999999997</v>
      </c>
      <c r="EH231" s="649">
        <v>0</v>
      </c>
      <c r="EI231" s="649">
        <v>3</v>
      </c>
      <c r="EJ231" s="649">
        <v>5</v>
      </c>
      <c r="EK231" s="649">
        <v>11</v>
      </c>
      <c r="EL231" s="522"/>
      <c r="EM231" s="522"/>
      <c r="EN231" s="522"/>
      <c r="EO231" s="522"/>
      <c r="EP231" s="522"/>
      <c r="EQ231" s="522"/>
      <c r="ER231" s="522"/>
      <c r="ES231" s="407"/>
      <c r="ET231" s="407"/>
    </row>
    <row r="232" spans="1:150" s="357" customFormat="1" ht="15">
      <c r="A232" s="675" t="s">
        <v>7</v>
      </c>
      <c r="B232" s="712">
        <v>41858</v>
      </c>
      <c r="C232" s="358">
        <v>0</v>
      </c>
      <c r="D232" s="405">
        <v>0</v>
      </c>
      <c r="E232" s="681">
        <v>0</v>
      </c>
      <c r="F232" s="681">
        <v>58</v>
      </c>
      <c r="G232" s="681">
        <v>0.4</v>
      </c>
      <c r="H232" s="405">
        <v>0.7</v>
      </c>
      <c r="I232" s="405">
        <v>91.6</v>
      </c>
      <c r="J232" s="405" t="s">
        <v>744</v>
      </c>
      <c r="K232" s="405">
        <v>0.61</v>
      </c>
      <c r="L232" s="644">
        <v>0</v>
      </c>
      <c r="M232" s="405">
        <v>17.2</v>
      </c>
      <c r="N232" s="405" t="s">
        <v>744</v>
      </c>
      <c r="O232" s="405" t="s">
        <v>743</v>
      </c>
      <c r="P232" s="405">
        <v>1.83</v>
      </c>
      <c r="Q232" s="405">
        <v>2.3273108428269556</v>
      </c>
      <c r="R232" s="790">
        <v>1640.9021611624835</v>
      </c>
      <c r="S232" s="405" t="s">
        <v>744</v>
      </c>
      <c r="T232" s="405">
        <v>8</v>
      </c>
      <c r="U232" s="405" t="s">
        <v>744</v>
      </c>
      <c r="V232" s="807">
        <v>0.68</v>
      </c>
      <c r="W232" s="681" t="e">
        <v>#VALUE!</v>
      </c>
      <c r="X232" s="647">
        <v>59.180000000000007</v>
      </c>
      <c r="Y232" s="383">
        <v>56</v>
      </c>
      <c r="Z232" s="681">
        <v>34.1</v>
      </c>
      <c r="AA232" s="794">
        <v>31.2</v>
      </c>
      <c r="AB232" s="794">
        <v>53.35</v>
      </c>
      <c r="AC232" s="775">
        <f t="shared" ref="AC232" si="240">AA232+AB232</f>
        <v>84.55</v>
      </c>
      <c r="AD232" s="775">
        <f t="shared" ref="AD232" si="241">AC232*1.547</f>
        <v>130.79884999999999</v>
      </c>
      <c r="AE232" s="775"/>
      <c r="AF232" s="775"/>
      <c r="AG232" s="407">
        <v>1.6</v>
      </c>
      <c r="AH232" s="705"/>
      <c r="AI232" s="705"/>
      <c r="AJ232" s="407"/>
      <c r="AK232" s="407"/>
      <c r="AL232" s="407"/>
      <c r="AM232" s="407"/>
      <c r="AN232" s="407"/>
      <c r="AO232" s="387"/>
      <c r="AP232" s="387"/>
      <c r="AQ232" s="405"/>
      <c r="AR232" s="578">
        <v>0</v>
      </c>
      <c r="AS232" s="405">
        <v>25.2</v>
      </c>
      <c r="AT232" s="578">
        <v>0</v>
      </c>
      <c r="AU232" s="405">
        <v>32</v>
      </c>
      <c r="AV232" s="405">
        <v>837</v>
      </c>
      <c r="AW232" s="405">
        <v>1082.8</v>
      </c>
      <c r="AX232" s="405">
        <v>84.6</v>
      </c>
      <c r="AY232" s="578">
        <v>0</v>
      </c>
      <c r="AZ232" s="578">
        <v>0</v>
      </c>
      <c r="BA232" s="578">
        <v>0</v>
      </c>
      <c r="BB232" s="925">
        <v>1.6</v>
      </c>
      <c r="BC232" s="405">
        <v>1.5</v>
      </c>
      <c r="BD232" s="405">
        <v>2.5</v>
      </c>
      <c r="BE232" s="578">
        <v>0</v>
      </c>
      <c r="BF232" s="405">
        <v>1</v>
      </c>
      <c r="BG232" s="405">
        <v>0</v>
      </c>
      <c r="BH232" s="578">
        <v>0</v>
      </c>
      <c r="BI232" s="405">
        <v>2.33</v>
      </c>
      <c r="BJ232" s="405">
        <v>32.4</v>
      </c>
      <c r="BK232" s="405">
        <v>5.44</v>
      </c>
      <c r="BL232" s="405">
        <v>5.59</v>
      </c>
      <c r="BM232" s="405">
        <v>0</v>
      </c>
      <c r="BN232" s="405">
        <v>34.200000000000003</v>
      </c>
      <c r="BO232" s="405">
        <v>2882.2</v>
      </c>
      <c r="BP232" s="405">
        <v>0</v>
      </c>
      <c r="BQ232" s="649">
        <v>24.24</v>
      </c>
      <c r="BR232" s="649">
        <v>24.24</v>
      </c>
      <c r="BS232" s="649">
        <v>13.92</v>
      </c>
      <c r="BT232" s="649">
        <v>14.03</v>
      </c>
      <c r="BU232" s="648">
        <v>29.3</v>
      </c>
      <c r="BV232" s="648">
        <v>29.8</v>
      </c>
      <c r="BW232" s="649">
        <v>1266.7</v>
      </c>
      <c r="BX232" s="876"/>
      <c r="BY232" s="649">
        <v>2.2000000000000002</v>
      </c>
      <c r="BZ232" s="649">
        <v>1.48</v>
      </c>
      <c r="CA232" s="649">
        <v>1.3</v>
      </c>
      <c r="CB232" s="649">
        <v>8.6999999999999993</v>
      </c>
      <c r="CC232" s="649">
        <v>8.1</v>
      </c>
      <c r="CD232" s="649">
        <v>17.600000000000001</v>
      </c>
      <c r="CE232" s="649">
        <v>32.9</v>
      </c>
      <c r="CF232" s="649">
        <v>20.65</v>
      </c>
      <c r="CG232" s="649">
        <v>9.1</v>
      </c>
      <c r="CH232" s="649">
        <v>14.8</v>
      </c>
      <c r="CI232" s="649">
        <v>18.87</v>
      </c>
      <c r="CJ232" s="649">
        <v>14.31</v>
      </c>
      <c r="CK232" s="649">
        <v>337.9</v>
      </c>
      <c r="CL232" s="649">
        <v>4.5</v>
      </c>
      <c r="CM232" s="649">
        <v>7.2</v>
      </c>
      <c r="CN232" s="991">
        <v>1200</v>
      </c>
      <c r="CO232" s="649">
        <v>971</v>
      </c>
      <c r="CP232" s="649">
        <v>695.1</v>
      </c>
      <c r="CQ232" s="649">
        <v>13.7</v>
      </c>
      <c r="CR232" s="649">
        <v>1.04</v>
      </c>
      <c r="CS232" s="648">
        <v>7841.6</v>
      </c>
      <c r="CT232" s="405">
        <v>18.16</v>
      </c>
      <c r="CU232" s="405">
        <v>62</v>
      </c>
      <c r="CV232" s="792">
        <v>0</v>
      </c>
      <c r="CW232" s="792">
        <v>0</v>
      </c>
      <c r="CX232" s="792">
        <v>0</v>
      </c>
      <c r="CY232" s="792">
        <v>0</v>
      </c>
      <c r="CZ232" s="689">
        <v>345</v>
      </c>
      <c r="DA232" s="689">
        <v>325</v>
      </c>
      <c r="DB232" s="689">
        <v>211</v>
      </c>
      <c r="DC232" s="643">
        <v>1160.33</v>
      </c>
      <c r="DD232" s="522"/>
      <c r="DE232" s="522"/>
      <c r="DF232" s="522"/>
      <c r="DG232" s="522"/>
      <c r="DH232" s="522"/>
      <c r="DI232" s="522"/>
      <c r="DJ232" s="522"/>
      <c r="DK232" s="522"/>
      <c r="DL232" s="649"/>
      <c r="DM232" s="649"/>
      <c r="DN232" s="649"/>
      <c r="DO232" s="522"/>
      <c r="DP232" s="522"/>
      <c r="DQ232" s="522"/>
      <c r="DR232" s="522"/>
      <c r="DS232" s="522"/>
      <c r="DT232" s="522"/>
      <c r="DU232" s="522"/>
      <c r="DV232" s="522"/>
      <c r="DW232" s="522"/>
      <c r="DX232" s="522"/>
      <c r="DY232" s="522"/>
      <c r="DZ232" s="522"/>
      <c r="EA232" s="522"/>
      <c r="EB232" s="522"/>
      <c r="EC232" s="522"/>
      <c r="ED232" s="522"/>
      <c r="EE232" s="522"/>
      <c r="EF232" s="522"/>
      <c r="EG232" s="1107">
        <f t="shared" si="209"/>
        <v>29.392999999999997</v>
      </c>
      <c r="EH232" s="649">
        <v>0</v>
      </c>
      <c r="EI232" s="649">
        <v>3</v>
      </c>
      <c r="EJ232" s="649">
        <v>5</v>
      </c>
      <c r="EK232" s="649">
        <v>11</v>
      </c>
      <c r="EL232" s="522"/>
      <c r="EM232" s="522"/>
      <c r="EN232" s="522"/>
      <c r="EO232" s="522"/>
      <c r="EP232" s="522"/>
      <c r="EQ232" s="522"/>
      <c r="ER232" s="522"/>
      <c r="ES232" s="407"/>
      <c r="ET232" s="407"/>
    </row>
    <row r="233" spans="1:150" s="357" customFormat="1" ht="15">
      <c r="A233" s="675" t="s">
        <v>8</v>
      </c>
      <c r="B233" s="712">
        <v>41859</v>
      </c>
      <c r="C233" s="358">
        <v>0</v>
      </c>
      <c r="D233" s="405">
        <v>0</v>
      </c>
      <c r="E233" s="681">
        <v>0</v>
      </c>
      <c r="F233" s="681">
        <v>58</v>
      </c>
      <c r="G233" s="681">
        <v>0.4</v>
      </c>
      <c r="H233" s="405">
        <v>0.71</v>
      </c>
      <c r="I233" s="405">
        <v>92.6</v>
      </c>
      <c r="J233" s="405" t="s">
        <v>744</v>
      </c>
      <c r="K233" s="405">
        <v>0.62</v>
      </c>
      <c r="L233" s="644">
        <v>0</v>
      </c>
      <c r="M233" s="405">
        <v>17.2</v>
      </c>
      <c r="N233" s="405" t="s">
        <v>744</v>
      </c>
      <c r="O233" s="405" t="s">
        <v>743</v>
      </c>
      <c r="P233" s="405">
        <v>1.79</v>
      </c>
      <c r="Q233" s="405">
        <v>2.332989241035718</v>
      </c>
      <c r="R233" s="790">
        <v>1655.8017859973575</v>
      </c>
      <c r="S233" s="405" t="s">
        <v>744</v>
      </c>
      <c r="T233" s="405">
        <v>8.02</v>
      </c>
      <c r="U233" s="405" t="s">
        <v>744</v>
      </c>
      <c r="V233" s="807">
        <v>0.68</v>
      </c>
      <c r="W233" s="681" t="e">
        <v>#VALUE!</v>
      </c>
      <c r="X233" s="647">
        <v>58.460000000000008</v>
      </c>
      <c r="Y233" s="383">
        <v>31.2</v>
      </c>
      <c r="Z233" s="681">
        <v>53.35</v>
      </c>
      <c r="AA233" s="794">
        <v>31.2</v>
      </c>
      <c r="AB233" s="794">
        <v>53.95</v>
      </c>
      <c r="AC233" s="775">
        <f t="shared" ref="AC233:AC235" si="242">AA233+AB233</f>
        <v>85.15</v>
      </c>
      <c r="AD233" s="775">
        <f t="shared" ref="AD233:AD235" si="243">AC233*1.547</f>
        <v>131.72704999999999</v>
      </c>
      <c r="AE233" s="775"/>
      <c r="AF233" s="775"/>
      <c r="AG233" s="407">
        <v>1.6</v>
      </c>
      <c r="AH233" s="705"/>
      <c r="AI233" s="705"/>
      <c r="AJ233" s="407"/>
      <c r="AK233" s="407"/>
      <c r="AL233" s="407"/>
      <c r="AM233" s="407"/>
      <c r="AN233" s="407"/>
      <c r="AO233" s="387"/>
      <c r="AP233" s="387"/>
      <c r="AQ233" s="405"/>
      <c r="AR233" s="578">
        <v>0</v>
      </c>
      <c r="AS233" s="405">
        <v>24.2</v>
      </c>
      <c r="AT233" s="578">
        <v>0</v>
      </c>
      <c r="AU233" s="405">
        <v>32</v>
      </c>
      <c r="AV233" s="405">
        <v>1250.9000000000001</v>
      </c>
      <c r="AW233" s="405">
        <v>1026.7</v>
      </c>
      <c r="AX233" s="405">
        <v>66.3</v>
      </c>
      <c r="AY233" s="578">
        <v>0</v>
      </c>
      <c r="AZ233" s="578">
        <v>0</v>
      </c>
      <c r="BA233" s="578">
        <v>0</v>
      </c>
      <c r="BB233" s="925">
        <v>1.6</v>
      </c>
      <c r="BC233" s="405">
        <v>1.5</v>
      </c>
      <c r="BD233" s="405">
        <v>2.5</v>
      </c>
      <c r="BE233" s="578">
        <v>0</v>
      </c>
      <c r="BF233" s="405">
        <v>1</v>
      </c>
      <c r="BG233" s="405">
        <v>0</v>
      </c>
      <c r="BH233" s="578">
        <v>0</v>
      </c>
      <c r="BI233" s="405">
        <v>2.02</v>
      </c>
      <c r="BJ233" s="405">
        <v>46.9</v>
      </c>
      <c r="BK233" s="405">
        <v>5.66</v>
      </c>
      <c r="BL233" s="405">
        <v>5.38</v>
      </c>
      <c r="BM233" s="405">
        <v>0</v>
      </c>
      <c r="BN233" s="405">
        <v>35.1</v>
      </c>
      <c r="BO233" s="405">
        <v>2677</v>
      </c>
      <c r="BP233" s="405">
        <v>0</v>
      </c>
      <c r="BQ233" s="649">
        <v>24.53</v>
      </c>
      <c r="BR233" s="649">
        <v>24.51</v>
      </c>
      <c r="BS233" s="649">
        <v>13.61</v>
      </c>
      <c r="BT233" s="649">
        <v>13.68</v>
      </c>
      <c r="BU233" s="648">
        <v>28.6</v>
      </c>
      <c r="BV233" s="648">
        <v>33.299999999999997</v>
      </c>
      <c r="BW233" s="649">
        <v>1325.5</v>
      </c>
      <c r="BX233" s="876"/>
      <c r="BY233" s="649">
        <v>2.96</v>
      </c>
      <c r="BZ233" s="649">
        <v>1.46</v>
      </c>
      <c r="CA233" s="649">
        <v>1.2</v>
      </c>
      <c r="CB233" s="649">
        <v>8.6999999999999993</v>
      </c>
      <c r="CC233" s="649">
        <v>8</v>
      </c>
      <c r="CD233" s="649">
        <v>17.600000000000001</v>
      </c>
      <c r="CE233" s="649">
        <v>32.799999999999997</v>
      </c>
      <c r="CF233" s="649">
        <v>19.5</v>
      </c>
      <c r="CG233" s="649">
        <v>8.5</v>
      </c>
      <c r="CH233" s="649">
        <v>13.9</v>
      </c>
      <c r="CI233" s="649">
        <v>18.3</v>
      </c>
      <c r="CJ233" s="649">
        <v>14.22</v>
      </c>
      <c r="CK233" s="649">
        <v>483.9</v>
      </c>
      <c r="CL233" s="649">
        <v>4.5999999999999996</v>
      </c>
      <c r="CM233" s="649">
        <v>6.9</v>
      </c>
      <c r="CN233" s="991">
        <v>1200</v>
      </c>
      <c r="CO233" s="649">
        <v>1013.6</v>
      </c>
      <c r="CP233" s="649">
        <v>698.6</v>
      </c>
      <c r="CQ233" s="649">
        <v>13.4</v>
      </c>
      <c r="CR233" s="649">
        <v>1.03</v>
      </c>
      <c r="CS233" s="648">
        <v>6282.1</v>
      </c>
      <c r="CT233" s="405">
        <v>17.71</v>
      </c>
      <c r="CU233" s="405">
        <v>62</v>
      </c>
      <c r="CV233" s="522">
        <v>0</v>
      </c>
      <c r="CW233" s="522">
        <v>0</v>
      </c>
      <c r="CX233" s="522">
        <v>0</v>
      </c>
      <c r="CY233" s="522">
        <v>0</v>
      </c>
      <c r="CZ233" s="689">
        <v>345</v>
      </c>
      <c r="DA233" s="689">
        <v>338</v>
      </c>
      <c r="DB233" s="689">
        <v>204</v>
      </c>
      <c r="DC233" s="643">
        <v>1160.05</v>
      </c>
      <c r="DD233" s="522"/>
      <c r="DE233" s="522"/>
      <c r="DF233" s="522"/>
      <c r="DG233" s="522"/>
      <c r="DH233" s="522"/>
      <c r="DI233" s="522"/>
      <c r="DJ233" s="522"/>
      <c r="DK233" s="522"/>
      <c r="DL233" s="649"/>
      <c r="DM233" s="649"/>
      <c r="DN233" s="649"/>
      <c r="DO233" s="522"/>
      <c r="DP233" s="522"/>
      <c r="DQ233" s="522"/>
      <c r="DR233" s="522"/>
      <c r="DS233" s="522"/>
      <c r="DT233" s="522"/>
      <c r="DU233" s="522"/>
      <c r="DV233" s="522"/>
      <c r="DW233" s="522"/>
      <c r="DX233" s="522"/>
      <c r="DY233" s="522"/>
      <c r="DZ233" s="522"/>
      <c r="EA233" s="522"/>
      <c r="EB233" s="522"/>
      <c r="EC233" s="522"/>
      <c r="ED233" s="522"/>
      <c r="EE233" s="522"/>
      <c r="EF233" s="522"/>
      <c r="EG233" s="1107">
        <f t="shared" si="209"/>
        <v>27.846</v>
      </c>
      <c r="EH233" s="649">
        <v>0</v>
      </c>
      <c r="EI233" s="649">
        <v>2</v>
      </c>
      <c r="EJ233" s="649">
        <v>5</v>
      </c>
      <c r="EK233" s="649">
        <v>11</v>
      </c>
      <c r="EL233" s="522"/>
      <c r="EM233" s="522"/>
      <c r="EN233" s="522"/>
      <c r="EO233" s="522"/>
      <c r="EP233" s="522"/>
      <c r="EQ233" s="522"/>
      <c r="ER233" s="522"/>
      <c r="ES233" s="407"/>
      <c r="ET233" s="407"/>
    </row>
    <row r="234" spans="1:150" s="357" customFormat="1" ht="15">
      <c r="A234" s="675" t="s">
        <v>9</v>
      </c>
      <c r="B234" s="712">
        <v>41860</v>
      </c>
      <c r="C234" s="358">
        <v>0</v>
      </c>
      <c r="D234" s="405">
        <v>0</v>
      </c>
      <c r="E234" s="681">
        <v>0</v>
      </c>
      <c r="F234" s="681">
        <v>60</v>
      </c>
      <c r="G234" s="681">
        <v>0.4</v>
      </c>
      <c r="H234" s="405">
        <v>0.78</v>
      </c>
      <c r="I234" s="405">
        <v>92.73</v>
      </c>
      <c r="J234" s="405" t="s">
        <v>744</v>
      </c>
      <c r="K234" s="405">
        <v>0.68</v>
      </c>
      <c r="L234" s="644">
        <v>0</v>
      </c>
      <c r="M234" s="405">
        <v>17.2</v>
      </c>
      <c r="N234" s="405" t="s">
        <v>744</v>
      </c>
      <c r="O234" s="405" t="s">
        <v>743</v>
      </c>
      <c r="P234" s="405">
        <v>1.75</v>
      </c>
      <c r="Q234" s="405">
        <v>2.3347561956710239</v>
      </c>
      <c r="R234" s="790">
        <v>1712.1612364597088</v>
      </c>
      <c r="S234" s="405" t="s">
        <v>744</v>
      </c>
      <c r="T234" s="405">
        <v>8.02</v>
      </c>
      <c r="U234" s="405" t="s">
        <v>744</v>
      </c>
      <c r="V234" s="681">
        <v>0.68</v>
      </c>
      <c r="W234" s="681" t="e">
        <v>#VALUE!</v>
      </c>
      <c r="X234" s="647">
        <v>59.360000000000014</v>
      </c>
      <c r="Y234" s="383">
        <v>31.2</v>
      </c>
      <c r="Z234" s="681">
        <v>53.95</v>
      </c>
      <c r="AA234" s="794">
        <v>32</v>
      </c>
      <c r="AB234" s="794">
        <v>56.23</v>
      </c>
      <c r="AC234" s="775">
        <f t="shared" si="242"/>
        <v>88.22999999999999</v>
      </c>
      <c r="AD234" s="775">
        <f t="shared" si="243"/>
        <v>136.49180999999999</v>
      </c>
      <c r="AE234" s="775"/>
      <c r="AF234" s="775"/>
      <c r="AG234" s="407">
        <v>1.6</v>
      </c>
      <c r="AH234" s="705"/>
      <c r="AI234" s="705"/>
      <c r="AJ234" s="407"/>
      <c r="AK234" s="407"/>
      <c r="AL234" s="407"/>
      <c r="AM234" s="407"/>
      <c r="AN234" s="407"/>
      <c r="AO234" s="387"/>
      <c r="AP234" s="387"/>
      <c r="AQ234" s="405"/>
      <c r="AR234" s="578">
        <v>0</v>
      </c>
      <c r="AS234" s="405">
        <v>26.6</v>
      </c>
      <c r="AT234" s="578">
        <v>0</v>
      </c>
      <c r="AU234" s="405">
        <v>32.5</v>
      </c>
      <c r="AV234" s="405">
        <v>1182.5999999999999</v>
      </c>
      <c r="AW234" s="405">
        <v>757.2</v>
      </c>
      <c r="AX234" s="405">
        <v>61.4</v>
      </c>
      <c r="AY234" s="578">
        <v>0</v>
      </c>
      <c r="AZ234" s="578">
        <v>0</v>
      </c>
      <c r="BA234" s="578">
        <v>0</v>
      </c>
      <c r="BB234" s="925">
        <v>1.6</v>
      </c>
      <c r="BC234" s="405">
        <v>1.5</v>
      </c>
      <c r="BD234" s="405">
        <v>2.5</v>
      </c>
      <c r="BE234" s="578">
        <v>0</v>
      </c>
      <c r="BF234" s="405">
        <v>1</v>
      </c>
      <c r="BG234" s="405">
        <v>0</v>
      </c>
      <c r="BH234" s="578">
        <v>0</v>
      </c>
      <c r="BI234" s="405">
        <v>2.02</v>
      </c>
      <c r="BJ234" s="405">
        <v>49.2</v>
      </c>
      <c r="BK234" s="405">
        <v>5.66</v>
      </c>
      <c r="BL234" s="405">
        <v>5.14</v>
      </c>
      <c r="BM234" s="405">
        <v>0</v>
      </c>
      <c r="BN234" s="405">
        <v>37.4</v>
      </c>
      <c r="BO234" s="405">
        <v>2764.9</v>
      </c>
      <c r="BP234" s="405">
        <v>0</v>
      </c>
      <c r="BQ234" s="649">
        <v>23.12</v>
      </c>
      <c r="BR234" s="649">
        <v>23.1</v>
      </c>
      <c r="BS234" s="649">
        <v>14.07</v>
      </c>
      <c r="BT234" s="649">
        <v>14.18</v>
      </c>
      <c r="BU234" s="648">
        <v>29.5</v>
      </c>
      <c r="BV234" s="648">
        <v>39</v>
      </c>
      <c r="BW234" s="649">
        <v>1364.1</v>
      </c>
      <c r="BX234" s="876"/>
      <c r="BY234" s="649">
        <v>0.65</v>
      </c>
      <c r="BZ234" s="649">
        <v>1.44</v>
      </c>
      <c r="CA234" s="649">
        <v>1.2</v>
      </c>
      <c r="CB234" s="649">
        <v>8.6999999999999993</v>
      </c>
      <c r="CC234" s="649">
        <v>8</v>
      </c>
      <c r="CD234" s="649">
        <v>16.5</v>
      </c>
      <c r="CE234" s="649">
        <v>33.5</v>
      </c>
      <c r="CF234" s="649">
        <v>18</v>
      </c>
      <c r="CG234" s="649">
        <v>8.4499999999999993</v>
      </c>
      <c r="CH234" s="649">
        <v>13.95</v>
      </c>
      <c r="CI234" s="649">
        <v>18.25</v>
      </c>
      <c r="CJ234" s="649">
        <v>13.99</v>
      </c>
      <c r="CK234" s="649">
        <v>538.6</v>
      </c>
      <c r="CL234" s="649">
        <v>3.6</v>
      </c>
      <c r="CM234" s="649">
        <v>5.8</v>
      </c>
      <c r="CN234" s="991">
        <v>1200</v>
      </c>
      <c r="CO234" s="649">
        <v>1040.8</v>
      </c>
      <c r="CP234" s="649">
        <v>666.8</v>
      </c>
      <c r="CQ234" s="649">
        <v>13.7</v>
      </c>
      <c r="CR234" s="649">
        <v>1.02</v>
      </c>
      <c r="CS234" s="648">
        <v>0</v>
      </c>
      <c r="CT234" s="405">
        <v>17.52</v>
      </c>
      <c r="CU234" s="405">
        <v>62</v>
      </c>
      <c r="CV234" s="522">
        <v>0</v>
      </c>
      <c r="CW234" s="522">
        <v>0</v>
      </c>
      <c r="CX234" s="522">
        <v>0</v>
      </c>
      <c r="CY234" s="522">
        <v>0</v>
      </c>
      <c r="CZ234" s="689">
        <v>345</v>
      </c>
      <c r="DA234" s="689">
        <v>333</v>
      </c>
      <c r="DB234" s="689">
        <v>193</v>
      </c>
      <c r="DC234" s="643">
        <v>1159.7</v>
      </c>
      <c r="DD234" s="522"/>
      <c r="DE234" s="522"/>
      <c r="DF234" s="522"/>
      <c r="DG234" s="522"/>
      <c r="DH234" s="522"/>
      <c r="DI234" s="522"/>
      <c r="DJ234" s="522"/>
      <c r="DK234" s="522"/>
      <c r="DL234" s="649"/>
      <c r="DM234" s="649"/>
      <c r="DN234" s="649"/>
      <c r="DO234" s="522"/>
      <c r="DP234" s="522"/>
      <c r="DQ234" s="522"/>
      <c r="DR234" s="522"/>
      <c r="DS234" s="522"/>
      <c r="DT234" s="522"/>
      <c r="DU234" s="522"/>
      <c r="DV234" s="522"/>
      <c r="DW234" s="522"/>
      <c r="DX234" s="522"/>
      <c r="DY234" s="522"/>
      <c r="DZ234" s="522"/>
      <c r="EA234" s="522"/>
      <c r="EB234" s="522"/>
      <c r="EC234" s="522"/>
      <c r="ED234" s="522"/>
      <c r="EE234" s="522"/>
      <c r="EF234" s="522"/>
      <c r="EG234" s="1107">
        <f t="shared" si="209"/>
        <v>28.7742</v>
      </c>
      <c r="EH234" s="649">
        <v>0.6</v>
      </c>
      <c r="EI234" s="649">
        <v>2</v>
      </c>
      <c r="EJ234" s="649">
        <v>5</v>
      </c>
      <c r="EK234" s="649">
        <v>11</v>
      </c>
      <c r="EL234" s="522"/>
      <c r="EM234" s="522"/>
      <c r="EN234" s="522"/>
      <c r="EO234" s="522"/>
      <c r="EP234" s="522"/>
      <c r="EQ234" s="522"/>
      <c r="ER234" s="522"/>
      <c r="ES234" s="407"/>
      <c r="ET234" s="407"/>
    </row>
    <row r="235" spans="1:150" s="357" customFormat="1" ht="15">
      <c r="A235" s="675" t="s">
        <v>3</v>
      </c>
      <c r="B235" s="712">
        <v>41861</v>
      </c>
      <c r="C235" s="358">
        <v>0</v>
      </c>
      <c r="D235" s="405">
        <v>0</v>
      </c>
      <c r="E235" s="681">
        <v>0</v>
      </c>
      <c r="F235" s="681">
        <v>65</v>
      </c>
      <c r="G235" s="681">
        <v>0.4</v>
      </c>
      <c r="H235" s="405">
        <v>0.83</v>
      </c>
      <c r="I235" s="405">
        <v>92.68</v>
      </c>
      <c r="J235" s="405" t="s">
        <v>744</v>
      </c>
      <c r="K235" s="405">
        <v>0.61</v>
      </c>
      <c r="L235" s="644">
        <v>0</v>
      </c>
      <c r="M235" s="405">
        <v>17.100000000000001</v>
      </c>
      <c r="N235" s="405" t="s">
        <v>744</v>
      </c>
      <c r="O235" s="405" t="s">
        <v>743</v>
      </c>
      <c r="P235" s="405">
        <v>1.77</v>
      </c>
      <c r="Q235" s="405">
        <v>2.4302657745517426</v>
      </c>
      <c r="R235" s="790">
        <v>1852.7359577278728</v>
      </c>
      <c r="S235" s="405" t="s">
        <v>744</v>
      </c>
      <c r="T235" s="405">
        <v>8.01</v>
      </c>
      <c r="U235" s="405" t="s">
        <v>744</v>
      </c>
      <c r="V235" s="681">
        <v>0.67</v>
      </c>
      <c r="W235" s="681" t="e">
        <v>#VALUE!</v>
      </c>
      <c r="X235" s="647">
        <v>59.180000000000007</v>
      </c>
      <c r="Y235" s="383">
        <v>32</v>
      </c>
      <c r="Z235" s="681">
        <v>56.23</v>
      </c>
      <c r="AA235" s="794">
        <v>32.799999999999997</v>
      </c>
      <c r="AB235" s="794">
        <v>58.95</v>
      </c>
      <c r="AC235" s="775">
        <f t="shared" si="242"/>
        <v>91.75</v>
      </c>
      <c r="AD235" s="775">
        <f t="shared" si="243"/>
        <v>141.93725000000001</v>
      </c>
      <c r="AE235" s="775"/>
      <c r="AF235" s="775"/>
      <c r="AG235" s="407">
        <v>1.6</v>
      </c>
      <c r="AH235" s="705"/>
      <c r="AI235" s="705"/>
      <c r="AJ235" s="407"/>
      <c r="AK235" s="407"/>
      <c r="AL235" s="407"/>
      <c r="AM235" s="407"/>
      <c r="AN235" s="407"/>
      <c r="AO235" s="387"/>
      <c r="AP235" s="387"/>
      <c r="AQ235" s="405"/>
      <c r="AR235" s="578">
        <v>0</v>
      </c>
      <c r="AS235" s="405">
        <v>27.4</v>
      </c>
      <c r="AT235" s="578">
        <v>0</v>
      </c>
      <c r="AU235" s="405">
        <v>33.4</v>
      </c>
      <c r="AV235" s="405">
        <v>1247.4000000000001</v>
      </c>
      <c r="AW235" s="405">
        <v>854.3</v>
      </c>
      <c r="AX235" s="405">
        <v>77</v>
      </c>
      <c r="AY235" s="578">
        <v>0</v>
      </c>
      <c r="AZ235" s="578">
        <v>0</v>
      </c>
      <c r="BA235" s="578">
        <v>0</v>
      </c>
      <c r="BB235" s="925">
        <v>1.6</v>
      </c>
      <c r="BC235" s="405">
        <v>1.5</v>
      </c>
      <c r="BD235" s="405">
        <v>2.5</v>
      </c>
      <c r="BE235" s="578">
        <v>0</v>
      </c>
      <c r="BF235" s="405">
        <v>1</v>
      </c>
      <c r="BG235" s="405">
        <v>0</v>
      </c>
      <c r="BH235" s="578">
        <v>0</v>
      </c>
      <c r="BI235" s="405">
        <v>2.0099999999999998</v>
      </c>
      <c r="BJ235" s="405">
        <v>51.8</v>
      </c>
      <c r="BK235" s="405">
        <v>6.01</v>
      </c>
      <c r="BL235" s="405">
        <v>5.03</v>
      </c>
      <c r="BM235" s="405">
        <v>0</v>
      </c>
      <c r="BN235" s="405">
        <v>40.1</v>
      </c>
      <c r="BO235" s="405">
        <v>2932.8</v>
      </c>
      <c r="BP235" s="405">
        <v>0</v>
      </c>
      <c r="BQ235" s="649">
        <v>21.8</v>
      </c>
      <c r="BR235" s="649">
        <v>21.78</v>
      </c>
      <c r="BS235" s="649">
        <v>14.44</v>
      </c>
      <c r="BT235" s="649">
        <v>14.58</v>
      </c>
      <c r="BU235" s="648">
        <v>30.2</v>
      </c>
      <c r="BV235" s="648">
        <v>39.6</v>
      </c>
      <c r="BW235" s="649">
        <v>1649.6</v>
      </c>
      <c r="BX235" s="876"/>
      <c r="BY235" s="649">
        <v>2.5099999999999998</v>
      </c>
      <c r="BZ235" s="649">
        <v>1.49</v>
      </c>
      <c r="CA235" s="649">
        <v>1.2</v>
      </c>
      <c r="CB235" s="649">
        <v>8.6999999999999993</v>
      </c>
      <c r="CC235" s="649">
        <v>8.1</v>
      </c>
      <c r="CD235" s="649">
        <v>16</v>
      </c>
      <c r="CE235" s="649">
        <v>30.7</v>
      </c>
      <c r="CF235" s="649">
        <v>16.2</v>
      </c>
      <c r="CG235" s="649">
        <v>8.3000000000000007</v>
      </c>
      <c r="CH235" s="649">
        <v>13.7</v>
      </c>
      <c r="CI235" s="649">
        <v>13.01</v>
      </c>
      <c r="CJ235" s="649">
        <v>14.08</v>
      </c>
      <c r="CK235" s="649">
        <v>583</v>
      </c>
      <c r="CL235" s="649">
        <v>3</v>
      </c>
      <c r="CM235" s="649">
        <v>4.2</v>
      </c>
      <c r="CN235" s="991">
        <v>1200</v>
      </c>
      <c r="CO235" s="649">
        <v>1130.3</v>
      </c>
      <c r="CP235" s="649">
        <v>1691.5</v>
      </c>
      <c r="CQ235" s="649">
        <v>14.7</v>
      </c>
      <c r="CR235" s="649">
        <v>1.1000000000000001</v>
      </c>
      <c r="CS235" s="648">
        <v>0</v>
      </c>
      <c r="CT235" s="405">
        <v>17.190000000000001</v>
      </c>
      <c r="CU235" s="405">
        <v>62</v>
      </c>
      <c r="CV235" s="522">
        <v>0</v>
      </c>
      <c r="CW235" s="522">
        <v>0</v>
      </c>
      <c r="CX235" s="522">
        <v>0</v>
      </c>
      <c r="CY235" s="522">
        <v>0</v>
      </c>
      <c r="CZ235" s="689">
        <v>345</v>
      </c>
      <c r="DA235" s="689">
        <v>320</v>
      </c>
      <c r="DB235" s="689">
        <v>193</v>
      </c>
      <c r="DC235" s="643">
        <v>1159.45</v>
      </c>
      <c r="DD235" s="522"/>
      <c r="DE235" s="522"/>
      <c r="DF235" s="522"/>
      <c r="DG235" s="522"/>
      <c r="DH235" s="522"/>
      <c r="DI235" s="522"/>
      <c r="DJ235" s="522"/>
      <c r="DK235" s="522"/>
      <c r="DL235" s="649"/>
      <c r="DM235" s="649"/>
      <c r="DN235" s="649"/>
      <c r="DO235" s="522"/>
      <c r="DP235" s="522"/>
      <c r="DQ235" s="522"/>
      <c r="DR235" s="522"/>
      <c r="DS235" s="522"/>
      <c r="DT235" s="522"/>
      <c r="DU235" s="522"/>
      <c r="DV235" s="522"/>
      <c r="DW235" s="522"/>
      <c r="DX235" s="522"/>
      <c r="DY235" s="522"/>
      <c r="DZ235" s="522"/>
      <c r="EA235" s="522"/>
      <c r="EB235" s="522"/>
      <c r="EC235" s="522"/>
      <c r="ED235" s="522"/>
      <c r="EE235" s="522"/>
      <c r="EF235" s="522"/>
      <c r="EG235" s="1107">
        <f t="shared" si="209"/>
        <v>28.989232999999999</v>
      </c>
      <c r="EH235" s="649">
        <v>0.73899999999999999</v>
      </c>
      <c r="EI235" s="649">
        <v>2</v>
      </c>
      <c r="EJ235" s="649">
        <v>5</v>
      </c>
      <c r="EK235" s="649">
        <v>11</v>
      </c>
      <c r="EL235" s="522"/>
      <c r="EM235" s="522"/>
      <c r="EN235" s="522"/>
      <c r="EO235" s="522"/>
      <c r="EP235" s="522"/>
      <c r="EQ235" s="522"/>
      <c r="ER235" s="522"/>
      <c r="ES235" s="407"/>
      <c r="ET235" s="407"/>
    </row>
    <row r="236" spans="1:150" s="357" customFormat="1" ht="15">
      <c r="A236" s="675" t="s">
        <v>4</v>
      </c>
      <c r="B236" s="712">
        <v>41862</v>
      </c>
      <c r="C236" s="358">
        <v>0</v>
      </c>
      <c r="D236" s="405">
        <v>0.03</v>
      </c>
      <c r="E236" s="681">
        <v>0</v>
      </c>
      <c r="F236" s="681">
        <v>65</v>
      </c>
      <c r="G236" s="681">
        <v>0.4</v>
      </c>
      <c r="H236" s="405">
        <v>0.79</v>
      </c>
      <c r="I236" s="405">
        <v>92.8</v>
      </c>
      <c r="J236" s="405" t="s">
        <v>744</v>
      </c>
      <c r="K236" s="405">
        <v>0.62</v>
      </c>
      <c r="L236" s="644">
        <v>0</v>
      </c>
      <c r="M236" s="405">
        <v>17.100000000000001</v>
      </c>
      <c r="N236" s="405" t="s">
        <v>744</v>
      </c>
      <c r="O236" s="405" t="s">
        <v>743</v>
      </c>
      <c r="P236" s="405">
        <v>1.7</v>
      </c>
      <c r="Q236" s="405">
        <v>2.4289940464341937</v>
      </c>
      <c r="R236" s="790">
        <v>1848.5251941875822</v>
      </c>
      <c r="S236" s="405" t="s">
        <v>744</v>
      </c>
      <c r="T236" s="405">
        <v>8.01</v>
      </c>
      <c r="U236" s="405" t="s">
        <v>744</v>
      </c>
      <c r="V236" s="681">
        <v>0.66</v>
      </c>
      <c r="W236" s="681" t="e">
        <v>#VALUE!</v>
      </c>
      <c r="X236" s="647">
        <v>59.900000000000006</v>
      </c>
      <c r="Y236" s="383">
        <v>32.799999999999997</v>
      </c>
      <c r="Z236" s="681">
        <v>58.95</v>
      </c>
      <c r="AA236" s="794">
        <v>32.880000000000003</v>
      </c>
      <c r="AB236" s="794">
        <v>58.82</v>
      </c>
      <c r="AC236" s="775">
        <f t="shared" ref="AC236:AC237" si="244">AA236+AB236</f>
        <v>91.7</v>
      </c>
      <c r="AD236" s="775">
        <f t="shared" ref="AD236:AD237" si="245">AC236*1.547</f>
        <v>141.85990000000001</v>
      </c>
      <c r="AE236" s="775"/>
      <c r="AF236" s="775"/>
      <c r="AG236" s="407">
        <v>1.6</v>
      </c>
      <c r="AH236" s="705"/>
      <c r="AI236" s="705"/>
      <c r="AJ236" s="407"/>
      <c r="AK236" s="407"/>
      <c r="AL236" s="407"/>
      <c r="AM236" s="407"/>
      <c r="AN236" s="407"/>
      <c r="AO236" s="387"/>
      <c r="AP236" s="387"/>
      <c r="AQ236" s="405"/>
      <c r="AR236" s="578">
        <v>0</v>
      </c>
      <c r="AS236" s="405">
        <v>27.5</v>
      </c>
      <c r="AT236" s="578">
        <v>0.2</v>
      </c>
      <c r="AU236" s="405">
        <v>33.200000000000003</v>
      </c>
      <c r="AV236" s="405">
        <v>1447.8</v>
      </c>
      <c r="AW236" s="405">
        <v>1027.2</v>
      </c>
      <c r="AX236" s="405">
        <v>74.2</v>
      </c>
      <c r="AY236" s="578">
        <v>0</v>
      </c>
      <c r="AZ236" s="578">
        <v>0</v>
      </c>
      <c r="BA236" s="578">
        <v>0</v>
      </c>
      <c r="BB236" s="925">
        <v>1.6</v>
      </c>
      <c r="BC236" s="405">
        <v>1.34</v>
      </c>
      <c r="BD236" s="405">
        <v>2.67</v>
      </c>
      <c r="BE236" s="578">
        <v>0</v>
      </c>
      <c r="BF236" s="405">
        <v>1</v>
      </c>
      <c r="BG236" s="405">
        <v>0</v>
      </c>
      <c r="BH236" s="578">
        <v>0</v>
      </c>
      <c r="BI236" s="405">
        <v>2.02</v>
      </c>
      <c r="BJ236" s="405">
        <v>51.8</v>
      </c>
      <c r="BK236" s="405">
        <v>5.72</v>
      </c>
      <c r="BL236" s="405">
        <v>5.03</v>
      </c>
      <c r="BM236" s="405">
        <v>0</v>
      </c>
      <c r="BN236" s="405">
        <v>40.1</v>
      </c>
      <c r="BO236" s="405">
        <v>2992.7</v>
      </c>
      <c r="BP236" s="405">
        <v>0</v>
      </c>
      <c r="BQ236" s="649">
        <v>20.16</v>
      </c>
      <c r="BR236" s="649">
        <v>20.14</v>
      </c>
      <c r="BS236" s="649">
        <v>14.22</v>
      </c>
      <c r="BT236" s="649">
        <v>14.32</v>
      </c>
      <c r="BU236" s="648">
        <v>29.7</v>
      </c>
      <c r="BV236" s="648">
        <v>40.1</v>
      </c>
      <c r="BW236" s="649">
        <v>1677.7</v>
      </c>
      <c r="BX236" s="876"/>
      <c r="BY236" s="649">
        <v>0.87</v>
      </c>
      <c r="BZ236" s="649">
        <v>1.48</v>
      </c>
      <c r="CA236" s="649">
        <v>1.2</v>
      </c>
      <c r="CB236" s="649">
        <v>8.6999999999999993</v>
      </c>
      <c r="CC236" s="649">
        <v>8.5</v>
      </c>
      <c r="CD236" s="649">
        <v>14</v>
      </c>
      <c r="CE236" s="649">
        <v>31.2</v>
      </c>
      <c r="CF236" s="649">
        <v>15.4</v>
      </c>
      <c r="CG236" s="649">
        <v>8.07</v>
      </c>
      <c r="CH236" s="649">
        <v>13.4</v>
      </c>
      <c r="CI236" s="649">
        <v>17.8</v>
      </c>
      <c r="CJ236" s="649">
        <v>12.05</v>
      </c>
      <c r="CK236" s="649">
        <v>509.2</v>
      </c>
      <c r="CL236" s="649">
        <v>2.5</v>
      </c>
      <c r="CM236" s="649">
        <v>5</v>
      </c>
      <c r="CN236" s="991">
        <v>1200</v>
      </c>
      <c r="CO236" s="649">
        <v>1142.4000000000001</v>
      </c>
      <c r="CP236" s="649">
        <v>729.9</v>
      </c>
      <c r="CQ236" s="649">
        <v>14.6</v>
      </c>
      <c r="CR236" s="649">
        <v>1.1399999999999999</v>
      </c>
      <c r="CS236" s="648">
        <v>0</v>
      </c>
      <c r="CT236" s="405">
        <v>17.324000000000002</v>
      </c>
      <c r="CU236" s="681">
        <v>62</v>
      </c>
      <c r="CV236" s="522">
        <v>0</v>
      </c>
      <c r="CW236" s="522">
        <v>0</v>
      </c>
      <c r="CX236" s="522">
        <v>0</v>
      </c>
      <c r="CY236" s="522">
        <v>0</v>
      </c>
      <c r="CZ236" s="689">
        <v>348</v>
      </c>
      <c r="DA236" s="689">
        <v>351</v>
      </c>
      <c r="DB236" s="689">
        <v>197</v>
      </c>
      <c r="DC236" s="643">
        <v>1159.1500000000001</v>
      </c>
      <c r="DD236" s="522"/>
      <c r="DE236" s="522"/>
      <c r="DF236" s="522"/>
      <c r="DG236" s="522"/>
      <c r="DH236" s="522"/>
      <c r="DI236" s="522"/>
      <c r="DJ236" s="522"/>
      <c r="DK236" s="522"/>
      <c r="DL236" s="649"/>
      <c r="DM236" s="649"/>
      <c r="DN236" s="649"/>
      <c r="DO236" s="522"/>
      <c r="DP236" s="522"/>
      <c r="DQ236" s="522"/>
      <c r="DR236" s="522"/>
      <c r="DS236" s="522"/>
      <c r="DT236" s="522"/>
      <c r="DU236" s="522"/>
      <c r="DV236" s="522"/>
      <c r="DW236" s="522"/>
      <c r="DX236" s="522"/>
      <c r="DY236" s="522"/>
      <c r="DZ236" s="522"/>
      <c r="EA236" s="522"/>
      <c r="EB236" s="522"/>
      <c r="EC236" s="522"/>
      <c r="ED236" s="522"/>
      <c r="EE236" s="522"/>
      <c r="EF236" s="522"/>
      <c r="EG236" s="1107">
        <f t="shared" si="209"/>
        <v>28.97531</v>
      </c>
      <c r="EH236" s="649">
        <v>0.73</v>
      </c>
      <c r="EI236" s="649">
        <v>2</v>
      </c>
      <c r="EJ236" s="649">
        <v>5</v>
      </c>
      <c r="EK236" s="649">
        <v>11</v>
      </c>
      <c r="EL236" s="522"/>
      <c r="EM236" s="522"/>
      <c r="EN236" s="522"/>
      <c r="EO236" s="522"/>
      <c r="EP236" s="522"/>
      <c r="EQ236" s="522"/>
      <c r="ER236" s="522"/>
      <c r="ES236" s="407"/>
      <c r="ET236" s="407"/>
    </row>
    <row r="237" spans="1:150" s="357" customFormat="1" ht="15">
      <c r="A237" s="675" t="s">
        <v>5</v>
      </c>
      <c r="B237" s="712">
        <v>41863</v>
      </c>
      <c r="C237" s="358">
        <v>0</v>
      </c>
      <c r="D237" s="405">
        <v>0.84</v>
      </c>
      <c r="E237" s="681">
        <v>0</v>
      </c>
      <c r="F237" s="681">
        <v>64</v>
      </c>
      <c r="G237" s="681">
        <v>0.4</v>
      </c>
      <c r="H237" s="405">
        <v>0.78</v>
      </c>
      <c r="I237" s="405">
        <v>92.2</v>
      </c>
      <c r="J237" s="405" t="s">
        <v>744</v>
      </c>
      <c r="K237" s="405">
        <v>0.67</v>
      </c>
      <c r="L237" s="644">
        <v>0</v>
      </c>
      <c r="M237" s="405">
        <v>17.100000000000001</v>
      </c>
      <c r="N237" s="405" t="s">
        <v>744</v>
      </c>
      <c r="O237" s="405" t="s">
        <v>743</v>
      </c>
      <c r="P237" s="405">
        <v>1.72</v>
      </c>
      <c r="Q237" s="405">
        <v>2.4322313404578519</v>
      </c>
      <c r="R237" s="790">
        <v>1854.0315772787317</v>
      </c>
      <c r="S237" s="405" t="s">
        <v>744</v>
      </c>
      <c r="T237" s="405">
        <v>8.0299999999999994</v>
      </c>
      <c r="U237" s="405" t="s">
        <v>744</v>
      </c>
      <c r="V237" s="681">
        <v>0.66</v>
      </c>
      <c r="W237" s="681" t="e">
        <v>#VALUE!</v>
      </c>
      <c r="X237" s="647">
        <v>60.260000000000005</v>
      </c>
      <c r="Y237" s="383">
        <v>32.880000000000003</v>
      </c>
      <c r="Z237" s="681">
        <v>58.82</v>
      </c>
      <c r="AA237" s="794">
        <v>40.78</v>
      </c>
      <c r="AB237" s="794">
        <v>50.7</v>
      </c>
      <c r="AC237" s="775">
        <f t="shared" si="244"/>
        <v>91.48</v>
      </c>
      <c r="AD237" s="775">
        <f t="shared" si="245"/>
        <v>141.51956000000001</v>
      </c>
      <c r="AE237" s="775"/>
      <c r="AF237" s="775"/>
      <c r="AG237" s="407">
        <v>1.6</v>
      </c>
      <c r="AH237" s="705"/>
      <c r="AI237" s="705"/>
      <c r="AJ237" s="407"/>
      <c r="AK237" s="407"/>
      <c r="AL237" s="407"/>
      <c r="AM237" s="407"/>
      <c r="AN237" s="407"/>
      <c r="AO237" s="387"/>
      <c r="AP237" s="1108">
        <v>0.67200000000000004</v>
      </c>
      <c r="AQ237" s="992">
        <v>0.75</v>
      </c>
      <c r="AR237" s="578">
        <v>0</v>
      </c>
      <c r="AS237" s="405">
        <v>11.3</v>
      </c>
      <c r="AT237" s="578">
        <v>0.85</v>
      </c>
      <c r="AU237" s="405">
        <v>39.4</v>
      </c>
      <c r="AV237" s="405">
        <v>1009.2</v>
      </c>
      <c r="AW237" s="405">
        <v>677.7</v>
      </c>
      <c r="AX237" s="405">
        <v>46.7</v>
      </c>
      <c r="AY237" s="578">
        <v>0</v>
      </c>
      <c r="AZ237" s="578">
        <v>0</v>
      </c>
      <c r="BA237" s="578">
        <v>0</v>
      </c>
      <c r="BB237" s="925">
        <v>1.6</v>
      </c>
      <c r="BC237" s="405">
        <v>1.4</v>
      </c>
      <c r="BD237" s="405">
        <v>2.61</v>
      </c>
      <c r="BE237" s="578">
        <v>0</v>
      </c>
      <c r="BF237" s="405">
        <v>1</v>
      </c>
      <c r="BG237" s="405">
        <v>0</v>
      </c>
      <c r="BH237" s="578">
        <v>0</v>
      </c>
      <c r="BI237" s="405">
        <v>2.02</v>
      </c>
      <c r="BJ237" s="405">
        <v>43.8</v>
      </c>
      <c r="BK237" s="405">
        <v>5.8</v>
      </c>
      <c r="BL237" s="405">
        <v>5.0199999999999996</v>
      </c>
      <c r="BM237" s="405">
        <v>0</v>
      </c>
      <c r="BN237" s="405">
        <v>32.200000000000003</v>
      </c>
      <c r="BO237" s="405">
        <v>2211.9</v>
      </c>
      <c r="BP237" s="405">
        <v>0</v>
      </c>
      <c r="BQ237" s="649">
        <v>21.35</v>
      </c>
      <c r="BR237" s="649">
        <v>21.22</v>
      </c>
      <c r="BS237" s="649">
        <v>17.649999999999999</v>
      </c>
      <c r="BT237" s="649">
        <v>17.73</v>
      </c>
      <c r="BU237" s="648">
        <v>36.4</v>
      </c>
      <c r="BV237" s="648">
        <v>39.5</v>
      </c>
      <c r="BW237" s="649">
        <v>1004</v>
      </c>
      <c r="BX237" s="876"/>
      <c r="BY237" s="649">
        <v>0.73</v>
      </c>
      <c r="BZ237" s="649">
        <v>1.47</v>
      </c>
      <c r="CA237" s="649">
        <v>1.2</v>
      </c>
      <c r="CB237" s="649">
        <v>8.8000000000000007</v>
      </c>
      <c r="CC237" s="649">
        <v>8.6</v>
      </c>
      <c r="CD237" s="649">
        <v>14.5</v>
      </c>
      <c r="CE237" s="649">
        <v>33.5</v>
      </c>
      <c r="CF237" s="649">
        <v>14.4</v>
      </c>
      <c r="CG237" s="649">
        <v>8.1999999999999993</v>
      </c>
      <c r="CH237" s="649">
        <v>13.7</v>
      </c>
      <c r="CI237" s="649">
        <v>17.899999999999999</v>
      </c>
      <c r="CJ237" s="649">
        <v>12.7</v>
      </c>
      <c r="CK237" s="649">
        <v>575.70000000000005</v>
      </c>
      <c r="CL237" s="649">
        <v>3.4</v>
      </c>
      <c r="CM237" s="649">
        <v>4</v>
      </c>
      <c r="CN237" s="991">
        <v>1200</v>
      </c>
      <c r="CO237" s="649">
        <v>792.9</v>
      </c>
      <c r="CP237" s="649">
        <v>633.4</v>
      </c>
      <c r="CQ237" s="649">
        <v>15.1</v>
      </c>
      <c r="CR237" s="649">
        <v>1.07</v>
      </c>
      <c r="CS237" s="648">
        <v>83.5</v>
      </c>
      <c r="CT237" s="405">
        <v>17.173999999999999</v>
      </c>
      <c r="CU237" s="405">
        <v>62</v>
      </c>
      <c r="CV237" s="522">
        <v>0</v>
      </c>
      <c r="CW237" s="522">
        <v>0</v>
      </c>
      <c r="CX237" s="522">
        <v>0</v>
      </c>
      <c r="CY237" s="522">
        <v>0</v>
      </c>
      <c r="CZ237" s="689">
        <v>348</v>
      </c>
      <c r="DA237" s="689">
        <v>396</v>
      </c>
      <c r="DB237" s="689">
        <v>211</v>
      </c>
      <c r="DC237" s="643">
        <v>1158.92</v>
      </c>
      <c r="DD237" s="522"/>
      <c r="DE237" s="522"/>
      <c r="DF237" s="522"/>
      <c r="DG237" s="522"/>
      <c r="DH237" s="522"/>
      <c r="DI237" s="522"/>
      <c r="DJ237" s="522"/>
      <c r="DK237" s="522"/>
      <c r="DL237" s="649"/>
      <c r="DM237" s="649"/>
      <c r="DN237" s="649"/>
      <c r="DO237" s="522"/>
      <c r="DP237" s="522"/>
      <c r="DQ237" s="522"/>
      <c r="DR237" s="522"/>
      <c r="DS237" s="522"/>
      <c r="DT237" s="522"/>
      <c r="DU237" s="522"/>
      <c r="DV237" s="522"/>
      <c r="DW237" s="522"/>
      <c r="DX237" s="522"/>
      <c r="DY237" s="522"/>
      <c r="DZ237" s="522"/>
      <c r="EA237" s="522"/>
      <c r="EB237" s="522"/>
      <c r="EC237" s="522"/>
      <c r="ED237" s="522"/>
      <c r="EE237" s="522"/>
      <c r="EF237" s="522"/>
      <c r="EG237" s="1107">
        <f t="shared" si="209"/>
        <v>28.97531</v>
      </c>
      <c r="EH237" s="649">
        <v>0.73</v>
      </c>
      <c r="EI237" s="649">
        <v>2</v>
      </c>
      <c r="EJ237" s="649">
        <v>5</v>
      </c>
      <c r="EK237" s="649">
        <v>11</v>
      </c>
      <c r="EL237" s="522"/>
      <c r="EM237" s="522"/>
      <c r="EN237" s="522"/>
      <c r="EO237" s="522"/>
      <c r="EP237" s="522"/>
      <c r="EQ237" s="522"/>
      <c r="ER237" s="522"/>
      <c r="ES237" s="407"/>
      <c r="ET237" s="407"/>
    </row>
    <row r="238" spans="1:150" s="357" customFormat="1" ht="15">
      <c r="A238" s="675" t="s">
        <v>6</v>
      </c>
      <c r="B238" s="712">
        <v>41864</v>
      </c>
      <c r="C238" s="358">
        <v>0</v>
      </c>
      <c r="D238" s="405">
        <v>0.82</v>
      </c>
      <c r="E238" s="681">
        <v>0</v>
      </c>
      <c r="F238" s="681">
        <v>60</v>
      </c>
      <c r="G238" s="681">
        <v>0.45</v>
      </c>
      <c r="H238" s="405">
        <v>1.01</v>
      </c>
      <c r="I238" s="405">
        <v>92.02</v>
      </c>
      <c r="J238" s="405" t="s">
        <v>744</v>
      </c>
      <c r="K238" s="405">
        <v>1.04</v>
      </c>
      <c r="L238" s="644">
        <v>0</v>
      </c>
      <c r="M238" s="405">
        <v>17.100000000000001</v>
      </c>
      <c r="N238" s="405" t="s">
        <v>744</v>
      </c>
      <c r="O238" s="405" t="s">
        <v>743</v>
      </c>
      <c r="P238" s="405">
        <v>1.78</v>
      </c>
      <c r="Q238" s="405">
        <v>2.483158605715281</v>
      </c>
      <c r="R238" s="790">
        <v>1896.7870224570672</v>
      </c>
      <c r="S238" s="405" t="s">
        <v>744</v>
      </c>
      <c r="T238" s="405">
        <v>8.08</v>
      </c>
      <c r="U238" s="405" t="s">
        <v>744</v>
      </c>
      <c r="V238" s="681">
        <v>0.68</v>
      </c>
      <c r="W238" s="681" t="e">
        <v>#VALUE!</v>
      </c>
      <c r="X238" s="647">
        <v>59.180000000000007</v>
      </c>
      <c r="Y238" s="383">
        <v>40.78</v>
      </c>
      <c r="Z238" s="681">
        <v>50.7</v>
      </c>
      <c r="AA238" s="794">
        <v>61.24</v>
      </c>
      <c r="AB238" s="794">
        <v>30</v>
      </c>
      <c r="AC238" s="775">
        <f t="shared" ref="AC238" si="246">AA238+AB238</f>
        <v>91.240000000000009</v>
      </c>
      <c r="AD238" s="775">
        <f t="shared" ref="AD238" si="247">AC238*1.547</f>
        <v>141.14828</v>
      </c>
      <c r="AE238" s="775"/>
      <c r="AF238" s="775"/>
      <c r="AG238" s="407">
        <v>1.6</v>
      </c>
      <c r="AH238" s="705"/>
      <c r="AI238" s="705"/>
      <c r="AJ238" s="407"/>
      <c r="AK238" s="407"/>
      <c r="AL238" s="407"/>
      <c r="AM238" s="407"/>
      <c r="AN238" s="407"/>
      <c r="AO238" s="387"/>
      <c r="AP238" s="1108">
        <v>0.69699999999999995</v>
      </c>
      <c r="AQ238" s="992">
        <v>0.68</v>
      </c>
      <c r="AR238" s="578">
        <v>0</v>
      </c>
      <c r="AS238" s="405">
        <v>11.2</v>
      </c>
      <c r="AT238" s="578">
        <v>0.99</v>
      </c>
      <c r="AU238" s="405">
        <v>61.7</v>
      </c>
      <c r="AV238" s="405">
        <v>828.2</v>
      </c>
      <c r="AW238" s="405">
        <v>669.9</v>
      </c>
      <c r="AX238" s="405">
        <v>32.799999999999997</v>
      </c>
      <c r="AY238" s="578">
        <v>0</v>
      </c>
      <c r="AZ238" s="578">
        <v>0</v>
      </c>
      <c r="BA238" s="578">
        <v>0</v>
      </c>
      <c r="BB238" s="925">
        <v>1.6</v>
      </c>
      <c r="BC238" s="405">
        <v>1.51</v>
      </c>
      <c r="BD238" s="405">
        <v>1.89</v>
      </c>
      <c r="BE238" s="578">
        <v>0</v>
      </c>
      <c r="BF238" s="405">
        <v>0.67</v>
      </c>
      <c r="BG238" s="405">
        <v>0</v>
      </c>
      <c r="BH238" s="578">
        <v>0</v>
      </c>
      <c r="BI238" s="405">
        <v>2.02</v>
      </c>
      <c r="BJ238" s="405">
        <v>24.3</v>
      </c>
      <c r="BK238" s="405">
        <v>4.4000000000000004</v>
      </c>
      <c r="BL238" s="405">
        <v>6.33</v>
      </c>
      <c r="BM238" s="405">
        <v>0</v>
      </c>
      <c r="BN238" s="405">
        <v>12.7</v>
      </c>
      <c r="BO238" s="405">
        <v>1635.7</v>
      </c>
      <c r="BP238" s="405">
        <v>0</v>
      </c>
      <c r="BQ238" s="649">
        <v>22.92</v>
      </c>
      <c r="BR238" s="649">
        <v>22.81</v>
      </c>
      <c r="BS238" s="649">
        <v>28.77</v>
      </c>
      <c r="BT238" s="649">
        <v>28.84</v>
      </c>
      <c r="BU238" s="648">
        <v>58.1</v>
      </c>
      <c r="BV238" s="648">
        <v>61.3</v>
      </c>
      <c r="BW238" s="649">
        <v>934.4</v>
      </c>
      <c r="BX238" s="876"/>
      <c r="BY238" s="649">
        <v>2.46</v>
      </c>
      <c r="BZ238" s="649">
        <v>1.48</v>
      </c>
      <c r="CA238" s="649">
        <v>1.3</v>
      </c>
      <c r="CB238" s="649">
        <v>8.8000000000000007</v>
      </c>
      <c r="CC238" s="649">
        <v>8.4</v>
      </c>
      <c r="CD238" s="649">
        <v>17.600000000000001</v>
      </c>
      <c r="CE238" s="649">
        <v>31.2</v>
      </c>
      <c r="CF238" s="649">
        <v>23</v>
      </c>
      <c r="CG238" s="649">
        <v>7.4</v>
      </c>
      <c r="CH238" s="649">
        <v>12.7</v>
      </c>
      <c r="CI238" s="649">
        <v>17</v>
      </c>
      <c r="CJ238" s="649">
        <v>15.4</v>
      </c>
      <c r="CK238" s="649">
        <v>616.70000000000005</v>
      </c>
      <c r="CL238" s="649">
        <v>4.5999999999999996</v>
      </c>
      <c r="CM238" s="649">
        <v>4.2</v>
      </c>
      <c r="CN238" s="991">
        <v>1200</v>
      </c>
      <c r="CO238" s="649">
        <v>672.6</v>
      </c>
      <c r="CP238" s="649">
        <v>637.79999999999995</v>
      </c>
      <c r="CQ238" s="649">
        <v>14.7</v>
      </c>
      <c r="CR238" s="649">
        <v>0.98</v>
      </c>
      <c r="CS238" s="648">
        <v>0</v>
      </c>
      <c r="CT238" s="405">
        <v>17.228999999999999</v>
      </c>
      <c r="CU238" s="405">
        <v>62</v>
      </c>
      <c r="CV238" s="522">
        <v>0</v>
      </c>
      <c r="CW238" s="522">
        <v>0</v>
      </c>
      <c r="CX238" s="522">
        <v>0</v>
      </c>
      <c r="CY238" s="522">
        <v>0</v>
      </c>
      <c r="CZ238" s="689">
        <v>348</v>
      </c>
      <c r="DA238" s="689">
        <v>444</v>
      </c>
      <c r="DB238" s="689">
        <v>200</v>
      </c>
      <c r="DC238" s="643">
        <v>1158.94</v>
      </c>
      <c r="DD238" s="522"/>
      <c r="DE238" s="522"/>
      <c r="DF238" s="522"/>
      <c r="DG238" s="522"/>
      <c r="DH238" s="522"/>
      <c r="DI238" s="522"/>
      <c r="DJ238" s="522"/>
      <c r="DK238" s="522"/>
      <c r="DL238" s="649"/>
      <c r="DM238" s="649"/>
      <c r="DN238" s="649"/>
      <c r="DO238" s="522"/>
      <c r="DP238" s="522"/>
      <c r="DQ238" s="522"/>
      <c r="DR238" s="522"/>
      <c r="DS238" s="522"/>
      <c r="DT238" s="522"/>
      <c r="DU238" s="522"/>
      <c r="DV238" s="522"/>
      <c r="DW238" s="522"/>
      <c r="DX238" s="522"/>
      <c r="DY238" s="522"/>
      <c r="DZ238" s="522"/>
      <c r="EA238" s="522"/>
      <c r="EB238" s="522"/>
      <c r="EC238" s="522"/>
      <c r="ED238" s="522"/>
      <c r="EE238" s="522"/>
      <c r="EF238" s="522"/>
      <c r="EG238" s="1107">
        <f t="shared" si="209"/>
        <v>28.97531</v>
      </c>
      <c r="EH238" s="649">
        <v>0.73</v>
      </c>
      <c r="EI238" s="649">
        <v>2</v>
      </c>
      <c r="EJ238" s="649">
        <v>5</v>
      </c>
      <c r="EK238" s="649">
        <v>11</v>
      </c>
      <c r="EL238" s="522"/>
      <c r="EM238" s="522"/>
      <c r="EN238" s="522"/>
      <c r="EO238" s="522"/>
      <c r="EP238" s="522"/>
      <c r="EQ238" s="522"/>
      <c r="ER238" s="522"/>
      <c r="ES238" s="407"/>
      <c r="ET238" s="407"/>
    </row>
    <row r="239" spans="1:150" s="357" customFormat="1" ht="15">
      <c r="A239" s="675" t="s">
        <v>7</v>
      </c>
      <c r="B239" s="712">
        <v>41865</v>
      </c>
      <c r="C239" s="358">
        <v>0</v>
      </c>
      <c r="D239" s="405">
        <v>0.04</v>
      </c>
      <c r="E239" s="681">
        <v>0</v>
      </c>
      <c r="F239" s="681">
        <v>60</v>
      </c>
      <c r="G239" s="681">
        <v>0.5</v>
      </c>
      <c r="H239" s="405">
        <v>0.79</v>
      </c>
      <c r="I239" s="405">
        <v>93.23</v>
      </c>
      <c r="J239" s="405" t="s">
        <v>744</v>
      </c>
      <c r="K239" s="405">
        <v>0.62</v>
      </c>
      <c r="L239" s="644">
        <v>0</v>
      </c>
      <c r="M239" s="405">
        <v>17.100000000000001</v>
      </c>
      <c r="N239" s="405" t="s">
        <v>744</v>
      </c>
      <c r="O239" s="405" t="s">
        <v>743</v>
      </c>
      <c r="P239" s="405">
        <v>1.82</v>
      </c>
      <c r="Q239" s="405">
        <v>2.4875471730197862</v>
      </c>
      <c r="R239" s="790">
        <v>1805.1219392338173</v>
      </c>
      <c r="S239" s="405" t="s">
        <v>744</v>
      </c>
      <c r="T239" s="405">
        <v>8.14</v>
      </c>
      <c r="U239" s="405" t="s">
        <v>744</v>
      </c>
      <c r="V239" s="681">
        <v>0.72</v>
      </c>
      <c r="W239" s="681" t="e">
        <v>#VALUE!</v>
      </c>
      <c r="X239" s="647">
        <v>59.180000000000007</v>
      </c>
      <c r="Y239" s="383">
        <v>61.24</v>
      </c>
      <c r="Z239" s="681">
        <v>30</v>
      </c>
      <c r="AA239" s="794">
        <v>61.1</v>
      </c>
      <c r="AB239" s="794">
        <v>25.7</v>
      </c>
      <c r="AC239" s="775">
        <f t="shared" ref="AC239:AC242" si="248">AA239+AB239</f>
        <v>86.8</v>
      </c>
      <c r="AD239" s="775">
        <f t="shared" ref="AD239:AD242" si="249">AC239*1.547</f>
        <v>134.27959999999999</v>
      </c>
      <c r="AE239" s="775"/>
      <c r="AF239" s="775"/>
      <c r="AG239" s="407">
        <v>1.6</v>
      </c>
      <c r="AH239" s="705"/>
      <c r="AI239" s="705"/>
      <c r="AJ239" s="407"/>
      <c r="AK239" s="407"/>
      <c r="AL239" s="407"/>
      <c r="AM239" s="407"/>
      <c r="AN239" s="407"/>
      <c r="AO239" s="387"/>
      <c r="AP239" s="387"/>
      <c r="AQ239" s="405">
        <v>0.5</v>
      </c>
      <c r="AR239" s="578">
        <v>0</v>
      </c>
      <c r="AS239" s="405">
        <v>22.2</v>
      </c>
      <c r="AT239" s="578">
        <v>0.53</v>
      </c>
      <c r="AU239" s="405">
        <v>61.8</v>
      </c>
      <c r="AV239" s="405">
        <v>978.3</v>
      </c>
      <c r="AW239" s="405">
        <v>336.5</v>
      </c>
      <c r="AX239" s="405">
        <v>27.6</v>
      </c>
      <c r="AY239" s="578">
        <v>0</v>
      </c>
      <c r="AZ239" s="578">
        <v>0</v>
      </c>
      <c r="BA239" s="578">
        <v>0</v>
      </c>
      <c r="BB239" s="925">
        <v>1.6</v>
      </c>
      <c r="BC239" s="405">
        <v>1.01</v>
      </c>
      <c r="BD239" s="405">
        <v>1.49</v>
      </c>
      <c r="BE239" s="578">
        <v>0</v>
      </c>
      <c r="BF239" s="405">
        <v>0.5</v>
      </c>
      <c r="BG239" s="405">
        <v>0</v>
      </c>
      <c r="BH239" s="578">
        <v>0</v>
      </c>
      <c r="BI239" s="405">
        <v>2.02</v>
      </c>
      <c r="BJ239" s="405">
        <v>21.1</v>
      </c>
      <c r="BK239" s="405">
        <v>4.8899999999999997</v>
      </c>
      <c r="BL239" s="405">
        <v>6.1</v>
      </c>
      <c r="BM239" s="405">
        <v>0</v>
      </c>
      <c r="BN239" s="405">
        <v>9.64</v>
      </c>
      <c r="BO239" s="405">
        <v>1737.8</v>
      </c>
      <c r="BP239" s="405">
        <v>0</v>
      </c>
      <c r="BQ239" s="649">
        <v>25.39</v>
      </c>
      <c r="BR239" s="649">
        <v>25.22</v>
      </c>
      <c r="BS239" s="649">
        <v>28.91</v>
      </c>
      <c r="BT239" s="649">
        <v>28.94</v>
      </c>
      <c r="BU239" s="648">
        <v>57.7</v>
      </c>
      <c r="BV239" s="648">
        <v>59</v>
      </c>
      <c r="BW239" s="649">
        <v>1101.2</v>
      </c>
      <c r="BX239" s="876"/>
      <c r="BY239" s="649">
        <v>1.41</v>
      </c>
      <c r="BZ239" s="649">
        <v>1.54</v>
      </c>
      <c r="CA239" s="649">
        <v>1.3</v>
      </c>
      <c r="CB239" s="649">
        <v>8.9</v>
      </c>
      <c r="CC239" s="649">
        <v>8.3000000000000007</v>
      </c>
      <c r="CD239" s="649">
        <v>19.8</v>
      </c>
      <c r="CE239" s="649">
        <v>30.8</v>
      </c>
      <c r="CF239" s="649">
        <v>23.5</v>
      </c>
      <c r="CG239" s="649">
        <v>7.3</v>
      </c>
      <c r="CH239" s="649">
        <v>12.6</v>
      </c>
      <c r="CI239" s="649">
        <v>16.8</v>
      </c>
      <c r="CJ239" s="649">
        <v>16.309999999999999</v>
      </c>
      <c r="CK239" s="649">
        <v>552.20000000000005</v>
      </c>
      <c r="CL239" s="649">
        <v>4.4000000000000004</v>
      </c>
      <c r="CM239" s="649">
        <v>4.7</v>
      </c>
      <c r="CN239" s="991">
        <v>1200</v>
      </c>
      <c r="CO239" s="649">
        <v>676.6</v>
      </c>
      <c r="CP239" s="649">
        <v>627.6</v>
      </c>
      <c r="CQ239" s="649">
        <v>12.3</v>
      </c>
      <c r="CR239" s="649">
        <v>0.86</v>
      </c>
      <c r="CS239" s="648">
        <v>0</v>
      </c>
      <c r="CT239" s="405">
        <v>16.292999999999999</v>
      </c>
      <c r="CU239" s="405">
        <v>62</v>
      </c>
      <c r="CV239" s="522">
        <v>0</v>
      </c>
      <c r="CW239" s="522">
        <v>0</v>
      </c>
      <c r="CX239" s="522">
        <v>0</v>
      </c>
      <c r="CY239" s="522">
        <v>0</v>
      </c>
      <c r="CZ239" s="689">
        <v>372</v>
      </c>
      <c r="DA239" s="689">
        <v>396</v>
      </c>
      <c r="DB239" s="689">
        <v>249</v>
      </c>
      <c r="DC239" s="643">
        <v>1158.72</v>
      </c>
      <c r="DD239" s="522"/>
      <c r="DE239" s="522"/>
      <c r="DF239" s="522"/>
      <c r="DG239" s="522"/>
      <c r="DH239" s="522"/>
      <c r="DI239" s="522"/>
      <c r="DJ239" s="522"/>
      <c r="DK239" s="522"/>
      <c r="DL239" s="649"/>
      <c r="DM239" s="649"/>
      <c r="DN239" s="649"/>
      <c r="DO239" s="522"/>
      <c r="DP239" s="522"/>
      <c r="DQ239" s="522"/>
      <c r="DR239" s="522"/>
      <c r="DS239" s="522"/>
      <c r="DT239" s="522"/>
      <c r="DU239" s="522"/>
      <c r="DV239" s="522"/>
      <c r="DW239" s="522"/>
      <c r="DX239" s="522"/>
      <c r="DY239" s="522"/>
      <c r="DZ239" s="522"/>
      <c r="EA239" s="522"/>
      <c r="EB239" s="522"/>
      <c r="EC239" s="522"/>
      <c r="ED239" s="522"/>
      <c r="EE239" s="522"/>
      <c r="EF239" s="522"/>
      <c r="EG239" s="1107">
        <f t="shared" si="209"/>
        <v>28.97531</v>
      </c>
      <c r="EH239" s="649">
        <v>0.73</v>
      </c>
      <c r="EI239" s="649">
        <v>2</v>
      </c>
      <c r="EJ239" s="649">
        <v>5</v>
      </c>
      <c r="EK239" s="649">
        <v>11</v>
      </c>
      <c r="EL239" s="522"/>
      <c r="EM239" s="522"/>
      <c r="EN239" s="522"/>
      <c r="EO239" s="522"/>
      <c r="EP239" s="522"/>
      <c r="EQ239" s="522"/>
      <c r="ER239" s="522"/>
      <c r="ES239" s="407"/>
      <c r="ET239" s="407"/>
    </row>
    <row r="240" spans="1:150" s="357" customFormat="1" ht="15">
      <c r="A240" s="675" t="s">
        <v>8</v>
      </c>
      <c r="B240" s="712">
        <v>41866</v>
      </c>
      <c r="C240" s="358">
        <v>0</v>
      </c>
      <c r="D240" s="405">
        <v>0.04</v>
      </c>
      <c r="E240" s="681">
        <v>0</v>
      </c>
      <c r="F240" s="681">
        <v>62</v>
      </c>
      <c r="G240" s="681">
        <v>0.5</v>
      </c>
      <c r="H240" s="405">
        <v>0.76</v>
      </c>
      <c r="I240" s="405">
        <v>92.2</v>
      </c>
      <c r="J240" s="405" t="s">
        <v>744</v>
      </c>
      <c r="K240" s="405">
        <v>0.81</v>
      </c>
      <c r="L240" s="644">
        <v>9.9999999983992893E-3</v>
      </c>
      <c r="M240" s="405">
        <v>17.100000000000001</v>
      </c>
      <c r="N240" s="405" t="s">
        <v>744</v>
      </c>
      <c r="O240" s="405" t="s">
        <v>743</v>
      </c>
      <c r="P240" s="405">
        <v>1.85</v>
      </c>
      <c r="Q240" s="405">
        <v>2.5341854403941393</v>
      </c>
      <c r="R240" s="790">
        <v>1587.4578546895639</v>
      </c>
      <c r="S240" s="405" t="s">
        <v>744</v>
      </c>
      <c r="T240" s="405">
        <v>8.0500000000000007</v>
      </c>
      <c r="U240" s="405" t="s">
        <v>744</v>
      </c>
      <c r="V240" s="681">
        <v>0.74</v>
      </c>
      <c r="W240" s="681" t="e">
        <v>#VALUE!</v>
      </c>
      <c r="X240" s="647">
        <v>59.539999999999992</v>
      </c>
      <c r="Y240" s="383">
        <v>61.1</v>
      </c>
      <c r="Z240" s="681">
        <v>25.7</v>
      </c>
      <c r="AA240" s="794">
        <v>60.33</v>
      </c>
      <c r="AB240" s="794">
        <v>13.9</v>
      </c>
      <c r="AC240" s="775">
        <f t="shared" si="248"/>
        <v>74.23</v>
      </c>
      <c r="AD240" s="775">
        <f t="shared" si="249"/>
        <v>114.83381</v>
      </c>
      <c r="AE240" s="775"/>
      <c r="AF240" s="775"/>
      <c r="AG240" s="407">
        <v>1.6</v>
      </c>
      <c r="AH240" s="705"/>
      <c r="AI240" s="705"/>
      <c r="AJ240" s="407"/>
      <c r="AK240" s="407"/>
      <c r="AL240" s="407"/>
      <c r="AM240" s="407"/>
      <c r="AN240" s="407"/>
      <c r="AO240" s="387"/>
      <c r="AP240" s="387"/>
      <c r="AQ240" s="405"/>
      <c r="AR240" s="578">
        <v>0</v>
      </c>
      <c r="AS240" s="405">
        <v>11.4</v>
      </c>
      <c r="AT240" s="578">
        <v>0.37</v>
      </c>
      <c r="AU240" s="405">
        <v>61.6</v>
      </c>
      <c r="AV240" s="405">
        <v>727.7</v>
      </c>
      <c r="AW240" s="405">
        <v>546.1</v>
      </c>
      <c r="AX240" s="405">
        <v>27.6</v>
      </c>
      <c r="AY240" s="578">
        <v>0</v>
      </c>
      <c r="AZ240" s="578">
        <v>0</v>
      </c>
      <c r="BA240" s="578">
        <v>0</v>
      </c>
      <c r="BB240" s="925">
        <v>1.6</v>
      </c>
      <c r="BC240" s="405">
        <v>1</v>
      </c>
      <c r="BD240" s="405">
        <v>1.82</v>
      </c>
      <c r="BE240" s="578">
        <v>0</v>
      </c>
      <c r="BF240" s="405">
        <v>0.82</v>
      </c>
      <c r="BG240" s="405">
        <v>0</v>
      </c>
      <c r="BH240" s="578">
        <v>0</v>
      </c>
      <c r="BI240" s="405">
        <v>2.02</v>
      </c>
      <c r="BJ240" s="405">
        <v>8.8000000000000007</v>
      </c>
      <c r="BK240" s="405">
        <v>4.18</v>
      </c>
      <c r="BL240" s="405">
        <v>6.32</v>
      </c>
      <c r="BM240" s="405">
        <v>0</v>
      </c>
      <c r="BN240" s="405">
        <v>-4</v>
      </c>
      <c r="BO240" s="405">
        <v>1944.5</v>
      </c>
      <c r="BP240" s="405">
        <v>0</v>
      </c>
      <c r="BQ240" s="649">
        <v>24.9</v>
      </c>
      <c r="BR240" s="649">
        <v>24.73</v>
      </c>
      <c r="BS240" s="649">
        <v>28.86</v>
      </c>
      <c r="BT240" s="649">
        <v>29.91</v>
      </c>
      <c r="BU240" s="648">
        <v>57.4</v>
      </c>
      <c r="BV240" s="648">
        <v>67.599999999999994</v>
      </c>
      <c r="BW240" s="649">
        <v>872.1</v>
      </c>
      <c r="BX240" s="876"/>
      <c r="BY240" s="649">
        <v>1.82</v>
      </c>
      <c r="BZ240" s="649">
        <v>1.52</v>
      </c>
      <c r="CA240" s="649">
        <v>1.3</v>
      </c>
      <c r="CB240" s="649">
        <v>8.8000000000000007</v>
      </c>
      <c r="CC240" s="649">
        <v>8.1999999999999993</v>
      </c>
      <c r="CD240" s="649">
        <v>19.8</v>
      </c>
      <c r="CE240" s="649">
        <v>30.3</v>
      </c>
      <c r="CF240" s="649">
        <v>21.5</v>
      </c>
      <c r="CG240" s="649">
        <v>7.87</v>
      </c>
      <c r="CH240" s="649">
        <v>13.3</v>
      </c>
      <c r="CI240" s="649">
        <v>17.399999999999999</v>
      </c>
      <c r="CJ240" s="649">
        <v>15.5</v>
      </c>
      <c r="CK240" s="649">
        <v>412.1</v>
      </c>
      <c r="CL240" s="649">
        <v>4.5</v>
      </c>
      <c r="CM240" s="649">
        <v>6.9</v>
      </c>
      <c r="CN240" s="991">
        <v>1200</v>
      </c>
      <c r="CO240" s="649">
        <v>693.5</v>
      </c>
      <c r="CP240" s="649">
        <v>637.6</v>
      </c>
      <c r="CQ240" s="649">
        <v>11.6</v>
      </c>
      <c r="CR240" s="649">
        <v>0.7</v>
      </c>
      <c r="CS240" s="648">
        <v>0</v>
      </c>
      <c r="CT240" s="405">
        <v>16.222000000000001</v>
      </c>
      <c r="CU240" s="405">
        <v>62</v>
      </c>
      <c r="CV240" s="522">
        <v>0</v>
      </c>
      <c r="CW240" s="522">
        <v>0</v>
      </c>
      <c r="CX240" s="522">
        <v>0</v>
      </c>
      <c r="CY240" s="522">
        <v>0</v>
      </c>
      <c r="CZ240" s="689">
        <v>375</v>
      </c>
      <c r="DA240" s="689">
        <v>434</v>
      </c>
      <c r="DB240" s="689">
        <v>255</v>
      </c>
      <c r="DC240" s="643">
        <v>1158.5</v>
      </c>
      <c r="DD240" s="522"/>
      <c r="DE240" s="522"/>
      <c r="DF240" s="522"/>
      <c r="DG240" s="522"/>
      <c r="DH240" s="522"/>
      <c r="DI240" s="522"/>
      <c r="DJ240" s="522"/>
      <c r="DK240" s="522"/>
      <c r="DL240" s="649"/>
      <c r="DM240" s="649"/>
      <c r="DN240" s="649"/>
      <c r="DO240" s="522"/>
      <c r="DP240" s="522"/>
      <c r="DQ240" s="522"/>
      <c r="DR240" s="522"/>
      <c r="DS240" s="522"/>
      <c r="DT240" s="522"/>
      <c r="DU240" s="522"/>
      <c r="DV240" s="522"/>
      <c r="DW240" s="522"/>
      <c r="DX240" s="522"/>
      <c r="DY240" s="522"/>
      <c r="DZ240" s="522"/>
      <c r="EA240" s="522"/>
      <c r="EB240" s="522"/>
      <c r="EC240" s="522"/>
      <c r="ED240" s="522"/>
      <c r="EE240" s="522"/>
      <c r="EF240" s="522"/>
      <c r="EG240" s="808">
        <f t="shared" si="209"/>
        <v>26.298999999999999</v>
      </c>
      <c r="EH240" s="522">
        <v>0</v>
      </c>
      <c r="EI240" s="649">
        <v>2</v>
      </c>
      <c r="EJ240" s="649">
        <v>4</v>
      </c>
      <c r="EK240" s="649">
        <v>11</v>
      </c>
      <c r="EL240" s="522"/>
      <c r="EM240" s="522"/>
      <c r="EN240" s="522"/>
      <c r="EO240" s="522"/>
      <c r="EP240" s="522"/>
      <c r="EQ240" s="522"/>
      <c r="ER240" s="522"/>
      <c r="ES240" s="407"/>
      <c r="ET240" s="407"/>
    </row>
    <row r="241" spans="1:150" s="357" customFormat="1" ht="15">
      <c r="A241" s="675" t="s">
        <v>9</v>
      </c>
      <c r="B241" s="712">
        <v>41867</v>
      </c>
      <c r="C241" s="358">
        <v>0</v>
      </c>
      <c r="D241" s="405">
        <v>0</v>
      </c>
      <c r="E241" s="681">
        <v>0</v>
      </c>
      <c r="F241" s="681">
        <v>61</v>
      </c>
      <c r="G241" s="681">
        <v>0.5</v>
      </c>
      <c r="H241" s="405">
        <v>0.73</v>
      </c>
      <c r="I241" s="405">
        <v>91.6</v>
      </c>
      <c r="J241" s="405" t="s">
        <v>744</v>
      </c>
      <c r="K241" s="405">
        <v>0.56999999999999995</v>
      </c>
      <c r="L241" s="644">
        <v>0</v>
      </c>
      <c r="M241" s="405">
        <v>17</v>
      </c>
      <c r="N241" s="405" t="s">
        <v>744</v>
      </c>
      <c r="O241" s="405" t="s">
        <v>743</v>
      </c>
      <c r="P241" s="405">
        <v>1.83</v>
      </c>
      <c r="Q241" s="405">
        <v>2.5147542625670241</v>
      </c>
      <c r="R241" s="790">
        <v>1543.4067899603697</v>
      </c>
      <c r="S241" s="405" t="s">
        <v>744</v>
      </c>
      <c r="T241" s="405">
        <v>8.0399999999999991</v>
      </c>
      <c r="U241" s="405" t="s">
        <v>744</v>
      </c>
      <c r="V241" s="681">
        <v>0.74</v>
      </c>
      <c r="W241" s="681" t="e">
        <v>#VALUE!</v>
      </c>
      <c r="X241" s="647">
        <v>60.44</v>
      </c>
      <c r="Y241" s="383">
        <v>60.33</v>
      </c>
      <c r="Z241" s="681">
        <v>13.9</v>
      </c>
      <c r="AA241" s="794">
        <v>59.03</v>
      </c>
      <c r="AB241" s="794">
        <v>13.8</v>
      </c>
      <c r="AC241" s="775">
        <f t="shared" si="248"/>
        <v>72.83</v>
      </c>
      <c r="AD241" s="775">
        <f t="shared" si="249"/>
        <v>112.66801</v>
      </c>
      <c r="AE241" s="775"/>
      <c r="AF241" s="775"/>
      <c r="AG241" s="407">
        <v>1.6</v>
      </c>
      <c r="AH241" s="705"/>
      <c r="AI241" s="705"/>
      <c r="AJ241" s="407"/>
      <c r="AK241" s="407"/>
      <c r="AL241" s="407"/>
      <c r="AM241" s="407"/>
      <c r="AN241" s="407"/>
      <c r="AO241" s="387"/>
      <c r="AP241" s="387"/>
      <c r="AQ241" s="405"/>
      <c r="AR241" s="578">
        <v>0</v>
      </c>
      <c r="AS241" s="405">
        <v>11.7</v>
      </c>
      <c r="AT241" s="578">
        <v>0</v>
      </c>
      <c r="AU241" s="405">
        <v>60.3</v>
      </c>
      <c r="AV241" s="405">
        <v>771.4</v>
      </c>
      <c r="AW241" s="405">
        <v>855.7</v>
      </c>
      <c r="AX241" s="405">
        <v>25.9</v>
      </c>
      <c r="AY241" s="578">
        <v>0</v>
      </c>
      <c r="AZ241" s="578">
        <v>0</v>
      </c>
      <c r="BA241" s="578">
        <v>0</v>
      </c>
      <c r="BB241" s="925">
        <v>1.6</v>
      </c>
      <c r="BC241" s="405">
        <v>1.34</v>
      </c>
      <c r="BD241" s="405">
        <v>2</v>
      </c>
      <c r="BE241" s="578">
        <v>0</v>
      </c>
      <c r="BF241" s="405">
        <v>1</v>
      </c>
      <c r="BG241" s="405">
        <v>0</v>
      </c>
      <c r="BH241" s="578">
        <v>0</v>
      </c>
      <c r="BI241" s="405">
        <v>2.02</v>
      </c>
      <c r="BJ241" s="405">
        <v>7.9</v>
      </c>
      <c r="BK241" s="405">
        <v>4.1900000000000004</v>
      </c>
      <c r="BL241" s="405">
        <v>6.81</v>
      </c>
      <c r="BM241" s="405">
        <v>0</v>
      </c>
      <c r="BN241" s="405">
        <v>-5</v>
      </c>
      <c r="BO241" s="405">
        <v>2184.6</v>
      </c>
      <c r="BP241" s="405">
        <v>0</v>
      </c>
      <c r="BQ241" s="649">
        <v>22.94</v>
      </c>
      <c r="BR241" s="649">
        <v>22.94</v>
      </c>
      <c r="BS241" s="649">
        <v>28.09</v>
      </c>
      <c r="BT241" s="649">
        <v>28.14</v>
      </c>
      <c r="BU241" s="648">
        <v>56</v>
      </c>
      <c r="BV241" s="648">
        <v>70.3</v>
      </c>
      <c r="BW241" s="649">
        <v>996.1</v>
      </c>
      <c r="BX241" s="876"/>
      <c r="BY241" s="649">
        <v>0.65</v>
      </c>
      <c r="BZ241" s="649">
        <v>1.52</v>
      </c>
      <c r="CA241" s="649">
        <v>1.3</v>
      </c>
      <c r="CB241" s="649">
        <v>8.8000000000000007</v>
      </c>
      <c r="CC241" s="649">
        <v>8.4</v>
      </c>
      <c r="CD241" s="649">
        <v>18.8</v>
      </c>
      <c r="CE241" s="649">
        <v>30.8</v>
      </c>
      <c r="CF241" s="649">
        <v>19.2</v>
      </c>
      <c r="CG241" s="649">
        <v>8.8000000000000007</v>
      </c>
      <c r="CH241" s="649">
        <v>14.4</v>
      </c>
      <c r="CI241" s="649">
        <v>18.600000000000001</v>
      </c>
      <c r="CJ241" s="649">
        <v>14.7</v>
      </c>
      <c r="CK241" s="649">
        <v>393.1</v>
      </c>
      <c r="CL241" s="649">
        <v>4</v>
      </c>
      <c r="CM241" s="649">
        <v>6.9</v>
      </c>
      <c r="CN241" s="991">
        <v>1200</v>
      </c>
      <c r="CO241" s="649">
        <v>726.8</v>
      </c>
      <c r="CP241" s="649">
        <v>633.20000000000005</v>
      </c>
      <c r="CQ241" s="649">
        <v>11.3</v>
      </c>
      <c r="CR241" s="649">
        <v>0.71</v>
      </c>
      <c r="CS241" s="648">
        <v>0</v>
      </c>
      <c r="CT241" s="405">
        <v>16.431999999999999</v>
      </c>
      <c r="CU241" s="405">
        <v>62</v>
      </c>
      <c r="CV241" s="522">
        <v>0</v>
      </c>
      <c r="CW241" s="522">
        <v>0</v>
      </c>
      <c r="CX241" s="522">
        <v>0</v>
      </c>
      <c r="CY241" s="522">
        <v>0</v>
      </c>
      <c r="CZ241" s="689">
        <v>372</v>
      </c>
      <c r="DA241" s="689">
        <v>429</v>
      </c>
      <c r="DB241" s="689">
        <v>247</v>
      </c>
      <c r="DC241" s="643">
        <v>1158.2</v>
      </c>
      <c r="DD241" s="522"/>
      <c r="DE241" s="522"/>
      <c r="DF241" s="522"/>
      <c r="DG241" s="522"/>
      <c r="DH241" s="522"/>
      <c r="DI241" s="522"/>
      <c r="DJ241" s="522"/>
      <c r="DK241" s="522"/>
      <c r="DL241" s="649"/>
      <c r="DM241" s="649"/>
      <c r="DN241" s="649"/>
      <c r="DO241" s="522"/>
      <c r="DP241" s="522"/>
      <c r="DQ241" s="522"/>
      <c r="DR241" s="522"/>
      <c r="DS241" s="522"/>
      <c r="DT241" s="522"/>
      <c r="DU241" s="522"/>
      <c r="DV241" s="522"/>
      <c r="DW241" s="522"/>
      <c r="DX241" s="522"/>
      <c r="DY241" s="522"/>
      <c r="DZ241" s="522"/>
      <c r="EA241" s="522"/>
      <c r="EB241" s="522"/>
      <c r="EC241" s="522"/>
      <c r="ED241" s="522"/>
      <c r="EE241" s="522"/>
      <c r="EF241" s="522"/>
      <c r="EG241" s="808">
        <f t="shared" si="209"/>
        <v>27.072499999999998</v>
      </c>
      <c r="EH241" s="522">
        <v>0</v>
      </c>
      <c r="EI241" s="649">
        <v>2</v>
      </c>
      <c r="EJ241" s="649">
        <v>4.5</v>
      </c>
      <c r="EK241" s="649">
        <v>11</v>
      </c>
      <c r="EL241" s="522"/>
      <c r="EM241" s="522"/>
      <c r="EN241" s="522"/>
      <c r="EO241" s="522"/>
      <c r="EP241" s="522"/>
      <c r="EQ241" s="522"/>
      <c r="ER241" s="522"/>
      <c r="ES241" s="407"/>
      <c r="ET241" s="407"/>
    </row>
    <row r="242" spans="1:150" s="357" customFormat="1" ht="15">
      <c r="A242" s="675" t="s">
        <v>3</v>
      </c>
      <c r="B242" s="712">
        <v>41868</v>
      </c>
      <c r="C242" s="358">
        <v>0</v>
      </c>
      <c r="D242" s="405">
        <v>0</v>
      </c>
      <c r="E242" s="681">
        <v>0</v>
      </c>
      <c r="F242" s="681">
        <v>64</v>
      </c>
      <c r="G242" s="681">
        <v>0.5</v>
      </c>
      <c r="H242" s="405">
        <v>0.96</v>
      </c>
      <c r="I242" s="405">
        <v>92.2</v>
      </c>
      <c r="J242" s="405" t="s">
        <v>744</v>
      </c>
      <c r="K242" s="405">
        <v>0.65</v>
      </c>
      <c r="L242" s="644">
        <v>0</v>
      </c>
      <c r="M242" s="405">
        <v>17</v>
      </c>
      <c r="N242" s="405" t="s">
        <v>744</v>
      </c>
      <c r="O242" s="405" t="s">
        <v>743</v>
      </c>
      <c r="P242" s="405">
        <v>1.82</v>
      </c>
      <c r="Q242" s="405">
        <v>2.5225749688762558</v>
      </c>
      <c r="R242" s="790">
        <v>1644.1412100396299</v>
      </c>
      <c r="S242" s="405" t="s">
        <v>744</v>
      </c>
      <c r="T242" s="405">
        <v>8.01</v>
      </c>
      <c r="U242" s="405" t="s">
        <v>744</v>
      </c>
      <c r="V242" s="681">
        <v>0.74</v>
      </c>
      <c r="W242" s="681" t="e">
        <v>#VALUE!</v>
      </c>
      <c r="X242" s="647">
        <v>61.34</v>
      </c>
      <c r="Y242" s="383">
        <v>59.03</v>
      </c>
      <c r="Z242" s="681">
        <v>13.8</v>
      </c>
      <c r="AA242" s="794">
        <v>59.33</v>
      </c>
      <c r="AB242" s="794">
        <v>18.05</v>
      </c>
      <c r="AC242" s="775">
        <f t="shared" si="248"/>
        <v>77.38</v>
      </c>
      <c r="AD242" s="775">
        <f t="shared" si="249"/>
        <v>119.70685999999999</v>
      </c>
      <c r="AE242" s="705"/>
      <c r="AF242" s="775"/>
      <c r="AG242" s="407">
        <v>1.6</v>
      </c>
      <c r="AH242" s="705"/>
      <c r="AI242" s="705"/>
      <c r="AJ242" s="407"/>
      <c r="AK242" s="407"/>
      <c r="AL242" s="407"/>
      <c r="AM242" s="407"/>
      <c r="AN242" s="407"/>
      <c r="AO242" s="387"/>
      <c r="AP242" s="387"/>
      <c r="AQ242" s="405"/>
      <c r="AR242" s="578">
        <v>0</v>
      </c>
      <c r="AS242" s="405">
        <v>23</v>
      </c>
      <c r="AT242" s="578">
        <v>0</v>
      </c>
      <c r="AU242" s="405">
        <v>60.9</v>
      </c>
      <c r="AV242" s="405">
        <v>929.9</v>
      </c>
      <c r="AW242" s="405">
        <v>676</v>
      </c>
      <c r="AX242" s="405">
        <v>54.2</v>
      </c>
      <c r="AY242" s="578">
        <v>0</v>
      </c>
      <c r="AZ242" s="578">
        <v>0</v>
      </c>
      <c r="BA242" s="578">
        <v>0</v>
      </c>
      <c r="BB242" s="925">
        <v>1.6</v>
      </c>
      <c r="BC242" s="405">
        <v>1.24</v>
      </c>
      <c r="BD242" s="405">
        <v>2.61</v>
      </c>
      <c r="BE242" s="578">
        <v>0</v>
      </c>
      <c r="BF242" s="405">
        <v>1</v>
      </c>
      <c r="BG242" s="405">
        <v>0</v>
      </c>
      <c r="BH242" s="578">
        <v>0</v>
      </c>
      <c r="BI242" s="405">
        <v>2.02</v>
      </c>
      <c r="BJ242" s="405">
        <v>11.5</v>
      </c>
      <c r="BK242" s="405">
        <v>4.05</v>
      </c>
      <c r="BL242" s="405">
        <v>6.83</v>
      </c>
      <c r="BM242" s="405">
        <v>0</v>
      </c>
      <c r="BN242" s="405">
        <v>-1</v>
      </c>
      <c r="BO242" s="405">
        <v>2342.4</v>
      </c>
      <c r="BP242" s="405">
        <v>0</v>
      </c>
      <c r="BQ242" s="649">
        <v>20.350000000000001</v>
      </c>
      <c r="BR242" s="649">
        <v>20.2</v>
      </c>
      <c r="BS242" s="649">
        <v>28.26</v>
      </c>
      <c r="BT242" s="649">
        <v>28.31</v>
      </c>
      <c r="BU242" s="648">
        <v>56.3</v>
      </c>
      <c r="BV242" s="648">
        <v>72.8</v>
      </c>
      <c r="BW242" s="649">
        <v>1203</v>
      </c>
      <c r="BX242" s="876"/>
      <c r="BY242" s="649">
        <v>0.65</v>
      </c>
      <c r="BZ242" s="649">
        <v>1.52</v>
      </c>
      <c r="CA242" s="649">
        <v>1.3</v>
      </c>
      <c r="CB242" s="649">
        <v>8.8000000000000007</v>
      </c>
      <c r="CC242" s="649">
        <v>8.6999999999999993</v>
      </c>
      <c r="CD242" s="649">
        <v>18.100000000000001</v>
      </c>
      <c r="CE242" s="649">
        <v>32.1</v>
      </c>
      <c r="CF242" s="649">
        <v>18.600000000000001</v>
      </c>
      <c r="CG242" s="649">
        <v>8.6999999999999993</v>
      </c>
      <c r="CH242" s="649">
        <v>14.3</v>
      </c>
      <c r="CI242" s="649">
        <v>18.5</v>
      </c>
      <c r="CJ242" s="649">
        <v>14.1</v>
      </c>
      <c r="CK242" s="649">
        <v>394.4</v>
      </c>
      <c r="CL242" s="649">
        <v>4.2</v>
      </c>
      <c r="CM242" s="649">
        <v>7</v>
      </c>
      <c r="CN242" s="991">
        <v>1200</v>
      </c>
      <c r="CO242" s="649">
        <v>886.1</v>
      </c>
      <c r="CP242" s="649">
        <v>664.2</v>
      </c>
      <c r="CQ242" s="649">
        <v>11.3</v>
      </c>
      <c r="CR242" s="649">
        <v>0.63</v>
      </c>
      <c r="CS242" s="648">
        <v>0</v>
      </c>
      <c r="CT242" s="405">
        <v>16.548999999999999</v>
      </c>
      <c r="CU242" s="405">
        <v>63</v>
      </c>
      <c r="CV242" s="522">
        <v>0</v>
      </c>
      <c r="CW242" s="522">
        <v>0</v>
      </c>
      <c r="CX242" s="522">
        <v>0</v>
      </c>
      <c r="CY242" s="522">
        <v>0</v>
      </c>
      <c r="CZ242" s="689">
        <v>372</v>
      </c>
      <c r="DA242" s="689">
        <v>369</v>
      </c>
      <c r="DB242" s="689">
        <v>239</v>
      </c>
      <c r="DC242" s="643">
        <v>1157.8499999999999</v>
      </c>
      <c r="DD242" s="522"/>
      <c r="DE242" s="522"/>
      <c r="DF242" s="522"/>
      <c r="DG242" s="522"/>
      <c r="DH242" s="522"/>
      <c r="DI242" s="522"/>
      <c r="DJ242" s="522"/>
      <c r="DK242" s="522"/>
      <c r="DL242" s="649"/>
      <c r="DM242" s="649"/>
      <c r="DN242" s="649"/>
      <c r="DO242" s="522"/>
      <c r="DP242" s="522"/>
      <c r="DQ242" s="522"/>
      <c r="DR242" s="522"/>
      <c r="DS242" s="522"/>
      <c r="DT242" s="522"/>
      <c r="DU242" s="522"/>
      <c r="DV242" s="522"/>
      <c r="DW242" s="522"/>
      <c r="DX242" s="522"/>
      <c r="DY242" s="522"/>
      <c r="DZ242" s="522"/>
      <c r="EA242" s="522"/>
      <c r="EB242" s="522"/>
      <c r="EC242" s="522"/>
      <c r="ED242" s="522"/>
      <c r="EE242" s="522"/>
      <c r="EF242" s="522"/>
      <c r="EG242" s="808">
        <f t="shared" si="209"/>
        <v>27.846</v>
      </c>
      <c r="EH242" s="522">
        <v>0</v>
      </c>
      <c r="EI242" s="649">
        <v>2</v>
      </c>
      <c r="EJ242" s="649">
        <v>5</v>
      </c>
      <c r="EK242" s="649">
        <v>11</v>
      </c>
      <c r="EL242" s="522"/>
      <c r="EM242" s="522"/>
      <c r="EN242" s="522"/>
      <c r="EO242" s="522"/>
      <c r="EP242" s="522"/>
      <c r="EQ242" s="522"/>
      <c r="ER242" s="522"/>
      <c r="ES242" s="407"/>
      <c r="ET242" s="407"/>
    </row>
    <row r="243" spans="1:150" s="357" customFormat="1" ht="15">
      <c r="A243" s="675" t="s">
        <v>4</v>
      </c>
      <c r="B243" s="712">
        <v>41869</v>
      </c>
      <c r="C243" s="358">
        <v>0</v>
      </c>
      <c r="D243" s="405">
        <v>0</v>
      </c>
      <c r="E243" s="681">
        <v>0</v>
      </c>
      <c r="F243" s="681">
        <v>66</v>
      </c>
      <c r="G243" s="681">
        <v>0.5</v>
      </c>
      <c r="H243" s="405">
        <v>0.64</v>
      </c>
      <c r="I243" s="405">
        <v>92.6</v>
      </c>
      <c r="J243" s="405" t="s">
        <v>744</v>
      </c>
      <c r="K243" s="405">
        <v>0.63</v>
      </c>
      <c r="L243" s="644">
        <v>0</v>
      </c>
      <c r="M243" s="405">
        <v>16.899999999999999</v>
      </c>
      <c r="N243" s="405" t="s">
        <v>744</v>
      </c>
      <c r="O243" s="405" t="s">
        <v>743</v>
      </c>
      <c r="P243" s="405">
        <v>1.79</v>
      </c>
      <c r="Q243" s="405">
        <v>2.526487445816727</v>
      </c>
      <c r="R243" s="790">
        <v>1797.3482219286657</v>
      </c>
      <c r="S243" s="405" t="s">
        <v>744</v>
      </c>
      <c r="T243" s="405">
        <v>8.01</v>
      </c>
      <c r="U243" s="405" t="s">
        <v>744</v>
      </c>
      <c r="V243" s="681">
        <v>0.75</v>
      </c>
      <c r="W243" s="681" t="e">
        <v>#VALUE!</v>
      </c>
      <c r="X243" s="647">
        <v>59.72</v>
      </c>
      <c r="Y243" s="383">
        <v>59.33</v>
      </c>
      <c r="Z243" s="681">
        <v>18.05</v>
      </c>
      <c r="AA243" s="794">
        <v>58.39</v>
      </c>
      <c r="AB243" s="794">
        <v>25.85</v>
      </c>
      <c r="AC243" s="775">
        <f t="shared" ref="AC243:AC246" si="250">AA243+AB243</f>
        <v>84.240000000000009</v>
      </c>
      <c r="AD243" s="775">
        <f t="shared" ref="AD243:AD246" si="251">AC243*1.547</f>
        <v>130.31928000000002</v>
      </c>
      <c r="AE243" s="705"/>
      <c r="AF243" s="775"/>
      <c r="AG243" s="407">
        <v>1.6</v>
      </c>
      <c r="AH243" s="705"/>
      <c r="AI243" s="705"/>
      <c r="AJ243" s="407"/>
      <c r="AK243" s="407"/>
      <c r="AL243" s="407"/>
      <c r="AM243" s="407"/>
      <c r="AN243" s="407"/>
      <c r="AO243" s="387"/>
      <c r="AP243" s="387"/>
      <c r="AQ243" s="405"/>
      <c r="AR243" s="578">
        <v>0</v>
      </c>
      <c r="AS243" s="405">
        <v>23.3</v>
      </c>
      <c r="AT243" s="578">
        <v>0</v>
      </c>
      <c r="AU243" s="405">
        <v>60.3</v>
      </c>
      <c r="AV243" s="405">
        <v>1224.3</v>
      </c>
      <c r="AW243" s="405">
        <v>869.5</v>
      </c>
      <c r="AX243" s="405">
        <v>61.8</v>
      </c>
      <c r="AY243" s="578">
        <v>0</v>
      </c>
      <c r="AZ243" s="578">
        <v>0</v>
      </c>
      <c r="BA243" s="578">
        <v>0</v>
      </c>
      <c r="BB243" s="925">
        <v>1.6</v>
      </c>
      <c r="BC243" s="405">
        <v>1.21</v>
      </c>
      <c r="BD243" s="405">
        <v>2.79</v>
      </c>
      <c r="BE243" s="578">
        <v>0</v>
      </c>
      <c r="BF243" s="405">
        <v>0.68</v>
      </c>
      <c r="BG243" s="405">
        <v>0</v>
      </c>
      <c r="BH243" s="578">
        <v>0</v>
      </c>
      <c r="BI243" s="405">
        <v>2.0099999999999998</v>
      </c>
      <c r="BJ243" s="405">
        <v>19.600000000000001</v>
      </c>
      <c r="BK243" s="405">
        <v>4.71</v>
      </c>
      <c r="BL243" s="405">
        <v>6.2</v>
      </c>
      <c r="BM243" s="405">
        <v>0</v>
      </c>
      <c r="BN243" s="405">
        <v>7.3</v>
      </c>
      <c r="BO243" s="405">
        <v>2228.4</v>
      </c>
      <c r="BP243" s="405">
        <v>33.1</v>
      </c>
      <c r="BQ243" s="649">
        <v>18.899999999999999</v>
      </c>
      <c r="BR243" s="649">
        <v>18.8</v>
      </c>
      <c r="BS243" s="649">
        <v>27.7</v>
      </c>
      <c r="BT243" s="649">
        <v>27.7</v>
      </c>
      <c r="BU243" s="648">
        <v>55.2</v>
      </c>
      <c r="BV243" s="648">
        <v>68.099999999999994</v>
      </c>
      <c r="BW243" s="649">
        <v>1220</v>
      </c>
      <c r="BX243" s="876"/>
      <c r="BY243" s="649">
        <v>0.61</v>
      </c>
      <c r="BZ243" s="649">
        <v>1.48</v>
      </c>
      <c r="CA243" s="649">
        <v>1.3</v>
      </c>
      <c r="CB243" s="649">
        <v>8.8000000000000007</v>
      </c>
      <c r="CC243" s="649">
        <v>8.3000000000000007</v>
      </c>
      <c r="CD243" s="649">
        <v>17.8</v>
      </c>
      <c r="CE243" s="649">
        <v>29.3</v>
      </c>
      <c r="CF243" s="649">
        <v>18.8</v>
      </c>
      <c r="CG243" s="649">
        <v>8.1999999999999993</v>
      </c>
      <c r="CH243" s="649">
        <v>13.7</v>
      </c>
      <c r="CI243" s="649">
        <v>17.600000000000001</v>
      </c>
      <c r="CJ243" s="649">
        <v>14.1</v>
      </c>
      <c r="CK243" s="649">
        <v>394</v>
      </c>
      <c r="CL243" s="649">
        <v>4.5999999999999996</v>
      </c>
      <c r="CM243" s="649">
        <v>7.4</v>
      </c>
      <c r="CN243" s="991">
        <v>1200</v>
      </c>
      <c r="CO243" s="649">
        <v>946.5</v>
      </c>
      <c r="CP243" s="649">
        <v>694.3</v>
      </c>
      <c r="CQ243" s="649">
        <v>12</v>
      </c>
      <c r="CR243" s="649">
        <v>0.8</v>
      </c>
      <c r="CS243" s="648">
        <v>0</v>
      </c>
      <c r="CT243" s="405">
        <v>16.984999999999999</v>
      </c>
      <c r="CU243" s="405">
        <v>63</v>
      </c>
      <c r="CV243" s="522">
        <v>0</v>
      </c>
      <c r="CW243" s="522">
        <v>0</v>
      </c>
      <c r="CX243" s="522">
        <v>0</v>
      </c>
      <c r="CY243" s="522">
        <v>0</v>
      </c>
      <c r="CZ243" s="689">
        <v>357</v>
      </c>
      <c r="DA243" s="689">
        <v>382</v>
      </c>
      <c r="DB243" s="689">
        <v>209</v>
      </c>
      <c r="DC243" s="643">
        <v>1157.3499999999999</v>
      </c>
      <c r="DD243" s="522"/>
      <c r="DE243" s="522"/>
      <c r="DF243" s="522"/>
      <c r="DG243" s="522"/>
      <c r="DH243" s="522"/>
      <c r="DI243" s="522"/>
      <c r="DJ243" s="522"/>
      <c r="DK243" s="522"/>
      <c r="DL243" s="649"/>
      <c r="DM243" s="649"/>
      <c r="DN243" s="649"/>
      <c r="DO243" s="522"/>
      <c r="DP243" s="522"/>
      <c r="DQ243" s="522"/>
      <c r="DR243" s="522"/>
      <c r="DS243" s="522"/>
      <c r="DT243" s="522"/>
      <c r="DU243" s="522"/>
      <c r="DV243" s="522"/>
      <c r="DW243" s="522"/>
      <c r="DX243" s="522"/>
      <c r="DY243" s="522"/>
      <c r="DZ243" s="522"/>
      <c r="EA243" s="522"/>
      <c r="EB243" s="522"/>
      <c r="EC243" s="522"/>
      <c r="ED243" s="522"/>
      <c r="EE243" s="522"/>
      <c r="EF243" s="522"/>
      <c r="EG243" s="808">
        <f t="shared" si="209"/>
        <v>27.072499999999998</v>
      </c>
      <c r="EH243" s="522">
        <v>0</v>
      </c>
      <c r="EI243" s="649">
        <v>2</v>
      </c>
      <c r="EJ243" s="649">
        <v>4.5</v>
      </c>
      <c r="EK243" s="649">
        <v>11</v>
      </c>
      <c r="EL243" s="522"/>
      <c r="EM243" s="522"/>
      <c r="EN243" s="522"/>
      <c r="EO243" s="522"/>
      <c r="EP243" s="522"/>
      <c r="EQ243" s="522"/>
      <c r="ER243" s="522"/>
      <c r="ES243" s="407"/>
      <c r="ET243" s="407"/>
    </row>
    <row r="244" spans="1:150" s="357" customFormat="1" ht="15">
      <c r="A244" s="675" t="s">
        <v>5</v>
      </c>
      <c r="B244" s="712">
        <v>41870</v>
      </c>
      <c r="C244" s="358">
        <v>0</v>
      </c>
      <c r="D244" s="405">
        <v>0</v>
      </c>
      <c r="E244" s="681">
        <v>0</v>
      </c>
      <c r="F244" s="681">
        <v>62</v>
      </c>
      <c r="G244" s="681">
        <v>0.5</v>
      </c>
      <c r="H244" s="405">
        <v>0.69</v>
      </c>
      <c r="I244" s="405" t="s">
        <v>848</v>
      </c>
      <c r="J244" s="405" t="s">
        <v>744</v>
      </c>
      <c r="K244" s="405">
        <v>0.67</v>
      </c>
      <c r="L244" s="644">
        <v>0</v>
      </c>
      <c r="M244" s="405">
        <v>16.600000000000001</v>
      </c>
      <c r="N244" s="405" t="s">
        <v>744</v>
      </c>
      <c r="O244" s="405" t="s">
        <v>743</v>
      </c>
      <c r="P244" s="405">
        <v>1.82</v>
      </c>
      <c r="Q244" s="405">
        <v>2.5209475605954905</v>
      </c>
      <c r="R244" s="790">
        <v>1871.1985363276087</v>
      </c>
      <c r="S244" s="405" t="s">
        <v>744</v>
      </c>
      <c r="T244" s="405">
        <v>8.02</v>
      </c>
      <c r="U244" s="405" t="s">
        <v>744</v>
      </c>
      <c r="V244" s="681">
        <v>0.73</v>
      </c>
      <c r="W244" s="681" t="e">
        <v>#VALUE!</v>
      </c>
      <c r="X244" s="647">
        <v>61.160000000000011</v>
      </c>
      <c r="Y244" s="383">
        <v>58.39</v>
      </c>
      <c r="Z244" s="681">
        <v>25.85</v>
      </c>
      <c r="AA244" s="794">
        <v>57.92</v>
      </c>
      <c r="AB244" s="794">
        <v>30</v>
      </c>
      <c r="AC244" s="775">
        <f t="shared" si="250"/>
        <v>87.92</v>
      </c>
      <c r="AD244" s="775">
        <f t="shared" si="251"/>
        <v>136.01223999999999</v>
      </c>
      <c r="AE244" s="705"/>
      <c r="AF244" s="775"/>
      <c r="AG244" s="407">
        <v>1.6</v>
      </c>
      <c r="AH244" s="705"/>
      <c r="AI244" s="705"/>
      <c r="AJ244" s="407"/>
      <c r="AK244" s="407"/>
      <c r="AL244" s="407"/>
      <c r="AM244" s="407"/>
      <c r="AN244" s="407"/>
      <c r="AO244" s="387"/>
      <c r="AP244" s="387"/>
      <c r="AQ244" s="405"/>
      <c r="AR244" s="578">
        <v>0</v>
      </c>
      <c r="AS244" s="405">
        <v>11.9</v>
      </c>
      <c r="AT244" s="578">
        <v>0</v>
      </c>
      <c r="AU244" s="405">
        <v>59.9</v>
      </c>
      <c r="AV244" s="405">
        <v>1125.7</v>
      </c>
      <c r="AW244" s="405">
        <v>654.6</v>
      </c>
      <c r="AX244" s="405">
        <v>46.8</v>
      </c>
      <c r="AY244" s="578">
        <v>0</v>
      </c>
      <c r="AZ244" s="578">
        <v>0</v>
      </c>
      <c r="BA244" s="578">
        <v>0</v>
      </c>
      <c r="BB244" s="925">
        <v>1.6</v>
      </c>
      <c r="BC244" s="405">
        <v>1.27</v>
      </c>
      <c r="BD244" s="405">
        <v>2.73</v>
      </c>
      <c r="BE244" s="578">
        <v>0</v>
      </c>
      <c r="BF244" s="405">
        <v>0.5</v>
      </c>
      <c r="BG244" s="405">
        <v>0</v>
      </c>
      <c r="BH244" s="578">
        <v>0</v>
      </c>
      <c r="BI244" s="405">
        <v>2.02</v>
      </c>
      <c r="BJ244" s="405">
        <v>23.9</v>
      </c>
      <c r="BK244" s="405">
        <v>4.67</v>
      </c>
      <c r="BL244" s="405">
        <v>6.4</v>
      </c>
      <c r="BM244" s="405">
        <v>0</v>
      </c>
      <c r="BN244" s="405">
        <v>11.4</v>
      </c>
      <c r="BO244" s="405">
        <v>2190.1999999999998</v>
      </c>
      <c r="BP244" s="405">
        <v>0</v>
      </c>
      <c r="BQ244" s="649">
        <v>20.25</v>
      </c>
      <c r="BR244" s="649">
        <v>20.13</v>
      </c>
      <c r="BS244" s="649">
        <v>27.72</v>
      </c>
      <c r="BT244" s="649">
        <v>27.79</v>
      </c>
      <c r="BU244" s="648">
        <v>55.3</v>
      </c>
      <c r="BV244" s="648">
        <v>60.2</v>
      </c>
      <c r="BW244" s="649">
        <v>1143.4000000000001</v>
      </c>
      <c r="BX244" s="876"/>
      <c r="BY244" s="649">
        <v>0.74</v>
      </c>
      <c r="BZ244" s="649">
        <v>1.45</v>
      </c>
      <c r="CA244" s="649">
        <v>1.3</v>
      </c>
      <c r="CB244" s="649">
        <v>8.8000000000000007</v>
      </c>
      <c r="CC244" s="649">
        <v>8.3000000000000007</v>
      </c>
      <c r="CD244" s="649">
        <v>15.4</v>
      </c>
      <c r="CE244" s="649">
        <v>31.4</v>
      </c>
      <c r="CF244" s="649">
        <v>19.8</v>
      </c>
      <c r="CG244" s="649">
        <v>7.5</v>
      </c>
      <c r="CH244" s="649">
        <v>12.8</v>
      </c>
      <c r="CI244" s="649">
        <v>17.100000000000001</v>
      </c>
      <c r="CJ244" s="649">
        <v>13</v>
      </c>
      <c r="CK244" s="649">
        <v>427.8</v>
      </c>
      <c r="CL244" s="649">
        <v>3.2</v>
      </c>
      <c r="CM244" s="649">
        <v>6.9</v>
      </c>
      <c r="CN244" s="991">
        <v>1200</v>
      </c>
      <c r="CO244" s="649">
        <v>874.3</v>
      </c>
      <c r="CP244" s="649">
        <v>681.2</v>
      </c>
      <c r="CQ244" s="649">
        <v>12.7</v>
      </c>
      <c r="CR244" s="649">
        <v>0.89</v>
      </c>
      <c r="CS244" s="648">
        <v>390.6</v>
      </c>
      <c r="CT244" s="405">
        <v>17.184999999999999</v>
      </c>
      <c r="CU244" s="405">
        <v>63</v>
      </c>
      <c r="CV244" s="522">
        <v>0</v>
      </c>
      <c r="CW244" s="522">
        <v>0</v>
      </c>
      <c r="CX244" s="522">
        <v>0</v>
      </c>
      <c r="CY244" s="522">
        <v>0</v>
      </c>
      <c r="CZ244" s="689">
        <v>357</v>
      </c>
      <c r="DA244" s="689">
        <v>360</v>
      </c>
      <c r="DB244" s="689">
        <v>206</v>
      </c>
      <c r="DC244" s="643">
        <v>1157.21</v>
      </c>
      <c r="DD244" s="522"/>
      <c r="DE244" s="522"/>
      <c r="DF244" s="522"/>
      <c r="DG244" s="522"/>
      <c r="DH244" s="522"/>
      <c r="DI244" s="522"/>
      <c r="DJ244" s="522"/>
      <c r="DK244" s="522"/>
      <c r="DL244" s="649"/>
      <c r="DM244" s="649"/>
      <c r="DN244" s="649"/>
      <c r="DO244" s="522"/>
      <c r="DP244" s="522"/>
      <c r="DQ244" s="522"/>
      <c r="DR244" s="522"/>
      <c r="DS244" s="522"/>
      <c r="DT244" s="522"/>
      <c r="DU244" s="522"/>
      <c r="DV244" s="522"/>
      <c r="DW244" s="522"/>
      <c r="DX244" s="522"/>
      <c r="DY244" s="522"/>
      <c r="DZ244" s="522"/>
      <c r="EA244" s="522"/>
      <c r="EB244" s="522"/>
      <c r="EC244" s="522"/>
      <c r="ED244" s="522"/>
      <c r="EE244" s="522"/>
      <c r="EF244" s="522"/>
      <c r="EG244" s="808">
        <f t="shared" si="209"/>
        <v>27.072499999999998</v>
      </c>
      <c r="EH244" s="522">
        <v>0</v>
      </c>
      <c r="EI244" s="649">
        <v>2</v>
      </c>
      <c r="EJ244" s="649">
        <v>4.5</v>
      </c>
      <c r="EK244" s="649">
        <v>11</v>
      </c>
      <c r="EL244" s="522"/>
      <c r="EM244" s="522"/>
      <c r="EN244" s="522"/>
      <c r="EO244" s="522"/>
      <c r="EP244" s="522"/>
      <c r="EQ244" s="522"/>
      <c r="ER244" s="522"/>
      <c r="ES244" s="407"/>
      <c r="ET244" s="407"/>
    </row>
    <row r="245" spans="1:150" s="357" customFormat="1" ht="15">
      <c r="A245" s="675" t="s">
        <v>6</v>
      </c>
      <c r="B245" s="712">
        <v>41871</v>
      </c>
      <c r="C245" s="358">
        <v>0</v>
      </c>
      <c r="D245" s="405">
        <v>0</v>
      </c>
      <c r="E245" s="681">
        <v>0</v>
      </c>
      <c r="F245" s="681">
        <v>59</v>
      </c>
      <c r="G245" s="681">
        <v>0.45</v>
      </c>
      <c r="H245" s="405">
        <v>0.64</v>
      </c>
      <c r="I245" s="405">
        <v>93.2</v>
      </c>
      <c r="J245" s="405" t="s">
        <v>744</v>
      </c>
      <c r="K245" s="405">
        <v>0.64</v>
      </c>
      <c r="L245" s="644">
        <v>0</v>
      </c>
      <c r="M245" s="405">
        <v>16.2</v>
      </c>
      <c r="N245" s="405" t="s">
        <v>744</v>
      </c>
      <c r="O245" s="405" t="s">
        <v>743</v>
      </c>
      <c r="P245" s="405">
        <v>1.79</v>
      </c>
      <c r="Q245" s="405">
        <v>2.4650834532992465</v>
      </c>
      <c r="R245" s="790">
        <v>1827.4713764861292</v>
      </c>
      <c r="S245" s="405" t="s">
        <v>744</v>
      </c>
      <c r="T245" s="405">
        <v>8.0299999999999994</v>
      </c>
      <c r="U245" s="405" t="s">
        <v>744</v>
      </c>
      <c r="V245" s="681">
        <v>0.67</v>
      </c>
      <c r="W245" s="681" t="e">
        <v>#VALUE!</v>
      </c>
      <c r="X245" s="647">
        <v>59.539999999999992</v>
      </c>
      <c r="Y245" s="383">
        <v>57.92</v>
      </c>
      <c r="Z245" s="681">
        <v>30</v>
      </c>
      <c r="AA245" s="794">
        <v>57.9</v>
      </c>
      <c r="AB245" s="794">
        <v>30</v>
      </c>
      <c r="AC245" s="775">
        <f t="shared" si="250"/>
        <v>87.9</v>
      </c>
      <c r="AD245" s="775">
        <f t="shared" si="251"/>
        <v>135.9813</v>
      </c>
      <c r="AE245" s="705"/>
      <c r="AF245" s="775"/>
      <c r="AG245" s="407">
        <v>1.6</v>
      </c>
      <c r="AH245" s="705"/>
      <c r="AI245" s="705"/>
      <c r="AJ245" s="407"/>
      <c r="AK245" s="407"/>
      <c r="AL245" s="407"/>
      <c r="AM245" s="407"/>
      <c r="AN245" s="407"/>
      <c r="AO245" s="387"/>
      <c r="AP245" s="387"/>
      <c r="AQ245" s="405"/>
      <c r="AR245" s="578">
        <v>0</v>
      </c>
      <c r="AS245" s="405">
        <v>22.9</v>
      </c>
      <c r="AT245" s="578">
        <v>0</v>
      </c>
      <c r="AU245" s="405">
        <v>59.8</v>
      </c>
      <c r="AV245" s="405">
        <v>919</v>
      </c>
      <c r="AW245" s="405">
        <v>610.79999999999995</v>
      </c>
      <c r="AX245" s="405">
        <v>62.8</v>
      </c>
      <c r="AY245" s="578">
        <v>0</v>
      </c>
      <c r="AZ245" s="578">
        <v>0</v>
      </c>
      <c r="BA245" s="578">
        <v>0</v>
      </c>
      <c r="BB245" s="925">
        <v>1.6</v>
      </c>
      <c r="BC245" s="405">
        <v>1.38</v>
      </c>
      <c r="BD245" s="405">
        <v>2.63</v>
      </c>
      <c r="BE245" s="578">
        <v>0</v>
      </c>
      <c r="BF245" s="405">
        <v>0.5</v>
      </c>
      <c r="BG245" s="405">
        <v>0</v>
      </c>
      <c r="BH245" s="578">
        <v>0</v>
      </c>
      <c r="BI245" s="405">
        <v>2.02</v>
      </c>
      <c r="BJ245" s="405">
        <v>23.9</v>
      </c>
      <c r="BK245" s="405">
        <v>4.6100000000000003</v>
      </c>
      <c r="BL245" s="405">
        <v>6.44</v>
      </c>
      <c r="BM245" s="405">
        <v>0</v>
      </c>
      <c r="BN245" s="405">
        <v>11.4</v>
      </c>
      <c r="BO245" s="405">
        <v>2252.1999999999998</v>
      </c>
      <c r="BP245" s="405">
        <v>0</v>
      </c>
      <c r="BQ245" s="649">
        <v>20.95</v>
      </c>
      <c r="BR245" s="649">
        <v>20.84</v>
      </c>
      <c r="BS245" s="649">
        <v>27.83</v>
      </c>
      <c r="BT245" s="649">
        <v>27.88</v>
      </c>
      <c r="BU245" s="648">
        <v>55.5</v>
      </c>
      <c r="BV245" s="648">
        <v>62.1</v>
      </c>
      <c r="BW245" s="649">
        <v>1177.3</v>
      </c>
      <c r="BX245" s="876"/>
      <c r="BY245" s="649">
        <v>0.79</v>
      </c>
      <c r="BZ245" s="649">
        <v>1.43</v>
      </c>
      <c r="CA245" s="649">
        <v>1.3</v>
      </c>
      <c r="CB245" s="649">
        <v>8.8000000000000007</v>
      </c>
      <c r="CC245" s="649">
        <v>8</v>
      </c>
      <c r="CD245" s="649">
        <v>14.3</v>
      </c>
      <c r="CE245" s="649">
        <v>32.5</v>
      </c>
      <c r="CF245" s="649">
        <v>20.2</v>
      </c>
      <c r="CG245" s="649">
        <v>7.7</v>
      </c>
      <c r="CH245" s="649">
        <v>13.1</v>
      </c>
      <c r="CI245" s="649">
        <v>17.3</v>
      </c>
      <c r="CJ245" s="649">
        <v>12.64</v>
      </c>
      <c r="CK245" s="649">
        <v>555.5</v>
      </c>
      <c r="CL245" s="649">
        <v>2.9</v>
      </c>
      <c r="CM245" s="649">
        <v>5.2</v>
      </c>
      <c r="CN245" s="991">
        <v>1200</v>
      </c>
      <c r="CO245" s="649">
        <v>863</v>
      </c>
      <c r="CP245" s="649">
        <v>732.4</v>
      </c>
      <c r="CQ245" s="649">
        <v>14.8</v>
      </c>
      <c r="CR245" s="649">
        <v>1.1000000000000001</v>
      </c>
      <c r="CS245" s="648">
        <v>0</v>
      </c>
      <c r="CT245" s="405">
        <v>18.154</v>
      </c>
      <c r="CU245" s="405">
        <v>63</v>
      </c>
      <c r="CV245" s="522">
        <v>0</v>
      </c>
      <c r="CW245" s="522">
        <v>0</v>
      </c>
      <c r="CX245" s="522">
        <v>0</v>
      </c>
      <c r="CY245" s="522">
        <v>0</v>
      </c>
      <c r="CZ245" s="689">
        <v>357</v>
      </c>
      <c r="DA245" s="689">
        <v>355</v>
      </c>
      <c r="DB245" s="689">
        <v>208</v>
      </c>
      <c r="DC245" s="643">
        <v>1156.82</v>
      </c>
      <c r="DD245" s="522"/>
      <c r="DE245" s="522"/>
      <c r="DF245" s="522"/>
      <c r="DG245" s="522"/>
      <c r="DH245" s="522"/>
      <c r="DI245" s="522"/>
      <c r="DJ245" s="522"/>
      <c r="DK245" s="522"/>
      <c r="DL245" s="649"/>
      <c r="DM245" s="649"/>
      <c r="DN245" s="649"/>
      <c r="DO245" s="522"/>
      <c r="DP245" s="522"/>
      <c r="DQ245" s="522"/>
      <c r="DR245" s="522"/>
      <c r="DS245" s="522"/>
      <c r="DT245" s="522"/>
      <c r="DU245" s="522"/>
      <c r="DV245" s="522"/>
      <c r="DW245" s="522"/>
      <c r="DX245" s="522"/>
      <c r="DY245" s="522"/>
      <c r="DZ245" s="522"/>
      <c r="EA245" s="522"/>
      <c r="EB245" s="522"/>
      <c r="EC245" s="522"/>
      <c r="ED245" s="522"/>
      <c r="EE245" s="522"/>
      <c r="EF245" s="522"/>
      <c r="EG245" s="808">
        <f t="shared" si="209"/>
        <v>27.072499999999998</v>
      </c>
      <c r="EH245" s="522">
        <v>0</v>
      </c>
      <c r="EI245" s="649">
        <v>2</v>
      </c>
      <c r="EJ245" s="649">
        <v>4.5</v>
      </c>
      <c r="EK245" s="649">
        <v>11</v>
      </c>
      <c r="EL245" s="522"/>
      <c r="EM245" s="522"/>
      <c r="EN245" s="522"/>
      <c r="EO245" s="522"/>
      <c r="EP245" s="522"/>
      <c r="EQ245" s="522"/>
      <c r="ER245" s="522"/>
      <c r="ES245" s="407"/>
      <c r="ET245" s="407"/>
    </row>
    <row r="246" spans="1:150" s="357" customFormat="1" ht="15">
      <c r="A246" s="675" t="s">
        <v>7</v>
      </c>
      <c r="B246" s="712">
        <v>41872</v>
      </c>
      <c r="C246" s="358">
        <v>0</v>
      </c>
      <c r="D246" s="405">
        <v>0</v>
      </c>
      <c r="E246" s="681">
        <v>0</v>
      </c>
      <c r="F246" s="681">
        <v>55</v>
      </c>
      <c r="G246" s="681">
        <v>0.45</v>
      </c>
      <c r="H246" s="405">
        <v>0.7</v>
      </c>
      <c r="I246" s="405">
        <v>92.8</v>
      </c>
      <c r="J246" s="405" t="s">
        <v>744</v>
      </c>
      <c r="K246" s="405">
        <v>0.71</v>
      </c>
      <c r="L246" s="644">
        <v>0</v>
      </c>
      <c r="M246" s="405">
        <v>16.100000000000001</v>
      </c>
      <c r="N246" s="405" t="s">
        <v>744</v>
      </c>
      <c r="O246" s="405" t="s">
        <v>743</v>
      </c>
      <c r="P246" s="405">
        <v>1.76</v>
      </c>
      <c r="Q246" s="405">
        <v>2.4092632894530976</v>
      </c>
      <c r="R246" s="790">
        <v>1785.6876459709376</v>
      </c>
      <c r="S246" s="405" t="s">
        <v>744</v>
      </c>
      <c r="T246" s="405">
        <v>8.0299999999999994</v>
      </c>
      <c r="U246" s="405" t="s">
        <v>744</v>
      </c>
      <c r="V246" s="681">
        <v>0.75</v>
      </c>
      <c r="W246" s="681" t="e">
        <v>#VALUE!</v>
      </c>
      <c r="X246" s="647">
        <v>61.519999999999996</v>
      </c>
      <c r="Y246" s="383">
        <v>57.9</v>
      </c>
      <c r="Z246" s="681">
        <v>30</v>
      </c>
      <c r="AA246" s="794">
        <v>57.87</v>
      </c>
      <c r="AB246" s="794">
        <v>29.9</v>
      </c>
      <c r="AC246" s="775">
        <f t="shared" si="250"/>
        <v>87.77</v>
      </c>
      <c r="AD246" s="775">
        <f t="shared" si="251"/>
        <v>135.78018999999998</v>
      </c>
      <c r="AE246" s="705"/>
      <c r="AF246" s="775"/>
      <c r="AG246" s="407">
        <v>1.6</v>
      </c>
      <c r="AH246" s="705"/>
      <c r="AI246" s="705"/>
      <c r="AJ246" s="407"/>
      <c r="AK246" s="407"/>
      <c r="AL246" s="407"/>
      <c r="AM246" s="407"/>
      <c r="AN246" s="407"/>
      <c r="AO246" s="387"/>
      <c r="AP246" s="387"/>
      <c r="AQ246" s="405"/>
      <c r="AR246" s="578">
        <v>0</v>
      </c>
      <c r="AS246" s="405">
        <v>12.2</v>
      </c>
      <c r="AT246" s="578">
        <v>0</v>
      </c>
      <c r="AU246" s="405">
        <v>59.9</v>
      </c>
      <c r="AV246" s="405">
        <v>1186.5</v>
      </c>
      <c r="AW246" s="405">
        <v>682.9</v>
      </c>
      <c r="AX246" s="405">
        <v>54.9</v>
      </c>
      <c r="AY246" s="578">
        <v>0</v>
      </c>
      <c r="AZ246" s="578">
        <v>0</v>
      </c>
      <c r="BA246" s="578">
        <v>0</v>
      </c>
      <c r="BB246" s="925">
        <v>1.6</v>
      </c>
      <c r="BC246" s="405">
        <v>1.52</v>
      </c>
      <c r="BD246" s="405">
        <v>2.48</v>
      </c>
      <c r="BE246" s="578">
        <v>0</v>
      </c>
      <c r="BF246" s="405">
        <v>0.5</v>
      </c>
      <c r="BG246" s="405">
        <v>0</v>
      </c>
      <c r="BH246" s="578">
        <v>0</v>
      </c>
      <c r="BI246" s="405">
        <v>2.02</v>
      </c>
      <c r="BJ246" s="405">
        <v>23.9</v>
      </c>
      <c r="BK246" s="405">
        <v>4.51</v>
      </c>
      <c r="BL246" s="405">
        <v>6.5</v>
      </c>
      <c r="BM246" s="405">
        <v>0</v>
      </c>
      <c r="BN246" s="405">
        <v>11.4</v>
      </c>
      <c r="BO246" s="405">
        <v>2198.6</v>
      </c>
      <c r="BP246" s="405">
        <v>0</v>
      </c>
      <c r="BQ246" s="649">
        <v>20.45</v>
      </c>
      <c r="BR246" s="649">
        <v>20.32</v>
      </c>
      <c r="BS246" s="649">
        <v>27.62</v>
      </c>
      <c r="BT246" s="649">
        <v>27.68</v>
      </c>
      <c r="BU246" s="648">
        <v>55.1</v>
      </c>
      <c r="BV246" s="648">
        <v>65.400000000000006</v>
      </c>
      <c r="BW246" s="649">
        <v>1075.7</v>
      </c>
      <c r="BX246" s="876"/>
      <c r="BY246" s="649">
        <v>2.21</v>
      </c>
      <c r="BZ246" s="649">
        <v>1.37</v>
      </c>
      <c r="CA246" s="649">
        <v>1.3</v>
      </c>
      <c r="CB246" s="649">
        <v>8.8000000000000007</v>
      </c>
      <c r="CC246" s="649">
        <v>7.8</v>
      </c>
      <c r="CD246" s="649">
        <v>14.8</v>
      </c>
      <c r="CE246" s="649">
        <v>32.9</v>
      </c>
      <c r="CF246" s="649">
        <v>19.7</v>
      </c>
      <c r="CG246" s="649">
        <v>7.77</v>
      </c>
      <c r="CH246" s="649">
        <v>13.1</v>
      </c>
      <c r="CI246" s="649">
        <v>17.399999999999999</v>
      </c>
      <c r="CJ246" s="649">
        <v>13.5</v>
      </c>
      <c r="CK246" s="649">
        <v>629.29999999999995</v>
      </c>
      <c r="CL246" s="649">
        <v>3.8</v>
      </c>
      <c r="CM246" s="649">
        <v>5.3</v>
      </c>
      <c r="CN246" s="991">
        <v>1200</v>
      </c>
      <c r="CO246" s="649">
        <v>832.3</v>
      </c>
      <c r="CP246" s="649">
        <v>712.4</v>
      </c>
      <c r="CQ246" s="649">
        <v>16.399999999999999</v>
      </c>
      <c r="CR246" s="649">
        <v>1.24</v>
      </c>
      <c r="CS246" s="648">
        <v>0</v>
      </c>
      <c r="CT246" s="405">
        <v>19.722000000000001</v>
      </c>
      <c r="CU246" s="405">
        <v>63</v>
      </c>
      <c r="CV246" s="522">
        <v>0</v>
      </c>
      <c r="CW246" s="522">
        <v>0</v>
      </c>
      <c r="CX246" s="522">
        <v>0</v>
      </c>
      <c r="CY246" s="522">
        <v>0</v>
      </c>
      <c r="CZ246" s="689">
        <v>354</v>
      </c>
      <c r="DA246" s="689">
        <v>355</v>
      </c>
      <c r="DB246" s="689">
        <v>208</v>
      </c>
      <c r="DC246" s="643">
        <v>1156.51</v>
      </c>
      <c r="DD246" s="522"/>
      <c r="DE246" s="522"/>
      <c r="DF246" s="522"/>
      <c r="DG246" s="522"/>
      <c r="DH246" s="522"/>
      <c r="DI246" s="522"/>
      <c r="DJ246" s="522"/>
      <c r="DK246" s="522"/>
      <c r="DL246" s="649"/>
      <c r="DM246" s="649"/>
      <c r="DN246" s="649"/>
      <c r="DO246" s="522"/>
      <c r="DP246" s="522"/>
      <c r="DQ246" s="522"/>
      <c r="DR246" s="522"/>
      <c r="DS246" s="522"/>
      <c r="DT246" s="522"/>
      <c r="DU246" s="522"/>
      <c r="DV246" s="522"/>
      <c r="DW246" s="522"/>
      <c r="DX246" s="522"/>
      <c r="DY246" s="522"/>
      <c r="DZ246" s="522"/>
      <c r="EA246" s="522">
        <v>-537</v>
      </c>
      <c r="EB246" s="522"/>
      <c r="EC246" s="522"/>
      <c r="ED246" s="522">
        <v>537</v>
      </c>
      <c r="EE246" s="522"/>
      <c r="EF246" s="522"/>
      <c r="EG246" s="808">
        <f t="shared" si="209"/>
        <v>27.072499999999998</v>
      </c>
      <c r="EH246" s="522">
        <v>0</v>
      </c>
      <c r="EI246" s="649">
        <v>2</v>
      </c>
      <c r="EJ246" s="649">
        <v>4.5</v>
      </c>
      <c r="EK246" s="649">
        <v>11</v>
      </c>
      <c r="EL246" s="522"/>
      <c r="EM246" s="522"/>
      <c r="EN246" s="522"/>
      <c r="EO246" s="522"/>
      <c r="EP246" s="522"/>
      <c r="EQ246" s="522"/>
      <c r="ER246" s="522"/>
      <c r="ES246" s="407"/>
      <c r="ET246" s="407"/>
    </row>
    <row r="247" spans="1:150" s="357" customFormat="1" ht="15">
      <c r="A247" s="675" t="s">
        <v>8</v>
      </c>
      <c r="B247" s="712">
        <v>41873</v>
      </c>
      <c r="C247" s="358">
        <v>0</v>
      </c>
      <c r="D247" s="405">
        <v>0</v>
      </c>
      <c r="E247" s="681">
        <v>0</v>
      </c>
      <c r="F247" s="681">
        <v>58</v>
      </c>
      <c r="G247" s="681">
        <v>0.5</v>
      </c>
      <c r="H247" s="405">
        <v>0.7</v>
      </c>
      <c r="I247" s="405">
        <v>93.7</v>
      </c>
      <c r="J247" s="405" t="s">
        <v>744</v>
      </c>
      <c r="K247" s="405">
        <v>0.71</v>
      </c>
      <c r="L247" s="644">
        <v>0</v>
      </c>
      <c r="M247" s="405">
        <v>16.100000000000001</v>
      </c>
      <c r="N247" s="405" t="s">
        <v>744</v>
      </c>
      <c r="O247" s="405" t="s">
        <v>743</v>
      </c>
      <c r="P247" s="405">
        <v>1.76</v>
      </c>
      <c r="Q247" s="405">
        <v>2.4646134347389848</v>
      </c>
      <c r="R247" s="790">
        <v>1839.4558573315715</v>
      </c>
      <c r="S247" s="405" t="s">
        <v>744</v>
      </c>
      <c r="T247" s="405">
        <v>8.08</v>
      </c>
      <c r="U247" s="405" t="s">
        <v>744</v>
      </c>
      <c r="V247" s="681">
        <v>0.77</v>
      </c>
      <c r="W247" s="681" t="e">
        <v>#VALUE!</v>
      </c>
      <c r="X247" s="647">
        <v>60.620000000000005</v>
      </c>
      <c r="Y247" s="383">
        <v>57.87</v>
      </c>
      <c r="Z247" s="681">
        <v>29.9</v>
      </c>
      <c r="AA247" s="794">
        <v>57.83</v>
      </c>
      <c r="AB247" s="794">
        <v>30.6</v>
      </c>
      <c r="AC247" s="775">
        <f t="shared" ref="AC247:AC249" si="252">AA247+AB247</f>
        <v>88.43</v>
      </c>
      <c r="AD247" s="775">
        <f t="shared" ref="AD247:AD249" si="253">AC247*1.547</f>
        <v>136.80121</v>
      </c>
      <c r="AE247" s="705"/>
      <c r="AF247" s="775"/>
      <c r="AG247" s="407">
        <v>1.6</v>
      </c>
      <c r="AH247" s="705"/>
      <c r="AI247" s="705"/>
      <c r="AJ247" s="407"/>
      <c r="AK247" s="407"/>
      <c r="AL247" s="407"/>
      <c r="AM247" s="407"/>
      <c r="AN247" s="407"/>
      <c r="AO247" s="387"/>
      <c r="AP247" s="387"/>
      <c r="AQ247" s="405"/>
      <c r="AR247" s="578">
        <v>0</v>
      </c>
      <c r="AS247" s="405">
        <v>11.7</v>
      </c>
      <c r="AT247" s="578">
        <v>0</v>
      </c>
      <c r="AU247" s="405">
        <v>59</v>
      </c>
      <c r="AV247" s="405">
        <v>866.9</v>
      </c>
      <c r="AW247" s="405">
        <v>674</v>
      </c>
      <c r="AX247" s="405">
        <v>52.6</v>
      </c>
      <c r="AY247" s="578">
        <v>0</v>
      </c>
      <c r="AZ247" s="578">
        <v>0</v>
      </c>
      <c r="BA247" s="578">
        <v>0</v>
      </c>
      <c r="BB247" s="925">
        <v>1.6</v>
      </c>
      <c r="BC247" s="405">
        <v>1.54</v>
      </c>
      <c r="BD247" s="405">
        <v>2.37</v>
      </c>
      <c r="BE247" s="578">
        <v>0</v>
      </c>
      <c r="BF247" s="405">
        <v>0.57999999999999996</v>
      </c>
      <c r="BG247" s="405">
        <v>0</v>
      </c>
      <c r="BH247" s="578">
        <v>0</v>
      </c>
      <c r="BI247" s="405">
        <v>2.02</v>
      </c>
      <c r="BJ247" s="405">
        <v>24.5</v>
      </c>
      <c r="BK247" s="405">
        <v>4.62</v>
      </c>
      <c r="BL247" s="405">
        <v>6.44</v>
      </c>
      <c r="BM247" s="405">
        <v>0</v>
      </c>
      <c r="BN247" s="405">
        <v>12</v>
      </c>
      <c r="BO247" s="405">
        <v>2269.8000000000002</v>
      </c>
      <c r="BP247" s="405">
        <v>0</v>
      </c>
      <c r="BQ247" s="649">
        <v>20.51</v>
      </c>
      <c r="BR247" s="649">
        <v>20.41</v>
      </c>
      <c r="BS247" s="649">
        <v>27.7</v>
      </c>
      <c r="BT247" s="649">
        <v>27.8</v>
      </c>
      <c r="BU247" s="648">
        <v>55.4</v>
      </c>
      <c r="BV247" s="648">
        <v>63.9</v>
      </c>
      <c r="BW247" s="649">
        <v>1203.2</v>
      </c>
      <c r="BX247" s="876"/>
      <c r="BY247" s="649">
        <v>1.97</v>
      </c>
      <c r="BZ247" s="649">
        <v>1.42</v>
      </c>
      <c r="CA247" s="649">
        <v>1.2</v>
      </c>
      <c r="CB247" s="649">
        <v>8.8000000000000007</v>
      </c>
      <c r="CC247" s="649">
        <v>7.8</v>
      </c>
      <c r="CD247" s="649">
        <v>15.4</v>
      </c>
      <c r="CE247" s="649">
        <v>33.1</v>
      </c>
      <c r="CF247" s="649">
        <v>18.899999999999999</v>
      </c>
      <c r="CG247" s="649">
        <v>8</v>
      </c>
      <c r="CH247" s="649">
        <v>13.4</v>
      </c>
      <c r="CI247" s="649">
        <v>17.7</v>
      </c>
      <c r="CJ247" s="649">
        <v>14</v>
      </c>
      <c r="CK247" s="649">
        <v>602.20000000000005</v>
      </c>
      <c r="CL247" s="649">
        <v>3.2</v>
      </c>
      <c r="CM247" s="649">
        <v>4.0999999999999996</v>
      </c>
      <c r="CN247" s="991">
        <v>1200</v>
      </c>
      <c r="CO247" s="649">
        <v>896.3</v>
      </c>
      <c r="CP247" s="649">
        <v>720.6</v>
      </c>
      <c r="CQ247" s="649">
        <v>15.7</v>
      </c>
      <c r="CR247" s="649">
        <v>1.1599999999999999</v>
      </c>
      <c r="CS247" s="648">
        <v>0</v>
      </c>
      <c r="CT247" s="405">
        <v>17.927</v>
      </c>
      <c r="CU247" s="405">
        <v>63</v>
      </c>
      <c r="CV247" s="522">
        <v>0</v>
      </c>
      <c r="CW247" s="522">
        <v>0</v>
      </c>
      <c r="CX247" s="522">
        <v>0</v>
      </c>
      <c r="CY247" s="522">
        <v>0</v>
      </c>
      <c r="CZ247" s="689">
        <v>372</v>
      </c>
      <c r="DA247" s="689">
        <v>364</v>
      </c>
      <c r="DB247" s="689">
        <v>219</v>
      </c>
      <c r="DC247" s="643">
        <v>1156.0999999999999</v>
      </c>
      <c r="DD247" s="522"/>
      <c r="DE247" s="522"/>
      <c r="DF247" s="522"/>
      <c r="DG247" s="522"/>
      <c r="DH247" s="522"/>
      <c r="DI247" s="522"/>
      <c r="DJ247" s="522"/>
      <c r="DK247" s="522"/>
      <c r="DL247" s="649"/>
      <c r="DM247" s="649"/>
      <c r="DN247" s="649"/>
      <c r="DO247" s="522"/>
      <c r="DP247" s="522"/>
      <c r="DQ247" s="522"/>
      <c r="DR247" s="522"/>
      <c r="DS247" s="522"/>
      <c r="DT247" s="522"/>
      <c r="DU247" s="522"/>
      <c r="DV247" s="522"/>
      <c r="DW247" s="522"/>
      <c r="DX247" s="522"/>
      <c r="DY247" s="522"/>
      <c r="DZ247" s="522"/>
      <c r="EA247" s="522"/>
      <c r="EB247" s="522"/>
      <c r="EC247" s="522"/>
      <c r="ED247" s="522"/>
      <c r="EE247" s="522"/>
      <c r="EF247" s="522"/>
      <c r="EG247" s="808">
        <f t="shared" si="209"/>
        <v>27.072499999999998</v>
      </c>
      <c r="EH247" s="522">
        <v>0</v>
      </c>
      <c r="EI247" s="649">
        <v>2</v>
      </c>
      <c r="EJ247" s="649">
        <v>4.5</v>
      </c>
      <c r="EK247" s="649">
        <v>11</v>
      </c>
      <c r="EL247" s="522"/>
      <c r="EM247" s="522"/>
      <c r="EN247" s="522"/>
      <c r="EO247" s="522"/>
      <c r="EP247" s="522"/>
      <c r="EQ247" s="522"/>
      <c r="ER247" s="522"/>
      <c r="ES247" s="407"/>
      <c r="ET247" s="407"/>
    </row>
    <row r="248" spans="1:150" s="357" customFormat="1" ht="15">
      <c r="A248" s="675" t="s">
        <v>9</v>
      </c>
      <c r="B248" s="712">
        <v>41874</v>
      </c>
      <c r="C248" s="358">
        <v>0</v>
      </c>
      <c r="D248" s="405">
        <v>0</v>
      </c>
      <c r="E248" s="681">
        <v>0</v>
      </c>
      <c r="F248" s="681">
        <v>61</v>
      </c>
      <c r="G248" s="681">
        <v>0.5</v>
      </c>
      <c r="H248" s="405">
        <v>0.69</v>
      </c>
      <c r="I248" s="405">
        <v>92.5</v>
      </c>
      <c r="J248" s="405" t="s">
        <v>744</v>
      </c>
      <c r="K248" s="405">
        <v>0.57999999999999996</v>
      </c>
      <c r="L248" s="644">
        <v>0</v>
      </c>
      <c r="M248" s="405">
        <v>16</v>
      </c>
      <c r="N248" s="405" t="s">
        <v>744</v>
      </c>
      <c r="O248" s="405" t="s">
        <v>743</v>
      </c>
      <c r="P248" s="405">
        <v>1.82</v>
      </c>
      <c r="Q248" s="405">
        <v>2.5045833423086061</v>
      </c>
      <c r="R248" s="790">
        <v>1895.8153077939232</v>
      </c>
      <c r="S248" s="405" t="s">
        <v>744</v>
      </c>
      <c r="T248" s="405">
        <v>8.0399999999999991</v>
      </c>
      <c r="U248" s="405" t="s">
        <v>744</v>
      </c>
      <c r="V248" s="681">
        <v>0.74</v>
      </c>
      <c r="W248" s="681" t="e">
        <v>#VALUE!</v>
      </c>
      <c r="X248" s="647">
        <v>61.7</v>
      </c>
      <c r="Y248" s="383">
        <v>57.83</v>
      </c>
      <c r="Z248" s="681">
        <v>30.6</v>
      </c>
      <c r="AA248" s="794">
        <v>57.7</v>
      </c>
      <c r="AB248" s="794">
        <v>31.99</v>
      </c>
      <c r="AC248" s="775">
        <f t="shared" si="252"/>
        <v>89.69</v>
      </c>
      <c r="AD248" s="775">
        <f t="shared" si="253"/>
        <v>138.75042999999999</v>
      </c>
      <c r="AE248" s="705"/>
      <c r="AF248" s="775"/>
      <c r="AG248" s="407">
        <v>1.6</v>
      </c>
      <c r="AH248" s="705"/>
      <c r="AI248" s="705"/>
      <c r="AJ248" s="407"/>
      <c r="AK248" s="407"/>
      <c r="AL248" s="407"/>
      <c r="AM248" s="407"/>
      <c r="AN248" s="407"/>
      <c r="AO248" s="387"/>
      <c r="AP248" s="387"/>
      <c r="AQ248" s="405"/>
      <c r="AR248" s="578">
        <v>0</v>
      </c>
      <c r="AS248" s="405">
        <v>23.3</v>
      </c>
      <c r="AT248" s="578">
        <v>0</v>
      </c>
      <c r="AU248" s="405">
        <v>59.4</v>
      </c>
      <c r="AV248" s="405">
        <v>1035.4000000000001</v>
      </c>
      <c r="AW248" s="405">
        <v>715.2</v>
      </c>
      <c r="AX248" s="405">
        <v>46.9</v>
      </c>
      <c r="AY248" s="578">
        <v>0</v>
      </c>
      <c r="AZ248" s="578">
        <v>0</v>
      </c>
      <c r="BA248" s="578">
        <v>0</v>
      </c>
      <c r="BB248" s="925">
        <v>1.6</v>
      </c>
      <c r="BC248" s="405">
        <v>1.37</v>
      </c>
      <c r="BD248" s="405">
        <v>2.63</v>
      </c>
      <c r="BE248" s="578">
        <v>0</v>
      </c>
      <c r="BF248" s="405">
        <v>0.5</v>
      </c>
      <c r="BG248" s="405">
        <v>0</v>
      </c>
      <c r="BH248" s="578">
        <v>0</v>
      </c>
      <c r="BI248" s="405">
        <v>2.02</v>
      </c>
      <c r="BJ248" s="405">
        <v>25.9</v>
      </c>
      <c r="BK248" s="405">
        <v>4.88</v>
      </c>
      <c r="BL248" s="405">
        <v>6.13</v>
      </c>
      <c r="BM248" s="405">
        <v>0</v>
      </c>
      <c r="BN248" s="405">
        <v>13.4</v>
      </c>
      <c r="BO248" s="405">
        <v>2051.8000000000002</v>
      </c>
      <c r="BP248" s="405">
        <v>0</v>
      </c>
      <c r="BQ248" s="649">
        <v>21.06</v>
      </c>
      <c r="BR248" s="649">
        <v>20.99</v>
      </c>
      <c r="BS248" s="649">
        <v>27.5</v>
      </c>
      <c r="BT248" s="649">
        <v>27.6</v>
      </c>
      <c r="BU248" s="648">
        <v>55.1</v>
      </c>
      <c r="BV248" s="648">
        <v>61.9</v>
      </c>
      <c r="BW248" s="649">
        <v>1164.5</v>
      </c>
      <c r="BX248" s="876"/>
      <c r="BY248" s="649">
        <v>0.61</v>
      </c>
      <c r="BZ248" s="649">
        <v>1.45</v>
      </c>
      <c r="CA248" s="649">
        <v>1.2</v>
      </c>
      <c r="CB248" s="649">
        <v>8.8000000000000007</v>
      </c>
      <c r="CC248" s="649">
        <v>7.9</v>
      </c>
      <c r="CD248" s="649">
        <v>15.8</v>
      </c>
      <c r="CE248" s="649">
        <v>33.299999999999997</v>
      </c>
      <c r="CF248" s="649">
        <v>22.9</v>
      </c>
      <c r="CG248" s="649">
        <v>7</v>
      </c>
      <c r="CH248" s="649">
        <v>12.2</v>
      </c>
      <c r="CI248" s="649">
        <v>16.399999999999999</v>
      </c>
      <c r="CJ248" s="649">
        <v>13.8</v>
      </c>
      <c r="CK248" s="649">
        <v>569</v>
      </c>
      <c r="CL248" s="649">
        <v>3.1</v>
      </c>
      <c r="CM248" s="649">
        <v>4.2</v>
      </c>
      <c r="CN248" s="991">
        <v>1200</v>
      </c>
      <c r="CO248" s="649">
        <v>890</v>
      </c>
      <c r="CP248" s="649">
        <v>710.7</v>
      </c>
      <c r="CQ248" s="649">
        <v>14.9</v>
      </c>
      <c r="CR248" s="649">
        <v>1.06</v>
      </c>
      <c r="CS248" s="648">
        <v>0</v>
      </c>
      <c r="CT248" s="405">
        <v>17.288</v>
      </c>
      <c r="CU248" s="405">
        <v>63</v>
      </c>
      <c r="CV248" s="522">
        <v>0</v>
      </c>
      <c r="CW248" s="522">
        <v>0</v>
      </c>
      <c r="CX248" s="522">
        <v>0</v>
      </c>
      <c r="CY248" s="522">
        <v>0</v>
      </c>
      <c r="CZ248" s="689">
        <v>372</v>
      </c>
      <c r="DA248" s="689">
        <v>373</v>
      </c>
      <c r="DB248" s="689">
        <v>219</v>
      </c>
      <c r="DC248" s="643">
        <v>1155.8</v>
      </c>
      <c r="DD248" s="522"/>
      <c r="DE248" s="522"/>
      <c r="DF248" s="522"/>
      <c r="DG248" s="522"/>
      <c r="DH248" s="522"/>
      <c r="DI248" s="522"/>
      <c r="DJ248" s="522"/>
      <c r="DK248" s="522"/>
      <c r="DL248" s="649"/>
      <c r="DM248" s="649"/>
      <c r="DN248" s="649"/>
      <c r="DO248" s="522"/>
      <c r="DP248" s="522"/>
      <c r="DQ248" s="522"/>
      <c r="DR248" s="522"/>
      <c r="DS248" s="522"/>
      <c r="DT248" s="522"/>
      <c r="DU248" s="522"/>
      <c r="DV248" s="522"/>
      <c r="DW248" s="522"/>
      <c r="DX248" s="522"/>
      <c r="DY248" s="522"/>
      <c r="DZ248" s="522"/>
      <c r="EA248" s="522"/>
      <c r="EB248" s="522"/>
      <c r="EC248" s="522"/>
      <c r="ED248" s="522"/>
      <c r="EE248" s="522"/>
      <c r="EF248" s="522"/>
      <c r="EG248" s="808">
        <f t="shared" si="209"/>
        <v>27.072499999999998</v>
      </c>
      <c r="EH248" s="522">
        <v>0</v>
      </c>
      <c r="EI248" s="649">
        <v>2</v>
      </c>
      <c r="EJ248" s="649">
        <v>4.5</v>
      </c>
      <c r="EK248" s="649">
        <v>11</v>
      </c>
      <c r="EL248" s="522"/>
      <c r="EM248" s="522"/>
      <c r="EN248" s="522"/>
      <c r="EO248" s="522"/>
      <c r="EP248" s="522"/>
      <c r="EQ248" s="522"/>
      <c r="ER248" s="522"/>
      <c r="ES248" s="407"/>
      <c r="ET248" s="407"/>
    </row>
    <row r="249" spans="1:150" s="357" customFormat="1" ht="15">
      <c r="A249" s="675" t="s">
        <v>3</v>
      </c>
      <c r="B249" s="712">
        <v>41875</v>
      </c>
      <c r="C249" s="358">
        <v>0</v>
      </c>
      <c r="D249" s="405">
        <v>0</v>
      </c>
      <c r="E249" s="681">
        <v>0</v>
      </c>
      <c r="F249" s="681">
        <v>59</v>
      </c>
      <c r="G249" s="681">
        <v>0.5</v>
      </c>
      <c r="H249" s="405">
        <v>0.74</v>
      </c>
      <c r="I249" s="405">
        <v>92.26</v>
      </c>
      <c r="J249" s="405" t="s">
        <v>744</v>
      </c>
      <c r="K249" s="405">
        <v>0.64</v>
      </c>
      <c r="L249" s="644">
        <v>0</v>
      </c>
      <c r="M249" s="405">
        <v>16.5</v>
      </c>
      <c r="N249" s="405" t="s">
        <v>744</v>
      </c>
      <c r="O249" s="405" t="s">
        <v>743</v>
      </c>
      <c r="P249" s="405">
        <v>1.81</v>
      </c>
      <c r="Q249" s="405">
        <v>2.4833563117498452</v>
      </c>
      <c r="R249" s="790">
        <v>1877.676634081902</v>
      </c>
      <c r="S249" s="405" t="s">
        <v>744</v>
      </c>
      <c r="T249" s="405">
        <v>8.08</v>
      </c>
      <c r="U249" s="405" t="s">
        <v>744</v>
      </c>
      <c r="V249" s="681">
        <v>0.73</v>
      </c>
      <c r="W249" s="681" t="e">
        <v>#VALUE!</v>
      </c>
      <c r="X249" s="647">
        <v>61.160000000000011</v>
      </c>
      <c r="Y249" s="383">
        <v>57.7</v>
      </c>
      <c r="Z249" s="681">
        <v>31.99</v>
      </c>
      <c r="AA249" s="794">
        <v>57.7</v>
      </c>
      <c r="AB249" s="794">
        <v>31.91</v>
      </c>
      <c r="AC249" s="775">
        <f t="shared" si="252"/>
        <v>89.61</v>
      </c>
      <c r="AD249" s="775">
        <f t="shared" si="253"/>
        <v>138.62666999999999</v>
      </c>
      <c r="AE249" s="705"/>
      <c r="AF249" s="775"/>
      <c r="AG249" s="407">
        <v>1.6</v>
      </c>
      <c r="AH249" s="705"/>
      <c r="AI249" s="705"/>
      <c r="AJ249" s="407"/>
      <c r="AK249" s="407"/>
      <c r="AL249" s="407"/>
      <c r="AM249" s="407"/>
      <c r="AN249" s="407"/>
      <c r="AO249" s="387"/>
      <c r="AP249" s="387"/>
      <c r="AQ249" s="405"/>
      <c r="AR249" s="578">
        <v>0</v>
      </c>
      <c r="AS249" s="405">
        <v>25.6</v>
      </c>
      <c r="AT249" s="578">
        <v>0</v>
      </c>
      <c r="AU249" s="405">
        <v>59.4</v>
      </c>
      <c r="AV249" s="405">
        <v>1010.4</v>
      </c>
      <c r="AW249" s="405">
        <v>864.5</v>
      </c>
      <c r="AX249" s="405">
        <v>57.7</v>
      </c>
      <c r="AY249" s="578">
        <v>0</v>
      </c>
      <c r="AZ249" s="578">
        <v>0</v>
      </c>
      <c r="BA249" s="578">
        <v>0</v>
      </c>
      <c r="BB249" s="925">
        <v>1.6</v>
      </c>
      <c r="BC249" s="405">
        <v>1.36</v>
      </c>
      <c r="BD249" s="405">
        <v>2.63</v>
      </c>
      <c r="BE249" s="578">
        <v>0</v>
      </c>
      <c r="BF249" s="405">
        <v>0.51</v>
      </c>
      <c r="BG249" s="405">
        <v>0</v>
      </c>
      <c r="BH249" s="578">
        <v>0</v>
      </c>
      <c r="BI249" s="405">
        <v>2.02</v>
      </c>
      <c r="BJ249" s="405">
        <v>25.9</v>
      </c>
      <c r="BK249" s="405">
        <v>4.72</v>
      </c>
      <c r="BL249" s="405">
        <v>6.32</v>
      </c>
      <c r="BM249" s="405">
        <v>0</v>
      </c>
      <c r="BN249" s="405">
        <v>13.4</v>
      </c>
      <c r="BO249" s="405">
        <v>2542.1999999999998</v>
      </c>
      <c r="BP249" s="405">
        <v>0</v>
      </c>
      <c r="BQ249" s="649">
        <v>22.23</v>
      </c>
      <c r="BR249" s="649">
        <v>22.16</v>
      </c>
      <c r="BS249" s="649">
        <v>27.5</v>
      </c>
      <c r="BT249" s="649">
        <v>27.5</v>
      </c>
      <c r="BU249" s="648">
        <v>54.9</v>
      </c>
      <c r="BV249" s="648">
        <v>60.1</v>
      </c>
      <c r="BW249" s="649">
        <v>1206.7</v>
      </c>
      <c r="BX249" s="876"/>
      <c r="BY249" s="649">
        <v>0.8</v>
      </c>
      <c r="BZ249" s="649">
        <v>1.54</v>
      </c>
      <c r="CA249" s="649">
        <v>1.3</v>
      </c>
      <c r="CB249" s="649">
        <v>8.8000000000000007</v>
      </c>
      <c r="CC249" s="649">
        <v>7.9</v>
      </c>
      <c r="CD249" s="649">
        <v>16.100000000000001</v>
      </c>
      <c r="CE249" s="649">
        <v>30.6</v>
      </c>
      <c r="CF249" s="649">
        <v>19.8</v>
      </c>
      <c r="CG249" s="649">
        <v>7.8</v>
      </c>
      <c r="CH249" s="649">
        <v>13.2</v>
      </c>
      <c r="CI249" s="649">
        <v>17.5</v>
      </c>
      <c r="CJ249" s="649">
        <v>14.1</v>
      </c>
      <c r="CK249" s="649">
        <v>555.20000000000005</v>
      </c>
      <c r="CL249" s="649">
        <v>3.1</v>
      </c>
      <c r="CM249" s="649">
        <v>4.2</v>
      </c>
      <c r="CN249" s="991">
        <v>1200</v>
      </c>
      <c r="CO249" s="649">
        <v>921.7</v>
      </c>
      <c r="CP249" s="649">
        <v>683.4</v>
      </c>
      <c r="CQ249" s="649">
        <v>14.5</v>
      </c>
      <c r="CR249" s="649">
        <v>1</v>
      </c>
      <c r="CS249" s="648">
        <v>0</v>
      </c>
      <c r="CT249" s="405">
        <v>17.172999999999998</v>
      </c>
      <c r="CU249" s="405">
        <v>63</v>
      </c>
      <c r="CV249" s="522">
        <v>0</v>
      </c>
      <c r="CW249" s="522">
        <v>0</v>
      </c>
      <c r="CX249" s="522">
        <v>0</v>
      </c>
      <c r="CY249" s="522">
        <v>0</v>
      </c>
      <c r="CZ249" s="689">
        <v>372</v>
      </c>
      <c r="DA249" s="689">
        <v>373</v>
      </c>
      <c r="DB249" s="689">
        <v>219</v>
      </c>
      <c r="DC249" s="643">
        <v>1155.3499999999999</v>
      </c>
      <c r="DD249" s="522"/>
      <c r="DE249" s="522"/>
      <c r="DF249" s="522"/>
      <c r="DG249" s="522"/>
      <c r="DH249" s="522"/>
      <c r="DI249" s="522"/>
      <c r="DJ249" s="522"/>
      <c r="DK249" s="522"/>
      <c r="DL249" s="649"/>
      <c r="DM249" s="649"/>
      <c r="DN249" s="649"/>
      <c r="DO249" s="522"/>
      <c r="DP249" s="522"/>
      <c r="DQ249" s="522"/>
      <c r="DR249" s="522"/>
      <c r="DS249" s="522"/>
      <c r="DT249" s="522"/>
      <c r="DU249" s="522"/>
      <c r="DV249" s="522"/>
      <c r="DW249" s="522"/>
      <c r="DX249" s="522"/>
      <c r="DY249" s="522"/>
      <c r="DZ249" s="522"/>
      <c r="EA249" s="522"/>
      <c r="EB249" s="522"/>
      <c r="EC249" s="522"/>
      <c r="ED249" s="522"/>
      <c r="EE249" s="522"/>
      <c r="EF249" s="522"/>
      <c r="EG249" s="808">
        <f t="shared" si="209"/>
        <v>27.072499999999998</v>
      </c>
      <c r="EH249" s="522">
        <v>0</v>
      </c>
      <c r="EI249" s="649">
        <v>2</v>
      </c>
      <c r="EJ249" s="649">
        <v>4.5</v>
      </c>
      <c r="EK249" s="649">
        <v>11</v>
      </c>
      <c r="EL249" s="522"/>
      <c r="EM249" s="522"/>
      <c r="EN249" s="522"/>
      <c r="EO249" s="522"/>
      <c r="EP249" s="522"/>
      <c r="EQ249" s="522"/>
      <c r="ER249" s="522"/>
      <c r="ES249" s="407"/>
      <c r="ET249" s="407"/>
    </row>
    <row r="250" spans="1:150" s="357" customFormat="1" ht="15">
      <c r="A250" s="675" t="s">
        <v>4</v>
      </c>
      <c r="B250" s="712">
        <v>41876</v>
      </c>
      <c r="C250" s="358">
        <v>0</v>
      </c>
      <c r="D250" s="405">
        <v>0</v>
      </c>
      <c r="E250" s="681">
        <v>0</v>
      </c>
      <c r="F250" s="681">
        <v>62</v>
      </c>
      <c r="G250" s="681">
        <v>0.5</v>
      </c>
      <c r="H250" s="405">
        <v>0.75</v>
      </c>
      <c r="I250" s="405">
        <v>91.5</v>
      </c>
      <c r="J250" s="405" t="s">
        <v>744</v>
      </c>
      <c r="K250" s="405">
        <v>0.68</v>
      </c>
      <c r="L250" s="644">
        <v>3.0000000002473826E-2</v>
      </c>
      <c r="M250" s="405">
        <v>16.2</v>
      </c>
      <c r="N250" s="405" t="s">
        <v>744</v>
      </c>
      <c r="O250" s="405" t="s">
        <v>743</v>
      </c>
      <c r="P250" s="405">
        <v>1.82</v>
      </c>
      <c r="Q250" s="405">
        <v>2.6304192043002868</v>
      </c>
      <c r="R250" s="790">
        <v>1996.5497278731832</v>
      </c>
      <c r="S250" s="405" t="s">
        <v>744</v>
      </c>
      <c r="T250" s="405">
        <v>8.06</v>
      </c>
      <c r="U250" s="405" t="s">
        <v>744</v>
      </c>
      <c r="V250" s="681">
        <v>0.76</v>
      </c>
      <c r="W250" s="681" t="e">
        <v>#VALUE!</v>
      </c>
      <c r="X250" s="647">
        <v>61.7</v>
      </c>
      <c r="Y250" s="383">
        <v>57.7</v>
      </c>
      <c r="Z250" s="681">
        <v>31.91</v>
      </c>
      <c r="AA250" s="794">
        <v>54.5</v>
      </c>
      <c r="AB250" s="794">
        <v>35.700000000000003</v>
      </c>
      <c r="AC250" s="775">
        <f t="shared" ref="AC250" si="254">AA250+AB250</f>
        <v>90.2</v>
      </c>
      <c r="AD250" s="775">
        <f t="shared" ref="AD250" si="255">AC250*1.547</f>
        <v>139.5394</v>
      </c>
      <c r="AE250" s="705"/>
      <c r="AF250" s="775"/>
      <c r="AG250" s="407">
        <v>1.6</v>
      </c>
      <c r="AH250" s="705"/>
      <c r="AI250" s="705"/>
      <c r="AJ250" s="407"/>
      <c r="AK250" s="407"/>
      <c r="AL250" s="407"/>
      <c r="AM250" s="407"/>
      <c r="AN250" s="407"/>
      <c r="AO250" s="387"/>
      <c r="AP250" s="387"/>
      <c r="AQ250" s="405"/>
      <c r="AR250" s="578">
        <v>0</v>
      </c>
      <c r="AS250" s="405">
        <v>11.6</v>
      </c>
      <c r="AT250" s="578">
        <v>0</v>
      </c>
      <c r="AU250" s="405">
        <v>56.5</v>
      </c>
      <c r="AV250" s="405">
        <v>1001.8</v>
      </c>
      <c r="AW250" s="405">
        <v>1224.0999999999999</v>
      </c>
      <c r="AX250" s="405">
        <v>62.7</v>
      </c>
      <c r="AY250" s="578">
        <v>0</v>
      </c>
      <c r="AZ250" s="578">
        <v>0</v>
      </c>
      <c r="BA250" s="578">
        <v>0</v>
      </c>
      <c r="BB250" s="925">
        <v>1.6</v>
      </c>
      <c r="BC250" s="405">
        <v>1.45</v>
      </c>
      <c r="BD250" s="405">
        <v>2.5499999999999998</v>
      </c>
      <c r="BE250" s="578">
        <v>0</v>
      </c>
      <c r="BF250" s="405">
        <v>0.5</v>
      </c>
      <c r="BG250" s="405">
        <v>0</v>
      </c>
      <c r="BH250" s="578">
        <v>0</v>
      </c>
      <c r="BI250" s="405">
        <v>2.02</v>
      </c>
      <c r="BJ250" s="405">
        <v>29.6</v>
      </c>
      <c r="BK250" s="405">
        <v>4.72</v>
      </c>
      <c r="BL250" s="405">
        <v>6.17</v>
      </c>
      <c r="BM250" s="405">
        <v>0</v>
      </c>
      <c r="BN250" s="405">
        <v>17.100000000000001</v>
      </c>
      <c r="BO250" s="405">
        <v>2509.8000000000002</v>
      </c>
      <c r="BP250" s="405">
        <v>0</v>
      </c>
      <c r="BQ250" s="649">
        <v>22.18</v>
      </c>
      <c r="BR250" s="649">
        <v>22.12</v>
      </c>
      <c r="BS250" s="649">
        <v>25.9</v>
      </c>
      <c r="BT250" s="649">
        <v>26</v>
      </c>
      <c r="BU250" s="648">
        <v>52</v>
      </c>
      <c r="BV250" s="648">
        <v>60.4</v>
      </c>
      <c r="BW250" s="649">
        <v>1186.3</v>
      </c>
      <c r="BX250" s="876"/>
      <c r="BY250" s="649">
        <v>0.66</v>
      </c>
      <c r="BZ250" s="649">
        <v>1.56</v>
      </c>
      <c r="CA250" s="649">
        <v>1.3</v>
      </c>
      <c r="CB250" s="649">
        <v>8.9</v>
      </c>
      <c r="CC250" s="649">
        <v>8</v>
      </c>
      <c r="CD250" s="649">
        <v>15.7</v>
      </c>
      <c r="CE250" s="649">
        <v>31.1</v>
      </c>
      <c r="CF250" s="649">
        <v>22.5</v>
      </c>
      <c r="CG250" s="649">
        <v>8.4</v>
      </c>
      <c r="CH250" s="649">
        <v>13.9</v>
      </c>
      <c r="CI250" s="649">
        <v>18.2</v>
      </c>
      <c r="CJ250" s="649">
        <v>13.9</v>
      </c>
      <c r="CK250" s="649">
        <v>601</v>
      </c>
      <c r="CL250" s="649">
        <v>3.2</v>
      </c>
      <c r="CM250" s="649">
        <v>5</v>
      </c>
      <c r="CN250" s="991">
        <v>1200</v>
      </c>
      <c r="CO250" s="649">
        <v>959</v>
      </c>
      <c r="CP250" s="649">
        <v>701</v>
      </c>
      <c r="CQ250" s="649">
        <v>14.6</v>
      </c>
      <c r="CR250" s="649">
        <v>0.92</v>
      </c>
      <c r="CS250" s="405">
        <v>0</v>
      </c>
      <c r="CT250" s="405">
        <v>17.538</v>
      </c>
      <c r="CU250" s="405">
        <v>63</v>
      </c>
      <c r="CV250" s="522">
        <v>0</v>
      </c>
      <c r="CW250" s="522">
        <v>0</v>
      </c>
      <c r="CX250" s="522">
        <v>0</v>
      </c>
      <c r="CY250" s="522">
        <v>0</v>
      </c>
      <c r="CZ250" s="689">
        <v>372</v>
      </c>
      <c r="DA250" s="689">
        <v>369</v>
      </c>
      <c r="DB250" s="689">
        <v>217</v>
      </c>
      <c r="DC250" s="643">
        <v>1154.98</v>
      </c>
      <c r="DD250" s="522"/>
      <c r="DE250" s="522"/>
      <c r="DF250" s="522"/>
      <c r="DG250" s="522"/>
      <c r="DH250" s="522"/>
      <c r="DI250" s="522"/>
      <c r="DJ250" s="522"/>
      <c r="DK250" s="522"/>
      <c r="DL250" s="649"/>
      <c r="DM250" s="649"/>
      <c r="DN250" s="649"/>
      <c r="DO250" s="522"/>
      <c r="DP250" s="522"/>
      <c r="DQ250" s="522"/>
      <c r="DR250" s="522"/>
      <c r="DS250" s="522"/>
      <c r="DT250" s="522"/>
      <c r="DU250" s="522"/>
      <c r="DV250" s="522"/>
      <c r="DW250" s="522"/>
      <c r="DX250" s="522"/>
      <c r="DY250" s="522"/>
      <c r="DZ250" s="522"/>
      <c r="EA250" s="522"/>
      <c r="EB250" s="1111">
        <v>0</v>
      </c>
      <c r="EC250" s="522"/>
      <c r="ED250" s="522"/>
      <c r="EE250" s="522"/>
      <c r="EF250" s="522"/>
      <c r="EG250" s="808">
        <f t="shared" si="209"/>
        <v>27.072499999999998</v>
      </c>
      <c r="EH250" s="522">
        <v>0</v>
      </c>
      <c r="EI250" s="649">
        <v>2</v>
      </c>
      <c r="EJ250" s="649">
        <v>4.5</v>
      </c>
      <c r="EK250" s="649">
        <v>11</v>
      </c>
      <c r="EL250" s="522"/>
      <c r="EM250" s="522"/>
      <c r="EN250" s="522"/>
      <c r="EO250" s="522"/>
      <c r="EP250" s="522"/>
      <c r="EQ250" s="522"/>
      <c r="ER250" s="522"/>
      <c r="ES250" s="407"/>
      <c r="ET250" s="407"/>
    </row>
    <row r="251" spans="1:150" s="357" customFormat="1" ht="15">
      <c r="A251" s="675" t="s">
        <v>5</v>
      </c>
      <c r="B251" s="712">
        <v>41877</v>
      </c>
      <c r="C251" s="358">
        <v>0</v>
      </c>
      <c r="D251" s="405">
        <v>0</v>
      </c>
      <c r="E251" s="681">
        <v>0</v>
      </c>
      <c r="F251" s="681">
        <v>66</v>
      </c>
      <c r="G251" s="681">
        <v>0.5</v>
      </c>
      <c r="H251" s="405">
        <v>0.69</v>
      </c>
      <c r="I251" s="405">
        <v>92.4</v>
      </c>
      <c r="J251" s="405" t="s">
        <v>744</v>
      </c>
      <c r="K251" s="405">
        <v>0.6</v>
      </c>
      <c r="L251" s="644">
        <v>0</v>
      </c>
      <c r="M251" s="405">
        <v>15.9</v>
      </c>
      <c r="N251" s="405" t="s">
        <v>744</v>
      </c>
      <c r="O251" s="405" t="s">
        <v>743</v>
      </c>
      <c r="P251" s="405">
        <v>1.78</v>
      </c>
      <c r="Q251" s="405">
        <v>2.7673920922061308</v>
      </c>
      <c r="R251" s="790">
        <v>2097.2841479524436</v>
      </c>
      <c r="S251" s="405" t="s">
        <v>744</v>
      </c>
      <c r="T251" s="405">
        <v>7.97</v>
      </c>
      <c r="U251" s="405" t="s">
        <v>744</v>
      </c>
      <c r="V251" s="681">
        <v>0.74</v>
      </c>
      <c r="W251" s="681" t="e">
        <v>#VALUE!</v>
      </c>
      <c r="X251" s="647">
        <v>63.5</v>
      </c>
      <c r="Y251" s="383">
        <v>54.5</v>
      </c>
      <c r="Z251" s="681">
        <v>35.700000000000003</v>
      </c>
      <c r="AA251" s="794">
        <v>52.2</v>
      </c>
      <c r="AB251" s="794">
        <v>38</v>
      </c>
      <c r="AC251" s="775">
        <f t="shared" ref="AC251" si="256">AA251+AB251</f>
        <v>90.2</v>
      </c>
      <c r="AD251" s="775">
        <f t="shared" ref="AD251" si="257">AC251*1.547</f>
        <v>139.5394</v>
      </c>
      <c r="AE251" s="705"/>
      <c r="AF251" s="775"/>
      <c r="AG251" s="407">
        <v>1.6</v>
      </c>
      <c r="AH251" s="705"/>
      <c r="AI251" s="705"/>
      <c r="AJ251" s="407"/>
      <c r="AK251" s="407"/>
      <c r="AL251" s="407"/>
      <c r="AM251" s="407"/>
      <c r="AN251" s="407"/>
      <c r="AO251" s="387"/>
      <c r="AP251" s="387"/>
      <c r="AQ251" s="405"/>
      <c r="AR251" s="578">
        <v>0</v>
      </c>
      <c r="AS251" s="405">
        <v>24.7</v>
      </c>
      <c r="AT251" s="578">
        <v>0</v>
      </c>
      <c r="AU251" s="405">
        <v>53.4</v>
      </c>
      <c r="AV251" s="405">
        <v>878.3</v>
      </c>
      <c r="AW251" s="405">
        <v>1217.0999999999999</v>
      </c>
      <c r="AX251" s="405">
        <v>50.5</v>
      </c>
      <c r="AY251" s="578">
        <v>0</v>
      </c>
      <c r="AZ251" s="578">
        <v>0</v>
      </c>
      <c r="BA251" s="578">
        <v>0</v>
      </c>
      <c r="BB251" s="925">
        <v>1.6</v>
      </c>
      <c r="BC251" s="405">
        <v>1.73</v>
      </c>
      <c r="BD251" s="405">
        <v>2.27</v>
      </c>
      <c r="BE251" s="578">
        <v>0</v>
      </c>
      <c r="BF251" s="405">
        <v>0.5</v>
      </c>
      <c r="BG251" s="405">
        <v>0</v>
      </c>
      <c r="BH251" s="578">
        <v>0</v>
      </c>
      <c r="BI251" s="405">
        <v>2.0099999999999998</v>
      </c>
      <c r="BJ251" s="405">
        <v>31.9</v>
      </c>
      <c r="BK251" s="405">
        <v>4.8</v>
      </c>
      <c r="BL251" s="405">
        <v>6.17</v>
      </c>
      <c r="BM251" s="405">
        <v>0</v>
      </c>
      <c r="BN251" s="405">
        <v>19.399999999999999</v>
      </c>
      <c r="BO251" s="405">
        <v>2378</v>
      </c>
      <c r="BP251" s="405">
        <v>0</v>
      </c>
      <c r="BQ251" s="649">
        <v>22.5</v>
      </c>
      <c r="BR251" s="649">
        <v>22.4</v>
      </c>
      <c r="BS251" s="649">
        <v>24.6</v>
      </c>
      <c r="BT251" s="649">
        <v>24.7</v>
      </c>
      <c r="BU251" s="648">
        <v>49.4</v>
      </c>
      <c r="BV251" s="648">
        <v>56.5</v>
      </c>
      <c r="BW251" s="649">
        <v>1197.9000000000001</v>
      </c>
      <c r="BX251" s="876"/>
      <c r="BY251" s="649">
        <v>1.68</v>
      </c>
      <c r="BZ251" s="649">
        <v>1.7</v>
      </c>
      <c r="CA251" s="649">
        <v>1.3</v>
      </c>
      <c r="CB251" s="649">
        <v>8.8000000000000007</v>
      </c>
      <c r="CC251" s="649">
        <v>8.1</v>
      </c>
      <c r="CD251" s="649">
        <v>15.3</v>
      </c>
      <c r="CE251" s="649">
        <v>32.700000000000003</v>
      </c>
      <c r="CF251" s="649">
        <v>19.8</v>
      </c>
      <c r="CG251" s="649">
        <v>8.1999999999999993</v>
      </c>
      <c r="CH251" s="649">
        <v>13.6</v>
      </c>
      <c r="CI251" s="649">
        <v>17.899999999999999</v>
      </c>
      <c r="CJ251" s="649">
        <v>13.4</v>
      </c>
      <c r="CK251" s="649">
        <v>609.79999999999995</v>
      </c>
      <c r="CL251" s="649">
        <v>3.2</v>
      </c>
      <c r="CM251" s="649">
        <v>5</v>
      </c>
      <c r="CN251" s="991">
        <v>1200</v>
      </c>
      <c r="CO251" s="649">
        <v>956</v>
      </c>
      <c r="CP251" s="649">
        <v>726.2</v>
      </c>
      <c r="CQ251" s="649">
        <v>15.3</v>
      </c>
      <c r="CR251" s="649">
        <v>0.96</v>
      </c>
      <c r="CS251" s="405">
        <v>0</v>
      </c>
      <c r="CT251" s="405">
        <v>18.344000000000001</v>
      </c>
      <c r="CU251" s="405">
        <v>64</v>
      </c>
      <c r="CV251" s="522">
        <v>0</v>
      </c>
      <c r="CW251" s="522">
        <v>0</v>
      </c>
      <c r="CX251" s="522">
        <v>0</v>
      </c>
      <c r="CY251" s="522">
        <v>0</v>
      </c>
      <c r="CZ251" s="689">
        <v>378</v>
      </c>
      <c r="DA251" s="689">
        <v>355</v>
      </c>
      <c r="DB251" s="689">
        <v>225</v>
      </c>
      <c r="DC251" s="643">
        <v>1154.58</v>
      </c>
      <c r="DD251" s="522"/>
      <c r="DE251" s="522"/>
      <c r="DF251" s="522"/>
      <c r="DG251" s="522"/>
      <c r="DH251" s="522"/>
      <c r="DI251" s="522"/>
      <c r="DJ251" s="522"/>
      <c r="DK251" s="522"/>
      <c r="DL251" s="649"/>
      <c r="DM251" s="649"/>
      <c r="DN251" s="649"/>
      <c r="DO251" s="522"/>
      <c r="DP251" s="522"/>
      <c r="DQ251" s="522"/>
      <c r="DR251" s="522"/>
      <c r="DS251" s="522"/>
      <c r="DT251" s="522"/>
      <c r="DU251" s="522"/>
      <c r="DV251" s="522"/>
      <c r="DW251" s="522"/>
      <c r="DX251" s="522"/>
      <c r="DY251" s="522"/>
      <c r="DZ251" s="522"/>
      <c r="EA251" s="522"/>
      <c r="EB251" s="522"/>
      <c r="EC251" s="1111">
        <v>0</v>
      </c>
      <c r="ED251" s="522"/>
      <c r="EE251" s="522"/>
      <c r="EF251" s="522"/>
      <c r="EG251" s="808">
        <f t="shared" si="209"/>
        <v>27.072499999999998</v>
      </c>
      <c r="EH251" s="522">
        <v>0</v>
      </c>
      <c r="EI251" s="649">
        <v>2</v>
      </c>
      <c r="EJ251" s="649">
        <v>4.5</v>
      </c>
      <c r="EK251" s="649">
        <v>11</v>
      </c>
      <c r="EL251" s="522"/>
      <c r="EM251" s="522"/>
      <c r="EN251" s="522"/>
      <c r="EO251" s="522"/>
      <c r="EP251" s="522"/>
      <c r="EQ251" s="522"/>
      <c r="ER251" s="522"/>
      <c r="ES251" s="407"/>
      <c r="ET251" s="407"/>
    </row>
    <row r="252" spans="1:150" s="357" customFormat="1" ht="15">
      <c r="A252" s="675" t="s">
        <v>6</v>
      </c>
      <c r="B252" s="712">
        <v>41878</v>
      </c>
      <c r="C252" s="358">
        <v>0</v>
      </c>
      <c r="D252" s="405">
        <v>0</v>
      </c>
      <c r="E252" s="681">
        <v>0</v>
      </c>
      <c r="F252" s="681">
        <v>63</v>
      </c>
      <c r="G252" s="681">
        <v>0.5</v>
      </c>
      <c r="H252" s="405">
        <v>0.72</v>
      </c>
      <c r="I252" s="405">
        <v>92.9</v>
      </c>
      <c r="J252" s="405" t="s">
        <v>744</v>
      </c>
      <c r="K252" s="405">
        <v>0.65</v>
      </c>
      <c r="L252" s="644">
        <v>0</v>
      </c>
      <c r="M252" s="405">
        <v>15.7</v>
      </c>
      <c r="N252" s="405" t="s">
        <v>744</v>
      </c>
      <c r="O252" s="405" t="s">
        <v>743</v>
      </c>
      <c r="P252" s="405">
        <v>1.72</v>
      </c>
      <c r="Q252" s="405">
        <v>2.8006507167669281</v>
      </c>
      <c r="R252" s="790">
        <v>2118.9857754293257</v>
      </c>
      <c r="S252" s="405" t="s">
        <v>744</v>
      </c>
      <c r="T252" s="405">
        <v>8.0399999999999991</v>
      </c>
      <c r="U252" s="405" t="s">
        <v>744</v>
      </c>
      <c r="V252" s="681">
        <v>0.69</v>
      </c>
      <c r="W252" s="681" t="e">
        <v>#VALUE!</v>
      </c>
      <c r="X252" s="647">
        <v>61.88000000000001</v>
      </c>
      <c r="Y252" s="383">
        <v>52.2</v>
      </c>
      <c r="Z252" s="681">
        <v>38</v>
      </c>
      <c r="AA252" s="794">
        <v>52.1</v>
      </c>
      <c r="AB252" s="794">
        <v>37.9</v>
      </c>
      <c r="AC252" s="775">
        <f t="shared" ref="AC252" si="258">AA252+AB252</f>
        <v>90</v>
      </c>
      <c r="AD252" s="775">
        <f t="shared" ref="AD252" si="259">AC252*1.547</f>
        <v>139.22999999999999</v>
      </c>
      <c r="AE252" s="705"/>
      <c r="AF252" s="775"/>
      <c r="AG252" s="407">
        <v>1.6</v>
      </c>
      <c r="AH252" s="705"/>
      <c r="AI252" s="705"/>
      <c r="AJ252" s="407"/>
      <c r="AK252" s="407"/>
      <c r="AL252" s="407"/>
      <c r="AM252" s="407"/>
      <c r="AN252" s="407"/>
      <c r="AO252" s="387"/>
      <c r="AP252" s="387"/>
      <c r="AQ252" s="405"/>
      <c r="AR252" s="578">
        <v>0</v>
      </c>
      <c r="AS252" s="405">
        <v>11.7</v>
      </c>
      <c r="AT252" s="578">
        <v>0</v>
      </c>
      <c r="AU252" s="405">
        <v>53.4</v>
      </c>
      <c r="AV252" s="405">
        <v>898.6</v>
      </c>
      <c r="AW252" s="405">
        <v>1265.9000000000001</v>
      </c>
      <c r="AX252" s="405">
        <v>88.2</v>
      </c>
      <c r="AY252" s="578">
        <v>0</v>
      </c>
      <c r="AZ252" s="578">
        <v>0</v>
      </c>
      <c r="BA252" s="578">
        <v>0</v>
      </c>
      <c r="BB252" s="925">
        <v>1.6</v>
      </c>
      <c r="BC252" s="405">
        <v>1.73</v>
      </c>
      <c r="BD252" s="405">
        <v>2.27</v>
      </c>
      <c r="BE252" s="578">
        <v>0</v>
      </c>
      <c r="BF252" s="405">
        <v>0.5</v>
      </c>
      <c r="BG252" s="405">
        <v>0</v>
      </c>
      <c r="BH252" s="578">
        <v>0</v>
      </c>
      <c r="BI252" s="405">
        <v>2.02</v>
      </c>
      <c r="BJ252" s="405">
        <v>31.9</v>
      </c>
      <c r="BK252" s="405">
        <v>4.6100000000000003</v>
      </c>
      <c r="BL252" s="405">
        <v>6.42</v>
      </c>
      <c r="BM252" s="405">
        <v>0</v>
      </c>
      <c r="BN252" s="405">
        <v>19.399999999999999</v>
      </c>
      <c r="BO252" s="405">
        <v>2500.5</v>
      </c>
      <c r="BP252" s="405">
        <v>0</v>
      </c>
      <c r="BQ252" s="649">
        <v>21.7</v>
      </c>
      <c r="BR252" s="649">
        <v>21.7</v>
      </c>
      <c r="BS252" s="649">
        <v>24.5</v>
      </c>
      <c r="BT252" s="649">
        <v>24.6</v>
      </c>
      <c r="BU252" s="648">
        <v>49.3</v>
      </c>
      <c r="BV252" s="648">
        <v>59.8</v>
      </c>
      <c r="BW252" s="649">
        <v>1214</v>
      </c>
      <c r="BX252" s="876"/>
      <c r="BY252" s="649">
        <v>1.52</v>
      </c>
      <c r="BZ252" s="649">
        <v>1.69</v>
      </c>
      <c r="CA252" s="649">
        <v>1.4</v>
      </c>
      <c r="CB252" s="649">
        <v>8.8000000000000007</v>
      </c>
      <c r="CC252" s="649">
        <v>6.9</v>
      </c>
      <c r="CD252" s="649">
        <v>15.1</v>
      </c>
      <c r="CE252" s="649">
        <v>30.7</v>
      </c>
      <c r="CF252" s="649">
        <v>22.5</v>
      </c>
      <c r="CG252" s="649">
        <v>8.5</v>
      </c>
      <c r="CH252" s="649">
        <v>13.9</v>
      </c>
      <c r="CI252" s="649">
        <v>18.399999999999999</v>
      </c>
      <c r="CJ252" s="649">
        <v>13.9</v>
      </c>
      <c r="CK252" s="649">
        <v>639</v>
      </c>
      <c r="CL252" s="649">
        <v>3.2</v>
      </c>
      <c r="CM252" s="649">
        <v>4.5999999999999996</v>
      </c>
      <c r="CN252" s="991">
        <v>1200</v>
      </c>
      <c r="CO252" s="649">
        <v>923.9</v>
      </c>
      <c r="CP252" s="649">
        <v>739</v>
      </c>
      <c r="CQ252" s="649">
        <v>15.8</v>
      </c>
      <c r="CR252" s="649">
        <v>1.0900000000000001</v>
      </c>
      <c r="CS252" s="405">
        <v>0</v>
      </c>
      <c r="CT252" s="405">
        <v>18.640999999999998</v>
      </c>
      <c r="CU252" s="405">
        <v>64</v>
      </c>
      <c r="CV252" s="522">
        <v>0</v>
      </c>
      <c r="CW252" s="522">
        <v>0</v>
      </c>
      <c r="CX252" s="522">
        <v>0</v>
      </c>
      <c r="CY252" s="522">
        <v>0</v>
      </c>
      <c r="CZ252" s="689">
        <v>378</v>
      </c>
      <c r="DA252" s="689">
        <v>369</v>
      </c>
      <c r="DB252" s="689">
        <v>223</v>
      </c>
      <c r="DC252" s="643">
        <v>1154.1500000000001</v>
      </c>
      <c r="DD252" s="522"/>
      <c r="DE252" s="522"/>
      <c r="DF252" s="522"/>
      <c r="DG252" s="522"/>
      <c r="DH252" s="522"/>
      <c r="DI252" s="522"/>
      <c r="DJ252" s="522"/>
      <c r="DK252" s="522"/>
      <c r="DL252" s="649"/>
      <c r="DM252" s="649"/>
      <c r="DN252" s="649"/>
      <c r="DO252" s="522"/>
      <c r="DP252" s="522"/>
      <c r="DQ252" s="522"/>
      <c r="DR252" s="522"/>
      <c r="DS252" s="522"/>
      <c r="DT252" s="522"/>
      <c r="DU252" s="522"/>
      <c r="DV252" s="522"/>
      <c r="DW252" s="522"/>
      <c r="DX252" s="522"/>
      <c r="DY252" s="522"/>
      <c r="DZ252" s="522"/>
      <c r="EA252" s="522"/>
      <c r="EB252" s="522"/>
      <c r="EC252" s="522"/>
      <c r="ED252" s="522"/>
      <c r="EE252" s="522"/>
      <c r="EF252" s="522"/>
      <c r="EG252" s="808">
        <f t="shared" si="209"/>
        <v>27.072499999999998</v>
      </c>
      <c r="EH252" s="522">
        <v>0</v>
      </c>
      <c r="EI252" s="649">
        <v>2</v>
      </c>
      <c r="EJ252" s="649">
        <v>4.5</v>
      </c>
      <c r="EK252" s="649">
        <v>11</v>
      </c>
      <c r="EL252" s="522"/>
      <c r="EM252" s="522"/>
      <c r="EN252" s="522"/>
      <c r="EO252" s="522"/>
      <c r="EP252" s="522"/>
      <c r="EQ252" s="522"/>
      <c r="ER252" s="522"/>
      <c r="ES252" s="407"/>
      <c r="ET252" s="407"/>
    </row>
    <row r="253" spans="1:150" s="357" customFormat="1" ht="15">
      <c r="A253" s="675" t="s">
        <v>7</v>
      </c>
      <c r="B253" s="712">
        <v>41879</v>
      </c>
      <c r="C253" s="358">
        <v>0</v>
      </c>
      <c r="D253" s="405">
        <v>0</v>
      </c>
      <c r="E253" s="681">
        <v>0</v>
      </c>
      <c r="F253" s="681">
        <v>61</v>
      </c>
      <c r="G253" s="681">
        <v>0.5</v>
      </c>
      <c r="H253" s="405">
        <v>0.76</v>
      </c>
      <c r="I253" s="405">
        <v>92.4</v>
      </c>
      <c r="J253" s="405" t="s">
        <v>744</v>
      </c>
      <c r="K253" s="405">
        <v>0.65</v>
      </c>
      <c r="L253" s="644">
        <v>0</v>
      </c>
      <c r="M253" s="405">
        <v>15.7</v>
      </c>
      <c r="N253" s="405" t="s">
        <v>744</v>
      </c>
      <c r="O253" s="405" t="s">
        <v>743</v>
      </c>
      <c r="P253" s="405">
        <v>1.7</v>
      </c>
      <c r="Q253" s="405">
        <v>2.7293193046979138</v>
      </c>
      <c r="R253" s="790">
        <v>2066.837088507265</v>
      </c>
      <c r="S253" s="405" t="s">
        <v>744</v>
      </c>
      <c r="T253" s="405">
        <v>8.06</v>
      </c>
      <c r="U253" s="405" t="s">
        <v>744</v>
      </c>
      <c r="V253" s="681">
        <v>0.75</v>
      </c>
      <c r="W253" s="681" t="e">
        <v>#VALUE!</v>
      </c>
      <c r="X253" s="647">
        <v>61.88000000000001</v>
      </c>
      <c r="Y253" s="383">
        <v>52.1</v>
      </c>
      <c r="Z253" s="681">
        <v>37.9</v>
      </c>
      <c r="AA253" s="794">
        <v>52.95</v>
      </c>
      <c r="AB253" s="794">
        <v>37.299999999999997</v>
      </c>
      <c r="AC253" s="775">
        <f t="shared" ref="AC253" si="260">AA253+AB253</f>
        <v>90.25</v>
      </c>
      <c r="AD253" s="775">
        <f t="shared" ref="AD253" si="261">AC253*1.547</f>
        <v>139.61675</v>
      </c>
      <c r="AE253" s="705"/>
      <c r="AF253" s="775"/>
      <c r="AG253" s="407">
        <v>1.6</v>
      </c>
      <c r="AH253" s="705"/>
      <c r="AI253" s="705"/>
      <c r="AJ253" s="407"/>
      <c r="AK253" s="407"/>
      <c r="AL253" s="407"/>
      <c r="AM253" s="407"/>
      <c r="AN253" s="407"/>
      <c r="AO253" s="387"/>
      <c r="AP253" s="387"/>
      <c r="AQ253" s="405"/>
      <c r="AR253" s="578">
        <v>0</v>
      </c>
      <c r="AS253" s="405">
        <v>24.2</v>
      </c>
      <c r="AT253" s="578">
        <v>0</v>
      </c>
      <c r="AU253" s="405">
        <v>58.9</v>
      </c>
      <c r="AV253" s="405">
        <v>680.1</v>
      </c>
      <c r="AW253" s="405">
        <v>976.9</v>
      </c>
      <c r="AX253" s="405">
        <v>82.9</v>
      </c>
      <c r="AY253" s="578">
        <v>0</v>
      </c>
      <c r="AZ253" s="578">
        <v>0</v>
      </c>
      <c r="BA253" s="578">
        <v>0</v>
      </c>
      <c r="BB253" s="925">
        <v>1.61</v>
      </c>
      <c r="BC253" s="405">
        <v>1.57</v>
      </c>
      <c r="BD253" s="405">
        <v>2.09</v>
      </c>
      <c r="BE253" s="578">
        <v>0</v>
      </c>
      <c r="BF253" s="405">
        <v>0.5</v>
      </c>
      <c r="BG253" s="405">
        <v>0</v>
      </c>
      <c r="BH253" s="578">
        <v>0</v>
      </c>
      <c r="BI253" s="405">
        <v>2.02</v>
      </c>
      <c r="BJ253" s="405">
        <v>31.5</v>
      </c>
      <c r="BK253" s="405">
        <v>4.6100000000000003</v>
      </c>
      <c r="BL253" s="405">
        <v>5.96</v>
      </c>
      <c r="BM253" s="405">
        <v>0</v>
      </c>
      <c r="BN253" s="405">
        <v>19</v>
      </c>
      <c r="BO253" s="405">
        <v>1831.2</v>
      </c>
      <c r="BP253" s="405">
        <v>0</v>
      </c>
      <c r="BQ253" s="649">
        <v>23.9</v>
      </c>
      <c r="BR253" s="649">
        <v>23.8</v>
      </c>
      <c r="BS253" s="649">
        <v>25.1</v>
      </c>
      <c r="BT253" s="649">
        <v>25.2</v>
      </c>
      <c r="BU253" s="648">
        <v>50.4</v>
      </c>
      <c r="BV253" s="648">
        <v>52.4</v>
      </c>
      <c r="BW253" s="649">
        <v>1096</v>
      </c>
      <c r="BX253" s="876"/>
      <c r="BY253" s="649">
        <v>1.78</v>
      </c>
      <c r="BZ253" s="649">
        <v>1.62</v>
      </c>
      <c r="CA253" s="649">
        <v>1.4</v>
      </c>
      <c r="CB253" s="649">
        <v>8.9</v>
      </c>
      <c r="CC253" s="649">
        <v>6.5</v>
      </c>
      <c r="CD253" s="649">
        <v>16</v>
      </c>
      <c r="CE253" s="649">
        <v>29.8</v>
      </c>
      <c r="CF253" s="649">
        <v>20.5</v>
      </c>
      <c r="CG253" s="649">
        <v>7.3</v>
      </c>
      <c r="CH253" s="649">
        <v>12.5</v>
      </c>
      <c r="CI253" s="649">
        <v>17.100000000000001</v>
      </c>
      <c r="CJ253" s="649">
        <v>14.4</v>
      </c>
      <c r="CK253" s="649">
        <v>602</v>
      </c>
      <c r="CL253" s="649">
        <v>3.2</v>
      </c>
      <c r="CM253" s="649">
        <v>3.8</v>
      </c>
      <c r="CN253" s="1112">
        <v>1000</v>
      </c>
      <c r="CO253" s="649">
        <v>824.3</v>
      </c>
      <c r="CP253" s="649">
        <v>664.1</v>
      </c>
      <c r="CQ253" s="649">
        <v>15.7</v>
      </c>
      <c r="CR253" s="649">
        <v>1.2</v>
      </c>
      <c r="CS253" s="405">
        <v>0</v>
      </c>
      <c r="CT253" s="405">
        <v>17.786999999999999</v>
      </c>
      <c r="CU253" s="405">
        <v>64</v>
      </c>
      <c r="CV253" s="522">
        <v>0</v>
      </c>
      <c r="CW253" s="522">
        <v>0</v>
      </c>
      <c r="CX253" s="522">
        <v>0</v>
      </c>
      <c r="CY253" s="522">
        <v>0</v>
      </c>
      <c r="CZ253" s="689">
        <v>378</v>
      </c>
      <c r="DA253" s="689">
        <v>373</v>
      </c>
      <c r="DB253" s="689">
        <v>211</v>
      </c>
      <c r="DC253" s="643">
        <v>1153.71</v>
      </c>
      <c r="DD253" s="522"/>
      <c r="DE253" s="522"/>
      <c r="DF253" s="522"/>
      <c r="DG253" s="522"/>
      <c r="DH253" s="522"/>
      <c r="DI253" s="522"/>
      <c r="DJ253" s="522"/>
      <c r="DK253" s="522"/>
      <c r="DL253" s="649"/>
      <c r="DM253" s="649"/>
      <c r="DN253" s="649"/>
      <c r="DO253" s="522"/>
      <c r="DP253" s="522"/>
      <c r="DQ253" s="522"/>
      <c r="DR253" s="522"/>
      <c r="DS253" s="522"/>
      <c r="DT253" s="522"/>
      <c r="DU253" s="522"/>
      <c r="DV253" s="522"/>
      <c r="DW253" s="522"/>
      <c r="DX253" s="522"/>
      <c r="DY253" s="522"/>
      <c r="DZ253" s="522"/>
      <c r="EA253" s="522"/>
      <c r="EB253" s="522"/>
      <c r="EC253" s="522"/>
      <c r="ED253" s="522"/>
      <c r="EE253" s="522"/>
      <c r="EF253" s="522"/>
      <c r="EG253" s="808">
        <f t="shared" si="209"/>
        <v>26.685749999999999</v>
      </c>
      <c r="EH253" s="522">
        <v>0.25</v>
      </c>
      <c r="EI253" s="649">
        <v>2</v>
      </c>
      <c r="EJ253" s="649">
        <v>4</v>
      </c>
      <c r="EK253" s="649">
        <v>11</v>
      </c>
      <c r="EL253" s="522"/>
      <c r="EM253" s="522"/>
      <c r="EN253" s="522"/>
      <c r="EO253" s="522"/>
      <c r="EP253" s="522"/>
      <c r="EQ253" s="522"/>
      <c r="ER253" s="522"/>
      <c r="ES253" s="407"/>
      <c r="ET253" s="407"/>
    </row>
    <row r="254" spans="1:150" s="357" customFormat="1" ht="15">
      <c r="A254" s="675" t="s">
        <v>8</v>
      </c>
      <c r="B254" s="712">
        <v>41880</v>
      </c>
      <c r="C254" s="358">
        <v>0</v>
      </c>
      <c r="D254" s="405">
        <v>0</v>
      </c>
      <c r="E254" s="681">
        <v>0</v>
      </c>
      <c r="F254" s="681">
        <v>60</v>
      </c>
      <c r="G254" s="681">
        <v>0.45</v>
      </c>
      <c r="H254" s="405">
        <v>0.74</v>
      </c>
      <c r="I254" s="405">
        <v>92.8</v>
      </c>
      <c r="J254" s="405" t="s">
        <v>744</v>
      </c>
      <c r="K254" s="405">
        <v>0.71</v>
      </c>
      <c r="L254" s="644">
        <v>1.9999999996798579E-2</v>
      </c>
      <c r="M254" s="405">
        <v>16.2</v>
      </c>
      <c r="N254" s="405" t="s">
        <v>744</v>
      </c>
      <c r="O254" s="405" t="s">
        <v>743</v>
      </c>
      <c r="P254" s="405">
        <v>1.77</v>
      </c>
      <c r="Q254" s="405">
        <v>2.5817907739854462</v>
      </c>
      <c r="R254" s="790">
        <v>1775.9704993394978</v>
      </c>
      <c r="S254" s="405" t="s">
        <v>744</v>
      </c>
      <c r="T254" s="405">
        <v>8.02</v>
      </c>
      <c r="U254" s="405" t="s">
        <v>744</v>
      </c>
      <c r="V254" s="681">
        <v>0.72</v>
      </c>
      <c r="W254" s="681" t="e">
        <v>#VALUE!</v>
      </c>
      <c r="X254" s="647">
        <v>61.88000000000001</v>
      </c>
      <c r="Y254" s="383">
        <v>52.95</v>
      </c>
      <c r="Z254" s="681">
        <v>37.299999999999997</v>
      </c>
      <c r="AA254" s="794">
        <v>52.92</v>
      </c>
      <c r="AB254" s="794">
        <v>28.7</v>
      </c>
      <c r="AC254" s="775">
        <f t="shared" ref="AC254:AC259" si="262">AA254+AB254</f>
        <v>81.62</v>
      </c>
      <c r="AD254" s="775">
        <f t="shared" ref="AD254:AD259" si="263">AC254*1.547</f>
        <v>126.26614000000001</v>
      </c>
      <c r="AE254" s="705"/>
      <c r="AF254" s="775"/>
      <c r="AG254" s="407">
        <v>1.6</v>
      </c>
      <c r="AH254" s="705"/>
      <c r="AI254" s="705"/>
      <c r="AJ254" s="407"/>
      <c r="AK254" s="407"/>
      <c r="AL254" s="407"/>
      <c r="AM254" s="407"/>
      <c r="AN254" s="407"/>
      <c r="AO254" s="387"/>
      <c r="AP254" s="387"/>
      <c r="AQ254" s="405"/>
      <c r="AR254" s="578">
        <v>0</v>
      </c>
      <c r="AS254" s="405">
        <v>11.3</v>
      </c>
      <c r="AT254" s="578">
        <v>0</v>
      </c>
      <c r="AU254" s="405">
        <v>54.7</v>
      </c>
      <c r="AV254" s="405">
        <v>686</v>
      </c>
      <c r="AW254" s="405">
        <v>882</v>
      </c>
      <c r="AX254" s="405">
        <v>49.8</v>
      </c>
      <c r="AY254" s="578">
        <v>0</v>
      </c>
      <c r="AZ254" s="578">
        <v>0</v>
      </c>
      <c r="BA254" s="578">
        <v>0</v>
      </c>
      <c r="BB254" s="925">
        <v>1.6</v>
      </c>
      <c r="BC254" s="405">
        <v>1.3</v>
      </c>
      <c r="BD254" s="405">
        <v>1.88</v>
      </c>
      <c r="BE254" s="578">
        <v>0</v>
      </c>
      <c r="BF254" s="405">
        <v>0.5</v>
      </c>
      <c r="BG254" s="405">
        <v>0</v>
      </c>
      <c r="BH254" s="578">
        <v>0</v>
      </c>
      <c r="BI254" s="405">
        <v>2.02</v>
      </c>
      <c r="BJ254" s="405">
        <v>23.5</v>
      </c>
      <c r="BK254" s="405">
        <v>4.16</v>
      </c>
      <c r="BL254" s="405">
        <v>5.45</v>
      </c>
      <c r="BM254" s="405">
        <v>0</v>
      </c>
      <c r="BN254" s="405">
        <v>12.4</v>
      </c>
      <c r="BO254" s="405">
        <v>1970.9</v>
      </c>
      <c r="BP254" s="405">
        <v>0</v>
      </c>
      <c r="BQ254" s="649">
        <v>24.86</v>
      </c>
      <c r="BR254" s="649">
        <v>24.82</v>
      </c>
      <c r="BS254" s="649">
        <v>25.48</v>
      </c>
      <c r="BT254" s="649">
        <v>25.57</v>
      </c>
      <c r="BU254" s="648">
        <v>51</v>
      </c>
      <c r="BV254" s="648">
        <v>56.5</v>
      </c>
      <c r="BW254" s="649">
        <v>1059.5999999999999</v>
      </c>
      <c r="BX254" s="876"/>
      <c r="BY254" s="649">
        <v>2.2000000000000002</v>
      </c>
      <c r="BZ254" s="649">
        <v>1.63</v>
      </c>
      <c r="CA254" s="649">
        <v>1.4</v>
      </c>
      <c r="CB254" s="649">
        <v>8.9</v>
      </c>
      <c r="CC254" s="649">
        <v>7.2</v>
      </c>
      <c r="CD254" s="649">
        <v>15.5</v>
      </c>
      <c r="CE254" s="649">
        <v>30.6</v>
      </c>
      <c r="CF254" s="649">
        <v>20.7</v>
      </c>
      <c r="CG254" s="649">
        <v>6.9</v>
      </c>
      <c r="CH254" s="649">
        <v>12.2</v>
      </c>
      <c r="CI254" s="649">
        <v>16.100000000000001</v>
      </c>
      <c r="CJ254" s="649">
        <v>13.33</v>
      </c>
      <c r="CK254" s="649">
        <v>539.4</v>
      </c>
      <c r="CL254" s="649">
        <v>2.8</v>
      </c>
      <c r="CM254" s="649">
        <v>4.4000000000000004</v>
      </c>
      <c r="CN254" s="1112">
        <v>1000</v>
      </c>
      <c r="CO254" s="649">
        <v>820.2</v>
      </c>
      <c r="CP254" s="649">
        <v>665.8</v>
      </c>
      <c r="CQ254" s="649">
        <v>14.6</v>
      </c>
      <c r="CR254" s="649">
        <v>1.1000000000000001</v>
      </c>
      <c r="CS254" s="405">
        <v>0</v>
      </c>
      <c r="CT254" s="405">
        <v>17.02</v>
      </c>
      <c r="CU254" s="405">
        <v>64</v>
      </c>
      <c r="CV254" s="522">
        <v>0</v>
      </c>
      <c r="CW254" s="522">
        <v>0</v>
      </c>
      <c r="CX254" s="522">
        <v>0</v>
      </c>
      <c r="CY254" s="522">
        <v>0</v>
      </c>
      <c r="CZ254" s="689">
        <v>354</v>
      </c>
      <c r="DA254" s="689">
        <v>378</v>
      </c>
      <c r="DB254" s="689">
        <v>213</v>
      </c>
      <c r="DC254" s="643">
        <v>1153.3</v>
      </c>
      <c r="DD254" s="522"/>
      <c r="DE254" s="522"/>
      <c r="DF254" s="522"/>
      <c r="DG254" s="522"/>
      <c r="DH254" s="522"/>
      <c r="DI254" s="522"/>
      <c r="DJ254" s="522"/>
      <c r="DK254" s="522"/>
      <c r="DL254" s="649"/>
      <c r="DM254" s="649"/>
      <c r="DN254" s="649"/>
      <c r="DO254" s="522"/>
      <c r="DP254" s="522"/>
      <c r="DQ254" s="522"/>
      <c r="DR254" s="522"/>
      <c r="DS254" s="522"/>
      <c r="DT254" s="522"/>
      <c r="DU254" s="522"/>
      <c r="DV254" s="522"/>
      <c r="DW254" s="522"/>
      <c r="DX254" s="522"/>
      <c r="DY254" s="522"/>
      <c r="DZ254" s="522"/>
      <c r="EA254" s="522"/>
      <c r="EB254" s="522"/>
      <c r="EC254" s="522"/>
      <c r="ED254" s="522"/>
      <c r="EE254" s="522"/>
      <c r="EF254" s="522"/>
      <c r="EG254" s="808">
        <f t="shared" si="209"/>
        <v>22.4315</v>
      </c>
      <c r="EH254" s="522">
        <v>0</v>
      </c>
      <c r="EI254" s="649">
        <v>2</v>
      </c>
      <c r="EJ254" s="649">
        <v>3.5</v>
      </c>
      <c r="EK254" s="649">
        <v>9</v>
      </c>
      <c r="EL254" s="522"/>
      <c r="EM254" s="522"/>
      <c r="EN254" s="522"/>
      <c r="EO254" s="522"/>
      <c r="EP254" s="522"/>
      <c r="EQ254" s="522"/>
      <c r="ER254" s="522"/>
      <c r="ES254" s="407"/>
      <c r="ET254" s="407"/>
    </row>
    <row r="255" spans="1:150" s="357" customFormat="1" ht="15">
      <c r="A255" s="675" t="s">
        <v>9</v>
      </c>
      <c r="B255" s="712">
        <v>41881</v>
      </c>
      <c r="C255" s="358">
        <v>0</v>
      </c>
      <c r="D255" s="405">
        <v>1.72</v>
      </c>
      <c r="E255" s="681">
        <v>0</v>
      </c>
      <c r="F255" s="681">
        <v>56</v>
      </c>
      <c r="G255" s="681">
        <v>0.6</v>
      </c>
      <c r="H255" s="405">
        <v>3.31</v>
      </c>
      <c r="I255" s="405">
        <v>93.4</v>
      </c>
      <c r="J255" s="405" t="s">
        <v>744</v>
      </c>
      <c r="K255" s="405">
        <v>4.6500000000000004</v>
      </c>
      <c r="L255" s="644">
        <v>0.98000000000320142</v>
      </c>
      <c r="M255" s="405">
        <v>16.399999999999999</v>
      </c>
      <c r="N255" s="405" t="s">
        <v>744</v>
      </c>
      <c r="O255" s="405" t="s">
        <v>743</v>
      </c>
      <c r="P255" s="405">
        <v>1.9</v>
      </c>
      <c r="Q255" s="405">
        <v>2.4474086817609284</v>
      </c>
      <c r="R255" s="790">
        <v>1535.9569775429325</v>
      </c>
      <c r="S255" s="405" t="s">
        <v>744</v>
      </c>
      <c r="T255" s="405">
        <v>7.98</v>
      </c>
      <c r="U255" s="405" t="s">
        <v>744</v>
      </c>
      <c r="V255" s="681">
        <v>0.75</v>
      </c>
      <c r="W255" s="681" t="e">
        <v>#VALUE!</v>
      </c>
      <c r="X255" s="647">
        <v>61.160000000000011</v>
      </c>
      <c r="Y255" s="383">
        <v>52.92</v>
      </c>
      <c r="Z255" s="681">
        <v>28.7</v>
      </c>
      <c r="AA255" s="794">
        <v>50.23</v>
      </c>
      <c r="AB255" s="794">
        <v>24</v>
      </c>
      <c r="AC255" s="775">
        <f t="shared" si="262"/>
        <v>74.22999999999999</v>
      </c>
      <c r="AD255" s="775">
        <f t="shared" si="263"/>
        <v>114.83380999999999</v>
      </c>
      <c r="AE255" s="705"/>
      <c r="AF255" s="775"/>
      <c r="AG255" s="407">
        <v>1.6</v>
      </c>
      <c r="AH255" s="705"/>
      <c r="AI255" s="705"/>
      <c r="AJ255" s="407"/>
      <c r="AK255" s="407"/>
      <c r="AL255" s="407"/>
      <c r="AM255" s="407"/>
      <c r="AN255" s="407"/>
      <c r="AO255" s="387"/>
      <c r="AP255" s="387"/>
      <c r="AQ255" s="405"/>
      <c r="AR255" s="578">
        <v>0</v>
      </c>
      <c r="AS255" s="405">
        <v>11.6</v>
      </c>
      <c r="AT255" s="578">
        <v>0</v>
      </c>
      <c r="AU255" s="405">
        <v>51.8</v>
      </c>
      <c r="AV255" s="405">
        <v>664.3</v>
      </c>
      <c r="AW255" s="405">
        <v>999.3</v>
      </c>
      <c r="AX255" s="405">
        <v>35.1</v>
      </c>
      <c r="AY255" s="578">
        <v>0</v>
      </c>
      <c r="AZ255" s="578">
        <v>0</v>
      </c>
      <c r="BA255" s="578">
        <v>0</v>
      </c>
      <c r="BB255" s="925">
        <v>1.6</v>
      </c>
      <c r="BC255" s="405">
        <v>1.01</v>
      </c>
      <c r="BD255" s="405">
        <v>2</v>
      </c>
      <c r="BE255" s="578">
        <v>0</v>
      </c>
      <c r="BF255" s="405">
        <v>0.5</v>
      </c>
      <c r="BG255" s="405">
        <v>0</v>
      </c>
      <c r="BH255" s="578">
        <v>0</v>
      </c>
      <c r="BI255" s="405">
        <v>2.02</v>
      </c>
      <c r="BJ255" s="405">
        <v>18.8</v>
      </c>
      <c r="BK255" s="405">
        <v>4.16</v>
      </c>
      <c r="BL255" s="405">
        <v>5.13</v>
      </c>
      <c r="BM255" s="405">
        <v>0</v>
      </c>
      <c r="BN255" s="405">
        <v>8.4</v>
      </c>
      <c r="BO255" s="405">
        <v>2034.8</v>
      </c>
      <c r="BP255" s="405">
        <v>0</v>
      </c>
      <c r="BQ255" s="522">
        <v>24.46</v>
      </c>
      <c r="BR255" s="522">
        <v>24.46</v>
      </c>
      <c r="BS255" s="522">
        <v>24.08</v>
      </c>
      <c r="BT255" s="649">
        <v>24.14</v>
      </c>
      <c r="BU255" s="648">
        <v>48.4</v>
      </c>
      <c r="BV255" s="648">
        <v>57.4</v>
      </c>
      <c r="BW255" s="649">
        <v>946.5</v>
      </c>
      <c r="BX255" s="876"/>
      <c r="BY255" s="649">
        <v>0.79</v>
      </c>
      <c r="BZ255" s="649">
        <v>1.51</v>
      </c>
      <c r="CA255" s="649">
        <v>1.3</v>
      </c>
      <c r="CB255" s="649">
        <v>8.8000000000000007</v>
      </c>
      <c r="CC255" s="649">
        <v>7.8</v>
      </c>
      <c r="CD255" s="649">
        <v>15.9</v>
      </c>
      <c r="CE255" s="649">
        <v>32</v>
      </c>
      <c r="CF255" s="649">
        <v>20.399999999999999</v>
      </c>
      <c r="CG255" s="649">
        <v>8.25</v>
      </c>
      <c r="CH255" s="649">
        <v>13.74</v>
      </c>
      <c r="CI255" s="649">
        <v>18.05</v>
      </c>
      <c r="CJ255" s="649">
        <v>14.06</v>
      </c>
      <c r="CK255" s="649">
        <v>576.4</v>
      </c>
      <c r="CL255" s="649">
        <v>3.2</v>
      </c>
      <c r="CM255" s="649">
        <v>4.5</v>
      </c>
      <c r="CN255" s="1112">
        <v>1000</v>
      </c>
      <c r="CO255" s="649">
        <v>693.2</v>
      </c>
      <c r="CP255" s="649">
        <v>640.6</v>
      </c>
      <c r="CQ255" s="649">
        <v>14.5</v>
      </c>
      <c r="CR255" s="649">
        <v>1.06</v>
      </c>
      <c r="CS255" s="405">
        <v>0</v>
      </c>
      <c r="CT255" s="405">
        <v>18</v>
      </c>
      <c r="CU255" s="405">
        <v>64</v>
      </c>
      <c r="CV255" s="522">
        <v>0</v>
      </c>
      <c r="CW255" s="522">
        <v>0</v>
      </c>
      <c r="CX255" s="522">
        <v>0</v>
      </c>
      <c r="CY255" s="522">
        <v>0</v>
      </c>
      <c r="CZ255" s="689">
        <v>354</v>
      </c>
      <c r="DA255" s="689">
        <v>468</v>
      </c>
      <c r="DB255" s="689">
        <v>268</v>
      </c>
      <c r="DC255" s="643">
        <v>1153.2</v>
      </c>
      <c r="DD255" s="522"/>
      <c r="DE255" s="522"/>
      <c r="DF255" s="522"/>
      <c r="DG255" s="522"/>
      <c r="DH255" s="522"/>
      <c r="DI255" s="522"/>
      <c r="DJ255" s="522"/>
      <c r="DK255" s="522"/>
      <c r="DL255" s="649"/>
      <c r="DM255" s="649"/>
      <c r="DN255" s="649"/>
      <c r="DO255" s="522"/>
      <c r="DP255" s="522"/>
      <c r="DQ255" s="522"/>
      <c r="DR255" s="522"/>
      <c r="DS255" s="522"/>
      <c r="DT255" s="522"/>
      <c r="DU255" s="522"/>
      <c r="DV255" s="522"/>
      <c r="DW255" s="522"/>
      <c r="DX255" s="522"/>
      <c r="DY255" s="522"/>
      <c r="DZ255" s="522"/>
      <c r="EA255" s="522"/>
      <c r="EB255" s="522"/>
      <c r="EC255" s="522"/>
      <c r="ED255" s="522"/>
      <c r="EE255" s="522"/>
      <c r="EF255" s="522"/>
      <c r="EG255" s="808">
        <f t="shared" si="209"/>
        <v>22.4315</v>
      </c>
      <c r="EH255" s="522">
        <v>0</v>
      </c>
      <c r="EI255" s="649">
        <v>2</v>
      </c>
      <c r="EJ255" s="649">
        <v>3.5</v>
      </c>
      <c r="EK255" s="649">
        <v>9</v>
      </c>
      <c r="EL255" s="522"/>
      <c r="EM255" s="522"/>
      <c r="EN255" s="522"/>
      <c r="EO255" s="522"/>
      <c r="EP255" s="522"/>
      <c r="EQ255" s="522"/>
      <c r="ER255" s="522"/>
      <c r="ES255" s="407"/>
      <c r="ET255" s="407"/>
    </row>
    <row r="256" spans="1:150" s="357" customFormat="1" ht="15">
      <c r="A256" s="675" t="s">
        <v>3</v>
      </c>
      <c r="B256" s="712">
        <v>41882</v>
      </c>
      <c r="C256" s="358">
        <v>0</v>
      </c>
      <c r="D256" s="405">
        <v>0.02</v>
      </c>
      <c r="E256" s="681">
        <v>0</v>
      </c>
      <c r="F256" s="681">
        <v>54</v>
      </c>
      <c r="G256" s="681">
        <v>0.45</v>
      </c>
      <c r="H256" s="405">
        <v>2.3199999999999998</v>
      </c>
      <c r="I256" s="405">
        <v>90.5</v>
      </c>
      <c r="J256" s="405" t="s">
        <v>744</v>
      </c>
      <c r="K256" s="405">
        <v>3.53</v>
      </c>
      <c r="L256" s="644">
        <v>0</v>
      </c>
      <c r="M256" s="405">
        <v>16.899999999999999</v>
      </c>
      <c r="N256" s="405" t="s">
        <v>744</v>
      </c>
      <c r="O256" s="405" t="s">
        <v>743</v>
      </c>
      <c r="P256" s="405">
        <v>2</v>
      </c>
      <c r="Q256" s="405">
        <v>2.5679333798854951</v>
      </c>
      <c r="R256" s="790">
        <v>1553.7717463672391</v>
      </c>
      <c r="S256" s="405" t="s">
        <v>744</v>
      </c>
      <c r="T256" s="405">
        <v>8.01</v>
      </c>
      <c r="U256" s="405" t="s">
        <v>744</v>
      </c>
      <c r="V256" s="681">
        <v>0.77</v>
      </c>
      <c r="W256" s="681" t="e">
        <v>#VALUE!</v>
      </c>
      <c r="X256" s="647">
        <v>61.160000000000011</v>
      </c>
      <c r="Y256" s="383">
        <v>50.23</v>
      </c>
      <c r="Z256" s="681">
        <v>24</v>
      </c>
      <c r="AA256" s="794">
        <v>47.1</v>
      </c>
      <c r="AB256" s="794">
        <v>24.6</v>
      </c>
      <c r="AC256" s="775">
        <f t="shared" si="262"/>
        <v>71.7</v>
      </c>
      <c r="AD256" s="775">
        <f t="shared" si="263"/>
        <v>110.9199</v>
      </c>
      <c r="AE256" s="705"/>
      <c r="AF256" s="775"/>
      <c r="AG256" s="407">
        <v>1.6</v>
      </c>
      <c r="AH256" s="705"/>
      <c r="AI256" s="705"/>
      <c r="AJ256" s="407"/>
      <c r="AK256" s="407"/>
      <c r="AL256" s="407"/>
      <c r="AM256" s="407"/>
      <c r="AN256" s="407"/>
      <c r="AO256" s="387"/>
      <c r="AP256" s="387"/>
      <c r="AQ256" s="405"/>
      <c r="AR256" s="578">
        <v>0</v>
      </c>
      <c r="AS256" s="405">
        <v>22.4</v>
      </c>
      <c r="AT256" s="578">
        <v>0</v>
      </c>
      <c r="AU256" s="405">
        <v>49.4</v>
      </c>
      <c r="AV256" s="405">
        <v>502.5</v>
      </c>
      <c r="AW256" s="405">
        <v>656</v>
      </c>
      <c r="AX256" s="405">
        <v>8.3000000000000007</v>
      </c>
      <c r="AY256" s="578">
        <v>0</v>
      </c>
      <c r="AZ256" s="578">
        <v>0</v>
      </c>
      <c r="BA256" s="578">
        <v>0</v>
      </c>
      <c r="BB256" s="925">
        <v>1.6</v>
      </c>
      <c r="BC256" s="405">
        <v>1.01</v>
      </c>
      <c r="BD256" s="405">
        <v>2</v>
      </c>
      <c r="BE256" s="578">
        <v>0</v>
      </c>
      <c r="BF256" s="405">
        <v>0.5</v>
      </c>
      <c r="BG256" s="405">
        <v>0</v>
      </c>
      <c r="BH256" s="578">
        <v>0</v>
      </c>
      <c r="BI256" s="405">
        <v>2.02</v>
      </c>
      <c r="BJ256" s="405">
        <v>19.399999999999999</v>
      </c>
      <c r="BK256" s="405">
        <v>3.71</v>
      </c>
      <c r="BL256" s="405">
        <v>5.31</v>
      </c>
      <c r="BM256" s="405">
        <v>0</v>
      </c>
      <c r="BN256" s="405">
        <v>9</v>
      </c>
      <c r="BO256" s="405">
        <v>1403.3</v>
      </c>
      <c r="BP256" s="405">
        <v>0</v>
      </c>
      <c r="BQ256" s="649">
        <v>25.02</v>
      </c>
      <c r="BR256" s="649">
        <v>25.02</v>
      </c>
      <c r="BS256" s="649">
        <v>23.28</v>
      </c>
      <c r="BT256" s="649">
        <v>23.37</v>
      </c>
      <c r="BU256" s="648">
        <v>46.8</v>
      </c>
      <c r="BV256" s="648">
        <v>52.8</v>
      </c>
      <c r="BW256" s="649">
        <v>780.9</v>
      </c>
      <c r="BX256" s="876"/>
      <c r="BY256" s="649">
        <v>1.04</v>
      </c>
      <c r="BZ256" s="649">
        <v>1.48</v>
      </c>
      <c r="CA256" s="649">
        <v>1.2</v>
      </c>
      <c r="CB256" s="649">
        <v>8.8000000000000007</v>
      </c>
      <c r="CC256" s="649">
        <v>7.7</v>
      </c>
      <c r="CD256" s="649">
        <v>16.2</v>
      </c>
      <c r="CE256" s="649">
        <v>33.4</v>
      </c>
      <c r="CF256" s="649">
        <v>19.920000000000002</v>
      </c>
      <c r="CG256" s="649">
        <v>6.8</v>
      </c>
      <c r="CH256" s="649">
        <v>11.95</v>
      </c>
      <c r="CI256" s="649">
        <v>16</v>
      </c>
      <c r="CJ256" s="649">
        <v>13.8</v>
      </c>
      <c r="CK256" s="649">
        <v>546.9</v>
      </c>
      <c r="CL256" s="649">
        <v>3.2</v>
      </c>
      <c r="CM256" s="649">
        <v>4.4000000000000004</v>
      </c>
      <c r="CN256" s="1112">
        <v>1000</v>
      </c>
      <c r="CO256" s="649">
        <v>686.6</v>
      </c>
      <c r="CP256" s="649">
        <v>621.9</v>
      </c>
      <c r="CQ256" s="649">
        <v>14.3</v>
      </c>
      <c r="CR256" s="649">
        <v>1.03</v>
      </c>
      <c r="CS256" s="405">
        <v>0</v>
      </c>
      <c r="CT256" s="405">
        <v>17.86</v>
      </c>
      <c r="CU256" s="405">
        <v>63</v>
      </c>
      <c r="CV256" s="522">
        <v>0</v>
      </c>
      <c r="CW256" s="522">
        <v>0</v>
      </c>
      <c r="CX256" s="522">
        <v>0</v>
      </c>
      <c r="CY256" s="522">
        <v>0</v>
      </c>
      <c r="CZ256" s="689">
        <v>354</v>
      </c>
      <c r="DA256" s="689">
        <v>420</v>
      </c>
      <c r="DB256" s="689">
        <v>249</v>
      </c>
      <c r="DC256" s="643">
        <v>1153</v>
      </c>
      <c r="DD256" s="522"/>
      <c r="DE256" s="522"/>
      <c r="DF256" s="522"/>
      <c r="DG256" s="522"/>
      <c r="DH256" s="522"/>
      <c r="DI256" s="522"/>
      <c r="DJ256" s="522"/>
      <c r="DK256" s="522"/>
      <c r="DL256" s="649"/>
      <c r="DM256" s="649"/>
      <c r="DN256" s="649"/>
      <c r="DO256" s="522"/>
      <c r="DP256" s="522"/>
      <c r="DQ256" s="522"/>
      <c r="DR256" s="522"/>
      <c r="DS256" s="522"/>
      <c r="DT256" s="522"/>
      <c r="DU256" s="522"/>
      <c r="DV256" s="522"/>
      <c r="DW256" s="522"/>
      <c r="DX256" s="522"/>
      <c r="DY256" s="522"/>
      <c r="DZ256" s="522"/>
      <c r="EA256" s="522"/>
      <c r="EB256" s="522"/>
      <c r="EC256" s="522"/>
      <c r="ED256" s="522"/>
      <c r="EE256" s="522"/>
      <c r="EF256" s="522"/>
      <c r="EG256" s="808">
        <f t="shared" si="209"/>
        <v>22.4315</v>
      </c>
      <c r="EH256" s="522">
        <v>0</v>
      </c>
      <c r="EI256" s="649">
        <v>2</v>
      </c>
      <c r="EJ256" s="649">
        <v>3.5</v>
      </c>
      <c r="EK256" s="649">
        <v>9</v>
      </c>
      <c r="EL256" s="522"/>
      <c r="EM256" s="522"/>
      <c r="EN256" s="522"/>
      <c r="EO256" s="522"/>
      <c r="EP256" s="522"/>
      <c r="EQ256" s="522"/>
      <c r="ER256" s="522"/>
      <c r="ES256" s="407"/>
      <c r="ET256" s="407"/>
    </row>
    <row r="257" spans="1:150" s="357" customFormat="1" ht="15">
      <c r="A257" s="675" t="s">
        <v>4</v>
      </c>
      <c r="B257" s="712">
        <v>41883</v>
      </c>
      <c r="C257" s="358">
        <v>0</v>
      </c>
      <c r="D257" s="405">
        <v>0</v>
      </c>
      <c r="E257" s="681">
        <v>0</v>
      </c>
      <c r="F257" s="681">
        <v>58.4</v>
      </c>
      <c r="G257" s="681">
        <v>0.5</v>
      </c>
      <c r="H257" s="405">
        <v>0.8</v>
      </c>
      <c r="I257" s="405">
        <v>92.5</v>
      </c>
      <c r="J257" s="405" t="s">
        <v>744</v>
      </c>
      <c r="K257" s="405">
        <v>0.56999999999999995</v>
      </c>
      <c r="L257" s="644">
        <v>0</v>
      </c>
      <c r="M257" s="405">
        <v>16.7</v>
      </c>
      <c r="N257" s="405" t="s">
        <v>744</v>
      </c>
      <c r="O257" s="405" t="s">
        <v>743</v>
      </c>
      <c r="P257" s="405">
        <v>1.97</v>
      </c>
      <c r="Q257" s="405">
        <v>2.466035443481736</v>
      </c>
      <c r="R257" s="790">
        <v>1414.1687397622188</v>
      </c>
      <c r="S257" s="405" t="s">
        <v>744</v>
      </c>
      <c r="T257" s="405">
        <v>7.96</v>
      </c>
      <c r="U257" s="405" t="s">
        <v>744</v>
      </c>
      <c r="V257" s="681">
        <v>0.78</v>
      </c>
      <c r="W257" s="681" t="e">
        <v>#VALUE!</v>
      </c>
      <c r="X257" s="647">
        <v>61.7</v>
      </c>
      <c r="Y257" s="383">
        <v>47.1</v>
      </c>
      <c r="Z257" s="681">
        <v>24.6</v>
      </c>
      <c r="AA257" s="794">
        <v>34.4</v>
      </c>
      <c r="AB257" s="794">
        <v>32.950000000000003</v>
      </c>
      <c r="AC257" s="775">
        <f t="shared" si="262"/>
        <v>67.349999999999994</v>
      </c>
      <c r="AD257" s="775">
        <f>AC257*1.547</f>
        <v>104.19044999999998</v>
      </c>
      <c r="AE257" s="705"/>
      <c r="AF257" s="775"/>
      <c r="AG257" s="407">
        <v>1.6</v>
      </c>
      <c r="AH257" s="705"/>
      <c r="AI257" s="705"/>
      <c r="AJ257" s="407"/>
      <c r="AK257" s="407"/>
      <c r="AL257" s="407"/>
      <c r="AM257" s="407"/>
      <c r="AN257" s="407"/>
      <c r="AO257" s="387"/>
      <c r="AP257" s="387"/>
      <c r="AQ257" s="405"/>
      <c r="AR257" s="578">
        <v>0</v>
      </c>
      <c r="AS257" s="405">
        <v>11.4</v>
      </c>
      <c r="AT257" s="578">
        <v>0</v>
      </c>
      <c r="AU257" s="405">
        <v>35.1</v>
      </c>
      <c r="AV257" s="405">
        <v>530.1</v>
      </c>
      <c r="AW257" s="405">
        <v>805.4</v>
      </c>
      <c r="AX257" s="405">
        <v>14.8</v>
      </c>
      <c r="AY257" s="578">
        <v>0</v>
      </c>
      <c r="AZ257" s="578">
        <v>0</v>
      </c>
      <c r="BA257" s="578">
        <v>0</v>
      </c>
      <c r="BB257" s="925">
        <v>1.6</v>
      </c>
      <c r="BC257" s="405">
        <v>1</v>
      </c>
      <c r="BD257" s="405">
        <v>2</v>
      </c>
      <c r="BE257" s="578">
        <v>0</v>
      </c>
      <c r="BF257" s="405">
        <v>0.5</v>
      </c>
      <c r="BG257" s="405">
        <v>0</v>
      </c>
      <c r="BH257" s="578">
        <v>0</v>
      </c>
      <c r="BI257" s="405">
        <v>2.02</v>
      </c>
      <c r="BJ257" s="405">
        <v>27.8</v>
      </c>
      <c r="BK257" s="405">
        <v>3.97</v>
      </c>
      <c r="BL257" s="405">
        <v>5.13</v>
      </c>
      <c r="BM257" s="405">
        <v>0</v>
      </c>
      <c r="BN257" s="405">
        <v>17.2</v>
      </c>
      <c r="BO257" s="405">
        <v>2151.8000000000002</v>
      </c>
      <c r="BP257" s="405">
        <v>22.6</v>
      </c>
      <c r="BQ257" s="649">
        <v>21.48</v>
      </c>
      <c r="BR257" s="649">
        <v>21.52</v>
      </c>
      <c r="BS257" s="649">
        <v>15.98</v>
      </c>
      <c r="BT257" s="649">
        <v>16.079999999999998</v>
      </c>
      <c r="BU257" s="648">
        <v>32.299999999999997</v>
      </c>
      <c r="BV257" s="648">
        <v>49.4</v>
      </c>
      <c r="BW257" s="649">
        <v>854</v>
      </c>
      <c r="BX257" s="876"/>
      <c r="BY257" s="649">
        <v>0.89</v>
      </c>
      <c r="BZ257" s="649">
        <v>1.58</v>
      </c>
      <c r="CA257" s="649">
        <v>1.1000000000000001</v>
      </c>
      <c r="CB257" s="649">
        <v>8.8000000000000007</v>
      </c>
      <c r="CC257" s="649">
        <v>7.7</v>
      </c>
      <c r="CD257" s="649">
        <v>16.3</v>
      </c>
      <c r="CE257" s="649">
        <v>30.8</v>
      </c>
      <c r="CF257" s="649">
        <v>19.8</v>
      </c>
      <c r="CG257" s="649">
        <v>7.9</v>
      </c>
      <c r="CH257" s="649">
        <v>13.2</v>
      </c>
      <c r="CI257" s="649">
        <v>17.21</v>
      </c>
      <c r="CJ257" s="649">
        <v>14.05</v>
      </c>
      <c r="CK257" s="649">
        <v>546.4</v>
      </c>
      <c r="CL257" s="649">
        <v>3.4</v>
      </c>
      <c r="CM257" s="649">
        <v>4.8</v>
      </c>
      <c r="CN257" s="1112">
        <v>1000</v>
      </c>
      <c r="CO257" s="649">
        <v>804.9</v>
      </c>
      <c r="CP257" s="649">
        <v>668.7</v>
      </c>
      <c r="CQ257" s="649">
        <v>13.9</v>
      </c>
      <c r="CR257" s="649">
        <v>1.01</v>
      </c>
      <c r="CS257" s="405">
        <v>0</v>
      </c>
      <c r="CT257" s="405">
        <v>17.940000000000001</v>
      </c>
      <c r="CU257" s="405">
        <v>63</v>
      </c>
      <c r="CV257" s="522">
        <v>0</v>
      </c>
      <c r="CW257" s="522">
        <v>0</v>
      </c>
      <c r="CX257" s="522">
        <v>0</v>
      </c>
      <c r="CY257" s="522">
        <v>0</v>
      </c>
      <c r="CZ257" s="689">
        <v>354</v>
      </c>
      <c r="DA257" s="689">
        <v>410</v>
      </c>
      <c r="DB257" s="689">
        <v>239</v>
      </c>
      <c r="DC257" s="643">
        <v>1152.73</v>
      </c>
      <c r="DD257" s="522"/>
      <c r="DE257" s="522"/>
      <c r="DF257" s="522"/>
      <c r="DG257" s="522"/>
      <c r="DH257" s="522"/>
      <c r="DI257" s="522"/>
      <c r="DJ257" s="522"/>
      <c r="DK257" s="522"/>
      <c r="DL257" s="649"/>
      <c r="DM257" s="649"/>
      <c r="DN257" s="649"/>
      <c r="DO257" s="522"/>
      <c r="DP257" s="522"/>
      <c r="DQ257" s="522"/>
      <c r="DR257" s="522"/>
      <c r="DS257" s="522"/>
      <c r="DT257" s="522"/>
      <c r="DU257" s="522"/>
      <c r="DV257" s="522"/>
      <c r="DW257" s="522"/>
      <c r="DX257" s="522"/>
      <c r="DY257" s="522"/>
      <c r="DZ257" s="522"/>
      <c r="EA257" s="522"/>
      <c r="EB257" s="522"/>
      <c r="EC257" s="522"/>
      <c r="ED257" s="522"/>
      <c r="EE257" s="522"/>
      <c r="EF257" s="522"/>
      <c r="EG257" s="808">
        <f t="shared" si="209"/>
        <v>22.4315</v>
      </c>
      <c r="EH257" s="522">
        <v>0</v>
      </c>
      <c r="EI257" s="649">
        <v>2</v>
      </c>
      <c r="EJ257" s="649">
        <v>3.5</v>
      </c>
      <c r="EK257" s="649">
        <v>9</v>
      </c>
      <c r="EL257" s="522"/>
      <c r="EM257" s="522"/>
      <c r="EN257" s="522"/>
      <c r="EO257" s="522"/>
      <c r="EP257" s="522"/>
      <c r="EQ257" s="522"/>
      <c r="ER257" s="522"/>
      <c r="ES257" s="407"/>
      <c r="ET257" s="407"/>
    </row>
    <row r="258" spans="1:150" s="357" customFormat="1" ht="15">
      <c r="A258" s="675" t="s">
        <v>5</v>
      </c>
      <c r="B258" s="712">
        <v>41884</v>
      </c>
      <c r="C258" s="358">
        <v>0</v>
      </c>
      <c r="D258" s="405">
        <v>0.65</v>
      </c>
      <c r="E258" s="681">
        <v>0</v>
      </c>
      <c r="F258" s="681">
        <v>52.3</v>
      </c>
      <c r="G258" s="681">
        <v>0.6</v>
      </c>
      <c r="H258" s="405">
        <v>0.8</v>
      </c>
      <c r="I258" s="405">
        <v>92.4</v>
      </c>
      <c r="J258" s="405" t="s">
        <v>744</v>
      </c>
      <c r="K258" s="405">
        <v>0.72</v>
      </c>
      <c r="L258" s="644">
        <v>0</v>
      </c>
      <c r="M258" s="405">
        <v>16.2</v>
      </c>
      <c r="N258" s="405" t="s">
        <v>744</v>
      </c>
      <c r="O258" s="405" t="s">
        <v>743</v>
      </c>
      <c r="P258" s="405">
        <v>1.88</v>
      </c>
      <c r="Q258" s="405">
        <v>2.431614154416931</v>
      </c>
      <c r="R258" s="790">
        <v>1429.716174372523</v>
      </c>
      <c r="S258" s="405" t="s">
        <v>744</v>
      </c>
      <c r="T258" s="405">
        <v>7.96</v>
      </c>
      <c r="U258" s="405" t="s">
        <v>744</v>
      </c>
      <c r="V258" s="681">
        <v>0.84</v>
      </c>
      <c r="W258" s="681" t="e">
        <v>#VALUE!</v>
      </c>
      <c r="X258" s="647">
        <v>60.980000000000004</v>
      </c>
      <c r="Y258" s="383">
        <v>34.4</v>
      </c>
      <c r="Z258" s="681">
        <v>32.950000000000003</v>
      </c>
      <c r="AA258" s="794">
        <v>33.5</v>
      </c>
      <c r="AB258" s="794">
        <v>38.409999999999997</v>
      </c>
      <c r="AC258" s="775">
        <f t="shared" si="262"/>
        <v>71.91</v>
      </c>
      <c r="AD258" s="775">
        <f t="shared" si="263"/>
        <v>111.24476999999999</v>
      </c>
      <c r="AE258" s="705"/>
      <c r="AF258" s="775"/>
      <c r="AG258" s="407">
        <v>1.6</v>
      </c>
      <c r="AH258" s="705"/>
      <c r="AI258" s="705"/>
      <c r="AJ258" s="407"/>
      <c r="AK258" s="407"/>
      <c r="AL258" s="407"/>
      <c r="AM258" s="407"/>
      <c r="AN258" s="407"/>
      <c r="AO258" s="387"/>
      <c r="AP258" s="387"/>
      <c r="AQ258" s="405"/>
      <c r="AR258" s="578">
        <v>0</v>
      </c>
      <c r="AS258" s="405">
        <v>24.4</v>
      </c>
      <c r="AT258" s="578">
        <v>0</v>
      </c>
      <c r="AU258" s="405">
        <v>34.200000000000003</v>
      </c>
      <c r="AV258" s="405">
        <v>849.1</v>
      </c>
      <c r="AW258" s="405">
        <v>891.6</v>
      </c>
      <c r="AX258" s="405">
        <v>14.2</v>
      </c>
      <c r="AY258" s="578">
        <v>0</v>
      </c>
      <c r="AZ258" s="578">
        <v>0</v>
      </c>
      <c r="BA258" s="578">
        <v>0</v>
      </c>
      <c r="BB258" s="925">
        <v>1.6</v>
      </c>
      <c r="BC258" s="405">
        <v>1</v>
      </c>
      <c r="BD258" s="405">
        <v>2</v>
      </c>
      <c r="BE258" s="578">
        <v>0</v>
      </c>
      <c r="BF258" s="405">
        <v>0.51</v>
      </c>
      <c r="BG258" s="405">
        <v>0</v>
      </c>
      <c r="BH258" s="578">
        <v>0</v>
      </c>
      <c r="BI258" s="405">
        <v>2.02</v>
      </c>
      <c r="BJ258" s="405">
        <v>33.1</v>
      </c>
      <c r="BK258" s="405">
        <v>3.9</v>
      </c>
      <c r="BL258" s="405">
        <v>5.1100000000000003</v>
      </c>
      <c r="BM258" s="405">
        <v>0</v>
      </c>
      <c r="BN258" s="405">
        <v>22.5</v>
      </c>
      <c r="BO258" s="405">
        <v>1879.1</v>
      </c>
      <c r="BP258" s="405">
        <v>0</v>
      </c>
      <c r="BQ258" s="649">
        <v>20.58</v>
      </c>
      <c r="BR258" s="649">
        <v>20.58</v>
      </c>
      <c r="BS258" s="649">
        <v>15.41</v>
      </c>
      <c r="BT258" s="649">
        <v>15.52</v>
      </c>
      <c r="BU258" s="648">
        <v>31.2</v>
      </c>
      <c r="BV258" s="648">
        <v>41</v>
      </c>
      <c r="BW258" s="649">
        <v>909.3</v>
      </c>
      <c r="BX258" s="876"/>
      <c r="BY258" s="649">
        <v>2.4900000000000002</v>
      </c>
      <c r="BZ258" s="649">
        <v>1.5</v>
      </c>
      <c r="CA258" s="649">
        <v>1.2</v>
      </c>
      <c r="CB258" s="649">
        <v>8.8000000000000007</v>
      </c>
      <c r="CC258" s="649">
        <v>7.8</v>
      </c>
      <c r="CD258" s="649">
        <v>16.399999999999999</v>
      </c>
      <c r="CE258" s="649">
        <v>30.8</v>
      </c>
      <c r="CF258" s="649">
        <v>20.3</v>
      </c>
      <c r="CG258" s="649">
        <v>8.5</v>
      </c>
      <c r="CH258" s="649">
        <v>14</v>
      </c>
      <c r="CI258" s="649">
        <v>18.399999999999999</v>
      </c>
      <c r="CJ258" s="649">
        <v>13.93</v>
      </c>
      <c r="CK258" s="649">
        <v>545.9</v>
      </c>
      <c r="CL258" s="649">
        <v>3.1</v>
      </c>
      <c r="CM258" s="649">
        <v>4.3</v>
      </c>
      <c r="CN258" s="1112">
        <v>1000</v>
      </c>
      <c r="CO258" s="649">
        <v>685.1</v>
      </c>
      <c r="CP258" s="649">
        <v>652.1</v>
      </c>
      <c r="CQ258" s="649">
        <v>14</v>
      </c>
      <c r="CR258" s="649">
        <v>1.03</v>
      </c>
      <c r="CS258" s="405">
        <v>0</v>
      </c>
      <c r="CT258" s="405">
        <v>16.649999999999999</v>
      </c>
      <c r="CU258" s="405">
        <v>63</v>
      </c>
      <c r="CV258" s="522">
        <v>0</v>
      </c>
      <c r="CW258" s="522">
        <v>0</v>
      </c>
      <c r="CX258" s="522">
        <v>0</v>
      </c>
      <c r="CY258" s="522">
        <v>0</v>
      </c>
      <c r="CZ258" s="689">
        <v>354</v>
      </c>
      <c r="DA258" s="689">
        <v>392</v>
      </c>
      <c r="DB258" s="689">
        <v>245</v>
      </c>
      <c r="DC258" s="643">
        <v>1152.45</v>
      </c>
      <c r="DD258" s="522"/>
      <c r="DE258" s="522"/>
      <c r="DF258" s="522"/>
      <c r="DG258" s="522"/>
      <c r="DH258" s="522"/>
      <c r="DI258" s="522"/>
      <c r="DJ258" s="522"/>
      <c r="DK258" s="522"/>
      <c r="DL258" s="649"/>
      <c r="DM258" s="649"/>
      <c r="DN258" s="649"/>
      <c r="DO258" s="522"/>
      <c r="DP258" s="522"/>
      <c r="DQ258" s="522"/>
      <c r="DR258" s="522"/>
      <c r="DS258" s="522"/>
      <c r="DT258" s="522"/>
      <c r="DU258" s="522"/>
      <c r="DV258" s="522"/>
      <c r="DW258" s="522"/>
      <c r="DX258" s="522"/>
      <c r="DY258" s="522"/>
      <c r="DZ258" s="522"/>
      <c r="EA258" s="522"/>
      <c r="EB258" s="522"/>
      <c r="EC258" s="522"/>
      <c r="ED258" s="522"/>
      <c r="EE258" s="522"/>
      <c r="EF258" s="522"/>
      <c r="EG258" s="808">
        <f t="shared" si="209"/>
        <v>22.4315</v>
      </c>
      <c r="EH258" s="522">
        <v>0</v>
      </c>
      <c r="EI258" s="649">
        <v>2</v>
      </c>
      <c r="EJ258" s="649">
        <v>3.5</v>
      </c>
      <c r="EK258" s="649">
        <v>9</v>
      </c>
      <c r="EL258" s="522"/>
      <c r="EM258" s="522"/>
      <c r="EN258" s="522"/>
      <c r="EO258" s="522"/>
      <c r="EP258" s="522"/>
      <c r="EQ258" s="522"/>
      <c r="ER258" s="522"/>
      <c r="ES258" s="407"/>
      <c r="ET258" s="407"/>
    </row>
    <row r="259" spans="1:150" s="357" customFormat="1" ht="15">
      <c r="A259" s="675" t="s">
        <v>6</v>
      </c>
      <c r="B259" s="712">
        <v>41885</v>
      </c>
      <c r="C259" s="358">
        <v>0</v>
      </c>
      <c r="D259" s="405">
        <v>0.56000000000000005</v>
      </c>
      <c r="E259" s="681">
        <v>0</v>
      </c>
      <c r="F259" s="681">
        <v>52</v>
      </c>
      <c r="G259" s="681">
        <v>0.45</v>
      </c>
      <c r="H259" s="405">
        <v>1</v>
      </c>
      <c r="I259" s="405">
        <v>89.5</v>
      </c>
      <c r="J259" s="405" t="s">
        <v>744</v>
      </c>
      <c r="K259" s="405">
        <v>0.83</v>
      </c>
      <c r="L259" s="644">
        <v>0</v>
      </c>
      <c r="M259" s="405">
        <v>16.899999999999999</v>
      </c>
      <c r="N259" s="405" t="s">
        <v>744</v>
      </c>
      <c r="O259" s="405" t="s">
        <v>743</v>
      </c>
      <c r="P259" s="405">
        <v>1.89</v>
      </c>
      <c r="Q259" s="405">
        <v>2.4188450718103116</v>
      </c>
      <c r="R259" s="790">
        <v>1590.0490937912809</v>
      </c>
      <c r="S259" s="405" t="s">
        <v>744</v>
      </c>
      <c r="T259" s="405">
        <v>8.0500000000000007</v>
      </c>
      <c r="U259" s="405" t="s">
        <v>744</v>
      </c>
      <c r="V259" s="681">
        <v>0.85</v>
      </c>
      <c r="W259" s="681" t="e">
        <v>#VALUE!</v>
      </c>
      <c r="X259" s="647">
        <v>60.8</v>
      </c>
      <c r="Y259" s="383">
        <v>33.5</v>
      </c>
      <c r="Z259" s="681">
        <v>38.409999999999997</v>
      </c>
      <c r="AA259" s="794">
        <v>32.799999999999997</v>
      </c>
      <c r="AB259" s="794">
        <v>45.26</v>
      </c>
      <c r="AC259" s="775">
        <f t="shared" si="262"/>
        <v>78.06</v>
      </c>
      <c r="AD259" s="775">
        <f t="shared" si="263"/>
        <v>120.75882</v>
      </c>
      <c r="AE259" s="705"/>
      <c r="AF259" s="775"/>
      <c r="AG259" s="407">
        <v>1.6</v>
      </c>
      <c r="AH259" s="705"/>
      <c r="AI259" s="705"/>
      <c r="AJ259" s="407"/>
      <c r="AK259" s="407"/>
      <c r="AL259" s="407"/>
      <c r="AM259" s="407"/>
      <c r="AN259" s="407"/>
      <c r="AO259" s="387"/>
      <c r="AP259" s="387"/>
      <c r="AQ259" s="405"/>
      <c r="AR259" s="578">
        <v>0</v>
      </c>
      <c r="AS259" s="405">
        <v>11.4</v>
      </c>
      <c r="AT259" s="578">
        <v>0</v>
      </c>
      <c r="AU259" s="405">
        <v>33.5</v>
      </c>
      <c r="AV259" s="405">
        <v>451</v>
      </c>
      <c r="AW259" s="405">
        <v>663.3</v>
      </c>
      <c r="AX259" s="405">
        <v>14.3</v>
      </c>
      <c r="AY259" s="578">
        <v>0</v>
      </c>
      <c r="AZ259" s="578">
        <v>0</v>
      </c>
      <c r="BA259" s="578">
        <v>0</v>
      </c>
      <c r="BB259" s="925">
        <v>1.6</v>
      </c>
      <c r="BC259" s="405">
        <v>1.25</v>
      </c>
      <c r="BD259" s="405">
        <v>1.75</v>
      </c>
      <c r="BE259" s="578">
        <v>0</v>
      </c>
      <c r="BF259" s="405">
        <v>0.5</v>
      </c>
      <c r="BG259" s="405">
        <v>0</v>
      </c>
      <c r="BH259" s="578">
        <v>0</v>
      </c>
      <c r="BI259" s="405">
        <v>2.02</v>
      </c>
      <c r="BJ259" s="405">
        <v>39.9</v>
      </c>
      <c r="BK259" s="405">
        <v>3.87</v>
      </c>
      <c r="BL259" s="405">
        <v>5.15</v>
      </c>
      <c r="BM259" s="405">
        <v>0</v>
      </c>
      <c r="BN259" s="405">
        <v>29.2</v>
      </c>
      <c r="BO259" s="405">
        <v>1849.7</v>
      </c>
      <c r="BP259" s="405">
        <v>0</v>
      </c>
      <c r="BQ259" s="649">
        <v>21.01</v>
      </c>
      <c r="BR259" s="649">
        <v>21.01</v>
      </c>
      <c r="BS259" s="649">
        <v>15.37</v>
      </c>
      <c r="BT259" s="649">
        <v>15.46</v>
      </c>
      <c r="BU259" s="648">
        <v>31.1</v>
      </c>
      <c r="BV259" s="648">
        <v>37.1</v>
      </c>
      <c r="BW259" s="649">
        <v>762.7</v>
      </c>
      <c r="BX259" s="876"/>
      <c r="BY259" s="649">
        <v>1.37</v>
      </c>
      <c r="BZ259" s="649">
        <v>1.38</v>
      </c>
      <c r="CA259" s="649">
        <v>1.2</v>
      </c>
      <c r="CB259" s="649">
        <v>8.8000000000000007</v>
      </c>
      <c r="CC259" s="649">
        <v>7.9</v>
      </c>
      <c r="CD259" s="649">
        <v>15.9</v>
      </c>
      <c r="CE259" s="649">
        <v>31.6</v>
      </c>
      <c r="CF259" s="649">
        <v>20.6</v>
      </c>
      <c r="CG259" s="649">
        <v>8.6</v>
      </c>
      <c r="CH259" s="649">
        <v>14</v>
      </c>
      <c r="CI259" s="649">
        <v>18.5</v>
      </c>
      <c r="CJ259" s="649">
        <v>14.5</v>
      </c>
      <c r="CK259" s="649">
        <v>599.4</v>
      </c>
      <c r="CL259" s="649">
        <v>3.7</v>
      </c>
      <c r="CM259" s="649">
        <v>5.4</v>
      </c>
      <c r="CN259" s="1112">
        <v>1000</v>
      </c>
      <c r="CO259" s="649">
        <v>715.4</v>
      </c>
      <c r="CP259" s="649">
        <v>665.3</v>
      </c>
      <c r="CQ259" s="649">
        <v>14.9</v>
      </c>
      <c r="CR259" s="649">
        <v>1.1200000000000001</v>
      </c>
      <c r="CS259" s="405">
        <v>0</v>
      </c>
      <c r="CT259" s="405">
        <v>18.78</v>
      </c>
      <c r="CU259" s="405">
        <v>63</v>
      </c>
      <c r="CV259" s="522">
        <v>0</v>
      </c>
      <c r="CW259" s="522">
        <v>0</v>
      </c>
      <c r="CX259" s="522">
        <v>0</v>
      </c>
      <c r="CY259" s="522">
        <v>0</v>
      </c>
      <c r="CZ259" s="689">
        <v>354</v>
      </c>
      <c r="DA259" s="689">
        <v>420</v>
      </c>
      <c r="DB259" s="689">
        <v>219</v>
      </c>
      <c r="DC259" s="643">
        <v>1152.3699999999999</v>
      </c>
      <c r="DD259" s="522"/>
      <c r="DE259" s="522"/>
      <c r="DF259" s="522"/>
      <c r="DG259" s="522"/>
      <c r="DH259" s="522"/>
      <c r="DI259" s="522"/>
      <c r="DJ259" s="522"/>
      <c r="DK259" s="522"/>
      <c r="DL259" s="649"/>
      <c r="DM259" s="649"/>
      <c r="DN259" s="649"/>
      <c r="DO259" s="522"/>
      <c r="DP259" s="522"/>
      <c r="DQ259" s="522"/>
      <c r="DR259" s="522"/>
      <c r="DS259" s="522"/>
      <c r="DT259" s="522"/>
      <c r="DU259" s="522"/>
      <c r="DV259" s="522"/>
      <c r="DW259" s="522"/>
      <c r="DX259" s="522"/>
      <c r="DY259" s="522"/>
      <c r="DZ259" s="522"/>
      <c r="EA259" s="522"/>
      <c r="EB259" s="522"/>
      <c r="EC259" s="522"/>
      <c r="ED259" s="522"/>
      <c r="EE259" s="522"/>
      <c r="EF259" s="522"/>
      <c r="EG259" s="808">
        <f t="shared" si="209"/>
        <v>22.4315</v>
      </c>
      <c r="EH259" s="522">
        <v>0</v>
      </c>
      <c r="EI259" s="649">
        <v>2</v>
      </c>
      <c r="EJ259" s="649">
        <v>3.5</v>
      </c>
      <c r="EK259" s="649">
        <v>9</v>
      </c>
      <c r="EL259" s="522"/>
      <c r="EM259" s="522"/>
      <c r="EN259" s="522"/>
      <c r="EO259" s="522"/>
      <c r="EP259" s="522"/>
      <c r="EQ259" s="522"/>
      <c r="ER259" s="522"/>
      <c r="ES259" s="407"/>
      <c r="ET259" s="407"/>
    </row>
    <row r="260" spans="1:150" s="357" customFormat="1" ht="15">
      <c r="A260" s="675" t="s">
        <v>7</v>
      </c>
      <c r="B260" s="712">
        <v>41886</v>
      </c>
      <c r="C260" s="358">
        <v>0</v>
      </c>
      <c r="D260" s="405">
        <v>0</v>
      </c>
      <c r="E260" s="681">
        <v>0</v>
      </c>
      <c r="F260" s="681">
        <v>58</v>
      </c>
      <c r="G260" s="681">
        <v>0.5</v>
      </c>
      <c r="H260" s="405">
        <v>0.85</v>
      </c>
      <c r="I260" s="405">
        <v>90.5</v>
      </c>
      <c r="J260" s="405" t="s">
        <v>744</v>
      </c>
      <c r="K260" s="405">
        <v>0.77</v>
      </c>
      <c r="L260" s="644">
        <v>0</v>
      </c>
      <c r="M260" s="405">
        <v>16.600000000000001</v>
      </c>
      <c r="N260" s="405" t="s">
        <v>744</v>
      </c>
      <c r="O260" s="405" t="s">
        <v>743</v>
      </c>
      <c r="P260" s="405">
        <v>1.96</v>
      </c>
      <c r="Q260" s="405">
        <v>2.5304816566252168</v>
      </c>
      <c r="R260" s="790">
        <v>1722.5261928665784</v>
      </c>
      <c r="S260" s="405" t="s">
        <v>744</v>
      </c>
      <c r="T260" s="405">
        <v>7.96</v>
      </c>
      <c r="U260" s="405" t="s">
        <v>744</v>
      </c>
      <c r="V260" s="681">
        <v>0.88</v>
      </c>
      <c r="W260" s="681" t="e">
        <v>#VALUE!</v>
      </c>
      <c r="X260" s="647">
        <v>62.960000000000008</v>
      </c>
      <c r="Y260" s="383">
        <v>32.799999999999997</v>
      </c>
      <c r="Z260" s="681">
        <v>45.26</v>
      </c>
      <c r="AA260" s="794">
        <v>32.5</v>
      </c>
      <c r="AB260" s="794">
        <v>49.84</v>
      </c>
      <c r="AC260" s="775">
        <f t="shared" ref="AC260" si="264">AA260+AB260</f>
        <v>82.34</v>
      </c>
      <c r="AD260" s="775">
        <f t="shared" ref="AD260" si="265">AC260*1.547</f>
        <v>127.37998</v>
      </c>
      <c r="AE260" s="705"/>
      <c r="AF260" s="775"/>
      <c r="AG260" s="407">
        <v>1.6</v>
      </c>
      <c r="AH260" s="705"/>
      <c r="AI260" s="705"/>
      <c r="AJ260" s="407"/>
      <c r="AK260" s="407"/>
      <c r="AL260" s="407"/>
      <c r="AM260" s="407"/>
      <c r="AN260" s="407"/>
      <c r="AO260" s="387"/>
      <c r="AP260" s="387"/>
      <c r="AQ260" s="405"/>
      <c r="AR260" s="578">
        <v>0</v>
      </c>
      <c r="AS260" s="405">
        <v>11.3</v>
      </c>
      <c r="AT260" s="578">
        <v>0</v>
      </c>
      <c r="AU260" s="405">
        <v>33.1</v>
      </c>
      <c r="AV260" s="405">
        <v>498.2</v>
      </c>
      <c r="AW260" s="405">
        <v>691.6</v>
      </c>
      <c r="AX260" s="405">
        <v>15.5</v>
      </c>
      <c r="AY260" s="578">
        <v>0</v>
      </c>
      <c r="AZ260" s="578">
        <v>0</v>
      </c>
      <c r="BA260" s="578">
        <v>0</v>
      </c>
      <c r="BB260" s="925">
        <v>1.6</v>
      </c>
      <c r="BC260" s="405">
        <v>1.45</v>
      </c>
      <c r="BD260" s="405">
        <v>1.56</v>
      </c>
      <c r="BE260" s="578">
        <v>0</v>
      </c>
      <c r="BF260" s="405">
        <v>0.5</v>
      </c>
      <c r="BG260" s="405">
        <v>0</v>
      </c>
      <c r="BH260" s="578">
        <v>0</v>
      </c>
      <c r="BI260" s="405">
        <v>2.02</v>
      </c>
      <c r="BJ260" s="405">
        <v>44.4</v>
      </c>
      <c r="BK260" s="405">
        <v>4.04</v>
      </c>
      <c r="BL260" s="405">
        <v>4.97</v>
      </c>
      <c r="BM260" s="405">
        <v>0</v>
      </c>
      <c r="BN260" s="405">
        <v>33.6</v>
      </c>
      <c r="BO260" s="405">
        <v>1973.1</v>
      </c>
      <c r="BP260" s="405">
        <v>0</v>
      </c>
      <c r="BQ260" s="649">
        <v>23.42</v>
      </c>
      <c r="BR260" s="649">
        <v>23.42</v>
      </c>
      <c r="BS260" s="649">
        <v>15.18</v>
      </c>
      <c r="BT260" s="649">
        <v>15.28</v>
      </c>
      <c r="BU260" s="648">
        <v>30.7</v>
      </c>
      <c r="BV260" s="648">
        <v>31.3</v>
      </c>
      <c r="BW260" s="649">
        <v>916.6</v>
      </c>
      <c r="BX260" s="876"/>
      <c r="BY260" s="649">
        <v>1.68</v>
      </c>
      <c r="BZ260" s="649">
        <v>1.52</v>
      </c>
      <c r="CA260" s="649">
        <v>1.2</v>
      </c>
      <c r="CB260" s="649">
        <v>8.8000000000000007</v>
      </c>
      <c r="CC260" s="649">
        <v>8</v>
      </c>
      <c r="CD260" s="649">
        <v>15.4</v>
      </c>
      <c r="CE260" s="649">
        <v>30.2</v>
      </c>
      <c r="CF260" s="649">
        <v>19.2</v>
      </c>
      <c r="CG260" s="649">
        <v>9.1</v>
      </c>
      <c r="CH260" s="649">
        <v>14.6</v>
      </c>
      <c r="CI260" s="649">
        <v>19.100000000000001</v>
      </c>
      <c r="CJ260" s="649">
        <v>13.69</v>
      </c>
      <c r="CK260" s="649">
        <v>585.6</v>
      </c>
      <c r="CL260" s="649">
        <v>2.7</v>
      </c>
      <c r="CM260" s="649">
        <v>3.7</v>
      </c>
      <c r="CN260" s="1112">
        <v>1000</v>
      </c>
      <c r="CO260" s="649">
        <v>738.9</v>
      </c>
      <c r="CP260" s="649">
        <v>647.29999999999995</v>
      </c>
      <c r="CQ260" s="649">
        <v>15.1</v>
      </c>
      <c r="CR260" s="649">
        <v>1.1200000000000001</v>
      </c>
      <c r="CS260" s="405">
        <v>0</v>
      </c>
      <c r="CT260" s="405">
        <v>17.23</v>
      </c>
      <c r="CU260" s="405">
        <v>63</v>
      </c>
      <c r="CV260" s="522">
        <v>0</v>
      </c>
      <c r="CW260" s="522">
        <v>0</v>
      </c>
      <c r="CX260" s="522">
        <v>0</v>
      </c>
      <c r="CY260" s="522">
        <v>0</v>
      </c>
      <c r="CZ260" s="689">
        <v>378</v>
      </c>
      <c r="DA260" s="689">
        <v>387</v>
      </c>
      <c r="DB260" s="689">
        <v>243</v>
      </c>
      <c r="DC260" s="643">
        <v>1152.1500000000001</v>
      </c>
      <c r="DD260" s="522"/>
      <c r="DE260" s="522"/>
      <c r="DF260" s="522"/>
      <c r="DG260" s="522"/>
      <c r="DH260" s="522"/>
      <c r="DI260" s="522"/>
      <c r="DJ260" s="522"/>
      <c r="DK260" s="522"/>
      <c r="DL260" s="649"/>
      <c r="DM260" s="649"/>
      <c r="DN260" s="649"/>
      <c r="DO260" s="522"/>
      <c r="DP260" s="522"/>
      <c r="DQ260" s="522"/>
      <c r="DR260" s="522"/>
      <c r="DS260" s="522"/>
      <c r="DT260" s="522"/>
      <c r="DU260" s="522"/>
      <c r="DV260" s="522"/>
      <c r="DW260" s="522"/>
      <c r="DX260" s="522"/>
      <c r="DY260" s="522"/>
      <c r="DZ260" s="522"/>
      <c r="EA260" s="522"/>
      <c r="EB260" s="522"/>
      <c r="EC260" s="522"/>
      <c r="ED260" s="522"/>
      <c r="EE260" s="522"/>
      <c r="EF260" s="522"/>
      <c r="EG260" s="808">
        <f t="shared" si="209"/>
        <v>22.4315</v>
      </c>
      <c r="EH260" s="522">
        <v>0</v>
      </c>
      <c r="EI260" s="649">
        <v>2</v>
      </c>
      <c r="EJ260" s="649">
        <v>3.5</v>
      </c>
      <c r="EK260" s="649">
        <v>9</v>
      </c>
      <c r="EL260" s="522"/>
      <c r="EM260" s="522"/>
      <c r="EN260" s="522"/>
      <c r="EO260" s="522"/>
      <c r="EP260" s="522"/>
      <c r="EQ260" s="522"/>
      <c r="ER260" s="522"/>
      <c r="ES260" s="407"/>
      <c r="ET260" s="407"/>
    </row>
    <row r="261" spans="1:150" s="357" customFormat="1" ht="15">
      <c r="A261" s="675" t="s">
        <v>8</v>
      </c>
      <c r="B261" s="712">
        <v>41887</v>
      </c>
      <c r="C261" s="358">
        <v>0</v>
      </c>
      <c r="D261" s="405">
        <v>0</v>
      </c>
      <c r="E261" s="681">
        <v>0</v>
      </c>
      <c r="F261" s="681">
        <v>62</v>
      </c>
      <c r="G261" s="681">
        <v>0.5</v>
      </c>
      <c r="H261" s="405">
        <v>0.92</v>
      </c>
      <c r="I261" s="405">
        <v>92.4</v>
      </c>
      <c r="J261" s="405" t="s">
        <v>744</v>
      </c>
      <c r="K261" s="405">
        <v>0.82</v>
      </c>
      <c r="L261" s="644">
        <v>0</v>
      </c>
      <c r="M261" s="405">
        <v>16.3</v>
      </c>
      <c r="N261" s="405" t="s">
        <v>744</v>
      </c>
      <c r="O261" s="405" t="s">
        <v>743</v>
      </c>
      <c r="P261" s="405">
        <v>1.87</v>
      </c>
      <c r="Q261" s="405">
        <v>2.5256269918137457</v>
      </c>
      <c r="R261" s="790">
        <v>1720.9066684280051</v>
      </c>
      <c r="S261" s="405" t="s">
        <v>744</v>
      </c>
      <c r="T261" s="405">
        <v>7.98</v>
      </c>
      <c r="U261" s="405" t="s">
        <v>744</v>
      </c>
      <c r="V261" s="681">
        <v>0.85</v>
      </c>
      <c r="W261" s="681" t="e">
        <v>#VALUE!</v>
      </c>
      <c r="X261" s="386">
        <v>62.960000000000008</v>
      </c>
      <c r="Y261" s="383">
        <v>32.5</v>
      </c>
      <c r="Z261" s="681">
        <v>49.84</v>
      </c>
      <c r="AA261" s="794">
        <v>32.659999999999997</v>
      </c>
      <c r="AB261" s="794">
        <v>48.02</v>
      </c>
      <c r="AC261" s="775">
        <f t="shared" ref="AC261:AC263" si="266">AA261+AB261</f>
        <v>80.680000000000007</v>
      </c>
      <c r="AD261" s="775">
        <f t="shared" ref="AD261:AD263" si="267">AC261*1.547</f>
        <v>124.81196</v>
      </c>
      <c r="AE261" s="705"/>
      <c r="AF261" s="775"/>
      <c r="AG261" s="407">
        <v>1.6</v>
      </c>
      <c r="AH261" s="705"/>
      <c r="AI261" s="705"/>
      <c r="AJ261" s="407"/>
      <c r="AK261" s="407"/>
      <c r="AL261" s="407"/>
      <c r="AM261" s="407"/>
      <c r="AN261" s="407"/>
      <c r="AO261" s="387"/>
      <c r="AP261" s="387"/>
      <c r="AQ261" s="405"/>
      <c r="AR261" s="578">
        <v>0</v>
      </c>
      <c r="AS261" s="405">
        <v>12.1</v>
      </c>
      <c r="AT261" s="578">
        <v>0</v>
      </c>
      <c r="AU261" s="405">
        <v>33.200000000000003</v>
      </c>
      <c r="AV261" s="405">
        <v>612.70000000000005</v>
      </c>
      <c r="AW261" s="405">
        <v>838.3</v>
      </c>
      <c r="AX261" s="405">
        <v>20.399999999999999</v>
      </c>
      <c r="AY261" s="578">
        <v>0</v>
      </c>
      <c r="AZ261" s="578">
        <v>0</v>
      </c>
      <c r="BA261" s="578">
        <v>0</v>
      </c>
      <c r="BB261" s="925">
        <v>1.6</v>
      </c>
      <c r="BC261" s="405">
        <v>0.83</v>
      </c>
      <c r="BD261" s="405">
        <v>1.52</v>
      </c>
      <c r="BE261" s="578">
        <v>0</v>
      </c>
      <c r="BF261" s="405">
        <v>0.18</v>
      </c>
      <c r="BG261" s="405">
        <v>0</v>
      </c>
      <c r="BH261" s="578">
        <v>0</v>
      </c>
      <c r="BI261" s="405">
        <v>2.02</v>
      </c>
      <c r="BJ261" s="405">
        <v>43.5</v>
      </c>
      <c r="BK261" s="405">
        <v>3.92</v>
      </c>
      <c r="BL261" s="405">
        <v>5.09</v>
      </c>
      <c r="BM261" s="405">
        <v>0</v>
      </c>
      <c r="BN261" s="405">
        <v>32.700000000000003</v>
      </c>
      <c r="BO261" s="405">
        <v>1942.9</v>
      </c>
      <c r="BP261" s="405">
        <v>0</v>
      </c>
      <c r="BQ261" s="649">
        <v>23.8</v>
      </c>
      <c r="BR261" s="649">
        <v>23.89</v>
      </c>
      <c r="BS261" s="649">
        <v>15.1</v>
      </c>
      <c r="BT261" s="649">
        <v>15.21</v>
      </c>
      <c r="BU261" s="648">
        <v>30.5</v>
      </c>
      <c r="BV261" s="648">
        <v>36.299999999999997</v>
      </c>
      <c r="BW261" s="649">
        <v>889</v>
      </c>
      <c r="BX261" s="876"/>
      <c r="BY261" s="649">
        <v>1.91</v>
      </c>
      <c r="BZ261" s="649">
        <v>1.5</v>
      </c>
      <c r="CA261" s="649">
        <v>1.2</v>
      </c>
      <c r="CB261" s="649">
        <v>8.8000000000000007</v>
      </c>
      <c r="CC261" s="649">
        <v>8</v>
      </c>
      <c r="CD261" s="649">
        <v>16</v>
      </c>
      <c r="CE261" s="649">
        <v>32.4</v>
      </c>
      <c r="CF261" s="649">
        <v>19.3</v>
      </c>
      <c r="CG261" s="649">
        <v>8.8000000000000007</v>
      </c>
      <c r="CH261" s="649">
        <v>14.3</v>
      </c>
      <c r="CI261" s="649">
        <v>18.7</v>
      </c>
      <c r="CJ261" s="649">
        <v>14.27</v>
      </c>
      <c r="CK261" s="649">
        <v>603.70000000000005</v>
      </c>
      <c r="CL261" s="649">
        <v>3.5</v>
      </c>
      <c r="CM261" s="649">
        <v>4</v>
      </c>
      <c r="CN261" s="1112">
        <v>1000</v>
      </c>
      <c r="CO261" s="649">
        <v>822.3</v>
      </c>
      <c r="CP261" s="649">
        <v>662.9</v>
      </c>
      <c r="CQ261" s="649">
        <v>14.8</v>
      </c>
      <c r="CR261" s="649">
        <v>1.1000000000000001</v>
      </c>
      <c r="CS261" s="405">
        <v>0</v>
      </c>
      <c r="CT261" s="405">
        <v>16.834</v>
      </c>
      <c r="CU261" s="405">
        <v>64</v>
      </c>
      <c r="CV261" s="522">
        <v>0</v>
      </c>
      <c r="CW261" s="522">
        <v>0</v>
      </c>
      <c r="CX261" s="522">
        <v>0</v>
      </c>
      <c r="CY261" s="522">
        <v>0</v>
      </c>
      <c r="CZ261" s="689">
        <v>339</v>
      </c>
      <c r="DA261" s="689">
        <v>406</v>
      </c>
      <c r="DB261" s="689">
        <v>206</v>
      </c>
      <c r="DC261" s="643">
        <v>1151.8</v>
      </c>
      <c r="DD261" s="522"/>
      <c r="DE261" s="522"/>
      <c r="DF261" s="522"/>
      <c r="DG261" s="522"/>
      <c r="DH261" s="522"/>
      <c r="DI261" s="522"/>
      <c r="DJ261" s="522"/>
      <c r="DK261" s="522"/>
      <c r="DL261" s="649"/>
      <c r="DM261" s="649"/>
      <c r="DN261" s="649"/>
      <c r="DO261" s="522"/>
      <c r="DP261" s="522"/>
      <c r="DQ261" s="522"/>
      <c r="DR261" s="522"/>
      <c r="DS261" s="522"/>
      <c r="DT261" s="522"/>
      <c r="DU261" s="522"/>
      <c r="DV261" s="522"/>
      <c r="DW261" s="522"/>
      <c r="DX261" s="522"/>
      <c r="DY261" s="522"/>
      <c r="DZ261" s="522"/>
      <c r="EA261" s="522"/>
      <c r="EB261" s="522"/>
      <c r="EC261" s="522"/>
      <c r="ED261" s="522"/>
      <c r="EE261" s="522"/>
      <c r="EF261" s="522"/>
      <c r="EG261" s="649">
        <f t="shared" si="209"/>
        <v>20.111000000000001</v>
      </c>
      <c r="EH261" s="522">
        <v>0</v>
      </c>
      <c r="EI261" s="649">
        <v>2</v>
      </c>
      <c r="EJ261" s="649">
        <v>2</v>
      </c>
      <c r="EK261" s="649">
        <v>9</v>
      </c>
      <c r="EL261" s="522"/>
      <c r="EM261" s="522"/>
      <c r="EN261" s="522"/>
      <c r="EO261" s="522"/>
      <c r="EP261" s="522"/>
      <c r="EQ261" s="522"/>
      <c r="ER261" s="522"/>
      <c r="ES261" s="407"/>
      <c r="ET261" s="407"/>
    </row>
    <row r="262" spans="1:150" s="357" customFormat="1" ht="15">
      <c r="A262" s="675" t="s">
        <v>9</v>
      </c>
      <c r="B262" s="712">
        <v>41888</v>
      </c>
      <c r="C262" s="358">
        <v>0</v>
      </c>
      <c r="D262" s="405">
        <v>0</v>
      </c>
      <c r="E262" s="681">
        <v>0</v>
      </c>
      <c r="F262" s="681">
        <v>63</v>
      </c>
      <c r="G262" s="681">
        <v>0.5</v>
      </c>
      <c r="H262" s="405">
        <v>0.86</v>
      </c>
      <c r="I262" s="405">
        <v>92.6</v>
      </c>
      <c r="J262" s="405" t="s">
        <v>744</v>
      </c>
      <c r="K262" s="405">
        <v>0.94</v>
      </c>
      <c r="L262" s="644">
        <v>0</v>
      </c>
      <c r="M262" s="405">
        <v>16.5</v>
      </c>
      <c r="N262" s="405" t="s">
        <v>744</v>
      </c>
      <c r="O262" s="405" t="s">
        <v>743</v>
      </c>
      <c r="P262" s="405">
        <v>1.87</v>
      </c>
      <c r="Q262" s="405">
        <v>2.3530370173897039</v>
      </c>
      <c r="R262" s="790">
        <v>1505.1860132100396</v>
      </c>
      <c r="S262" s="405" t="s">
        <v>744</v>
      </c>
      <c r="T262" s="405">
        <v>8</v>
      </c>
      <c r="U262" s="405" t="s">
        <v>744</v>
      </c>
      <c r="V262" s="681">
        <v>0.82</v>
      </c>
      <c r="W262" s="681" t="e">
        <v>#VALUE!</v>
      </c>
      <c r="X262" s="647">
        <v>62.06</v>
      </c>
      <c r="Y262" s="383">
        <v>32.659999999999997</v>
      </c>
      <c r="Z262" s="681">
        <v>49.84</v>
      </c>
      <c r="AA262" s="794">
        <v>32.81</v>
      </c>
      <c r="AB262" s="794">
        <v>44.45</v>
      </c>
      <c r="AC262" s="775">
        <f t="shared" si="266"/>
        <v>77.260000000000005</v>
      </c>
      <c r="AD262" s="775">
        <f t="shared" si="267"/>
        <v>119.52122</v>
      </c>
      <c r="AE262" s="705"/>
      <c r="AF262" s="775"/>
      <c r="AG262" s="407">
        <v>1.6</v>
      </c>
      <c r="AH262" s="705"/>
      <c r="AI262" s="705"/>
      <c r="AJ262" s="407"/>
      <c r="AK262" s="407"/>
      <c r="AL262" s="407"/>
      <c r="AM262" s="407"/>
      <c r="AN262" s="407"/>
      <c r="AO262" s="387"/>
      <c r="AP262" s="387"/>
      <c r="AQ262" s="405"/>
      <c r="AR262" s="578">
        <v>0</v>
      </c>
      <c r="AS262" s="405">
        <v>21.8</v>
      </c>
      <c r="AT262" s="578">
        <v>0</v>
      </c>
      <c r="AU262" s="405">
        <v>33.4</v>
      </c>
      <c r="AV262" s="405">
        <v>640.70000000000005</v>
      </c>
      <c r="AW262" s="405">
        <v>972.1</v>
      </c>
      <c r="AX262" s="405">
        <v>20</v>
      </c>
      <c r="AY262" s="578">
        <v>0</v>
      </c>
      <c r="AZ262" s="578">
        <v>0</v>
      </c>
      <c r="BA262" s="578">
        <v>0</v>
      </c>
      <c r="BB262" s="925">
        <v>1.6</v>
      </c>
      <c r="BC262" s="405">
        <v>0.5</v>
      </c>
      <c r="BD262" s="405">
        <v>1.5</v>
      </c>
      <c r="BE262" s="578">
        <v>0</v>
      </c>
      <c r="BF262" s="405">
        <v>0</v>
      </c>
      <c r="BG262" s="405">
        <v>0</v>
      </c>
      <c r="BH262" s="578">
        <v>0</v>
      </c>
      <c r="BI262" s="405">
        <v>2.02</v>
      </c>
      <c r="BJ262" s="405">
        <v>40.6</v>
      </c>
      <c r="BK262" s="405">
        <v>3.93</v>
      </c>
      <c r="BL262" s="405">
        <v>5.09</v>
      </c>
      <c r="BM262" s="405">
        <v>0</v>
      </c>
      <c r="BN262" s="405">
        <v>29.8</v>
      </c>
      <c r="BO262" s="405">
        <v>2130.6</v>
      </c>
      <c r="BP262" s="405">
        <v>0</v>
      </c>
      <c r="BQ262" s="649">
        <v>22.68</v>
      </c>
      <c r="BR262" s="649">
        <v>22.76</v>
      </c>
      <c r="BS262" s="649">
        <v>15.03</v>
      </c>
      <c r="BT262" s="649">
        <v>15.14</v>
      </c>
      <c r="BU262" s="648">
        <v>30.3</v>
      </c>
      <c r="BV262" s="648">
        <v>40.6</v>
      </c>
      <c r="BW262" s="649">
        <v>1007.9</v>
      </c>
      <c r="BX262" s="876"/>
      <c r="BY262" s="649">
        <v>0.7</v>
      </c>
      <c r="BZ262" s="649">
        <v>1.4</v>
      </c>
      <c r="CA262" s="649">
        <v>1.1000000000000001</v>
      </c>
      <c r="CB262" s="649">
        <v>8.8000000000000007</v>
      </c>
      <c r="CC262" s="649">
        <v>8</v>
      </c>
      <c r="CD262" s="649">
        <v>15.9</v>
      </c>
      <c r="CE262" s="649">
        <v>32.6</v>
      </c>
      <c r="CF262" s="649">
        <v>22.9</v>
      </c>
      <c r="CG262" s="649">
        <v>8.6999999999999993</v>
      </c>
      <c r="CH262" s="649">
        <v>14.2</v>
      </c>
      <c r="CI262" s="649">
        <v>18.600000000000001</v>
      </c>
      <c r="CJ262" s="649">
        <v>14.21</v>
      </c>
      <c r="CK262" s="649">
        <v>578.29999999999995</v>
      </c>
      <c r="CL262" s="649">
        <v>2.9</v>
      </c>
      <c r="CM262" s="649">
        <v>3.5</v>
      </c>
      <c r="CN262" s="1112">
        <v>1000</v>
      </c>
      <c r="CO262" s="649">
        <v>811.7</v>
      </c>
      <c r="CP262" s="649">
        <v>684.3</v>
      </c>
      <c r="CQ262" s="649">
        <v>14.7</v>
      </c>
      <c r="CR262" s="649">
        <v>1.07</v>
      </c>
      <c r="CS262" s="405">
        <v>0</v>
      </c>
      <c r="CT262" s="405">
        <v>16.853999999999999</v>
      </c>
      <c r="CU262" s="405">
        <v>64</v>
      </c>
      <c r="CV262" s="522">
        <v>0</v>
      </c>
      <c r="CW262" s="522">
        <v>0</v>
      </c>
      <c r="CX262" s="522">
        <v>0</v>
      </c>
      <c r="CY262" s="522">
        <v>0</v>
      </c>
      <c r="CZ262" s="689">
        <v>339</v>
      </c>
      <c r="DA262" s="689">
        <v>369</v>
      </c>
      <c r="DB262" s="689">
        <v>211</v>
      </c>
      <c r="DC262" s="643">
        <v>1151.5999999999999</v>
      </c>
      <c r="DD262" s="522"/>
      <c r="DE262" s="522"/>
      <c r="DF262" s="522"/>
      <c r="DG262" s="522"/>
      <c r="DH262" s="522"/>
      <c r="DI262" s="522"/>
      <c r="DJ262" s="522"/>
      <c r="DK262" s="522"/>
      <c r="DL262" s="649"/>
      <c r="DM262" s="649"/>
      <c r="DN262" s="649"/>
      <c r="DO262" s="522"/>
      <c r="DP262" s="522"/>
      <c r="DQ262" s="522"/>
      <c r="DR262" s="522"/>
      <c r="DS262" s="522"/>
      <c r="DT262" s="522"/>
      <c r="DU262" s="522"/>
      <c r="DV262" s="522"/>
      <c r="DW262" s="522"/>
      <c r="DX262" s="522"/>
      <c r="DY262" s="522"/>
      <c r="DZ262" s="522"/>
      <c r="EA262" s="522"/>
      <c r="EB262" s="522"/>
      <c r="EC262" s="522"/>
      <c r="ED262" s="522"/>
      <c r="EE262" s="522"/>
      <c r="EF262" s="522"/>
      <c r="EG262" s="649">
        <f t="shared" si="209"/>
        <v>20.111000000000001</v>
      </c>
      <c r="EH262" s="522">
        <v>0</v>
      </c>
      <c r="EI262" s="649">
        <v>2</v>
      </c>
      <c r="EJ262" s="649">
        <v>2</v>
      </c>
      <c r="EK262" s="649">
        <v>9</v>
      </c>
      <c r="EL262" s="522"/>
      <c r="EM262" s="522"/>
      <c r="EN262" s="522"/>
      <c r="EO262" s="522"/>
      <c r="EP262" s="522"/>
      <c r="EQ262" s="522"/>
      <c r="ER262" s="522"/>
      <c r="ES262" s="407"/>
      <c r="ET262" s="407"/>
    </row>
    <row r="263" spans="1:150" s="357" customFormat="1" ht="15">
      <c r="A263" s="675" t="s">
        <v>3</v>
      </c>
      <c r="B263" s="712">
        <v>41889</v>
      </c>
      <c r="C263" s="358">
        <v>0</v>
      </c>
      <c r="D263" s="405">
        <v>0</v>
      </c>
      <c r="E263" s="681">
        <v>0</v>
      </c>
      <c r="F263" s="681">
        <v>58</v>
      </c>
      <c r="G263" s="681">
        <v>0.5</v>
      </c>
      <c r="H263" s="405">
        <v>0.99</v>
      </c>
      <c r="I263" s="405">
        <v>92.3</v>
      </c>
      <c r="J263" s="405" t="s">
        <v>744</v>
      </c>
      <c r="K263" s="405">
        <v>0.77</v>
      </c>
      <c r="L263" s="644">
        <v>0</v>
      </c>
      <c r="M263" s="405">
        <v>16.5</v>
      </c>
      <c r="N263" s="405" t="s">
        <v>744</v>
      </c>
      <c r="O263" s="405" t="s">
        <v>743</v>
      </c>
      <c r="P263" s="405">
        <v>1.92</v>
      </c>
      <c r="Q263" s="405">
        <v>2.6607141135291608</v>
      </c>
      <c r="R263" s="790">
        <v>1702.4440898282692</v>
      </c>
      <c r="S263" s="405" t="s">
        <v>744</v>
      </c>
      <c r="T263" s="405">
        <v>8.0500000000000007</v>
      </c>
      <c r="U263" s="405" t="s">
        <v>744</v>
      </c>
      <c r="V263" s="681">
        <v>0.77</v>
      </c>
      <c r="W263" s="681" t="e">
        <v>#VALUE!</v>
      </c>
      <c r="X263" s="647">
        <v>63.14</v>
      </c>
      <c r="Y263" s="383">
        <v>32.81</v>
      </c>
      <c r="Z263" s="681">
        <v>44.45</v>
      </c>
      <c r="AA263" s="794">
        <v>32.83</v>
      </c>
      <c r="AB263" s="794">
        <v>43.95</v>
      </c>
      <c r="AC263" s="775">
        <f t="shared" si="266"/>
        <v>76.78</v>
      </c>
      <c r="AD263" s="775">
        <f t="shared" si="267"/>
        <v>118.77866</v>
      </c>
      <c r="AE263" s="705"/>
      <c r="AF263" s="775"/>
      <c r="AG263" s="407">
        <v>1.6</v>
      </c>
      <c r="AH263" s="705"/>
      <c r="AI263" s="705"/>
      <c r="AJ263" s="407"/>
      <c r="AK263" s="407"/>
      <c r="AL263" s="407"/>
      <c r="AM263" s="407"/>
      <c r="AN263" s="407"/>
      <c r="AO263" s="387"/>
      <c r="AP263" s="387"/>
      <c r="AQ263" s="405"/>
      <c r="AR263" s="578">
        <v>0</v>
      </c>
      <c r="AS263" s="405">
        <v>12.8</v>
      </c>
      <c r="AT263" s="578">
        <v>0</v>
      </c>
      <c r="AU263" s="405">
        <v>33.4</v>
      </c>
      <c r="AV263" s="405">
        <v>788.1</v>
      </c>
      <c r="AW263" s="405">
        <v>1076.8</v>
      </c>
      <c r="AX263" s="405">
        <v>29.9</v>
      </c>
      <c r="AY263" s="578">
        <v>0</v>
      </c>
      <c r="AZ263" s="578">
        <v>0</v>
      </c>
      <c r="BA263" s="578">
        <v>0</v>
      </c>
      <c r="BB263" s="925">
        <v>1.6</v>
      </c>
      <c r="BC263" s="405">
        <v>0.51</v>
      </c>
      <c r="BD263" s="405">
        <v>1.5</v>
      </c>
      <c r="BE263" s="578">
        <v>0</v>
      </c>
      <c r="BF263" s="405">
        <v>0</v>
      </c>
      <c r="BG263" s="405">
        <v>0</v>
      </c>
      <c r="BH263" s="578">
        <v>0</v>
      </c>
      <c r="BI263" s="405">
        <v>2.02</v>
      </c>
      <c r="BJ263" s="405">
        <v>40.1</v>
      </c>
      <c r="BK263" s="405">
        <v>3.92</v>
      </c>
      <c r="BL263" s="405">
        <v>5.09</v>
      </c>
      <c r="BM263" s="405">
        <v>0</v>
      </c>
      <c r="BN263" s="405">
        <v>29.3</v>
      </c>
      <c r="BO263" s="405">
        <v>2336.1999999999998</v>
      </c>
      <c r="BP263" s="405">
        <v>0</v>
      </c>
      <c r="BQ263" s="649">
        <v>21.74</v>
      </c>
      <c r="BR263" s="649">
        <v>21.82</v>
      </c>
      <c r="BS263" s="649">
        <v>15.01</v>
      </c>
      <c r="BT263" s="649">
        <v>15.11</v>
      </c>
      <c r="BU263" s="648">
        <v>30.3</v>
      </c>
      <c r="BV263" s="648">
        <v>39.9</v>
      </c>
      <c r="BW263" s="649">
        <v>1162.9000000000001</v>
      </c>
      <c r="BX263" s="876"/>
      <c r="BY263" s="649">
        <v>0.7</v>
      </c>
      <c r="BZ263" s="649">
        <v>1.46</v>
      </c>
      <c r="CA263" s="649">
        <v>1.1000000000000001</v>
      </c>
      <c r="CB263" s="649">
        <v>8.8000000000000007</v>
      </c>
      <c r="CC263" s="649">
        <v>8</v>
      </c>
      <c r="CD263" s="649">
        <v>15.6</v>
      </c>
      <c r="CE263" s="649">
        <v>31.1</v>
      </c>
      <c r="CF263" s="649">
        <v>20.100000000000001</v>
      </c>
      <c r="CG263" s="649">
        <v>8.5</v>
      </c>
      <c r="CH263" s="649">
        <v>13.9</v>
      </c>
      <c r="CI263" s="649">
        <v>18.3</v>
      </c>
      <c r="CJ263" s="649">
        <v>13.97</v>
      </c>
      <c r="CK263" s="649">
        <v>576.5</v>
      </c>
      <c r="CL263" s="649">
        <v>2.9</v>
      </c>
      <c r="CM263" s="649">
        <v>3.7</v>
      </c>
      <c r="CN263" s="1112">
        <v>1000</v>
      </c>
      <c r="CO263" s="649">
        <v>864.5</v>
      </c>
      <c r="CP263" s="649">
        <v>687.1</v>
      </c>
      <c r="CQ263" s="649">
        <v>14.7</v>
      </c>
      <c r="CR263" s="649">
        <v>1.06</v>
      </c>
      <c r="CS263" s="405">
        <v>0</v>
      </c>
      <c r="CT263" s="405">
        <v>17.416</v>
      </c>
      <c r="CU263" s="405">
        <v>64</v>
      </c>
      <c r="CV263" s="522">
        <v>0</v>
      </c>
      <c r="CW263" s="522">
        <v>0</v>
      </c>
      <c r="CX263" s="522">
        <v>0</v>
      </c>
      <c r="CY263" s="522">
        <v>0</v>
      </c>
      <c r="CZ263" s="689">
        <v>339</v>
      </c>
      <c r="DA263" s="689">
        <v>364</v>
      </c>
      <c r="DB263" s="689">
        <v>198</v>
      </c>
      <c r="DC263" s="643">
        <v>1151.25</v>
      </c>
      <c r="DD263" s="522"/>
      <c r="DE263" s="522"/>
      <c r="DF263" s="522"/>
      <c r="DG263" s="522"/>
      <c r="DH263" s="522"/>
      <c r="DI263" s="522"/>
      <c r="DJ263" s="522"/>
      <c r="DK263" s="522"/>
      <c r="DL263" s="649"/>
      <c r="DM263" s="649"/>
      <c r="DN263" s="649"/>
      <c r="DO263" s="522"/>
      <c r="DP263" s="522"/>
      <c r="DQ263" s="522"/>
      <c r="DR263" s="522"/>
      <c r="DS263" s="522"/>
      <c r="DT263" s="522"/>
      <c r="DU263" s="522"/>
      <c r="DV263" s="522"/>
      <c r="DW263" s="522"/>
      <c r="DX263" s="522"/>
      <c r="DY263" s="522"/>
      <c r="DZ263" s="522"/>
      <c r="EA263" s="522"/>
      <c r="EB263" s="522"/>
      <c r="EC263" s="522"/>
      <c r="ED263" s="522"/>
      <c r="EE263" s="522"/>
      <c r="EF263" s="522"/>
      <c r="EG263" s="649">
        <f t="shared" si="209"/>
        <v>20.111000000000001</v>
      </c>
      <c r="EH263" s="522">
        <v>0</v>
      </c>
      <c r="EI263" s="649">
        <v>2</v>
      </c>
      <c r="EJ263" s="649">
        <v>2</v>
      </c>
      <c r="EK263" s="649">
        <v>9</v>
      </c>
      <c r="EL263" s="522"/>
      <c r="EM263" s="522"/>
      <c r="EN263" s="522"/>
      <c r="EO263" s="522"/>
      <c r="EP263" s="522"/>
      <c r="EQ263" s="522"/>
      <c r="ER263" s="522"/>
      <c r="ES263" s="407"/>
      <c r="ET263" s="407"/>
    </row>
    <row r="264" spans="1:150" s="357" customFormat="1" ht="15">
      <c r="A264" s="675" t="s">
        <v>4</v>
      </c>
      <c r="B264" s="712">
        <v>41890</v>
      </c>
      <c r="C264" s="358">
        <v>0</v>
      </c>
      <c r="D264" s="405">
        <v>0.08</v>
      </c>
      <c r="E264" s="681">
        <v>0</v>
      </c>
      <c r="F264" s="681">
        <v>57</v>
      </c>
      <c r="G264" s="681">
        <v>0</v>
      </c>
      <c r="H264" s="405">
        <v>0.73</v>
      </c>
      <c r="I264" s="405">
        <v>92.26</v>
      </c>
      <c r="J264" s="405" t="s">
        <v>744</v>
      </c>
      <c r="K264" s="405">
        <v>0.78</v>
      </c>
      <c r="L264" s="644">
        <v>0</v>
      </c>
      <c r="M264" s="405">
        <v>15.8</v>
      </c>
      <c r="N264" s="405" t="s">
        <v>744</v>
      </c>
      <c r="O264" s="405" t="s">
        <v>743</v>
      </c>
      <c r="P264" s="405">
        <v>1.99</v>
      </c>
      <c r="Q264" s="405">
        <v>2.990807111765716</v>
      </c>
      <c r="R264" s="790">
        <v>1825.8518520475561</v>
      </c>
      <c r="S264" s="405" t="s">
        <v>744</v>
      </c>
      <c r="T264" s="405">
        <v>7.98</v>
      </c>
      <c r="U264" s="405" t="s">
        <v>744</v>
      </c>
      <c r="V264" s="681">
        <v>0.72</v>
      </c>
      <c r="W264" s="681" t="e">
        <v>#VALUE!</v>
      </c>
      <c r="X264" s="647">
        <v>62.06</v>
      </c>
      <c r="Y264" s="383">
        <v>32.83</v>
      </c>
      <c r="Z264" s="681">
        <v>43.95</v>
      </c>
      <c r="AA264" s="794">
        <v>30.5</v>
      </c>
      <c r="AB264" s="794">
        <v>43.95</v>
      </c>
      <c r="AC264" s="775">
        <f t="shared" ref="AC264" si="268">AA264+AB264</f>
        <v>74.45</v>
      </c>
      <c r="AD264" s="775">
        <f t="shared" ref="AD264" si="269">AC264*1.547</f>
        <v>115.17415</v>
      </c>
      <c r="AE264" s="705"/>
      <c r="AF264" s="775"/>
      <c r="AG264" s="407">
        <v>1.6</v>
      </c>
      <c r="AH264" s="705"/>
      <c r="AI264" s="705"/>
      <c r="AJ264" s="407"/>
      <c r="AK264" s="407"/>
      <c r="AL264" s="407"/>
      <c r="AM264" s="407"/>
      <c r="AN264" s="407"/>
      <c r="AO264" s="387"/>
      <c r="AP264" s="387"/>
      <c r="AQ264" s="405"/>
      <c r="AR264" s="578">
        <v>0</v>
      </c>
      <c r="AS264" s="405">
        <v>19.5</v>
      </c>
      <c r="AT264" s="578">
        <v>0</v>
      </c>
      <c r="AU264" s="405">
        <v>33</v>
      </c>
      <c r="AV264" s="405">
        <v>689.7</v>
      </c>
      <c r="AW264" s="405">
        <v>938.8</v>
      </c>
      <c r="AX264" s="405">
        <v>37.6</v>
      </c>
      <c r="AY264" s="578">
        <v>0</v>
      </c>
      <c r="AZ264" s="578">
        <v>0</v>
      </c>
      <c r="BA264" s="578">
        <v>0</v>
      </c>
      <c r="BB264" s="925">
        <v>1.6</v>
      </c>
      <c r="BC264" s="405">
        <v>0.22</v>
      </c>
      <c r="BD264" s="405">
        <v>1.78</v>
      </c>
      <c r="BE264" s="578">
        <v>0</v>
      </c>
      <c r="BF264" s="405">
        <v>0</v>
      </c>
      <c r="BG264" s="405">
        <v>0</v>
      </c>
      <c r="BH264" s="578">
        <v>0</v>
      </c>
      <c r="BI264" s="405">
        <v>2.02</v>
      </c>
      <c r="BJ264" s="405">
        <v>39.9</v>
      </c>
      <c r="BK264" s="405">
        <v>4.5</v>
      </c>
      <c r="BL264" s="405">
        <v>4.53</v>
      </c>
      <c r="BM264" s="405">
        <v>0</v>
      </c>
      <c r="BN264" s="405">
        <v>29.16</v>
      </c>
      <c r="BO264" s="405">
        <v>2058.1999999999998</v>
      </c>
      <c r="BP264" s="405">
        <v>0</v>
      </c>
      <c r="BQ264" s="649">
        <v>21.59</v>
      </c>
      <c r="BR264" s="649">
        <v>21.69</v>
      </c>
      <c r="BS264" s="649">
        <v>14.95</v>
      </c>
      <c r="BT264" s="649">
        <v>15.04</v>
      </c>
      <c r="BU264" s="648">
        <v>30.1</v>
      </c>
      <c r="BV264" s="648">
        <v>37.6</v>
      </c>
      <c r="BW264" s="649">
        <v>913.9</v>
      </c>
      <c r="BX264" s="876"/>
      <c r="BY264" s="649">
        <v>0.7</v>
      </c>
      <c r="BZ264" s="649">
        <v>1.5</v>
      </c>
      <c r="CA264" s="649">
        <v>1.1000000000000001</v>
      </c>
      <c r="CB264" s="649">
        <v>8.5</v>
      </c>
      <c r="CC264" s="649">
        <v>8</v>
      </c>
      <c r="CD264" s="649">
        <v>16.2</v>
      </c>
      <c r="CE264" s="649">
        <v>32</v>
      </c>
      <c r="CF264" s="649">
        <v>17.7</v>
      </c>
      <c r="CG264" s="649">
        <v>8.5</v>
      </c>
      <c r="CH264" s="649">
        <v>13.9</v>
      </c>
      <c r="CI264" s="649">
        <v>18.399999999999999</v>
      </c>
      <c r="CJ264" s="649">
        <v>14.46</v>
      </c>
      <c r="CK264" s="649">
        <v>576.4</v>
      </c>
      <c r="CL264" s="649">
        <v>3.2</v>
      </c>
      <c r="CM264" s="649">
        <v>3.6</v>
      </c>
      <c r="CN264" s="1112">
        <v>1000</v>
      </c>
      <c r="CO264" s="649">
        <v>770.3</v>
      </c>
      <c r="CP264" s="649">
        <v>676.9</v>
      </c>
      <c r="CQ264" s="649">
        <v>14.3</v>
      </c>
      <c r="CR264" s="649">
        <v>1.06</v>
      </c>
      <c r="CS264" s="405">
        <v>0</v>
      </c>
      <c r="CT264" s="405">
        <v>16.236000000000001</v>
      </c>
      <c r="CU264" s="405">
        <v>64</v>
      </c>
      <c r="CV264" s="522">
        <v>0</v>
      </c>
      <c r="CW264" s="522">
        <v>0</v>
      </c>
      <c r="CX264" s="522">
        <v>0</v>
      </c>
      <c r="CY264" s="522">
        <v>0</v>
      </c>
      <c r="CZ264" s="689">
        <v>351</v>
      </c>
      <c r="DA264" s="689">
        <v>360</v>
      </c>
      <c r="DB264" s="689">
        <v>217</v>
      </c>
      <c r="DC264" s="643">
        <v>1150.9000000000001</v>
      </c>
      <c r="DD264" s="522"/>
      <c r="DE264" s="522"/>
      <c r="DF264" s="522"/>
      <c r="DG264" s="522"/>
      <c r="DH264" s="522"/>
      <c r="DI264" s="522"/>
      <c r="DJ264" s="522"/>
      <c r="DK264" s="522"/>
      <c r="DL264" s="649"/>
      <c r="DM264" s="649"/>
      <c r="DN264" s="649"/>
      <c r="DO264" s="522"/>
      <c r="DP264" s="522"/>
      <c r="DQ264" s="522"/>
      <c r="DR264" s="522"/>
      <c r="DS264" s="522"/>
      <c r="DT264" s="522"/>
      <c r="DU264" s="522"/>
      <c r="DV264" s="522"/>
      <c r="DW264" s="522"/>
      <c r="DX264" s="522"/>
      <c r="DY264" s="522"/>
      <c r="DZ264" s="522"/>
      <c r="EA264" s="522"/>
      <c r="EB264" s="522">
        <v>-920.4</v>
      </c>
      <c r="EC264" s="522">
        <v>-153.4</v>
      </c>
      <c r="ED264" s="522">
        <v>1073.8</v>
      </c>
      <c r="EE264" s="522"/>
      <c r="EF264" s="522"/>
      <c r="EG264" s="649">
        <f t="shared" si="209"/>
        <v>20.111000000000001</v>
      </c>
      <c r="EH264" s="522">
        <v>0</v>
      </c>
      <c r="EI264" s="649">
        <v>2</v>
      </c>
      <c r="EJ264" s="649">
        <v>2</v>
      </c>
      <c r="EK264" s="649">
        <v>9</v>
      </c>
      <c r="EL264" s="522"/>
      <c r="EM264" s="522"/>
      <c r="EN264" s="522"/>
      <c r="EO264" s="522"/>
      <c r="EP264" s="522"/>
      <c r="EQ264" s="522"/>
      <c r="ER264" s="522"/>
      <c r="ES264" s="407"/>
      <c r="ET264" s="407"/>
    </row>
    <row r="265" spans="1:150" s="357" customFormat="1" ht="15">
      <c r="A265" s="675" t="s">
        <v>5</v>
      </c>
      <c r="B265" s="712">
        <v>41891</v>
      </c>
      <c r="C265" s="358">
        <v>0</v>
      </c>
      <c r="D265" s="405">
        <v>0.04</v>
      </c>
      <c r="E265" s="681">
        <v>0</v>
      </c>
      <c r="F265" s="681">
        <v>57</v>
      </c>
      <c r="G265" s="681">
        <v>0</v>
      </c>
      <c r="H265" s="405">
        <v>0.88</v>
      </c>
      <c r="I265" s="405">
        <v>93.5</v>
      </c>
      <c r="J265" s="405" t="s">
        <v>744</v>
      </c>
      <c r="K265" s="405">
        <v>0.82</v>
      </c>
      <c r="L265" s="644">
        <v>0</v>
      </c>
      <c r="M265" s="405">
        <v>15.7</v>
      </c>
      <c r="N265" s="405" t="s">
        <v>744</v>
      </c>
      <c r="O265" s="405" t="s">
        <v>743</v>
      </c>
      <c r="P265" s="405">
        <v>1.95</v>
      </c>
      <c r="Q265" s="405">
        <v>2.5646242546206266</v>
      </c>
      <c r="R265" s="790">
        <v>1602.0335746367239</v>
      </c>
      <c r="S265" s="405" t="s">
        <v>744</v>
      </c>
      <c r="T265" s="405">
        <v>7.93</v>
      </c>
      <c r="U265" s="405" t="s">
        <v>744</v>
      </c>
      <c r="V265" s="681">
        <v>0.72</v>
      </c>
      <c r="W265" s="681" t="e">
        <v>#VALUE!</v>
      </c>
      <c r="X265" s="647">
        <v>60.980000000000004</v>
      </c>
      <c r="Y265" s="383">
        <v>30.5</v>
      </c>
      <c r="Z265" s="681">
        <v>41.5</v>
      </c>
      <c r="AA265" s="794">
        <v>31.2</v>
      </c>
      <c r="AB265" s="794">
        <v>43.93</v>
      </c>
      <c r="AC265" s="775">
        <f t="shared" ref="AC265" si="270">AA265+AB265</f>
        <v>75.13</v>
      </c>
      <c r="AD265" s="775">
        <f t="shared" ref="AD265" si="271">AC265*1.547</f>
        <v>116.22610999999999</v>
      </c>
      <c r="AE265" s="705"/>
      <c r="AF265" s="775"/>
      <c r="AG265" s="407">
        <v>1.6</v>
      </c>
      <c r="AH265" s="705"/>
      <c r="AI265" s="705"/>
      <c r="AJ265" s="407"/>
      <c r="AK265" s="407"/>
      <c r="AL265" s="407"/>
      <c r="AM265" s="407"/>
      <c r="AN265" s="407"/>
      <c r="AO265" s="387"/>
      <c r="AP265" s="387"/>
      <c r="AQ265" s="405"/>
      <c r="AR265" s="578">
        <v>0</v>
      </c>
      <c r="AS265" s="405">
        <v>14</v>
      </c>
      <c r="AT265" s="578">
        <v>0</v>
      </c>
      <c r="AU265" s="405">
        <v>31.8</v>
      </c>
      <c r="AV265" s="405">
        <v>646.9</v>
      </c>
      <c r="AW265" s="405">
        <v>951</v>
      </c>
      <c r="AX265" s="405">
        <v>28.2</v>
      </c>
      <c r="AY265" s="578">
        <v>0</v>
      </c>
      <c r="AZ265" s="578">
        <v>0</v>
      </c>
      <c r="BA265" s="578">
        <v>0</v>
      </c>
      <c r="BB265" s="925">
        <v>1.6</v>
      </c>
      <c r="BC265" s="405">
        <v>0</v>
      </c>
      <c r="BD265" s="405">
        <v>2</v>
      </c>
      <c r="BE265" s="578">
        <v>0</v>
      </c>
      <c r="BF265" s="405">
        <v>0</v>
      </c>
      <c r="BG265" s="405">
        <v>0</v>
      </c>
      <c r="BH265" s="578">
        <v>0</v>
      </c>
      <c r="BI265" s="405">
        <v>2.02</v>
      </c>
      <c r="BJ265" s="405">
        <v>40</v>
      </c>
      <c r="BK265" s="405">
        <v>4.5</v>
      </c>
      <c r="BL265" s="405">
        <v>4.51</v>
      </c>
      <c r="BM265" s="405">
        <v>0</v>
      </c>
      <c r="BN265" s="405">
        <v>29.2</v>
      </c>
      <c r="BO265" s="405">
        <v>2028.9</v>
      </c>
      <c r="BP265" s="405">
        <v>0</v>
      </c>
      <c r="BQ265" s="649">
        <v>21.59</v>
      </c>
      <c r="BR265" s="649">
        <v>21.69</v>
      </c>
      <c r="BS265" s="649">
        <v>14.27</v>
      </c>
      <c r="BT265" s="649">
        <v>14.37</v>
      </c>
      <c r="BU265" s="648">
        <v>28.9</v>
      </c>
      <c r="BV265" s="648">
        <v>35.799999999999997</v>
      </c>
      <c r="BW265" s="649">
        <v>936.8</v>
      </c>
      <c r="BX265" s="876"/>
      <c r="BY265" s="649">
        <v>0.69</v>
      </c>
      <c r="BZ265" s="649">
        <v>1.54</v>
      </c>
      <c r="CA265" s="649">
        <v>1.1000000000000001</v>
      </c>
      <c r="CB265" s="649">
        <v>8.6999999999999993</v>
      </c>
      <c r="CC265" s="649">
        <v>7.9</v>
      </c>
      <c r="CD265" s="649">
        <v>15.6</v>
      </c>
      <c r="CE265" s="649">
        <v>32.1</v>
      </c>
      <c r="CF265" s="649">
        <v>15.5</v>
      </c>
      <c r="CG265" s="649">
        <v>8.8000000000000007</v>
      </c>
      <c r="CH265" s="649">
        <v>14.29</v>
      </c>
      <c r="CI265" s="649">
        <v>15.7</v>
      </c>
      <c r="CJ265" s="649">
        <v>14.19</v>
      </c>
      <c r="CK265" s="649">
        <v>578.4</v>
      </c>
      <c r="CL265" s="649">
        <v>2.7</v>
      </c>
      <c r="CM265" s="649">
        <v>3.7</v>
      </c>
      <c r="CN265" s="1112">
        <v>1000</v>
      </c>
      <c r="CO265" s="649">
        <v>712.4</v>
      </c>
      <c r="CP265" s="649">
        <v>652.4</v>
      </c>
      <c r="CQ265" s="649">
        <v>14.7</v>
      </c>
      <c r="CR265" s="649">
        <v>1.1000000000000001</v>
      </c>
      <c r="CS265" s="405">
        <v>0</v>
      </c>
      <c r="CT265" s="405">
        <v>16.696000000000002</v>
      </c>
      <c r="CU265" s="405">
        <v>64</v>
      </c>
      <c r="CV265" s="522">
        <v>0</v>
      </c>
      <c r="CW265" s="522">
        <v>0</v>
      </c>
      <c r="CX265" s="522">
        <v>0</v>
      </c>
      <c r="CY265" s="522">
        <v>0</v>
      </c>
      <c r="CZ265" s="689">
        <v>351</v>
      </c>
      <c r="DA265" s="689">
        <v>364</v>
      </c>
      <c r="DB265" s="689">
        <v>211</v>
      </c>
      <c r="DC265" s="643">
        <v>1150.54</v>
      </c>
      <c r="DD265" s="522"/>
      <c r="DE265" s="522"/>
      <c r="DF265" s="522"/>
      <c r="DG265" s="522"/>
      <c r="DH265" s="522"/>
      <c r="DI265" s="522"/>
      <c r="DJ265" s="522"/>
      <c r="DK265" s="522"/>
      <c r="DL265" s="649"/>
      <c r="DM265" s="649"/>
      <c r="DN265" s="649"/>
      <c r="DO265" s="522"/>
      <c r="DP265" s="522"/>
      <c r="DQ265" s="522"/>
      <c r="DR265" s="522"/>
      <c r="DS265" s="522"/>
      <c r="DT265" s="522"/>
      <c r="DU265" s="522"/>
      <c r="DV265" s="522"/>
      <c r="DW265" s="522"/>
      <c r="DX265" s="522"/>
      <c r="DY265" s="522"/>
      <c r="DZ265" s="522"/>
      <c r="EA265" s="522">
        <v>-1000</v>
      </c>
      <c r="EB265" s="522"/>
      <c r="EC265" s="522"/>
      <c r="ED265" s="522"/>
      <c r="EE265" s="522"/>
      <c r="EF265" s="522"/>
      <c r="EG265" s="649">
        <f t="shared" ref="EG265:EG309" si="272">(SUM(EH265:EK265))*1.547</f>
        <v>20.111000000000001</v>
      </c>
      <c r="EH265" s="522">
        <v>0</v>
      </c>
      <c r="EI265" s="649">
        <v>2</v>
      </c>
      <c r="EJ265" s="649">
        <v>2</v>
      </c>
      <c r="EK265" s="649">
        <v>9</v>
      </c>
      <c r="EL265" s="522"/>
      <c r="EM265" s="522"/>
      <c r="EN265" s="522"/>
      <c r="EO265" s="522"/>
      <c r="EP265" s="522"/>
      <c r="EQ265" s="522"/>
      <c r="ER265" s="522"/>
      <c r="ES265" s="407"/>
      <c r="ET265" s="407"/>
    </row>
    <row r="266" spans="1:150" s="357" customFormat="1" ht="15">
      <c r="A266" s="675" t="s">
        <v>6</v>
      </c>
      <c r="B266" s="712">
        <v>41892</v>
      </c>
      <c r="C266" s="358">
        <v>0</v>
      </c>
      <c r="D266" s="405">
        <v>0</v>
      </c>
      <c r="E266" s="681">
        <v>0</v>
      </c>
      <c r="F266" s="681">
        <v>55</v>
      </c>
      <c r="G266" s="681">
        <v>0</v>
      </c>
      <c r="H266" s="405">
        <v>1.34</v>
      </c>
      <c r="I266" s="405">
        <v>92.6</v>
      </c>
      <c r="J266" s="405" t="s">
        <v>744</v>
      </c>
      <c r="K266" s="405">
        <v>1.6</v>
      </c>
      <c r="L266" s="644">
        <v>0</v>
      </c>
      <c r="M266" s="405">
        <v>16.2</v>
      </c>
      <c r="N266" s="405" t="s">
        <v>744</v>
      </c>
      <c r="O266" s="405" t="s">
        <v>743</v>
      </c>
      <c r="P266" s="405">
        <v>1.85</v>
      </c>
      <c r="Q266" s="405">
        <v>2.6559580686397557</v>
      </c>
      <c r="R266" s="790">
        <v>1648.6758784676351</v>
      </c>
      <c r="S266" s="405" t="s">
        <v>744</v>
      </c>
      <c r="T266" s="405">
        <v>8.02</v>
      </c>
      <c r="U266" s="405" t="s">
        <v>744</v>
      </c>
      <c r="V266" s="681">
        <v>0.72</v>
      </c>
      <c r="W266" s="681" t="e">
        <v>#VALUE!</v>
      </c>
      <c r="X266" s="647">
        <v>60.620000000000005</v>
      </c>
      <c r="Y266" s="383">
        <v>31.2</v>
      </c>
      <c r="Z266" s="681">
        <v>43.93</v>
      </c>
      <c r="AA266" s="794">
        <v>31.1</v>
      </c>
      <c r="AB266" s="794">
        <v>44.6</v>
      </c>
      <c r="AC266" s="775">
        <f t="shared" ref="AC266" si="273">AA266+AB266</f>
        <v>75.7</v>
      </c>
      <c r="AD266" s="775">
        <f t="shared" ref="AD266" si="274">AC266*1.547</f>
        <v>117.1079</v>
      </c>
      <c r="AE266" s="705"/>
      <c r="AF266" s="775"/>
      <c r="AG266" s="407">
        <v>1.6</v>
      </c>
      <c r="AH266" s="705"/>
      <c r="AI266" s="705"/>
      <c r="AJ266" s="407"/>
      <c r="AK266" s="407"/>
      <c r="AL266" s="407"/>
      <c r="AM266" s="407"/>
      <c r="AN266" s="407"/>
      <c r="AO266" s="387"/>
      <c r="AP266" s="387"/>
      <c r="AQ266" s="405"/>
      <c r="AR266" s="578">
        <v>0</v>
      </c>
      <c r="AS266" s="405">
        <v>10.9</v>
      </c>
      <c r="AT266" s="578">
        <v>0</v>
      </c>
      <c r="AU266" s="405">
        <v>31.8</v>
      </c>
      <c r="AV266" s="405">
        <v>744.6</v>
      </c>
      <c r="AW266" s="405">
        <v>978.5</v>
      </c>
      <c r="AX266" s="405">
        <v>53.7</v>
      </c>
      <c r="AY266" s="578">
        <v>0</v>
      </c>
      <c r="AZ266" s="578">
        <v>0</v>
      </c>
      <c r="BA266" s="578">
        <v>0</v>
      </c>
      <c r="BB266" s="925">
        <v>1.6</v>
      </c>
      <c r="BC266" s="405">
        <v>0.05</v>
      </c>
      <c r="BD266" s="405">
        <v>1.95</v>
      </c>
      <c r="BE266" s="578">
        <v>0</v>
      </c>
      <c r="BF266" s="405">
        <v>0</v>
      </c>
      <c r="BG266" s="405">
        <v>0</v>
      </c>
      <c r="BH266" s="578">
        <v>0</v>
      </c>
      <c r="BI266" s="405">
        <v>2.02</v>
      </c>
      <c r="BJ266" s="405">
        <v>40.6</v>
      </c>
      <c r="BK266" s="405">
        <v>3.5</v>
      </c>
      <c r="BL266" s="405">
        <v>5.46</v>
      </c>
      <c r="BM266" s="405">
        <v>0</v>
      </c>
      <c r="BN266" s="405">
        <v>29.9</v>
      </c>
      <c r="BO266" s="405">
        <v>1960.6</v>
      </c>
      <c r="BP266" s="405">
        <v>0</v>
      </c>
      <c r="BQ266" s="649">
        <v>20.41</v>
      </c>
      <c r="BR266" s="649">
        <v>20.51</v>
      </c>
      <c r="BS266" s="649">
        <v>14.24</v>
      </c>
      <c r="BT266" s="649">
        <v>14.34</v>
      </c>
      <c r="BU266" s="648">
        <v>28.9</v>
      </c>
      <c r="BV266" s="648">
        <v>39.1</v>
      </c>
      <c r="BW266" s="649">
        <v>1044.0999999999999</v>
      </c>
      <c r="BX266" s="876"/>
      <c r="BY266" s="649">
        <v>0.7</v>
      </c>
      <c r="BZ266" s="649">
        <v>1.52</v>
      </c>
      <c r="CA266" s="649">
        <v>1.2</v>
      </c>
      <c r="CB266" s="649">
        <v>8.6999999999999993</v>
      </c>
      <c r="CC266" s="649">
        <v>7.9</v>
      </c>
      <c r="CD266" s="649">
        <v>15.6</v>
      </c>
      <c r="CE266" s="649">
        <v>31.3</v>
      </c>
      <c r="CF266" s="649">
        <v>18.100000000000001</v>
      </c>
      <c r="CG266" s="649">
        <v>8.6999999999999993</v>
      </c>
      <c r="CH266" s="649">
        <v>14.1</v>
      </c>
      <c r="CI266" s="649">
        <v>18.600000000000001</v>
      </c>
      <c r="CJ266" s="649">
        <v>14.07</v>
      </c>
      <c r="CK266" s="649">
        <v>610.20000000000005</v>
      </c>
      <c r="CL266" s="649">
        <v>3.1</v>
      </c>
      <c r="CM266" s="649">
        <v>3.8</v>
      </c>
      <c r="CN266" s="1112">
        <v>1000</v>
      </c>
      <c r="CO266" s="649">
        <v>732.2</v>
      </c>
      <c r="CP266" s="649">
        <v>633.5</v>
      </c>
      <c r="CQ266" s="649">
        <v>15.5</v>
      </c>
      <c r="CR266" s="649">
        <v>1.2</v>
      </c>
      <c r="CS266" s="405">
        <v>0</v>
      </c>
      <c r="CT266" s="405">
        <v>17.805</v>
      </c>
      <c r="CU266" s="405">
        <v>63</v>
      </c>
      <c r="CV266" s="522">
        <v>0</v>
      </c>
      <c r="CW266" s="522">
        <v>0</v>
      </c>
      <c r="CX266" s="522">
        <v>0</v>
      </c>
      <c r="CY266" s="522">
        <v>0</v>
      </c>
      <c r="CZ266" s="689">
        <v>381</v>
      </c>
      <c r="DA266" s="357">
        <v>360</v>
      </c>
      <c r="DB266" s="689">
        <v>239</v>
      </c>
      <c r="DC266" s="643">
        <v>1150.1199999999999</v>
      </c>
      <c r="DD266" s="522"/>
      <c r="DE266" s="522"/>
      <c r="DF266" s="522"/>
      <c r="DG266" s="522"/>
      <c r="DH266" s="522"/>
      <c r="DI266" s="522"/>
      <c r="DJ266" s="522"/>
      <c r="DK266" s="522"/>
      <c r="DL266" s="649"/>
      <c r="DM266" s="649"/>
      <c r="DN266" s="649"/>
      <c r="DO266" s="522"/>
      <c r="DP266" s="522"/>
      <c r="DQ266" s="522"/>
      <c r="DR266" s="522"/>
      <c r="DS266" s="522"/>
      <c r="DT266" s="522"/>
      <c r="DU266" s="522"/>
      <c r="DV266" s="522"/>
      <c r="DW266" s="522"/>
      <c r="DX266" s="522"/>
      <c r="DY266" s="522"/>
      <c r="DZ266" s="522"/>
      <c r="EA266" s="522"/>
      <c r="EB266" s="522"/>
      <c r="EC266" s="522"/>
      <c r="ED266" s="522"/>
      <c r="EE266" s="522"/>
      <c r="EF266" s="522"/>
      <c r="EG266" s="649">
        <f t="shared" si="272"/>
        <v>20.111000000000001</v>
      </c>
      <c r="EH266" s="522">
        <v>0</v>
      </c>
      <c r="EI266" s="649">
        <v>2</v>
      </c>
      <c r="EJ266" s="649">
        <v>2</v>
      </c>
      <c r="EK266" s="649">
        <v>9</v>
      </c>
      <c r="EL266" s="522"/>
      <c r="EM266" s="522"/>
      <c r="EN266" s="522"/>
      <c r="EO266" s="522"/>
      <c r="EP266" s="522"/>
      <c r="EQ266" s="522"/>
      <c r="ER266" s="522"/>
      <c r="ES266" s="407"/>
      <c r="ET266" s="407"/>
    </row>
    <row r="267" spans="1:150" s="357" customFormat="1" ht="15">
      <c r="A267" s="675" t="s">
        <v>7</v>
      </c>
      <c r="B267" s="712">
        <v>41893</v>
      </c>
      <c r="C267" s="358">
        <v>0</v>
      </c>
      <c r="D267" s="405">
        <v>0</v>
      </c>
      <c r="E267" s="681">
        <v>0</v>
      </c>
      <c r="F267" s="681">
        <v>60</v>
      </c>
      <c r="G267" s="681">
        <v>0.4</v>
      </c>
      <c r="H267" s="405">
        <v>1.33</v>
      </c>
      <c r="I267" s="405">
        <v>92.6</v>
      </c>
      <c r="J267" s="405" t="s">
        <v>744</v>
      </c>
      <c r="K267" s="405">
        <v>0.96</v>
      </c>
      <c r="L267" s="644">
        <v>0</v>
      </c>
      <c r="M267" s="405">
        <v>16.3</v>
      </c>
      <c r="N267" s="405" t="s">
        <v>744</v>
      </c>
      <c r="O267" s="405" t="s">
        <v>743</v>
      </c>
      <c r="P267" s="405">
        <v>1.79</v>
      </c>
      <c r="Q267" s="405">
        <v>2.8255440236278071</v>
      </c>
      <c r="R267" s="790">
        <v>1835.2450937912811</v>
      </c>
      <c r="S267" s="405" t="s">
        <v>744</v>
      </c>
      <c r="T267" s="405">
        <v>8</v>
      </c>
      <c r="U267" s="405" t="s">
        <v>744</v>
      </c>
      <c r="V267" s="681">
        <v>0.72</v>
      </c>
      <c r="W267" s="681" t="e">
        <v>#VALUE!</v>
      </c>
      <c r="X267" s="647">
        <v>61.88000000000001</v>
      </c>
      <c r="Y267" s="383">
        <v>31.1</v>
      </c>
      <c r="Z267" s="681">
        <v>44.6</v>
      </c>
      <c r="AA267" s="794">
        <v>31</v>
      </c>
      <c r="AB267" s="794">
        <v>46.55</v>
      </c>
      <c r="AC267" s="775">
        <f t="shared" ref="AC267:AC271" si="275">AA267+AB267</f>
        <v>77.55</v>
      </c>
      <c r="AD267" s="775">
        <f t="shared" ref="AD267:AD271" si="276">AC267*1.547</f>
        <v>119.96984999999999</v>
      </c>
      <c r="AE267" s="705"/>
      <c r="AF267" s="775"/>
      <c r="AG267" s="407">
        <v>1.6</v>
      </c>
      <c r="AH267" s="705"/>
      <c r="AI267" s="705"/>
      <c r="AJ267" s="407"/>
      <c r="AK267" s="407"/>
      <c r="AL267" s="407"/>
      <c r="AM267" s="407"/>
      <c r="AN267" s="407"/>
      <c r="AO267" s="387"/>
      <c r="AP267" s="387"/>
      <c r="AQ267" s="405"/>
      <c r="AR267" s="578">
        <v>0</v>
      </c>
      <c r="AS267" s="405">
        <v>11.1</v>
      </c>
      <c r="AT267" s="578">
        <v>0</v>
      </c>
      <c r="AU267" s="405">
        <v>31.6</v>
      </c>
      <c r="AV267" s="405">
        <v>637.79999999999995</v>
      </c>
      <c r="AW267" s="405">
        <v>941.1</v>
      </c>
      <c r="AX267" s="405">
        <v>50.7</v>
      </c>
      <c r="AY267" s="578">
        <v>0</v>
      </c>
      <c r="AZ267" s="578">
        <v>0</v>
      </c>
      <c r="BA267" s="578">
        <v>0</v>
      </c>
      <c r="BB267" s="925">
        <v>1.61</v>
      </c>
      <c r="BC267" s="405">
        <v>0</v>
      </c>
      <c r="BD267" s="405">
        <v>1.98</v>
      </c>
      <c r="BE267" s="578">
        <v>0</v>
      </c>
      <c r="BF267" s="405">
        <v>0</v>
      </c>
      <c r="BG267" s="405">
        <v>0</v>
      </c>
      <c r="BH267" s="578">
        <v>0</v>
      </c>
      <c r="BI267" s="405">
        <v>2.02</v>
      </c>
      <c r="BJ267" s="405">
        <v>43.5</v>
      </c>
      <c r="BK267" s="405">
        <v>3.76</v>
      </c>
      <c r="BL267" s="405">
        <v>5.28</v>
      </c>
      <c r="BM267" s="405">
        <v>0</v>
      </c>
      <c r="BN267" s="405">
        <v>32.9</v>
      </c>
      <c r="BO267" s="405">
        <v>3745.3</v>
      </c>
      <c r="BP267" s="405">
        <v>0</v>
      </c>
      <c r="BQ267" s="649">
        <v>20.57</v>
      </c>
      <c r="BR267" s="649">
        <v>20.69</v>
      </c>
      <c r="BS267" s="649">
        <v>14.2</v>
      </c>
      <c r="BT267" s="649">
        <v>14.28</v>
      </c>
      <c r="BU267" s="648">
        <v>28.8</v>
      </c>
      <c r="BV267" s="648">
        <v>35.200000000000003</v>
      </c>
      <c r="BW267" s="649">
        <v>1156.5</v>
      </c>
      <c r="BX267" s="876"/>
      <c r="BY267" s="649">
        <v>0.76</v>
      </c>
      <c r="BZ267" s="649">
        <v>1.53</v>
      </c>
      <c r="CA267" s="649">
        <v>1.2</v>
      </c>
      <c r="CB267" s="649">
        <v>8.8000000000000007</v>
      </c>
      <c r="CC267" s="649">
        <v>7.9</v>
      </c>
      <c r="CD267" s="649">
        <v>15.2</v>
      </c>
      <c r="CE267" s="649">
        <v>30.5</v>
      </c>
      <c r="CF267" s="649">
        <v>15.6</v>
      </c>
      <c r="CG267" s="649">
        <v>9</v>
      </c>
      <c r="CH267" s="649">
        <v>14.5</v>
      </c>
      <c r="CI267" s="649">
        <v>19</v>
      </c>
      <c r="CJ267" s="649">
        <v>13.82</v>
      </c>
      <c r="CK267" s="649">
        <v>607.5</v>
      </c>
      <c r="CL267" s="649">
        <v>3.2</v>
      </c>
      <c r="CM267" s="649">
        <v>3.3</v>
      </c>
      <c r="CN267" s="1112">
        <v>1000</v>
      </c>
      <c r="CO267" s="649">
        <v>591.5</v>
      </c>
      <c r="CP267" s="649">
        <v>516.29999999999995</v>
      </c>
      <c r="CQ267" s="649">
        <v>15</v>
      </c>
      <c r="CR267" s="649">
        <v>1.06</v>
      </c>
      <c r="CS267" s="405">
        <v>0</v>
      </c>
      <c r="CT267" s="405">
        <v>17.667999999999999</v>
      </c>
      <c r="CU267" s="405">
        <v>63</v>
      </c>
      <c r="CV267" s="522">
        <v>0</v>
      </c>
      <c r="CW267" s="522">
        <v>0</v>
      </c>
      <c r="CX267" s="522">
        <v>0</v>
      </c>
      <c r="CY267" s="522">
        <v>0</v>
      </c>
      <c r="CZ267" s="689">
        <v>384</v>
      </c>
      <c r="DA267" s="689">
        <v>378</v>
      </c>
      <c r="DB267" s="689">
        <v>233</v>
      </c>
      <c r="DC267" s="643">
        <v>1149.6600000000001</v>
      </c>
      <c r="DD267" s="522"/>
      <c r="DE267" s="522"/>
      <c r="DF267" s="522"/>
      <c r="DG267" s="522"/>
      <c r="DH267" s="522"/>
      <c r="DI267" s="522"/>
      <c r="DJ267" s="522"/>
      <c r="DK267" s="522"/>
      <c r="DL267" s="649"/>
      <c r="DM267" s="649"/>
      <c r="DN267" s="649"/>
      <c r="DO267" s="522"/>
      <c r="DP267" s="522"/>
      <c r="DQ267" s="522"/>
      <c r="DR267" s="522"/>
      <c r="DS267" s="522"/>
      <c r="DT267" s="522"/>
      <c r="DU267" s="522"/>
      <c r="DV267" s="522"/>
      <c r="DW267" s="522"/>
      <c r="DX267" s="522"/>
      <c r="DY267" s="522"/>
      <c r="DZ267" s="522"/>
      <c r="EA267" s="522"/>
      <c r="EB267" s="522"/>
      <c r="EC267" s="522"/>
      <c r="ED267" s="522"/>
      <c r="EE267" s="522"/>
      <c r="EF267" s="522"/>
      <c r="EG267" s="649">
        <f t="shared" si="272"/>
        <v>20.111000000000001</v>
      </c>
      <c r="EH267" s="522">
        <v>0</v>
      </c>
      <c r="EI267" s="649">
        <v>2</v>
      </c>
      <c r="EJ267" s="649">
        <v>2</v>
      </c>
      <c r="EK267" s="649">
        <v>9</v>
      </c>
      <c r="EL267" s="522"/>
      <c r="EM267" s="522"/>
      <c r="EN267" s="522"/>
      <c r="EO267" s="522"/>
      <c r="EP267" s="522"/>
      <c r="EQ267" s="522"/>
      <c r="ER267" s="522"/>
      <c r="ES267" s="407"/>
      <c r="ET267" s="407"/>
    </row>
    <row r="268" spans="1:150" s="357" customFormat="1" ht="15">
      <c r="A268" s="675" t="s">
        <v>8</v>
      </c>
      <c r="B268" s="712">
        <v>41894</v>
      </c>
      <c r="C268" s="358">
        <v>0</v>
      </c>
      <c r="D268" s="405">
        <v>0</v>
      </c>
      <c r="E268" s="681">
        <v>0</v>
      </c>
      <c r="F268" s="681">
        <v>62</v>
      </c>
      <c r="G268" s="681">
        <v>0.4</v>
      </c>
      <c r="H268" s="405">
        <v>0.85</v>
      </c>
      <c r="I268" s="405">
        <v>92.49</v>
      </c>
      <c r="J268" s="405" t="s">
        <v>744</v>
      </c>
      <c r="K268" s="405">
        <v>0.86</v>
      </c>
      <c r="L268" s="644">
        <v>0</v>
      </c>
      <c r="M268" s="405">
        <v>16.2</v>
      </c>
      <c r="N268" s="405" t="s">
        <v>744</v>
      </c>
      <c r="O268" s="405" t="s">
        <v>743</v>
      </c>
      <c r="P268" s="405">
        <v>1.92</v>
      </c>
      <c r="Q268" s="405">
        <v>2.7741083223245808</v>
      </c>
      <c r="R268" s="790">
        <v>1841.3992866578596</v>
      </c>
      <c r="S268" s="405" t="s">
        <v>744</v>
      </c>
      <c r="T268" s="405">
        <v>7.99</v>
      </c>
      <c r="U268" s="405" t="s">
        <v>744</v>
      </c>
      <c r="V268" s="681">
        <v>0.752</v>
      </c>
      <c r="W268" s="681" t="e">
        <v>#VALUE!</v>
      </c>
      <c r="X268" s="647">
        <v>60.980000000000004</v>
      </c>
      <c r="Y268" s="383">
        <v>31</v>
      </c>
      <c r="Z268" s="681">
        <v>46.55</v>
      </c>
      <c r="AA268" s="794">
        <v>31</v>
      </c>
      <c r="AB268" s="794">
        <v>47.75</v>
      </c>
      <c r="AC268" s="775">
        <f t="shared" si="275"/>
        <v>78.75</v>
      </c>
      <c r="AD268" s="775">
        <f t="shared" si="276"/>
        <v>121.82624999999999</v>
      </c>
      <c r="AE268" s="705"/>
      <c r="AF268" s="775"/>
      <c r="AG268" s="407">
        <v>1.6</v>
      </c>
      <c r="AH268" s="705"/>
      <c r="AI268" s="705"/>
      <c r="AJ268" s="407"/>
      <c r="AK268" s="407"/>
      <c r="AL268" s="407"/>
      <c r="AM268" s="407"/>
      <c r="AN268" s="407"/>
      <c r="AO268" s="387"/>
      <c r="AP268" s="387"/>
      <c r="AQ268" s="405"/>
      <c r="AR268" s="578">
        <v>0</v>
      </c>
      <c r="AS268" s="405">
        <v>23.4</v>
      </c>
      <c r="AT268" s="578">
        <v>0</v>
      </c>
      <c r="AU268" s="405">
        <v>31.6</v>
      </c>
      <c r="AV268" s="405">
        <v>845.5</v>
      </c>
      <c r="AW268" s="405">
        <v>851.4</v>
      </c>
      <c r="AX268" s="405">
        <v>47.8</v>
      </c>
      <c r="AY268" s="578">
        <v>0</v>
      </c>
      <c r="AZ268" s="578">
        <v>0</v>
      </c>
      <c r="BA268" s="578">
        <v>0</v>
      </c>
      <c r="BB268" s="925">
        <v>1.6</v>
      </c>
      <c r="BC268" s="405">
        <v>0.65</v>
      </c>
      <c r="BD268" s="405">
        <v>2</v>
      </c>
      <c r="BE268" s="578">
        <v>0</v>
      </c>
      <c r="BF268" s="405">
        <v>0.32</v>
      </c>
      <c r="BG268" s="405">
        <v>0</v>
      </c>
      <c r="BH268" s="578">
        <v>0</v>
      </c>
      <c r="BI268" s="405">
        <v>2.02</v>
      </c>
      <c r="BJ268" s="405">
        <v>43.1</v>
      </c>
      <c r="BK268" s="405">
        <v>4.17</v>
      </c>
      <c r="BL268" s="405">
        <v>4.8</v>
      </c>
      <c r="BM268" s="405">
        <v>0</v>
      </c>
      <c r="BN268" s="405">
        <v>32.1</v>
      </c>
      <c r="BO268" s="405">
        <v>1975.5</v>
      </c>
      <c r="BP268" s="405">
        <v>0</v>
      </c>
      <c r="BQ268" s="649">
        <v>19.7</v>
      </c>
      <c r="BR268" s="649">
        <v>19.8</v>
      </c>
      <c r="BS268" s="649">
        <v>14.1</v>
      </c>
      <c r="BT268" s="649">
        <v>14.2</v>
      </c>
      <c r="BU268" s="648">
        <v>28.6</v>
      </c>
      <c r="BV268" s="648">
        <v>37.799999999999997</v>
      </c>
      <c r="BW268" s="649">
        <v>1215.4000000000001</v>
      </c>
      <c r="BX268" s="876"/>
      <c r="BY268" s="649">
        <v>2.11</v>
      </c>
      <c r="BZ268" s="649">
        <v>1.63</v>
      </c>
      <c r="CA268" s="649">
        <v>1.2</v>
      </c>
      <c r="CB268" s="649">
        <v>8.6999999999999993</v>
      </c>
      <c r="CC268" s="649">
        <v>8</v>
      </c>
      <c r="CD268" s="649">
        <v>15.1</v>
      </c>
      <c r="CE268" s="649">
        <v>30.7</v>
      </c>
      <c r="CF268" s="649">
        <v>16.7</v>
      </c>
      <c r="CG268" s="649">
        <v>8.9</v>
      </c>
      <c r="CH268" s="649">
        <v>14.3</v>
      </c>
      <c r="CI268" s="649">
        <v>18.8</v>
      </c>
      <c r="CJ268" s="649">
        <v>13.3</v>
      </c>
      <c r="CK268" s="649">
        <v>601</v>
      </c>
      <c r="CL268" s="649">
        <v>3.2</v>
      </c>
      <c r="CM268" s="649">
        <v>4.0999999999999996</v>
      </c>
      <c r="CN268" s="1112">
        <v>1000</v>
      </c>
      <c r="CO268" s="649">
        <v>833.8</v>
      </c>
      <c r="CP268" s="649">
        <v>648.5</v>
      </c>
      <c r="CQ268" s="649">
        <v>15.4</v>
      </c>
      <c r="CR268" s="649">
        <v>1.18</v>
      </c>
      <c r="CS268" s="405">
        <v>0</v>
      </c>
      <c r="CT268" s="405">
        <v>17.462</v>
      </c>
      <c r="CU268" s="405">
        <v>63</v>
      </c>
      <c r="CV268" s="522">
        <v>0</v>
      </c>
      <c r="CW268" s="522">
        <v>0</v>
      </c>
      <c r="CX268" s="522">
        <v>0</v>
      </c>
      <c r="CY268" s="522">
        <v>0</v>
      </c>
      <c r="CZ268" s="689">
        <v>381</v>
      </c>
      <c r="DA268" s="689">
        <v>387</v>
      </c>
      <c r="DB268" s="689">
        <v>231</v>
      </c>
      <c r="DC268" s="643">
        <v>1149.2</v>
      </c>
      <c r="DD268" s="522"/>
      <c r="DE268" s="522"/>
      <c r="DF268" s="522"/>
      <c r="DG268" s="522"/>
      <c r="DH268" s="522"/>
      <c r="DI268" s="522"/>
      <c r="DJ268" s="522"/>
      <c r="DK268" s="522"/>
      <c r="DL268" s="649"/>
      <c r="DM268" s="649"/>
      <c r="DN268" s="649"/>
      <c r="DO268" s="522"/>
      <c r="DP268" s="522"/>
      <c r="DQ268" s="522"/>
      <c r="DR268" s="522"/>
      <c r="DS268" s="522"/>
      <c r="DT268" s="522"/>
      <c r="DU268" s="522"/>
      <c r="DV268" s="522"/>
      <c r="DW268" s="522"/>
      <c r="DX268" s="522"/>
      <c r="DY268" s="522"/>
      <c r="DZ268" s="522"/>
      <c r="EA268" s="522"/>
      <c r="EB268" s="522"/>
      <c r="EC268" s="522"/>
      <c r="ED268" s="522"/>
      <c r="EE268" s="522"/>
      <c r="EF268" s="522"/>
      <c r="EG268" s="649">
        <f t="shared" si="272"/>
        <v>22.4315</v>
      </c>
      <c r="EH268" s="522">
        <v>0</v>
      </c>
      <c r="EI268" s="649">
        <v>2</v>
      </c>
      <c r="EJ268" s="649">
        <v>3.5</v>
      </c>
      <c r="EK268" s="649">
        <v>9</v>
      </c>
      <c r="EL268" s="522"/>
      <c r="EM268" s="522"/>
      <c r="EN268" s="522"/>
      <c r="EO268" s="522"/>
      <c r="EP268" s="522"/>
      <c r="EQ268" s="522"/>
      <c r="ER268" s="522"/>
      <c r="ES268" s="407"/>
      <c r="ET268" s="407"/>
    </row>
    <row r="269" spans="1:150" s="357" customFormat="1" ht="15">
      <c r="A269" s="675" t="s">
        <v>9</v>
      </c>
      <c r="B269" s="712">
        <v>41895</v>
      </c>
      <c r="C269" s="358">
        <v>0</v>
      </c>
      <c r="D269" s="405">
        <v>0</v>
      </c>
      <c r="E269" s="681">
        <v>0</v>
      </c>
      <c r="F269" s="681">
        <v>60</v>
      </c>
      <c r="G269" s="681">
        <v>0.4</v>
      </c>
      <c r="H269" s="405">
        <v>0.81</v>
      </c>
      <c r="I269" s="405">
        <v>93.1</v>
      </c>
      <c r="J269" s="405" t="s">
        <v>744</v>
      </c>
      <c r="K269" s="405">
        <v>0.84</v>
      </c>
      <c r="L269" s="644">
        <v>0</v>
      </c>
      <c r="M269" s="405">
        <v>16.3</v>
      </c>
      <c r="N269" s="405" t="s">
        <v>744</v>
      </c>
      <c r="O269" s="405" t="s">
        <v>743</v>
      </c>
      <c r="P269" s="405">
        <v>1.97</v>
      </c>
      <c r="Q269" s="405">
        <v>2.7453346057199055</v>
      </c>
      <c r="R269" s="790">
        <v>1814.5151809775427</v>
      </c>
      <c r="S269" s="405" t="s">
        <v>744</v>
      </c>
      <c r="T269" s="405">
        <v>7.77</v>
      </c>
      <c r="U269" s="405" t="s">
        <v>744</v>
      </c>
      <c r="V269" s="681">
        <v>0.76</v>
      </c>
      <c r="W269" s="681" t="e">
        <v>#VALUE!</v>
      </c>
      <c r="X269" s="647">
        <v>60.980000000000004</v>
      </c>
      <c r="Y269" s="383">
        <v>31</v>
      </c>
      <c r="Z269" s="681">
        <v>47.75</v>
      </c>
      <c r="AA269" s="794">
        <v>31</v>
      </c>
      <c r="AB269" s="794">
        <v>48</v>
      </c>
      <c r="AC269" s="775">
        <f t="shared" si="275"/>
        <v>79</v>
      </c>
      <c r="AD269" s="775">
        <f t="shared" si="276"/>
        <v>122.21299999999999</v>
      </c>
      <c r="AE269" s="705"/>
      <c r="AF269" s="775"/>
      <c r="AG269" s="407">
        <v>1.6</v>
      </c>
      <c r="AH269" s="705"/>
      <c r="AI269" s="705"/>
      <c r="AJ269" s="407"/>
      <c r="AK269" s="407"/>
      <c r="AL269" s="407"/>
      <c r="AM269" s="407"/>
      <c r="AN269" s="407"/>
      <c r="AO269" s="387"/>
      <c r="AP269" s="387"/>
      <c r="AQ269" s="405"/>
      <c r="AR269" s="578">
        <v>0</v>
      </c>
      <c r="AS269" s="405">
        <v>15</v>
      </c>
      <c r="AT269" s="578">
        <v>0</v>
      </c>
      <c r="AU269" s="405">
        <v>31.6</v>
      </c>
      <c r="AV269" s="405">
        <v>770.4</v>
      </c>
      <c r="AW269" s="405">
        <v>1111.5</v>
      </c>
      <c r="AX269" s="405">
        <v>50.2</v>
      </c>
      <c r="AY269" s="578">
        <v>0</v>
      </c>
      <c r="AZ269" s="578">
        <v>0</v>
      </c>
      <c r="BA269" s="578">
        <v>0</v>
      </c>
      <c r="BB269" s="925">
        <v>1.6</v>
      </c>
      <c r="BC269" s="405">
        <v>1</v>
      </c>
      <c r="BD269" s="405">
        <v>2.3199999999999998</v>
      </c>
      <c r="BE269" s="578">
        <v>0</v>
      </c>
      <c r="BF269" s="405">
        <v>0.5</v>
      </c>
      <c r="BG269" s="405">
        <v>0</v>
      </c>
      <c r="BH269" s="578">
        <v>0</v>
      </c>
      <c r="BI269" s="405">
        <v>2.02</v>
      </c>
      <c r="BJ269" s="405">
        <v>42.6</v>
      </c>
      <c r="BK269" s="405">
        <v>4.2</v>
      </c>
      <c r="BL269" s="405">
        <v>4.7300000000000004</v>
      </c>
      <c r="BM269" s="405">
        <v>0</v>
      </c>
      <c r="BN269" s="405">
        <v>31.5</v>
      </c>
      <c r="BO269" s="405">
        <v>2107.5</v>
      </c>
      <c r="BP269" s="405">
        <v>0</v>
      </c>
      <c r="BQ269" s="649">
        <v>18.600000000000001</v>
      </c>
      <c r="BR269" s="649">
        <v>18.7</v>
      </c>
      <c r="BS269" s="649">
        <v>14</v>
      </c>
      <c r="BT269" s="649">
        <v>14.1</v>
      </c>
      <c r="BU269" s="648">
        <v>28.5</v>
      </c>
      <c r="BV269" s="648">
        <v>38.1</v>
      </c>
      <c r="BW269" s="649">
        <v>986.3</v>
      </c>
      <c r="BX269" s="876"/>
      <c r="BY269" s="649">
        <v>0.79</v>
      </c>
      <c r="BZ269" s="649">
        <v>1.62</v>
      </c>
      <c r="CA269" s="649">
        <v>1.2</v>
      </c>
      <c r="CB269" s="649">
        <v>8.6999999999999993</v>
      </c>
      <c r="CC269" s="649">
        <v>7.9</v>
      </c>
      <c r="CD269" s="649">
        <v>15.8</v>
      </c>
      <c r="CE269" s="649">
        <v>31.4</v>
      </c>
      <c r="CF269" s="649">
        <v>15.3</v>
      </c>
      <c r="CG269" s="649">
        <v>9</v>
      </c>
      <c r="CH269" s="649">
        <v>14.5</v>
      </c>
      <c r="CI269" s="649">
        <v>19</v>
      </c>
      <c r="CJ269" s="649">
        <v>13.9</v>
      </c>
      <c r="CK269" s="649">
        <v>569</v>
      </c>
      <c r="CL269" s="649">
        <v>3.8</v>
      </c>
      <c r="CM269" s="649">
        <v>4.3</v>
      </c>
      <c r="CN269" s="1112">
        <v>1000</v>
      </c>
      <c r="CO269" s="649">
        <v>806.9</v>
      </c>
      <c r="CP269" s="649">
        <v>639.70000000000005</v>
      </c>
      <c r="CQ269" s="649">
        <v>14.5</v>
      </c>
      <c r="CR269" s="649">
        <v>1.07</v>
      </c>
      <c r="CS269" s="405">
        <v>0</v>
      </c>
      <c r="CT269" s="405">
        <v>16.962</v>
      </c>
      <c r="CU269" s="405">
        <v>63</v>
      </c>
      <c r="CV269" s="522">
        <v>0</v>
      </c>
      <c r="CW269" s="522">
        <v>0</v>
      </c>
      <c r="CX269" s="522">
        <v>0</v>
      </c>
      <c r="CY269" s="522">
        <v>0</v>
      </c>
      <c r="CZ269" s="689">
        <v>381</v>
      </c>
      <c r="DA269" s="689">
        <v>387</v>
      </c>
      <c r="DB269" s="689">
        <v>231</v>
      </c>
      <c r="DC269" s="643">
        <v>1148.7</v>
      </c>
      <c r="DD269" s="522"/>
      <c r="DE269" s="522"/>
      <c r="DF269" s="522"/>
      <c r="DG269" s="522"/>
      <c r="DH269" s="522"/>
      <c r="DI269" s="522"/>
      <c r="DJ269" s="522"/>
      <c r="DK269" s="522"/>
      <c r="DL269" s="649"/>
      <c r="DM269" s="649"/>
      <c r="DN269" s="649"/>
      <c r="DO269" s="522"/>
      <c r="DP269" s="522"/>
      <c r="DQ269" s="522"/>
      <c r="DR269" s="522"/>
      <c r="DS269" s="522"/>
      <c r="DT269" s="522"/>
      <c r="DU269" s="522"/>
      <c r="DV269" s="522"/>
      <c r="DW269" s="522"/>
      <c r="DX269" s="522"/>
      <c r="DY269" s="522"/>
      <c r="DZ269" s="522"/>
      <c r="EA269" s="522"/>
      <c r="EB269" s="522"/>
      <c r="EC269" s="522"/>
      <c r="ED269" s="522"/>
      <c r="EE269" s="522"/>
      <c r="EF269" s="522"/>
      <c r="EG269" s="649">
        <f t="shared" si="272"/>
        <v>23.204999999999998</v>
      </c>
      <c r="EH269" s="522">
        <v>0</v>
      </c>
      <c r="EI269" s="649">
        <v>2</v>
      </c>
      <c r="EJ269" s="649">
        <v>4</v>
      </c>
      <c r="EK269" s="649">
        <v>9</v>
      </c>
      <c r="EL269" s="522"/>
      <c r="EM269" s="522"/>
      <c r="EN269" s="522"/>
      <c r="EO269" s="522"/>
      <c r="EP269" s="522"/>
      <c r="EQ269" s="522"/>
      <c r="ER269" s="522"/>
      <c r="ES269" s="407"/>
      <c r="ET269" s="407"/>
    </row>
    <row r="270" spans="1:150" s="357" customFormat="1" ht="15">
      <c r="A270" s="675" t="s">
        <v>3</v>
      </c>
      <c r="B270" s="712">
        <v>41896</v>
      </c>
      <c r="C270" s="358">
        <v>0</v>
      </c>
      <c r="D270" s="405">
        <v>0</v>
      </c>
      <c r="E270" s="681">
        <v>0</v>
      </c>
      <c r="F270" s="681">
        <v>62</v>
      </c>
      <c r="G270" s="681">
        <v>0.4</v>
      </c>
      <c r="H270" s="405">
        <v>0.85</v>
      </c>
      <c r="I270" s="405">
        <v>92.6</v>
      </c>
      <c r="J270" s="405" t="s">
        <v>744</v>
      </c>
      <c r="K270" s="405">
        <v>0.86</v>
      </c>
      <c r="L270" s="644">
        <v>0</v>
      </c>
      <c r="M270" s="405">
        <v>16.2</v>
      </c>
      <c r="N270" s="405" t="s">
        <v>744</v>
      </c>
      <c r="O270" s="405" t="s">
        <v>743</v>
      </c>
      <c r="P270" s="405">
        <v>1.97</v>
      </c>
      <c r="Q270" s="405">
        <v>2.6968894576819209</v>
      </c>
      <c r="R270" s="790">
        <v>1816.4586103038307</v>
      </c>
      <c r="S270" s="405" t="s">
        <v>744</v>
      </c>
      <c r="T270" s="405">
        <v>7.77</v>
      </c>
      <c r="U270" s="405" t="s">
        <v>744</v>
      </c>
      <c r="V270" s="681">
        <v>0.76</v>
      </c>
      <c r="W270" s="681" t="e">
        <v>#VALUE!</v>
      </c>
      <c r="X270" s="647">
        <v>60.980000000000004</v>
      </c>
      <c r="Y270" s="383">
        <v>31</v>
      </c>
      <c r="Z270" s="681">
        <v>48</v>
      </c>
      <c r="AA270" s="794">
        <v>32.549999999999997</v>
      </c>
      <c r="AB270" s="794">
        <v>48.18</v>
      </c>
      <c r="AC270" s="775">
        <f t="shared" si="275"/>
        <v>80.72999999999999</v>
      </c>
      <c r="AD270" s="775">
        <f t="shared" si="276"/>
        <v>124.88930999999998</v>
      </c>
      <c r="AE270" s="705"/>
      <c r="AF270" s="775"/>
      <c r="AG270" s="407">
        <v>1.6</v>
      </c>
      <c r="AH270" s="705"/>
      <c r="AI270" s="705"/>
      <c r="AJ270" s="407"/>
      <c r="AK270" s="407"/>
      <c r="AL270" s="407"/>
      <c r="AM270" s="407"/>
      <c r="AN270" s="407"/>
      <c r="AO270" s="387"/>
      <c r="AP270" s="387"/>
      <c r="AQ270" s="405"/>
      <c r="AR270" s="578">
        <v>0</v>
      </c>
      <c r="AS270" s="405">
        <v>22.6</v>
      </c>
      <c r="AT270" s="578">
        <v>0</v>
      </c>
      <c r="AU270" s="405">
        <v>33</v>
      </c>
      <c r="AV270" s="405">
        <v>672.1</v>
      </c>
      <c r="AW270" s="405">
        <v>921.8</v>
      </c>
      <c r="AX270" s="405">
        <v>58.7</v>
      </c>
      <c r="AY270" s="578">
        <v>0</v>
      </c>
      <c r="AZ270" s="578">
        <v>0</v>
      </c>
      <c r="BA270" s="578">
        <v>0</v>
      </c>
      <c r="BB270" s="925">
        <v>1.6</v>
      </c>
      <c r="BC270" s="405">
        <v>1.01</v>
      </c>
      <c r="BD270" s="405">
        <v>2.5</v>
      </c>
      <c r="BE270" s="578">
        <v>0</v>
      </c>
      <c r="BF270" s="405">
        <v>0.5</v>
      </c>
      <c r="BG270" s="405">
        <v>0</v>
      </c>
      <c r="BH270" s="578">
        <v>0</v>
      </c>
      <c r="BI270" s="405">
        <v>2.02</v>
      </c>
      <c r="BJ270" s="405">
        <v>42.6</v>
      </c>
      <c r="BK270" s="405">
        <v>4.1900000000000004</v>
      </c>
      <c r="BL270" s="405">
        <v>4.74</v>
      </c>
      <c r="BM270" s="405">
        <v>0</v>
      </c>
      <c r="BN270" s="405">
        <v>31.4</v>
      </c>
      <c r="BO270" s="405">
        <v>2187.6999999999998</v>
      </c>
      <c r="BP270" s="405">
        <v>0</v>
      </c>
      <c r="BQ270" s="649">
        <v>18.420000000000002</v>
      </c>
      <c r="BR270" s="649">
        <v>18.55</v>
      </c>
      <c r="BS270" s="649">
        <v>14.91</v>
      </c>
      <c r="BT270" s="649">
        <v>15</v>
      </c>
      <c r="BU270" s="648">
        <v>30</v>
      </c>
      <c r="BV270" s="648">
        <v>37.5</v>
      </c>
      <c r="BW270" s="649">
        <v>1252.5</v>
      </c>
      <c r="BX270" s="876"/>
      <c r="BY270" s="649">
        <v>0.79</v>
      </c>
      <c r="BZ270" s="649">
        <v>1.6</v>
      </c>
      <c r="CA270" s="649">
        <v>1.3</v>
      </c>
      <c r="CB270" s="649">
        <v>8.6</v>
      </c>
      <c r="CC270" s="649">
        <v>7.9</v>
      </c>
      <c r="CD270" s="649">
        <v>16</v>
      </c>
      <c r="CE270" s="649">
        <v>31.4</v>
      </c>
      <c r="CF270" s="649">
        <v>12.7</v>
      </c>
      <c r="CG270" s="649">
        <v>8.8000000000000007</v>
      </c>
      <c r="CH270" s="649">
        <v>14.2</v>
      </c>
      <c r="CI270" s="649">
        <v>18.7</v>
      </c>
      <c r="CJ270" s="649">
        <v>13.8</v>
      </c>
      <c r="CK270" s="649">
        <v>545.79999999999995</v>
      </c>
      <c r="CL270" s="649">
        <v>3</v>
      </c>
      <c r="CM270" s="649">
        <v>3.6</v>
      </c>
      <c r="CN270" s="1112">
        <v>1000</v>
      </c>
      <c r="CO270" s="649">
        <v>824</v>
      </c>
      <c r="CP270" s="649">
        <v>650.1</v>
      </c>
      <c r="CQ270" s="649">
        <v>14</v>
      </c>
      <c r="CR270" s="649">
        <v>1.02</v>
      </c>
      <c r="CS270" s="405">
        <v>0</v>
      </c>
      <c r="CT270" s="405">
        <v>16.629000000000001</v>
      </c>
      <c r="CU270" s="405">
        <v>0</v>
      </c>
      <c r="CV270" s="522">
        <v>0</v>
      </c>
      <c r="CW270" s="522">
        <v>0</v>
      </c>
      <c r="CX270" s="522">
        <v>0</v>
      </c>
      <c r="CY270" s="522">
        <v>0</v>
      </c>
      <c r="CZ270" s="689">
        <v>378</v>
      </c>
      <c r="DA270" s="689">
        <v>364</v>
      </c>
      <c r="DB270" s="689">
        <v>225</v>
      </c>
      <c r="DC270" s="643">
        <v>1148.24</v>
      </c>
      <c r="DD270" s="808"/>
      <c r="DE270" s="522"/>
      <c r="DF270" s="522"/>
      <c r="DG270" s="522"/>
      <c r="DH270" s="522"/>
      <c r="DI270" s="522"/>
      <c r="DJ270" s="522"/>
      <c r="DK270" s="522"/>
      <c r="DL270" s="649"/>
      <c r="DM270" s="649"/>
      <c r="DN270" s="649"/>
      <c r="DO270" s="522"/>
      <c r="DP270" s="522"/>
      <c r="DQ270" s="522"/>
      <c r="DR270" s="522"/>
      <c r="DS270" s="522"/>
      <c r="DT270" s="522"/>
      <c r="DU270" s="522"/>
      <c r="DV270" s="522"/>
      <c r="DW270" s="522"/>
      <c r="DX270" s="522"/>
      <c r="DY270" s="522"/>
      <c r="DZ270" s="522"/>
      <c r="EA270" s="522"/>
      <c r="EB270" s="522"/>
      <c r="EC270" s="522"/>
      <c r="ED270" s="522"/>
      <c r="EE270" s="522"/>
      <c r="EF270" s="522"/>
      <c r="EG270" s="649">
        <f t="shared" si="272"/>
        <v>23.204999999999998</v>
      </c>
      <c r="EH270" s="522">
        <v>0</v>
      </c>
      <c r="EI270" s="649">
        <v>2</v>
      </c>
      <c r="EJ270" s="649">
        <v>4</v>
      </c>
      <c r="EK270" s="649">
        <v>9</v>
      </c>
      <c r="EL270" s="522"/>
      <c r="EM270" s="522"/>
      <c r="EN270" s="522"/>
      <c r="EO270" s="522"/>
      <c r="EP270" s="522"/>
      <c r="EQ270" s="522"/>
      <c r="ER270" s="522"/>
      <c r="ES270" s="407"/>
      <c r="ET270" s="407"/>
    </row>
    <row r="271" spans="1:150" s="357" customFormat="1" ht="15">
      <c r="A271" s="675" t="s">
        <v>4</v>
      </c>
      <c r="B271" s="712">
        <v>41897</v>
      </c>
      <c r="C271" s="358">
        <v>0</v>
      </c>
      <c r="D271" s="405">
        <v>0</v>
      </c>
      <c r="E271" s="681">
        <v>0</v>
      </c>
      <c r="F271" s="681">
        <v>65</v>
      </c>
      <c r="G271" s="681">
        <v>-1.5</v>
      </c>
      <c r="H271" s="405">
        <v>1.3</v>
      </c>
      <c r="I271" s="405">
        <v>93.11</v>
      </c>
      <c r="J271" s="405" t="s">
        <v>744</v>
      </c>
      <c r="K271" s="405">
        <v>1.1399999999999999</v>
      </c>
      <c r="L271" s="644">
        <v>0</v>
      </c>
      <c r="M271" s="405">
        <v>16.2</v>
      </c>
      <c r="N271" s="405" t="s">
        <v>744</v>
      </c>
      <c r="O271" s="405" t="s">
        <v>743</v>
      </c>
      <c r="P271" s="405">
        <v>1.99</v>
      </c>
      <c r="Q271" s="405">
        <v>2.7004741549089553</v>
      </c>
      <c r="R271" s="790">
        <v>1802.2067952443854</v>
      </c>
      <c r="S271" s="405" t="s">
        <v>744</v>
      </c>
      <c r="T271" s="405">
        <v>7.94</v>
      </c>
      <c r="U271" s="405" t="s">
        <v>744</v>
      </c>
      <c r="V271" s="681">
        <v>0.75</v>
      </c>
      <c r="W271" s="681" t="e">
        <v>#VALUE!</v>
      </c>
      <c r="X271" s="647">
        <v>62.06</v>
      </c>
      <c r="Y271" s="383">
        <v>32.549999999999997</v>
      </c>
      <c r="Z271" s="681">
        <v>48.18</v>
      </c>
      <c r="AA271" s="794">
        <v>33.49</v>
      </c>
      <c r="AB271" s="794">
        <v>47.92</v>
      </c>
      <c r="AC271" s="775">
        <f t="shared" si="275"/>
        <v>81.41</v>
      </c>
      <c r="AD271" s="775">
        <f t="shared" si="276"/>
        <v>125.94126999999999</v>
      </c>
      <c r="AE271" s="705"/>
      <c r="AF271" s="775"/>
      <c r="AG271" s="407">
        <v>1.6</v>
      </c>
      <c r="AH271" s="705"/>
      <c r="AI271" s="705"/>
      <c r="AJ271" s="407"/>
      <c r="AK271" s="407"/>
      <c r="AL271" s="407"/>
      <c r="AM271" s="407"/>
      <c r="AN271" s="407"/>
      <c r="AO271" s="387"/>
      <c r="AP271" s="387"/>
      <c r="AQ271" s="405"/>
      <c r="AR271" s="578">
        <v>0</v>
      </c>
      <c r="AS271" s="405">
        <v>15</v>
      </c>
      <c r="AT271" s="578">
        <v>0</v>
      </c>
      <c r="AU271" s="405">
        <v>34.1</v>
      </c>
      <c r="AV271" s="405">
        <v>712.1</v>
      </c>
      <c r="AW271" s="405">
        <v>1061.4000000000001</v>
      </c>
      <c r="AX271" s="405">
        <v>48.3</v>
      </c>
      <c r="AY271" s="578">
        <v>0</v>
      </c>
      <c r="AZ271" s="578">
        <v>0</v>
      </c>
      <c r="BA271" s="578">
        <v>0</v>
      </c>
      <c r="BB271" s="925">
        <v>1.6</v>
      </c>
      <c r="BC271" s="405">
        <v>0.99</v>
      </c>
      <c r="BD271" s="405">
        <v>2.5</v>
      </c>
      <c r="BE271" s="578">
        <v>0</v>
      </c>
      <c r="BF271" s="405">
        <v>0.5</v>
      </c>
      <c r="BG271" s="405">
        <v>0</v>
      </c>
      <c r="BH271" s="578">
        <v>0</v>
      </c>
      <c r="BI271" s="405">
        <v>2.02</v>
      </c>
      <c r="BJ271" s="405">
        <v>42.3</v>
      </c>
      <c r="BK271" s="405">
        <v>4.43</v>
      </c>
      <c r="BL271" s="405">
        <v>4.51</v>
      </c>
      <c r="BM271" s="405">
        <v>0</v>
      </c>
      <c r="BN271" s="405">
        <v>31.3</v>
      </c>
      <c r="BO271" s="405">
        <v>2102.6</v>
      </c>
      <c r="BP271" s="405">
        <v>0</v>
      </c>
      <c r="BQ271" s="649">
        <v>18.53</v>
      </c>
      <c r="BR271" s="649">
        <v>18.670000000000002</v>
      </c>
      <c r="BS271" s="649">
        <v>15.35</v>
      </c>
      <c r="BT271" s="649">
        <v>15.45</v>
      </c>
      <c r="BU271" s="648">
        <v>30.8</v>
      </c>
      <c r="BV271" s="648">
        <v>37.5</v>
      </c>
      <c r="BW271" s="649">
        <v>1179.4000000000001</v>
      </c>
      <c r="BX271" s="876"/>
      <c r="BY271" s="649">
        <v>0.79</v>
      </c>
      <c r="BZ271" s="649">
        <v>1.58</v>
      </c>
      <c r="CA271" s="649">
        <v>1.3</v>
      </c>
      <c r="CB271" s="649">
        <v>8.6999999999999993</v>
      </c>
      <c r="CC271" s="649">
        <v>7.9</v>
      </c>
      <c r="CD271" s="649">
        <v>15.2</v>
      </c>
      <c r="CE271" s="649">
        <v>29.6</v>
      </c>
      <c r="CF271" s="649">
        <v>14.5</v>
      </c>
      <c r="CG271" s="649">
        <v>8.6999999999999993</v>
      </c>
      <c r="CH271" s="649">
        <v>14.1</v>
      </c>
      <c r="CI271" s="649">
        <v>18.600000000000001</v>
      </c>
      <c r="CJ271" s="649">
        <v>13.27</v>
      </c>
      <c r="CK271" s="649">
        <v>540.6</v>
      </c>
      <c r="CL271" s="649">
        <v>2.6</v>
      </c>
      <c r="CM271" s="649">
        <v>3.7</v>
      </c>
      <c r="CN271" s="1112">
        <v>1000</v>
      </c>
      <c r="CO271" s="649">
        <v>798.3</v>
      </c>
      <c r="CP271" s="649">
        <v>661.8</v>
      </c>
      <c r="CQ271" s="649">
        <v>14.1</v>
      </c>
      <c r="CR271" s="649">
        <v>1.06</v>
      </c>
      <c r="CS271" s="405">
        <v>0</v>
      </c>
      <c r="CT271" s="405">
        <v>16.09</v>
      </c>
      <c r="CU271" s="405">
        <v>63</v>
      </c>
      <c r="CV271" s="522">
        <v>0</v>
      </c>
      <c r="CW271" s="522">
        <v>0</v>
      </c>
      <c r="CX271" s="522">
        <v>0</v>
      </c>
      <c r="CY271" s="522">
        <v>0</v>
      </c>
      <c r="CZ271" s="689">
        <v>378</v>
      </c>
      <c r="DA271" s="689">
        <v>364</v>
      </c>
      <c r="DB271" s="689">
        <v>221</v>
      </c>
      <c r="DC271" s="643">
        <v>1147.76</v>
      </c>
      <c r="DD271" s="808"/>
      <c r="DE271" s="522"/>
      <c r="DF271" s="522"/>
      <c r="DG271" s="522"/>
      <c r="DH271" s="522"/>
      <c r="DI271" s="522"/>
      <c r="DJ271" s="522"/>
      <c r="DK271" s="522"/>
      <c r="DL271" s="649"/>
      <c r="DM271" s="649"/>
      <c r="DN271" s="649"/>
      <c r="DO271" s="522"/>
      <c r="DP271" s="522"/>
      <c r="DQ271" s="522"/>
      <c r="DR271" s="522"/>
      <c r="DS271" s="522"/>
      <c r="DT271" s="522"/>
      <c r="DU271" s="522"/>
      <c r="DV271" s="522"/>
      <c r="DW271" s="522"/>
      <c r="DX271" s="522"/>
      <c r="DY271" s="522"/>
      <c r="DZ271" s="522"/>
      <c r="EA271" s="522"/>
      <c r="EB271" s="522"/>
      <c r="EC271" s="522"/>
      <c r="ED271" s="522"/>
      <c r="EE271" s="522"/>
      <c r="EF271" s="522"/>
      <c r="EG271" s="649">
        <f t="shared" si="272"/>
        <v>23.204999999999998</v>
      </c>
      <c r="EH271" s="522">
        <v>0</v>
      </c>
      <c r="EI271" s="649">
        <v>2</v>
      </c>
      <c r="EJ271" s="649">
        <v>4</v>
      </c>
      <c r="EK271" s="649">
        <v>9</v>
      </c>
      <c r="EL271" s="522"/>
      <c r="EM271" s="522"/>
      <c r="EN271" s="522"/>
      <c r="EO271" s="522"/>
      <c r="EP271" s="522"/>
      <c r="EQ271" s="522"/>
      <c r="ER271" s="522"/>
      <c r="ES271" s="407"/>
      <c r="ET271" s="407"/>
    </row>
    <row r="272" spans="1:150" s="357" customFormat="1" ht="15">
      <c r="A272" s="675" t="s">
        <v>5</v>
      </c>
      <c r="B272" s="712">
        <v>41898</v>
      </c>
      <c r="C272" s="358">
        <v>0</v>
      </c>
      <c r="D272" s="405">
        <v>0</v>
      </c>
      <c r="E272" s="681">
        <v>0</v>
      </c>
      <c r="F272" s="681">
        <v>57</v>
      </c>
      <c r="G272" s="681">
        <v>0.4</v>
      </c>
      <c r="H272" s="405">
        <v>1.4</v>
      </c>
      <c r="I272" s="405">
        <v>93</v>
      </c>
      <c r="J272" s="405" t="s">
        <v>744</v>
      </c>
      <c r="K272" s="405">
        <v>0.85</v>
      </c>
      <c r="L272" s="644">
        <v>0</v>
      </c>
      <c r="M272" s="405">
        <v>16.2</v>
      </c>
      <c r="N272" s="405" t="s">
        <v>744</v>
      </c>
      <c r="O272" s="405" t="s">
        <v>743</v>
      </c>
      <c r="P272" s="405">
        <v>1.97</v>
      </c>
      <c r="Q272" s="405">
        <v>2.7060487462133183</v>
      </c>
      <c r="R272" s="790">
        <v>1839.7797622192863</v>
      </c>
      <c r="S272" s="405" t="s">
        <v>744</v>
      </c>
      <c r="T272" s="405">
        <v>8.02</v>
      </c>
      <c r="U272" s="405" t="s">
        <v>744</v>
      </c>
      <c r="V272" s="681">
        <v>0.74</v>
      </c>
      <c r="W272" s="681" t="e">
        <v>#VALUE!</v>
      </c>
      <c r="X272" s="647">
        <v>60.620000000000005</v>
      </c>
      <c r="Y272" s="383">
        <v>33.49</v>
      </c>
      <c r="Z272" s="681">
        <v>47.92</v>
      </c>
      <c r="AA272" s="794">
        <v>33.36</v>
      </c>
      <c r="AB272" s="794">
        <v>47.9</v>
      </c>
      <c r="AC272" s="775">
        <f t="shared" ref="AC272" si="277">AA272+AB272</f>
        <v>81.259999999999991</v>
      </c>
      <c r="AD272" s="775">
        <f t="shared" ref="AD272" si="278">AC272*1.547</f>
        <v>125.70921999999997</v>
      </c>
      <c r="AE272" s="705"/>
      <c r="AF272" s="775"/>
      <c r="AG272" s="407">
        <v>1.6</v>
      </c>
      <c r="AH272" s="705"/>
      <c r="AI272" s="705"/>
      <c r="AJ272" s="407"/>
      <c r="AK272" s="407"/>
      <c r="AL272" s="407"/>
      <c r="AM272" s="407"/>
      <c r="AN272" s="407"/>
      <c r="AO272" s="387"/>
      <c r="AP272" s="387"/>
      <c r="AQ272" s="405"/>
      <c r="AR272" s="578">
        <v>0</v>
      </c>
      <c r="AS272" s="405">
        <v>15</v>
      </c>
      <c r="AT272" s="578">
        <v>0</v>
      </c>
      <c r="AU272" s="405">
        <v>34</v>
      </c>
      <c r="AV272" s="405">
        <v>670.8</v>
      </c>
      <c r="AW272" s="405">
        <v>930.3</v>
      </c>
      <c r="AX272" s="405">
        <v>23.8</v>
      </c>
      <c r="AY272" s="578">
        <v>0</v>
      </c>
      <c r="AZ272" s="578">
        <v>0</v>
      </c>
      <c r="BA272" s="578">
        <v>0</v>
      </c>
      <c r="BB272" s="925">
        <v>1.59</v>
      </c>
      <c r="BC272" s="405">
        <v>1</v>
      </c>
      <c r="BD272" s="405">
        <v>2.17</v>
      </c>
      <c r="BE272" s="578">
        <v>0</v>
      </c>
      <c r="BF272" s="405">
        <v>0.5</v>
      </c>
      <c r="BG272" s="405">
        <v>0</v>
      </c>
      <c r="BH272" s="578">
        <v>0</v>
      </c>
      <c r="BI272" s="405">
        <v>2.02</v>
      </c>
      <c r="BJ272" s="405">
        <v>42.4</v>
      </c>
      <c r="BK272" s="405">
        <v>4.29</v>
      </c>
      <c r="BL272" s="405">
        <v>4.6100000000000003</v>
      </c>
      <c r="BM272" s="405">
        <v>0</v>
      </c>
      <c r="BN272" s="405">
        <v>31.6</v>
      </c>
      <c r="BO272" s="405">
        <v>2002.5</v>
      </c>
      <c r="BP272" s="405">
        <v>0</v>
      </c>
      <c r="BQ272" s="649">
        <v>20.100000000000001</v>
      </c>
      <c r="BR272" s="649">
        <v>20.149999999999999</v>
      </c>
      <c r="BS272" s="649">
        <v>15.48</v>
      </c>
      <c r="BT272" s="649">
        <v>15.57</v>
      </c>
      <c r="BU272" s="648">
        <v>31</v>
      </c>
      <c r="BV272" s="648">
        <v>33.9</v>
      </c>
      <c r="BW272" s="649">
        <v>1021.9</v>
      </c>
      <c r="BX272" s="876"/>
      <c r="BY272" s="649">
        <v>0.8</v>
      </c>
      <c r="BZ272" s="649">
        <v>1.59</v>
      </c>
      <c r="CA272" s="649">
        <v>1.3</v>
      </c>
      <c r="CB272" s="649">
        <v>8.6999999999999993</v>
      </c>
      <c r="CC272" s="649">
        <v>7.9</v>
      </c>
      <c r="CD272" s="649">
        <v>15.5</v>
      </c>
      <c r="CE272" s="649">
        <v>29.9</v>
      </c>
      <c r="CF272" s="649">
        <v>12.4</v>
      </c>
      <c r="CG272" s="649">
        <v>8.85</v>
      </c>
      <c r="CH272" s="649">
        <v>14.3</v>
      </c>
      <c r="CI272" s="649">
        <v>18.8</v>
      </c>
      <c r="CJ272" s="649">
        <v>13.73</v>
      </c>
      <c r="CK272" s="649">
        <v>574.79999999999995</v>
      </c>
      <c r="CL272" s="649">
        <v>3</v>
      </c>
      <c r="CM272" s="649">
        <v>3.3</v>
      </c>
      <c r="CN272" s="1112">
        <v>1000</v>
      </c>
      <c r="CO272" s="649">
        <v>692</v>
      </c>
      <c r="CP272" s="649">
        <v>641</v>
      </c>
      <c r="CQ272" s="649">
        <v>14.3</v>
      </c>
      <c r="CR272" s="649">
        <v>1.07</v>
      </c>
      <c r="CS272" s="405">
        <v>0</v>
      </c>
      <c r="CT272" s="405">
        <v>16.166</v>
      </c>
      <c r="CU272" s="405">
        <v>66</v>
      </c>
      <c r="CV272" s="522">
        <v>0</v>
      </c>
      <c r="CW272" s="522">
        <v>0</v>
      </c>
      <c r="CX272" s="522">
        <v>0</v>
      </c>
      <c r="CY272" s="522">
        <v>0</v>
      </c>
      <c r="CZ272" s="689">
        <v>378</v>
      </c>
      <c r="DA272" s="689">
        <v>378</v>
      </c>
      <c r="DB272" s="689">
        <v>225</v>
      </c>
      <c r="DC272" s="643">
        <v>1147.28</v>
      </c>
      <c r="DD272" s="808"/>
      <c r="DE272" s="522"/>
      <c r="DF272" s="522"/>
      <c r="DG272" s="522"/>
      <c r="DH272" s="522"/>
      <c r="DI272" s="522"/>
      <c r="DJ272" s="522"/>
      <c r="DK272" s="522"/>
      <c r="DL272" s="649"/>
      <c r="DM272" s="649"/>
      <c r="DN272" s="649"/>
      <c r="DO272" s="522"/>
      <c r="DP272" s="522"/>
      <c r="DQ272" s="522"/>
      <c r="DR272" s="522"/>
      <c r="DS272" s="522"/>
      <c r="DT272" s="522"/>
      <c r="DU272" s="522"/>
      <c r="DV272" s="522"/>
      <c r="DW272" s="522"/>
      <c r="DX272" s="522"/>
      <c r="DY272" s="522"/>
      <c r="DZ272" s="522"/>
      <c r="EA272" s="522"/>
      <c r="EB272" s="522"/>
      <c r="EC272" s="522"/>
      <c r="ED272" s="522"/>
      <c r="EE272" s="522"/>
      <c r="EF272" s="522"/>
      <c r="EG272" s="649">
        <f t="shared" si="272"/>
        <v>22.4315</v>
      </c>
      <c r="EH272" s="522">
        <v>0</v>
      </c>
      <c r="EI272" s="649">
        <v>2</v>
      </c>
      <c r="EJ272" s="649">
        <v>3.5</v>
      </c>
      <c r="EK272" s="649">
        <v>9</v>
      </c>
      <c r="EL272" s="522"/>
      <c r="EM272" s="522"/>
      <c r="EN272" s="522"/>
      <c r="EO272" s="522"/>
      <c r="EP272" s="522"/>
      <c r="EQ272" s="522"/>
      <c r="ER272" s="522"/>
      <c r="ES272" s="407"/>
      <c r="ET272" s="407"/>
    </row>
    <row r="273" spans="1:150" s="357" customFormat="1" ht="15">
      <c r="A273" s="675" t="s">
        <v>6</v>
      </c>
      <c r="B273" s="712">
        <v>41899</v>
      </c>
      <c r="C273" s="358">
        <v>0</v>
      </c>
      <c r="D273" s="405">
        <v>0</v>
      </c>
      <c r="E273" s="681">
        <v>0</v>
      </c>
      <c r="F273" s="681">
        <v>60</v>
      </c>
      <c r="G273" s="681">
        <v>0.4</v>
      </c>
      <c r="H273" s="405">
        <v>0.92</v>
      </c>
      <c r="I273" s="405">
        <v>92.9</v>
      </c>
      <c r="J273" s="405" t="s">
        <v>744</v>
      </c>
      <c r="K273" s="405">
        <v>0.84</v>
      </c>
      <c r="L273" s="644">
        <v>0</v>
      </c>
      <c r="M273" s="405">
        <v>16.2</v>
      </c>
      <c r="N273" s="405" t="s">
        <v>744</v>
      </c>
      <c r="O273" s="405" t="s">
        <v>743</v>
      </c>
      <c r="P273" s="405">
        <v>1.85</v>
      </c>
      <c r="Q273" s="405">
        <v>2.7491511810798279</v>
      </c>
      <c r="R273" s="790">
        <v>1875.733204755614</v>
      </c>
      <c r="S273" s="405" t="s">
        <v>744</v>
      </c>
      <c r="T273" s="405">
        <v>7.99</v>
      </c>
      <c r="U273" s="405" t="s">
        <v>744</v>
      </c>
      <c r="V273" s="681">
        <v>0.76</v>
      </c>
      <c r="W273" s="681" t="e">
        <v>#VALUE!</v>
      </c>
      <c r="X273" s="647">
        <v>61.34</v>
      </c>
      <c r="Y273" s="383">
        <v>33.36</v>
      </c>
      <c r="Z273" s="681">
        <v>47.9</v>
      </c>
      <c r="AA273" s="794">
        <v>33.5</v>
      </c>
      <c r="AB273" s="794">
        <v>47.8</v>
      </c>
      <c r="AC273" s="775">
        <f t="shared" ref="AC273:AC284" si="279">AA273+AB273</f>
        <v>81.3</v>
      </c>
      <c r="AD273" s="775">
        <f t="shared" ref="AD273:AD284" si="280">AC273*1.547</f>
        <v>125.77109999999999</v>
      </c>
      <c r="AE273" s="705"/>
      <c r="AF273" s="775"/>
      <c r="AG273" s="407">
        <v>1.6</v>
      </c>
      <c r="AH273" s="705"/>
      <c r="AI273" s="705"/>
      <c r="AJ273" s="407"/>
      <c r="AK273" s="407"/>
      <c r="AL273" s="407"/>
      <c r="AM273" s="407"/>
      <c r="AN273" s="407"/>
      <c r="AO273" s="387"/>
      <c r="AP273" s="387"/>
      <c r="AQ273" s="405"/>
      <c r="AR273" s="578">
        <v>0</v>
      </c>
      <c r="AS273" s="405">
        <v>11.9</v>
      </c>
      <c r="AT273" s="578">
        <v>0</v>
      </c>
      <c r="AU273" s="405">
        <v>34.1</v>
      </c>
      <c r="AV273" s="405">
        <v>611.1</v>
      </c>
      <c r="AW273" s="405">
        <v>867.3</v>
      </c>
      <c r="AX273" s="405">
        <v>33.4</v>
      </c>
      <c r="AY273" s="578">
        <v>0</v>
      </c>
      <c r="AZ273" s="578">
        <v>0</v>
      </c>
      <c r="BA273" s="578">
        <v>0</v>
      </c>
      <c r="BB273" s="925">
        <v>1.6</v>
      </c>
      <c r="BC273" s="405">
        <v>1</v>
      </c>
      <c r="BD273" s="405">
        <v>2</v>
      </c>
      <c r="BE273" s="578">
        <v>0</v>
      </c>
      <c r="BF273" s="405">
        <v>0.5</v>
      </c>
      <c r="BG273" s="405">
        <v>0</v>
      </c>
      <c r="BH273" s="578">
        <v>0</v>
      </c>
      <c r="BI273" s="405">
        <v>2.02</v>
      </c>
      <c r="BJ273" s="405">
        <v>42.4</v>
      </c>
      <c r="BK273" s="405">
        <v>3.85</v>
      </c>
      <c r="BL273" s="405">
        <v>5.19</v>
      </c>
      <c r="BM273" s="405">
        <v>0</v>
      </c>
      <c r="BN273" s="405">
        <v>31.5</v>
      </c>
      <c r="BO273" s="405">
        <v>1899.4</v>
      </c>
      <c r="BP273" s="405">
        <v>0</v>
      </c>
      <c r="BQ273" s="649">
        <v>21.56</v>
      </c>
      <c r="BR273" s="649">
        <v>21.69</v>
      </c>
      <c r="BS273" s="649">
        <v>15.61</v>
      </c>
      <c r="BT273" s="649">
        <v>15.72</v>
      </c>
      <c r="BU273" s="648">
        <v>31.2</v>
      </c>
      <c r="BV273" s="648">
        <v>34</v>
      </c>
      <c r="BW273" s="649">
        <v>1093.5</v>
      </c>
      <c r="BX273" s="876"/>
      <c r="BY273" s="649">
        <v>0.91</v>
      </c>
      <c r="BZ273" s="649">
        <v>1.61</v>
      </c>
      <c r="CA273" s="649">
        <v>1.3</v>
      </c>
      <c r="CB273" s="649">
        <v>8.6999999999999993</v>
      </c>
      <c r="CC273" s="649">
        <v>7.9</v>
      </c>
      <c r="CD273" s="649">
        <v>15.5</v>
      </c>
      <c r="CE273" s="649">
        <v>29.9</v>
      </c>
      <c r="CF273" s="649">
        <v>12.4</v>
      </c>
      <c r="CG273" s="649">
        <v>8.85</v>
      </c>
      <c r="CH273" s="649">
        <v>14.3</v>
      </c>
      <c r="CI273" s="649">
        <v>18.8</v>
      </c>
      <c r="CJ273" s="649">
        <v>13.73</v>
      </c>
      <c r="CK273" s="649">
        <v>581.20000000000005</v>
      </c>
      <c r="CL273" s="649">
        <v>2.4</v>
      </c>
      <c r="CM273" s="649">
        <v>2.9</v>
      </c>
      <c r="CN273" s="991">
        <v>1000</v>
      </c>
      <c r="CO273" s="649">
        <v>665.7</v>
      </c>
      <c r="CP273" s="649">
        <v>642.4</v>
      </c>
      <c r="CQ273" s="649">
        <v>14.6</v>
      </c>
      <c r="CR273" s="649">
        <v>1.1100000000000001</v>
      </c>
      <c r="CS273" s="405">
        <v>0</v>
      </c>
      <c r="CT273" s="405">
        <v>16.213000000000001</v>
      </c>
      <c r="CU273" s="405">
        <v>66</v>
      </c>
      <c r="CV273" s="522">
        <v>0</v>
      </c>
      <c r="CW273" s="522">
        <v>0</v>
      </c>
      <c r="CX273" s="522">
        <v>0</v>
      </c>
      <c r="CY273" s="522">
        <v>0</v>
      </c>
      <c r="CZ273" s="689">
        <v>378</v>
      </c>
      <c r="DA273" s="689">
        <v>378</v>
      </c>
      <c r="DB273" s="689">
        <v>255</v>
      </c>
      <c r="DC273" s="643">
        <v>1146.78</v>
      </c>
      <c r="DD273" s="808"/>
      <c r="DE273" s="522"/>
      <c r="DF273" s="522"/>
      <c r="DG273" s="522"/>
      <c r="DH273" s="522"/>
      <c r="DI273" s="522"/>
      <c r="DJ273" s="522"/>
      <c r="DK273" s="522"/>
      <c r="DL273" s="649"/>
      <c r="DM273" s="649"/>
      <c r="DN273" s="649"/>
      <c r="DO273" s="522"/>
      <c r="DP273" s="522"/>
      <c r="DQ273" s="522"/>
      <c r="DR273" s="522"/>
      <c r="DS273" s="522"/>
      <c r="DT273" s="522"/>
      <c r="DU273" s="522"/>
      <c r="DV273" s="522"/>
      <c r="DW273" s="522"/>
      <c r="DX273" s="522"/>
      <c r="DY273" s="522"/>
      <c r="DZ273" s="522"/>
      <c r="EA273" s="522"/>
      <c r="EB273" s="522"/>
      <c r="EC273" s="522"/>
      <c r="ED273" s="522"/>
      <c r="EE273" s="522"/>
      <c r="EF273" s="522"/>
      <c r="EG273" s="649">
        <f t="shared" si="272"/>
        <v>22.4315</v>
      </c>
      <c r="EH273" s="522">
        <v>0</v>
      </c>
      <c r="EI273" s="649">
        <v>2</v>
      </c>
      <c r="EJ273" s="649">
        <v>3.5</v>
      </c>
      <c r="EK273" s="649">
        <v>9</v>
      </c>
      <c r="EL273" s="522"/>
      <c r="EM273" s="522"/>
      <c r="EN273" s="522"/>
      <c r="EO273" s="522"/>
      <c r="EP273" s="522"/>
      <c r="EQ273" s="522"/>
      <c r="ER273" s="522"/>
      <c r="ES273" s="407"/>
      <c r="ET273" s="407"/>
    </row>
    <row r="274" spans="1:150" s="357" customFormat="1" ht="15">
      <c r="A274" s="675" t="s">
        <v>7</v>
      </c>
      <c r="B274" s="712">
        <v>41900</v>
      </c>
      <c r="C274" s="358">
        <v>0</v>
      </c>
      <c r="D274" s="405">
        <v>0.01</v>
      </c>
      <c r="E274" s="681">
        <v>0</v>
      </c>
      <c r="F274" s="681">
        <v>61</v>
      </c>
      <c r="G274" s="681">
        <v>0.45</v>
      </c>
      <c r="H274" s="405">
        <v>0.95</v>
      </c>
      <c r="I274" s="405">
        <v>92.85</v>
      </c>
      <c r="J274" s="405" t="s">
        <v>744</v>
      </c>
      <c r="K274" s="405">
        <v>0.84</v>
      </c>
      <c r="L274" s="644">
        <v>0</v>
      </c>
      <c r="M274" s="405">
        <v>16.2</v>
      </c>
      <c r="N274" s="405" t="s">
        <v>744</v>
      </c>
      <c r="O274" s="405" t="s">
        <v>743</v>
      </c>
      <c r="P274" s="405">
        <v>1.96</v>
      </c>
      <c r="Q274" s="405">
        <v>2.7530581778740513</v>
      </c>
      <c r="R274" s="790">
        <v>1779.2095482166444</v>
      </c>
      <c r="S274" s="405" t="s">
        <v>744</v>
      </c>
      <c r="T274" s="405">
        <v>7.84</v>
      </c>
      <c r="U274" s="405" t="s">
        <v>744</v>
      </c>
      <c r="V274" s="681">
        <v>0.8</v>
      </c>
      <c r="W274" s="681" t="e">
        <v>#VALUE!</v>
      </c>
      <c r="X274" s="647">
        <v>61.34</v>
      </c>
      <c r="Y274" s="383">
        <v>33.5</v>
      </c>
      <c r="Z274" s="681">
        <v>47.8</v>
      </c>
      <c r="AA274" s="794">
        <v>32</v>
      </c>
      <c r="AB274" s="794">
        <v>45.57</v>
      </c>
      <c r="AC274" s="775">
        <f t="shared" si="279"/>
        <v>77.569999999999993</v>
      </c>
      <c r="AD274" s="775">
        <f t="shared" si="280"/>
        <v>120.00078999999998</v>
      </c>
      <c r="AE274" s="705"/>
      <c r="AF274" s="775"/>
      <c r="AG274" s="407">
        <v>1.6</v>
      </c>
      <c r="AH274" s="705"/>
      <c r="AI274" s="705"/>
      <c r="AJ274" s="407"/>
      <c r="AK274" s="407"/>
      <c r="AL274" s="407"/>
      <c r="AM274" s="407"/>
      <c r="AN274" s="407"/>
      <c r="AO274" s="387"/>
      <c r="AP274" s="387"/>
      <c r="AQ274" s="405"/>
      <c r="AR274" s="578">
        <v>0</v>
      </c>
      <c r="AS274" s="405">
        <v>11.3</v>
      </c>
      <c r="AT274" s="578">
        <v>0</v>
      </c>
      <c r="AU274" s="405">
        <v>32.799999999999997</v>
      </c>
      <c r="AV274" s="405">
        <v>480</v>
      </c>
      <c r="AW274" s="405">
        <v>653.29999999999995</v>
      </c>
      <c r="AX274" s="405">
        <v>25.4</v>
      </c>
      <c r="AY274" s="578">
        <v>0</v>
      </c>
      <c r="AZ274" s="578">
        <v>0</v>
      </c>
      <c r="BA274" s="578">
        <v>0</v>
      </c>
      <c r="BB274" s="925">
        <v>1.6</v>
      </c>
      <c r="BC274" s="405">
        <v>1.01</v>
      </c>
      <c r="BD274" s="405">
        <v>2</v>
      </c>
      <c r="BE274" s="578">
        <v>0</v>
      </c>
      <c r="BF274" s="405">
        <v>0.5</v>
      </c>
      <c r="BG274" s="405">
        <v>0</v>
      </c>
      <c r="BH274" s="578">
        <v>0</v>
      </c>
      <c r="BI274" s="405">
        <v>2.02</v>
      </c>
      <c r="BJ274" s="405">
        <v>40.200000000000003</v>
      </c>
      <c r="BK274" s="405">
        <v>3.28</v>
      </c>
      <c r="BL274" s="405">
        <v>5.86</v>
      </c>
      <c r="BM274" s="405">
        <v>0</v>
      </c>
      <c r="BN274" s="405">
        <v>29.2</v>
      </c>
      <c r="BO274" s="405">
        <v>1651.6</v>
      </c>
      <c r="BP274" s="405">
        <v>0</v>
      </c>
      <c r="BQ274" s="649">
        <v>22.28</v>
      </c>
      <c r="BR274" s="649">
        <v>22.43</v>
      </c>
      <c r="BS274" s="649">
        <v>15.17</v>
      </c>
      <c r="BT274" s="649">
        <v>15.26</v>
      </c>
      <c r="BU274" s="648">
        <v>30.4</v>
      </c>
      <c r="BV274" s="648">
        <v>35.4</v>
      </c>
      <c r="BW274" s="649">
        <v>874.7</v>
      </c>
      <c r="BX274" s="876"/>
      <c r="BY274" s="649">
        <v>0.8</v>
      </c>
      <c r="BZ274" s="649">
        <v>1.61</v>
      </c>
      <c r="CA274" s="649">
        <v>1.3</v>
      </c>
      <c r="CB274" s="649">
        <v>8.6999999999999993</v>
      </c>
      <c r="CC274" s="649">
        <v>7.9</v>
      </c>
      <c r="CD274" s="649">
        <v>15</v>
      </c>
      <c r="CE274" s="649">
        <v>30.4</v>
      </c>
      <c r="CF274" s="649">
        <v>22.4</v>
      </c>
      <c r="CG274" s="649">
        <v>8.6999999999999993</v>
      </c>
      <c r="CH274" s="649">
        <v>14.1</v>
      </c>
      <c r="CI274" s="649">
        <v>18.600000000000001</v>
      </c>
      <c r="CJ274" s="649">
        <v>13.5</v>
      </c>
      <c r="CK274" s="649">
        <v>581.20000000000005</v>
      </c>
      <c r="CL274" s="649">
        <v>2.5</v>
      </c>
      <c r="CM274" s="649">
        <v>2.9</v>
      </c>
      <c r="CN274" s="991">
        <v>1000</v>
      </c>
      <c r="CO274" s="649">
        <v>576.9</v>
      </c>
      <c r="CP274" s="649">
        <v>626.29999999999995</v>
      </c>
      <c r="CQ274" s="649">
        <v>14.7</v>
      </c>
      <c r="CR274" s="649">
        <v>1.1200000000000001</v>
      </c>
      <c r="CS274" s="405">
        <v>0</v>
      </c>
      <c r="CT274" s="405">
        <v>16.55</v>
      </c>
      <c r="CU274" s="405">
        <v>66</v>
      </c>
      <c r="CV274" s="522">
        <v>0</v>
      </c>
      <c r="CW274" s="522">
        <v>0</v>
      </c>
      <c r="CX274" s="522">
        <v>0</v>
      </c>
      <c r="CY274" s="522">
        <v>0</v>
      </c>
      <c r="CZ274" s="689">
        <v>400</v>
      </c>
      <c r="DA274" s="689">
        <v>378</v>
      </c>
      <c r="DB274" s="689">
        <v>296</v>
      </c>
      <c r="DC274" s="643">
        <v>1146.27</v>
      </c>
      <c r="DD274" s="808"/>
      <c r="DE274" s="522"/>
      <c r="DF274" s="522"/>
      <c r="DG274" s="522"/>
      <c r="DH274" s="522"/>
      <c r="DI274" s="522"/>
      <c r="DJ274" s="522"/>
      <c r="DK274" s="522"/>
      <c r="DL274" s="649"/>
      <c r="DM274" s="649"/>
      <c r="DN274" s="649"/>
      <c r="DO274" s="522"/>
      <c r="DP274" s="522"/>
      <c r="DQ274" s="522"/>
      <c r="DR274" s="522"/>
      <c r="DS274" s="522"/>
      <c r="DT274" s="522"/>
      <c r="DU274" s="522"/>
      <c r="DV274" s="522"/>
      <c r="DW274" s="522"/>
      <c r="DX274" s="522"/>
      <c r="DY274" s="522"/>
      <c r="DZ274" s="522"/>
      <c r="EA274" s="522"/>
      <c r="EB274" s="522"/>
      <c r="EC274" s="522"/>
      <c r="ED274" s="522"/>
      <c r="EE274" s="522"/>
      <c r="EF274" s="522"/>
      <c r="EG274" s="649">
        <f t="shared" si="272"/>
        <v>22.4315</v>
      </c>
      <c r="EH274" s="522">
        <v>0</v>
      </c>
      <c r="EI274" s="649">
        <v>2</v>
      </c>
      <c r="EJ274" s="649">
        <v>3.5</v>
      </c>
      <c r="EK274" s="649">
        <v>9</v>
      </c>
      <c r="EL274" s="522"/>
      <c r="EM274" s="522"/>
      <c r="EN274" s="522"/>
      <c r="EO274" s="522"/>
      <c r="EP274" s="522"/>
      <c r="EQ274" s="522"/>
      <c r="ER274" s="522"/>
      <c r="ES274" s="407"/>
      <c r="ET274" s="407"/>
    </row>
    <row r="275" spans="1:150" s="357" customFormat="1" ht="15">
      <c r="A275" s="675" t="s">
        <v>8</v>
      </c>
      <c r="B275" s="712">
        <v>41901</v>
      </c>
      <c r="C275" s="358">
        <v>0</v>
      </c>
      <c r="D275" s="405">
        <v>0</v>
      </c>
      <c r="E275" s="681">
        <v>0</v>
      </c>
      <c r="F275" s="681">
        <v>58</v>
      </c>
      <c r="G275" s="681">
        <v>0.55000000000000004</v>
      </c>
      <c r="H275" s="405">
        <v>1.1299999999999999</v>
      </c>
      <c r="I275" s="405">
        <v>92.1</v>
      </c>
      <c r="J275" s="405" t="s">
        <v>744</v>
      </c>
      <c r="K275" s="405">
        <v>0.97</v>
      </c>
      <c r="L275" s="644">
        <v>0</v>
      </c>
      <c r="M275" s="405">
        <v>16.3</v>
      </c>
      <c r="N275" s="405" t="s">
        <v>744</v>
      </c>
      <c r="O275" s="405" t="s">
        <v>743</v>
      </c>
      <c r="P275" s="405">
        <v>1.98</v>
      </c>
      <c r="Q275" s="405">
        <v>2.7505131428726401</v>
      </c>
      <c r="R275" s="790">
        <v>1709.8939022457064</v>
      </c>
      <c r="S275" s="405" t="s">
        <v>744</v>
      </c>
      <c r="T275" s="405">
        <v>7.87</v>
      </c>
      <c r="U275" s="405" t="s">
        <v>744</v>
      </c>
      <c r="V275" s="681">
        <v>0.78</v>
      </c>
      <c r="W275" s="681" t="e">
        <v>#VALUE!</v>
      </c>
      <c r="X275" s="647">
        <v>61.34</v>
      </c>
      <c r="Y275" s="383">
        <v>32</v>
      </c>
      <c r="Z275" s="681">
        <v>45.57</v>
      </c>
      <c r="AA275" s="794">
        <v>30.4</v>
      </c>
      <c r="AB275" s="794">
        <v>44.93</v>
      </c>
      <c r="AC275" s="775">
        <f t="shared" si="279"/>
        <v>75.33</v>
      </c>
      <c r="AD275" s="775">
        <f t="shared" si="280"/>
        <v>116.53550999999999</v>
      </c>
      <c r="AE275" s="705"/>
      <c r="AF275" s="775"/>
      <c r="AG275" s="407">
        <v>1.6</v>
      </c>
      <c r="AH275" s="705"/>
      <c r="AI275" s="705"/>
      <c r="AJ275" s="407"/>
      <c r="AK275" s="407"/>
      <c r="AL275" s="407"/>
      <c r="AM275" s="407"/>
      <c r="AN275" s="407"/>
      <c r="AO275" s="387"/>
      <c r="AP275" s="387"/>
      <c r="AQ275" s="405"/>
      <c r="AR275" s="578">
        <v>0</v>
      </c>
      <c r="AS275" s="405">
        <v>11.4</v>
      </c>
      <c r="AT275" s="578">
        <v>0</v>
      </c>
      <c r="AU275" s="405">
        <v>31</v>
      </c>
      <c r="AV275" s="405">
        <v>551.70000000000005</v>
      </c>
      <c r="AW275" s="405">
        <v>783.1</v>
      </c>
      <c r="AX275" s="405">
        <v>24.8</v>
      </c>
      <c r="AY275" s="578">
        <v>0</v>
      </c>
      <c r="AZ275" s="578">
        <v>0</v>
      </c>
      <c r="BA275" s="578">
        <v>0</v>
      </c>
      <c r="BB275" s="925">
        <v>1.6</v>
      </c>
      <c r="BC275" s="405">
        <v>0.89</v>
      </c>
      <c r="BD275" s="405">
        <v>2.11</v>
      </c>
      <c r="BE275" s="578">
        <v>0</v>
      </c>
      <c r="BF275" s="405">
        <v>0.5</v>
      </c>
      <c r="BG275" s="405">
        <v>0</v>
      </c>
      <c r="BH275" s="578">
        <v>0</v>
      </c>
      <c r="BI275" s="405">
        <v>2.02</v>
      </c>
      <c r="BJ275" s="405">
        <v>39.6</v>
      </c>
      <c r="BK275" s="405">
        <v>3.8</v>
      </c>
      <c r="BL275" s="405">
        <v>5.45</v>
      </c>
      <c r="BM275" s="405">
        <v>0</v>
      </c>
      <c r="BN275" s="405">
        <v>28.6</v>
      </c>
      <c r="BO275" s="405">
        <v>1881.5</v>
      </c>
      <c r="BP275" s="405">
        <v>0</v>
      </c>
      <c r="BQ275" s="649">
        <v>21.13</v>
      </c>
      <c r="BR275" s="649">
        <v>21.26</v>
      </c>
      <c r="BS275" s="649">
        <v>14.11</v>
      </c>
      <c r="BT275" s="649">
        <v>14.23</v>
      </c>
      <c r="BU275" s="648">
        <v>28.5</v>
      </c>
      <c r="BV275" s="648">
        <v>38.6</v>
      </c>
      <c r="BW275" s="649">
        <v>1051.9000000000001</v>
      </c>
      <c r="BX275" s="876"/>
      <c r="BY275" s="649">
        <v>2.36</v>
      </c>
      <c r="BZ275" s="649">
        <v>1.6</v>
      </c>
      <c r="CA275" s="649">
        <v>1.3</v>
      </c>
      <c r="CB275" s="649">
        <v>8.6</v>
      </c>
      <c r="CC275" s="649">
        <v>7.9</v>
      </c>
      <c r="CD275" s="649">
        <v>15.5</v>
      </c>
      <c r="CE275" s="649">
        <v>29.2</v>
      </c>
      <c r="CF275" s="649">
        <v>20.399999999999999</v>
      </c>
      <c r="CG275" s="649">
        <v>8.8000000000000007</v>
      </c>
      <c r="CH275" s="649">
        <v>14.2</v>
      </c>
      <c r="CI275" s="649">
        <v>18.7</v>
      </c>
      <c r="CJ275" s="649">
        <v>13.6</v>
      </c>
      <c r="CK275" s="649">
        <v>611</v>
      </c>
      <c r="CL275" s="649">
        <v>3.5</v>
      </c>
      <c r="CM275" s="649">
        <v>4.4000000000000004</v>
      </c>
      <c r="CN275" s="991">
        <v>1000</v>
      </c>
      <c r="CO275" s="649">
        <v>676.6</v>
      </c>
      <c r="CP275" s="649">
        <v>620.20000000000005</v>
      </c>
      <c r="CQ275" s="649">
        <v>14.9</v>
      </c>
      <c r="CR275" s="649">
        <v>1.17</v>
      </c>
      <c r="CS275" s="405">
        <v>0</v>
      </c>
      <c r="CT275" s="405">
        <v>17.707000000000001</v>
      </c>
      <c r="CU275" s="405">
        <v>67</v>
      </c>
      <c r="CV275" s="522">
        <v>0</v>
      </c>
      <c r="CW275" s="522">
        <v>0</v>
      </c>
      <c r="CX275" s="522">
        <v>0</v>
      </c>
      <c r="CY275" s="522">
        <v>0</v>
      </c>
      <c r="CZ275" s="689">
        <v>463</v>
      </c>
      <c r="DA275" s="689">
        <v>429</v>
      </c>
      <c r="DB275" s="689">
        <v>353</v>
      </c>
      <c r="DC275" s="643">
        <v>1145.7</v>
      </c>
      <c r="DD275" s="808"/>
      <c r="DE275" s="522"/>
      <c r="DF275" s="522"/>
      <c r="DG275" s="522"/>
      <c r="DH275" s="522"/>
      <c r="DI275" s="522"/>
      <c r="DJ275" s="522"/>
      <c r="DK275" s="522"/>
      <c r="DL275" s="649"/>
      <c r="DM275" s="649"/>
      <c r="DN275" s="649"/>
      <c r="DO275" s="522"/>
      <c r="DP275" s="522"/>
      <c r="DQ275" s="522"/>
      <c r="DR275" s="522"/>
      <c r="DS275" s="522"/>
      <c r="DT275" s="522"/>
      <c r="DU275" s="522"/>
      <c r="DV275" s="522"/>
      <c r="DW275" s="522"/>
      <c r="DX275" s="522"/>
      <c r="DY275" s="522"/>
      <c r="DZ275" s="522"/>
      <c r="EA275" s="522"/>
      <c r="EB275" s="522"/>
      <c r="EC275" s="522"/>
      <c r="ED275" s="522"/>
      <c r="EE275" s="522"/>
      <c r="EF275" s="522"/>
      <c r="EG275" s="649">
        <f t="shared" si="272"/>
        <v>22.4315</v>
      </c>
      <c r="EH275" s="522">
        <v>0</v>
      </c>
      <c r="EI275" s="649">
        <v>2</v>
      </c>
      <c r="EJ275" s="649">
        <v>3.5</v>
      </c>
      <c r="EK275" s="649">
        <v>9</v>
      </c>
      <c r="EL275" s="522"/>
      <c r="EM275" s="522"/>
      <c r="EN275" s="522"/>
      <c r="EO275" s="522"/>
      <c r="EP275" s="522"/>
      <c r="EQ275" s="522"/>
      <c r="ER275" s="522"/>
      <c r="ES275" s="407"/>
      <c r="ET275" s="407"/>
    </row>
    <row r="276" spans="1:150" s="357" customFormat="1" ht="15">
      <c r="A276" s="675" t="s">
        <v>9</v>
      </c>
      <c r="B276" s="712">
        <v>41902</v>
      </c>
      <c r="C276" s="358">
        <v>0</v>
      </c>
      <c r="D276" s="405">
        <v>0</v>
      </c>
      <c r="E276" s="681">
        <v>0</v>
      </c>
      <c r="F276" s="681">
        <v>73</v>
      </c>
      <c r="G276" s="681">
        <v>0.55000000000000004</v>
      </c>
      <c r="H276" s="405">
        <v>1.1200000000000001</v>
      </c>
      <c r="I276" s="405">
        <v>93.7</v>
      </c>
      <c r="J276" s="405" t="s">
        <v>744</v>
      </c>
      <c r="K276" s="405">
        <v>0.97</v>
      </c>
      <c r="L276" s="644">
        <v>0</v>
      </c>
      <c r="M276" s="405">
        <v>16.2</v>
      </c>
      <c r="N276" s="405" t="s">
        <v>744</v>
      </c>
      <c r="O276" s="405" t="s">
        <v>743</v>
      </c>
      <c r="P276" s="405">
        <v>1.92</v>
      </c>
      <c r="Q276" s="405">
        <v>2.6737643381246974</v>
      </c>
      <c r="R276" s="790">
        <v>1689.163989431968</v>
      </c>
      <c r="S276" s="405" t="s">
        <v>744</v>
      </c>
      <c r="T276" s="405">
        <v>7.99</v>
      </c>
      <c r="U276" s="405" t="s">
        <v>744</v>
      </c>
      <c r="V276" s="681">
        <v>0.76</v>
      </c>
      <c r="W276" s="681" t="e">
        <v>#VALUE!</v>
      </c>
      <c r="X276" s="386">
        <v>60.8</v>
      </c>
      <c r="Y276" s="383">
        <v>30.4</v>
      </c>
      <c r="Z276" s="681">
        <v>44.93</v>
      </c>
      <c r="AA276" s="794">
        <v>30.4</v>
      </c>
      <c r="AB276" s="794">
        <v>45</v>
      </c>
      <c r="AC276" s="775">
        <f t="shared" si="279"/>
        <v>75.400000000000006</v>
      </c>
      <c r="AD276" s="775">
        <f t="shared" si="280"/>
        <v>116.6438</v>
      </c>
      <c r="AE276" s="705"/>
      <c r="AF276" s="775"/>
      <c r="AG276" s="407">
        <v>1.6</v>
      </c>
      <c r="AH276" s="705"/>
      <c r="AI276" s="705"/>
      <c r="AJ276" s="407"/>
      <c r="AK276" s="407"/>
      <c r="AL276" s="407"/>
      <c r="AM276" s="407"/>
      <c r="AN276" s="407"/>
      <c r="AO276" s="387"/>
      <c r="AP276" s="387"/>
      <c r="AQ276" s="405"/>
      <c r="AR276" s="578">
        <v>0</v>
      </c>
      <c r="AS276" s="405">
        <v>23.7</v>
      </c>
      <c r="AT276" s="578">
        <v>0</v>
      </c>
      <c r="AU276" s="405">
        <v>31</v>
      </c>
      <c r="AV276" s="405">
        <v>641.1</v>
      </c>
      <c r="AW276" s="405">
        <v>840.2</v>
      </c>
      <c r="AX276" s="405">
        <v>20.7</v>
      </c>
      <c r="AY276" s="578">
        <v>0</v>
      </c>
      <c r="AZ276" s="578">
        <v>0</v>
      </c>
      <c r="BA276" s="578">
        <v>0</v>
      </c>
      <c r="BB276" s="925">
        <v>1.59</v>
      </c>
      <c r="BC276" s="405">
        <v>1.17</v>
      </c>
      <c r="BD276" s="405">
        <v>2.17</v>
      </c>
      <c r="BE276" s="578">
        <v>0</v>
      </c>
      <c r="BF276" s="405">
        <v>0.5</v>
      </c>
      <c r="BG276" s="405">
        <v>0</v>
      </c>
      <c r="BH276" s="578">
        <v>0</v>
      </c>
      <c r="BI276" s="405">
        <v>2.02</v>
      </c>
      <c r="BJ276" s="405">
        <v>39.200000000000003</v>
      </c>
      <c r="BK276" s="405">
        <v>4.05</v>
      </c>
      <c r="BL276" s="405">
        <v>5.13</v>
      </c>
      <c r="BM276" s="405">
        <v>0</v>
      </c>
      <c r="BN276" s="405">
        <v>28.3</v>
      </c>
      <c r="BO276" s="405">
        <v>1857.1</v>
      </c>
      <c r="BP276" s="405">
        <v>0</v>
      </c>
      <c r="BQ276" s="649">
        <v>20.39</v>
      </c>
      <c r="BR276" s="649">
        <v>20.53</v>
      </c>
      <c r="BS276" s="649">
        <v>14.03</v>
      </c>
      <c r="BT276" s="649">
        <v>14.12</v>
      </c>
      <c r="BU276" s="648">
        <v>28.4</v>
      </c>
      <c r="BV276" s="648">
        <v>37.200000000000003</v>
      </c>
      <c r="BW276" s="649">
        <v>965.4</v>
      </c>
      <c r="BX276" s="876"/>
      <c r="BY276" s="649">
        <v>0.79</v>
      </c>
      <c r="BZ276" s="649">
        <v>1.6</v>
      </c>
      <c r="CA276" s="649">
        <v>1.3</v>
      </c>
      <c r="CB276" s="649">
        <v>8.6999999999999993</v>
      </c>
      <c r="CC276" s="649">
        <v>7.9</v>
      </c>
      <c r="CD276" s="649">
        <v>16.399999999999999</v>
      </c>
      <c r="CE276" s="689">
        <v>29.4</v>
      </c>
      <c r="CF276" s="649">
        <v>18.399999999999999</v>
      </c>
      <c r="CG276" s="649">
        <v>8.5</v>
      </c>
      <c r="CH276" s="649">
        <v>13.9</v>
      </c>
      <c r="CI276" s="649">
        <v>18.399999999999999</v>
      </c>
      <c r="CJ276" s="649">
        <v>13.8</v>
      </c>
      <c r="CK276" s="649">
        <v>461.3</v>
      </c>
      <c r="CL276" s="649">
        <v>3.7</v>
      </c>
      <c r="CM276" s="649">
        <v>4.3</v>
      </c>
      <c r="CN276" s="991">
        <v>1000</v>
      </c>
      <c r="CO276" s="649">
        <v>655.4</v>
      </c>
      <c r="CP276" s="649">
        <v>593.1</v>
      </c>
      <c r="CQ276" s="649">
        <v>14</v>
      </c>
      <c r="CR276" s="649">
        <v>1.06</v>
      </c>
      <c r="CS276" s="405">
        <v>0</v>
      </c>
      <c r="CT276" s="405">
        <v>17.277000000000001</v>
      </c>
      <c r="CU276" s="405">
        <v>67</v>
      </c>
      <c r="CV276" s="522">
        <v>0</v>
      </c>
      <c r="CW276" s="522">
        <v>0</v>
      </c>
      <c r="CX276" s="522">
        <v>0</v>
      </c>
      <c r="CY276" s="522">
        <v>0</v>
      </c>
      <c r="CZ276" s="689">
        <v>460</v>
      </c>
      <c r="DA276" s="689">
        <v>468</v>
      </c>
      <c r="DB276" s="689">
        <v>353</v>
      </c>
      <c r="DC276" s="643">
        <v>1145</v>
      </c>
      <c r="DD276" s="808"/>
      <c r="DE276" s="522"/>
      <c r="DF276" s="522"/>
      <c r="DG276" s="522"/>
      <c r="DH276" s="522"/>
      <c r="DI276" s="522"/>
      <c r="DJ276" s="522"/>
      <c r="DK276" s="522"/>
      <c r="DL276" s="649"/>
      <c r="DM276" s="649"/>
      <c r="DN276" s="649"/>
      <c r="DO276" s="522"/>
      <c r="DP276" s="522"/>
      <c r="DQ276" s="522"/>
      <c r="DR276" s="522"/>
      <c r="DS276" s="522"/>
      <c r="DT276" s="522"/>
      <c r="DU276" s="522"/>
      <c r="DV276" s="522"/>
      <c r="DW276" s="522"/>
      <c r="DX276" s="522"/>
      <c r="DY276" s="522"/>
      <c r="DZ276" s="522"/>
      <c r="EA276" s="522"/>
      <c r="EB276" s="522"/>
      <c r="EC276" s="522"/>
      <c r="ED276" s="522"/>
      <c r="EE276" s="522"/>
      <c r="EF276" s="522"/>
      <c r="EG276" s="649">
        <f t="shared" si="272"/>
        <v>23.204999999999998</v>
      </c>
      <c r="EH276" s="522">
        <v>0</v>
      </c>
      <c r="EI276" s="649">
        <v>2</v>
      </c>
      <c r="EJ276" s="649">
        <v>4</v>
      </c>
      <c r="EK276" s="649">
        <v>9</v>
      </c>
      <c r="EL276" s="522"/>
      <c r="EM276" s="522"/>
      <c r="EN276" s="522"/>
      <c r="EO276" s="522"/>
      <c r="EP276" s="522"/>
      <c r="EQ276" s="522"/>
      <c r="ER276" s="522"/>
      <c r="ES276" s="407"/>
      <c r="ET276" s="407"/>
    </row>
    <row r="277" spans="1:150" s="357" customFormat="1" ht="15">
      <c r="A277" s="675" t="s">
        <v>3</v>
      </c>
      <c r="B277" s="712">
        <v>41903</v>
      </c>
      <c r="C277" s="358">
        <v>0</v>
      </c>
      <c r="D277" s="405">
        <v>0</v>
      </c>
      <c r="E277" s="681">
        <v>0</v>
      </c>
      <c r="F277" s="681">
        <v>61</v>
      </c>
      <c r="G277" s="681">
        <v>0.55000000000000004</v>
      </c>
      <c r="H277" s="405">
        <v>1.1399999999999999</v>
      </c>
      <c r="I277" s="405">
        <v>93.11</v>
      </c>
      <c r="J277" s="405" t="s">
        <v>744</v>
      </c>
      <c r="K277" s="405">
        <v>1.05</v>
      </c>
      <c r="L277" s="644">
        <v>0</v>
      </c>
      <c r="M277" s="405">
        <v>16.100000000000001</v>
      </c>
      <c r="N277" s="405" t="s">
        <v>744</v>
      </c>
      <c r="O277" s="405" t="s">
        <v>743</v>
      </c>
      <c r="P277" s="405">
        <v>1.88</v>
      </c>
      <c r="Q277" s="405">
        <v>2.6455878258284122</v>
      </c>
      <c r="R277" s="790">
        <v>1670.7014108322321</v>
      </c>
      <c r="S277" s="405" t="s">
        <v>744</v>
      </c>
      <c r="T277" s="405">
        <v>8.0299999999999994</v>
      </c>
      <c r="U277" s="405" t="s">
        <v>744</v>
      </c>
      <c r="V277" s="681">
        <v>0.77</v>
      </c>
      <c r="W277" s="681" t="e">
        <v>#VALUE!</v>
      </c>
      <c r="X277" s="386">
        <v>61.519999999999996</v>
      </c>
      <c r="Y277" s="383">
        <v>30.4</v>
      </c>
      <c r="Z277" s="681">
        <v>45</v>
      </c>
      <c r="AA277" s="794">
        <v>30.4</v>
      </c>
      <c r="AB277" s="794">
        <v>44.9</v>
      </c>
      <c r="AC277" s="775">
        <f t="shared" si="279"/>
        <v>75.3</v>
      </c>
      <c r="AD277" s="775">
        <f t="shared" si="280"/>
        <v>116.48909999999999</v>
      </c>
      <c r="AE277" s="705"/>
      <c r="AF277" s="775"/>
      <c r="AG277" s="407">
        <v>1.6</v>
      </c>
      <c r="AH277" s="705"/>
      <c r="AI277" s="705"/>
      <c r="AJ277" s="407"/>
      <c r="AK277" s="407"/>
      <c r="AL277" s="407"/>
      <c r="AM277" s="407"/>
      <c r="AN277" s="407"/>
      <c r="AO277" s="387"/>
      <c r="AP277" s="387"/>
      <c r="AQ277" s="405"/>
      <c r="AR277" s="578">
        <v>0</v>
      </c>
      <c r="AS277" s="405">
        <v>12.4</v>
      </c>
      <c r="AT277" s="578">
        <v>0</v>
      </c>
      <c r="AU277" s="405">
        <v>31</v>
      </c>
      <c r="AV277" s="405">
        <v>815.8</v>
      </c>
      <c r="AW277" s="405">
        <v>1114.8</v>
      </c>
      <c r="AX277" s="405">
        <v>30.7</v>
      </c>
      <c r="AY277" s="578">
        <v>0</v>
      </c>
      <c r="AZ277" s="578">
        <v>0</v>
      </c>
      <c r="BA277" s="578">
        <v>0</v>
      </c>
      <c r="BB277" s="925">
        <v>1.59</v>
      </c>
      <c r="BC277" s="405">
        <v>1.34</v>
      </c>
      <c r="BD277" s="405">
        <v>2.17</v>
      </c>
      <c r="BE277" s="578">
        <v>0</v>
      </c>
      <c r="BF277" s="405">
        <v>0.5</v>
      </c>
      <c r="BG277" s="405">
        <v>0</v>
      </c>
      <c r="BH277" s="578">
        <v>0</v>
      </c>
      <c r="BI277" s="405">
        <v>2.02</v>
      </c>
      <c r="BJ277" s="405">
        <v>39</v>
      </c>
      <c r="BK277" s="405">
        <v>3.96</v>
      </c>
      <c r="BL277" s="405">
        <v>5.09</v>
      </c>
      <c r="BM277" s="405">
        <v>0</v>
      </c>
      <c r="BN277" s="405">
        <v>28.2</v>
      </c>
      <c r="BO277" s="405">
        <v>2042.5</v>
      </c>
      <c r="BP277" s="405">
        <v>0</v>
      </c>
      <c r="BQ277" s="649">
        <v>19.61</v>
      </c>
      <c r="BR277" s="649">
        <v>19.75</v>
      </c>
      <c r="BS277" s="649">
        <v>13.84</v>
      </c>
      <c r="BT277" s="649">
        <v>13.96</v>
      </c>
      <c r="BU277" s="648">
        <v>28</v>
      </c>
      <c r="BV277" s="648">
        <v>37</v>
      </c>
      <c r="BW277" s="649">
        <v>1300.8</v>
      </c>
      <c r="BX277" s="876"/>
      <c r="BY277" s="649">
        <v>0.84</v>
      </c>
      <c r="BZ277" s="649">
        <v>0.8</v>
      </c>
      <c r="CA277" s="649">
        <v>1.3</v>
      </c>
      <c r="CB277" s="649">
        <v>4.9000000000000004</v>
      </c>
      <c r="CC277" s="649">
        <v>7.9</v>
      </c>
      <c r="CD277" s="649">
        <v>15.3</v>
      </c>
      <c r="CE277" s="689">
        <v>29.1</v>
      </c>
      <c r="CF277" s="649">
        <v>16.3</v>
      </c>
      <c r="CG277" s="649">
        <v>8.5</v>
      </c>
      <c r="CH277" s="649">
        <v>13.9</v>
      </c>
      <c r="CI277" s="649">
        <v>18.399999999999999</v>
      </c>
      <c r="CJ277" s="649">
        <v>13.5</v>
      </c>
      <c r="CK277" s="649">
        <v>571.20000000000005</v>
      </c>
      <c r="CL277" s="649">
        <v>3</v>
      </c>
      <c r="CM277" s="649">
        <v>4.5999999999999996</v>
      </c>
      <c r="CN277" s="991">
        <v>1000</v>
      </c>
      <c r="CO277" s="649">
        <v>689.1</v>
      </c>
      <c r="CP277" s="649">
        <v>623.5</v>
      </c>
      <c r="CQ277" s="649">
        <v>14</v>
      </c>
      <c r="CR277" s="649">
        <v>1.04</v>
      </c>
      <c r="CS277" s="405">
        <v>0</v>
      </c>
      <c r="CT277" s="405">
        <v>17.783000000000001</v>
      </c>
      <c r="CU277" s="405">
        <v>67</v>
      </c>
      <c r="CV277" s="522">
        <v>0</v>
      </c>
      <c r="CW277" s="522">
        <v>0</v>
      </c>
      <c r="CX277" s="522">
        <v>0</v>
      </c>
      <c r="CY277" s="522">
        <v>0</v>
      </c>
      <c r="CZ277" s="689">
        <v>460</v>
      </c>
      <c r="DA277" s="689">
        <v>463</v>
      </c>
      <c r="DB277" s="689">
        <v>351</v>
      </c>
      <c r="DC277" s="643">
        <v>1144.32</v>
      </c>
      <c r="DD277" s="808"/>
      <c r="DE277" s="522"/>
      <c r="DF277" s="522"/>
      <c r="DG277" s="522"/>
      <c r="DH277" s="522"/>
      <c r="DI277" s="522"/>
      <c r="DJ277" s="522"/>
      <c r="DK277" s="522"/>
      <c r="DL277" s="649"/>
      <c r="DM277" s="649"/>
      <c r="DN277" s="649"/>
      <c r="DO277" s="522"/>
      <c r="DP277" s="522"/>
      <c r="DQ277" s="522"/>
      <c r="DR277" s="522"/>
      <c r="DS277" s="522"/>
      <c r="DT277" s="522"/>
      <c r="DU277" s="522"/>
      <c r="DV277" s="522"/>
      <c r="DW277" s="522"/>
      <c r="DX277" s="522"/>
      <c r="DY277" s="522"/>
      <c r="DZ277" s="522"/>
      <c r="EA277" s="522"/>
      <c r="EB277" s="522"/>
      <c r="EC277" s="522"/>
      <c r="ED277" s="522"/>
      <c r="EE277" s="522"/>
      <c r="EF277" s="522"/>
      <c r="EG277" s="649">
        <f t="shared" si="272"/>
        <v>23.204999999999998</v>
      </c>
      <c r="EH277" s="522">
        <v>0</v>
      </c>
      <c r="EI277" s="649">
        <v>2</v>
      </c>
      <c r="EJ277" s="649">
        <v>4</v>
      </c>
      <c r="EK277" s="649">
        <v>9</v>
      </c>
      <c r="EL277" s="522"/>
      <c r="EM277" s="522"/>
      <c r="EN277" s="522"/>
      <c r="EO277" s="522"/>
      <c r="EP277" s="522"/>
      <c r="EQ277" s="522"/>
      <c r="ER277" s="522"/>
      <c r="ES277" s="407"/>
      <c r="ET277" s="407"/>
    </row>
    <row r="278" spans="1:150" s="357" customFormat="1" ht="15">
      <c r="A278" s="675" t="s">
        <v>4</v>
      </c>
      <c r="B278" s="712">
        <v>41904</v>
      </c>
      <c r="C278" s="358">
        <v>0</v>
      </c>
      <c r="D278" s="405">
        <v>0.01</v>
      </c>
      <c r="E278" s="681">
        <v>0</v>
      </c>
      <c r="F278" s="681">
        <v>57</v>
      </c>
      <c r="G278" s="681">
        <v>0.55000000000000004</v>
      </c>
      <c r="H278" s="405">
        <v>1.05</v>
      </c>
      <c r="I278" s="405">
        <v>93</v>
      </c>
      <c r="J278" s="405" t="s">
        <v>744</v>
      </c>
      <c r="K278" s="405">
        <v>0.96</v>
      </c>
      <c r="L278" s="644">
        <v>0</v>
      </c>
      <c r="M278" s="405">
        <v>16.100000000000001</v>
      </c>
      <c r="N278" s="405" t="s">
        <v>744</v>
      </c>
      <c r="O278" s="405" t="s">
        <v>743</v>
      </c>
      <c r="P278" s="405">
        <v>1.89</v>
      </c>
      <c r="Q278" s="405">
        <v>2.6647454770088848</v>
      </c>
      <c r="R278" s="790">
        <v>1709.2460924702773</v>
      </c>
      <c r="S278" s="405" t="s">
        <v>744</v>
      </c>
      <c r="T278" s="405">
        <v>7.98</v>
      </c>
      <c r="U278" s="405" t="s">
        <v>744</v>
      </c>
      <c r="V278" s="681">
        <v>0.77</v>
      </c>
      <c r="W278" s="681" t="e">
        <v>#VALUE!</v>
      </c>
      <c r="X278" s="386">
        <v>61.519999999999996</v>
      </c>
      <c r="Y278" s="383">
        <v>30.4</v>
      </c>
      <c r="Z278" s="681">
        <v>44.9</v>
      </c>
      <c r="AA278" s="794">
        <v>30.4</v>
      </c>
      <c r="AB278" s="794">
        <v>45</v>
      </c>
      <c r="AC278" s="775">
        <f t="shared" si="279"/>
        <v>75.400000000000006</v>
      </c>
      <c r="AD278" s="775">
        <f t="shared" si="280"/>
        <v>116.6438</v>
      </c>
      <c r="AE278" s="705"/>
      <c r="AF278" s="775"/>
      <c r="AG278" s="407">
        <v>1.6</v>
      </c>
      <c r="AH278" s="705"/>
      <c r="AI278" s="705"/>
      <c r="AJ278" s="407"/>
      <c r="AK278" s="407"/>
      <c r="AL278" s="407"/>
      <c r="AM278" s="407"/>
      <c r="AN278" s="407"/>
      <c r="AO278" s="387"/>
      <c r="AP278" s="387"/>
      <c r="AQ278" s="405"/>
      <c r="AR278" s="578">
        <v>0</v>
      </c>
      <c r="AS278" s="405">
        <v>22.7</v>
      </c>
      <c r="AT278" s="578">
        <v>0</v>
      </c>
      <c r="AU278" s="405">
        <v>31</v>
      </c>
      <c r="AV278" s="405">
        <v>482.8</v>
      </c>
      <c r="AW278" s="405">
        <v>699</v>
      </c>
      <c r="AX278" s="405">
        <v>24.3</v>
      </c>
      <c r="AY278" s="578">
        <v>0</v>
      </c>
      <c r="AZ278" s="578">
        <v>0</v>
      </c>
      <c r="BA278" s="578">
        <v>0</v>
      </c>
      <c r="BB278" s="925">
        <v>1.6</v>
      </c>
      <c r="BC278" s="405">
        <v>1.1200000000000001</v>
      </c>
      <c r="BD278" s="405">
        <v>1.73</v>
      </c>
      <c r="BE278" s="578">
        <v>0</v>
      </c>
      <c r="BF278" s="405">
        <v>0.51</v>
      </c>
      <c r="BG278" s="405">
        <v>0</v>
      </c>
      <c r="BH278" s="578">
        <v>0</v>
      </c>
      <c r="BI278" s="405">
        <v>2.02</v>
      </c>
      <c r="BJ278" s="405">
        <v>39.700000000000003</v>
      </c>
      <c r="BK278" s="405">
        <v>3.88</v>
      </c>
      <c r="BL278" s="405">
        <v>4.45</v>
      </c>
      <c r="BM278" s="405">
        <v>0</v>
      </c>
      <c r="BN278" s="405">
        <v>29.5</v>
      </c>
      <c r="BO278" s="405">
        <v>1843.5</v>
      </c>
      <c r="BP278" s="405">
        <v>0</v>
      </c>
      <c r="BQ278" s="649">
        <v>20.47</v>
      </c>
      <c r="BR278" s="649">
        <v>20.62</v>
      </c>
      <c r="BS278" s="649">
        <v>14.21</v>
      </c>
      <c r="BT278" s="649">
        <v>14.34</v>
      </c>
      <c r="BU278" s="648">
        <v>28.7</v>
      </c>
      <c r="BV278" s="648">
        <v>33.299999999999997</v>
      </c>
      <c r="BW278" s="649">
        <v>865.2</v>
      </c>
      <c r="BX278" s="876"/>
      <c r="BY278" s="649">
        <v>0.84</v>
      </c>
      <c r="BZ278" s="649">
        <v>1.31</v>
      </c>
      <c r="CA278" s="649">
        <v>1.2</v>
      </c>
      <c r="CB278" s="649">
        <v>8.6999999999999993</v>
      </c>
      <c r="CC278" s="649">
        <v>7.9</v>
      </c>
      <c r="CD278" s="649">
        <v>15.4</v>
      </c>
      <c r="CE278" s="689">
        <v>29.8</v>
      </c>
      <c r="CF278" s="649">
        <v>14.4</v>
      </c>
      <c r="CG278" s="649">
        <v>8.9</v>
      </c>
      <c r="CH278" s="649">
        <v>14.3</v>
      </c>
      <c r="CI278" s="649">
        <v>18.8</v>
      </c>
      <c r="CJ278" s="649">
        <v>13.5</v>
      </c>
      <c r="CK278" s="649">
        <v>579.6</v>
      </c>
      <c r="CL278" s="649">
        <v>3</v>
      </c>
      <c r="CM278" s="649">
        <v>3.6</v>
      </c>
      <c r="CN278" s="991">
        <v>1000</v>
      </c>
      <c r="CO278" s="649">
        <v>632.79999999999995</v>
      </c>
      <c r="CP278" s="649">
        <v>637.4</v>
      </c>
      <c r="CQ278" s="649">
        <v>14.3</v>
      </c>
      <c r="CR278" s="649">
        <v>1.1000000000000001</v>
      </c>
      <c r="CS278" s="405">
        <v>0</v>
      </c>
      <c r="CT278" s="405">
        <v>16.530999999999999</v>
      </c>
      <c r="CU278" s="405">
        <v>67</v>
      </c>
      <c r="CV278" s="522">
        <v>0</v>
      </c>
      <c r="CW278" s="522">
        <v>0</v>
      </c>
      <c r="CX278" s="522">
        <v>0</v>
      </c>
      <c r="CY278" s="522">
        <v>0</v>
      </c>
      <c r="CZ278" s="689">
        <v>463</v>
      </c>
      <c r="DA278" s="689">
        <v>468</v>
      </c>
      <c r="DB278" s="689">
        <v>356</v>
      </c>
      <c r="DC278" s="643">
        <v>1143.6099999999999</v>
      </c>
      <c r="DD278" s="522"/>
      <c r="DE278" s="522"/>
      <c r="DF278" s="522"/>
      <c r="DG278" s="522"/>
      <c r="DH278" s="522"/>
      <c r="DI278" s="522"/>
      <c r="DJ278" s="522"/>
      <c r="DK278" s="522"/>
      <c r="DL278" s="649"/>
      <c r="DM278" s="649"/>
      <c r="DN278" s="649"/>
      <c r="DO278" s="522"/>
      <c r="DP278" s="522"/>
      <c r="DQ278" s="522"/>
      <c r="DR278" s="522"/>
      <c r="DS278" s="522"/>
      <c r="DT278" s="522"/>
      <c r="DU278" s="522"/>
      <c r="DV278" s="522"/>
      <c r="DW278" s="522"/>
      <c r="DX278" s="522"/>
      <c r="DY278" s="522"/>
      <c r="DZ278" s="522"/>
      <c r="EA278" s="522"/>
      <c r="EB278" s="522"/>
      <c r="EC278" s="522"/>
      <c r="ED278" s="522"/>
      <c r="EE278" s="522"/>
      <c r="EF278" s="522"/>
      <c r="EG278" s="649">
        <f t="shared" si="272"/>
        <v>20.111000000000001</v>
      </c>
      <c r="EH278" s="522">
        <v>0</v>
      </c>
      <c r="EI278" s="649">
        <v>2</v>
      </c>
      <c r="EJ278" s="649">
        <v>3</v>
      </c>
      <c r="EK278" s="649">
        <v>8</v>
      </c>
      <c r="EL278" s="522"/>
      <c r="EM278" s="522"/>
      <c r="EN278" s="522"/>
      <c r="EO278" s="522"/>
      <c r="EP278" s="522"/>
      <c r="EQ278" s="522"/>
      <c r="ER278" s="522"/>
      <c r="ES278" s="407"/>
      <c r="ET278" s="407"/>
    </row>
    <row r="279" spans="1:150" s="357" customFormat="1" ht="15">
      <c r="A279" s="675" t="s">
        <v>5</v>
      </c>
      <c r="B279" s="712">
        <v>41905</v>
      </c>
      <c r="C279" s="358">
        <v>0</v>
      </c>
      <c r="D279" s="405">
        <v>0.37</v>
      </c>
      <c r="E279" s="681">
        <v>0</v>
      </c>
      <c r="F279" s="681">
        <v>59</v>
      </c>
      <c r="G279" s="681">
        <v>0.65</v>
      </c>
      <c r="H279" s="405">
        <v>1.1200000000000001</v>
      </c>
      <c r="I279" s="405">
        <v>93.05</v>
      </c>
      <c r="J279" s="405" t="s">
        <v>744</v>
      </c>
      <c r="K279" s="405">
        <v>0.96</v>
      </c>
      <c r="L279" s="644">
        <v>0</v>
      </c>
      <c r="M279" s="405">
        <v>16.100000000000001</v>
      </c>
      <c r="N279" s="405" t="s">
        <v>744</v>
      </c>
      <c r="O279" s="405" t="s">
        <v>743</v>
      </c>
      <c r="P279" s="405">
        <v>1.92</v>
      </c>
      <c r="Q279" s="405">
        <v>2.6826501328410104</v>
      </c>
      <c r="R279" s="790">
        <v>1676.2077939233816</v>
      </c>
      <c r="S279" s="405" t="s">
        <v>744</v>
      </c>
      <c r="T279" s="405">
        <v>7.9</v>
      </c>
      <c r="U279" s="405" t="s">
        <v>744</v>
      </c>
      <c r="V279" s="681">
        <v>0.84</v>
      </c>
      <c r="W279" s="681" t="e">
        <v>#VALUE!</v>
      </c>
      <c r="X279" s="386">
        <v>62.239999999999995</v>
      </c>
      <c r="Y279" s="383">
        <v>30.4</v>
      </c>
      <c r="Z279" s="681">
        <v>45</v>
      </c>
      <c r="AA279" s="794">
        <v>30.4</v>
      </c>
      <c r="AB279" s="794">
        <v>44.97</v>
      </c>
      <c r="AC279" s="775">
        <f t="shared" si="279"/>
        <v>75.37</v>
      </c>
      <c r="AD279" s="775">
        <f t="shared" si="280"/>
        <v>116.59739</v>
      </c>
      <c r="AE279" s="705"/>
      <c r="AF279" s="775"/>
      <c r="AG279" s="407">
        <v>1.6</v>
      </c>
      <c r="AH279" s="705"/>
      <c r="AI279" s="705"/>
      <c r="AJ279" s="407"/>
      <c r="AK279" s="407"/>
      <c r="AL279" s="407"/>
      <c r="AM279" s="407"/>
      <c r="AN279" s="407"/>
      <c r="AO279" s="387"/>
      <c r="AP279" s="387"/>
      <c r="AQ279" s="405"/>
      <c r="AR279" s="578">
        <v>0</v>
      </c>
      <c r="AS279" s="405">
        <v>14.6</v>
      </c>
      <c r="AT279" s="578">
        <v>0</v>
      </c>
      <c r="AU279" s="405">
        <v>31</v>
      </c>
      <c r="AV279" s="405">
        <v>346.3</v>
      </c>
      <c r="AW279" s="405">
        <v>468.2</v>
      </c>
      <c r="AX279" s="405">
        <v>8.5</v>
      </c>
      <c r="AY279" s="578">
        <v>0</v>
      </c>
      <c r="AZ279" s="578">
        <v>0</v>
      </c>
      <c r="BA279" s="578">
        <v>0</v>
      </c>
      <c r="BB279" s="925">
        <v>1.6</v>
      </c>
      <c r="BC279" s="405">
        <v>1</v>
      </c>
      <c r="BD279" s="405">
        <v>1.5</v>
      </c>
      <c r="BE279" s="578">
        <v>0</v>
      </c>
      <c r="BF279" s="405">
        <v>0.51</v>
      </c>
      <c r="BG279" s="405">
        <v>0</v>
      </c>
      <c r="BH279" s="578">
        <v>0</v>
      </c>
      <c r="BI279" s="405">
        <v>2.02</v>
      </c>
      <c r="BJ279" s="405">
        <v>40</v>
      </c>
      <c r="BK279" s="405">
        <v>3.24</v>
      </c>
      <c r="BL279" s="405">
        <v>4.76</v>
      </c>
      <c r="BM279" s="405">
        <v>0</v>
      </c>
      <c r="BN279" s="405">
        <v>30.2</v>
      </c>
      <c r="BO279" s="405">
        <v>1398.4</v>
      </c>
      <c r="BP279" s="405">
        <v>0</v>
      </c>
      <c r="BQ279" s="649">
        <v>22.98</v>
      </c>
      <c r="BR279" s="649">
        <v>23.14</v>
      </c>
      <c r="BS279" s="649">
        <v>14.46</v>
      </c>
      <c r="BT279" s="649">
        <v>14.53</v>
      </c>
      <c r="BU279" s="648">
        <v>29.1</v>
      </c>
      <c r="BV279" s="648">
        <v>29.1</v>
      </c>
      <c r="BW279" s="649">
        <v>765.4</v>
      </c>
      <c r="BX279" s="876"/>
      <c r="BY279" s="649">
        <v>0.83</v>
      </c>
      <c r="BZ279" s="649">
        <v>1.44</v>
      </c>
      <c r="CA279" s="649">
        <v>1.2</v>
      </c>
      <c r="CB279" s="649">
        <v>8.6</v>
      </c>
      <c r="CC279" s="649">
        <v>7.9</v>
      </c>
      <c r="CD279" s="649">
        <v>15.3</v>
      </c>
      <c r="CE279" s="649">
        <v>30.8</v>
      </c>
      <c r="CF279" s="649">
        <v>13.1</v>
      </c>
      <c r="CG279" s="649">
        <v>8.5</v>
      </c>
      <c r="CH279" s="649">
        <v>13.9</v>
      </c>
      <c r="CI279" s="649">
        <v>18.5</v>
      </c>
      <c r="CJ279" s="649">
        <v>13.5</v>
      </c>
      <c r="CK279" s="649">
        <v>590</v>
      </c>
      <c r="CL279" s="649">
        <v>3</v>
      </c>
      <c r="CM279" s="649">
        <v>3.7</v>
      </c>
      <c r="CN279" s="991">
        <v>1000</v>
      </c>
      <c r="CO279" s="649">
        <v>486.2</v>
      </c>
      <c r="CP279" s="649">
        <v>596.79999999999995</v>
      </c>
      <c r="CQ279" s="649">
        <v>14.4</v>
      </c>
      <c r="CR279" s="649">
        <v>1.1000000000000001</v>
      </c>
      <c r="CS279" s="405">
        <v>0</v>
      </c>
      <c r="CT279" s="405">
        <v>16.893000000000001</v>
      </c>
      <c r="CU279" s="405">
        <v>67</v>
      </c>
      <c r="CV279" s="522">
        <v>0</v>
      </c>
      <c r="CW279" s="522">
        <v>0</v>
      </c>
      <c r="CX279" s="522">
        <v>0</v>
      </c>
      <c r="CY279" s="522">
        <v>0</v>
      </c>
      <c r="CZ279" s="689">
        <v>513</v>
      </c>
      <c r="DA279" s="689">
        <v>529</v>
      </c>
      <c r="DB279" s="689">
        <v>405</v>
      </c>
      <c r="DC279" s="643">
        <v>1142.8499999999999</v>
      </c>
      <c r="DD279" s="522"/>
      <c r="DE279" s="522"/>
      <c r="DF279" s="522"/>
      <c r="DG279" s="522"/>
      <c r="DH279" s="522"/>
      <c r="DI279" s="522"/>
      <c r="DJ279" s="522"/>
      <c r="DK279" s="522"/>
      <c r="DL279" s="649"/>
      <c r="DM279" s="649"/>
      <c r="DN279" s="649"/>
      <c r="DO279" s="522"/>
      <c r="DP279" s="522"/>
      <c r="DQ279" s="522"/>
      <c r="DR279" s="522"/>
      <c r="DS279" s="522"/>
      <c r="DT279" s="522"/>
      <c r="DU279" s="522"/>
      <c r="DV279" s="522"/>
      <c r="DW279" s="522"/>
      <c r="DX279" s="522"/>
      <c r="DY279" s="522"/>
      <c r="DZ279" s="522"/>
      <c r="EA279" s="522"/>
      <c r="EB279" s="522"/>
      <c r="EC279" s="522"/>
      <c r="ED279" s="522"/>
      <c r="EE279" s="522"/>
      <c r="EF279" s="522"/>
      <c r="EG279" s="649">
        <f t="shared" si="272"/>
        <v>20.111000000000001</v>
      </c>
      <c r="EH279" s="522">
        <v>0</v>
      </c>
      <c r="EI279" s="649">
        <v>2</v>
      </c>
      <c r="EJ279" s="649">
        <v>3</v>
      </c>
      <c r="EK279" s="649">
        <v>8</v>
      </c>
      <c r="EL279" s="522"/>
      <c r="EM279" s="522"/>
      <c r="EN279" s="522"/>
      <c r="EO279" s="522"/>
      <c r="EP279" s="522"/>
      <c r="EQ279" s="522"/>
      <c r="ER279" s="522"/>
      <c r="ES279" s="407"/>
      <c r="ET279" s="407"/>
    </row>
    <row r="280" spans="1:150" s="357" customFormat="1" ht="15">
      <c r="A280" s="675" t="s">
        <v>6</v>
      </c>
      <c r="B280" s="712">
        <v>41906</v>
      </c>
      <c r="C280" s="358">
        <v>0</v>
      </c>
      <c r="D280" s="405">
        <v>0.65</v>
      </c>
      <c r="E280" s="681">
        <v>0</v>
      </c>
      <c r="F280" s="681">
        <v>57</v>
      </c>
      <c r="G280" s="681">
        <v>0.75</v>
      </c>
      <c r="H280" s="405">
        <v>2.57</v>
      </c>
      <c r="I280" s="405">
        <v>92</v>
      </c>
      <c r="J280" s="405" t="s">
        <v>744</v>
      </c>
      <c r="K280" s="405">
        <v>2.02</v>
      </c>
      <c r="L280" s="644">
        <v>0</v>
      </c>
      <c r="M280" s="405">
        <v>16.600000000000001</v>
      </c>
      <c r="N280" s="405" t="s">
        <v>744</v>
      </c>
      <c r="O280" s="405" t="s">
        <v>743</v>
      </c>
      <c r="P280" s="405">
        <v>2.0099999999999998</v>
      </c>
      <c r="Q280" s="405">
        <v>2.8043813298101701</v>
      </c>
      <c r="R280" s="790">
        <v>1650.2954029062084</v>
      </c>
      <c r="S280" s="405" t="s">
        <v>744</v>
      </c>
      <c r="T280" s="405">
        <v>7.92</v>
      </c>
      <c r="U280" s="405" t="s">
        <v>744</v>
      </c>
      <c r="V280" s="681">
        <v>0.83</v>
      </c>
      <c r="W280" s="681" t="e">
        <v>#VALUE!</v>
      </c>
      <c r="X280" s="386">
        <v>61.519999999999996</v>
      </c>
      <c r="Y280" s="383">
        <v>30.4</v>
      </c>
      <c r="Z280" s="681">
        <v>44.97</v>
      </c>
      <c r="AA280" s="794">
        <v>30.6</v>
      </c>
      <c r="AB280" s="794">
        <v>41.1</v>
      </c>
      <c r="AC280" s="775">
        <f t="shared" si="279"/>
        <v>71.7</v>
      </c>
      <c r="AD280" s="775">
        <f t="shared" si="280"/>
        <v>110.9199</v>
      </c>
      <c r="AE280" s="705"/>
      <c r="AF280" s="775"/>
      <c r="AG280" s="407">
        <v>1.6</v>
      </c>
      <c r="AH280" s="705"/>
      <c r="AI280" s="705"/>
      <c r="AJ280" s="407"/>
      <c r="AK280" s="407"/>
      <c r="AL280" s="407"/>
      <c r="AM280" s="407"/>
      <c r="AN280" s="407"/>
      <c r="AO280" s="387"/>
      <c r="AP280" s="387"/>
      <c r="AQ280" s="405"/>
      <c r="AR280" s="578">
        <v>0</v>
      </c>
      <c r="AS280" s="405">
        <v>21</v>
      </c>
      <c r="AT280" s="578">
        <v>0</v>
      </c>
      <c r="AU280" s="405">
        <v>31.2</v>
      </c>
      <c r="AV280" s="405">
        <v>646.70000000000005</v>
      </c>
      <c r="AW280" s="405">
        <v>848.6</v>
      </c>
      <c r="AX280" s="405">
        <v>7</v>
      </c>
      <c r="AY280" s="578">
        <v>0</v>
      </c>
      <c r="AZ280" s="578">
        <v>0</v>
      </c>
      <c r="BA280" s="578">
        <v>0</v>
      </c>
      <c r="BB280" s="925">
        <v>1.6</v>
      </c>
      <c r="BC280" s="405">
        <v>1.01</v>
      </c>
      <c r="BD280" s="405">
        <v>1.5</v>
      </c>
      <c r="BE280" s="578">
        <v>0</v>
      </c>
      <c r="BF280" s="405">
        <v>0.51</v>
      </c>
      <c r="BG280" s="405">
        <v>0</v>
      </c>
      <c r="BH280" s="578">
        <v>0</v>
      </c>
      <c r="BI280" s="405">
        <v>2.02</v>
      </c>
      <c r="BJ280" s="405">
        <v>36.200000000000003</v>
      </c>
      <c r="BK280" s="405">
        <v>3.32</v>
      </c>
      <c r="BL280" s="405">
        <v>4.7</v>
      </c>
      <c r="BM280" s="405">
        <v>0</v>
      </c>
      <c r="BN280" s="405">
        <v>26.4</v>
      </c>
      <c r="BO280" s="405">
        <v>1205.0999999999999</v>
      </c>
      <c r="BP280" s="405">
        <v>0</v>
      </c>
      <c r="BQ280" s="649">
        <v>23.53</v>
      </c>
      <c r="BR280" s="649">
        <v>23.65</v>
      </c>
      <c r="BS280" s="649">
        <v>14.22</v>
      </c>
      <c r="BT280" s="649">
        <v>14.36</v>
      </c>
      <c r="BU280" s="648">
        <v>28.7</v>
      </c>
      <c r="BV280" s="648">
        <v>34.200000000000003</v>
      </c>
      <c r="BW280" s="649">
        <v>682.7</v>
      </c>
      <c r="BX280" s="876"/>
      <c r="BY280" s="649">
        <v>1</v>
      </c>
      <c r="BZ280" s="649">
        <v>1.5</v>
      </c>
      <c r="CA280" s="649">
        <v>1.2</v>
      </c>
      <c r="CB280" s="649">
        <v>8.6</v>
      </c>
      <c r="CC280" s="649">
        <v>7.9</v>
      </c>
      <c r="CD280" s="649">
        <v>17.100000000000001</v>
      </c>
      <c r="CE280" s="649">
        <v>29.9</v>
      </c>
      <c r="CF280" s="649">
        <v>12.5</v>
      </c>
      <c r="CG280" s="649">
        <v>7.9</v>
      </c>
      <c r="CH280" s="649">
        <v>13.2</v>
      </c>
      <c r="CI280" s="649">
        <v>17.7</v>
      </c>
      <c r="CJ280" s="649">
        <v>15.01</v>
      </c>
      <c r="CK280" s="649">
        <v>613.1</v>
      </c>
      <c r="CL280" s="649">
        <v>3.9</v>
      </c>
      <c r="CM280" s="649">
        <v>3.7</v>
      </c>
      <c r="CN280" s="991">
        <v>1000</v>
      </c>
      <c r="CO280" s="649">
        <v>449.6</v>
      </c>
      <c r="CP280" s="649">
        <v>608.29999999999995</v>
      </c>
      <c r="CQ280" s="649">
        <v>14.4</v>
      </c>
      <c r="CR280" s="649">
        <v>1.06</v>
      </c>
      <c r="CS280" s="405">
        <v>0</v>
      </c>
      <c r="CT280" s="405">
        <v>16.951000000000001</v>
      </c>
      <c r="CU280" s="405">
        <v>66</v>
      </c>
      <c r="CV280" s="522">
        <v>0</v>
      </c>
      <c r="CW280" s="522">
        <v>0</v>
      </c>
      <c r="CX280" s="522">
        <v>0</v>
      </c>
      <c r="CY280" s="522">
        <v>0</v>
      </c>
      <c r="CZ280" s="689">
        <v>604</v>
      </c>
      <c r="DA280" s="689">
        <v>742</v>
      </c>
      <c r="DB280" s="689">
        <v>505</v>
      </c>
      <c r="DC280" s="643">
        <v>1142.04</v>
      </c>
      <c r="DD280" s="522"/>
      <c r="DE280" s="522"/>
      <c r="DF280" s="522"/>
      <c r="DG280" s="522"/>
      <c r="DH280" s="522"/>
      <c r="DI280" s="522"/>
      <c r="DJ280" s="522"/>
      <c r="DK280" s="522"/>
      <c r="DL280" s="649"/>
      <c r="DM280" s="649"/>
      <c r="DN280" s="649"/>
      <c r="DO280" s="522"/>
      <c r="DP280" s="522"/>
      <c r="DQ280" s="522"/>
      <c r="DR280" s="522"/>
      <c r="DS280" s="522"/>
      <c r="DT280" s="522"/>
      <c r="DU280" s="522"/>
      <c r="DV280" s="522"/>
      <c r="DW280" s="522"/>
      <c r="DX280" s="522"/>
      <c r="DY280" s="522"/>
      <c r="DZ280" s="522"/>
      <c r="EA280" s="522"/>
      <c r="EB280" s="522"/>
      <c r="EC280" s="522"/>
      <c r="ED280" s="522"/>
      <c r="EE280" s="522"/>
      <c r="EF280" s="522"/>
      <c r="EG280" s="649">
        <f t="shared" si="272"/>
        <v>20.111000000000001</v>
      </c>
      <c r="EH280" s="522">
        <v>0</v>
      </c>
      <c r="EI280" s="649">
        <v>2</v>
      </c>
      <c r="EJ280" s="649">
        <v>3</v>
      </c>
      <c r="EK280" s="649">
        <v>8</v>
      </c>
      <c r="EL280" s="522"/>
      <c r="EM280" s="522"/>
      <c r="EN280" s="522"/>
      <c r="EO280" s="522"/>
      <c r="EP280" s="522"/>
      <c r="EQ280" s="522"/>
      <c r="ER280" s="522"/>
      <c r="ES280" s="407"/>
      <c r="ET280" s="407"/>
    </row>
    <row r="281" spans="1:150" s="357" customFormat="1" ht="15">
      <c r="A281" s="675" t="s">
        <v>7</v>
      </c>
      <c r="B281" s="712">
        <v>41907</v>
      </c>
      <c r="C281" s="358">
        <v>0</v>
      </c>
      <c r="D281" s="405">
        <v>0.52</v>
      </c>
      <c r="E281" s="681">
        <v>0</v>
      </c>
      <c r="F281" s="681">
        <v>53</v>
      </c>
      <c r="G281" s="681">
        <v>0.7</v>
      </c>
      <c r="H281" s="405">
        <v>1.1599999999999999</v>
      </c>
      <c r="I281" s="405">
        <v>92.7</v>
      </c>
      <c r="J281" s="405" t="s">
        <v>744</v>
      </c>
      <c r="K281" s="405">
        <v>1.03</v>
      </c>
      <c r="L281" s="644">
        <v>0</v>
      </c>
      <c r="M281" s="405">
        <v>16.399999999999999</v>
      </c>
      <c r="N281" s="405" t="s">
        <v>744</v>
      </c>
      <c r="O281" s="405" t="s">
        <v>743</v>
      </c>
      <c r="P281" s="405">
        <v>1.97</v>
      </c>
      <c r="Q281" s="405">
        <v>2.7725576292352772</v>
      </c>
      <c r="R281" s="790">
        <v>1571.9104200792599</v>
      </c>
      <c r="S281" s="405" t="s">
        <v>744</v>
      </c>
      <c r="T281" s="405">
        <v>8.09</v>
      </c>
      <c r="U281" s="405" t="s">
        <v>744</v>
      </c>
      <c r="V281" s="681">
        <v>0.68</v>
      </c>
      <c r="W281" s="681" t="e">
        <v>#VALUE!</v>
      </c>
      <c r="X281" s="386">
        <v>61.34</v>
      </c>
      <c r="Y281" s="383">
        <v>30.6</v>
      </c>
      <c r="Z281" s="681">
        <v>41.1</v>
      </c>
      <c r="AA281" s="794">
        <v>30.8</v>
      </c>
      <c r="AB281" s="794">
        <v>36.97</v>
      </c>
      <c r="AC281" s="775">
        <f t="shared" si="279"/>
        <v>67.77</v>
      </c>
      <c r="AD281" s="775">
        <f t="shared" si="280"/>
        <v>104.84018999999999</v>
      </c>
      <c r="AE281" s="705"/>
      <c r="AF281" s="775"/>
      <c r="AG281" s="407">
        <v>1.6</v>
      </c>
      <c r="AH281" s="705"/>
      <c r="AI281" s="705"/>
      <c r="AJ281" s="407"/>
      <c r="AK281" s="407"/>
      <c r="AL281" s="407"/>
      <c r="AM281" s="407"/>
      <c r="AN281" s="407"/>
      <c r="AO281" s="387"/>
      <c r="AP281" s="387"/>
      <c r="AQ281" s="405"/>
      <c r="AR281" s="578">
        <v>0</v>
      </c>
      <c r="AS281" s="405">
        <v>23.7</v>
      </c>
      <c r="AT281" s="578">
        <v>0.62</v>
      </c>
      <c r="AU281" s="405">
        <v>30.8</v>
      </c>
      <c r="AV281" s="405">
        <v>435.5</v>
      </c>
      <c r="AW281" s="405">
        <v>267.10000000000002</v>
      </c>
      <c r="AX281" s="405">
        <v>1.8</v>
      </c>
      <c r="AY281" s="578">
        <v>0</v>
      </c>
      <c r="AZ281" s="578">
        <v>0</v>
      </c>
      <c r="BA281" s="578">
        <v>0</v>
      </c>
      <c r="BB281" s="925">
        <v>1.6</v>
      </c>
      <c r="BC281" s="405">
        <v>1.01</v>
      </c>
      <c r="BD281" s="405">
        <v>1.5</v>
      </c>
      <c r="BE281" s="578">
        <v>0</v>
      </c>
      <c r="BF281" s="405">
        <v>0.5</v>
      </c>
      <c r="BG281" s="405">
        <v>0</v>
      </c>
      <c r="BH281" s="578">
        <v>0</v>
      </c>
      <c r="BI281" s="405">
        <v>1.61</v>
      </c>
      <c r="BJ281" s="405">
        <v>32.6</v>
      </c>
      <c r="BK281" s="405">
        <v>3.15</v>
      </c>
      <c r="BL281" s="405">
        <v>4.88</v>
      </c>
      <c r="BM281" s="405">
        <v>0</v>
      </c>
      <c r="BN281" s="405">
        <v>22.8</v>
      </c>
      <c r="BO281" s="405">
        <v>1450.5</v>
      </c>
      <c r="BP281" s="405">
        <v>0</v>
      </c>
      <c r="BQ281" s="649">
        <v>24.02</v>
      </c>
      <c r="BR281" s="649">
        <v>24.19</v>
      </c>
      <c r="BS281" s="649">
        <v>14.73</v>
      </c>
      <c r="BT281" s="649">
        <v>14.06</v>
      </c>
      <c r="BU281" s="648">
        <v>29</v>
      </c>
      <c r="BV281" s="648">
        <v>34.6</v>
      </c>
      <c r="BW281" s="649">
        <v>546.70000000000005</v>
      </c>
      <c r="BX281" s="876"/>
      <c r="BY281" s="649">
        <v>0.96</v>
      </c>
      <c r="BZ281" s="649">
        <v>1.51</v>
      </c>
      <c r="CA281" s="649">
        <v>1.2</v>
      </c>
      <c r="CB281" s="649">
        <v>8.6999999999999993</v>
      </c>
      <c r="CC281" s="649">
        <v>7.8</v>
      </c>
      <c r="CD281" s="649">
        <v>16.600000000000001</v>
      </c>
      <c r="CE281" s="649">
        <v>30.5</v>
      </c>
      <c r="CF281" s="649">
        <v>15</v>
      </c>
      <c r="CG281" s="649">
        <v>9.1999999999999993</v>
      </c>
      <c r="CH281" s="649">
        <v>14.8</v>
      </c>
      <c r="CI281" s="649">
        <v>18.899999999999999</v>
      </c>
      <c r="CJ281" s="649">
        <v>14.4</v>
      </c>
      <c r="CK281" s="649">
        <v>517.1</v>
      </c>
      <c r="CL281" s="649">
        <v>3.1</v>
      </c>
      <c r="CM281" s="649">
        <v>4.5</v>
      </c>
      <c r="CN281" s="991">
        <v>1000</v>
      </c>
      <c r="CO281" s="649">
        <v>405.2</v>
      </c>
      <c r="CP281" s="649">
        <v>562.4</v>
      </c>
      <c r="CQ281" s="649">
        <v>13.7</v>
      </c>
      <c r="CR281" s="649">
        <v>0.94</v>
      </c>
      <c r="CS281" s="405">
        <v>0</v>
      </c>
      <c r="CT281" s="405">
        <v>17.032</v>
      </c>
      <c r="CU281" s="405">
        <v>66</v>
      </c>
      <c r="CV281" s="522">
        <v>0</v>
      </c>
      <c r="CW281" s="522">
        <v>0</v>
      </c>
      <c r="CX281" s="522">
        <v>0</v>
      </c>
      <c r="CY281" s="522">
        <v>0</v>
      </c>
      <c r="CZ281" s="689">
        <v>561</v>
      </c>
      <c r="DA281" s="689">
        <v>641</v>
      </c>
      <c r="DB281" s="689">
        <v>476</v>
      </c>
      <c r="DC281" s="643">
        <v>1141.1600000000001</v>
      </c>
      <c r="DD281" s="522"/>
      <c r="DE281" s="522"/>
      <c r="DF281" s="522"/>
      <c r="DG281" s="522"/>
      <c r="DH281" s="522"/>
      <c r="DI281" s="522"/>
      <c r="DJ281" s="522"/>
      <c r="DK281" s="522"/>
      <c r="DL281" s="649"/>
      <c r="DM281" s="649"/>
      <c r="DN281" s="649"/>
      <c r="DO281" s="522"/>
      <c r="DP281" s="522"/>
      <c r="DQ281" s="522"/>
      <c r="DR281" s="522"/>
      <c r="DS281" s="522"/>
      <c r="DT281" s="522"/>
      <c r="DU281" s="522"/>
      <c r="DV281" s="522"/>
      <c r="DW281" s="522"/>
      <c r="DX281" s="522"/>
      <c r="DY281" s="522"/>
      <c r="DZ281" s="522"/>
      <c r="EA281" s="387"/>
      <c r="EB281" s="522"/>
      <c r="EC281" s="522"/>
      <c r="ED281" s="522"/>
      <c r="EE281" s="522"/>
      <c r="EF281" s="522"/>
      <c r="EG281" s="649">
        <f t="shared" si="272"/>
        <v>20.111000000000001</v>
      </c>
      <c r="EH281" s="522">
        <v>0</v>
      </c>
      <c r="EI281" s="649">
        <v>2</v>
      </c>
      <c r="EJ281" s="649">
        <v>3</v>
      </c>
      <c r="EK281" s="649">
        <v>8</v>
      </c>
      <c r="EL281" s="522"/>
      <c r="EM281" s="522"/>
      <c r="EN281" s="522"/>
      <c r="EO281" s="522"/>
      <c r="EP281" s="522"/>
      <c r="EQ281" s="522"/>
      <c r="ER281" s="522"/>
      <c r="ES281" s="407"/>
      <c r="ET281" s="407"/>
    </row>
    <row r="282" spans="1:150" s="357" customFormat="1" ht="15">
      <c r="A282" s="675" t="s">
        <v>8</v>
      </c>
      <c r="B282" s="712">
        <v>41908</v>
      </c>
      <c r="C282" s="358">
        <v>0</v>
      </c>
      <c r="D282" s="405">
        <v>0.35</v>
      </c>
      <c r="E282" s="681">
        <v>0</v>
      </c>
      <c r="F282" s="681">
        <v>56</v>
      </c>
      <c r="G282" s="681">
        <v>0.75</v>
      </c>
      <c r="H282" s="405">
        <v>1.25</v>
      </c>
      <c r="I282" s="405">
        <v>92.1</v>
      </c>
      <c r="J282" s="405" t="s">
        <v>744</v>
      </c>
      <c r="K282" s="405">
        <v>0.96</v>
      </c>
      <c r="L282" s="644">
        <v>0</v>
      </c>
      <c r="M282" s="405">
        <v>16.600000000000001</v>
      </c>
      <c r="N282" s="405" t="s">
        <v>744</v>
      </c>
      <c r="O282" s="405" t="s">
        <v>743</v>
      </c>
      <c r="P282" s="405">
        <v>1.94</v>
      </c>
      <c r="Q282" s="405">
        <v>2.8187216577108001</v>
      </c>
      <c r="R282" s="790">
        <v>1581.6275667106997</v>
      </c>
      <c r="S282" s="405" t="s">
        <v>744</v>
      </c>
      <c r="T282" s="405">
        <v>8.02</v>
      </c>
      <c r="U282" s="405" t="s">
        <v>744</v>
      </c>
      <c r="V282" s="681">
        <v>0.69</v>
      </c>
      <c r="W282" s="681" t="e">
        <v>#VALUE!</v>
      </c>
      <c r="X282" s="386">
        <v>61.88000000000001</v>
      </c>
      <c r="Y282" s="383">
        <v>30.8</v>
      </c>
      <c r="Z282" s="681">
        <v>36.97</v>
      </c>
      <c r="AA282" s="794">
        <v>30.9</v>
      </c>
      <c r="AB282" s="794">
        <v>34.450000000000003</v>
      </c>
      <c r="AC282" s="775">
        <f t="shared" si="279"/>
        <v>65.349999999999994</v>
      </c>
      <c r="AD282" s="775">
        <f t="shared" si="280"/>
        <v>101.09644999999999</v>
      </c>
      <c r="AE282" s="705"/>
      <c r="AF282" s="775"/>
      <c r="AG282" s="407">
        <v>1.6</v>
      </c>
      <c r="AH282" s="705"/>
      <c r="AI282" s="705"/>
      <c r="AJ282" s="407"/>
      <c r="AK282" s="407"/>
      <c r="AL282" s="407"/>
      <c r="AM282" s="407"/>
      <c r="AN282" s="407"/>
      <c r="AO282" s="387"/>
      <c r="AP282" s="387"/>
      <c r="AQ282" s="405"/>
      <c r="AR282" s="578">
        <v>0</v>
      </c>
      <c r="AS282" s="405">
        <v>23.2</v>
      </c>
      <c r="AT282" s="578">
        <v>1</v>
      </c>
      <c r="AU282" s="405">
        <v>30.5</v>
      </c>
      <c r="AV282" s="405">
        <v>345.1</v>
      </c>
      <c r="AW282" s="405">
        <v>467.9</v>
      </c>
      <c r="AX282" s="405">
        <v>0.5</v>
      </c>
      <c r="AY282" s="578">
        <v>0</v>
      </c>
      <c r="AZ282" s="578">
        <v>0</v>
      </c>
      <c r="BA282" s="578">
        <v>0</v>
      </c>
      <c r="BB282" s="925">
        <v>1.6</v>
      </c>
      <c r="BC282" s="405">
        <v>0.79</v>
      </c>
      <c r="BD282" s="405">
        <v>1.84</v>
      </c>
      <c r="BE282" s="578">
        <v>0</v>
      </c>
      <c r="BF282" s="405">
        <v>0.31</v>
      </c>
      <c r="BG282" s="405">
        <v>0</v>
      </c>
      <c r="BH282" s="578">
        <v>0</v>
      </c>
      <c r="BI282" s="405">
        <v>1.44</v>
      </c>
      <c r="BJ282" s="405">
        <v>30.4</v>
      </c>
      <c r="BK282" s="405">
        <v>2.85</v>
      </c>
      <c r="BL282" s="405">
        <v>4.8499999999999996</v>
      </c>
      <c r="BM282" s="405">
        <v>0</v>
      </c>
      <c r="BN282" s="405">
        <v>20.9</v>
      </c>
      <c r="BO282" s="405">
        <v>810.9</v>
      </c>
      <c r="BP282" s="405">
        <v>0</v>
      </c>
      <c r="BQ282" s="649">
        <v>24.73</v>
      </c>
      <c r="BR282" s="649">
        <v>24.73</v>
      </c>
      <c r="BS282" s="649">
        <v>14.21</v>
      </c>
      <c r="BT282" s="649">
        <v>14.35</v>
      </c>
      <c r="BU282" s="648">
        <v>28.7</v>
      </c>
      <c r="BV282" s="648">
        <v>34.1</v>
      </c>
      <c r="BW282" s="649">
        <v>687.2</v>
      </c>
      <c r="BX282" s="876"/>
      <c r="BY282" s="649">
        <v>2.52</v>
      </c>
      <c r="BZ282" s="649">
        <v>0.67</v>
      </c>
      <c r="CA282" s="649">
        <v>1.2</v>
      </c>
      <c r="CB282" s="649">
        <v>8.6999999999999993</v>
      </c>
      <c r="CC282" s="649">
        <v>7.9</v>
      </c>
      <c r="CD282" s="649">
        <v>15.8</v>
      </c>
      <c r="CE282" s="649">
        <v>32.5</v>
      </c>
      <c r="CF282" s="649">
        <v>14.1</v>
      </c>
      <c r="CG282" s="649">
        <v>7</v>
      </c>
      <c r="CH282" s="649">
        <v>12.2</v>
      </c>
      <c r="CI282" s="649">
        <v>16.5</v>
      </c>
      <c r="CJ282" s="649">
        <v>13.99</v>
      </c>
      <c r="CK282" s="649">
        <v>563.1</v>
      </c>
      <c r="CL282" s="649">
        <v>2.5</v>
      </c>
      <c r="CM282" s="649">
        <v>3.9</v>
      </c>
      <c r="CN282" s="991">
        <v>1000</v>
      </c>
      <c r="CO282" s="649">
        <v>388</v>
      </c>
      <c r="CP282" s="649">
        <v>596.20000000000005</v>
      </c>
      <c r="CQ282" s="649">
        <v>14.4</v>
      </c>
      <c r="CR282" s="649">
        <v>1.02</v>
      </c>
      <c r="CS282" s="405">
        <v>0</v>
      </c>
      <c r="CT282" s="405">
        <v>17.36</v>
      </c>
      <c r="CU282" s="405">
        <v>66</v>
      </c>
      <c r="CV282" s="522">
        <v>0</v>
      </c>
      <c r="CW282" s="522">
        <v>0</v>
      </c>
      <c r="CX282" s="522">
        <v>0</v>
      </c>
      <c r="CY282" s="522">
        <v>0</v>
      </c>
      <c r="CZ282" s="689">
        <v>592</v>
      </c>
      <c r="DA282" s="689">
        <v>668</v>
      </c>
      <c r="DB282" s="689">
        <v>499</v>
      </c>
      <c r="DC282" s="643">
        <v>1140.3</v>
      </c>
      <c r="DD282" s="522"/>
      <c r="DE282" s="522"/>
      <c r="DF282" s="522"/>
      <c r="DG282" s="522"/>
      <c r="DH282" s="522"/>
      <c r="DI282" s="522"/>
      <c r="DJ282" s="522"/>
      <c r="DK282" s="522"/>
      <c r="DL282" s="649"/>
      <c r="DM282" s="649"/>
      <c r="DN282" s="649"/>
      <c r="DO282" s="522"/>
      <c r="DP282" s="522"/>
      <c r="DQ282" s="522"/>
      <c r="DR282" s="522"/>
      <c r="DS282" s="522"/>
      <c r="DT282" s="522"/>
      <c r="DU282" s="522"/>
      <c r="DV282" s="522"/>
      <c r="DW282" s="522"/>
      <c r="DX282" s="522"/>
      <c r="DY282" s="522"/>
      <c r="DZ282" s="522"/>
      <c r="EA282" s="522"/>
      <c r="EB282" s="522"/>
      <c r="EC282" s="522"/>
      <c r="ED282" s="522"/>
      <c r="EE282" s="522"/>
      <c r="EF282" s="522"/>
      <c r="EG282" s="649">
        <f t="shared" si="272"/>
        <v>19.337499999999999</v>
      </c>
      <c r="EH282" s="522">
        <v>0</v>
      </c>
      <c r="EI282" s="522">
        <v>1.5</v>
      </c>
      <c r="EJ282" s="649">
        <v>3.5</v>
      </c>
      <c r="EK282" s="522">
        <v>7.5</v>
      </c>
      <c r="EL282" s="522"/>
      <c r="EM282" s="522"/>
      <c r="EN282" s="522"/>
      <c r="EO282" s="522"/>
      <c r="EP282" s="522"/>
      <c r="EQ282" s="522"/>
      <c r="ER282" s="522"/>
      <c r="ES282" s="407"/>
      <c r="ET282" s="407"/>
    </row>
    <row r="283" spans="1:150" s="357" customFormat="1" ht="15">
      <c r="A283" s="675" t="s">
        <v>9</v>
      </c>
      <c r="B283" s="712">
        <v>41909</v>
      </c>
      <c r="C283" s="358">
        <v>0</v>
      </c>
      <c r="D283" s="405">
        <v>0.02</v>
      </c>
      <c r="E283" s="681">
        <v>0</v>
      </c>
      <c r="F283" s="681">
        <v>53</v>
      </c>
      <c r="G283" s="681">
        <v>0.75</v>
      </c>
      <c r="H283" s="405">
        <v>1.24</v>
      </c>
      <c r="I283" s="405">
        <v>93.26</v>
      </c>
      <c r="J283" s="405" t="s">
        <v>744</v>
      </c>
      <c r="K283" s="405">
        <v>1.06</v>
      </c>
      <c r="L283" s="644">
        <v>0</v>
      </c>
      <c r="M283" s="405">
        <v>16.100000000000001</v>
      </c>
      <c r="N283" s="405" t="s">
        <v>744</v>
      </c>
      <c r="O283" s="405" t="s">
        <v>743</v>
      </c>
      <c r="P283" s="405">
        <v>1.96</v>
      </c>
      <c r="Q283" s="405">
        <v>2.8258342044729852</v>
      </c>
      <c r="R283" s="790">
        <v>1486.3995297225888</v>
      </c>
      <c r="S283" s="405" t="s">
        <v>744</v>
      </c>
      <c r="T283" s="405">
        <v>7.95</v>
      </c>
      <c r="U283" s="405" t="s">
        <v>744</v>
      </c>
      <c r="V283" s="681">
        <v>0.7</v>
      </c>
      <c r="W283" s="681" t="e">
        <v>#VALUE!</v>
      </c>
      <c r="X283" s="386">
        <v>60.8</v>
      </c>
      <c r="Y283" s="383">
        <v>30.9</v>
      </c>
      <c r="Z283" s="681">
        <v>34.450000000000003</v>
      </c>
      <c r="AA283" s="794">
        <v>31</v>
      </c>
      <c r="AB283" s="794">
        <v>32.200000000000003</v>
      </c>
      <c r="AC283" s="775">
        <f t="shared" si="279"/>
        <v>63.2</v>
      </c>
      <c r="AD283" s="775">
        <f t="shared" si="280"/>
        <v>97.770399999999995</v>
      </c>
      <c r="AE283" s="705"/>
      <c r="AF283" s="775"/>
      <c r="AG283" s="407">
        <v>1.6</v>
      </c>
      <c r="AH283" s="705"/>
      <c r="AI283" s="705"/>
      <c r="AJ283" s="407"/>
      <c r="AK283" s="407"/>
      <c r="AL283" s="407"/>
      <c r="AM283" s="407"/>
      <c r="AN283" s="407"/>
      <c r="AO283" s="387"/>
      <c r="AP283" s="387"/>
      <c r="AQ283" s="405"/>
      <c r="AR283" s="578">
        <v>0</v>
      </c>
      <c r="AS283" s="405">
        <v>11.6</v>
      </c>
      <c r="AT283" s="578">
        <v>0.38</v>
      </c>
      <c r="AU283" s="405">
        <v>31.2</v>
      </c>
      <c r="AV283" s="405">
        <v>372.8</v>
      </c>
      <c r="AW283" s="405">
        <v>480.7</v>
      </c>
      <c r="AX283" s="405">
        <v>0</v>
      </c>
      <c r="AY283" s="578">
        <v>0</v>
      </c>
      <c r="AZ283" s="578">
        <v>0</v>
      </c>
      <c r="BA283" s="578">
        <v>0</v>
      </c>
      <c r="BB283" s="925">
        <v>1.6</v>
      </c>
      <c r="BC283" s="405">
        <v>0.75</v>
      </c>
      <c r="BD283" s="405">
        <v>1.76</v>
      </c>
      <c r="BE283" s="578">
        <v>0</v>
      </c>
      <c r="BF283" s="405">
        <v>0</v>
      </c>
      <c r="BG283" s="405">
        <v>0</v>
      </c>
      <c r="BH283" s="578">
        <v>0</v>
      </c>
      <c r="BI283" s="405">
        <v>1.44</v>
      </c>
      <c r="BJ283" s="405">
        <v>28.6</v>
      </c>
      <c r="BK283" s="405">
        <v>3.07</v>
      </c>
      <c r="BL283" s="405">
        <v>4.7300000000000004</v>
      </c>
      <c r="BM283" s="405">
        <v>0</v>
      </c>
      <c r="BN283" s="405">
        <v>19.100000000000001</v>
      </c>
      <c r="BO283" s="405">
        <v>1354.4</v>
      </c>
      <c r="BP283" s="405">
        <v>0</v>
      </c>
      <c r="BQ283" s="649">
        <v>24.54</v>
      </c>
      <c r="BR283" s="649">
        <v>24.68</v>
      </c>
      <c r="BS283" s="649">
        <v>14.57</v>
      </c>
      <c r="BT283" s="649">
        <v>14.67</v>
      </c>
      <c r="BU283" s="648">
        <v>29.3</v>
      </c>
      <c r="BV283" s="648">
        <v>36.299999999999997</v>
      </c>
      <c r="BW283" s="649">
        <v>630.29999999999995</v>
      </c>
      <c r="BX283" s="876"/>
      <c r="BY283" s="649">
        <v>0.99</v>
      </c>
      <c r="BZ283" s="649">
        <v>0.1</v>
      </c>
      <c r="CA283" s="649">
        <v>1.2</v>
      </c>
      <c r="CB283" s="649">
        <v>8.4</v>
      </c>
      <c r="CC283" s="649">
        <v>7.9</v>
      </c>
      <c r="CD283" s="649">
        <v>15.4</v>
      </c>
      <c r="CE283" s="649">
        <v>32.1</v>
      </c>
      <c r="CF283" s="649">
        <v>13.2</v>
      </c>
      <c r="CG283" s="649">
        <v>7.3</v>
      </c>
      <c r="CH283" s="649">
        <v>12.6</v>
      </c>
      <c r="CI283" s="649">
        <v>16.600000000000001</v>
      </c>
      <c r="CJ283" s="649">
        <v>13.3</v>
      </c>
      <c r="CK283" s="649">
        <v>566.29999999999995</v>
      </c>
      <c r="CL283" s="649">
        <v>2.6</v>
      </c>
      <c r="CM283" s="649">
        <v>3.7</v>
      </c>
      <c r="CN283" s="991">
        <v>1000</v>
      </c>
      <c r="CO283" s="649">
        <v>399.7</v>
      </c>
      <c r="CP283" s="649">
        <v>567.6</v>
      </c>
      <c r="CQ283" s="649">
        <v>14.5</v>
      </c>
      <c r="CR283" s="649">
        <v>1.08</v>
      </c>
      <c r="CS283" s="405">
        <v>0</v>
      </c>
      <c r="CT283" s="405">
        <v>17.7</v>
      </c>
      <c r="CU283" s="405">
        <v>66</v>
      </c>
      <c r="CV283" s="522">
        <v>0</v>
      </c>
      <c r="CW283" s="522">
        <v>0</v>
      </c>
      <c r="CX283" s="522">
        <v>0</v>
      </c>
      <c r="CY283" s="522">
        <v>0</v>
      </c>
      <c r="CZ283" s="689">
        <v>589</v>
      </c>
      <c r="DA283" s="689">
        <v>657</v>
      </c>
      <c r="DB283" s="689">
        <v>487</v>
      </c>
      <c r="DC283" s="643">
        <v>1139.4000000000001</v>
      </c>
      <c r="DD283" s="522"/>
      <c r="DE283" s="522"/>
      <c r="DF283" s="522"/>
      <c r="DG283" s="522"/>
      <c r="DH283" s="522"/>
      <c r="DI283" s="522"/>
      <c r="DJ283" s="522"/>
      <c r="DK283" s="522"/>
      <c r="DL283" s="649"/>
      <c r="DM283" s="649"/>
      <c r="DN283" s="649"/>
      <c r="DO283" s="522"/>
      <c r="DP283" s="522"/>
      <c r="DQ283" s="522"/>
      <c r="DR283" s="522"/>
      <c r="DS283" s="522"/>
      <c r="DT283" s="522"/>
      <c r="DU283" s="522"/>
      <c r="DV283" s="522"/>
      <c r="DW283" s="522"/>
      <c r="DX283" s="522"/>
      <c r="DY283" s="522"/>
      <c r="DZ283" s="522"/>
      <c r="EA283" s="522"/>
      <c r="EB283" s="522"/>
      <c r="EC283" s="522"/>
      <c r="ED283" s="522"/>
      <c r="EE283" s="522"/>
      <c r="EF283" s="522"/>
      <c r="EG283" s="649">
        <f t="shared" si="272"/>
        <v>19.337499999999999</v>
      </c>
      <c r="EH283" s="522">
        <v>0</v>
      </c>
      <c r="EI283" s="522">
        <v>1.5</v>
      </c>
      <c r="EJ283" s="522">
        <v>3.5</v>
      </c>
      <c r="EK283" s="522">
        <v>7.5</v>
      </c>
      <c r="EL283" s="522"/>
      <c r="EM283" s="522"/>
      <c r="EN283" s="522"/>
      <c r="EO283" s="522"/>
      <c r="EP283" s="522"/>
      <c r="EQ283" s="522"/>
      <c r="ER283" s="522"/>
      <c r="ES283" s="407"/>
      <c r="ET283" s="407"/>
    </row>
    <row r="284" spans="1:150" s="357" customFormat="1" ht="15">
      <c r="A284" s="675" t="s">
        <v>3</v>
      </c>
      <c r="B284" s="712">
        <v>41910</v>
      </c>
      <c r="C284" s="358">
        <v>0</v>
      </c>
      <c r="D284" s="405">
        <v>0</v>
      </c>
      <c r="E284" s="681">
        <v>0</v>
      </c>
      <c r="F284" s="681">
        <v>53</v>
      </c>
      <c r="G284" s="681">
        <v>0.75</v>
      </c>
      <c r="H284" s="405">
        <v>1.1200000000000001</v>
      </c>
      <c r="I284" s="405">
        <v>92.16</v>
      </c>
      <c r="J284" s="405" t="s">
        <v>744</v>
      </c>
      <c r="K284" s="405">
        <v>0.94</v>
      </c>
      <c r="L284" s="644">
        <v>0</v>
      </c>
      <c r="M284" s="405">
        <v>16.3</v>
      </c>
      <c r="N284" s="405" t="s">
        <v>744</v>
      </c>
      <c r="O284" s="405" t="s">
        <v>743</v>
      </c>
      <c r="P284" s="405">
        <v>1.96</v>
      </c>
      <c r="Q284" s="405">
        <v>2.8381501872708674</v>
      </c>
      <c r="R284" s="790">
        <v>1474.4150488771463</v>
      </c>
      <c r="S284" s="405" t="s">
        <v>744</v>
      </c>
      <c r="T284" s="405">
        <v>7.93</v>
      </c>
      <c r="U284" s="405" t="s">
        <v>744</v>
      </c>
      <c r="V284" s="406">
        <v>0.69</v>
      </c>
      <c r="W284" s="866" t="e">
        <v>#VALUE!</v>
      </c>
      <c r="X284" s="386">
        <v>60.980000000000004</v>
      </c>
      <c r="Y284" s="383">
        <v>31</v>
      </c>
      <c r="Z284" s="681">
        <v>32.200000000000003</v>
      </c>
      <c r="AA284" s="794">
        <v>31.04</v>
      </c>
      <c r="AB284" s="794">
        <v>30</v>
      </c>
      <c r="AC284" s="775">
        <f t="shared" si="279"/>
        <v>61.04</v>
      </c>
      <c r="AD284" s="775">
        <f t="shared" si="280"/>
        <v>94.428879999999992</v>
      </c>
      <c r="AE284" s="705"/>
      <c r="AF284" s="775"/>
      <c r="AG284" s="407">
        <v>1.6</v>
      </c>
      <c r="AH284" s="705"/>
      <c r="AI284" s="705"/>
      <c r="AJ284" s="407"/>
      <c r="AK284" s="407"/>
      <c r="AL284" s="407"/>
      <c r="AM284" s="407"/>
      <c r="AN284" s="407"/>
      <c r="AO284" s="387"/>
      <c r="AP284" s="387"/>
      <c r="AQ284" s="405"/>
      <c r="AR284" s="578">
        <v>0</v>
      </c>
      <c r="AS284" s="405">
        <v>23.3</v>
      </c>
      <c r="AT284" s="578">
        <v>0</v>
      </c>
      <c r="AU284" s="405">
        <v>31.7</v>
      </c>
      <c r="AV284" s="405">
        <v>581.70000000000005</v>
      </c>
      <c r="AW284" s="405">
        <v>797.4</v>
      </c>
      <c r="AX284" s="405">
        <v>0.6</v>
      </c>
      <c r="AY284" s="578">
        <v>0</v>
      </c>
      <c r="AZ284" s="578">
        <v>0</v>
      </c>
      <c r="BA284" s="578">
        <v>0</v>
      </c>
      <c r="BB284" s="925">
        <v>1.6</v>
      </c>
      <c r="BC284" s="405">
        <v>1.25</v>
      </c>
      <c r="BD284" s="405">
        <v>1.25</v>
      </c>
      <c r="BE284" s="578">
        <v>0</v>
      </c>
      <c r="BF284" s="405">
        <v>0</v>
      </c>
      <c r="BG284" s="405">
        <v>0</v>
      </c>
      <c r="BH284" s="578">
        <v>0</v>
      </c>
      <c r="BI284" s="405">
        <v>1.43</v>
      </c>
      <c r="BJ284" s="405">
        <v>26.4</v>
      </c>
      <c r="BK284" s="405">
        <v>3.13</v>
      </c>
      <c r="BL284" s="405">
        <v>4.4000000000000004</v>
      </c>
      <c r="BM284" s="405">
        <v>0</v>
      </c>
      <c r="BN284" s="405">
        <v>17.2</v>
      </c>
      <c r="BO284" s="405">
        <v>1696.6</v>
      </c>
      <c r="BP284" s="405">
        <v>0</v>
      </c>
      <c r="BQ284" s="649">
        <v>23.01</v>
      </c>
      <c r="BR284" s="649">
        <v>23.16</v>
      </c>
      <c r="BS284" s="649">
        <v>14.5</v>
      </c>
      <c r="BT284" s="649">
        <v>14.63</v>
      </c>
      <c r="BU284" s="648">
        <v>29.2</v>
      </c>
      <c r="BV284" s="648">
        <v>40.4</v>
      </c>
      <c r="BW284" s="649">
        <v>705.4</v>
      </c>
      <c r="BX284" s="876"/>
      <c r="BY284" s="649">
        <v>0.93</v>
      </c>
      <c r="BZ284" s="649">
        <v>0.02</v>
      </c>
      <c r="CA284" s="649">
        <v>1.1000000000000001</v>
      </c>
      <c r="CB284" s="649">
        <v>8.4</v>
      </c>
      <c r="CC284" s="649">
        <v>7.9</v>
      </c>
      <c r="CD284" s="649">
        <v>15.7</v>
      </c>
      <c r="CE284" s="649">
        <v>31.1</v>
      </c>
      <c r="CF284" s="649">
        <v>13.4</v>
      </c>
      <c r="CG284" s="649">
        <v>9</v>
      </c>
      <c r="CH284" s="649">
        <v>14.6</v>
      </c>
      <c r="CI284" s="649">
        <v>18.7</v>
      </c>
      <c r="CJ284" s="649">
        <v>13.8</v>
      </c>
      <c r="CK284" s="649">
        <v>559.5</v>
      </c>
      <c r="CL284" s="649">
        <v>2.6</v>
      </c>
      <c r="CM284" s="649">
        <v>3</v>
      </c>
      <c r="CN284" s="991">
        <v>1000</v>
      </c>
      <c r="CO284" s="649">
        <v>419.2</v>
      </c>
      <c r="CP284" s="649">
        <v>571.20000000000005</v>
      </c>
      <c r="CQ284" s="649">
        <v>13.8</v>
      </c>
      <c r="CR284" s="649">
        <v>1</v>
      </c>
      <c r="CS284" s="405">
        <v>0</v>
      </c>
      <c r="CT284" s="405">
        <v>16.515999999999998</v>
      </c>
      <c r="CU284" s="405">
        <v>66</v>
      </c>
      <c r="CV284" s="522">
        <v>0</v>
      </c>
      <c r="CW284" s="522">
        <v>0</v>
      </c>
      <c r="CX284" s="522">
        <v>0</v>
      </c>
      <c r="CY284" s="522">
        <v>0</v>
      </c>
      <c r="CZ284" s="689">
        <v>585</v>
      </c>
      <c r="DA284" s="689">
        <v>635</v>
      </c>
      <c r="DB284" s="689">
        <v>484</v>
      </c>
      <c r="DC284" s="643">
        <v>1138.3800000000001</v>
      </c>
      <c r="DD284" s="522"/>
      <c r="DE284" s="522"/>
      <c r="DF284" s="522"/>
      <c r="DG284" s="522"/>
      <c r="DH284" s="522"/>
      <c r="DI284" s="522"/>
      <c r="DJ284" s="522"/>
      <c r="DK284" s="522"/>
      <c r="DL284" s="649"/>
      <c r="DM284" s="649"/>
      <c r="DN284" s="649"/>
      <c r="DO284" s="522"/>
      <c r="DP284" s="522"/>
      <c r="DQ284" s="522"/>
      <c r="DR284" s="522"/>
      <c r="DS284" s="522"/>
      <c r="DT284" s="522"/>
      <c r="DU284" s="522"/>
      <c r="DV284" s="522"/>
      <c r="DW284" s="522"/>
      <c r="DX284" s="522"/>
      <c r="DY284" s="522"/>
      <c r="DZ284" s="522"/>
      <c r="EA284" s="522"/>
      <c r="EB284" s="522"/>
      <c r="EC284" s="522"/>
      <c r="ED284" s="522"/>
      <c r="EE284" s="522"/>
      <c r="EF284" s="522"/>
      <c r="EG284" s="649">
        <f t="shared" si="272"/>
        <v>19.337499999999999</v>
      </c>
      <c r="EH284" s="522">
        <v>0</v>
      </c>
      <c r="EI284" s="522">
        <v>1.5</v>
      </c>
      <c r="EJ284" s="522">
        <v>3.5</v>
      </c>
      <c r="EK284" s="522">
        <v>7.5</v>
      </c>
      <c r="EL284" s="522"/>
      <c r="EM284" s="522"/>
      <c r="EN284" s="522"/>
      <c r="EO284" s="522"/>
      <c r="EP284" s="522"/>
      <c r="EQ284" s="522"/>
      <c r="ER284" s="522"/>
      <c r="ES284" s="407"/>
      <c r="ET284" s="407"/>
    </row>
    <row r="285" spans="1:150" s="357" customFormat="1" ht="15">
      <c r="A285" s="675" t="s">
        <v>4</v>
      </c>
      <c r="B285" s="712">
        <v>41911</v>
      </c>
      <c r="C285" s="358">
        <v>0</v>
      </c>
      <c r="D285" s="405">
        <v>0.3</v>
      </c>
      <c r="E285" s="681">
        <v>0</v>
      </c>
      <c r="F285" s="681">
        <v>52</v>
      </c>
      <c r="G285" s="681">
        <v>0.65</v>
      </c>
      <c r="H285" s="405">
        <v>1.1000000000000001</v>
      </c>
      <c r="I285" s="405">
        <v>92.03</v>
      </c>
      <c r="J285" s="405" t="s">
        <v>744</v>
      </c>
      <c r="K285" s="405">
        <v>1.2</v>
      </c>
      <c r="L285" s="644">
        <v>0</v>
      </c>
      <c r="M285" s="405">
        <v>16.3</v>
      </c>
      <c r="N285" s="405" t="s">
        <v>744</v>
      </c>
      <c r="O285" s="405" t="s">
        <v>743</v>
      </c>
      <c r="P285" s="405">
        <v>1.93</v>
      </c>
      <c r="Q285" s="405">
        <v>2.8403170409511227</v>
      </c>
      <c r="R285" s="790">
        <v>1421.2946472919418</v>
      </c>
      <c r="S285" s="405" t="s">
        <v>744</v>
      </c>
      <c r="T285" s="405">
        <v>8</v>
      </c>
      <c r="U285" s="405" t="s">
        <v>744</v>
      </c>
      <c r="V285" s="406">
        <v>0.7</v>
      </c>
      <c r="W285" s="866" t="e">
        <v>#VALUE!</v>
      </c>
      <c r="X285" s="386">
        <v>60.620000000000005</v>
      </c>
      <c r="Y285" s="383">
        <v>31.04</v>
      </c>
      <c r="Z285" s="681">
        <v>30</v>
      </c>
      <c r="AA285" s="794">
        <v>31.06</v>
      </c>
      <c r="AB285" s="794">
        <v>30</v>
      </c>
      <c r="AC285" s="775">
        <f>AA285+AB285</f>
        <v>61.06</v>
      </c>
      <c r="AD285" s="775">
        <f>AC285*1.547</f>
        <v>94.459819999999993</v>
      </c>
      <c r="AE285" s="705"/>
      <c r="AF285" s="775"/>
      <c r="AG285" s="407">
        <v>1.6</v>
      </c>
      <c r="AH285" s="705"/>
      <c r="AI285" s="705"/>
      <c r="AJ285" s="407"/>
      <c r="AK285" s="407"/>
      <c r="AL285" s="407"/>
      <c r="AM285" s="407"/>
      <c r="AN285" s="407"/>
      <c r="AO285" s="387"/>
      <c r="AP285" s="387"/>
      <c r="AQ285" s="405"/>
      <c r="AR285" s="578">
        <v>0</v>
      </c>
      <c r="AS285" s="405">
        <v>11.1</v>
      </c>
      <c r="AT285" s="578">
        <v>0</v>
      </c>
      <c r="AU285" s="405">
        <v>31.7</v>
      </c>
      <c r="AV285" s="405">
        <v>376.4</v>
      </c>
      <c r="AW285" s="405">
        <v>513.5</v>
      </c>
      <c r="AX285" s="405">
        <v>0.6</v>
      </c>
      <c r="AY285" s="578">
        <v>0</v>
      </c>
      <c r="AZ285" s="578">
        <v>0</v>
      </c>
      <c r="BA285" s="578">
        <v>0</v>
      </c>
      <c r="BB285" s="925">
        <v>1.6</v>
      </c>
      <c r="BC285" s="405">
        <v>0.81</v>
      </c>
      <c r="BD285" s="405">
        <v>1.63</v>
      </c>
      <c r="BE285" s="578">
        <v>0</v>
      </c>
      <c r="BF285" s="405">
        <v>0.34</v>
      </c>
      <c r="BG285" s="405">
        <v>0</v>
      </c>
      <c r="BH285" s="578">
        <v>0</v>
      </c>
      <c r="BI285" s="405">
        <v>1.45</v>
      </c>
      <c r="BJ285" s="405">
        <v>26.1</v>
      </c>
      <c r="BK285" s="405">
        <v>3.63</v>
      </c>
      <c r="BL285" s="405">
        <v>3.89</v>
      </c>
      <c r="BM285" s="405">
        <v>0</v>
      </c>
      <c r="BN285" s="405">
        <v>17</v>
      </c>
      <c r="BO285" s="405">
        <v>901.9</v>
      </c>
      <c r="BP285" s="405">
        <v>20.399999999999999</v>
      </c>
      <c r="BQ285" s="649">
        <v>22.77</v>
      </c>
      <c r="BR285" s="649">
        <v>22.93</v>
      </c>
      <c r="BS285" s="649">
        <v>14.78</v>
      </c>
      <c r="BT285" s="649">
        <v>14.88</v>
      </c>
      <c r="BU285" s="648">
        <v>29.7</v>
      </c>
      <c r="BV285" s="648">
        <v>37.299999999999997</v>
      </c>
      <c r="BW285" s="649">
        <v>590.79999999999995</v>
      </c>
      <c r="BX285" s="876"/>
      <c r="BY285" s="649">
        <v>0.9</v>
      </c>
      <c r="BZ285" s="649">
        <v>0.7</v>
      </c>
      <c r="CA285" s="649">
        <v>1.2</v>
      </c>
      <c r="CB285" s="649">
        <v>8.6</v>
      </c>
      <c r="CC285" s="649">
        <v>7.9</v>
      </c>
      <c r="CD285" s="649">
        <v>15.6</v>
      </c>
      <c r="CE285" s="649">
        <v>30.1</v>
      </c>
      <c r="CF285" s="649">
        <v>14.6</v>
      </c>
      <c r="CG285" s="649">
        <v>7.2</v>
      </c>
      <c r="CH285" s="649">
        <v>12.4</v>
      </c>
      <c r="CI285" s="649">
        <v>16.8</v>
      </c>
      <c r="CJ285" s="649">
        <v>13.6</v>
      </c>
      <c r="CK285" s="649">
        <v>538.20000000000005</v>
      </c>
      <c r="CL285" s="649">
        <v>2.1</v>
      </c>
      <c r="CM285" s="649">
        <v>2.2999999999999998</v>
      </c>
      <c r="CN285" s="991">
        <v>750</v>
      </c>
      <c r="CO285" s="649">
        <v>402.3</v>
      </c>
      <c r="CP285" s="649">
        <v>587.4</v>
      </c>
      <c r="CQ285" s="649">
        <v>13.6</v>
      </c>
      <c r="CR285" s="649">
        <v>1</v>
      </c>
      <c r="CS285" s="405">
        <v>0</v>
      </c>
      <c r="CT285" s="405">
        <v>15.42</v>
      </c>
      <c r="CU285" s="405">
        <v>64</v>
      </c>
      <c r="CV285" s="522">
        <v>0</v>
      </c>
      <c r="CW285" s="522">
        <v>0</v>
      </c>
      <c r="CX285" s="522">
        <v>0</v>
      </c>
      <c r="CY285" s="522">
        <v>0</v>
      </c>
      <c r="CZ285" s="642">
        <v>520</v>
      </c>
      <c r="DA285" s="642">
        <v>581</v>
      </c>
      <c r="DB285" s="642">
        <v>427</v>
      </c>
      <c r="DC285" s="643">
        <v>1137.45</v>
      </c>
      <c r="DD285" s="522"/>
      <c r="DE285" s="522"/>
      <c r="DF285" s="522"/>
      <c r="DG285" s="522"/>
      <c r="DH285" s="522"/>
      <c r="DI285" s="522"/>
      <c r="DJ285" s="522"/>
      <c r="DK285" s="522"/>
      <c r="DL285" s="649"/>
      <c r="DM285" s="649"/>
      <c r="DN285" s="649"/>
      <c r="DO285" s="522"/>
      <c r="DP285" s="522"/>
      <c r="DQ285" s="522"/>
      <c r="DR285" s="522"/>
      <c r="DS285" s="522"/>
      <c r="DT285" s="522"/>
      <c r="DU285" s="522"/>
      <c r="DV285" s="522"/>
      <c r="DW285" s="522"/>
      <c r="DX285" s="522"/>
      <c r="DY285" s="522"/>
      <c r="DZ285" s="522"/>
      <c r="EA285" s="522"/>
      <c r="EB285" s="522"/>
      <c r="EC285" s="522"/>
      <c r="ED285" s="522"/>
      <c r="EE285" s="522"/>
      <c r="EF285" s="522"/>
      <c r="EG285" s="649">
        <f t="shared" si="272"/>
        <v>18.564</v>
      </c>
      <c r="EH285" s="522">
        <v>0</v>
      </c>
      <c r="EI285" s="522">
        <v>1.5</v>
      </c>
      <c r="EJ285" s="649">
        <v>3</v>
      </c>
      <c r="EK285" s="522">
        <v>7.5</v>
      </c>
      <c r="EL285" s="522"/>
      <c r="EM285" s="522"/>
      <c r="EN285" s="522"/>
      <c r="EO285" s="522"/>
      <c r="EP285" s="522"/>
      <c r="EQ285" s="522"/>
      <c r="ER285" s="522"/>
      <c r="ES285" s="407"/>
      <c r="ET285" s="407"/>
    </row>
    <row r="286" spans="1:150" s="357" customFormat="1" ht="15">
      <c r="A286" s="675" t="s">
        <v>5</v>
      </c>
      <c r="B286" s="712">
        <v>41912</v>
      </c>
      <c r="C286" s="358">
        <v>0</v>
      </c>
      <c r="D286" s="405">
        <v>0.03</v>
      </c>
      <c r="E286" s="681">
        <v>0</v>
      </c>
      <c r="F286" s="681">
        <v>50</v>
      </c>
      <c r="G286" s="681">
        <v>0.65</v>
      </c>
      <c r="H286" s="405">
        <v>1.06</v>
      </c>
      <c r="I286" s="405">
        <v>93.5</v>
      </c>
      <c r="J286" s="405" t="s">
        <v>744</v>
      </c>
      <c r="K286" s="405">
        <v>1.2</v>
      </c>
      <c r="L286" s="644">
        <v>0</v>
      </c>
      <c r="M286" s="405">
        <v>16.3</v>
      </c>
      <c r="N286" s="405" t="s">
        <v>744</v>
      </c>
      <c r="O286" s="405" t="s">
        <v>743</v>
      </c>
      <c r="P286" s="405">
        <v>1.94</v>
      </c>
      <c r="Q286" s="405">
        <v>2.846449015537281</v>
      </c>
      <c r="R286" s="790">
        <v>1465.6696169088505</v>
      </c>
      <c r="S286" s="405" t="s">
        <v>744</v>
      </c>
      <c r="T286" s="405">
        <v>8.09</v>
      </c>
      <c r="U286" s="405" t="s">
        <v>744</v>
      </c>
      <c r="V286" s="406">
        <v>0.68</v>
      </c>
      <c r="W286" s="866" t="e">
        <v>#VALUE!</v>
      </c>
      <c r="X286" s="386">
        <v>60.620000000000005</v>
      </c>
      <c r="Y286" s="383">
        <v>31.06</v>
      </c>
      <c r="Z286" s="681">
        <v>30</v>
      </c>
      <c r="AA286" s="794">
        <v>31.1</v>
      </c>
      <c r="AB286" s="794">
        <v>29.93</v>
      </c>
      <c r="AC286" s="775">
        <f>AA286+AB286</f>
        <v>61.03</v>
      </c>
      <c r="AD286" s="775">
        <f>AC286*1.547</f>
        <v>94.413409999999999</v>
      </c>
      <c r="AE286" s="705"/>
      <c r="AF286" s="775"/>
      <c r="AG286" s="407">
        <v>1.6</v>
      </c>
      <c r="AH286" s="705"/>
      <c r="AI286" s="705"/>
      <c r="AJ286" s="407"/>
      <c r="AK286" s="407"/>
      <c r="AL286" s="407"/>
      <c r="AM286" s="407"/>
      <c r="AN286" s="407"/>
      <c r="AO286" s="387"/>
      <c r="AP286" s="387"/>
      <c r="AQ286" s="405"/>
      <c r="AR286" s="578">
        <v>0</v>
      </c>
      <c r="AS286" s="405">
        <v>11</v>
      </c>
      <c r="AT286" s="578">
        <v>0</v>
      </c>
      <c r="AU286" s="405">
        <v>31.7</v>
      </c>
      <c r="AV286" s="405">
        <v>413</v>
      </c>
      <c r="AW286" s="405">
        <v>561.79999999999995</v>
      </c>
      <c r="AX286" s="405">
        <v>0</v>
      </c>
      <c r="AY286" s="578">
        <v>0</v>
      </c>
      <c r="AZ286" s="578">
        <v>0</v>
      </c>
      <c r="BA286" s="578">
        <v>0</v>
      </c>
      <c r="BB286" s="925">
        <v>1.59</v>
      </c>
      <c r="BC286" s="405">
        <v>0.62</v>
      </c>
      <c r="BD286" s="405">
        <v>1.87</v>
      </c>
      <c r="BE286" s="578">
        <v>0</v>
      </c>
      <c r="BF286" s="405">
        <v>0.5</v>
      </c>
      <c r="BG286" s="405">
        <v>0</v>
      </c>
      <c r="BH286" s="578">
        <v>0</v>
      </c>
      <c r="BI286" s="405">
        <v>1.44</v>
      </c>
      <c r="BJ286" s="405">
        <v>25.9</v>
      </c>
      <c r="BK286" s="405">
        <v>3.63</v>
      </c>
      <c r="BL286" s="405">
        <v>4.09</v>
      </c>
      <c r="BM286" s="405">
        <v>0</v>
      </c>
      <c r="BN286" s="405">
        <v>16.7</v>
      </c>
      <c r="BO286" s="405">
        <v>1234.7</v>
      </c>
      <c r="BP286" s="405">
        <v>0</v>
      </c>
      <c r="BQ286" s="649">
        <v>22.83</v>
      </c>
      <c r="BR286" s="649">
        <v>22.98</v>
      </c>
      <c r="BS286" s="649">
        <v>14.69</v>
      </c>
      <c r="BT286" s="649">
        <v>14.8</v>
      </c>
      <c r="BU286" s="648">
        <v>29.5</v>
      </c>
      <c r="BV286" s="648">
        <v>36.299999999999997</v>
      </c>
      <c r="BW286" s="649">
        <v>543.6</v>
      </c>
      <c r="BX286" s="876"/>
      <c r="BY286" s="649">
        <v>0.87</v>
      </c>
      <c r="BZ286" s="649">
        <v>1.65</v>
      </c>
      <c r="CA286" s="649">
        <v>1.2</v>
      </c>
      <c r="CB286" s="649">
        <v>9</v>
      </c>
      <c r="CC286" s="649">
        <v>7.9</v>
      </c>
      <c r="CD286" s="649">
        <v>15.9</v>
      </c>
      <c r="CE286" s="649">
        <v>30.2</v>
      </c>
      <c r="CF286" s="649">
        <v>13.9</v>
      </c>
      <c r="CG286" s="649">
        <v>7.35</v>
      </c>
      <c r="CH286" s="649">
        <v>12.78</v>
      </c>
      <c r="CI286" s="649">
        <v>16.8</v>
      </c>
      <c r="CJ286" s="649">
        <v>13.82</v>
      </c>
      <c r="CK286" s="649">
        <v>536.4</v>
      </c>
      <c r="CL286" s="649">
        <v>2.1</v>
      </c>
      <c r="CM286" s="649">
        <v>1.7</v>
      </c>
      <c r="CN286" s="991">
        <v>750</v>
      </c>
      <c r="CO286" s="649">
        <v>358.6</v>
      </c>
      <c r="CP286" s="649">
        <v>549.20000000000005</v>
      </c>
      <c r="CQ286" s="649">
        <v>13.3</v>
      </c>
      <c r="CR286" s="649">
        <v>0.97</v>
      </c>
      <c r="CS286" s="405">
        <v>0</v>
      </c>
      <c r="CT286" s="405">
        <v>14.85</v>
      </c>
      <c r="CU286" s="405">
        <v>63</v>
      </c>
      <c r="CV286" s="522">
        <v>0</v>
      </c>
      <c r="CW286" s="522">
        <v>0</v>
      </c>
      <c r="CX286" s="522">
        <v>0</v>
      </c>
      <c r="CY286" s="522">
        <v>0</v>
      </c>
      <c r="CZ286" s="642">
        <v>546</v>
      </c>
      <c r="DA286" s="642">
        <v>592</v>
      </c>
      <c r="DB286" s="642">
        <v>452</v>
      </c>
      <c r="DC286" s="643">
        <v>1136.67</v>
      </c>
      <c r="DD286" s="522"/>
      <c r="DE286" s="522"/>
      <c r="DF286" s="522"/>
      <c r="DG286" s="522"/>
      <c r="DH286" s="522"/>
      <c r="DI286" s="522"/>
      <c r="DJ286" s="522"/>
      <c r="DK286" s="522"/>
      <c r="DL286" s="649"/>
      <c r="DM286" s="649"/>
      <c r="DN286" s="649"/>
      <c r="DO286" s="522"/>
      <c r="DP286" s="522"/>
      <c r="DQ286" s="522"/>
      <c r="DR286" s="522"/>
      <c r="DS286" s="522"/>
      <c r="DT286" s="522"/>
      <c r="DU286" s="522"/>
      <c r="DV286" s="522"/>
      <c r="DW286" s="522"/>
      <c r="DX286" s="522"/>
      <c r="DY286" s="522"/>
      <c r="DZ286" s="522"/>
      <c r="EA286" s="522"/>
      <c r="EB286" s="522"/>
      <c r="EC286" s="522"/>
      <c r="ED286" s="522"/>
      <c r="EE286" s="522"/>
      <c r="EF286" s="522"/>
      <c r="EG286" s="649">
        <f t="shared" si="272"/>
        <v>18.564</v>
      </c>
      <c r="EH286" s="522">
        <v>0</v>
      </c>
      <c r="EI286" s="522">
        <v>1.5</v>
      </c>
      <c r="EJ286" s="649">
        <v>3</v>
      </c>
      <c r="EK286" s="522">
        <v>7.5</v>
      </c>
      <c r="EL286" s="522"/>
      <c r="EM286" s="522"/>
      <c r="EN286" s="522"/>
      <c r="EO286" s="522"/>
      <c r="EP286" s="522"/>
      <c r="EQ286" s="522"/>
      <c r="ER286" s="522"/>
      <c r="ES286" s="407"/>
      <c r="ET286" s="407"/>
    </row>
    <row r="287" spans="1:150" s="357" customFormat="1" ht="15">
      <c r="A287" s="675" t="s">
        <v>6</v>
      </c>
      <c r="B287" s="712">
        <v>41913</v>
      </c>
      <c r="C287" s="358">
        <v>0</v>
      </c>
      <c r="D287" s="405">
        <v>0.01</v>
      </c>
      <c r="E287" s="681">
        <v>0</v>
      </c>
      <c r="F287" s="681">
        <v>53</v>
      </c>
      <c r="G287" s="681">
        <v>0.7</v>
      </c>
      <c r="H287" s="405">
        <v>1.03</v>
      </c>
      <c r="I287" s="405">
        <v>93.08</v>
      </c>
      <c r="J287" s="405" t="s">
        <v>744</v>
      </c>
      <c r="K287" s="405">
        <v>0.87</v>
      </c>
      <c r="L287" s="644">
        <v>0</v>
      </c>
      <c r="M287" s="405">
        <v>16.399999999999999</v>
      </c>
      <c r="N287" s="405" t="s">
        <v>744</v>
      </c>
      <c r="O287" s="405" t="s">
        <v>743</v>
      </c>
      <c r="P287" s="405">
        <v>1.94</v>
      </c>
      <c r="Q287" s="405">
        <v>2.8642668428007956</v>
      </c>
      <c r="R287" s="790">
        <v>1490.6102932628796</v>
      </c>
      <c r="S287" s="405" t="s">
        <v>744</v>
      </c>
      <c r="T287" s="405">
        <v>7.99</v>
      </c>
      <c r="U287" s="405" t="s">
        <v>744</v>
      </c>
      <c r="V287" s="406">
        <v>0.7</v>
      </c>
      <c r="W287" s="866" t="e">
        <v>#VALUE!</v>
      </c>
      <c r="X287" s="386">
        <v>60.260000000000005</v>
      </c>
      <c r="Y287" s="383">
        <v>31.1</v>
      </c>
      <c r="Z287" s="681">
        <v>29.93</v>
      </c>
      <c r="AA287" s="794">
        <v>31.1</v>
      </c>
      <c r="AB287" s="794">
        <v>30.03</v>
      </c>
      <c r="AC287" s="775">
        <f t="shared" ref="AC287:AC288" si="281">AA287+AB287</f>
        <v>61.13</v>
      </c>
      <c r="AD287" s="775">
        <f t="shared" ref="AD287:AD288" si="282">AC287*1.547</f>
        <v>94.568110000000004</v>
      </c>
      <c r="AE287" s="705"/>
      <c r="AF287" s="775"/>
      <c r="AG287" s="705">
        <v>1</v>
      </c>
      <c r="AH287" s="705"/>
      <c r="AI287" s="705"/>
      <c r="AJ287" s="407"/>
      <c r="AK287" s="407"/>
      <c r="AL287" s="407"/>
      <c r="AM287" s="407"/>
      <c r="AN287" s="407"/>
      <c r="AO287" s="387"/>
      <c r="AP287" s="387"/>
      <c r="AQ287" s="405"/>
      <c r="AR287" s="578">
        <v>0</v>
      </c>
      <c r="AS287" s="405">
        <v>11</v>
      </c>
      <c r="AT287" s="578">
        <v>0</v>
      </c>
      <c r="AU287" s="405">
        <v>31.7</v>
      </c>
      <c r="AV287" s="405">
        <v>425.7</v>
      </c>
      <c r="AW287" s="405">
        <v>538.1</v>
      </c>
      <c r="AX287" s="405">
        <v>0.3</v>
      </c>
      <c r="AY287" s="578">
        <v>0</v>
      </c>
      <c r="AZ287" s="578">
        <v>0</v>
      </c>
      <c r="BA287" s="578">
        <v>0</v>
      </c>
      <c r="BB287" s="925">
        <v>1.22</v>
      </c>
      <c r="BC287" s="405">
        <v>0.63</v>
      </c>
      <c r="BD287" s="405">
        <v>1.87</v>
      </c>
      <c r="BE287" s="578">
        <v>0</v>
      </c>
      <c r="BF287" s="405">
        <v>0.5</v>
      </c>
      <c r="BG287" s="405">
        <v>0</v>
      </c>
      <c r="BH287" s="578">
        <v>0</v>
      </c>
      <c r="BI287" s="405">
        <v>1.44</v>
      </c>
      <c r="BJ287" s="405">
        <v>25.9</v>
      </c>
      <c r="BK287" s="405">
        <v>3.39</v>
      </c>
      <c r="BL287" s="405">
        <v>4.63</v>
      </c>
      <c r="BM287" s="405">
        <v>0</v>
      </c>
      <c r="BN287" s="405">
        <v>17.100000000000001</v>
      </c>
      <c r="BO287" s="405">
        <v>1479.9</v>
      </c>
      <c r="BP287" s="405">
        <v>0</v>
      </c>
      <c r="BQ287" s="649">
        <v>23.89</v>
      </c>
      <c r="BR287" s="649">
        <v>24.01</v>
      </c>
      <c r="BS287" s="649">
        <v>14.75</v>
      </c>
      <c r="BT287" s="649">
        <v>14.89</v>
      </c>
      <c r="BU287" s="648">
        <v>29.7</v>
      </c>
      <c r="BV287" s="648">
        <v>33.799999999999997</v>
      </c>
      <c r="BW287" s="649">
        <v>436.9</v>
      </c>
      <c r="BX287" s="876"/>
      <c r="BY287" s="649">
        <v>0.89</v>
      </c>
      <c r="BZ287" s="649">
        <v>1.63</v>
      </c>
      <c r="CA287" s="649">
        <v>1.1000000000000001</v>
      </c>
      <c r="CB287" s="649">
        <v>9</v>
      </c>
      <c r="CC287" s="649">
        <v>7.9</v>
      </c>
      <c r="CD287" s="649">
        <v>15.9</v>
      </c>
      <c r="CE287" s="649">
        <v>32.9</v>
      </c>
      <c r="CF287" s="649">
        <v>13.1</v>
      </c>
      <c r="CG287" s="649">
        <v>8.6</v>
      </c>
      <c r="CH287" s="649">
        <v>14</v>
      </c>
      <c r="CI287" s="649">
        <v>18.5</v>
      </c>
      <c r="CJ287" s="649">
        <v>13.62</v>
      </c>
      <c r="CK287" s="649">
        <v>503.1</v>
      </c>
      <c r="CL287" s="649">
        <v>1.8</v>
      </c>
      <c r="CM287" s="649">
        <v>1.3</v>
      </c>
      <c r="CN287" s="991">
        <v>750</v>
      </c>
      <c r="CO287" s="649">
        <v>372.7</v>
      </c>
      <c r="CP287" s="649">
        <v>577.6</v>
      </c>
      <c r="CQ287" s="649">
        <v>12.8</v>
      </c>
      <c r="CR287" s="649">
        <v>0.92</v>
      </c>
      <c r="CS287" s="405">
        <v>0</v>
      </c>
      <c r="CT287" s="405">
        <v>13.74</v>
      </c>
      <c r="CU287" s="405">
        <v>63</v>
      </c>
      <c r="CV287" s="522">
        <v>0</v>
      </c>
      <c r="CW287" s="522">
        <v>0</v>
      </c>
      <c r="CX287" s="522">
        <v>0</v>
      </c>
      <c r="CY287" s="522">
        <v>0</v>
      </c>
      <c r="CZ287" s="642">
        <v>577</v>
      </c>
      <c r="DA287" s="642">
        <v>608</v>
      </c>
      <c r="DB287" s="642">
        <v>481</v>
      </c>
      <c r="DC287" s="643">
        <v>1135.78</v>
      </c>
      <c r="DD287" s="522"/>
      <c r="DE287" s="522"/>
      <c r="DF287" s="522"/>
      <c r="DG287" s="522"/>
      <c r="DH287" s="522"/>
      <c r="DI287" s="522"/>
      <c r="DJ287" s="522"/>
      <c r="DK287" s="522"/>
      <c r="DL287" s="649"/>
      <c r="DM287" s="649"/>
      <c r="DN287" s="649"/>
      <c r="DO287" s="522"/>
      <c r="DP287" s="522"/>
      <c r="DQ287" s="522"/>
      <c r="DR287" s="522"/>
      <c r="DS287" s="522"/>
      <c r="DT287" s="522"/>
      <c r="DU287" s="522"/>
      <c r="DV287" s="522"/>
      <c r="DW287" s="522"/>
      <c r="DX287" s="522"/>
      <c r="DY287" s="522"/>
      <c r="DZ287" s="522"/>
      <c r="EA287" s="522"/>
      <c r="EB287" s="522"/>
      <c r="EC287" s="522"/>
      <c r="ED287" s="522"/>
      <c r="EE287" s="522"/>
      <c r="EF287" s="522"/>
      <c r="EG287" s="649">
        <f t="shared" si="272"/>
        <v>18.564</v>
      </c>
      <c r="EH287" s="522">
        <v>0</v>
      </c>
      <c r="EI287" s="522">
        <v>1.5</v>
      </c>
      <c r="EJ287" s="649">
        <v>3</v>
      </c>
      <c r="EK287" s="522">
        <v>7.5</v>
      </c>
      <c r="EL287" s="522"/>
      <c r="EM287" s="522"/>
      <c r="EN287" s="522"/>
      <c r="EO287" s="522"/>
      <c r="EP287" s="522"/>
      <c r="EQ287" s="522"/>
      <c r="ER287" s="522"/>
      <c r="ES287" s="407"/>
      <c r="ET287" s="407"/>
    </row>
    <row r="288" spans="1:150" s="357" customFormat="1" ht="15">
      <c r="A288" s="675" t="s">
        <v>7</v>
      </c>
      <c r="B288" s="712">
        <v>41914</v>
      </c>
      <c r="C288" s="358">
        <v>0</v>
      </c>
      <c r="D288" s="405">
        <v>0</v>
      </c>
      <c r="E288" s="681">
        <v>0</v>
      </c>
      <c r="F288" s="681">
        <v>51</v>
      </c>
      <c r="G288" s="681">
        <v>0.7</v>
      </c>
      <c r="H288" s="405">
        <v>1.22</v>
      </c>
      <c r="I288" s="405">
        <v>92.48</v>
      </c>
      <c r="J288" s="405" t="s">
        <v>744</v>
      </c>
      <c r="K288" s="405">
        <v>0.86</v>
      </c>
      <c r="L288" s="644">
        <v>0</v>
      </c>
      <c r="M288" s="405">
        <v>16.3</v>
      </c>
      <c r="N288" s="405" t="s">
        <v>744</v>
      </c>
      <c r="O288" s="405" t="s">
        <v>743</v>
      </c>
      <c r="P288" s="405">
        <v>1.92</v>
      </c>
      <c r="Q288" s="405">
        <v>2.8816176544585703</v>
      </c>
      <c r="R288" s="790">
        <v>1451.0938969616907</v>
      </c>
      <c r="S288" s="405" t="s">
        <v>744</v>
      </c>
      <c r="T288" s="405">
        <v>7.92</v>
      </c>
      <c r="U288" s="405" t="s">
        <v>744</v>
      </c>
      <c r="V288" s="406">
        <v>0.76</v>
      </c>
      <c r="W288" s="866" t="e">
        <v>#VALUE!</v>
      </c>
      <c r="X288" s="386">
        <v>59.539999999999992</v>
      </c>
      <c r="Y288" s="383">
        <v>31.1</v>
      </c>
      <c r="Z288" s="681">
        <v>30.03</v>
      </c>
      <c r="AA288" s="794">
        <v>31.1</v>
      </c>
      <c r="AB288" s="794">
        <v>28.55</v>
      </c>
      <c r="AC288" s="775">
        <f t="shared" si="281"/>
        <v>59.650000000000006</v>
      </c>
      <c r="AD288" s="775">
        <f t="shared" si="282"/>
        <v>92.27855000000001</v>
      </c>
      <c r="AE288" s="705"/>
      <c r="AF288" s="775"/>
      <c r="AG288" s="705">
        <v>1</v>
      </c>
      <c r="AH288" s="705"/>
      <c r="AI288" s="705"/>
      <c r="AJ288" s="407"/>
      <c r="AK288" s="407"/>
      <c r="AL288" s="407"/>
      <c r="AM288" s="407"/>
      <c r="AN288" s="407"/>
      <c r="AO288" s="387"/>
      <c r="AP288" s="387"/>
      <c r="AQ288" s="405"/>
      <c r="AR288" s="578">
        <v>0</v>
      </c>
      <c r="AS288" s="405">
        <v>21.5</v>
      </c>
      <c r="AT288" s="578">
        <v>0</v>
      </c>
      <c r="AU288" s="405">
        <v>31.7</v>
      </c>
      <c r="AV288" s="405">
        <v>372</v>
      </c>
      <c r="AW288" s="405">
        <v>543</v>
      </c>
      <c r="AX288" s="405">
        <v>0.2</v>
      </c>
      <c r="AY288" s="578">
        <v>0</v>
      </c>
      <c r="AZ288" s="578">
        <v>0</v>
      </c>
      <c r="BA288" s="578">
        <v>0</v>
      </c>
      <c r="BB288" s="925">
        <v>1</v>
      </c>
      <c r="BC288" s="405">
        <v>0.64</v>
      </c>
      <c r="BD288" s="405">
        <v>1.87</v>
      </c>
      <c r="BE288" s="578">
        <v>0</v>
      </c>
      <c r="BF288" s="405">
        <v>0.5</v>
      </c>
      <c r="BG288" s="405">
        <v>0</v>
      </c>
      <c r="BH288" s="578">
        <v>0</v>
      </c>
      <c r="BI288" s="405">
        <v>1.44</v>
      </c>
      <c r="BJ288" s="405">
        <v>24.5</v>
      </c>
      <c r="BK288" s="405">
        <v>3.11</v>
      </c>
      <c r="BL288" s="405">
        <v>4.51</v>
      </c>
      <c r="BM288" s="405">
        <v>0</v>
      </c>
      <c r="BN288" s="405">
        <v>15.9</v>
      </c>
      <c r="BO288" s="405">
        <v>872.8</v>
      </c>
      <c r="BP288" s="405">
        <v>0</v>
      </c>
      <c r="BQ288" s="649">
        <v>23.85</v>
      </c>
      <c r="BR288" s="649">
        <v>24.01</v>
      </c>
      <c r="BS288" s="649">
        <v>14.7</v>
      </c>
      <c r="BT288" s="649">
        <v>14.79</v>
      </c>
      <c r="BU288" s="648">
        <v>29.5</v>
      </c>
      <c r="BV288" s="648">
        <v>36.299999999999997</v>
      </c>
      <c r="BW288" s="649">
        <v>574.20000000000005</v>
      </c>
      <c r="BX288" s="876"/>
      <c r="BY288" s="649">
        <v>0.87</v>
      </c>
      <c r="BZ288" s="649">
        <v>1.52</v>
      </c>
      <c r="CA288" s="649">
        <v>1.1000000000000001</v>
      </c>
      <c r="CB288" s="649">
        <v>8.9</v>
      </c>
      <c r="CC288" s="649">
        <v>7.9</v>
      </c>
      <c r="CD288" s="649">
        <v>16</v>
      </c>
      <c r="CE288" s="649">
        <v>32.4</v>
      </c>
      <c r="CF288" s="649">
        <v>13.7</v>
      </c>
      <c r="CG288" s="649">
        <v>6.9</v>
      </c>
      <c r="CH288" s="649">
        <v>12.2</v>
      </c>
      <c r="CI288" s="649">
        <v>16.2</v>
      </c>
      <c r="CJ288" s="649">
        <v>13.59</v>
      </c>
      <c r="CK288" s="649">
        <v>514.9</v>
      </c>
      <c r="CL288" s="649">
        <v>2.8</v>
      </c>
      <c r="CM288" s="649">
        <v>3.5</v>
      </c>
      <c r="CN288" s="991">
        <v>750</v>
      </c>
      <c r="CO288" s="649">
        <v>352.9</v>
      </c>
      <c r="CP288" s="649">
        <v>561.70000000000005</v>
      </c>
      <c r="CQ288" s="649">
        <v>13</v>
      </c>
      <c r="CR288" s="649">
        <v>0.92</v>
      </c>
      <c r="CS288" s="405">
        <v>0</v>
      </c>
      <c r="CT288" s="405">
        <v>15.586</v>
      </c>
      <c r="CU288" s="405">
        <v>65</v>
      </c>
      <c r="CV288" s="522">
        <v>0</v>
      </c>
      <c r="CW288" s="522">
        <v>0</v>
      </c>
      <c r="CX288" s="522">
        <v>0</v>
      </c>
      <c r="CY288" s="522">
        <v>0</v>
      </c>
      <c r="CZ288" s="642">
        <v>550</v>
      </c>
      <c r="DA288" s="642">
        <v>608</v>
      </c>
      <c r="DB288" s="642">
        <v>461</v>
      </c>
      <c r="DC288" s="643">
        <v>1134.79</v>
      </c>
      <c r="DD288" s="522"/>
      <c r="DE288" s="522"/>
      <c r="DF288" s="522"/>
      <c r="DG288" s="522"/>
      <c r="DH288" s="522"/>
      <c r="DI288" s="522"/>
      <c r="DJ288" s="522"/>
      <c r="DK288" s="522"/>
      <c r="DL288" s="649"/>
      <c r="DM288" s="649"/>
      <c r="DN288" s="649"/>
      <c r="DO288" s="522"/>
      <c r="DP288" s="522"/>
      <c r="DQ288" s="522"/>
      <c r="DR288" s="522"/>
      <c r="DS288" s="522"/>
      <c r="DT288" s="522"/>
      <c r="DU288" s="522"/>
      <c r="DV288" s="522"/>
      <c r="DW288" s="522"/>
      <c r="DX288" s="522"/>
      <c r="DY288" s="522"/>
      <c r="DZ288" s="522"/>
      <c r="EA288" s="522"/>
      <c r="EB288" s="522"/>
      <c r="EC288" s="522"/>
      <c r="ED288" s="522"/>
      <c r="EE288" s="522"/>
      <c r="EF288" s="522"/>
      <c r="EG288" s="649">
        <f t="shared" si="272"/>
        <v>18.564</v>
      </c>
      <c r="EH288" s="522">
        <v>0</v>
      </c>
      <c r="EI288" s="522">
        <v>1.5</v>
      </c>
      <c r="EJ288" s="649">
        <v>3</v>
      </c>
      <c r="EK288" s="522">
        <v>7.5</v>
      </c>
      <c r="EL288" s="522"/>
      <c r="EM288" s="522"/>
      <c r="EN288" s="522"/>
      <c r="EO288" s="522"/>
      <c r="EP288" s="522"/>
      <c r="EQ288" s="522"/>
      <c r="ER288" s="522"/>
      <c r="ES288" s="407"/>
      <c r="ET288" s="407"/>
    </row>
    <row r="289" spans="1:150" s="357" customFormat="1" ht="15">
      <c r="A289" s="675" t="s">
        <v>8</v>
      </c>
      <c r="B289" s="712">
        <v>41915</v>
      </c>
      <c r="C289" s="358">
        <v>0</v>
      </c>
      <c r="D289" s="405">
        <v>0</v>
      </c>
      <c r="E289" s="681">
        <v>0</v>
      </c>
      <c r="F289" s="681">
        <v>55</v>
      </c>
      <c r="G289" s="681">
        <v>0.53</v>
      </c>
      <c r="H289" s="405">
        <v>1.25</v>
      </c>
      <c r="I289" s="405">
        <v>94.7</v>
      </c>
      <c r="J289" s="405" t="s">
        <v>744</v>
      </c>
      <c r="K289" s="405">
        <v>0.82</v>
      </c>
      <c r="L289" s="644">
        <v>0</v>
      </c>
      <c r="M289" s="405">
        <v>16.3</v>
      </c>
      <c r="N289" s="405" t="s">
        <v>744</v>
      </c>
      <c r="O289" s="405" t="s">
        <v>743</v>
      </c>
      <c r="P289" s="405">
        <v>1.91</v>
      </c>
      <c r="Q289" s="405">
        <v>2.8482191163828627</v>
      </c>
      <c r="R289" s="790">
        <v>1371.0893896961688</v>
      </c>
      <c r="S289" s="405" t="s">
        <v>744</v>
      </c>
      <c r="T289" s="405">
        <v>7.98</v>
      </c>
      <c r="U289" s="405" t="s">
        <v>744</v>
      </c>
      <c r="V289" s="406">
        <v>0.71</v>
      </c>
      <c r="W289" s="866" t="e">
        <v>#VALUE!</v>
      </c>
      <c r="X289" s="386">
        <v>59.360000000000014</v>
      </c>
      <c r="Y289" s="383">
        <v>31.1</v>
      </c>
      <c r="Z289" s="681">
        <v>28.55</v>
      </c>
      <c r="AA289" s="794">
        <v>31.2</v>
      </c>
      <c r="AB289" s="794">
        <v>27.09</v>
      </c>
      <c r="AC289" s="775">
        <f t="shared" ref="AC289:AC291" si="283">AA289+AB289</f>
        <v>58.29</v>
      </c>
      <c r="AD289" s="775">
        <f t="shared" ref="AD289:AD291" si="284">AC289*1.547</f>
        <v>90.174629999999993</v>
      </c>
      <c r="AE289" s="705"/>
      <c r="AF289" s="775"/>
      <c r="AG289" s="705">
        <v>1</v>
      </c>
      <c r="AH289" s="705"/>
      <c r="AI289" s="705"/>
      <c r="AJ289" s="407"/>
      <c r="AK289" s="407"/>
      <c r="AL289" s="407"/>
      <c r="AM289" s="407"/>
      <c r="AN289" s="407"/>
      <c r="AO289" s="387"/>
      <c r="AP289" s="387"/>
      <c r="AQ289" s="405"/>
      <c r="AR289" s="578">
        <v>0</v>
      </c>
      <c r="AS289" s="405">
        <v>11.3</v>
      </c>
      <c r="AT289" s="578">
        <v>0</v>
      </c>
      <c r="AU289" s="405">
        <v>31.8</v>
      </c>
      <c r="AV289" s="405">
        <v>305.8</v>
      </c>
      <c r="AW289" s="405">
        <v>466.9</v>
      </c>
      <c r="AX289" s="405">
        <v>0.7</v>
      </c>
      <c r="AY289" s="578">
        <v>0</v>
      </c>
      <c r="AZ289" s="578">
        <v>0</v>
      </c>
      <c r="BA289" s="578">
        <v>0</v>
      </c>
      <c r="BB289" s="925">
        <v>1.01</v>
      </c>
      <c r="BC289" s="405">
        <v>0.37</v>
      </c>
      <c r="BD289" s="405">
        <v>1.75</v>
      </c>
      <c r="BE289" s="578">
        <v>0</v>
      </c>
      <c r="BF289" s="405">
        <v>0.56999999999999995</v>
      </c>
      <c r="BG289" s="405">
        <v>0</v>
      </c>
      <c r="BH289" s="578">
        <v>0</v>
      </c>
      <c r="BI289" s="405">
        <v>1.44</v>
      </c>
      <c r="BJ289" s="405">
        <v>23.3</v>
      </c>
      <c r="BK289" s="405">
        <v>3.08</v>
      </c>
      <c r="BL289" s="405">
        <v>4.1100000000000003</v>
      </c>
      <c r="BM289" s="405">
        <v>0</v>
      </c>
      <c r="BN289" s="405">
        <v>15.1</v>
      </c>
      <c r="BO289" s="405">
        <v>1123.5999999999999</v>
      </c>
      <c r="BP289" s="405">
        <v>0</v>
      </c>
      <c r="BQ289" s="649">
        <v>23.8</v>
      </c>
      <c r="BR289" s="649">
        <v>23.95</v>
      </c>
      <c r="BS289" s="649">
        <v>14.88</v>
      </c>
      <c r="BT289" s="649">
        <v>14.98</v>
      </c>
      <c r="BU289" s="648">
        <v>29.9</v>
      </c>
      <c r="BV289" s="648">
        <v>36.9</v>
      </c>
      <c r="BW289" s="649">
        <v>576.70000000000005</v>
      </c>
      <c r="BX289" s="876"/>
      <c r="BY289" s="649">
        <v>1.98</v>
      </c>
      <c r="BZ289" s="649">
        <v>1.51</v>
      </c>
      <c r="CA289" s="649">
        <v>1.1000000000000001</v>
      </c>
      <c r="CB289" s="649">
        <v>8.8000000000000007</v>
      </c>
      <c r="CC289" s="649">
        <v>7.9</v>
      </c>
      <c r="CD289" s="649">
        <v>15</v>
      </c>
      <c r="CE289" s="649">
        <v>31.3</v>
      </c>
      <c r="CF289" s="649">
        <v>14.6</v>
      </c>
      <c r="CG289" s="649">
        <v>6.2</v>
      </c>
      <c r="CH289" s="649">
        <v>11.2</v>
      </c>
      <c r="CI289" s="649">
        <v>15.7</v>
      </c>
      <c r="CJ289" s="649">
        <v>13.14</v>
      </c>
      <c r="CK289" s="649">
        <v>529.79999999999995</v>
      </c>
      <c r="CL289" s="649">
        <v>1.9</v>
      </c>
      <c r="CM289" s="649">
        <v>2.7</v>
      </c>
      <c r="CN289" s="991">
        <v>750</v>
      </c>
      <c r="CO289" s="649">
        <v>112.5</v>
      </c>
      <c r="CP289" s="649">
        <v>402.3</v>
      </c>
      <c r="CQ289" s="649">
        <v>13.5</v>
      </c>
      <c r="CR289" s="649">
        <v>0.88</v>
      </c>
      <c r="CS289" s="405">
        <v>0</v>
      </c>
      <c r="CT289" s="405">
        <v>16.295999999999999</v>
      </c>
      <c r="CU289" s="405">
        <v>65</v>
      </c>
      <c r="CV289" s="522">
        <v>0</v>
      </c>
      <c r="CW289" s="522">
        <v>0</v>
      </c>
      <c r="CX289" s="522">
        <v>0</v>
      </c>
      <c r="CY289" s="522">
        <v>0</v>
      </c>
      <c r="CZ289" s="642">
        <v>535</v>
      </c>
      <c r="DA289" s="642">
        <v>581</v>
      </c>
      <c r="DB289" s="642">
        <v>447</v>
      </c>
      <c r="DC289" s="643">
        <v>1133.8</v>
      </c>
      <c r="DD289" s="522"/>
      <c r="DE289" s="522"/>
      <c r="DF289" s="522"/>
      <c r="DG289" s="522"/>
      <c r="DH289" s="522"/>
      <c r="DI289" s="522"/>
      <c r="DJ289" s="522"/>
      <c r="DK289" s="522"/>
      <c r="DL289" s="649"/>
      <c r="DM289" s="649"/>
      <c r="DN289" s="649"/>
      <c r="DO289" s="522"/>
      <c r="DP289" s="522"/>
      <c r="DQ289" s="522"/>
      <c r="DR289" s="522"/>
      <c r="DS289" s="522"/>
      <c r="DT289" s="522"/>
      <c r="DU289" s="522"/>
      <c r="DV289" s="522"/>
      <c r="DW289" s="522"/>
      <c r="DX289" s="522"/>
      <c r="DY289" s="522"/>
      <c r="DZ289" s="522"/>
      <c r="EA289" s="522"/>
      <c r="EB289" s="522"/>
      <c r="EC289" s="522"/>
      <c r="ED289" s="522"/>
      <c r="EE289" s="522"/>
      <c r="EF289" s="522"/>
      <c r="EG289" s="649">
        <f t="shared" si="272"/>
        <v>17.016999999999999</v>
      </c>
      <c r="EH289" s="649">
        <v>0</v>
      </c>
      <c r="EI289" s="649">
        <v>1.5</v>
      </c>
      <c r="EJ289" s="649">
        <v>2.5</v>
      </c>
      <c r="EK289" s="649">
        <v>7</v>
      </c>
      <c r="EL289" s="522"/>
      <c r="EM289" s="522"/>
      <c r="EN289" s="522"/>
      <c r="EO289" s="522"/>
      <c r="EP289" s="522"/>
      <c r="EQ289" s="522"/>
      <c r="ER289" s="522"/>
      <c r="ES289" s="407"/>
      <c r="ET289" s="407"/>
    </row>
    <row r="290" spans="1:150" s="357" customFormat="1" ht="15">
      <c r="A290" s="675" t="s">
        <v>9</v>
      </c>
      <c r="B290" s="712">
        <v>41916</v>
      </c>
      <c r="C290" s="358">
        <v>0</v>
      </c>
      <c r="D290" s="405">
        <v>0</v>
      </c>
      <c r="E290" s="681">
        <v>0</v>
      </c>
      <c r="F290" s="681">
        <v>56</v>
      </c>
      <c r="G290" s="681">
        <v>0.55000000000000004</v>
      </c>
      <c r="H290" s="405">
        <v>0.96</v>
      </c>
      <c r="I290" s="405">
        <v>93.6</v>
      </c>
      <c r="J290" s="405" t="s">
        <v>744</v>
      </c>
      <c r="K290" s="405">
        <v>0.81</v>
      </c>
      <c r="L290" s="644">
        <v>0</v>
      </c>
      <c r="M290" s="405">
        <v>16.2</v>
      </c>
      <c r="N290" s="405" t="s">
        <v>744</v>
      </c>
      <c r="O290" s="405" t="s">
        <v>743</v>
      </c>
      <c r="P290" s="405">
        <v>1.91</v>
      </c>
      <c r="Q290" s="405">
        <v>2.8336441951184876</v>
      </c>
      <c r="R290" s="790">
        <v>1394.08663672391</v>
      </c>
      <c r="S290" s="405" t="s">
        <v>744</v>
      </c>
      <c r="T290" s="405">
        <v>8.08</v>
      </c>
      <c r="U290" s="405" t="s">
        <v>744</v>
      </c>
      <c r="V290" s="867">
        <v>0.7</v>
      </c>
      <c r="W290" s="866" t="e">
        <v>#VALUE!</v>
      </c>
      <c r="X290" s="386">
        <v>59.539999999999992</v>
      </c>
      <c r="Y290" s="383">
        <v>31.2</v>
      </c>
      <c r="Z290" s="681">
        <v>27.09</v>
      </c>
      <c r="AA290" s="794">
        <v>31.14</v>
      </c>
      <c r="AB290" s="794">
        <v>27</v>
      </c>
      <c r="AC290" s="775">
        <f t="shared" si="283"/>
        <v>58.14</v>
      </c>
      <c r="AD290" s="775">
        <f t="shared" si="284"/>
        <v>89.942579999999992</v>
      </c>
      <c r="AE290" s="705"/>
      <c r="AF290" s="775"/>
      <c r="AG290" s="705">
        <v>1</v>
      </c>
      <c r="AH290" s="705"/>
      <c r="AI290" s="705"/>
      <c r="AJ290" s="675"/>
      <c r="AK290" s="407"/>
      <c r="AL290" s="407"/>
      <c r="AM290" s="407"/>
      <c r="AN290" s="407"/>
      <c r="AO290" s="387"/>
      <c r="AP290" s="387"/>
      <c r="AQ290" s="405"/>
      <c r="AR290" s="578">
        <v>0</v>
      </c>
      <c r="AS290" s="405">
        <v>11.2</v>
      </c>
      <c r="AT290" s="578">
        <v>0</v>
      </c>
      <c r="AU290" s="405">
        <v>31.8</v>
      </c>
      <c r="AV290" s="405">
        <v>616.5</v>
      </c>
      <c r="AW290" s="405">
        <v>844.9</v>
      </c>
      <c r="AX290" s="405">
        <v>0</v>
      </c>
      <c r="AY290" s="578">
        <v>0</v>
      </c>
      <c r="AZ290" s="578">
        <v>0</v>
      </c>
      <c r="BA290" s="578">
        <v>0</v>
      </c>
      <c r="BB290" s="925">
        <v>1</v>
      </c>
      <c r="BC290" s="405">
        <v>0</v>
      </c>
      <c r="BD290" s="405">
        <v>1.8</v>
      </c>
      <c r="BE290" s="578">
        <v>0</v>
      </c>
      <c r="BF290" s="405">
        <v>0.7</v>
      </c>
      <c r="BG290" s="405">
        <v>0</v>
      </c>
      <c r="BH290" s="578">
        <v>0</v>
      </c>
      <c r="BI290" s="405">
        <v>1.44</v>
      </c>
      <c r="BJ290" s="405">
        <v>23.5</v>
      </c>
      <c r="BK290" s="405">
        <v>3.09</v>
      </c>
      <c r="BL290" s="405">
        <v>3.94</v>
      </c>
      <c r="BM290" s="405">
        <v>0</v>
      </c>
      <c r="BN290" s="405">
        <v>15.4</v>
      </c>
      <c r="BO290" s="405">
        <v>1593.7</v>
      </c>
      <c r="BP290" s="405">
        <v>0</v>
      </c>
      <c r="BQ290" s="649">
        <v>22.21</v>
      </c>
      <c r="BR290" s="649">
        <v>22.38</v>
      </c>
      <c r="BS290" s="649">
        <v>14.54</v>
      </c>
      <c r="BT290" s="649">
        <v>14.64</v>
      </c>
      <c r="BU290" s="648">
        <v>29.3</v>
      </c>
      <c r="BV290" s="648">
        <v>40.5</v>
      </c>
      <c r="BW290" s="649">
        <v>579.79999999999995</v>
      </c>
      <c r="BX290" s="876"/>
      <c r="BY290" s="649">
        <v>0.9</v>
      </c>
      <c r="BZ290" s="649">
        <v>1.57</v>
      </c>
      <c r="CA290" s="649">
        <v>1.1000000000000001</v>
      </c>
      <c r="CB290" s="649">
        <v>8.6</v>
      </c>
      <c r="CC290" s="649">
        <v>7.9</v>
      </c>
      <c r="CD290" s="649">
        <v>15.4</v>
      </c>
      <c r="CE290" s="649">
        <v>30.7</v>
      </c>
      <c r="CF290" s="649">
        <v>13.9</v>
      </c>
      <c r="CG290" s="649">
        <v>8</v>
      </c>
      <c r="CH290" s="649">
        <v>13.4</v>
      </c>
      <c r="CI290" s="649">
        <v>17.5</v>
      </c>
      <c r="CJ290" s="649">
        <v>13.69</v>
      </c>
      <c r="CK290" s="649">
        <v>577.70000000000005</v>
      </c>
      <c r="CL290" s="649">
        <v>3</v>
      </c>
      <c r="CM290" s="649">
        <v>3.8</v>
      </c>
      <c r="CN290" s="991">
        <v>750</v>
      </c>
      <c r="CO290" s="649">
        <v>358.6</v>
      </c>
      <c r="CP290" s="649">
        <v>542</v>
      </c>
      <c r="CQ290" s="649">
        <v>14.3</v>
      </c>
      <c r="CR290" s="649">
        <v>1.01</v>
      </c>
      <c r="CS290" s="405">
        <v>0</v>
      </c>
      <c r="CT290" s="405">
        <v>17.896000000000001</v>
      </c>
      <c r="CU290" s="643">
        <v>65</v>
      </c>
      <c r="CV290" s="522">
        <v>0</v>
      </c>
      <c r="CW290" s="522">
        <v>0</v>
      </c>
      <c r="CX290" s="522">
        <v>0</v>
      </c>
      <c r="CY290" s="522">
        <v>0</v>
      </c>
      <c r="CZ290" s="642">
        <v>531</v>
      </c>
      <c r="DA290" s="642">
        <v>581</v>
      </c>
      <c r="DB290" s="642">
        <v>444</v>
      </c>
      <c r="DC290" s="643">
        <v>1132.8</v>
      </c>
      <c r="DD290" s="522"/>
      <c r="DE290" s="522"/>
      <c r="DF290" s="522"/>
      <c r="DG290" s="522"/>
      <c r="DH290" s="522"/>
      <c r="DI290" s="522"/>
      <c r="DJ290" s="522"/>
      <c r="DK290" s="522"/>
      <c r="DL290" s="649"/>
      <c r="DM290" s="649"/>
      <c r="DN290" s="649"/>
      <c r="DO290" s="522"/>
      <c r="DP290" s="522"/>
      <c r="DQ290" s="522"/>
      <c r="DR290" s="522"/>
      <c r="DS290" s="522"/>
      <c r="DT290" s="522"/>
      <c r="DU290" s="522"/>
      <c r="DV290" s="522"/>
      <c r="DW290" s="522"/>
      <c r="DX290" s="522"/>
      <c r="DY290" s="522"/>
      <c r="DZ290" s="522"/>
      <c r="EA290" s="522"/>
      <c r="EB290" s="522"/>
      <c r="EC290" s="522"/>
      <c r="ED290" s="522"/>
      <c r="EE290" s="522"/>
      <c r="EF290" s="522"/>
      <c r="EG290" s="649">
        <f t="shared" si="272"/>
        <v>17.016999999999999</v>
      </c>
      <c r="EH290" s="649">
        <v>0</v>
      </c>
      <c r="EI290" s="649">
        <v>1.5</v>
      </c>
      <c r="EJ290" s="649">
        <v>2.5</v>
      </c>
      <c r="EK290" s="649">
        <v>7</v>
      </c>
      <c r="EL290" s="522"/>
      <c r="EM290" s="522"/>
      <c r="EN290" s="522"/>
      <c r="EO290" s="522"/>
      <c r="EP290" s="522"/>
      <c r="EQ290" s="522"/>
      <c r="ER290" s="522"/>
      <c r="ES290" s="407"/>
      <c r="ET290" s="407"/>
    </row>
    <row r="291" spans="1:150" s="357" customFormat="1" ht="15">
      <c r="A291" s="675" t="s">
        <v>3</v>
      </c>
      <c r="B291" s="712">
        <v>41917</v>
      </c>
      <c r="C291" s="358">
        <v>0</v>
      </c>
      <c r="D291" s="405">
        <v>0</v>
      </c>
      <c r="E291" s="681">
        <v>0</v>
      </c>
      <c r="F291" s="681">
        <v>58</v>
      </c>
      <c r="G291" s="681">
        <v>0.5</v>
      </c>
      <c r="H291" s="405">
        <v>0.94</v>
      </c>
      <c r="I291" s="405">
        <v>92.9</v>
      </c>
      <c r="J291" s="405" t="s">
        <v>744</v>
      </c>
      <c r="K291" s="405">
        <v>0.81</v>
      </c>
      <c r="L291" s="644">
        <v>0</v>
      </c>
      <c r="M291" s="405">
        <v>16.100000000000001</v>
      </c>
      <c r="N291" s="405" t="s">
        <v>744</v>
      </c>
      <c r="O291" s="405" t="s">
        <v>743</v>
      </c>
      <c r="P291" s="405">
        <v>1.95</v>
      </c>
      <c r="Q291" s="405">
        <v>2.8987565552371568</v>
      </c>
      <c r="R291" s="790">
        <v>1419.3512179656536</v>
      </c>
      <c r="S291" s="405" t="s">
        <v>744</v>
      </c>
      <c r="T291" s="405">
        <v>8.0399999999999991</v>
      </c>
      <c r="U291" s="405" t="s">
        <v>744</v>
      </c>
      <c r="V291" s="406">
        <v>0.7</v>
      </c>
      <c r="W291" s="866" t="e">
        <v>#VALUE!</v>
      </c>
      <c r="X291" s="386">
        <v>59.539999999999992</v>
      </c>
      <c r="Y291" s="383">
        <v>31.14</v>
      </c>
      <c r="Z291" s="681">
        <v>27</v>
      </c>
      <c r="AA291" s="794">
        <v>31.17</v>
      </c>
      <c r="AB291" s="794">
        <v>27</v>
      </c>
      <c r="AC291" s="775">
        <f t="shared" si="283"/>
        <v>58.17</v>
      </c>
      <c r="AD291" s="775">
        <f t="shared" si="284"/>
        <v>89.988990000000001</v>
      </c>
      <c r="AE291" s="705"/>
      <c r="AF291" s="775"/>
      <c r="AG291" s="705">
        <v>1</v>
      </c>
      <c r="AH291" s="705"/>
      <c r="AI291" s="705"/>
      <c r="AJ291" s="407"/>
      <c r="AK291" s="407"/>
      <c r="AL291" s="407"/>
      <c r="AM291" s="407"/>
      <c r="AN291" s="407"/>
      <c r="AO291" s="1052"/>
      <c r="AP291" s="387"/>
      <c r="AQ291" s="405"/>
      <c r="AR291" s="578">
        <v>0</v>
      </c>
      <c r="AS291" s="405">
        <v>12.4</v>
      </c>
      <c r="AT291" s="578">
        <v>0</v>
      </c>
      <c r="AU291" s="405">
        <v>31.8</v>
      </c>
      <c r="AV291" s="405">
        <v>379.9</v>
      </c>
      <c r="AW291" s="405">
        <v>588.70000000000005</v>
      </c>
      <c r="AX291" s="405">
        <v>0.2</v>
      </c>
      <c r="AY291" s="578">
        <v>0</v>
      </c>
      <c r="AZ291" s="578">
        <v>0</v>
      </c>
      <c r="BA291" s="578">
        <v>0</v>
      </c>
      <c r="BB291" s="925">
        <v>1.01</v>
      </c>
      <c r="BC291" s="405">
        <v>0</v>
      </c>
      <c r="BD291" s="405">
        <v>1.8</v>
      </c>
      <c r="BE291" s="578">
        <v>0</v>
      </c>
      <c r="BF291" s="405">
        <v>0.7</v>
      </c>
      <c r="BG291" s="405">
        <v>0</v>
      </c>
      <c r="BH291" s="578">
        <v>0</v>
      </c>
      <c r="BI291" s="405">
        <v>1.45</v>
      </c>
      <c r="BJ291" s="405">
        <v>23.4</v>
      </c>
      <c r="BK291" s="405">
        <v>3.09</v>
      </c>
      <c r="BL291" s="405">
        <v>3.94</v>
      </c>
      <c r="BM291" s="405">
        <v>0</v>
      </c>
      <c r="BN291" s="405">
        <v>15.4</v>
      </c>
      <c r="BO291" s="405">
        <v>1486.2</v>
      </c>
      <c r="BP291" s="405">
        <v>0</v>
      </c>
      <c r="BQ291" s="649">
        <v>20.95</v>
      </c>
      <c r="BR291" s="649">
        <v>21.12</v>
      </c>
      <c r="BS291" s="649">
        <v>14.79</v>
      </c>
      <c r="BT291" s="649">
        <v>14.89</v>
      </c>
      <c r="BU291" s="648">
        <v>29.7</v>
      </c>
      <c r="BV291" s="648">
        <v>40</v>
      </c>
      <c r="BW291" s="649">
        <v>594.70000000000005</v>
      </c>
      <c r="BX291" s="876"/>
      <c r="BY291" s="649">
        <v>0.82</v>
      </c>
      <c r="BZ291" s="649">
        <v>1.6</v>
      </c>
      <c r="CA291" s="649">
        <v>1.2</v>
      </c>
      <c r="CB291" s="649">
        <v>8.6999999999999993</v>
      </c>
      <c r="CC291" s="649">
        <v>7.9</v>
      </c>
      <c r="CD291" s="649">
        <v>15.4</v>
      </c>
      <c r="CE291" s="649">
        <v>30.8</v>
      </c>
      <c r="CF291" s="649">
        <v>13</v>
      </c>
      <c r="CG291" s="649">
        <v>8.5</v>
      </c>
      <c r="CH291" s="649">
        <v>14</v>
      </c>
      <c r="CI291" s="649">
        <v>18.100000000000001</v>
      </c>
      <c r="CJ291" s="649">
        <v>13.8</v>
      </c>
      <c r="CK291" s="649">
        <v>467.7</v>
      </c>
      <c r="CL291" s="649">
        <v>2</v>
      </c>
      <c r="CM291" s="649">
        <v>2.2000000000000002</v>
      </c>
      <c r="CN291" s="991">
        <v>750</v>
      </c>
      <c r="CO291" s="649">
        <v>391.7</v>
      </c>
      <c r="CP291" s="649">
        <v>542.1</v>
      </c>
      <c r="CQ291" s="649">
        <v>14</v>
      </c>
      <c r="CR291" s="649">
        <v>0.94</v>
      </c>
      <c r="CS291" s="405">
        <v>0</v>
      </c>
      <c r="CT291" s="405">
        <v>16.617999999999999</v>
      </c>
      <c r="CU291" s="643">
        <v>66</v>
      </c>
      <c r="CV291" s="522">
        <v>0</v>
      </c>
      <c r="CW291" s="522">
        <v>0</v>
      </c>
      <c r="CX291" s="522">
        <v>0</v>
      </c>
      <c r="CY291" s="522">
        <v>0</v>
      </c>
      <c r="CZ291" s="642">
        <v>527</v>
      </c>
      <c r="DA291" s="642">
        <v>576</v>
      </c>
      <c r="DB291" s="642">
        <v>441</v>
      </c>
      <c r="DC291" s="643">
        <v>1131.77</v>
      </c>
      <c r="DD291" s="808"/>
      <c r="DE291" s="522"/>
      <c r="DF291" s="522"/>
      <c r="DG291" s="522"/>
      <c r="DH291" s="522"/>
      <c r="DI291" s="522"/>
      <c r="DJ291" s="522"/>
      <c r="DK291" s="522"/>
      <c r="DL291" s="649"/>
      <c r="DM291" s="649"/>
      <c r="DN291" s="649"/>
      <c r="DO291" s="522"/>
      <c r="DP291" s="522"/>
      <c r="DQ291" s="522"/>
      <c r="DR291" s="522"/>
      <c r="DS291" s="522"/>
      <c r="DT291" s="522"/>
      <c r="DU291" s="522"/>
      <c r="DV291" s="522"/>
      <c r="DW291" s="522"/>
      <c r="DX291" s="522"/>
      <c r="DY291" s="522"/>
      <c r="DZ291" s="522"/>
      <c r="EA291" s="522"/>
      <c r="EB291" s="522"/>
      <c r="EC291" s="522"/>
      <c r="ED291" s="522"/>
      <c r="EE291" s="522"/>
      <c r="EF291" s="522"/>
      <c r="EG291" s="649">
        <f t="shared" si="272"/>
        <v>17.016999999999999</v>
      </c>
      <c r="EH291" s="649">
        <v>0</v>
      </c>
      <c r="EI291" s="649">
        <v>1.5</v>
      </c>
      <c r="EJ291" s="649">
        <v>2.5</v>
      </c>
      <c r="EK291" s="649">
        <v>7</v>
      </c>
      <c r="EL291" s="522"/>
      <c r="EM291" s="522"/>
      <c r="EN291" s="522"/>
      <c r="EO291" s="522"/>
      <c r="EP291" s="522"/>
      <c r="EQ291" s="522"/>
      <c r="ER291" s="522"/>
      <c r="ES291" s="407"/>
      <c r="ET291" s="407"/>
    </row>
    <row r="292" spans="1:150" s="357" customFormat="1" ht="15">
      <c r="A292" s="675" t="s">
        <v>4</v>
      </c>
      <c r="B292" s="712">
        <v>41918</v>
      </c>
      <c r="C292" s="358">
        <v>0</v>
      </c>
      <c r="D292" s="405">
        <v>0</v>
      </c>
      <c r="E292" s="681">
        <v>0</v>
      </c>
      <c r="F292" s="681">
        <v>60</v>
      </c>
      <c r="G292" s="681">
        <v>0.55000000000000004</v>
      </c>
      <c r="H292" s="405">
        <v>0.96</v>
      </c>
      <c r="I292" s="405">
        <v>92.1</v>
      </c>
      <c r="J292" s="405" t="s">
        <v>744</v>
      </c>
      <c r="K292" s="405">
        <v>0.84</v>
      </c>
      <c r="L292" s="644">
        <v>0</v>
      </c>
      <c r="M292" s="405">
        <v>15.8</v>
      </c>
      <c r="N292" s="405" t="s">
        <v>744</v>
      </c>
      <c r="O292" s="405" t="s">
        <v>743</v>
      </c>
      <c r="P292" s="405">
        <v>1.95</v>
      </c>
      <c r="Q292" s="405">
        <v>2.8748915842709937</v>
      </c>
      <c r="R292" s="790">
        <v>1424.2097912813738</v>
      </c>
      <c r="S292" s="405" t="s">
        <v>744</v>
      </c>
      <c r="T292" s="405">
        <v>8.0299999999999994</v>
      </c>
      <c r="U292" s="405" t="s">
        <v>744</v>
      </c>
      <c r="V292" s="406">
        <v>0.69</v>
      </c>
      <c r="W292" s="866" t="e">
        <v>#VALUE!</v>
      </c>
      <c r="X292" s="386">
        <v>59.72</v>
      </c>
      <c r="Y292" s="383">
        <v>31.17</v>
      </c>
      <c r="Z292" s="681">
        <v>27</v>
      </c>
      <c r="AA292" s="794">
        <v>31.19</v>
      </c>
      <c r="AB292" s="794">
        <v>26.94</v>
      </c>
      <c r="AC292" s="775">
        <f t="shared" ref="AC292" si="285">AA292+AB292</f>
        <v>58.13</v>
      </c>
      <c r="AD292" s="775">
        <f t="shared" ref="AD292" si="286">AC292*1.547</f>
        <v>89.927109999999999</v>
      </c>
      <c r="AE292" s="705"/>
      <c r="AF292" s="775"/>
      <c r="AG292" s="705">
        <v>1</v>
      </c>
      <c r="AH292" s="705"/>
      <c r="AI292" s="705"/>
      <c r="AJ292" s="407"/>
      <c r="AK292" s="407"/>
      <c r="AL292" s="407"/>
      <c r="AM292" s="407"/>
      <c r="AN292" s="407"/>
      <c r="AO292" s="387"/>
      <c r="AP292" s="387"/>
      <c r="AQ292" s="405"/>
      <c r="AR292" s="578">
        <v>0</v>
      </c>
      <c r="AS292" s="405">
        <v>11</v>
      </c>
      <c r="AT292" s="578">
        <v>0</v>
      </c>
      <c r="AU292" s="405">
        <v>31.8</v>
      </c>
      <c r="AV292" s="405">
        <v>374.5</v>
      </c>
      <c r="AW292" s="405">
        <v>438.7</v>
      </c>
      <c r="AX292" s="405">
        <v>0.8</v>
      </c>
      <c r="AY292" s="578">
        <v>0</v>
      </c>
      <c r="AZ292" s="578">
        <v>0</v>
      </c>
      <c r="BA292" s="578">
        <v>0</v>
      </c>
      <c r="BB292" s="925">
        <v>1</v>
      </c>
      <c r="BC292" s="405">
        <v>0.3</v>
      </c>
      <c r="BD292" s="405">
        <v>1.35</v>
      </c>
      <c r="BE292" s="578">
        <v>0</v>
      </c>
      <c r="BF292" s="405">
        <v>0.59</v>
      </c>
      <c r="BG292" s="405">
        <v>0</v>
      </c>
      <c r="BH292" s="578">
        <v>0</v>
      </c>
      <c r="BI292" s="405">
        <v>1.1200000000000001</v>
      </c>
      <c r="BJ292" s="405">
        <v>23.6</v>
      </c>
      <c r="BK292" s="405">
        <v>0</v>
      </c>
      <c r="BL292" s="405">
        <v>3.83</v>
      </c>
      <c r="BM292" s="405">
        <v>3.08</v>
      </c>
      <c r="BN292" s="405">
        <v>15.5</v>
      </c>
      <c r="BO292" s="405">
        <v>1189</v>
      </c>
      <c r="BP292" s="405">
        <v>0</v>
      </c>
      <c r="BQ292" s="649">
        <v>19.77</v>
      </c>
      <c r="BR292" s="649">
        <v>19.93</v>
      </c>
      <c r="BS292" s="649">
        <v>14.85</v>
      </c>
      <c r="BT292" s="649">
        <v>14.95</v>
      </c>
      <c r="BU292" s="648">
        <v>29.8</v>
      </c>
      <c r="BV292" s="648">
        <v>39.799999999999997</v>
      </c>
      <c r="BW292" s="649">
        <v>589.20000000000005</v>
      </c>
      <c r="BX292" s="876"/>
      <c r="BY292" s="649">
        <v>0.8</v>
      </c>
      <c r="BZ292" s="649">
        <v>1.6</v>
      </c>
      <c r="CA292" s="649">
        <v>1.2</v>
      </c>
      <c r="CB292" s="649">
        <v>8.6</v>
      </c>
      <c r="CC292" s="649">
        <v>7.9</v>
      </c>
      <c r="CD292" s="649">
        <v>15</v>
      </c>
      <c r="CE292" s="649">
        <v>30.8</v>
      </c>
      <c r="CF292" s="649">
        <v>12.7</v>
      </c>
      <c r="CG292" s="649">
        <v>8.1</v>
      </c>
      <c r="CH292" s="649">
        <v>13.6</v>
      </c>
      <c r="CI292" s="649">
        <v>17.7</v>
      </c>
      <c r="CJ292" s="649">
        <v>13.84</v>
      </c>
      <c r="CK292" s="649">
        <v>0</v>
      </c>
      <c r="CL292" s="649">
        <v>1.9</v>
      </c>
      <c r="CM292" s="649">
        <v>2.2999999999999998</v>
      </c>
      <c r="CN292" s="991">
        <v>750</v>
      </c>
      <c r="CO292" s="649">
        <v>369.7</v>
      </c>
      <c r="CP292" s="649">
        <v>569.9</v>
      </c>
      <c r="CQ292" s="649">
        <v>14.3</v>
      </c>
      <c r="CR292" s="649">
        <v>0.94</v>
      </c>
      <c r="CS292" s="405">
        <v>0</v>
      </c>
      <c r="CT292" s="405">
        <v>16.433</v>
      </c>
      <c r="CU292" s="643">
        <v>66</v>
      </c>
      <c r="CV292" s="522">
        <v>0</v>
      </c>
      <c r="CW292" s="522">
        <v>0</v>
      </c>
      <c r="CX292" s="522">
        <v>0</v>
      </c>
      <c r="CY292" s="522">
        <v>0</v>
      </c>
      <c r="CZ292" s="642">
        <v>527</v>
      </c>
      <c r="DA292" s="642">
        <v>570</v>
      </c>
      <c r="DB292" s="642">
        <v>438</v>
      </c>
      <c r="DC292" s="643">
        <v>1130.69</v>
      </c>
      <c r="DD292" s="808"/>
      <c r="DE292" s="522"/>
      <c r="DF292" s="522"/>
      <c r="DG292" s="522"/>
      <c r="DH292" s="522"/>
      <c r="DI292" s="522"/>
      <c r="DJ292" s="522"/>
      <c r="DK292" s="522"/>
      <c r="DL292" s="649"/>
      <c r="DM292" s="649"/>
      <c r="DN292" s="649"/>
      <c r="DO292" s="522"/>
      <c r="DP292" s="522"/>
      <c r="DQ292" s="522"/>
      <c r="DR292" s="522"/>
      <c r="DS292" s="522"/>
      <c r="DT292" s="522"/>
      <c r="DU292" s="522"/>
      <c r="DV292" s="522"/>
      <c r="DW292" s="522"/>
      <c r="DX292" s="522"/>
      <c r="DY292" s="522"/>
      <c r="DZ292" s="522"/>
      <c r="EA292" s="522"/>
      <c r="EB292" s="522"/>
      <c r="EC292" s="522"/>
      <c r="ED292" s="522"/>
      <c r="EE292" s="522"/>
      <c r="EF292" s="522"/>
      <c r="EG292" s="649">
        <f t="shared" si="272"/>
        <v>19.337499999999999</v>
      </c>
      <c r="EH292" s="649">
        <v>0</v>
      </c>
      <c r="EI292" s="649">
        <v>3</v>
      </c>
      <c r="EJ292" s="649">
        <v>2.5</v>
      </c>
      <c r="EK292" s="649">
        <v>7</v>
      </c>
      <c r="EL292" s="522"/>
      <c r="EM292" s="522"/>
      <c r="EN292" s="522"/>
      <c r="EO292" s="522"/>
      <c r="EP292" s="522"/>
      <c r="EQ292" s="522"/>
      <c r="ER292" s="522"/>
      <c r="ES292" s="407"/>
      <c r="ET292" s="407"/>
    </row>
    <row r="293" spans="1:150" s="357" customFormat="1" ht="15">
      <c r="A293" s="675" t="s">
        <v>5</v>
      </c>
      <c r="B293" s="712">
        <v>41919</v>
      </c>
      <c r="C293" s="358">
        <v>0</v>
      </c>
      <c r="D293" s="405">
        <v>0</v>
      </c>
      <c r="E293" s="681">
        <v>0</v>
      </c>
      <c r="F293" s="681">
        <v>56</v>
      </c>
      <c r="G293" s="681">
        <v>0.65</v>
      </c>
      <c r="H293" s="405">
        <v>1.18</v>
      </c>
      <c r="I293" s="405">
        <v>93.4</v>
      </c>
      <c r="J293" s="405" t="s">
        <v>744</v>
      </c>
      <c r="K293" s="405">
        <v>1.02</v>
      </c>
      <c r="L293" s="644">
        <v>0</v>
      </c>
      <c r="M293" s="405">
        <v>15.8</v>
      </c>
      <c r="N293" s="405" t="s">
        <v>744</v>
      </c>
      <c r="O293" s="405" t="s">
        <v>743</v>
      </c>
      <c r="P293" s="405">
        <v>1.91</v>
      </c>
      <c r="Q293" s="405">
        <v>2.8647725396300099</v>
      </c>
      <c r="R293" s="790">
        <v>1467.9369511228533</v>
      </c>
      <c r="S293" s="405" t="s">
        <v>744</v>
      </c>
      <c r="T293" s="405">
        <v>8.0299999999999994</v>
      </c>
      <c r="U293" s="405" t="s">
        <v>744</v>
      </c>
      <c r="V293" s="406">
        <v>0.7</v>
      </c>
      <c r="W293" s="866" t="e">
        <v>#VALUE!</v>
      </c>
      <c r="X293" s="386">
        <v>60.08</v>
      </c>
      <c r="Y293" s="383">
        <v>31.19</v>
      </c>
      <c r="Z293" s="681">
        <v>26.94</v>
      </c>
      <c r="AA293" s="794">
        <v>31.1</v>
      </c>
      <c r="AB293" s="794">
        <v>28.5</v>
      </c>
      <c r="AC293" s="775">
        <f t="shared" ref="AC293" si="287">AA293+AB293</f>
        <v>59.6</v>
      </c>
      <c r="AD293" s="775">
        <f t="shared" ref="AD293" si="288">AC293*1.547</f>
        <v>92.2012</v>
      </c>
      <c r="AE293" s="705"/>
      <c r="AF293" s="775"/>
      <c r="AG293" s="705">
        <v>1</v>
      </c>
      <c r="AH293" s="705"/>
      <c r="AI293" s="705"/>
      <c r="AJ293" s="407"/>
      <c r="AK293" s="407"/>
      <c r="AL293" s="407"/>
      <c r="AM293" s="407"/>
      <c r="AN293" s="407"/>
      <c r="AO293" s="1115"/>
      <c r="AP293" s="387"/>
      <c r="AQ293" s="405"/>
      <c r="AR293" s="578">
        <v>0</v>
      </c>
      <c r="AS293" s="405">
        <v>21</v>
      </c>
      <c r="AT293" s="578">
        <v>0</v>
      </c>
      <c r="AU293" s="405">
        <v>31.7</v>
      </c>
      <c r="AV293" s="405">
        <v>469.5</v>
      </c>
      <c r="AW293" s="405">
        <v>600.4</v>
      </c>
      <c r="AX293" s="405">
        <v>0.1</v>
      </c>
      <c r="AY293" s="578">
        <v>0</v>
      </c>
      <c r="AZ293" s="578">
        <v>0</v>
      </c>
      <c r="BA293" s="578">
        <v>0</v>
      </c>
      <c r="BB293" s="925">
        <v>1</v>
      </c>
      <c r="BC293" s="405">
        <v>0.51</v>
      </c>
      <c r="BD293" s="405">
        <v>1</v>
      </c>
      <c r="BE293" s="578">
        <v>0</v>
      </c>
      <c r="BF293" s="405">
        <v>0.5</v>
      </c>
      <c r="BG293" s="405">
        <v>1.23</v>
      </c>
      <c r="BH293" s="578">
        <v>0</v>
      </c>
      <c r="BI293" s="405">
        <v>0.62</v>
      </c>
      <c r="BJ293" s="405">
        <v>25</v>
      </c>
      <c r="BK293" s="405">
        <v>3.35</v>
      </c>
      <c r="BL293" s="405">
        <v>3.65</v>
      </c>
      <c r="BM293" s="405">
        <v>0</v>
      </c>
      <c r="BN293" s="405">
        <v>16.899999999999999</v>
      </c>
      <c r="BO293" s="405">
        <v>1158.7</v>
      </c>
      <c r="BP293" s="405">
        <v>0</v>
      </c>
      <c r="BQ293" s="649">
        <v>18.98</v>
      </c>
      <c r="BR293" s="649">
        <v>19.16</v>
      </c>
      <c r="BS293" s="649">
        <v>14.65</v>
      </c>
      <c r="BT293" s="649">
        <v>14.73</v>
      </c>
      <c r="BU293" s="648">
        <v>29.5</v>
      </c>
      <c r="BV293" s="648">
        <v>38.200000000000003</v>
      </c>
      <c r="BW293" s="649">
        <v>584.4</v>
      </c>
      <c r="BX293" s="876"/>
      <c r="BY293" s="649">
        <v>0.79</v>
      </c>
      <c r="BZ293" s="649">
        <v>1.57</v>
      </c>
      <c r="CA293" s="649">
        <v>1.2</v>
      </c>
      <c r="CB293" s="649">
        <v>8.4</v>
      </c>
      <c r="CC293" s="649">
        <v>7.9</v>
      </c>
      <c r="CD293" s="649">
        <v>15.4</v>
      </c>
      <c r="CE293" s="649">
        <v>30.8</v>
      </c>
      <c r="CF293" s="649">
        <v>14.7</v>
      </c>
      <c r="CG293" s="649">
        <v>7.9</v>
      </c>
      <c r="CH293" s="649">
        <v>13.3</v>
      </c>
      <c r="CI293" s="649">
        <v>17.3</v>
      </c>
      <c r="CJ293" s="649">
        <v>13.46</v>
      </c>
      <c r="CK293" s="649">
        <v>0</v>
      </c>
      <c r="CL293" s="649">
        <v>2.2999999999999998</v>
      </c>
      <c r="CM293" s="649">
        <v>2.2000000000000002</v>
      </c>
      <c r="CN293" s="991">
        <v>750</v>
      </c>
      <c r="CO293" s="649">
        <v>327.10000000000002</v>
      </c>
      <c r="CP293" s="649">
        <v>563</v>
      </c>
      <c r="CQ293" s="649">
        <v>14.4</v>
      </c>
      <c r="CR293" s="649">
        <v>1.08</v>
      </c>
      <c r="CS293" s="405">
        <v>0</v>
      </c>
      <c r="CT293" s="405">
        <v>16.372</v>
      </c>
      <c r="CU293" s="643">
        <v>63</v>
      </c>
      <c r="CV293" s="522">
        <v>0</v>
      </c>
      <c r="CW293" s="522">
        <v>0</v>
      </c>
      <c r="CX293" s="522">
        <v>0</v>
      </c>
      <c r="CY293" s="522">
        <v>0</v>
      </c>
      <c r="CZ293" s="642">
        <v>600</v>
      </c>
      <c r="DA293" s="642">
        <v>560</v>
      </c>
      <c r="DB293" s="642">
        <v>455</v>
      </c>
      <c r="DC293" s="643">
        <v>1129.5</v>
      </c>
      <c r="DD293" s="808"/>
      <c r="DE293" s="522"/>
      <c r="DF293" s="522"/>
      <c r="DG293" s="522"/>
      <c r="DH293" s="522"/>
      <c r="DI293" s="522"/>
      <c r="DJ293" s="522"/>
      <c r="DK293" s="522"/>
      <c r="DL293" s="649"/>
      <c r="DM293" s="649"/>
      <c r="DN293" s="649"/>
      <c r="DO293" s="522"/>
      <c r="DP293" s="522"/>
      <c r="DQ293" s="522"/>
      <c r="DR293" s="522"/>
      <c r="DS293" s="522"/>
      <c r="DT293" s="522"/>
      <c r="DU293" s="522"/>
      <c r="DV293" s="522"/>
      <c r="DW293" s="522"/>
      <c r="DX293" s="522"/>
      <c r="DY293" s="522"/>
      <c r="DZ293" s="522"/>
      <c r="EA293" s="522">
        <v>-1000</v>
      </c>
      <c r="EB293" s="522"/>
      <c r="EC293" s="522"/>
      <c r="ED293" s="522"/>
      <c r="EE293" s="522"/>
      <c r="EF293" s="522"/>
      <c r="EG293" s="649">
        <f t="shared" si="272"/>
        <v>19.337499999999999</v>
      </c>
      <c r="EH293" s="649">
        <v>0</v>
      </c>
      <c r="EI293" s="649">
        <v>3</v>
      </c>
      <c r="EJ293" s="649">
        <v>2.5</v>
      </c>
      <c r="EK293" s="649">
        <v>7</v>
      </c>
      <c r="EL293" s="522"/>
      <c r="EM293" s="522"/>
      <c r="EN293" s="522"/>
      <c r="EO293" s="522"/>
      <c r="EP293" s="522"/>
      <c r="EQ293" s="522"/>
      <c r="ER293" s="522"/>
      <c r="ES293" s="407"/>
      <c r="ET293" s="407"/>
    </row>
    <row r="294" spans="1:150" s="357" customFormat="1" ht="15">
      <c r="A294" s="675" t="s">
        <v>6</v>
      </c>
      <c r="B294" s="712">
        <v>41920</v>
      </c>
      <c r="C294" s="358">
        <v>0</v>
      </c>
      <c r="D294" s="405">
        <v>0</v>
      </c>
      <c r="E294" s="681">
        <v>0</v>
      </c>
      <c r="F294" s="681">
        <v>54</v>
      </c>
      <c r="G294" s="681">
        <v>0.6</v>
      </c>
      <c r="H294" s="405">
        <v>1.04</v>
      </c>
      <c r="I294" s="405">
        <v>93.2</v>
      </c>
      <c r="J294" s="405" t="s">
        <v>744</v>
      </c>
      <c r="K294" s="405">
        <v>0.97</v>
      </c>
      <c r="L294" s="644">
        <v>0</v>
      </c>
      <c r="M294" s="405">
        <v>15.7</v>
      </c>
      <c r="N294" s="405" t="s">
        <v>744</v>
      </c>
      <c r="O294" s="405" t="s">
        <v>743</v>
      </c>
      <c r="P294" s="405">
        <v>1.96</v>
      </c>
      <c r="Q294" s="405">
        <v>2.8196836167012775</v>
      </c>
      <c r="R294" s="790">
        <v>1417.0838837516508</v>
      </c>
      <c r="S294" s="405" t="s">
        <v>744</v>
      </c>
      <c r="T294" s="405">
        <v>8.0399999999999991</v>
      </c>
      <c r="U294" s="405" t="s">
        <v>744</v>
      </c>
      <c r="V294" s="406">
        <v>0.68</v>
      </c>
      <c r="W294" s="866" t="e">
        <v>#VALUE!</v>
      </c>
      <c r="X294" s="386">
        <v>60.08</v>
      </c>
      <c r="Y294" s="383">
        <v>31.1</v>
      </c>
      <c r="Z294" s="681">
        <v>28.5</v>
      </c>
      <c r="AA294" s="794">
        <v>30.94</v>
      </c>
      <c r="AB294" s="794">
        <v>30.44</v>
      </c>
      <c r="AC294" s="775">
        <f t="shared" ref="AC294" si="289">AA294+AB294</f>
        <v>61.38</v>
      </c>
      <c r="AD294" s="775">
        <f t="shared" ref="AD294" si="290">AC294*1.547</f>
        <v>94.954859999999996</v>
      </c>
      <c r="AE294" s="705"/>
      <c r="AF294" s="775"/>
      <c r="AG294" s="705">
        <v>1</v>
      </c>
      <c r="AH294" s="705"/>
      <c r="AI294" s="705"/>
      <c r="AJ294" s="675"/>
      <c r="AK294" s="407"/>
      <c r="AL294" s="407"/>
      <c r="AM294" s="407"/>
      <c r="AN294" s="407"/>
      <c r="AO294" s="1115"/>
      <c r="AP294" s="387"/>
      <c r="AQ294" s="405"/>
      <c r="AR294" s="578">
        <v>0</v>
      </c>
      <c r="AS294" s="405">
        <v>11.4</v>
      </c>
      <c r="AT294" s="578">
        <v>0</v>
      </c>
      <c r="AU294" s="405">
        <v>31.6</v>
      </c>
      <c r="AV294" s="405">
        <v>354</v>
      </c>
      <c r="AW294" s="405">
        <v>579.29999999999995</v>
      </c>
      <c r="AX294" s="405">
        <v>0.4</v>
      </c>
      <c r="AY294" s="578">
        <v>0</v>
      </c>
      <c r="AZ294" s="578">
        <v>0</v>
      </c>
      <c r="BA294" s="578">
        <v>0</v>
      </c>
      <c r="BB294" s="925">
        <v>1.01</v>
      </c>
      <c r="BC294" s="405">
        <v>0.5</v>
      </c>
      <c r="BD294" s="405">
        <v>1.3</v>
      </c>
      <c r="BE294" s="578">
        <v>0</v>
      </c>
      <c r="BF294" s="405">
        <v>0.5</v>
      </c>
      <c r="BG294" s="405">
        <v>2.08</v>
      </c>
      <c r="BH294" s="578">
        <v>0</v>
      </c>
      <c r="BI294" s="405">
        <v>0</v>
      </c>
      <c r="BJ294" s="405">
        <v>26.3</v>
      </c>
      <c r="BK294" s="405">
        <v>0</v>
      </c>
      <c r="BL294" s="405">
        <v>3.79</v>
      </c>
      <c r="BM294" s="405">
        <v>3.37</v>
      </c>
      <c r="BN294" s="405">
        <v>18.2</v>
      </c>
      <c r="BO294" s="405">
        <v>1220.0999999999999</v>
      </c>
      <c r="BP294" s="405">
        <v>0</v>
      </c>
      <c r="BQ294" s="649">
        <v>18.850000000000001</v>
      </c>
      <c r="BR294" s="649">
        <v>19.02</v>
      </c>
      <c r="BS294" s="649">
        <v>14.66</v>
      </c>
      <c r="BT294" s="649">
        <v>14.76</v>
      </c>
      <c r="BU294" s="648">
        <v>29.5</v>
      </c>
      <c r="BV294" s="648">
        <v>36.5</v>
      </c>
      <c r="BW294" s="649">
        <v>587.4</v>
      </c>
      <c r="BX294" s="876"/>
      <c r="BY294" s="649">
        <v>0.8</v>
      </c>
      <c r="BZ294" s="649">
        <v>1.6</v>
      </c>
      <c r="CA294" s="649">
        <v>1.2</v>
      </c>
      <c r="CB294" s="649">
        <v>8.5</v>
      </c>
      <c r="CC294" s="649">
        <v>7.9</v>
      </c>
      <c r="CD294" s="649">
        <v>16.3</v>
      </c>
      <c r="CE294" s="649">
        <v>30.6</v>
      </c>
      <c r="CF294" s="649">
        <v>14</v>
      </c>
      <c r="CG294" s="649">
        <v>8</v>
      </c>
      <c r="CH294" s="649">
        <v>13.5</v>
      </c>
      <c r="CI294" s="649">
        <v>17.600000000000001</v>
      </c>
      <c r="CJ294" s="649">
        <v>13.98</v>
      </c>
      <c r="CK294" s="649">
        <v>0</v>
      </c>
      <c r="CL294" s="649">
        <v>3</v>
      </c>
      <c r="CM294" s="649">
        <v>3.2</v>
      </c>
      <c r="CN294" s="991">
        <v>750</v>
      </c>
      <c r="CO294" s="649">
        <v>349.6</v>
      </c>
      <c r="CP294" s="649">
        <v>566.20000000000005</v>
      </c>
      <c r="CQ294" s="649">
        <v>13</v>
      </c>
      <c r="CR294" s="649">
        <v>0.96</v>
      </c>
      <c r="CS294" s="405">
        <v>0</v>
      </c>
      <c r="CT294" s="405">
        <v>15.634</v>
      </c>
      <c r="CU294" s="643">
        <v>65</v>
      </c>
      <c r="CV294" s="522">
        <v>0</v>
      </c>
      <c r="CW294" s="522">
        <v>0</v>
      </c>
      <c r="CX294" s="522">
        <v>0</v>
      </c>
      <c r="CY294" s="522">
        <v>0</v>
      </c>
      <c r="CZ294" s="642">
        <v>585</v>
      </c>
      <c r="DA294" s="642">
        <v>624</v>
      </c>
      <c r="DB294" s="642">
        <v>441</v>
      </c>
      <c r="DC294" s="643">
        <v>1128.1300000000001</v>
      </c>
      <c r="DD294" s="808"/>
      <c r="DE294" s="522"/>
      <c r="DF294" s="522"/>
      <c r="DG294" s="522"/>
      <c r="DH294" s="522"/>
      <c r="DI294" s="522"/>
      <c r="DJ294" s="522"/>
      <c r="DK294" s="522"/>
      <c r="DL294" s="649"/>
      <c r="DM294" s="649"/>
      <c r="DN294" s="649"/>
      <c r="DO294" s="522"/>
      <c r="DP294" s="522"/>
      <c r="DQ294" s="522"/>
      <c r="DR294" s="522"/>
      <c r="DS294" s="522"/>
      <c r="DT294" s="522"/>
      <c r="DU294" s="522"/>
      <c r="DV294" s="522"/>
      <c r="DW294" s="522"/>
      <c r="DX294" s="522"/>
      <c r="DY294" s="522"/>
      <c r="DZ294" s="522"/>
      <c r="EA294" s="522"/>
      <c r="EB294" s="522"/>
      <c r="EC294" s="522"/>
      <c r="ED294" s="522"/>
      <c r="EE294" s="522"/>
      <c r="EF294" s="522"/>
      <c r="EG294" s="649">
        <f t="shared" si="272"/>
        <v>19.337499999999999</v>
      </c>
      <c r="EH294" s="649">
        <v>0</v>
      </c>
      <c r="EI294" s="649">
        <v>3</v>
      </c>
      <c r="EJ294" s="649">
        <v>2.5</v>
      </c>
      <c r="EK294" s="649">
        <v>7</v>
      </c>
      <c r="EL294" s="522"/>
      <c r="EM294" s="522"/>
      <c r="EN294" s="522"/>
      <c r="EO294" s="522"/>
      <c r="EP294" s="522"/>
      <c r="EQ294" s="522"/>
      <c r="ER294" s="522"/>
      <c r="ES294" s="407"/>
      <c r="ET294" s="407"/>
    </row>
    <row r="295" spans="1:150" s="357" customFormat="1" ht="15">
      <c r="A295" s="675" t="s">
        <v>7</v>
      </c>
      <c r="B295" s="712">
        <v>41921</v>
      </c>
      <c r="C295" s="358">
        <v>0</v>
      </c>
      <c r="D295" s="405">
        <v>0</v>
      </c>
      <c r="E295" s="681">
        <v>0</v>
      </c>
      <c r="F295" s="681">
        <v>55</v>
      </c>
      <c r="G295" s="681">
        <v>0.6</v>
      </c>
      <c r="H295" s="405">
        <v>0.89</v>
      </c>
      <c r="I295" s="405">
        <v>93.8</v>
      </c>
      <c r="J295" s="405" t="s">
        <v>744</v>
      </c>
      <c r="K295" s="405">
        <v>0.75</v>
      </c>
      <c r="L295" s="644">
        <v>0</v>
      </c>
      <c r="M295" s="405">
        <v>15.9</v>
      </c>
      <c r="N295" s="405" t="s">
        <v>744</v>
      </c>
      <c r="O295" s="405" t="s">
        <v>743</v>
      </c>
      <c r="P295" s="405">
        <v>1.9</v>
      </c>
      <c r="Q295" s="405">
        <v>2.7973917899910288</v>
      </c>
      <c r="R295" s="790">
        <v>1495.4688665785995</v>
      </c>
      <c r="S295" s="405" t="s">
        <v>744</v>
      </c>
      <c r="T295" s="405">
        <v>8.06</v>
      </c>
      <c r="U295" s="405" t="s">
        <v>744</v>
      </c>
      <c r="V295" s="406">
        <v>0.72</v>
      </c>
      <c r="W295" s="866" t="e">
        <v>#VALUE!</v>
      </c>
      <c r="X295" s="386">
        <v>59.72</v>
      </c>
      <c r="Y295" s="383">
        <v>30.94</v>
      </c>
      <c r="Z295" s="681">
        <v>30.44</v>
      </c>
      <c r="AA295" s="794">
        <v>30.94</v>
      </c>
      <c r="AB295" s="794">
        <v>33.06</v>
      </c>
      <c r="AC295" s="775">
        <f t="shared" ref="AC295" si="291">AA295+AB295</f>
        <v>64</v>
      </c>
      <c r="AD295" s="775">
        <f t="shared" ref="AD295" si="292">AC295*1.547</f>
        <v>99.007999999999996</v>
      </c>
      <c r="AE295" s="705"/>
      <c r="AF295" s="775"/>
      <c r="AG295" s="705">
        <v>1</v>
      </c>
      <c r="AH295" s="705"/>
      <c r="AI295" s="705"/>
      <c r="AJ295" s="675"/>
      <c r="AK295" s="407"/>
      <c r="AL295" s="407"/>
      <c r="AM295" s="407"/>
      <c r="AN295" s="407"/>
      <c r="AO295" s="1115"/>
      <c r="AP295" s="387"/>
      <c r="AQ295" s="405"/>
      <c r="AR295" s="578">
        <v>0</v>
      </c>
      <c r="AS295" s="405">
        <v>10.9</v>
      </c>
      <c r="AT295" s="578">
        <v>0</v>
      </c>
      <c r="AU295" s="405">
        <v>31.5</v>
      </c>
      <c r="AV295" s="405">
        <v>615.6</v>
      </c>
      <c r="AW295" s="405">
        <v>712.1</v>
      </c>
      <c r="AX295" s="405">
        <v>0.1</v>
      </c>
      <c r="AY295" s="578">
        <v>0</v>
      </c>
      <c r="AZ295" s="578">
        <v>0</v>
      </c>
      <c r="BA295" s="578">
        <v>0</v>
      </c>
      <c r="BB295" s="925">
        <v>1</v>
      </c>
      <c r="BC295" s="405">
        <v>0.69</v>
      </c>
      <c r="BD295" s="405">
        <v>1.32</v>
      </c>
      <c r="BE295" s="578">
        <v>0</v>
      </c>
      <c r="BF295" s="405">
        <v>0.5</v>
      </c>
      <c r="BG295" s="405">
        <v>2.2200000000000002</v>
      </c>
      <c r="BH295" s="578">
        <v>0</v>
      </c>
      <c r="BI295" s="405">
        <v>0</v>
      </c>
      <c r="BJ295" s="405">
        <v>28.4</v>
      </c>
      <c r="BK295" s="405">
        <v>2.93</v>
      </c>
      <c r="BL295" s="405">
        <v>4.22</v>
      </c>
      <c r="BM295" s="405">
        <v>0</v>
      </c>
      <c r="BN295" s="405">
        <v>20.2</v>
      </c>
      <c r="BO295" s="405">
        <v>146.1</v>
      </c>
      <c r="BP295" s="405">
        <v>0</v>
      </c>
      <c r="BQ295" s="649">
        <v>20.89</v>
      </c>
      <c r="BR295" s="649">
        <v>21.06</v>
      </c>
      <c r="BS295" s="649">
        <v>14.49</v>
      </c>
      <c r="BT295" s="649">
        <v>14.61</v>
      </c>
      <c r="BU295" s="648">
        <v>29.2</v>
      </c>
      <c r="BV295" s="648">
        <v>30.3</v>
      </c>
      <c r="BW295" s="649">
        <v>578.70000000000005</v>
      </c>
      <c r="BX295" s="876"/>
      <c r="BY295" s="649">
        <v>0.79</v>
      </c>
      <c r="BZ295" s="649">
        <v>1.61</v>
      </c>
      <c r="CA295" s="649">
        <v>1.3</v>
      </c>
      <c r="CB295" s="649">
        <v>8.5</v>
      </c>
      <c r="CC295" s="649">
        <v>7.9</v>
      </c>
      <c r="CD295" s="649">
        <v>15.5</v>
      </c>
      <c r="CE295" s="649">
        <v>30.6</v>
      </c>
      <c r="CF295" s="649">
        <v>13.41</v>
      </c>
      <c r="CG295" s="649">
        <v>2.7</v>
      </c>
      <c r="CH295" s="649">
        <v>7.3</v>
      </c>
      <c r="CI295" s="649">
        <v>11.3</v>
      </c>
      <c r="CJ295" s="649">
        <v>13.3</v>
      </c>
      <c r="CK295" s="649">
        <v>0</v>
      </c>
      <c r="CL295" s="649">
        <v>2</v>
      </c>
      <c r="CM295" s="649">
        <v>3.3</v>
      </c>
      <c r="CN295" s="991">
        <v>750</v>
      </c>
      <c r="CO295" s="649">
        <v>311.8</v>
      </c>
      <c r="CP295" s="649">
        <v>550.20000000000005</v>
      </c>
      <c r="CQ295" s="649">
        <v>13.8</v>
      </c>
      <c r="CR295" s="649">
        <v>1.02</v>
      </c>
      <c r="CS295" s="405">
        <v>0</v>
      </c>
      <c r="CT295" s="405">
        <v>16.463999999999999</v>
      </c>
      <c r="CU295" s="405">
        <v>64</v>
      </c>
      <c r="CV295" s="522">
        <v>0</v>
      </c>
      <c r="CW295" s="522">
        <v>0</v>
      </c>
      <c r="CX295" s="522">
        <v>0</v>
      </c>
      <c r="CY295" s="522">
        <v>0</v>
      </c>
      <c r="CZ295" s="642">
        <v>581</v>
      </c>
      <c r="DA295" s="642">
        <v>613</v>
      </c>
      <c r="DB295" s="642">
        <v>441</v>
      </c>
      <c r="DC295" s="643">
        <v>1126.75</v>
      </c>
      <c r="DD295" s="808"/>
      <c r="DE295" s="522"/>
      <c r="DF295" s="522"/>
      <c r="DG295" s="522"/>
      <c r="DH295" s="522"/>
      <c r="DI295" s="522"/>
      <c r="DJ295" s="522"/>
      <c r="DK295" s="522"/>
      <c r="DL295" s="649"/>
      <c r="DM295" s="649"/>
      <c r="DN295" s="649"/>
      <c r="DO295" s="522"/>
      <c r="DP295" s="522"/>
      <c r="DQ295" s="522"/>
      <c r="DR295" s="522"/>
      <c r="DS295" s="522"/>
      <c r="DT295" s="522"/>
      <c r="DU295" s="522"/>
      <c r="DV295" s="522"/>
      <c r="DW295" s="522"/>
      <c r="DX295" s="522"/>
      <c r="DY295" s="522"/>
      <c r="DZ295" s="522"/>
      <c r="EA295" s="522"/>
      <c r="EB295" s="522"/>
      <c r="EC295" s="522"/>
      <c r="ED295" s="522"/>
      <c r="EE295" s="522"/>
      <c r="EF295" s="522"/>
      <c r="EG295" s="649">
        <f t="shared" si="272"/>
        <v>19.337499999999999</v>
      </c>
      <c r="EH295" s="649">
        <v>0</v>
      </c>
      <c r="EI295" s="649">
        <v>3</v>
      </c>
      <c r="EJ295" s="649">
        <v>2.5</v>
      </c>
      <c r="EK295" s="649">
        <v>7</v>
      </c>
      <c r="EL295" s="522"/>
      <c r="EM295" s="522"/>
      <c r="EN295" s="522"/>
      <c r="EO295" s="522"/>
      <c r="EP295" s="522"/>
      <c r="EQ295" s="522"/>
      <c r="ER295" s="522"/>
      <c r="ES295" s="407"/>
      <c r="ET295" s="407"/>
    </row>
    <row r="296" spans="1:150" s="357" customFormat="1" ht="15">
      <c r="A296" s="675" t="s">
        <v>8</v>
      </c>
      <c r="B296" s="712">
        <v>41922</v>
      </c>
      <c r="C296" s="358">
        <v>0</v>
      </c>
      <c r="D296" s="405">
        <v>0</v>
      </c>
      <c r="E296" s="681">
        <v>0</v>
      </c>
      <c r="F296" s="681">
        <v>56</v>
      </c>
      <c r="G296" s="681">
        <v>0.65</v>
      </c>
      <c r="H296" s="405">
        <v>0.86</v>
      </c>
      <c r="I296" s="405">
        <v>92.8</v>
      </c>
      <c r="J296" s="405" t="s">
        <v>744</v>
      </c>
      <c r="K296" s="405">
        <v>0.73</v>
      </c>
      <c r="L296" s="644">
        <v>0</v>
      </c>
      <c r="M296" s="405">
        <v>15.7</v>
      </c>
      <c r="N296" s="405" t="s">
        <v>744</v>
      </c>
      <c r="O296" s="405" t="s">
        <v>743</v>
      </c>
      <c r="P296" s="405">
        <v>1.86</v>
      </c>
      <c r="Q296" s="405">
        <v>2.7509907529722586</v>
      </c>
      <c r="R296" s="790">
        <v>1514.2553500660499</v>
      </c>
      <c r="S296" s="405" t="s">
        <v>744</v>
      </c>
      <c r="T296" s="405">
        <v>8.02</v>
      </c>
      <c r="U296" s="405" t="s">
        <v>744</v>
      </c>
      <c r="V296" s="406">
        <v>0.75</v>
      </c>
      <c r="W296" s="866" t="e">
        <v>#VALUE!</v>
      </c>
      <c r="X296" s="386">
        <v>60.260000000000005</v>
      </c>
      <c r="Y296" s="383">
        <v>30.94</v>
      </c>
      <c r="Z296" s="681">
        <v>33.06</v>
      </c>
      <c r="AA296" s="794">
        <v>30.92</v>
      </c>
      <c r="AB296" s="794">
        <v>32.67</v>
      </c>
      <c r="AC296" s="775">
        <f t="shared" ref="AC296:AC298" si="293">AA296+AB296</f>
        <v>63.59</v>
      </c>
      <c r="AD296" s="775">
        <f t="shared" ref="AD296:AD298" si="294">AC296*1.547</f>
        <v>98.373729999999995</v>
      </c>
      <c r="AE296" s="705"/>
      <c r="AF296" s="775"/>
      <c r="AG296" s="705">
        <v>1</v>
      </c>
      <c r="AH296" s="705"/>
      <c r="AI296" s="705"/>
      <c r="AJ296" s="675"/>
      <c r="AK296" s="407"/>
      <c r="AL296" s="407"/>
      <c r="AM296" s="407"/>
      <c r="AN296" s="407"/>
      <c r="AO296" s="1115"/>
      <c r="AP296" s="387"/>
      <c r="AQ296" s="405"/>
      <c r="AR296" s="578">
        <v>0</v>
      </c>
      <c r="AS296" s="405">
        <v>11.2</v>
      </c>
      <c r="AT296" s="578">
        <v>0</v>
      </c>
      <c r="AU296" s="405">
        <v>31.5</v>
      </c>
      <c r="AV296" s="405">
        <v>514.1</v>
      </c>
      <c r="AW296" s="405">
        <v>713.4</v>
      </c>
      <c r="AX296" s="405">
        <v>0</v>
      </c>
      <c r="AY296" s="578">
        <v>0</v>
      </c>
      <c r="AZ296" s="578">
        <v>0</v>
      </c>
      <c r="BA296" s="578">
        <v>0</v>
      </c>
      <c r="BB296" s="925">
        <v>1</v>
      </c>
      <c r="BC296" s="405">
        <v>0.92</v>
      </c>
      <c r="BD296" s="405">
        <v>1.0900000000000001</v>
      </c>
      <c r="BE296" s="578">
        <v>0</v>
      </c>
      <c r="BF296" s="405">
        <v>0.5</v>
      </c>
      <c r="BG296" s="405">
        <v>2.21</v>
      </c>
      <c r="BH296" s="578">
        <v>0</v>
      </c>
      <c r="BI296" s="405">
        <v>0</v>
      </c>
      <c r="BJ296" s="405">
        <v>28</v>
      </c>
      <c r="BK296" s="405">
        <v>2.8</v>
      </c>
      <c r="BL296" s="405">
        <v>4.45</v>
      </c>
      <c r="BM296" s="405">
        <v>0</v>
      </c>
      <c r="BN296" s="405">
        <v>19.7</v>
      </c>
      <c r="BO296" s="405">
        <v>1739.4</v>
      </c>
      <c r="BP296" s="405">
        <v>0</v>
      </c>
      <c r="BQ296" s="649">
        <v>21.42</v>
      </c>
      <c r="BR296" s="649">
        <v>21.6</v>
      </c>
      <c r="BS296" s="649">
        <v>14.5</v>
      </c>
      <c r="BT296" s="649">
        <v>14.58</v>
      </c>
      <c r="BU296" s="648">
        <v>29.2</v>
      </c>
      <c r="BV296" s="648">
        <v>34.299999999999997</v>
      </c>
      <c r="BW296" s="649">
        <v>578.6</v>
      </c>
      <c r="BX296" s="876"/>
      <c r="BY296" s="649">
        <v>2.0099999999999998</v>
      </c>
      <c r="BZ296" s="649">
        <v>1.58</v>
      </c>
      <c r="CA296" s="649">
        <v>1.3</v>
      </c>
      <c r="CB296" s="649">
        <v>8.6</v>
      </c>
      <c r="CC296" s="649">
        <v>7.9</v>
      </c>
      <c r="CD296" s="649">
        <v>15.5</v>
      </c>
      <c r="CE296" s="649">
        <v>30</v>
      </c>
      <c r="CF296" s="649">
        <v>12.9</v>
      </c>
      <c r="CG296" s="649">
        <v>5.7</v>
      </c>
      <c r="CH296" s="649">
        <v>10.8</v>
      </c>
      <c r="CI296" s="649">
        <v>14.8</v>
      </c>
      <c r="CJ296" s="649">
        <v>13.4</v>
      </c>
      <c r="CK296" s="649">
        <v>205.6</v>
      </c>
      <c r="CL296" s="649">
        <v>2.8</v>
      </c>
      <c r="CM296" s="649">
        <v>3.7</v>
      </c>
      <c r="CN296" s="991">
        <v>750</v>
      </c>
      <c r="CO296" s="649">
        <v>322.5</v>
      </c>
      <c r="CP296" s="649">
        <v>531.6</v>
      </c>
      <c r="CQ296" s="649">
        <v>13.2</v>
      </c>
      <c r="CR296" s="649">
        <v>0.98</v>
      </c>
      <c r="CS296" s="405">
        <v>0</v>
      </c>
      <c r="CT296" s="405">
        <v>16.151</v>
      </c>
      <c r="CU296" s="405">
        <v>65</v>
      </c>
      <c r="CV296" s="522">
        <v>0</v>
      </c>
      <c r="CW296" s="522">
        <v>0</v>
      </c>
      <c r="CX296" s="522">
        <v>0</v>
      </c>
      <c r="CY296" s="522">
        <v>0</v>
      </c>
      <c r="CZ296" s="642">
        <v>596</v>
      </c>
      <c r="DA296" s="642">
        <v>635</v>
      </c>
      <c r="DB296" s="642">
        <v>455</v>
      </c>
      <c r="DC296" s="643">
        <v>1125.2</v>
      </c>
      <c r="DD296" s="808"/>
      <c r="DE296" s="522"/>
      <c r="DF296" s="522"/>
      <c r="DG296" s="522"/>
      <c r="DH296" s="522"/>
      <c r="DI296" s="522"/>
      <c r="DJ296" s="522"/>
      <c r="DK296" s="522"/>
      <c r="DL296" s="649"/>
      <c r="DM296" s="649"/>
      <c r="DN296" s="649"/>
      <c r="DO296" s="522"/>
      <c r="DP296" s="522"/>
      <c r="DQ296" s="522"/>
      <c r="DR296" s="522"/>
      <c r="DS296" s="522"/>
      <c r="DT296" s="522"/>
      <c r="DU296" s="522"/>
      <c r="DV296" s="522"/>
      <c r="DW296" s="522"/>
      <c r="DX296" s="522"/>
      <c r="DY296" s="522"/>
      <c r="DZ296" s="522"/>
      <c r="EA296" s="522"/>
      <c r="EB296" s="522"/>
      <c r="EC296" s="522"/>
      <c r="ED296" s="522"/>
      <c r="EE296" s="522"/>
      <c r="EF296" s="522"/>
      <c r="EG296" s="649">
        <f t="shared" si="272"/>
        <v>18.564</v>
      </c>
      <c r="EH296" s="649">
        <v>0</v>
      </c>
      <c r="EI296" s="649">
        <v>2.5</v>
      </c>
      <c r="EJ296" s="649">
        <v>2.5</v>
      </c>
      <c r="EK296" s="649">
        <v>7</v>
      </c>
      <c r="EL296" s="522"/>
      <c r="EM296" s="522"/>
      <c r="EN296" s="522"/>
      <c r="EO296" s="522"/>
      <c r="EP296" s="522"/>
      <c r="EQ296" s="522"/>
      <c r="ER296" s="522"/>
      <c r="ES296" s="407"/>
      <c r="ET296" s="407"/>
    </row>
    <row r="297" spans="1:150" s="357" customFormat="1" ht="15">
      <c r="A297" s="675" t="s">
        <v>9</v>
      </c>
      <c r="B297" s="712">
        <v>41923</v>
      </c>
      <c r="C297" s="358">
        <v>0</v>
      </c>
      <c r="D297" s="405">
        <v>0.93</v>
      </c>
      <c r="E297" s="681">
        <v>0</v>
      </c>
      <c r="F297" s="681">
        <v>49</v>
      </c>
      <c r="G297" s="681">
        <v>0.7</v>
      </c>
      <c r="H297" s="405">
        <v>4.8</v>
      </c>
      <c r="I297" s="405">
        <v>92.5</v>
      </c>
      <c r="J297" s="405" t="s">
        <v>744</v>
      </c>
      <c r="K297" s="405">
        <v>2.71</v>
      </c>
      <c r="L297" s="644">
        <v>1.319999999999709</v>
      </c>
      <c r="M297" s="405">
        <v>16.100000000000001</v>
      </c>
      <c r="N297" s="405" t="s">
        <v>744</v>
      </c>
      <c r="O297" s="405" t="s">
        <v>743</v>
      </c>
      <c r="P297" s="405">
        <v>1.91</v>
      </c>
      <c r="Q297" s="405">
        <v>2.874217646045488</v>
      </c>
      <c r="R297" s="790">
        <v>1465.3457120211358</v>
      </c>
      <c r="S297" s="405" t="s">
        <v>744</v>
      </c>
      <c r="T297" s="405">
        <v>8.01</v>
      </c>
      <c r="U297" s="405" t="s">
        <v>744</v>
      </c>
      <c r="V297" s="406">
        <v>0.79</v>
      </c>
      <c r="W297" s="866" t="e">
        <v>#VALUE!</v>
      </c>
      <c r="X297" s="386">
        <v>59.180000000000007</v>
      </c>
      <c r="Y297" s="383">
        <v>30.92</v>
      </c>
      <c r="Z297" s="681">
        <v>32.67</v>
      </c>
      <c r="AA297" s="794">
        <v>31</v>
      </c>
      <c r="AB297" s="794">
        <v>29.93</v>
      </c>
      <c r="AC297" s="775">
        <f t="shared" si="293"/>
        <v>60.93</v>
      </c>
      <c r="AD297" s="775">
        <f t="shared" si="294"/>
        <v>94.258709999999994</v>
      </c>
      <c r="AE297" s="705"/>
      <c r="AF297" s="775"/>
      <c r="AG297" s="705">
        <v>1</v>
      </c>
      <c r="AH297" s="705"/>
      <c r="AI297" s="705"/>
      <c r="AJ297" s="407"/>
      <c r="AK297" s="407"/>
      <c r="AL297" s="407"/>
      <c r="AM297" s="407"/>
      <c r="AN297" s="407"/>
      <c r="AO297" s="1115"/>
      <c r="AP297" s="387"/>
      <c r="AQ297" s="405"/>
      <c r="AR297" s="578">
        <v>0</v>
      </c>
      <c r="AS297" s="405">
        <v>10.9</v>
      </c>
      <c r="AT297" s="578">
        <v>0</v>
      </c>
      <c r="AU297" s="405">
        <v>31.7</v>
      </c>
      <c r="AV297" s="405">
        <v>373.4</v>
      </c>
      <c r="AW297" s="405">
        <v>547.1</v>
      </c>
      <c r="AX297" s="405">
        <v>0</v>
      </c>
      <c r="AY297" s="578">
        <v>0</v>
      </c>
      <c r="AZ297" s="578">
        <v>0</v>
      </c>
      <c r="BA297" s="578">
        <v>0</v>
      </c>
      <c r="BB297" s="925">
        <v>1.01</v>
      </c>
      <c r="BC297" s="405">
        <v>0.72</v>
      </c>
      <c r="BD297" s="405">
        <v>1.3</v>
      </c>
      <c r="BE297" s="578">
        <v>0</v>
      </c>
      <c r="BF297" s="405">
        <v>0.5</v>
      </c>
      <c r="BG297" s="405">
        <v>2.21</v>
      </c>
      <c r="BH297" s="578">
        <v>0</v>
      </c>
      <c r="BI297" s="405">
        <v>0</v>
      </c>
      <c r="BJ297" s="405">
        <v>25.4</v>
      </c>
      <c r="BK297" s="405">
        <v>2.71</v>
      </c>
      <c r="BL297" s="405">
        <v>4.37</v>
      </c>
      <c r="BM297" s="405">
        <v>0</v>
      </c>
      <c r="BN297" s="405">
        <v>17.3</v>
      </c>
      <c r="BO297" s="405">
        <v>1654.4</v>
      </c>
      <c r="BP297" s="405">
        <v>0</v>
      </c>
      <c r="BQ297" s="649">
        <v>21.66</v>
      </c>
      <c r="BR297" s="649">
        <v>21.81</v>
      </c>
      <c r="BS297" s="649">
        <v>14.69</v>
      </c>
      <c r="BT297" s="649">
        <v>14.8</v>
      </c>
      <c r="BU297" s="648">
        <v>29.6</v>
      </c>
      <c r="BV297" s="648">
        <v>35.700000000000003</v>
      </c>
      <c r="BW297" s="649">
        <v>403.3</v>
      </c>
      <c r="BX297" s="876"/>
      <c r="BY297" s="649">
        <v>0.83</v>
      </c>
      <c r="BZ297" s="649">
        <v>1.54</v>
      </c>
      <c r="CA297" s="649">
        <v>1.2</v>
      </c>
      <c r="CB297" s="649">
        <v>8.6</v>
      </c>
      <c r="CC297" s="649">
        <v>7.9</v>
      </c>
      <c r="CD297" s="649">
        <v>15.7</v>
      </c>
      <c r="CE297" s="649">
        <v>30.9</v>
      </c>
      <c r="CF297" s="649">
        <v>12.3</v>
      </c>
      <c r="CG297" s="649">
        <v>7.7</v>
      </c>
      <c r="CH297" s="649">
        <v>13</v>
      </c>
      <c r="CI297" s="649">
        <v>17.5</v>
      </c>
      <c r="CJ297" s="649">
        <v>13.64</v>
      </c>
      <c r="CK297" s="649">
        <v>554.6</v>
      </c>
      <c r="CL297" s="649">
        <v>2.9</v>
      </c>
      <c r="CM297" s="649">
        <v>3.8</v>
      </c>
      <c r="CN297" s="991">
        <v>750</v>
      </c>
      <c r="CO297" s="649">
        <v>322.5</v>
      </c>
      <c r="CP297" s="649">
        <v>526.5</v>
      </c>
      <c r="CQ297" s="649">
        <v>13.8</v>
      </c>
      <c r="CR297" s="649">
        <v>0.98</v>
      </c>
      <c r="CS297" s="405">
        <v>0</v>
      </c>
      <c r="CT297" s="405">
        <v>16.809999999999999</v>
      </c>
      <c r="CU297" s="405">
        <v>64</v>
      </c>
      <c r="CV297" s="522">
        <v>0</v>
      </c>
      <c r="CW297" s="522">
        <v>0</v>
      </c>
      <c r="CX297" s="522">
        <v>0</v>
      </c>
      <c r="CY297" s="522">
        <v>0</v>
      </c>
      <c r="CZ297" s="642">
        <v>592</v>
      </c>
      <c r="DA297" s="642">
        <v>652</v>
      </c>
      <c r="DB297" s="642">
        <v>478</v>
      </c>
      <c r="DC297" s="643">
        <v>1124.0999999999999</v>
      </c>
      <c r="DD297" s="808"/>
      <c r="DE297" s="522"/>
      <c r="DF297" s="522"/>
      <c r="DG297" s="522"/>
      <c r="DH297" s="522"/>
      <c r="DI297" s="522"/>
      <c r="DJ297" s="522"/>
      <c r="DK297" s="522"/>
      <c r="DL297" s="649"/>
      <c r="DM297" s="649"/>
      <c r="DN297" s="649"/>
      <c r="DO297" s="522"/>
      <c r="DP297" s="522"/>
      <c r="DQ297" s="522"/>
      <c r="DR297" s="522"/>
      <c r="DS297" s="522"/>
      <c r="DT297" s="522"/>
      <c r="DU297" s="522"/>
      <c r="DV297" s="522"/>
      <c r="DW297" s="522"/>
      <c r="DX297" s="522"/>
      <c r="DY297" s="522"/>
      <c r="DZ297" s="522"/>
      <c r="EA297" s="522"/>
      <c r="EB297" s="522"/>
      <c r="EC297" s="522"/>
      <c r="ED297" s="522"/>
      <c r="EE297" s="522"/>
      <c r="EF297" s="522"/>
      <c r="EG297" s="649">
        <f t="shared" si="272"/>
        <v>18.564</v>
      </c>
      <c r="EH297" s="649">
        <v>0</v>
      </c>
      <c r="EI297" s="649">
        <v>2.5</v>
      </c>
      <c r="EJ297" s="649">
        <v>2.5</v>
      </c>
      <c r="EK297" s="649">
        <v>7</v>
      </c>
      <c r="EL297" s="522"/>
      <c r="EM297" s="522"/>
      <c r="EN297" s="522"/>
      <c r="EO297" s="522"/>
      <c r="EP297" s="522"/>
      <c r="EQ297" s="522"/>
      <c r="ER297" s="522"/>
      <c r="ES297" s="407"/>
      <c r="ET297" s="407"/>
    </row>
    <row r="298" spans="1:150" s="357" customFormat="1" ht="15">
      <c r="A298" s="675" t="s">
        <v>3</v>
      </c>
      <c r="B298" s="712">
        <v>41924</v>
      </c>
      <c r="C298" s="358">
        <v>0</v>
      </c>
      <c r="D298" s="405">
        <v>0.04</v>
      </c>
      <c r="E298" s="681">
        <v>0</v>
      </c>
      <c r="F298" s="681">
        <v>54</v>
      </c>
      <c r="G298" s="681">
        <v>0.65</v>
      </c>
      <c r="H298" s="405">
        <v>4.8</v>
      </c>
      <c r="I298" s="405">
        <v>92.4</v>
      </c>
      <c r="J298" s="405" t="s">
        <v>744</v>
      </c>
      <c r="K298" s="405">
        <v>2.5</v>
      </c>
      <c r="L298" s="644">
        <v>0</v>
      </c>
      <c r="M298" s="405">
        <v>16.2</v>
      </c>
      <c r="N298" s="405" t="s">
        <v>744</v>
      </c>
      <c r="O298" s="405" t="s">
        <v>743</v>
      </c>
      <c r="P298" s="405">
        <v>1.94</v>
      </c>
      <c r="Q298" s="405">
        <v>2.9503910211917406</v>
      </c>
      <c r="R298" s="790">
        <v>1455.9524702774104</v>
      </c>
      <c r="S298" s="405" t="s">
        <v>744</v>
      </c>
      <c r="T298" s="405">
        <v>8.01</v>
      </c>
      <c r="U298" s="405" t="s">
        <v>744</v>
      </c>
      <c r="V298" s="406">
        <v>0.83</v>
      </c>
      <c r="W298" s="866" t="e">
        <v>#VALUE!</v>
      </c>
      <c r="X298" s="386">
        <v>59.360000000000014</v>
      </c>
      <c r="Y298" s="383">
        <v>31</v>
      </c>
      <c r="Z298" s="681">
        <v>29.93</v>
      </c>
      <c r="AA298" s="794">
        <v>31.15</v>
      </c>
      <c r="AB298" s="794">
        <v>27.2</v>
      </c>
      <c r="AC298" s="775">
        <f t="shared" si="293"/>
        <v>58.349999999999994</v>
      </c>
      <c r="AD298" s="775">
        <f t="shared" si="294"/>
        <v>90.267449999999982</v>
      </c>
      <c r="AE298" s="705"/>
      <c r="AF298" s="775"/>
      <c r="AG298" s="705">
        <v>1</v>
      </c>
      <c r="AH298" s="705"/>
      <c r="AI298" s="705"/>
      <c r="AJ298" s="407"/>
      <c r="AK298" s="407"/>
      <c r="AL298" s="407"/>
      <c r="AM298" s="407"/>
      <c r="AN298" s="407"/>
      <c r="AO298" s="1115"/>
      <c r="AP298" s="387"/>
      <c r="AQ298" s="405"/>
      <c r="AR298" s="578">
        <v>0</v>
      </c>
      <c r="AS298" s="405">
        <v>11.3</v>
      </c>
      <c r="AT298" s="578">
        <v>0</v>
      </c>
      <c r="AU298" s="405">
        <v>31.8</v>
      </c>
      <c r="AV298" s="405">
        <v>342.5</v>
      </c>
      <c r="AW298" s="405">
        <v>489.2</v>
      </c>
      <c r="AX298" s="405">
        <v>0.1</v>
      </c>
      <c r="AY298" s="578">
        <v>0</v>
      </c>
      <c r="AZ298" s="578">
        <v>0</v>
      </c>
      <c r="BA298" s="578">
        <v>0</v>
      </c>
      <c r="BB298" s="925">
        <v>1.01</v>
      </c>
      <c r="BC298" s="405">
        <v>0.72</v>
      </c>
      <c r="BD298" s="405">
        <v>1.29</v>
      </c>
      <c r="BE298" s="578">
        <v>0</v>
      </c>
      <c r="BF298" s="405">
        <v>0.5</v>
      </c>
      <c r="BG298" s="405">
        <v>2.21</v>
      </c>
      <c r="BH298" s="578">
        <v>0</v>
      </c>
      <c r="BI298" s="405">
        <v>0</v>
      </c>
      <c r="BJ298" s="405">
        <v>22.6</v>
      </c>
      <c r="BK298" s="405">
        <v>3.09</v>
      </c>
      <c r="BL298" s="405">
        <v>3.95</v>
      </c>
      <c r="BM298" s="405">
        <v>0</v>
      </c>
      <c r="BN298" s="405">
        <v>14.6</v>
      </c>
      <c r="BO298" s="405">
        <v>566.5</v>
      </c>
      <c r="BP298" s="405">
        <v>0</v>
      </c>
      <c r="BQ298" s="649">
        <v>21.04</v>
      </c>
      <c r="BR298" s="649">
        <v>21.2</v>
      </c>
      <c r="BS298" s="649">
        <v>14.79</v>
      </c>
      <c r="BT298" s="649">
        <v>14.9</v>
      </c>
      <c r="BU298" s="648">
        <v>29.8</v>
      </c>
      <c r="BV298" s="648">
        <v>38.299999999999997</v>
      </c>
      <c r="BW298" s="649">
        <v>580.79999999999995</v>
      </c>
      <c r="BX298" s="876"/>
      <c r="BY298" s="649">
        <v>0.97</v>
      </c>
      <c r="BZ298" s="649">
        <v>1.58</v>
      </c>
      <c r="CA298" s="649">
        <v>1.2</v>
      </c>
      <c r="CB298" s="649">
        <v>8.6</v>
      </c>
      <c r="CC298" s="649">
        <v>7.9</v>
      </c>
      <c r="CD298" s="649">
        <v>15.7</v>
      </c>
      <c r="CE298" s="649">
        <v>30.7</v>
      </c>
      <c r="CF298" s="649">
        <v>11.6</v>
      </c>
      <c r="CG298" s="649">
        <v>3.8</v>
      </c>
      <c r="CH298" s="649">
        <v>8.4700000000000006</v>
      </c>
      <c r="CI298" s="649">
        <v>12.9</v>
      </c>
      <c r="CJ298" s="649">
        <v>13.9</v>
      </c>
      <c r="CK298" s="649">
        <v>565</v>
      </c>
      <c r="CL298" s="649">
        <v>3.2</v>
      </c>
      <c r="CM298" s="649">
        <v>4.4000000000000004</v>
      </c>
      <c r="CN298" s="991">
        <v>750</v>
      </c>
      <c r="CO298" s="649">
        <v>353.2</v>
      </c>
      <c r="CP298" s="649">
        <v>531.79999999999995</v>
      </c>
      <c r="CQ298" s="649">
        <v>14.1</v>
      </c>
      <c r="CR298" s="649">
        <v>9.8000000000000007</v>
      </c>
      <c r="CS298" s="405">
        <v>0</v>
      </c>
      <c r="CT298" s="405">
        <v>18.279</v>
      </c>
      <c r="CU298" s="405">
        <v>64</v>
      </c>
      <c r="CV298" s="522">
        <v>0</v>
      </c>
      <c r="CW298" s="522">
        <v>0</v>
      </c>
      <c r="CX298" s="522">
        <v>0</v>
      </c>
      <c r="CY298" s="522">
        <v>0</v>
      </c>
      <c r="CZ298" s="642">
        <v>589</v>
      </c>
      <c r="DA298" s="642">
        <v>657</v>
      </c>
      <c r="DB298" s="642">
        <v>455</v>
      </c>
      <c r="DC298" s="643">
        <v>1123.04</v>
      </c>
      <c r="DD298" s="808"/>
      <c r="DE298" s="522"/>
      <c r="DF298" s="522"/>
      <c r="DG298" s="522"/>
      <c r="DH298" s="522"/>
      <c r="DI298" s="522"/>
      <c r="DJ298" s="522"/>
      <c r="DK298" s="522"/>
      <c r="DL298" s="649"/>
      <c r="DM298" s="649"/>
      <c r="DN298" s="649"/>
      <c r="DO298" s="522"/>
      <c r="DP298" s="522"/>
      <c r="DQ298" s="522"/>
      <c r="DR298" s="522"/>
      <c r="DS298" s="522"/>
      <c r="DT298" s="522"/>
      <c r="DU298" s="522"/>
      <c r="DV298" s="522"/>
      <c r="DW298" s="522"/>
      <c r="DX298" s="522"/>
      <c r="DY298" s="522"/>
      <c r="DZ298" s="522"/>
      <c r="EA298" s="522"/>
      <c r="EB298" s="522"/>
      <c r="EC298" s="522"/>
      <c r="ED298" s="522"/>
      <c r="EE298" s="522"/>
      <c r="EF298" s="522"/>
      <c r="EG298" s="649">
        <f t="shared" si="272"/>
        <v>18.564</v>
      </c>
      <c r="EH298" s="649">
        <v>0</v>
      </c>
      <c r="EI298" s="649">
        <v>2.5</v>
      </c>
      <c r="EJ298" s="649">
        <v>2.5</v>
      </c>
      <c r="EK298" s="649">
        <v>7</v>
      </c>
      <c r="EL298" s="522"/>
      <c r="EM298" s="522"/>
      <c r="EN298" s="522"/>
      <c r="EO298" s="522"/>
      <c r="EP298" s="522"/>
      <c r="EQ298" s="522"/>
      <c r="ER298" s="522"/>
      <c r="ES298" s="407"/>
      <c r="ET298" s="407"/>
    </row>
    <row r="299" spans="1:150" s="357" customFormat="1" ht="15">
      <c r="A299" s="675" t="s">
        <v>4</v>
      </c>
      <c r="B299" s="712">
        <v>41925</v>
      </c>
      <c r="C299" s="358">
        <v>0</v>
      </c>
      <c r="D299" s="405">
        <v>0.5</v>
      </c>
      <c r="E299" s="681">
        <v>0</v>
      </c>
      <c r="F299" s="681">
        <v>52.5</v>
      </c>
      <c r="G299" s="681">
        <v>0.6</v>
      </c>
      <c r="H299" s="405">
        <v>3.5</v>
      </c>
      <c r="I299" s="405">
        <v>88.9</v>
      </c>
      <c r="J299" s="405" t="s">
        <v>744</v>
      </c>
      <c r="K299" s="405">
        <v>3.21</v>
      </c>
      <c r="L299" s="644">
        <v>0</v>
      </c>
      <c r="M299" s="405">
        <v>15.9</v>
      </c>
      <c r="N299" s="405" t="s">
        <v>744</v>
      </c>
      <c r="O299" s="405">
        <v>0</v>
      </c>
      <c r="P299" s="405">
        <v>1.99</v>
      </c>
      <c r="Q299" s="405">
        <v>3.1727078949253951</v>
      </c>
      <c r="R299" s="790">
        <v>1542.111170409511</v>
      </c>
      <c r="S299" s="405" t="s">
        <v>744</v>
      </c>
      <c r="T299" s="405">
        <v>7.9619999999999997</v>
      </c>
      <c r="U299" s="405" t="s">
        <v>744</v>
      </c>
      <c r="V299" s="406">
        <v>0.83</v>
      </c>
      <c r="W299" s="866" t="e">
        <v>#VALUE!</v>
      </c>
      <c r="X299" s="386">
        <v>58.64</v>
      </c>
      <c r="Y299" s="383">
        <v>31.15</v>
      </c>
      <c r="Z299" s="681">
        <v>27.2</v>
      </c>
      <c r="AA299" s="794">
        <v>31.15</v>
      </c>
      <c r="AB299" s="794">
        <v>27</v>
      </c>
      <c r="AC299" s="775">
        <f t="shared" ref="AC299:AC300" si="295">AA299+AB299</f>
        <v>58.15</v>
      </c>
      <c r="AD299" s="775">
        <f t="shared" ref="AD299:AD300" si="296">AC299*1.547</f>
        <v>89.95805</v>
      </c>
      <c r="AE299" s="705"/>
      <c r="AF299" s="775"/>
      <c r="AG299" s="705">
        <v>1</v>
      </c>
      <c r="AH299" s="705"/>
      <c r="AI299" s="705"/>
      <c r="AJ299" s="407"/>
      <c r="AK299" s="407"/>
      <c r="AL299" s="407"/>
      <c r="AM299" s="407"/>
      <c r="AN299" s="407"/>
      <c r="AO299" s="1115"/>
      <c r="AP299" s="387"/>
      <c r="AQ299" s="405"/>
      <c r="AR299" s="578">
        <v>0</v>
      </c>
      <c r="AS299" s="405">
        <v>11</v>
      </c>
      <c r="AT299" s="578">
        <v>0</v>
      </c>
      <c r="AU299" s="405">
        <v>31.8</v>
      </c>
      <c r="AV299" s="405">
        <v>526.4</v>
      </c>
      <c r="AW299" s="405">
        <v>620.70000000000005</v>
      </c>
      <c r="AX299" s="405">
        <v>0</v>
      </c>
      <c r="AY299" s="578">
        <v>0</v>
      </c>
      <c r="AZ299" s="578">
        <v>0</v>
      </c>
      <c r="BA299" s="578">
        <v>0</v>
      </c>
      <c r="BB299" s="925">
        <v>1.02</v>
      </c>
      <c r="BC299" s="405">
        <v>0.72</v>
      </c>
      <c r="BD299" s="405">
        <v>1.3</v>
      </c>
      <c r="BE299" s="578">
        <v>0</v>
      </c>
      <c r="BF299" s="405">
        <v>0.5</v>
      </c>
      <c r="BG299" s="405">
        <v>2.2200000000000002</v>
      </c>
      <c r="BH299" s="578">
        <v>0</v>
      </c>
      <c r="BI299" s="405">
        <v>0</v>
      </c>
      <c r="BJ299" s="405">
        <v>22.4</v>
      </c>
      <c r="BK299" s="405">
        <v>3.15</v>
      </c>
      <c r="BL299" s="405">
        <v>3.49</v>
      </c>
      <c r="BM299" s="405">
        <v>0</v>
      </c>
      <c r="BN299" s="405">
        <v>14.8</v>
      </c>
      <c r="BO299" s="405">
        <v>1402.3</v>
      </c>
      <c r="BP299" s="405">
        <v>0</v>
      </c>
      <c r="BQ299" s="649">
        <v>19.34</v>
      </c>
      <c r="BR299" s="649">
        <v>19.52</v>
      </c>
      <c r="BS299" s="649">
        <v>14.67</v>
      </c>
      <c r="BT299" s="649">
        <v>14.77</v>
      </c>
      <c r="BU299" s="648">
        <v>29.6</v>
      </c>
      <c r="BV299" s="648">
        <v>41.2</v>
      </c>
      <c r="BW299" s="649">
        <v>590.70000000000005</v>
      </c>
      <c r="BX299" s="876"/>
      <c r="BY299" s="649">
        <v>1.55</v>
      </c>
      <c r="BZ299" s="649">
        <v>1.59</v>
      </c>
      <c r="CA299" s="649">
        <v>1.2</v>
      </c>
      <c r="CB299" s="649">
        <v>8.6</v>
      </c>
      <c r="CC299" s="649">
        <v>8</v>
      </c>
      <c r="CD299" s="649">
        <v>16</v>
      </c>
      <c r="CE299" s="649">
        <v>30.4</v>
      </c>
      <c r="CF299" s="649">
        <v>15.2</v>
      </c>
      <c r="CG299" s="649">
        <v>5.54</v>
      </c>
      <c r="CH299" s="649">
        <v>10.6</v>
      </c>
      <c r="CI299" s="649">
        <v>14.7</v>
      </c>
      <c r="CJ299" s="649">
        <v>14.09</v>
      </c>
      <c r="CK299" s="649">
        <v>569.29999999999995</v>
      </c>
      <c r="CL299" s="649">
        <v>2.9</v>
      </c>
      <c r="CM299" s="649">
        <v>3.7</v>
      </c>
      <c r="CN299" s="991">
        <v>750</v>
      </c>
      <c r="CO299" s="649">
        <v>337.8</v>
      </c>
      <c r="CP299" s="649">
        <v>555.29999999999995</v>
      </c>
      <c r="CQ299" s="649">
        <v>14.4</v>
      </c>
      <c r="CR299" s="649">
        <v>1.04</v>
      </c>
      <c r="CS299" s="405">
        <v>0</v>
      </c>
      <c r="CT299" s="405">
        <v>17.47</v>
      </c>
      <c r="CU299" s="405">
        <v>64</v>
      </c>
      <c r="CV299" s="522">
        <v>0</v>
      </c>
      <c r="CW299" s="522">
        <v>0</v>
      </c>
      <c r="CX299" s="522">
        <v>0</v>
      </c>
      <c r="CY299" s="522">
        <v>0</v>
      </c>
      <c r="CZ299" s="642">
        <v>581</v>
      </c>
      <c r="DA299" s="642">
        <v>657</v>
      </c>
      <c r="DB299" s="642">
        <v>464</v>
      </c>
      <c r="DC299" s="643">
        <v>1121.75</v>
      </c>
      <c r="DD299" s="808"/>
      <c r="DE299" s="522"/>
      <c r="DF299" s="522"/>
      <c r="DG299" s="522"/>
      <c r="DH299" s="522"/>
      <c r="DI299" s="522"/>
      <c r="DJ299" s="522"/>
      <c r="DK299" s="522"/>
      <c r="DL299" s="649"/>
      <c r="DM299" s="649"/>
      <c r="DN299" s="649"/>
      <c r="DO299" s="522"/>
      <c r="DP299" s="522"/>
      <c r="DQ299" s="522"/>
      <c r="DR299" s="522"/>
      <c r="DS299" s="522"/>
      <c r="DT299" s="522"/>
      <c r="DU299" s="522"/>
      <c r="DV299" s="522"/>
      <c r="DW299" s="522"/>
      <c r="DX299" s="522"/>
      <c r="DY299" s="522"/>
      <c r="DZ299" s="522"/>
      <c r="EA299" s="522"/>
      <c r="EB299" s="522"/>
      <c r="EC299" s="522"/>
      <c r="ED299" s="522"/>
      <c r="EE299" s="522"/>
      <c r="EF299" s="522"/>
      <c r="EG299" s="649">
        <f t="shared" si="272"/>
        <v>17.790499999999998</v>
      </c>
      <c r="EH299" s="649">
        <v>0</v>
      </c>
      <c r="EI299" s="649">
        <v>2.5</v>
      </c>
      <c r="EJ299" s="649">
        <v>2.5</v>
      </c>
      <c r="EK299" s="649">
        <v>6.5</v>
      </c>
      <c r="EL299" s="522"/>
      <c r="EM299" s="522"/>
      <c r="EN299" s="522"/>
      <c r="EO299" s="522"/>
      <c r="EP299" s="522"/>
      <c r="EQ299" s="522"/>
      <c r="ER299" s="522"/>
      <c r="ES299" s="407"/>
      <c r="ET299" s="407"/>
    </row>
    <row r="300" spans="1:150" s="357" customFormat="1" ht="15">
      <c r="A300" s="675" t="s">
        <v>5</v>
      </c>
      <c r="B300" s="712">
        <v>41926</v>
      </c>
      <c r="C300" s="358">
        <v>0</v>
      </c>
      <c r="D300" s="405">
        <v>0.53</v>
      </c>
      <c r="E300" s="681">
        <v>0</v>
      </c>
      <c r="F300" s="681">
        <v>53</v>
      </c>
      <c r="G300" s="681">
        <v>0.9</v>
      </c>
      <c r="H300" s="405">
        <v>2.96</v>
      </c>
      <c r="I300" s="405">
        <v>89.04</v>
      </c>
      <c r="J300" s="643" t="s">
        <v>744</v>
      </c>
      <c r="K300" s="405">
        <v>2.19</v>
      </c>
      <c r="L300" s="644">
        <v>0</v>
      </c>
      <c r="M300" s="405">
        <v>16</v>
      </c>
      <c r="N300" s="643" t="s">
        <v>744</v>
      </c>
      <c r="O300" s="405" t="s">
        <v>743</v>
      </c>
      <c r="P300" s="405">
        <v>1.95</v>
      </c>
      <c r="Q300" s="405">
        <v>3.028270303189815</v>
      </c>
      <c r="R300" s="790">
        <v>1467.6130462351387</v>
      </c>
      <c r="S300" s="643" t="s">
        <v>744</v>
      </c>
      <c r="T300" s="405">
        <v>7.96</v>
      </c>
      <c r="U300" s="643" t="s">
        <v>744</v>
      </c>
      <c r="V300" s="406">
        <v>0.64500000000000002</v>
      </c>
      <c r="W300" s="1078" t="e">
        <v>#VALUE!</v>
      </c>
      <c r="X300" s="1077">
        <v>58.460000000000008</v>
      </c>
      <c r="Y300" s="383">
        <v>31.15</v>
      </c>
      <c r="Z300" s="681">
        <v>27</v>
      </c>
      <c r="AA300" s="794">
        <v>31.19</v>
      </c>
      <c r="AB300" s="794">
        <v>27.06</v>
      </c>
      <c r="AC300" s="775">
        <f t="shared" si="295"/>
        <v>58.25</v>
      </c>
      <c r="AD300" s="775">
        <f t="shared" si="296"/>
        <v>90.112749999999991</v>
      </c>
      <c r="AE300" s="705"/>
      <c r="AF300" s="775"/>
      <c r="AG300" s="705">
        <v>1</v>
      </c>
      <c r="AH300" s="705"/>
      <c r="AI300" s="705"/>
      <c r="AJ300" s="407"/>
      <c r="AK300" s="407"/>
      <c r="AL300" s="407"/>
      <c r="AM300" s="407"/>
      <c r="AN300" s="407"/>
      <c r="AO300" s="1115"/>
      <c r="AP300" s="387"/>
      <c r="AQ300" s="405"/>
      <c r="AR300" s="578">
        <v>0</v>
      </c>
      <c r="AS300" s="405">
        <v>10.6</v>
      </c>
      <c r="AT300" s="578">
        <v>0</v>
      </c>
      <c r="AU300" s="405">
        <v>31.8</v>
      </c>
      <c r="AV300" s="405">
        <v>213.1</v>
      </c>
      <c r="AW300" s="405">
        <v>315.5</v>
      </c>
      <c r="AX300" s="405">
        <v>0</v>
      </c>
      <c r="AY300" s="578">
        <v>0</v>
      </c>
      <c r="AZ300" s="578">
        <v>0</v>
      </c>
      <c r="BA300" s="578">
        <v>0</v>
      </c>
      <c r="BB300" s="925">
        <v>1.44</v>
      </c>
      <c r="BC300" s="405">
        <v>0.71</v>
      </c>
      <c r="BD300" s="405">
        <v>0.95</v>
      </c>
      <c r="BE300" s="578">
        <v>0</v>
      </c>
      <c r="BF300" s="405">
        <v>0.51</v>
      </c>
      <c r="BG300" s="405">
        <v>0.81</v>
      </c>
      <c r="BH300" s="578">
        <v>0</v>
      </c>
      <c r="BI300" s="405">
        <v>0</v>
      </c>
      <c r="BJ300" s="405">
        <v>24.2</v>
      </c>
      <c r="BK300" s="405">
        <v>3</v>
      </c>
      <c r="BL300" s="405">
        <v>3.52</v>
      </c>
      <c r="BM300" s="405">
        <v>0</v>
      </c>
      <c r="BN300" s="405">
        <v>16.2</v>
      </c>
      <c r="BO300" s="405">
        <v>1342</v>
      </c>
      <c r="BP300" s="405">
        <v>0</v>
      </c>
      <c r="BQ300" s="649">
        <v>20.02</v>
      </c>
      <c r="BR300" s="649">
        <v>20.190000000000001</v>
      </c>
      <c r="BS300" s="649">
        <v>14.93</v>
      </c>
      <c r="BT300" s="649">
        <v>15.05</v>
      </c>
      <c r="BU300" s="648">
        <v>30.1</v>
      </c>
      <c r="BV300" s="648">
        <v>34.9</v>
      </c>
      <c r="BW300" s="649">
        <v>430.1</v>
      </c>
      <c r="BX300" s="876"/>
      <c r="BY300" s="649">
        <v>1.95</v>
      </c>
      <c r="BZ300" s="649">
        <v>1.5</v>
      </c>
      <c r="CA300" s="649">
        <v>1.2</v>
      </c>
      <c r="CB300" s="649">
        <v>8.8000000000000007</v>
      </c>
      <c r="CC300" s="649">
        <v>8</v>
      </c>
      <c r="CD300" s="649">
        <v>16.2</v>
      </c>
      <c r="CE300" s="649">
        <v>30.7</v>
      </c>
      <c r="CF300" s="649">
        <v>14.7</v>
      </c>
      <c r="CG300" s="649">
        <v>6.6</v>
      </c>
      <c r="CH300" s="649">
        <v>11.7</v>
      </c>
      <c r="CI300" s="649">
        <v>16.100000000000001</v>
      </c>
      <c r="CJ300" s="649">
        <v>14.17</v>
      </c>
      <c r="CK300" s="649">
        <v>549.9</v>
      </c>
      <c r="CL300" s="649">
        <v>2.6</v>
      </c>
      <c r="CM300" s="649">
        <v>3.1</v>
      </c>
      <c r="CN300" s="991">
        <v>750</v>
      </c>
      <c r="CO300" s="649">
        <v>311.8</v>
      </c>
      <c r="CP300" s="649">
        <v>546.29999999999995</v>
      </c>
      <c r="CQ300" s="649">
        <v>13.9</v>
      </c>
      <c r="CR300" s="649">
        <v>0.98</v>
      </c>
      <c r="CS300" s="405">
        <v>0</v>
      </c>
      <c r="CT300" s="405">
        <v>16.465</v>
      </c>
      <c r="CU300" s="405">
        <v>64</v>
      </c>
      <c r="CV300" s="522">
        <v>0</v>
      </c>
      <c r="CW300" s="522">
        <v>0</v>
      </c>
      <c r="CX300" s="522">
        <v>0</v>
      </c>
      <c r="CY300" s="522">
        <v>0</v>
      </c>
      <c r="CZ300" s="642">
        <v>740</v>
      </c>
      <c r="DA300" s="642">
        <v>855</v>
      </c>
      <c r="DB300" s="642">
        <v>614</v>
      </c>
      <c r="DC300" s="643">
        <v>1120.22</v>
      </c>
      <c r="DD300" s="808"/>
      <c r="DE300" s="522"/>
      <c r="DF300" s="522"/>
      <c r="DG300" s="522"/>
      <c r="DH300" s="522"/>
      <c r="DI300" s="522"/>
      <c r="DJ300" s="522"/>
      <c r="DK300" s="522"/>
      <c r="DL300" s="649"/>
      <c r="DM300" s="649"/>
      <c r="DN300" s="649"/>
      <c r="DO300" s="522"/>
      <c r="DP300" s="522"/>
      <c r="DQ300" s="522"/>
      <c r="DR300" s="522"/>
      <c r="DS300" s="522"/>
      <c r="DT300" s="522"/>
      <c r="DU300" s="522"/>
      <c r="DV300" s="522"/>
      <c r="DW300" s="522"/>
      <c r="DX300" s="522"/>
      <c r="DY300" s="522"/>
      <c r="DZ300" s="522"/>
      <c r="EA300" s="522"/>
      <c r="EB300" s="522"/>
      <c r="EC300" s="522"/>
      <c r="ED300" s="522"/>
      <c r="EE300" s="522"/>
      <c r="EF300" s="522"/>
      <c r="EG300" s="649">
        <f t="shared" si="272"/>
        <v>17.790499999999998</v>
      </c>
      <c r="EH300" s="649">
        <v>0</v>
      </c>
      <c r="EI300" s="649">
        <v>2.5</v>
      </c>
      <c r="EJ300" s="649">
        <v>2.5</v>
      </c>
      <c r="EK300" s="649">
        <v>6.5</v>
      </c>
      <c r="EL300" s="522"/>
      <c r="EM300" s="522"/>
      <c r="EN300" s="522"/>
      <c r="EO300" s="522"/>
      <c r="EP300" s="522"/>
      <c r="EQ300" s="522"/>
      <c r="ER300" s="522"/>
      <c r="ES300" s="407"/>
      <c r="ET300" s="407"/>
    </row>
    <row r="301" spans="1:150" s="357" customFormat="1" ht="15">
      <c r="A301" s="675" t="s">
        <v>6</v>
      </c>
      <c r="B301" s="712">
        <v>41927</v>
      </c>
      <c r="C301" s="358">
        <v>0</v>
      </c>
      <c r="D301" s="405">
        <v>0.53</v>
      </c>
      <c r="E301" s="681">
        <v>0</v>
      </c>
      <c r="F301" s="681">
        <v>48</v>
      </c>
      <c r="G301" s="681">
        <v>0.75</v>
      </c>
      <c r="H301" s="405">
        <v>1.94</v>
      </c>
      <c r="I301" s="405">
        <v>91.1</v>
      </c>
      <c r="J301" s="643" t="s">
        <v>744</v>
      </c>
      <c r="K301" s="405">
        <v>1.71</v>
      </c>
      <c r="L301" s="644">
        <v>0</v>
      </c>
      <c r="M301" s="405">
        <v>16.3</v>
      </c>
      <c r="N301" s="643" t="s">
        <v>744</v>
      </c>
      <c r="O301" s="405" t="s">
        <v>743</v>
      </c>
      <c r="P301" s="405">
        <v>1.97</v>
      </c>
      <c r="Q301" s="405">
        <v>3.0832524969897741</v>
      </c>
      <c r="R301" s="790">
        <v>1463.4022826948481</v>
      </c>
      <c r="S301" s="643" t="s">
        <v>744</v>
      </c>
      <c r="T301" s="405">
        <v>8.0299999999999994</v>
      </c>
      <c r="U301" s="643" t="s">
        <v>744</v>
      </c>
      <c r="V301" s="406">
        <v>0.66</v>
      </c>
      <c r="W301" s="1078" t="e">
        <v>#VALUE!</v>
      </c>
      <c r="X301" s="1077">
        <v>57.56</v>
      </c>
      <c r="Y301" s="383">
        <v>31.19</v>
      </c>
      <c r="Z301" s="681">
        <v>27.06</v>
      </c>
      <c r="AA301" s="794">
        <v>29.81</v>
      </c>
      <c r="AB301" s="794">
        <v>25.84</v>
      </c>
      <c r="AC301" s="775">
        <f t="shared" ref="AC301" si="297">AA301+AB301</f>
        <v>55.65</v>
      </c>
      <c r="AD301" s="775">
        <f t="shared" ref="AD301" si="298">AC301*1.547</f>
        <v>86.090549999999993</v>
      </c>
      <c r="AE301" s="705"/>
      <c r="AF301" s="775"/>
      <c r="AG301" s="705">
        <v>1</v>
      </c>
      <c r="AH301" s="705"/>
      <c r="AI301" s="705"/>
      <c r="AJ301" s="407"/>
      <c r="AK301" s="407"/>
      <c r="AL301" s="407"/>
      <c r="AM301" s="407"/>
      <c r="AN301" s="407"/>
      <c r="AO301" s="1115"/>
      <c r="AP301" s="387"/>
      <c r="AQ301" s="405"/>
      <c r="AR301" s="578">
        <v>0</v>
      </c>
      <c r="AS301" s="405">
        <v>22.7</v>
      </c>
      <c r="AT301" s="578">
        <v>0</v>
      </c>
      <c r="AU301" s="405">
        <v>30.6</v>
      </c>
      <c r="AV301" s="405">
        <v>426.1</v>
      </c>
      <c r="AW301" s="405">
        <v>592.29999999999995</v>
      </c>
      <c r="AX301" s="405">
        <v>0</v>
      </c>
      <c r="AY301" s="578">
        <v>0</v>
      </c>
      <c r="AZ301" s="578">
        <v>0</v>
      </c>
      <c r="BA301" s="578">
        <v>0</v>
      </c>
      <c r="BB301" s="925">
        <v>1.44</v>
      </c>
      <c r="BC301" s="405">
        <v>0.82</v>
      </c>
      <c r="BD301" s="405">
        <v>0.81</v>
      </c>
      <c r="BE301" s="578">
        <v>0</v>
      </c>
      <c r="BF301" s="405">
        <v>0.51</v>
      </c>
      <c r="BG301" s="405">
        <v>0</v>
      </c>
      <c r="BH301" s="578">
        <v>0</v>
      </c>
      <c r="BI301" s="405">
        <v>0</v>
      </c>
      <c r="BJ301" s="405">
        <v>24</v>
      </c>
      <c r="BK301" s="405">
        <v>2.78</v>
      </c>
      <c r="BL301" s="405">
        <v>3.75</v>
      </c>
      <c r="BM301" s="405">
        <v>0</v>
      </c>
      <c r="BN301" s="405">
        <v>15.9</v>
      </c>
      <c r="BO301" s="405">
        <v>1099.7</v>
      </c>
      <c r="BP301" s="405">
        <v>0</v>
      </c>
      <c r="BQ301" s="649">
        <v>20.29</v>
      </c>
      <c r="BR301" s="649">
        <v>20.46</v>
      </c>
      <c r="BS301" s="649">
        <v>14.12</v>
      </c>
      <c r="BT301" s="649">
        <v>14.21</v>
      </c>
      <c r="BU301" s="648">
        <v>28.7</v>
      </c>
      <c r="BV301" s="648">
        <v>34.200000000000003</v>
      </c>
      <c r="BW301" s="649">
        <v>452</v>
      </c>
      <c r="BX301" s="876"/>
      <c r="BY301" s="649">
        <v>2.37</v>
      </c>
      <c r="BZ301" s="649">
        <v>1.52</v>
      </c>
      <c r="CA301" s="649">
        <v>1.2</v>
      </c>
      <c r="CB301" s="649">
        <v>8.9</v>
      </c>
      <c r="CC301" s="649">
        <v>8</v>
      </c>
      <c r="CD301" s="649">
        <v>15.9</v>
      </c>
      <c r="CE301" s="649">
        <v>31</v>
      </c>
      <c r="CF301" s="649">
        <v>14.2</v>
      </c>
      <c r="CG301" s="649">
        <v>6.71</v>
      </c>
      <c r="CH301" s="649">
        <v>11.9</v>
      </c>
      <c r="CI301" s="649">
        <v>16.3</v>
      </c>
      <c r="CJ301" s="649">
        <v>14.7</v>
      </c>
      <c r="CK301" s="649">
        <v>563.4</v>
      </c>
      <c r="CL301" s="649">
        <v>2.1</v>
      </c>
      <c r="CM301" s="649">
        <v>2.8</v>
      </c>
      <c r="CN301" s="991">
        <v>750</v>
      </c>
      <c r="CO301" s="649">
        <v>303</v>
      </c>
      <c r="CP301" s="649">
        <v>545.79999999999995</v>
      </c>
      <c r="CQ301" s="649">
        <v>14.2</v>
      </c>
      <c r="CR301" s="649">
        <v>1</v>
      </c>
      <c r="CS301" s="405">
        <v>0</v>
      </c>
      <c r="CT301" s="405">
        <v>16.614999999999998</v>
      </c>
      <c r="CU301" s="405">
        <v>63</v>
      </c>
      <c r="CV301" s="522">
        <v>0</v>
      </c>
      <c r="CW301" s="522">
        <v>0</v>
      </c>
      <c r="CX301" s="522">
        <v>0</v>
      </c>
      <c r="CY301" s="522">
        <v>0</v>
      </c>
      <c r="CZ301" s="642">
        <v>653</v>
      </c>
      <c r="DA301" s="642">
        <v>807</v>
      </c>
      <c r="DB301" s="642">
        <v>533</v>
      </c>
      <c r="DC301" s="643">
        <v>1118.55</v>
      </c>
      <c r="DD301" s="808"/>
      <c r="DE301" s="522"/>
      <c r="DF301" s="522"/>
      <c r="DG301" s="522"/>
      <c r="DH301" s="522"/>
      <c r="DI301" s="522"/>
      <c r="DJ301" s="522"/>
      <c r="DK301" s="522"/>
      <c r="DL301" s="649"/>
      <c r="DM301" s="649"/>
      <c r="DN301" s="649"/>
      <c r="DO301" s="522"/>
      <c r="DP301" s="522"/>
      <c r="DQ301" s="522"/>
      <c r="DR301" s="522"/>
      <c r="DS301" s="522"/>
      <c r="DT301" s="522"/>
      <c r="DU301" s="522"/>
      <c r="DV301" s="522"/>
      <c r="DW301" s="522"/>
      <c r="DX301" s="522"/>
      <c r="DY301" s="522"/>
      <c r="DZ301" s="522"/>
      <c r="EA301" s="522"/>
      <c r="EB301" s="522"/>
      <c r="EC301" s="522"/>
      <c r="ED301" s="522"/>
      <c r="EE301" s="522"/>
      <c r="EF301" s="522"/>
      <c r="EG301" s="649">
        <f t="shared" si="272"/>
        <v>13.923</v>
      </c>
      <c r="EH301" s="649">
        <v>0</v>
      </c>
      <c r="EI301" s="649">
        <v>0</v>
      </c>
      <c r="EJ301" s="649">
        <v>2.5</v>
      </c>
      <c r="EK301" s="649">
        <v>6.5</v>
      </c>
      <c r="EL301" s="522"/>
      <c r="EM301" s="522"/>
      <c r="EN301" s="522"/>
      <c r="EO301" s="522"/>
      <c r="EP301" s="522"/>
      <c r="EQ301" s="522"/>
      <c r="ER301" s="522"/>
      <c r="ES301" s="407"/>
      <c r="ET301" s="407"/>
    </row>
    <row r="302" spans="1:150" s="357" customFormat="1" ht="15">
      <c r="A302" s="675" t="s">
        <v>7</v>
      </c>
      <c r="B302" s="712">
        <v>41928</v>
      </c>
      <c r="C302" s="358">
        <v>0</v>
      </c>
      <c r="D302" s="405">
        <v>0.01</v>
      </c>
      <c r="E302" s="681">
        <v>0</v>
      </c>
      <c r="F302" s="681">
        <v>56</v>
      </c>
      <c r="G302" s="681">
        <v>0.7</v>
      </c>
      <c r="H302" s="405">
        <v>2.1</v>
      </c>
      <c r="I302" s="405">
        <v>90.8</v>
      </c>
      <c r="J302" s="643" t="s">
        <v>744</v>
      </c>
      <c r="K302" s="405">
        <v>1.27</v>
      </c>
      <c r="L302" s="644">
        <v>0</v>
      </c>
      <c r="M302" s="405">
        <v>16.399999999999999</v>
      </c>
      <c r="N302" s="643" t="s">
        <v>744</v>
      </c>
      <c r="O302" s="405" t="s">
        <v>743</v>
      </c>
      <c r="P302" s="405">
        <v>1.94</v>
      </c>
      <c r="Q302" s="405">
        <v>3.0929297570503032</v>
      </c>
      <c r="R302" s="790">
        <v>1423.8858863936589</v>
      </c>
      <c r="S302" s="643" t="s">
        <v>744</v>
      </c>
      <c r="T302" s="405">
        <v>8.02</v>
      </c>
      <c r="U302" s="643" t="s">
        <v>744</v>
      </c>
      <c r="V302" s="406">
        <v>0.63</v>
      </c>
      <c r="W302" s="1078" t="e">
        <v>#VALUE!</v>
      </c>
      <c r="X302" s="386">
        <v>56.660000000000011</v>
      </c>
      <c r="Y302" s="383">
        <v>29.81</v>
      </c>
      <c r="Z302" s="681">
        <v>25.84</v>
      </c>
      <c r="AA302" s="794">
        <v>29.06</v>
      </c>
      <c r="AB302" s="794">
        <v>25.1</v>
      </c>
      <c r="AC302" s="775">
        <f t="shared" ref="AC302:AC305" si="299">AA302+AB302</f>
        <v>54.16</v>
      </c>
      <c r="AD302" s="775">
        <f t="shared" ref="AD302:AD305" si="300">AC302*1.547</f>
        <v>83.785519999999991</v>
      </c>
      <c r="AE302" s="705"/>
      <c r="AF302" s="775"/>
      <c r="AG302" s="705">
        <v>1</v>
      </c>
      <c r="AH302" s="705"/>
      <c r="AI302" s="705"/>
      <c r="AJ302" s="407"/>
      <c r="AK302" s="407"/>
      <c r="AL302" s="407"/>
      <c r="AM302" s="407"/>
      <c r="AN302" s="407"/>
      <c r="AO302" s="1115"/>
      <c r="AP302" s="387"/>
      <c r="AQ302" s="405"/>
      <c r="AR302" s="578">
        <v>0</v>
      </c>
      <c r="AS302" s="405">
        <v>11.8</v>
      </c>
      <c r="AT302" s="578">
        <v>0</v>
      </c>
      <c r="AU302" s="405">
        <v>29.6</v>
      </c>
      <c r="AV302" s="405">
        <v>412.8</v>
      </c>
      <c r="AW302" s="405">
        <v>492.3</v>
      </c>
      <c r="AX302" s="405">
        <v>0</v>
      </c>
      <c r="AY302" s="578">
        <v>0</v>
      </c>
      <c r="AZ302" s="578">
        <v>0</v>
      </c>
      <c r="BA302" s="578">
        <v>0</v>
      </c>
      <c r="BB302" s="925">
        <v>1.31</v>
      </c>
      <c r="BC302" s="405">
        <v>1.01</v>
      </c>
      <c r="BD302" s="405">
        <v>1</v>
      </c>
      <c r="BE302" s="578">
        <v>0</v>
      </c>
      <c r="BF302" s="405">
        <v>0.51</v>
      </c>
      <c r="BG302" s="405">
        <v>0</v>
      </c>
      <c r="BH302" s="578">
        <v>0</v>
      </c>
      <c r="BI302" s="405">
        <v>0</v>
      </c>
      <c r="BJ302" s="405">
        <v>22.7</v>
      </c>
      <c r="BK302" s="405">
        <v>2.57</v>
      </c>
      <c r="BL302" s="405">
        <v>3.96</v>
      </c>
      <c r="BM302" s="405">
        <v>0</v>
      </c>
      <c r="BN302" s="405">
        <v>14.9</v>
      </c>
      <c r="BO302" s="405">
        <v>1342.9</v>
      </c>
      <c r="BP302" s="405">
        <v>0</v>
      </c>
      <c r="BQ302" s="649">
        <v>19.8</v>
      </c>
      <c r="BR302" s="649">
        <v>19.989999999999998</v>
      </c>
      <c r="BS302" s="649">
        <v>13.69</v>
      </c>
      <c r="BT302" s="649">
        <v>13.8</v>
      </c>
      <c r="BU302" s="648">
        <v>27.9</v>
      </c>
      <c r="BV302" s="648">
        <v>35.299999999999997</v>
      </c>
      <c r="BW302" s="649">
        <v>656.5</v>
      </c>
      <c r="BX302" s="876"/>
      <c r="BY302" s="649">
        <v>3.49</v>
      </c>
      <c r="BZ302" s="649">
        <v>1.55</v>
      </c>
      <c r="CA302" s="649">
        <v>1.1000000000000001</v>
      </c>
      <c r="CB302" s="649">
        <v>8.8000000000000007</v>
      </c>
      <c r="CC302" s="649">
        <v>8</v>
      </c>
      <c r="CD302" s="649">
        <v>15.9</v>
      </c>
      <c r="CE302" s="649">
        <v>30.5</v>
      </c>
      <c r="CF302" s="649">
        <v>13.5</v>
      </c>
      <c r="CG302" s="649">
        <v>8.2799999999999994</v>
      </c>
      <c r="CH302" s="649">
        <v>13.7</v>
      </c>
      <c r="CI302" s="649">
        <v>17.8</v>
      </c>
      <c r="CJ302" s="649">
        <v>13.96</v>
      </c>
      <c r="CK302" s="649">
        <v>436</v>
      </c>
      <c r="CL302" s="649">
        <v>2.1</v>
      </c>
      <c r="CM302" s="649">
        <v>2.5</v>
      </c>
      <c r="CN302" s="649">
        <v>134.9</v>
      </c>
      <c r="CO302" s="649">
        <v>301.3</v>
      </c>
      <c r="CP302" s="649">
        <v>535</v>
      </c>
      <c r="CQ302" s="649">
        <v>13.7</v>
      </c>
      <c r="CR302" s="649">
        <v>0.95</v>
      </c>
      <c r="CS302" s="405">
        <v>0</v>
      </c>
      <c r="CT302" s="405">
        <v>15.71</v>
      </c>
      <c r="CU302" s="643">
        <v>63</v>
      </c>
      <c r="CV302" s="522">
        <v>0</v>
      </c>
      <c r="CW302" s="522">
        <v>0</v>
      </c>
      <c r="CX302" s="522">
        <v>0</v>
      </c>
      <c r="CY302" s="522">
        <v>0</v>
      </c>
      <c r="CZ302" s="642">
        <v>616</v>
      </c>
      <c r="DA302" s="642">
        <v>719</v>
      </c>
      <c r="DB302" s="642">
        <v>508</v>
      </c>
      <c r="DC302" s="643">
        <v>1117.03</v>
      </c>
      <c r="DD302" s="808"/>
      <c r="DE302" s="522"/>
      <c r="DF302" s="522"/>
      <c r="DG302" s="522"/>
      <c r="DH302" s="522"/>
      <c r="DI302" s="522"/>
      <c r="DJ302" s="522"/>
      <c r="DK302" s="522"/>
      <c r="DL302" s="649"/>
      <c r="DM302" s="649"/>
      <c r="DN302" s="649"/>
      <c r="DO302" s="522"/>
      <c r="DP302" s="522"/>
      <c r="DQ302" s="522"/>
      <c r="DR302" s="522"/>
      <c r="DS302" s="522"/>
      <c r="DT302" s="522"/>
      <c r="DU302" s="522"/>
      <c r="DV302" s="522"/>
      <c r="DW302" s="522"/>
      <c r="DX302" s="522"/>
      <c r="DY302" s="522"/>
      <c r="DZ302" s="522"/>
      <c r="EA302" s="522"/>
      <c r="EB302" s="522"/>
      <c r="EC302" s="522"/>
      <c r="ED302" s="522"/>
      <c r="EE302" s="522"/>
      <c r="EF302" s="522"/>
      <c r="EG302" s="649">
        <f t="shared" si="272"/>
        <v>13.923</v>
      </c>
      <c r="EH302" s="649">
        <v>0</v>
      </c>
      <c r="EI302" s="649">
        <v>0</v>
      </c>
      <c r="EJ302" s="649">
        <v>2.5</v>
      </c>
      <c r="EK302" s="649">
        <v>6.5</v>
      </c>
      <c r="EL302" s="522"/>
      <c r="EM302" s="522"/>
      <c r="EN302" s="522"/>
      <c r="EO302" s="522"/>
      <c r="EP302" s="522"/>
      <c r="EQ302" s="522"/>
      <c r="ER302" s="522"/>
      <c r="ES302" s="407"/>
      <c r="ET302" s="407"/>
    </row>
    <row r="303" spans="1:150" s="357" customFormat="1" ht="16.5">
      <c r="A303" s="675" t="s">
        <v>8</v>
      </c>
      <c r="B303" s="712">
        <v>41929</v>
      </c>
      <c r="C303" s="358">
        <v>0</v>
      </c>
      <c r="D303" s="405">
        <v>0.73</v>
      </c>
      <c r="E303" s="681">
        <v>0</v>
      </c>
      <c r="F303" s="681" t="s">
        <v>10</v>
      </c>
      <c r="G303" s="681">
        <v>0.8</v>
      </c>
      <c r="H303" s="405">
        <v>1.65</v>
      </c>
      <c r="I303" s="405">
        <v>91.36</v>
      </c>
      <c r="J303" s="643" t="s">
        <v>744</v>
      </c>
      <c r="K303" s="405">
        <v>1.28</v>
      </c>
      <c r="L303" s="644">
        <v>0</v>
      </c>
      <c r="M303" s="405">
        <v>16.600000000000001</v>
      </c>
      <c r="N303" s="643" t="s">
        <v>744</v>
      </c>
      <c r="O303" s="405" t="s">
        <v>743</v>
      </c>
      <c r="P303" s="405">
        <v>1.93</v>
      </c>
      <c r="Q303" s="405">
        <v>3.0162123213645615</v>
      </c>
      <c r="R303" s="790">
        <v>1355.8658599735797</v>
      </c>
      <c r="S303" s="643" t="s">
        <v>744</v>
      </c>
      <c r="T303" s="405">
        <v>7.9740000000000002</v>
      </c>
      <c r="U303" s="643" t="s">
        <v>744</v>
      </c>
      <c r="V303" s="406">
        <v>0.61899999999999999</v>
      </c>
      <c r="W303" s="1078" t="e">
        <v>#VALUE!</v>
      </c>
      <c r="X303" s="386">
        <v>57.38000000000001</v>
      </c>
      <c r="Y303" s="383">
        <v>29.06</v>
      </c>
      <c r="Z303" s="681">
        <v>25.1</v>
      </c>
      <c r="AA303" s="794">
        <v>29.04</v>
      </c>
      <c r="AB303" s="794">
        <v>24.93</v>
      </c>
      <c r="AC303" s="775">
        <f t="shared" si="299"/>
        <v>53.97</v>
      </c>
      <c r="AD303" s="775">
        <f t="shared" si="300"/>
        <v>83.491589999999988</v>
      </c>
      <c r="AE303" s="705"/>
      <c r="AF303" s="775"/>
      <c r="AG303" s="705">
        <v>1</v>
      </c>
      <c r="AH303" s="705"/>
      <c r="AI303" s="705"/>
      <c r="AJ303" s="407"/>
      <c r="AK303" s="407"/>
      <c r="AL303" s="407"/>
      <c r="AM303" s="407"/>
      <c r="AN303" s="407"/>
      <c r="AO303" s="1115"/>
      <c r="AP303" s="387"/>
      <c r="AQ303" s="405"/>
      <c r="AR303" s="578">
        <v>0</v>
      </c>
      <c r="AS303" s="405">
        <v>18.5</v>
      </c>
      <c r="AT303" s="578">
        <v>0</v>
      </c>
      <c r="AU303" s="405">
        <v>29.7</v>
      </c>
      <c r="AV303" s="405">
        <v>251.5</v>
      </c>
      <c r="AW303" s="405">
        <v>301.39999999999998</v>
      </c>
      <c r="AX303" s="405">
        <v>0</v>
      </c>
      <c r="AY303" s="578">
        <v>0</v>
      </c>
      <c r="AZ303" s="578">
        <v>0</v>
      </c>
      <c r="BA303" s="578">
        <v>0</v>
      </c>
      <c r="BB303" s="925">
        <v>1.01</v>
      </c>
      <c r="BC303" s="405">
        <v>0.72</v>
      </c>
      <c r="BD303" s="405">
        <v>1.52</v>
      </c>
      <c r="BE303" s="578">
        <v>0</v>
      </c>
      <c r="BF303" s="405">
        <v>0.28999999999999998</v>
      </c>
      <c r="BG303" s="405">
        <v>0</v>
      </c>
      <c r="BH303" s="578">
        <v>0</v>
      </c>
      <c r="BI303" s="405">
        <v>0</v>
      </c>
      <c r="BJ303" s="405">
        <v>22.6</v>
      </c>
      <c r="BK303" s="405">
        <v>2.62</v>
      </c>
      <c r="BL303" s="405">
        <v>3.93</v>
      </c>
      <c r="BM303" s="405">
        <v>0</v>
      </c>
      <c r="BN303" s="405">
        <v>15</v>
      </c>
      <c r="BO303" s="405">
        <v>277.8</v>
      </c>
      <c r="BP303" s="405">
        <v>0</v>
      </c>
      <c r="BQ303" s="649">
        <v>21.1</v>
      </c>
      <c r="BR303" s="649">
        <v>21.2</v>
      </c>
      <c r="BS303" s="649">
        <v>13.89</v>
      </c>
      <c r="BT303" s="649">
        <v>13.98</v>
      </c>
      <c r="BU303" s="648">
        <v>28.3</v>
      </c>
      <c r="BV303" s="648">
        <v>30.9</v>
      </c>
      <c r="BW303" s="649">
        <v>464.4</v>
      </c>
      <c r="BX303" s="876"/>
      <c r="BY303" s="649">
        <v>1.78</v>
      </c>
      <c r="BZ303" s="649">
        <v>1.55</v>
      </c>
      <c r="CA303" s="649">
        <v>1.1000000000000001</v>
      </c>
      <c r="CB303" s="649">
        <v>8.8000000000000007</v>
      </c>
      <c r="CC303" s="649">
        <v>8</v>
      </c>
      <c r="CD303" s="649">
        <v>15.6</v>
      </c>
      <c r="CE303" s="649">
        <v>29.9</v>
      </c>
      <c r="CF303" s="649">
        <v>12.8</v>
      </c>
      <c r="CG303" s="649">
        <v>4</v>
      </c>
      <c r="CH303" s="649">
        <v>8.8000000000000007</v>
      </c>
      <c r="CI303" s="649">
        <v>12.8</v>
      </c>
      <c r="CJ303" s="649">
        <v>13.4</v>
      </c>
      <c r="CK303" s="649">
        <v>509.8</v>
      </c>
      <c r="CL303" s="649">
        <v>1.8</v>
      </c>
      <c r="CM303" s="649">
        <v>1.8</v>
      </c>
      <c r="CN303" s="649">
        <v>244.9</v>
      </c>
      <c r="CO303" s="649">
        <v>292.2</v>
      </c>
      <c r="CP303" s="649">
        <v>535.70000000000005</v>
      </c>
      <c r="CQ303" s="649">
        <v>13.5</v>
      </c>
      <c r="CR303" s="649">
        <v>0.86</v>
      </c>
      <c r="CS303" s="405">
        <v>0</v>
      </c>
      <c r="CT303" s="405">
        <v>15.244999999999999</v>
      </c>
      <c r="CU303" s="643">
        <v>63</v>
      </c>
      <c r="CV303" s="522">
        <v>0</v>
      </c>
      <c r="CW303" s="522">
        <v>0</v>
      </c>
      <c r="CX303" s="522">
        <v>0</v>
      </c>
      <c r="CY303" s="522">
        <v>0</v>
      </c>
      <c r="CZ303" s="642">
        <v>683</v>
      </c>
      <c r="DA303" s="642">
        <v>831</v>
      </c>
      <c r="DB303" s="642">
        <v>581</v>
      </c>
      <c r="DC303" s="1113">
        <v>1115.5999999999999</v>
      </c>
      <c r="DD303" s="808"/>
      <c r="DE303" s="522"/>
      <c r="DF303" s="522"/>
      <c r="DG303" s="522"/>
      <c r="DH303" s="522"/>
      <c r="DI303" s="522"/>
      <c r="DJ303" s="522"/>
      <c r="DK303" s="522"/>
      <c r="DL303" s="649"/>
      <c r="DM303" s="649"/>
      <c r="DN303" s="649"/>
      <c r="DO303" s="522"/>
      <c r="DP303" s="522"/>
      <c r="DQ303" s="522"/>
      <c r="DR303" s="522"/>
      <c r="DS303" s="522"/>
      <c r="DT303" s="522"/>
      <c r="DU303" s="522"/>
      <c r="DV303" s="522"/>
      <c r="DW303" s="522"/>
      <c r="DX303" s="522"/>
      <c r="DY303" s="522"/>
      <c r="DZ303" s="522"/>
      <c r="EA303" s="522"/>
      <c r="EB303" s="522"/>
      <c r="EC303" s="522"/>
      <c r="ED303" s="522"/>
      <c r="EE303" s="522"/>
      <c r="EF303" s="522"/>
      <c r="EG303" s="649">
        <f t="shared" si="272"/>
        <v>13.923</v>
      </c>
      <c r="EH303" s="649">
        <v>0</v>
      </c>
      <c r="EI303" s="649">
        <v>0</v>
      </c>
      <c r="EJ303" s="522">
        <v>2.5</v>
      </c>
      <c r="EK303" s="649">
        <v>6.5</v>
      </c>
      <c r="EL303" s="522"/>
      <c r="EM303" s="522"/>
      <c r="EN303" s="522"/>
      <c r="EO303" s="522"/>
      <c r="EP303" s="522"/>
      <c r="EQ303" s="522"/>
      <c r="ER303" s="522"/>
      <c r="ES303" s="407"/>
      <c r="ET303" s="407"/>
    </row>
    <row r="304" spans="1:150" s="357" customFormat="1" ht="15">
      <c r="A304" s="675" t="s">
        <v>9</v>
      </c>
      <c r="B304" s="712">
        <v>41930</v>
      </c>
      <c r="C304" s="820">
        <v>0</v>
      </c>
      <c r="D304" s="643">
        <v>0.16</v>
      </c>
      <c r="E304" s="807">
        <v>0</v>
      </c>
      <c r="F304" s="807">
        <v>56</v>
      </c>
      <c r="G304" s="807">
        <v>0.8</v>
      </c>
      <c r="H304" s="643">
        <v>2.65</v>
      </c>
      <c r="I304" s="643">
        <v>90.87</v>
      </c>
      <c r="J304" s="643" t="s">
        <v>744</v>
      </c>
      <c r="K304" s="643">
        <v>2.38</v>
      </c>
      <c r="L304" s="821">
        <v>0</v>
      </c>
      <c r="M304" s="643">
        <v>16.899999999999999</v>
      </c>
      <c r="N304" s="643" t="s">
        <v>744</v>
      </c>
      <c r="O304" s="643" t="s">
        <v>743</v>
      </c>
      <c r="P304" s="643">
        <v>1.944</v>
      </c>
      <c r="Q304" s="643">
        <v>3.0772895597370415</v>
      </c>
      <c r="R304" s="643">
        <v>1408.9862615587845</v>
      </c>
      <c r="S304" s="643" t="s">
        <v>744</v>
      </c>
      <c r="T304" s="643">
        <v>7.9829999999999997</v>
      </c>
      <c r="U304" s="643" t="s">
        <v>744</v>
      </c>
      <c r="V304" s="867">
        <v>0.65100000000000002</v>
      </c>
      <c r="W304" s="1078" t="e">
        <v>#VALUE!</v>
      </c>
      <c r="X304" s="869">
        <v>56.84</v>
      </c>
      <c r="Y304" s="806">
        <v>29.04</v>
      </c>
      <c r="Z304" s="807">
        <v>24.93</v>
      </c>
      <c r="AA304" s="1109">
        <v>29.1</v>
      </c>
      <c r="AB304" s="1109">
        <v>24.97</v>
      </c>
      <c r="AC304" s="775">
        <f t="shared" si="299"/>
        <v>54.07</v>
      </c>
      <c r="AD304" s="775">
        <f t="shared" si="300"/>
        <v>83.646289999999993</v>
      </c>
      <c r="AE304" s="705"/>
      <c r="AF304" s="775"/>
      <c r="AG304" s="705">
        <v>1</v>
      </c>
      <c r="AH304" s="705"/>
      <c r="AI304" s="705"/>
      <c r="AJ304" s="407"/>
      <c r="AK304" s="407"/>
      <c r="AL304" s="407"/>
      <c r="AM304" s="407"/>
      <c r="AN304" s="407"/>
      <c r="AO304" s="1115"/>
      <c r="AP304" s="387"/>
      <c r="AQ304" s="405"/>
      <c r="AR304" s="578">
        <v>0</v>
      </c>
      <c r="AS304" s="405">
        <v>13.9</v>
      </c>
      <c r="AT304" s="578">
        <v>0</v>
      </c>
      <c r="AU304" s="405">
        <v>29.6</v>
      </c>
      <c r="AV304" s="405">
        <v>417.9</v>
      </c>
      <c r="AW304" s="405">
        <v>536</v>
      </c>
      <c r="AX304" s="405">
        <v>0</v>
      </c>
      <c r="AY304" s="578">
        <v>0</v>
      </c>
      <c r="AZ304" s="578">
        <v>0</v>
      </c>
      <c r="BA304" s="578">
        <v>0</v>
      </c>
      <c r="BB304" s="925">
        <v>1.01</v>
      </c>
      <c r="BC304" s="405">
        <v>0.63</v>
      </c>
      <c r="BD304" s="405">
        <v>1.88</v>
      </c>
      <c r="BE304" s="578">
        <v>0</v>
      </c>
      <c r="BF304" s="405">
        <v>0</v>
      </c>
      <c r="BG304" s="405">
        <v>0</v>
      </c>
      <c r="BH304" s="578">
        <v>0</v>
      </c>
      <c r="BI304" s="405">
        <v>0</v>
      </c>
      <c r="BJ304" s="405">
        <v>22.7</v>
      </c>
      <c r="BK304" s="405">
        <v>2.69</v>
      </c>
      <c r="BL304" s="405">
        <v>3.86</v>
      </c>
      <c r="BM304" s="405">
        <v>0</v>
      </c>
      <c r="BN304" s="405">
        <v>15.1</v>
      </c>
      <c r="BO304" s="405">
        <v>1845.4</v>
      </c>
      <c r="BP304" s="405">
        <v>0</v>
      </c>
      <c r="BQ304" s="649">
        <v>20</v>
      </c>
      <c r="BR304" s="649">
        <v>20.2</v>
      </c>
      <c r="BS304" s="649">
        <v>13.59</v>
      </c>
      <c r="BT304" s="649">
        <v>13.69</v>
      </c>
      <c r="BU304" s="648">
        <v>27.8</v>
      </c>
      <c r="BV304" s="648">
        <v>36.5</v>
      </c>
      <c r="BW304" s="649">
        <v>632.9</v>
      </c>
      <c r="BX304" s="876"/>
      <c r="BY304" s="649">
        <v>1.59</v>
      </c>
      <c r="BZ304" s="649">
        <v>1.53</v>
      </c>
      <c r="CA304" s="649">
        <v>1.1000000000000001</v>
      </c>
      <c r="CB304" s="649">
        <v>8.8000000000000007</v>
      </c>
      <c r="CC304" s="649">
        <v>8</v>
      </c>
      <c r="CD304" s="649">
        <v>14.9</v>
      </c>
      <c r="CE304" s="649">
        <v>33.700000000000003</v>
      </c>
      <c r="CF304" s="649">
        <v>12.2</v>
      </c>
      <c r="CG304" s="649">
        <v>7.6</v>
      </c>
      <c r="CH304" s="649">
        <v>12.9</v>
      </c>
      <c r="CI304" s="649">
        <v>17.2</v>
      </c>
      <c r="CJ304" s="649">
        <v>12.7</v>
      </c>
      <c r="CK304" s="649">
        <v>615.1</v>
      </c>
      <c r="CL304" s="649">
        <v>2.5</v>
      </c>
      <c r="CM304" s="649">
        <v>3.9</v>
      </c>
      <c r="CN304" s="649">
        <v>350.6</v>
      </c>
      <c r="CO304" s="649">
        <v>334.9</v>
      </c>
      <c r="CP304" s="649">
        <v>527.1</v>
      </c>
      <c r="CQ304" s="649">
        <v>13.9</v>
      </c>
      <c r="CR304" s="649">
        <v>0.98</v>
      </c>
      <c r="CS304" s="405">
        <v>0</v>
      </c>
      <c r="CT304" s="405">
        <v>17.78</v>
      </c>
      <c r="CU304" s="643">
        <v>63</v>
      </c>
      <c r="CV304" s="522">
        <v>0</v>
      </c>
      <c r="CW304" s="522">
        <v>0</v>
      </c>
      <c r="CX304" s="522">
        <v>0</v>
      </c>
      <c r="CY304" s="522">
        <v>0</v>
      </c>
      <c r="CZ304" s="642">
        <v>683</v>
      </c>
      <c r="DA304" s="642">
        <v>819</v>
      </c>
      <c r="DB304" s="642">
        <v>565</v>
      </c>
      <c r="DC304" s="643">
        <v>1115.3</v>
      </c>
      <c r="DD304" s="808"/>
      <c r="DE304" s="522"/>
      <c r="DF304" s="522"/>
      <c r="DG304" s="522"/>
      <c r="DH304" s="522"/>
      <c r="DI304" s="522"/>
      <c r="DJ304" s="522"/>
      <c r="DK304" s="522"/>
      <c r="DL304" s="649"/>
      <c r="DM304" s="649"/>
      <c r="DN304" s="649"/>
      <c r="DO304" s="522"/>
      <c r="DP304" s="522"/>
      <c r="DQ304" s="522"/>
      <c r="DR304" s="522"/>
      <c r="DS304" s="522"/>
      <c r="DT304" s="522"/>
      <c r="DU304" s="522"/>
      <c r="DV304" s="522"/>
      <c r="DW304" s="522"/>
      <c r="DX304" s="522"/>
      <c r="DY304" s="522"/>
      <c r="DZ304" s="522"/>
      <c r="EA304" s="522"/>
      <c r="EB304" s="522"/>
      <c r="EC304" s="522"/>
      <c r="ED304" s="522"/>
      <c r="EE304" s="522"/>
      <c r="EF304" s="522"/>
      <c r="EG304" s="649">
        <f t="shared" si="272"/>
        <v>13.923</v>
      </c>
      <c r="EH304" s="649">
        <v>0</v>
      </c>
      <c r="EI304" s="649">
        <v>0</v>
      </c>
      <c r="EJ304" s="522">
        <v>2.5</v>
      </c>
      <c r="EK304" s="649">
        <v>6.5</v>
      </c>
      <c r="EL304" s="522"/>
      <c r="EM304" s="522"/>
      <c r="EN304" s="522"/>
      <c r="EO304" s="522"/>
      <c r="EP304" s="522"/>
      <c r="EQ304" s="522"/>
      <c r="ER304" s="522"/>
      <c r="ES304" s="407"/>
      <c r="ET304" s="407"/>
    </row>
    <row r="305" spans="1:150" s="357" customFormat="1" ht="15">
      <c r="A305" s="675" t="s">
        <v>3</v>
      </c>
      <c r="B305" s="712">
        <v>41931</v>
      </c>
      <c r="C305" s="820">
        <v>0</v>
      </c>
      <c r="D305" s="643">
        <v>0</v>
      </c>
      <c r="E305" s="807">
        <v>0</v>
      </c>
      <c r="F305" s="807">
        <v>55.5</v>
      </c>
      <c r="G305" s="807">
        <v>0.8</v>
      </c>
      <c r="H305" s="643">
        <v>2.52</v>
      </c>
      <c r="I305" s="643">
        <v>87.73</v>
      </c>
      <c r="J305" s="643" t="s">
        <v>744</v>
      </c>
      <c r="K305" s="643">
        <v>2.19</v>
      </c>
      <c r="L305" s="821">
        <v>0</v>
      </c>
      <c r="M305" s="643">
        <v>16.7</v>
      </c>
      <c r="N305" s="643" t="s">
        <v>744</v>
      </c>
      <c r="O305" s="643" t="s">
        <v>743</v>
      </c>
      <c r="P305" s="643">
        <v>1.929</v>
      </c>
      <c r="Q305" s="643">
        <v>3.1818258941015349</v>
      </c>
      <c r="R305" s="643">
        <v>1446.2353236459705</v>
      </c>
      <c r="S305" s="643" t="s">
        <v>744</v>
      </c>
      <c r="T305" s="643">
        <v>7.9580000000000002</v>
      </c>
      <c r="U305" s="643" t="s">
        <v>744</v>
      </c>
      <c r="V305" s="867">
        <v>0.63100000000000001</v>
      </c>
      <c r="W305" s="1078" t="e">
        <v>#VALUE!</v>
      </c>
      <c r="X305" s="869">
        <v>56.3</v>
      </c>
      <c r="Y305" s="806">
        <v>29.1</v>
      </c>
      <c r="Z305" s="807">
        <v>24.97</v>
      </c>
      <c r="AA305" s="1109">
        <v>29</v>
      </c>
      <c r="AB305" s="1109">
        <v>25.1</v>
      </c>
      <c r="AC305" s="775">
        <f t="shared" si="299"/>
        <v>54.1</v>
      </c>
      <c r="AD305" s="775">
        <f t="shared" si="300"/>
        <v>83.692700000000002</v>
      </c>
      <c r="AE305" s="705"/>
      <c r="AF305" s="775"/>
      <c r="AG305" s="705">
        <v>1</v>
      </c>
      <c r="AH305" s="705"/>
      <c r="AI305" s="705"/>
      <c r="AJ305" s="407"/>
      <c r="AK305" s="407"/>
      <c r="AL305" s="407"/>
      <c r="AM305" s="407"/>
      <c r="AN305" s="407"/>
      <c r="AO305" s="1115"/>
      <c r="AP305" s="387"/>
      <c r="AQ305" s="405"/>
      <c r="AR305" s="578">
        <v>0</v>
      </c>
      <c r="AS305" s="405">
        <v>11</v>
      </c>
      <c r="AT305" s="578">
        <v>0</v>
      </c>
      <c r="AU305" s="405">
        <v>29.7</v>
      </c>
      <c r="AV305" s="405">
        <v>467.5</v>
      </c>
      <c r="AW305" s="405">
        <v>598.6</v>
      </c>
      <c r="AX305" s="405">
        <v>0</v>
      </c>
      <c r="AY305" s="578">
        <v>0</v>
      </c>
      <c r="AZ305" s="578">
        <v>0</v>
      </c>
      <c r="BA305" s="578">
        <v>0</v>
      </c>
      <c r="BB305" s="925">
        <v>1</v>
      </c>
      <c r="BC305" s="405">
        <v>0.63</v>
      </c>
      <c r="BD305" s="405">
        <v>1.87</v>
      </c>
      <c r="BE305" s="578">
        <v>0</v>
      </c>
      <c r="BF305" s="405">
        <v>0</v>
      </c>
      <c r="BG305" s="405">
        <v>0</v>
      </c>
      <c r="BH305" s="578">
        <v>0</v>
      </c>
      <c r="BI305" s="405">
        <v>0</v>
      </c>
      <c r="BJ305" s="405">
        <v>22.7</v>
      </c>
      <c r="BK305" s="405">
        <v>2.88</v>
      </c>
      <c r="BL305" s="405">
        <v>3.66</v>
      </c>
      <c r="BM305" s="405">
        <v>0</v>
      </c>
      <c r="BN305" s="405">
        <v>15.2</v>
      </c>
      <c r="BO305" s="405">
        <v>407.1</v>
      </c>
      <c r="BP305" s="405">
        <v>0</v>
      </c>
      <c r="BQ305" s="649">
        <v>19.7</v>
      </c>
      <c r="BR305" s="649">
        <v>19.899999999999999</v>
      </c>
      <c r="BS305" s="649">
        <v>13.54</v>
      </c>
      <c r="BT305" s="649">
        <v>13.64</v>
      </c>
      <c r="BU305" s="648">
        <v>27.7</v>
      </c>
      <c r="BV305" s="648">
        <v>34.299999999999997</v>
      </c>
      <c r="BW305" s="649">
        <v>484.1</v>
      </c>
      <c r="BX305" s="876"/>
      <c r="BY305" s="649">
        <v>1.78</v>
      </c>
      <c r="BZ305" s="649">
        <v>1.48</v>
      </c>
      <c r="CA305" s="649">
        <v>1.1000000000000001</v>
      </c>
      <c r="CB305" s="649">
        <v>8.8000000000000007</v>
      </c>
      <c r="CC305" s="649">
        <v>7.9</v>
      </c>
      <c r="CD305" s="649">
        <v>15</v>
      </c>
      <c r="CE305" s="649">
        <v>33.1</v>
      </c>
      <c r="CF305" s="649">
        <v>11.4</v>
      </c>
      <c r="CG305" s="649">
        <v>3.2</v>
      </c>
      <c r="CH305" s="649">
        <v>7.8</v>
      </c>
      <c r="CI305" s="649">
        <v>12.2</v>
      </c>
      <c r="CJ305" s="649">
        <v>13.3</v>
      </c>
      <c r="CK305" s="649">
        <v>547.1</v>
      </c>
      <c r="CL305" s="649">
        <v>2.5</v>
      </c>
      <c r="CM305" s="649">
        <v>2.8</v>
      </c>
      <c r="CN305" s="649">
        <v>347.1</v>
      </c>
      <c r="CO305" s="649">
        <v>363.6</v>
      </c>
      <c r="CP305" s="649">
        <v>519.79999999999995</v>
      </c>
      <c r="CQ305" s="649">
        <v>13.9</v>
      </c>
      <c r="CR305" s="649">
        <v>0.98</v>
      </c>
      <c r="CS305" s="405">
        <v>0</v>
      </c>
      <c r="CT305" s="405">
        <v>17.027999999999999</v>
      </c>
      <c r="CU305" s="643">
        <v>63</v>
      </c>
      <c r="CV305" s="522">
        <v>0</v>
      </c>
      <c r="CW305" s="522">
        <v>0</v>
      </c>
      <c r="CX305" s="522">
        <v>0</v>
      </c>
      <c r="CY305" s="522">
        <v>0</v>
      </c>
      <c r="CZ305" s="642">
        <v>679</v>
      </c>
      <c r="DA305" s="642">
        <v>795</v>
      </c>
      <c r="DB305" s="642">
        <v>558</v>
      </c>
      <c r="DC305" s="643">
        <v>1114.26</v>
      </c>
      <c r="DD305" s="808"/>
      <c r="DE305" s="522"/>
      <c r="DF305" s="522"/>
      <c r="DG305" s="522"/>
      <c r="DH305" s="522"/>
      <c r="DI305" s="522"/>
      <c r="DJ305" s="522"/>
      <c r="DK305" s="522"/>
      <c r="DL305" s="649"/>
      <c r="DM305" s="649"/>
      <c r="DN305" s="649"/>
      <c r="DO305" s="522"/>
      <c r="DP305" s="522"/>
      <c r="DQ305" s="522"/>
      <c r="DR305" s="522"/>
      <c r="DS305" s="522"/>
      <c r="DT305" s="522"/>
      <c r="DU305" s="522"/>
      <c r="DV305" s="522"/>
      <c r="DW305" s="522"/>
      <c r="DX305" s="522"/>
      <c r="DY305" s="522"/>
      <c r="DZ305" s="522"/>
      <c r="EA305" s="522"/>
      <c r="EB305" s="522"/>
      <c r="EC305" s="522"/>
      <c r="ED305" s="522"/>
      <c r="EE305" s="522"/>
      <c r="EF305" s="522"/>
      <c r="EG305" s="649">
        <f t="shared" si="272"/>
        <v>13.923</v>
      </c>
      <c r="EH305" s="649">
        <v>0</v>
      </c>
      <c r="EI305" s="649">
        <v>0</v>
      </c>
      <c r="EJ305" s="522">
        <v>2.5</v>
      </c>
      <c r="EK305" s="649">
        <v>6.5</v>
      </c>
      <c r="EL305" s="522"/>
      <c r="EM305" s="522"/>
      <c r="EN305" s="522"/>
      <c r="EO305" s="522"/>
      <c r="EP305" s="522"/>
      <c r="EQ305" s="522"/>
      <c r="ER305" s="522"/>
      <c r="ES305" s="407"/>
      <c r="ET305" s="407"/>
    </row>
    <row r="306" spans="1:150" s="357" customFormat="1" ht="15">
      <c r="A306" s="675" t="s">
        <v>4</v>
      </c>
      <c r="B306" s="712">
        <v>41932</v>
      </c>
      <c r="C306" s="820">
        <v>0</v>
      </c>
      <c r="D306" s="643">
        <v>0.63</v>
      </c>
      <c r="E306" s="807">
        <v>0</v>
      </c>
      <c r="F306" s="807">
        <v>51</v>
      </c>
      <c r="G306" s="807">
        <v>0.9</v>
      </c>
      <c r="H306" s="643">
        <v>2</v>
      </c>
      <c r="I306" s="643">
        <v>87.8</v>
      </c>
      <c r="J306" s="643" t="s">
        <v>744</v>
      </c>
      <c r="K306" s="643">
        <v>1.69</v>
      </c>
      <c r="L306" s="821">
        <v>0</v>
      </c>
      <c r="M306" s="643">
        <v>16.7</v>
      </c>
      <c r="N306" s="643" t="s">
        <v>744</v>
      </c>
      <c r="O306" s="643" t="s">
        <v>743</v>
      </c>
      <c r="P306" s="643">
        <v>1.929</v>
      </c>
      <c r="Q306" s="643">
        <v>3.1298062684225259</v>
      </c>
      <c r="R306" s="643">
        <v>1466.9652364597091</v>
      </c>
      <c r="S306" s="643" t="s">
        <v>744</v>
      </c>
      <c r="T306" s="643">
        <v>7.9580000000000002</v>
      </c>
      <c r="U306" s="643" t="s">
        <v>744</v>
      </c>
      <c r="V306" s="867">
        <v>0.63100000000000001</v>
      </c>
      <c r="W306" s="1078" t="e">
        <v>#VALUE!</v>
      </c>
      <c r="X306" s="869">
        <v>55.58</v>
      </c>
      <c r="Y306" s="806">
        <v>29</v>
      </c>
      <c r="Z306" s="807">
        <v>25.1</v>
      </c>
      <c r="AA306" s="1109">
        <v>29</v>
      </c>
      <c r="AB306" s="1109">
        <v>26.9</v>
      </c>
      <c r="AC306" s="775">
        <f t="shared" ref="AC306" si="301">AA306+AB306</f>
        <v>55.9</v>
      </c>
      <c r="AD306" s="775">
        <f t="shared" ref="AD306" si="302">AC306*1.547</f>
        <v>86.4773</v>
      </c>
      <c r="AE306" s="705"/>
      <c r="AF306" s="775"/>
      <c r="AG306" s="705">
        <v>1</v>
      </c>
      <c r="AH306" s="705"/>
      <c r="AI306" s="705"/>
      <c r="AJ306" s="407"/>
      <c r="AK306" s="407"/>
      <c r="AL306" s="407"/>
      <c r="AM306" s="407"/>
      <c r="AN306" s="407"/>
      <c r="AO306" s="1115"/>
      <c r="AP306" s="387"/>
      <c r="AQ306" s="405"/>
      <c r="AR306" s="578">
        <v>0</v>
      </c>
      <c r="AS306" s="405">
        <v>11.2</v>
      </c>
      <c r="AT306" s="578">
        <v>0</v>
      </c>
      <c r="AU306" s="405">
        <v>29.6</v>
      </c>
      <c r="AV306" s="405">
        <v>376.7</v>
      </c>
      <c r="AW306" s="405">
        <v>496.8</v>
      </c>
      <c r="AX306" s="405">
        <v>0</v>
      </c>
      <c r="AY306" s="578">
        <v>0</v>
      </c>
      <c r="AZ306" s="578">
        <v>0</v>
      </c>
      <c r="BA306" s="578">
        <v>0</v>
      </c>
      <c r="BB306" s="925">
        <v>1</v>
      </c>
      <c r="BC306" s="405">
        <v>0.63</v>
      </c>
      <c r="BD306" s="405">
        <v>1.87</v>
      </c>
      <c r="BE306" s="578">
        <v>0</v>
      </c>
      <c r="BF306" s="405">
        <v>0</v>
      </c>
      <c r="BG306" s="405">
        <v>0</v>
      </c>
      <c r="BH306" s="578">
        <v>0</v>
      </c>
      <c r="BI306" s="405">
        <v>0</v>
      </c>
      <c r="BJ306" s="405">
        <v>24.6</v>
      </c>
      <c r="BK306" s="405">
        <v>3.15</v>
      </c>
      <c r="BL306" s="405">
        <v>3.58</v>
      </c>
      <c r="BM306" s="405">
        <v>0</v>
      </c>
      <c r="BN306" s="405">
        <v>16.8</v>
      </c>
      <c r="BO306" s="405">
        <v>1321.6</v>
      </c>
      <c r="BP306" s="405">
        <v>0</v>
      </c>
      <c r="BQ306" s="649">
        <v>20</v>
      </c>
      <c r="BR306" s="649">
        <v>20.2</v>
      </c>
      <c r="BS306" s="649">
        <v>13.98</v>
      </c>
      <c r="BT306" s="649">
        <v>13.25</v>
      </c>
      <c r="BU306" s="648">
        <v>27.8</v>
      </c>
      <c r="BV306" s="648">
        <v>32.700000000000003</v>
      </c>
      <c r="BW306" s="649">
        <v>636.1</v>
      </c>
      <c r="BX306" s="876"/>
      <c r="BY306" s="649">
        <v>2.1800000000000002</v>
      </c>
      <c r="BZ306" s="649">
        <v>1.38</v>
      </c>
      <c r="CA306" s="649">
        <v>1</v>
      </c>
      <c r="CB306" s="649">
        <v>8.6999999999999993</v>
      </c>
      <c r="CC306" s="649">
        <v>7.9</v>
      </c>
      <c r="CD306" s="649">
        <v>16.100000000000001</v>
      </c>
      <c r="CE306" s="649">
        <v>32.5</v>
      </c>
      <c r="CF306" s="649">
        <v>9.1999999999999993</v>
      </c>
      <c r="CG306" s="649">
        <v>4.5999999999999996</v>
      </c>
      <c r="CH306" s="649">
        <v>9.5</v>
      </c>
      <c r="CI306" s="649">
        <v>13.5</v>
      </c>
      <c r="CJ306" s="649">
        <v>13.9</v>
      </c>
      <c r="CK306" s="649">
        <v>571.79999999999995</v>
      </c>
      <c r="CL306" s="649">
        <v>2.2999999999999998</v>
      </c>
      <c r="CM306" s="649">
        <v>1.4</v>
      </c>
      <c r="CN306" s="649">
        <v>1452.1</v>
      </c>
      <c r="CO306" s="649">
        <v>337.1</v>
      </c>
      <c r="CP306" s="649">
        <v>539.29999999999995</v>
      </c>
      <c r="CQ306" s="649">
        <v>13.3</v>
      </c>
      <c r="CR306" s="649">
        <v>0.94</v>
      </c>
      <c r="CS306" s="405">
        <v>0</v>
      </c>
      <c r="CT306" s="405">
        <v>15.115</v>
      </c>
      <c r="CU306" s="643">
        <v>62</v>
      </c>
      <c r="CV306" s="522">
        <v>0</v>
      </c>
      <c r="CW306" s="522">
        <v>0</v>
      </c>
      <c r="CX306" s="522">
        <v>0</v>
      </c>
      <c r="CY306" s="522">
        <v>0</v>
      </c>
      <c r="CZ306" s="642">
        <v>753</v>
      </c>
      <c r="DA306" s="642">
        <v>886</v>
      </c>
      <c r="DB306" s="642">
        <v>625</v>
      </c>
      <c r="DC306" s="643">
        <v>1112.58</v>
      </c>
      <c r="DD306" s="808"/>
      <c r="DE306" s="522"/>
      <c r="DF306" s="522"/>
      <c r="DG306" s="522"/>
      <c r="DH306" s="522"/>
      <c r="DI306" s="522"/>
      <c r="DJ306" s="522"/>
      <c r="DK306" s="522"/>
      <c r="DL306" s="649"/>
      <c r="DM306" s="649"/>
      <c r="DN306" s="649"/>
      <c r="DO306" s="522"/>
      <c r="DP306" s="522"/>
      <c r="DQ306" s="522"/>
      <c r="DR306" s="522"/>
      <c r="DS306" s="522"/>
      <c r="DT306" s="522"/>
      <c r="DU306" s="522"/>
      <c r="DV306" s="522"/>
      <c r="DW306" s="522"/>
      <c r="DX306" s="522"/>
      <c r="DY306" s="522"/>
      <c r="DZ306" s="522"/>
      <c r="EA306" s="522"/>
      <c r="EB306" s="522"/>
      <c r="EC306" s="522"/>
      <c r="ED306" s="522"/>
      <c r="EE306" s="522"/>
      <c r="EF306" s="522"/>
      <c r="EG306" s="649">
        <f t="shared" si="272"/>
        <v>13.923</v>
      </c>
      <c r="EH306" s="649">
        <v>0</v>
      </c>
      <c r="EI306" s="649">
        <v>0</v>
      </c>
      <c r="EJ306" s="522">
        <v>2.5</v>
      </c>
      <c r="EK306" s="649">
        <v>6.5</v>
      </c>
      <c r="EL306" s="522"/>
      <c r="EM306" s="522"/>
      <c r="EN306" s="522"/>
      <c r="EO306" s="522"/>
      <c r="EP306" s="522"/>
      <c r="EQ306" s="522"/>
      <c r="ER306" s="522"/>
      <c r="ES306" s="407"/>
      <c r="ET306" s="407"/>
    </row>
    <row r="307" spans="1:150" s="357" customFormat="1" ht="15">
      <c r="A307" s="675" t="s">
        <v>5</v>
      </c>
      <c r="B307" s="712">
        <v>41933</v>
      </c>
      <c r="C307" s="820">
        <v>0</v>
      </c>
      <c r="D307" s="643">
        <v>0.16</v>
      </c>
      <c r="E307" s="807">
        <v>0</v>
      </c>
      <c r="F307" s="807">
        <v>51</v>
      </c>
      <c r="G307" s="807">
        <v>0.85</v>
      </c>
      <c r="H307" s="643">
        <v>1.7</v>
      </c>
      <c r="I307" s="643">
        <v>89.7</v>
      </c>
      <c r="J307" s="643" t="s">
        <v>744</v>
      </c>
      <c r="K307" s="643">
        <v>1.34</v>
      </c>
      <c r="L307" s="821">
        <v>0</v>
      </c>
      <c r="M307" s="643">
        <v>16.5</v>
      </c>
      <c r="N307" s="643" t="s">
        <v>744</v>
      </c>
      <c r="O307" s="643" t="s">
        <v>743</v>
      </c>
      <c r="P307" s="643">
        <v>2.13</v>
      </c>
      <c r="Q307" s="643">
        <v>3.2575818674824442</v>
      </c>
      <c r="R307" s="643">
        <v>1548.5892681638043</v>
      </c>
      <c r="S307" s="643" t="s">
        <v>744</v>
      </c>
      <c r="T307" s="643">
        <v>8.02</v>
      </c>
      <c r="U307" s="643" t="s">
        <v>744</v>
      </c>
      <c r="V307" s="867">
        <v>0.63100000000000001</v>
      </c>
      <c r="W307" s="1078" t="e">
        <v>#VALUE!</v>
      </c>
      <c r="X307" s="869">
        <v>55.58</v>
      </c>
      <c r="Y307" s="806">
        <v>29</v>
      </c>
      <c r="Z307" s="807">
        <v>26.9</v>
      </c>
      <c r="AA307" s="1109">
        <v>25.7</v>
      </c>
      <c r="AB307" s="1109">
        <v>31.03</v>
      </c>
      <c r="AC307" s="775">
        <f t="shared" ref="AC307:AC309" si="303">AA307+AB307</f>
        <v>56.730000000000004</v>
      </c>
      <c r="AD307" s="775">
        <f t="shared" ref="AD307:AD309" si="304">AC307*1.547</f>
        <v>87.761310000000009</v>
      </c>
      <c r="AE307" s="705"/>
      <c r="AF307" s="775"/>
      <c r="AG307" s="705">
        <v>1</v>
      </c>
      <c r="AH307" s="705"/>
      <c r="AI307" s="705"/>
      <c r="AJ307" s="407"/>
      <c r="AK307" s="407"/>
      <c r="AL307" s="407"/>
      <c r="AM307" s="407"/>
      <c r="AN307" s="407"/>
      <c r="AO307" s="1115"/>
      <c r="AP307" s="387"/>
      <c r="AQ307" s="405"/>
      <c r="AR307" s="578">
        <v>0</v>
      </c>
      <c r="AS307" s="405">
        <v>11.1</v>
      </c>
      <c r="AT307" s="578">
        <v>0</v>
      </c>
      <c r="AU307" s="405">
        <v>27.1</v>
      </c>
      <c r="AV307" s="405">
        <v>122.9</v>
      </c>
      <c r="AW307" s="405">
        <v>403.3</v>
      </c>
      <c r="AX307" s="405">
        <v>0</v>
      </c>
      <c r="AY307" s="578">
        <v>0</v>
      </c>
      <c r="AZ307" s="578">
        <v>0</v>
      </c>
      <c r="BA307" s="578">
        <v>0</v>
      </c>
      <c r="BB307" s="925">
        <v>1</v>
      </c>
      <c r="BC307" s="405">
        <v>0.63</v>
      </c>
      <c r="BD307" s="405">
        <v>1.87</v>
      </c>
      <c r="BE307" s="578">
        <v>0</v>
      </c>
      <c r="BF307" s="405">
        <v>0</v>
      </c>
      <c r="BG307" s="405">
        <v>0</v>
      </c>
      <c r="BH307" s="578">
        <v>0</v>
      </c>
      <c r="BI307" s="405">
        <v>0</v>
      </c>
      <c r="BJ307" s="405">
        <v>28.7</v>
      </c>
      <c r="BK307" s="405">
        <v>3.12</v>
      </c>
      <c r="BL307" s="405">
        <v>3.63</v>
      </c>
      <c r="BM307" s="405">
        <v>0</v>
      </c>
      <c r="BN307" s="405">
        <v>20.8</v>
      </c>
      <c r="BO307" s="405">
        <v>924.5</v>
      </c>
      <c r="BP307" s="405">
        <v>554.6</v>
      </c>
      <c r="BQ307" s="649">
        <v>19.8</v>
      </c>
      <c r="BR307" s="649">
        <v>20</v>
      </c>
      <c r="BS307" s="649">
        <v>12.53</v>
      </c>
      <c r="BT307" s="649">
        <v>12.71</v>
      </c>
      <c r="BU307" s="648">
        <v>25.9</v>
      </c>
      <c r="BV307" s="648">
        <v>32.200000000000003</v>
      </c>
      <c r="BW307" s="649">
        <v>440</v>
      </c>
      <c r="BX307" s="876"/>
      <c r="BY307" s="649">
        <v>2.11</v>
      </c>
      <c r="BZ307" s="649">
        <v>1.5</v>
      </c>
      <c r="CA307" s="649">
        <v>1</v>
      </c>
      <c r="CB307" s="649">
        <v>8.8000000000000007</v>
      </c>
      <c r="CC307" s="649">
        <v>7.9</v>
      </c>
      <c r="CD307" s="649">
        <v>15</v>
      </c>
      <c r="CE307" s="649">
        <v>32</v>
      </c>
      <c r="CF307" s="649">
        <v>4.3</v>
      </c>
      <c r="CG307" s="649">
        <v>6.8</v>
      </c>
      <c r="CH307" s="649">
        <v>12.1</v>
      </c>
      <c r="CI307" s="649">
        <v>16.100000000000001</v>
      </c>
      <c r="CJ307" s="649">
        <v>12.5</v>
      </c>
      <c r="CK307" s="649">
        <v>772.2</v>
      </c>
      <c r="CL307" s="649">
        <v>4</v>
      </c>
      <c r="CM307" s="649">
        <v>6.6</v>
      </c>
      <c r="CN307" s="649">
        <v>2171.8000000000002</v>
      </c>
      <c r="CO307" s="649">
        <v>320.7</v>
      </c>
      <c r="CP307" s="649">
        <v>533.79999999999995</v>
      </c>
      <c r="CQ307" s="649">
        <v>16.899999999999999</v>
      </c>
      <c r="CR307" s="649">
        <v>1.25</v>
      </c>
      <c r="CS307" s="405">
        <v>0</v>
      </c>
      <c r="CT307" s="405">
        <v>14.19</v>
      </c>
      <c r="CU307" s="643">
        <v>61</v>
      </c>
      <c r="CV307" s="522">
        <v>0</v>
      </c>
      <c r="CW307" s="522">
        <v>0</v>
      </c>
      <c r="CX307" s="522">
        <v>0</v>
      </c>
      <c r="CY307" s="522">
        <v>0</v>
      </c>
      <c r="CZ307" s="642">
        <v>744</v>
      </c>
      <c r="DA307" s="642">
        <v>880</v>
      </c>
      <c r="DB307" s="642">
        <v>625</v>
      </c>
      <c r="DC307" s="643">
        <v>1110.3</v>
      </c>
      <c r="DD307" s="808"/>
      <c r="DE307" s="522"/>
      <c r="DF307" s="522"/>
      <c r="DG307" s="522"/>
      <c r="DH307" s="522"/>
      <c r="DI307" s="522"/>
      <c r="DJ307" s="522"/>
      <c r="DK307" s="522"/>
      <c r="DL307" s="649"/>
      <c r="DM307" s="649"/>
      <c r="DN307" s="649"/>
      <c r="DO307" s="522"/>
      <c r="DP307" s="522"/>
      <c r="DQ307" s="522"/>
      <c r="DR307" s="522"/>
      <c r="DS307" s="522"/>
      <c r="DT307" s="522"/>
      <c r="DU307" s="522"/>
      <c r="DV307" s="522"/>
      <c r="DW307" s="522"/>
      <c r="DX307" s="522"/>
      <c r="DY307" s="522"/>
      <c r="DZ307" s="522"/>
      <c r="EA307" s="522">
        <v>-900</v>
      </c>
      <c r="EB307" s="522"/>
      <c r="EC307" s="522"/>
      <c r="ED307" s="522"/>
      <c r="EE307" s="522"/>
      <c r="EF307" s="522"/>
      <c r="EG307" s="649">
        <f t="shared" si="272"/>
        <v>13.923</v>
      </c>
      <c r="EH307" s="649">
        <v>0</v>
      </c>
      <c r="EI307" s="649">
        <v>0</v>
      </c>
      <c r="EJ307" s="522">
        <v>2.5</v>
      </c>
      <c r="EK307" s="649">
        <v>6.5</v>
      </c>
      <c r="EL307" s="522"/>
      <c r="EM307" s="522"/>
      <c r="EN307" s="522"/>
      <c r="EO307" s="522"/>
      <c r="EP307" s="522"/>
      <c r="EQ307" s="522"/>
      <c r="ER307" s="522"/>
      <c r="ES307" s="407"/>
      <c r="ET307" s="407"/>
    </row>
    <row r="308" spans="1:150" s="357" customFormat="1" ht="15">
      <c r="A308" s="675" t="s">
        <v>6</v>
      </c>
      <c r="B308" s="712">
        <v>41934</v>
      </c>
      <c r="C308" s="820">
        <v>0</v>
      </c>
      <c r="D308" s="643"/>
      <c r="E308" s="807"/>
      <c r="F308" s="807"/>
      <c r="G308" s="807"/>
      <c r="H308" s="643"/>
      <c r="I308" s="643"/>
      <c r="J308" s="643"/>
      <c r="K308" s="643"/>
      <c r="L308" s="821"/>
      <c r="M308" s="643"/>
      <c r="N308" s="643"/>
      <c r="O308" s="643"/>
      <c r="P308" s="643"/>
      <c r="Q308" s="643"/>
      <c r="R308" s="643"/>
      <c r="S308" s="643"/>
      <c r="T308" s="643"/>
      <c r="U308" s="643"/>
      <c r="V308" s="867"/>
      <c r="W308" s="1078"/>
      <c r="X308" s="869"/>
      <c r="Y308" s="806"/>
      <c r="Z308" s="807"/>
      <c r="AA308" s="1079">
        <v>20.3</v>
      </c>
      <c r="AB308" s="1079">
        <v>26.87</v>
      </c>
      <c r="AC308" s="775">
        <f t="shared" si="303"/>
        <v>47.17</v>
      </c>
      <c r="AD308" s="775">
        <f t="shared" si="304"/>
        <v>72.971990000000005</v>
      </c>
      <c r="AE308" s="705"/>
      <c r="AF308" s="775"/>
      <c r="AG308" s="705">
        <v>1</v>
      </c>
      <c r="AH308" s="705"/>
      <c r="AI308" s="705"/>
      <c r="AJ308" s="407"/>
      <c r="AK308" s="407"/>
      <c r="AL308" s="407"/>
      <c r="AM308" s="407"/>
      <c r="AN308" s="407"/>
      <c r="AO308" s="1115"/>
      <c r="AP308" s="387"/>
      <c r="AQ308" s="405"/>
      <c r="AR308" s="578">
        <v>0</v>
      </c>
      <c r="AS308" s="405">
        <v>11</v>
      </c>
      <c r="AT308" s="578">
        <v>0</v>
      </c>
      <c r="AU308" s="405">
        <v>20.399999999999999</v>
      </c>
      <c r="AV308" s="405">
        <v>107.4</v>
      </c>
      <c r="AW308" s="405">
        <v>1296</v>
      </c>
      <c r="AX308" s="405">
        <v>0</v>
      </c>
      <c r="AY308" s="578">
        <v>0</v>
      </c>
      <c r="AZ308" s="578">
        <v>0</v>
      </c>
      <c r="BA308" s="578">
        <v>0</v>
      </c>
      <c r="BB308" s="925">
        <v>1</v>
      </c>
      <c r="BC308" s="405">
        <v>0.63</v>
      </c>
      <c r="BD308" s="405">
        <v>1.88</v>
      </c>
      <c r="BE308" s="578">
        <v>0</v>
      </c>
      <c r="BF308" s="405">
        <v>0</v>
      </c>
      <c r="BG308" s="405">
        <v>0</v>
      </c>
      <c r="BH308" s="578">
        <v>0</v>
      </c>
      <c r="BI308" s="405">
        <v>0</v>
      </c>
      <c r="BJ308" s="405">
        <v>24.3</v>
      </c>
      <c r="BK308" s="405">
        <v>2.61</v>
      </c>
      <c r="BL308" s="405">
        <v>3.99</v>
      </c>
      <c r="BM308" s="405">
        <v>0</v>
      </c>
      <c r="BN308" s="405">
        <v>16.7</v>
      </c>
      <c r="BO308" s="405">
        <v>490.4</v>
      </c>
      <c r="BP308" s="405">
        <v>0</v>
      </c>
      <c r="BQ308" s="649">
        <v>22.5</v>
      </c>
      <c r="BR308" s="649">
        <v>22.7</v>
      </c>
      <c r="BS308" s="649">
        <v>8.9</v>
      </c>
      <c r="BT308" s="649">
        <v>9</v>
      </c>
      <c r="BU308" s="648">
        <v>19.2</v>
      </c>
      <c r="BV308" s="648">
        <v>17.2</v>
      </c>
      <c r="BW308" s="649">
        <v>598.79999999999995</v>
      </c>
      <c r="BX308" s="876"/>
      <c r="BY308" s="649">
        <v>1.77</v>
      </c>
      <c r="BZ308" s="649">
        <v>1.55</v>
      </c>
      <c r="CA308" s="649">
        <v>1</v>
      </c>
      <c r="CB308" s="649">
        <v>8.9</v>
      </c>
      <c r="CC308" s="649">
        <v>7.9</v>
      </c>
      <c r="CD308" s="649">
        <v>17.600000000000001</v>
      </c>
      <c r="CE308" s="649">
        <v>32</v>
      </c>
      <c r="CF308" s="649">
        <v>2.6</v>
      </c>
      <c r="CG308" s="649">
        <v>3.6</v>
      </c>
      <c r="CH308" s="649">
        <v>8.4</v>
      </c>
      <c r="CI308" s="649">
        <v>12.4</v>
      </c>
      <c r="CJ308" s="649">
        <v>12.67</v>
      </c>
      <c r="CK308" s="649">
        <v>0</v>
      </c>
      <c r="CL308" s="649">
        <v>0.3</v>
      </c>
      <c r="CM308" s="649">
        <v>0.6</v>
      </c>
      <c r="CN308" s="649">
        <v>1686.9</v>
      </c>
      <c r="CO308" s="649">
        <v>343.7</v>
      </c>
      <c r="CP308" s="649">
        <v>535.29999999999995</v>
      </c>
      <c r="CQ308" s="649">
        <v>3.4</v>
      </c>
      <c r="CR308" s="649">
        <v>0.23</v>
      </c>
      <c r="CS308" s="405">
        <v>0</v>
      </c>
      <c r="CT308" s="405">
        <v>0.60499999999999998</v>
      </c>
      <c r="CU308" s="643">
        <v>60</v>
      </c>
      <c r="CV308" s="522">
        <v>0</v>
      </c>
      <c r="CW308" s="522">
        <v>0</v>
      </c>
      <c r="CX308" s="522">
        <v>0</v>
      </c>
      <c r="CY308" s="522">
        <v>0</v>
      </c>
      <c r="CZ308" s="642">
        <v>1080</v>
      </c>
      <c r="DA308" s="642">
        <v>1360</v>
      </c>
      <c r="DB308" s="642">
        <v>1030</v>
      </c>
      <c r="DC308" s="643">
        <v>1109.8</v>
      </c>
      <c r="DD308" s="808"/>
      <c r="DE308" s="522"/>
      <c r="DF308" s="522"/>
      <c r="DG308" s="522"/>
      <c r="DH308" s="522"/>
      <c r="DI308" s="522"/>
      <c r="DJ308" s="522"/>
      <c r="DK308" s="522"/>
      <c r="DL308" s="649"/>
      <c r="DM308" s="649"/>
      <c r="DN308" s="649"/>
      <c r="DO308" s="522"/>
      <c r="DP308" s="522"/>
      <c r="DQ308" s="522"/>
      <c r="DR308" s="522"/>
      <c r="DS308" s="522"/>
      <c r="DT308" s="522"/>
      <c r="DU308" s="522"/>
      <c r="DV308" s="522"/>
      <c r="DW308" s="522"/>
      <c r="DX308" s="522"/>
      <c r="DY308" s="522"/>
      <c r="DZ308" s="522"/>
      <c r="EA308" s="522"/>
      <c r="EB308" s="522"/>
      <c r="EC308" s="522"/>
      <c r="ED308" s="522"/>
      <c r="EE308" s="522"/>
      <c r="EF308" s="522"/>
      <c r="EG308" s="649">
        <f t="shared" si="272"/>
        <v>13.923</v>
      </c>
      <c r="EH308" s="649">
        <v>0</v>
      </c>
      <c r="EI308" s="649">
        <v>0</v>
      </c>
      <c r="EJ308" s="522">
        <v>2.5</v>
      </c>
      <c r="EK308" s="649">
        <v>6.5</v>
      </c>
      <c r="EL308" s="522"/>
      <c r="EM308" s="522"/>
      <c r="EN308" s="522"/>
      <c r="EO308" s="522"/>
      <c r="EP308" s="522"/>
      <c r="EQ308" s="522"/>
      <c r="ER308" s="522"/>
      <c r="ES308" s="407"/>
      <c r="ET308" s="407"/>
    </row>
    <row r="309" spans="1:150" s="357" customFormat="1" ht="15">
      <c r="A309" s="675" t="s">
        <v>7</v>
      </c>
      <c r="B309" s="712">
        <v>41935</v>
      </c>
      <c r="C309" s="820">
        <v>0</v>
      </c>
      <c r="D309" s="643">
        <v>0.65</v>
      </c>
      <c r="E309" s="807">
        <v>0</v>
      </c>
      <c r="F309" s="807">
        <v>0</v>
      </c>
      <c r="G309" s="807">
        <v>1.5</v>
      </c>
      <c r="H309" s="643">
        <v>5.0999999999999996</v>
      </c>
      <c r="I309" s="643">
        <v>88.2</v>
      </c>
      <c r="J309" s="643" t="s">
        <v>744</v>
      </c>
      <c r="K309" s="643">
        <v>2.99</v>
      </c>
      <c r="L309" s="821">
        <v>11.760000000002037</v>
      </c>
      <c r="M309" s="643">
        <v>14</v>
      </c>
      <c r="N309" s="643" t="s">
        <v>744</v>
      </c>
      <c r="O309" s="643" t="s">
        <v>743</v>
      </c>
      <c r="P309" s="643">
        <v>2.052</v>
      </c>
      <c r="Q309" s="643">
        <v>3.1693668499006162</v>
      </c>
      <c r="R309" s="643">
        <v>1165.4097859973579</v>
      </c>
      <c r="S309" s="643" t="s">
        <v>744</v>
      </c>
      <c r="T309" s="643">
        <v>7.9359999999999999</v>
      </c>
      <c r="U309" s="643" t="s">
        <v>744</v>
      </c>
      <c r="V309" s="867">
        <v>0.63300000000000001</v>
      </c>
      <c r="W309" s="1078" t="e">
        <v>#VALUE!</v>
      </c>
      <c r="X309" s="869">
        <v>52.88000000000001</v>
      </c>
      <c r="Y309" s="806">
        <v>20.3</v>
      </c>
      <c r="Z309" s="807">
        <v>26.87</v>
      </c>
      <c r="AA309" s="1109">
        <v>23.9</v>
      </c>
      <c r="AB309" s="1109">
        <v>20</v>
      </c>
      <c r="AC309" s="775">
        <f t="shared" si="303"/>
        <v>43.9</v>
      </c>
      <c r="AD309" s="775">
        <f t="shared" si="304"/>
        <v>67.913299999999992</v>
      </c>
      <c r="AE309" s="705"/>
      <c r="AF309" s="775"/>
      <c r="AG309" s="705">
        <v>1</v>
      </c>
      <c r="AH309" s="705"/>
      <c r="AI309" s="705"/>
      <c r="AJ309" s="407"/>
      <c r="AK309" s="407"/>
      <c r="AL309" s="407"/>
      <c r="AM309" s="407"/>
      <c r="AN309" s="407"/>
      <c r="AO309" s="1115"/>
      <c r="AP309" s="387"/>
      <c r="AQ309" s="405"/>
      <c r="AR309" s="578">
        <v>0</v>
      </c>
      <c r="AS309" s="405">
        <v>10.8</v>
      </c>
      <c r="AT309" s="578">
        <v>0</v>
      </c>
      <c r="AU309" s="405">
        <v>24.5</v>
      </c>
      <c r="AV309" s="405">
        <v>85.8</v>
      </c>
      <c r="AW309" s="405">
        <v>645</v>
      </c>
      <c r="AX309" s="405">
        <v>0</v>
      </c>
      <c r="AY309" s="578">
        <v>0</v>
      </c>
      <c r="AZ309" s="578">
        <v>0</v>
      </c>
      <c r="BA309" s="578">
        <v>0</v>
      </c>
      <c r="BB309" s="925">
        <v>1</v>
      </c>
      <c r="BC309" s="405">
        <v>0.63</v>
      </c>
      <c r="BD309" s="405">
        <v>1.87</v>
      </c>
      <c r="BE309" s="578">
        <v>0</v>
      </c>
      <c r="BF309" s="405">
        <v>0</v>
      </c>
      <c r="BG309" s="405">
        <v>0</v>
      </c>
      <c r="BH309" s="578">
        <v>0</v>
      </c>
      <c r="BI309" s="405">
        <v>0</v>
      </c>
      <c r="BJ309" s="405">
        <v>17.7</v>
      </c>
      <c r="BK309" s="405">
        <v>2.5499999999999998</v>
      </c>
      <c r="BL309" s="405">
        <v>4.0599999999999996</v>
      </c>
      <c r="BM309" s="405">
        <v>0</v>
      </c>
      <c r="BN309" s="405">
        <v>10.199999999999999</v>
      </c>
      <c r="BO309" s="405">
        <v>1217.9000000000001</v>
      </c>
      <c r="BP309" s="405">
        <v>429</v>
      </c>
      <c r="BQ309" s="649">
        <v>20</v>
      </c>
      <c r="BR309" s="649">
        <v>20.2</v>
      </c>
      <c r="BS309" s="649">
        <v>11.1</v>
      </c>
      <c r="BT309" s="649">
        <v>11.3</v>
      </c>
      <c r="BU309" s="648">
        <v>23.3</v>
      </c>
      <c r="BV309" s="648">
        <v>35.4</v>
      </c>
      <c r="BW309" s="649">
        <v>417.4</v>
      </c>
      <c r="BX309" s="876"/>
      <c r="BY309" s="649">
        <v>4.07</v>
      </c>
      <c r="BZ309" s="649">
        <v>1.45</v>
      </c>
      <c r="CA309" s="649">
        <v>1</v>
      </c>
      <c r="CB309" s="649">
        <v>9.1</v>
      </c>
      <c r="CC309" s="649">
        <v>8</v>
      </c>
      <c r="CD309" s="649">
        <v>16.100000000000001</v>
      </c>
      <c r="CE309" s="649">
        <v>30.9</v>
      </c>
      <c r="CF309" s="649">
        <v>0.1</v>
      </c>
      <c r="CG309" s="649">
        <v>7</v>
      </c>
      <c r="CH309" s="649">
        <v>12.4</v>
      </c>
      <c r="CI309" s="649">
        <v>16.399999999999999</v>
      </c>
      <c r="CJ309" s="649">
        <v>13.6</v>
      </c>
      <c r="CK309" s="649">
        <v>319.8</v>
      </c>
      <c r="CL309" s="649">
        <v>1.6</v>
      </c>
      <c r="CM309" s="649">
        <v>3.6</v>
      </c>
      <c r="CN309" s="649">
        <v>591.9</v>
      </c>
      <c r="CO309" s="649">
        <v>350.6</v>
      </c>
      <c r="CP309" s="649">
        <v>532.6</v>
      </c>
      <c r="CQ309" s="649">
        <v>10.9</v>
      </c>
      <c r="CR309" s="649">
        <v>0.72</v>
      </c>
      <c r="CS309" s="405">
        <v>537.5</v>
      </c>
      <c r="CT309" s="405">
        <v>13.35</v>
      </c>
      <c r="CU309" s="405">
        <v>59</v>
      </c>
      <c r="CV309" s="522">
        <v>0</v>
      </c>
      <c r="CW309" s="522">
        <v>0</v>
      </c>
      <c r="CX309" s="522">
        <v>0</v>
      </c>
      <c r="CY309" s="522">
        <v>0</v>
      </c>
      <c r="CZ309" s="642">
        <v>1220</v>
      </c>
      <c r="DA309" s="642">
        <v>1620</v>
      </c>
      <c r="DB309" s="642">
        <v>1180</v>
      </c>
      <c r="DC309" s="643">
        <v>1111.17</v>
      </c>
      <c r="DD309" s="808"/>
      <c r="DE309" s="522"/>
      <c r="DF309" s="522"/>
      <c r="DG309" s="522"/>
      <c r="DH309" s="522"/>
      <c r="DI309" s="522"/>
      <c r="DJ309" s="522"/>
      <c r="DK309" s="522"/>
      <c r="DL309" s="649"/>
      <c r="DM309" s="649"/>
      <c r="DN309" s="649"/>
      <c r="DO309" s="522"/>
      <c r="DP309" s="522"/>
      <c r="DQ309" s="522"/>
      <c r="DR309" s="522"/>
      <c r="DS309" s="522"/>
      <c r="DT309" s="522"/>
      <c r="DU309" s="522"/>
      <c r="DV309" s="522"/>
      <c r="DW309" s="522"/>
      <c r="DX309" s="522"/>
      <c r="DY309" s="522"/>
      <c r="DZ309" s="522"/>
      <c r="EA309" s="522"/>
      <c r="EB309" s="522"/>
      <c r="EC309" s="522"/>
      <c r="ED309" s="522"/>
      <c r="EE309" s="522"/>
      <c r="EF309" s="522"/>
      <c r="EG309" s="649">
        <f t="shared" si="272"/>
        <v>13.923</v>
      </c>
      <c r="EH309" s="649">
        <v>0</v>
      </c>
      <c r="EI309" s="649">
        <v>0</v>
      </c>
      <c r="EJ309" s="522">
        <v>2.5</v>
      </c>
      <c r="EK309" s="649">
        <v>6.5</v>
      </c>
      <c r="EL309" s="522"/>
      <c r="EM309" s="522"/>
      <c r="EN309" s="522"/>
      <c r="EO309" s="522"/>
      <c r="EP309" s="522"/>
      <c r="EQ309" s="522"/>
      <c r="ER309" s="522"/>
      <c r="ES309" s="407"/>
      <c r="ET309" s="407"/>
    </row>
    <row r="310" spans="1:150" s="357" customFormat="1" ht="15">
      <c r="A310" s="675" t="s">
        <v>8</v>
      </c>
      <c r="B310" s="712">
        <v>41936</v>
      </c>
      <c r="C310" s="820">
        <v>0</v>
      </c>
      <c r="D310" s="643">
        <v>0.36</v>
      </c>
      <c r="E310" s="807">
        <v>0</v>
      </c>
      <c r="F310" s="807">
        <v>0</v>
      </c>
      <c r="G310" s="807">
        <v>1.85</v>
      </c>
      <c r="H310" s="643">
        <v>5.78</v>
      </c>
      <c r="I310" s="643">
        <v>82.4</v>
      </c>
      <c r="J310" s="643" t="s">
        <v>744</v>
      </c>
      <c r="K310" s="643">
        <v>2.4700000000000002</v>
      </c>
      <c r="L310" s="821">
        <v>16.799999999999272</v>
      </c>
      <c r="M310" s="643">
        <v>15.4</v>
      </c>
      <c r="N310" s="643" t="s">
        <v>744</v>
      </c>
      <c r="O310" s="643" t="s">
        <v>743</v>
      </c>
      <c r="P310" s="643">
        <v>2.1</v>
      </c>
      <c r="Q310" s="643">
        <v>3.2779408125985308</v>
      </c>
      <c r="R310" s="643">
        <v>1326.71442007926</v>
      </c>
      <c r="S310" s="643" t="s">
        <v>744</v>
      </c>
      <c r="T310" s="643">
        <v>7.96</v>
      </c>
      <c r="U310" s="643" t="s">
        <v>744</v>
      </c>
      <c r="V310" s="867">
        <v>0.63</v>
      </c>
      <c r="W310" s="1078" t="e">
        <v>#VALUE!</v>
      </c>
      <c r="X310" s="869">
        <v>51.620000000000005</v>
      </c>
      <c r="Y310" s="806">
        <v>23.9</v>
      </c>
      <c r="Z310" s="807">
        <v>20</v>
      </c>
      <c r="AA310" s="1109">
        <v>23</v>
      </c>
      <c r="AB310" s="1109">
        <v>24.8</v>
      </c>
      <c r="AC310" s="775">
        <f t="shared" ref="AC310:AC312" si="305">AA310+AB310</f>
        <v>47.8</v>
      </c>
      <c r="AD310" s="775">
        <f t="shared" ref="AD310:AD312" si="306">AC310*1.547</f>
        <v>73.946599999999989</v>
      </c>
      <c r="AE310" s="705"/>
      <c r="AF310" s="775"/>
      <c r="AG310" s="705">
        <v>1</v>
      </c>
      <c r="AH310" s="705"/>
      <c r="AI310" s="705"/>
      <c r="AJ310" s="407"/>
      <c r="AK310" s="407"/>
      <c r="AL310" s="407"/>
      <c r="AM310" s="407"/>
      <c r="AN310" s="407"/>
      <c r="AO310" s="1115"/>
      <c r="AP310" s="387"/>
      <c r="AQ310" s="405"/>
      <c r="AR310" s="578">
        <v>0</v>
      </c>
      <c r="AS310" s="405">
        <v>10.7</v>
      </c>
      <c r="AT310" s="578">
        <v>0</v>
      </c>
      <c r="AU310" s="405">
        <v>23.9</v>
      </c>
      <c r="AV310" s="405">
        <v>407.7</v>
      </c>
      <c r="AW310" s="405">
        <v>516.6</v>
      </c>
      <c r="AX310" s="405">
        <v>0</v>
      </c>
      <c r="AY310" s="578">
        <v>0</v>
      </c>
      <c r="AZ310" s="578">
        <v>0</v>
      </c>
      <c r="BA310" s="578">
        <v>0</v>
      </c>
      <c r="BB310" s="925">
        <v>1.01</v>
      </c>
      <c r="BC310" s="405">
        <v>0.63</v>
      </c>
      <c r="BD310" s="405">
        <v>1.87</v>
      </c>
      <c r="BE310" s="578">
        <v>0</v>
      </c>
      <c r="BF310" s="405">
        <v>0</v>
      </c>
      <c r="BG310" s="405">
        <v>0</v>
      </c>
      <c r="BH310" s="578">
        <v>0</v>
      </c>
      <c r="BI310" s="405">
        <v>0</v>
      </c>
      <c r="BJ310" s="405">
        <v>22.4</v>
      </c>
      <c r="BK310" s="405">
        <v>3</v>
      </c>
      <c r="BL310" s="405">
        <v>3.48</v>
      </c>
      <c r="BM310" s="405">
        <v>0</v>
      </c>
      <c r="BN310" s="405">
        <v>14.9</v>
      </c>
      <c r="BO310" s="405">
        <v>653.70000000000005</v>
      </c>
      <c r="BP310" s="405">
        <v>65.900000000000006</v>
      </c>
      <c r="BQ310" s="649">
        <v>19.329999999999998</v>
      </c>
      <c r="BR310" s="649">
        <v>19.53</v>
      </c>
      <c r="BS310" s="649">
        <v>10.61</v>
      </c>
      <c r="BT310" s="649">
        <v>10.74</v>
      </c>
      <c r="BU310" s="648">
        <v>22.3</v>
      </c>
      <c r="BV310" s="648">
        <v>29.6</v>
      </c>
      <c r="BW310" s="649">
        <v>428.1</v>
      </c>
      <c r="BX310" s="876"/>
      <c r="BY310" s="649">
        <v>2.11</v>
      </c>
      <c r="BZ310" s="649">
        <v>1.49</v>
      </c>
      <c r="CA310" s="649">
        <v>1.1000000000000001</v>
      </c>
      <c r="CB310" s="649">
        <v>8.8000000000000007</v>
      </c>
      <c r="CC310" s="649">
        <v>8</v>
      </c>
      <c r="CD310" s="649">
        <v>16.899999999999999</v>
      </c>
      <c r="CE310" s="649">
        <v>31.6</v>
      </c>
      <c r="CF310" s="649">
        <v>0.1</v>
      </c>
      <c r="CG310" s="649">
        <v>5.0999999999999996</v>
      </c>
      <c r="CH310" s="649">
        <v>9.9</v>
      </c>
      <c r="CI310" s="649">
        <v>14.6</v>
      </c>
      <c r="CJ310" s="649">
        <v>13.22</v>
      </c>
      <c r="CK310" s="649">
        <v>409.3</v>
      </c>
      <c r="CL310" s="649">
        <v>2.4</v>
      </c>
      <c r="CM310" s="649">
        <v>3.3</v>
      </c>
      <c r="CN310" s="649">
        <v>553.9</v>
      </c>
      <c r="CO310" s="649">
        <v>314.60000000000002</v>
      </c>
      <c r="CP310" s="649">
        <v>524.70000000000005</v>
      </c>
      <c r="CQ310" s="649">
        <v>14</v>
      </c>
      <c r="CR310" s="649">
        <v>0.96</v>
      </c>
      <c r="CS310" s="405">
        <v>1990</v>
      </c>
      <c r="CT310" s="405">
        <v>16.86</v>
      </c>
      <c r="CU310" s="405">
        <v>58</v>
      </c>
      <c r="CV310" s="522">
        <v>0</v>
      </c>
      <c r="CW310" s="522">
        <v>0</v>
      </c>
      <c r="CX310" s="522">
        <v>0</v>
      </c>
      <c r="CY310" s="522">
        <v>0</v>
      </c>
      <c r="CZ310" s="642">
        <v>1640</v>
      </c>
      <c r="DA310" s="642">
        <v>1990</v>
      </c>
      <c r="DB310" s="642">
        <v>1520</v>
      </c>
      <c r="DC310" s="643">
        <v>1110.7</v>
      </c>
      <c r="DD310" s="808"/>
      <c r="DE310" s="522"/>
      <c r="DF310" s="522"/>
      <c r="DG310" s="522"/>
      <c r="DH310" s="522"/>
      <c r="DI310" s="522"/>
      <c r="DJ310" s="522"/>
      <c r="DK310" s="522"/>
      <c r="DL310" s="649"/>
      <c r="DM310" s="649"/>
      <c r="DN310" s="649"/>
      <c r="DO310" s="522"/>
      <c r="DP310" s="522"/>
      <c r="DQ310" s="522"/>
      <c r="DR310" s="522"/>
      <c r="DS310" s="522"/>
      <c r="DT310" s="522"/>
      <c r="DU310" s="522"/>
      <c r="DV310" s="522"/>
      <c r="DW310" s="522"/>
      <c r="DX310" s="522"/>
      <c r="DY310" s="522"/>
      <c r="DZ310" s="522"/>
      <c r="EA310" s="522"/>
      <c r="EB310" s="522"/>
      <c r="EC310" s="522"/>
      <c r="ED310" s="522"/>
      <c r="EE310" s="522"/>
      <c r="EF310" s="522"/>
      <c r="EG310" s="649">
        <f t="shared" ref="EG310:EG316" si="307">(SUM(EH310:EK310))*1.547</f>
        <v>13.923</v>
      </c>
      <c r="EH310" s="649">
        <v>0</v>
      </c>
      <c r="EI310" s="649">
        <v>0</v>
      </c>
      <c r="EJ310" s="522">
        <v>2.5</v>
      </c>
      <c r="EK310" s="649">
        <v>6.5</v>
      </c>
      <c r="EL310" s="522"/>
      <c r="EM310" s="522"/>
      <c r="EN310" s="522"/>
      <c r="EO310" s="522"/>
      <c r="EP310" s="522"/>
      <c r="EQ310" s="522"/>
      <c r="ER310" s="522"/>
      <c r="ES310" s="407"/>
      <c r="ET310" s="407"/>
    </row>
    <row r="311" spans="1:150" s="357" customFormat="1" ht="15">
      <c r="A311" s="675" t="s">
        <v>9</v>
      </c>
      <c r="B311" s="712">
        <v>41937</v>
      </c>
      <c r="C311" s="820">
        <v>0</v>
      </c>
      <c r="D311" s="643">
        <v>0.34</v>
      </c>
      <c r="E311" s="807">
        <v>0</v>
      </c>
      <c r="F311" s="807">
        <v>0</v>
      </c>
      <c r="G311" s="807">
        <v>1.8</v>
      </c>
      <c r="H311" s="643">
        <v>3.72</v>
      </c>
      <c r="I311" s="643">
        <v>85.2</v>
      </c>
      <c r="J311" s="643" t="s">
        <v>744</v>
      </c>
      <c r="K311" s="643">
        <v>2.4500000000000002</v>
      </c>
      <c r="L311" s="821">
        <v>3.5900000000001455</v>
      </c>
      <c r="M311" s="643">
        <v>16.899999999999999</v>
      </c>
      <c r="N311" s="643" t="s">
        <v>744</v>
      </c>
      <c r="O311" s="643" t="s">
        <v>743</v>
      </c>
      <c r="P311" s="643">
        <v>2.19</v>
      </c>
      <c r="Q311" s="643">
        <v>3.61590670978961</v>
      </c>
      <c r="R311" s="643">
        <v>1600.4140501981506</v>
      </c>
      <c r="S311" s="643" t="s">
        <v>744</v>
      </c>
      <c r="T311" s="643">
        <v>7.95</v>
      </c>
      <c r="U311" s="643" t="s">
        <v>744</v>
      </c>
      <c r="V311" s="867">
        <v>0.65</v>
      </c>
      <c r="W311" s="1078" t="e">
        <v>#VALUE!</v>
      </c>
      <c r="X311" s="869">
        <v>51.260000000000005</v>
      </c>
      <c r="Y311" s="806">
        <v>23</v>
      </c>
      <c r="Z311" s="807">
        <v>24.8</v>
      </c>
      <c r="AA311" s="1109">
        <v>22.2</v>
      </c>
      <c r="AB311" s="1109">
        <v>30.5</v>
      </c>
      <c r="AC311" s="775">
        <f t="shared" si="305"/>
        <v>52.7</v>
      </c>
      <c r="AD311" s="775">
        <f t="shared" si="306"/>
        <v>81.526899999999998</v>
      </c>
      <c r="AE311" s="705"/>
      <c r="AF311" s="775"/>
      <c r="AG311" s="705">
        <v>1</v>
      </c>
      <c r="AH311" s="705"/>
      <c r="AI311" s="705"/>
      <c r="AJ311" s="407"/>
      <c r="AK311" s="407"/>
      <c r="AL311" s="407"/>
      <c r="AM311" s="407"/>
      <c r="AN311" s="407"/>
      <c r="AO311" s="1115"/>
      <c r="AP311" s="387"/>
      <c r="AQ311" s="405"/>
      <c r="AR311" s="578">
        <v>0</v>
      </c>
      <c r="AS311" s="405">
        <v>10.8</v>
      </c>
      <c r="AT311" s="578">
        <v>0</v>
      </c>
      <c r="AU311" s="405">
        <v>22.9</v>
      </c>
      <c r="AV311" s="405">
        <v>58.1</v>
      </c>
      <c r="AW311" s="405">
        <v>137.6</v>
      </c>
      <c r="AX311" s="405">
        <v>0</v>
      </c>
      <c r="AY311" s="578">
        <v>0</v>
      </c>
      <c r="AZ311" s="578">
        <v>0</v>
      </c>
      <c r="BA311" s="578">
        <v>0</v>
      </c>
      <c r="BB311" s="925">
        <v>1.01</v>
      </c>
      <c r="BC311" s="405">
        <v>0.63</v>
      </c>
      <c r="BD311" s="405">
        <v>1.87</v>
      </c>
      <c r="BE311" s="578">
        <v>0</v>
      </c>
      <c r="BF311" s="405">
        <v>0</v>
      </c>
      <c r="BG311" s="405">
        <v>0</v>
      </c>
      <c r="BH311" s="578">
        <v>0</v>
      </c>
      <c r="BI311" s="405">
        <v>0</v>
      </c>
      <c r="BJ311" s="405">
        <v>28.1</v>
      </c>
      <c r="BK311" s="405">
        <v>2.96</v>
      </c>
      <c r="BL311" s="405">
        <v>3.44</v>
      </c>
      <c r="BM311" s="405">
        <v>0</v>
      </c>
      <c r="BN311" s="405">
        <v>20.6</v>
      </c>
      <c r="BO311" s="643">
        <v>422.2</v>
      </c>
      <c r="BP311" s="405">
        <v>221</v>
      </c>
      <c r="BQ311" s="649">
        <v>18.489999999999998</v>
      </c>
      <c r="BR311" s="649">
        <v>18.72</v>
      </c>
      <c r="BS311" s="649">
        <v>10.58</v>
      </c>
      <c r="BT311" s="649">
        <v>10.73</v>
      </c>
      <c r="BU311" s="648">
        <v>22.3</v>
      </c>
      <c r="BV311" s="648">
        <v>29.5</v>
      </c>
      <c r="BW311" s="649">
        <v>620.70000000000005</v>
      </c>
      <c r="BX311" s="876"/>
      <c r="BY311" s="649">
        <v>2.21</v>
      </c>
      <c r="BZ311" s="649">
        <v>1.59</v>
      </c>
      <c r="CA311" s="649">
        <v>1.1000000000000001</v>
      </c>
      <c r="CB311" s="649">
        <v>8.9</v>
      </c>
      <c r="CC311" s="649">
        <v>8</v>
      </c>
      <c r="CD311" s="649">
        <v>15.8</v>
      </c>
      <c r="CE311" s="649">
        <v>31.3</v>
      </c>
      <c r="CF311" s="649">
        <v>0</v>
      </c>
      <c r="CG311" s="689">
        <v>2.9</v>
      </c>
      <c r="CH311" s="649">
        <v>7.5</v>
      </c>
      <c r="CI311" s="649">
        <v>11.6</v>
      </c>
      <c r="CJ311" s="649">
        <v>13.61</v>
      </c>
      <c r="CK311" s="649">
        <v>574.9</v>
      </c>
      <c r="CL311" s="649">
        <v>2.8</v>
      </c>
      <c r="CM311" s="649">
        <v>4.0999999999999996</v>
      </c>
      <c r="CN311" s="649">
        <v>414.8</v>
      </c>
      <c r="CO311" s="649">
        <v>332.9</v>
      </c>
      <c r="CP311" s="649">
        <v>511.2</v>
      </c>
      <c r="CQ311" s="649">
        <v>14.4</v>
      </c>
      <c r="CR311" s="649">
        <v>0.96</v>
      </c>
      <c r="CS311" s="405">
        <v>0</v>
      </c>
      <c r="CT311" s="405">
        <v>18.21</v>
      </c>
      <c r="CU311" s="643">
        <v>58</v>
      </c>
      <c r="CV311" s="522">
        <v>0</v>
      </c>
      <c r="CW311" s="522">
        <v>0</v>
      </c>
      <c r="CX311" s="522">
        <v>0</v>
      </c>
      <c r="CY311" s="522">
        <v>0</v>
      </c>
      <c r="CZ311" s="642">
        <v>1600</v>
      </c>
      <c r="DA311" s="642">
        <v>1910</v>
      </c>
      <c r="DB311" s="642">
        <v>1460</v>
      </c>
      <c r="DC311" s="643">
        <v>1107.2</v>
      </c>
      <c r="DD311" s="808"/>
      <c r="DE311" s="522"/>
      <c r="DF311" s="522"/>
      <c r="DG311" s="522"/>
      <c r="DH311" s="522"/>
      <c r="DI311" s="522"/>
      <c r="DJ311" s="522"/>
      <c r="DK311" s="522"/>
      <c r="DL311" s="649"/>
      <c r="DM311" s="649"/>
      <c r="DN311" s="649"/>
      <c r="DO311" s="522"/>
      <c r="DP311" s="522"/>
      <c r="DQ311" s="522"/>
      <c r="DR311" s="522"/>
      <c r="DS311" s="522"/>
      <c r="DT311" s="522"/>
      <c r="DU311" s="522"/>
      <c r="DV311" s="522"/>
      <c r="DW311" s="522"/>
      <c r="DX311" s="522"/>
      <c r="DY311" s="522"/>
      <c r="DZ311" s="522"/>
      <c r="EA311" s="522"/>
      <c r="EB311" s="522"/>
      <c r="EC311" s="522"/>
      <c r="ED311" s="522"/>
      <c r="EE311" s="522"/>
      <c r="EF311" s="522"/>
      <c r="EG311" s="649">
        <f t="shared" si="307"/>
        <v>13.923</v>
      </c>
      <c r="EH311" s="649">
        <v>0</v>
      </c>
      <c r="EI311" s="649">
        <v>0</v>
      </c>
      <c r="EJ311" s="522">
        <v>2.5</v>
      </c>
      <c r="EK311" s="649">
        <v>6.5</v>
      </c>
      <c r="EL311" s="522"/>
      <c r="EM311" s="522"/>
      <c r="EN311" s="522"/>
      <c r="EO311" s="522"/>
      <c r="EP311" s="522"/>
      <c r="EQ311" s="522"/>
      <c r="ER311" s="522"/>
      <c r="ES311" s="407"/>
      <c r="ET311" s="407"/>
    </row>
    <row r="312" spans="1:150" s="357" customFormat="1" ht="15">
      <c r="A312" s="675" t="s">
        <v>3</v>
      </c>
      <c r="B312" s="712">
        <v>41938</v>
      </c>
      <c r="C312" s="820">
        <v>0</v>
      </c>
      <c r="D312" s="643">
        <v>0.35</v>
      </c>
      <c r="E312" s="807">
        <v>0</v>
      </c>
      <c r="F312" s="807">
        <v>0</v>
      </c>
      <c r="G312" s="807">
        <v>1.75</v>
      </c>
      <c r="H312" s="643">
        <v>4.08</v>
      </c>
      <c r="I312" s="643">
        <v>85.4</v>
      </c>
      <c r="J312" s="643" t="s">
        <v>744</v>
      </c>
      <c r="K312" s="643">
        <v>2.67</v>
      </c>
      <c r="L312" s="821">
        <v>4.0200000000004366</v>
      </c>
      <c r="M312" s="643">
        <v>17.2</v>
      </c>
      <c r="N312" s="643" t="s">
        <v>744</v>
      </c>
      <c r="O312" s="643" t="s">
        <v>743</v>
      </c>
      <c r="P312" s="643">
        <v>2.2000000000000002</v>
      </c>
      <c r="Q312" s="643">
        <v>3.4777894238822533</v>
      </c>
      <c r="R312" s="643">
        <v>1620.4961532364593</v>
      </c>
      <c r="S312" s="643" t="s">
        <v>744</v>
      </c>
      <c r="T312" s="643">
        <v>7.95</v>
      </c>
      <c r="U312" s="643" t="s">
        <v>744</v>
      </c>
      <c r="V312" s="867">
        <v>0.65</v>
      </c>
      <c r="W312" s="1078" t="e">
        <v>#VALUE!</v>
      </c>
      <c r="X312" s="869">
        <v>51.620000000000005</v>
      </c>
      <c r="Y312" s="806">
        <v>22.2</v>
      </c>
      <c r="Z312" s="807">
        <v>30.5</v>
      </c>
      <c r="AA312" s="1109">
        <v>22.2</v>
      </c>
      <c r="AB312" s="1109">
        <v>32.94</v>
      </c>
      <c r="AC312" s="775">
        <f t="shared" si="305"/>
        <v>55.14</v>
      </c>
      <c r="AD312" s="775">
        <f t="shared" si="306"/>
        <v>85.301580000000001</v>
      </c>
      <c r="AE312" s="705"/>
      <c r="AF312" s="775"/>
      <c r="AG312" s="705">
        <v>1</v>
      </c>
      <c r="AH312" s="705"/>
      <c r="AI312" s="705"/>
      <c r="AJ312" s="407"/>
      <c r="AK312" s="407"/>
      <c r="AL312" s="407"/>
      <c r="AM312" s="407"/>
      <c r="AN312" s="407"/>
      <c r="AO312" s="1115"/>
      <c r="AP312" s="387"/>
      <c r="AQ312" s="405"/>
      <c r="AR312" s="578">
        <v>0</v>
      </c>
      <c r="AS312" s="405">
        <v>11.7</v>
      </c>
      <c r="AT312" s="578">
        <v>0</v>
      </c>
      <c r="AU312" s="405">
        <v>22.8</v>
      </c>
      <c r="AV312" s="405">
        <v>530.6</v>
      </c>
      <c r="AW312" s="405">
        <v>1001.1</v>
      </c>
      <c r="AX312" s="405">
        <v>0</v>
      </c>
      <c r="AY312" s="578">
        <v>0</v>
      </c>
      <c r="AZ312" s="578">
        <v>0</v>
      </c>
      <c r="BA312" s="578">
        <v>0</v>
      </c>
      <c r="BB312" s="925">
        <v>1</v>
      </c>
      <c r="BC312" s="405">
        <v>0.63</v>
      </c>
      <c r="BD312" s="405">
        <v>1.87</v>
      </c>
      <c r="BE312" s="578">
        <v>0</v>
      </c>
      <c r="BF312" s="405">
        <v>0</v>
      </c>
      <c r="BG312" s="405">
        <v>0</v>
      </c>
      <c r="BH312" s="578">
        <v>0</v>
      </c>
      <c r="BI312" s="405">
        <v>0</v>
      </c>
      <c r="BJ312" s="405">
        <v>30.5</v>
      </c>
      <c r="BK312" s="405">
        <v>3.12</v>
      </c>
      <c r="BL312" s="405">
        <v>3.72</v>
      </c>
      <c r="BM312" s="405">
        <v>0</v>
      </c>
      <c r="BN312" s="405">
        <v>22.5</v>
      </c>
      <c r="BO312" s="405">
        <v>1027.3</v>
      </c>
      <c r="BP312" s="405">
        <v>485.2</v>
      </c>
      <c r="BQ312" s="649">
        <v>17.8</v>
      </c>
      <c r="BR312" s="649">
        <v>18.03</v>
      </c>
      <c r="BS312" s="649">
        <v>9.7799999999999994</v>
      </c>
      <c r="BT312" s="649">
        <v>9.91</v>
      </c>
      <c r="BU312" s="648">
        <v>20.9</v>
      </c>
      <c r="BV312" s="648">
        <v>27.2</v>
      </c>
      <c r="BW312" s="649">
        <v>466</v>
      </c>
      <c r="BX312" s="876"/>
      <c r="BY312" s="649">
        <v>2.36</v>
      </c>
      <c r="BZ312" s="649">
        <v>1.47</v>
      </c>
      <c r="CA312" s="649">
        <v>1.1000000000000001</v>
      </c>
      <c r="CB312" s="649">
        <v>8.9</v>
      </c>
      <c r="CC312" s="649">
        <v>8</v>
      </c>
      <c r="CD312" s="649">
        <v>16.100000000000001</v>
      </c>
      <c r="CE312" s="649">
        <v>30.4</v>
      </c>
      <c r="CF312" s="649">
        <v>0.1</v>
      </c>
      <c r="CG312" s="649">
        <v>4.5999999999999996</v>
      </c>
      <c r="CH312" s="649">
        <v>9.6</v>
      </c>
      <c r="CI312" s="649">
        <v>13.7</v>
      </c>
      <c r="CJ312" s="649">
        <v>13.79</v>
      </c>
      <c r="CK312" s="649">
        <v>559.9</v>
      </c>
      <c r="CL312" s="649">
        <v>2.4</v>
      </c>
      <c r="CM312" s="649">
        <v>2.2000000000000002</v>
      </c>
      <c r="CN312" s="649">
        <v>477.9</v>
      </c>
      <c r="CO312" s="649">
        <v>372.2</v>
      </c>
      <c r="CP312" s="649">
        <v>521.4</v>
      </c>
      <c r="CQ312" s="649">
        <v>14.1</v>
      </c>
      <c r="CR312" s="649">
        <v>0.95</v>
      </c>
      <c r="CS312" s="405">
        <v>0</v>
      </c>
      <c r="CT312" s="405">
        <v>16.34</v>
      </c>
      <c r="CU312" s="405">
        <v>58</v>
      </c>
      <c r="CV312" s="522">
        <v>0</v>
      </c>
      <c r="CW312" s="522">
        <v>0</v>
      </c>
      <c r="CX312" s="522">
        <v>0</v>
      </c>
      <c r="CY312" s="522">
        <v>0</v>
      </c>
      <c r="CZ312" s="642">
        <v>1560</v>
      </c>
      <c r="DA312" s="642">
        <v>1910</v>
      </c>
      <c r="DB312" s="642">
        <v>1460</v>
      </c>
      <c r="DC312" s="643">
        <v>1104.67</v>
      </c>
      <c r="DD312" s="808"/>
      <c r="DE312" s="522"/>
      <c r="DF312" s="522"/>
      <c r="DG312" s="522"/>
      <c r="DH312" s="522"/>
      <c r="DI312" s="522"/>
      <c r="DJ312" s="522"/>
      <c r="DK312" s="522"/>
      <c r="DL312" s="649"/>
      <c r="DM312" s="649"/>
      <c r="DN312" s="649"/>
      <c r="DO312" s="522"/>
      <c r="DP312" s="522"/>
      <c r="DQ312" s="522"/>
      <c r="DR312" s="522"/>
      <c r="DS312" s="522"/>
      <c r="DT312" s="522"/>
      <c r="DU312" s="522"/>
      <c r="DV312" s="522"/>
      <c r="DW312" s="522"/>
      <c r="DX312" s="522"/>
      <c r="DY312" s="522"/>
      <c r="DZ312" s="522"/>
      <c r="EA312" s="522"/>
      <c r="EB312" s="522"/>
      <c r="EC312" s="522"/>
      <c r="ED312" s="522"/>
      <c r="EE312" s="522"/>
      <c r="EF312" s="522"/>
      <c r="EG312" s="649">
        <f t="shared" si="307"/>
        <v>13.923</v>
      </c>
      <c r="EH312" s="649">
        <v>0</v>
      </c>
      <c r="EI312" s="649">
        <v>0</v>
      </c>
      <c r="EJ312" s="522">
        <v>2.5</v>
      </c>
      <c r="EK312" s="649">
        <v>6.5</v>
      </c>
      <c r="EL312" s="522"/>
      <c r="EM312" s="522"/>
      <c r="EN312" s="522"/>
      <c r="EO312" s="522"/>
      <c r="EP312" s="522"/>
      <c r="EQ312" s="522"/>
      <c r="ER312" s="522"/>
      <c r="ES312" s="407"/>
      <c r="ET312" s="407"/>
    </row>
    <row r="313" spans="1:150" s="357" customFormat="1" ht="15">
      <c r="A313" s="675" t="s">
        <v>4</v>
      </c>
      <c r="B313" s="712">
        <v>41939</v>
      </c>
      <c r="C313" s="820">
        <v>0</v>
      </c>
      <c r="D313" s="643">
        <v>0</v>
      </c>
      <c r="E313" s="807">
        <v>0</v>
      </c>
      <c r="F313" s="807">
        <v>0</v>
      </c>
      <c r="G313" s="807">
        <v>2.1</v>
      </c>
      <c r="H313" s="643">
        <v>4.99</v>
      </c>
      <c r="I313" s="643">
        <v>86.35</v>
      </c>
      <c r="J313" s="643" t="s">
        <v>744</v>
      </c>
      <c r="K313" s="643">
        <v>2.4700000000000002</v>
      </c>
      <c r="L313" s="821">
        <v>14.789999999997235</v>
      </c>
      <c r="M313" s="643">
        <v>15.7</v>
      </c>
      <c r="N313" s="643" t="s">
        <v>744</v>
      </c>
      <c r="O313" s="643" t="s">
        <v>743</v>
      </c>
      <c r="P313" s="643">
        <v>2.15</v>
      </c>
      <c r="Q313" s="643">
        <v>3.1982235333207432</v>
      </c>
      <c r="R313" s="643">
        <v>1521.7051624834869</v>
      </c>
      <c r="S313" s="643" t="s">
        <v>744</v>
      </c>
      <c r="T313" s="643">
        <v>8.0109999999999992</v>
      </c>
      <c r="U313" s="643" t="s">
        <v>744</v>
      </c>
      <c r="V313" s="867">
        <v>0.61799999999999999</v>
      </c>
      <c r="W313" s="1078" t="e">
        <v>#VALUE!</v>
      </c>
      <c r="X313" s="869">
        <v>49.64</v>
      </c>
      <c r="Y313" s="806">
        <v>22.2</v>
      </c>
      <c r="Z313" s="807">
        <v>32.94</v>
      </c>
      <c r="AA313" s="1109">
        <v>22.1</v>
      </c>
      <c r="AB313" s="1109">
        <v>34.020000000000003</v>
      </c>
      <c r="AC313" s="775">
        <f t="shared" ref="AC313:AC315" si="308">AA313+AB313</f>
        <v>56.120000000000005</v>
      </c>
      <c r="AD313" s="775">
        <f t="shared" ref="AD313:AD315" si="309">AC313*1.547</f>
        <v>86.817639999999997</v>
      </c>
      <c r="AE313" s="705"/>
      <c r="AF313" s="775"/>
      <c r="AG313" s="705">
        <v>1</v>
      </c>
      <c r="AH313" s="705"/>
      <c r="AI313" s="705"/>
      <c r="AJ313" s="407"/>
      <c r="AK313" s="407"/>
      <c r="AL313" s="407"/>
      <c r="AM313" s="407"/>
      <c r="AN313" s="407"/>
      <c r="AO313" s="387"/>
      <c r="AP313" s="387"/>
      <c r="AQ313" s="405"/>
      <c r="AR313" s="578">
        <v>0</v>
      </c>
      <c r="AS313" s="405">
        <v>10.8</v>
      </c>
      <c r="AT313" s="578">
        <v>0</v>
      </c>
      <c r="AU313" s="405">
        <v>22.9</v>
      </c>
      <c r="AV313" s="405">
        <v>313.7</v>
      </c>
      <c r="AW313" s="405">
        <v>415.3</v>
      </c>
      <c r="AX313" s="405">
        <v>0</v>
      </c>
      <c r="AY313" s="578">
        <v>0</v>
      </c>
      <c r="AZ313" s="578">
        <v>0</v>
      </c>
      <c r="BA313" s="578">
        <v>0</v>
      </c>
      <c r="BB313" s="925">
        <v>1</v>
      </c>
      <c r="BC313" s="405">
        <v>0.63</v>
      </c>
      <c r="BD313" s="405">
        <v>1.87</v>
      </c>
      <c r="BE313" s="578">
        <v>0</v>
      </c>
      <c r="BF313" s="405">
        <v>0</v>
      </c>
      <c r="BG313" s="405">
        <v>0</v>
      </c>
      <c r="BH313" s="578">
        <v>0</v>
      </c>
      <c r="BI313" s="405">
        <v>0</v>
      </c>
      <c r="BJ313" s="405">
        <v>31.5</v>
      </c>
      <c r="BK313" s="681">
        <v>3.12</v>
      </c>
      <c r="BL313" s="405">
        <v>3.87</v>
      </c>
      <c r="BM313" s="681">
        <v>0</v>
      </c>
      <c r="BN313" s="405">
        <v>23.9</v>
      </c>
      <c r="BO313" s="681">
        <v>1142.0999999999999</v>
      </c>
      <c r="BP313" s="405">
        <v>299.60000000000002</v>
      </c>
      <c r="BQ313" s="688">
        <v>18.649999999999999</v>
      </c>
      <c r="BR313" s="688">
        <v>18.88</v>
      </c>
      <c r="BS313" s="649">
        <v>10.16</v>
      </c>
      <c r="BT313" s="688">
        <v>10.31</v>
      </c>
      <c r="BU313" s="648">
        <v>21.6</v>
      </c>
      <c r="BV313" s="648">
        <v>23.8</v>
      </c>
      <c r="BW313" s="649">
        <v>620</v>
      </c>
      <c r="BX313" s="876"/>
      <c r="BY313" s="649">
        <v>2.4500000000000002</v>
      </c>
      <c r="BZ313" s="649">
        <v>1.66</v>
      </c>
      <c r="CA313" s="649">
        <v>1.1000000000000001</v>
      </c>
      <c r="CB313" s="649">
        <v>8.9</v>
      </c>
      <c r="CC313" s="649">
        <v>8</v>
      </c>
      <c r="CD313" s="649">
        <v>15.25</v>
      </c>
      <c r="CE313" s="649">
        <v>31.9</v>
      </c>
      <c r="CF313" s="649">
        <v>0.04</v>
      </c>
      <c r="CG313" s="649">
        <v>6.6</v>
      </c>
      <c r="CH313" s="649">
        <v>11.9</v>
      </c>
      <c r="CI313" s="649">
        <v>16</v>
      </c>
      <c r="CJ313" s="649">
        <v>13.21</v>
      </c>
      <c r="CK313" s="649">
        <v>534.6</v>
      </c>
      <c r="CL313" s="649">
        <v>1.6</v>
      </c>
      <c r="CM313" s="649">
        <v>2</v>
      </c>
      <c r="CN313" s="649">
        <v>239.5</v>
      </c>
      <c r="CO313" s="649">
        <v>324.89999999999998</v>
      </c>
      <c r="CP313" s="649">
        <v>526.6</v>
      </c>
      <c r="CQ313" s="649">
        <v>13.8</v>
      </c>
      <c r="CR313" s="649">
        <v>0.95</v>
      </c>
      <c r="CS313" s="405">
        <v>0</v>
      </c>
      <c r="CT313" s="405">
        <v>15.63</v>
      </c>
      <c r="CU313" s="405">
        <v>58</v>
      </c>
      <c r="CV313" s="522">
        <v>0</v>
      </c>
      <c r="CW313" s="522">
        <v>0</v>
      </c>
      <c r="CX313" s="522">
        <v>0</v>
      </c>
      <c r="CY313" s="522">
        <v>0</v>
      </c>
      <c r="CZ313" s="642">
        <v>1980</v>
      </c>
      <c r="DA313" s="642">
        <v>2280</v>
      </c>
      <c r="DB313" s="642">
        <v>1800</v>
      </c>
      <c r="DC313" s="643">
        <v>1103.0999999999999</v>
      </c>
      <c r="DD313" s="808"/>
      <c r="DE313" s="522"/>
      <c r="DF313" s="522"/>
      <c r="DG313" s="522"/>
      <c r="DH313" s="522"/>
      <c r="DI313" s="522"/>
      <c r="DJ313" s="522"/>
      <c r="DK313" s="522"/>
      <c r="DL313" s="649"/>
      <c r="DM313" s="649"/>
      <c r="DN313" s="649"/>
      <c r="DO313" s="522"/>
      <c r="DP313" s="522"/>
      <c r="DQ313" s="522"/>
      <c r="DR313" s="522"/>
      <c r="DS313" s="522"/>
      <c r="DT313" s="522"/>
      <c r="DU313" s="522"/>
      <c r="DV313" s="522"/>
      <c r="DW313" s="522"/>
      <c r="DX313" s="522"/>
      <c r="DY313" s="522"/>
      <c r="DZ313" s="522"/>
      <c r="EA313" s="522"/>
      <c r="EB313" s="522"/>
      <c r="EC313" s="522"/>
      <c r="ED313" s="522"/>
      <c r="EE313" s="522"/>
      <c r="EF313" s="522"/>
      <c r="EG313" s="649">
        <f t="shared" si="307"/>
        <v>13.923</v>
      </c>
      <c r="EH313" s="649">
        <v>0</v>
      </c>
      <c r="EI313" s="649">
        <v>0</v>
      </c>
      <c r="EJ313" s="522">
        <v>2.5</v>
      </c>
      <c r="EK313" s="649">
        <v>6.5</v>
      </c>
      <c r="EL313" s="522"/>
      <c r="EM313" s="522"/>
      <c r="EN313" s="522"/>
      <c r="EO313" s="522"/>
      <c r="EP313" s="522"/>
      <c r="EQ313" s="522"/>
      <c r="ER313" s="522"/>
      <c r="ES313" s="407"/>
      <c r="ET313" s="407"/>
    </row>
    <row r="314" spans="1:150" s="357" customFormat="1" ht="15">
      <c r="A314" s="675" t="s">
        <v>5</v>
      </c>
      <c r="B314" s="712">
        <v>41940</v>
      </c>
      <c r="C314" s="820">
        <v>0</v>
      </c>
      <c r="D314" s="643">
        <v>0.82</v>
      </c>
      <c r="E314" s="807">
        <v>0</v>
      </c>
      <c r="F314" s="807">
        <v>0</v>
      </c>
      <c r="G314" s="807">
        <v>2.15</v>
      </c>
      <c r="H314" s="643">
        <v>4.09</v>
      </c>
      <c r="I314" s="643">
        <v>83.82</v>
      </c>
      <c r="J314" s="643" t="s">
        <v>744</v>
      </c>
      <c r="K314" s="643">
        <v>2.82</v>
      </c>
      <c r="L314" s="821">
        <v>6.7000000000007276</v>
      </c>
      <c r="M314" s="643">
        <v>16.600000000000001</v>
      </c>
      <c r="N314" s="643" t="s">
        <v>744</v>
      </c>
      <c r="O314" s="643" t="s">
        <v>743</v>
      </c>
      <c r="P314" s="643">
        <v>2.1779999999999999</v>
      </c>
      <c r="Q314" s="643">
        <v>3.2337570290366768</v>
      </c>
      <c r="R314" s="643">
        <v>1550.2087926023776</v>
      </c>
      <c r="S314" s="643" t="s">
        <v>744</v>
      </c>
      <c r="T314" s="643">
        <v>8.0470000000000006</v>
      </c>
      <c r="U314" s="643" t="s">
        <v>744</v>
      </c>
      <c r="V314" s="867">
        <v>0.59399999999999997</v>
      </c>
      <c r="W314" s="1078" t="e">
        <v>#VALUE!</v>
      </c>
      <c r="X314" s="869">
        <v>49.100000000000009</v>
      </c>
      <c r="Y314" s="806">
        <v>22.1</v>
      </c>
      <c r="Z314" s="807">
        <v>34.020000000000003</v>
      </c>
      <c r="AA314" s="1109">
        <v>22.15</v>
      </c>
      <c r="AB314" s="1109">
        <v>35.03</v>
      </c>
      <c r="AC314" s="775">
        <f t="shared" si="308"/>
        <v>57.18</v>
      </c>
      <c r="AD314" s="775">
        <f t="shared" si="309"/>
        <v>88.457459999999998</v>
      </c>
      <c r="AE314" s="705"/>
      <c r="AF314" s="775"/>
      <c r="AG314" s="705">
        <v>1</v>
      </c>
      <c r="AH314" s="705"/>
      <c r="AI314" s="705"/>
      <c r="AJ314" s="407"/>
      <c r="AK314" s="407"/>
      <c r="AL314" s="407"/>
      <c r="AM314" s="407"/>
      <c r="AN314" s="407"/>
      <c r="AO314" s="387"/>
      <c r="AP314" s="387"/>
      <c r="AQ314" s="405"/>
      <c r="AR314" s="578">
        <v>0</v>
      </c>
      <c r="AS314" s="405">
        <v>11</v>
      </c>
      <c r="AT314" s="578">
        <v>0</v>
      </c>
      <c r="AU314" s="405">
        <v>22.9</v>
      </c>
      <c r="AV314" s="405">
        <v>321.39999999999998</v>
      </c>
      <c r="AW314" s="405">
        <v>307.60000000000002</v>
      </c>
      <c r="AX314" s="405">
        <v>0</v>
      </c>
      <c r="AY314" s="578">
        <v>0</v>
      </c>
      <c r="AZ314" s="578">
        <v>0</v>
      </c>
      <c r="BA314" s="578">
        <v>0</v>
      </c>
      <c r="BB314" s="925">
        <v>1.01</v>
      </c>
      <c r="BC314" s="405">
        <v>0.22</v>
      </c>
      <c r="BD314" s="405">
        <v>1.88</v>
      </c>
      <c r="BE314" s="578">
        <v>0</v>
      </c>
      <c r="BF314" s="405">
        <v>0.41</v>
      </c>
      <c r="BG314" s="405">
        <v>0</v>
      </c>
      <c r="BH314" s="578">
        <v>0</v>
      </c>
      <c r="BI314" s="405">
        <v>0</v>
      </c>
      <c r="BJ314" s="405">
        <v>32.5</v>
      </c>
      <c r="BK314" s="405">
        <v>2.5499999999999998</v>
      </c>
      <c r="BL314" s="405">
        <v>3.87</v>
      </c>
      <c r="BM314" s="405">
        <v>0</v>
      </c>
      <c r="BN314" s="405">
        <v>24.9</v>
      </c>
      <c r="BO314" s="405">
        <v>679.7</v>
      </c>
      <c r="BP314" s="405">
        <v>279.8</v>
      </c>
      <c r="BQ314" s="649">
        <v>20.25</v>
      </c>
      <c r="BR314" s="649">
        <v>20.48</v>
      </c>
      <c r="BS314" s="649">
        <v>10.220000000000001</v>
      </c>
      <c r="BT314" s="649">
        <v>10.33</v>
      </c>
      <c r="BU314" s="648">
        <v>21.8</v>
      </c>
      <c r="BV314" s="648">
        <v>21.8</v>
      </c>
      <c r="BW314" s="649">
        <v>434.3</v>
      </c>
      <c r="BX314" s="876"/>
      <c r="BY314" s="649">
        <v>2.5</v>
      </c>
      <c r="BZ314" s="649">
        <v>1.58</v>
      </c>
      <c r="CA314" s="649">
        <v>1.1000000000000001</v>
      </c>
      <c r="CB314" s="649">
        <v>8.9</v>
      </c>
      <c r="CC314" s="649">
        <v>8</v>
      </c>
      <c r="CD314" s="649">
        <v>15.3</v>
      </c>
      <c r="CE314" s="649">
        <v>31.9</v>
      </c>
      <c r="CF314" s="649">
        <v>0.1</v>
      </c>
      <c r="CG314" s="649">
        <v>6</v>
      </c>
      <c r="CH314" s="649">
        <v>10.9</v>
      </c>
      <c r="CI314" s="649">
        <v>15.7</v>
      </c>
      <c r="CJ314" s="649">
        <v>13.52</v>
      </c>
      <c r="CK314" s="649">
        <v>571.6</v>
      </c>
      <c r="CL314" s="649">
        <v>1.7</v>
      </c>
      <c r="CM314" s="649">
        <v>1.3</v>
      </c>
      <c r="CN314" s="649">
        <v>438.1</v>
      </c>
      <c r="CO314" s="649">
        <v>312.2</v>
      </c>
      <c r="CP314" s="649">
        <v>538.6</v>
      </c>
      <c r="CQ314" s="649">
        <v>14.1</v>
      </c>
      <c r="CR314" s="649">
        <v>0.97</v>
      </c>
      <c r="CS314" s="405">
        <v>0</v>
      </c>
      <c r="CT314" s="405">
        <v>15.28</v>
      </c>
      <c r="CU314" s="405">
        <v>58</v>
      </c>
      <c r="CV314" s="522">
        <v>0</v>
      </c>
      <c r="CW314" s="522">
        <v>0</v>
      </c>
      <c r="CX314" s="522">
        <v>0</v>
      </c>
      <c r="CY314" s="522">
        <v>0</v>
      </c>
      <c r="CZ314" s="642">
        <v>2010</v>
      </c>
      <c r="DA314" s="642">
        <v>2390</v>
      </c>
      <c r="DB314" s="642">
        <v>1800</v>
      </c>
      <c r="DC314" s="643">
        <v>1098.2</v>
      </c>
      <c r="DD314" s="808"/>
      <c r="DE314" s="522"/>
      <c r="DF314" s="522"/>
      <c r="DG314" s="522"/>
      <c r="DH314" s="522"/>
      <c r="DI314" s="522"/>
      <c r="DJ314" s="522"/>
      <c r="DK314" s="522"/>
      <c r="DL314" s="649"/>
      <c r="DM314" s="649"/>
      <c r="DN314" s="649"/>
      <c r="DO314" s="522"/>
      <c r="DP314" s="522"/>
      <c r="DQ314" s="522"/>
      <c r="DR314" s="522"/>
      <c r="DS314" s="522"/>
      <c r="DT314" s="522"/>
      <c r="DU314" s="522"/>
      <c r="DV314" s="522"/>
      <c r="DW314" s="522"/>
      <c r="DX314" s="522"/>
      <c r="DY314" s="522"/>
      <c r="DZ314" s="522"/>
      <c r="EA314" s="522"/>
      <c r="EB314" s="522"/>
      <c r="EC314" s="522"/>
      <c r="ED314" s="522"/>
      <c r="EE314" s="522"/>
      <c r="EF314" s="522"/>
      <c r="EG314" s="649">
        <f t="shared" si="307"/>
        <v>13.923</v>
      </c>
      <c r="EH314" s="649">
        <v>0</v>
      </c>
      <c r="EI314" s="649">
        <v>0</v>
      </c>
      <c r="EJ314" s="522">
        <v>2.5</v>
      </c>
      <c r="EK314" s="649">
        <v>6.5</v>
      </c>
      <c r="EL314" s="522"/>
      <c r="EM314" s="522"/>
      <c r="EN314" s="522"/>
      <c r="EO314" s="522"/>
      <c r="EP314" s="522"/>
      <c r="EQ314" s="522"/>
      <c r="ER314" s="522"/>
      <c r="ES314" s="407"/>
      <c r="ET314" s="407"/>
    </row>
    <row r="315" spans="1:150" s="357" customFormat="1" ht="15">
      <c r="A315" s="675" t="s">
        <v>6</v>
      </c>
      <c r="B315" s="712">
        <v>41941</v>
      </c>
      <c r="C315" s="820">
        <v>0</v>
      </c>
      <c r="D315" s="643">
        <v>0.54</v>
      </c>
      <c r="E315" s="807">
        <v>0</v>
      </c>
      <c r="F315" s="807">
        <v>0</v>
      </c>
      <c r="G315" s="807">
        <v>2.15</v>
      </c>
      <c r="H315" s="643">
        <v>4.8</v>
      </c>
      <c r="I315" s="643">
        <v>85</v>
      </c>
      <c r="J315" s="643" t="s">
        <v>744</v>
      </c>
      <c r="K315" s="643">
        <v>2.88</v>
      </c>
      <c r="L315" s="821">
        <v>15.260000000002037</v>
      </c>
      <c r="M315" s="643">
        <v>12.7</v>
      </c>
      <c r="N315" s="643" t="s">
        <v>744</v>
      </c>
      <c r="O315" s="643" t="s">
        <v>743</v>
      </c>
      <c r="P315" s="643">
        <v>2.16</v>
      </c>
      <c r="Q315" s="643">
        <v>3.2573620816687869</v>
      </c>
      <c r="R315" s="643">
        <v>1547.9414583883749</v>
      </c>
      <c r="S315" s="643" t="s">
        <v>744</v>
      </c>
      <c r="T315" s="643">
        <v>8.06</v>
      </c>
      <c r="U315" s="643" t="s">
        <v>744</v>
      </c>
      <c r="V315" s="867">
        <v>0.59</v>
      </c>
      <c r="W315" s="1078" t="e">
        <v>#VALUE!</v>
      </c>
      <c r="X315" s="869">
        <v>49.100000000000009</v>
      </c>
      <c r="Y315" s="806">
        <v>22.15</v>
      </c>
      <c r="Z315" s="807">
        <v>35.03</v>
      </c>
      <c r="AA315" s="1109">
        <v>22.06</v>
      </c>
      <c r="AB315" s="1109">
        <v>34.909999999999997</v>
      </c>
      <c r="AC315" s="775">
        <f t="shared" si="308"/>
        <v>56.97</v>
      </c>
      <c r="AD315" s="775">
        <f t="shared" si="309"/>
        <v>88.132589999999993</v>
      </c>
      <c r="AE315" s="705"/>
      <c r="AF315" s="775"/>
      <c r="AG315" s="705">
        <v>1</v>
      </c>
      <c r="AH315" s="705"/>
      <c r="AI315" s="705"/>
      <c r="AJ315" s="407"/>
      <c r="AK315" s="407"/>
      <c r="AL315" s="407"/>
      <c r="AM315" s="407"/>
      <c r="AN315" s="407"/>
      <c r="AO315" s="387"/>
      <c r="AP315" s="387"/>
      <c r="AQ315" s="405">
        <v>0.51</v>
      </c>
      <c r="AR315" s="578">
        <v>0</v>
      </c>
      <c r="AS315" s="405">
        <v>21</v>
      </c>
      <c r="AT315" s="578">
        <v>0.73</v>
      </c>
      <c r="AU315" s="405">
        <v>22.3</v>
      </c>
      <c r="AV315" s="405">
        <v>327.8</v>
      </c>
      <c r="AW315" s="405">
        <v>369.2</v>
      </c>
      <c r="AX315" s="405">
        <v>0</v>
      </c>
      <c r="AY315" s="578">
        <v>0</v>
      </c>
      <c r="AZ315" s="578">
        <v>0</v>
      </c>
      <c r="BA315" s="578">
        <v>0</v>
      </c>
      <c r="BB315" s="925">
        <v>1</v>
      </c>
      <c r="BC315" s="405">
        <v>0</v>
      </c>
      <c r="BD315" s="405">
        <v>1.87</v>
      </c>
      <c r="BE315" s="578">
        <v>0</v>
      </c>
      <c r="BF315" s="405">
        <v>0.63</v>
      </c>
      <c r="BG315" s="405">
        <v>0</v>
      </c>
      <c r="BH315" s="578">
        <v>0</v>
      </c>
      <c r="BI315" s="405">
        <v>0</v>
      </c>
      <c r="BJ315" s="405">
        <v>32.5</v>
      </c>
      <c r="BK315" s="405">
        <v>2.5499999999999998</v>
      </c>
      <c r="BL315" s="405">
        <v>3.67</v>
      </c>
      <c r="BM315" s="405">
        <v>0</v>
      </c>
      <c r="BN315" s="405">
        <v>24.9</v>
      </c>
      <c r="BO315" s="405">
        <v>388.2</v>
      </c>
      <c r="BP315" s="405">
        <v>56.1</v>
      </c>
      <c r="BQ315" s="649">
        <v>20.93</v>
      </c>
      <c r="BR315" s="649">
        <v>21.16</v>
      </c>
      <c r="BS315" s="649">
        <v>9.77</v>
      </c>
      <c r="BT315" s="649">
        <v>9.92</v>
      </c>
      <c r="BU315" s="648">
        <v>21</v>
      </c>
      <c r="BV315" s="648">
        <v>23.3</v>
      </c>
      <c r="BW315" s="649">
        <v>430.8</v>
      </c>
      <c r="BX315" s="876"/>
      <c r="BY315" s="649">
        <v>2.62</v>
      </c>
      <c r="BZ315" s="649">
        <v>1.56</v>
      </c>
      <c r="CA315" s="649">
        <v>1.1000000000000001</v>
      </c>
      <c r="CB315" s="649">
        <v>8.8000000000000007</v>
      </c>
      <c r="CC315" s="649">
        <v>8</v>
      </c>
      <c r="CD315" s="649">
        <v>14.6</v>
      </c>
      <c r="CE315" s="649">
        <v>31.4</v>
      </c>
      <c r="CF315" s="649">
        <v>2.4</v>
      </c>
      <c r="CG315" s="649">
        <v>2.9</v>
      </c>
      <c r="CH315" s="649">
        <v>7.5</v>
      </c>
      <c r="CI315" s="649">
        <v>11.6</v>
      </c>
      <c r="CJ315" s="649">
        <v>13.03</v>
      </c>
      <c r="CK315" s="649">
        <v>595.1</v>
      </c>
      <c r="CL315" s="649">
        <v>2.1</v>
      </c>
      <c r="CM315" s="649">
        <v>2.9</v>
      </c>
      <c r="CN315" s="649">
        <v>455.2</v>
      </c>
      <c r="CO315" s="649">
        <v>422.2</v>
      </c>
      <c r="CP315" s="649">
        <v>542.70000000000005</v>
      </c>
      <c r="CQ315" s="649">
        <v>15</v>
      </c>
      <c r="CR315" s="649">
        <v>1.05</v>
      </c>
      <c r="CS315" s="405">
        <v>0</v>
      </c>
      <c r="CT315" s="405">
        <v>17.760000000000002</v>
      </c>
      <c r="CU315" s="643">
        <v>58</v>
      </c>
      <c r="CV315" s="522">
        <v>0</v>
      </c>
      <c r="CW315" s="522">
        <v>0</v>
      </c>
      <c r="CX315" s="522">
        <v>0</v>
      </c>
      <c r="CY315" s="522">
        <v>0</v>
      </c>
      <c r="CZ315" s="642">
        <v>2020</v>
      </c>
      <c r="DA315" s="642">
        <v>2450</v>
      </c>
      <c r="DB315" s="642">
        <v>1860</v>
      </c>
      <c r="DC315" s="807">
        <v>1093.0999999999999</v>
      </c>
      <c r="DD315" s="808"/>
      <c r="DE315" s="522"/>
      <c r="DF315" s="522"/>
      <c r="DG315" s="522"/>
      <c r="DH315" s="522"/>
      <c r="DI315" s="522"/>
      <c r="DJ315" s="522"/>
      <c r="DK315" s="522"/>
      <c r="DL315" s="649"/>
      <c r="DM315" s="649"/>
      <c r="DN315" s="649"/>
      <c r="DO315" s="522"/>
      <c r="DP315" s="522"/>
      <c r="DQ315" s="522"/>
      <c r="DR315" s="522"/>
      <c r="DS315" s="522"/>
      <c r="DT315" s="522"/>
      <c r="DU315" s="522"/>
      <c r="DV315" s="522"/>
      <c r="DW315" s="522"/>
      <c r="DX315" s="522"/>
      <c r="DY315" s="522"/>
      <c r="DZ315" s="522"/>
      <c r="EA315" s="522"/>
      <c r="EB315" s="522"/>
      <c r="EC315" s="522"/>
      <c r="ED315" s="522"/>
      <c r="EE315" s="522"/>
      <c r="EF315" s="522"/>
      <c r="EG315" s="649">
        <f t="shared" si="307"/>
        <v>13.923</v>
      </c>
      <c r="EH315" s="649">
        <v>0</v>
      </c>
      <c r="EI315" s="649">
        <v>0</v>
      </c>
      <c r="EJ315" s="522">
        <v>2.5</v>
      </c>
      <c r="EK315" s="649">
        <v>6.5</v>
      </c>
      <c r="EL315" s="522"/>
      <c r="EM315" s="522"/>
      <c r="EN315" s="522"/>
      <c r="EO315" s="522"/>
      <c r="EP315" s="522"/>
      <c r="EQ315" s="522"/>
      <c r="ER315" s="522"/>
      <c r="ES315" s="407"/>
      <c r="ET315" s="407"/>
    </row>
    <row r="316" spans="1:150" s="357" customFormat="1" ht="15">
      <c r="A316" s="675" t="s">
        <v>7</v>
      </c>
      <c r="B316" s="712">
        <v>41942</v>
      </c>
      <c r="C316" s="820">
        <v>0</v>
      </c>
      <c r="D316" s="643">
        <v>0.83</v>
      </c>
      <c r="E316" s="807">
        <v>0</v>
      </c>
      <c r="F316" s="807">
        <v>0</v>
      </c>
      <c r="G316" s="807">
        <v>2.0499999999999998</v>
      </c>
      <c r="H316" s="643">
        <v>7.55</v>
      </c>
      <c r="I316" s="643">
        <v>84</v>
      </c>
      <c r="J316" s="643" t="s">
        <v>744</v>
      </c>
      <c r="K316" s="643">
        <v>2.77</v>
      </c>
      <c r="L316" s="821">
        <v>26.840000000000146</v>
      </c>
      <c r="M316" s="643">
        <v>12</v>
      </c>
      <c r="N316" s="643" t="s">
        <v>744</v>
      </c>
      <c r="O316" s="643">
        <v>0</v>
      </c>
      <c r="P316" s="643">
        <v>2.16</v>
      </c>
      <c r="Q316" s="643">
        <v>-5.114694410198397E-2</v>
      </c>
      <c r="R316" s="643">
        <v>1401.5364491413472</v>
      </c>
      <c r="S316" s="643" t="s">
        <v>744</v>
      </c>
      <c r="T316" s="643">
        <v>8</v>
      </c>
      <c r="U316" s="643" t="s">
        <v>744</v>
      </c>
      <c r="V316" s="867">
        <v>0.49</v>
      </c>
      <c r="W316" s="1078" t="e">
        <v>#VALUE!</v>
      </c>
      <c r="X316" s="869">
        <v>48.92</v>
      </c>
      <c r="Y316" s="806">
        <v>22.06</v>
      </c>
      <c r="Z316" s="807">
        <v>34.909999999999997</v>
      </c>
      <c r="AA316" s="1116">
        <v>22</v>
      </c>
      <c r="AB316" s="1116">
        <v>35</v>
      </c>
      <c r="AC316" s="775">
        <f t="shared" ref="AC316" si="310">AA316+AB316</f>
        <v>57</v>
      </c>
      <c r="AD316" s="775">
        <f t="shared" ref="AD316" si="311">AC316*1.547</f>
        <v>88.179000000000002</v>
      </c>
      <c r="AE316" s="705"/>
      <c r="AF316" s="775"/>
      <c r="AG316" s="705">
        <v>1</v>
      </c>
      <c r="AH316" s="705"/>
      <c r="AI316" s="705"/>
      <c r="AJ316" s="407"/>
      <c r="AK316" s="407"/>
      <c r="AL316" s="407"/>
      <c r="AM316" s="407"/>
      <c r="AN316" s="407"/>
      <c r="AO316" s="387"/>
      <c r="AP316" s="387"/>
      <c r="AQ316" s="405">
        <v>0.62</v>
      </c>
      <c r="AR316" s="578">
        <v>0</v>
      </c>
      <c r="AS316" s="405">
        <v>11.1</v>
      </c>
      <c r="AT316" s="874">
        <v>0.88</v>
      </c>
      <c r="AU316" s="405">
        <v>22.2</v>
      </c>
      <c r="AV316" s="405">
        <v>485.1</v>
      </c>
      <c r="AW316" s="405">
        <v>442.6</v>
      </c>
      <c r="AX316" s="405">
        <v>0</v>
      </c>
      <c r="AY316" s="578">
        <v>0</v>
      </c>
      <c r="AZ316" s="578">
        <v>0</v>
      </c>
      <c r="BA316" s="578">
        <v>0</v>
      </c>
      <c r="BB316" s="925">
        <v>0.99</v>
      </c>
      <c r="BC316" s="405">
        <v>0</v>
      </c>
      <c r="BD316" s="405">
        <v>1.87</v>
      </c>
      <c r="BE316" s="578">
        <v>0</v>
      </c>
      <c r="BF316" s="405">
        <v>0.63</v>
      </c>
      <c r="BG316" s="405">
        <v>0</v>
      </c>
      <c r="BH316" s="578">
        <v>0</v>
      </c>
      <c r="BI316" s="405">
        <v>0</v>
      </c>
      <c r="BJ316" s="405">
        <v>32.5</v>
      </c>
      <c r="BK316" s="405">
        <v>2.82</v>
      </c>
      <c r="BL316" s="405">
        <v>3.62</v>
      </c>
      <c r="BM316" s="405">
        <v>0</v>
      </c>
      <c r="BN316" s="405">
        <v>24.86</v>
      </c>
      <c r="BO316" s="405">
        <v>894.2</v>
      </c>
      <c r="BP316" s="405">
        <v>491.8</v>
      </c>
      <c r="BQ316" s="649">
        <v>19.989999999999998</v>
      </c>
      <c r="BR316" s="649">
        <v>20.21</v>
      </c>
      <c r="BS316" s="649">
        <v>9.6</v>
      </c>
      <c r="BT316" s="649">
        <v>9.75</v>
      </c>
      <c r="BU316" s="648">
        <v>20.7</v>
      </c>
      <c r="BV316" s="648">
        <v>27.4</v>
      </c>
      <c r="BW316" s="649">
        <v>588.9</v>
      </c>
      <c r="BX316" s="876"/>
      <c r="BY316" s="649">
        <v>5.34</v>
      </c>
      <c r="BZ316" s="649">
        <v>1.69</v>
      </c>
      <c r="CA316" s="649">
        <v>1.1000000000000001</v>
      </c>
      <c r="CB316" s="649">
        <v>8.8000000000000007</v>
      </c>
      <c r="CC316" s="649">
        <v>8</v>
      </c>
      <c r="CD316" s="649">
        <v>15.8</v>
      </c>
      <c r="CE316" s="649">
        <v>31.1</v>
      </c>
      <c r="CF316" s="649">
        <v>9.9</v>
      </c>
      <c r="CG316" s="649">
        <v>4.7</v>
      </c>
      <c r="CH316" s="649">
        <v>9.6999999999999993</v>
      </c>
      <c r="CI316" s="649">
        <v>13.7</v>
      </c>
      <c r="CJ316" s="649">
        <v>13.64</v>
      </c>
      <c r="CK316" s="649">
        <v>592.29999999999995</v>
      </c>
      <c r="CL316" s="649">
        <v>2.7</v>
      </c>
      <c r="CM316" s="649">
        <v>2.2999999999999998</v>
      </c>
      <c r="CN316" s="649">
        <v>391.4</v>
      </c>
      <c r="CO316" s="649">
        <v>316</v>
      </c>
      <c r="CP316" s="649">
        <v>524.4</v>
      </c>
      <c r="CQ316" s="649">
        <v>14.4</v>
      </c>
      <c r="CR316" s="649">
        <v>1</v>
      </c>
      <c r="CS316" s="405">
        <v>0</v>
      </c>
      <c r="CT316" s="405">
        <v>15.85</v>
      </c>
      <c r="CU316" s="643">
        <v>55</v>
      </c>
      <c r="CV316" s="522">
        <v>0</v>
      </c>
      <c r="CW316" s="522">
        <v>0</v>
      </c>
      <c r="CX316" s="522">
        <v>0</v>
      </c>
      <c r="CY316" s="522">
        <v>0</v>
      </c>
      <c r="CZ316" s="642">
        <v>1910</v>
      </c>
      <c r="DA316" s="642">
        <v>2400</v>
      </c>
      <c r="DB316" s="642">
        <v>1780</v>
      </c>
      <c r="DC316" s="643">
        <v>1086.3</v>
      </c>
      <c r="DD316" s="808"/>
      <c r="DE316" s="522"/>
      <c r="DF316" s="522"/>
      <c r="DG316" s="522"/>
      <c r="DH316" s="522"/>
      <c r="DI316" s="522"/>
      <c r="DJ316" s="522"/>
      <c r="DK316" s="522"/>
      <c r="DL316" s="649"/>
      <c r="DM316" s="649"/>
      <c r="DN316" s="649"/>
      <c r="DO316" s="522"/>
      <c r="DP316" s="522"/>
      <c r="DQ316" s="522"/>
      <c r="DR316" s="522"/>
      <c r="DS316" s="522"/>
      <c r="DT316" s="522"/>
      <c r="DU316" s="522"/>
      <c r="DV316" s="522"/>
      <c r="DW316" s="522"/>
      <c r="DX316" s="522"/>
      <c r="DY316" s="522"/>
      <c r="DZ316" s="522"/>
      <c r="EA316" s="522"/>
      <c r="EB316" s="522"/>
      <c r="EC316" s="522"/>
      <c r="ED316" s="522"/>
      <c r="EE316" s="522"/>
      <c r="EF316" s="522"/>
      <c r="EG316" s="649">
        <f t="shared" si="307"/>
        <v>13.923</v>
      </c>
      <c r="EH316" s="649">
        <v>0</v>
      </c>
      <c r="EI316" s="649">
        <v>0</v>
      </c>
      <c r="EJ316" s="522">
        <v>2.5</v>
      </c>
      <c r="EK316" s="649">
        <v>6.5</v>
      </c>
      <c r="EL316" s="522"/>
      <c r="EM316" s="522"/>
      <c r="EN316" s="522"/>
      <c r="EO316" s="522"/>
      <c r="EP316" s="522"/>
      <c r="EQ316" s="522"/>
      <c r="ER316" s="522"/>
      <c r="ES316" s="407"/>
      <c r="ET316" s="407"/>
    </row>
    <row r="317" spans="1:150" s="357" customFormat="1" ht="15">
      <c r="A317" s="675" t="s">
        <v>8</v>
      </c>
      <c r="B317" s="712">
        <v>41943</v>
      </c>
      <c r="C317" s="820">
        <v>0</v>
      </c>
      <c r="D317" s="643">
        <v>0.4</v>
      </c>
      <c r="E317" s="807">
        <v>0</v>
      </c>
      <c r="F317" s="807">
        <v>0</v>
      </c>
      <c r="G317" s="807">
        <v>1.4</v>
      </c>
      <c r="H317" s="643">
        <v>9.0399999999999991</v>
      </c>
      <c r="I317" s="643">
        <v>83.5</v>
      </c>
      <c r="J317" s="643" t="s">
        <v>744</v>
      </c>
      <c r="K317" s="643">
        <v>2.4300000000000002</v>
      </c>
      <c r="L317" s="821">
        <v>33.519999999996799</v>
      </c>
      <c r="M317" s="643">
        <v>11.1</v>
      </c>
      <c r="N317" s="643" t="s">
        <v>744</v>
      </c>
      <c r="O317" s="643" t="s">
        <v>743</v>
      </c>
      <c r="P317" s="643">
        <v>2.1059999999999999</v>
      </c>
      <c r="Q317" s="643">
        <v>2.5267321274403316</v>
      </c>
      <c r="R317" s="643">
        <v>1070.5056538969613</v>
      </c>
      <c r="S317" s="643" t="s">
        <v>744</v>
      </c>
      <c r="T317" s="643">
        <v>8.0410000000000004</v>
      </c>
      <c r="U317" s="643" t="s">
        <v>744</v>
      </c>
      <c r="V317" s="867">
        <v>0.67800000000000005</v>
      </c>
      <c r="W317" s="1078" t="e">
        <v>#VALUE!</v>
      </c>
      <c r="X317" s="869">
        <v>47.84</v>
      </c>
      <c r="Y317" s="806">
        <v>25.09</v>
      </c>
      <c r="Z317" s="807">
        <v>36.520000000000003</v>
      </c>
      <c r="AA317" s="1109">
        <v>22.31</v>
      </c>
      <c r="AB317" s="1109">
        <v>27</v>
      </c>
      <c r="AC317" s="775">
        <f t="shared" ref="AC317:AC319" si="312">AA317+AB317</f>
        <v>49.31</v>
      </c>
      <c r="AD317" s="775">
        <f t="shared" ref="AD317:AD319" si="313">AC317*1.547</f>
        <v>76.282570000000007</v>
      </c>
      <c r="AE317" s="705"/>
      <c r="AF317" s="775"/>
      <c r="AG317" s="705">
        <v>1</v>
      </c>
      <c r="AH317" s="705"/>
      <c r="AI317" s="705"/>
      <c r="AJ317" s="407"/>
      <c r="AK317" s="407"/>
      <c r="AL317" s="407"/>
      <c r="AM317" s="407"/>
      <c r="AN317" s="407"/>
      <c r="AO317" s="387"/>
      <c r="AP317" s="387"/>
      <c r="AQ317" s="405"/>
      <c r="AR317" s="578">
        <v>0</v>
      </c>
      <c r="AS317" s="405">
        <v>10.7</v>
      </c>
      <c r="AT317" s="578">
        <v>0</v>
      </c>
      <c r="AU317" s="405">
        <v>23</v>
      </c>
      <c r="AV317" s="405">
        <v>253.7</v>
      </c>
      <c r="AW317" s="405">
        <v>638</v>
      </c>
      <c r="AX317" s="405">
        <v>0.1</v>
      </c>
      <c r="AY317" s="578">
        <v>0</v>
      </c>
      <c r="AZ317" s="578">
        <v>0</v>
      </c>
      <c r="BA317" s="578">
        <v>0</v>
      </c>
      <c r="BB317" s="925">
        <v>0.99</v>
      </c>
      <c r="BC317" s="405">
        <v>0</v>
      </c>
      <c r="BD317" s="405">
        <v>1.87</v>
      </c>
      <c r="BE317" s="578">
        <v>0</v>
      </c>
      <c r="BF317" s="405">
        <v>0.62</v>
      </c>
      <c r="BG317" s="405">
        <v>0</v>
      </c>
      <c r="BH317" s="578">
        <v>0</v>
      </c>
      <c r="BI317" s="405">
        <v>0</v>
      </c>
      <c r="BJ317" s="405">
        <v>24.6</v>
      </c>
      <c r="BK317" s="405">
        <v>2.75</v>
      </c>
      <c r="BL317" s="405">
        <v>3.72</v>
      </c>
      <c r="BM317" s="405">
        <v>0</v>
      </c>
      <c r="BN317" s="405">
        <v>17.100000000000001</v>
      </c>
      <c r="BO317" s="405">
        <v>906.1</v>
      </c>
      <c r="BP317" s="405">
        <v>461.6</v>
      </c>
      <c r="BQ317" s="649">
        <v>19.7</v>
      </c>
      <c r="BR317" s="649">
        <v>19.940000000000001</v>
      </c>
      <c r="BS317" s="649">
        <v>10.02</v>
      </c>
      <c r="BT317" s="649">
        <v>10.18</v>
      </c>
      <c r="BU317" s="648">
        <v>21.5</v>
      </c>
      <c r="BV317" s="648">
        <v>26.2</v>
      </c>
      <c r="BW317" s="649">
        <v>402.4</v>
      </c>
      <c r="BX317" s="876">
        <v>0</v>
      </c>
      <c r="BY317" s="649">
        <v>2.69</v>
      </c>
      <c r="BZ317" s="649">
        <v>1.63</v>
      </c>
      <c r="CA317" s="649">
        <v>1.2</v>
      </c>
      <c r="CB317" s="649">
        <v>8.9</v>
      </c>
      <c r="CC317" s="649">
        <v>8</v>
      </c>
      <c r="CD317" s="649">
        <v>16.100000000000001</v>
      </c>
      <c r="CE317" s="649">
        <v>30.9</v>
      </c>
      <c r="CF317" s="649">
        <v>20.399999999999999</v>
      </c>
      <c r="CG317" s="649">
        <v>6.9</v>
      </c>
      <c r="CH317" s="649">
        <v>12.2</v>
      </c>
      <c r="CI317" s="649">
        <v>16.3</v>
      </c>
      <c r="CJ317" s="649">
        <v>13.85</v>
      </c>
      <c r="CK317" s="649">
        <v>293.8</v>
      </c>
      <c r="CL317" s="649">
        <v>2.2999999999999998</v>
      </c>
      <c r="CM317" s="649">
        <v>2.4</v>
      </c>
      <c r="CN317" s="649">
        <v>217.4</v>
      </c>
      <c r="CO317" s="649">
        <v>304.3</v>
      </c>
      <c r="CP317" s="649">
        <v>514.20000000000005</v>
      </c>
      <c r="CQ317" s="649">
        <v>14.5</v>
      </c>
      <c r="CR317" s="649">
        <v>0.99</v>
      </c>
      <c r="CS317" s="405">
        <v>5683.7</v>
      </c>
      <c r="CT317" s="405">
        <v>16.690000000000001</v>
      </c>
      <c r="CU317" s="643">
        <v>55</v>
      </c>
      <c r="CV317" s="522">
        <v>0</v>
      </c>
      <c r="CW317" s="522">
        <v>0</v>
      </c>
      <c r="CX317" s="522">
        <v>0</v>
      </c>
      <c r="CY317" s="522">
        <v>0</v>
      </c>
      <c r="CZ317" s="642">
        <v>1110</v>
      </c>
      <c r="DA317" s="642">
        <v>1790</v>
      </c>
      <c r="DB317" s="642">
        <v>1020</v>
      </c>
      <c r="DC317" s="643">
        <v>1083</v>
      </c>
      <c r="DD317" s="808"/>
      <c r="DE317" s="522"/>
      <c r="DF317" s="522"/>
      <c r="DG317" s="522"/>
      <c r="DH317" s="522"/>
      <c r="DI317" s="522"/>
      <c r="DJ317" s="522"/>
      <c r="DK317" s="522"/>
      <c r="DL317" s="649"/>
      <c r="DM317" s="649"/>
      <c r="DN317" s="649"/>
      <c r="DO317" s="522"/>
      <c r="DP317" s="522"/>
      <c r="DQ317" s="522"/>
      <c r="DR317" s="522"/>
      <c r="DS317" s="522"/>
      <c r="DT317" s="522"/>
      <c r="DU317" s="522"/>
      <c r="DV317" s="522"/>
      <c r="DW317" s="522"/>
      <c r="DX317" s="522"/>
      <c r="DY317" s="522"/>
      <c r="DZ317" s="522"/>
      <c r="EA317" s="522"/>
      <c r="EB317" s="522"/>
      <c r="EC317" s="522"/>
      <c r="ED317" s="522"/>
      <c r="EE317" s="522"/>
      <c r="EF317" s="522"/>
      <c r="EG317" s="649">
        <f t="shared" ref="EG317:EG330" si="314">(SUM(EH317:EK317))*1.547</f>
        <v>13.923</v>
      </c>
      <c r="EH317" s="649">
        <v>0</v>
      </c>
      <c r="EI317" s="649">
        <v>0</v>
      </c>
      <c r="EJ317" s="522">
        <v>2.5</v>
      </c>
      <c r="EK317" s="649">
        <v>6.5</v>
      </c>
      <c r="EL317" s="522"/>
      <c r="EM317" s="522"/>
      <c r="EN317" s="522"/>
      <c r="EO317" s="522"/>
      <c r="EP317" s="522"/>
      <c r="EQ317" s="522"/>
      <c r="ER317" s="522"/>
      <c r="ES317" s="407"/>
      <c r="ET317" s="407"/>
    </row>
    <row r="318" spans="1:150" s="357" customFormat="1" ht="15">
      <c r="A318" s="675" t="s">
        <v>9</v>
      </c>
      <c r="B318" s="712">
        <v>41944</v>
      </c>
      <c r="C318" s="820">
        <v>0</v>
      </c>
      <c r="D318" s="643">
        <v>0.04</v>
      </c>
      <c r="E318" s="807">
        <v>0</v>
      </c>
      <c r="F318" s="807">
        <v>0</v>
      </c>
      <c r="G318" s="807">
        <v>1.35</v>
      </c>
      <c r="H318" s="643">
        <v>5.51</v>
      </c>
      <c r="I318" s="643">
        <v>86.97</v>
      </c>
      <c r="J318" s="643" t="s">
        <v>744</v>
      </c>
      <c r="K318" s="643">
        <v>2.93</v>
      </c>
      <c r="L318" s="821">
        <v>5.5400000000008731</v>
      </c>
      <c r="M318" s="643">
        <v>16</v>
      </c>
      <c r="N318" s="643" t="s">
        <v>744</v>
      </c>
      <c r="O318" s="643" t="s">
        <v>743</v>
      </c>
      <c r="P318" s="643">
        <v>2.3069999999999999</v>
      </c>
      <c r="Q318" s="643">
        <v>3.2122027404774935</v>
      </c>
      <c r="R318" s="643">
        <v>1315.3777490092468</v>
      </c>
      <c r="S318" s="643" t="s">
        <v>744</v>
      </c>
      <c r="T318" s="643">
        <v>8.0869999999999997</v>
      </c>
      <c r="U318" s="643" t="s">
        <v>744</v>
      </c>
      <c r="V318" s="867">
        <v>0.66300000000000003</v>
      </c>
      <c r="W318" s="868" t="e">
        <v>#VALUE!</v>
      </c>
      <c r="X318" s="869">
        <v>48.92</v>
      </c>
      <c r="Y318" s="806">
        <v>22.31</v>
      </c>
      <c r="Z318" s="807">
        <v>27</v>
      </c>
      <c r="AA318" s="1109">
        <v>22.3</v>
      </c>
      <c r="AB318" s="1109">
        <v>26.2</v>
      </c>
      <c r="AC318" s="775">
        <f t="shared" si="312"/>
        <v>48.5</v>
      </c>
      <c r="AD318" s="775">
        <f t="shared" si="313"/>
        <v>75.029499999999999</v>
      </c>
      <c r="AE318" s="705"/>
      <c r="AF318" s="775"/>
      <c r="AG318" s="705">
        <v>1</v>
      </c>
      <c r="AH318" s="705"/>
      <c r="AI318" s="705"/>
      <c r="AJ318" s="675"/>
      <c r="AK318" s="407"/>
      <c r="AL318" s="407"/>
      <c r="AM318" s="407"/>
      <c r="AN318" s="407"/>
      <c r="AO318" s="387"/>
      <c r="AP318" s="387"/>
      <c r="AQ318" s="405"/>
      <c r="AR318" s="578">
        <v>0</v>
      </c>
      <c r="AS318" s="405">
        <v>11.8</v>
      </c>
      <c r="AT318" s="578">
        <v>0</v>
      </c>
      <c r="AU318" s="405">
        <v>23</v>
      </c>
      <c r="AV318" s="405">
        <v>397.4</v>
      </c>
      <c r="AW318" s="405">
        <v>749.5</v>
      </c>
      <c r="AX318" s="405">
        <v>0</v>
      </c>
      <c r="AY318" s="578">
        <v>0</v>
      </c>
      <c r="AZ318" s="578">
        <v>0</v>
      </c>
      <c r="BA318" s="578">
        <v>0</v>
      </c>
      <c r="BB318" s="925">
        <v>1</v>
      </c>
      <c r="BC318" s="405">
        <v>0</v>
      </c>
      <c r="BD318" s="405">
        <v>1.87</v>
      </c>
      <c r="BE318" s="578">
        <v>0</v>
      </c>
      <c r="BF318" s="405">
        <v>0.62</v>
      </c>
      <c r="BG318" s="405">
        <v>0</v>
      </c>
      <c r="BH318" s="578">
        <v>0</v>
      </c>
      <c r="BI318" s="405">
        <v>0</v>
      </c>
      <c r="BJ318" s="405">
        <v>23.7</v>
      </c>
      <c r="BK318" s="405">
        <v>2.94</v>
      </c>
      <c r="BL318" s="405">
        <v>3.8</v>
      </c>
      <c r="BM318" s="405">
        <v>0</v>
      </c>
      <c r="BN318" s="405">
        <v>15.9</v>
      </c>
      <c r="BO318" s="405">
        <v>815.7</v>
      </c>
      <c r="BP318" s="405">
        <v>364.6</v>
      </c>
      <c r="BQ318" s="649">
        <v>21.45</v>
      </c>
      <c r="BR318" s="649">
        <v>21.68</v>
      </c>
      <c r="BS318" s="649">
        <v>10.02</v>
      </c>
      <c r="BT318" s="649">
        <v>10.18</v>
      </c>
      <c r="BU318" s="648">
        <v>21.5</v>
      </c>
      <c r="BV318" s="648">
        <v>20.6</v>
      </c>
      <c r="BW318" s="649">
        <v>430.5</v>
      </c>
      <c r="BX318" s="876"/>
      <c r="BY318" s="649">
        <v>2.33</v>
      </c>
      <c r="BZ318" s="649">
        <v>1.6</v>
      </c>
      <c r="CA318" s="649">
        <v>1.2</v>
      </c>
      <c r="CB318" s="649">
        <v>8.8000000000000007</v>
      </c>
      <c r="CC318" s="649">
        <v>8</v>
      </c>
      <c r="CD318" s="649">
        <v>15.4</v>
      </c>
      <c r="CE318" s="649">
        <v>29.7</v>
      </c>
      <c r="CF318" s="649">
        <v>21.2</v>
      </c>
      <c r="CG318" s="649">
        <v>7.2</v>
      </c>
      <c r="CH318" s="649">
        <v>12.2</v>
      </c>
      <c r="CI318" s="649">
        <v>17.3</v>
      </c>
      <c r="CJ318" s="649">
        <v>13.45</v>
      </c>
      <c r="CK318" s="649">
        <v>0</v>
      </c>
      <c r="CL318" s="649">
        <v>1.3</v>
      </c>
      <c r="CM318" s="649">
        <v>1.3</v>
      </c>
      <c r="CN318" s="649">
        <v>268.5</v>
      </c>
      <c r="CO318" s="649">
        <v>337.8</v>
      </c>
      <c r="CP318" s="649">
        <v>486.8</v>
      </c>
      <c r="CQ318" s="649">
        <v>13.9</v>
      </c>
      <c r="CR318" s="649">
        <v>0.93</v>
      </c>
      <c r="CS318" s="405">
        <v>4939.2</v>
      </c>
      <c r="CT318" s="405">
        <v>15.359</v>
      </c>
      <c r="CU318" s="643">
        <v>54</v>
      </c>
      <c r="CV318" s="522">
        <v>0</v>
      </c>
      <c r="CW318" s="522">
        <v>0</v>
      </c>
      <c r="CX318" s="522">
        <v>0</v>
      </c>
      <c r="CY318" s="522">
        <v>0</v>
      </c>
      <c r="CZ318" s="642">
        <v>1110</v>
      </c>
      <c r="DA318" s="642">
        <v>1508</v>
      </c>
      <c r="DB318" s="642">
        <v>978</v>
      </c>
      <c r="DC318" s="643">
        <v>1083.5</v>
      </c>
      <c r="DD318" s="808"/>
      <c r="DE318" s="522"/>
      <c r="DF318" s="522"/>
      <c r="DG318" s="522"/>
      <c r="DH318" s="522"/>
      <c r="DI318" s="522"/>
      <c r="DJ318" s="522"/>
      <c r="DK318" s="522"/>
      <c r="DL318" s="649"/>
      <c r="DM318" s="649"/>
      <c r="DN318" s="649"/>
      <c r="DO318" s="522"/>
      <c r="DP318" s="522"/>
      <c r="DQ318" s="522"/>
      <c r="DR318" s="522"/>
      <c r="DS318" s="522"/>
      <c r="DT318" s="522"/>
      <c r="DU318" s="522"/>
      <c r="DV318" s="522"/>
      <c r="DW318" s="522"/>
      <c r="DX318" s="522"/>
      <c r="DY318" s="522"/>
      <c r="DZ318" s="522"/>
      <c r="EA318" s="522"/>
      <c r="EB318" s="522"/>
      <c r="EC318" s="522"/>
      <c r="ED318" s="522"/>
      <c r="EE318" s="522"/>
      <c r="EF318" s="522"/>
      <c r="EG318" s="649">
        <f t="shared" si="314"/>
        <v>13.923</v>
      </c>
      <c r="EH318" s="649">
        <v>0</v>
      </c>
      <c r="EI318" s="649">
        <v>0</v>
      </c>
      <c r="EJ318" s="522">
        <v>2.5</v>
      </c>
      <c r="EK318" s="649">
        <v>6.5</v>
      </c>
      <c r="EL318" s="522"/>
      <c r="EM318" s="522"/>
      <c r="EN318" s="522"/>
      <c r="EO318" s="522"/>
      <c r="EP318" s="522"/>
      <c r="EQ318" s="522"/>
      <c r="ER318" s="522"/>
      <c r="ES318" s="407"/>
      <c r="ET318" s="407"/>
    </row>
    <row r="319" spans="1:150" s="357" customFormat="1" ht="15">
      <c r="A319" s="675" t="s">
        <v>3</v>
      </c>
      <c r="B319" s="712">
        <v>41945</v>
      </c>
      <c r="C319" s="820">
        <v>0</v>
      </c>
      <c r="D319" s="643">
        <v>0.51</v>
      </c>
      <c r="E319" s="807">
        <v>0</v>
      </c>
      <c r="F319" s="807">
        <v>0</v>
      </c>
      <c r="G319" s="807">
        <v>1.25</v>
      </c>
      <c r="H319" s="643">
        <v>2.54</v>
      </c>
      <c r="I319" s="643">
        <v>89.71</v>
      </c>
      <c r="J319" s="643" t="s">
        <v>744</v>
      </c>
      <c r="K319" s="643">
        <v>1.89</v>
      </c>
      <c r="L319" s="821">
        <v>0</v>
      </c>
      <c r="M319" s="643">
        <v>18.100000000000001</v>
      </c>
      <c r="N319" s="643" t="s">
        <v>744</v>
      </c>
      <c r="O319" s="643" t="s">
        <v>743</v>
      </c>
      <c r="P319" s="643">
        <v>2.2429999999999999</v>
      </c>
      <c r="Q319" s="643">
        <v>3.1534676354029063</v>
      </c>
      <c r="R319" s="643">
        <v>1472.795524438573</v>
      </c>
      <c r="S319" s="643" t="s">
        <v>744</v>
      </c>
      <c r="T319" s="643">
        <v>8.1489999999999991</v>
      </c>
      <c r="U319" s="643" t="s">
        <v>744</v>
      </c>
      <c r="V319" s="867">
        <v>0.67</v>
      </c>
      <c r="W319" s="868" t="e">
        <v>#VALUE!</v>
      </c>
      <c r="X319" s="869">
        <v>48.56</v>
      </c>
      <c r="Y319" s="806">
        <v>22.3</v>
      </c>
      <c r="Z319" s="807">
        <v>26.2</v>
      </c>
      <c r="AA319" s="1109">
        <v>22.2</v>
      </c>
      <c r="AB319" s="1109">
        <v>30</v>
      </c>
      <c r="AC319" s="775">
        <f t="shared" si="312"/>
        <v>52.2</v>
      </c>
      <c r="AD319" s="775">
        <f t="shared" si="313"/>
        <v>80.753399999999999</v>
      </c>
      <c r="AE319" s="705"/>
      <c r="AF319" s="775"/>
      <c r="AG319" s="705">
        <v>1</v>
      </c>
      <c r="AH319" s="705"/>
      <c r="AI319" s="705"/>
      <c r="AJ319" s="675"/>
      <c r="AK319" s="407"/>
      <c r="AL319" s="407"/>
      <c r="AM319" s="407"/>
      <c r="AN319" s="407"/>
      <c r="AO319" s="387"/>
      <c r="AP319" s="387"/>
      <c r="AQ319" s="405"/>
      <c r="AR319" s="578">
        <v>0</v>
      </c>
      <c r="AS319" s="405">
        <v>11.2</v>
      </c>
      <c r="AT319" s="578">
        <v>0</v>
      </c>
      <c r="AU319" s="405">
        <v>22.9</v>
      </c>
      <c r="AV319" s="405">
        <v>249.2</v>
      </c>
      <c r="AW319" s="405">
        <v>763.1</v>
      </c>
      <c r="AX319" s="405">
        <v>0</v>
      </c>
      <c r="AY319" s="578">
        <v>0</v>
      </c>
      <c r="AZ319" s="578">
        <v>0</v>
      </c>
      <c r="BA319" s="578">
        <v>0</v>
      </c>
      <c r="BB319" s="925">
        <v>1.01</v>
      </c>
      <c r="BC319" s="405">
        <v>0</v>
      </c>
      <c r="BD319" s="405">
        <v>1.95</v>
      </c>
      <c r="BE319" s="578">
        <v>0</v>
      </c>
      <c r="BF319" s="405">
        <v>0.65</v>
      </c>
      <c r="BG319" s="405">
        <v>0</v>
      </c>
      <c r="BH319" s="578">
        <v>0</v>
      </c>
      <c r="BI319" s="405">
        <v>0</v>
      </c>
      <c r="BJ319" s="405">
        <v>27.5</v>
      </c>
      <c r="BK319" s="405">
        <v>3.09</v>
      </c>
      <c r="BL319" s="405">
        <v>3.96</v>
      </c>
      <c r="BM319" s="405">
        <v>0</v>
      </c>
      <c r="BN319" s="405">
        <v>19.399999999999999</v>
      </c>
      <c r="BO319" s="405">
        <v>205.4</v>
      </c>
      <c r="BP319" s="405">
        <v>136.19999999999999</v>
      </c>
      <c r="BQ319" s="649">
        <v>20.88</v>
      </c>
      <c r="BR319" s="649">
        <v>21.11</v>
      </c>
      <c r="BS319" s="649">
        <v>9.9700000000000006</v>
      </c>
      <c r="BT319" s="649">
        <v>10.08</v>
      </c>
      <c r="BU319" s="648">
        <v>21.3</v>
      </c>
      <c r="BV319" s="648">
        <v>26.6</v>
      </c>
      <c r="BW319" s="649">
        <v>610.79999999999995</v>
      </c>
      <c r="BX319" s="876"/>
      <c r="BY319" s="649">
        <v>2.33</v>
      </c>
      <c r="BZ319" s="649">
        <v>1.64</v>
      </c>
      <c r="CA319" s="649">
        <v>1.2</v>
      </c>
      <c r="CB319" s="649">
        <v>8.9</v>
      </c>
      <c r="CC319" s="649">
        <v>8</v>
      </c>
      <c r="CD319" s="649">
        <v>16.100000000000001</v>
      </c>
      <c r="CE319" s="649">
        <v>29.1</v>
      </c>
      <c r="CF319" s="649">
        <v>21.9</v>
      </c>
      <c r="CG319" s="649">
        <v>3</v>
      </c>
      <c r="CH319" s="649">
        <v>7.56</v>
      </c>
      <c r="CI319" s="649">
        <v>12.1</v>
      </c>
      <c r="CJ319" s="649">
        <v>14.03</v>
      </c>
      <c r="CK319" s="649">
        <v>0</v>
      </c>
      <c r="CL319" s="649">
        <v>1.8</v>
      </c>
      <c r="CM319" s="649">
        <v>1</v>
      </c>
      <c r="CN319" s="649">
        <v>347.7</v>
      </c>
      <c r="CO319" s="649">
        <v>360.1</v>
      </c>
      <c r="CP319" s="649">
        <v>477.7</v>
      </c>
      <c r="CQ319" s="649">
        <v>13</v>
      </c>
      <c r="CR319" s="649">
        <v>0.86</v>
      </c>
      <c r="CS319" s="405">
        <v>0</v>
      </c>
      <c r="CT319" s="405">
        <v>15.347</v>
      </c>
      <c r="CU319" s="643">
        <v>54</v>
      </c>
      <c r="CV319" s="522">
        <v>0</v>
      </c>
      <c r="CW319" s="522">
        <v>0</v>
      </c>
      <c r="CX319" s="522">
        <v>0</v>
      </c>
      <c r="CY319" s="522">
        <v>0</v>
      </c>
      <c r="CZ319" s="642">
        <v>1000</v>
      </c>
      <c r="DA319" s="642">
        <v>1380</v>
      </c>
      <c r="DB319" s="642">
        <v>893</v>
      </c>
      <c r="DC319" s="643">
        <v>1081.6500000000001</v>
      </c>
      <c r="DD319" s="808"/>
      <c r="DE319" s="522"/>
      <c r="DF319" s="522"/>
      <c r="DG319" s="522"/>
      <c r="DH319" s="522"/>
      <c r="DI319" s="522"/>
      <c r="DJ319" s="522"/>
      <c r="DK319" s="522"/>
      <c r="DL319" s="649"/>
      <c r="DM319" s="649"/>
      <c r="DN319" s="649"/>
      <c r="DO319" s="522"/>
      <c r="DP319" s="522"/>
      <c r="DQ319" s="522"/>
      <c r="DR319" s="522"/>
      <c r="DS319" s="522"/>
      <c r="DT319" s="522"/>
      <c r="DU319" s="522"/>
      <c r="DV319" s="522"/>
      <c r="DW319" s="522"/>
      <c r="DX319" s="522"/>
      <c r="DY319" s="522"/>
      <c r="DZ319" s="522"/>
      <c r="EA319" s="522"/>
      <c r="EB319" s="522"/>
      <c r="EC319" s="522"/>
      <c r="ED319" s="522"/>
      <c r="EE319" s="522"/>
      <c r="EF319" s="522"/>
      <c r="EG319" s="649">
        <f t="shared" si="314"/>
        <v>13.923</v>
      </c>
      <c r="EH319" s="649">
        <v>0</v>
      </c>
      <c r="EI319" s="649">
        <v>0</v>
      </c>
      <c r="EJ319" s="522">
        <v>2.5</v>
      </c>
      <c r="EK319" s="649">
        <v>6.5</v>
      </c>
      <c r="EL319" s="522"/>
      <c r="EM319" s="522"/>
      <c r="EN319" s="522"/>
      <c r="EO319" s="522"/>
      <c r="EP319" s="522"/>
      <c r="EQ319" s="522"/>
      <c r="ER319" s="522"/>
      <c r="ES319" s="407"/>
      <c r="ET319" s="407"/>
    </row>
    <row r="320" spans="1:150" s="357" customFormat="1" ht="15">
      <c r="A320" s="675" t="s">
        <v>4</v>
      </c>
      <c r="B320" s="712">
        <v>41946</v>
      </c>
      <c r="C320" s="820">
        <v>0</v>
      </c>
      <c r="D320" s="643">
        <v>1.23</v>
      </c>
      <c r="E320" s="807">
        <v>0</v>
      </c>
      <c r="F320" s="807">
        <v>0</v>
      </c>
      <c r="G320" s="807">
        <v>1.55</v>
      </c>
      <c r="H320" s="643">
        <v>3.84</v>
      </c>
      <c r="I320" s="643">
        <v>89.4</v>
      </c>
      <c r="J320" s="643" t="s">
        <v>744</v>
      </c>
      <c r="K320" s="643">
        <v>2.2000000000000002</v>
      </c>
      <c r="L320" s="821">
        <v>0.36999999999898137</v>
      </c>
      <c r="M320" s="643">
        <v>18.899999999999999</v>
      </c>
      <c r="N320" s="643" t="s">
        <v>744</v>
      </c>
      <c r="O320" s="643" t="s">
        <v>743</v>
      </c>
      <c r="P320" s="643">
        <v>2.19</v>
      </c>
      <c r="Q320" s="643">
        <v>3.2159606640087266</v>
      </c>
      <c r="R320" s="643">
        <v>1380.482631439894</v>
      </c>
      <c r="S320" s="643" t="s">
        <v>744</v>
      </c>
      <c r="T320" s="643">
        <v>8.1300000000000008</v>
      </c>
      <c r="U320" s="643" t="s">
        <v>744</v>
      </c>
      <c r="V320" s="867">
        <v>0.64</v>
      </c>
      <c r="W320" s="868" t="e">
        <v>#VALUE!</v>
      </c>
      <c r="X320" s="869">
        <v>48.92</v>
      </c>
      <c r="Y320" s="806">
        <v>22.2</v>
      </c>
      <c r="Z320" s="807">
        <v>30</v>
      </c>
      <c r="AA320" s="1109">
        <v>22.2</v>
      </c>
      <c r="AB320" s="1109">
        <v>29.95</v>
      </c>
      <c r="AC320" s="775">
        <f t="shared" ref="AC320" si="315">AA320+AB320</f>
        <v>52.15</v>
      </c>
      <c r="AD320" s="775">
        <f t="shared" ref="AD320" si="316">AC320*1.547</f>
        <v>80.676049999999989</v>
      </c>
      <c r="AE320" s="705"/>
      <c r="AF320" s="775"/>
      <c r="AG320" s="705">
        <v>1</v>
      </c>
      <c r="AH320" s="705"/>
      <c r="AI320" s="705"/>
      <c r="AJ320" s="675"/>
      <c r="AK320" s="407"/>
      <c r="AL320" s="407"/>
      <c r="AM320" s="407"/>
      <c r="AN320" s="407"/>
      <c r="AO320" s="387"/>
      <c r="AP320" s="387"/>
      <c r="AQ320" s="405"/>
      <c r="AR320" s="578">
        <v>0</v>
      </c>
      <c r="AS320" s="405">
        <v>20.2</v>
      </c>
      <c r="AT320" s="578">
        <v>0</v>
      </c>
      <c r="AU320" s="405">
        <v>22.9</v>
      </c>
      <c r="AV320" s="405">
        <v>384.1</v>
      </c>
      <c r="AW320" s="405">
        <v>846.3</v>
      </c>
      <c r="AX320" s="405">
        <v>0</v>
      </c>
      <c r="AY320" s="578">
        <v>0</v>
      </c>
      <c r="AZ320" s="578">
        <v>0</v>
      </c>
      <c r="BA320" s="578">
        <v>0</v>
      </c>
      <c r="BB320" s="925">
        <v>1</v>
      </c>
      <c r="BC320" s="405">
        <v>0</v>
      </c>
      <c r="BD320" s="405">
        <v>1.87</v>
      </c>
      <c r="BE320" s="578">
        <v>0</v>
      </c>
      <c r="BF320" s="405">
        <v>0.63</v>
      </c>
      <c r="BG320" s="405">
        <v>0</v>
      </c>
      <c r="BH320" s="578">
        <v>0</v>
      </c>
      <c r="BI320" s="405">
        <v>0</v>
      </c>
      <c r="BJ320" s="405">
        <v>27.5</v>
      </c>
      <c r="BK320" s="405">
        <v>2.98</v>
      </c>
      <c r="BL320" s="405">
        <v>3.94</v>
      </c>
      <c r="BM320" s="405">
        <v>0</v>
      </c>
      <c r="BN320" s="405">
        <v>19.399999999999999</v>
      </c>
      <c r="BO320" s="405">
        <v>439.2</v>
      </c>
      <c r="BP320" s="405">
        <v>293.89999999999998</v>
      </c>
      <c r="BQ320" s="649">
        <v>20.72</v>
      </c>
      <c r="BR320" s="649">
        <v>20.95</v>
      </c>
      <c r="BS320" s="649">
        <v>9.93</v>
      </c>
      <c r="BT320" s="649">
        <v>10.07</v>
      </c>
      <c r="BU320" s="648">
        <v>21.3</v>
      </c>
      <c r="BV320" s="648">
        <v>25.6</v>
      </c>
      <c r="BW320" s="649">
        <v>413.2</v>
      </c>
      <c r="BX320" s="876"/>
      <c r="BY320" s="649">
        <v>2.1800000000000002</v>
      </c>
      <c r="BZ320" s="649">
        <v>1.61</v>
      </c>
      <c r="CA320" s="649">
        <v>1.3</v>
      </c>
      <c r="CB320" s="649">
        <v>8.9</v>
      </c>
      <c r="CC320" s="649">
        <v>8</v>
      </c>
      <c r="CD320" s="649">
        <v>15.8</v>
      </c>
      <c r="CE320" s="649">
        <v>29.6</v>
      </c>
      <c r="CF320" s="649">
        <v>21.8</v>
      </c>
      <c r="CG320" s="649">
        <v>2.8</v>
      </c>
      <c r="CH320" s="649">
        <v>7.4</v>
      </c>
      <c r="CI320" s="649">
        <v>11.5</v>
      </c>
      <c r="CJ320" s="649">
        <v>13.79</v>
      </c>
      <c r="CK320" s="649">
        <v>285.7</v>
      </c>
      <c r="CL320" s="649">
        <v>1.3</v>
      </c>
      <c r="CM320" s="649">
        <v>0.9</v>
      </c>
      <c r="CN320" s="649">
        <v>195.2</v>
      </c>
      <c r="CO320" s="649">
        <v>338</v>
      </c>
      <c r="CP320" s="649">
        <v>500.1</v>
      </c>
      <c r="CQ320" s="649">
        <v>14</v>
      </c>
      <c r="CR320" s="649">
        <v>0.97</v>
      </c>
      <c r="CS320" s="405">
        <v>0</v>
      </c>
      <c r="CT320" s="405">
        <v>15.102</v>
      </c>
      <c r="CU320" s="643">
        <v>53</v>
      </c>
      <c r="CV320" s="522">
        <v>0</v>
      </c>
      <c r="CW320" s="522">
        <v>0</v>
      </c>
      <c r="CX320" s="522">
        <v>0</v>
      </c>
      <c r="CY320" s="522">
        <v>0</v>
      </c>
      <c r="CZ320" s="642">
        <v>1280</v>
      </c>
      <c r="DA320" s="642">
        <v>1710</v>
      </c>
      <c r="DB320" s="642">
        <v>1180</v>
      </c>
      <c r="DC320" s="643">
        <v>1082.3699999999999</v>
      </c>
      <c r="DD320" s="808"/>
      <c r="DE320" s="522"/>
      <c r="DF320" s="522"/>
      <c r="DG320" s="522"/>
      <c r="DH320" s="522"/>
      <c r="DI320" s="522"/>
      <c r="DJ320" s="522"/>
      <c r="DK320" s="522"/>
      <c r="DL320" s="649"/>
      <c r="DM320" s="649"/>
      <c r="DN320" s="649"/>
      <c r="DO320" s="522"/>
      <c r="DP320" s="522"/>
      <c r="DQ320" s="522"/>
      <c r="DR320" s="522"/>
      <c r="DS320" s="522"/>
      <c r="DT320" s="522"/>
      <c r="DU320" s="522"/>
      <c r="DV320" s="522"/>
      <c r="DW320" s="522"/>
      <c r="DX320" s="522"/>
      <c r="DY320" s="522"/>
      <c r="DZ320" s="522"/>
      <c r="EA320" s="522"/>
      <c r="EB320" s="522"/>
      <c r="EC320" s="522"/>
      <c r="ED320" s="522"/>
      <c r="EE320" s="522"/>
      <c r="EF320" s="522"/>
      <c r="EG320" s="649">
        <f t="shared" si="314"/>
        <v>13.923</v>
      </c>
      <c r="EH320" s="649">
        <v>0</v>
      </c>
      <c r="EI320" s="649">
        <v>0</v>
      </c>
      <c r="EJ320" s="522">
        <v>2.5</v>
      </c>
      <c r="EK320" s="649">
        <v>6.5</v>
      </c>
      <c r="EL320" s="522"/>
      <c r="EM320" s="522"/>
      <c r="EN320" s="522"/>
      <c r="EO320" s="522"/>
      <c r="EP320" s="522"/>
      <c r="EQ320" s="522"/>
      <c r="ER320" s="522"/>
      <c r="ES320" s="407"/>
      <c r="ET320" s="407"/>
    </row>
    <row r="321" spans="1:150" s="357" customFormat="1" ht="15">
      <c r="A321" s="675" t="s">
        <v>5</v>
      </c>
      <c r="B321" s="712">
        <v>41947</v>
      </c>
      <c r="C321" s="820">
        <v>0</v>
      </c>
      <c r="D321" s="643">
        <v>0.45</v>
      </c>
      <c r="E321" s="807">
        <v>0</v>
      </c>
      <c r="F321" s="807">
        <v>0</v>
      </c>
      <c r="G321" s="807">
        <v>2.2999999999999998</v>
      </c>
      <c r="H321" s="643">
        <v>15.9</v>
      </c>
      <c r="I321" s="643">
        <v>86.2</v>
      </c>
      <c r="J321" s="643" t="s">
        <v>744</v>
      </c>
      <c r="K321" s="643">
        <v>5</v>
      </c>
      <c r="L321" s="821">
        <v>28.180000000000291</v>
      </c>
      <c r="M321" s="643">
        <v>15.3</v>
      </c>
      <c r="N321" s="643" t="s">
        <v>744</v>
      </c>
      <c r="O321" s="643" t="s">
        <v>743</v>
      </c>
      <c r="P321" s="643">
        <v>2.1</v>
      </c>
      <c r="Q321" s="643">
        <v>2.989982864605881</v>
      </c>
      <c r="R321" s="643">
        <v>1320.8841321003961</v>
      </c>
      <c r="S321" s="643" t="s">
        <v>744</v>
      </c>
      <c r="T321" s="643">
        <v>7.72</v>
      </c>
      <c r="U321" s="643" t="s">
        <v>744</v>
      </c>
      <c r="V321" s="867">
        <v>0.67</v>
      </c>
      <c r="W321" s="868" t="e">
        <v>#VALUE!</v>
      </c>
      <c r="X321" s="869">
        <v>49.28</v>
      </c>
      <c r="Y321" s="806">
        <v>23.14</v>
      </c>
      <c r="Z321" s="807">
        <v>31.2</v>
      </c>
      <c r="AA321" s="1109">
        <v>22.26</v>
      </c>
      <c r="AB321" s="1109">
        <v>29.9</v>
      </c>
      <c r="AC321" s="775">
        <f t="shared" ref="AC321" si="317">AA321+AB321</f>
        <v>52.16</v>
      </c>
      <c r="AD321" s="775">
        <f t="shared" ref="AD321" si="318">AC321*1.547</f>
        <v>80.691519999999997</v>
      </c>
      <c r="AE321" s="705"/>
      <c r="AF321" s="775"/>
      <c r="AG321" s="705">
        <v>1</v>
      </c>
      <c r="AH321" s="705"/>
      <c r="AI321" s="705"/>
      <c r="AJ321" s="675"/>
      <c r="AK321" s="407"/>
      <c r="AL321" s="407"/>
      <c r="AM321" s="407"/>
      <c r="AN321" s="407"/>
      <c r="AO321" s="387"/>
      <c r="AP321" s="387"/>
      <c r="AQ321" s="405"/>
      <c r="AR321" s="578">
        <v>0</v>
      </c>
      <c r="AS321" s="405">
        <v>10.5</v>
      </c>
      <c r="AT321" s="578">
        <v>0</v>
      </c>
      <c r="AU321" s="405">
        <v>23</v>
      </c>
      <c r="AV321" s="405">
        <v>274.60000000000002</v>
      </c>
      <c r="AW321" s="405">
        <v>739.2</v>
      </c>
      <c r="AX321" s="405">
        <v>0</v>
      </c>
      <c r="AY321" s="578">
        <v>0</v>
      </c>
      <c r="AZ321" s="578">
        <v>0</v>
      </c>
      <c r="BA321" s="578">
        <v>0</v>
      </c>
      <c r="BB321" s="925">
        <v>1.04</v>
      </c>
      <c r="BC321" s="405">
        <v>0</v>
      </c>
      <c r="BD321" s="405">
        <v>1.87</v>
      </c>
      <c r="BE321" s="578">
        <v>0</v>
      </c>
      <c r="BF321" s="405">
        <v>0.62</v>
      </c>
      <c r="BG321" s="405">
        <v>0</v>
      </c>
      <c r="BH321" s="578">
        <v>0</v>
      </c>
      <c r="BI321" s="405">
        <v>0</v>
      </c>
      <c r="BJ321" s="405">
        <v>27.4</v>
      </c>
      <c r="BK321" s="405">
        <v>2.76</v>
      </c>
      <c r="BL321" s="405">
        <v>3.94</v>
      </c>
      <c r="BM321" s="405">
        <v>0</v>
      </c>
      <c r="BN321" s="405">
        <v>19.7</v>
      </c>
      <c r="BO321" s="405">
        <v>988</v>
      </c>
      <c r="BP321" s="405">
        <v>560.20000000000005</v>
      </c>
      <c r="BQ321" s="649">
        <v>20.07</v>
      </c>
      <c r="BR321" s="649">
        <v>20.309999999999999</v>
      </c>
      <c r="BS321" s="649">
        <v>10</v>
      </c>
      <c r="BT321" s="649">
        <v>10.119999999999999</v>
      </c>
      <c r="BU321" s="648">
        <v>21.4</v>
      </c>
      <c r="BV321" s="648">
        <v>26.9</v>
      </c>
      <c r="BW321" s="649">
        <v>417</v>
      </c>
      <c r="BX321" s="876"/>
      <c r="BY321" s="649">
        <v>2.2599999999999998</v>
      </c>
      <c r="BZ321" s="649">
        <v>1.52</v>
      </c>
      <c r="CA321" s="649">
        <v>1.3</v>
      </c>
      <c r="CB321" s="649">
        <v>8.9</v>
      </c>
      <c r="CC321" s="649">
        <v>8</v>
      </c>
      <c r="CD321" s="649">
        <v>16.3</v>
      </c>
      <c r="CE321" s="649">
        <v>30</v>
      </c>
      <c r="CF321" s="649">
        <v>21.4</v>
      </c>
      <c r="CG321" s="649">
        <v>5.8</v>
      </c>
      <c r="CH321" s="649">
        <v>11</v>
      </c>
      <c r="CI321" s="649">
        <v>15.08</v>
      </c>
      <c r="CJ321" s="649">
        <v>14.23</v>
      </c>
      <c r="CK321" s="649">
        <v>565.29999999999995</v>
      </c>
      <c r="CL321" s="649">
        <v>2</v>
      </c>
      <c r="CM321" s="649">
        <v>1.6</v>
      </c>
      <c r="CN321" s="649">
        <v>312.10000000000002</v>
      </c>
      <c r="CO321" s="649">
        <v>303.39999999999998</v>
      </c>
      <c r="CP321" s="649">
        <v>507.2</v>
      </c>
      <c r="CQ321" s="649">
        <v>13.7</v>
      </c>
      <c r="CR321" s="649">
        <v>0.94</v>
      </c>
      <c r="CS321" s="405">
        <v>0</v>
      </c>
      <c r="CT321" s="405">
        <v>14.648999999999999</v>
      </c>
      <c r="CU321" s="643">
        <v>53</v>
      </c>
      <c r="CV321" s="522">
        <v>0</v>
      </c>
      <c r="CW321" s="522">
        <v>0</v>
      </c>
      <c r="CX321" s="522">
        <v>0</v>
      </c>
      <c r="CY321" s="522">
        <v>0</v>
      </c>
      <c r="CZ321" s="642">
        <v>2180</v>
      </c>
      <c r="DA321" s="642">
        <v>2700</v>
      </c>
      <c r="DB321" s="642">
        <v>2130</v>
      </c>
      <c r="DC321" s="642">
        <v>1089.55</v>
      </c>
      <c r="DD321" s="808"/>
      <c r="DE321" s="522"/>
      <c r="DF321" s="522"/>
      <c r="DG321" s="522"/>
      <c r="DH321" s="522"/>
      <c r="DI321" s="522"/>
      <c r="DJ321" s="522"/>
      <c r="DK321" s="522"/>
      <c r="DL321" s="649"/>
      <c r="DM321" s="649"/>
      <c r="DN321" s="649"/>
      <c r="DO321" s="522"/>
      <c r="DP321" s="522"/>
      <c r="DQ321" s="522"/>
      <c r="DR321" s="522"/>
      <c r="DS321" s="522"/>
      <c r="DT321" s="522"/>
      <c r="DU321" s="522"/>
      <c r="DV321" s="522"/>
      <c r="DW321" s="522"/>
      <c r="DX321" s="522"/>
      <c r="DY321" s="522"/>
      <c r="DZ321" s="522"/>
      <c r="EA321" s="522"/>
      <c r="EB321" s="522"/>
      <c r="EC321" s="522"/>
      <c r="ED321" s="522"/>
      <c r="EE321" s="522"/>
      <c r="EF321" s="522"/>
      <c r="EG321" s="649">
        <f t="shared" si="314"/>
        <v>13.923</v>
      </c>
      <c r="EH321" s="649">
        <v>0</v>
      </c>
      <c r="EI321" s="649">
        <v>0</v>
      </c>
      <c r="EJ321" s="522">
        <v>2.5</v>
      </c>
      <c r="EK321" s="649">
        <v>6.5</v>
      </c>
      <c r="EL321" s="522"/>
      <c r="EM321" s="522"/>
      <c r="EN321" s="522"/>
      <c r="EO321" s="522"/>
      <c r="EP321" s="522"/>
      <c r="EQ321" s="522"/>
      <c r="ER321" s="522"/>
      <c r="ES321" s="407"/>
      <c r="ET321" s="407"/>
    </row>
    <row r="322" spans="1:150" s="357" customFormat="1" ht="15">
      <c r="A322" s="675" t="s">
        <v>6</v>
      </c>
      <c r="B322" s="712">
        <v>41948</v>
      </c>
      <c r="C322" s="820">
        <v>0</v>
      </c>
      <c r="D322" s="643">
        <v>0.3</v>
      </c>
      <c r="E322" s="807">
        <v>0</v>
      </c>
      <c r="F322" s="807">
        <v>0</v>
      </c>
      <c r="G322" s="807">
        <v>2.2999999999999998</v>
      </c>
      <c r="H322" s="643">
        <v>11.19</v>
      </c>
      <c r="I322" s="643" t="s">
        <v>10</v>
      </c>
      <c r="J322" s="643" t="s">
        <v>744</v>
      </c>
      <c r="K322" s="643">
        <v>3.54</v>
      </c>
      <c r="L322" s="821">
        <v>32.5</v>
      </c>
      <c r="M322" s="643">
        <v>16.100000000000001</v>
      </c>
      <c r="N322" s="643" t="s">
        <v>744</v>
      </c>
      <c r="O322" s="643" t="s">
        <v>743</v>
      </c>
      <c r="P322" s="643">
        <v>1.538</v>
      </c>
      <c r="Q322" s="643">
        <v>1.966475122340873</v>
      </c>
      <c r="R322" s="643">
        <v>867.41728929986766</v>
      </c>
      <c r="S322" s="643" t="s">
        <v>744</v>
      </c>
      <c r="T322" s="643">
        <v>7.01</v>
      </c>
      <c r="U322" s="643" t="s">
        <v>744</v>
      </c>
      <c r="V322" s="867">
        <v>0.34100000000000003</v>
      </c>
      <c r="W322" s="868" t="e">
        <v>#VALUE!</v>
      </c>
      <c r="X322" s="869">
        <v>48.019999999999996</v>
      </c>
      <c r="Y322" s="806">
        <v>22.26</v>
      </c>
      <c r="Z322" s="807">
        <v>29.9</v>
      </c>
      <c r="AA322" s="1109">
        <v>22.27</v>
      </c>
      <c r="AB322" s="1109">
        <v>30.06</v>
      </c>
      <c r="AC322" s="775">
        <f t="shared" ref="AC322" si="319">AA322+AB322</f>
        <v>52.33</v>
      </c>
      <c r="AD322" s="775">
        <f t="shared" ref="AD322" si="320">AC322*1.547</f>
        <v>80.954509999999999</v>
      </c>
      <c r="AE322" s="705"/>
      <c r="AF322" s="775"/>
      <c r="AG322" s="705">
        <v>1</v>
      </c>
      <c r="AH322" s="705"/>
      <c r="AI322" s="705"/>
      <c r="AJ322" s="675"/>
      <c r="AK322" s="407"/>
      <c r="AL322" s="407"/>
      <c r="AM322" s="407"/>
      <c r="AN322" s="407"/>
      <c r="AO322" s="387"/>
      <c r="AP322" s="387"/>
      <c r="AQ322" s="405"/>
      <c r="AR322" s="578">
        <v>0</v>
      </c>
      <c r="AS322" s="405">
        <v>10.8</v>
      </c>
      <c r="AT322" s="578">
        <v>0</v>
      </c>
      <c r="AU322" s="405">
        <v>23</v>
      </c>
      <c r="AV322" s="405">
        <v>229.5</v>
      </c>
      <c r="AW322" s="405">
        <v>781.3</v>
      </c>
      <c r="AX322" s="405">
        <v>0</v>
      </c>
      <c r="AY322" s="578">
        <v>0</v>
      </c>
      <c r="AZ322" s="578">
        <v>0</v>
      </c>
      <c r="BA322" s="578">
        <v>0</v>
      </c>
      <c r="BB322" s="925">
        <v>0.99</v>
      </c>
      <c r="BC322" s="405">
        <v>0</v>
      </c>
      <c r="BD322" s="405">
        <v>1.87</v>
      </c>
      <c r="BE322" s="578">
        <v>0</v>
      </c>
      <c r="BF322" s="405">
        <v>0.62</v>
      </c>
      <c r="BG322" s="405">
        <v>0</v>
      </c>
      <c r="BH322" s="578">
        <v>0</v>
      </c>
      <c r="BI322" s="405">
        <v>0</v>
      </c>
      <c r="BJ322" s="405">
        <v>27.5</v>
      </c>
      <c r="BK322" s="405">
        <v>2.17</v>
      </c>
      <c r="BL322" s="405">
        <v>4.5599999999999996</v>
      </c>
      <c r="BM322" s="405">
        <v>0</v>
      </c>
      <c r="BN322" s="405">
        <v>19.8</v>
      </c>
      <c r="BO322" s="405">
        <v>902.4</v>
      </c>
      <c r="BP322" s="405">
        <v>527</v>
      </c>
      <c r="BQ322" s="649">
        <v>20.38</v>
      </c>
      <c r="BR322" s="649">
        <v>20.61</v>
      </c>
      <c r="BS322" s="649">
        <v>9.9</v>
      </c>
      <c r="BT322" s="649">
        <v>10.11</v>
      </c>
      <c r="BU322" s="648">
        <v>21.6</v>
      </c>
      <c r="BV322" s="648">
        <v>24.2</v>
      </c>
      <c r="BW322" s="649">
        <v>592</v>
      </c>
      <c r="BX322" s="876"/>
      <c r="BY322" s="649">
        <v>2.29</v>
      </c>
      <c r="BZ322" s="649">
        <v>1.6</v>
      </c>
      <c r="CA322" s="649">
        <v>1.3</v>
      </c>
      <c r="CB322" s="649">
        <v>8.9</v>
      </c>
      <c r="CC322" s="649">
        <v>8</v>
      </c>
      <c r="CD322" s="649">
        <v>16.100000000000001</v>
      </c>
      <c r="CE322" s="649">
        <v>30.3</v>
      </c>
      <c r="CF322" s="649">
        <v>20.7</v>
      </c>
      <c r="CG322" s="649">
        <v>7.9</v>
      </c>
      <c r="CH322" s="649">
        <v>13.1</v>
      </c>
      <c r="CI322" s="649">
        <v>18</v>
      </c>
      <c r="CJ322" s="649">
        <v>13.49</v>
      </c>
      <c r="CK322" s="649">
        <v>499.7</v>
      </c>
      <c r="CL322" s="649">
        <v>1.6</v>
      </c>
      <c r="CM322" s="649">
        <v>1.6</v>
      </c>
      <c r="CN322" s="649">
        <v>263.5</v>
      </c>
      <c r="CO322" s="649">
        <v>302.5</v>
      </c>
      <c r="CP322" s="649">
        <v>532.5</v>
      </c>
      <c r="CQ322" s="649">
        <v>12.8</v>
      </c>
      <c r="CR322" s="649">
        <v>0.85</v>
      </c>
      <c r="CS322" s="405">
        <v>0</v>
      </c>
      <c r="CT322" s="405">
        <v>13.541</v>
      </c>
      <c r="CU322" s="643">
        <v>53</v>
      </c>
      <c r="CV322" s="522">
        <v>0</v>
      </c>
      <c r="CW322" s="522">
        <v>0</v>
      </c>
      <c r="CX322" s="522">
        <v>0</v>
      </c>
      <c r="CY322" s="522">
        <v>0</v>
      </c>
      <c r="CZ322" s="642">
        <v>2210</v>
      </c>
      <c r="DA322" s="642">
        <v>2760</v>
      </c>
      <c r="DB322" s="642">
        <v>2040</v>
      </c>
      <c r="DC322" s="642">
        <v>1090.6199999999999</v>
      </c>
      <c r="DD322" s="808"/>
      <c r="DE322" s="522"/>
      <c r="DF322" s="522"/>
      <c r="DG322" s="522"/>
      <c r="DH322" s="522"/>
      <c r="DI322" s="522"/>
      <c r="DJ322" s="522"/>
      <c r="DK322" s="522"/>
      <c r="DL322" s="649"/>
      <c r="DM322" s="649"/>
      <c r="DN322" s="649"/>
      <c r="DO322" s="522"/>
      <c r="DP322" s="522"/>
      <c r="DQ322" s="522"/>
      <c r="DR322" s="522"/>
      <c r="DS322" s="522"/>
      <c r="DT322" s="522"/>
      <c r="DU322" s="522"/>
      <c r="DV322" s="522"/>
      <c r="DW322" s="522"/>
      <c r="DX322" s="522"/>
      <c r="DY322" s="522"/>
      <c r="DZ322" s="522"/>
      <c r="EA322" s="522"/>
      <c r="EB322" s="522"/>
      <c r="EC322" s="522"/>
      <c r="ED322" s="522"/>
      <c r="EE322" s="522"/>
      <c r="EF322" s="522"/>
      <c r="EG322" s="649">
        <f t="shared" si="314"/>
        <v>13.923</v>
      </c>
      <c r="EH322" s="649">
        <v>0</v>
      </c>
      <c r="EI322" s="649">
        <v>0</v>
      </c>
      <c r="EJ322" s="522">
        <v>2.5</v>
      </c>
      <c r="EK322" s="649">
        <v>6.5</v>
      </c>
      <c r="EL322" s="522"/>
      <c r="EM322" s="522"/>
      <c r="EN322" s="522"/>
      <c r="EO322" s="522"/>
      <c r="EP322" s="522"/>
      <c r="EQ322" s="522"/>
      <c r="ER322" s="522"/>
      <c r="ES322" s="407"/>
      <c r="ET322" s="407"/>
    </row>
    <row r="323" spans="1:150" s="357" customFormat="1" ht="15">
      <c r="A323" s="675" t="s">
        <v>7</v>
      </c>
      <c r="B323" s="712">
        <v>41949</v>
      </c>
      <c r="C323" s="820">
        <v>0</v>
      </c>
      <c r="D323" s="643">
        <v>0.36</v>
      </c>
      <c r="E323" s="807">
        <v>0</v>
      </c>
      <c r="F323" s="807">
        <v>0</v>
      </c>
      <c r="G323" s="807">
        <v>2.15</v>
      </c>
      <c r="H323" s="643">
        <v>5.75</v>
      </c>
      <c r="I323" s="643">
        <v>86.89</v>
      </c>
      <c r="J323" s="643" t="s">
        <v>744</v>
      </c>
      <c r="K323" s="643">
        <v>2.71</v>
      </c>
      <c r="L323" s="821">
        <v>9.3400000000001455</v>
      </c>
      <c r="M323" s="643">
        <v>18.399999999999999</v>
      </c>
      <c r="N323" s="643" t="s">
        <v>744</v>
      </c>
      <c r="O323" s="643" t="s">
        <v>743</v>
      </c>
      <c r="P323" s="643">
        <v>2.2370000000000001</v>
      </c>
      <c r="Q323" s="643">
        <v>2.7682216203147889</v>
      </c>
      <c r="R323" s="643">
        <v>1218.5301875825626</v>
      </c>
      <c r="S323" s="643" t="s">
        <v>744</v>
      </c>
      <c r="T323" s="643">
        <v>8.1760000000000002</v>
      </c>
      <c r="U323" s="643" t="s">
        <v>744</v>
      </c>
      <c r="V323" s="867">
        <v>0</v>
      </c>
      <c r="W323" s="868" t="e">
        <v>#VALUE!</v>
      </c>
      <c r="X323" s="869">
        <v>47.84</v>
      </c>
      <c r="Y323" s="806">
        <v>21.94</v>
      </c>
      <c r="Z323" s="807">
        <v>29.55</v>
      </c>
      <c r="AA323" s="1109">
        <v>21.5</v>
      </c>
      <c r="AB323" s="1109">
        <v>30.45</v>
      </c>
      <c r="AC323" s="775">
        <f t="shared" ref="AC323" si="321">AA323+AB323</f>
        <v>51.95</v>
      </c>
      <c r="AD323" s="775">
        <f t="shared" ref="AD323" si="322">AC323*1.547</f>
        <v>80.366650000000007</v>
      </c>
      <c r="AE323" s="705"/>
      <c r="AF323" s="775"/>
      <c r="AG323" s="705">
        <v>1</v>
      </c>
      <c r="AH323" s="705"/>
      <c r="AI323" s="705"/>
      <c r="AJ323" s="675"/>
      <c r="AK323" s="407"/>
      <c r="AL323" s="407"/>
      <c r="AM323" s="407"/>
      <c r="AN323" s="407"/>
      <c r="AO323" s="387"/>
      <c r="AP323" s="387"/>
      <c r="AQ323" s="405"/>
      <c r="AR323" s="578">
        <v>0</v>
      </c>
      <c r="AS323" s="405">
        <v>11</v>
      </c>
      <c r="AT323" s="578">
        <v>0</v>
      </c>
      <c r="AU323" s="405">
        <v>22.6</v>
      </c>
      <c r="AV323" s="405">
        <v>321.5</v>
      </c>
      <c r="AW323" s="405">
        <v>546.20000000000005</v>
      </c>
      <c r="AX323" s="405">
        <v>0</v>
      </c>
      <c r="AY323" s="578">
        <v>0</v>
      </c>
      <c r="AZ323" s="578">
        <v>0</v>
      </c>
      <c r="BA323" s="578">
        <v>0</v>
      </c>
      <c r="BB323" s="925">
        <v>1</v>
      </c>
      <c r="BC323" s="405">
        <v>0</v>
      </c>
      <c r="BD323" s="405">
        <v>1.87</v>
      </c>
      <c r="BE323" s="578">
        <v>0</v>
      </c>
      <c r="BF323" s="405">
        <v>0.62</v>
      </c>
      <c r="BG323" s="405">
        <v>0</v>
      </c>
      <c r="BH323" s="578">
        <v>0</v>
      </c>
      <c r="BI323" s="405">
        <v>0</v>
      </c>
      <c r="BJ323" s="405">
        <v>27.9</v>
      </c>
      <c r="BK323" s="405">
        <v>2.7</v>
      </c>
      <c r="BL323" s="405">
        <v>3.82</v>
      </c>
      <c r="BM323" s="405">
        <v>0</v>
      </c>
      <c r="BN323" s="405">
        <v>20.399999999999999</v>
      </c>
      <c r="BO323" s="405">
        <v>434.5</v>
      </c>
      <c r="BP323" s="405">
        <v>2.1</v>
      </c>
      <c r="BQ323" s="649">
        <v>22.17</v>
      </c>
      <c r="BR323" s="649">
        <v>22.41</v>
      </c>
      <c r="BS323" s="649">
        <v>9.9</v>
      </c>
      <c r="BT323" s="649">
        <v>10.02</v>
      </c>
      <c r="BU323" s="648">
        <v>21.2</v>
      </c>
      <c r="BV323" s="648">
        <v>20.100000000000001</v>
      </c>
      <c r="BW323" s="649">
        <v>405.5</v>
      </c>
      <c r="BX323" s="876"/>
      <c r="BY323" s="649">
        <v>2.12</v>
      </c>
      <c r="BZ323" s="649">
        <v>1.67</v>
      </c>
      <c r="CA323" s="649">
        <v>1.3</v>
      </c>
      <c r="CB323" s="649">
        <v>8.5</v>
      </c>
      <c r="CC323" s="649">
        <v>7.8</v>
      </c>
      <c r="CD323" s="649">
        <v>15.7</v>
      </c>
      <c r="CE323" s="649">
        <v>29.8</v>
      </c>
      <c r="CF323" s="649">
        <v>20.399999999999999</v>
      </c>
      <c r="CG323" s="649">
        <v>2.9</v>
      </c>
      <c r="CH323" s="649">
        <v>7.6</v>
      </c>
      <c r="CI323" s="649">
        <v>11.7</v>
      </c>
      <c r="CJ323" s="649">
        <v>12.9</v>
      </c>
      <c r="CK323" s="649">
        <v>442.9</v>
      </c>
      <c r="CL323" s="649">
        <v>1.6</v>
      </c>
      <c r="CM323" s="649">
        <v>1.8</v>
      </c>
      <c r="CN323" s="649">
        <v>259.89999999999998</v>
      </c>
      <c r="CO323" s="649">
        <v>289</v>
      </c>
      <c r="CP323" s="649">
        <v>555.70000000000005</v>
      </c>
      <c r="CQ323" s="649">
        <v>11.2</v>
      </c>
      <c r="CR323" s="649">
        <v>0.72</v>
      </c>
      <c r="CS323" s="405">
        <v>0</v>
      </c>
      <c r="CT323" s="405">
        <v>12.699</v>
      </c>
      <c r="CU323" s="643">
        <v>52</v>
      </c>
      <c r="CV323" s="522">
        <v>0</v>
      </c>
      <c r="CW323" s="522">
        <v>0</v>
      </c>
      <c r="CX323" s="522">
        <v>0</v>
      </c>
      <c r="CY323" s="522">
        <v>0</v>
      </c>
      <c r="CZ323" s="642">
        <v>1990</v>
      </c>
      <c r="DA323" s="642">
        <v>2540</v>
      </c>
      <c r="DB323" s="642">
        <v>2090</v>
      </c>
      <c r="DC323" s="642">
        <v>1088.42</v>
      </c>
      <c r="DD323" s="808"/>
      <c r="DE323" s="522"/>
      <c r="DF323" s="522"/>
      <c r="DG323" s="522"/>
      <c r="DH323" s="522"/>
      <c r="DI323" s="522"/>
      <c r="DJ323" s="522"/>
      <c r="DK323" s="522"/>
      <c r="DL323" s="649"/>
      <c r="DM323" s="649"/>
      <c r="DN323" s="649"/>
      <c r="DO323" s="522"/>
      <c r="DP323" s="522"/>
      <c r="DQ323" s="522"/>
      <c r="DR323" s="522"/>
      <c r="DS323" s="522"/>
      <c r="DT323" s="522"/>
      <c r="DU323" s="522"/>
      <c r="DV323" s="522"/>
      <c r="DW323" s="522"/>
      <c r="DX323" s="522"/>
      <c r="DY323" s="522"/>
      <c r="DZ323" s="522"/>
      <c r="EA323" s="522"/>
      <c r="EB323" s="522"/>
      <c r="EC323" s="522"/>
      <c r="ED323" s="522"/>
      <c r="EE323" s="522"/>
      <c r="EF323" s="522"/>
      <c r="EG323" s="649">
        <f t="shared" si="314"/>
        <v>13.923</v>
      </c>
      <c r="EH323" s="649">
        <v>0</v>
      </c>
      <c r="EI323" s="649">
        <v>0</v>
      </c>
      <c r="EJ323" s="522">
        <v>2.5</v>
      </c>
      <c r="EK323" s="649">
        <v>6.5</v>
      </c>
      <c r="EL323" s="522"/>
      <c r="EM323" s="522"/>
      <c r="EN323" s="522"/>
      <c r="EO323" s="522"/>
      <c r="EP323" s="522"/>
      <c r="EQ323" s="522"/>
      <c r="ER323" s="522"/>
      <c r="ES323" s="407"/>
      <c r="ET323" s="407"/>
    </row>
    <row r="324" spans="1:150" s="357" customFormat="1" ht="15">
      <c r="A324" s="675" t="s">
        <v>8</v>
      </c>
      <c r="B324" s="712">
        <v>41950</v>
      </c>
      <c r="C324" s="820">
        <v>0</v>
      </c>
      <c r="D324" s="643">
        <v>0.02</v>
      </c>
      <c r="E324" s="807">
        <v>0</v>
      </c>
      <c r="F324" s="807">
        <v>0</v>
      </c>
      <c r="G324" s="807">
        <v>1.8</v>
      </c>
      <c r="H324" s="643">
        <v>3.57</v>
      </c>
      <c r="I324" s="643">
        <v>86.64</v>
      </c>
      <c r="J324" s="643" t="s">
        <v>744</v>
      </c>
      <c r="K324" s="643">
        <v>2.59</v>
      </c>
      <c r="L324" s="821">
        <v>8.9799999999995634</v>
      </c>
      <c r="M324" s="643">
        <v>19.100000000000001</v>
      </c>
      <c r="N324" s="643" t="s">
        <v>744</v>
      </c>
      <c r="O324" s="643" t="s">
        <v>743</v>
      </c>
      <c r="P324" s="643">
        <v>2.29</v>
      </c>
      <c r="Q324" s="643">
        <v>2.8729745509279168</v>
      </c>
      <c r="R324" s="643">
        <v>1226.3039048877145</v>
      </c>
      <c r="S324" s="643" t="s">
        <v>744</v>
      </c>
      <c r="T324" s="643">
        <v>8.09</v>
      </c>
      <c r="U324" s="643" t="s">
        <v>744</v>
      </c>
      <c r="V324" s="867">
        <v>0.68</v>
      </c>
      <c r="W324" s="868" t="e">
        <v>#VALUE!</v>
      </c>
      <c r="X324" s="869">
        <v>48.739999999999995</v>
      </c>
      <c r="Y324" s="806">
        <v>21.5</v>
      </c>
      <c r="Z324" s="807">
        <v>30.45</v>
      </c>
      <c r="AA324" s="1109">
        <v>19.5</v>
      </c>
      <c r="AB324" s="1109">
        <v>32</v>
      </c>
      <c r="AC324" s="775">
        <f t="shared" ref="AC324:AC330" si="323">AA324+AB324</f>
        <v>51.5</v>
      </c>
      <c r="AD324" s="775">
        <f t="shared" ref="AD324:AD330" si="324">AC324*1.547</f>
        <v>79.67049999999999</v>
      </c>
      <c r="AE324" s="705"/>
      <c r="AF324" s="775"/>
      <c r="AG324" s="705">
        <v>1</v>
      </c>
      <c r="AH324" s="705"/>
      <c r="AI324" s="705"/>
      <c r="AJ324" s="675"/>
      <c r="AK324" s="407"/>
      <c r="AL324" s="407"/>
      <c r="AM324" s="407"/>
      <c r="AN324" s="407"/>
      <c r="AO324" s="387"/>
      <c r="AP324" s="387"/>
      <c r="AQ324" s="405"/>
      <c r="AR324" s="578">
        <v>0</v>
      </c>
      <c r="AS324" s="405">
        <v>10.6</v>
      </c>
      <c r="AT324" s="578">
        <v>0</v>
      </c>
      <c r="AU324" s="405">
        <v>20</v>
      </c>
      <c r="AV324" s="405">
        <v>179.2</v>
      </c>
      <c r="AW324" s="405">
        <v>489</v>
      </c>
      <c r="AX324" s="405">
        <v>0</v>
      </c>
      <c r="AY324" s="578">
        <v>0</v>
      </c>
      <c r="AZ324" s="578">
        <v>0</v>
      </c>
      <c r="BA324" s="578">
        <v>0</v>
      </c>
      <c r="BB324" s="925">
        <v>1</v>
      </c>
      <c r="BC324" s="405">
        <v>0</v>
      </c>
      <c r="BD324" s="405">
        <v>1.87</v>
      </c>
      <c r="BE324" s="578">
        <v>0</v>
      </c>
      <c r="BF324" s="405">
        <v>0.62</v>
      </c>
      <c r="BG324" s="405">
        <v>0</v>
      </c>
      <c r="BH324" s="578">
        <v>0</v>
      </c>
      <c r="BI324" s="405">
        <v>0</v>
      </c>
      <c r="BJ324" s="405">
        <v>29.5</v>
      </c>
      <c r="BK324" s="405">
        <v>2.96</v>
      </c>
      <c r="BL324" s="405">
        <v>3.51</v>
      </c>
      <c r="BM324" s="405">
        <v>0</v>
      </c>
      <c r="BN324" s="405">
        <v>21.9</v>
      </c>
      <c r="BO324" s="405">
        <v>849.7</v>
      </c>
      <c r="BP324" s="405">
        <v>588.6</v>
      </c>
      <c r="BQ324" s="649">
        <v>21.28</v>
      </c>
      <c r="BR324" s="649">
        <v>21.52</v>
      </c>
      <c r="BS324" s="649">
        <v>8.7799999999999994</v>
      </c>
      <c r="BT324" s="649">
        <v>8.8800000000000008</v>
      </c>
      <c r="BU324" s="648">
        <v>19.2</v>
      </c>
      <c r="BV324" s="648">
        <v>25.1</v>
      </c>
      <c r="BW324" s="649">
        <v>427.5</v>
      </c>
      <c r="BX324" s="876"/>
      <c r="BY324" s="649">
        <v>6.71</v>
      </c>
      <c r="BZ324" s="649">
        <v>1.63</v>
      </c>
      <c r="CA324" s="649">
        <v>1.3</v>
      </c>
      <c r="CB324" s="649">
        <v>9</v>
      </c>
      <c r="CC324" s="649">
        <v>7.8</v>
      </c>
      <c r="CD324" s="649">
        <v>15.3</v>
      </c>
      <c r="CE324" s="649">
        <v>29.1</v>
      </c>
      <c r="CF324" s="649">
        <v>19.899999999999999</v>
      </c>
      <c r="CG324" s="649">
        <v>5.3</v>
      </c>
      <c r="CH324" s="649">
        <v>10.3</v>
      </c>
      <c r="CI324" s="649">
        <v>14.4</v>
      </c>
      <c r="CJ324" s="649">
        <v>12.78</v>
      </c>
      <c r="CK324" s="649">
        <v>551.1</v>
      </c>
      <c r="CL324" s="649">
        <v>2.6</v>
      </c>
      <c r="CM324" s="649">
        <v>3.8</v>
      </c>
      <c r="CN324" s="649">
        <v>247.8</v>
      </c>
      <c r="CO324" s="649">
        <v>292</v>
      </c>
      <c r="CP324" s="649">
        <v>541.4</v>
      </c>
      <c r="CQ324" s="649">
        <v>13.7</v>
      </c>
      <c r="CR324" s="649">
        <v>0.9</v>
      </c>
      <c r="CS324" s="405">
        <v>0</v>
      </c>
      <c r="CT324" s="405">
        <v>16.027000000000001</v>
      </c>
      <c r="CU324" s="643">
        <v>52</v>
      </c>
      <c r="CV324" s="522">
        <v>0</v>
      </c>
      <c r="CW324" s="522">
        <v>0</v>
      </c>
      <c r="CX324" s="522">
        <v>0</v>
      </c>
      <c r="CY324" s="522">
        <v>0</v>
      </c>
      <c r="CZ324" s="642">
        <v>1570</v>
      </c>
      <c r="DA324" s="642">
        <v>2020</v>
      </c>
      <c r="DB324" s="642">
        <v>1600</v>
      </c>
      <c r="DC324" s="642">
        <v>1087.3</v>
      </c>
      <c r="DD324" s="808"/>
      <c r="DE324" s="522"/>
      <c r="DF324" s="522"/>
      <c r="DG324" s="522"/>
      <c r="DH324" s="522"/>
      <c r="DI324" s="522"/>
      <c r="DJ324" s="522"/>
      <c r="DK324" s="522"/>
      <c r="DL324" s="649"/>
      <c r="DM324" s="649"/>
      <c r="DN324" s="649"/>
      <c r="DO324" s="522"/>
      <c r="DP324" s="522"/>
      <c r="DQ324" s="522"/>
      <c r="DR324" s="522"/>
      <c r="DS324" s="522"/>
      <c r="DT324" s="522"/>
      <c r="DU324" s="522"/>
      <c r="DV324" s="522"/>
      <c r="DW324" s="522"/>
      <c r="DX324" s="522"/>
      <c r="DY324" s="522"/>
      <c r="DZ324" s="522"/>
      <c r="EA324" s="522"/>
      <c r="EB324" s="522"/>
      <c r="EC324" s="522"/>
      <c r="ED324" s="522"/>
      <c r="EE324" s="522"/>
      <c r="EF324" s="522"/>
      <c r="EG324" s="649">
        <f t="shared" si="314"/>
        <v>13.923</v>
      </c>
      <c r="EH324" s="649">
        <v>0</v>
      </c>
      <c r="EI324" s="649">
        <v>0</v>
      </c>
      <c r="EJ324" s="522">
        <v>2.5</v>
      </c>
      <c r="EK324" s="649">
        <v>6.5</v>
      </c>
      <c r="EL324" s="522"/>
      <c r="EM324" s="522"/>
      <c r="EN324" s="522"/>
      <c r="EO324" s="522"/>
      <c r="EP324" s="522"/>
      <c r="EQ324" s="522"/>
      <c r="ER324" s="522"/>
      <c r="ES324" s="407"/>
      <c r="ET324" s="407"/>
    </row>
    <row r="325" spans="1:150" s="357" customFormat="1" ht="15">
      <c r="A325" s="675" t="s">
        <v>9</v>
      </c>
      <c r="B325" s="712">
        <v>41951</v>
      </c>
      <c r="C325" s="820">
        <v>0</v>
      </c>
      <c r="D325" s="643">
        <v>0</v>
      </c>
      <c r="E325" s="807">
        <v>0</v>
      </c>
      <c r="F325" s="807">
        <v>0</v>
      </c>
      <c r="G325" s="807">
        <v>1.75</v>
      </c>
      <c r="H325" s="643">
        <v>2.44</v>
      </c>
      <c r="I325" s="643">
        <v>88.6</v>
      </c>
      <c r="J325" s="643" t="s">
        <v>744</v>
      </c>
      <c r="K325" s="643">
        <v>1.79</v>
      </c>
      <c r="L325" s="821">
        <v>0</v>
      </c>
      <c r="M325" s="643">
        <v>19.8</v>
      </c>
      <c r="N325" s="643" t="s">
        <v>744</v>
      </c>
      <c r="O325" s="643" t="s">
        <v>743</v>
      </c>
      <c r="P325" s="643">
        <v>2.29</v>
      </c>
      <c r="Q325" s="643">
        <v>2.8436860725738051</v>
      </c>
      <c r="R325" s="643">
        <v>1242.4991492734475</v>
      </c>
      <c r="S325" s="643" t="s">
        <v>744</v>
      </c>
      <c r="T325" s="643">
        <v>7.95</v>
      </c>
      <c r="U325" s="643" t="s">
        <v>744</v>
      </c>
      <c r="V325" s="867">
        <v>0.72</v>
      </c>
      <c r="W325" s="868" t="e">
        <v>#VALUE!</v>
      </c>
      <c r="X325" s="869">
        <v>46.039999999999992</v>
      </c>
      <c r="Y325" s="806">
        <v>19.5</v>
      </c>
      <c r="Z325" s="807">
        <v>32</v>
      </c>
      <c r="AA325" s="1109">
        <v>19.600000000000001</v>
      </c>
      <c r="AB325" s="1109">
        <v>32</v>
      </c>
      <c r="AC325" s="775">
        <f t="shared" si="323"/>
        <v>51.6</v>
      </c>
      <c r="AD325" s="775">
        <f t="shared" si="324"/>
        <v>79.825199999999995</v>
      </c>
      <c r="AE325" s="705"/>
      <c r="AF325" s="775"/>
      <c r="AG325" s="705">
        <v>1</v>
      </c>
      <c r="AH325" s="705"/>
      <c r="AI325" s="705"/>
      <c r="AJ325" s="675"/>
      <c r="AK325" s="407"/>
      <c r="AL325" s="407"/>
      <c r="AM325" s="407"/>
      <c r="AN325" s="407"/>
      <c r="AO325" s="387"/>
      <c r="AP325" s="387"/>
      <c r="AQ325" s="405"/>
      <c r="AR325" s="578">
        <v>0</v>
      </c>
      <c r="AS325" s="405">
        <v>11.1</v>
      </c>
      <c r="AT325" s="578">
        <v>0</v>
      </c>
      <c r="AU325" s="405">
        <v>20.2</v>
      </c>
      <c r="AV325" s="405">
        <v>323.10000000000002</v>
      </c>
      <c r="AW325" s="405">
        <v>747.2</v>
      </c>
      <c r="AX325" s="405">
        <v>0</v>
      </c>
      <c r="AY325" s="578">
        <v>0</v>
      </c>
      <c r="AZ325" s="578">
        <v>0</v>
      </c>
      <c r="BA325" s="578">
        <v>0</v>
      </c>
      <c r="BB325" s="925">
        <v>1</v>
      </c>
      <c r="BC325" s="405">
        <v>0</v>
      </c>
      <c r="BD325" s="405">
        <v>1.87</v>
      </c>
      <c r="BE325" s="578">
        <v>0</v>
      </c>
      <c r="BF325" s="405">
        <v>0.62</v>
      </c>
      <c r="BG325" s="405">
        <v>0</v>
      </c>
      <c r="BH325" s="578">
        <v>0</v>
      </c>
      <c r="BI325" s="405">
        <v>0</v>
      </c>
      <c r="BJ325" s="405">
        <v>29.6</v>
      </c>
      <c r="BK325" s="405">
        <v>2.96</v>
      </c>
      <c r="BL325" s="405">
        <v>3.51</v>
      </c>
      <c r="BM325" s="405">
        <v>0</v>
      </c>
      <c r="BN325" s="405">
        <v>22.3</v>
      </c>
      <c r="BO325" s="405">
        <v>903</v>
      </c>
      <c r="BP325" s="405">
        <v>596.79999999999995</v>
      </c>
      <c r="BQ325" s="649">
        <v>19.16</v>
      </c>
      <c r="BR325" s="649">
        <v>19.399999999999999</v>
      </c>
      <c r="BS325" s="649">
        <v>8.5299999999999994</v>
      </c>
      <c r="BT325" s="649">
        <v>8.66</v>
      </c>
      <c r="BU325" s="648">
        <v>18.8</v>
      </c>
      <c r="BV325" s="648">
        <v>28.1</v>
      </c>
      <c r="BW325" s="649">
        <v>618</v>
      </c>
      <c r="BX325" s="876"/>
      <c r="BY325" s="649">
        <v>2.36</v>
      </c>
      <c r="BZ325" s="649">
        <v>1.72</v>
      </c>
      <c r="CA325" s="649">
        <v>1.3</v>
      </c>
      <c r="CB325" s="649">
        <v>8.9</v>
      </c>
      <c r="CC325" s="649">
        <v>7.8</v>
      </c>
      <c r="CD325" s="649">
        <v>15.6</v>
      </c>
      <c r="CE325" s="649">
        <v>29.1</v>
      </c>
      <c r="CF325" s="649">
        <v>19.2</v>
      </c>
      <c r="CG325" s="649">
        <v>7.45</v>
      </c>
      <c r="CH325" s="649">
        <v>12.8</v>
      </c>
      <c r="CI325" s="649">
        <v>16.899999999999999</v>
      </c>
      <c r="CJ325" s="649">
        <v>13.57</v>
      </c>
      <c r="CK325" s="649">
        <v>595.1</v>
      </c>
      <c r="CL325" s="649">
        <v>3</v>
      </c>
      <c r="CM325" s="649">
        <v>3.8</v>
      </c>
      <c r="CN325" s="649">
        <v>448</v>
      </c>
      <c r="CO325" s="649">
        <v>319.3</v>
      </c>
      <c r="CP325" s="649">
        <v>525.1</v>
      </c>
      <c r="CQ325" s="649">
        <v>14.4</v>
      </c>
      <c r="CR325" s="649">
        <v>0.94</v>
      </c>
      <c r="CS325" s="405">
        <v>0</v>
      </c>
      <c r="CT325" s="405">
        <v>17.209</v>
      </c>
      <c r="CU325" s="643">
        <v>52</v>
      </c>
      <c r="CV325" s="522">
        <v>0</v>
      </c>
      <c r="CW325" s="522">
        <v>0</v>
      </c>
      <c r="CX325" s="522">
        <v>0</v>
      </c>
      <c r="CY325" s="522">
        <v>0</v>
      </c>
      <c r="CZ325" s="642">
        <v>1560</v>
      </c>
      <c r="DA325" s="642">
        <v>1930</v>
      </c>
      <c r="DB325" s="642">
        <v>1620</v>
      </c>
      <c r="DC325" s="643">
        <v>1085.3</v>
      </c>
      <c r="DD325" s="808"/>
      <c r="DE325" s="522"/>
      <c r="DF325" s="522"/>
      <c r="DG325" s="522"/>
      <c r="DH325" s="522"/>
      <c r="DI325" s="522"/>
      <c r="DJ325" s="522"/>
      <c r="DK325" s="522"/>
      <c r="DL325" s="649"/>
      <c r="DM325" s="649"/>
      <c r="DN325" s="649"/>
      <c r="DO325" s="522"/>
      <c r="DP325" s="522"/>
      <c r="DQ325" s="522"/>
      <c r="DR325" s="522"/>
      <c r="DS325" s="522"/>
      <c r="DT325" s="522"/>
      <c r="DU325" s="522"/>
      <c r="DV325" s="522"/>
      <c r="DW325" s="522"/>
      <c r="DX325" s="522"/>
      <c r="DY325" s="522"/>
      <c r="DZ325" s="522"/>
      <c r="EA325" s="522"/>
      <c r="EB325" s="522"/>
      <c r="EC325" s="522"/>
      <c r="ED325" s="522"/>
      <c r="EE325" s="522"/>
      <c r="EF325" s="522"/>
      <c r="EG325" s="649">
        <f t="shared" si="314"/>
        <v>13.923</v>
      </c>
      <c r="EH325" s="649">
        <v>0</v>
      </c>
      <c r="EI325" s="649">
        <v>0</v>
      </c>
      <c r="EJ325" s="522">
        <v>2.5</v>
      </c>
      <c r="EK325" s="649">
        <v>6.5</v>
      </c>
      <c r="EL325" s="522"/>
      <c r="EM325" s="522"/>
      <c r="EN325" s="522"/>
      <c r="EO325" s="522"/>
      <c r="EP325" s="522"/>
      <c r="EQ325" s="522"/>
      <c r="ER325" s="522"/>
      <c r="ES325" s="407"/>
      <c r="ET325" s="407"/>
    </row>
    <row r="326" spans="1:150" s="357" customFormat="1" ht="15">
      <c r="A326" s="675" t="s">
        <v>3</v>
      </c>
      <c r="B326" s="712">
        <v>41952</v>
      </c>
      <c r="C326" s="820">
        <v>0</v>
      </c>
      <c r="D326" s="643">
        <v>1.03</v>
      </c>
      <c r="E326" s="807">
        <v>0</v>
      </c>
      <c r="F326" s="807">
        <v>0</v>
      </c>
      <c r="G326" s="807">
        <v>1.75</v>
      </c>
      <c r="H326" s="643">
        <v>17.5</v>
      </c>
      <c r="I326" s="643">
        <v>91.3</v>
      </c>
      <c r="J326" s="643" t="s">
        <v>744</v>
      </c>
      <c r="K326" s="643">
        <v>2.92</v>
      </c>
      <c r="L326" s="821">
        <v>9.5400000000008731</v>
      </c>
      <c r="M326" s="643">
        <v>17.899999999999999</v>
      </c>
      <c r="N326" s="643" t="s">
        <v>744</v>
      </c>
      <c r="O326" s="643" t="s">
        <v>743</v>
      </c>
      <c r="P326" s="643">
        <v>2.31</v>
      </c>
      <c r="Q326" s="643">
        <v>2.6725528090449675</v>
      </c>
      <c r="R326" s="643">
        <v>1159.2555931307791</v>
      </c>
      <c r="S326" s="643" t="s">
        <v>744</v>
      </c>
      <c r="T326" s="643">
        <v>8.06</v>
      </c>
      <c r="U326" s="643" t="s">
        <v>744</v>
      </c>
      <c r="V326" s="867">
        <v>0.74</v>
      </c>
      <c r="W326" s="868" t="e">
        <v>#VALUE!</v>
      </c>
      <c r="X326" s="869">
        <v>46.400000000000006</v>
      </c>
      <c r="Y326" s="806">
        <v>19.600000000000001</v>
      </c>
      <c r="Z326" s="807">
        <v>32</v>
      </c>
      <c r="AA326" s="1109">
        <v>19.899999999999999</v>
      </c>
      <c r="AB326" s="1109">
        <v>32</v>
      </c>
      <c r="AC326" s="775">
        <f t="shared" si="323"/>
        <v>51.9</v>
      </c>
      <c r="AD326" s="775">
        <f t="shared" si="324"/>
        <v>80.289299999999997</v>
      </c>
      <c r="AE326" s="705"/>
      <c r="AF326" s="775"/>
      <c r="AG326" s="705">
        <v>1</v>
      </c>
      <c r="AH326" s="705"/>
      <c r="AI326" s="705"/>
      <c r="AJ326" s="675"/>
      <c r="AK326" s="407"/>
      <c r="AL326" s="407"/>
      <c r="AM326" s="407"/>
      <c r="AN326" s="407"/>
      <c r="AO326" s="387"/>
      <c r="AP326" s="387"/>
      <c r="AQ326" s="405"/>
      <c r="AR326" s="578">
        <v>0</v>
      </c>
      <c r="AS326" s="405">
        <v>11.3</v>
      </c>
      <c r="AT326" s="578">
        <v>0</v>
      </c>
      <c r="AU326" s="405">
        <v>20.6</v>
      </c>
      <c r="AV326" s="405">
        <v>279.3</v>
      </c>
      <c r="AW326" s="405">
        <v>572.29999999999995</v>
      </c>
      <c r="AX326" s="405">
        <v>0</v>
      </c>
      <c r="AY326" s="578">
        <v>0</v>
      </c>
      <c r="AZ326" s="578">
        <v>0</v>
      </c>
      <c r="BA326" s="578">
        <v>0</v>
      </c>
      <c r="BB326" s="925">
        <v>1.01</v>
      </c>
      <c r="BC326" s="405">
        <v>0</v>
      </c>
      <c r="BD326" s="405">
        <v>1.87</v>
      </c>
      <c r="BE326" s="578">
        <v>0</v>
      </c>
      <c r="BF326" s="405">
        <v>0.62</v>
      </c>
      <c r="BG326" s="405">
        <v>0</v>
      </c>
      <c r="BH326" s="578">
        <v>0</v>
      </c>
      <c r="BI326" s="405">
        <v>0</v>
      </c>
      <c r="BJ326" s="405">
        <v>29.6</v>
      </c>
      <c r="BK326" s="405">
        <v>2.96</v>
      </c>
      <c r="BL326" s="405">
        <v>3.51</v>
      </c>
      <c r="BM326" s="405">
        <v>0</v>
      </c>
      <c r="BN326" s="405">
        <v>22.2</v>
      </c>
      <c r="BO326" s="405">
        <v>662.8</v>
      </c>
      <c r="BP326" s="405">
        <v>293</v>
      </c>
      <c r="BQ326" s="649">
        <v>18.21</v>
      </c>
      <c r="BR326" s="649">
        <v>18.45</v>
      </c>
      <c r="BS326" s="649">
        <v>8.76</v>
      </c>
      <c r="BT326" s="649">
        <v>8.86</v>
      </c>
      <c r="BU326" s="648">
        <v>19.2</v>
      </c>
      <c r="BV326" s="648">
        <v>25.4</v>
      </c>
      <c r="BW326" s="649">
        <v>454.5</v>
      </c>
      <c r="BX326" s="876"/>
      <c r="BY326" s="649">
        <v>2.08</v>
      </c>
      <c r="BZ326" s="649">
        <v>1.68</v>
      </c>
      <c r="CA326" s="649">
        <v>1.3</v>
      </c>
      <c r="CB326" s="649">
        <v>8.9</v>
      </c>
      <c r="CC326" s="649">
        <v>7.8</v>
      </c>
      <c r="CD326" s="649">
        <v>15.5</v>
      </c>
      <c r="CE326" s="649">
        <v>29.9</v>
      </c>
      <c r="CF326" s="649">
        <v>18.600000000000001</v>
      </c>
      <c r="CG326" s="649">
        <v>6.02</v>
      </c>
      <c r="CH326" s="649">
        <v>10.9</v>
      </c>
      <c r="CI326" s="649">
        <v>15.85</v>
      </c>
      <c r="CJ326" s="649">
        <v>13.49</v>
      </c>
      <c r="CK326" s="649">
        <v>574.9</v>
      </c>
      <c r="CL326" s="649">
        <v>2.2999999999999998</v>
      </c>
      <c r="CM326" s="649">
        <v>3</v>
      </c>
      <c r="CN326" s="649">
        <v>529</v>
      </c>
      <c r="CO326" s="649">
        <v>337.5</v>
      </c>
      <c r="CP326" s="649">
        <v>525.6</v>
      </c>
      <c r="CQ326" s="649">
        <v>14.5</v>
      </c>
      <c r="CR326" s="649">
        <v>0.94</v>
      </c>
      <c r="CS326" s="405">
        <v>0</v>
      </c>
      <c r="CT326" s="405">
        <v>17.63</v>
      </c>
      <c r="CU326" s="405">
        <v>51</v>
      </c>
      <c r="CV326" s="522">
        <v>0</v>
      </c>
      <c r="CW326" s="522">
        <v>0</v>
      </c>
      <c r="CX326" s="522">
        <v>0</v>
      </c>
      <c r="CY326" s="522">
        <v>0</v>
      </c>
      <c r="CZ326" s="642">
        <v>1540</v>
      </c>
      <c r="DA326" s="642">
        <v>2010</v>
      </c>
      <c r="DB326" s="642">
        <v>1640</v>
      </c>
      <c r="DC326" s="643">
        <v>1085.55</v>
      </c>
      <c r="DD326" s="808"/>
      <c r="DE326" s="522"/>
      <c r="DF326" s="522"/>
      <c r="DG326" s="522"/>
      <c r="DH326" s="522"/>
      <c r="DI326" s="522"/>
      <c r="DJ326" s="522"/>
      <c r="DK326" s="522"/>
      <c r="DL326" s="649"/>
      <c r="DM326" s="649"/>
      <c r="DN326" s="649"/>
      <c r="DO326" s="522"/>
      <c r="DP326" s="522"/>
      <c r="DQ326" s="522"/>
      <c r="DR326" s="522"/>
      <c r="DS326" s="522"/>
      <c r="DT326" s="522"/>
      <c r="DU326" s="522"/>
      <c r="DV326" s="522"/>
      <c r="DW326" s="522"/>
      <c r="DX326" s="522"/>
      <c r="DY326" s="522"/>
      <c r="DZ326" s="522"/>
      <c r="EA326" s="522"/>
      <c r="EB326" s="522"/>
      <c r="EC326" s="522"/>
      <c r="ED326" s="522"/>
      <c r="EE326" s="522"/>
      <c r="EF326" s="522"/>
      <c r="EG326" s="649">
        <f t="shared" si="314"/>
        <v>13.923</v>
      </c>
      <c r="EH326" s="649">
        <v>0</v>
      </c>
      <c r="EI326" s="649">
        <v>0</v>
      </c>
      <c r="EJ326" s="522">
        <v>2.5</v>
      </c>
      <c r="EK326" s="649">
        <v>6.5</v>
      </c>
      <c r="EL326" s="522"/>
      <c r="EM326" s="522"/>
      <c r="EN326" s="522"/>
      <c r="EO326" s="522"/>
      <c r="EP326" s="522"/>
      <c r="EQ326" s="522"/>
      <c r="ER326" s="522"/>
      <c r="ES326" s="407"/>
      <c r="ET326" s="407"/>
    </row>
    <row r="327" spans="1:150" s="357" customFormat="1" ht="15">
      <c r="A327" s="675" t="s">
        <v>4</v>
      </c>
      <c r="B327" s="712">
        <v>41953</v>
      </c>
      <c r="C327" s="820">
        <v>0</v>
      </c>
      <c r="D327" s="643">
        <v>0.01</v>
      </c>
      <c r="E327" s="807">
        <v>0</v>
      </c>
      <c r="F327" s="807">
        <v>0</v>
      </c>
      <c r="G327" s="807">
        <v>2.0499999999999998</v>
      </c>
      <c r="H327" s="643">
        <v>10.210000000000001</v>
      </c>
      <c r="I327" s="643">
        <v>83.15</v>
      </c>
      <c r="J327" s="643" t="s">
        <v>744</v>
      </c>
      <c r="K327" s="643">
        <v>3.01</v>
      </c>
      <c r="L327" s="821">
        <v>19.690000000002328</v>
      </c>
      <c r="M327" s="643">
        <v>18.899999999999999</v>
      </c>
      <c r="N327" s="643" t="s">
        <v>744</v>
      </c>
      <c r="O327" s="643" t="s">
        <v>743</v>
      </c>
      <c r="P327" s="643">
        <v>2.33</v>
      </c>
      <c r="Q327" s="643">
        <v>2.8544087965475398</v>
      </c>
      <c r="R327" s="643">
        <v>1305.9845072655216</v>
      </c>
      <c r="S327" s="643" t="s">
        <v>744</v>
      </c>
      <c r="T327" s="643">
        <v>8.14</v>
      </c>
      <c r="U327" s="643" t="s">
        <v>744</v>
      </c>
      <c r="V327" s="867">
        <v>0.74</v>
      </c>
      <c r="W327" s="868" t="e">
        <v>#VALUE!</v>
      </c>
      <c r="X327" s="869">
        <v>46.039999999999992</v>
      </c>
      <c r="Y327" s="806">
        <v>19.899999999999999</v>
      </c>
      <c r="Z327" s="807">
        <v>32</v>
      </c>
      <c r="AA327" s="1109">
        <v>19.899999999999999</v>
      </c>
      <c r="AB327" s="1109">
        <v>34.5</v>
      </c>
      <c r="AC327" s="775">
        <f t="shared" si="323"/>
        <v>54.4</v>
      </c>
      <c r="AD327" s="775">
        <f t="shared" si="324"/>
        <v>84.15679999999999</v>
      </c>
      <c r="AE327" s="705"/>
      <c r="AF327" s="775"/>
      <c r="AG327" s="705">
        <v>1</v>
      </c>
      <c r="AH327" s="705"/>
      <c r="AI327" s="705"/>
      <c r="AJ327" s="675"/>
      <c r="AK327" s="407"/>
      <c r="AL327" s="407"/>
      <c r="AM327" s="407"/>
      <c r="AN327" s="407"/>
      <c r="AO327" s="387"/>
      <c r="AP327" s="387"/>
      <c r="AQ327" s="405"/>
      <c r="AR327" s="578">
        <v>0</v>
      </c>
      <c r="AS327" s="405">
        <v>10.3</v>
      </c>
      <c r="AT327" s="578">
        <v>0</v>
      </c>
      <c r="AU327" s="405">
        <v>20.6</v>
      </c>
      <c r="AV327" s="405">
        <v>211.7</v>
      </c>
      <c r="AW327" s="405">
        <v>502.8</v>
      </c>
      <c r="AX327" s="405">
        <v>0</v>
      </c>
      <c r="AY327" s="578">
        <v>0</v>
      </c>
      <c r="AZ327" s="578">
        <v>0</v>
      </c>
      <c r="BA327" s="578">
        <v>0</v>
      </c>
      <c r="BB327" s="925">
        <v>1</v>
      </c>
      <c r="BC327" s="405">
        <v>0</v>
      </c>
      <c r="BD327" s="405">
        <v>1.87</v>
      </c>
      <c r="BE327" s="578">
        <v>0</v>
      </c>
      <c r="BF327" s="405">
        <v>0.62</v>
      </c>
      <c r="BG327" s="405">
        <v>0</v>
      </c>
      <c r="BH327" s="578">
        <v>0</v>
      </c>
      <c r="BI327" s="405">
        <v>0</v>
      </c>
      <c r="BJ327" s="405">
        <v>32.1</v>
      </c>
      <c r="BK327" s="405">
        <v>3.02</v>
      </c>
      <c r="BL327" s="405">
        <v>3.51</v>
      </c>
      <c r="BM327" s="405">
        <v>0</v>
      </c>
      <c r="BN327" s="405">
        <v>24.4</v>
      </c>
      <c r="BO327" s="405">
        <v>247.9</v>
      </c>
      <c r="BP327" s="405">
        <v>148.1</v>
      </c>
      <c r="BQ327" s="649">
        <v>18.68</v>
      </c>
      <c r="BR327" s="649">
        <v>18.93</v>
      </c>
      <c r="BS327" s="649">
        <v>8.9</v>
      </c>
      <c r="BT327" s="649">
        <v>9</v>
      </c>
      <c r="BU327" s="648">
        <v>19.5</v>
      </c>
      <c r="BV327" s="648">
        <v>21.7</v>
      </c>
      <c r="BW327" s="649">
        <v>483.8</v>
      </c>
      <c r="BX327" s="876"/>
      <c r="BY327" s="649">
        <v>1.92</v>
      </c>
      <c r="BZ327" s="649">
        <v>1.83</v>
      </c>
      <c r="CA327" s="649">
        <v>1.3</v>
      </c>
      <c r="CB327" s="649">
        <v>8.9</v>
      </c>
      <c r="CC327" s="649">
        <v>7.9</v>
      </c>
      <c r="CD327" s="649">
        <v>15.4</v>
      </c>
      <c r="CE327" s="649">
        <v>31.6</v>
      </c>
      <c r="CF327" s="649">
        <v>18.2</v>
      </c>
      <c r="CG327" s="649">
        <v>3</v>
      </c>
      <c r="CH327" s="649">
        <v>7.68</v>
      </c>
      <c r="CI327" s="649">
        <v>11.7</v>
      </c>
      <c r="CJ327" s="649">
        <v>13.39</v>
      </c>
      <c r="CK327" s="649">
        <v>567</v>
      </c>
      <c r="CL327" s="649">
        <v>2.2000000000000002</v>
      </c>
      <c r="CM327" s="649">
        <v>2.5</v>
      </c>
      <c r="CN327" s="649">
        <v>286.2</v>
      </c>
      <c r="CO327" s="649">
        <v>303</v>
      </c>
      <c r="CP327" s="649">
        <v>573</v>
      </c>
      <c r="CQ327" s="649">
        <v>14.2</v>
      </c>
      <c r="CR327" s="649">
        <v>0.93</v>
      </c>
      <c r="CS327" s="405">
        <v>0</v>
      </c>
      <c r="CT327" s="405">
        <v>17.065000000000001</v>
      </c>
      <c r="CU327" s="405">
        <v>51</v>
      </c>
      <c r="CV327" s="522">
        <v>0</v>
      </c>
      <c r="CW327" s="522">
        <v>0</v>
      </c>
      <c r="CX327" s="522">
        <v>0</v>
      </c>
      <c r="CY327" s="522">
        <v>0</v>
      </c>
      <c r="CZ327" s="642">
        <v>1880</v>
      </c>
      <c r="DA327" s="642">
        <v>2300</v>
      </c>
      <c r="DB327" s="642">
        <v>1890</v>
      </c>
      <c r="DC327" s="643">
        <v>1086.5</v>
      </c>
      <c r="DD327" s="808"/>
      <c r="DE327" s="522"/>
      <c r="DF327" s="522"/>
      <c r="DG327" s="522"/>
      <c r="DH327" s="522"/>
      <c r="DI327" s="522"/>
      <c r="DJ327" s="522"/>
      <c r="DK327" s="522"/>
      <c r="DL327" s="649"/>
      <c r="DM327" s="649"/>
      <c r="DN327" s="649"/>
      <c r="DO327" s="522"/>
      <c r="DP327" s="522"/>
      <c r="DQ327" s="522"/>
      <c r="DR327" s="522"/>
      <c r="DS327" s="522"/>
      <c r="DT327" s="522"/>
      <c r="DU327" s="522"/>
      <c r="DV327" s="522"/>
      <c r="DW327" s="522"/>
      <c r="DX327" s="522"/>
      <c r="DY327" s="522"/>
      <c r="DZ327" s="522"/>
      <c r="EA327" s="522"/>
      <c r="EB327" s="522"/>
      <c r="EC327" s="522"/>
      <c r="ED327" s="522"/>
      <c r="EE327" s="522"/>
      <c r="EF327" s="522"/>
      <c r="EG327" s="649">
        <f t="shared" si="314"/>
        <v>13.923</v>
      </c>
      <c r="EH327" s="649">
        <v>0</v>
      </c>
      <c r="EI327" s="649">
        <v>0</v>
      </c>
      <c r="EJ327" s="522">
        <v>2.5</v>
      </c>
      <c r="EK327" s="649">
        <v>6.5</v>
      </c>
      <c r="EL327" s="522"/>
      <c r="EM327" s="522"/>
      <c r="EN327" s="522"/>
      <c r="EO327" s="522"/>
      <c r="EP327" s="522"/>
      <c r="EQ327" s="522"/>
      <c r="ER327" s="522"/>
      <c r="ES327" s="407"/>
      <c r="ET327" s="407"/>
    </row>
    <row r="328" spans="1:150" s="357" customFormat="1" ht="15">
      <c r="A328" s="675" t="s">
        <v>5</v>
      </c>
      <c r="B328" s="712">
        <v>41954</v>
      </c>
      <c r="C328" s="820">
        <v>0</v>
      </c>
      <c r="D328" s="643">
        <v>0</v>
      </c>
      <c r="E328" s="807">
        <v>0</v>
      </c>
      <c r="F328" s="807">
        <v>0</v>
      </c>
      <c r="G328" s="807">
        <v>0</v>
      </c>
      <c r="H328" s="643">
        <v>9.8699999999999992</v>
      </c>
      <c r="I328" s="643">
        <v>88.5</v>
      </c>
      <c r="J328" s="643" t="s">
        <v>744</v>
      </c>
      <c r="K328" s="643">
        <v>2.4300000000000002</v>
      </c>
      <c r="L328" s="821">
        <v>16.329999999998108</v>
      </c>
      <c r="M328" s="643">
        <v>17.3</v>
      </c>
      <c r="N328" s="643" t="s">
        <v>744</v>
      </c>
      <c r="O328" s="643" t="s">
        <v>743</v>
      </c>
      <c r="P328" s="643">
        <v>2.1800000000000002</v>
      </c>
      <c r="Q328" s="643">
        <v>2.5377881094662791</v>
      </c>
      <c r="R328" s="643">
        <v>1194.5612258916776</v>
      </c>
      <c r="S328" s="643" t="s">
        <v>744</v>
      </c>
      <c r="T328" s="643">
        <v>8.08</v>
      </c>
      <c r="U328" s="643" t="s">
        <v>744</v>
      </c>
      <c r="V328" s="867">
        <v>0.64</v>
      </c>
      <c r="W328" s="868" t="e">
        <v>#VALUE!</v>
      </c>
      <c r="X328" s="869">
        <v>45.860000000000014</v>
      </c>
      <c r="Y328" s="806">
        <v>19.899999999999999</v>
      </c>
      <c r="Z328" s="807">
        <v>34.5</v>
      </c>
      <c r="AA328" s="1109">
        <v>19.899999999999999</v>
      </c>
      <c r="AB328" s="1109">
        <v>36.090000000000003</v>
      </c>
      <c r="AC328" s="775">
        <f t="shared" si="323"/>
        <v>55.99</v>
      </c>
      <c r="AD328" s="775">
        <f t="shared" si="324"/>
        <v>86.616529999999997</v>
      </c>
      <c r="AE328" s="705"/>
      <c r="AF328" s="775"/>
      <c r="AG328" s="705">
        <v>1</v>
      </c>
      <c r="AH328" s="705"/>
      <c r="AI328" s="705"/>
      <c r="AJ328" s="675"/>
      <c r="AK328" s="407"/>
      <c r="AL328" s="407"/>
      <c r="AM328" s="407"/>
      <c r="AN328" s="407"/>
      <c r="AO328" s="387"/>
      <c r="AP328" s="387"/>
      <c r="AQ328" s="405"/>
      <c r="AR328" s="578">
        <v>0</v>
      </c>
      <c r="AS328" s="405">
        <v>27.2</v>
      </c>
      <c r="AT328" s="578">
        <v>0</v>
      </c>
      <c r="AU328" s="405">
        <v>20.5</v>
      </c>
      <c r="AV328" s="405">
        <v>277.89999999999998</v>
      </c>
      <c r="AW328" s="405">
        <v>565.9</v>
      </c>
      <c r="AX328" s="405">
        <v>0</v>
      </c>
      <c r="AY328" s="578">
        <v>0</v>
      </c>
      <c r="AZ328" s="578">
        <v>0</v>
      </c>
      <c r="BA328" s="578">
        <v>0</v>
      </c>
      <c r="BB328" s="925">
        <v>1</v>
      </c>
      <c r="BC328" s="405">
        <v>0</v>
      </c>
      <c r="BD328" s="405">
        <v>1.87</v>
      </c>
      <c r="BE328" s="578">
        <v>0</v>
      </c>
      <c r="BF328" s="405">
        <v>0.62</v>
      </c>
      <c r="BG328" s="405">
        <v>0</v>
      </c>
      <c r="BH328" s="578">
        <v>0</v>
      </c>
      <c r="BI328" s="405">
        <v>0</v>
      </c>
      <c r="BJ328" s="405">
        <v>33.5</v>
      </c>
      <c r="BK328" s="405">
        <v>2.0499999999999998</v>
      </c>
      <c r="BL328" s="405">
        <v>4.33</v>
      </c>
      <c r="BM328" s="405">
        <v>0</v>
      </c>
      <c r="BN328" s="405">
        <v>25.8</v>
      </c>
      <c r="BO328" s="405">
        <v>918.6</v>
      </c>
      <c r="BP328" s="405">
        <v>484.8</v>
      </c>
      <c r="BQ328" s="649">
        <v>18.93</v>
      </c>
      <c r="BR328" s="649">
        <v>19.190000000000001</v>
      </c>
      <c r="BS328" s="649">
        <v>8.8000000000000007</v>
      </c>
      <c r="BT328" s="649">
        <v>8.9</v>
      </c>
      <c r="BU328" s="648">
        <v>19.3</v>
      </c>
      <c r="BV328" s="648">
        <v>22</v>
      </c>
      <c r="BW328" s="649">
        <v>589.9</v>
      </c>
      <c r="BX328" s="876"/>
      <c r="BY328" s="649">
        <v>2.0699999999999998</v>
      </c>
      <c r="BZ328" s="649">
        <v>1.69</v>
      </c>
      <c r="CA328" s="649">
        <v>1.3</v>
      </c>
      <c r="CB328" s="649">
        <v>8.9</v>
      </c>
      <c r="CC328" s="649">
        <v>8</v>
      </c>
      <c r="CD328" s="649">
        <v>15.7</v>
      </c>
      <c r="CE328" s="649">
        <v>30.4</v>
      </c>
      <c r="CF328" s="649">
        <v>18.399999999999999</v>
      </c>
      <c r="CG328" s="649">
        <v>5</v>
      </c>
      <c r="CH328" s="649">
        <v>10</v>
      </c>
      <c r="CI328" s="649">
        <v>14</v>
      </c>
      <c r="CJ328" s="649">
        <v>13.66</v>
      </c>
      <c r="CK328" s="649">
        <v>580.4</v>
      </c>
      <c r="CL328" s="649">
        <v>2.2999999999999998</v>
      </c>
      <c r="CM328" s="649">
        <v>2.1</v>
      </c>
      <c r="CN328" s="649">
        <v>692.7</v>
      </c>
      <c r="CO328" s="649">
        <v>847.3</v>
      </c>
      <c r="CP328" s="649">
        <v>562.29999999999995</v>
      </c>
      <c r="CQ328" s="649">
        <v>14.2</v>
      </c>
      <c r="CR328" s="649">
        <v>0.93</v>
      </c>
      <c r="CS328" s="405">
        <v>0</v>
      </c>
      <c r="CT328" s="405">
        <v>16.567</v>
      </c>
      <c r="CU328" s="405">
        <v>50</v>
      </c>
      <c r="CV328" s="522">
        <v>0</v>
      </c>
      <c r="CW328" s="522">
        <v>0</v>
      </c>
      <c r="CX328" s="522">
        <v>0</v>
      </c>
      <c r="CY328" s="522">
        <v>0</v>
      </c>
      <c r="CZ328" s="642">
        <v>1800</v>
      </c>
      <c r="DA328" s="642">
        <v>2220</v>
      </c>
      <c r="DB328" s="642">
        <v>1840</v>
      </c>
      <c r="DC328" s="643">
        <v>1082.78</v>
      </c>
      <c r="DD328" s="808"/>
      <c r="DE328" s="522"/>
      <c r="DF328" s="522"/>
      <c r="DG328" s="522"/>
      <c r="DH328" s="522"/>
      <c r="DI328" s="522"/>
      <c r="DJ328" s="522"/>
      <c r="DK328" s="522"/>
      <c r="DL328" s="649"/>
      <c r="DM328" s="649"/>
      <c r="DN328" s="649"/>
      <c r="DO328" s="522"/>
      <c r="DP328" s="522"/>
      <c r="DQ328" s="522"/>
      <c r="DR328" s="522"/>
      <c r="DS328" s="522"/>
      <c r="DT328" s="522"/>
      <c r="DU328" s="522"/>
      <c r="DV328" s="522"/>
      <c r="DW328" s="522"/>
      <c r="DX328" s="522"/>
      <c r="DY328" s="522"/>
      <c r="DZ328" s="522"/>
      <c r="EA328" s="522"/>
      <c r="EB328" s="522"/>
      <c r="EC328" s="522"/>
      <c r="ED328" s="522"/>
      <c r="EE328" s="522"/>
      <c r="EF328" s="522"/>
      <c r="EG328" s="649">
        <f t="shared" si="314"/>
        <v>13.923</v>
      </c>
      <c r="EH328" s="649">
        <v>0</v>
      </c>
      <c r="EI328" s="649">
        <v>0</v>
      </c>
      <c r="EJ328" s="522">
        <v>2.5</v>
      </c>
      <c r="EK328" s="649">
        <v>6.5</v>
      </c>
      <c r="EL328" s="522"/>
      <c r="EM328" s="522"/>
      <c r="EN328" s="522"/>
      <c r="EO328" s="522"/>
      <c r="EP328" s="522"/>
      <c r="EQ328" s="522"/>
      <c r="ER328" s="522"/>
      <c r="ES328" s="407"/>
      <c r="ET328" s="407"/>
    </row>
    <row r="329" spans="1:150" s="357" customFormat="1" ht="15">
      <c r="A329" s="675" t="s">
        <v>6</v>
      </c>
      <c r="B329" s="712">
        <v>41955</v>
      </c>
      <c r="C329" s="820">
        <v>0</v>
      </c>
      <c r="D329" s="643">
        <v>0</v>
      </c>
      <c r="E329" s="807">
        <v>0</v>
      </c>
      <c r="F329" s="807">
        <v>0</v>
      </c>
      <c r="G329" s="807">
        <v>1.6</v>
      </c>
      <c r="H329" s="643">
        <v>16.100000000000001</v>
      </c>
      <c r="I329" s="643">
        <v>86.5</v>
      </c>
      <c r="J329" s="643" t="s">
        <v>744</v>
      </c>
      <c r="K329" s="643">
        <v>3.22</v>
      </c>
      <c r="L329" s="821">
        <v>34.18999999999869</v>
      </c>
      <c r="M329" s="643">
        <v>15.5</v>
      </c>
      <c r="N329" s="643" t="s">
        <v>744</v>
      </c>
      <c r="O329" s="643" t="s">
        <v>743</v>
      </c>
      <c r="P329" s="643">
        <v>2.2400000000000002</v>
      </c>
      <c r="Q329" s="643">
        <v>2.2965918097754288</v>
      </c>
      <c r="R329" s="643">
        <v>861.91090620871853</v>
      </c>
      <c r="S329" s="643" t="s">
        <v>744</v>
      </c>
      <c r="T329" s="643">
        <v>8.06</v>
      </c>
      <c r="U329" s="643" t="s">
        <v>744</v>
      </c>
      <c r="V329" s="867">
        <v>0.64</v>
      </c>
      <c r="W329" s="868" t="e">
        <v>#VALUE!</v>
      </c>
      <c r="X329" s="869">
        <v>45.680000000000007</v>
      </c>
      <c r="Y329" s="806">
        <v>19.899999999999999</v>
      </c>
      <c r="Z329" s="807">
        <v>36.090000000000003</v>
      </c>
      <c r="AA329" s="1109">
        <v>20.2</v>
      </c>
      <c r="AB329" s="1109">
        <v>24.01</v>
      </c>
      <c r="AC329" s="775">
        <f t="shared" si="323"/>
        <v>44.21</v>
      </c>
      <c r="AD329" s="775">
        <f t="shared" si="324"/>
        <v>68.392870000000002</v>
      </c>
      <c r="AE329" s="705"/>
      <c r="AF329" s="775"/>
      <c r="AG329" s="705">
        <v>1</v>
      </c>
      <c r="AH329" s="705"/>
      <c r="AI329" s="705"/>
      <c r="AJ329" s="675"/>
      <c r="AK329" s="407"/>
      <c r="AL329" s="407"/>
      <c r="AM329" s="407"/>
      <c r="AN329" s="407"/>
      <c r="AO329" s="387"/>
      <c r="AP329" s="387"/>
      <c r="AQ329" s="405"/>
      <c r="AR329" s="578">
        <v>0</v>
      </c>
      <c r="AS329" s="405">
        <v>45.1</v>
      </c>
      <c r="AT329" s="578">
        <v>0</v>
      </c>
      <c r="AU329" s="405">
        <v>20.8</v>
      </c>
      <c r="AV329" s="405">
        <v>235.4</v>
      </c>
      <c r="AW329" s="405">
        <v>504.4</v>
      </c>
      <c r="AX329" s="405">
        <v>0</v>
      </c>
      <c r="AY329" s="578">
        <v>0</v>
      </c>
      <c r="AZ329" s="578">
        <v>0</v>
      </c>
      <c r="BA329" s="578">
        <v>0</v>
      </c>
      <c r="BB329" s="925">
        <v>1</v>
      </c>
      <c r="BC329" s="405">
        <v>0</v>
      </c>
      <c r="BD329" s="405">
        <v>1.87</v>
      </c>
      <c r="BE329" s="578">
        <v>0</v>
      </c>
      <c r="BF329" s="405">
        <v>0.62</v>
      </c>
      <c r="BG329" s="405">
        <v>0</v>
      </c>
      <c r="BH329" s="578">
        <v>0</v>
      </c>
      <c r="BI329" s="405">
        <v>0</v>
      </c>
      <c r="BJ329" s="405">
        <v>21.8</v>
      </c>
      <c r="BK329" s="405">
        <v>2.4</v>
      </c>
      <c r="BL329" s="405">
        <v>3.87</v>
      </c>
      <c r="BM329" s="405">
        <v>0</v>
      </c>
      <c r="BN329" s="405">
        <v>14</v>
      </c>
      <c r="BO329" s="405">
        <v>966.5</v>
      </c>
      <c r="BP329" s="405">
        <v>406.1</v>
      </c>
      <c r="BQ329" s="649">
        <v>19.02</v>
      </c>
      <c r="BR329" s="649">
        <v>19.28</v>
      </c>
      <c r="BS329" s="649">
        <v>8.92</v>
      </c>
      <c r="BT329" s="649">
        <v>9.01</v>
      </c>
      <c r="BU329" s="648">
        <v>19.600000000000001</v>
      </c>
      <c r="BV329" s="648">
        <v>22.6</v>
      </c>
      <c r="BW329" s="649">
        <v>645.20000000000005</v>
      </c>
      <c r="BX329" s="876"/>
      <c r="BY329" s="649">
        <v>2.0499999999999998</v>
      </c>
      <c r="BZ329" s="649">
        <v>1.7</v>
      </c>
      <c r="CA329" s="649">
        <v>1.3</v>
      </c>
      <c r="CB329" s="649">
        <v>9</v>
      </c>
      <c r="CC329" s="649">
        <v>8</v>
      </c>
      <c r="CD329" s="649">
        <v>15.1</v>
      </c>
      <c r="CE329" s="649">
        <v>31</v>
      </c>
      <c r="CF329" s="649">
        <v>17.8</v>
      </c>
      <c r="CG329" s="649">
        <v>6.9</v>
      </c>
      <c r="CH329" s="649">
        <v>12.2</v>
      </c>
      <c r="CI329" s="649">
        <v>16.3</v>
      </c>
      <c r="CJ329" s="649">
        <v>13.1</v>
      </c>
      <c r="CK329" s="649">
        <v>198.4</v>
      </c>
      <c r="CL329" s="649">
        <v>2.2999999999999998</v>
      </c>
      <c r="CM329" s="649">
        <v>3.6</v>
      </c>
      <c r="CN329" s="649">
        <v>374.1</v>
      </c>
      <c r="CO329" s="649">
        <v>288</v>
      </c>
      <c r="CP329" s="649">
        <v>555.79999999999995</v>
      </c>
      <c r="CQ329" s="649">
        <v>14.2</v>
      </c>
      <c r="CR329" s="649">
        <v>0.82</v>
      </c>
      <c r="CS329" s="405">
        <v>7053.9</v>
      </c>
      <c r="CT329" s="405">
        <v>17.419</v>
      </c>
      <c r="CU329" s="405">
        <v>51</v>
      </c>
      <c r="CV329" s="522">
        <v>0</v>
      </c>
      <c r="CW329" s="522">
        <v>0</v>
      </c>
      <c r="CX329" s="522">
        <v>0</v>
      </c>
      <c r="CY329" s="522">
        <v>0</v>
      </c>
      <c r="CZ329" s="642">
        <v>1370</v>
      </c>
      <c r="DA329" s="642">
        <v>1790</v>
      </c>
      <c r="DB329" s="642">
        <v>1440</v>
      </c>
      <c r="DC329" s="643">
        <v>1077.51</v>
      </c>
      <c r="DD329" s="808"/>
      <c r="DE329" s="522"/>
      <c r="DF329" s="522"/>
      <c r="DG329" s="522"/>
      <c r="DH329" s="522"/>
      <c r="DI329" s="522"/>
      <c r="DJ329" s="522"/>
      <c r="DK329" s="522"/>
      <c r="DL329" s="649"/>
      <c r="DM329" s="649"/>
      <c r="DN329" s="649"/>
      <c r="DO329" s="522"/>
      <c r="DP329" s="522"/>
      <c r="DQ329" s="522"/>
      <c r="DR329" s="522"/>
      <c r="DS329" s="522"/>
      <c r="DT329" s="522"/>
      <c r="DU329" s="522"/>
      <c r="DV329" s="522"/>
      <c r="DW329" s="522"/>
      <c r="DX329" s="522"/>
      <c r="DY329" s="522"/>
      <c r="DZ329" s="522"/>
      <c r="EA329" s="522"/>
      <c r="EB329" s="522"/>
      <c r="EC329" s="522"/>
      <c r="ED329" s="522"/>
      <c r="EE329" s="522"/>
      <c r="EF329" s="522"/>
      <c r="EG329" s="649">
        <f t="shared" si="314"/>
        <v>13.923</v>
      </c>
      <c r="EH329" s="649">
        <v>0</v>
      </c>
      <c r="EI329" s="649">
        <v>0</v>
      </c>
      <c r="EJ329" s="522">
        <v>2.5</v>
      </c>
      <c r="EK329" s="649">
        <v>6.5</v>
      </c>
      <c r="EL329" s="522"/>
      <c r="EM329" s="522"/>
      <c r="EN329" s="522"/>
      <c r="EO329" s="522"/>
      <c r="EP329" s="522"/>
      <c r="EQ329" s="522"/>
      <c r="ER329" s="522"/>
      <c r="ES329" s="407"/>
      <c r="ET329" s="407"/>
    </row>
    <row r="330" spans="1:150" s="357" customFormat="1" ht="15">
      <c r="A330" s="675" t="s">
        <v>7</v>
      </c>
      <c r="B330" s="712">
        <v>41956</v>
      </c>
      <c r="C330" s="820">
        <v>0</v>
      </c>
      <c r="D330" s="643">
        <v>0</v>
      </c>
      <c r="E330" s="807">
        <v>0</v>
      </c>
      <c r="F330" s="807">
        <v>0</v>
      </c>
      <c r="G330" s="807">
        <v>0.95</v>
      </c>
      <c r="H330" s="643">
        <v>34</v>
      </c>
      <c r="I330" s="643">
        <v>86.5</v>
      </c>
      <c r="J330" s="643" t="s">
        <v>744</v>
      </c>
      <c r="K330" s="643">
        <v>2.5</v>
      </c>
      <c r="L330" s="821">
        <v>34.320000000003347</v>
      </c>
      <c r="M330" s="643">
        <v>14</v>
      </c>
      <c r="N330" s="643" t="s">
        <v>744</v>
      </c>
      <c r="O330" s="643" t="s">
        <v>743</v>
      </c>
      <c r="P330" s="643">
        <v>2.17</v>
      </c>
      <c r="Q330" s="643">
        <v>3.3982826948484481</v>
      </c>
      <c r="R330" s="643">
        <v>770.89363276089819</v>
      </c>
      <c r="S330" s="643" t="s">
        <v>744</v>
      </c>
      <c r="T330" s="643">
        <v>7.99</v>
      </c>
      <c r="U330" s="643" t="s">
        <v>744</v>
      </c>
      <c r="V330" s="867">
        <v>0.64</v>
      </c>
      <c r="W330" s="868" t="e">
        <v>#VALUE!</v>
      </c>
      <c r="X330" s="869">
        <v>45.680000000000007</v>
      </c>
      <c r="Y330" s="806">
        <v>20.2</v>
      </c>
      <c r="Z330" s="807">
        <v>24.01</v>
      </c>
      <c r="AA330" s="1109">
        <v>20.32</v>
      </c>
      <c r="AB330" s="1109">
        <v>18.309999999999999</v>
      </c>
      <c r="AC330" s="775">
        <f t="shared" si="323"/>
        <v>38.629999999999995</v>
      </c>
      <c r="AD330" s="775">
        <f t="shared" si="324"/>
        <v>59.760609999999993</v>
      </c>
      <c r="AE330" s="705"/>
      <c r="AF330" s="775"/>
      <c r="AG330" s="705">
        <v>1</v>
      </c>
      <c r="AH330" s="705"/>
      <c r="AI330" s="705"/>
      <c r="AJ330" s="675"/>
      <c r="AK330" s="407"/>
      <c r="AL330" s="407"/>
      <c r="AM330" s="407"/>
      <c r="AN330" s="407"/>
      <c r="AO330" s="387"/>
      <c r="AP330" s="387"/>
      <c r="AQ330" s="405"/>
      <c r="AR330" s="578">
        <v>0</v>
      </c>
      <c r="AS330" s="405">
        <v>20.6</v>
      </c>
      <c r="AT330" s="578">
        <v>0</v>
      </c>
      <c r="AU330" s="405">
        <v>21</v>
      </c>
      <c r="AV330" s="405">
        <v>227.1</v>
      </c>
      <c r="AW330" s="405">
        <v>515.70000000000005</v>
      </c>
      <c r="AX330" s="405">
        <v>0</v>
      </c>
      <c r="AY330" s="578">
        <v>0</v>
      </c>
      <c r="AZ330" s="578">
        <v>0</v>
      </c>
      <c r="BA330" s="578">
        <v>0</v>
      </c>
      <c r="BB330" s="925">
        <v>1</v>
      </c>
      <c r="BC330" s="405">
        <v>0</v>
      </c>
      <c r="BD330" s="405">
        <v>2.3199999999999998</v>
      </c>
      <c r="BE330" s="578">
        <v>0</v>
      </c>
      <c r="BF330" s="405">
        <v>0.28000000000000003</v>
      </c>
      <c r="BG330" s="405">
        <v>0</v>
      </c>
      <c r="BH330" s="578">
        <v>0</v>
      </c>
      <c r="BI330" s="405">
        <v>0</v>
      </c>
      <c r="BJ330" s="405">
        <v>16</v>
      </c>
      <c r="BK330" s="405">
        <v>3.31</v>
      </c>
      <c r="BL330" s="405">
        <v>3.26</v>
      </c>
      <c r="BM330" s="405">
        <v>0</v>
      </c>
      <c r="BN330" s="405">
        <v>8.5</v>
      </c>
      <c r="BO330" s="405">
        <v>505.3</v>
      </c>
      <c r="BP330" s="405">
        <v>252.9</v>
      </c>
      <c r="BQ330" s="649">
        <v>19.829999999999998</v>
      </c>
      <c r="BR330" s="649">
        <v>20.09</v>
      </c>
      <c r="BS330" s="649">
        <v>8.9499999999999993</v>
      </c>
      <c r="BT330" s="649">
        <v>9.09</v>
      </c>
      <c r="BU330" s="648">
        <v>19.7</v>
      </c>
      <c r="BV330" s="648">
        <v>20.6</v>
      </c>
      <c r="BW330" s="649">
        <v>440.7</v>
      </c>
      <c r="BX330" s="876"/>
      <c r="BY330" s="649">
        <v>1.92</v>
      </c>
      <c r="BZ330" s="649">
        <v>1.81</v>
      </c>
      <c r="CA330" s="649">
        <v>1.3</v>
      </c>
      <c r="CB330" s="649">
        <v>8.9</v>
      </c>
      <c r="CC330" s="649">
        <v>8</v>
      </c>
      <c r="CD330" s="649">
        <v>15.5</v>
      </c>
      <c r="CE330" s="649">
        <v>32.799999999999997</v>
      </c>
      <c r="CF330" s="649">
        <v>17.5</v>
      </c>
      <c r="CG330" s="649">
        <v>5.25</v>
      </c>
      <c r="CH330" s="649">
        <v>10</v>
      </c>
      <c r="CI330" s="649">
        <v>14.9</v>
      </c>
      <c r="CJ330" s="649">
        <v>15.3</v>
      </c>
      <c r="CK330" s="649">
        <v>0</v>
      </c>
      <c r="CL330" s="649">
        <v>1.8</v>
      </c>
      <c r="CM330" s="649">
        <v>1.4</v>
      </c>
      <c r="CN330" s="649">
        <v>166.5</v>
      </c>
      <c r="CO330" s="649">
        <v>281.8</v>
      </c>
      <c r="CP330" s="649">
        <v>574.70000000000005</v>
      </c>
      <c r="CQ330" s="649">
        <v>14.7</v>
      </c>
      <c r="CR330" s="649">
        <v>0.97</v>
      </c>
      <c r="CS330" s="405">
        <v>12093.9</v>
      </c>
      <c r="CT330" s="405">
        <v>16.236000000000001</v>
      </c>
      <c r="CU330" s="405">
        <v>51</v>
      </c>
      <c r="CV330" s="522">
        <v>0</v>
      </c>
      <c r="CW330" s="522">
        <v>0</v>
      </c>
      <c r="CX330" s="522">
        <v>0</v>
      </c>
      <c r="CY330" s="522">
        <v>0</v>
      </c>
      <c r="CZ330" s="642">
        <v>827</v>
      </c>
      <c r="DA330" s="642">
        <v>1220</v>
      </c>
      <c r="DB330" s="642">
        <v>885</v>
      </c>
      <c r="DC330" s="643">
        <v>1076.5</v>
      </c>
      <c r="DD330" s="808"/>
      <c r="DE330" s="522"/>
      <c r="DF330" s="522"/>
      <c r="DG330" s="522"/>
      <c r="DH330" s="522"/>
      <c r="DI330" s="522"/>
      <c r="DJ330" s="522"/>
      <c r="DK330" s="522"/>
      <c r="DL330" s="649"/>
      <c r="DM330" s="649"/>
      <c r="DN330" s="649"/>
      <c r="DO330" s="522"/>
      <c r="DP330" s="522"/>
      <c r="DQ330" s="522"/>
      <c r="DR330" s="522"/>
      <c r="DS330" s="522"/>
      <c r="DT330" s="522"/>
      <c r="DU330" s="522"/>
      <c r="DV330" s="522"/>
      <c r="DW330" s="522"/>
      <c r="DX330" s="522"/>
      <c r="DY330" s="522"/>
      <c r="DZ330" s="522"/>
      <c r="EA330" s="522"/>
      <c r="EB330" s="522"/>
      <c r="EC330" s="522"/>
      <c r="ED330" s="522"/>
      <c r="EE330" s="522"/>
      <c r="EF330" s="522"/>
      <c r="EG330" s="649">
        <f t="shared" si="314"/>
        <v>13.923</v>
      </c>
      <c r="EH330" s="649">
        <v>0</v>
      </c>
      <c r="EI330" s="649">
        <v>0</v>
      </c>
      <c r="EJ330" s="522">
        <v>2.5</v>
      </c>
      <c r="EK330" s="649">
        <v>6.5</v>
      </c>
      <c r="EL330" s="522"/>
      <c r="EM330" s="522"/>
      <c r="EN330" s="522"/>
      <c r="EO330" s="522"/>
      <c r="EP330" s="522"/>
      <c r="EQ330" s="522"/>
      <c r="ER330" s="522"/>
      <c r="ES330" s="407"/>
      <c r="ET330" s="407"/>
    </row>
    <row r="331" spans="1:150" s="357" customFormat="1" ht="15">
      <c r="A331" s="675" t="s">
        <v>8</v>
      </c>
      <c r="B331" s="712">
        <v>41957</v>
      </c>
      <c r="C331" s="820">
        <v>0</v>
      </c>
      <c r="D331" s="643">
        <v>0</v>
      </c>
      <c r="E331" s="807">
        <v>0</v>
      </c>
      <c r="F331" s="807">
        <v>0</v>
      </c>
      <c r="G331" s="807">
        <v>0.9</v>
      </c>
      <c r="H331" s="643">
        <v>8.76</v>
      </c>
      <c r="I331" s="643">
        <v>89.44</v>
      </c>
      <c r="J331" s="643" t="s">
        <v>744</v>
      </c>
      <c r="K331" s="643">
        <v>2.91</v>
      </c>
      <c r="L331" s="821">
        <v>24.340000000000146</v>
      </c>
      <c r="M331" s="643">
        <v>15.6</v>
      </c>
      <c r="N331" s="643" t="s">
        <v>744</v>
      </c>
      <c r="O331" s="643" t="s">
        <v>743</v>
      </c>
      <c r="P331" s="643">
        <v>2.1800000000000002</v>
      </c>
      <c r="Q331" s="643" t="s">
        <v>743</v>
      </c>
      <c r="R331" s="643">
        <v>1305.9845072655216</v>
      </c>
      <c r="S331" s="643" t="s">
        <v>744</v>
      </c>
      <c r="T331" s="643">
        <v>8.1300000000000008</v>
      </c>
      <c r="U331" s="643" t="s">
        <v>744</v>
      </c>
      <c r="V331" s="867">
        <v>0.61</v>
      </c>
      <c r="W331" s="868" t="e">
        <v>#VALUE!</v>
      </c>
      <c r="X331" s="869">
        <v>40.28</v>
      </c>
      <c r="Y331" s="806">
        <v>20.2</v>
      </c>
      <c r="Z331" s="807">
        <v>24.01</v>
      </c>
      <c r="AA331" s="1109">
        <v>20.13</v>
      </c>
      <c r="AB331" s="1109">
        <v>25.6</v>
      </c>
      <c r="AC331" s="775">
        <f t="shared" ref="AC331:AC333" si="325">AA331+AB331</f>
        <v>45.730000000000004</v>
      </c>
      <c r="AD331" s="775">
        <f t="shared" ref="AD331:AD333" si="326">AC331*1.547</f>
        <v>70.744309999999999</v>
      </c>
      <c r="AE331" s="705"/>
      <c r="AF331" s="775"/>
      <c r="AG331" s="705">
        <v>1</v>
      </c>
      <c r="AH331" s="705"/>
      <c r="AI331" s="705"/>
      <c r="AJ331" s="675"/>
      <c r="AK331" s="407"/>
      <c r="AL331" s="407"/>
      <c r="AM331" s="407"/>
      <c r="AN331" s="407"/>
      <c r="AO331" s="387"/>
      <c r="AP331" s="387"/>
      <c r="AQ331" s="405"/>
      <c r="AR331" s="578">
        <v>0</v>
      </c>
      <c r="AS331" s="405">
        <v>10.9</v>
      </c>
      <c r="AT331" s="578">
        <v>0</v>
      </c>
      <c r="AU331" s="405">
        <v>20.8</v>
      </c>
      <c r="AV331" s="405">
        <v>375.6</v>
      </c>
      <c r="AW331" s="405">
        <v>770</v>
      </c>
      <c r="AX331" s="405">
        <v>31.3</v>
      </c>
      <c r="AY331" s="578">
        <v>0</v>
      </c>
      <c r="AZ331" s="578">
        <v>0</v>
      </c>
      <c r="BA331" s="578">
        <v>0</v>
      </c>
      <c r="BB331" s="925">
        <v>1</v>
      </c>
      <c r="BC331" s="405">
        <v>0</v>
      </c>
      <c r="BD331" s="405">
        <v>1.87</v>
      </c>
      <c r="BE331" s="578">
        <v>0</v>
      </c>
      <c r="BF331" s="405">
        <v>0.62</v>
      </c>
      <c r="BG331" s="405">
        <v>0</v>
      </c>
      <c r="BH331" s="578">
        <v>0</v>
      </c>
      <c r="BI331" s="405">
        <v>0</v>
      </c>
      <c r="BJ331" s="405">
        <v>23.2</v>
      </c>
      <c r="BK331" s="405">
        <v>2.98</v>
      </c>
      <c r="BL331" s="405">
        <v>3.51</v>
      </c>
      <c r="BM331" s="405">
        <v>0</v>
      </c>
      <c r="BN331" s="405">
        <v>15.6</v>
      </c>
      <c r="BO331" s="405">
        <v>377.2</v>
      </c>
      <c r="BP331" s="405">
        <v>207.8</v>
      </c>
      <c r="BQ331" s="649">
        <v>21.08</v>
      </c>
      <c r="BR331" s="649">
        <v>21.3</v>
      </c>
      <c r="BS331" s="649">
        <v>8.69</v>
      </c>
      <c r="BT331" s="649">
        <v>8.8000000000000007</v>
      </c>
      <c r="BU331" s="648">
        <v>19.100000000000001</v>
      </c>
      <c r="BV331" s="648">
        <v>18.7</v>
      </c>
      <c r="BW331" s="649">
        <v>621.79999999999995</v>
      </c>
      <c r="BX331" s="876"/>
      <c r="BY331" s="649">
        <v>1.94</v>
      </c>
      <c r="BZ331" s="649">
        <v>1.85</v>
      </c>
      <c r="CA331" s="649">
        <v>1.4</v>
      </c>
      <c r="CB331" s="649">
        <v>8.9</v>
      </c>
      <c r="CC331" s="649">
        <v>8</v>
      </c>
      <c r="CD331" s="649">
        <v>15.7</v>
      </c>
      <c r="CE331" s="649">
        <v>32</v>
      </c>
      <c r="CF331" s="649">
        <v>17.100000000000001</v>
      </c>
      <c r="CG331" s="649">
        <v>3.3</v>
      </c>
      <c r="CH331" s="649">
        <v>8.1</v>
      </c>
      <c r="CI331" s="649">
        <v>12.1</v>
      </c>
      <c r="CJ331" s="649">
        <v>13.5</v>
      </c>
      <c r="CK331" s="649">
        <v>515.5</v>
      </c>
      <c r="CL331" s="649">
        <v>1.4</v>
      </c>
      <c r="CM331" s="649">
        <v>1.4</v>
      </c>
      <c r="CN331" s="649">
        <v>238.7</v>
      </c>
      <c r="CO331" s="649">
        <v>287.89999999999998</v>
      </c>
      <c r="CP331" s="649">
        <v>559.70000000000005</v>
      </c>
      <c r="CQ331" s="649">
        <v>15.7</v>
      </c>
      <c r="CR331" s="649">
        <v>1.01</v>
      </c>
      <c r="CS331" s="405">
        <v>6669.6</v>
      </c>
      <c r="CT331" s="405">
        <v>16.495000000000001</v>
      </c>
      <c r="CU331" s="405">
        <v>50</v>
      </c>
      <c r="CV331" s="522">
        <v>0</v>
      </c>
      <c r="CW331" s="522">
        <v>0</v>
      </c>
      <c r="CX331" s="522">
        <v>0</v>
      </c>
      <c r="CY331" s="522">
        <v>0</v>
      </c>
      <c r="CZ331" s="642">
        <v>790</v>
      </c>
      <c r="DA331" s="642">
        <v>1110</v>
      </c>
      <c r="DB331" s="642">
        <v>816</v>
      </c>
      <c r="DC331" s="643">
        <v>1078.4000000000001</v>
      </c>
      <c r="DD331" s="808"/>
      <c r="DE331" s="522"/>
      <c r="DF331" s="522"/>
      <c r="DG331" s="522"/>
      <c r="DH331" s="522"/>
      <c r="DI331" s="522"/>
      <c r="DJ331" s="522"/>
      <c r="DK331" s="522"/>
      <c r="DL331" s="649"/>
      <c r="DM331" s="649"/>
      <c r="DN331" s="649"/>
      <c r="DO331" s="522"/>
      <c r="DP331" s="522"/>
      <c r="DQ331" s="522"/>
      <c r="DR331" s="522"/>
      <c r="DS331" s="522"/>
      <c r="DT331" s="522"/>
      <c r="DU331" s="522"/>
      <c r="DV331" s="522"/>
      <c r="DW331" s="522"/>
      <c r="DX331" s="522"/>
      <c r="DY331" s="522"/>
      <c r="DZ331" s="522"/>
      <c r="EA331" s="522"/>
      <c r="EB331" s="522"/>
      <c r="EC331" s="522"/>
      <c r="ED331" s="522"/>
      <c r="EE331" s="522"/>
      <c r="EF331" s="522"/>
      <c r="EG331" s="649">
        <f t="shared" ref="EG331:EG344" si="327">(SUM(EH331:EK331))*1.547</f>
        <v>13.923</v>
      </c>
      <c r="EH331" s="649">
        <v>0</v>
      </c>
      <c r="EI331" s="649">
        <v>0</v>
      </c>
      <c r="EJ331" s="522">
        <v>2.5</v>
      </c>
      <c r="EK331" s="649">
        <v>6.5</v>
      </c>
      <c r="EL331" s="522"/>
      <c r="EM331" s="522"/>
      <c r="EN331" s="522"/>
      <c r="EO331" s="522"/>
      <c r="EP331" s="522"/>
      <c r="EQ331" s="522"/>
      <c r="ER331" s="522"/>
      <c r="ES331" s="407"/>
      <c r="ET331" s="407"/>
    </row>
    <row r="332" spans="1:150" s="357" customFormat="1" ht="15">
      <c r="A332" s="675" t="s">
        <v>9</v>
      </c>
      <c r="B332" s="712">
        <v>41958</v>
      </c>
      <c r="C332" s="820">
        <v>0</v>
      </c>
      <c r="D332" s="643">
        <v>0</v>
      </c>
      <c r="E332" s="807">
        <v>0</v>
      </c>
      <c r="F332" s="807">
        <v>0</v>
      </c>
      <c r="G332" s="807">
        <v>0.9</v>
      </c>
      <c r="H332" s="643">
        <v>2.72</v>
      </c>
      <c r="I332" s="643">
        <v>92.97</v>
      </c>
      <c r="J332" s="643" t="s">
        <v>744</v>
      </c>
      <c r="K332" s="643">
        <v>2.13</v>
      </c>
      <c r="L332" s="821">
        <v>14.799999999999272</v>
      </c>
      <c r="M332" s="643">
        <v>17.3</v>
      </c>
      <c r="N332" s="643" t="s">
        <v>744</v>
      </c>
      <c r="O332" s="643" t="s">
        <v>743</v>
      </c>
      <c r="P332" s="643">
        <v>2.17</v>
      </c>
      <c r="Q332" s="643">
        <v>-107.80845919432782</v>
      </c>
      <c r="R332" s="1095">
        <v>-99622.778504623508</v>
      </c>
      <c r="S332" s="643" t="s">
        <v>744</v>
      </c>
      <c r="T332" s="643">
        <v>8.15</v>
      </c>
      <c r="U332" s="643" t="s">
        <v>744</v>
      </c>
      <c r="V332" s="867">
        <v>0.49</v>
      </c>
      <c r="W332" s="868" t="e">
        <v>#VALUE!</v>
      </c>
      <c r="X332" s="869">
        <v>38.299999999999997</v>
      </c>
      <c r="Y332" s="806">
        <v>20.2</v>
      </c>
      <c r="Z332" s="807">
        <v>24.01</v>
      </c>
      <c r="AA332" s="870">
        <v>20</v>
      </c>
      <c r="AB332" s="870">
        <v>32</v>
      </c>
      <c r="AC332" s="775">
        <f t="shared" si="325"/>
        <v>52</v>
      </c>
      <c r="AD332" s="775">
        <f t="shared" si="326"/>
        <v>80.444000000000003</v>
      </c>
      <c r="AE332" s="705"/>
      <c r="AF332" s="775"/>
      <c r="AG332" s="705">
        <v>1</v>
      </c>
      <c r="AH332" s="705"/>
      <c r="AI332" s="705"/>
      <c r="AJ332" s="675"/>
      <c r="AK332" s="407"/>
      <c r="AL332" s="407"/>
      <c r="AM332" s="407"/>
      <c r="AN332" s="407"/>
      <c r="AO332" s="387"/>
      <c r="AP332" s="387"/>
      <c r="AQ332" s="405"/>
      <c r="AR332" s="578">
        <v>0</v>
      </c>
      <c r="AS332" s="405">
        <v>10.6</v>
      </c>
      <c r="AT332" s="578">
        <v>0</v>
      </c>
      <c r="AU332" s="405">
        <v>20.7</v>
      </c>
      <c r="AV332" s="405">
        <v>242</v>
      </c>
      <c r="AW332" s="405">
        <v>620.5</v>
      </c>
      <c r="AX332" s="405">
        <v>63.1</v>
      </c>
      <c r="AY332" s="578">
        <v>0</v>
      </c>
      <c r="AZ332" s="578">
        <v>0</v>
      </c>
      <c r="BA332" s="578">
        <v>0</v>
      </c>
      <c r="BB332" s="925">
        <v>0.99</v>
      </c>
      <c r="BC332" s="405">
        <v>0</v>
      </c>
      <c r="BD332" s="405">
        <v>1.87</v>
      </c>
      <c r="BE332" s="578">
        <v>0</v>
      </c>
      <c r="BF332" s="405">
        <v>0.62</v>
      </c>
      <c r="BG332" s="405">
        <v>0</v>
      </c>
      <c r="BH332" s="578">
        <v>0</v>
      </c>
      <c r="BI332" s="405">
        <v>0</v>
      </c>
      <c r="BJ332" s="405">
        <v>29.5</v>
      </c>
      <c r="BK332" s="405">
        <v>2.96</v>
      </c>
      <c r="BL332" s="405">
        <v>3.51</v>
      </c>
      <c r="BM332" s="405">
        <v>0</v>
      </c>
      <c r="BN332" s="405">
        <v>21.9</v>
      </c>
      <c r="BO332" s="405">
        <v>986.3</v>
      </c>
      <c r="BP332" s="405">
        <v>638.70000000000005</v>
      </c>
      <c r="BQ332" s="649">
        <v>20.149999999999999</v>
      </c>
      <c r="BR332" s="649">
        <v>20.41</v>
      </c>
      <c r="BS332" s="649">
        <v>8.65</v>
      </c>
      <c r="BT332" s="649">
        <v>8.76</v>
      </c>
      <c r="BU332" s="648">
        <v>19.2</v>
      </c>
      <c r="BV332" s="648">
        <v>24.5</v>
      </c>
      <c r="BW332" s="649">
        <v>633.1</v>
      </c>
      <c r="BX332" s="876"/>
      <c r="BY332" s="649">
        <v>1.8</v>
      </c>
      <c r="BZ332" s="649">
        <v>1.95</v>
      </c>
      <c r="CA332" s="649">
        <v>1.5</v>
      </c>
      <c r="CB332" s="649">
        <v>8.9</v>
      </c>
      <c r="CC332" s="649">
        <v>8.1</v>
      </c>
      <c r="CD332" s="649">
        <v>14.7</v>
      </c>
      <c r="CE332" s="649">
        <v>30.4</v>
      </c>
      <c r="CF332" s="649">
        <v>16.600000000000001</v>
      </c>
      <c r="CG332" s="649">
        <v>6.1</v>
      </c>
      <c r="CH332" s="649">
        <v>11.3</v>
      </c>
      <c r="CI332" s="649">
        <v>15.3</v>
      </c>
      <c r="CJ332" s="649">
        <v>12.9</v>
      </c>
      <c r="CK332" s="649">
        <v>605</v>
      </c>
      <c r="CL332" s="649">
        <v>1.8</v>
      </c>
      <c r="CM332" s="649">
        <v>2.7</v>
      </c>
      <c r="CN332" s="649">
        <v>392.6</v>
      </c>
      <c r="CO332" s="649">
        <v>311.60000000000002</v>
      </c>
      <c r="CP332" s="649">
        <v>547.29999999999995</v>
      </c>
      <c r="CQ332" s="649">
        <v>14.1</v>
      </c>
      <c r="CR332" s="649">
        <v>0.87</v>
      </c>
      <c r="CS332" s="405">
        <v>0</v>
      </c>
      <c r="CT332" s="405">
        <v>16.494</v>
      </c>
      <c r="CU332" s="405">
        <v>49</v>
      </c>
      <c r="CV332" s="522">
        <v>0</v>
      </c>
      <c r="CW332" s="522">
        <v>0</v>
      </c>
      <c r="CX332" s="522">
        <v>0</v>
      </c>
      <c r="CY332" s="522">
        <v>0</v>
      </c>
      <c r="CZ332" s="642">
        <v>790</v>
      </c>
      <c r="DA332" s="642">
        <v>1050</v>
      </c>
      <c r="DB332" s="642">
        <v>773</v>
      </c>
      <c r="DC332" s="643">
        <v>1078.5</v>
      </c>
      <c r="DD332" s="808"/>
      <c r="DE332" s="522"/>
      <c r="DF332" s="522"/>
      <c r="DG332" s="522"/>
      <c r="DH332" s="522"/>
      <c r="DI332" s="522"/>
      <c r="DJ332" s="522"/>
      <c r="DK332" s="522"/>
      <c r="DL332" s="649"/>
      <c r="DM332" s="649"/>
      <c r="DN332" s="649"/>
      <c r="DO332" s="522"/>
      <c r="DP332" s="522"/>
      <c r="DQ332" s="522"/>
      <c r="DR332" s="522"/>
      <c r="DS332" s="522"/>
      <c r="DT332" s="522"/>
      <c r="DU332" s="522"/>
      <c r="DV332" s="522"/>
      <c r="DW332" s="522"/>
      <c r="DX332" s="522"/>
      <c r="DY332" s="522"/>
      <c r="DZ332" s="522"/>
      <c r="EA332" s="522"/>
      <c r="EB332" s="522"/>
      <c r="EC332" s="522"/>
      <c r="ED332" s="522"/>
      <c r="EE332" s="522"/>
      <c r="EF332" s="522"/>
      <c r="EG332" s="649">
        <f t="shared" si="327"/>
        <v>13.923</v>
      </c>
      <c r="EH332" s="649">
        <v>0</v>
      </c>
      <c r="EI332" s="649">
        <v>0</v>
      </c>
      <c r="EJ332" s="522">
        <v>2.5</v>
      </c>
      <c r="EK332" s="649">
        <v>6.5</v>
      </c>
      <c r="EL332" s="522"/>
      <c r="EM332" s="522"/>
      <c r="EN332" s="522"/>
      <c r="EO332" s="522"/>
      <c r="EP332" s="522"/>
      <c r="EQ332" s="522"/>
      <c r="ER332" s="522"/>
      <c r="ES332" s="407"/>
      <c r="ET332" s="407"/>
    </row>
    <row r="333" spans="1:150" s="357" customFormat="1" ht="15">
      <c r="A333" s="675" t="s">
        <v>3</v>
      </c>
      <c r="B333" s="712">
        <v>41959</v>
      </c>
      <c r="C333" s="820">
        <v>0</v>
      </c>
      <c r="D333" s="643">
        <v>0</v>
      </c>
      <c r="E333" s="807">
        <v>0</v>
      </c>
      <c r="F333" s="807">
        <v>39.700000000000003</v>
      </c>
      <c r="G333" s="807">
        <v>0.8</v>
      </c>
      <c r="H333" s="643">
        <v>2.44</v>
      </c>
      <c r="I333" s="643">
        <v>94.74</v>
      </c>
      <c r="J333" s="643" t="s">
        <v>744</v>
      </c>
      <c r="K333" s="643">
        <v>1.94</v>
      </c>
      <c r="L333" s="821">
        <v>0</v>
      </c>
      <c r="M333" s="643">
        <v>17.3</v>
      </c>
      <c r="N333" s="643" t="s">
        <v>744</v>
      </c>
      <c r="O333" s="643" t="s">
        <v>743</v>
      </c>
      <c r="P333" s="643">
        <v>2.02</v>
      </c>
      <c r="Q333" s="643">
        <v>2.6140636114215186</v>
      </c>
      <c r="R333" s="643">
        <v>1179.0137912813736</v>
      </c>
      <c r="S333" s="643" t="s">
        <v>744</v>
      </c>
      <c r="T333" s="643">
        <v>8.19</v>
      </c>
      <c r="U333" s="643" t="s">
        <v>744</v>
      </c>
      <c r="V333" s="867">
        <v>0.73</v>
      </c>
      <c r="W333" s="868" t="e">
        <v>#VALUE!</v>
      </c>
      <c r="X333" s="869">
        <v>38.480000000000004</v>
      </c>
      <c r="Y333" s="806">
        <v>20</v>
      </c>
      <c r="Z333" s="807">
        <v>32</v>
      </c>
      <c r="AA333" s="870">
        <v>20</v>
      </c>
      <c r="AB333" s="870">
        <v>33.6</v>
      </c>
      <c r="AC333" s="775">
        <f t="shared" si="325"/>
        <v>53.6</v>
      </c>
      <c r="AD333" s="775">
        <f t="shared" si="326"/>
        <v>82.919200000000004</v>
      </c>
      <c r="AE333" s="705"/>
      <c r="AF333" s="775"/>
      <c r="AG333" s="705">
        <v>1</v>
      </c>
      <c r="AH333" s="705"/>
      <c r="AI333" s="705"/>
      <c r="AJ333" s="675"/>
      <c r="AK333" s="407"/>
      <c r="AL333" s="407"/>
      <c r="AM333" s="407"/>
      <c r="AN333" s="407"/>
      <c r="AO333" s="387"/>
      <c r="AP333" s="387"/>
      <c r="AQ333" s="405"/>
      <c r="AR333" s="578">
        <v>0</v>
      </c>
      <c r="AS333" s="405">
        <v>10.9</v>
      </c>
      <c r="AT333" s="578">
        <v>0</v>
      </c>
      <c r="AU333" s="405">
        <v>20.6</v>
      </c>
      <c r="AV333" s="405">
        <v>359.8</v>
      </c>
      <c r="AW333" s="405">
        <v>746.1</v>
      </c>
      <c r="AX333" s="405">
        <v>65.7</v>
      </c>
      <c r="AY333" s="578">
        <v>0</v>
      </c>
      <c r="AZ333" s="578">
        <v>0</v>
      </c>
      <c r="BA333" s="578">
        <v>0</v>
      </c>
      <c r="BB333" s="925">
        <v>1</v>
      </c>
      <c r="BC333" s="405">
        <v>0</v>
      </c>
      <c r="BD333" s="405">
        <v>1.87</v>
      </c>
      <c r="BE333" s="578">
        <v>0</v>
      </c>
      <c r="BF333" s="405">
        <v>0.62</v>
      </c>
      <c r="BG333" s="405">
        <v>0</v>
      </c>
      <c r="BH333" s="578">
        <v>0</v>
      </c>
      <c r="BI333" s="405">
        <v>0</v>
      </c>
      <c r="BJ333" s="405">
        <v>31.2</v>
      </c>
      <c r="BK333" s="405">
        <v>2.97</v>
      </c>
      <c r="BL333" s="405">
        <v>3.51</v>
      </c>
      <c r="BM333" s="405">
        <v>0</v>
      </c>
      <c r="BN333" s="405">
        <v>23.5</v>
      </c>
      <c r="BO333" s="405">
        <v>1139.7</v>
      </c>
      <c r="BP333" s="405">
        <v>0</v>
      </c>
      <c r="BQ333" s="649">
        <v>18.899999999999999</v>
      </c>
      <c r="BR333" s="649">
        <v>19.2</v>
      </c>
      <c r="BS333" s="649">
        <v>8.4600000000000009</v>
      </c>
      <c r="BT333" s="649">
        <v>8.5299999999999994</v>
      </c>
      <c r="BU333" s="648">
        <v>18.8</v>
      </c>
      <c r="BV333" s="648">
        <v>24.9</v>
      </c>
      <c r="BW333" s="649">
        <v>475.3</v>
      </c>
      <c r="BX333" s="876">
        <v>0</v>
      </c>
      <c r="BY333" s="649">
        <v>1.5</v>
      </c>
      <c r="BZ333" s="649">
        <v>1.91</v>
      </c>
      <c r="CA333" s="649">
        <v>1.5</v>
      </c>
      <c r="CB333" s="649">
        <v>8.9</v>
      </c>
      <c r="CC333" s="649">
        <v>8.1</v>
      </c>
      <c r="CD333" s="649">
        <v>15.6</v>
      </c>
      <c r="CE333" s="649">
        <v>30.7</v>
      </c>
      <c r="CF333" s="649">
        <v>16</v>
      </c>
      <c r="CG333" s="649">
        <v>6</v>
      </c>
      <c r="CH333" s="649">
        <v>11.2</v>
      </c>
      <c r="CI333" s="649">
        <v>15.2</v>
      </c>
      <c r="CJ333" s="649">
        <v>13.6</v>
      </c>
      <c r="CK333" s="649">
        <v>581</v>
      </c>
      <c r="CL333" s="649">
        <v>2</v>
      </c>
      <c r="CM333" s="649">
        <v>0.9</v>
      </c>
      <c r="CN333" s="649">
        <v>491</v>
      </c>
      <c r="CO333" s="649">
        <v>324.2</v>
      </c>
      <c r="CP333" s="649">
        <v>537.4</v>
      </c>
      <c r="CQ333" s="649">
        <v>14</v>
      </c>
      <c r="CR333" s="649">
        <v>0.85</v>
      </c>
      <c r="CS333" s="405">
        <v>0</v>
      </c>
      <c r="CT333" s="405">
        <v>16.210999999999999</v>
      </c>
      <c r="CU333" s="405">
        <v>48</v>
      </c>
      <c r="CV333" s="522">
        <v>0</v>
      </c>
      <c r="CW333" s="522">
        <v>0</v>
      </c>
      <c r="CX333" s="522">
        <v>0</v>
      </c>
      <c r="CY333" s="522">
        <v>0</v>
      </c>
      <c r="CZ333" s="642">
        <v>781</v>
      </c>
      <c r="DA333" s="642">
        <v>1020</v>
      </c>
      <c r="DB333" s="642">
        <v>762</v>
      </c>
      <c r="DC333" s="643">
        <v>1077.71</v>
      </c>
      <c r="DD333" s="808"/>
      <c r="DE333" s="522"/>
      <c r="DF333" s="522"/>
      <c r="DG333" s="522"/>
      <c r="DH333" s="522"/>
      <c r="DI333" s="522"/>
      <c r="DJ333" s="522"/>
      <c r="DK333" s="522"/>
      <c r="DL333" s="649"/>
      <c r="DM333" s="649"/>
      <c r="DN333" s="649"/>
      <c r="DO333" s="522"/>
      <c r="DP333" s="522"/>
      <c r="DQ333" s="522"/>
      <c r="DR333" s="522"/>
      <c r="DS333" s="522"/>
      <c r="DT333" s="522"/>
      <c r="DU333" s="522"/>
      <c r="DV333" s="522"/>
      <c r="DW333" s="522"/>
      <c r="DX333" s="522"/>
      <c r="DY333" s="522"/>
      <c r="DZ333" s="522"/>
      <c r="EA333" s="522"/>
      <c r="EB333" s="522"/>
      <c r="EC333" s="522"/>
      <c r="ED333" s="522"/>
      <c r="EE333" s="522"/>
      <c r="EF333" s="522"/>
      <c r="EG333" s="649">
        <f t="shared" si="327"/>
        <v>13.923</v>
      </c>
      <c r="EH333" s="649">
        <v>0</v>
      </c>
      <c r="EI333" s="649">
        <v>0</v>
      </c>
      <c r="EJ333" s="522">
        <v>2.5</v>
      </c>
      <c r="EK333" s="649">
        <v>6.5</v>
      </c>
      <c r="EL333" s="522"/>
      <c r="EM333" s="522"/>
      <c r="EN333" s="522"/>
      <c r="EO333" s="522"/>
      <c r="EP333" s="522"/>
      <c r="EQ333" s="522"/>
      <c r="ER333" s="522"/>
      <c r="ES333" s="407"/>
      <c r="ET333" s="407"/>
    </row>
    <row r="334" spans="1:150" s="357" customFormat="1" ht="15">
      <c r="A334" s="675" t="s">
        <v>4</v>
      </c>
      <c r="B334" s="712">
        <v>41960</v>
      </c>
      <c r="C334" s="820">
        <v>0</v>
      </c>
      <c r="D334" s="643">
        <v>0</v>
      </c>
      <c r="E334" s="807">
        <v>0</v>
      </c>
      <c r="F334" s="807">
        <v>36</v>
      </c>
      <c r="G334" s="807">
        <v>0.9</v>
      </c>
      <c r="H334" s="643">
        <v>4.78</v>
      </c>
      <c r="I334" s="643">
        <v>93.9</v>
      </c>
      <c r="J334" s="643" t="s">
        <v>744</v>
      </c>
      <c r="K334" s="643">
        <v>3.21</v>
      </c>
      <c r="L334" s="821">
        <v>0</v>
      </c>
      <c r="M334" s="643">
        <v>19.3</v>
      </c>
      <c r="N334" s="643" t="s">
        <v>744</v>
      </c>
      <c r="O334" s="643" t="s">
        <v>743</v>
      </c>
      <c r="P334" s="643">
        <v>1.9</v>
      </c>
      <c r="Q334" s="643">
        <v>2.4217324241567839</v>
      </c>
      <c r="R334" s="643">
        <v>1118.119672391017</v>
      </c>
      <c r="S334" s="643" t="s">
        <v>744</v>
      </c>
      <c r="T334" s="643">
        <v>8.19</v>
      </c>
      <c r="U334" s="643" t="s">
        <v>744</v>
      </c>
      <c r="V334" s="867">
        <v>0.68</v>
      </c>
      <c r="W334" s="868" t="e">
        <v>#VALUE!</v>
      </c>
      <c r="X334" s="869">
        <v>38.840000000000003</v>
      </c>
      <c r="Y334" s="806">
        <v>20</v>
      </c>
      <c r="Z334" s="807">
        <v>33.6</v>
      </c>
      <c r="AA334" s="870">
        <v>19.899999999999999</v>
      </c>
      <c r="AB334" s="870">
        <v>35.07</v>
      </c>
      <c r="AC334" s="775">
        <f t="shared" ref="AC334:AC337" si="328">AA334+AB334</f>
        <v>54.97</v>
      </c>
      <c r="AD334" s="775">
        <f t="shared" ref="AD334:AD337" si="329">AC334*1.547</f>
        <v>85.038589999999999</v>
      </c>
      <c r="AE334" s="705"/>
      <c r="AF334" s="775"/>
      <c r="AG334" s="705">
        <v>1</v>
      </c>
      <c r="AH334" s="705"/>
      <c r="AI334" s="705"/>
      <c r="AJ334" s="675"/>
      <c r="AK334" s="407"/>
      <c r="AL334" s="407"/>
      <c r="AM334" s="407"/>
      <c r="AN334" s="407"/>
      <c r="AO334" s="387"/>
      <c r="AP334" s="387"/>
      <c r="AQ334" s="405"/>
      <c r="AR334" s="578">
        <v>0</v>
      </c>
      <c r="AS334" s="405">
        <v>10.4</v>
      </c>
      <c r="AT334" s="578">
        <v>0</v>
      </c>
      <c r="AU334" s="405">
        <v>20.6</v>
      </c>
      <c r="AV334" s="405">
        <v>192.4</v>
      </c>
      <c r="AW334" s="405">
        <v>459</v>
      </c>
      <c r="AX334" s="405">
        <v>60.4</v>
      </c>
      <c r="AY334" s="578">
        <v>0</v>
      </c>
      <c r="AZ334" s="578">
        <v>0</v>
      </c>
      <c r="BA334" s="578">
        <v>0</v>
      </c>
      <c r="BB334" s="925">
        <v>1</v>
      </c>
      <c r="BC334" s="405">
        <v>0</v>
      </c>
      <c r="BD334" s="405">
        <v>1.87</v>
      </c>
      <c r="BE334" s="578">
        <v>0</v>
      </c>
      <c r="BF334" s="405">
        <v>0.62</v>
      </c>
      <c r="BG334" s="405">
        <v>0</v>
      </c>
      <c r="BH334" s="578">
        <v>0</v>
      </c>
      <c r="BI334" s="405">
        <v>0</v>
      </c>
      <c r="BJ334" s="405">
        <v>32.6</v>
      </c>
      <c r="BK334" s="405">
        <v>2.96</v>
      </c>
      <c r="BL334" s="405">
        <v>3.51</v>
      </c>
      <c r="BM334" s="405">
        <v>0</v>
      </c>
      <c r="BN334" s="405">
        <v>24.9</v>
      </c>
      <c r="BO334" s="405">
        <v>817.3</v>
      </c>
      <c r="BP334" s="405">
        <v>595.4</v>
      </c>
      <c r="BQ334" s="649">
        <v>18.399999999999999</v>
      </c>
      <c r="BR334" s="649">
        <v>18.7</v>
      </c>
      <c r="BS334" s="649">
        <v>8.59</v>
      </c>
      <c r="BT334" s="649">
        <v>8.76</v>
      </c>
      <c r="BU334" s="648">
        <v>19.2</v>
      </c>
      <c r="BV334" s="648">
        <v>23.2</v>
      </c>
      <c r="BW334" s="649">
        <v>627.29999999999995</v>
      </c>
      <c r="BX334" s="876"/>
      <c r="BY334" s="649">
        <v>1.3</v>
      </c>
      <c r="BZ334" s="649">
        <v>1.72</v>
      </c>
      <c r="CA334" s="649">
        <v>1.6</v>
      </c>
      <c r="CB334" s="649">
        <v>8.8000000000000007</v>
      </c>
      <c r="CC334" s="649">
        <v>8.1</v>
      </c>
      <c r="CD334" s="649">
        <v>15.8</v>
      </c>
      <c r="CE334" s="649">
        <v>31.2</v>
      </c>
      <c r="CF334" s="649">
        <v>15.4</v>
      </c>
      <c r="CG334" s="649">
        <v>8.1</v>
      </c>
      <c r="CH334" s="649">
        <v>13.4</v>
      </c>
      <c r="CI334" s="649">
        <v>17.7</v>
      </c>
      <c r="CJ334" s="649">
        <v>13.5</v>
      </c>
      <c r="CK334" s="649">
        <v>644.79999999999995</v>
      </c>
      <c r="CL334" s="649">
        <v>2.4</v>
      </c>
      <c r="CM334" s="649">
        <v>2.7</v>
      </c>
      <c r="CN334" s="649">
        <v>321.2</v>
      </c>
      <c r="CO334" s="649">
        <v>286.2</v>
      </c>
      <c r="CP334" s="649">
        <v>564</v>
      </c>
      <c r="CQ334" s="649">
        <v>13.7</v>
      </c>
      <c r="CR334" s="649">
        <v>0.93</v>
      </c>
      <c r="CS334" s="405">
        <v>0</v>
      </c>
      <c r="CT334" s="405">
        <v>15.821</v>
      </c>
      <c r="CU334" s="405">
        <v>46</v>
      </c>
      <c r="CV334" s="522">
        <v>0</v>
      </c>
      <c r="CW334" s="522">
        <v>0</v>
      </c>
      <c r="CX334" s="522">
        <v>0</v>
      </c>
      <c r="CY334" s="522">
        <v>0</v>
      </c>
      <c r="CZ334" s="642">
        <v>762</v>
      </c>
      <c r="DA334" s="642">
        <v>1010</v>
      </c>
      <c r="DB334" s="642">
        <v>743</v>
      </c>
      <c r="DC334" s="643">
        <v>1075.9000000000001</v>
      </c>
      <c r="DD334" s="808"/>
      <c r="DE334" s="522"/>
      <c r="DF334" s="522"/>
      <c r="DG334" s="522"/>
      <c r="DH334" s="522"/>
      <c r="DI334" s="522"/>
      <c r="DJ334" s="522"/>
      <c r="DK334" s="522"/>
      <c r="DL334" s="649"/>
      <c r="DM334" s="649"/>
      <c r="DN334" s="649"/>
      <c r="DO334" s="522"/>
      <c r="DP334" s="522"/>
      <c r="DQ334" s="522"/>
      <c r="DR334" s="522"/>
      <c r="DS334" s="522"/>
      <c r="DT334" s="522"/>
      <c r="DU334" s="522"/>
      <c r="DV334" s="522"/>
      <c r="DW334" s="522"/>
      <c r="DX334" s="522"/>
      <c r="DY334" s="522"/>
      <c r="DZ334" s="522"/>
      <c r="EA334" s="522"/>
      <c r="EB334" s="522"/>
      <c r="EC334" s="522"/>
      <c r="ED334" s="522"/>
      <c r="EE334" s="522"/>
      <c r="EF334" s="522"/>
      <c r="EG334" s="649">
        <f t="shared" si="327"/>
        <v>13.923</v>
      </c>
      <c r="EH334" s="649">
        <v>0</v>
      </c>
      <c r="EI334" s="649">
        <v>0</v>
      </c>
      <c r="EJ334" s="522">
        <v>2.5</v>
      </c>
      <c r="EK334" s="649">
        <v>6.5</v>
      </c>
      <c r="EL334" s="522"/>
      <c r="EM334" s="522"/>
      <c r="EN334" s="522"/>
      <c r="EO334" s="522"/>
      <c r="EP334" s="522"/>
      <c r="EQ334" s="522"/>
      <c r="ER334" s="522"/>
      <c r="ES334" s="407"/>
      <c r="ET334" s="407"/>
    </row>
    <row r="335" spans="1:150" s="357" customFormat="1" ht="15">
      <c r="A335" s="675" t="s">
        <v>5</v>
      </c>
      <c r="B335" s="712">
        <v>41961</v>
      </c>
      <c r="C335" s="820">
        <v>0</v>
      </c>
      <c r="D335" s="643">
        <v>0</v>
      </c>
      <c r="E335" s="807">
        <v>0</v>
      </c>
      <c r="F335" s="807">
        <v>37</v>
      </c>
      <c r="G335" s="807">
        <v>0.65</v>
      </c>
      <c r="H335" s="643">
        <v>7.89</v>
      </c>
      <c r="I335" s="643">
        <v>92.5</v>
      </c>
      <c r="J335" s="643" t="s">
        <v>744</v>
      </c>
      <c r="K335" s="643">
        <v>4.2300000000000004</v>
      </c>
      <c r="L335" s="821">
        <v>25.119999999998981</v>
      </c>
      <c r="M335" s="643">
        <v>13.7</v>
      </c>
      <c r="N335" s="643" t="s">
        <v>744</v>
      </c>
      <c r="O335" s="643" t="s">
        <v>743</v>
      </c>
      <c r="P335" s="643">
        <v>1.81</v>
      </c>
      <c r="Q335" s="643">
        <v>2.1535893632953917</v>
      </c>
      <c r="R335" s="643">
        <v>995.03581505944499</v>
      </c>
      <c r="S335" s="643" t="s">
        <v>744</v>
      </c>
      <c r="T335" s="643">
        <v>7.87</v>
      </c>
      <c r="U335" s="643" t="s">
        <v>744</v>
      </c>
      <c r="V335" s="867">
        <v>0.73</v>
      </c>
      <c r="W335" s="868" t="e">
        <v>#VALUE!</v>
      </c>
      <c r="X335" s="869">
        <v>41.539999999999992</v>
      </c>
      <c r="Y335" s="806">
        <v>19.899999999999999</v>
      </c>
      <c r="Z335" s="807">
        <v>35.07</v>
      </c>
      <c r="AA335" s="870">
        <v>19.95</v>
      </c>
      <c r="AB335" s="870">
        <v>34.93</v>
      </c>
      <c r="AC335" s="775">
        <f t="shared" si="328"/>
        <v>54.879999999999995</v>
      </c>
      <c r="AD335" s="775">
        <f t="shared" si="329"/>
        <v>84.899359999999987</v>
      </c>
      <c r="AE335" s="705"/>
      <c r="AF335" s="775"/>
      <c r="AG335" s="705">
        <v>1</v>
      </c>
      <c r="AH335" s="705"/>
      <c r="AI335" s="705"/>
      <c r="AJ335" s="675"/>
      <c r="AK335" s="407"/>
      <c r="AL335" s="407"/>
      <c r="AM335" s="407"/>
      <c r="AN335" s="407"/>
      <c r="AO335" s="387"/>
      <c r="AP335" s="387"/>
      <c r="AQ335" s="405"/>
      <c r="AR335" s="578">
        <v>0</v>
      </c>
      <c r="AS335" s="405">
        <v>21.3</v>
      </c>
      <c r="AT335" s="578">
        <v>0</v>
      </c>
      <c r="AU335" s="405">
        <v>20.6</v>
      </c>
      <c r="AV335" s="405">
        <v>203.1</v>
      </c>
      <c r="AW335" s="405">
        <v>513.6</v>
      </c>
      <c r="AX335" s="405">
        <v>60</v>
      </c>
      <c r="AY335" s="578">
        <v>0</v>
      </c>
      <c r="AZ335" s="578">
        <v>0</v>
      </c>
      <c r="BA335" s="578">
        <v>0</v>
      </c>
      <c r="BB335" s="925">
        <v>1</v>
      </c>
      <c r="BC335" s="405">
        <v>0.28999999999999998</v>
      </c>
      <c r="BD335" s="405">
        <v>1.67</v>
      </c>
      <c r="BE335" s="578">
        <v>0</v>
      </c>
      <c r="BF335" s="405">
        <v>0.55000000000000004</v>
      </c>
      <c r="BG335" s="405">
        <v>0</v>
      </c>
      <c r="BH335" s="578">
        <v>0</v>
      </c>
      <c r="BI335" s="405">
        <v>0</v>
      </c>
      <c r="BJ335" s="405">
        <v>32.5</v>
      </c>
      <c r="BK335" s="405">
        <v>2.85</v>
      </c>
      <c r="BL335" s="405">
        <v>3.62</v>
      </c>
      <c r="BM335" s="405">
        <v>0</v>
      </c>
      <c r="BN335" s="405">
        <v>24.8</v>
      </c>
      <c r="BO335" s="405">
        <v>0</v>
      </c>
      <c r="BP335" s="405">
        <v>0</v>
      </c>
      <c r="BQ335" s="649">
        <v>20.6</v>
      </c>
      <c r="BR335" s="649">
        <v>20.9</v>
      </c>
      <c r="BS335" s="649">
        <v>8.5</v>
      </c>
      <c r="BT335" s="649">
        <v>8.6</v>
      </c>
      <c r="BU335" s="648">
        <v>19.100000000000001</v>
      </c>
      <c r="BV335" s="648">
        <v>15.6</v>
      </c>
      <c r="BW335" s="649">
        <v>603.5</v>
      </c>
      <c r="BX335" s="876"/>
      <c r="BY335" s="649">
        <v>1.68</v>
      </c>
      <c r="BZ335" s="649">
        <v>1.33</v>
      </c>
      <c r="CA335" s="649">
        <v>1.5</v>
      </c>
      <c r="CB335" s="649">
        <v>8.8000000000000007</v>
      </c>
      <c r="CC335" s="649">
        <v>8.1</v>
      </c>
      <c r="CD335" s="649">
        <v>15.8</v>
      </c>
      <c r="CE335" s="649">
        <v>29.8</v>
      </c>
      <c r="CF335" s="649">
        <v>15.1</v>
      </c>
      <c r="CG335" s="649">
        <v>2.7</v>
      </c>
      <c r="CH335" s="649">
        <v>7.3</v>
      </c>
      <c r="CI335" s="649">
        <v>11.4</v>
      </c>
      <c r="CJ335" s="649">
        <v>13.4</v>
      </c>
      <c r="CK335" s="649">
        <v>0</v>
      </c>
      <c r="CL335" s="649">
        <v>2.2999999999999998</v>
      </c>
      <c r="CM335" s="649">
        <v>2.7</v>
      </c>
      <c r="CN335" s="649">
        <v>371.6</v>
      </c>
      <c r="CO335" s="649">
        <v>281.39999999999998</v>
      </c>
      <c r="CP335" s="649">
        <v>554.5</v>
      </c>
      <c r="CQ335" s="649">
        <v>13.2</v>
      </c>
      <c r="CR335" s="649">
        <v>0.88</v>
      </c>
      <c r="CS335" s="405">
        <v>5527.1</v>
      </c>
      <c r="CT335" s="405">
        <v>16.524999999999999</v>
      </c>
      <c r="CU335" s="405">
        <v>46</v>
      </c>
      <c r="CV335" s="522">
        <v>0</v>
      </c>
      <c r="CW335" s="522">
        <v>0</v>
      </c>
      <c r="CX335" s="522">
        <v>0</v>
      </c>
      <c r="CY335" s="522">
        <v>0</v>
      </c>
      <c r="CZ335" s="642">
        <v>589</v>
      </c>
      <c r="DA335" s="642">
        <v>911</v>
      </c>
      <c r="DB335" s="642">
        <v>618</v>
      </c>
      <c r="DC335" s="643">
        <v>1075</v>
      </c>
      <c r="DD335" s="808"/>
      <c r="DE335" s="522"/>
      <c r="DF335" s="522"/>
      <c r="DG335" s="522"/>
      <c r="DH335" s="522"/>
      <c r="DI335" s="522"/>
      <c r="DJ335" s="522"/>
      <c r="DK335" s="522"/>
      <c r="DL335" s="649"/>
      <c r="DM335" s="649"/>
      <c r="DN335" s="649"/>
      <c r="DO335" s="522"/>
      <c r="DP335" s="522"/>
      <c r="DQ335" s="522"/>
      <c r="DR335" s="522"/>
      <c r="DS335" s="522"/>
      <c r="DT335" s="522"/>
      <c r="DU335" s="522"/>
      <c r="DV335" s="522"/>
      <c r="DW335" s="522"/>
      <c r="DX335" s="522"/>
      <c r="DY335" s="522"/>
      <c r="DZ335" s="522"/>
      <c r="EA335" s="522"/>
      <c r="EB335" s="522"/>
      <c r="EC335" s="522"/>
      <c r="ED335" s="522"/>
      <c r="EE335" s="522"/>
      <c r="EF335" s="522"/>
      <c r="EG335" s="649">
        <f t="shared" si="327"/>
        <v>13.923</v>
      </c>
      <c r="EH335" s="649">
        <v>0</v>
      </c>
      <c r="EI335" s="649">
        <v>0</v>
      </c>
      <c r="EJ335" s="522">
        <v>2.5</v>
      </c>
      <c r="EK335" s="649">
        <v>6.5</v>
      </c>
      <c r="EL335" s="522"/>
      <c r="EM335" s="522"/>
      <c r="EN335" s="522"/>
      <c r="EO335" s="522"/>
      <c r="EP335" s="522"/>
      <c r="EQ335" s="522"/>
      <c r="ER335" s="522"/>
      <c r="ES335" s="407"/>
      <c r="ET335" s="407"/>
    </row>
    <row r="336" spans="1:150" s="357" customFormat="1" ht="15">
      <c r="A336" s="675" t="s">
        <v>6</v>
      </c>
      <c r="B336" s="712">
        <v>41962</v>
      </c>
      <c r="C336" s="820">
        <v>0</v>
      </c>
      <c r="D336" s="643">
        <v>0</v>
      </c>
      <c r="E336" s="807">
        <v>0</v>
      </c>
      <c r="F336" s="807">
        <v>44</v>
      </c>
      <c r="G336" s="807">
        <v>0.65</v>
      </c>
      <c r="H336" s="643">
        <v>16.93</v>
      </c>
      <c r="I336" s="643">
        <v>90</v>
      </c>
      <c r="J336" s="643" t="s">
        <v>744</v>
      </c>
      <c r="K336" s="643">
        <v>6.76</v>
      </c>
      <c r="L336" s="821">
        <v>39.569999999999709</v>
      </c>
      <c r="M336" s="643">
        <v>10.3</v>
      </c>
      <c r="N336" s="643" t="s">
        <v>744</v>
      </c>
      <c r="O336" s="643" t="s">
        <v>743</v>
      </c>
      <c r="P336" s="643">
        <v>2.0099999999999998</v>
      </c>
      <c r="Q336" s="643" t="s">
        <v>743</v>
      </c>
      <c r="R336" s="643">
        <v>987.90990752972243</v>
      </c>
      <c r="S336" s="643" t="s">
        <v>744</v>
      </c>
      <c r="T336" s="643">
        <v>8.0399999999999991</v>
      </c>
      <c r="U336" s="643" t="s">
        <v>744</v>
      </c>
      <c r="V336" s="867">
        <v>0.74</v>
      </c>
      <c r="W336" s="868" t="e">
        <v>#VALUE!</v>
      </c>
      <c r="X336" s="869">
        <v>43.88000000000001</v>
      </c>
      <c r="Y336" s="806">
        <v>19.95</v>
      </c>
      <c r="Z336" s="807">
        <v>34.93</v>
      </c>
      <c r="AA336" s="870">
        <v>20.100000000000001</v>
      </c>
      <c r="AB336" s="870">
        <v>28.81</v>
      </c>
      <c r="AC336" s="775">
        <f t="shared" si="328"/>
        <v>48.91</v>
      </c>
      <c r="AD336" s="775">
        <f t="shared" si="329"/>
        <v>75.663769999999985</v>
      </c>
      <c r="AE336" s="705"/>
      <c r="AF336" s="775"/>
      <c r="AG336" s="705">
        <v>1</v>
      </c>
      <c r="AH336" s="705"/>
      <c r="AI336" s="705"/>
      <c r="AJ336" s="675"/>
      <c r="AK336" s="407"/>
      <c r="AL336" s="407"/>
      <c r="AM336" s="407"/>
      <c r="AN336" s="407"/>
      <c r="AO336" s="387"/>
      <c r="AP336" s="387"/>
      <c r="AQ336" s="405"/>
      <c r="AR336" s="578">
        <v>0</v>
      </c>
      <c r="AS336" s="405">
        <v>10.9</v>
      </c>
      <c r="AT336" s="578">
        <v>0</v>
      </c>
      <c r="AU336" s="405">
        <v>20.7</v>
      </c>
      <c r="AV336" s="405">
        <v>212</v>
      </c>
      <c r="AW336" s="405">
        <v>424.1</v>
      </c>
      <c r="AX336" s="405">
        <v>64.599999999999994</v>
      </c>
      <c r="AY336" s="578">
        <v>0</v>
      </c>
      <c r="AZ336" s="578">
        <v>0</v>
      </c>
      <c r="BA336" s="578">
        <v>0</v>
      </c>
      <c r="BB336" s="925">
        <v>0.92</v>
      </c>
      <c r="BC336" s="405">
        <v>0.66</v>
      </c>
      <c r="BD336" s="405">
        <v>1.32</v>
      </c>
      <c r="BE336" s="578">
        <v>0</v>
      </c>
      <c r="BF336" s="405">
        <v>0.24</v>
      </c>
      <c r="BG336" s="405">
        <v>0</v>
      </c>
      <c r="BH336" s="578">
        <v>0</v>
      </c>
      <c r="BI336" s="405">
        <v>0</v>
      </c>
      <c r="BJ336" s="405">
        <v>26.7</v>
      </c>
      <c r="BK336" s="405">
        <v>2.76</v>
      </c>
      <c r="BL336" s="405">
        <v>3.03</v>
      </c>
      <c r="BM336" s="405">
        <v>0</v>
      </c>
      <c r="BN336" s="405">
        <v>19.899999999999999</v>
      </c>
      <c r="BO336" s="405">
        <v>865</v>
      </c>
      <c r="BP336" s="405">
        <v>535.79999999999995</v>
      </c>
      <c r="BQ336" s="649">
        <v>20.9</v>
      </c>
      <c r="BR336" s="649">
        <v>21.2</v>
      </c>
      <c r="BS336" s="649">
        <v>7.3</v>
      </c>
      <c r="BT336" s="649">
        <v>6.9</v>
      </c>
      <c r="BU336" s="648">
        <v>19.7</v>
      </c>
      <c r="BV336" s="648">
        <v>15.7</v>
      </c>
      <c r="BW336" s="649">
        <v>460.2</v>
      </c>
      <c r="BX336" s="876"/>
      <c r="BY336" s="649">
        <v>2.17</v>
      </c>
      <c r="BZ336" s="649">
        <v>1.1499999999999999</v>
      </c>
      <c r="CA336" s="649">
        <v>1.5</v>
      </c>
      <c r="CB336" s="649">
        <v>8.8000000000000007</v>
      </c>
      <c r="CC336" s="649">
        <v>8.1</v>
      </c>
      <c r="CD336" s="649">
        <v>13.2</v>
      </c>
      <c r="CE336" s="649">
        <v>30.7</v>
      </c>
      <c r="CF336" s="649">
        <v>14.6</v>
      </c>
      <c r="CG336" s="649">
        <v>4.9000000000000004</v>
      </c>
      <c r="CH336" s="649">
        <v>9.9</v>
      </c>
      <c r="CI336" s="649">
        <v>13.9</v>
      </c>
      <c r="CJ336" s="649">
        <v>12.7</v>
      </c>
      <c r="CK336" s="649">
        <v>0</v>
      </c>
      <c r="CL336" s="649">
        <v>0.7</v>
      </c>
      <c r="CM336" s="649">
        <v>2.4</v>
      </c>
      <c r="CN336" s="649">
        <v>709.5</v>
      </c>
      <c r="CO336" s="649">
        <v>285.3</v>
      </c>
      <c r="CP336" s="649">
        <v>566.20000000000005</v>
      </c>
      <c r="CQ336" s="649">
        <v>13.8</v>
      </c>
      <c r="CR336" s="649">
        <v>0.86</v>
      </c>
      <c r="CS336" s="405">
        <v>5017.3</v>
      </c>
      <c r="CT336" s="405">
        <v>16.172000000000001</v>
      </c>
      <c r="CU336" s="405">
        <v>46</v>
      </c>
      <c r="CV336" s="522">
        <v>0</v>
      </c>
      <c r="CW336" s="522">
        <v>0</v>
      </c>
      <c r="CX336" s="522">
        <v>0</v>
      </c>
      <c r="CY336" s="522">
        <v>0</v>
      </c>
      <c r="CZ336" s="642">
        <v>542</v>
      </c>
      <c r="DA336" s="642">
        <v>843</v>
      </c>
      <c r="DB336" s="642">
        <v>581</v>
      </c>
      <c r="DC336" s="643">
        <v>1075.2</v>
      </c>
      <c r="DD336" s="808"/>
      <c r="DE336" s="522"/>
      <c r="DF336" s="522"/>
      <c r="DG336" s="522"/>
      <c r="DH336" s="522"/>
      <c r="DI336" s="522"/>
      <c r="DJ336" s="522"/>
      <c r="DK336" s="522"/>
      <c r="DL336" s="649"/>
      <c r="DM336" s="649"/>
      <c r="DN336" s="649"/>
      <c r="DO336" s="522"/>
      <c r="DP336" s="522"/>
      <c r="DQ336" s="522"/>
      <c r="DR336" s="522"/>
      <c r="DS336" s="522"/>
      <c r="DT336" s="522"/>
      <c r="DU336" s="522"/>
      <c r="DV336" s="522"/>
      <c r="DW336" s="522"/>
      <c r="DX336" s="522"/>
      <c r="DY336" s="522"/>
      <c r="DZ336" s="522"/>
      <c r="EA336" s="522"/>
      <c r="EB336" s="522"/>
      <c r="EC336" s="522"/>
      <c r="ED336" s="522"/>
      <c r="EE336" s="522"/>
      <c r="EF336" s="522"/>
      <c r="EG336" s="649">
        <f t="shared" si="327"/>
        <v>13.923</v>
      </c>
      <c r="EH336" s="649">
        <v>0</v>
      </c>
      <c r="EI336" s="649">
        <v>0</v>
      </c>
      <c r="EJ336" s="522">
        <v>2.5</v>
      </c>
      <c r="EK336" s="649">
        <v>6.5</v>
      </c>
      <c r="EL336" s="522"/>
      <c r="EM336" s="522"/>
      <c r="EN336" s="522"/>
      <c r="EO336" s="522"/>
      <c r="EP336" s="522"/>
      <c r="EQ336" s="522"/>
      <c r="ER336" s="522"/>
      <c r="ES336" s="407"/>
      <c r="ET336" s="407"/>
    </row>
    <row r="337" spans="1:150" s="357" customFormat="1" ht="15">
      <c r="A337" s="675" t="s">
        <v>7</v>
      </c>
      <c r="B337" s="712">
        <v>41963</v>
      </c>
      <c r="C337" s="820">
        <v>0</v>
      </c>
      <c r="D337" s="643"/>
      <c r="E337" s="807"/>
      <c r="F337" s="807"/>
      <c r="G337" s="807"/>
      <c r="H337" s="643"/>
      <c r="I337" s="643"/>
      <c r="J337" s="643"/>
      <c r="K337" s="643"/>
      <c r="L337" s="821">
        <v>35.44</v>
      </c>
      <c r="M337" s="643"/>
      <c r="N337" s="643"/>
      <c r="O337" s="643"/>
      <c r="P337" s="643"/>
      <c r="Q337" s="643"/>
      <c r="R337" s="643"/>
      <c r="S337" s="643"/>
      <c r="T337" s="643"/>
      <c r="U337" s="643"/>
      <c r="V337" s="867"/>
      <c r="W337" s="868"/>
      <c r="X337" s="869"/>
      <c r="Y337" s="806"/>
      <c r="Z337" s="807"/>
      <c r="AA337" s="870">
        <v>20.100000000000001</v>
      </c>
      <c r="AB337" s="870">
        <v>28</v>
      </c>
      <c r="AC337" s="775">
        <f t="shared" si="328"/>
        <v>48.1</v>
      </c>
      <c r="AD337" s="775">
        <f t="shared" si="329"/>
        <v>74.410700000000006</v>
      </c>
      <c r="AE337" s="705"/>
      <c r="AF337" s="775"/>
      <c r="AG337" s="705">
        <v>1</v>
      </c>
      <c r="AH337" s="705"/>
      <c r="AI337" s="705"/>
      <c r="AJ337" s="675"/>
      <c r="AK337" s="407"/>
      <c r="AL337" s="407"/>
      <c r="AM337" s="407"/>
      <c r="AN337" s="407"/>
      <c r="AO337" s="387"/>
      <c r="AP337" s="387"/>
      <c r="AQ337" s="405"/>
      <c r="AR337" s="578">
        <v>0</v>
      </c>
      <c r="AS337" s="405">
        <v>22.1</v>
      </c>
      <c r="AT337" s="578">
        <v>0</v>
      </c>
      <c r="AU337" s="405">
        <v>20.8</v>
      </c>
      <c r="AV337" s="405">
        <v>337</v>
      </c>
      <c r="AW337" s="405">
        <v>825.1</v>
      </c>
      <c r="AX337" s="405">
        <v>64.900000000000006</v>
      </c>
      <c r="AY337" s="578">
        <v>0</v>
      </c>
      <c r="AZ337" s="578">
        <v>0</v>
      </c>
      <c r="BA337" s="578">
        <v>0</v>
      </c>
      <c r="BB337" s="925">
        <v>1</v>
      </c>
      <c r="BC337" s="405">
        <v>1.01</v>
      </c>
      <c r="BD337" s="405">
        <v>1.5</v>
      </c>
      <c r="BE337" s="578">
        <v>0</v>
      </c>
      <c r="BF337" s="405">
        <v>0</v>
      </c>
      <c r="BG337" s="405">
        <v>0</v>
      </c>
      <c r="BH337" s="578">
        <v>0</v>
      </c>
      <c r="BI337" s="405">
        <v>0</v>
      </c>
      <c r="BJ337" s="405">
        <v>25.6</v>
      </c>
      <c r="BK337" s="405">
        <v>2.63</v>
      </c>
      <c r="BL337" s="405">
        <v>2.72</v>
      </c>
      <c r="BM337" s="405">
        <v>0</v>
      </c>
      <c r="BN337" s="405">
        <v>19.100000000000001</v>
      </c>
      <c r="BO337" s="405">
        <v>1376.5</v>
      </c>
      <c r="BP337" s="405">
        <v>117.3</v>
      </c>
      <c r="BQ337" s="649">
        <v>20.13</v>
      </c>
      <c r="BR337" s="649">
        <v>20.41</v>
      </c>
      <c r="BS337" s="649">
        <v>8.6</v>
      </c>
      <c r="BT337" s="649">
        <v>8.69</v>
      </c>
      <c r="BU337" s="648">
        <v>19.399999999999999</v>
      </c>
      <c r="BV337" s="648">
        <v>23.6</v>
      </c>
      <c r="BW337" s="649">
        <v>620.79999999999995</v>
      </c>
      <c r="BX337" s="876"/>
      <c r="BY337" s="649">
        <v>1.81</v>
      </c>
      <c r="BZ337" s="649">
        <v>1.18</v>
      </c>
      <c r="CA337" s="649">
        <v>1.5</v>
      </c>
      <c r="CB337" s="649">
        <v>9</v>
      </c>
      <c r="CC337" s="649">
        <v>8.1</v>
      </c>
      <c r="CD337" s="649">
        <v>20.7</v>
      </c>
      <c r="CE337" s="649">
        <v>29.6</v>
      </c>
      <c r="CF337" s="649">
        <v>14</v>
      </c>
      <c r="CG337" s="649">
        <v>7.9</v>
      </c>
      <c r="CH337" s="649">
        <v>13.4</v>
      </c>
      <c r="CI337" s="649">
        <v>17.5</v>
      </c>
      <c r="CJ337" s="649">
        <v>14.62</v>
      </c>
      <c r="CK337" s="649">
        <v>0</v>
      </c>
      <c r="CL337" s="649">
        <v>3.8</v>
      </c>
      <c r="CM337" s="649">
        <v>0</v>
      </c>
      <c r="CN337" s="649">
        <v>894.4</v>
      </c>
      <c r="CO337" s="649">
        <v>297.7</v>
      </c>
      <c r="CP337" s="649">
        <v>555.29999999999995</v>
      </c>
      <c r="CQ337" s="649">
        <v>18.600000000000001</v>
      </c>
      <c r="CR337" s="649">
        <v>1.21</v>
      </c>
      <c r="CS337" s="405">
        <v>9404.6</v>
      </c>
      <c r="CT337" s="405">
        <v>17.43</v>
      </c>
      <c r="CU337" s="405">
        <v>48</v>
      </c>
      <c r="CV337" s="522">
        <v>0</v>
      </c>
      <c r="CW337" s="522">
        <v>0</v>
      </c>
      <c r="CX337" s="522">
        <v>0</v>
      </c>
      <c r="CY337" s="522">
        <v>0</v>
      </c>
      <c r="CZ337" s="642">
        <v>542</v>
      </c>
      <c r="DA337" s="642">
        <v>831</v>
      </c>
      <c r="DB337" s="642">
        <v>565</v>
      </c>
      <c r="DC337" s="643">
        <v>1075.51</v>
      </c>
      <c r="DD337" s="808"/>
      <c r="DE337" s="522"/>
      <c r="DF337" s="522"/>
      <c r="DG337" s="522"/>
      <c r="DH337" s="522"/>
      <c r="DI337" s="522"/>
      <c r="DJ337" s="522"/>
      <c r="DK337" s="522"/>
      <c r="DL337" s="649"/>
      <c r="DM337" s="649"/>
      <c r="DN337" s="649"/>
      <c r="DO337" s="522"/>
      <c r="DP337" s="522"/>
      <c r="DQ337" s="522"/>
      <c r="DR337" s="522"/>
      <c r="DS337" s="522"/>
      <c r="DT337" s="522"/>
      <c r="DU337" s="522"/>
      <c r="DV337" s="522"/>
      <c r="DW337" s="522"/>
      <c r="DX337" s="522"/>
      <c r="DY337" s="522"/>
      <c r="DZ337" s="522"/>
      <c r="EA337" s="522"/>
      <c r="EB337" s="522"/>
      <c r="EC337" s="522"/>
      <c r="ED337" s="522"/>
      <c r="EE337" s="522"/>
      <c r="EF337" s="522"/>
      <c r="EG337" s="649">
        <f t="shared" si="327"/>
        <v>13.923</v>
      </c>
      <c r="EH337" s="649">
        <v>0</v>
      </c>
      <c r="EI337" s="649">
        <v>0</v>
      </c>
      <c r="EJ337" s="522">
        <v>2.5</v>
      </c>
      <c r="EK337" s="649">
        <v>6.5</v>
      </c>
      <c r="EL337" s="522"/>
      <c r="EM337" s="522"/>
      <c r="EN337" s="522"/>
      <c r="EO337" s="522"/>
      <c r="EP337" s="522"/>
      <c r="EQ337" s="522"/>
      <c r="ER337" s="522"/>
      <c r="ES337" s="407"/>
      <c r="ET337" s="407"/>
    </row>
    <row r="338" spans="1:150" s="357" customFormat="1" ht="15">
      <c r="A338" s="675" t="s">
        <v>8</v>
      </c>
      <c r="B338" s="712">
        <v>41964</v>
      </c>
      <c r="C338" s="820">
        <v>0</v>
      </c>
      <c r="D338" s="643">
        <v>1.1499999999999999</v>
      </c>
      <c r="E338" s="807">
        <v>0</v>
      </c>
      <c r="F338" s="807">
        <v>45</v>
      </c>
      <c r="G338" s="807">
        <v>0.6</v>
      </c>
      <c r="H338" s="643">
        <v>18.54</v>
      </c>
      <c r="I338" s="643">
        <v>92</v>
      </c>
      <c r="J338" s="643" t="s">
        <v>744</v>
      </c>
      <c r="K338" s="643">
        <v>3</v>
      </c>
      <c r="L338" s="821">
        <v>12.969999999997526</v>
      </c>
      <c r="M338" s="643">
        <v>13</v>
      </c>
      <c r="N338" s="643" t="s">
        <v>744</v>
      </c>
      <c r="O338" s="643" t="s">
        <v>743</v>
      </c>
      <c r="P338" s="643">
        <v>1.88</v>
      </c>
      <c r="Q338" s="643">
        <v>2.7446579633664285</v>
      </c>
      <c r="R338" s="643">
        <v>1099.6570937912811</v>
      </c>
      <c r="S338" s="643" t="s">
        <v>744</v>
      </c>
      <c r="T338" s="643">
        <v>7.95</v>
      </c>
      <c r="U338" s="643" t="s">
        <v>744</v>
      </c>
      <c r="V338" s="867">
        <v>0.7</v>
      </c>
      <c r="W338" s="868" t="e">
        <v>#VALUE!</v>
      </c>
      <c r="X338" s="869">
        <v>44.600000000000009</v>
      </c>
      <c r="Y338" s="806">
        <v>18.170000000000002</v>
      </c>
      <c r="Z338" s="807">
        <v>25.3</v>
      </c>
      <c r="AA338" s="870">
        <v>20.100000000000001</v>
      </c>
      <c r="AB338" s="870">
        <v>27.4</v>
      </c>
      <c r="AC338" s="775">
        <f t="shared" ref="AC338:AC342" si="330">AA338+AB338</f>
        <v>47.5</v>
      </c>
      <c r="AD338" s="775">
        <f t="shared" ref="AD338:AD342" si="331">AC338*1.547</f>
        <v>73.482500000000002</v>
      </c>
      <c r="AE338" s="705"/>
      <c r="AF338" s="775"/>
      <c r="AG338" s="705">
        <v>1</v>
      </c>
      <c r="AH338" s="705"/>
      <c r="AI338" s="705"/>
      <c r="AJ338" s="675"/>
      <c r="AK338" s="407"/>
      <c r="AL338" s="407"/>
      <c r="AM338" s="407"/>
      <c r="AN338" s="407"/>
      <c r="AO338" s="387"/>
      <c r="AP338" s="387"/>
      <c r="AQ338" s="405"/>
      <c r="AR338" s="578">
        <v>0</v>
      </c>
      <c r="AS338" s="405">
        <v>10.7</v>
      </c>
      <c r="AT338" s="578">
        <v>0</v>
      </c>
      <c r="AU338" s="405">
        <v>20.7</v>
      </c>
      <c r="AV338" s="405">
        <v>229.6</v>
      </c>
      <c r="AW338" s="405">
        <v>839.1</v>
      </c>
      <c r="AX338" s="405">
        <v>47.1</v>
      </c>
      <c r="AY338" s="578">
        <v>0</v>
      </c>
      <c r="AZ338" s="578">
        <v>0</v>
      </c>
      <c r="BA338" s="578">
        <v>0</v>
      </c>
      <c r="BB338" s="925">
        <v>1</v>
      </c>
      <c r="BC338" s="405">
        <v>1.01</v>
      </c>
      <c r="BD338" s="405">
        <v>1.5</v>
      </c>
      <c r="BE338" s="578">
        <v>0</v>
      </c>
      <c r="BF338" s="405">
        <v>0</v>
      </c>
      <c r="BG338" s="405">
        <v>0</v>
      </c>
      <c r="BH338" s="578">
        <v>0</v>
      </c>
      <c r="BI338" s="405">
        <v>0</v>
      </c>
      <c r="BJ338" s="405">
        <v>25</v>
      </c>
      <c r="BK338" s="405">
        <v>3.02</v>
      </c>
      <c r="BL338" s="405">
        <v>3.62</v>
      </c>
      <c r="BM338" s="405">
        <v>0</v>
      </c>
      <c r="BN338" s="405">
        <v>17.3</v>
      </c>
      <c r="BO338" s="405">
        <v>0</v>
      </c>
      <c r="BP338" s="405">
        <v>0</v>
      </c>
      <c r="BQ338" s="649">
        <v>21.43</v>
      </c>
      <c r="BR338" s="649">
        <v>21.7</v>
      </c>
      <c r="BS338" s="649">
        <v>8.52</v>
      </c>
      <c r="BT338" s="649">
        <v>8.65</v>
      </c>
      <c r="BU338" s="648">
        <v>19.3</v>
      </c>
      <c r="BV338" s="648">
        <v>17.7</v>
      </c>
      <c r="BW338" s="649">
        <v>432.6</v>
      </c>
      <c r="BX338" s="876"/>
      <c r="BY338" s="649">
        <v>7.2</v>
      </c>
      <c r="BZ338" s="649">
        <v>1.59</v>
      </c>
      <c r="CA338" s="649">
        <v>1.6</v>
      </c>
      <c r="CB338" s="649">
        <v>8.6</v>
      </c>
      <c r="CC338" s="649">
        <v>8.1</v>
      </c>
      <c r="CD338" s="649">
        <v>19.100000000000001</v>
      </c>
      <c r="CE338" s="649">
        <v>31.3</v>
      </c>
      <c r="CF338" s="649">
        <v>13.7</v>
      </c>
      <c r="CG338" s="649">
        <v>2.8</v>
      </c>
      <c r="CH338" s="649">
        <v>7.4</v>
      </c>
      <c r="CI338" s="649">
        <v>11.5</v>
      </c>
      <c r="CJ338" s="649">
        <v>13.98</v>
      </c>
      <c r="CK338" s="649">
        <v>0</v>
      </c>
      <c r="CL338" s="649">
        <v>0.9</v>
      </c>
      <c r="CM338" s="649">
        <v>1.2</v>
      </c>
      <c r="CN338" s="649">
        <v>762.1</v>
      </c>
      <c r="CO338" s="649">
        <v>278.89999999999998</v>
      </c>
      <c r="CP338" s="649">
        <v>559.79999999999995</v>
      </c>
      <c r="CQ338" s="649">
        <v>16.3</v>
      </c>
      <c r="CR338" s="649">
        <v>1.1299999999999999</v>
      </c>
      <c r="CS338" s="405">
        <v>5844.5</v>
      </c>
      <c r="CT338" s="405">
        <v>16.84</v>
      </c>
      <c r="CU338" s="405">
        <v>48</v>
      </c>
      <c r="CV338" s="522">
        <v>0</v>
      </c>
      <c r="CW338" s="522">
        <v>0</v>
      </c>
      <c r="CX338" s="522">
        <v>0</v>
      </c>
      <c r="CY338" s="522">
        <v>0</v>
      </c>
      <c r="CZ338" s="642">
        <v>561</v>
      </c>
      <c r="DA338" s="642">
        <v>843</v>
      </c>
      <c r="DB338" s="642">
        <v>649</v>
      </c>
      <c r="DC338" s="643">
        <v>1078.3</v>
      </c>
      <c r="DD338" s="522"/>
      <c r="DE338" s="522"/>
      <c r="DF338" s="522"/>
      <c r="DG338" s="522"/>
      <c r="DH338" s="522"/>
      <c r="DI338" s="522"/>
      <c r="DJ338" s="522"/>
      <c r="DK338" s="522"/>
      <c r="DL338" s="649"/>
      <c r="DM338" s="649"/>
      <c r="DN338" s="649"/>
      <c r="DO338" s="522"/>
      <c r="DP338" s="522"/>
      <c r="DQ338" s="522"/>
      <c r="DR338" s="522"/>
      <c r="DS338" s="522"/>
      <c r="DT338" s="522"/>
      <c r="DU338" s="522"/>
      <c r="DV338" s="522"/>
      <c r="DW338" s="522"/>
      <c r="DX338" s="522"/>
      <c r="DY338" s="522"/>
      <c r="DZ338" s="522"/>
      <c r="EA338" s="522"/>
      <c r="EB338" s="522"/>
      <c r="EC338" s="522"/>
      <c r="ED338" s="522"/>
      <c r="EE338" s="522"/>
      <c r="EF338" s="522"/>
      <c r="EG338" s="649">
        <f t="shared" si="327"/>
        <v>13.923</v>
      </c>
      <c r="EH338" s="649">
        <v>0</v>
      </c>
      <c r="EI338" s="649">
        <v>0</v>
      </c>
      <c r="EJ338" s="522">
        <v>2.5</v>
      </c>
      <c r="EK338" s="649">
        <v>6.5</v>
      </c>
      <c r="EL338" s="522"/>
      <c r="EM338" s="522"/>
      <c r="EN338" s="522"/>
      <c r="EO338" s="522"/>
      <c r="EP338" s="522"/>
      <c r="EQ338" s="522"/>
      <c r="ER338" s="522"/>
      <c r="ES338" s="407"/>
      <c r="ET338" s="407"/>
    </row>
    <row r="339" spans="1:150" s="357" customFormat="1" ht="15">
      <c r="A339" s="675" t="s">
        <v>9</v>
      </c>
      <c r="B339" s="712">
        <v>41965</v>
      </c>
      <c r="C339" s="820">
        <v>0</v>
      </c>
      <c r="D339" s="643">
        <v>0.8</v>
      </c>
      <c r="E339" s="807">
        <v>0</v>
      </c>
      <c r="F339" s="807">
        <v>0</v>
      </c>
      <c r="G339" s="807">
        <v>1.4</v>
      </c>
      <c r="H339" s="643">
        <v>26.98</v>
      </c>
      <c r="I339" s="643">
        <v>79.599999999999994</v>
      </c>
      <c r="J339" s="643" t="s">
        <v>744</v>
      </c>
      <c r="K339" s="643">
        <v>3.43</v>
      </c>
      <c r="L339" s="821">
        <v>31.75</v>
      </c>
      <c r="M339" s="643">
        <v>12.2</v>
      </c>
      <c r="N339" s="643" t="s">
        <v>744</v>
      </c>
      <c r="O339" s="643" t="s">
        <v>743</v>
      </c>
      <c r="P339" s="643">
        <v>1.95</v>
      </c>
      <c r="Q339" s="643">
        <v>2.51698892181038</v>
      </c>
      <c r="R339" s="643">
        <v>820.77498546895629</v>
      </c>
      <c r="S339" s="643" t="s">
        <v>744</v>
      </c>
      <c r="T339" s="643">
        <v>7.98</v>
      </c>
      <c r="U339" s="643" t="s">
        <v>744</v>
      </c>
      <c r="V339" s="867">
        <v>0.7</v>
      </c>
      <c r="W339" s="868" t="e">
        <v>#VALUE!</v>
      </c>
      <c r="X339" s="869">
        <v>46.039999999999992</v>
      </c>
      <c r="Y339" s="806">
        <v>20.100000000000001</v>
      </c>
      <c r="Z339" s="807">
        <v>27.4</v>
      </c>
      <c r="AA339" s="870">
        <v>20.3</v>
      </c>
      <c r="AB339" s="870">
        <v>18.2</v>
      </c>
      <c r="AC339" s="775">
        <f t="shared" si="330"/>
        <v>38.5</v>
      </c>
      <c r="AD339" s="775">
        <f t="shared" si="331"/>
        <v>59.5595</v>
      </c>
      <c r="AE339" s="705"/>
      <c r="AF339" s="775"/>
      <c r="AG339" s="705">
        <v>1</v>
      </c>
      <c r="AH339" s="705"/>
      <c r="AI339" s="705"/>
      <c r="AJ339" s="675"/>
      <c r="AK339" s="407"/>
      <c r="AL339" s="407"/>
      <c r="AM339" s="407"/>
      <c r="AN339" s="407"/>
      <c r="AO339" s="387"/>
      <c r="AP339" s="387"/>
      <c r="AQ339" s="405"/>
      <c r="AR339" s="578">
        <v>0</v>
      </c>
      <c r="AS339" s="405">
        <v>21.6</v>
      </c>
      <c r="AT339" s="578">
        <v>0</v>
      </c>
      <c r="AU339" s="405">
        <v>21</v>
      </c>
      <c r="AV339" s="405">
        <v>276.8</v>
      </c>
      <c r="AW339" s="405">
        <v>518</v>
      </c>
      <c r="AX339" s="405">
        <v>21.7</v>
      </c>
      <c r="AY339" s="578">
        <v>0</v>
      </c>
      <c r="AZ339" s="578">
        <v>0</v>
      </c>
      <c r="BA339" s="578">
        <v>0</v>
      </c>
      <c r="BB339" s="925">
        <v>1</v>
      </c>
      <c r="BC339" s="405">
        <v>1</v>
      </c>
      <c r="BD339" s="405">
        <v>1.5</v>
      </c>
      <c r="BE339" s="578">
        <v>0</v>
      </c>
      <c r="BF339" s="405">
        <v>0</v>
      </c>
      <c r="BG339" s="405">
        <v>0</v>
      </c>
      <c r="BH339" s="578">
        <v>0</v>
      </c>
      <c r="BI339" s="405">
        <v>0</v>
      </c>
      <c r="BJ339" s="405">
        <v>15.8</v>
      </c>
      <c r="BK339" s="405">
        <v>3.02</v>
      </c>
      <c r="BL339" s="405">
        <v>3.62</v>
      </c>
      <c r="BM339" s="405">
        <v>0</v>
      </c>
      <c r="BN339" s="405">
        <v>8.4</v>
      </c>
      <c r="BO339" s="405">
        <v>753.2</v>
      </c>
      <c r="BP339" s="405">
        <v>525.5</v>
      </c>
      <c r="BQ339" s="649">
        <v>21.65</v>
      </c>
      <c r="BR339" s="649">
        <v>21.93</v>
      </c>
      <c r="BS339" s="649">
        <v>8.82</v>
      </c>
      <c r="BT339" s="649">
        <v>8.9499999999999993</v>
      </c>
      <c r="BU339" s="648">
        <v>19.8</v>
      </c>
      <c r="BV339" s="648">
        <v>21.2</v>
      </c>
      <c r="BW339" s="649">
        <v>638</v>
      </c>
      <c r="BX339" s="876"/>
      <c r="BY339" s="649">
        <v>1.77</v>
      </c>
      <c r="BZ339" s="649">
        <v>1.94</v>
      </c>
      <c r="CA339" s="649">
        <v>1.7</v>
      </c>
      <c r="CB339" s="649">
        <v>9.1</v>
      </c>
      <c r="CC339" s="649">
        <v>8.1</v>
      </c>
      <c r="CD339" s="649">
        <v>14.9</v>
      </c>
      <c r="CE339" s="649">
        <v>31.8</v>
      </c>
      <c r="CF339" s="649">
        <v>13.2</v>
      </c>
      <c r="CG339" s="649">
        <v>3.9</v>
      </c>
      <c r="CH339" s="649">
        <v>8.6999999999999993</v>
      </c>
      <c r="CI339" s="649">
        <v>12.8</v>
      </c>
      <c r="CJ339" s="649">
        <v>14.48</v>
      </c>
      <c r="CK339" s="649">
        <v>0</v>
      </c>
      <c r="CL339" s="649">
        <v>2.2999999999999998</v>
      </c>
      <c r="CM339" s="649">
        <v>3.2</v>
      </c>
      <c r="CN339" s="649">
        <v>861.9</v>
      </c>
      <c r="CO339" s="649">
        <v>309.2</v>
      </c>
      <c r="CP339" s="649">
        <v>542.29999999999995</v>
      </c>
      <c r="CQ339" s="649">
        <v>13.8</v>
      </c>
      <c r="CR339" s="649">
        <v>0.87</v>
      </c>
      <c r="CS339" s="405">
        <v>10265.799999999999</v>
      </c>
      <c r="CT339" s="405">
        <v>16.43</v>
      </c>
      <c r="CU339" s="405">
        <v>50</v>
      </c>
      <c r="CV339" s="522">
        <v>0</v>
      </c>
      <c r="CW339" s="522">
        <v>0</v>
      </c>
      <c r="CX339" s="522">
        <v>0</v>
      </c>
      <c r="CY339" s="522">
        <v>0</v>
      </c>
      <c r="CZ339" s="642">
        <v>1140</v>
      </c>
      <c r="DA339" s="642">
        <v>1520</v>
      </c>
      <c r="DB339" s="642">
        <v>1180</v>
      </c>
      <c r="DC339" s="642">
        <v>1082.9000000000001</v>
      </c>
      <c r="DD339" s="522"/>
      <c r="DE339" s="522"/>
      <c r="DF339" s="522"/>
      <c r="DG339" s="522"/>
      <c r="DH339" s="522"/>
      <c r="DI339" s="522"/>
      <c r="DJ339" s="522"/>
      <c r="DK339" s="522"/>
      <c r="DL339" s="649"/>
      <c r="DM339" s="649"/>
      <c r="DN339" s="649"/>
      <c r="DO339" s="522"/>
      <c r="DP339" s="522"/>
      <c r="DQ339" s="522"/>
      <c r="DR339" s="522"/>
      <c r="DS339" s="522"/>
      <c r="DT339" s="522"/>
      <c r="DU339" s="522"/>
      <c r="DV339" s="522"/>
      <c r="DW339" s="522"/>
      <c r="DX339" s="522"/>
      <c r="DY339" s="522"/>
      <c r="DZ339" s="522"/>
      <c r="EA339" s="522"/>
      <c r="EB339" s="522"/>
      <c r="EC339" s="522"/>
      <c r="ED339" s="522"/>
      <c r="EE339" s="522"/>
      <c r="EF339" s="522"/>
      <c r="EG339" s="649">
        <f t="shared" si="327"/>
        <v>13.923</v>
      </c>
      <c r="EH339" s="649">
        <v>0</v>
      </c>
      <c r="EI339" s="649">
        <v>0</v>
      </c>
      <c r="EJ339" s="522">
        <v>2.5</v>
      </c>
      <c r="EK339" s="649">
        <v>6.5</v>
      </c>
      <c r="EL339" s="522"/>
      <c r="EM339" s="522"/>
      <c r="EN339" s="522"/>
      <c r="EO339" s="522"/>
      <c r="EP339" s="522"/>
      <c r="EQ339" s="522"/>
      <c r="ER339" s="522"/>
      <c r="ES339" s="407"/>
      <c r="ET339" s="407"/>
    </row>
    <row r="340" spans="1:150" s="357" customFormat="1" ht="15">
      <c r="A340" s="675" t="s">
        <v>3</v>
      </c>
      <c r="B340" s="712">
        <v>41966</v>
      </c>
      <c r="C340" s="820">
        <v>0</v>
      </c>
      <c r="D340" s="643">
        <v>0.7</v>
      </c>
      <c r="E340" s="807">
        <v>0</v>
      </c>
      <c r="F340" s="807">
        <v>0</v>
      </c>
      <c r="G340" s="807">
        <v>2.0499999999999998</v>
      </c>
      <c r="H340" s="643">
        <v>14.16</v>
      </c>
      <c r="I340" s="643">
        <v>85.7</v>
      </c>
      <c r="J340" s="643" t="s">
        <v>744</v>
      </c>
      <c r="K340" s="643">
        <v>3.22</v>
      </c>
      <c r="L340" s="821">
        <v>24.650000000001455</v>
      </c>
      <c r="M340" s="643">
        <v>12.3</v>
      </c>
      <c r="N340" s="643" t="s">
        <v>744</v>
      </c>
      <c r="O340" s="643" t="s">
        <v>743</v>
      </c>
      <c r="P340" s="643">
        <v>1.96</v>
      </c>
      <c r="Q340" s="643">
        <v>2.8621921891413815</v>
      </c>
      <c r="R340" s="643">
        <v>1117.1479577278731</v>
      </c>
      <c r="S340" s="643" t="s">
        <v>744</v>
      </c>
      <c r="T340" s="643">
        <v>8.06</v>
      </c>
      <c r="U340" s="643" t="s">
        <v>744</v>
      </c>
      <c r="V340" s="867">
        <v>0.66</v>
      </c>
      <c r="W340" s="868" t="e">
        <v>#VALUE!</v>
      </c>
      <c r="X340" s="869">
        <v>44.239999999999995</v>
      </c>
      <c r="Y340" s="806">
        <v>20.3</v>
      </c>
      <c r="Z340" s="807">
        <v>18.2</v>
      </c>
      <c r="AA340" s="870">
        <v>20.100000000000001</v>
      </c>
      <c r="AB340" s="870">
        <v>26.13</v>
      </c>
      <c r="AC340" s="775">
        <f t="shared" si="330"/>
        <v>46.230000000000004</v>
      </c>
      <c r="AD340" s="775">
        <f t="shared" si="331"/>
        <v>71.517809999999997</v>
      </c>
      <c r="AE340" s="705"/>
      <c r="AF340" s="775"/>
      <c r="AG340" s="705">
        <v>1</v>
      </c>
      <c r="AH340" s="705"/>
      <c r="AI340" s="705"/>
      <c r="AJ340" s="675"/>
      <c r="AK340" s="407"/>
      <c r="AL340" s="407"/>
      <c r="AM340" s="407"/>
      <c r="AN340" s="407"/>
      <c r="AO340" s="387"/>
      <c r="AP340" s="387"/>
      <c r="AQ340" s="405"/>
      <c r="AR340" s="578">
        <v>0</v>
      </c>
      <c r="AS340" s="405">
        <v>12</v>
      </c>
      <c r="AT340" s="578">
        <v>0</v>
      </c>
      <c r="AU340" s="405">
        <v>20.8</v>
      </c>
      <c r="AV340" s="405">
        <v>271.89999999999998</v>
      </c>
      <c r="AW340" s="405">
        <v>623.20000000000005</v>
      </c>
      <c r="AX340" s="405">
        <v>11.5</v>
      </c>
      <c r="AY340" s="578">
        <v>0</v>
      </c>
      <c r="AZ340" s="578">
        <v>0</v>
      </c>
      <c r="BA340" s="578">
        <v>0</v>
      </c>
      <c r="BB340" s="925">
        <v>1</v>
      </c>
      <c r="BC340" s="405">
        <v>1.01</v>
      </c>
      <c r="BD340" s="405">
        <v>1.5</v>
      </c>
      <c r="BE340" s="578">
        <v>0</v>
      </c>
      <c r="BF340" s="405">
        <v>0</v>
      </c>
      <c r="BG340" s="405">
        <v>0</v>
      </c>
      <c r="BH340" s="578">
        <v>0</v>
      </c>
      <c r="BI340" s="405">
        <v>0</v>
      </c>
      <c r="BJ340" s="405">
        <v>23.8</v>
      </c>
      <c r="BK340" s="405">
        <v>2.99</v>
      </c>
      <c r="BL340" s="405">
        <v>3.66</v>
      </c>
      <c r="BM340" s="405">
        <v>0</v>
      </c>
      <c r="BN340" s="405">
        <v>16.100000000000001</v>
      </c>
      <c r="BO340" s="405">
        <v>1288.9000000000001</v>
      </c>
      <c r="BP340" s="405">
        <v>345</v>
      </c>
      <c r="BQ340" s="649">
        <v>21.82</v>
      </c>
      <c r="BR340" s="649">
        <v>22.09</v>
      </c>
      <c r="BS340" s="649">
        <v>8.67</v>
      </c>
      <c r="BT340" s="649">
        <v>8.77</v>
      </c>
      <c r="BU340" s="648">
        <v>19.5</v>
      </c>
      <c r="BV340" s="648">
        <v>21</v>
      </c>
      <c r="BW340" s="649">
        <v>641.6</v>
      </c>
      <c r="BX340" s="876"/>
      <c r="BY340" s="649">
        <v>1.85</v>
      </c>
      <c r="BZ340" s="649">
        <v>1.8</v>
      </c>
      <c r="CA340" s="649">
        <v>1.7</v>
      </c>
      <c r="CB340" s="649">
        <v>9.1999999999999993</v>
      </c>
      <c r="CC340" s="649">
        <v>8.1999999999999993</v>
      </c>
      <c r="CD340" s="649">
        <v>12.7</v>
      </c>
      <c r="CE340" s="649">
        <v>31.4</v>
      </c>
      <c r="CF340" s="649">
        <v>12.7</v>
      </c>
      <c r="CG340" s="649">
        <v>6.5</v>
      </c>
      <c r="CH340" s="649">
        <v>11.8</v>
      </c>
      <c r="CI340" s="649">
        <v>15.9</v>
      </c>
      <c r="CJ340" s="649">
        <v>13.53</v>
      </c>
      <c r="CK340" s="649">
        <v>0</v>
      </c>
      <c r="CL340" s="649">
        <v>2.2999999999999998</v>
      </c>
      <c r="CM340" s="649">
        <v>3.2</v>
      </c>
      <c r="CN340" s="649">
        <v>913.3</v>
      </c>
      <c r="CO340" s="649">
        <v>326.3</v>
      </c>
      <c r="CP340" s="649">
        <v>553.29999999999995</v>
      </c>
      <c r="CQ340" s="649">
        <v>13.1</v>
      </c>
      <c r="CR340" s="649">
        <v>0.8</v>
      </c>
      <c r="CS340" s="405">
        <v>5040</v>
      </c>
      <c r="CT340" s="405">
        <v>16.11</v>
      </c>
      <c r="CU340" s="405">
        <v>49</v>
      </c>
      <c r="CV340" s="522">
        <v>0</v>
      </c>
      <c r="CW340" s="522">
        <v>0</v>
      </c>
      <c r="CX340" s="522">
        <v>0</v>
      </c>
      <c r="CY340" s="522">
        <v>0</v>
      </c>
      <c r="CZ340" s="642">
        <v>1930</v>
      </c>
      <c r="DA340" s="642">
        <v>2400</v>
      </c>
      <c r="DB340" s="642">
        <v>2060</v>
      </c>
      <c r="DC340" s="642">
        <v>1088.17</v>
      </c>
      <c r="DD340" s="522"/>
      <c r="DE340" s="522"/>
      <c r="DF340" s="522"/>
      <c r="DG340" s="522"/>
      <c r="DH340" s="522"/>
      <c r="DI340" s="522"/>
      <c r="DJ340" s="522"/>
      <c r="DK340" s="522"/>
      <c r="DL340" s="649"/>
      <c r="DM340" s="649"/>
      <c r="DN340" s="649"/>
      <c r="DO340" s="522"/>
      <c r="DP340" s="522"/>
      <c r="DQ340" s="522"/>
      <c r="DR340" s="522"/>
      <c r="DS340" s="522"/>
      <c r="DT340" s="522"/>
      <c r="DU340" s="522"/>
      <c r="DV340" s="522"/>
      <c r="DW340" s="522"/>
      <c r="DX340" s="522"/>
      <c r="DY340" s="522"/>
      <c r="DZ340" s="522"/>
      <c r="EA340" s="522"/>
      <c r="EB340" s="522"/>
      <c r="EC340" s="522"/>
      <c r="ED340" s="522"/>
      <c r="EE340" s="522"/>
      <c r="EF340" s="522"/>
      <c r="EG340" s="649">
        <f t="shared" si="327"/>
        <v>13.923</v>
      </c>
      <c r="EH340" s="649">
        <v>0</v>
      </c>
      <c r="EI340" s="649">
        <v>0</v>
      </c>
      <c r="EJ340" s="522">
        <v>2.5</v>
      </c>
      <c r="EK340" s="649">
        <v>6.5</v>
      </c>
      <c r="EL340" s="522"/>
      <c r="EM340" s="522"/>
      <c r="EN340" s="522"/>
      <c r="EO340" s="522"/>
      <c r="EP340" s="522"/>
      <c r="EQ340" s="522"/>
      <c r="ER340" s="522"/>
      <c r="ES340" s="407"/>
      <c r="ET340" s="407"/>
    </row>
    <row r="341" spans="1:150" s="357" customFormat="1" ht="15">
      <c r="A341" s="675" t="s">
        <v>4</v>
      </c>
      <c r="B341" s="712">
        <v>41967</v>
      </c>
      <c r="C341" s="820">
        <v>0</v>
      </c>
      <c r="D341" s="643">
        <v>0.22</v>
      </c>
      <c r="E341" s="807">
        <v>0</v>
      </c>
      <c r="F341" s="807">
        <v>53</v>
      </c>
      <c r="G341" s="807">
        <v>2.4500000000000002</v>
      </c>
      <c r="H341" s="643">
        <v>11.26</v>
      </c>
      <c r="I341" s="643">
        <v>82.04</v>
      </c>
      <c r="J341" s="643" t="s">
        <v>744</v>
      </c>
      <c r="K341" s="643">
        <v>3.79</v>
      </c>
      <c r="L341" s="821">
        <v>26.819999999999709</v>
      </c>
      <c r="M341" s="643">
        <v>12.1</v>
      </c>
      <c r="N341" s="643" t="s">
        <v>744</v>
      </c>
      <c r="O341" s="643" t="s">
        <v>743</v>
      </c>
      <c r="P341" s="643">
        <v>1.88</v>
      </c>
      <c r="Q341" s="643">
        <v>2.5566445204234225</v>
      </c>
      <c r="R341" s="643">
        <v>1043.9454531043591</v>
      </c>
      <c r="S341" s="643" t="s">
        <v>744</v>
      </c>
      <c r="T341" s="643">
        <v>8.1</v>
      </c>
      <c r="U341" s="643" t="s">
        <v>744</v>
      </c>
      <c r="V341" s="867">
        <v>0.66</v>
      </c>
      <c r="W341" s="868" t="e">
        <v>#VALUE!</v>
      </c>
      <c r="X341" s="869">
        <v>43.88000000000001</v>
      </c>
      <c r="Y341" s="806">
        <v>20.100000000000001</v>
      </c>
      <c r="Z341" s="807">
        <v>26.13</v>
      </c>
      <c r="AA341" s="870">
        <v>20.100000000000001</v>
      </c>
      <c r="AB341" s="870">
        <v>28.08</v>
      </c>
      <c r="AC341" s="775">
        <f t="shared" si="330"/>
        <v>48.18</v>
      </c>
      <c r="AD341" s="775">
        <f t="shared" si="331"/>
        <v>74.534459999999996</v>
      </c>
      <c r="AE341" s="705"/>
      <c r="AF341" s="775"/>
      <c r="AG341" s="705">
        <v>1</v>
      </c>
      <c r="AH341" s="705"/>
      <c r="AI341" s="705"/>
      <c r="AJ341" s="675"/>
      <c r="AK341" s="407"/>
      <c r="AL341" s="407"/>
      <c r="AM341" s="407"/>
      <c r="AN341" s="407"/>
      <c r="AO341" s="387"/>
      <c r="AP341" s="387"/>
      <c r="AQ341" s="405"/>
      <c r="AR341" s="578">
        <v>0</v>
      </c>
      <c r="AS341" s="405">
        <v>22</v>
      </c>
      <c r="AT341" s="578">
        <v>0</v>
      </c>
      <c r="AU341" s="405">
        <v>20.7</v>
      </c>
      <c r="AV341" s="405">
        <v>204.7</v>
      </c>
      <c r="AW341" s="405">
        <v>503.4</v>
      </c>
      <c r="AX341" s="405">
        <v>27.7</v>
      </c>
      <c r="AY341" s="578">
        <v>0</v>
      </c>
      <c r="AZ341" s="578">
        <v>0</v>
      </c>
      <c r="BA341" s="578">
        <v>0</v>
      </c>
      <c r="BB341" s="925">
        <v>0.99</v>
      </c>
      <c r="BC341" s="405">
        <v>0.7</v>
      </c>
      <c r="BD341" s="405">
        <v>1.5</v>
      </c>
      <c r="BE341" s="578">
        <v>0</v>
      </c>
      <c r="BF341" s="405">
        <v>0.3</v>
      </c>
      <c r="BG341" s="405">
        <v>0</v>
      </c>
      <c r="BH341" s="578">
        <v>0</v>
      </c>
      <c r="BI341" s="405">
        <v>0</v>
      </c>
      <c r="BJ341" s="405">
        <v>25.7</v>
      </c>
      <c r="BK341" s="405">
        <v>2.86</v>
      </c>
      <c r="BL341" s="405">
        <v>3.66</v>
      </c>
      <c r="BM341" s="405">
        <v>0</v>
      </c>
      <c r="BN341" s="405">
        <v>18.100000000000001</v>
      </c>
      <c r="BO341" s="405">
        <v>738.4</v>
      </c>
      <c r="BP341" s="405">
        <v>303.7</v>
      </c>
      <c r="BQ341" s="649">
        <v>22.4</v>
      </c>
      <c r="BR341" s="649">
        <v>22.64</v>
      </c>
      <c r="BS341" s="649">
        <v>8.6999999999999993</v>
      </c>
      <c r="BT341" s="649">
        <v>8.84</v>
      </c>
      <c r="BU341" s="648">
        <v>19.5</v>
      </c>
      <c r="BV341" s="648">
        <v>20</v>
      </c>
      <c r="BW341" s="649">
        <v>446.8</v>
      </c>
      <c r="BX341" s="876"/>
      <c r="BY341" s="649">
        <v>1.97</v>
      </c>
      <c r="BZ341" s="649">
        <v>1.89</v>
      </c>
      <c r="CA341" s="649">
        <v>1.6</v>
      </c>
      <c r="CB341" s="649">
        <v>9</v>
      </c>
      <c r="CC341" s="649">
        <v>8.1999999999999993</v>
      </c>
      <c r="CD341" s="649">
        <v>10.4</v>
      </c>
      <c r="CE341" s="649">
        <v>30.6</v>
      </c>
      <c r="CF341" s="649">
        <v>14.15</v>
      </c>
      <c r="CG341" s="649">
        <v>6.4</v>
      </c>
      <c r="CH341" s="649">
        <v>11.4</v>
      </c>
      <c r="CI341" s="649">
        <v>16.260000000000002</v>
      </c>
      <c r="CJ341" s="649">
        <v>12.6</v>
      </c>
      <c r="CK341" s="649">
        <v>0</v>
      </c>
      <c r="CL341" s="649">
        <v>2.2999999999999998</v>
      </c>
      <c r="CM341" s="649">
        <v>3.2</v>
      </c>
      <c r="CN341" s="649">
        <v>779.4</v>
      </c>
      <c r="CO341" s="649">
        <v>316.60000000000002</v>
      </c>
      <c r="CP341" s="649">
        <v>579.79999999999995</v>
      </c>
      <c r="CQ341" s="649">
        <v>12.7</v>
      </c>
      <c r="CR341" s="649">
        <v>0.78</v>
      </c>
      <c r="CS341" s="405">
        <v>3742.8</v>
      </c>
      <c r="CT341" s="405">
        <v>15.397</v>
      </c>
      <c r="CU341" s="405">
        <v>49</v>
      </c>
      <c r="CV341" s="522">
        <v>0</v>
      </c>
      <c r="CW341" s="522">
        <v>0</v>
      </c>
      <c r="CX341" s="522">
        <v>0</v>
      </c>
      <c r="CY341" s="522">
        <v>0</v>
      </c>
      <c r="CZ341" s="642">
        <v>2440</v>
      </c>
      <c r="DA341" s="642">
        <v>2970</v>
      </c>
      <c r="DB341" s="642">
        <v>2540</v>
      </c>
      <c r="DC341" s="642">
        <v>1086.46</v>
      </c>
      <c r="DD341" s="522"/>
      <c r="DE341" s="522"/>
      <c r="DF341" s="522"/>
      <c r="DG341" s="522"/>
      <c r="DH341" s="522"/>
      <c r="DI341" s="522"/>
      <c r="DJ341" s="522"/>
      <c r="DK341" s="522"/>
      <c r="DL341" s="649"/>
      <c r="DM341" s="649"/>
      <c r="DN341" s="649"/>
      <c r="DO341" s="522"/>
      <c r="DP341" s="522"/>
      <c r="DQ341" s="522"/>
      <c r="DR341" s="522"/>
      <c r="DS341" s="522"/>
      <c r="DT341" s="522"/>
      <c r="DU341" s="522"/>
      <c r="DV341" s="522"/>
      <c r="DW341" s="522"/>
      <c r="DX341" s="522"/>
      <c r="DY341" s="522"/>
      <c r="DZ341" s="522"/>
      <c r="EA341" s="522"/>
      <c r="EB341" s="522"/>
      <c r="EC341" s="522"/>
      <c r="ED341" s="522"/>
      <c r="EE341" s="522"/>
      <c r="EF341" s="522"/>
      <c r="EG341" s="649">
        <f t="shared" si="327"/>
        <v>13.923</v>
      </c>
      <c r="EH341" s="649">
        <v>0</v>
      </c>
      <c r="EI341" s="649">
        <v>0</v>
      </c>
      <c r="EJ341" s="522">
        <v>2.5</v>
      </c>
      <c r="EK341" s="649">
        <v>6.5</v>
      </c>
      <c r="EL341" s="522"/>
      <c r="EM341" s="522"/>
      <c r="EN341" s="522"/>
      <c r="EO341" s="522"/>
      <c r="EP341" s="522"/>
      <c r="EQ341" s="522"/>
      <c r="ER341" s="522"/>
      <c r="ES341" s="407"/>
      <c r="ET341" s="407"/>
    </row>
    <row r="342" spans="1:150" s="357" customFormat="1" ht="15">
      <c r="A342" s="675" t="s">
        <v>5</v>
      </c>
      <c r="B342" s="712">
        <v>41968</v>
      </c>
      <c r="C342" s="820">
        <v>0</v>
      </c>
      <c r="D342" s="643">
        <v>1.96</v>
      </c>
      <c r="E342" s="807">
        <v>0</v>
      </c>
      <c r="F342" s="807">
        <v>54.5</v>
      </c>
      <c r="G342" s="807">
        <v>5.2</v>
      </c>
      <c r="H342" s="643">
        <v>61.7</v>
      </c>
      <c r="I342" s="643">
        <v>81</v>
      </c>
      <c r="J342" s="643" t="s">
        <v>744</v>
      </c>
      <c r="K342" s="643">
        <v>2.2999999999999998</v>
      </c>
      <c r="L342" s="821">
        <v>38.369999999998981</v>
      </c>
      <c r="M342" s="643">
        <v>14.4</v>
      </c>
      <c r="N342" s="643" t="s">
        <v>744</v>
      </c>
      <c r="O342" s="643" t="s">
        <v>743</v>
      </c>
      <c r="P342" s="643">
        <v>1.88</v>
      </c>
      <c r="Q342" s="643">
        <v>2.3231743874082049</v>
      </c>
      <c r="R342" s="643">
        <v>808.14269484808449</v>
      </c>
      <c r="S342" s="643" t="s">
        <v>744</v>
      </c>
      <c r="T342" s="643">
        <v>8.08</v>
      </c>
      <c r="U342" s="643" t="s">
        <v>744</v>
      </c>
      <c r="V342" s="867">
        <v>0.67</v>
      </c>
      <c r="W342" s="868" t="e">
        <v>#VALUE!</v>
      </c>
      <c r="X342" s="869">
        <v>44.960000000000008</v>
      </c>
      <c r="Y342" s="806">
        <v>20.100000000000001</v>
      </c>
      <c r="Z342" s="807">
        <v>28.08</v>
      </c>
      <c r="AA342" s="870">
        <v>20.6</v>
      </c>
      <c r="AB342" s="870">
        <v>20.64</v>
      </c>
      <c r="AC342" s="775">
        <f t="shared" si="330"/>
        <v>41.24</v>
      </c>
      <c r="AD342" s="775">
        <f t="shared" si="331"/>
        <v>63.798279999999998</v>
      </c>
      <c r="AE342" s="705"/>
      <c r="AF342" s="775"/>
      <c r="AG342" s="705">
        <v>1</v>
      </c>
      <c r="AH342" s="705"/>
      <c r="AI342" s="705"/>
      <c r="AJ342" s="675"/>
      <c r="AK342" s="407"/>
      <c r="AL342" s="407"/>
      <c r="AM342" s="407"/>
      <c r="AN342" s="407"/>
      <c r="AO342" s="387"/>
      <c r="AP342" s="387"/>
      <c r="AQ342" s="405"/>
      <c r="AR342" s="578">
        <v>0</v>
      </c>
      <c r="AS342" s="405">
        <v>11</v>
      </c>
      <c r="AT342" s="578">
        <v>0</v>
      </c>
      <c r="AU342" s="405">
        <v>21.2</v>
      </c>
      <c r="AV342" s="405">
        <v>208.7</v>
      </c>
      <c r="AW342" s="405">
        <v>446.5</v>
      </c>
      <c r="AX342" s="405">
        <v>2.2999999999999998</v>
      </c>
      <c r="AY342" s="578">
        <v>0</v>
      </c>
      <c r="AZ342" s="578">
        <v>0</v>
      </c>
      <c r="BA342" s="578">
        <v>0</v>
      </c>
      <c r="BB342" s="925">
        <v>1</v>
      </c>
      <c r="BC342" s="405">
        <v>0.52</v>
      </c>
      <c r="BD342" s="405">
        <v>1.5</v>
      </c>
      <c r="BE342" s="578">
        <v>0</v>
      </c>
      <c r="BF342" s="405">
        <v>0.49</v>
      </c>
      <c r="BG342" s="405">
        <v>0</v>
      </c>
      <c r="BH342" s="578">
        <v>0</v>
      </c>
      <c r="BI342" s="405">
        <v>0</v>
      </c>
      <c r="BJ342" s="405">
        <v>18.3</v>
      </c>
      <c r="BK342" s="405">
        <v>2.83</v>
      </c>
      <c r="BL342" s="405">
        <v>3.75</v>
      </c>
      <c r="BM342" s="405">
        <v>0</v>
      </c>
      <c r="BN342" s="405">
        <v>10.7</v>
      </c>
      <c r="BO342" s="405">
        <v>225.7</v>
      </c>
      <c r="BP342" s="405">
        <v>103.6</v>
      </c>
      <c r="BQ342" s="649">
        <v>22.31</v>
      </c>
      <c r="BR342" s="649">
        <v>22.57</v>
      </c>
      <c r="BS342" s="649">
        <v>9.02</v>
      </c>
      <c r="BT342" s="649">
        <v>9.09</v>
      </c>
      <c r="BU342" s="648">
        <v>19.899999999999999</v>
      </c>
      <c r="BV342" s="648">
        <v>22.4</v>
      </c>
      <c r="BW342" s="649">
        <v>615.1</v>
      </c>
      <c r="BX342" s="876"/>
      <c r="BY342" s="649">
        <v>2.02</v>
      </c>
      <c r="BZ342" s="649">
        <v>1.76</v>
      </c>
      <c r="CA342" s="649">
        <v>1.6</v>
      </c>
      <c r="CB342" s="649">
        <v>8.8000000000000007</v>
      </c>
      <c r="CC342" s="649">
        <v>8.1999999999999993</v>
      </c>
      <c r="CD342" s="649">
        <v>9.51</v>
      </c>
      <c r="CE342" s="649">
        <v>30.1</v>
      </c>
      <c r="CF342" s="649">
        <v>15</v>
      </c>
      <c r="CG342" s="649">
        <v>3</v>
      </c>
      <c r="CH342" s="649">
        <v>7.73</v>
      </c>
      <c r="CI342" s="649">
        <v>11.75</v>
      </c>
      <c r="CJ342" s="649">
        <v>14.87</v>
      </c>
      <c r="CK342" s="649">
        <v>0</v>
      </c>
      <c r="CL342" s="649">
        <v>2.2999999999999998</v>
      </c>
      <c r="CM342" s="649">
        <v>3.2</v>
      </c>
      <c r="CN342" s="649">
        <v>465.6</v>
      </c>
      <c r="CO342" s="649">
        <v>285.2</v>
      </c>
      <c r="CP342" s="649">
        <v>552</v>
      </c>
      <c r="CQ342" s="649">
        <v>13.3</v>
      </c>
      <c r="CR342" s="649">
        <v>0.79</v>
      </c>
      <c r="CS342" s="405">
        <v>8157.6</v>
      </c>
      <c r="CT342" s="405">
        <v>15.23</v>
      </c>
      <c r="CU342" s="405">
        <v>50</v>
      </c>
      <c r="CV342" s="522">
        <v>0</v>
      </c>
      <c r="CW342" s="522">
        <v>0</v>
      </c>
      <c r="CX342" s="522">
        <v>0</v>
      </c>
      <c r="CY342" s="522">
        <v>0</v>
      </c>
      <c r="CZ342" s="642">
        <v>6910</v>
      </c>
      <c r="DA342" s="642">
        <v>7230</v>
      </c>
      <c r="DB342" s="642">
        <v>6180</v>
      </c>
      <c r="DC342" s="642">
        <v>1110.1099999999999</v>
      </c>
      <c r="DD342" s="522"/>
      <c r="DE342" s="522"/>
      <c r="DF342" s="522"/>
      <c r="DG342" s="522"/>
      <c r="DH342" s="522"/>
      <c r="DI342" s="522"/>
      <c r="DJ342" s="522"/>
      <c r="DK342" s="522"/>
      <c r="DL342" s="649"/>
      <c r="DM342" s="649"/>
      <c r="DN342" s="649"/>
      <c r="DO342" s="522"/>
      <c r="DP342" s="522"/>
      <c r="DQ342" s="522"/>
      <c r="DR342" s="522"/>
      <c r="DS342" s="522"/>
      <c r="DT342" s="522"/>
      <c r="DU342" s="522"/>
      <c r="DV342" s="522"/>
      <c r="DW342" s="522"/>
      <c r="DX342" s="522"/>
      <c r="DY342" s="522"/>
      <c r="DZ342" s="522"/>
      <c r="EA342" s="522"/>
      <c r="EB342" s="522"/>
      <c r="EC342" s="522"/>
      <c r="ED342" s="522"/>
      <c r="EE342" s="522"/>
      <c r="EF342" s="522"/>
      <c r="EG342" s="649">
        <f t="shared" si="327"/>
        <v>13.923</v>
      </c>
      <c r="EH342" s="649">
        <v>0</v>
      </c>
      <c r="EI342" s="649">
        <v>0</v>
      </c>
      <c r="EJ342" s="522">
        <v>2.5</v>
      </c>
      <c r="EK342" s="649">
        <v>6.5</v>
      </c>
      <c r="EL342" s="522"/>
      <c r="EM342" s="522"/>
      <c r="EN342" s="522"/>
      <c r="EO342" s="522"/>
      <c r="EP342" s="522"/>
      <c r="EQ342" s="522"/>
      <c r="ER342" s="522"/>
      <c r="ES342" s="407"/>
      <c r="ET342" s="407"/>
    </row>
    <row r="343" spans="1:150" s="357" customFormat="1" ht="15">
      <c r="A343" s="675" t="s">
        <v>6</v>
      </c>
      <c r="B343" s="712">
        <v>41969</v>
      </c>
      <c r="C343" s="820">
        <v>0</v>
      </c>
      <c r="D343" s="643">
        <v>0.05</v>
      </c>
      <c r="E343" s="807">
        <v>0</v>
      </c>
      <c r="F343" s="807">
        <v>56</v>
      </c>
      <c r="G343" s="807">
        <v>5.2</v>
      </c>
      <c r="H343" s="643">
        <v>86.6</v>
      </c>
      <c r="I343" s="643">
        <v>36.090000000000003</v>
      </c>
      <c r="J343" s="643" t="s">
        <v>744</v>
      </c>
      <c r="K343" s="643">
        <v>0.13</v>
      </c>
      <c r="L343" s="821">
        <v>43.110000000000582</v>
      </c>
      <c r="M343" s="643">
        <v>15.4</v>
      </c>
      <c r="N343" s="643" t="s">
        <v>744</v>
      </c>
      <c r="O343" s="643" t="s">
        <v>743</v>
      </c>
      <c r="P343" s="643">
        <v>1.73</v>
      </c>
      <c r="Q343" s="643">
        <v>8.6958260443218495E-5</v>
      </c>
      <c r="R343" s="643">
        <v>672.42654689564051</v>
      </c>
      <c r="S343" s="643" t="s">
        <v>744</v>
      </c>
      <c r="T343" s="643">
        <v>8.08</v>
      </c>
      <c r="U343" s="643" t="s">
        <v>744</v>
      </c>
      <c r="V343" s="867">
        <v>0.67</v>
      </c>
      <c r="W343" s="868" t="e">
        <v>#VALUE!</v>
      </c>
      <c r="X343" s="869">
        <v>46.22</v>
      </c>
      <c r="Y343" s="806">
        <v>20.6</v>
      </c>
      <c r="Z343" s="807">
        <v>20.64</v>
      </c>
      <c r="AA343" s="870">
        <v>20.7</v>
      </c>
      <c r="AB343" s="870">
        <v>18.989999999999998</v>
      </c>
      <c r="AC343" s="775">
        <f t="shared" ref="AC343:AC347" si="332">AA343+AB343</f>
        <v>39.69</v>
      </c>
      <c r="AD343" s="775">
        <f t="shared" ref="AD343:AD347" si="333">AC343*1.547</f>
        <v>61.400429999999993</v>
      </c>
      <c r="AE343" s="705"/>
      <c r="AF343" s="775"/>
      <c r="AG343" s="705">
        <v>1</v>
      </c>
      <c r="AH343" s="705"/>
      <c r="AI343" s="705"/>
      <c r="AJ343" s="675"/>
      <c r="AK343" s="407"/>
      <c r="AL343" s="407"/>
      <c r="AM343" s="407"/>
      <c r="AN343" s="407"/>
      <c r="AO343" s="387"/>
      <c r="AP343" s="387"/>
      <c r="AQ343" s="405"/>
      <c r="AR343" s="578">
        <v>0</v>
      </c>
      <c r="AS343" s="405">
        <v>22.8</v>
      </c>
      <c r="AT343" s="578">
        <v>0</v>
      </c>
      <c r="AU343" s="405">
        <v>21.3</v>
      </c>
      <c r="AV343" s="405">
        <v>283.10000000000002</v>
      </c>
      <c r="AW343" s="405">
        <v>538.29999999999995</v>
      </c>
      <c r="AX343" s="405">
        <v>0</v>
      </c>
      <c r="AY343" s="578">
        <v>0</v>
      </c>
      <c r="AZ343" s="578">
        <v>0</v>
      </c>
      <c r="BA343" s="578">
        <v>0</v>
      </c>
      <c r="BB343" s="925">
        <v>1</v>
      </c>
      <c r="BC343" s="405">
        <v>0.5</v>
      </c>
      <c r="BD343" s="405">
        <v>1.5</v>
      </c>
      <c r="BE343" s="578">
        <v>0</v>
      </c>
      <c r="BF343" s="405">
        <v>0.49</v>
      </c>
      <c r="BG343" s="405">
        <v>0</v>
      </c>
      <c r="BH343" s="578">
        <v>0</v>
      </c>
      <c r="BI343" s="405">
        <v>0</v>
      </c>
      <c r="BJ343" s="405">
        <v>16.7</v>
      </c>
      <c r="BK343" s="405">
        <v>2.83</v>
      </c>
      <c r="BL343" s="405">
        <v>3.66</v>
      </c>
      <c r="BM343" s="405">
        <v>0</v>
      </c>
      <c r="BN343" s="405">
        <v>9.1999999999999993</v>
      </c>
      <c r="BO343" s="405">
        <v>756.7</v>
      </c>
      <c r="BP343" s="405">
        <v>342.5</v>
      </c>
      <c r="BQ343" s="649">
        <v>23.27</v>
      </c>
      <c r="BR343" s="649">
        <v>23.54</v>
      </c>
      <c r="BS343" s="649">
        <v>9</v>
      </c>
      <c r="BT343" s="649">
        <v>9.14</v>
      </c>
      <c r="BU343" s="648">
        <v>19.899999999999999</v>
      </c>
      <c r="BV343" s="648">
        <v>19.399999999999999</v>
      </c>
      <c r="BW343" s="649">
        <v>614.70000000000005</v>
      </c>
      <c r="BX343" s="876">
        <v>0</v>
      </c>
      <c r="BY343" s="649">
        <v>6.69</v>
      </c>
      <c r="BZ343" s="649">
        <v>1.81</v>
      </c>
      <c r="CA343" s="649">
        <v>1.6</v>
      </c>
      <c r="CB343" s="649">
        <v>8.9</v>
      </c>
      <c r="CC343" s="649">
        <v>8.3000000000000007</v>
      </c>
      <c r="CD343" s="649">
        <v>9.5</v>
      </c>
      <c r="CE343" s="649">
        <v>27.3</v>
      </c>
      <c r="CF343" s="649">
        <v>14.4</v>
      </c>
      <c r="CG343" s="649">
        <v>3.25</v>
      </c>
      <c r="CH343" s="649">
        <v>7.9</v>
      </c>
      <c r="CI343" s="649">
        <v>12</v>
      </c>
      <c r="CJ343" s="649">
        <v>13.46</v>
      </c>
      <c r="CK343" s="649">
        <v>0</v>
      </c>
      <c r="CL343" s="649">
        <v>1.9</v>
      </c>
      <c r="CM343" s="649">
        <v>2.2999999999999998</v>
      </c>
      <c r="CN343" s="649">
        <v>431</v>
      </c>
      <c r="CO343" s="649">
        <v>308.5</v>
      </c>
      <c r="CP343" s="649">
        <v>544.29999999999995</v>
      </c>
      <c r="CQ343" s="649">
        <v>14.6</v>
      </c>
      <c r="CR343" s="649">
        <v>0.9</v>
      </c>
      <c r="CS343" s="405">
        <v>9983.5</v>
      </c>
      <c r="CT343" s="405">
        <v>16.350000000000001</v>
      </c>
      <c r="CU343" s="405">
        <v>51</v>
      </c>
      <c r="CV343" s="522">
        <v>0</v>
      </c>
      <c r="CW343" s="522">
        <v>0</v>
      </c>
      <c r="CX343" s="522">
        <v>0</v>
      </c>
      <c r="CY343" s="522">
        <v>0</v>
      </c>
      <c r="CZ343" s="642">
        <v>7060</v>
      </c>
      <c r="DA343" s="642">
        <v>8520</v>
      </c>
      <c r="DB343" s="642">
        <v>6130</v>
      </c>
      <c r="DC343" s="642">
        <v>1119.9000000000001</v>
      </c>
      <c r="DD343" s="522"/>
      <c r="DE343" s="522"/>
      <c r="DF343" s="522"/>
      <c r="DG343" s="522"/>
      <c r="DH343" s="522"/>
      <c r="DI343" s="522"/>
      <c r="DJ343" s="522"/>
      <c r="DK343" s="522"/>
      <c r="DL343" s="649"/>
      <c r="DM343" s="649"/>
      <c r="DN343" s="649"/>
      <c r="DO343" s="522"/>
      <c r="DP343" s="522"/>
      <c r="DQ343" s="522"/>
      <c r="DR343" s="522"/>
      <c r="DS343" s="522"/>
      <c r="DT343" s="522"/>
      <c r="DU343" s="522"/>
      <c r="DV343" s="522"/>
      <c r="DW343" s="522"/>
      <c r="DX343" s="522"/>
      <c r="DY343" s="522"/>
      <c r="DZ343" s="522"/>
      <c r="EA343" s="522"/>
      <c r="EB343" s="522"/>
      <c r="EC343" s="522"/>
      <c r="ED343" s="522"/>
      <c r="EE343" s="522"/>
      <c r="EF343" s="522"/>
      <c r="EG343" s="649">
        <f t="shared" si="327"/>
        <v>13.923</v>
      </c>
      <c r="EH343" s="649">
        <v>0</v>
      </c>
      <c r="EI343" s="649">
        <v>0</v>
      </c>
      <c r="EJ343" s="522">
        <v>2.5</v>
      </c>
      <c r="EK343" s="649">
        <v>6.5</v>
      </c>
      <c r="EL343" s="522"/>
      <c r="EM343" s="522"/>
      <c r="EN343" s="522"/>
      <c r="EO343" s="522"/>
      <c r="EP343" s="522"/>
      <c r="EQ343" s="522"/>
      <c r="ER343" s="522"/>
      <c r="ES343" s="407"/>
      <c r="ET343" s="407"/>
    </row>
    <row r="344" spans="1:150" s="357" customFormat="1" ht="15">
      <c r="A344" s="675" t="s">
        <v>7</v>
      </c>
      <c r="B344" s="712">
        <v>41970</v>
      </c>
      <c r="C344" s="820">
        <v>0</v>
      </c>
      <c r="D344" s="643">
        <v>0.05</v>
      </c>
      <c r="E344" s="807">
        <v>0</v>
      </c>
      <c r="F344" s="807">
        <v>51</v>
      </c>
      <c r="G344" s="807">
        <v>4.75</v>
      </c>
      <c r="H344" s="643">
        <v>50</v>
      </c>
      <c r="I344" s="643">
        <v>52</v>
      </c>
      <c r="J344" s="643" t="s">
        <v>744</v>
      </c>
      <c r="K344" s="643">
        <v>7.0000000000000007E-2</v>
      </c>
      <c r="L344" s="821">
        <v>39.690000000002328</v>
      </c>
      <c r="M344" s="643">
        <v>16.3</v>
      </c>
      <c r="N344" s="643" t="s">
        <v>744</v>
      </c>
      <c r="O344" s="643" t="s">
        <v>743</v>
      </c>
      <c r="P344" s="643">
        <v>1.59</v>
      </c>
      <c r="Q344" s="643">
        <v>1.8598112944210661</v>
      </c>
      <c r="R344" s="643">
        <v>631.29062615587839</v>
      </c>
      <c r="S344" s="643" t="s">
        <v>744</v>
      </c>
      <c r="T344" s="643">
        <v>8.0500000000000007</v>
      </c>
      <c r="U344" s="643" t="s">
        <v>744</v>
      </c>
      <c r="V344" s="867">
        <v>0.68</v>
      </c>
      <c r="W344" s="868" t="e">
        <v>#VALUE!</v>
      </c>
      <c r="X344" s="869">
        <v>46.039999999999992</v>
      </c>
      <c r="Y344" s="806">
        <v>2070</v>
      </c>
      <c r="Z344" s="807">
        <v>18.989999999999998</v>
      </c>
      <c r="AA344" s="870">
        <v>20.9</v>
      </c>
      <c r="AB344" s="870">
        <v>19.11</v>
      </c>
      <c r="AC344" s="775">
        <f t="shared" si="332"/>
        <v>40.01</v>
      </c>
      <c r="AD344" s="775">
        <f t="shared" si="333"/>
        <v>61.895469999999996</v>
      </c>
      <c r="AE344" s="705"/>
      <c r="AF344" s="775"/>
      <c r="AG344" s="705">
        <v>1</v>
      </c>
      <c r="AH344" s="705"/>
      <c r="AI344" s="705"/>
      <c r="AJ344" s="675"/>
      <c r="AK344" s="407"/>
      <c r="AL344" s="407"/>
      <c r="AM344" s="407"/>
      <c r="AN344" s="407"/>
      <c r="AO344" s="387"/>
      <c r="AP344" s="387"/>
      <c r="AQ344" s="405"/>
      <c r="AR344" s="578">
        <v>0</v>
      </c>
      <c r="AS344" s="405">
        <v>13</v>
      </c>
      <c r="AT344" s="578">
        <v>0</v>
      </c>
      <c r="AU344" s="405">
        <v>21.6</v>
      </c>
      <c r="AV344" s="405">
        <v>372</v>
      </c>
      <c r="AW344" s="405">
        <v>791.4</v>
      </c>
      <c r="AX344" s="405">
        <v>0</v>
      </c>
      <c r="AY344" s="578">
        <v>0</v>
      </c>
      <c r="AZ344" s="578">
        <v>0</v>
      </c>
      <c r="BA344" s="578">
        <v>0</v>
      </c>
      <c r="BB344" s="925">
        <v>1.01</v>
      </c>
      <c r="BC344" s="405">
        <v>0.5</v>
      </c>
      <c r="BD344" s="405">
        <v>1.5</v>
      </c>
      <c r="BE344" s="578">
        <v>0</v>
      </c>
      <c r="BF344" s="405">
        <v>0.5</v>
      </c>
      <c r="BG344" s="405">
        <v>0</v>
      </c>
      <c r="BH344" s="578">
        <v>0</v>
      </c>
      <c r="BI344" s="405">
        <v>0</v>
      </c>
      <c r="BJ344" s="405">
        <v>16.8</v>
      </c>
      <c r="BK344" s="405">
        <v>2.82</v>
      </c>
      <c r="BL344" s="405">
        <v>3.66</v>
      </c>
      <c r="BM344" s="405">
        <v>0</v>
      </c>
      <c r="BN344" s="405">
        <v>9.4</v>
      </c>
      <c r="BO344" s="405">
        <v>2074</v>
      </c>
      <c r="BP344" s="405">
        <v>0</v>
      </c>
      <c r="BQ344" s="649">
        <v>21.667999999999999</v>
      </c>
      <c r="BR344" s="649">
        <v>21.95</v>
      </c>
      <c r="BS344" s="649">
        <v>8.91</v>
      </c>
      <c r="BT344" s="649">
        <v>9.0399999999999991</v>
      </c>
      <c r="BU344" s="648">
        <v>19.7</v>
      </c>
      <c r="BV344" s="648">
        <v>26.2</v>
      </c>
      <c r="BW344" s="649">
        <v>665</v>
      </c>
      <c r="BX344" s="876"/>
      <c r="BY344" s="649">
        <v>1.27</v>
      </c>
      <c r="BZ344" s="649">
        <v>1.66</v>
      </c>
      <c r="CA344" s="649">
        <v>1.6</v>
      </c>
      <c r="CB344" s="649">
        <v>9</v>
      </c>
      <c r="CC344" s="649">
        <v>8.3000000000000007</v>
      </c>
      <c r="CD344" s="649">
        <v>9.6</v>
      </c>
      <c r="CE344" s="649">
        <v>30.3</v>
      </c>
      <c r="CF344" s="649">
        <v>13.8</v>
      </c>
      <c r="CG344" s="649">
        <v>7.9</v>
      </c>
      <c r="CH344" s="649">
        <v>13.38</v>
      </c>
      <c r="CI344" s="649">
        <v>17.5</v>
      </c>
      <c r="CJ344" s="649">
        <v>14.36</v>
      </c>
      <c r="CK344" s="649">
        <v>0</v>
      </c>
      <c r="CL344" s="649">
        <v>2</v>
      </c>
      <c r="CM344" s="649">
        <v>2.7</v>
      </c>
      <c r="CN344" s="649">
        <v>505.6</v>
      </c>
      <c r="CO344" s="649">
        <v>307.5</v>
      </c>
      <c r="CP344" s="649">
        <v>506.6</v>
      </c>
      <c r="CQ344" s="649">
        <v>13.2</v>
      </c>
      <c r="CR344" s="649">
        <v>0.77</v>
      </c>
      <c r="CS344" s="405">
        <v>7186.5</v>
      </c>
      <c r="CT344" s="405">
        <v>16.82</v>
      </c>
      <c r="CU344" s="405">
        <v>50</v>
      </c>
      <c r="CV344" s="522">
        <v>0</v>
      </c>
      <c r="CW344" s="522">
        <v>0</v>
      </c>
      <c r="CX344" s="522">
        <v>0</v>
      </c>
      <c r="CY344" s="522">
        <v>0</v>
      </c>
      <c r="CZ344" s="642">
        <v>6350</v>
      </c>
      <c r="DA344" s="642">
        <v>7850</v>
      </c>
      <c r="DB344" s="642">
        <v>5610</v>
      </c>
      <c r="DC344" s="642">
        <v>1105.3</v>
      </c>
      <c r="DD344" s="522"/>
      <c r="DE344" s="522"/>
      <c r="DF344" s="522"/>
      <c r="DG344" s="522"/>
      <c r="DH344" s="522"/>
      <c r="DI344" s="522"/>
      <c r="DJ344" s="522"/>
      <c r="DK344" s="522"/>
      <c r="DL344" s="649"/>
      <c r="DM344" s="649"/>
      <c r="DN344" s="649"/>
      <c r="DO344" s="522"/>
      <c r="DP344" s="522"/>
      <c r="DQ344" s="522"/>
      <c r="DR344" s="522"/>
      <c r="DS344" s="522"/>
      <c r="DT344" s="522"/>
      <c r="DU344" s="522"/>
      <c r="DV344" s="522"/>
      <c r="DW344" s="522"/>
      <c r="DX344" s="522"/>
      <c r="DY344" s="522"/>
      <c r="DZ344" s="522"/>
      <c r="EA344" s="522"/>
      <c r="EB344" s="522"/>
      <c r="EC344" s="522"/>
      <c r="ED344" s="522"/>
      <c r="EE344" s="522"/>
      <c r="EF344" s="522"/>
      <c r="EG344" s="649">
        <f t="shared" si="327"/>
        <v>13.923</v>
      </c>
      <c r="EH344" s="649">
        <v>0</v>
      </c>
      <c r="EI344" s="649">
        <v>0</v>
      </c>
      <c r="EJ344" s="522">
        <v>2.5</v>
      </c>
      <c r="EK344" s="649">
        <v>6.5</v>
      </c>
      <c r="EL344" s="522"/>
      <c r="EM344" s="522"/>
      <c r="EN344" s="522"/>
      <c r="EO344" s="522"/>
      <c r="EP344" s="522"/>
      <c r="EQ344" s="522"/>
      <c r="ER344" s="522"/>
      <c r="ES344" s="407"/>
      <c r="ET344" s="407"/>
    </row>
    <row r="345" spans="1:150" s="357" customFormat="1" ht="15">
      <c r="A345" s="675" t="s">
        <v>8</v>
      </c>
      <c r="B345" s="712">
        <v>41971</v>
      </c>
      <c r="C345" s="820">
        <v>0</v>
      </c>
      <c r="D345" s="643">
        <v>0.9</v>
      </c>
      <c r="E345" s="807">
        <v>0</v>
      </c>
      <c r="F345" s="807">
        <v>41.5</v>
      </c>
      <c r="G345" s="807">
        <v>3.75</v>
      </c>
      <c r="H345" s="643">
        <v>27.99</v>
      </c>
      <c r="I345" s="643">
        <v>73.2</v>
      </c>
      <c r="J345" s="643" t="s">
        <v>744</v>
      </c>
      <c r="K345" s="643">
        <v>0.09</v>
      </c>
      <c r="L345" s="821">
        <v>39.269999999996799</v>
      </c>
      <c r="M345" s="643">
        <v>16.7</v>
      </c>
      <c r="N345" s="643" t="s">
        <v>744</v>
      </c>
      <c r="O345" s="643" t="s">
        <v>743</v>
      </c>
      <c r="P345" s="643">
        <v>1.63</v>
      </c>
      <c r="Q345" s="643">
        <v>1.8662055631920829</v>
      </c>
      <c r="R345" s="643">
        <v>615.0953817701452</v>
      </c>
      <c r="S345" s="643" t="s">
        <v>744</v>
      </c>
      <c r="T345" s="643">
        <v>8.0399999999999991</v>
      </c>
      <c r="U345" s="643" t="s">
        <v>744</v>
      </c>
      <c r="V345" s="867">
        <v>0.67</v>
      </c>
      <c r="W345" s="868" t="e">
        <v>#VALUE!</v>
      </c>
      <c r="X345" s="869">
        <v>45.14</v>
      </c>
      <c r="Y345" s="806">
        <v>20.9</v>
      </c>
      <c r="Z345" s="807">
        <v>19.11</v>
      </c>
      <c r="AA345" s="870">
        <v>19.7</v>
      </c>
      <c r="AB345" s="870">
        <v>19.100000000000001</v>
      </c>
      <c r="AC345" s="775">
        <f t="shared" si="332"/>
        <v>38.799999999999997</v>
      </c>
      <c r="AD345" s="775">
        <f t="shared" si="333"/>
        <v>60.023599999999995</v>
      </c>
      <c r="AE345" s="705"/>
      <c r="AF345" s="775"/>
      <c r="AG345" s="705">
        <v>1</v>
      </c>
      <c r="AH345" s="705"/>
      <c r="AI345" s="705"/>
      <c r="AJ345" s="675"/>
      <c r="AK345" s="407"/>
      <c r="AL345" s="407"/>
      <c r="AM345" s="407"/>
      <c r="AN345" s="407"/>
      <c r="AO345" s="387"/>
      <c r="AP345" s="387"/>
      <c r="AQ345" s="405"/>
      <c r="AR345" s="578">
        <v>0</v>
      </c>
      <c r="AS345" s="405">
        <v>21.8</v>
      </c>
      <c r="AT345" s="578">
        <v>0</v>
      </c>
      <c r="AU345" s="405">
        <v>20.399999999999999</v>
      </c>
      <c r="AV345" s="405">
        <v>207.5</v>
      </c>
      <c r="AW345" s="405">
        <v>218.2</v>
      </c>
      <c r="AX345" s="405">
        <v>1</v>
      </c>
      <c r="AY345" s="578">
        <v>0</v>
      </c>
      <c r="AZ345" s="578">
        <v>0</v>
      </c>
      <c r="BA345" s="578">
        <v>0</v>
      </c>
      <c r="BB345" s="925">
        <v>1</v>
      </c>
      <c r="BC345" s="405">
        <v>0.5</v>
      </c>
      <c r="BD345" s="405">
        <v>1.5</v>
      </c>
      <c r="BE345" s="578">
        <v>0</v>
      </c>
      <c r="BF345" s="405">
        <v>0.49</v>
      </c>
      <c r="BG345" s="405">
        <v>0</v>
      </c>
      <c r="BH345" s="578">
        <v>0</v>
      </c>
      <c r="BI345" s="405">
        <v>0</v>
      </c>
      <c r="BJ345" s="405">
        <v>16.8</v>
      </c>
      <c r="BK345" s="405">
        <v>2.82</v>
      </c>
      <c r="BL345" s="405">
        <v>3.66</v>
      </c>
      <c r="BM345" s="405">
        <v>0</v>
      </c>
      <c r="BN345" s="405">
        <v>9.3000000000000007</v>
      </c>
      <c r="BO345" s="405">
        <v>0</v>
      </c>
      <c r="BP345" s="405">
        <v>0</v>
      </c>
      <c r="BQ345" s="649">
        <v>21.95</v>
      </c>
      <c r="BR345" s="649">
        <v>22.2</v>
      </c>
      <c r="BS345" s="649">
        <v>8.68</v>
      </c>
      <c r="BT345" s="649">
        <v>8.86</v>
      </c>
      <c r="BU345" s="648">
        <v>19.399999999999999</v>
      </c>
      <c r="BV345" s="648">
        <v>21.3</v>
      </c>
      <c r="BW345" s="649">
        <v>805.4</v>
      </c>
      <c r="BX345" s="876"/>
      <c r="BY345" s="649">
        <v>0.88</v>
      </c>
      <c r="BZ345" s="649">
        <v>1.6</v>
      </c>
      <c r="CA345" s="649">
        <v>1.5</v>
      </c>
      <c r="CB345" s="649">
        <v>9.1</v>
      </c>
      <c r="CC345" s="649">
        <v>8.3000000000000007</v>
      </c>
      <c r="CD345" s="649">
        <v>9.5</v>
      </c>
      <c r="CE345" s="649">
        <v>29.7</v>
      </c>
      <c r="CF345" s="649">
        <v>13.4</v>
      </c>
      <c r="CG345" s="649">
        <v>2.4300000000000002</v>
      </c>
      <c r="CH345" s="649">
        <v>7.1</v>
      </c>
      <c r="CI345" s="649">
        <v>11.1</v>
      </c>
      <c r="CJ345" s="649">
        <v>13.23</v>
      </c>
      <c r="CK345" s="649">
        <v>0</v>
      </c>
      <c r="CL345" s="649">
        <v>1.5</v>
      </c>
      <c r="CM345" s="649">
        <v>1.6</v>
      </c>
      <c r="CN345" s="649">
        <v>443.2</v>
      </c>
      <c r="CO345" s="649">
        <v>282.7</v>
      </c>
      <c r="CP345" s="649">
        <v>516.9</v>
      </c>
      <c r="CQ345" s="649">
        <v>13.8</v>
      </c>
      <c r="CR345" s="649">
        <v>0.73</v>
      </c>
      <c r="CS345" s="405">
        <v>6829.1</v>
      </c>
      <c r="CT345" s="405">
        <v>16.326000000000001</v>
      </c>
      <c r="CU345" s="405">
        <v>50</v>
      </c>
      <c r="CV345" s="522">
        <v>0</v>
      </c>
      <c r="CW345" s="522">
        <v>0</v>
      </c>
      <c r="CX345" s="522">
        <v>0</v>
      </c>
      <c r="CY345" s="522">
        <v>0</v>
      </c>
      <c r="CZ345" s="642">
        <v>4190</v>
      </c>
      <c r="DA345" s="642">
        <v>5830</v>
      </c>
      <c r="DB345" s="642">
        <v>4150</v>
      </c>
      <c r="DC345" s="642">
        <v>1087</v>
      </c>
      <c r="DD345" s="522"/>
      <c r="DE345" s="522"/>
      <c r="DF345" s="522"/>
      <c r="DG345" s="522"/>
      <c r="DH345" s="522"/>
      <c r="DI345" s="522"/>
      <c r="DJ345" s="522"/>
      <c r="DK345" s="522"/>
      <c r="DL345" s="649"/>
      <c r="DM345" s="649"/>
      <c r="DN345" s="649"/>
      <c r="DO345" s="522"/>
      <c r="DP345" s="522"/>
      <c r="DQ345" s="522"/>
      <c r="DR345" s="522"/>
      <c r="DS345" s="522"/>
      <c r="DT345" s="522"/>
      <c r="DU345" s="522"/>
      <c r="DV345" s="522"/>
      <c r="DW345" s="522"/>
      <c r="DX345" s="522"/>
      <c r="DY345" s="522"/>
      <c r="DZ345" s="522"/>
      <c r="EA345" s="522"/>
      <c r="EB345" s="522"/>
      <c r="EC345" s="522"/>
      <c r="ED345" s="522"/>
      <c r="EE345" s="522"/>
      <c r="EF345" s="522"/>
      <c r="EG345" s="649">
        <f t="shared" ref="EG345:EG351" si="334">(SUM(EH345:EK345))*1.547</f>
        <v>13.923</v>
      </c>
      <c r="EH345" s="649">
        <v>0</v>
      </c>
      <c r="EI345" s="649">
        <v>0</v>
      </c>
      <c r="EJ345" s="522">
        <v>2.5</v>
      </c>
      <c r="EK345" s="649">
        <v>6.5</v>
      </c>
      <c r="EL345" s="522"/>
      <c r="EM345" s="522"/>
      <c r="EN345" s="522"/>
      <c r="EO345" s="522"/>
      <c r="EP345" s="522"/>
      <c r="EQ345" s="522"/>
      <c r="ER345" s="522"/>
      <c r="ES345" s="407"/>
      <c r="ET345" s="407"/>
    </row>
    <row r="346" spans="1:150" s="357" customFormat="1" ht="15">
      <c r="A346" s="675" t="s">
        <v>9</v>
      </c>
      <c r="B346" s="712">
        <v>41972</v>
      </c>
      <c r="C346" s="820">
        <v>0</v>
      </c>
      <c r="D346" s="643">
        <v>0.12</v>
      </c>
      <c r="E346" s="807">
        <v>0.75</v>
      </c>
      <c r="F346" s="807">
        <v>25.2</v>
      </c>
      <c r="G346" s="807">
        <v>2.2000000000000002</v>
      </c>
      <c r="H346" s="643">
        <v>112</v>
      </c>
      <c r="I346" s="643">
        <v>68.3</v>
      </c>
      <c r="J346" s="643" t="s">
        <v>744</v>
      </c>
      <c r="K346" s="643">
        <v>0.05</v>
      </c>
      <c r="L346" s="821">
        <v>39.330000000001746</v>
      </c>
      <c r="M346" s="643">
        <v>16.600000000000001</v>
      </c>
      <c r="N346" s="643" t="s">
        <v>744</v>
      </c>
      <c r="O346" s="643" t="s">
        <v>743</v>
      </c>
      <c r="P346" s="643">
        <v>1.65</v>
      </c>
      <c r="Q346" s="643">
        <v>1.8774906742331594</v>
      </c>
      <c r="R346" s="643">
        <v>618.65833553500659</v>
      </c>
      <c r="S346" s="643" t="s">
        <v>744</v>
      </c>
      <c r="T346" s="643">
        <v>7.98</v>
      </c>
      <c r="U346" s="643" t="s">
        <v>744</v>
      </c>
      <c r="V346" s="867">
        <v>0.68</v>
      </c>
      <c r="W346" s="868" t="e">
        <v>#VALUE!</v>
      </c>
      <c r="X346" s="869">
        <v>45.14</v>
      </c>
      <c r="Y346" s="806">
        <v>19.7</v>
      </c>
      <c r="Z346" s="807">
        <v>19.100000000000001</v>
      </c>
      <c r="AA346" s="870">
        <v>19.7</v>
      </c>
      <c r="AB346" s="870">
        <v>19.190000000000001</v>
      </c>
      <c r="AC346" s="775">
        <f t="shared" si="332"/>
        <v>38.89</v>
      </c>
      <c r="AD346" s="775">
        <f t="shared" si="333"/>
        <v>60.16283</v>
      </c>
      <c r="AE346" s="705"/>
      <c r="AF346" s="775"/>
      <c r="AG346" s="705">
        <v>1</v>
      </c>
      <c r="AH346" s="705"/>
      <c r="AI346" s="705"/>
      <c r="AJ346" s="675"/>
      <c r="AK346" s="407"/>
      <c r="AL346" s="407"/>
      <c r="AM346" s="407"/>
      <c r="AN346" s="407"/>
      <c r="AO346" s="387"/>
      <c r="AP346" s="387"/>
      <c r="AQ346" s="405"/>
      <c r="AR346" s="578">
        <v>0</v>
      </c>
      <c r="AS346" s="405">
        <v>21.9</v>
      </c>
      <c r="AT346" s="578">
        <v>0</v>
      </c>
      <c r="AU346" s="405">
        <v>20.3</v>
      </c>
      <c r="AV346" s="405">
        <v>371.6</v>
      </c>
      <c r="AW346" s="405">
        <v>469.8</v>
      </c>
      <c r="AX346" s="405">
        <v>0.1</v>
      </c>
      <c r="AY346" s="578">
        <v>0</v>
      </c>
      <c r="AZ346" s="578">
        <v>0</v>
      </c>
      <c r="BA346" s="578">
        <v>0</v>
      </c>
      <c r="BB346" s="925">
        <v>1.01</v>
      </c>
      <c r="BC346" s="405">
        <v>0.5</v>
      </c>
      <c r="BD346" s="405">
        <v>1.5</v>
      </c>
      <c r="BE346" s="578">
        <v>0</v>
      </c>
      <c r="BF346" s="405">
        <v>0.49</v>
      </c>
      <c r="BG346" s="405">
        <v>0</v>
      </c>
      <c r="BH346" s="578">
        <v>0</v>
      </c>
      <c r="BI346" s="405">
        <v>0</v>
      </c>
      <c r="BJ346" s="405">
        <v>16.8</v>
      </c>
      <c r="BK346" s="405">
        <v>2.82</v>
      </c>
      <c r="BL346" s="405">
        <v>3.66</v>
      </c>
      <c r="BM346" s="405">
        <v>0</v>
      </c>
      <c r="BN346" s="405">
        <v>9.4</v>
      </c>
      <c r="BO346" s="405">
        <v>1403.3</v>
      </c>
      <c r="BP346" s="405">
        <v>0</v>
      </c>
      <c r="BQ346" s="649">
        <v>21.59</v>
      </c>
      <c r="BR346" s="649">
        <v>21.85</v>
      </c>
      <c r="BS346" s="649">
        <v>8.49</v>
      </c>
      <c r="BT346" s="649">
        <v>8.59</v>
      </c>
      <c r="BU346" s="648">
        <v>18.899999999999999</v>
      </c>
      <c r="BV346" s="648">
        <v>22.5</v>
      </c>
      <c r="BW346" s="649">
        <v>618.9</v>
      </c>
      <c r="BX346" s="876"/>
      <c r="BY346" s="649">
        <v>0.72</v>
      </c>
      <c r="BZ346" s="649">
        <v>1.62</v>
      </c>
      <c r="CA346" s="649">
        <v>1.5</v>
      </c>
      <c r="CB346" s="649">
        <v>9.1</v>
      </c>
      <c r="CC346" s="649">
        <v>8.3000000000000007</v>
      </c>
      <c r="CD346" s="649">
        <v>9.5</v>
      </c>
      <c r="CE346" s="649">
        <v>29.2</v>
      </c>
      <c r="CF346" s="649">
        <v>13.2</v>
      </c>
      <c r="CG346" s="649">
        <v>4</v>
      </c>
      <c r="CH346" s="649">
        <v>9</v>
      </c>
      <c r="CI346" s="649">
        <v>12.9</v>
      </c>
      <c r="CJ346" s="649">
        <v>12.03</v>
      </c>
      <c r="CK346" s="649">
        <v>0</v>
      </c>
      <c r="CL346" s="649">
        <v>1.6</v>
      </c>
      <c r="CM346" s="649">
        <v>1.8</v>
      </c>
      <c r="CN346" s="649">
        <v>484.6</v>
      </c>
      <c r="CO346" s="649">
        <v>297</v>
      </c>
      <c r="CP346" s="649">
        <v>518</v>
      </c>
      <c r="CQ346" s="649">
        <v>12.7</v>
      </c>
      <c r="CR346" s="649">
        <v>0.59</v>
      </c>
      <c r="CS346" s="405">
        <v>6846.1</v>
      </c>
      <c r="CT346" s="405">
        <v>15.202999999999999</v>
      </c>
      <c r="CU346" s="405">
        <v>49</v>
      </c>
      <c r="CV346" s="522">
        <v>0</v>
      </c>
      <c r="CW346" s="522">
        <v>0</v>
      </c>
      <c r="CX346" s="522">
        <v>0</v>
      </c>
      <c r="CY346" s="522">
        <v>0</v>
      </c>
      <c r="CZ346" s="642">
        <v>1970</v>
      </c>
      <c r="DA346" s="642">
        <v>3000</v>
      </c>
      <c r="DB346" s="642">
        <v>2050</v>
      </c>
      <c r="DC346" s="642">
        <v>1076</v>
      </c>
      <c r="DD346" s="522"/>
      <c r="DE346" s="522"/>
      <c r="DF346" s="522"/>
      <c r="DG346" s="522"/>
      <c r="DH346" s="522"/>
      <c r="DI346" s="522"/>
      <c r="DJ346" s="522"/>
      <c r="DK346" s="522"/>
      <c r="DL346" s="649"/>
      <c r="DM346" s="649"/>
      <c r="DN346" s="649"/>
      <c r="DO346" s="522"/>
      <c r="DP346" s="522"/>
      <c r="DQ346" s="522"/>
      <c r="DR346" s="522"/>
      <c r="DS346" s="522"/>
      <c r="DT346" s="522"/>
      <c r="DU346" s="522"/>
      <c r="DV346" s="522"/>
      <c r="DW346" s="522"/>
      <c r="DX346" s="522"/>
      <c r="DY346" s="522"/>
      <c r="DZ346" s="522"/>
      <c r="EA346" s="522"/>
      <c r="EB346" s="522"/>
      <c r="EC346" s="522"/>
      <c r="ED346" s="522"/>
      <c r="EE346" s="522"/>
      <c r="EF346" s="522"/>
      <c r="EG346" s="649">
        <f t="shared" si="334"/>
        <v>13.923</v>
      </c>
      <c r="EH346" s="649">
        <v>0</v>
      </c>
      <c r="EI346" s="649">
        <v>0</v>
      </c>
      <c r="EJ346" s="522">
        <v>2.5</v>
      </c>
      <c r="EK346" s="649">
        <v>6.5</v>
      </c>
      <c r="EL346" s="522"/>
      <c r="EM346" s="522"/>
      <c r="EN346" s="522"/>
      <c r="EO346" s="522"/>
      <c r="EP346" s="522"/>
      <c r="EQ346" s="522"/>
      <c r="ER346" s="522"/>
      <c r="ES346" s="407"/>
      <c r="ET346" s="407"/>
    </row>
    <row r="347" spans="1:150" s="357" customFormat="1" ht="15">
      <c r="A347" s="675" t="s">
        <v>3</v>
      </c>
      <c r="B347" s="712">
        <v>41973</v>
      </c>
      <c r="C347" s="820">
        <v>0</v>
      </c>
      <c r="D347" s="643">
        <v>0</v>
      </c>
      <c r="E347" s="807">
        <v>0</v>
      </c>
      <c r="F347" s="807">
        <v>27.9</v>
      </c>
      <c r="G347" s="807">
        <v>2.1</v>
      </c>
      <c r="H347" s="643">
        <v>17.28</v>
      </c>
      <c r="I347" s="643">
        <v>99.7</v>
      </c>
      <c r="J347" s="643" t="s">
        <v>744</v>
      </c>
      <c r="K347" s="643">
        <v>0.1</v>
      </c>
      <c r="L347" s="821">
        <v>39.270000000000437</v>
      </c>
      <c r="M347" s="643">
        <v>15.9</v>
      </c>
      <c r="N347" s="643" t="s">
        <v>744</v>
      </c>
      <c r="O347" s="643" t="s">
        <v>743</v>
      </c>
      <c r="P347" s="643">
        <v>1.67</v>
      </c>
      <c r="Q347" s="643">
        <v>1.8911753921574948</v>
      </c>
      <c r="R347" s="643">
        <v>622.22128929986775</v>
      </c>
      <c r="S347" s="643" t="s">
        <v>744</v>
      </c>
      <c r="T347" s="643">
        <v>7.97</v>
      </c>
      <c r="U347" s="643" t="s">
        <v>744</v>
      </c>
      <c r="V347" s="867">
        <v>0.67</v>
      </c>
      <c r="W347" s="868" t="e">
        <v>#VALUE!</v>
      </c>
      <c r="X347" s="869">
        <v>45.5</v>
      </c>
      <c r="Y347" s="806">
        <v>19.7</v>
      </c>
      <c r="Z347" s="807">
        <v>19.190000000000001</v>
      </c>
      <c r="AA347" s="870">
        <v>19.8</v>
      </c>
      <c r="AB347" s="870">
        <v>19.11</v>
      </c>
      <c r="AC347" s="775">
        <f t="shared" si="332"/>
        <v>38.909999999999997</v>
      </c>
      <c r="AD347" s="775">
        <f t="shared" si="333"/>
        <v>60.193769999999994</v>
      </c>
      <c r="AE347" s="705"/>
      <c r="AF347" s="775"/>
      <c r="AG347" s="705">
        <v>1</v>
      </c>
      <c r="AH347" s="705"/>
      <c r="AI347" s="705"/>
      <c r="AJ347" s="675"/>
      <c r="AK347" s="407"/>
      <c r="AL347" s="407"/>
      <c r="AM347" s="407"/>
      <c r="AN347" s="407"/>
      <c r="AO347" s="387"/>
      <c r="AP347" s="387"/>
      <c r="AQ347" s="405"/>
      <c r="AR347" s="578">
        <v>0</v>
      </c>
      <c r="AS347" s="405">
        <v>12.6</v>
      </c>
      <c r="AT347" s="578">
        <v>0</v>
      </c>
      <c r="AU347" s="405">
        <v>20.2</v>
      </c>
      <c r="AV347" s="405">
        <v>322.7</v>
      </c>
      <c r="AW347" s="405">
        <v>815.1</v>
      </c>
      <c r="AX347" s="405">
        <v>0</v>
      </c>
      <c r="AY347" s="578">
        <v>0</v>
      </c>
      <c r="AZ347" s="578">
        <v>0</v>
      </c>
      <c r="BA347" s="578">
        <v>0</v>
      </c>
      <c r="BB347" s="925">
        <v>1.01</v>
      </c>
      <c r="BC347" s="405">
        <v>0.5</v>
      </c>
      <c r="BD347" s="405">
        <v>1.5</v>
      </c>
      <c r="BE347" s="578">
        <v>0</v>
      </c>
      <c r="BF347" s="405">
        <v>0.49</v>
      </c>
      <c r="BG347" s="405">
        <v>0</v>
      </c>
      <c r="BH347" s="578">
        <v>0</v>
      </c>
      <c r="BI347" s="405">
        <v>0</v>
      </c>
      <c r="BJ347" s="405">
        <v>16.8</v>
      </c>
      <c r="BK347" s="405">
        <v>2.82</v>
      </c>
      <c r="BL347" s="405">
        <v>3.66</v>
      </c>
      <c r="BM347" s="405">
        <v>0</v>
      </c>
      <c r="BN347" s="405">
        <v>9.3000000000000007</v>
      </c>
      <c r="BO347" s="405">
        <v>1674.9</v>
      </c>
      <c r="BP347" s="405">
        <v>11.3</v>
      </c>
      <c r="BQ347" s="649">
        <v>19.47</v>
      </c>
      <c r="BR347" s="649">
        <v>19.73</v>
      </c>
      <c r="BS347" s="649">
        <v>8.33</v>
      </c>
      <c r="BT347" s="649">
        <v>8.4700000000000006</v>
      </c>
      <c r="BU347" s="648">
        <v>18.600000000000001</v>
      </c>
      <c r="BV347" s="648">
        <v>26.5</v>
      </c>
      <c r="BW347" s="649">
        <v>653.70000000000005</v>
      </c>
      <c r="BX347" s="876"/>
      <c r="BY347" s="649">
        <v>0.55000000000000004</v>
      </c>
      <c r="BZ347" s="649">
        <v>1.62</v>
      </c>
      <c r="CA347" s="649">
        <v>1.5</v>
      </c>
      <c r="CB347" s="649">
        <v>9</v>
      </c>
      <c r="CC347" s="649">
        <v>8.3000000000000007</v>
      </c>
      <c r="CD347" s="649">
        <v>9.51</v>
      </c>
      <c r="CE347" s="649">
        <v>29.2</v>
      </c>
      <c r="CF347" s="649">
        <v>13.2</v>
      </c>
      <c r="CG347" s="649">
        <v>4</v>
      </c>
      <c r="CH347" s="649">
        <v>9</v>
      </c>
      <c r="CI347" s="649">
        <v>13</v>
      </c>
      <c r="CJ347" s="649">
        <v>12.03</v>
      </c>
      <c r="CK347" s="649">
        <v>0</v>
      </c>
      <c r="CL347" s="649">
        <v>1.5</v>
      </c>
      <c r="CM347" s="649">
        <v>1.6</v>
      </c>
      <c r="CN347" s="649">
        <v>443.2</v>
      </c>
      <c r="CO347" s="649">
        <v>282.7</v>
      </c>
      <c r="CP347" s="649">
        <v>516.9</v>
      </c>
      <c r="CQ347" s="649">
        <v>13.8</v>
      </c>
      <c r="CR347" s="649">
        <v>0.7</v>
      </c>
      <c r="CS347" s="405">
        <v>6843.6</v>
      </c>
      <c r="CT347" s="405">
        <v>15.83</v>
      </c>
      <c r="CU347" s="405">
        <v>49</v>
      </c>
      <c r="CV347" s="522">
        <v>0</v>
      </c>
      <c r="CW347" s="522">
        <v>0</v>
      </c>
      <c r="CX347" s="522">
        <v>0</v>
      </c>
      <c r="CY347" s="522">
        <v>0</v>
      </c>
      <c r="CZ347" s="642">
        <v>1880</v>
      </c>
      <c r="DA347" s="642">
        <v>2650</v>
      </c>
      <c r="DB347" s="642">
        <v>1960</v>
      </c>
      <c r="DC347" s="642">
        <v>1077.49</v>
      </c>
      <c r="DD347" s="522"/>
      <c r="DE347" s="522"/>
      <c r="DF347" s="522"/>
      <c r="DG347" s="522"/>
      <c r="DH347" s="522"/>
      <c r="DI347" s="522"/>
      <c r="DJ347" s="522"/>
      <c r="DK347" s="522"/>
      <c r="DL347" s="649"/>
      <c r="DM347" s="649"/>
      <c r="DN347" s="649"/>
      <c r="DO347" s="522"/>
      <c r="DP347" s="522"/>
      <c r="DQ347" s="522"/>
      <c r="DR347" s="522"/>
      <c r="DS347" s="522"/>
      <c r="DT347" s="522"/>
      <c r="DU347" s="522"/>
      <c r="DV347" s="522"/>
      <c r="DW347" s="522"/>
      <c r="DX347" s="522"/>
      <c r="DY347" s="522"/>
      <c r="DZ347" s="522"/>
      <c r="EA347" s="522"/>
      <c r="EB347" s="522"/>
      <c r="EC347" s="522"/>
      <c r="ED347" s="522"/>
      <c r="EE347" s="522"/>
      <c r="EF347" s="522"/>
      <c r="EG347" s="649">
        <f t="shared" si="334"/>
        <v>13.923</v>
      </c>
      <c r="EH347" s="649">
        <v>0</v>
      </c>
      <c r="EI347" s="649">
        <v>0</v>
      </c>
      <c r="EJ347" s="522">
        <v>2.5</v>
      </c>
      <c r="EK347" s="649">
        <v>6.5</v>
      </c>
      <c r="EL347" s="522"/>
      <c r="EM347" s="522"/>
      <c r="EN347" s="522"/>
      <c r="EO347" s="522"/>
      <c r="EP347" s="522"/>
      <c r="EQ347" s="522"/>
      <c r="ER347" s="522"/>
      <c r="ES347" s="407"/>
      <c r="ET347" s="407"/>
    </row>
    <row r="348" spans="1:150" s="357" customFormat="1" ht="15">
      <c r="A348" s="675" t="s">
        <v>4</v>
      </c>
      <c r="B348" s="712">
        <v>41974</v>
      </c>
      <c r="C348" s="820">
        <v>0</v>
      </c>
      <c r="D348" s="643">
        <v>0</v>
      </c>
      <c r="E348" s="807">
        <v>0</v>
      </c>
      <c r="F348" s="807">
        <v>30</v>
      </c>
      <c r="G348" s="807">
        <v>1.6</v>
      </c>
      <c r="H348" s="643">
        <v>30</v>
      </c>
      <c r="I348" s="643">
        <v>87.92</v>
      </c>
      <c r="J348" s="643" t="s">
        <v>744</v>
      </c>
      <c r="K348" s="643">
        <v>1.71</v>
      </c>
      <c r="L348" s="821">
        <v>39.529999999998836</v>
      </c>
      <c r="M348" s="643">
        <v>15.3</v>
      </c>
      <c r="N348" s="643" t="s">
        <v>744</v>
      </c>
      <c r="O348" s="643" t="s">
        <v>743</v>
      </c>
      <c r="P348" s="643">
        <v>1.66</v>
      </c>
      <c r="Q348" s="643">
        <v>1.8426200268477446</v>
      </c>
      <c r="R348" s="643">
        <v>607.32166446499332</v>
      </c>
      <c r="S348" s="643" t="s">
        <v>744</v>
      </c>
      <c r="T348" s="643">
        <v>7.97</v>
      </c>
      <c r="U348" s="643" t="s">
        <v>744</v>
      </c>
      <c r="V348" s="867">
        <v>0.67</v>
      </c>
      <c r="W348" s="868" t="e">
        <v>#VALUE!</v>
      </c>
      <c r="X348" s="869">
        <v>45.860000000000014</v>
      </c>
      <c r="Y348" s="806">
        <v>19.8</v>
      </c>
      <c r="Z348" s="807">
        <v>19.11</v>
      </c>
      <c r="AA348" s="870">
        <v>19.8</v>
      </c>
      <c r="AB348" s="870">
        <v>19</v>
      </c>
      <c r="AC348" s="775">
        <f t="shared" ref="AC348" si="335">AA348+AB348</f>
        <v>38.799999999999997</v>
      </c>
      <c r="AD348" s="775">
        <f t="shared" ref="AD348" si="336">AC348*1.547</f>
        <v>60.023599999999995</v>
      </c>
      <c r="AE348" s="705"/>
      <c r="AF348" s="775"/>
      <c r="AG348" s="705">
        <v>1</v>
      </c>
      <c r="AH348" s="705"/>
      <c r="AI348" s="705"/>
      <c r="AJ348" s="675"/>
      <c r="AK348" s="407"/>
      <c r="AL348" s="407"/>
      <c r="AM348" s="407"/>
      <c r="AN348" s="407"/>
      <c r="AO348" s="387"/>
      <c r="AP348" s="387"/>
      <c r="AQ348" s="405"/>
      <c r="AR348" s="578">
        <v>0</v>
      </c>
      <c r="AS348" s="405">
        <v>22.4</v>
      </c>
      <c r="AT348" s="578">
        <v>0</v>
      </c>
      <c r="AU348" s="405">
        <v>20.399999999999999</v>
      </c>
      <c r="AV348" s="405">
        <v>333.8</v>
      </c>
      <c r="AW348" s="405">
        <v>504</v>
      </c>
      <c r="AX348" s="405">
        <v>0</v>
      </c>
      <c r="AY348" s="578">
        <v>0</v>
      </c>
      <c r="AZ348" s="578">
        <v>0</v>
      </c>
      <c r="BA348" s="578">
        <v>0</v>
      </c>
      <c r="BB348" s="925">
        <v>1</v>
      </c>
      <c r="BC348" s="405">
        <v>0.5</v>
      </c>
      <c r="BD348" s="405">
        <v>1.5</v>
      </c>
      <c r="BE348" s="578">
        <v>0</v>
      </c>
      <c r="BF348" s="405">
        <v>0.49</v>
      </c>
      <c r="BG348" s="405">
        <v>0</v>
      </c>
      <c r="BH348" s="578">
        <v>0</v>
      </c>
      <c r="BI348" s="405">
        <v>0</v>
      </c>
      <c r="BJ348" s="405">
        <v>16.600000000000001</v>
      </c>
      <c r="BK348" s="405">
        <v>2.83</v>
      </c>
      <c r="BL348" s="405">
        <v>3.66</v>
      </c>
      <c r="BM348" s="405">
        <v>0</v>
      </c>
      <c r="BN348" s="405">
        <v>9.1999999999999993</v>
      </c>
      <c r="BO348" s="405">
        <v>209</v>
      </c>
      <c r="BP348" s="405">
        <v>23.2</v>
      </c>
      <c r="BQ348" s="649">
        <v>19.86</v>
      </c>
      <c r="BR348" s="649">
        <v>20.13</v>
      </c>
      <c r="BS348" s="649">
        <v>8.86</v>
      </c>
      <c r="BT348" s="649">
        <v>8.41</v>
      </c>
      <c r="BU348" s="648">
        <v>19.100000000000001</v>
      </c>
      <c r="BV348" s="648">
        <v>20.2</v>
      </c>
      <c r="BW348" s="649">
        <v>581.4</v>
      </c>
      <c r="BX348" s="876"/>
      <c r="BY348" s="649">
        <v>0.43</v>
      </c>
      <c r="BZ348" s="649">
        <v>1.62</v>
      </c>
      <c r="CA348" s="649">
        <v>1.5</v>
      </c>
      <c r="CB348" s="649">
        <v>9</v>
      </c>
      <c r="CC348" s="649">
        <v>8.3000000000000007</v>
      </c>
      <c r="CD348" s="649">
        <v>7.9</v>
      </c>
      <c r="CE348" s="649">
        <v>29.3</v>
      </c>
      <c r="CF348" s="649">
        <v>12.1</v>
      </c>
      <c r="CG348" s="649">
        <v>2.5</v>
      </c>
      <c r="CH348" s="649">
        <v>7.11</v>
      </c>
      <c r="CI348" s="649">
        <v>11.1</v>
      </c>
      <c r="CJ348" s="649">
        <v>12.92</v>
      </c>
      <c r="CK348" s="649">
        <v>0</v>
      </c>
      <c r="CL348" s="649">
        <v>2.2999999999999998</v>
      </c>
      <c r="CM348" s="649">
        <v>2.9</v>
      </c>
      <c r="CN348" s="649">
        <v>447.1</v>
      </c>
      <c r="CO348" s="649">
        <v>292.10000000000002</v>
      </c>
      <c r="CP348" s="649">
        <v>536.9</v>
      </c>
      <c r="CQ348" s="649">
        <v>12.6</v>
      </c>
      <c r="CR348" s="649">
        <v>0.56999999999999995</v>
      </c>
      <c r="CS348" s="405">
        <v>9043.1</v>
      </c>
      <c r="CT348" s="405">
        <v>15.567</v>
      </c>
      <c r="CU348" s="405">
        <v>49</v>
      </c>
      <c r="CV348" s="522">
        <v>0</v>
      </c>
      <c r="CW348" s="522">
        <v>0</v>
      </c>
      <c r="CX348" s="522">
        <v>0</v>
      </c>
      <c r="CY348" s="522">
        <v>0</v>
      </c>
      <c r="CZ348" s="642">
        <v>1320</v>
      </c>
      <c r="DA348" s="642">
        <v>2000</v>
      </c>
      <c r="DB348" s="642">
        <v>1360</v>
      </c>
      <c r="DC348" s="642">
        <v>1078.28</v>
      </c>
      <c r="DD348" s="522"/>
      <c r="DE348" s="522"/>
      <c r="DF348" s="522"/>
      <c r="DG348" s="522"/>
      <c r="DH348" s="522"/>
      <c r="DI348" s="522"/>
      <c r="DJ348" s="522"/>
      <c r="DK348" s="522"/>
      <c r="DL348" s="649"/>
      <c r="DM348" s="649"/>
      <c r="DN348" s="649"/>
      <c r="DO348" s="522"/>
      <c r="DP348" s="522"/>
      <c r="DQ348" s="522"/>
      <c r="DR348" s="522"/>
      <c r="DS348" s="522"/>
      <c r="DT348" s="522"/>
      <c r="DU348" s="522"/>
      <c r="DV348" s="522"/>
      <c r="DW348" s="522"/>
      <c r="DX348" s="522"/>
      <c r="DY348" s="522"/>
      <c r="DZ348" s="522"/>
      <c r="EA348" s="522"/>
      <c r="EB348" s="522"/>
      <c r="EC348" s="522"/>
      <c r="ED348" s="522"/>
      <c r="EE348" s="522"/>
      <c r="EF348" s="522"/>
      <c r="EG348" s="649">
        <f t="shared" si="334"/>
        <v>13.923</v>
      </c>
      <c r="EH348" s="649">
        <v>0</v>
      </c>
      <c r="EI348" s="649">
        <v>0</v>
      </c>
      <c r="EJ348" s="522">
        <v>2.5</v>
      </c>
      <c r="EK348" s="649">
        <v>6.5</v>
      </c>
      <c r="EL348" s="522"/>
      <c r="EM348" s="522"/>
      <c r="EN348" s="522"/>
      <c r="EO348" s="522"/>
      <c r="EP348" s="522"/>
      <c r="EQ348" s="522"/>
      <c r="ER348" s="522"/>
      <c r="ES348" s="407"/>
      <c r="ET348" s="407"/>
    </row>
    <row r="349" spans="1:150" s="357" customFormat="1" ht="16.5">
      <c r="A349" s="675" t="s">
        <v>5</v>
      </c>
      <c r="B349" s="712">
        <v>41975</v>
      </c>
      <c r="C349" s="820">
        <v>0</v>
      </c>
      <c r="D349" s="643">
        <v>0</v>
      </c>
      <c r="E349" s="807">
        <v>0</v>
      </c>
      <c r="F349" s="807">
        <v>38</v>
      </c>
      <c r="G349" s="807">
        <v>1.6</v>
      </c>
      <c r="H349" s="643">
        <v>4.92</v>
      </c>
      <c r="I349" s="643">
        <v>91.43</v>
      </c>
      <c r="J349" s="643" t="s">
        <v>744</v>
      </c>
      <c r="K349" s="643">
        <v>3.2</v>
      </c>
      <c r="L349" s="821">
        <v>7.8600000000005821</v>
      </c>
      <c r="M349" s="643">
        <v>20.9</v>
      </c>
      <c r="N349" s="643" t="s">
        <v>744</v>
      </c>
      <c r="O349" s="643" t="s">
        <v>743</v>
      </c>
      <c r="P349" s="643">
        <v>1.75</v>
      </c>
      <c r="Q349" s="643">
        <v>2.3149203921300403</v>
      </c>
      <c r="R349" s="643">
        <v>880.37348480845424</v>
      </c>
      <c r="S349" s="643" t="s">
        <v>744</v>
      </c>
      <c r="T349" s="643">
        <v>8.11</v>
      </c>
      <c r="U349" s="643" t="s">
        <v>744</v>
      </c>
      <c r="V349" s="867">
        <v>0.65</v>
      </c>
      <c r="W349" s="868" t="e">
        <v>#VALUE!</v>
      </c>
      <c r="X349" s="869">
        <v>41.72</v>
      </c>
      <c r="Y349" s="806">
        <v>19.8</v>
      </c>
      <c r="Z349" s="807">
        <v>19</v>
      </c>
      <c r="AA349" s="870">
        <v>19.8</v>
      </c>
      <c r="AB349" s="870">
        <v>25.5</v>
      </c>
      <c r="AC349" s="775">
        <f t="shared" ref="AC349" si="337">AA349+AB349</f>
        <v>45.3</v>
      </c>
      <c r="AD349" s="775">
        <f t="shared" ref="AD349" si="338">AC349*1.547</f>
        <v>70.079099999999997</v>
      </c>
      <c r="AE349" s="705"/>
      <c r="AF349" s="775"/>
      <c r="AG349" s="705">
        <v>1</v>
      </c>
      <c r="AH349" s="705"/>
      <c r="AI349" s="705"/>
      <c r="AJ349" s="675"/>
      <c r="AK349" s="407"/>
      <c r="AL349" s="407"/>
      <c r="AM349" s="407"/>
      <c r="AN349" s="407"/>
      <c r="AO349" s="387"/>
      <c r="AP349" s="387"/>
      <c r="AQ349" s="405"/>
      <c r="AR349" s="578">
        <v>0</v>
      </c>
      <c r="AS349" s="405">
        <v>11.8</v>
      </c>
      <c r="AT349" s="405">
        <v>0</v>
      </c>
      <c r="AU349" s="405">
        <v>20.3</v>
      </c>
      <c r="AV349" s="405">
        <v>404.7</v>
      </c>
      <c r="AW349" s="405">
        <v>478.6</v>
      </c>
      <c r="AX349" s="405">
        <v>1</v>
      </c>
      <c r="AY349" s="578">
        <v>0</v>
      </c>
      <c r="AZ349" s="578">
        <v>0</v>
      </c>
      <c r="BA349" s="578">
        <v>0</v>
      </c>
      <c r="BB349" s="925">
        <v>1</v>
      </c>
      <c r="BC349" s="405">
        <v>0.5</v>
      </c>
      <c r="BD349" s="405">
        <v>1.5</v>
      </c>
      <c r="BE349" s="578">
        <v>0</v>
      </c>
      <c r="BF349" s="405">
        <v>0.49</v>
      </c>
      <c r="BG349" s="405">
        <v>0</v>
      </c>
      <c r="BH349" s="578">
        <v>0</v>
      </c>
      <c r="BI349" s="405">
        <v>0</v>
      </c>
      <c r="BJ349" s="405">
        <v>23.1</v>
      </c>
      <c r="BK349" s="405">
        <v>3.16</v>
      </c>
      <c r="BL349" s="405">
        <v>3.66</v>
      </c>
      <c r="BM349" s="405">
        <v>0</v>
      </c>
      <c r="BN349" s="405">
        <v>15.2</v>
      </c>
      <c r="BO349" s="405">
        <v>1569.5</v>
      </c>
      <c r="BP349" s="405">
        <v>0</v>
      </c>
      <c r="BQ349" s="649">
        <v>19.95</v>
      </c>
      <c r="BR349" s="649">
        <v>20.22</v>
      </c>
      <c r="BS349" s="649">
        <v>8.4499999999999993</v>
      </c>
      <c r="BT349" s="649">
        <v>8.5500000000000007</v>
      </c>
      <c r="BU349" s="648">
        <v>18.8</v>
      </c>
      <c r="BV349" s="648">
        <v>20.8</v>
      </c>
      <c r="BW349" s="649">
        <v>497.4</v>
      </c>
      <c r="BX349" s="876"/>
      <c r="BY349" s="649">
        <v>0.5</v>
      </c>
      <c r="BZ349" s="649">
        <v>1.53</v>
      </c>
      <c r="CA349" s="649">
        <v>1.5</v>
      </c>
      <c r="CB349" s="649">
        <v>9</v>
      </c>
      <c r="CC349" s="649">
        <v>8.3000000000000007</v>
      </c>
      <c r="CD349" s="649">
        <v>5.5</v>
      </c>
      <c r="CE349" s="649">
        <v>29.7</v>
      </c>
      <c r="CF349" s="649">
        <v>15.1</v>
      </c>
      <c r="CG349" s="649">
        <v>5.3</v>
      </c>
      <c r="CH349" s="649">
        <v>10.3</v>
      </c>
      <c r="CI349" s="649">
        <v>14.4</v>
      </c>
      <c r="CJ349" s="649">
        <v>13.23</v>
      </c>
      <c r="CK349" s="649">
        <v>0</v>
      </c>
      <c r="CL349" s="649">
        <v>2.8</v>
      </c>
      <c r="CM349" s="649">
        <v>4.0999999999999996</v>
      </c>
      <c r="CN349" s="649">
        <v>384.9</v>
      </c>
      <c r="CO349" s="649">
        <v>286.3</v>
      </c>
      <c r="CP349" s="649">
        <v>548</v>
      </c>
      <c r="CQ349" s="649">
        <v>13.1</v>
      </c>
      <c r="CR349" s="649">
        <v>0.67</v>
      </c>
      <c r="CS349" s="405">
        <v>8374.2999999999993</v>
      </c>
      <c r="CT349" s="405">
        <v>16.614000000000001</v>
      </c>
      <c r="CU349" s="405">
        <v>49</v>
      </c>
      <c r="CV349" s="522">
        <v>0</v>
      </c>
      <c r="CW349" s="522">
        <v>0</v>
      </c>
      <c r="CX349" s="522">
        <v>0</v>
      </c>
      <c r="CY349" s="522">
        <v>0</v>
      </c>
      <c r="CZ349" s="642">
        <v>1330</v>
      </c>
      <c r="DA349" s="642">
        <v>1860</v>
      </c>
      <c r="DB349" s="642">
        <v>1300</v>
      </c>
      <c r="DC349" s="1069">
        <v>1078.53</v>
      </c>
      <c r="DD349" s="522"/>
      <c r="DE349" s="522"/>
      <c r="DF349" s="522"/>
      <c r="DG349" s="522"/>
      <c r="DH349" s="522"/>
      <c r="DI349" s="522"/>
      <c r="DJ349" s="522"/>
      <c r="DK349" s="522"/>
      <c r="DL349" s="649"/>
      <c r="DM349" s="649"/>
      <c r="DN349" s="649"/>
      <c r="DO349" s="522"/>
      <c r="DP349" s="522"/>
      <c r="DQ349" s="522"/>
      <c r="DR349" s="522"/>
      <c r="DS349" s="522"/>
      <c r="DT349" s="522"/>
      <c r="DU349" s="522"/>
      <c r="DV349" s="522"/>
      <c r="DW349" s="522"/>
      <c r="DX349" s="522"/>
      <c r="DY349" s="522"/>
      <c r="DZ349" s="522"/>
      <c r="EA349" s="522"/>
      <c r="EB349" s="522"/>
      <c r="EC349" s="522"/>
      <c r="ED349" s="522"/>
      <c r="EE349" s="522"/>
      <c r="EF349" s="522"/>
      <c r="EG349" s="649">
        <f t="shared" si="334"/>
        <v>13.923</v>
      </c>
      <c r="EH349" s="649">
        <v>0</v>
      </c>
      <c r="EI349" s="649">
        <v>0</v>
      </c>
      <c r="EJ349" s="522">
        <v>2.5</v>
      </c>
      <c r="EK349" s="649">
        <v>6.5</v>
      </c>
      <c r="EL349" s="522"/>
      <c r="EM349" s="522"/>
      <c r="EN349" s="522"/>
      <c r="EO349" s="522"/>
      <c r="EP349" s="522"/>
      <c r="EQ349" s="522"/>
      <c r="ER349" s="522"/>
      <c r="ES349" s="407"/>
      <c r="ET349" s="407"/>
    </row>
    <row r="350" spans="1:150" s="357" customFormat="1" ht="16.5">
      <c r="A350" s="675" t="s">
        <v>6</v>
      </c>
      <c r="B350" s="712">
        <v>41976</v>
      </c>
      <c r="C350" s="820">
        <v>0</v>
      </c>
      <c r="D350" s="643">
        <v>0</v>
      </c>
      <c r="E350" s="807">
        <v>0</v>
      </c>
      <c r="F350" s="807">
        <v>42.3</v>
      </c>
      <c r="G350" s="807">
        <v>1.5</v>
      </c>
      <c r="H350" s="643">
        <v>5.0599999999999996</v>
      </c>
      <c r="I350" s="643">
        <v>92.3</v>
      </c>
      <c r="J350" s="643" t="s">
        <v>744</v>
      </c>
      <c r="K350" s="643">
        <v>3.24</v>
      </c>
      <c r="L350" s="821">
        <v>6.6500000000014552</v>
      </c>
      <c r="M350" s="643">
        <v>20.399999999999999</v>
      </c>
      <c r="N350" s="643" t="s">
        <v>744</v>
      </c>
      <c r="O350" s="643" t="s">
        <v>743</v>
      </c>
      <c r="P350" s="643">
        <v>1.78</v>
      </c>
      <c r="Q350" s="643">
        <v>2.3598143244193648</v>
      </c>
      <c r="R350" s="643">
        <v>1018.6808718626155</v>
      </c>
      <c r="S350" s="643" t="s">
        <v>744</v>
      </c>
      <c r="T350" s="643">
        <v>8.07</v>
      </c>
      <c r="U350" s="643" t="s">
        <v>744</v>
      </c>
      <c r="V350" s="867">
        <v>0.63</v>
      </c>
      <c r="W350" s="868" t="e">
        <v>#VALUE!</v>
      </c>
      <c r="X350" s="869">
        <v>39.739999999999995</v>
      </c>
      <c r="Y350" s="806">
        <v>1980</v>
      </c>
      <c r="Z350" s="807">
        <v>25.5</v>
      </c>
      <c r="AA350" s="870">
        <v>19.489999999999998</v>
      </c>
      <c r="AB350" s="870">
        <v>31.9</v>
      </c>
      <c r="AC350" s="775">
        <f t="shared" ref="AC350" si="339">AA350+AB350</f>
        <v>51.39</v>
      </c>
      <c r="AD350" s="775">
        <f t="shared" ref="AD350" si="340">AC350*1.547</f>
        <v>79.500329999999991</v>
      </c>
      <c r="AE350" s="705"/>
      <c r="AF350" s="775"/>
      <c r="AG350" s="705">
        <v>1</v>
      </c>
      <c r="AH350" s="705"/>
      <c r="AI350" s="705"/>
      <c r="AJ350" s="675"/>
      <c r="AK350" s="407"/>
      <c r="AL350" s="407"/>
      <c r="AM350" s="407"/>
      <c r="AN350" s="407"/>
      <c r="AO350" s="387"/>
      <c r="AP350" s="387"/>
      <c r="AQ350" s="405"/>
      <c r="AR350" s="578">
        <v>0</v>
      </c>
      <c r="AS350" s="405">
        <v>21.1</v>
      </c>
      <c r="AT350" s="405">
        <v>0</v>
      </c>
      <c r="AU350" s="405">
        <v>20.2</v>
      </c>
      <c r="AV350" s="405">
        <v>219.4</v>
      </c>
      <c r="AW350" s="405">
        <v>520.29999999999995</v>
      </c>
      <c r="AX350" s="405">
        <v>0</v>
      </c>
      <c r="AY350" s="578">
        <v>0</v>
      </c>
      <c r="AZ350" s="578">
        <v>0</v>
      </c>
      <c r="BA350" s="578">
        <v>0</v>
      </c>
      <c r="BB350" s="925">
        <v>0.99</v>
      </c>
      <c r="BC350" s="405">
        <v>0.5</v>
      </c>
      <c r="BD350" s="405">
        <v>1.5</v>
      </c>
      <c r="BE350" s="578">
        <v>0</v>
      </c>
      <c r="BF350" s="405">
        <v>0.49</v>
      </c>
      <c r="BG350" s="405">
        <v>0</v>
      </c>
      <c r="BH350" s="578">
        <v>0</v>
      </c>
      <c r="BI350" s="405">
        <v>0</v>
      </c>
      <c r="BJ350" s="405">
        <v>29.6</v>
      </c>
      <c r="BK350" s="405">
        <v>2.66</v>
      </c>
      <c r="BL350" s="405">
        <v>3.87</v>
      </c>
      <c r="BM350" s="405">
        <v>0</v>
      </c>
      <c r="BN350" s="405">
        <v>21.9</v>
      </c>
      <c r="BO350" s="405">
        <v>1616</v>
      </c>
      <c r="BP350" s="405">
        <v>0</v>
      </c>
      <c r="BQ350" s="649">
        <v>20.56</v>
      </c>
      <c r="BR350" s="649">
        <v>20.84</v>
      </c>
      <c r="BS350" s="649">
        <v>8.23</v>
      </c>
      <c r="BT350" s="649">
        <v>8.3699999999999992</v>
      </c>
      <c r="BU350" s="648">
        <v>18.600000000000001</v>
      </c>
      <c r="BV350" s="648">
        <v>19.399999999999999</v>
      </c>
      <c r="BW350" s="649">
        <v>615.70000000000005</v>
      </c>
      <c r="BX350" s="876">
        <v>0</v>
      </c>
      <c r="BY350" s="649">
        <v>1.23</v>
      </c>
      <c r="BZ350" s="649">
        <v>1.59</v>
      </c>
      <c r="CA350" s="649">
        <v>1.5</v>
      </c>
      <c r="CB350" s="649">
        <v>9</v>
      </c>
      <c r="CC350" s="649">
        <v>8.3000000000000007</v>
      </c>
      <c r="CD350" s="649">
        <v>3.3</v>
      </c>
      <c r="CE350" s="649">
        <v>30.2</v>
      </c>
      <c r="CF350" s="649">
        <v>14.7</v>
      </c>
      <c r="CG350" s="649">
        <v>8.3000000000000007</v>
      </c>
      <c r="CH350" s="649">
        <v>13.8</v>
      </c>
      <c r="CI350" s="649">
        <v>18</v>
      </c>
      <c r="CJ350" s="649">
        <v>12.86</v>
      </c>
      <c r="CK350" s="649">
        <v>0</v>
      </c>
      <c r="CL350" s="649">
        <v>3.1</v>
      </c>
      <c r="CM350" s="649">
        <v>4.5</v>
      </c>
      <c r="CN350" s="649">
        <v>271.5</v>
      </c>
      <c r="CO350" s="649">
        <v>287.2</v>
      </c>
      <c r="CP350" s="649">
        <v>546.4</v>
      </c>
      <c r="CQ350" s="649">
        <v>12</v>
      </c>
      <c r="CR350" s="649">
        <v>0.63</v>
      </c>
      <c r="CS350" s="405">
        <v>3664.8</v>
      </c>
      <c r="CT350" s="405">
        <v>15.859</v>
      </c>
      <c r="CU350" s="405">
        <v>48</v>
      </c>
      <c r="CV350" s="522">
        <v>0</v>
      </c>
      <c r="CW350" s="522">
        <v>0</v>
      </c>
      <c r="CX350" s="522">
        <v>0</v>
      </c>
      <c r="CY350" s="522">
        <v>0</v>
      </c>
      <c r="CZ350" s="642">
        <v>1190</v>
      </c>
      <c r="DA350" s="642">
        <v>1710</v>
      </c>
      <c r="DB350" s="642">
        <v>1170</v>
      </c>
      <c r="DC350" s="1069">
        <v>1077.52</v>
      </c>
      <c r="DD350" s="522"/>
      <c r="DE350" s="522"/>
      <c r="DF350" s="522"/>
      <c r="DG350" s="522"/>
      <c r="DH350" s="522"/>
      <c r="DI350" s="522"/>
      <c r="DJ350" s="522"/>
      <c r="DK350" s="522"/>
      <c r="DL350" s="649"/>
      <c r="DM350" s="649"/>
      <c r="DN350" s="649"/>
      <c r="DO350" s="522"/>
      <c r="DP350" s="522"/>
      <c r="DQ350" s="522"/>
      <c r="DR350" s="522"/>
      <c r="DS350" s="522"/>
      <c r="DT350" s="522"/>
      <c r="DU350" s="522"/>
      <c r="DV350" s="522"/>
      <c r="DW350" s="522"/>
      <c r="DX350" s="522"/>
      <c r="DY350" s="522"/>
      <c r="DZ350" s="522"/>
      <c r="EA350" s="522"/>
      <c r="EB350" s="522"/>
      <c r="EC350" s="522"/>
      <c r="ED350" s="522"/>
      <c r="EE350" s="522"/>
      <c r="EF350" s="522"/>
      <c r="EG350" s="649">
        <f t="shared" si="334"/>
        <v>13.923</v>
      </c>
      <c r="EH350" s="649">
        <v>0</v>
      </c>
      <c r="EI350" s="649">
        <v>0</v>
      </c>
      <c r="EJ350" s="522">
        <v>2.5</v>
      </c>
      <c r="EK350" s="649">
        <v>6.5</v>
      </c>
      <c r="EL350" s="522"/>
      <c r="EM350" s="522"/>
      <c r="EN350" s="522"/>
      <c r="EO350" s="522"/>
      <c r="EP350" s="522"/>
      <c r="EQ350" s="522"/>
      <c r="ER350" s="522"/>
      <c r="ES350" s="407"/>
      <c r="ET350" s="407"/>
    </row>
    <row r="351" spans="1:150" s="357" customFormat="1" ht="16.5">
      <c r="A351" s="675" t="s">
        <v>7</v>
      </c>
      <c r="B351" s="712">
        <v>41977</v>
      </c>
      <c r="C351" s="820">
        <v>0</v>
      </c>
      <c r="D351" s="643">
        <v>0.02</v>
      </c>
      <c r="E351" s="807">
        <v>0</v>
      </c>
      <c r="F351" s="807">
        <v>41.7</v>
      </c>
      <c r="G351" s="807">
        <v>1.35</v>
      </c>
      <c r="H351" s="643">
        <v>6.88</v>
      </c>
      <c r="I351" s="643">
        <v>98.4</v>
      </c>
      <c r="J351" s="643" t="s">
        <v>744</v>
      </c>
      <c r="K351" s="643">
        <v>2.94</v>
      </c>
      <c r="L351" s="821">
        <v>21.009999999998399</v>
      </c>
      <c r="M351" s="643">
        <v>18.5</v>
      </c>
      <c r="N351" s="643" t="s">
        <v>744</v>
      </c>
      <c r="O351" s="643" t="s">
        <v>743</v>
      </c>
      <c r="P351" s="643">
        <v>1.75</v>
      </c>
      <c r="Q351" s="643">
        <v>2.1659661342622729</v>
      </c>
      <c r="R351" s="643">
        <v>973.65809247027732</v>
      </c>
      <c r="S351" s="643" t="s">
        <v>744</v>
      </c>
      <c r="T351" s="643">
        <v>8.06</v>
      </c>
      <c r="U351" s="643" t="s">
        <v>744</v>
      </c>
      <c r="V351" s="867">
        <v>0.64</v>
      </c>
      <c r="W351" s="868" t="e">
        <v>#VALUE!</v>
      </c>
      <c r="X351" s="869">
        <v>43.160000000000011</v>
      </c>
      <c r="Y351" s="806">
        <v>19.489999999999998</v>
      </c>
      <c r="Z351" s="807">
        <v>31.9</v>
      </c>
      <c r="AA351" s="870">
        <v>19.510000000000002</v>
      </c>
      <c r="AB351" s="870">
        <v>34</v>
      </c>
      <c r="AC351" s="775">
        <f t="shared" ref="AC351:AC355" si="341">AA351+AB351</f>
        <v>53.510000000000005</v>
      </c>
      <c r="AD351" s="775">
        <f t="shared" ref="AD351:AD355" si="342">AC351*1.547</f>
        <v>82.779970000000006</v>
      </c>
      <c r="AE351" s="705"/>
      <c r="AF351" s="775"/>
      <c r="AG351" s="705">
        <v>1</v>
      </c>
      <c r="AH351" s="705"/>
      <c r="AI351" s="705"/>
      <c r="AJ351" s="675"/>
      <c r="AK351" s="407"/>
      <c r="AL351" s="407"/>
      <c r="AM351" s="407"/>
      <c r="AN351" s="407"/>
      <c r="AO351" s="387"/>
      <c r="AP351" s="387"/>
      <c r="AQ351" s="405"/>
      <c r="AR351" s="578">
        <v>0</v>
      </c>
      <c r="AS351" s="405">
        <v>22.3</v>
      </c>
      <c r="AT351" s="405">
        <v>0</v>
      </c>
      <c r="AU351" s="405">
        <v>20.100000000000001</v>
      </c>
      <c r="AV351" s="405">
        <v>316</v>
      </c>
      <c r="AW351" s="405">
        <v>599.5</v>
      </c>
      <c r="AX351" s="405">
        <v>9.8000000000000007</v>
      </c>
      <c r="AY351" s="578">
        <v>0</v>
      </c>
      <c r="AZ351" s="578">
        <v>0</v>
      </c>
      <c r="BA351" s="578">
        <v>0</v>
      </c>
      <c r="BB351" s="925">
        <v>1.01</v>
      </c>
      <c r="BC351" s="405">
        <v>0.5</v>
      </c>
      <c r="BD351" s="405">
        <v>1.51</v>
      </c>
      <c r="BE351" s="578">
        <v>0</v>
      </c>
      <c r="BF351" s="405">
        <v>0.49</v>
      </c>
      <c r="BG351" s="405">
        <v>0</v>
      </c>
      <c r="BH351" s="578">
        <v>0</v>
      </c>
      <c r="BI351" s="405">
        <v>0</v>
      </c>
      <c r="BJ351" s="405">
        <v>31.6</v>
      </c>
      <c r="BK351" s="405">
        <v>2.74</v>
      </c>
      <c r="BL351" s="405">
        <v>3.76</v>
      </c>
      <c r="BM351" s="405">
        <v>0</v>
      </c>
      <c r="BN351" s="405">
        <v>23.8</v>
      </c>
      <c r="BO351" s="405">
        <v>0</v>
      </c>
      <c r="BP351" s="405">
        <v>0</v>
      </c>
      <c r="BQ351" s="649">
        <v>20.92</v>
      </c>
      <c r="BR351" s="649">
        <v>21.2</v>
      </c>
      <c r="BS351" s="649">
        <v>8.14</v>
      </c>
      <c r="BT351" s="649">
        <v>8.23</v>
      </c>
      <c r="BU351" s="648">
        <v>18.399999999999999</v>
      </c>
      <c r="BV351" s="648">
        <v>19.7</v>
      </c>
      <c r="BW351" s="649">
        <v>533.20000000000005</v>
      </c>
      <c r="BX351" s="876"/>
      <c r="BY351" s="649">
        <v>1.49</v>
      </c>
      <c r="BZ351" s="649">
        <v>1.6</v>
      </c>
      <c r="CA351" s="649">
        <v>1.4</v>
      </c>
      <c r="CB351" s="649">
        <v>8.9</v>
      </c>
      <c r="CC351" s="649">
        <v>8.3000000000000007</v>
      </c>
      <c r="CD351" s="649">
        <v>0</v>
      </c>
      <c r="CE351" s="649">
        <v>30.4</v>
      </c>
      <c r="CF351" s="649">
        <v>14.4</v>
      </c>
      <c r="CG351" s="649">
        <v>2.9</v>
      </c>
      <c r="CH351" s="649">
        <v>7.7</v>
      </c>
      <c r="CI351" s="649">
        <v>11.7</v>
      </c>
      <c r="CJ351" s="649">
        <v>13.42</v>
      </c>
      <c r="CK351" s="649">
        <v>0</v>
      </c>
      <c r="CL351" s="649">
        <v>1.4</v>
      </c>
      <c r="CM351" s="649">
        <v>1.3</v>
      </c>
      <c r="CN351" s="649">
        <v>266.2</v>
      </c>
      <c r="CO351" s="649">
        <v>287.60000000000002</v>
      </c>
      <c r="CP351" s="649">
        <v>563.70000000000005</v>
      </c>
      <c r="CQ351" s="649">
        <v>13.4</v>
      </c>
      <c r="CR351" s="649">
        <v>0.82</v>
      </c>
      <c r="CS351" s="405">
        <v>0</v>
      </c>
      <c r="CT351" s="405">
        <v>15.08</v>
      </c>
      <c r="CU351" s="405">
        <v>46</v>
      </c>
      <c r="CV351" s="522">
        <v>0</v>
      </c>
      <c r="CW351" s="522">
        <v>0</v>
      </c>
      <c r="CX351" s="522">
        <v>0</v>
      </c>
      <c r="CY351" s="522">
        <v>0</v>
      </c>
      <c r="CZ351" s="642">
        <v>1070</v>
      </c>
      <c r="DA351" s="642">
        <v>1580</v>
      </c>
      <c r="DB351" s="642">
        <v>1070</v>
      </c>
      <c r="DC351" s="1069">
        <v>1076.32</v>
      </c>
      <c r="DD351" s="522"/>
      <c r="DE351" s="522"/>
      <c r="DF351" s="522"/>
      <c r="DG351" s="522"/>
      <c r="DH351" s="522"/>
      <c r="DI351" s="522"/>
      <c r="DJ351" s="522"/>
      <c r="DK351" s="522"/>
      <c r="DL351" s="522"/>
      <c r="DM351" s="522"/>
      <c r="DN351" s="522"/>
      <c r="DO351" s="522"/>
      <c r="DP351" s="522"/>
      <c r="DQ351" s="522"/>
      <c r="DR351" s="522"/>
      <c r="DS351" s="522"/>
      <c r="DT351" s="522"/>
      <c r="DU351" s="522"/>
      <c r="DV351" s="522"/>
      <c r="DW351" s="522"/>
      <c r="DX351" s="522"/>
      <c r="DY351" s="522"/>
      <c r="DZ351" s="522"/>
      <c r="EA351" s="522"/>
      <c r="EB351" s="522"/>
      <c r="EC351" s="522"/>
      <c r="ED351" s="522"/>
      <c r="EE351" s="522"/>
      <c r="EF351" s="522"/>
      <c r="EG351" s="649">
        <f t="shared" si="334"/>
        <v>13.923</v>
      </c>
      <c r="EH351" s="649">
        <v>0</v>
      </c>
      <c r="EI351" s="649">
        <v>0</v>
      </c>
      <c r="EJ351" s="522">
        <v>2.5</v>
      </c>
      <c r="EK351" s="649">
        <v>6.5</v>
      </c>
      <c r="EL351" s="522"/>
      <c r="EM351" s="522"/>
      <c r="EN351" s="522"/>
      <c r="EO351" s="522"/>
      <c r="EP351" s="522"/>
      <c r="EQ351" s="522"/>
      <c r="ER351" s="522"/>
      <c r="ES351" s="407"/>
      <c r="ET351" s="407"/>
    </row>
    <row r="352" spans="1:150" s="357" customFormat="1" ht="16.5">
      <c r="A352" s="675" t="s">
        <v>8</v>
      </c>
      <c r="B352" s="712">
        <v>41978</v>
      </c>
      <c r="C352" s="820">
        <v>0</v>
      </c>
      <c r="D352" s="643">
        <v>0.1</v>
      </c>
      <c r="E352" s="807">
        <v>0</v>
      </c>
      <c r="F352" s="807">
        <v>42</v>
      </c>
      <c r="G352" s="807">
        <v>1.1499999999999999</v>
      </c>
      <c r="H352" s="643">
        <v>11.63</v>
      </c>
      <c r="I352" s="643">
        <v>91.4</v>
      </c>
      <c r="J352" s="643" t="s">
        <v>744</v>
      </c>
      <c r="K352" s="643">
        <v>3.33</v>
      </c>
      <c r="L352" s="821">
        <v>36.400000000001455</v>
      </c>
      <c r="M352" s="643">
        <v>16.100000000000001</v>
      </c>
      <c r="N352" s="643" t="s">
        <v>744</v>
      </c>
      <c r="O352" s="643" t="s">
        <v>743</v>
      </c>
      <c r="P352" s="643">
        <v>1.72</v>
      </c>
      <c r="Q352" s="643">
        <v>2.016896288430452</v>
      </c>
      <c r="R352" s="643">
        <v>905.63806605019795</v>
      </c>
      <c r="S352" s="643" t="s">
        <v>744</v>
      </c>
      <c r="T352" s="643">
        <v>7.99</v>
      </c>
      <c r="U352" s="643" t="s">
        <v>744</v>
      </c>
      <c r="V352" s="867">
        <v>0.64</v>
      </c>
      <c r="W352" s="868" t="e">
        <v>#VALUE!</v>
      </c>
      <c r="X352" s="869">
        <v>44.06</v>
      </c>
      <c r="Y352" s="806">
        <v>19.510000000000002</v>
      </c>
      <c r="Z352" s="807">
        <v>34</v>
      </c>
      <c r="AA352" s="870">
        <v>19.5</v>
      </c>
      <c r="AB352" s="870">
        <v>33.9</v>
      </c>
      <c r="AC352" s="775">
        <f t="shared" si="341"/>
        <v>53.4</v>
      </c>
      <c r="AD352" s="775">
        <f t="shared" si="342"/>
        <v>82.609799999999993</v>
      </c>
      <c r="AE352" s="705"/>
      <c r="AF352" s="775"/>
      <c r="AG352" s="705">
        <v>1</v>
      </c>
      <c r="AH352" s="705"/>
      <c r="AI352" s="705"/>
      <c r="AJ352" s="675"/>
      <c r="AK352" s="407"/>
      <c r="AL352" s="407"/>
      <c r="AM352" s="407"/>
      <c r="AN352" s="407"/>
      <c r="AO352" s="387"/>
      <c r="AP352" s="387"/>
      <c r="AQ352" s="405"/>
      <c r="AR352" s="578">
        <v>0</v>
      </c>
      <c r="AS352" s="405">
        <v>11.5</v>
      </c>
      <c r="AT352" s="405">
        <v>0</v>
      </c>
      <c r="AU352" s="405">
        <v>20.100000000000001</v>
      </c>
      <c r="AV352" s="405">
        <v>219.2</v>
      </c>
      <c r="AW352" s="405">
        <v>381.4</v>
      </c>
      <c r="AX352" s="405">
        <v>0</v>
      </c>
      <c r="AY352" s="578">
        <v>0</v>
      </c>
      <c r="AZ352" s="578">
        <v>0</v>
      </c>
      <c r="BA352" s="578">
        <v>0</v>
      </c>
      <c r="BB352" s="925">
        <v>1.01</v>
      </c>
      <c r="BC352" s="405">
        <v>0.5</v>
      </c>
      <c r="BD352" s="405">
        <v>1.5</v>
      </c>
      <c r="BE352" s="578">
        <v>0</v>
      </c>
      <c r="BF352" s="405">
        <v>0.49</v>
      </c>
      <c r="BG352" s="405">
        <v>0</v>
      </c>
      <c r="BH352" s="578">
        <v>0</v>
      </c>
      <c r="BI352" s="405">
        <v>0</v>
      </c>
      <c r="BJ352" s="405">
        <v>31.5</v>
      </c>
      <c r="BK352" s="405">
        <v>2.84</v>
      </c>
      <c r="BL352" s="405">
        <v>3.66</v>
      </c>
      <c r="BM352" s="405">
        <v>0</v>
      </c>
      <c r="BN352" s="405">
        <v>23.8</v>
      </c>
      <c r="BO352" s="405">
        <v>1611.2</v>
      </c>
      <c r="BP352" s="405">
        <v>0</v>
      </c>
      <c r="BQ352" s="649">
        <v>20.88</v>
      </c>
      <c r="BR352" s="649">
        <v>21.7</v>
      </c>
      <c r="BS352" s="649">
        <v>8.4499999999999993</v>
      </c>
      <c r="BT352" s="649">
        <v>8.57</v>
      </c>
      <c r="BU352" s="648">
        <v>19</v>
      </c>
      <c r="BV352" s="648">
        <v>21.2</v>
      </c>
      <c r="BW352" s="649">
        <v>488.8</v>
      </c>
      <c r="BX352" s="876"/>
      <c r="BY352" s="649">
        <v>1.6</v>
      </c>
      <c r="BZ352" s="649">
        <v>1.58</v>
      </c>
      <c r="CA352" s="649">
        <v>1.4</v>
      </c>
      <c r="CB352" s="649">
        <v>9</v>
      </c>
      <c r="CC352" s="649">
        <v>8.3000000000000007</v>
      </c>
      <c r="CD352" s="649">
        <v>7.2</v>
      </c>
      <c r="CE352" s="649">
        <v>30.1</v>
      </c>
      <c r="CF352" s="649">
        <v>14</v>
      </c>
      <c r="CG352" s="649">
        <v>6.2</v>
      </c>
      <c r="CH352" s="649">
        <v>11.5</v>
      </c>
      <c r="CI352" s="649">
        <v>15.5</v>
      </c>
      <c r="CJ352" s="649">
        <v>14.68</v>
      </c>
      <c r="CK352" s="649">
        <v>0</v>
      </c>
      <c r="CL352" s="649">
        <v>1.5</v>
      </c>
      <c r="CM352" s="649">
        <v>0</v>
      </c>
      <c r="CN352" s="649">
        <v>266</v>
      </c>
      <c r="CO352" s="649">
        <v>281</v>
      </c>
      <c r="CP352" s="649">
        <v>565.1</v>
      </c>
      <c r="CQ352" s="649">
        <v>19.100000000000001</v>
      </c>
      <c r="CR352" s="649">
        <v>1.17</v>
      </c>
      <c r="CS352" s="405">
        <v>4612.8</v>
      </c>
      <c r="CT352" s="405">
        <v>15.4</v>
      </c>
      <c r="CU352" s="405">
        <v>47</v>
      </c>
      <c r="CV352" s="522">
        <v>0</v>
      </c>
      <c r="CW352" s="522">
        <v>0</v>
      </c>
      <c r="CX352" s="522">
        <v>0</v>
      </c>
      <c r="CY352" s="522">
        <v>0</v>
      </c>
      <c r="CZ352" s="642">
        <v>861</v>
      </c>
      <c r="DA352" s="642">
        <v>1430</v>
      </c>
      <c r="DB352" s="642">
        <v>885</v>
      </c>
      <c r="DC352" s="1069">
        <v>1076.2</v>
      </c>
      <c r="DD352" s="522"/>
      <c r="DE352" s="522"/>
      <c r="DF352" s="522"/>
      <c r="DG352" s="522"/>
      <c r="DH352" s="522"/>
      <c r="DI352" s="522"/>
      <c r="DJ352" s="522"/>
      <c r="DK352" s="522"/>
      <c r="DL352" s="522"/>
      <c r="DM352" s="522"/>
      <c r="DN352" s="522"/>
      <c r="DO352" s="522"/>
      <c r="DP352" s="522"/>
      <c r="DQ352" s="522"/>
      <c r="DR352" s="522"/>
      <c r="DS352" s="522"/>
      <c r="DT352" s="522"/>
      <c r="DU352" s="522"/>
      <c r="DV352" s="522"/>
      <c r="DW352" s="522"/>
      <c r="DX352" s="522"/>
      <c r="DY352" s="522"/>
      <c r="DZ352" s="522"/>
      <c r="EA352" s="522"/>
      <c r="EB352" s="522"/>
      <c r="EC352" s="522"/>
      <c r="ED352" s="522"/>
      <c r="EE352" s="522"/>
      <c r="EF352" s="522"/>
      <c r="EG352" s="649">
        <f t="shared" ref="EG352:EG358" si="343">(SUM(EH352:EK352))*1.547</f>
        <v>13.923</v>
      </c>
      <c r="EH352" s="649">
        <v>0</v>
      </c>
      <c r="EI352" s="649">
        <v>0</v>
      </c>
      <c r="EJ352" s="522">
        <v>2.5</v>
      </c>
      <c r="EK352" s="649">
        <v>6.5</v>
      </c>
      <c r="EL352" s="522"/>
      <c r="EM352" s="522"/>
      <c r="EN352" s="522"/>
      <c r="EO352" s="522"/>
      <c r="EP352" s="522"/>
      <c r="EQ352" s="522"/>
      <c r="ER352" s="522"/>
      <c r="ES352" s="407"/>
      <c r="ET352" s="407"/>
    </row>
    <row r="353" spans="1:150" s="357" customFormat="1" ht="15">
      <c r="A353" s="675" t="s">
        <v>9</v>
      </c>
      <c r="B353" s="712">
        <v>41979</v>
      </c>
      <c r="C353" s="820">
        <v>0</v>
      </c>
      <c r="D353" s="643">
        <v>0.65</v>
      </c>
      <c r="E353" s="807">
        <v>0</v>
      </c>
      <c r="F353" s="807">
        <v>42</v>
      </c>
      <c r="G353" s="807">
        <v>1.1499999999999999</v>
      </c>
      <c r="H353" s="643">
        <v>6.39</v>
      </c>
      <c r="I353" s="643">
        <v>89.3</v>
      </c>
      <c r="J353" s="643" t="s">
        <v>744</v>
      </c>
      <c r="K353" s="643">
        <v>3.63</v>
      </c>
      <c r="L353" s="821">
        <v>19.979999999999563</v>
      </c>
      <c r="M353" s="643">
        <v>17.100000000000001</v>
      </c>
      <c r="N353" s="643" t="s">
        <v>744</v>
      </c>
      <c r="O353" s="643" t="s">
        <v>743</v>
      </c>
      <c r="P353" s="643">
        <v>1.72</v>
      </c>
      <c r="Q353" s="643">
        <v>2.1512467994191526</v>
      </c>
      <c r="R353" s="643">
        <v>871.95195772787304</v>
      </c>
      <c r="S353" s="643" t="s">
        <v>744</v>
      </c>
      <c r="T353" s="643">
        <v>8.1</v>
      </c>
      <c r="U353" s="643" t="s">
        <v>744</v>
      </c>
      <c r="V353" s="867">
        <v>0.65</v>
      </c>
      <c r="W353" s="868" t="e">
        <v>#VALUE!</v>
      </c>
      <c r="X353" s="869">
        <v>44.239999999999995</v>
      </c>
      <c r="Y353" s="806">
        <v>1950</v>
      </c>
      <c r="Z353" s="807">
        <v>33.9</v>
      </c>
      <c r="AA353" s="870">
        <v>14.4</v>
      </c>
      <c r="AB353" s="870">
        <v>34</v>
      </c>
      <c r="AC353" s="775">
        <f t="shared" si="341"/>
        <v>48.4</v>
      </c>
      <c r="AD353" s="775">
        <f t="shared" si="342"/>
        <v>74.874799999999993</v>
      </c>
      <c r="AE353" s="705"/>
      <c r="AF353" s="775"/>
      <c r="AG353" s="705">
        <v>1</v>
      </c>
      <c r="AH353" s="705"/>
      <c r="AI353" s="705"/>
      <c r="AJ353" s="675"/>
      <c r="AK353" s="407"/>
      <c r="AL353" s="407"/>
      <c r="AM353" s="407"/>
      <c r="AN353" s="407"/>
      <c r="AO353" s="387"/>
      <c r="AP353" s="387"/>
      <c r="AQ353" s="405"/>
      <c r="AR353" s="578">
        <v>0</v>
      </c>
      <c r="AS353" s="405">
        <v>22</v>
      </c>
      <c r="AT353" s="405">
        <v>0</v>
      </c>
      <c r="AU353" s="405">
        <v>15.5</v>
      </c>
      <c r="AV353" s="405">
        <v>287.3</v>
      </c>
      <c r="AW353" s="405">
        <v>1422.6</v>
      </c>
      <c r="AX353" s="405">
        <v>0</v>
      </c>
      <c r="AY353" s="578">
        <v>0</v>
      </c>
      <c r="AZ353" s="578">
        <v>0</v>
      </c>
      <c r="BA353" s="578">
        <v>0</v>
      </c>
      <c r="BB353" s="925">
        <v>1.01</v>
      </c>
      <c r="BC353" s="405">
        <v>0.5</v>
      </c>
      <c r="BD353" s="405">
        <v>1.5</v>
      </c>
      <c r="BE353" s="578">
        <v>0</v>
      </c>
      <c r="BF353" s="405">
        <v>0.49</v>
      </c>
      <c r="BG353" s="405">
        <v>0</v>
      </c>
      <c r="BH353" s="578">
        <v>0</v>
      </c>
      <c r="BI353" s="405">
        <v>0</v>
      </c>
      <c r="BJ353" s="405">
        <v>31.6</v>
      </c>
      <c r="BK353" s="405">
        <v>2.83</v>
      </c>
      <c r="BL353" s="405">
        <v>3.66</v>
      </c>
      <c r="BM353" s="405">
        <v>0</v>
      </c>
      <c r="BN353" s="405">
        <v>23.8</v>
      </c>
      <c r="BO353" s="405">
        <v>1286.2</v>
      </c>
      <c r="BP353" s="405">
        <v>0</v>
      </c>
      <c r="BQ353" s="649">
        <v>20.32</v>
      </c>
      <c r="BR353" s="649">
        <v>20.59</v>
      </c>
      <c r="BS353" s="649">
        <v>5.73</v>
      </c>
      <c r="BT353" s="649">
        <v>5.85</v>
      </c>
      <c r="BU353" s="648">
        <v>13.6</v>
      </c>
      <c r="BV353" s="648">
        <v>17.3</v>
      </c>
      <c r="BW353" s="649">
        <v>584.70000000000005</v>
      </c>
      <c r="BX353" s="876"/>
      <c r="BY353" s="649">
        <v>1.68</v>
      </c>
      <c r="BZ353" s="649">
        <v>1.57</v>
      </c>
      <c r="CA353" s="649">
        <v>1.4</v>
      </c>
      <c r="CB353" s="649">
        <v>9</v>
      </c>
      <c r="CC353" s="649">
        <v>8.1999999999999993</v>
      </c>
      <c r="CD353" s="649">
        <v>14</v>
      </c>
      <c r="CE353" s="649">
        <v>30.2</v>
      </c>
      <c r="CF353" s="649">
        <v>13.5</v>
      </c>
      <c r="CG353" s="649">
        <v>7</v>
      </c>
      <c r="CH353" s="649">
        <v>12.25</v>
      </c>
      <c r="CI353" s="649">
        <v>16.84</v>
      </c>
      <c r="CJ353" s="649">
        <v>14.92</v>
      </c>
      <c r="CK353" s="649">
        <v>0</v>
      </c>
      <c r="CL353" s="649">
        <v>1.4</v>
      </c>
      <c r="CM353" s="649">
        <v>0</v>
      </c>
      <c r="CN353" s="649">
        <v>307.7</v>
      </c>
      <c r="CO353" s="649">
        <v>308.2</v>
      </c>
      <c r="CP353" s="649">
        <v>525.6</v>
      </c>
      <c r="CQ353" s="649">
        <v>20.6</v>
      </c>
      <c r="CR353" s="649">
        <v>1.28</v>
      </c>
      <c r="CS353" s="405">
        <v>6849.8</v>
      </c>
      <c r="CT353" s="405">
        <v>15.797000000000001</v>
      </c>
      <c r="CU353" s="405">
        <v>48</v>
      </c>
      <c r="CV353" s="522">
        <v>0</v>
      </c>
      <c r="CW353" s="522">
        <v>0</v>
      </c>
      <c r="CX353" s="522">
        <v>0</v>
      </c>
      <c r="CY353" s="522">
        <v>0</v>
      </c>
      <c r="CZ353" s="642">
        <v>891</v>
      </c>
      <c r="DA353" s="642">
        <v>1430</v>
      </c>
      <c r="DB353" s="642">
        <v>889</v>
      </c>
      <c r="DC353" s="642">
        <v>1079</v>
      </c>
      <c r="DD353" s="522"/>
      <c r="DE353" s="522"/>
      <c r="DF353" s="522"/>
      <c r="DG353" s="522"/>
      <c r="DH353" s="522"/>
      <c r="DI353" s="522"/>
      <c r="DJ353" s="522"/>
      <c r="DK353" s="522"/>
      <c r="DL353" s="522"/>
      <c r="DM353" s="522"/>
      <c r="DN353" s="522"/>
      <c r="DO353" s="522"/>
      <c r="DP353" s="522"/>
      <c r="DQ353" s="522"/>
      <c r="DR353" s="522"/>
      <c r="DS353" s="522"/>
      <c r="DT353" s="522"/>
      <c r="DU353" s="522"/>
      <c r="DV353" s="522"/>
      <c r="DW353" s="522"/>
      <c r="DX353" s="522"/>
      <c r="DY353" s="522"/>
      <c r="DZ353" s="522"/>
      <c r="EA353" s="522"/>
      <c r="EB353" s="522"/>
      <c r="EC353" s="522"/>
      <c r="ED353" s="522"/>
      <c r="EE353" s="522"/>
      <c r="EF353" s="522"/>
      <c r="EG353" s="649">
        <f t="shared" si="343"/>
        <v>13.923</v>
      </c>
      <c r="EH353" s="649">
        <v>0</v>
      </c>
      <c r="EI353" s="649">
        <v>0</v>
      </c>
      <c r="EJ353" s="522">
        <v>2.5</v>
      </c>
      <c r="EK353" s="649">
        <v>6.5</v>
      </c>
      <c r="EL353" s="522"/>
      <c r="EM353" s="522"/>
      <c r="EN353" s="522"/>
      <c r="EO353" s="522"/>
      <c r="EP353" s="522"/>
      <c r="EQ353" s="522"/>
      <c r="ER353" s="522"/>
      <c r="ES353" s="407"/>
      <c r="ET353" s="407"/>
    </row>
    <row r="354" spans="1:150" s="357" customFormat="1" ht="15">
      <c r="A354" s="675" t="s">
        <v>3</v>
      </c>
      <c r="B354" s="712">
        <v>41980</v>
      </c>
      <c r="C354" s="820">
        <v>0</v>
      </c>
      <c r="D354" s="643">
        <v>0.03</v>
      </c>
      <c r="E354" s="807">
        <v>0</v>
      </c>
      <c r="F354" s="807">
        <v>44</v>
      </c>
      <c r="G354" s="807">
        <v>1.18</v>
      </c>
      <c r="H354" s="643">
        <v>3.45</v>
      </c>
      <c r="I354" s="643">
        <v>89.9</v>
      </c>
      <c r="J354" s="643" t="s">
        <v>744</v>
      </c>
      <c r="K354" s="643">
        <v>3.36</v>
      </c>
      <c r="L354" s="821">
        <v>0</v>
      </c>
      <c r="M354" s="643">
        <v>20.9</v>
      </c>
      <c r="N354" s="643" t="s">
        <v>744</v>
      </c>
      <c r="O354" s="643" t="s">
        <v>743</v>
      </c>
      <c r="P354" s="643">
        <v>1.89</v>
      </c>
      <c r="Q354" s="643">
        <v>2.3530965887015305</v>
      </c>
      <c r="R354" s="643">
        <v>834.05508586525752</v>
      </c>
      <c r="S354" s="643" t="s">
        <v>744</v>
      </c>
      <c r="T354" s="643">
        <v>8.11</v>
      </c>
      <c r="U354" s="643" t="s">
        <v>744</v>
      </c>
      <c r="V354" s="867">
        <v>0.65</v>
      </c>
      <c r="W354" s="868" t="e">
        <v>#VALUE!</v>
      </c>
      <c r="X354" s="869">
        <v>43.34</v>
      </c>
      <c r="Y354" s="806">
        <v>14.4</v>
      </c>
      <c r="Z354" s="807">
        <v>34</v>
      </c>
      <c r="AA354" s="870">
        <v>7.5</v>
      </c>
      <c r="AB354" s="870">
        <v>34.700000000000003</v>
      </c>
      <c r="AC354" s="775">
        <f t="shared" si="341"/>
        <v>42.2</v>
      </c>
      <c r="AD354" s="775">
        <f t="shared" si="342"/>
        <v>65.2834</v>
      </c>
      <c r="AE354" s="705"/>
      <c r="AF354" s="775"/>
      <c r="AG354" s="705">
        <v>1</v>
      </c>
      <c r="AH354" s="705"/>
      <c r="AI354" s="705"/>
      <c r="AJ354" s="675"/>
      <c r="AK354" s="407"/>
      <c r="AL354" s="407"/>
      <c r="AM354" s="407"/>
      <c r="AN354" s="407"/>
      <c r="AO354" s="387"/>
      <c r="AP354" s="387"/>
      <c r="AQ354" s="405"/>
      <c r="AR354" s="578">
        <v>0</v>
      </c>
      <c r="AS354" s="405">
        <v>22.7</v>
      </c>
      <c r="AT354" s="578">
        <v>0</v>
      </c>
      <c r="AU354" s="405">
        <v>9.5</v>
      </c>
      <c r="AV354" s="405">
        <v>0</v>
      </c>
      <c r="AW354" s="405">
        <v>1183</v>
      </c>
      <c r="AX354" s="405">
        <v>0</v>
      </c>
      <c r="AY354" s="578">
        <v>0</v>
      </c>
      <c r="AZ354" s="578">
        <v>0</v>
      </c>
      <c r="BA354" s="578">
        <v>0</v>
      </c>
      <c r="BB354" s="925">
        <v>1.01</v>
      </c>
      <c r="BC354" s="405">
        <v>0.49</v>
      </c>
      <c r="BD354" s="405">
        <v>1.5</v>
      </c>
      <c r="BE354" s="578">
        <v>0</v>
      </c>
      <c r="BF354" s="405">
        <v>0.49</v>
      </c>
      <c r="BG354" s="405">
        <v>0</v>
      </c>
      <c r="BH354" s="578">
        <v>0</v>
      </c>
      <c r="BI354" s="405">
        <v>0</v>
      </c>
      <c r="BJ354" s="405">
        <v>32.4</v>
      </c>
      <c r="BK354" s="405">
        <v>2.93</v>
      </c>
      <c r="BL354" s="405">
        <v>3.56</v>
      </c>
      <c r="BM354" s="405">
        <v>0</v>
      </c>
      <c r="BN354" s="405">
        <v>24.6</v>
      </c>
      <c r="BO354" s="405">
        <v>282.3</v>
      </c>
      <c r="BP354" s="405">
        <v>0</v>
      </c>
      <c r="BQ354" s="649">
        <v>22.01</v>
      </c>
      <c r="BR354" s="649">
        <v>22.3</v>
      </c>
      <c r="BS354" s="649">
        <v>3.22</v>
      </c>
      <c r="BT354" s="649">
        <v>3.17</v>
      </c>
      <c r="BU354" s="648">
        <v>8.1</v>
      </c>
      <c r="BV354" s="648">
        <v>6.6</v>
      </c>
      <c r="BW354" s="522">
        <v>605.5</v>
      </c>
      <c r="BX354" s="878"/>
      <c r="BY354" s="522">
        <v>1.73</v>
      </c>
      <c r="BZ354" s="522">
        <v>1.54</v>
      </c>
      <c r="CA354" s="522">
        <v>1.4</v>
      </c>
      <c r="CB354" s="522">
        <v>9.1</v>
      </c>
      <c r="CC354" s="522">
        <v>8.3000000000000007</v>
      </c>
      <c r="CD354" s="522">
        <v>14.3</v>
      </c>
      <c r="CE354" s="522">
        <v>30.4</v>
      </c>
      <c r="CF354" s="522">
        <v>12.9</v>
      </c>
      <c r="CG354" s="522">
        <v>2.42</v>
      </c>
      <c r="CH354" s="522">
        <v>7.05</v>
      </c>
      <c r="CI354" s="522">
        <v>11.2</v>
      </c>
      <c r="CJ354" s="522">
        <v>12.63</v>
      </c>
      <c r="CK354" s="522">
        <v>0</v>
      </c>
      <c r="CL354" s="522">
        <v>0</v>
      </c>
      <c r="CM354" s="522">
        <v>0.2</v>
      </c>
      <c r="CN354" s="522">
        <v>471.5</v>
      </c>
      <c r="CO354" s="522">
        <v>330.8</v>
      </c>
      <c r="CP354" s="522">
        <v>534.5</v>
      </c>
      <c r="CQ354" s="522">
        <v>16.899999999999999</v>
      </c>
      <c r="CR354" s="522">
        <v>0.97</v>
      </c>
      <c r="CS354" s="405">
        <v>7253.5</v>
      </c>
      <c r="CT354" s="405">
        <v>16.318000000000001</v>
      </c>
      <c r="CU354" s="405">
        <v>49</v>
      </c>
      <c r="CV354" s="522">
        <v>0</v>
      </c>
      <c r="CW354" s="522">
        <v>0</v>
      </c>
      <c r="CX354" s="522">
        <v>0</v>
      </c>
      <c r="CY354" s="522">
        <v>0</v>
      </c>
      <c r="CZ354" s="642">
        <v>906</v>
      </c>
      <c r="DA354" s="642">
        <v>1380</v>
      </c>
      <c r="DB354" s="642">
        <v>910</v>
      </c>
      <c r="DC354" s="642">
        <v>1080.7</v>
      </c>
      <c r="DD354" s="522"/>
      <c r="DE354" s="522"/>
      <c r="DF354" s="522"/>
      <c r="DG354" s="522"/>
      <c r="DH354" s="522"/>
      <c r="DI354" s="522"/>
      <c r="DJ354" s="522"/>
      <c r="DK354" s="522"/>
      <c r="DL354" s="522"/>
      <c r="DM354" s="522"/>
      <c r="DN354" s="522"/>
      <c r="DO354" s="522"/>
      <c r="DP354" s="522"/>
      <c r="DQ354" s="522"/>
      <c r="DR354" s="522"/>
      <c r="DS354" s="522"/>
      <c r="DT354" s="522"/>
      <c r="DU354" s="522"/>
      <c r="DV354" s="522"/>
      <c r="DW354" s="522"/>
      <c r="DX354" s="522"/>
      <c r="DY354" s="522"/>
      <c r="DZ354" s="522"/>
      <c r="EA354" s="522"/>
      <c r="EB354" s="522"/>
      <c r="EC354" s="522"/>
      <c r="ED354" s="522"/>
      <c r="EE354" s="522"/>
      <c r="EF354" s="522"/>
      <c r="EG354" s="649">
        <f t="shared" si="343"/>
        <v>13.923</v>
      </c>
      <c r="EH354" s="649">
        <v>0</v>
      </c>
      <c r="EI354" s="649">
        <v>0</v>
      </c>
      <c r="EJ354" s="522">
        <v>2.5</v>
      </c>
      <c r="EK354" s="649">
        <v>6.5</v>
      </c>
      <c r="EL354" s="522"/>
      <c r="EM354" s="522"/>
      <c r="EN354" s="522"/>
      <c r="EO354" s="522"/>
      <c r="EP354" s="522"/>
      <c r="EQ354" s="522"/>
      <c r="ER354" s="522"/>
      <c r="ES354" s="407"/>
      <c r="ET354" s="407"/>
    </row>
    <row r="355" spans="1:150" s="357" customFormat="1" ht="15">
      <c r="A355" s="675" t="s">
        <v>4</v>
      </c>
      <c r="B355" s="712">
        <v>41981</v>
      </c>
      <c r="C355" s="820">
        <v>0</v>
      </c>
      <c r="D355" s="643">
        <v>0.12</v>
      </c>
      <c r="E355" s="807">
        <v>0</v>
      </c>
      <c r="F355" s="807">
        <v>0</v>
      </c>
      <c r="G355" s="807">
        <v>1.3</v>
      </c>
      <c r="H355" s="643">
        <v>2.38</v>
      </c>
      <c r="I355" s="643">
        <v>92.56</v>
      </c>
      <c r="J355" s="643" t="s">
        <v>744</v>
      </c>
      <c r="K355" s="643">
        <v>1.8</v>
      </c>
      <c r="L355" s="821">
        <v>0</v>
      </c>
      <c r="M355" s="643">
        <v>21.3</v>
      </c>
      <c r="N355" s="643" t="s">
        <v>744</v>
      </c>
      <c r="O355" s="643" t="s">
        <v>743</v>
      </c>
      <c r="P355" s="643">
        <v>1.9</v>
      </c>
      <c r="Q355" s="643">
        <v>2.1968478869430834</v>
      </c>
      <c r="R355" s="643">
        <v>661.41378071334213</v>
      </c>
      <c r="S355" s="643" t="s">
        <v>744</v>
      </c>
      <c r="T355" s="643">
        <v>8.0500000000000007</v>
      </c>
      <c r="U355" s="643" t="s">
        <v>744</v>
      </c>
      <c r="V355" s="867">
        <v>0.67</v>
      </c>
      <c r="W355" s="868" t="e">
        <v>#VALUE!</v>
      </c>
      <c r="X355" s="869">
        <v>42.260000000000005</v>
      </c>
      <c r="Y355" s="806">
        <v>7.5</v>
      </c>
      <c r="Z355" s="807">
        <v>34.700000000000003</v>
      </c>
      <c r="AA355" s="870">
        <v>0</v>
      </c>
      <c r="AB355" s="870">
        <v>36</v>
      </c>
      <c r="AC355" s="775">
        <f t="shared" si="341"/>
        <v>36</v>
      </c>
      <c r="AD355" s="775">
        <f t="shared" si="342"/>
        <v>55.692</v>
      </c>
      <c r="AE355" s="705"/>
      <c r="AF355" s="775"/>
      <c r="AG355" s="705">
        <v>1</v>
      </c>
      <c r="AH355" s="705"/>
      <c r="AI355" s="705"/>
      <c r="AJ355" s="675"/>
      <c r="AK355" s="407"/>
      <c r="AL355" s="407"/>
      <c r="AM355" s="407"/>
      <c r="AN355" s="407"/>
      <c r="AO355" s="387"/>
      <c r="AP355" s="387"/>
      <c r="AQ355" s="405"/>
      <c r="AR355" s="578">
        <v>0</v>
      </c>
      <c r="AS355" s="405">
        <v>12.9</v>
      </c>
      <c r="AT355" s="578">
        <v>0</v>
      </c>
      <c r="AU355" s="405">
        <v>0.1</v>
      </c>
      <c r="AV355" s="405">
        <v>0</v>
      </c>
      <c r="AW355" s="405">
        <v>1052.7</v>
      </c>
      <c r="AX355" s="405">
        <v>0</v>
      </c>
      <c r="AY355" s="578">
        <v>0</v>
      </c>
      <c r="AZ355" s="578">
        <v>0</v>
      </c>
      <c r="BA355" s="578">
        <v>0</v>
      </c>
      <c r="BB355" s="925">
        <v>0.99</v>
      </c>
      <c r="BC355" s="405">
        <v>0.49</v>
      </c>
      <c r="BD355" s="405">
        <v>1.5</v>
      </c>
      <c r="BE355" s="578">
        <v>0</v>
      </c>
      <c r="BF355" s="405">
        <v>0.49</v>
      </c>
      <c r="BG355" s="405">
        <v>0</v>
      </c>
      <c r="BH355" s="578">
        <v>0</v>
      </c>
      <c r="BI355" s="405">
        <v>0</v>
      </c>
      <c r="BJ355" s="405">
        <v>33.799999999999997</v>
      </c>
      <c r="BK355" s="405">
        <v>2.98</v>
      </c>
      <c r="BL355" s="405">
        <v>3.51</v>
      </c>
      <c r="BM355" s="405">
        <v>0</v>
      </c>
      <c r="BN355" s="405">
        <v>26</v>
      </c>
      <c r="BO355" s="405">
        <v>1351.5</v>
      </c>
      <c r="BP355" s="405">
        <v>0</v>
      </c>
      <c r="BQ355" s="649">
        <v>21.93</v>
      </c>
      <c r="BR355" s="649">
        <v>22.22</v>
      </c>
      <c r="BS355" s="649">
        <v>0</v>
      </c>
      <c r="BT355" s="649">
        <v>0</v>
      </c>
      <c r="BU355" s="648">
        <v>0</v>
      </c>
      <c r="BV355" s="648">
        <v>4</v>
      </c>
      <c r="BW355" s="522">
        <v>448</v>
      </c>
      <c r="BX355" s="878"/>
      <c r="BY355" s="522">
        <v>1.55</v>
      </c>
      <c r="BZ355" s="522">
        <v>1.4</v>
      </c>
      <c r="CA355" s="522">
        <v>1.3</v>
      </c>
      <c r="CB355" s="522">
        <v>8.9</v>
      </c>
      <c r="CC355" s="522">
        <v>8.1</v>
      </c>
      <c r="CD355" s="522">
        <v>14.6</v>
      </c>
      <c r="CE355" s="522">
        <v>30.2</v>
      </c>
      <c r="CF355" s="522">
        <v>12.4</v>
      </c>
      <c r="CG355" s="522">
        <v>4.3</v>
      </c>
      <c r="CH355" s="522">
        <v>9.1</v>
      </c>
      <c r="CI355" s="522">
        <v>13.3</v>
      </c>
      <c r="CJ355" s="522">
        <v>13.39</v>
      </c>
      <c r="CK355" s="522">
        <v>0</v>
      </c>
      <c r="CL355" s="522">
        <v>0.9</v>
      </c>
      <c r="CM355" s="522">
        <v>0.2</v>
      </c>
      <c r="CN355" s="522">
        <v>175.5</v>
      </c>
      <c r="CO355" s="522">
        <v>290.10000000000002</v>
      </c>
      <c r="CP355" s="522">
        <v>555.20000000000005</v>
      </c>
      <c r="CQ355" s="522">
        <v>15.9</v>
      </c>
      <c r="CR355" s="522">
        <v>0.97</v>
      </c>
      <c r="CS355" s="405">
        <v>11956.7</v>
      </c>
      <c r="CT355" s="405">
        <v>16.175999999999998</v>
      </c>
      <c r="CU355" s="405">
        <v>50</v>
      </c>
      <c r="CV355" s="522">
        <v>0</v>
      </c>
      <c r="CW355" s="522">
        <v>0</v>
      </c>
      <c r="CX355" s="522">
        <v>0</v>
      </c>
      <c r="CY355" s="522">
        <v>0</v>
      </c>
      <c r="CZ355" s="642">
        <v>1060</v>
      </c>
      <c r="DA355" s="642">
        <v>1520</v>
      </c>
      <c r="DB355" s="642">
        <v>1040</v>
      </c>
      <c r="DC355" s="642">
        <v>1080.08</v>
      </c>
      <c r="DD355" s="522"/>
      <c r="DE355" s="522"/>
      <c r="DF355" s="522"/>
      <c r="DG355" s="522"/>
      <c r="DH355" s="522"/>
      <c r="DI355" s="522"/>
      <c r="DJ355" s="522"/>
      <c r="DK355" s="522"/>
      <c r="DL355" s="522"/>
      <c r="DM355" s="522"/>
      <c r="DN355" s="522"/>
      <c r="DO355" s="522"/>
      <c r="DP355" s="522"/>
      <c r="DQ355" s="522"/>
      <c r="DR355" s="522"/>
      <c r="DS355" s="522"/>
      <c r="DT355" s="522"/>
      <c r="DU355" s="522"/>
      <c r="DV355" s="522"/>
      <c r="DW355" s="522"/>
      <c r="DX355" s="522"/>
      <c r="DY355" s="522"/>
      <c r="DZ355" s="522"/>
      <c r="EA355" s="522"/>
      <c r="EB355" s="522"/>
      <c r="EC355" s="522"/>
      <c r="ED355" s="522"/>
      <c r="EE355" s="522"/>
      <c r="EF355" s="522"/>
      <c r="EG355" s="649">
        <f t="shared" si="343"/>
        <v>13.923</v>
      </c>
      <c r="EH355" s="649">
        <v>0</v>
      </c>
      <c r="EI355" s="649">
        <v>0</v>
      </c>
      <c r="EJ355" s="522">
        <v>2.5</v>
      </c>
      <c r="EK355" s="649">
        <v>6.5</v>
      </c>
      <c r="EL355" s="522"/>
      <c r="EM355" s="522"/>
      <c r="EN355" s="522"/>
      <c r="EO355" s="522"/>
      <c r="EP355" s="522"/>
      <c r="EQ355" s="522"/>
      <c r="ER355" s="522"/>
      <c r="ES355" s="407"/>
      <c r="ET355" s="407"/>
    </row>
    <row r="356" spans="1:150" s="357" customFormat="1" ht="15">
      <c r="A356" s="675" t="s">
        <v>5</v>
      </c>
      <c r="B356" s="712">
        <v>41982</v>
      </c>
      <c r="C356" s="820">
        <v>0</v>
      </c>
      <c r="D356" s="643">
        <v>0.7</v>
      </c>
      <c r="E356" s="807">
        <v>0</v>
      </c>
      <c r="F356" s="807">
        <v>0</v>
      </c>
      <c r="G356" s="807">
        <v>1.3</v>
      </c>
      <c r="H356" s="643">
        <v>5.4</v>
      </c>
      <c r="I356" s="643">
        <v>93.15</v>
      </c>
      <c r="J356" s="643" t="s">
        <v>744</v>
      </c>
      <c r="K356" s="643">
        <v>2.72</v>
      </c>
      <c r="L356" s="821">
        <v>2.9399999999986903</v>
      </c>
      <c r="M356" s="643">
        <v>21.2</v>
      </c>
      <c r="N356" s="643" t="s">
        <v>744</v>
      </c>
      <c r="O356" s="643" t="s">
        <v>743</v>
      </c>
      <c r="P356" s="643">
        <v>1.93</v>
      </c>
      <c r="Q356" s="643">
        <v>335.12592597988004</v>
      </c>
      <c r="R356" s="643">
        <v>101177.19806076615</v>
      </c>
      <c r="S356" s="643" t="s">
        <v>744</v>
      </c>
      <c r="T356" s="643">
        <v>8.0299999999999994</v>
      </c>
      <c r="U356" s="643" t="s">
        <v>744</v>
      </c>
      <c r="V356" s="867">
        <v>0.66</v>
      </c>
      <c r="W356" s="868" t="e">
        <v>#VALUE!</v>
      </c>
      <c r="X356" s="869">
        <v>43.88000000000001</v>
      </c>
      <c r="Y356" s="806">
        <v>0</v>
      </c>
      <c r="Z356" s="807">
        <v>36</v>
      </c>
      <c r="AA356" s="870">
        <v>0</v>
      </c>
      <c r="AB356" s="870">
        <v>35.950000000000003</v>
      </c>
      <c r="AC356" s="775">
        <f t="shared" ref="AC356:AC357" si="344">AA356+AB356</f>
        <v>35.950000000000003</v>
      </c>
      <c r="AD356" s="775">
        <f t="shared" ref="AD356:AD357" si="345">AC356*1.547</f>
        <v>55.614650000000005</v>
      </c>
      <c r="AE356" s="705"/>
      <c r="AF356" s="775"/>
      <c r="AG356" s="705">
        <v>1</v>
      </c>
      <c r="AH356" s="705"/>
      <c r="AI356" s="705"/>
      <c r="AJ356" s="675"/>
      <c r="AK356" s="407"/>
      <c r="AL356" s="407"/>
      <c r="AM356" s="407"/>
      <c r="AN356" s="407"/>
      <c r="AO356" s="387"/>
      <c r="AP356" s="387"/>
      <c r="AQ356" s="405"/>
      <c r="AR356" s="578">
        <v>0</v>
      </c>
      <c r="AS356" s="405">
        <v>22.3</v>
      </c>
      <c r="AT356" s="578">
        <v>0</v>
      </c>
      <c r="AU356" s="405">
        <v>0</v>
      </c>
      <c r="AV356" s="405">
        <v>0</v>
      </c>
      <c r="AW356" s="405">
        <v>1215.8</v>
      </c>
      <c r="AX356" s="405">
        <v>0</v>
      </c>
      <c r="AY356" s="578">
        <v>0</v>
      </c>
      <c r="AZ356" s="578">
        <v>0</v>
      </c>
      <c r="BA356" s="578">
        <v>0</v>
      </c>
      <c r="BB356" s="925">
        <v>0.98</v>
      </c>
      <c r="BC356" s="405">
        <v>0.51</v>
      </c>
      <c r="BD356" s="405">
        <v>1.5</v>
      </c>
      <c r="BE356" s="578">
        <v>0</v>
      </c>
      <c r="BF356" s="405">
        <v>0.49</v>
      </c>
      <c r="BG356" s="405">
        <v>0</v>
      </c>
      <c r="BH356" s="578">
        <v>0</v>
      </c>
      <c r="BI356" s="405">
        <v>0</v>
      </c>
      <c r="BJ356" s="405">
        <v>33.700000000000003</v>
      </c>
      <c r="BK356" s="405">
        <v>2.97</v>
      </c>
      <c r="BL356" s="405">
        <v>3.51</v>
      </c>
      <c r="BM356" s="405">
        <v>0</v>
      </c>
      <c r="BN356" s="405">
        <v>26</v>
      </c>
      <c r="BO356" s="405">
        <v>1479.8</v>
      </c>
      <c r="BP356" s="405">
        <v>0</v>
      </c>
      <c r="BQ356" s="649">
        <v>21.22</v>
      </c>
      <c r="BR356" s="649">
        <v>21.51</v>
      </c>
      <c r="BS356" s="649">
        <v>0</v>
      </c>
      <c r="BT356" s="649">
        <v>0</v>
      </c>
      <c r="BU356" s="648">
        <v>0</v>
      </c>
      <c r="BV356" s="648">
        <v>6.2</v>
      </c>
      <c r="BW356" s="522">
        <v>542.79999999999995</v>
      </c>
      <c r="BX356" s="878"/>
      <c r="BY356" s="522">
        <v>2.73</v>
      </c>
      <c r="BZ356" s="522">
        <v>1.3</v>
      </c>
      <c r="CA356" s="522">
        <v>1.2</v>
      </c>
      <c r="CB356" s="522">
        <v>8.6999999999999993</v>
      </c>
      <c r="CC356" s="522">
        <v>8</v>
      </c>
      <c r="CD356" s="522">
        <v>14.6</v>
      </c>
      <c r="CE356" s="522">
        <v>29.8</v>
      </c>
      <c r="CF356" s="522">
        <v>15</v>
      </c>
      <c r="CG356" s="522">
        <v>6.9</v>
      </c>
      <c r="CH356" s="522">
        <v>12.1</v>
      </c>
      <c r="CI356" s="522">
        <v>16.2</v>
      </c>
      <c r="CJ356" s="522">
        <v>13.51</v>
      </c>
      <c r="CK356" s="522">
        <v>0</v>
      </c>
      <c r="CL356" s="522">
        <v>1.3</v>
      </c>
      <c r="CM356" s="522">
        <v>0.8</v>
      </c>
      <c r="CN356" s="522">
        <v>187.6</v>
      </c>
      <c r="CO356" s="522">
        <v>278.7</v>
      </c>
      <c r="CP356" s="522">
        <v>546.9</v>
      </c>
      <c r="CQ356" s="522">
        <v>15.6</v>
      </c>
      <c r="CR356" s="522">
        <v>0.9</v>
      </c>
      <c r="CS356" s="405">
        <v>11844.4</v>
      </c>
      <c r="CT356" s="405">
        <v>16.765000000000001</v>
      </c>
      <c r="CU356" s="405">
        <v>51</v>
      </c>
      <c r="CV356" s="522">
        <v>0</v>
      </c>
      <c r="CW356" s="522">
        <v>0</v>
      </c>
      <c r="CX356" s="522">
        <v>0</v>
      </c>
      <c r="CY356" s="522">
        <v>0</v>
      </c>
      <c r="CZ356" s="642">
        <v>1050</v>
      </c>
      <c r="DA356" s="642">
        <v>1580</v>
      </c>
      <c r="DB356" s="642">
        <v>1040</v>
      </c>
      <c r="DC356" s="642">
        <v>1079.2</v>
      </c>
      <c r="DD356" s="522"/>
      <c r="DE356" s="522"/>
      <c r="DF356" s="522"/>
      <c r="DG356" s="522"/>
      <c r="DH356" s="522"/>
      <c r="DI356" s="522"/>
      <c r="DJ356" s="522"/>
      <c r="DK356" s="522"/>
      <c r="DL356" s="522"/>
      <c r="DM356" s="522"/>
      <c r="DN356" s="522"/>
      <c r="DO356" s="522"/>
      <c r="DP356" s="522"/>
      <c r="DQ356" s="522"/>
      <c r="DR356" s="522"/>
      <c r="DS356" s="522"/>
      <c r="DT356" s="522"/>
      <c r="DU356" s="522"/>
      <c r="DV356" s="522"/>
      <c r="DW356" s="522"/>
      <c r="DX356" s="522"/>
      <c r="DY356" s="522"/>
      <c r="DZ356" s="522"/>
      <c r="EA356" s="522"/>
      <c r="EB356" s="522"/>
      <c r="EC356" s="522"/>
      <c r="ED356" s="522"/>
      <c r="EE356" s="522"/>
      <c r="EF356" s="522"/>
      <c r="EG356" s="649">
        <f t="shared" si="343"/>
        <v>13.923</v>
      </c>
      <c r="EH356" s="649">
        <v>0</v>
      </c>
      <c r="EI356" s="649">
        <v>0</v>
      </c>
      <c r="EJ356" s="522">
        <v>2.5</v>
      </c>
      <c r="EK356" s="649">
        <v>6.5</v>
      </c>
      <c r="EL356" s="522"/>
      <c r="EM356" s="522"/>
      <c r="EN356" s="522"/>
      <c r="EO356" s="522"/>
      <c r="EP356" s="522"/>
      <c r="EQ356" s="522"/>
      <c r="ER356" s="522"/>
      <c r="ES356" s="407"/>
      <c r="ET356" s="407"/>
    </row>
    <row r="357" spans="1:150" s="357" customFormat="1" ht="15">
      <c r="A357" s="675" t="s">
        <v>6</v>
      </c>
      <c r="B357" s="712">
        <v>41983</v>
      </c>
      <c r="C357" s="820">
        <v>0</v>
      </c>
      <c r="D357" s="643">
        <v>0.5</v>
      </c>
      <c r="E357" s="807">
        <v>0</v>
      </c>
      <c r="F357" s="807">
        <v>0</v>
      </c>
      <c r="G357" s="807">
        <v>1.4</v>
      </c>
      <c r="H357" s="643">
        <v>2.89</v>
      </c>
      <c r="I357" s="643">
        <v>92.1</v>
      </c>
      <c r="J357" s="643" t="s">
        <v>744</v>
      </c>
      <c r="K357" s="643">
        <v>2.88</v>
      </c>
      <c r="L357" s="821">
        <v>0</v>
      </c>
      <c r="M357" s="643">
        <v>21.7</v>
      </c>
      <c r="N357" s="643" t="s">
        <v>744</v>
      </c>
      <c r="O357" s="643" t="s">
        <v>743</v>
      </c>
      <c r="P357" s="643">
        <v>1.89</v>
      </c>
      <c r="Q357" s="643">
        <v>2.2605151185621115</v>
      </c>
      <c r="R357" s="643">
        <v>682.46759841479525</v>
      </c>
      <c r="S357" s="643" t="s">
        <v>744</v>
      </c>
      <c r="T357" s="643">
        <v>8.01</v>
      </c>
      <c r="U357" s="643" t="s">
        <v>744</v>
      </c>
      <c r="V357" s="867">
        <v>0.65</v>
      </c>
      <c r="W357" s="868" t="e">
        <v>#VALUE!</v>
      </c>
      <c r="X357" s="869">
        <v>44.600000000000009</v>
      </c>
      <c r="Y357" s="806">
        <v>0</v>
      </c>
      <c r="Z357" s="807">
        <v>35.950000000000003</v>
      </c>
      <c r="AA357" s="870">
        <v>0</v>
      </c>
      <c r="AB357" s="870">
        <v>36.03</v>
      </c>
      <c r="AC357" s="775">
        <f t="shared" si="344"/>
        <v>36.03</v>
      </c>
      <c r="AD357" s="775">
        <f t="shared" si="345"/>
        <v>55.738410000000002</v>
      </c>
      <c r="AE357" s="705"/>
      <c r="AF357" s="775"/>
      <c r="AG357" s="705">
        <v>1</v>
      </c>
      <c r="AH357" s="705"/>
      <c r="AI357" s="705"/>
      <c r="AJ357" s="675"/>
      <c r="AK357" s="407"/>
      <c r="AL357" s="407"/>
      <c r="AM357" s="407"/>
      <c r="AN357" s="407"/>
      <c r="AO357" s="387"/>
      <c r="AP357" s="387"/>
      <c r="AQ357" s="405"/>
      <c r="AR357" s="578">
        <v>0</v>
      </c>
      <c r="AS357" s="405">
        <v>11.4</v>
      </c>
      <c r="AT357" s="578">
        <v>0</v>
      </c>
      <c r="AU357" s="405">
        <v>0</v>
      </c>
      <c r="AV357" s="405">
        <v>0</v>
      </c>
      <c r="AW357" s="405">
        <v>1192.5</v>
      </c>
      <c r="AX357" s="405">
        <v>0</v>
      </c>
      <c r="AY357" s="578">
        <v>0</v>
      </c>
      <c r="AZ357" s="578">
        <v>0</v>
      </c>
      <c r="BA357" s="578">
        <v>0</v>
      </c>
      <c r="BB357" s="925">
        <v>0.99</v>
      </c>
      <c r="BC357" s="405">
        <v>0.5</v>
      </c>
      <c r="BD357" s="405">
        <v>1.5</v>
      </c>
      <c r="BE357" s="578">
        <v>0</v>
      </c>
      <c r="BF357" s="405">
        <v>0.49</v>
      </c>
      <c r="BG357" s="405">
        <v>0</v>
      </c>
      <c r="BH357" s="578">
        <v>0</v>
      </c>
      <c r="BI357" s="405">
        <v>0</v>
      </c>
      <c r="BJ357" s="405">
        <v>33.799999999999997</v>
      </c>
      <c r="BK357" s="405">
        <v>2.98</v>
      </c>
      <c r="BL357" s="405">
        <v>3.51</v>
      </c>
      <c r="BM357" s="405">
        <v>0</v>
      </c>
      <c r="BN357" s="405">
        <v>26.1</v>
      </c>
      <c r="BO357" s="405">
        <v>612.5</v>
      </c>
      <c r="BP357" s="405">
        <v>0</v>
      </c>
      <c r="BQ357" s="649">
        <v>20.81</v>
      </c>
      <c r="BR357" s="649">
        <v>21.1</v>
      </c>
      <c r="BS357" s="649">
        <v>0</v>
      </c>
      <c r="BT357" s="649">
        <v>0</v>
      </c>
      <c r="BU357" s="648">
        <v>0</v>
      </c>
      <c r="BV357" s="648">
        <v>5.0999999999999996</v>
      </c>
      <c r="BW357" s="522">
        <v>584</v>
      </c>
      <c r="BX357" s="878"/>
      <c r="BY357" s="522">
        <v>6.75</v>
      </c>
      <c r="BZ357" s="522">
        <v>1.28</v>
      </c>
      <c r="CA357" s="522">
        <v>1.2</v>
      </c>
      <c r="CB357" s="522">
        <v>8.6999999999999993</v>
      </c>
      <c r="CC357" s="522">
        <v>8</v>
      </c>
      <c r="CD357" s="522">
        <v>14.4</v>
      </c>
      <c r="CE357" s="522">
        <v>29.9</v>
      </c>
      <c r="CF357" s="522">
        <v>14.7</v>
      </c>
      <c r="CG357" s="522">
        <v>4.62</v>
      </c>
      <c r="CH357" s="522">
        <v>9.5</v>
      </c>
      <c r="CI357" s="522">
        <v>14.2</v>
      </c>
      <c r="CJ357" s="522">
        <v>13.28</v>
      </c>
      <c r="CK357" s="522">
        <v>0</v>
      </c>
      <c r="CL357" s="522">
        <v>1.5</v>
      </c>
      <c r="CM357" s="522">
        <v>1.3</v>
      </c>
      <c r="CN357" s="522">
        <v>350.8</v>
      </c>
      <c r="CO357" s="522">
        <v>275.8</v>
      </c>
      <c r="CP357" s="522">
        <v>554.5</v>
      </c>
      <c r="CQ357" s="522">
        <v>16</v>
      </c>
      <c r="CR357" s="522">
        <v>1.03</v>
      </c>
      <c r="CS357" s="405">
        <v>10986.4</v>
      </c>
      <c r="CT357" s="405">
        <v>17.608000000000001</v>
      </c>
      <c r="CU357" s="405">
        <v>51</v>
      </c>
      <c r="CV357" s="522">
        <v>0</v>
      </c>
      <c r="CW357" s="522">
        <v>0</v>
      </c>
      <c r="CX357" s="522">
        <v>0</v>
      </c>
      <c r="CY357" s="522">
        <v>0</v>
      </c>
      <c r="CZ357" s="642">
        <v>1130</v>
      </c>
      <c r="DA357" s="642">
        <v>1760</v>
      </c>
      <c r="DB357" s="642">
        <v>1110</v>
      </c>
      <c r="DC357" s="642">
        <v>1078.75</v>
      </c>
      <c r="DD357" s="522"/>
      <c r="DE357" s="522"/>
      <c r="DF357" s="522"/>
      <c r="DG357" s="522"/>
      <c r="DH357" s="522"/>
      <c r="DI357" s="522"/>
      <c r="DJ357" s="522"/>
      <c r="DK357" s="522"/>
      <c r="DL357" s="522"/>
      <c r="DM357" s="522"/>
      <c r="DN357" s="522"/>
      <c r="DO357" s="522"/>
      <c r="DP357" s="522"/>
      <c r="DQ357" s="522"/>
      <c r="DR357" s="522"/>
      <c r="DS357" s="522"/>
      <c r="DT357" s="522"/>
      <c r="DU357" s="522"/>
      <c r="DV357" s="522"/>
      <c r="DW357" s="522"/>
      <c r="DX357" s="522"/>
      <c r="DY357" s="522"/>
      <c r="DZ357" s="522"/>
      <c r="EA357" s="522"/>
      <c r="EB357" s="522"/>
      <c r="EC357" s="522"/>
      <c r="ED357" s="522"/>
      <c r="EE357" s="522"/>
      <c r="EF357" s="522"/>
      <c r="EG357" s="649">
        <f t="shared" si="343"/>
        <v>13.923</v>
      </c>
      <c r="EH357" s="649">
        <v>0</v>
      </c>
      <c r="EI357" s="649">
        <v>0</v>
      </c>
      <c r="EJ357" s="522">
        <v>2.5</v>
      </c>
      <c r="EK357" s="649">
        <v>6.5</v>
      </c>
      <c r="EL357" s="522"/>
      <c r="EM357" s="522"/>
      <c r="EN357" s="522"/>
      <c r="EO357" s="522"/>
      <c r="EP357" s="522"/>
      <c r="EQ357" s="522"/>
      <c r="ER357" s="522"/>
      <c r="ES357" s="407"/>
      <c r="ET357" s="407"/>
    </row>
    <row r="358" spans="1:150" s="357" customFormat="1" ht="16.5">
      <c r="A358" s="675" t="s">
        <v>7</v>
      </c>
      <c r="B358" s="712">
        <v>41984</v>
      </c>
      <c r="C358" s="358">
        <v>0</v>
      </c>
      <c r="D358" s="405">
        <v>0.08</v>
      </c>
      <c r="E358" s="681">
        <v>0</v>
      </c>
      <c r="F358" s="681">
        <v>0</v>
      </c>
      <c r="G358" s="681">
        <v>1.4</v>
      </c>
      <c r="H358" s="405">
        <v>3.45</v>
      </c>
      <c r="I358" s="405">
        <v>91.1</v>
      </c>
      <c r="J358" s="405" t="s">
        <v>744</v>
      </c>
      <c r="K358" s="405">
        <v>3.17</v>
      </c>
      <c r="L358" s="644">
        <v>2.6100000000005821</v>
      </c>
      <c r="M358" s="405">
        <v>21.3</v>
      </c>
      <c r="N358" s="405" t="s">
        <v>744</v>
      </c>
      <c r="O358" s="405" t="s">
        <v>743</v>
      </c>
      <c r="P358" s="405">
        <v>1.89</v>
      </c>
      <c r="Q358" s="405">
        <v>2.3012794562581282</v>
      </c>
      <c r="R358" s="405">
        <v>951.95646499339477</v>
      </c>
      <c r="S358" s="405" t="s">
        <v>744</v>
      </c>
      <c r="T358" s="405">
        <v>8.01</v>
      </c>
      <c r="U358" s="405" t="s">
        <v>744</v>
      </c>
      <c r="V358" s="406">
        <v>0.65</v>
      </c>
      <c r="W358" s="866" t="e">
        <v>#VALUE!</v>
      </c>
      <c r="X358" s="386">
        <v>44.600000000000009</v>
      </c>
      <c r="Y358" s="383">
        <v>0</v>
      </c>
      <c r="Z358" s="681">
        <v>36.03</v>
      </c>
      <c r="AA358" s="428">
        <v>10.8</v>
      </c>
      <c r="AB358" s="428">
        <v>35.43</v>
      </c>
      <c r="AC358" s="775">
        <f t="shared" ref="AC358" si="346">AA358+AB358</f>
        <v>46.230000000000004</v>
      </c>
      <c r="AD358" s="775">
        <f t="shared" ref="AD358" si="347">AC358*1.547</f>
        <v>71.517809999999997</v>
      </c>
      <c r="AE358" s="705"/>
      <c r="AF358" s="775"/>
      <c r="AG358" s="705">
        <v>1</v>
      </c>
      <c r="AH358" s="705"/>
      <c r="AI358" s="705"/>
      <c r="AJ358" s="675"/>
      <c r="AK358" s="407"/>
      <c r="AL358" s="407"/>
      <c r="AM358" s="407"/>
      <c r="AN358" s="407"/>
      <c r="AO358" s="387"/>
      <c r="AP358" s="387"/>
      <c r="AQ358" s="405"/>
      <c r="AR358" s="578">
        <v>0</v>
      </c>
      <c r="AS358" s="405">
        <v>13.5</v>
      </c>
      <c r="AT358" s="578">
        <v>0</v>
      </c>
      <c r="AU358" s="405">
        <v>8.9</v>
      </c>
      <c r="AV358" s="405">
        <v>0</v>
      </c>
      <c r="AW358" s="405">
        <v>184.8</v>
      </c>
      <c r="AX358" s="405">
        <v>0</v>
      </c>
      <c r="AY358" s="578">
        <v>0</v>
      </c>
      <c r="AZ358" s="578">
        <v>0</v>
      </c>
      <c r="BA358" s="578">
        <v>0</v>
      </c>
      <c r="BB358" s="925">
        <v>1</v>
      </c>
      <c r="BC358" s="405">
        <v>0.51</v>
      </c>
      <c r="BD358" s="405">
        <v>1.5</v>
      </c>
      <c r="BE358" s="578">
        <v>0</v>
      </c>
      <c r="BF358" s="405">
        <v>0.5</v>
      </c>
      <c r="BG358" s="405">
        <v>0</v>
      </c>
      <c r="BH358" s="578">
        <v>0</v>
      </c>
      <c r="BI358" s="405">
        <v>0</v>
      </c>
      <c r="BJ358" s="405">
        <v>33.6</v>
      </c>
      <c r="BK358" s="405">
        <v>2.97</v>
      </c>
      <c r="BL358" s="405">
        <v>3.51</v>
      </c>
      <c r="BM358" s="405">
        <v>0</v>
      </c>
      <c r="BN358" s="405">
        <v>25.9</v>
      </c>
      <c r="BO358" s="405">
        <v>763.6</v>
      </c>
      <c r="BP358" s="405">
        <v>0</v>
      </c>
      <c r="BQ358" s="649">
        <v>21.38</v>
      </c>
      <c r="BR358" s="649">
        <v>21.67</v>
      </c>
      <c r="BS358" s="649">
        <v>1.44</v>
      </c>
      <c r="BT358" s="649">
        <v>1.28</v>
      </c>
      <c r="BU358" s="648">
        <v>8.1</v>
      </c>
      <c r="BV358" s="648">
        <v>4.2</v>
      </c>
      <c r="BW358" s="522">
        <v>471.2</v>
      </c>
      <c r="BX358" s="878"/>
      <c r="BY358" s="522">
        <v>10</v>
      </c>
      <c r="BZ358" s="522">
        <v>1.23</v>
      </c>
      <c r="CA358" s="522">
        <v>1.2</v>
      </c>
      <c r="CB358" s="522">
        <v>8.6999999999999993</v>
      </c>
      <c r="CC358" s="522">
        <v>8</v>
      </c>
      <c r="CD358" s="522">
        <v>14.1</v>
      </c>
      <c r="CE358" s="522">
        <v>29.8</v>
      </c>
      <c r="CF358" s="522">
        <v>14.3</v>
      </c>
      <c r="CG358" s="522">
        <v>3.6</v>
      </c>
      <c r="CH358" s="522">
        <v>8.4499999999999993</v>
      </c>
      <c r="CI358" s="522">
        <v>12.5</v>
      </c>
      <c r="CJ358" s="522">
        <v>13.06</v>
      </c>
      <c r="CK358" s="522">
        <v>0</v>
      </c>
      <c r="CL358" s="522">
        <v>1.9</v>
      </c>
      <c r="CM358" s="522">
        <v>2.1</v>
      </c>
      <c r="CN358" s="522">
        <v>314</v>
      </c>
      <c r="CO358" s="522">
        <v>292.89999999999998</v>
      </c>
      <c r="CP358" s="522">
        <v>560</v>
      </c>
      <c r="CQ358" s="522">
        <v>16.2</v>
      </c>
      <c r="CR358" s="522">
        <v>1.05</v>
      </c>
      <c r="CS358" s="405">
        <v>10998</v>
      </c>
      <c r="CT358" s="405">
        <v>18.641999999999999</v>
      </c>
      <c r="CU358" s="405">
        <v>51</v>
      </c>
      <c r="CV358" s="522">
        <v>0</v>
      </c>
      <c r="CW358" s="522">
        <v>0</v>
      </c>
      <c r="CX358" s="522">
        <v>0</v>
      </c>
      <c r="CY358" s="522">
        <v>0</v>
      </c>
      <c r="CZ358" s="642">
        <v>1120</v>
      </c>
      <c r="DA358" s="642">
        <v>1720</v>
      </c>
      <c r="DB358" s="642">
        <v>1070</v>
      </c>
      <c r="DC358" s="1069">
        <v>1078.04</v>
      </c>
      <c r="DD358" s="522"/>
      <c r="DE358" s="522"/>
      <c r="DF358" s="522"/>
      <c r="DG358" s="522"/>
      <c r="DH358" s="522"/>
      <c r="DI358" s="522"/>
      <c r="DJ358" s="522"/>
      <c r="DK358" s="522"/>
      <c r="DL358" s="522"/>
      <c r="DM358" s="522"/>
      <c r="DN358" s="522"/>
      <c r="DO358" s="522"/>
      <c r="DP358" s="522"/>
      <c r="DQ358" s="522"/>
      <c r="DR358" s="522"/>
      <c r="DS358" s="522"/>
      <c r="DT358" s="522"/>
      <c r="DU358" s="522"/>
      <c r="DV358" s="522"/>
      <c r="DW358" s="522"/>
      <c r="DX358" s="522"/>
      <c r="DY358" s="522"/>
      <c r="DZ358" s="522"/>
      <c r="EA358" s="522"/>
      <c r="EB358" s="522"/>
      <c r="EC358" s="522"/>
      <c r="ED358" s="522"/>
      <c r="EE358" s="522"/>
      <c r="EF358" s="522"/>
      <c r="EG358" s="649">
        <f t="shared" si="343"/>
        <v>13.923</v>
      </c>
      <c r="EH358" s="649">
        <v>0</v>
      </c>
      <c r="EI358" s="649">
        <v>0</v>
      </c>
      <c r="EJ358" s="522">
        <v>2.5</v>
      </c>
      <c r="EK358" s="649">
        <v>6.5</v>
      </c>
      <c r="EL358" s="522"/>
      <c r="EM358" s="522"/>
      <c r="EN358" s="522"/>
      <c r="EO358" s="522"/>
      <c r="EP358" s="522"/>
      <c r="EQ358" s="522"/>
      <c r="ER358" s="522"/>
      <c r="ES358" s="407"/>
      <c r="ET358" s="407"/>
    </row>
    <row r="359" spans="1:150" s="357" customFormat="1" ht="15">
      <c r="A359" s="675" t="s">
        <v>8</v>
      </c>
      <c r="B359" s="712">
        <v>41985</v>
      </c>
      <c r="C359" s="358">
        <v>0</v>
      </c>
      <c r="D359" s="405">
        <v>0.08</v>
      </c>
      <c r="E359" s="681">
        <v>0</v>
      </c>
      <c r="F359" s="681">
        <v>0</v>
      </c>
      <c r="G359" s="681">
        <v>1.1000000000000001</v>
      </c>
      <c r="H359" s="405">
        <v>2.37</v>
      </c>
      <c r="I359" s="405">
        <v>92.83</v>
      </c>
      <c r="J359" s="405" t="s">
        <v>744</v>
      </c>
      <c r="K359" s="405">
        <v>1.84</v>
      </c>
      <c r="L359" s="644">
        <v>0</v>
      </c>
      <c r="M359" s="405">
        <v>21.5</v>
      </c>
      <c r="N359" s="405" t="s">
        <v>744</v>
      </c>
      <c r="O359" s="405">
        <v>0</v>
      </c>
      <c r="P359" s="405">
        <v>1.91</v>
      </c>
      <c r="Q359" s="405">
        <v>2.2624717298234511</v>
      </c>
      <c r="R359" s="405">
        <v>1081.1945151915454</v>
      </c>
      <c r="S359" s="405" t="s">
        <v>744</v>
      </c>
      <c r="T359" s="405">
        <v>8.06</v>
      </c>
      <c r="U359" s="405" t="s">
        <v>744</v>
      </c>
      <c r="V359" s="406">
        <v>0.65</v>
      </c>
      <c r="W359" s="866" t="e">
        <v>#VALUE!</v>
      </c>
      <c r="X359" s="386">
        <v>43.88000000000001</v>
      </c>
      <c r="Y359" s="383">
        <v>10.8</v>
      </c>
      <c r="Z359" s="681">
        <v>35.43</v>
      </c>
      <c r="AA359" s="428">
        <v>24</v>
      </c>
      <c r="AB359" s="428">
        <v>32.799999999999997</v>
      </c>
      <c r="AC359" s="775">
        <f t="shared" ref="AC359:AC361" si="348">AA359+AB359</f>
        <v>56.8</v>
      </c>
      <c r="AD359" s="775">
        <f t="shared" ref="AD359:AD361" si="349">AC359*1.547</f>
        <v>87.869599999999991</v>
      </c>
      <c r="AE359" s="705"/>
      <c r="AF359" s="775"/>
      <c r="AG359" s="705">
        <v>1</v>
      </c>
      <c r="AH359" s="705"/>
      <c r="AI359" s="705"/>
      <c r="AJ359" s="675"/>
      <c r="AK359" s="407"/>
      <c r="AL359" s="407"/>
      <c r="AM359" s="407"/>
      <c r="AN359" s="407"/>
      <c r="AO359" s="387"/>
      <c r="AP359" s="387"/>
      <c r="AQ359" s="405"/>
      <c r="AR359" s="578">
        <v>0</v>
      </c>
      <c r="AS359" s="405">
        <v>21.7</v>
      </c>
      <c r="AT359" s="578">
        <v>0</v>
      </c>
      <c r="AU359" s="405">
        <v>24.8</v>
      </c>
      <c r="AV359" s="405">
        <v>282.39999999999998</v>
      </c>
      <c r="AW359" s="405">
        <v>524</v>
      </c>
      <c r="AX359" s="405">
        <v>0</v>
      </c>
      <c r="AY359" s="578">
        <v>0</v>
      </c>
      <c r="AZ359" s="578">
        <v>0</v>
      </c>
      <c r="BA359" s="578">
        <v>0</v>
      </c>
      <c r="BB359" s="925">
        <v>1</v>
      </c>
      <c r="BC359" s="405">
        <v>0.5</v>
      </c>
      <c r="BD359" s="405">
        <v>1.5</v>
      </c>
      <c r="BE359" s="578">
        <v>0</v>
      </c>
      <c r="BF359" s="405">
        <v>0.5</v>
      </c>
      <c r="BG359" s="405">
        <v>0</v>
      </c>
      <c r="BH359" s="578">
        <v>0</v>
      </c>
      <c r="BI359" s="405">
        <v>0</v>
      </c>
      <c r="BJ359" s="405">
        <v>30.5</v>
      </c>
      <c r="BK359" s="405">
        <v>3.04</v>
      </c>
      <c r="BL359" s="405">
        <v>3.51</v>
      </c>
      <c r="BM359" s="405">
        <v>0</v>
      </c>
      <c r="BN359" s="405">
        <v>22.7</v>
      </c>
      <c r="BO359" s="405">
        <v>1652.2</v>
      </c>
      <c r="BP359" s="405">
        <v>0</v>
      </c>
      <c r="BQ359" s="649">
        <v>20.8</v>
      </c>
      <c r="BR359" s="649">
        <v>21</v>
      </c>
      <c r="BS359" s="649">
        <v>9.65</v>
      </c>
      <c r="BT359" s="649">
        <v>9.6300000000000008</v>
      </c>
      <c r="BU359" s="648">
        <v>23.3</v>
      </c>
      <c r="BV359" s="648">
        <v>25.1</v>
      </c>
      <c r="BW359" s="522">
        <v>513.29999999999995</v>
      </c>
      <c r="BX359" s="878"/>
      <c r="BY359" s="522">
        <v>7.35</v>
      </c>
      <c r="BZ359" s="522">
        <v>1.45</v>
      </c>
      <c r="CA359" s="522">
        <v>1.2</v>
      </c>
      <c r="CB359" s="522">
        <v>8.6999999999999993</v>
      </c>
      <c r="CC359" s="522">
        <v>8</v>
      </c>
      <c r="CD359" s="522">
        <v>15.6</v>
      </c>
      <c r="CE359" s="522">
        <v>29.7</v>
      </c>
      <c r="CF359" s="522">
        <v>13.9</v>
      </c>
      <c r="CG359" s="522">
        <v>7</v>
      </c>
      <c r="CH359" s="522">
        <v>12.5</v>
      </c>
      <c r="CI359" s="522">
        <v>16.600000000000001</v>
      </c>
      <c r="CJ359" s="522">
        <v>13.1</v>
      </c>
      <c r="CK359" s="522">
        <v>0</v>
      </c>
      <c r="CL359" s="522">
        <v>3</v>
      </c>
      <c r="CM359" s="522">
        <v>2.6</v>
      </c>
      <c r="CN359" s="522">
        <v>523.70000000000005</v>
      </c>
      <c r="CO359" s="522">
        <v>277.39999999999998</v>
      </c>
      <c r="CP359" s="522">
        <v>550.20000000000005</v>
      </c>
      <c r="CQ359" s="522">
        <v>15.1</v>
      </c>
      <c r="CR359" s="522">
        <v>0.96</v>
      </c>
      <c r="CS359" s="405">
        <v>1310.3</v>
      </c>
      <c r="CT359" s="405">
        <v>17.867000000000001</v>
      </c>
      <c r="CU359" s="405">
        <v>49</v>
      </c>
      <c r="CV359" s="522">
        <v>0</v>
      </c>
      <c r="CW359" s="522">
        <v>0</v>
      </c>
      <c r="CX359" s="522">
        <v>0</v>
      </c>
      <c r="CY359" s="522">
        <v>0</v>
      </c>
      <c r="CZ359" s="642">
        <v>861</v>
      </c>
      <c r="DA359" s="642">
        <v>1400</v>
      </c>
      <c r="DB359" s="642">
        <v>844</v>
      </c>
      <c r="DC359" s="642">
        <v>1079.3</v>
      </c>
      <c r="DD359" s="522"/>
      <c r="DE359" s="522"/>
      <c r="DF359" s="522"/>
      <c r="DG359" s="522"/>
      <c r="DH359" s="522"/>
      <c r="DI359" s="522"/>
      <c r="DJ359" s="522"/>
      <c r="DK359" s="522"/>
      <c r="DL359" s="522"/>
      <c r="DM359" s="522"/>
      <c r="DN359" s="522"/>
      <c r="DO359" s="522"/>
      <c r="DP359" s="522"/>
      <c r="DQ359" s="522"/>
      <c r="DR359" s="522"/>
      <c r="DS359" s="522"/>
      <c r="DT359" s="522"/>
      <c r="DU359" s="522"/>
      <c r="DV359" s="522"/>
      <c r="DW359" s="522"/>
      <c r="DX359" s="522"/>
      <c r="DY359" s="522"/>
      <c r="DZ359" s="522"/>
      <c r="EA359" s="522"/>
      <c r="EB359" s="522"/>
      <c r="EC359" s="522"/>
      <c r="ED359" s="522"/>
      <c r="EE359" s="522"/>
      <c r="EF359" s="522"/>
      <c r="EG359" s="649">
        <f t="shared" ref="EG359:EG365" si="350">(SUM(EH359:EK359))*1.547</f>
        <v>13.923</v>
      </c>
      <c r="EH359" s="649">
        <v>0</v>
      </c>
      <c r="EI359" s="649">
        <v>0</v>
      </c>
      <c r="EJ359" s="522">
        <v>2.5</v>
      </c>
      <c r="EK359" s="649">
        <v>6.5</v>
      </c>
      <c r="EL359" s="522"/>
      <c r="EM359" s="522"/>
      <c r="EN359" s="522"/>
      <c r="EO359" s="522"/>
      <c r="EP359" s="522"/>
      <c r="EQ359" s="522"/>
      <c r="ER359" s="522"/>
      <c r="ES359" s="407"/>
      <c r="ET359" s="407"/>
    </row>
    <row r="360" spans="1:150" s="357" customFormat="1" ht="15">
      <c r="A360" s="675" t="s">
        <v>9</v>
      </c>
      <c r="B360" s="712">
        <v>41986</v>
      </c>
      <c r="C360" s="358">
        <v>0</v>
      </c>
      <c r="D360" s="405">
        <v>0.04</v>
      </c>
      <c r="E360" s="681">
        <v>0</v>
      </c>
      <c r="F360" s="681">
        <v>0</v>
      </c>
      <c r="G360" s="681">
        <v>1.1000000000000001</v>
      </c>
      <c r="H360" s="405">
        <v>1.57</v>
      </c>
      <c r="I360" s="405">
        <v>92.87</v>
      </c>
      <c r="J360" s="405" t="s">
        <v>744</v>
      </c>
      <c r="K360" s="405">
        <v>1.1299999999999999</v>
      </c>
      <c r="L360" s="644">
        <v>2.6300000000010186</v>
      </c>
      <c r="M360" s="405">
        <v>21.4</v>
      </c>
      <c r="N360" s="405" t="s">
        <v>744</v>
      </c>
      <c r="O360" s="405" t="s">
        <v>743</v>
      </c>
      <c r="P360" s="405">
        <v>1.97</v>
      </c>
      <c r="Q360" s="405">
        <v>2.1905669781425052</v>
      </c>
      <c r="R360" s="405">
        <v>952.92817965653876</v>
      </c>
      <c r="S360" s="405" t="s">
        <v>744</v>
      </c>
      <c r="T360" s="405">
        <v>8.0500000000000007</v>
      </c>
      <c r="U360" s="405" t="s">
        <v>744</v>
      </c>
      <c r="V360" s="406">
        <v>0.64</v>
      </c>
      <c r="W360" s="866" t="e">
        <v>#VALUE!</v>
      </c>
      <c r="X360" s="386">
        <v>43.34</v>
      </c>
      <c r="Y360" s="383">
        <v>24</v>
      </c>
      <c r="Z360" s="681">
        <v>32.799999999999997</v>
      </c>
      <c r="AA360" s="428">
        <v>24.1</v>
      </c>
      <c r="AB360" s="428">
        <v>27.4</v>
      </c>
      <c r="AC360" s="775">
        <f t="shared" si="348"/>
        <v>51.5</v>
      </c>
      <c r="AD360" s="775">
        <f t="shared" si="349"/>
        <v>79.67049999999999</v>
      </c>
      <c r="AE360" s="705"/>
      <c r="AF360" s="775"/>
      <c r="AG360" s="705">
        <v>1</v>
      </c>
      <c r="AH360" s="705"/>
      <c r="AI360" s="705"/>
      <c r="AJ360" s="675"/>
      <c r="AK360" s="407"/>
      <c r="AL360" s="407"/>
      <c r="AM360" s="407"/>
      <c r="AN360" s="407"/>
      <c r="AO360" s="387"/>
      <c r="AP360" s="387"/>
      <c r="AQ360" s="405"/>
      <c r="AR360" s="578">
        <v>0</v>
      </c>
      <c r="AS360" s="405">
        <v>22.3</v>
      </c>
      <c r="AT360" s="578">
        <v>0</v>
      </c>
      <c r="AU360" s="405">
        <v>25</v>
      </c>
      <c r="AV360" s="405">
        <v>590.70000000000005</v>
      </c>
      <c r="AW360" s="405">
        <v>627.1</v>
      </c>
      <c r="AX360" s="405">
        <v>0</v>
      </c>
      <c r="AY360" s="578">
        <v>0</v>
      </c>
      <c r="AZ360" s="578">
        <v>0</v>
      </c>
      <c r="BA360" s="578">
        <v>0</v>
      </c>
      <c r="BB360" s="925">
        <v>1.01</v>
      </c>
      <c r="BC360" s="405">
        <v>0.5</v>
      </c>
      <c r="BD360" s="405">
        <v>1.5</v>
      </c>
      <c r="BE360" s="578">
        <v>0</v>
      </c>
      <c r="BF360" s="405">
        <v>0.49</v>
      </c>
      <c r="BG360" s="405">
        <v>0</v>
      </c>
      <c r="BH360" s="578">
        <v>0</v>
      </c>
      <c r="BI360" s="405">
        <v>0</v>
      </c>
      <c r="BJ360" s="405">
        <v>25.1</v>
      </c>
      <c r="BK360" s="405">
        <v>3.07</v>
      </c>
      <c r="BL360" s="405">
        <v>3.51</v>
      </c>
      <c r="BM360" s="405">
        <v>0</v>
      </c>
      <c r="BN360" s="405">
        <v>17.399999999999999</v>
      </c>
      <c r="BO360" s="405">
        <v>660.5</v>
      </c>
      <c r="BP360" s="405">
        <v>0</v>
      </c>
      <c r="BQ360" s="522">
        <v>19.600000000000001</v>
      </c>
      <c r="BR360" s="522">
        <v>19.8</v>
      </c>
      <c r="BS360" s="649">
        <v>10.64</v>
      </c>
      <c r="BT360" s="649">
        <v>10.71</v>
      </c>
      <c r="BU360" s="648">
        <v>23.2</v>
      </c>
      <c r="BV360" s="648">
        <v>29.2</v>
      </c>
      <c r="BW360" s="522">
        <v>598.6</v>
      </c>
      <c r="BX360" s="878"/>
      <c r="BY360" s="522">
        <v>1.69</v>
      </c>
      <c r="BZ360" s="522">
        <v>1.5</v>
      </c>
      <c r="CA360" s="522">
        <v>1.3</v>
      </c>
      <c r="CB360" s="522">
        <v>8.8000000000000007</v>
      </c>
      <c r="CC360" s="522">
        <v>8</v>
      </c>
      <c r="CD360" s="522">
        <v>16.100000000000001</v>
      </c>
      <c r="CE360" s="522">
        <v>30.2</v>
      </c>
      <c r="CF360" s="522">
        <v>13.5</v>
      </c>
      <c r="CG360" s="522">
        <v>4.5999999999999996</v>
      </c>
      <c r="CH360" s="522">
        <v>9.5</v>
      </c>
      <c r="CI360" s="522">
        <v>14.1</v>
      </c>
      <c r="CJ360" s="522">
        <v>13</v>
      </c>
      <c r="CK360" s="522">
        <v>0</v>
      </c>
      <c r="CL360" s="522">
        <v>2.7</v>
      </c>
      <c r="CM360" s="522">
        <v>3.3</v>
      </c>
      <c r="CN360" s="522">
        <v>617.6</v>
      </c>
      <c r="CO360" s="522">
        <v>302.7</v>
      </c>
      <c r="CP360" s="522">
        <v>531.9</v>
      </c>
      <c r="CQ360" s="522">
        <v>13.3</v>
      </c>
      <c r="CR360" s="522">
        <v>0.84</v>
      </c>
      <c r="CS360" s="405">
        <v>0</v>
      </c>
      <c r="CT360" s="405">
        <v>17.206</v>
      </c>
      <c r="CU360" s="405">
        <v>48</v>
      </c>
      <c r="CV360" s="522">
        <v>0</v>
      </c>
      <c r="CW360" s="522">
        <v>0</v>
      </c>
      <c r="CX360" s="522">
        <v>0</v>
      </c>
      <c r="CY360" s="522">
        <v>0</v>
      </c>
      <c r="CZ360" s="642">
        <v>886</v>
      </c>
      <c r="DA360" s="642">
        <v>1380</v>
      </c>
      <c r="DB360" s="642">
        <v>868</v>
      </c>
      <c r="DC360" s="642">
        <v>1081.8</v>
      </c>
      <c r="DD360" s="522"/>
      <c r="DE360" s="522"/>
      <c r="DF360" s="522"/>
      <c r="DG360" s="522"/>
      <c r="DH360" s="522"/>
      <c r="DI360" s="522"/>
      <c r="DJ360" s="522"/>
      <c r="DK360" s="522"/>
      <c r="DL360" s="522"/>
      <c r="DM360" s="522"/>
      <c r="DN360" s="522"/>
      <c r="DO360" s="522"/>
      <c r="DP360" s="522"/>
      <c r="DQ360" s="522"/>
      <c r="DR360" s="522"/>
      <c r="DS360" s="522"/>
      <c r="DT360" s="522"/>
      <c r="DU360" s="522"/>
      <c r="DV360" s="522"/>
      <c r="DW360" s="522"/>
      <c r="DX360" s="522"/>
      <c r="DY360" s="522"/>
      <c r="DZ360" s="522"/>
      <c r="EA360" s="522"/>
      <c r="EB360" s="522"/>
      <c r="EC360" s="522"/>
      <c r="ED360" s="522"/>
      <c r="EE360" s="522"/>
      <c r="EF360" s="522"/>
      <c r="EG360" s="649">
        <f t="shared" si="350"/>
        <v>13.923</v>
      </c>
      <c r="EH360" s="649">
        <v>0</v>
      </c>
      <c r="EI360" s="649">
        <v>0</v>
      </c>
      <c r="EJ360" s="522">
        <v>2.5</v>
      </c>
      <c r="EK360" s="649">
        <v>6.5</v>
      </c>
      <c r="EL360" s="522"/>
      <c r="EM360" s="522"/>
      <c r="EN360" s="522"/>
      <c r="EO360" s="522"/>
      <c r="EP360" s="522"/>
      <c r="EQ360" s="522"/>
      <c r="ER360" s="522"/>
      <c r="ES360" s="407"/>
      <c r="ET360" s="407"/>
    </row>
    <row r="361" spans="1:150" s="357" customFormat="1" ht="15">
      <c r="A361" s="675" t="s">
        <v>3</v>
      </c>
      <c r="B361" s="712">
        <v>41987</v>
      </c>
      <c r="C361" s="358">
        <v>0</v>
      </c>
      <c r="D361" s="405">
        <v>0.01</v>
      </c>
      <c r="E361" s="681">
        <v>0</v>
      </c>
      <c r="F361" s="681">
        <v>0</v>
      </c>
      <c r="G361" s="681">
        <v>1.1000000000000001</v>
      </c>
      <c r="H361" s="405">
        <v>2.1800000000000002</v>
      </c>
      <c r="I361" s="405">
        <v>93.73</v>
      </c>
      <c r="J361" s="405" t="s">
        <v>744</v>
      </c>
      <c r="K361" s="405">
        <v>1.81</v>
      </c>
      <c r="L361" s="644">
        <v>1.9899999999979627</v>
      </c>
      <c r="M361" s="405">
        <v>21.3</v>
      </c>
      <c r="N361" s="405" t="s">
        <v>744</v>
      </c>
      <c r="O361" s="405" t="s">
        <v>743</v>
      </c>
      <c r="P361" s="405">
        <v>1.95</v>
      </c>
      <c r="Q361" s="405">
        <v>2.1676753402350988</v>
      </c>
      <c r="R361" s="405">
        <v>917.29864200792576</v>
      </c>
      <c r="S361" s="405" t="s">
        <v>744</v>
      </c>
      <c r="T361" s="405">
        <v>8.11</v>
      </c>
      <c r="U361" s="405" t="s">
        <v>744</v>
      </c>
      <c r="V361" s="406">
        <v>0.65</v>
      </c>
      <c r="W361" s="866" t="e">
        <v>#VALUE!</v>
      </c>
      <c r="X361" s="386">
        <v>40.64</v>
      </c>
      <c r="Y361" s="383">
        <v>24.1</v>
      </c>
      <c r="Z361" s="681">
        <v>27.4</v>
      </c>
      <c r="AA361" s="428">
        <v>24.2</v>
      </c>
      <c r="AB361" s="428">
        <v>25.9</v>
      </c>
      <c r="AC361" s="775">
        <f t="shared" si="348"/>
        <v>50.099999999999994</v>
      </c>
      <c r="AD361" s="775">
        <f t="shared" si="349"/>
        <v>77.504699999999985</v>
      </c>
      <c r="AE361" s="705"/>
      <c r="AF361" s="705"/>
      <c r="AG361" s="705">
        <v>1</v>
      </c>
      <c r="AH361" s="705"/>
      <c r="AI361" s="705"/>
      <c r="AJ361" s="407"/>
      <c r="AK361" s="407"/>
      <c r="AL361" s="407"/>
      <c r="AM361" s="407"/>
      <c r="AN361" s="407"/>
      <c r="AO361" s="387"/>
      <c r="AP361" s="387"/>
      <c r="AQ361" s="405"/>
      <c r="AR361" s="578">
        <v>0</v>
      </c>
      <c r="AS361" s="405">
        <v>12.1</v>
      </c>
      <c r="AT361" s="578">
        <v>0</v>
      </c>
      <c r="AU361" s="405">
        <v>25.1</v>
      </c>
      <c r="AV361" s="405">
        <v>425.8</v>
      </c>
      <c r="AW361" s="405">
        <v>594.9</v>
      </c>
      <c r="AX361" s="405">
        <v>0</v>
      </c>
      <c r="AY361" s="578">
        <v>0</v>
      </c>
      <c r="AZ361" s="578">
        <v>0</v>
      </c>
      <c r="BA361" s="578">
        <v>0</v>
      </c>
      <c r="BB361" s="925">
        <v>1.01</v>
      </c>
      <c r="BC361" s="405">
        <v>0.5</v>
      </c>
      <c r="BD361" s="405">
        <v>1.5</v>
      </c>
      <c r="BE361" s="578">
        <v>0</v>
      </c>
      <c r="BF361" s="405">
        <v>0.5</v>
      </c>
      <c r="BG361" s="405">
        <v>0</v>
      </c>
      <c r="BH361" s="578">
        <v>0</v>
      </c>
      <c r="BI361" s="405">
        <v>0</v>
      </c>
      <c r="BJ361" s="405">
        <v>23.6</v>
      </c>
      <c r="BK361" s="405">
        <v>2.39</v>
      </c>
      <c r="BL361" s="405">
        <v>4.01</v>
      </c>
      <c r="BM361" s="405">
        <v>0</v>
      </c>
      <c r="BN361" s="405">
        <v>16.100000000000001</v>
      </c>
      <c r="BO361" s="405">
        <v>754.7</v>
      </c>
      <c r="BP361" s="405">
        <v>0</v>
      </c>
      <c r="BQ361" s="522">
        <v>18.600000000000001</v>
      </c>
      <c r="BR361" s="522">
        <v>18.899999999999999</v>
      </c>
      <c r="BS361" s="649">
        <v>10.6</v>
      </c>
      <c r="BT361" s="649">
        <v>10.7</v>
      </c>
      <c r="BU361" s="648">
        <v>23.3</v>
      </c>
      <c r="BV361" s="648">
        <v>28.8</v>
      </c>
      <c r="BW361" s="522">
        <v>621.6</v>
      </c>
      <c r="BX361" s="878"/>
      <c r="BY361" s="522">
        <v>1.56</v>
      </c>
      <c r="BZ361" s="522">
        <v>1.46</v>
      </c>
      <c r="CA361" s="522">
        <v>1.2</v>
      </c>
      <c r="CB361" s="522">
        <v>8.8000000000000007</v>
      </c>
      <c r="CC361" s="522">
        <v>8</v>
      </c>
      <c r="CD361" s="522">
        <v>14.2</v>
      </c>
      <c r="CE361" s="522">
        <v>30.3</v>
      </c>
      <c r="CF361" s="522">
        <v>12.8</v>
      </c>
      <c r="CG361" s="522">
        <v>2.7</v>
      </c>
      <c r="CH361" s="522">
        <v>7.4</v>
      </c>
      <c r="CI361" s="522">
        <v>11.6</v>
      </c>
      <c r="CJ361" s="522">
        <v>12.9</v>
      </c>
      <c r="CK361" s="522">
        <v>0</v>
      </c>
      <c r="CL361" s="522">
        <v>1.5</v>
      </c>
      <c r="CM361" s="522">
        <v>3.2</v>
      </c>
      <c r="CN361" s="522">
        <v>673.5</v>
      </c>
      <c r="CO361" s="522">
        <v>316.10000000000002</v>
      </c>
      <c r="CP361" s="522">
        <v>544.79999999999995</v>
      </c>
      <c r="CQ361" s="522">
        <v>13.1</v>
      </c>
      <c r="CR361" s="522">
        <v>0.82</v>
      </c>
      <c r="CS361" s="405">
        <v>0</v>
      </c>
      <c r="CT361" s="405">
        <v>17.75</v>
      </c>
      <c r="CU361" s="405">
        <v>47</v>
      </c>
      <c r="CV361" s="522">
        <v>0</v>
      </c>
      <c r="CW361" s="522">
        <v>0</v>
      </c>
      <c r="CX361" s="522">
        <v>0</v>
      </c>
      <c r="CY361" s="522">
        <v>0</v>
      </c>
      <c r="CZ361" s="642">
        <v>891</v>
      </c>
      <c r="DA361" s="642">
        <v>1340</v>
      </c>
      <c r="DB361" s="642">
        <v>872</v>
      </c>
      <c r="DC361" s="642">
        <v>1082.9100000000001</v>
      </c>
      <c r="DD361" s="522"/>
      <c r="DE361" s="522"/>
      <c r="DF361" s="522"/>
      <c r="DG361" s="522"/>
      <c r="DH361" s="522"/>
      <c r="DI361" s="522"/>
      <c r="DJ361" s="522"/>
      <c r="DK361" s="522"/>
      <c r="DL361" s="522"/>
      <c r="DM361" s="522"/>
      <c r="DN361" s="522"/>
      <c r="DO361" s="522"/>
      <c r="DP361" s="522"/>
      <c r="DQ361" s="522"/>
      <c r="DR361" s="522"/>
      <c r="DS361" s="522"/>
      <c r="DT361" s="522"/>
      <c r="DU361" s="522"/>
      <c r="DV361" s="522"/>
      <c r="DW361" s="522"/>
      <c r="DX361" s="522"/>
      <c r="DY361" s="522"/>
      <c r="DZ361" s="522"/>
      <c r="EA361" s="522"/>
      <c r="EB361" s="522"/>
      <c r="EC361" s="522"/>
      <c r="ED361" s="522"/>
      <c r="EE361" s="522"/>
      <c r="EF361" s="522"/>
      <c r="EG361" s="649">
        <f t="shared" si="350"/>
        <v>13.923</v>
      </c>
      <c r="EH361" s="649">
        <v>0</v>
      </c>
      <c r="EI361" s="649">
        <v>0</v>
      </c>
      <c r="EJ361" s="522">
        <v>2.5</v>
      </c>
      <c r="EK361" s="649">
        <v>6.5</v>
      </c>
      <c r="EL361" s="522"/>
      <c r="EM361" s="522"/>
      <c r="EN361" s="522"/>
      <c r="EO361" s="522"/>
      <c r="EP361" s="522"/>
      <c r="EQ361" s="522"/>
      <c r="ER361" s="522"/>
      <c r="ES361" s="407"/>
      <c r="ET361" s="407"/>
    </row>
    <row r="362" spans="1:150" s="357" customFormat="1" ht="15">
      <c r="A362" s="675" t="s">
        <v>4</v>
      </c>
      <c r="B362" s="712">
        <v>41988</v>
      </c>
      <c r="C362" s="358">
        <v>0</v>
      </c>
      <c r="D362" s="405">
        <v>0.01</v>
      </c>
      <c r="E362" s="681">
        <v>0</v>
      </c>
      <c r="F362" s="681">
        <v>0</v>
      </c>
      <c r="G362" s="681">
        <v>1.2</v>
      </c>
      <c r="H362" s="405">
        <v>2.4700000000000002</v>
      </c>
      <c r="I362" s="405">
        <v>93.3</v>
      </c>
      <c r="J362" s="405">
        <v>2.2400000000000002</v>
      </c>
      <c r="K362" s="405">
        <v>1.87</v>
      </c>
      <c r="L362" s="644">
        <v>2.0000000000436557E-2</v>
      </c>
      <c r="M362" s="405">
        <v>21.2</v>
      </c>
      <c r="N362" s="405" t="s">
        <v>744</v>
      </c>
      <c r="O362" s="405" t="s">
        <v>743</v>
      </c>
      <c r="P362" s="405">
        <v>1.81</v>
      </c>
      <c r="Q362" s="405">
        <v>2.1243339568949513</v>
      </c>
      <c r="R362" s="405">
        <v>897.54044385733141</v>
      </c>
      <c r="S362" s="405" t="s">
        <v>744</v>
      </c>
      <c r="T362" s="405">
        <v>8.16</v>
      </c>
      <c r="U362" s="405" t="s">
        <v>744</v>
      </c>
      <c r="V362" s="406">
        <v>0.64</v>
      </c>
      <c r="W362" s="866" t="e">
        <v>#VALUE!</v>
      </c>
      <c r="X362" s="386">
        <v>39.739999999999995</v>
      </c>
      <c r="Y362" s="383">
        <v>24.2</v>
      </c>
      <c r="Z362" s="681">
        <v>25.4</v>
      </c>
      <c r="AA362" s="428">
        <v>21.9</v>
      </c>
      <c r="AB362" s="428">
        <v>28.13</v>
      </c>
      <c r="AC362" s="775">
        <f t="shared" ref="AC362:AC363" si="351">AA362+AB362</f>
        <v>50.03</v>
      </c>
      <c r="AD362" s="775">
        <f t="shared" ref="AD362:AD363" si="352">AC362*1.547</f>
        <v>77.396410000000003</v>
      </c>
      <c r="AE362" s="705"/>
      <c r="AF362" s="705"/>
      <c r="AG362" s="705">
        <v>1</v>
      </c>
      <c r="AH362" s="705"/>
      <c r="AI362" s="705"/>
      <c r="AJ362" s="407"/>
      <c r="AK362" s="407"/>
      <c r="AL362" s="407"/>
      <c r="AM362" s="407"/>
      <c r="AN362" s="407"/>
      <c r="AO362" s="387"/>
      <c r="AP362" s="387"/>
      <c r="AQ362" s="405"/>
      <c r="AR362" s="578">
        <v>0</v>
      </c>
      <c r="AS362" s="405">
        <v>21.9</v>
      </c>
      <c r="AT362" s="578">
        <v>0</v>
      </c>
      <c r="AU362" s="405">
        <v>23.2</v>
      </c>
      <c r="AV362" s="405">
        <v>149.19999999999999</v>
      </c>
      <c r="AW362" s="405">
        <v>252</v>
      </c>
      <c r="AX362" s="405">
        <v>0</v>
      </c>
      <c r="AY362" s="578">
        <v>0</v>
      </c>
      <c r="AZ362" s="578">
        <v>0</v>
      </c>
      <c r="BA362" s="578">
        <v>0</v>
      </c>
      <c r="BB362" s="925">
        <v>1.01</v>
      </c>
      <c r="BC362" s="405">
        <v>0.47</v>
      </c>
      <c r="BD362" s="405">
        <v>1.5</v>
      </c>
      <c r="BE362" s="578">
        <v>0</v>
      </c>
      <c r="BF362" s="405">
        <v>0.49</v>
      </c>
      <c r="BG362" s="405">
        <v>0</v>
      </c>
      <c r="BH362" s="578">
        <v>0</v>
      </c>
      <c r="BI362" s="405">
        <v>0</v>
      </c>
      <c r="BJ362" s="405">
        <v>25.8</v>
      </c>
      <c r="BK362" s="405">
        <v>2.84</v>
      </c>
      <c r="BL362" s="405">
        <v>3.66</v>
      </c>
      <c r="BM362" s="405">
        <v>0</v>
      </c>
      <c r="BN362" s="405">
        <v>18.2</v>
      </c>
      <c r="BO362" s="405">
        <v>2080.9</v>
      </c>
      <c r="BP362" s="405">
        <v>0</v>
      </c>
      <c r="BQ362" s="522">
        <v>15.7</v>
      </c>
      <c r="BR362" s="522">
        <v>15.9</v>
      </c>
      <c r="BS362" s="649">
        <v>10.199999999999999</v>
      </c>
      <c r="BT362" s="649">
        <v>9.8000000000000007</v>
      </c>
      <c r="BU362" s="405">
        <v>22.2</v>
      </c>
      <c r="BV362" s="405">
        <v>33.1</v>
      </c>
      <c r="BW362" s="522">
        <v>429.8</v>
      </c>
      <c r="BX362" s="878"/>
      <c r="BY362" s="522">
        <v>1.53</v>
      </c>
      <c r="BZ362" s="522">
        <v>1.42</v>
      </c>
      <c r="CA362" s="522">
        <v>1.2</v>
      </c>
      <c r="CB362" s="522">
        <v>8.6999999999999993</v>
      </c>
      <c r="CC362" s="522">
        <v>8</v>
      </c>
      <c r="CD362" s="522">
        <v>14.8</v>
      </c>
      <c r="CE362" s="522">
        <v>29.6</v>
      </c>
      <c r="CF362" s="522">
        <v>14.7</v>
      </c>
      <c r="CG362" s="522">
        <v>8.3000000000000007</v>
      </c>
      <c r="CH362" s="522">
        <v>13.8</v>
      </c>
      <c r="CI362" s="522">
        <v>18.2</v>
      </c>
      <c r="CJ362" s="522">
        <v>12.5</v>
      </c>
      <c r="CK362" s="522">
        <v>0</v>
      </c>
      <c r="CL362" s="522">
        <v>2.4</v>
      </c>
      <c r="CM362" s="522">
        <v>2.5</v>
      </c>
      <c r="CN362" s="522">
        <v>474.9</v>
      </c>
      <c r="CO362" s="522">
        <v>283</v>
      </c>
      <c r="CP362" s="522">
        <v>564</v>
      </c>
      <c r="CQ362" s="522">
        <v>15.1</v>
      </c>
      <c r="CR362" s="522">
        <v>0.97</v>
      </c>
      <c r="CS362" s="405">
        <v>0</v>
      </c>
      <c r="CT362" s="405">
        <v>18.574000000000002</v>
      </c>
      <c r="CU362" s="405">
        <v>47</v>
      </c>
      <c r="CV362" s="522">
        <v>0</v>
      </c>
      <c r="CW362" s="522">
        <v>0</v>
      </c>
      <c r="CX362" s="522">
        <v>0</v>
      </c>
      <c r="CY362" s="522">
        <v>0</v>
      </c>
      <c r="CZ362" s="642">
        <v>1000</v>
      </c>
      <c r="DA362" s="642">
        <v>1355</v>
      </c>
      <c r="DB362" s="642">
        <v>945</v>
      </c>
      <c r="DC362" s="642">
        <v>1082.0999999999999</v>
      </c>
      <c r="DD362" s="522"/>
      <c r="DE362" s="522"/>
      <c r="DF362" s="522"/>
      <c r="DG362" s="522"/>
      <c r="DH362" s="522"/>
      <c r="DI362" s="522"/>
      <c r="DJ362" s="522"/>
      <c r="DK362" s="522"/>
      <c r="DL362" s="522"/>
      <c r="DM362" s="522"/>
      <c r="DN362" s="522"/>
      <c r="DO362" s="522"/>
      <c r="DP362" s="522"/>
      <c r="DQ362" s="522"/>
      <c r="DR362" s="522"/>
      <c r="DS362" s="522"/>
      <c r="DT362" s="522"/>
      <c r="DU362" s="522"/>
      <c r="DV362" s="522"/>
      <c r="DW362" s="522"/>
      <c r="DX362" s="522"/>
      <c r="DY362" s="522"/>
      <c r="DZ362" s="522"/>
      <c r="EA362" s="522"/>
      <c r="EB362" s="522"/>
      <c r="EC362" s="522"/>
      <c r="ED362" s="522"/>
      <c r="EE362" s="522"/>
      <c r="EF362" s="522"/>
      <c r="EG362" s="649">
        <f t="shared" si="350"/>
        <v>13.923</v>
      </c>
      <c r="EH362" s="649">
        <v>0</v>
      </c>
      <c r="EI362" s="649">
        <v>0</v>
      </c>
      <c r="EJ362" s="522">
        <v>2.5</v>
      </c>
      <c r="EK362" s="649">
        <v>6.5</v>
      </c>
      <c r="EL362" s="522"/>
      <c r="EM362" s="522"/>
      <c r="EN362" s="522"/>
      <c r="EO362" s="522"/>
      <c r="EP362" s="522"/>
      <c r="EQ362" s="522"/>
      <c r="ER362" s="522"/>
      <c r="ES362" s="407"/>
      <c r="ET362" s="407"/>
    </row>
    <row r="363" spans="1:150" s="357" customFormat="1" ht="15">
      <c r="A363" s="675" t="s">
        <v>5</v>
      </c>
      <c r="B363" s="712">
        <v>41989</v>
      </c>
      <c r="C363" s="358">
        <v>0</v>
      </c>
      <c r="D363" s="405">
        <v>0</v>
      </c>
      <c r="E363" s="681">
        <v>0</v>
      </c>
      <c r="F363" s="681">
        <v>0</v>
      </c>
      <c r="G363" s="681">
        <v>1.25</v>
      </c>
      <c r="H363" s="405">
        <v>2.5499999999999998</v>
      </c>
      <c r="I363" s="405">
        <v>94.3</v>
      </c>
      <c r="J363" s="405">
        <v>2.1800000000000002</v>
      </c>
      <c r="K363" s="405">
        <v>1.94</v>
      </c>
      <c r="L363" s="644">
        <v>0</v>
      </c>
      <c r="M363" s="405">
        <v>21.2</v>
      </c>
      <c r="N363" s="405">
        <v>1.8</v>
      </c>
      <c r="O363" s="405" t="s">
        <v>743</v>
      </c>
      <c r="P363" s="405">
        <v>1.71</v>
      </c>
      <c r="Q363" s="405">
        <v>2.0920712556182437</v>
      </c>
      <c r="R363" s="405">
        <v>762.47210568031687</v>
      </c>
      <c r="S363" s="405">
        <v>7.07</v>
      </c>
      <c r="T363" s="405">
        <v>8.1199999999999992</v>
      </c>
      <c r="U363" s="405" t="s">
        <v>744</v>
      </c>
      <c r="V363" s="406">
        <v>0.64</v>
      </c>
      <c r="W363" s="866" t="e">
        <v>#VALUE!</v>
      </c>
      <c r="X363" s="386">
        <v>41.180000000000007</v>
      </c>
      <c r="Y363" s="383">
        <v>21.9</v>
      </c>
      <c r="Z363" s="681">
        <v>28.13</v>
      </c>
      <c r="AA363" s="428">
        <v>19.89</v>
      </c>
      <c r="AB363" s="428">
        <v>33.17</v>
      </c>
      <c r="AC363" s="775">
        <f t="shared" si="351"/>
        <v>53.06</v>
      </c>
      <c r="AD363" s="775">
        <f t="shared" si="352"/>
        <v>82.083820000000003</v>
      </c>
      <c r="AE363" s="705"/>
      <c r="AF363" s="705"/>
      <c r="AG363" s="705">
        <v>1</v>
      </c>
      <c r="AH363" s="705"/>
      <c r="AI363" s="705"/>
      <c r="AJ363" s="407"/>
      <c r="AK363" s="407"/>
      <c r="AL363" s="407"/>
      <c r="AM363" s="407"/>
      <c r="AN363" s="407"/>
      <c r="AO363" s="387"/>
      <c r="AP363" s="387"/>
      <c r="AQ363" s="405"/>
      <c r="AR363" s="578">
        <v>0</v>
      </c>
      <c r="AS363" s="405">
        <v>11.4</v>
      </c>
      <c r="AT363" s="578">
        <v>0</v>
      </c>
      <c r="AU363" s="405">
        <v>20.6</v>
      </c>
      <c r="AV363" s="405">
        <v>207.3</v>
      </c>
      <c r="AW363" s="405">
        <v>295.89999999999998</v>
      </c>
      <c r="AX363" s="405">
        <v>0</v>
      </c>
      <c r="AY363" s="578">
        <v>0</v>
      </c>
      <c r="AZ363" s="578">
        <v>0</v>
      </c>
      <c r="BA363" s="578">
        <v>0</v>
      </c>
      <c r="BB363" s="925">
        <v>1</v>
      </c>
      <c r="BC363" s="405">
        <v>0.49</v>
      </c>
      <c r="BD363" s="405">
        <v>1.5</v>
      </c>
      <c r="BE363" s="578">
        <v>0</v>
      </c>
      <c r="BF363" s="405">
        <v>0.49</v>
      </c>
      <c r="BG363" s="405">
        <v>0</v>
      </c>
      <c r="BH363" s="578">
        <v>0</v>
      </c>
      <c r="BI363" s="405">
        <v>0</v>
      </c>
      <c r="BJ363" s="405">
        <v>30.9</v>
      </c>
      <c r="BK363" s="405">
        <v>3.41</v>
      </c>
      <c r="BL363" s="405">
        <v>3.66</v>
      </c>
      <c r="BM363" s="405">
        <v>0</v>
      </c>
      <c r="BN363" s="405">
        <v>22.6</v>
      </c>
      <c r="BO363" s="405">
        <v>0</v>
      </c>
      <c r="BP363" s="405">
        <v>0</v>
      </c>
      <c r="BQ363" s="522">
        <v>14.9</v>
      </c>
      <c r="BR363" s="522">
        <v>15.2</v>
      </c>
      <c r="BS363" s="649">
        <v>8.5</v>
      </c>
      <c r="BT363" s="649">
        <v>8.6</v>
      </c>
      <c r="BU363" s="405">
        <v>21.1</v>
      </c>
      <c r="BV363" s="405">
        <v>24.4</v>
      </c>
      <c r="BW363" s="522">
        <v>610.5</v>
      </c>
      <c r="BX363" s="878"/>
      <c r="BY363" s="522">
        <v>1.39</v>
      </c>
      <c r="BZ363" s="522">
        <v>1.41</v>
      </c>
      <c r="CA363" s="522">
        <v>1.2</v>
      </c>
      <c r="CB363" s="522">
        <v>8.8000000000000007</v>
      </c>
      <c r="CC363" s="522">
        <v>8</v>
      </c>
      <c r="CD363" s="522">
        <v>15.3</v>
      </c>
      <c r="CE363" s="522">
        <v>29.3</v>
      </c>
      <c r="CF363" s="522">
        <v>14.2</v>
      </c>
      <c r="CG363" s="522">
        <v>3</v>
      </c>
      <c r="CH363" s="522">
        <v>7.7</v>
      </c>
      <c r="CI363" s="522">
        <v>11.9</v>
      </c>
      <c r="CJ363" s="522">
        <v>12.3</v>
      </c>
      <c r="CK363" s="522">
        <v>0</v>
      </c>
      <c r="CL363" s="522">
        <v>3.5</v>
      </c>
      <c r="CM363" s="522">
        <v>4.9000000000000004</v>
      </c>
      <c r="CN363" s="522">
        <v>350.2</v>
      </c>
      <c r="CO363" s="522">
        <v>299.89999999999998</v>
      </c>
      <c r="CP363" s="522">
        <v>552.79999999999995</v>
      </c>
      <c r="CQ363" s="522">
        <v>13</v>
      </c>
      <c r="CR363" s="522">
        <v>0.82</v>
      </c>
      <c r="CS363" s="405">
        <v>0</v>
      </c>
      <c r="CT363" s="405">
        <v>18.329000000000001</v>
      </c>
      <c r="CU363" s="405">
        <v>46</v>
      </c>
      <c r="CV363" s="522">
        <v>0</v>
      </c>
      <c r="CW363" s="522">
        <v>0</v>
      </c>
      <c r="CX363" s="522">
        <v>0</v>
      </c>
      <c r="CY363" s="522">
        <v>0</v>
      </c>
      <c r="CZ363" s="642">
        <v>1030</v>
      </c>
      <c r="DA363" s="642">
        <v>1400</v>
      </c>
      <c r="DB363" s="642">
        <v>969</v>
      </c>
      <c r="DC363" s="642">
        <v>1079.51</v>
      </c>
      <c r="DD363" s="522"/>
      <c r="DE363" s="522"/>
      <c r="DF363" s="522"/>
      <c r="DG363" s="522"/>
      <c r="DH363" s="522"/>
      <c r="DI363" s="522"/>
      <c r="DJ363" s="522"/>
      <c r="DK363" s="522"/>
      <c r="DL363" s="522"/>
      <c r="DM363" s="522"/>
      <c r="DN363" s="522"/>
      <c r="DO363" s="522"/>
      <c r="DP363" s="522"/>
      <c r="DQ363" s="522"/>
      <c r="DR363" s="522"/>
      <c r="DS363" s="522"/>
      <c r="DT363" s="522"/>
      <c r="DU363" s="522"/>
      <c r="DV363" s="522"/>
      <c r="DW363" s="522"/>
      <c r="DX363" s="522"/>
      <c r="DY363" s="522"/>
      <c r="DZ363" s="522"/>
      <c r="EA363" s="522"/>
      <c r="EB363" s="522"/>
      <c r="EC363" s="522"/>
      <c r="ED363" s="522"/>
      <c r="EE363" s="522"/>
      <c r="EF363" s="522"/>
      <c r="EG363" s="649">
        <f t="shared" si="350"/>
        <v>13.923</v>
      </c>
      <c r="EH363" s="649">
        <v>0</v>
      </c>
      <c r="EI363" s="649">
        <v>0</v>
      </c>
      <c r="EJ363" s="522">
        <v>2.5</v>
      </c>
      <c r="EK363" s="649">
        <v>6.5</v>
      </c>
      <c r="EL363" s="522"/>
      <c r="EM363" s="522"/>
      <c r="EN363" s="522"/>
      <c r="EO363" s="522"/>
      <c r="EP363" s="522"/>
      <c r="EQ363" s="522"/>
      <c r="ER363" s="522"/>
      <c r="ES363" s="407"/>
      <c r="ET363" s="407"/>
    </row>
    <row r="364" spans="1:150" s="357" customFormat="1" ht="15">
      <c r="A364" s="675" t="s">
        <v>6</v>
      </c>
      <c r="B364" s="712">
        <v>41990</v>
      </c>
      <c r="C364" s="358">
        <v>0</v>
      </c>
      <c r="D364" s="405">
        <v>7.0000000000000007E-2</v>
      </c>
      <c r="E364" s="681">
        <v>0</v>
      </c>
      <c r="F364" s="681">
        <v>0</v>
      </c>
      <c r="G364" s="681">
        <v>1.05</v>
      </c>
      <c r="H364" s="405">
        <v>1.56</v>
      </c>
      <c r="I364" s="405">
        <v>0</v>
      </c>
      <c r="J364" s="405">
        <v>1.47</v>
      </c>
      <c r="K364" s="405">
        <v>1.2</v>
      </c>
      <c r="L364" s="644">
        <v>0</v>
      </c>
      <c r="M364" s="405">
        <v>21</v>
      </c>
      <c r="N364" s="405">
        <v>1.5</v>
      </c>
      <c r="O364" s="405" t="s">
        <v>743</v>
      </c>
      <c r="P364" s="405">
        <v>1.74</v>
      </c>
      <c r="Q364" s="405">
        <v>2.1587569274547254</v>
      </c>
      <c r="R364" s="405">
        <v>486.82904623513866</v>
      </c>
      <c r="S364" s="405">
        <v>8</v>
      </c>
      <c r="T364" s="405">
        <v>8</v>
      </c>
      <c r="U364" s="405" t="s">
        <v>744</v>
      </c>
      <c r="V364" s="406">
        <v>0.57999999999999996</v>
      </c>
      <c r="W364" s="866" t="e">
        <v>#VALUE!</v>
      </c>
      <c r="X364" s="386">
        <v>42.08</v>
      </c>
      <c r="Y364" s="383">
        <v>19.89</v>
      </c>
      <c r="Z364" s="681">
        <v>33.17</v>
      </c>
      <c r="AA364" s="428">
        <v>26.71</v>
      </c>
      <c r="AB364" s="428">
        <v>26.62</v>
      </c>
      <c r="AC364" s="775">
        <f t="shared" ref="AC364:AC365" si="353">AA364+AB364</f>
        <v>53.33</v>
      </c>
      <c r="AD364" s="775">
        <f t="shared" ref="AD364:AD365" si="354">AC364*1.547</f>
        <v>82.501509999999996</v>
      </c>
      <c r="AE364" s="705"/>
      <c r="AF364" s="705"/>
      <c r="AG364" s="705">
        <v>1</v>
      </c>
      <c r="AH364" s="705"/>
      <c r="AI364" s="705"/>
      <c r="AJ364" s="407"/>
      <c r="AK364" s="407"/>
      <c r="AL364" s="407"/>
      <c r="AM364" s="407"/>
      <c r="AN364" s="407"/>
      <c r="AO364" s="387"/>
      <c r="AP364" s="387"/>
      <c r="AQ364" s="405"/>
      <c r="AR364" s="578">
        <v>0</v>
      </c>
      <c r="AS364" s="405">
        <v>21.7</v>
      </c>
      <c r="AT364" s="578">
        <v>0</v>
      </c>
      <c r="AU364" s="405">
        <v>26.7</v>
      </c>
      <c r="AV364" s="405">
        <v>325.3</v>
      </c>
      <c r="AW364" s="405">
        <v>369.4</v>
      </c>
      <c r="AX364" s="405">
        <v>0</v>
      </c>
      <c r="AY364" s="578">
        <v>0</v>
      </c>
      <c r="AZ364" s="578">
        <v>0</v>
      </c>
      <c r="BA364" s="578">
        <v>0</v>
      </c>
      <c r="BB364" s="925">
        <v>0.99</v>
      </c>
      <c r="BC364" s="405">
        <v>0.5</v>
      </c>
      <c r="BD364" s="405">
        <v>1.5</v>
      </c>
      <c r="BE364" s="578">
        <v>0</v>
      </c>
      <c r="BF364" s="405">
        <v>0.49</v>
      </c>
      <c r="BG364" s="405">
        <v>0</v>
      </c>
      <c r="BH364" s="578">
        <v>0</v>
      </c>
      <c r="BI364" s="405">
        <v>0</v>
      </c>
      <c r="BJ364" s="405">
        <v>24.3</v>
      </c>
      <c r="BK364" s="405">
        <v>3.02</v>
      </c>
      <c r="BL364" s="405">
        <v>3.66</v>
      </c>
      <c r="BM364" s="405">
        <v>0</v>
      </c>
      <c r="BN364" s="405">
        <v>16.399999999999999</v>
      </c>
      <c r="BO364" s="405">
        <v>1870.7</v>
      </c>
      <c r="BP364" s="405">
        <v>0</v>
      </c>
      <c r="BQ364" s="522">
        <v>13.4</v>
      </c>
      <c r="BR364" s="522">
        <v>13.6</v>
      </c>
      <c r="BS364" s="649">
        <v>11.4</v>
      </c>
      <c r="BT364" s="649">
        <v>11.5</v>
      </c>
      <c r="BU364" s="405">
        <v>26.5</v>
      </c>
      <c r="BV364" s="405">
        <v>32.4</v>
      </c>
      <c r="BW364" s="522">
        <v>518.9</v>
      </c>
      <c r="BX364" s="878"/>
      <c r="BY364" s="522">
        <v>1.49</v>
      </c>
      <c r="BZ364" s="522">
        <v>1.41</v>
      </c>
      <c r="CA364" s="522">
        <v>1.2</v>
      </c>
      <c r="CB364" s="522">
        <v>8.6</v>
      </c>
      <c r="CC364" s="522">
        <v>7.6</v>
      </c>
      <c r="CD364" s="522">
        <v>15.9</v>
      </c>
      <c r="CE364" s="522">
        <v>29</v>
      </c>
      <c r="CF364" s="522">
        <v>13.8</v>
      </c>
      <c r="CG364" s="522">
        <v>7.8</v>
      </c>
      <c r="CH364" s="522">
        <v>13.2</v>
      </c>
      <c r="CI364" s="522">
        <v>17.8</v>
      </c>
      <c r="CJ364" s="522">
        <v>13.11</v>
      </c>
      <c r="CK364" s="522">
        <v>0</v>
      </c>
      <c r="CL364" s="522">
        <v>3</v>
      </c>
      <c r="CM364" s="522">
        <v>4.4000000000000004</v>
      </c>
      <c r="CN364" s="522">
        <v>602.29999999999995</v>
      </c>
      <c r="CO364" s="522">
        <v>309.3</v>
      </c>
      <c r="CP364" s="522">
        <v>536.4</v>
      </c>
      <c r="CQ364" s="522">
        <v>12.6</v>
      </c>
      <c r="CR364" s="522">
        <v>0.8</v>
      </c>
      <c r="CS364" s="405">
        <v>511.4</v>
      </c>
      <c r="CT364" s="405">
        <v>17.452000000000002</v>
      </c>
      <c r="CU364" s="405">
        <v>46</v>
      </c>
      <c r="CV364" s="522">
        <v>0</v>
      </c>
      <c r="CW364" s="522">
        <v>0</v>
      </c>
      <c r="CX364" s="522">
        <v>0</v>
      </c>
      <c r="CY364" s="522">
        <v>0</v>
      </c>
      <c r="CZ364" s="642">
        <v>851</v>
      </c>
      <c r="DA364" s="642">
        <v>1250</v>
      </c>
      <c r="DB364" s="642">
        <v>808</v>
      </c>
      <c r="DC364" s="642">
        <v>1077.3399999999999</v>
      </c>
      <c r="DD364" s="522"/>
      <c r="DE364" s="522"/>
      <c r="DF364" s="522"/>
      <c r="DG364" s="522"/>
      <c r="DH364" s="522"/>
      <c r="DI364" s="522"/>
      <c r="DJ364" s="522"/>
      <c r="DK364" s="522"/>
      <c r="DL364" s="522"/>
      <c r="DM364" s="522"/>
      <c r="DN364" s="522"/>
      <c r="DO364" s="522"/>
      <c r="DP364" s="522"/>
      <c r="DQ364" s="522"/>
      <c r="DR364" s="522"/>
      <c r="DS364" s="522"/>
      <c r="DT364" s="522"/>
      <c r="DU364" s="522"/>
      <c r="DV364" s="522"/>
      <c r="DW364" s="522"/>
      <c r="DX364" s="522"/>
      <c r="DY364" s="522"/>
      <c r="DZ364" s="522"/>
      <c r="EA364" s="522"/>
      <c r="EB364" s="522"/>
      <c r="EC364" s="522"/>
      <c r="ED364" s="522"/>
      <c r="EE364" s="522"/>
      <c r="EF364" s="522"/>
      <c r="EG364" s="649">
        <f t="shared" si="350"/>
        <v>13.923</v>
      </c>
      <c r="EH364" s="649">
        <v>0</v>
      </c>
      <c r="EI364" s="649">
        <v>0</v>
      </c>
      <c r="EJ364" s="522">
        <v>2.5</v>
      </c>
      <c r="EK364" s="649">
        <v>6.5</v>
      </c>
      <c r="EL364" s="522"/>
      <c r="EM364" s="522"/>
      <c r="EN364" s="522"/>
      <c r="EO364" s="522"/>
      <c r="EP364" s="522"/>
      <c r="EQ364" s="522"/>
      <c r="ER364" s="522"/>
      <c r="ES364" s="407"/>
      <c r="ET364" s="407"/>
    </row>
    <row r="365" spans="1:150" s="357" customFormat="1" ht="15">
      <c r="A365" s="675" t="s">
        <v>7</v>
      </c>
      <c r="B365" s="712">
        <v>41991</v>
      </c>
      <c r="C365" s="358">
        <v>0</v>
      </c>
      <c r="D365" s="405">
        <v>0.37</v>
      </c>
      <c r="E365" s="681">
        <v>0</v>
      </c>
      <c r="F365" s="681">
        <v>0</v>
      </c>
      <c r="G365" s="681">
        <v>1</v>
      </c>
      <c r="H365" s="405">
        <v>2.81</v>
      </c>
      <c r="I365" s="405">
        <v>95.5</v>
      </c>
      <c r="J365" s="405">
        <v>2.6</v>
      </c>
      <c r="K365" s="405">
        <v>2.23</v>
      </c>
      <c r="L365" s="644">
        <v>0</v>
      </c>
      <c r="M365" s="405">
        <v>20.9</v>
      </c>
      <c r="N365" s="405">
        <v>1.51</v>
      </c>
      <c r="O365" s="405" t="s">
        <v>743</v>
      </c>
      <c r="P365" s="405">
        <v>1.71</v>
      </c>
      <c r="Q365" s="405">
        <v>2.2236382003270001</v>
      </c>
      <c r="R365" s="405">
        <v>378.32090885072648</v>
      </c>
      <c r="S365" s="405">
        <v>7.69</v>
      </c>
      <c r="T365" s="405">
        <v>7.85</v>
      </c>
      <c r="U365" s="405" t="s">
        <v>744</v>
      </c>
      <c r="V365" s="406">
        <v>0.57999999999999996</v>
      </c>
      <c r="W365" s="866">
        <v>43.160000000000011</v>
      </c>
      <c r="X365" s="386">
        <v>42.980000000000004</v>
      </c>
      <c r="Y365" s="383">
        <v>26.71</v>
      </c>
      <c r="Z365" s="681">
        <v>26.62</v>
      </c>
      <c r="AA365" s="428">
        <v>40.4</v>
      </c>
      <c r="AB365" s="428">
        <v>19.88</v>
      </c>
      <c r="AC365" s="775">
        <f t="shared" si="353"/>
        <v>60.28</v>
      </c>
      <c r="AD365" s="775">
        <f t="shared" si="354"/>
        <v>93.253159999999994</v>
      </c>
      <c r="AE365" s="705"/>
      <c r="AF365" s="705"/>
      <c r="AG365" s="705">
        <v>1</v>
      </c>
      <c r="AH365" s="705"/>
      <c r="AI365" s="705"/>
      <c r="AJ365" s="407"/>
      <c r="AK365" s="407"/>
      <c r="AL365" s="407"/>
      <c r="AM365" s="407"/>
      <c r="AN365" s="407"/>
      <c r="AO365" s="387"/>
      <c r="AP365" s="387"/>
      <c r="AQ365" s="405"/>
      <c r="AR365" s="578">
        <v>0</v>
      </c>
      <c r="AS365" s="405">
        <v>13.1</v>
      </c>
      <c r="AT365" s="578">
        <v>0</v>
      </c>
      <c r="AU365" s="405">
        <v>40.6</v>
      </c>
      <c r="AV365" s="405">
        <v>282.89999999999998</v>
      </c>
      <c r="AW365" s="405">
        <v>463</v>
      </c>
      <c r="AX365" s="405">
        <v>0</v>
      </c>
      <c r="AY365" s="578">
        <v>0</v>
      </c>
      <c r="AZ365" s="578">
        <v>0</v>
      </c>
      <c r="BA365" s="578">
        <v>0</v>
      </c>
      <c r="BB365" s="925">
        <v>0.99</v>
      </c>
      <c r="BC365" s="405">
        <v>0.5</v>
      </c>
      <c r="BD365" s="405">
        <v>1.5</v>
      </c>
      <c r="BE365" s="578">
        <v>0</v>
      </c>
      <c r="BF365" s="405">
        <v>0.49</v>
      </c>
      <c r="BG365" s="405">
        <v>0</v>
      </c>
      <c r="BH365" s="578">
        <v>0</v>
      </c>
      <c r="BI365" s="405">
        <v>0</v>
      </c>
      <c r="BJ365" s="405">
        <v>17.5</v>
      </c>
      <c r="BK365" s="405">
        <v>1.83</v>
      </c>
      <c r="BL365" s="405">
        <v>4.6399999999999997</v>
      </c>
      <c r="BM365" s="405">
        <v>0</v>
      </c>
      <c r="BN365" s="405">
        <v>10.1</v>
      </c>
      <c r="BO365" s="405">
        <v>52.4</v>
      </c>
      <c r="BP365" s="405">
        <v>0</v>
      </c>
      <c r="BQ365" s="522">
        <v>16.5</v>
      </c>
      <c r="BR365" s="522">
        <v>16.7</v>
      </c>
      <c r="BS365" s="649">
        <v>17.899999999999999</v>
      </c>
      <c r="BT365" s="649">
        <v>18</v>
      </c>
      <c r="BU365" s="405">
        <v>37.799999999999997</v>
      </c>
      <c r="BV365" s="405">
        <v>32.700000000000003</v>
      </c>
      <c r="BW365" s="522">
        <v>590.5</v>
      </c>
      <c r="BX365" s="878"/>
      <c r="BY365" s="522">
        <v>1.54</v>
      </c>
      <c r="BZ365" s="522">
        <v>1.44</v>
      </c>
      <c r="CA365" s="522">
        <v>1.3</v>
      </c>
      <c r="CB365" s="522">
        <v>8.8000000000000007</v>
      </c>
      <c r="CC365" s="522">
        <v>7.8</v>
      </c>
      <c r="CD365" s="522">
        <v>14.7</v>
      </c>
      <c r="CE365" s="522">
        <v>29.8</v>
      </c>
      <c r="CF365" s="522">
        <v>13.3</v>
      </c>
      <c r="CG365" s="522">
        <v>2.8</v>
      </c>
      <c r="CH365" s="522">
        <v>7.5</v>
      </c>
      <c r="CI365" s="522">
        <v>11.6</v>
      </c>
      <c r="CJ365" s="522">
        <v>12.4</v>
      </c>
      <c r="CK365" s="522">
        <v>0</v>
      </c>
      <c r="CL365" s="522">
        <v>1.9</v>
      </c>
      <c r="CM365" s="522">
        <v>3.5</v>
      </c>
      <c r="CN365" s="522">
        <v>556.1</v>
      </c>
      <c r="CO365" s="522">
        <v>278.60000000000002</v>
      </c>
      <c r="CP365" s="522">
        <v>537.6</v>
      </c>
      <c r="CQ365" s="522">
        <v>12.5</v>
      </c>
      <c r="CR365" s="522">
        <v>0.79</v>
      </c>
      <c r="CS365" s="405">
        <v>0</v>
      </c>
      <c r="CT365" s="405">
        <v>16.396000000000001</v>
      </c>
      <c r="CU365" s="405">
        <v>46</v>
      </c>
      <c r="CV365" s="522">
        <v>0</v>
      </c>
      <c r="CW365" s="522">
        <v>0</v>
      </c>
      <c r="CX365" s="522">
        <v>0</v>
      </c>
      <c r="CY365" s="522">
        <v>0</v>
      </c>
      <c r="CZ365" s="642">
        <v>790</v>
      </c>
      <c r="DA365" s="642">
        <v>1160</v>
      </c>
      <c r="DB365" s="642">
        <v>728</v>
      </c>
      <c r="DC365" s="642">
        <v>1076.0999999999999</v>
      </c>
      <c r="DD365" s="522"/>
      <c r="DE365" s="522"/>
      <c r="DF365" s="522"/>
      <c r="DG365" s="522"/>
      <c r="DH365" s="522"/>
      <c r="DI365" s="522"/>
      <c r="DJ365" s="522"/>
      <c r="DK365" s="522"/>
      <c r="DL365" s="522"/>
      <c r="DM365" s="522"/>
      <c r="DN365" s="522"/>
      <c r="DO365" s="522"/>
      <c r="DP365" s="522"/>
      <c r="DQ365" s="522"/>
      <c r="DR365" s="522"/>
      <c r="DS365" s="522"/>
      <c r="DT365" s="522"/>
      <c r="DU365" s="522"/>
      <c r="DV365" s="522"/>
      <c r="DW365" s="522"/>
      <c r="DX365" s="522"/>
      <c r="DY365" s="522"/>
      <c r="DZ365" s="522"/>
      <c r="EA365" s="522"/>
      <c r="EB365" s="522"/>
      <c r="EC365" s="522"/>
      <c r="ED365" s="522"/>
      <c r="EE365" s="522"/>
      <c r="EF365" s="522"/>
      <c r="EG365" s="649">
        <f t="shared" si="350"/>
        <v>13.923</v>
      </c>
      <c r="EH365" s="649">
        <v>0</v>
      </c>
      <c r="EI365" s="649">
        <v>0</v>
      </c>
      <c r="EJ365" s="522">
        <v>2.5</v>
      </c>
      <c r="EK365" s="649">
        <v>6.5</v>
      </c>
      <c r="EL365" s="522"/>
      <c r="EM365" s="522"/>
      <c r="EN365" s="522"/>
      <c r="EO365" s="522"/>
      <c r="EP365" s="522"/>
      <c r="EQ365" s="522"/>
      <c r="ER365" s="522"/>
      <c r="ES365" s="407"/>
      <c r="ET365" s="407"/>
    </row>
    <row r="366" spans="1:150" s="357" customFormat="1" ht="15">
      <c r="A366" s="675" t="s">
        <v>8</v>
      </c>
      <c r="B366" s="712">
        <v>41992</v>
      </c>
      <c r="C366" s="358">
        <v>0</v>
      </c>
      <c r="D366" s="405">
        <v>0.27</v>
      </c>
      <c r="E366" s="681">
        <v>0</v>
      </c>
      <c r="F366" s="681">
        <v>0</v>
      </c>
      <c r="G366" s="681">
        <v>0.9</v>
      </c>
      <c r="H366" s="405">
        <v>7.09</v>
      </c>
      <c r="I366" s="405">
        <v>90.59</v>
      </c>
      <c r="J366" s="405">
        <v>5.36</v>
      </c>
      <c r="K366" s="405">
        <v>3.7</v>
      </c>
      <c r="L366" s="644">
        <v>15.520000000000437</v>
      </c>
      <c r="M366" s="405">
        <v>18.600000000000001</v>
      </c>
      <c r="N366" s="405">
        <v>1.69</v>
      </c>
      <c r="O366" s="405" t="s">
        <v>743</v>
      </c>
      <c r="P366" s="405">
        <v>1.71</v>
      </c>
      <c r="Q366" s="405">
        <v>2.2103116015220934</v>
      </c>
      <c r="R366" s="405">
        <v>2952.716956406869</v>
      </c>
      <c r="S366" s="405">
        <v>7.69</v>
      </c>
      <c r="T366" s="405">
        <v>7.71</v>
      </c>
      <c r="U366" s="405" t="s">
        <v>744</v>
      </c>
      <c r="V366" s="406">
        <v>0.57999999999999996</v>
      </c>
      <c r="W366" s="866">
        <v>42.620000000000005</v>
      </c>
      <c r="X366" s="386">
        <v>43.34</v>
      </c>
      <c r="Y366" s="383">
        <v>40.4</v>
      </c>
      <c r="Z366" s="681">
        <v>19.88</v>
      </c>
      <c r="AA366" s="428">
        <v>40.9</v>
      </c>
      <c r="AB366" s="428">
        <v>19.8</v>
      </c>
      <c r="AC366" s="775">
        <f t="shared" ref="AC366:AC372" si="355">AA366+AB366</f>
        <v>60.7</v>
      </c>
      <c r="AD366" s="775">
        <f t="shared" ref="AD366:AD372" si="356">AC366*1.547</f>
        <v>93.902900000000002</v>
      </c>
      <c r="AE366" s="705"/>
      <c r="AF366" s="705"/>
      <c r="AG366" s="705">
        <v>1</v>
      </c>
      <c r="AH366" s="705"/>
      <c r="AI366" s="705"/>
      <c r="AJ366" s="407"/>
      <c r="AK366" s="407"/>
      <c r="AL366" s="407"/>
      <c r="AM366" s="407"/>
      <c r="AN366" s="407"/>
      <c r="AO366" s="387"/>
      <c r="AP366" s="387"/>
      <c r="AQ366" s="405"/>
      <c r="AR366" s="578">
        <v>0</v>
      </c>
      <c r="AS366" s="405">
        <v>19.5</v>
      </c>
      <c r="AT366" s="578">
        <v>0</v>
      </c>
      <c r="AU366" s="405">
        <v>44.5</v>
      </c>
      <c r="AV366" s="405">
        <v>407.3</v>
      </c>
      <c r="AW366" s="405">
        <v>532.20000000000005</v>
      </c>
      <c r="AX366" s="405">
        <v>1.9</v>
      </c>
      <c r="AY366" s="578">
        <v>0</v>
      </c>
      <c r="AZ366" s="578">
        <v>0</v>
      </c>
      <c r="BA366" s="578">
        <v>0</v>
      </c>
      <c r="BB366" s="925">
        <v>1</v>
      </c>
      <c r="BC366" s="405">
        <v>0.51</v>
      </c>
      <c r="BD366" s="405">
        <v>1.5</v>
      </c>
      <c r="BE366" s="578">
        <v>0</v>
      </c>
      <c r="BF366" s="405">
        <v>0.49</v>
      </c>
      <c r="BG366" s="405">
        <v>0</v>
      </c>
      <c r="BH366" s="578">
        <v>0</v>
      </c>
      <c r="BI366" s="405">
        <v>0</v>
      </c>
      <c r="BJ366" s="405">
        <v>17.399999999999999</v>
      </c>
      <c r="BK366" s="405">
        <v>2.61</v>
      </c>
      <c r="BL366" s="405">
        <v>3.68</v>
      </c>
      <c r="BM366" s="405">
        <v>0</v>
      </c>
      <c r="BN366" s="405">
        <v>10.1</v>
      </c>
      <c r="BO366" s="405">
        <v>754</v>
      </c>
      <c r="BP366" s="405">
        <v>469.8</v>
      </c>
      <c r="BQ366" s="522">
        <v>19.760000000000002</v>
      </c>
      <c r="BR366" s="522">
        <v>20</v>
      </c>
      <c r="BS366" s="649">
        <v>20.02</v>
      </c>
      <c r="BT366" s="649">
        <v>20.09</v>
      </c>
      <c r="BU366" s="405">
        <v>40.799999999999997</v>
      </c>
      <c r="BV366" s="405">
        <v>36.4</v>
      </c>
      <c r="BW366" s="522">
        <v>629.1</v>
      </c>
      <c r="BX366" s="878"/>
      <c r="BY366" s="522">
        <v>3.95</v>
      </c>
      <c r="BZ366" s="522">
        <v>1.51</v>
      </c>
      <c r="CA366" s="522">
        <v>1.3</v>
      </c>
      <c r="CB366" s="522">
        <v>8.8000000000000007</v>
      </c>
      <c r="CC366" s="522">
        <v>7.8</v>
      </c>
      <c r="CD366" s="522">
        <v>14.02</v>
      </c>
      <c r="CE366" s="522">
        <v>29.5</v>
      </c>
      <c r="CF366" s="522">
        <v>12.8</v>
      </c>
      <c r="CG366" s="522">
        <v>4.3</v>
      </c>
      <c r="CH366" s="522">
        <v>9.1999999999999993</v>
      </c>
      <c r="CI366" s="522">
        <v>13.4</v>
      </c>
      <c r="CJ366" s="522">
        <v>12.41</v>
      </c>
      <c r="CK366" s="522">
        <v>112.7</v>
      </c>
      <c r="CL366" s="522">
        <v>1.7</v>
      </c>
      <c r="CM366" s="522">
        <v>2.6</v>
      </c>
      <c r="CN366" s="522">
        <v>435.6</v>
      </c>
      <c r="CO366" s="522">
        <v>285</v>
      </c>
      <c r="CP366" s="522">
        <v>551.4</v>
      </c>
      <c r="CQ366" s="522">
        <v>14.3</v>
      </c>
      <c r="CR366" s="522">
        <v>0.9</v>
      </c>
      <c r="CS366" s="405">
        <v>42.3</v>
      </c>
      <c r="CT366" s="405">
        <v>16.57</v>
      </c>
      <c r="CU366" s="405">
        <v>46</v>
      </c>
      <c r="CV366" s="522">
        <v>0</v>
      </c>
      <c r="CW366" s="522">
        <v>0</v>
      </c>
      <c r="CX366" s="522">
        <v>0</v>
      </c>
      <c r="CY366" s="522">
        <v>0</v>
      </c>
      <c r="CZ366" s="642">
        <v>731</v>
      </c>
      <c r="DA366" s="642">
        <v>1190</v>
      </c>
      <c r="DB366" s="642">
        <v>717</v>
      </c>
      <c r="DC366" s="642">
        <v>1076</v>
      </c>
      <c r="DD366" s="522"/>
      <c r="DE366" s="522"/>
      <c r="DF366" s="522"/>
      <c r="DG366" s="522"/>
      <c r="DH366" s="522"/>
      <c r="DI366" s="522"/>
      <c r="DJ366" s="522"/>
      <c r="DK366" s="522"/>
      <c r="DL366" s="522"/>
      <c r="DM366" s="522"/>
      <c r="DN366" s="522"/>
      <c r="DO366" s="522"/>
      <c r="DP366" s="522"/>
      <c r="DQ366" s="522"/>
      <c r="DR366" s="522"/>
      <c r="DS366" s="522"/>
      <c r="DT366" s="522"/>
      <c r="DU366" s="522"/>
      <c r="DV366" s="522"/>
      <c r="DW366" s="522"/>
      <c r="DX366" s="522"/>
      <c r="DY366" s="522"/>
      <c r="DZ366" s="522"/>
      <c r="EA366" s="522"/>
      <c r="EB366" s="522"/>
      <c r="EC366" s="522"/>
      <c r="ED366" s="522"/>
      <c r="EE366" s="522"/>
      <c r="EF366" s="522"/>
      <c r="EG366" s="649">
        <f t="shared" ref="EG366:EG372" si="357">(SUM(EH366:EK366))*1.547</f>
        <v>13.923</v>
      </c>
      <c r="EH366" s="649">
        <v>0</v>
      </c>
      <c r="EI366" s="649">
        <v>0</v>
      </c>
      <c r="EJ366" s="522">
        <v>2.5</v>
      </c>
      <c r="EK366" s="649">
        <v>6.5</v>
      </c>
      <c r="EL366" s="522"/>
      <c r="EM366" s="522"/>
      <c r="EN366" s="522"/>
      <c r="EO366" s="522"/>
      <c r="EP366" s="522"/>
      <c r="EQ366" s="522"/>
      <c r="ER366" s="522"/>
      <c r="ES366" s="407"/>
      <c r="ET366" s="407"/>
    </row>
    <row r="367" spans="1:150" s="357" customFormat="1" ht="15">
      <c r="A367" s="675" t="s">
        <v>9</v>
      </c>
      <c r="B367" s="712">
        <v>41993</v>
      </c>
      <c r="C367" s="358">
        <v>0</v>
      </c>
      <c r="D367" s="405">
        <v>2.02</v>
      </c>
      <c r="E367" s="681">
        <v>0</v>
      </c>
      <c r="F367" s="681">
        <v>0</v>
      </c>
      <c r="G367" s="681">
        <v>1.7</v>
      </c>
      <c r="H367" s="405">
        <v>26.98</v>
      </c>
      <c r="I367" s="405">
        <v>91.4</v>
      </c>
      <c r="J367" s="405">
        <v>6.35</v>
      </c>
      <c r="K367" s="405">
        <v>2.81</v>
      </c>
      <c r="L367" s="644">
        <v>27.479999999999563</v>
      </c>
      <c r="M367" s="405">
        <v>12.7</v>
      </c>
      <c r="N367" s="405">
        <v>1.7</v>
      </c>
      <c r="O367" s="405" t="s">
        <v>743</v>
      </c>
      <c r="P367" s="405">
        <v>1.77</v>
      </c>
      <c r="Q367" s="405">
        <v>2.1741394047717759</v>
      </c>
      <c r="R367" s="405">
        <v>822.71841479524437</v>
      </c>
      <c r="S367" s="405">
        <v>7.88</v>
      </c>
      <c r="T367" s="405">
        <v>7.46</v>
      </c>
      <c r="U367" s="405" t="s">
        <v>744</v>
      </c>
      <c r="V367" s="406">
        <v>0.56999999999999995</v>
      </c>
      <c r="W367" s="866">
        <v>42.260000000000005</v>
      </c>
      <c r="X367" s="386">
        <v>32</v>
      </c>
      <c r="Y367" s="383">
        <v>40.9</v>
      </c>
      <c r="Z367" s="681">
        <v>19.8</v>
      </c>
      <c r="AA367" s="428">
        <v>30.4</v>
      </c>
      <c r="AB367" s="428">
        <v>20</v>
      </c>
      <c r="AC367" s="775">
        <f t="shared" si="355"/>
        <v>50.4</v>
      </c>
      <c r="AD367" s="775">
        <f t="shared" si="356"/>
        <v>77.968799999999987</v>
      </c>
      <c r="AE367" s="705"/>
      <c r="AF367" s="705"/>
      <c r="AG367" s="705">
        <v>1</v>
      </c>
      <c r="AH367" s="705"/>
      <c r="AI367" s="705"/>
      <c r="AJ367" s="407"/>
      <c r="AK367" s="407"/>
      <c r="AL367" s="407"/>
      <c r="AM367" s="407"/>
      <c r="AN367" s="407"/>
      <c r="AO367" s="387"/>
      <c r="AP367" s="387"/>
      <c r="AQ367" s="405"/>
      <c r="AR367" s="578">
        <v>0</v>
      </c>
      <c r="AS367" s="405">
        <v>19.399999999999999</v>
      </c>
      <c r="AT367" s="578">
        <v>0</v>
      </c>
      <c r="AU367" s="405">
        <v>31.7</v>
      </c>
      <c r="AV367" s="405">
        <v>456.3</v>
      </c>
      <c r="AW367" s="405">
        <v>566.20000000000005</v>
      </c>
      <c r="AX367" s="405">
        <v>0.1</v>
      </c>
      <c r="AY367" s="578">
        <v>0</v>
      </c>
      <c r="AZ367" s="578">
        <v>0</v>
      </c>
      <c r="BA367" s="578">
        <v>0</v>
      </c>
      <c r="BB367" s="925">
        <v>1</v>
      </c>
      <c r="BC367" s="405">
        <v>0.56999999999999995</v>
      </c>
      <c r="BD367" s="405">
        <v>1.71</v>
      </c>
      <c r="BE367" s="578">
        <v>0</v>
      </c>
      <c r="BF367" s="405">
        <v>0.22</v>
      </c>
      <c r="BG367" s="405">
        <v>0</v>
      </c>
      <c r="BH367" s="578">
        <v>0</v>
      </c>
      <c r="BI367" s="405">
        <v>0</v>
      </c>
      <c r="BJ367" s="405">
        <v>17.600000000000001</v>
      </c>
      <c r="BK367" s="405">
        <v>2.84</v>
      </c>
      <c r="BL367" s="405">
        <v>3.66</v>
      </c>
      <c r="BM367" s="405">
        <v>0</v>
      </c>
      <c r="BN367" s="405">
        <v>10.1</v>
      </c>
      <c r="BO367" s="405">
        <v>844.3</v>
      </c>
      <c r="BP367" s="405">
        <v>0</v>
      </c>
      <c r="BQ367" s="522">
        <v>17.87</v>
      </c>
      <c r="BR367" s="522">
        <v>18.12</v>
      </c>
      <c r="BS367" s="649">
        <v>13.95</v>
      </c>
      <c r="BT367" s="649">
        <v>14.09</v>
      </c>
      <c r="BU367" s="405">
        <v>28.8</v>
      </c>
      <c r="BV367" s="405">
        <v>38</v>
      </c>
      <c r="BW367" s="522">
        <v>448.1</v>
      </c>
      <c r="BX367" s="878"/>
      <c r="BY367" s="522">
        <v>4.34</v>
      </c>
      <c r="BZ367" s="522">
        <v>1.62</v>
      </c>
      <c r="CA367" s="522">
        <v>1.4</v>
      </c>
      <c r="CB367" s="522">
        <v>8.9</v>
      </c>
      <c r="CC367" s="522">
        <v>7.8</v>
      </c>
      <c r="CD367" s="522">
        <v>15.6</v>
      </c>
      <c r="CE367" s="522">
        <v>28.5</v>
      </c>
      <c r="CF367" s="522">
        <v>12.2</v>
      </c>
      <c r="CG367" s="522">
        <v>3.2</v>
      </c>
      <c r="CH367" s="522">
        <v>7.95</v>
      </c>
      <c r="CI367" s="522">
        <v>11.9</v>
      </c>
      <c r="CJ367" s="522">
        <v>13.43</v>
      </c>
      <c r="CK367" s="522">
        <v>0</v>
      </c>
      <c r="CL367" s="522">
        <v>2.4</v>
      </c>
      <c r="CM367" s="522">
        <v>1.8</v>
      </c>
      <c r="CN367" s="522">
        <v>446.1</v>
      </c>
      <c r="CO367" s="522">
        <v>321.3</v>
      </c>
      <c r="CP367" s="522">
        <v>497.2</v>
      </c>
      <c r="CQ367" s="522">
        <v>14.3</v>
      </c>
      <c r="CR367" s="522">
        <v>0.86</v>
      </c>
      <c r="CS367" s="405">
        <v>0</v>
      </c>
      <c r="CT367" s="405">
        <v>17.18</v>
      </c>
      <c r="CU367" s="405">
        <v>46</v>
      </c>
      <c r="CV367" s="522">
        <v>0</v>
      </c>
      <c r="CW367" s="522">
        <v>0</v>
      </c>
      <c r="CX367" s="522">
        <v>0</v>
      </c>
      <c r="CY367" s="522">
        <v>0</v>
      </c>
      <c r="CZ367" s="642">
        <v>1340</v>
      </c>
      <c r="DA367" s="642">
        <v>1500</v>
      </c>
      <c r="DB367" s="642">
        <v>1440</v>
      </c>
      <c r="DC367" s="642">
        <v>1078.3</v>
      </c>
      <c r="DD367" s="522"/>
      <c r="DE367" s="522"/>
      <c r="DF367" s="522"/>
      <c r="DG367" s="522"/>
      <c r="DH367" s="522"/>
      <c r="DI367" s="522"/>
      <c r="DJ367" s="522"/>
      <c r="DK367" s="522"/>
      <c r="DL367" s="522"/>
      <c r="DM367" s="522"/>
      <c r="DN367" s="522"/>
      <c r="DO367" s="522"/>
      <c r="DP367" s="522"/>
      <c r="DQ367" s="522"/>
      <c r="DR367" s="522"/>
      <c r="DS367" s="522"/>
      <c r="DT367" s="522"/>
      <c r="DU367" s="522"/>
      <c r="DV367" s="522"/>
      <c r="DW367" s="522"/>
      <c r="DX367" s="522"/>
      <c r="DY367" s="522"/>
      <c r="DZ367" s="522"/>
      <c r="EA367" s="522"/>
      <c r="EB367" s="522"/>
      <c r="EC367" s="522"/>
      <c r="ED367" s="522"/>
      <c r="EE367" s="522"/>
      <c r="EF367" s="522"/>
      <c r="EG367" s="649">
        <f t="shared" si="357"/>
        <v>13.923</v>
      </c>
      <c r="EH367" s="649">
        <v>0</v>
      </c>
      <c r="EI367" s="649">
        <v>0</v>
      </c>
      <c r="EJ367" s="522">
        <v>2.5</v>
      </c>
      <c r="EK367" s="649">
        <v>6.5</v>
      </c>
      <c r="EL367" s="522"/>
      <c r="EM367" s="522"/>
      <c r="EN367" s="522"/>
      <c r="EO367" s="522"/>
      <c r="EP367" s="522"/>
      <c r="EQ367" s="522"/>
      <c r="ER367" s="522"/>
      <c r="ES367" s="407"/>
      <c r="ET367" s="407"/>
    </row>
    <row r="368" spans="1:150" s="357" customFormat="1" ht="15">
      <c r="A368" s="675" t="s">
        <v>3</v>
      </c>
      <c r="B368" s="712">
        <v>41994</v>
      </c>
      <c r="C368" s="358">
        <v>0</v>
      </c>
      <c r="D368" s="405">
        <v>0.02</v>
      </c>
      <c r="E368" s="681">
        <v>0</v>
      </c>
      <c r="F368" s="681">
        <v>0</v>
      </c>
      <c r="G368" s="681">
        <v>2.2999999999999998</v>
      </c>
      <c r="H368" s="405">
        <v>36.04</v>
      </c>
      <c r="I368" s="405">
        <v>69.2</v>
      </c>
      <c r="J368" s="405">
        <v>8.81</v>
      </c>
      <c r="K368" s="405">
        <v>0.09</v>
      </c>
      <c r="L368" s="644">
        <v>50.18999999999869</v>
      </c>
      <c r="M368" s="405">
        <v>10</v>
      </c>
      <c r="N368" s="405">
        <v>1.69</v>
      </c>
      <c r="O368" s="405">
        <v>1.7939758620638246</v>
      </c>
      <c r="P368" s="405">
        <v>1.53</v>
      </c>
      <c r="Q368" s="405">
        <v>1.8755678706060508</v>
      </c>
      <c r="R368" s="405">
        <v>2956.9277199471589</v>
      </c>
      <c r="S368" s="405">
        <v>7.51</v>
      </c>
      <c r="T368" s="405">
        <v>7.47</v>
      </c>
      <c r="U368" s="405">
        <v>0.53</v>
      </c>
      <c r="V368" s="406">
        <v>0.6</v>
      </c>
      <c r="W368" s="866">
        <v>44.42</v>
      </c>
      <c r="X368" s="386">
        <v>44.42</v>
      </c>
      <c r="Y368" s="383">
        <v>30.4</v>
      </c>
      <c r="Z368" s="681">
        <v>20</v>
      </c>
      <c r="AA368" s="428">
        <v>30.3</v>
      </c>
      <c r="AB368" s="428">
        <v>20</v>
      </c>
      <c r="AC368" s="775">
        <f t="shared" si="355"/>
        <v>50.3</v>
      </c>
      <c r="AD368" s="775">
        <f t="shared" si="356"/>
        <v>77.814099999999996</v>
      </c>
      <c r="AE368" s="705"/>
      <c r="AF368" s="705"/>
      <c r="AG368" s="705">
        <v>1</v>
      </c>
      <c r="AH368" s="705"/>
      <c r="AI368" s="705"/>
      <c r="AJ368" s="407"/>
      <c r="AK368" s="407"/>
      <c r="AL368" s="407"/>
      <c r="AM368" s="407"/>
      <c r="AN368" s="407"/>
      <c r="AO368" s="387"/>
      <c r="AP368" s="387"/>
      <c r="AQ368" s="405"/>
      <c r="AR368" s="578">
        <v>0</v>
      </c>
      <c r="AS368" s="405">
        <v>14.5</v>
      </c>
      <c r="AT368" s="578">
        <v>0</v>
      </c>
      <c r="AU368" s="405">
        <v>31.5</v>
      </c>
      <c r="AV368" s="405">
        <v>94</v>
      </c>
      <c r="AW368" s="405">
        <v>170.4</v>
      </c>
      <c r="AX368" s="405">
        <v>0</v>
      </c>
      <c r="AY368" s="578">
        <v>0</v>
      </c>
      <c r="AZ368" s="578">
        <v>0</v>
      </c>
      <c r="BA368" s="578">
        <v>0</v>
      </c>
      <c r="BB368" s="925">
        <v>1</v>
      </c>
      <c r="BC368" s="405">
        <v>0.63</v>
      </c>
      <c r="BD368" s="405">
        <v>1.87</v>
      </c>
      <c r="BE368" s="578">
        <v>0</v>
      </c>
      <c r="BF368" s="405">
        <v>0</v>
      </c>
      <c r="BG368" s="405">
        <v>0</v>
      </c>
      <c r="BH368" s="578">
        <v>0</v>
      </c>
      <c r="BI368" s="405">
        <v>0</v>
      </c>
      <c r="BJ368" s="405">
        <v>17.7</v>
      </c>
      <c r="BK368" s="405">
        <v>2.84</v>
      </c>
      <c r="BL368" s="405">
        <v>3.66</v>
      </c>
      <c r="BM368" s="405">
        <v>0</v>
      </c>
      <c r="BN368" s="405">
        <v>10.199999999999999</v>
      </c>
      <c r="BO368" s="405">
        <v>1247.2</v>
      </c>
      <c r="BP368" s="405">
        <v>100.5</v>
      </c>
      <c r="BQ368" s="522">
        <v>13.81</v>
      </c>
      <c r="BR368" s="522">
        <v>14.11</v>
      </c>
      <c r="BS368" s="649">
        <v>14.3</v>
      </c>
      <c r="BT368" s="649">
        <v>14.43</v>
      </c>
      <c r="BU368" s="405">
        <v>29.4</v>
      </c>
      <c r="BV368" s="405">
        <v>44.5</v>
      </c>
      <c r="BW368" s="522">
        <v>674.7</v>
      </c>
      <c r="BX368" s="878"/>
      <c r="BY368" s="522">
        <v>2.92</v>
      </c>
      <c r="BZ368" s="522">
        <v>1.62</v>
      </c>
      <c r="CA368" s="522">
        <v>1.4</v>
      </c>
      <c r="CB368" s="522">
        <v>8.6999999999999993</v>
      </c>
      <c r="CC368" s="522">
        <v>7.8</v>
      </c>
      <c r="CD368" s="522">
        <v>19.100000000000001</v>
      </c>
      <c r="CE368" s="522">
        <v>30</v>
      </c>
      <c r="CF368" s="522">
        <v>12.4</v>
      </c>
      <c r="CG368" s="522">
        <v>5.7</v>
      </c>
      <c r="CH368" s="522">
        <v>10.85</v>
      </c>
      <c r="CI368" s="522">
        <v>15.1</v>
      </c>
      <c r="CJ368" s="522">
        <v>15.2</v>
      </c>
      <c r="CK368" s="522">
        <v>0</v>
      </c>
      <c r="CL368" s="522">
        <v>4.9000000000000004</v>
      </c>
      <c r="CM368" s="522">
        <v>4.3</v>
      </c>
      <c r="CN368" s="522">
        <v>525.70000000000005</v>
      </c>
      <c r="CO368" s="522">
        <v>342.2</v>
      </c>
      <c r="CP368" s="522">
        <v>515.70000000000005</v>
      </c>
      <c r="CQ368" s="522">
        <v>13.4</v>
      </c>
      <c r="CR368" s="522">
        <v>0.72</v>
      </c>
      <c r="CS368" s="405">
        <v>0</v>
      </c>
      <c r="CT368" s="405">
        <v>18.239999999999998</v>
      </c>
      <c r="CU368" s="405">
        <v>46</v>
      </c>
      <c r="CV368" s="522">
        <v>0</v>
      </c>
      <c r="CW368" s="522">
        <v>0</v>
      </c>
      <c r="CX368" s="522">
        <v>0</v>
      </c>
      <c r="CY368" s="522">
        <v>0</v>
      </c>
      <c r="CZ368" s="642">
        <v>3630</v>
      </c>
      <c r="DA368" s="642">
        <v>3980</v>
      </c>
      <c r="DB368" s="642">
        <v>3570</v>
      </c>
      <c r="DC368" s="642">
        <v>1095.67</v>
      </c>
      <c r="DD368" s="522"/>
      <c r="DE368" s="522"/>
      <c r="DF368" s="522"/>
      <c r="DG368" s="522"/>
      <c r="DH368" s="522"/>
      <c r="DI368" s="522"/>
      <c r="DJ368" s="522"/>
      <c r="DK368" s="522"/>
      <c r="DL368" s="522"/>
      <c r="DM368" s="522"/>
      <c r="DN368" s="522"/>
      <c r="DO368" s="522"/>
      <c r="DP368" s="522"/>
      <c r="DQ368" s="522"/>
      <c r="DR368" s="522"/>
      <c r="DS368" s="522"/>
      <c r="DT368" s="522"/>
      <c r="DU368" s="522"/>
      <c r="DV368" s="522"/>
      <c r="DW368" s="522"/>
      <c r="DX368" s="522"/>
      <c r="DY368" s="522"/>
      <c r="DZ368" s="522"/>
      <c r="EA368" s="522"/>
      <c r="EB368" s="522"/>
      <c r="EC368" s="522"/>
      <c r="ED368" s="522"/>
      <c r="EE368" s="522"/>
      <c r="EF368" s="522"/>
      <c r="EG368" s="649">
        <f t="shared" si="357"/>
        <v>13.923</v>
      </c>
      <c r="EH368" s="649">
        <v>0</v>
      </c>
      <c r="EI368" s="649">
        <v>0</v>
      </c>
      <c r="EJ368" s="522">
        <v>2.5</v>
      </c>
      <c r="EK368" s="649">
        <v>6.5</v>
      </c>
      <c r="EL368" s="522"/>
      <c r="EM368" s="522"/>
      <c r="EN368" s="522"/>
      <c r="EO368" s="522"/>
      <c r="EP368" s="522"/>
      <c r="EQ368" s="522"/>
      <c r="ER368" s="522"/>
      <c r="ES368" s="407"/>
      <c r="ET368" s="407"/>
    </row>
    <row r="369" spans="1:150" s="357" customFormat="1" ht="15">
      <c r="A369" s="675" t="s">
        <v>4</v>
      </c>
      <c r="B369" s="712">
        <v>41995</v>
      </c>
      <c r="C369" s="358">
        <v>0</v>
      </c>
      <c r="D369" s="405">
        <v>0.01</v>
      </c>
      <c r="E369" s="681">
        <v>0</v>
      </c>
      <c r="F369" s="681">
        <v>0</v>
      </c>
      <c r="G369" s="681">
        <v>3.05</v>
      </c>
      <c r="H369" s="405">
        <v>30.78</v>
      </c>
      <c r="I369" s="405">
        <v>0</v>
      </c>
      <c r="J369" s="405">
        <v>7.45</v>
      </c>
      <c r="K369" s="405">
        <v>0.06</v>
      </c>
      <c r="L369" s="644">
        <v>45.470000000001164</v>
      </c>
      <c r="M369" s="405">
        <v>8.3000000000000007</v>
      </c>
      <c r="N369" s="405">
        <v>1.54</v>
      </c>
      <c r="O369" s="405">
        <v>1.8015931572873067</v>
      </c>
      <c r="P369" s="405">
        <v>1.6</v>
      </c>
      <c r="Q369" s="405">
        <v>1.9284172803016233</v>
      </c>
      <c r="R369" s="405">
        <v>774.13268163804469</v>
      </c>
      <c r="S369" s="405">
        <v>7.68</v>
      </c>
      <c r="T369" s="405">
        <v>7.51</v>
      </c>
      <c r="U369" s="405">
        <v>0.51</v>
      </c>
      <c r="V369" s="406">
        <v>0.61</v>
      </c>
      <c r="W369" s="866">
        <v>44.239999999999995</v>
      </c>
      <c r="X369" s="386">
        <v>44.239999999999995</v>
      </c>
      <c r="Y369" s="383">
        <v>30.3</v>
      </c>
      <c r="Z369" s="681">
        <v>20</v>
      </c>
      <c r="AA369" s="428">
        <v>30.3</v>
      </c>
      <c r="AB369" s="428">
        <v>19.8</v>
      </c>
      <c r="AC369" s="775">
        <f t="shared" si="355"/>
        <v>50.1</v>
      </c>
      <c r="AD369" s="775">
        <f t="shared" si="356"/>
        <v>77.5047</v>
      </c>
      <c r="AE369" s="705"/>
      <c r="AF369" s="705"/>
      <c r="AG369" s="705">
        <v>1</v>
      </c>
      <c r="AH369" s="705"/>
      <c r="AI369" s="705"/>
      <c r="AJ369" s="407"/>
      <c r="AK369" s="407"/>
      <c r="AL369" s="407"/>
      <c r="AM369" s="407"/>
      <c r="AN369" s="407"/>
      <c r="AO369" s="387"/>
      <c r="AP369" s="387"/>
      <c r="AQ369" s="405"/>
      <c r="AR369" s="578">
        <v>0</v>
      </c>
      <c r="AS369" s="405">
        <v>22.4</v>
      </c>
      <c r="AT369" s="578">
        <v>0</v>
      </c>
      <c r="AU369" s="405">
        <v>31.5</v>
      </c>
      <c r="AV369" s="405">
        <v>480.6</v>
      </c>
      <c r="AW369" s="405">
        <v>835.2</v>
      </c>
      <c r="AX369" s="405">
        <v>0</v>
      </c>
      <c r="AY369" s="578">
        <v>0</v>
      </c>
      <c r="AZ369" s="578">
        <v>0</v>
      </c>
      <c r="BA369" s="578">
        <v>0</v>
      </c>
      <c r="BB369" s="925">
        <v>1</v>
      </c>
      <c r="BC369" s="405">
        <v>0.68</v>
      </c>
      <c r="BD369" s="405">
        <v>1.82</v>
      </c>
      <c r="BE369" s="578">
        <v>0</v>
      </c>
      <c r="BF369" s="405">
        <v>0</v>
      </c>
      <c r="BG369" s="405">
        <v>0</v>
      </c>
      <c r="BH369" s="578">
        <v>0</v>
      </c>
      <c r="BI369" s="405">
        <v>0</v>
      </c>
      <c r="BJ369" s="405">
        <v>17.399999999999999</v>
      </c>
      <c r="BK369" s="405">
        <v>2.83</v>
      </c>
      <c r="BL369" s="405">
        <v>3.6</v>
      </c>
      <c r="BM369" s="405">
        <v>0</v>
      </c>
      <c r="BN369" s="405">
        <v>10</v>
      </c>
      <c r="BO369" s="405">
        <v>0</v>
      </c>
      <c r="BP369" s="405">
        <v>380.4</v>
      </c>
      <c r="BQ369" s="522">
        <v>14.5</v>
      </c>
      <c r="BR369" s="522">
        <v>14.77</v>
      </c>
      <c r="BS369" s="649">
        <v>13.69</v>
      </c>
      <c r="BT369" s="649">
        <v>13.78</v>
      </c>
      <c r="BU369" s="405">
        <v>29.4</v>
      </c>
      <c r="BV369" s="405">
        <v>30.3</v>
      </c>
      <c r="BW369" s="522">
        <v>663.2</v>
      </c>
      <c r="BX369" s="878"/>
      <c r="BY369" s="522">
        <v>0.63</v>
      </c>
      <c r="BZ369" s="522">
        <v>1.53</v>
      </c>
      <c r="CA369" s="522">
        <v>1.5</v>
      </c>
      <c r="CB369" s="522">
        <v>8.8000000000000007</v>
      </c>
      <c r="CC369" s="522">
        <v>7.8</v>
      </c>
      <c r="CD369" s="522">
        <v>15.8</v>
      </c>
      <c r="CE369" s="522">
        <v>30</v>
      </c>
      <c r="CF369" s="522">
        <v>12.4</v>
      </c>
      <c r="CG369" s="522">
        <v>6.22</v>
      </c>
      <c r="CH369" s="522">
        <v>11.5</v>
      </c>
      <c r="CI369" s="522">
        <v>15.8</v>
      </c>
      <c r="CJ369" s="522">
        <v>13.59</v>
      </c>
      <c r="CK369" s="522">
        <v>0</v>
      </c>
      <c r="CL369" s="522">
        <v>2.7</v>
      </c>
      <c r="CM369" s="522">
        <v>6.7</v>
      </c>
      <c r="CN369" s="522">
        <v>356.1</v>
      </c>
      <c r="CO369" s="522">
        <v>305.8</v>
      </c>
      <c r="CP369" s="522">
        <v>530.4</v>
      </c>
      <c r="CQ369" s="522">
        <v>11.6</v>
      </c>
      <c r="CR369" s="522">
        <v>0.73</v>
      </c>
      <c r="CS369" s="405">
        <v>1840.3</v>
      </c>
      <c r="CT369" s="405">
        <v>16.940000000000001</v>
      </c>
      <c r="CU369" s="405">
        <v>46</v>
      </c>
      <c r="CV369" s="522">
        <v>0</v>
      </c>
      <c r="CW369" s="522">
        <v>0</v>
      </c>
      <c r="CX369" s="522">
        <v>0</v>
      </c>
      <c r="CY369" s="522">
        <v>0</v>
      </c>
      <c r="CZ369" s="642">
        <v>3280</v>
      </c>
      <c r="DA369" s="642">
        <v>3990</v>
      </c>
      <c r="DB369" s="642">
        <v>3220</v>
      </c>
      <c r="DC369" s="642">
        <v>1093.1300000000001</v>
      </c>
      <c r="DD369" s="522"/>
      <c r="DE369" s="522"/>
      <c r="DF369" s="522"/>
      <c r="DG369" s="522"/>
      <c r="DH369" s="522"/>
      <c r="DI369" s="522"/>
      <c r="DJ369" s="522"/>
      <c r="DK369" s="522"/>
      <c r="DL369" s="522"/>
      <c r="DM369" s="522"/>
      <c r="DN369" s="522"/>
      <c r="DO369" s="522"/>
      <c r="DP369" s="522"/>
      <c r="DQ369" s="522"/>
      <c r="DR369" s="522"/>
      <c r="DS369" s="522"/>
      <c r="DT369" s="522"/>
      <c r="DU369" s="522"/>
      <c r="DV369" s="522"/>
      <c r="DW369" s="522"/>
      <c r="DX369" s="522"/>
      <c r="DY369" s="522"/>
      <c r="DZ369" s="522"/>
      <c r="EA369" s="522"/>
      <c r="EB369" s="522"/>
      <c r="EC369" s="522"/>
      <c r="ED369" s="522"/>
      <c r="EE369" s="522"/>
      <c r="EF369" s="522"/>
      <c r="EG369" s="649">
        <f t="shared" si="357"/>
        <v>13.923</v>
      </c>
      <c r="EH369" s="649">
        <v>0</v>
      </c>
      <c r="EI369" s="649">
        <v>0</v>
      </c>
      <c r="EJ369" s="522">
        <v>2.5</v>
      </c>
      <c r="EK369" s="649">
        <v>6.5</v>
      </c>
      <c r="EL369" s="522"/>
      <c r="EM369" s="522"/>
      <c r="EN369" s="522"/>
      <c r="EO369" s="522"/>
      <c r="EP369" s="522"/>
      <c r="EQ369" s="522"/>
      <c r="ER369" s="522"/>
      <c r="ES369" s="407"/>
      <c r="ET369" s="407"/>
    </row>
    <row r="370" spans="1:150" s="357" customFormat="1" ht="15">
      <c r="A370" s="675" t="s">
        <v>5</v>
      </c>
      <c r="B370" s="712">
        <v>41996</v>
      </c>
      <c r="C370" s="358">
        <v>0</v>
      </c>
      <c r="D370" s="405">
        <v>0.01</v>
      </c>
      <c r="E370" s="681">
        <v>0</v>
      </c>
      <c r="F370" s="681">
        <v>0</v>
      </c>
      <c r="G370" s="681">
        <v>2.65</v>
      </c>
      <c r="H370" s="405">
        <v>14.97</v>
      </c>
      <c r="I370" s="405">
        <v>0</v>
      </c>
      <c r="J370" s="405">
        <v>9.98</v>
      </c>
      <c r="K370" s="405">
        <v>0.06</v>
      </c>
      <c r="L370" s="644">
        <v>43.270000000000437</v>
      </c>
      <c r="M370" s="405">
        <v>8.6</v>
      </c>
      <c r="N370" s="405">
        <v>1.56</v>
      </c>
      <c r="O370" s="405">
        <v>1.9985426646677604</v>
      </c>
      <c r="P370" s="405">
        <v>1.57</v>
      </c>
      <c r="Q370" s="405">
        <v>1.980166334864931</v>
      </c>
      <c r="R370" s="405">
        <v>820.12717569352697</v>
      </c>
      <c r="S370" s="405">
        <v>7.77</v>
      </c>
      <c r="T370" s="405">
        <v>7.62</v>
      </c>
      <c r="U370" s="405">
        <v>0.44</v>
      </c>
      <c r="V370" s="406">
        <v>0.63</v>
      </c>
      <c r="W370" s="866">
        <v>32</v>
      </c>
      <c r="X370" s="386">
        <v>32</v>
      </c>
      <c r="Y370" s="383">
        <v>30.3</v>
      </c>
      <c r="Z370" s="681">
        <v>19.8</v>
      </c>
      <c r="AA370" s="428">
        <v>28.52</v>
      </c>
      <c r="AB370" s="428">
        <v>20.8</v>
      </c>
      <c r="AC370" s="775">
        <f t="shared" si="355"/>
        <v>49.32</v>
      </c>
      <c r="AD370" s="775">
        <f t="shared" si="356"/>
        <v>76.29804</v>
      </c>
      <c r="AE370" s="705"/>
      <c r="AF370" s="705"/>
      <c r="AG370" s="705">
        <v>1</v>
      </c>
      <c r="AH370" s="705"/>
      <c r="AI370" s="705"/>
      <c r="AJ370" s="407"/>
      <c r="AK370" s="407"/>
      <c r="AL370" s="407"/>
      <c r="AM370" s="407"/>
      <c r="AN370" s="407"/>
      <c r="AO370" s="387"/>
      <c r="AP370" s="387"/>
      <c r="AQ370" s="405"/>
      <c r="AR370" s="578">
        <v>0</v>
      </c>
      <c r="AS370" s="405">
        <v>11</v>
      </c>
      <c r="AT370" s="578">
        <v>0</v>
      </c>
      <c r="AU370" s="405">
        <v>30</v>
      </c>
      <c r="AV370" s="405">
        <v>505.7</v>
      </c>
      <c r="AW370" s="405">
        <v>520.79999999999995</v>
      </c>
      <c r="AX370" s="405">
        <v>0</v>
      </c>
      <c r="AY370" s="578">
        <v>0</v>
      </c>
      <c r="AZ370" s="578">
        <v>0</v>
      </c>
      <c r="BA370" s="578">
        <v>0</v>
      </c>
      <c r="BB370" s="925">
        <v>1</v>
      </c>
      <c r="BC370" s="405">
        <v>0.68</v>
      </c>
      <c r="BD370" s="405">
        <v>1.82</v>
      </c>
      <c r="BE370" s="578">
        <v>0</v>
      </c>
      <c r="BF370" s="405">
        <v>0</v>
      </c>
      <c r="BG370" s="405">
        <v>0</v>
      </c>
      <c r="BH370" s="578">
        <v>0</v>
      </c>
      <c r="BI370" s="405">
        <v>0</v>
      </c>
      <c r="BJ370" s="405">
        <v>18.399999999999999</v>
      </c>
      <c r="BK370" s="405">
        <v>2.84</v>
      </c>
      <c r="BL370" s="405">
        <v>3.66</v>
      </c>
      <c r="BM370" s="405">
        <v>0</v>
      </c>
      <c r="BN370" s="405">
        <v>11</v>
      </c>
      <c r="BO370" s="405">
        <v>0</v>
      </c>
      <c r="BP370" s="405">
        <v>154.4</v>
      </c>
      <c r="BQ370" s="522">
        <v>15.68</v>
      </c>
      <c r="BR370" s="522">
        <v>15.96</v>
      </c>
      <c r="BS370" s="522">
        <v>13.08</v>
      </c>
      <c r="BT370" s="522">
        <v>13.18</v>
      </c>
      <c r="BU370" s="405">
        <v>28.3</v>
      </c>
      <c r="BV370" s="405">
        <v>28</v>
      </c>
      <c r="BW370" s="522">
        <v>458.4</v>
      </c>
      <c r="BX370" s="878"/>
      <c r="BY370" s="522">
        <v>0.62</v>
      </c>
      <c r="BZ370" s="522">
        <v>1.51</v>
      </c>
      <c r="CA370" s="522">
        <v>1.5</v>
      </c>
      <c r="CB370" s="522">
        <v>8.9</v>
      </c>
      <c r="CC370" s="522">
        <v>8</v>
      </c>
      <c r="CD370" s="522">
        <v>15.2</v>
      </c>
      <c r="CE370" s="522">
        <v>29.9</v>
      </c>
      <c r="CF370" s="522">
        <v>12.5</v>
      </c>
      <c r="CG370" s="522">
        <v>3.2</v>
      </c>
      <c r="CH370" s="522">
        <v>7.9</v>
      </c>
      <c r="CI370" s="522">
        <v>12</v>
      </c>
      <c r="CJ370" s="522">
        <v>13.21</v>
      </c>
      <c r="CK370" s="522">
        <v>129.9</v>
      </c>
      <c r="CL370" s="522">
        <v>2</v>
      </c>
      <c r="CM370" s="522">
        <v>3.1</v>
      </c>
      <c r="CN370" s="522">
        <v>339.2</v>
      </c>
      <c r="CO370" s="522">
        <v>280.89999999999998</v>
      </c>
      <c r="CP370" s="522">
        <v>528.1</v>
      </c>
      <c r="CQ370" s="522">
        <v>14.8</v>
      </c>
      <c r="CR370" s="522">
        <v>0.92</v>
      </c>
      <c r="CS370" s="405">
        <v>3849.4</v>
      </c>
      <c r="CT370" s="405">
        <v>17.79</v>
      </c>
      <c r="CU370" s="405">
        <v>47</v>
      </c>
      <c r="CV370" s="522">
        <v>0</v>
      </c>
      <c r="CW370" s="522">
        <v>0</v>
      </c>
      <c r="CX370" s="522">
        <v>0</v>
      </c>
      <c r="CY370" s="522">
        <v>0</v>
      </c>
      <c r="CZ370" s="642">
        <v>2530</v>
      </c>
      <c r="DA370" s="642">
        <v>3520</v>
      </c>
      <c r="DB370" s="642">
        <v>2720</v>
      </c>
      <c r="DC370" s="642">
        <v>1100.55</v>
      </c>
      <c r="DD370" s="522"/>
      <c r="DE370" s="522"/>
      <c r="DF370" s="522"/>
      <c r="DG370" s="522"/>
      <c r="DH370" s="522"/>
      <c r="DI370" s="522"/>
      <c r="DJ370" s="522"/>
      <c r="DK370" s="522"/>
      <c r="DL370" s="522"/>
      <c r="DM370" s="522"/>
      <c r="DN370" s="522"/>
      <c r="DO370" s="522"/>
      <c r="DP370" s="522"/>
      <c r="DQ370" s="522"/>
      <c r="DR370" s="522"/>
      <c r="DS370" s="522"/>
      <c r="DT370" s="522"/>
      <c r="DU370" s="522"/>
      <c r="DV370" s="522"/>
      <c r="DW370" s="522"/>
      <c r="DX370" s="522"/>
      <c r="DY370" s="522"/>
      <c r="DZ370" s="522"/>
      <c r="EA370" s="522"/>
      <c r="EB370" s="522"/>
      <c r="EC370" s="522"/>
      <c r="ED370" s="522"/>
      <c r="EE370" s="522"/>
      <c r="EF370" s="522"/>
      <c r="EG370" s="649">
        <f t="shared" si="357"/>
        <v>13.923</v>
      </c>
      <c r="EH370" s="649">
        <v>0</v>
      </c>
      <c r="EI370" s="649">
        <v>0</v>
      </c>
      <c r="EJ370" s="522">
        <v>2.5</v>
      </c>
      <c r="EK370" s="649">
        <v>6.5</v>
      </c>
      <c r="EL370" s="522"/>
      <c r="EM370" s="522"/>
      <c r="EN370" s="522"/>
      <c r="EO370" s="522"/>
      <c r="EP370" s="522"/>
      <c r="EQ370" s="522"/>
      <c r="ER370" s="522"/>
      <c r="ES370" s="407"/>
      <c r="ET370" s="407"/>
    </row>
    <row r="371" spans="1:150" s="357" customFormat="1" ht="15">
      <c r="A371" s="675" t="s">
        <v>6</v>
      </c>
      <c r="B371" s="712">
        <v>41997</v>
      </c>
      <c r="C371" s="358">
        <v>0</v>
      </c>
      <c r="D371" s="405">
        <v>0.32</v>
      </c>
      <c r="E371" s="681">
        <v>0</v>
      </c>
      <c r="F371" s="681">
        <v>0</v>
      </c>
      <c r="G371" s="681">
        <v>2.9</v>
      </c>
      <c r="H371" s="405">
        <v>15.9</v>
      </c>
      <c r="I371" s="405">
        <v>0</v>
      </c>
      <c r="J371" s="405">
        <v>5.9</v>
      </c>
      <c r="K371" s="405">
        <v>0.1</v>
      </c>
      <c r="L371" s="644">
        <v>39.110000000000582</v>
      </c>
      <c r="M371" s="405">
        <v>12.5</v>
      </c>
      <c r="N371" s="405">
        <v>1.1299999999999999</v>
      </c>
      <c r="O371" s="405">
        <v>2.1458600174001972</v>
      </c>
      <c r="P371" s="405">
        <v>1.58</v>
      </c>
      <c r="Q371" s="405">
        <v>1.9013817325806919</v>
      </c>
      <c r="R371" s="405">
        <v>852.51766446499323</v>
      </c>
      <c r="S371" s="405">
        <v>7.74</v>
      </c>
      <c r="T371" s="405">
        <v>7.62</v>
      </c>
      <c r="U371" s="405">
        <v>0.41</v>
      </c>
      <c r="V371" s="406">
        <v>0.64</v>
      </c>
      <c r="W371" s="866">
        <v>43.88000000000001</v>
      </c>
      <c r="X371" s="386">
        <v>44.239999999999995</v>
      </c>
      <c r="Y371" s="383">
        <v>28.52</v>
      </c>
      <c r="Z371" s="681">
        <v>20.8</v>
      </c>
      <c r="AA371" s="428">
        <v>29.48</v>
      </c>
      <c r="AB371" s="428">
        <v>20.7</v>
      </c>
      <c r="AC371" s="775">
        <f t="shared" si="355"/>
        <v>50.18</v>
      </c>
      <c r="AD371" s="775">
        <f t="shared" si="356"/>
        <v>77.62845999999999</v>
      </c>
      <c r="AE371" s="705"/>
      <c r="AF371" s="705"/>
      <c r="AG371" s="705">
        <v>1</v>
      </c>
      <c r="AH371" s="705"/>
      <c r="AI371" s="705"/>
      <c r="AJ371" s="407"/>
      <c r="AK371" s="407"/>
      <c r="AL371" s="407"/>
      <c r="AM371" s="407"/>
      <c r="AN371" s="407"/>
      <c r="AO371" s="387"/>
      <c r="AP371" s="387"/>
      <c r="AQ371" s="405"/>
      <c r="AR371" s="578">
        <v>0</v>
      </c>
      <c r="AS371" s="405">
        <v>21.8</v>
      </c>
      <c r="AT371" s="578">
        <v>0</v>
      </c>
      <c r="AU371" s="405">
        <v>30.3</v>
      </c>
      <c r="AV371" s="405">
        <v>263.10000000000002</v>
      </c>
      <c r="AW371" s="405">
        <v>348.7</v>
      </c>
      <c r="AX371" s="405">
        <v>0</v>
      </c>
      <c r="AY371" s="578">
        <v>0</v>
      </c>
      <c r="AZ371" s="578">
        <v>0</v>
      </c>
      <c r="BA371" s="578">
        <v>0</v>
      </c>
      <c r="BB371" s="925">
        <v>1</v>
      </c>
      <c r="BC371" s="405">
        <v>0.77</v>
      </c>
      <c r="BD371" s="405">
        <v>1.72</v>
      </c>
      <c r="BE371" s="578">
        <v>0</v>
      </c>
      <c r="BF371" s="405">
        <v>0</v>
      </c>
      <c r="BG371" s="405">
        <v>0</v>
      </c>
      <c r="BH371" s="578">
        <v>0</v>
      </c>
      <c r="BI371" s="405">
        <v>0</v>
      </c>
      <c r="BJ371" s="405">
        <v>18.3</v>
      </c>
      <c r="BK371" s="405">
        <v>2.91</v>
      </c>
      <c r="BL371" s="405">
        <v>3.58</v>
      </c>
      <c r="BM371" s="405">
        <v>0</v>
      </c>
      <c r="BN371" s="405">
        <v>10.8</v>
      </c>
      <c r="BO371" s="405">
        <v>0</v>
      </c>
      <c r="BP371" s="405">
        <v>673.8</v>
      </c>
      <c r="BQ371" s="522">
        <v>14.41</v>
      </c>
      <c r="BR371" s="522">
        <v>14.67</v>
      </c>
      <c r="BS371" s="522">
        <v>13.34</v>
      </c>
      <c r="BT371" s="522">
        <v>13.44</v>
      </c>
      <c r="BU371" s="405">
        <v>28.7</v>
      </c>
      <c r="BV371" s="405">
        <v>35.4</v>
      </c>
      <c r="BW371" s="522">
        <v>1080.0999999999999</v>
      </c>
      <c r="BX371" s="878"/>
      <c r="BY371" s="522">
        <v>0.53</v>
      </c>
      <c r="BZ371" s="522">
        <v>1.52</v>
      </c>
      <c r="CA371" s="522">
        <v>1.4</v>
      </c>
      <c r="CB371" s="522">
        <v>8.8000000000000007</v>
      </c>
      <c r="CC371" s="522">
        <v>8</v>
      </c>
      <c r="CD371" s="522">
        <v>15.3</v>
      </c>
      <c r="CE371" s="522">
        <v>29.7</v>
      </c>
      <c r="CF371" s="522">
        <v>15</v>
      </c>
      <c r="CG371" s="522">
        <v>8.15</v>
      </c>
      <c r="CH371" s="522">
        <v>13.65</v>
      </c>
      <c r="CI371" s="522">
        <v>17.95</v>
      </c>
      <c r="CJ371" s="522">
        <v>13.27</v>
      </c>
      <c r="CK371" s="522">
        <v>454.3</v>
      </c>
      <c r="CL371" s="522">
        <v>3.4</v>
      </c>
      <c r="CM371" s="522">
        <v>4.9000000000000004</v>
      </c>
      <c r="CN371" s="522">
        <v>384.3</v>
      </c>
      <c r="CO371" s="522">
        <v>306</v>
      </c>
      <c r="CP371" s="522">
        <v>512.20000000000005</v>
      </c>
      <c r="CQ371" s="522">
        <v>15.4</v>
      </c>
      <c r="CR371" s="522">
        <v>0.94</v>
      </c>
      <c r="CS371" s="405">
        <v>2331.4</v>
      </c>
      <c r="CT371" s="405">
        <v>18.16</v>
      </c>
      <c r="CU371" s="405">
        <v>47</v>
      </c>
      <c r="CV371" s="522">
        <v>0</v>
      </c>
      <c r="CW371" s="522">
        <v>0</v>
      </c>
      <c r="CX371" s="522">
        <v>0</v>
      </c>
      <c r="CY371" s="522">
        <v>0</v>
      </c>
      <c r="CZ371" s="642">
        <v>2950</v>
      </c>
      <c r="DA371" s="642">
        <v>4200</v>
      </c>
      <c r="DB371" s="642">
        <v>3040</v>
      </c>
      <c r="DC371" s="642">
        <v>1116.9000000000001</v>
      </c>
      <c r="DD371" s="522"/>
      <c r="DE371" s="522"/>
      <c r="DF371" s="522"/>
      <c r="DG371" s="522"/>
      <c r="DH371" s="522"/>
      <c r="DI371" s="522"/>
      <c r="DJ371" s="522"/>
      <c r="DK371" s="522"/>
      <c r="DL371" s="522"/>
      <c r="DM371" s="522"/>
      <c r="DN371" s="522"/>
      <c r="DO371" s="522"/>
      <c r="DP371" s="522"/>
      <c r="DQ371" s="522"/>
      <c r="DR371" s="522"/>
      <c r="DS371" s="522"/>
      <c r="DT371" s="522"/>
      <c r="DU371" s="522"/>
      <c r="DV371" s="522"/>
      <c r="DW371" s="522"/>
      <c r="DX371" s="522"/>
      <c r="DY371" s="522"/>
      <c r="DZ371" s="522"/>
      <c r="EA371" s="522"/>
      <c r="EB371" s="522"/>
      <c r="EC371" s="522"/>
      <c r="ED371" s="522"/>
      <c r="EE371" s="522"/>
      <c r="EF371" s="522"/>
      <c r="EG371" s="649">
        <f t="shared" si="357"/>
        <v>13.923</v>
      </c>
      <c r="EH371" s="649">
        <v>0</v>
      </c>
      <c r="EI371" s="649">
        <v>0</v>
      </c>
      <c r="EJ371" s="522">
        <v>2.5</v>
      </c>
      <c r="EK371" s="649">
        <v>6.5</v>
      </c>
      <c r="EL371" s="522"/>
      <c r="EM371" s="522"/>
      <c r="EN371" s="522"/>
      <c r="EO371" s="522"/>
      <c r="EP371" s="522"/>
      <c r="EQ371" s="522"/>
      <c r="ER371" s="522"/>
      <c r="ES371" s="407"/>
      <c r="ET371" s="407"/>
    </row>
    <row r="372" spans="1:150" s="357" customFormat="1" ht="15">
      <c r="A372" s="675" t="s">
        <v>7</v>
      </c>
      <c r="B372" s="712">
        <v>41998</v>
      </c>
      <c r="C372" s="358">
        <v>0</v>
      </c>
      <c r="D372" s="405">
        <v>0.24</v>
      </c>
      <c r="E372" s="681">
        <v>0</v>
      </c>
      <c r="F372" s="681">
        <v>0</v>
      </c>
      <c r="G372" s="681">
        <v>2.9</v>
      </c>
      <c r="H372" s="405">
        <v>9.86</v>
      </c>
      <c r="I372" s="405">
        <v>83.8</v>
      </c>
      <c r="J372" s="405">
        <v>3.11</v>
      </c>
      <c r="K372" s="405">
        <v>0.06</v>
      </c>
      <c r="L372" s="644">
        <v>38.700000000000728</v>
      </c>
      <c r="M372" s="405">
        <v>13.7</v>
      </c>
      <c r="N372" s="405">
        <v>1.53</v>
      </c>
      <c r="O372" s="405">
        <v>1.9471135217179483</v>
      </c>
      <c r="P372" s="405">
        <v>1.56</v>
      </c>
      <c r="Q372" s="405">
        <v>1.9133188281923246</v>
      </c>
      <c r="R372" s="405">
        <v>807.17098018494039</v>
      </c>
      <c r="S372" s="405">
        <v>7.9</v>
      </c>
      <c r="T372" s="405">
        <v>7.76</v>
      </c>
      <c r="U372" s="405">
        <v>0.56000000000000005</v>
      </c>
      <c r="V372" s="406">
        <v>0.62</v>
      </c>
      <c r="W372" s="866">
        <v>43.88000000000001</v>
      </c>
      <c r="X372" s="386">
        <v>44.78</v>
      </c>
      <c r="Y372" s="383">
        <v>29.48</v>
      </c>
      <c r="Z372" s="681">
        <v>20.7</v>
      </c>
      <c r="AA372" s="428">
        <v>30.12</v>
      </c>
      <c r="AB372" s="428">
        <v>19.98</v>
      </c>
      <c r="AC372" s="775">
        <f t="shared" si="355"/>
        <v>50.1</v>
      </c>
      <c r="AD372" s="775">
        <f t="shared" si="356"/>
        <v>77.5047</v>
      </c>
      <c r="AE372" s="705"/>
      <c r="AF372" s="705"/>
      <c r="AG372" s="705">
        <v>1</v>
      </c>
      <c r="AH372" s="705"/>
      <c r="AI372" s="705"/>
      <c r="AJ372" s="407"/>
      <c r="AK372" s="407"/>
      <c r="AL372" s="407"/>
      <c r="AM372" s="407"/>
      <c r="AN372" s="407"/>
      <c r="AO372" s="387"/>
      <c r="AP372" s="387"/>
      <c r="AQ372" s="405"/>
      <c r="AR372" s="578">
        <v>0</v>
      </c>
      <c r="AS372" s="405">
        <v>11.6</v>
      </c>
      <c r="AT372" s="578">
        <v>0</v>
      </c>
      <c r="AU372" s="405">
        <v>31.4</v>
      </c>
      <c r="AV372" s="405">
        <v>246.6</v>
      </c>
      <c r="AW372" s="405">
        <v>379.5</v>
      </c>
      <c r="AX372" s="405">
        <v>0</v>
      </c>
      <c r="AY372" s="578">
        <v>0</v>
      </c>
      <c r="AZ372" s="578">
        <v>0</v>
      </c>
      <c r="BA372" s="578">
        <v>0</v>
      </c>
      <c r="BB372" s="925">
        <v>0.98</v>
      </c>
      <c r="BC372" s="405">
        <v>0.78</v>
      </c>
      <c r="BD372" s="405">
        <v>1.72</v>
      </c>
      <c r="BE372" s="578">
        <v>0</v>
      </c>
      <c r="BF372" s="405">
        <v>0</v>
      </c>
      <c r="BG372" s="405">
        <v>0</v>
      </c>
      <c r="BH372" s="578">
        <v>0</v>
      </c>
      <c r="BI372" s="405">
        <v>0</v>
      </c>
      <c r="BJ372" s="405">
        <v>17.600000000000001</v>
      </c>
      <c r="BK372" s="405">
        <v>2.97</v>
      </c>
      <c r="BL372" s="405">
        <v>3.51</v>
      </c>
      <c r="BM372" s="405">
        <v>0</v>
      </c>
      <c r="BN372" s="405">
        <v>10.1</v>
      </c>
      <c r="BO372" s="405">
        <v>0</v>
      </c>
      <c r="BP372" s="405">
        <v>37.700000000000003</v>
      </c>
      <c r="BQ372" s="522">
        <v>15.89</v>
      </c>
      <c r="BR372" s="522">
        <v>16.149999999999999</v>
      </c>
      <c r="BS372" s="522">
        <v>13.82</v>
      </c>
      <c r="BT372" s="522">
        <v>13.92</v>
      </c>
      <c r="BU372" s="405">
        <v>29.6</v>
      </c>
      <c r="BV372" s="405">
        <v>28.8</v>
      </c>
      <c r="BW372" s="522">
        <v>666.6</v>
      </c>
      <c r="BX372" s="878"/>
      <c r="BY372" s="522">
        <v>3.05</v>
      </c>
      <c r="BZ372" s="522">
        <v>1.51</v>
      </c>
      <c r="CA372" s="522">
        <v>1.4</v>
      </c>
      <c r="CB372" s="522">
        <v>8.9</v>
      </c>
      <c r="CC372" s="522">
        <v>8</v>
      </c>
      <c r="CD372" s="522">
        <v>15.4</v>
      </c>
      <c r="CE372" s="522">
        <v>30.1</v>
      </c>
      <c r="CF372" s="522">
        <v>14.6</v>
      </c>
      <c r="CG372" s="522">
        <v>2.7</v>
      </c>
      <c r="CH372" s="522">
        <v>7.3</v>
      </c>
      <c r="CI372" s="522">
        <v>11.6</v>
      </c>
      <c r="CJ372" s="522">
        <v>13.1</v>
      </c>
      <c r="CK372" s="522">
        <v>417.6</v>
      </c>
      <c r="CL372" s="522">
        <v>1.7</v>
      </c>
      <c r="CM372" s="522">
        <v>1.7</v>
      </c>
      <c r="CN372" s="522">
        <v>308.89999999999998</v>
      </c>
      <c r="CO372" s="522">
        <v>279.3</v>
      </c>
      <c r="CP372" s="522">
        <v>476.5</v>
      </c>
      <c r="CQ372" s="522">
        <v>13.1</v>
      </c>
      <c r="CR372" s="522">
        <v>0.76</v>
      </c>
      <c r="CS372" s="405">
        <v>1290.4000000000001</v>
      </c>
      <c r="CT372" s="405">
        <v>16.21</v>
      </c>
      <c r="CU372" s="405">
        <v>47</v>
      </c>
      <c r="CV372" s="522">
        <v>0</v>
      </c>
      <c r="CW372" s="522">
        <v>0</v>
      </c>
      <c r="CX372" s="522">
        <v>0</v>
      </c>
      <c r="CY372" s="522">
        <v>0</v>
      </c>
      <c r="CZ372" s="642">
        <v>2930</v>
      </c>
      <c r="DA372" s="642">
        <v>3880</v>
      </c>
      <c r="DB372" s="642">
        <v>2960</v>
      </c>
      <c r="DC372" s="642">
        <v>1115.51</v>
      </c>
      <c r="DD372" s="522"/>
      <c r="DE372" s="522"/>
      <c r="DF372" s="522"/>
      <c r="DG372" s="522"/>
      <c r="DH372" s="522"/>
      <c r="DI372" s="522"/>
      <c r="DJ372" s="522"/>
      <c r="DK372" s="522"/>
      <c r="DL372" s="522"/>
      <c r="DM372" s="522"/>
      <c r="DN372" s="522"/>
      <c r="DO372" s="522"/>
      <c r="DP372" s="522"/>
      <c r="DQ372" s="522"/>
      <c r="DR372" s="522"/>
      <c r="DS372" s="522"/>
      <c r="DT372" s="522"/>
      <c r="DU372" s="522"/>
      <c r="DV372" s="522"/>
      <c r="DW372" s="522"/>
      <c r="DX372" s="522"/>
      <c r="DY372" s="522"/>
      <c r="DZ372" s="522"/>
      <c r="EA372" s="522"/>
      <c r="EB372" s="522"/>
      <c r="EC372" s="522"/>
      <c r="ED372" s="522"/>
      <c r="EE372" s="522"/>
      <c r="EF372" s="522"/>
      <c r="EG372" s="649">
        <f t="shared" si="357"/>
        <v>13.923</v>
      </c>
      <c r="EH372" s="649">
        <v>0</v>
      </c>
      <c r="EI372" s="649">
        <v>0</v>
      </c>
      <c r="EJ372" s="522">
        <v>2.5</v>
      </c>
      <c r="EK372" s="649">
        <v>6.5</v>
      </c>
      <c r="EL372" s="522"/>
      <c r="EM372" s="522"/>
      <c r="EN372" s="522"/>
      <c r="EO372" s="522"/>
      <c r="EP372" s="522"/>
      <c r="EQ372" s="522"/>
      <c r="ER372" s="522"/>
      <c r="ES372" s="407"/>
      <c r="ET372" s="407"/>
    </row>
    <row r="373" spans="1:150" s="357" customFormat="1" ht="15">
      <c r="A373" s="675" t="s">
        <v>8</v>
      </c>
      <c r="B373" s="712">
        <v>41999</v>
      </c>
      <c r="C373" s="358">
        <v>0</v>
      </c>
      <c r="D373" s="405">
        <v>0.01</v>
      </c>
      <c r="E373" s="681">
        <v>0</v>
      </c>
      <c r="F373" s="681">
        <v>0</v>
      </c>
      <c r="G373" s="681">
        <v>2.7</v>
      </c>
      <c r="H373" s="405">
        <v>6.33</v>
      </c>
      <c r="I373" s="405">
        <v>88.48</v>
      </c>
      <c r="J373" s="405">
        <v>2.7</v>
      </c>
      <c r="K373" s="405">
        <v>0.05</v>
      </c>
      <c r="L373" s="644">
        <v>32.219999999997526</v>
      </c>
      <c r="M373" s="405">
        <v>16.3</v>
      </c>
      <c r="N373" s="405">
        <v>1.53</v>
      </c>
      <c r="O373" s="405">
        <v>2.1184099915938188</v>
      </c>
      <c r="P373" s="405">
        <v>1.59</v>
      </c>
      <c r="Q373" s="405">
        <v>2.0090023973779232</v>
      </c>
      <c r="R373" s="405">
        <v>796.1582140026419</v>
      </c>
      <c r="S373" s="405">
        <v>8.06</v>
      </c>
      <c r="T373" s="405">
        <v>7.79</v>
      </c>
      <c r="U373" s="405">
        <v>0.4</v>
      </c>
      <c r="V373" s="406">
        <v>0.54</v>
      </c>
      <c r="W373" s="866">
        <v>44.960000000000008</v>
      </c>
      <c r="X373" s="386">
        <v>46.58</v>
      </c>
      <c r="Y373" s="383">
        <v>30.12</v>
      </c>
      <c r="Z373" s="681">
        <v>19.98</v>
      </c>
      <c r="AA373" s="428">
        <v>30.16</v>
      </c>
      <c r="AB373" s="428">
        <v>15.52</v>
      </c>
      <c r="AC373" s="775">
        <f t="shared" ref="AC373:AC375" si="358">AA373+AB373</f>
        <v>45.68</v>
      </c>
      <c r="AD373" s="775">
        <f t="shared" ref="AD373:AD375" si="359">AC373*1.547</f>
        <v>70.666960000000003</v>
      </c>
      <c r="AE373" s="705"/>
      <c r="AF373" s="705"/>
      <c r="AG373" s="705">
        <v>1</v>
      </c>
      <c r="AH373" s="705"/>
      <c r="AI373" s="705"/>
      <c r="AJ373" s="407"/>
      <c r="AK373" s="407"/>
      <c r="AL373" s="407"/>
      <c r="AM373" s="407"/>
      <c r="AN373" s="407"/>
      <c r="AO373" s="387"/>
      <c r="AP373" s="387"/>
      <c r="AQ373" s="405"/>
      <c r="AR373" s="578">
        <v>0</v>
      </c>
      <c r="AS373" s="405">
        <v>21.5</v>
      </c>
      <c r="AT373" s="578">
        <v>0</v>
      </c>
      <c r="AU373" s="405">
        <v>31.3</v>
      </c>
      <c r="AV373" s="405">
        <v>253.1</v>
      </c>
      <c r="AW373" s="405">
        <v>363.3</v>
      </c>
      <c r="AX373" s="405">
        <v>0</v>
      </c>
      <c r="AY373" s="578">
        <v>0</v>
      </c>
      <c r="AZ373" s="578">
        <v>0</v>
      </c>
      <c r="BA373" s="578">
        <v>0</v>
      </c>
      <c r="BB373" s="925">
        <v>1</v>
      </c>
      <c r="BC373" s="405">
        <v>0.78</v>
      </c>
      <c r="BD373" s="405">
        <v>1.72</v>
      </c>
      <c r="BE373" s="578">
        <v>0</v>
      </c>
      <c r="BF373" s="405">
        <v>0</v>
      </c>
      <c r="BG373" s="405">
        <v>0</v>
      </c>
      <c r="BH373" s="578">
        <v>0</v>
      </c>
      <c r="BI373" s="405">
        <v>0</v>
      </c>
      <c r="BJ373" s="405">
        <v>13.2</v>
      </c>
      <c r="BK373" s="405">
        <v>2.69</v>
      </c>
      <c r="BL373" s="405">
        <v>3.81</v>
      </c>
      <c r="BM373" s="405">
        <v>0</v>
      </c>
      <c r="BN373" s="405">
        <v>5.7</v>
      </c>
      <c r="BO373" s="405">
        <v>135</v>
      </c>
      <c r="BP373" s="405">
        <v>567.9</v>
      </c>
      <c r="BQ373" s="522">
        <v>13.78</v>
      </c>
      <c r="BR373" s="522">
        <v>14.01</v>
      </c>
      <c r="BS373" s="522">
        <v>13.78</v>
      </c>
      <c r="BT373" s="522">
        <v>13.9</v>
      </c>
      <c r="BU373" s="405">
        <v>29.3</v>
      </c>
      <c r="BV373" s="405">
        <v>38.700000000000003</v>
      </c>
      <c r="BW373" s="522">
        <v>463.8</v>
      </c>
      <c r="BX373" s="878"/>
      <c r="BY373" s="522">
        <v>7.08</v>
      </c>
      <c r="BZ373" s="522">
        <v>1.43</v>
      </c>
      <c r="CA373" s="522">
        <v>1.4</v>
      </c>
      <c r="CB373" s="522">
        <v>9</v>
      </c>
      <c r="CC373" s="522">
        <v>8.1</v>
      </c>
      <c r="CD373" s="522">
        <v>14.3</v>
      </c>
      <c r="CE373" s="522">
        <v>29.5</v>
      </c>
      <c r="CF373" s="522">
        <v>14.1</v>
      </c>
      <c r="CG373" s="522">
        <v>7.1</v>
      </c>
      <c r="CH373" s="522">
        <v>12.5</v>
      </c>
      <c r="CI373" s="522">
        <v>16.8</v>
      </c>
      <c r="CJ373" s="522">
        <v>12.59</v>
      </c>
      <c r="CK373" s="522">
        <v>529.4</v>
      </c>
      <c r="CL373" s="522">
        <v>1.8</v>
      </c>
      <c r="CM373" s="522">
        <v>3.1</v>
      </c>
      <c r="CN373" s="522">
        <v>374.4</v>
      </c>
      <c r="CO373" s="522">
        <v>299.10000000000002</v>
      </c>
      <c r="CP373" s="522">
        <v>518.5</v>
      </c>
      <c r="CQ373" s="522">
        <v>14.7</v>
      </c>
      <c r="CR373" s="522">
        <v>0.9</v>
      </c>
      <c r="CS373" s="405">
        <v>0</v>
      </c>
      <c r="CT373" s="405">
        <v>16.079999999999998</v>
      </c>
      <c r="CU373" s="405">
        <v>46</v>
      </c>
      <c r="CV373" s="522">
        <v>0</v>
      </c>
      <c r="CW373" s="522">
        <v>0</v>
      </c>
      <c r="CX373" s="522">
        <v>0</v>
      </c>
      <c r="CY373" s="522">
        <v>0</v>
      </c>
      <c r="CZ373" s="642">
        <v>2810</v>
      </c>
      <c r="DA373" s="642">
        <v>3690</v>
      </c>
      <c r="DB373" s="642">
        <v>2800</v>
      </c>
      <c r="DC373" s="642">
        <v>1110.2</v>
      </c>
      <c r="DD373" s="522"/>
      <c r="DE373" s="522"/>
      <c r="DF373" s="522"/>
      <c r="DG373" s="522"/>
      <c r="DH373" s="522"/>
      <c r="DI373" s="522"/>
      <c r="DJ373" s="522"/>
      <c r="DK373" s="522"/>
      <c r="DL373" s="522"/>
      <c r="DM373" s="522"/>
      <c r="DN373" s="522"/>
      <c r="DO373" s="522"/>
      <c r="DP373" s="522"/>
      <c r="DQ373" s="522"/>
      <c r="DR373" s="522"/>
      <c r="DS373" s="522"/>
      <c r="DT373" s="522"/>
      <c r="DU373" s="522"/>
      <c r="DV373" s="522"/>
      <c r="DW373" s="522"/>
      <c r="DX373" s="522"/>
      <c r="DY373" s="522"/>
      <c r="DZ373" s="522"/>
      <c r="EA373" s="522"/>
      <c r="EB373" s="522"/>
      <c r="EC373" s="522"/>
      <c r="ED373" s="522"/>
      <c r="EE373" s="522"/>
      <c r="EF373" s="522"/>
      <c r="EG373" s="649">
        <f t="shared" ref="EG373:EG379" si="360">(SUM(EH373:EK373))*1.547</f>
        <v>13.923</v>
      </c>
      <c r="EH373" s="649">
        <v>0</v>
      </c>
      <c r="EI373" s="649">
        <v>0</v>
      </c>
      <c r="EJ373" s="522">
        <v>2.5</v>
      </c>
      <c r="EK373" s="649">
        <v>6.5</v>
      </c>
      <c r="EL373" s="522"/>
      <c r="EM373" s="522"/>
      <c r="EN373" s="522"/>
      <c r="EO373" s="522"/>
      <c r="EP373" s="522"/>
      <c r="EQ373" s="522"/>
      <c r="ER373" s="522"/>
      <c r="ES373" s="407"/>
      <c r="ET373" s="407"/>
    </row>
    <row r="374" spans="1:150" s="357" customFormat="1" ht="15">
      <c r="A374" s="675" t="s">
        <v>9</v>
      </c>
      <c r="B374" s="712">
        <v>42000</v>
      </c>
      <c r="C374" s="358">
        <v>0</v>
      </c>
      <c r="D374" s="405">
        <v>0.59</v>
      </c>
      <c r="E374" s="681">
        <v>0</v>
      </c>
      <c r="F374" s="681">
        <v>0</v>
      </c>
      <c r="G374" s="681">
        <v>2.7</v>
      </c>
      <c r="H374" s="405">
        <v>5.01</v>
      </c>
      <c r="I374" s="405">
        <v>90.81</v>
      </c>
      <c r="J374" s="405">
        <v>2.72</v>
      </c>
      <c r="K374" s="405">
        <v>0.05</v>
      </c>
      <c r="L374" s="644">
        <v>26.740000000001601</v>
      </c>
      <c r="M374" s="405">
        <v>18.600000000000001</v>
      </c>
      <c r="N374" s="405">
        <v>1.52</v>
      </c>
      <c r="O374" s="405">
        <v>1.8254940421388708</v>
      </c>
      <c r="P374" s="405">
        <v>1.64</v>
      </c>
      <c r="Q374" s="405">
        <v>1.9131072948774399</v>
      </c>
      <c r="R374" s="405">
        <v>667.5679735799207</v>
      </c>
      <c r="S374" s="405">
        <v>7.94</v>
      </c>
      <c r="T374" s="405">
        <v>7.77</v>
      </c>
      <c r="U374" s="405">
        <v>0.4</v>
      </c>
      <c r="V374" s="406">
        <v>0.53</v>
      </c>
      <c r="W374" s="866">
        <v>43.160000000000011</v>
      </c>
      <c r="X374" s="386">
        <v>44.42</v>
      </c>
      <c r="Y374" s="383">
        <v>30.16</v>
      </c>
      <c r="Z374" s="681">
        <v>15.52</v>
      </c>
      <c r="AA374" s="428">
        <v>30.19</v>
      </c>
      <c r="AB374" s="428">
        <v>12.89</v>
      </c>
      <c r="AC374" s="775">
        <f t="shared" si="358"/>
        <v>43.08</v>
      </c>
      <c r="AD374" s="775">
        <f t="shared" si="359"/>
        <v>66.644759999999991</v>
      </c>
      <c r="AE374" s="705"/>
      <c r="AF374" s="705"/>
      <c r="AG374" s="705">
        <v>1</v>
      </c>
      <c r="AH374" s="705"/>
      <c r="AI374" s="705"/>
      <c r="AJ374" s="407"/>
      <c r="AK374" s="407"/>
      <c r="AL374" s="407"/>
      <c r="AM374" s="407"/>
      <c r="AN374" s="407"/>
      <c r="AO374" s="387"/>
      <c r="AP374" s="387"/>
      <c r="AQ374" s="405"/>
      <c r="AR374" s="578">
        <v>0</v>
      </c>
      <c r="AS374" s="405">
        <v>17</v>
      </c>
      <c r="AT374" s="578">
        <v>0</v>
      </c>
      <c r="AU374" s="405">
        <v>31.4</v>
      </c>
      <c r="AV374" s="405">
        <v>378.8</v>
      </c>
      <c r="AW374" s="405">
        <v>457.9</v>
      </c>
      <c r="AX374" s="405">
        <v>0</v>
      </c>
      <c r="AY374" s="578">
        <v>0</v>
      </c>
      <c r="AZ374" s="578">
        <v>0</v>
      </c>
      <c r="BA374" s="578">
        <v>0</v>
      </c>
      <c r="BB374" s="925">
        <v>1</v>
      </c>
      <c r="BC374" s="405">
        <v>0.78</v>
      </c>
      <c r="BD374" s="405">
        <v>1.73</v>
      </c>
      <c r="BE374" s="578">
        <v>0</v>
      </c>
      <c r="BF374" s="405">
        <v>0</v>
      </c>
      <c r="BG374" s="405">
        <v>0</v>
      </c>
      <c r="BH374" s="578">
        <v>0</v>
      </c>
      <c r="BI374" s="405">
        <v>0</v>
      </c>
      <c r="BJ374" s="405">
        <v>10.4</v>
      </c>
      <c r="BK374" s="405">
        <v>2.4700000000000002</v>
      </c>
      <c r="BL374" s="405">
        <v>4.03</v>
      </c>
      <c r="BM374" s="405">
        <v>0</v>
      </c>
      <c r="BN374" s="405">
        <v>2.9</v>
      </c>
      <c r="BO374" s="405">
        <v>0</v>
      </c>
      <c r="BP374" s="405">
        <v>193.1</v>
      </c>
      <c r="BQ374" s="522">
        <v>13.63</v>
      </c>
      <c r="BR374" s="522">
        <v>13.88</v>
      </c>
      <c r="BS374" s="522">
        <v>13.61</v>
      </c>
      <c r="BT374" s="522">
        <v>13.66</v>
      </c>
      <c r="BU374" s="405">
        <v>29.5</v>
      </c>
      <c r="BV374" s="405">
        <v>33</v>
      </c>
      <c r="BW374" s="522">
        <v>696.8</v>
      </c>
      <c r="BX374" s="878"/>
      <c r="BY374" s="522">
        <v>0.56000000000000005</v>
      </c>
      <c r="BZ374" s="522">
        <v>1.46</v>
      </c>
      <c r="CA374" s="522">
        <v>1.3</v>
      </c>
      <c r="CB374" s="522">
        <v>9</v>
      </c>
      <c r="CC374" s="522">
        <v>8.1999999999999993</v>
      </c>
      <c r="CD374" s="522">
        <v>14.7</v>
      </c>
      <c r="CE374" s="522">
        <v>28.9</v>
      </c>
      <c r="CF374" s="522">
        <v>13.4</v>
      </c>
      <c r="CG374" s="522">
        <v>4.2</v>
      </c>
      <c r="CH374" s="522">
        <v>9.0500000000000007</v>
      </c>
      <c r="CI374" s="522">
        <v>13.5</v>
      </c>
      <c r="CJ374" s="522">
        <v>13.12</v>
      </c>
      <c r="CK374" s="522">
        <v>0</v>
      </c>
      <c r="CL374" s="522">
        <v>2.2000000000000002</v>
      </c>
      <c r="CM374" s="522">
        <v>2.6</v>
      </c>
      <c r="CN374" s="522">
        <v>363.8</v>
      </c>
      <c r="CO374" s="522">
        <v>303</v>
      </c>
      <c r="CP374" s="522">
        <v>504.8</v>
      </c>
      <c r="CQ374" s="522">
        <v>14.3</v>
      </c>
      <c r="CR374" s="522">
        <v>0.87</v>
      </c>
      <c r="CS374" s="405">
        <v>5827.4</v>
      </c>
      <c r="CT374" s="405">
        <v>17.067</v>
      </c>
      <c r="CU374" s="405">
        <v>48</v>
      </c>
      <c r="CV374" s="522">
        <v>0</v>
      </c>
      <c r="CW374" s="522">
        <v>0</v>
      </c>
      <c r="CX374" s="522">
        <v>0</v>
      </c>
      <c r="CY374" s="522">
        <v>0</v>
      </c>
      <c r="CZ374" s="642">
        <v>2700</v>
      </c>
      <c r="DA374" s="642">
        <v>3590</v>
      </c>
      <c r="DB374" s="642">
        <v>2700</v>
      </c>
      <c r="DC374" s="642">
        <v>1104.5</v>
      </c>
      <c r="DD374" s="522"/>
      <c r="DE374" s="522"/>
      <c r="DF374" s="522"/>
      <c r="DG374" s="522"/>
      <c r="DH374" s="522"/>
      <c r="DI374" s="522"/>
      <c r="DJ374" s="522"/>
      <c r="DK374" s="522"/>
      <c r="DL374" s="522"/>
      <c r="DM374" s="522"/>
      <c r="DN374" s="522"/>
      <c r="DO374" s="522"/>
      <c r="DP374" s="522"/>
      <c r="DQ374" s="522"/>
      <c r="DR374" s="522"/>
      <c r="DS374" s="522"/>
      <c r="DT374" s="522"/>
      <c r="DU374" s="522"/>
      <c r="DV374" s="522"/>
      <c r="DW374" s="522"/>
      <c r="DX374" s="522"/>
      <c r="DY374" s="522"/>
      <c r="DZ374" s="522"/>
      <c r="EA374" s="522"/>
      <c r="EB374" s="522"/>
      <c r="EC374" s="522"/>
      <c r="ED374" s="522"/>
      <c r="EE374" s="522"/>
      <c r="EF374" s="522"/>
      <c r="EG374" s="649">
        <f t="shared" si="360"/>
        <v>13.923</v>
      </c>
      <c r="EH374" s="649">
        <v>0</v>
      </c>
      <c r="EI374" s="649">
        <v>0</v>
      </c>
      <c r="EJ374" s="522">
        <v>2.5</v>
      </c>
      <c r="EK374" s="649">
        <v>6.5</v>
      </c>
      <c r="EL374" s="522"/>
      <c r="EM374" s="522"/>
      <c r="EN374" s="522"/>
      <c r="EO374" s="522"/>
      <c r="EP374" s="522"/>
      <c r="EQ374" s="522"/>
      <c r="ER374" s="522"/>
      <c r="ES374" s="407"/>
      <c r="ET374" s="407"/>
    </row>
    <row r="375" spans="1:150" s="357" customFormat="1" ht="15">
      <c r="A375" s="675" t="s">
        <v>3</v>
      </c>
      <c r="B375" s="712">
        <v>42001</v>
      </c>
      <c r="C375" s="358">
        <v>0</v>
      </c>
      <c r="D375" s="405">
        <v>0.35</v>
      </c>
      <c r="E375" s="681">
        <v>0</v>
      </c>
      <c r="F375" s="681">
        <v>0</v>
      </c>
      <c r="G375" s="681">
        <v>2.65</v>
      </c>
      <c r="H375" s="405">
        <v>5.17</v>
      </c>
      <c r="I375" s="405">
        <v>0</v>
      </c>
      <c r="J375" s="405">
        <v>2.84</v>
      </c>
      <c r="K375" s="405">
        <v>0.23</v>
      </c>
      <c r="L375" s="644">
        <v>25.869999999998981</v>
      </c>
      <c r="M375" s="405">
        <v>19.7</v>
      </c>
      <c r="N375" s="405">
        <v>1.54</v>
      </c>
      <c r="O375" s="405">
        <v>2.0809561212463326</v>
      </c>
      <c r="P375" s="405">
        <v>1.63</v>
      </c>
      <c r="Q375" s="405">
        <v>1.9418758256266748</v>
      </c>
      <c r="R375" s="405">
        <v>742.0660977542932</v>
      </c>
      <c r="S375" s="405">
        <v>7.88</v>
      </c>
      <c r="T375" s="405">
        <v>7.88</v>
      </c>
      <c r="U375" s="405">
        <v>0.41</v>
      </c>
      <c r="V375" s="406">
        <v>0.56000000000000005</v>
      </c>
      <c r="W375" s="866">
        <v>42.980000000000004</v>
      </c>
      <c r="X375" s="386">
        <v>44.600000000000009</v>
      </c>
      <c r="Y375" s="383">
        <v>30.19</v>
      </c>
      <c r="Z375" s="681">
        <v>12.89</v>
      </c>
      <c r="AA375" s="428">
        <v>30.13</v>
      </c>
      <c r="AB375" s="428">
        <v>13.31</v>
      </c>
      <c r="AC375" s="775">
        <f t="shared" si="358"/>
        <v>43.44</v>
      </c>
      <c r="AD375" s="775">
        <f t="shared" si="359"/>
        <v>67.201679999999996</v>
      </c>
      <c r="AE375" s="705"/>
      <c r="AF375" s="705"/>
      <c r="AG375" s="705">
        <v>1</v>
      </c>
      <c r="AH375" s="705"/>
      <c r="AI375" s="705"/>
      <c r="AJ375" s="407"/>
      <c r="AK375" s="407"/>
      <c r="AL375" s="407"/>
      <c r="AM375" s="407"/>
      <c r="AN375" s="407"/>
      <c r="AO375" s="387"/>
      <c r="AP375" s="387"/>
      <c r="AQ375" s="405"/>
      <c r="AR375" s="578">
        <v>0</v>
      </c>
      <c r="AS375" s="405">
        <v>17.2</v>
      </c>
      <c r="AT375" s="578">
        <v>0</v>
      </c>
      <c r="AU375" s="405">
        <v>31.4</v>
      </c>
      <c r="AV375" s="405">
        <v>352.3</v>
      </c>
      <c r="AW375" s="405">
        <v>530.70000000000005</v>
      </c>
      <c r="AX375" s="405">
        <v>0</v>
      </c>
      <c r="AY375" s="578">
        <v>0</v>
      </c>
      <c r="AZ375" s="578">
        <v>0</v>
      </c>
      <c r="BA375" s="578">
        <v>0</v>
      </c>
      <c r="BB375" s="925">
        <v>1</v>
      </c>
      <c r="BC375" s="405">
        <v>0.77</v>
      </c>
      <c r="BD375" s="405">
        <v>1.73</v>
      </c>
      <c r="BE375" s="578">
        <v>0</v>
      </c>
      <c r="BF375" s="405">
        <v>0</v>
      </c>
      <c r="BG375" s="405">
        <v>0</v>
      </c>
      <c r="BH375" s="578">
        <v>0</v>
      </c>
      <c r="BI375" s="405">
        <v>0</v>
      </c>
      <c r="BJ375" s="405">
        <v>10.8</v>
      </c>
      <c r="BK375" s="405">
        <v>2.84</v>
      </c>
      <c r="BL375" s="405">
        <v>3.66</v>
      </c>
      <c r="BM375" s="405">
        <v>0</v>
      </c>
      <c r="BN375" s="405">
        <v>3.4</v>
      </c>
      <c r="BO375" s="405">
        <v>0</v>
      </c>
      <c r="BP375" s="405">
        <v>330.8</v>
      </c>
      <c r="BQ375" s="522">
        <v>12.26</v>
      </c>
      <c r="BR375" s="522">
        <v>12.53</v>
      </c>
      <c r="BS375" s="522">
        <v>13.43</v>
      </c>
      <c r="BT375" s="522">
        <v>13.49</v>
      </c>
      <c r="BU375" s="405">
        <v>29.2</v>
      </c>
      <c r="BV375" s="405">
        <v>36</v>
      </c>
      <c r="BW375" s="522">
        <v>687.1</v>
      </c>
      <c r="BX375" s="878"/>
      <c r="BY375" s="522">
        <v>0.38</v>
      </c>
      <c r="BZ375" s="522">
        <v>1.48</v>
      </c>
      <c r="CA375" s="522">
        <v>1.4</v>
      </c>
      <c r="CB375" s="522">
        <v>9</v>
      </c>
      <c r="CC375" s="522">
        <v>8.1999999999999993</v>
      </c>
      <c r="CD375" s="522">
        <v>13.9</v>
      </c>
      <c r="CE375" s="522">
        <v>29.7</v>
      </c>
      <c r="CF375" s="522">
        <v>13</v>
      </c>
      <c r="CG375" s="522">
        <v>3.7</v>
      </c>
      <c r="CH375" s="522">
        <v>8.5</v>
      </c>
      <c r="CI375" s="522">
        <v>12.7</v>
      </c>
      <c r="CJ375" s="522">
        <v>12.42</v>
      </c>
      <c r="CK375" s="522">
        <v>0</v>
      </c>
      <c r="CL375" s="522">
        <v>2.2999999999999998</v>
      </c>
      <c r="CM375" s="522">
        <v>4.0999999999999996</v>
      </c>
      <c r="CN375" s="522">
        <v>386.3</v>
      </c>
      <c r="CO375" s="522">
        <v>310.3</v>
      </c>
      <c r="CP375" s="522">
        <v>513.1</v>
      </c>
      <c r="CQ375" s="522">
        <v>14.4</v>
      </c>
      <c r="CR375" s="522">
        <v>8.6999999999999993</v>
      </c>
      <c r="CS375" s="405">
        <v>3749.7</v>
      </c>
      <c r="CT375" s="405">
        <v>18.073</v>
      </c>
      <c r="CU375" s="405">
        <v>47</v>
      </c>
      <c r="CV375" s="522">
        <v>0</v>
      </c>
      <c r="CW375" s="522">
        <v>0</v>
      </c>
      <c r="CX375" s="522">
        <v>0</v>
      </c>
      <c r="CY375" s="522">
        <v>0</v>
      </c>
      <c r="CZ375" s="642">
        <v>2610</v>
      </c>
      <c r="DA375" s="642">
        <v>3500</v>
      </c>
      <c r="DB375" s="642">
        <v>2590</v>
      </c>
      <c r="DC375" s="642">
        <v>1100.4100000000001</v>
      </c>
      <c r="DD375" s="522"/>
      <c r="DE375" s="522"/>
      <c r="DF375" s="522"/>
      <c r="DG375" s="522"/>
      <c r="DH375" s="522"/>
      <c r="DI375" s="522"/>
      <c r="DJ375" s="522"/>
      <c r="DK375" s="522"/>
      <c r="DL375" s="522"/>
      <c r="DM375" s="522"/>
      <c r="DN375" s="522"/>
      <c r="DO375" s="522"/>
      <c r="DP375" s="522"/>
      <c r="DQ375" s="522"/>
      <c r="DR375" s="522"/>
      <c r="DS375" s="522"/>
      <c r="DT375" s="522"/>
      <c r="DU375" s="522"/>
      <c r="DV375" s="522"/>
      <c r="DW375" s="522"/>
      <c r="DX375" s="522"/>
      <c r="DY375" s="522"/>
      <c r="DZ375" s="522"/>
      <c r="EA375" s="522"/>
      <c r="EB375" s="522"/>
      <c r="EC375" s="522"/>
      <c r="ED375" s="522"/>
      <c r="EE375" s="522"/>
      <c r="EF375" s="522"/>
      <c r="EG375" s="649">
        <f t="shared" si="360"/>
        <v>13.923</v>
      </c>
      <c r="EH375" s="649">
        <v>0</v>
      </c>
      <c r="EI375" s="649">
        <v>0</v>
      </c>
      <c r="EJ375" s="522">
        <v>2.5</v>
      </c>
      <c r="EK375" s="649">
        <v>6.5</v>
      </c>
      <c r="EL375" s="522"/>
      <c r="EM375" s="522"/>
      <c r="EN375" s="522"/>
      <c r="EO375" s="522"/>
      <c r="EP375" s="522"/>
      <c r="EQ375" s="522"/>
      <c r="ER375" s="522"/>
      <c r="ES375" s="407"/>
      <c r="ET375" s="407"/>
    </row>
    <row r="376" spans="1:150" s="357" customFormat="1" ht="15">
      <c r="A376" s="675" t="s">
        <v>4</v>
      </c>
      <c r="B376" s="712">
        <v>42002</v>
      </c>
      <c r="C376" s="358">
        <v>0</v>
      </c>
      <c r="D376" s="405">
        <v>0.02</v>
      </c>
      <c r="E376" s="681">
        <v>0</v>
      </c>
      <c r="F376" s="681">
        <v>0</v>
      </c>
      <c r="G376" s="681">
        <v>1.85</v>
      </c>
      <c r="H376" s="405">
        <v>4.62</v>
      </c>
      <c r="I376" s="405">
        <v>0</v>
      </c>
      <c r="J376" s="405">
        <v>2.91</v>
      </c>
      <c r="K376" s="405">
        <v>1.05</v>
      </c>
      <c r="L376" s="644">
        <v>22.139999999999418</v>
      </c>
      <c r="M376" s="405">
        <v>20.5</v>
      </c>
      <c r="N376" s="405">
        <v>1.63</v>
      </c>
      <c r="O376" s="405">
        <v>2.0310971473450961</v>
      </c>
      <c r="P376" s="405">
        <v>1.7</v>
      </c>
      <c r="Q376" s="405">
        <v>2.1306391740411197</v>
      </c>
      <c r="R376" s="405">
        <v>819.47936591809764</v>
      </c>
      <c r="S376" s="405">
        <v>8.1</v>
      </c>
      <c r="T376" s="405">
        <v>7.85</v>
      </c>
      <c r="U376" s="405">
        <v>0.4</v>
      </c>
      <c r="V376" s="406">
        <v>0.56999999999999995</v>
      </c>
      <c r="W376" s="866">
        <v>42.44</v>
      </c>
      <c r="X376" s="386">
        <v>43.160000000000011</v>
      </c>
      <c r="Y376" s="383">
        <v>30.13</v>
      </c>
      <c r="Z376" s="681">
        <v>13.31</v>
      </c>
      <c r="AA376" s="428">
        <v>30</v>
      </c>
      <c r="AB376" s="428">
        <v>17.3</v>
      </c>
      <c r="AC376" s="775">
        <f t="shared" ref="AC376:AC382" si="361">AA376+AB376</f>
        <v>47.3</v>
      </c>
      <c r="AD376" s="775">
        <f t="shared" ref="AD376:AD382" si="362">AC376*1.547</f>
        <v>73.173099999999991</v>
      </c>
      <c r="AE376" s="705"/>
      <c r="AF376" s="705"/>
      <c r="AG376" s="705">
        <v>1</v>
      </c>
      <c r="AH376" s="705"/>
      <c r="AI376" s="705"/>
      <c r="AJ376" s="407"/>
      <c r="AK376" s="407"/>
      <c r="AL376" s="407"/>
      <c r="AM376" s="407"/>
      <c r="AN376" s="407"/>
      <c r="AO376" s="387"/>
      <c r="AP376" s="387"/>
      <c r="AQ376" s="405"/>
      <c r="AR376" s="578">
        <v>0</v>
      </c>
      <c r="AS376" s="405">
        <v>22.4</v>
      </c>
      <c r="AT376" s="578">
        <v>0</v>
      </c>
      <c r="AU376" s="405">
        <v>31.3</v>
      </c>
      <c r="AV376" s="405">
        <v>434.4</v>
      </c>
      <c r="AW376" s="405">
        <v>513.4</v>
      </c>
      <c r="AX376" s="405">
        <v>0</v>
      </c>
      <c r="AY376" s="578">
        <v>0</v>
      </c>
      <c r="AZ376" s="578">
        <v>0</v>
      </c>
      <c r="BA376" s="578">
        <v>0</v>
      </c>
      <c r="BB376" s="925">
        <v>1.01</v>
      </c>
      <c r="BC376" s="405">
        <v>0.79</v>
      </c>
      <c r="BD376" s="405">
        <v>1.72</v>
      </c>
      <c r="BE376" s="578">
        <v>0</v>
      </c>
      <c r="BF376" s="405">
        <v>0</v>
      </c>
      <c r="BG376" s="405">
        <v>0</v>
      </c>
      <c r="BH376" s="578">
        <v>0</v>
      </c>
      <c r="BI376" s="405">
        <v>0</v>
      </c>
      <c r="BJ376" s="405">
        <v>14.9</v>
      </c>
      <c r="BK376" s="405">
        <v>2.73</v>
      </c>
      <c r="BL376" s="405">
        <v>3.76</v>
      </c>
      <c r="BM376" s="405">
        <v>0</v>
      </c>
      <c r="BN376" s="405">
        <v>7.5</v>
      </c>
      <c r="BO376" s="405">
        <v>6.8</v>
      </c>
      <c r="BP376" s="405">
        <v>521.9</v>
      </c>
      <c r="BQ376" s="522">
        <v>12.67</v>
      </c>
      <c r="BR376" s="522">
        <v>12.97</v>
      </c>
      <c r="BS376" s="522">
        <v>13.41</v>
      </c>
      <c r="BT376" s="522">
        <v>13.45</v>
      </c>
      <c r="BU376" s="405">
        <v>29.2</v>
      </c>
      <c r="BV376" s="405">
        <v>31.1</v>
      </c>
      <c r="BW376" s="522">
        <v>489.1</v>
      </c>
      <c r="BX376" s="878"/>
      <c r="BY376" s="522">
        <v>0.25</v>
      </c>
      <c r="BZ376" s="522">
        <v>1.53</v>
      </c>
      <c r="CA376" s="522">
        <v>1.4</v>
      </c>
      <c r="CB376" s="522">
        <v>8.9</v>
      </c>
      <c r="CC376" s="522">
        <v>8.1999999999999993</v>
      </c>
      <c r="CD376" s="522">
        <v>15.7</v>
      </c>
      <c r="CE376" s="522">
        <v>31.2</v>
      </c>
      <c r="CF376" s="522">
        <v>12.4</v>
      </c>
      <c r="CG376" s="522">
        <v>6.4</v>
      </c>
      <c r="CH376" s="522">
        <v>11.6</v>
      </c>
      <c r="CI376" s="522">
        <v>16.100000000000001</v>
      </c>
      <c r="CJ376" s="522">
        <v>12.46</v>
      </c>
      <c r="CK376" s="522">
        <v>0</v>
      </c>
      <c r="CL376" s="522">
        <v>4.0999999999999996</v>
      </c>
      <c r="CM376" s="522">
        <v>4.7</v>
      </c>
      <c r="CN376" s="522">
        <v>311</v>
      </c>
      <c r="CO376" s="522">
        <v>293.60000000000002</v>
      </c>
      <c r="CP376" s="522">
        <v>560.20000000000005</v>
      </c>
      <c r="CQ376" s="522">
        <v>15.4</v>
      </c>
      <c r="CR376" s="522">
        <v>0.91</v>
      </c>
      <c r="CS376" s="405">
        <v>7360.6</v>
      </c>
      <c r="CT376" s="405">
        <v>18.474</v>
      </c>
      <c r="CU376" s="405">
        <v>48</v>
      </c>
      <c r="CV376" s="522">
        <v>0</v>
      </c>
      <c r="CW376" s="522">
        <v>0</v>
      </c>
      <c r="CX376" s="522">
        <v>0</v>
      </c>
      <c r="CY376" s="522">
        <v>0</v>
      </c>
      <c r="CZ376" s="642">
        <v>1630</v>
      </c>
      <c r="DA376" s="642">
        <v>2440</v>
      </c>
      <c r="DB376" s="642">
        <v>1640</v>
      </c>
      <c r="DC376" s="642">
        <v>1098.2</v>
      </c>
      <c r="DD376" s="522"/>
      <c r="DE376" s="522"/>
      <c r="DF376" s="522"/>
      <c r="DG376" s="522"/>
      <c r="DH376" s="522"/>
      <c r="DI376" s="522"/>
      <c r="DJ376" s="522"/>
      <c r="DK376" s="522"/>
      <c r="DL376" s="522"/>
      <c r="DM376" s="522"/>
      <c r="DN376" s="522"/>
      <c r="DO376" s="522"/>
      <c r="DP376" s="522"/>
      <c r="DQ376" s="522"/>
      <c r="DR376" s="522"/>
      <c r="DS376" s="522"/>
      <c r="DT376" s="522"/>
      <c r="DU376" s="522"/>
      <c r="DV376" s="522"/>
      <c r="DW376" s="522"/>
      <c r="DX376" s="522"/>
      <c r="DY376" s="522"/>
      <c r="DZ376" s="522"/>
      <c r="EA376" s="522"/>
      <c r="EB376" s="522"/>
      <c r="EC376" s="522"/>
      <c r="ED376" s="522"/>
      <c r="EE376" s="522"/>
      <c r="EF376" s="522"/>
      <c r="EG376" s="649">
        <f t="shared" si="360"/>
        <v>13.923</v>
      </c>
      <c r="EH376" s="649">
        <v>0</v>
      </c>
      <c r="EI376" s="649">
        <v>0</v>
      </c>
      <c r="EJ376" s="522">
        <v>2.5</v>
      </c>
      <c r="EK376" s="649">
        <v>6.5</v>
      </c>
      <c r="EL376" s="522"/>
      <c r="EM376" s="522"/>
      <c r="EN376" s="522"/>
      <c r="EO376" s="522"/>
      <c r="EP376" s="522"/>
      <c r="EQ376" s="522"/>
      <c r="ER376" s="522"/>
      <c r="ES376" s="407"/>
      <c r="ET376" s="407"/>
    </row>
    <row r="377" spans="1:150" s="357" customFormat="1" ht="15">
      <c r="A377" s="675" t="s">
        <v>5</v>
      </c>
      <c r="B377" s="712">
        <v>42003</v>
      </c>
      <c r="C377" s="358">
        <v>0</v>
      </c>
      <c r="D377" s="405">
        <v>0</v>
      </c>
      <c r="E377" s="681">
        <v>0</v>
      </c>
      <c r="F377" s="681">
        <v>0</v>
      </c>
      <c r="G377" s="681">
        <v>1.7</v>
      </c>
      <c r="H377" s="405">
        <v>3.57</v>
      </c>
      <c r="I377" s="405">
        <v>96.2</v>
      </c>
      <c r="J377" s="405">
        <v>2.67</v>
      </c>
      <c r="K377" s="405">
        <v>2.42</v>
      </c>
      <c r="L377" s="644">
        <v>5.4799999999995634</v>
      </c>
      <c r="M377" s="405">
        <v>22.3</v>
      </c>
      <c r="N377" s="405">
        <v>1.6</v>
      </c>
      <c r="O377" s="405">
        <v>2.0353491704542908</v>
      </c>
      <c r="P377" s="405">
        <v>1.78</v>
      </c>
      <c r="Q377" s="405">
        <v>2.402242484776234</v>
      </c>
      <c r="R377" s="405">
        <v>911.46835402906208</v>
      </c>
      <c r="S377" s="405">
        <v>8.23</v>
      </c>
      <c r="T377" s="405">
        <v>8.3800000000000008</v>
      </c>
      <c r="U377" s="405">
        <v>0.55000000000000004</v>
      </c>
      <c r="V377" s="406">
        <v>0.6</v>
      </c>
      <c r="W377" s="866">
        <v>37.760000000000005</v>
      </c>
      <c r="X377" s="386">
        <v>38.660000000000011</v>
      </c>
      <c r="Y377" s="383">
        <v>30</v>
      </c>
      <c r="Z377" s="681">
        <v>17.3</v>
      </c>
      <c r="AA377" s="428">
        <v>30</v>
      </c>
      <c r="AB377" s="428">
        <v>20</v>
      </c>
      <c r="AC377" s="775">
        <f t="shared" si="361"/>
        <v>50</v>
      </c>
      <c r="AD377" s="775">
        <f t="shared" si="362"/>
        <v>77.349999999999994</v>
      </c>
      <c r="AE377" s="705"/>
      <c r="AF377" s="705"/>
      <c r="AG377" s="705">
        <v>1</v>
      </c>
      <c r="AH377" s="705"/>
      <c r="AI377" s="705"/>
      <c r="AJ377" s="407"/>
      <c r="AK377" s="407"/>
      <c r="AL377" s="407"/>
      <c r="AM377" s="407"/>
      <c r="AN377" s="407"/>
      <c r="AO377" s="387"/>
      <c r="AP377" s="387"/>
      <c r="AQ377" s="405"/>
      <c r="AR377" s="578">
        <v>0</v>
      </c>
      <c r="AS377" s="405">
        <v>10.9</v>
      </c>
      <c r="AT377" s="578">
        <v>0</v>
      </c>
      <c r="AU377" s="405">
        <v>31.2</v>
      </c>
      <c r="AV377" s="405">
        <v>340.7</v>
      </c>
      <c r="AW377" s="405">
        <v>433.6</v>
      </c>
      <c r="AX377" s="405">
        <v>0</v>
      </c>
      <c r="AY377" s="578">
        <v>0</v>
      </c>
      <c r="AZ377" s="578">
        <v>0</v>
      </c>
      <c r="BA377" s="578">
        <v>0</v>
      </c>
      <c r="BB377" s="925">
        <v>1</v>
      </c>
      <c r="BC377" s="405">
        <v>0.78</v>
      </c>
      <c r="BD377" s="405">
        <v>1.73</v>
      </c>
      <c r="BE377" s="578">
        <v>0</v>
      </c>
      <c r="BF377" s="405">
        <v>0</v>
      </c>
      <c r="BG377" s="405">
        <v>0</v>
      </c>
      <c r="BH377" s="578">
        <v>0</v>
      </c>
      <c r="BI377" s="405">
        <v>0</v>
      </c>
      <c r="BJ377" s="405">
        <v>17.600000000000001</v>
      </c>
      <c r="BK377" s="405">
        <v>2.38</v>
      </c>
      <c r="BL377" s="405">
        <v>4.13</v>
      </c>
      <c r="BM377" s="405">
        <v>0</v>
      </c>
      <c r="BN377" s="405">
        <v>10.1</v>
      </c>
      <c r="BO377" s="405">
        <v>579.29999999999995</v>
      </c>
      <c r="BP377" s="405">
        <v>186.5</v>
      </c>
      <c r="BQ377" s="522">
        <v>12.56</v>
      </c>
      <c r="BR377" s="522">
        <v>12.84</v>
      </c>
      <c r="BS377" s="522">
        <v>13.42</v>
      </c>
      <c r="BT377" s="522">
        <v>13.5</v>
      </c>
      <c r="BU377" s="405">
        <v>29.2</v>
      </c>
      <c r="BV377" s="405">
        <v>32.5</v>
      </c>
      <c r="BW377" s="522">
        <v>696.1</v>
      </c>
      <c r="BX377" s="878"/>
      <c r="BY377" s="522">
        <v>0.18</v>
      </c>
      <c r="BZ377" s="522">
        <v>1.56</v>
      </c>
      <c r="CA377" s="522">
        <v>1.4</v>
      </c>
      <c r="CB377" s="522">
        <v>9.1</v>
      </c>
      <c r="CC377" s="522">
        <v>8.1999999999999993</v>
      </c>
      <c r="CD377" s="522">
        <v>15.8</v>
      </c>
      <c r="CE377" s="522">
        <v>30.7</v>
      </c>
      <c r="CF377" s="522">
        <v>15.5</v>
      </c>
      <c r="CG377" s="522">
        <v>7.2</v>
      </c>
      <c r="CH377" s="522">
        <v>12.6</v>
      </c>
      <c r="CI377" s="522">
        <v>16.600000000000001</v>
      </c>
      <c r="CJ377" s="522">
        <v>13.53</v>
      </c>
      <c r="CK377" s="522">
        <v>205.1</v>
      </c>
      <c r="CL377" s="522">
        <v>2.6</v>
      </c>
      <c r="CM377" s="522">
        <v>3.6</v>
      </c>
      <c r="CN377" s="522">
        <v>311.2</v>
      </c>
      <c r="CO377" s="522">
        <v>305.7</v>
      </c>
      <c r="CP377" s="522">
        <v>550.70000000000005</v>
      </c>
      <c r="CQ377" s="522">
        <v>14.8</v>
      </c>
      <c r="CR377" s="522">
        <v>0.84</v>
      </c>
      <c r="CS377" s="405">
        <v>4611.2</v>
      </c>
      <c r="CT377" s="405">
        <v>17.763999999999999</v>
      </c>
      <c r="CU377" s="405">
        <v>47</v>
      </c>
      <c r="CV377" s="522">
        <v>0</v>
      </c>
      <c r="CW377" s="522">
        <v>0</v>
      </c>
      <c r="CX377" s="522">
        <v>0</v>
      </c>
      <c r="CY377" s="522">
        <v>0</v>
      </c>
      <c r="CZ377" s="642">
        <v>1520</v>
      </c>
      <c r="DA377" s="642">
        <v>2150</v>
      </c>
      <c r="DB377" s="642">
        <v>1470</v>
      </c>
      <c r="DC377" s="642">
        <v>1089.3</v>
      </c>
      <c r="DD377" s="522"/>
      <c r="DE377" s="522"/>
      <c r="DF377" s="522"/>
      <c r="DG377" s="522"/>
      <c r="DH377" s="522"/>
      <c r="DI377" s="522"/>
      <c r="DJ377" s="522"/>
      <c r="DK377" s="522"/>
      <c r="DL377" s="522"/>
      <c r="DM377" s="522"/>
      <c r="DN377" s="522"/>
      <c r="DO377" s="522"/>
      <c r="DP377" s="522"/>
      <c r="DQ377" s="522"/>
      <c r="DR377" s="522"/>
      <c r="DS377" s="522"/>
      <c r="DT377" s="522"/>
      <c r="DU377" s="522"/>
      <c r="DV377" s="522"/>
      <c r="DW377" s="522"/>
      <c r="DX377" s="522"/>
      <c r="DY377" s="522"/>
      <c r="DZ377" s="522"/>
      <c r="EA377" s="522"/>
      <c r="EB377" s="522"/>
      <c r="EC377" s="522"/>
      <c r="ED377" s="522"/>
      <c r="EE377" s="522"/>
      <c r="EF377" s="522"/>
      <c r="EG377" s="649">
        <f t="shared" si="360"/>
        <v>13.923</v>
      </c>
      <c r="EH377" s="649">
        <v>0</v>
      </c>
      <c r="EI377" s="649">
        <v>0</v>
      </c>
      <c r="EJ377" s="522">
        <v>2.5</v>
      </c>
      <c r="EK377" s="649">
        <v>6.5</v>
      </c>
      <c r="EL377" s="522"/>
      <c r="EM377" s="522"/>
      <c r="EN377" s="522"/>
      <c r="EO377" s="522"/>
      <c r="EP377" s="522"/>
      <c r="EQ377" s="522"/>
      <c r="ER377" s="522"/>
      <c r="ES377" s="407"/>
      <c r="ET377" s="407"/>
    </row>
    <row r="378" spans="1:150" s="357" customFormat="1" ht="15">
      <c r="A378" s="675" t="s">
        <v>6</v>
      </c>
      <c r="B378" s="712">
        <v>42004</v>
      </c>
      <c r="C378" s="358">
        <v>0</v>
      </c>
      <c r="D378" s="405">
        <v>0</v>
      </c>
      <c r="E378" s="681">
        <v>0</v>
      </c>
      <c r="F378" s="681">
        <v>0</v>
      </c>
      <c r="G378" s="681">
        <v>1.55</v>
      </c>
      <c r="H378" s="405">
        <v>2.27</v>
      </c>
      <c r="I378" s="405">
        <v>96.2</v>
      </c>
      <c r="J378" s="405">
        <v>2.0499999999999998</v>
      </c>
      <c r="K378" s="405">
        <v>1.7</v>
      </c>
      <c r="L378" s="644">
        <v>0</v>
      </c>
      <c r="M378" s="405">
        <v>22.6</v>
      </c>
      <c r="N378" s="405">
        <v>1.57</v>
      </c>
      <c r="O378" s="405">
        <v>2.0888285908107127</v>
      </c>
      <c r="P378" s="405">
        <v>1.92</v>
      </c>
      <c r="Q378" s="405">
        <v>2.598828841261891</v>
      </c>
      <c r="R378" s="405">
        <v>951.30865521796545</v>
      </c>
      <c r="S378" s="405">
        <v>8.16</v>
      </c>
      <c r="T378" s="405">
        <v>8.33</v>
      </c>
      <c r="U378" s="405">
        <v>0.41</v>
      </c>
      <c r="V378" s="406">
        <v>0.6</v>
      </c>
      <c r="W378" s="866">
        <v>37.58</v>
      </c>
      <c r="X378" s="386">
        <v>37.039999999999992</v>
      </c>
      <c r="Y378" s="383">
        <v>30</v>
      </c>
      <c r="Z378" s="681">
        <v>20</v>
      </c>
      <c r="AA378" s="428">
        <v>30</v>
      </c>
      <c r="AB378" s="428">
        <v>20</v>
      </c>
      <c r="AC378" s="775">
        <f t="shared" si="361"/>
        <v>50</v>
      </c>
      <c r="AD378" s="775">
        <f t="shared" si="362"/>
        <v>77.349999999999994</v>
      </c>
      <c r="AE378" s="705"/>
      <c r="AF378" s="705"/>
      <c r="AG378" s="705">
        <v>1</v>
      </c>
      <c r="AH378" s="705"/>
      <c r="AI378" s="705"/>
      <c r="AJ378" s="407"/>
      <c r="AK378" s="407"/>
      <c r="AL378" s="407"/>
      <c r="AM378" s="407"/>
      <c r="AN378" s="407"/>
      <c r="AO378" s="387"/>
      <c r="AP378" s="387"/>
      <c r="AQ378" s="405"/>
      <c r="AR378" s="578">
        <v>0</v>
      </c>
      <c r="AS378" s="405">
        <v>21.9</v>
      </c>
      <c r="AT378" s="578">
        <v>0</v>
      </c>
      <c r="AU378" s="405">
        <v>31.4</v>
      </c>
      <c r="AV378" s="405">
        <v>312.39999999999998</v>
      </c>
      <c r="AW378" s="405">
        <v>475.6</v>
      </c>
      <c r="AX378" s="405">
        <v>0</v>
      </c>
      <c r="AY378" s="578">
        <v>0</v>
      </c>
      <c r="AZ378" s="578">
        <v>0</v>
      </c>
      <c r="BA378" s="578">
        <v>0</v>
      </c>
      <c r="BB378" s="925">
        <v>1</v>
      </c>
      <c r="BC378" s="405">
        <v>0.78</v>
      </c>
      <c r="BD378" s="405">
        <v>1.73</v>
      </c>
      <c r="BE378" s="578">
        <v>0</v>
      </c>
      <c r="BF378" s="405">
        <v>0</v>
      </c>
      <c r="BG378" s="405">
        <v>0</v>
      </c>
      <c r="BH378" s="578">
        <v>0</v>
      </c>
      <c r="BI378" s="405">
        <v>0</v>
      </c>
      <c r="BJ378" s="405">
        <v>17.600000000000001</v>
      </c>
      <c r="BK378" s="405">
        <v>2.67</v>
      </c>
      <c r="BL378" s="405">
        <v>3.9</v>
      </c>
      <c r="BM378" s="405">
        <v>0</v>
      </c>
      <c r="BN378" s="405">
        <v>10.1</v>
      </c>
      <c r="BO378" s="405">
        <v>599.29999999999995</v>
      </c>
      <c r="BP378" s="405">
        <v>228.9</v>
      </c>
      <c r="BQ378" s="522">
        <v>13.17</v>
      </c>
      <c r="BR378" s="522">
        <v>13.45</v>
      </c>
      <c r="BS378" s="522">
        <v>13.24</v>
      </c>
      <c r="BT378" s="522">
        <v>13.32</v>
      </c>
      <c r="BU378" s="405">
        <v>29.1</v>
      </c>
      <c r="BV378" s="405">
        <v>30.3</v>
      </c>
      <c r="BW378" s="522">
        <v>671.2</v>
      </c>
      <c r="BX378" s="878"/>
      <c r="BY378" s="522">
        <v>0.18</v>
      </c>
      <c r="BZ378" s="522">
        <v>1.49</v>
      </c>
      <c r="CA378" s="522">
        <v>1.4</v>
      </c>
      <c r="CB378" s="522">
        <v>9.1</v>
      </c>
      <c r="CC378" s="522">
        <v>8.3000000000000007</v>
      </c>
      <c r="CD378" s="522">
        <v>14.2</v>
      </c>
      <c r="CE378" s="522">
        <v>30.3</v>
      </c>
      <c r="CF378" s="522">
        <v>14.8</v>
      </c>
      <c r="CG378" s="522">
        <v>8.1</v>
      </c>
      <c r="CH378" s="522">
        <v>13.6</v>
      </c>
      <c r="CI378" s="522">
        <v>17.7</v>
      </c>
      <c r="CJ378" s="522">
        <v>12.47</v>
      </c>
      <c r="CK378" s="522">
        <v>328.9</v>
      </c>
      <c r="CL378" s="522">
        <v>2.1</v>
      </c>
      <c r="CM378" s="522">
        <v>4.2</v>
      </c>
      <c r="CN378" s="522">
        <v>311.3</v>
      </c>
      <c r="CO378" s="522">
        <v>334.4</v>
      </c>
      <c r="CP378" s="522">
        <v>544.20000000000005</v>
      </c>
      <c r="CQ378" s="522">
        <v>14.9</v>
      </c>
      <c r="CR378" s="522">
        <v>0.93</v>
      </c>
      <c r="CS378" s="405">
        <v>3747.2</v>
      </c>
      <c r="CT378" s="405">
        <v>18.350999999999999</v>
      </c>
      <c r="CU378" s="405">
        <v>47</v>
      </c>
      <c r="CV378" s="522">
        <v>0</v>
      </c>
      <c r="CW378" s="522">
        <v>0</v>
      </c>
      <c r="CX378" s="522">
        <v>0</v>
      </c>
      <c r="CY378" s="522">
        <v>0</v>
      </c>
      <c r="CZ378" s="642">
        <v>1280</v>
      </c>
      <c r="DA378" s="642">
        <v>1870</v>
      </c>
      <c r="DB378" s="642">
        <v>1230</v>
      </c>
      <c r="DC378" s="642">
        <v>1088.4000000000001</v>
      </c>
      <c r="DD378" s="522"/>
      <c r="DE378" s="522"/>
      <c r="DF378" s="522"/>
      <c r="DG378" s="522"/>
      <c r="DH378" s="522"/>
      <c r="DI378" s="522"/>
      <c r="DJ378" s="522"/>
      <c r="DK378" s="522"/>
      <c r="DL378" s="522"/>
      <c r="DM378" s="522"/>
      <c r="DN378" s="522"/>
      <c r="DO378" s="522"/>
      <c r="DP378" s="522"/>
      <c r="DQ378" s="522"/>
      <c r="DR378" s="522"/>
      <c r="DS378" s="522"/>
      <c r="DT378" s="522"/>
      <c r="DU378" s="522"/>
      <c r="DV378" s="522"/>
      <c r="DW378" s="522"/>
      <c r="DX378" s="522"/>
      <c r="DY378" s="522"/>
      <c r="DZ378" s="522"/>
      <c r="EA378" s="522"/>
      <c r="EB378" s="522"/>
      <c r="EC378" s="522"/>
      <c r="ED378" s="522"/>
      <c r="EE378" s="522"/>
      <c r="EF378" s="522"/>
      <c r="EG378" s="649">
        <f t="shared" si="360"/>
        <v>13.923</v>
      </c>
      <c r="EH378" s="649">
        <v>0</v>
      </c>
      <c r="EI378" s="649">
        <v>0</v>
      </c>
      <c r="EJ378" s="522">
        <v>2.5</v>
      </c>
      <c r="EK378" s="649">
        <v>6.5</v>
      </c>
      <c r="EL378" s="522"/>
      <c r="EM378" s="522"/>
      <c r="EN378" s="522"/>
      <c r="EO378" s="522"/>
      <c r="EP378" s="522"/>
      <c r="EQ378" s="522"/>
      <c r="ER378" s="522"/>
      <c r="ES378" s="407"/>
      <c r="ET378" s="407"/>
    </row>
    <row r="379" spans="1:150" s="357" customFormat="1" ht="15">
      <c r="A379" s="675" t="s">
        <v>7</v>
      </c>
      <c r="B379" s="712">
        <v>42005</v>
      </c>
      <c r="C379" s="358">
        <v>0</v>
      </c>
      <c r="D379" s="405">
        <v>0</v>
      </c>
      <c r="E379" s="681">
        <v>0</v>
      </c>
      <c r="F379" s="681">
        <v>0</v>
      </c>
      <c r="G379" s="681">
        <v>1.5</v>
      </c>
      <c r="H379" s="405">
        <v>2.21</v>
      </c>
      <c r="I379" s="405">
        <v>0</v>
      </c>
      <c r="J379" s="405">
        <v>1.54</v>
      </c>
      <c r="K379" s="405">
        <v>1.31</v>
      </c>
      <c r="L379" s="644">
        <v>0</v>
      </c>
      <c r="M379" s="405">
        <v>22.6</v>
      </c>
      <c r="N379" s="405">
        <v>1.56</v>
      </c>
      <c r="O379" s="405">
        <v>2.0117564781754007</v>
      </c>
      <c r="P379" s="405">
        <v>1.87</v>
      </c>
      <c r="Q379" s="405">
        <v>2.4894848084544248</v>
      </c>
      <c r="R379" s="405">
        <v>900.13168295904882</v>
      </c>
      <c r="S379" s="405">
        <v>8.18</v>
      </c>
      <c r="T379" s="405">
        <v>8.26</v>
      </c>
      <c r="U379" s="405">
        <v>0.41</v>
      </c>
      <c r="V379" s="406">
        <v>0.6</v>
      </c>
      <c r="W379" s="866">
        <v>37.400000000000006</v>
      </c>
      <c r="X379" s="386">
        <v>36.680000000000007</v>
      </c>
      <c r="Y379" s="383">
        <v>30</v>
      </c>
      <c r="Z379" s="681">
        <v>20</v>
      </c>
      <c r="AA379" s="428">
        <v>29.5</v>
      </c>
      <c r="AB379" s="428">
        <v>20</v>
      </c>
      <c r="AC379" s="775">
        <f t="shared" si="361"/>
        <v>49.5</v>
      </c>
      <c r="AD379" s="775">
        <f t="shared" si="362"/>
        <v>76.576499999999996</v>
      </c>
      <c r="AE379" s="705"/>
      <c r="AF379" s="705"/>
      <c r="AG379" s="705">
        <v>1</v>
      </c>
      <c r="AH379" s="705"/>
      <c r="AI379" s="705"/>
      <c r="AJ379" s="407"/>
      <c r="AK379" s="407"/>
      <c r="AL379" s="407"/>
      <c r="AM379" s="407"/>
      <c r="AN379" s="407"/>
      <c r="AO379" s="387"/>
      <c r="AP379" s="387"/>
      <c r="AQ379" s="405"/>
      <c r="AR379" s="578">
        <v>0</v>
      </c>
      <c r="AS379" s="405">
        <v>22.4</v>
      </c>
      <c r="AT379" s="578">
        <v>0</v>
      </c>
      <c r="AU379" s="405">
        <v>30.7</v>
      </c>
      <c r="AV379" s="405">
        <v>330</v>
      </c>
      <c r="AW379" s="405">
        <v>386.7</v>
      </c>
      <c r="AX379" s="405">
        <v>0</v>
      </c>
      <c r="AY379" s="578">
        <v>0</v>
      </c>
      <c r="AZ379" s="578">
        <v>0</v>
      </c>
      <c r="BA379" s="578">
        <v>0</v>
      </c>
      <c r="BB379" s="925">
        <v>0.99</v>
      </c>
      <c r="BC379" s="405">
        <v>0.79</v>
      </c>
      <c r="BD379" s="405">
        <v>1.73</v>
      </c>
      <c r="BE379" s="578">
        <v>0</v>
      </c>
      <c r="BF379" s="405">
        <v>0</v>
      </c>
      <c r="BG379" s="405">
        <v>0</v>
      </c>
      <c r="BH379" s="578">
        <v>0</v>
      </c>
      <c r="BI379" s="405">
        <v>0</v>
      </c>
      <c r="BJ379" s="405">
        <v>17.600000000000001</v>
      </c>
      <c r="BK379" s="405">
        <v>2.92</v>
      </c>
      <c r="BL379" s="405">
        <v>3.59</v>
      </c>
      <c r="BM379" s="405">
        <v>0</v>
      </c>
      <c r="BN379" s="405">
        <v>10.199999999999999</v>
      </c>
      <c r="BO379" s="405">
        <v>376.4</v>
      </c>
      <c r="BP379" s="405">
        <v>3.59</v>
      </c>
      <c r="BQ379" s="522">
        <v>12.57</v>
      </c>
      <c r="BR379" s="522">
        <v>12.87</v>
      </c>
      <c r="BS379" s="522">
        <v>13.05</v>
      </c>
      <c r="BT379" s="522">
        <v>13.13</v>
      </c>
      <c r="BU379" s="405">
        <v>28.8</v>
      </c>
      <c r="BV379" s="405">
        <v>33</v>
      </c>
      <c r="BW379" s="522">
        <v>493.3</v>
      </c>
      <c r="BX379" s="878"/>
      <c r="BY379" s="522">
        <v>0.15</v>
      </c>
      <c r="BZ379" s="522">
        <v>1.53</v>
      </c>
      <c r="CA379" s="522">
        <v>1.4</v>
      </c>
      <c r="CB379" s="522">
        <v>8.9</v>
      </c>
      <c r="CC379" s="522">
        <v>8.3000000000000007</v>
      </c>
      <c r="CD379" s="522">
        <v>14.9</v>
      </c>
      <c r="CE379" s="522">
        <v>30.2</v>
      </c>
      <c r="CF379" s="522">
        <v>14.1</v>
      </c>
      <c r="CG379" s="522">
        <v>6.3</v>
      </c>
      <c r="CH379" s="522">
        <v>11.5</v>
      </c>
      <c r="CI379" s="522">
        <v>15.5</v>
      </c>
      <c r="CJ379" s="522">
        <v>12.58</v>
      </c>
      <c r="CK379" s="522">
        <v>202.7</v>
      </c>
      <c r="CL379" s="522">
        <v>2.5</v>
      </c>
      <c r="CM379" s="522">
        <v>2.9</v>
      </c>
      <c r="CN379" s="522">
        <v>299.3</v>
      </c>
      <c r="CO379" s="522">
        <v>344.3</v>
      </c>
      <c r="CP379" s="522">
        <v>520.1</v>
      </c>
      <c r="CQ379" s="522">
        <v>14.5</v>
      </c>
      <c r="CR379" s="522">
        <v>0.87</v>
      </c>
      <c r="CS379" s="405">
        <v>1428.8</v>
      </c>
      <c r="CT379" s="405">
        <v>17.625</v>
      </c>
      <c r="CU379" s="405">
        <v>45</v>
      </c>
      <c r="CV379" s="522">
        <v>0</v>
      </c>
      <c r="CW379" s="522">
        <v>0</v>
      </c>
      <c r="CX379" s="522">
        <v>0</v>
      </c>
      <c r="CY379" s="522">
        <v>0</v>
      </c>
      <c r="CZ379" s="642">
        <v>1260</v>
      </c>
      <c r="DA379" s="642">
        <v>1800</v>
      </c>
      <c r="DB379" s="642">
        <v>1190</v>
      </c>
      <c r="DC379" s="642">
        <v>1087.2</v>
      </c>
      <c r="DD379" s="522"/>
      <c r="DE379" s="522"/>
      <c r="DF379" s="522"/>
      <c r="DG379" s="522"/>
      <c r="DH379" s="522"/>
      <c r="DI379" s="522"/>
      <c r="DJ379" s="522"/>
      <c r="DK379" s="522"/>
      <c r="DL379" s="522"/>
      <c r="DM379" s="522"/>
      <c r="DN379" s="522"/>
      <c r="DO379" s="522"/>
      <c r="DP379" s="522"/>
      <c r="DQ379" s="522"/>
      <c r="DR379" s="522"/>
      <c r="DS379" s="522"/>
      <c r="DT379" s="522"/>
      <c r="DU379" s="522"/>
      <c r="DV379" s="522"/>
      <c r="DW379" s="522"/>
      <c r="DX379" s="522"/>
      <c r="DY379" s="522"/>
      <c r="DZ379" s="522"/>
      <c r="EA379" s="522"/>
      <c r="EB379" s="522"/>
      <c r="EC379" s="522"/>
      <c r="ED379" s="522"/>
      <c r="EE379" s="522"/>
      <c r="EF379" s="522"/>
      <c r="EG379" s="649">
        <f t="shared" si="360"/>
        <v>13.923</v>
      </c>
      <c r="EH379" s="649">
        <v>0</v>
      </c>
      <c r="EI379" s="649">
        <v>0</v>
      </c>
      <c r="EJ379" s="522">
        <v>2.5</v>
      </c>
      <c r="EK379" s="649">
        <v>6.5</v>
      </c>
      <c r="EL379" s="522"/>
      <c r="EM379" s="522"/>
      <c r="EN379" s="522"/>
      <c r="EO379" s="522"/>
      <c r="EP379" s="522"/>
      <c r="EQ379" s="522"/>
      <c r="ER379" s="522"/>
      <c r="ES379" s="407"/>
      <c r="ET379" s="407"/>
    </row>
    <row r="380" spans="1:150" s="357" customFormat="1" ht="15">
      <c r="A380" s="675" t="s">
        <v>8</v>
      </c>
      <c r="B380" s="712">
        <v>42006</v>
      </c>
      <c r="C380" s="358">
        <v>0</v>
      </c>
      <c r="D380" s="405">
        <v>0.4</v>
      </c>
      <c r="E380" s="681">
        <v>0</v>
      </c>
      <c r="F380" s="681">
        <v>35.6</v>
      </c>
      <c r="G380" s="681">
        <v>1.45</v>
      </c>
      <c r="H380" s="405">
        <v>2.5099999999999998</v>
      </c>
      <c r="I380" s="405">
        <v>0</v>
      </c>
      <c r="J380" s="405">
        <v>1.78</v>
      </c>
      <c r="K380" s="405">
        <v>1.59</v>
      </c>
      <c r="L380" s="644">
        <v>0</v>
      </c>
      <c r="M380" s="405">
        <v>22.5</v>
      </c>
      <c r="N380" s="405">
        <v>1.59</v>
      </c>
      <c r="O380" s="405">
        <v>2.1161126291600159</v>
      </c>
      <c r="P380" s="405">
        <v>1.87</v>
      </c>
      <c r="Q380" s="405">
        <v>2.268256832939203</v>
      </c>
      <c r="R380" s="405">
        <v>918.27035667106986</v>
      </c>
      <c r="S380" s="405">
        <v>8.17</v>
      </c>
      <c r="T380" s="405">
        <v>7.95</v>
      </c>
      <c r="U380" s="405">
        <v>0.56000000000000005</v>
      </c>
      <c r="V380" s="406">
        <v>0.65</v>
      </c>
      <c r="W380" s="866">
        <v>37.22</v>
      </c>
      <c r="X380" s="386">
        <v>37.039999999999992</v>
      </c>
      <c r="Y380" s="383">
        <v>29.5</v>
      </c>
      <c r="Z380" s="681">
        <v>20</v>
      </c>
      <c r="AA380" s="428">
        <v>29.54</v>
      </c>
      <c r="AB380" s="428">
        <v>20</v>
      </c>
      <c r="AC380" s="775">
        <f t="shared" si="361"/>
        <v>49.54</v>
      </c>
      <c r="AD380" s="775">
        <f t="shared" si="362"/>
        <v>76.638379999999998</v>
      </c>
      <c r="AE380" s="705"/>
      <c r="AF380" s="705"/>
      <c r="AG380" s="705">
        <v>1</v>
      </c>
      <c r="AH380" s="705"/>
      <c r="AI380" s="705"/>
      <c r="AJ380" s="407"/>
      <c r="AK380" s="407"/>
      <c r="AL380" s="407"/>
      <c r="AM380" s="407"/>
      <c r="AN380" s="407"/>
      <c r="AO380" s="387"/>
      <c r="AP380" s="387"/>
      <c r="AQ380" s="405"/>
      <c r="AR380" s="578">
        <v>0</v>
      </c>
      <c r="AS380" s="405">
        <v>11.3</v>
      </c>
      <c r="AT380" s="578">
        <v>0</v>
      </c>
      <c r="AU380" s="405">
        <v>30.8</v>
      </c>
      <c r="AV380" s="405">
        <v>331</v>
      </c>
      <c r="AW380" s="405">
        <v>389.4</v>
      </c>
      <c r="AX380" s="405">
        <v>0</v>
      </c>
      <c r="AY380" s="578">
        <v>0</v>
      </c>
      <c r="AZ380" s="578">
        <v>0</v>
      </c>
      <c r="BA380" s="578">
        <v>0</v>
      </c>
      <c r="BB380" s="925">
        <v>0.99</v>
      </c>
      <c r="BC380" s="405">
        <v>0.79</v>
      </c>
      <c r="BD380" s="405">
        <v>1.73</v>
      </c>
      <c r="BE380" s="578">
        <v>0</v>
      </c>
      <c r="BF380" s="405">
        <v>0</v>
      </c>
      <c r="BG380" s="405">
        <v>0</v>
      </c>
      <c r="BH380" s="578">
        <v>0</v>
      </c>
      <c r="BI380" s="405">
        <v>0</v>
      </c>
      <c r="BJ380" s="405">
        <v>17.600000000000001</v>
      </c>
      <c r="BK380" s="405">
        <v>3.2</v>
      </c>
      <c r="BL380" s="405">
        <v>3.28</v>
      </c>
      <c r="BM380" s="405">
        <v>0</v>
      </c>
      <c r="BN380" s="405">
        <v>10.1</v>
      </c>
      <c r="BO380" s="405">
        <v>458.6</v>
      </c>
      <c r="BP380" s="405">
        <v>206.8</v>
      </c>
      <c r="BQ380" s="522">
        <v>12.74</v>
      </c>
      <c r="BR380" s="522">
        <v>13.03</v>
      </c>
      <c r="BS380" s="522">
        <v>12.98</v>
      </c>
      <c r="BT380" s="522">
        <v>13.07</v>
      </c>
      <c r="BU380" s="405">
        <v>28.8</v>
      </c>
      <c r="BV380" s="405">
        <v>30.7</v>
      </c>
      <c r="BW380" s="522">
        <v>661.6</v>
      </c>
      <c r="BX380" s="878"/>
      <c r="BY380" s="522">
        <v>2.41</v>
      </c>
      <c r="BZ380" s="522">
        <v>1.55</v>
      </c>
      <c r="CA380" s="522">
        <v>1.4</v>
      </c>
      <c r="CB380" s="522">
        <v>8.9</v>
      </c>
      <c r="CC380" s="522">
        <v>8.3000000000000007</v>
      </c>
      <c r="CD380" s="522">
        <v>15.5</v>
      </c>
      <c r="CE380" s="522">
        <v>30.1</v>
      </c>
      <c r="CF380" s="522">
        <v>13.6</v>
      </c>
      <c r="CG380" s="522">
        <v>6.4</v>
      </c>
      <c r="CH380" s="522">
        <v>11.7</v>
      </c>
      <c r="CI380" s="522">
        <v>15.7</v>
      </c>
      <c r="CJ380" s="522">
        <v>13.3</v>
      </c>
      <c r="CK380" s="522">
        <v>197.8</v>
      </c>
      <c r="CL380" s="522">
        <v>2.9</v>
      </c>
      <c r="CM380" s="522">
        <v>3.8</v>
      </c>
      <c r="CN380" s="522">
        <v>243.1</v>
      </c>
      <c r="CO380" s="522">
        <v>320.2</v>
      </c>
      <c r="CP380" s="522">
        <v>531.5</v>
      </c>
      <c r="CQ380" s="522">
        <v>14.1</v>
      </c>
      <c r="CR380" s="522">
        <v>0.8</v>
      </c>
      <c r="CS380" s="405">
        <v>3828.4</v>
      </c>
      <c r="CT380" s="405">
        <v>17.285</v>
      </c>
      <c r="CU380" s="405">
        <v>45</v>
      </c>
      <c r="CV380" s="522">
        <v>0</v>
      </c>
      <c r="CW380" s="522">
        <v>0</v>
      </c>
      <c r="CX380" s="522">
        <v>0</v>
      </c>
      <c r="CY380" s="522">
        <v>0</v>
      </c>
      <c r="CZ380" s="642">
        <v>1230</v>
      </c>
      <c r="DA380" s="642">
        <v>1780</v>
      </c>
      <c r="DB380" s="642">
        <v>1180</v>
      </c>
      <c r="DC380" s="642">
        <v>1085.0999999999999</v>
      </c>
      <c r="DD380" s="522"/>
      <c r="DE380" s="522"/>
      <c r="DF380" s="522"/>
      <c r="DG380" s="522"/>
      <c r="DH380" s="522"/>
      <c r="DI380" s="522"/>
      <c r="DJ380" s="522"/>
      <c r="DK380" s="522"/>
      <c r="DL380" s="522"/>
      <c r="DM380" s="522"/>
      <c r="DN380" s="522"/>
      <c r="DO380" s="522"/>
      <c r="DP380" s="522"/>
      <c r="DQ380" s="522"/>
      <c r="DR380" s="522"/>
      <c r="DS380" s="522"/>
      <c r="DT380" s="522"/>
      <c r="DU380" s="522"/>
      <c r="DV380" s="522"/>
      <c r="DW380" s="522"/>
      <c r="DX380" s="522"/>
      <c r="DY380" s="522"/>
      <c r="DZ380" s="522"/>
      <c r="EA380" s="522"/>
      <c r="EB380" s="522"/>
      <c r="EC380" s="522"/>
      <c r="ED380" s="522"/>
      <c r="EE380" s="522"/>
      <c r="EF380" s="522"/>
      <c r="EG380" s="522"/>
      <c r="EH380" s="522"/>
      <c r="EI380" s="522"/>
      <c r="EJ380" s="522"/>
      <c r="EK380" s="522"/>
      <c r="EL380" s="522"/>
      <c r="EM380" s="522"/>
      <c r="EN380" s="522"/>
      <c r="EO380" s="522"/>
      <c r="EP380" s="522"/>
      <c r="EQ380" s="522"/>
      <c r="ER380" s="522"/>
      <c r="ES380" s="407"/>
      <c r="ET380" s="407"/>
    </row>
    <row r="381" spans="1:150" s="357" customFormat="1" ht="15">
      <c r="A381" s="675" t="s">
        <v>9</v>
      </c>
      <c r="B381" s="712">
        <v>42007</v>
      </c>
      <c r="C381" s="358">
        <v>0</v>
      </c>
      <c r="D381" s="405">
        <v>0.06</v>
      </c>
      <c r="E381" s="681">
        <v>0</v>
      </c>
      <c r="F381" s="681">
        <v>35</v>
      </c>
      <c r="G381" s="681">
        <v>1.4</v>
      </c>
      <c r="H381" s="405">
        <v>2.48</v>
      </c>
      <c r="I381" s="405">
        <v>0</v>
      </c>
      <c r="J381" s="405">
        <v>2.35</v>
      </c>
      <c r="K381" s="405">
        <v>2.06</v>
      </c>
      <c r="L381" s="644">
        <v>0</v>
      </c>
      <c r="M381" s="405">
        <v>22.4</v>
      </c>
      <c r="N381" s="405">
        <v>1.6</v>
      </c>
      <c r="O381" s="405">
        <v>1.9659486664414736</v>
      </c>
      <c r="P381" s="405">
        <v>1.87</v>
      </c>
      <c r="Q381" s="405">
        <v>2.3889808937719494</v>
      </c>
      <c r="R381" s="405">
        <v>884.58424834874484</v>
      </c>
      <c r="S381" s="405">
        <v>8.18</v>
      </c>
      <c r="T381" s="405">
        <v>7.89</v>
      </c>
      <c r="U381" s="405">
        <v>0.6</v>
      </c>
      <c r="V381" s="406">
        <v>0.62</v>
      </c>
      <c r="W381" s="866">
        <v>38.480000000000004</v>
      </c>
      <c r="X381" s="386">
        <v>38.660000000000011</v>
      </c>
      <c r="Y381" s="383">
        <v>29.54</v>
      </c>
      <c r="Z381" s="681">
        <v>20</v>
      </c>
      <c r="AA381" s="428">
        <v>29.56</v>
      </c>
      <c r="AB381" s="428">
        <v>19.899999999999999</v>
      </c>
      <c r="AC381" s="775">
        <f t="shared" si="361"/>
        <v>49.459999999999994</v>
      </c>
      <c r="AD381" s="775">
        <f t="shared" si="362"/>
        <v>76.514619999999994</v>
      </c>
      <c r="AE381" s="705"/>
      <c r="AF381" s="705"/>
      <c r="AG381" s="705">
        <v>1</v>
      </c>
      <c r="AH381" s="705"/>
      <c r="AI381" s="705"/>
      <c r="AJ381" s="407"/>
      <c r="AK381" s="407"/>
      <c r="AL381" s="407"/>
      <c r="AM381" s="407"/>
      <c r="AN381" s="407"/>
      <c r="AO381" s="387"/>
      <c r="AP381" s="387"/>
      <c r="AQ381" s="405"/>
      <c r="AR381" s="578">
        <v>0</v>
      </c>
      <c r="AS381" s="405">
        <v>21.7</v>
      </c>
      <c r="AT381" s="578">
        <v>0</v>
      </c>
      <c r="AU381" s="405">
        <v>30.7</v>
      </c>
      <c r="AV381" s="405">
        <v>343.9</v>
      </c>
      <c r="AW381" s="405">
        <v>540.1</v>
      </c>
      <c r="AX381" s="405">
        <v>0</v>
      </c>
      <c r="AY381" s="578">
        <v>0</v>
      </c>
      <c r="AZ381" s="578">
        <v>0</v>
      </c>
      <c r="BA381" s="578">
        <v>0</v>
      </c>
      <c r="BB381" s="925">
        <v>1</v>
      </c>
      <c r="BC381" s="405">
        <v>0.79</v>
      </c>
      <c r="BD381" s="405">
        <v>1.72</v>
      </c>
      <c r="BE381" s="578">
        <v>0</v>
      </c>
      <c r="BF381" s="405">
        <v>0</v>
      </c>
      <c r="BG381" s="405">
        <v>0</v>
      </c>
      <c r="BH381" s="578">
        <v>0</v>
      </c>
      <c r="BI381" s="405">
        <v>0</v>
      </c>
      <c r="BJ381" s="405">
        <v>17.600000000000001</v>
      </c>
      <c r="BK381" s="405">
        <v>3.81</v>
      </c>
      <c r="BL381" s="405">
        <v>2.65</v>
      </c>
      <c r="BM381" s="405">
        <v>0</v>
      </c>
      <c r="BN381" s="405">
        <v>10.1</v>
      </c>
      <c r="BO381" s="405">
        <v>521</v>
      </c>
      <c r="BP381" s="405">
        <v>183.3</v>
      </c>
      <c r="BQ381" s="522">
        <v>13.34</v>
      </c>
      <c r="BR381" s="522">
        <v>13.63</v>
      </c>
      <c r="BS381" s="522">
        <v>12.88</v>
      </c>
      <c r="BT381" s="522">
        <v>12.96</v>
      </c>
      <c r="BU381" s="405">
        <v>28.6</v>
      </c>
      <c r="BV381" s="405">
        <v>29.1</v>
      </c>
      <c r="BW381" s="522">
        <v>594.9</v>
      </c>
      <c r="BX381" s="878"/>
      <c r="BY381" s="522">
        <v>0.14000000000000001</v>
      </c>
      <c r="BZ381" s="522">
        <v>1.56</v>
      </c>
      <c r="CA381" s="522">
        <v>1.4</v>
      </c>
      <c r="CB381" s="522">
        <v>8.9</v>
      </c>
      <c r="CC381" s="522">
        <v>8.3000000000000007</v>
      </c>
      <c r="CD381" s="522">
        <v>15.4</v>
      </c>
      <c r="CE381" s="522">
        <v>30.8</v>
      </c>
      <c r="CF381" s="522">
        <v>13</v>
      </c>
      <c r="CG381" s="522">
        <v>6.3</v>
      </c>
      <c r="CH381" s="522">
        <v>11.6</v>
      </c>
      <c r="CI381" s="522">
        <v>15.6</v>
      </c>
      <c r="CJ381" s="522">
        <v>13.42</v>
      </c>
      <c r="CK381" s="522">
        <v>249</v>
      </c>
      <c r="CL381" s="522">
        <v>2.2999999999999998</v>
      </c>
      <c r="CM381" s="522">
        <v>3.2</v>
      </c>
      <c r="CN381" s="522">
        <v>364.1</v>
      </c>
      <c r="CO381" s="522">
        <v>332.3</v>
      </c>
      <c r="CP381" s="522">
        <v>518.20000000000005</v>
      </c>
      <c r="CQ381" s="522">
        <v>13.9</v>
      </c>
      <c r="CR381" s="522">
        <v>0.8</v>
      </c>
      <c r="CS381" s="405">
        <v>3727.7</v>
      </c>
      <c r="CT381" s="405">
        <v>16.722999999999999</v>
      </c>
      <c r="CU381" s="405">
        <v>45</v>
      </c>
      <c r="CV381" s="522">
        <v>0</v>
      </c>
      <c r="CW381" s="522">
        <v>0</v>
      </c>
      <c r="CX381" s="522">
        <v>0</v>
      </c>
      <c r="CY381" s="522">
        <v>0</v>
      </c>
      <c r="CZ381" s="642">
        <v>1190</v>
      </c>
      <c r="DA381" s="642">
        <v>1720</v>
      </c>
      <c r="DB381" s="642">
        <v>1130</v>
      </c>
      <c r="DC381" s="642">
        <v>1082.2</v>
      </c>
      <c r="DD381" s="522"/>
      <c r="DE381" s="522"/>
      <c r="DF381" s="522"/>
      <c r="DG381" s="522"/>
      <c r="DH381" s="522"/>
      <c r="DI381" s="522"/>
      <c r="DJ381" s="522"/>
      <c r="DK381" s="522"/>
      <c r="DL381" s="522"/>
      <c r="DM381" s="522"/>
      <c r="DN381" s="522"/>
      <c r="DO381" s="522"/>
      <c r="DP381" s="522"/>
      <c r="DQ381" s="522"/>
      <c r="DR381" s="522"/>
      <c r="DS381" s="522"/>
      <c r="DT381" s="522"/>
      <c r="DU381" s="522"/>
      <c r="DV381" s="522"/>
      <c r="DW381" s="522"/>
      <c r="DX381" s="522"/>
      <c r="DY381" s="522"/>
      <c r="DZ381" s="522"/>
      <c r="EA381" s="522"/>
      <c r="EB381" s="522"/>
      <c r="EC381" s="522"/>
      <c r="ED381" s="522"/>
      <c r="EE381" s="522"/>
      <c r="EF381" s="522"/>
      <c r="EG381" s="522"/>
      <c r="EH381" s="522"/>
      <c r="EI381" s="522"/>
      <c r="EJ381" s="522"/>
      <c r="EK381" s="522"/>
      <c r="EL381" s="522"/>
      <c r="EM381" s="522"/>
      <c r="EN381" s="522"/>
      <c r="EO381" s="522"/>
      <c r="EP381" s="522"/>
      <c r="EQ381" s="522"/>
      <c r="ER381" s="522"/>
      <c r="ES381" s="407"/>
      <c r="ET381" s="407"/>
    </row>
    <row r="382" spans="1:150" s="357" customFormat="1" ht="15">
      <c r="A382" s="675" t="s">
        <v>3</v>
      </c>
      <c r="B382" s="712">
        <v>42008</v>
      </c>
      <c r="C382" s="358">
        <v>0</v>
      </c>
      <c r="D382" s="405">
        <v>0.75</v>
      </c>
      <c r="E382" s="681">
        <v>0</v>
      </c>
      <c r="F382" s="681">
        <v>49.6</v>
      </c>
      <c r="G382" s="681">
        <v>1.7</v>
      </c>
      <c r="H382" s="405">
        <v>9.1300000000000008</v>
      </c>
      <c r="I382" s="405">
        <v>94</v>
      </c>
      <c r="J382" s="405">
        <v>4.9800000000000004</v>
      </c>
      <c r="K382" s="405">
        <v>3.43</v>
      </c>
      <c r="L382" s="644" t="e">
        <v>#N/A</v>
      </c>
      <c r="M382" s="405">
        <v>18.2</v>
      </c>
      <c r="N382" s="405">
        <v>1.51</v>
      </c>
      <c r="O382" s="405" t="s">
        <v>743</v>
      </c>
      <c r="P382" s="405">
        <v>1.85</v>
      </c>
      <c r="Q382" s="405" t="s">
        <v>743</v>
      </c>
      <c r="R382" s="405" t="e">
        <v>#N/A</v>
      </c>
      <c r="S382" s="405">
        <v>8.1</v>
      </c>
      <c r="T382" s="405">
        <v>7.9</v>
      </c>
      <c r="U382" s="405">
        <v>0.56999999999999995</v>
      </c>
      <c r="V382" s="406">
        <v>0.72</v>
      </c>
      <c r="W382" s="866">
        <v>40.460000000000008</v>
      </c>
      <c r="X382" s="386">
        <v>40.28</v>
      </c>
      <c r="Y382" s="383">
        <v>29.54</v>
      </c>
      <c r="Z382" s="681">
        <v>20</v>
      </c>
      <c r="AA382" s="428">
        <v>29.51</v>
      </c>
      <c r="AB382" s="428">
        <v>20</v>
      </c>
      <c r="AC382" s="775">
        <f t="shared" si="361"/>
        <v>49.510000000000005</v>
      </c>
      <c r="AD382" s="775">
        <f t="shared" si="362"/>
        <v>76.591970000000003</v>
      </c>
      <c r="AE382" s="705"/>
      <c r="AF382" s="705"/>
      <c r="AG382" s="705">
        <v>1</v>
      </c>
      <c r="AH382" s="705"/>
      <c r="AI382" s="705"/>
      <c r="AJ382" s="407"/>
      <c r="AK382" s="407"/>
      <c r="AL382" s="407"/>
      <c r="AM382" s="407"/>
      <c r="AN382" s="407"/>
      <c r="AO382" s="387"/>
      <c r="AP382" s="387"/>
      <c r="AQ382" s="405"/>
      <c r="AR382" s="578">
        <v>0</v>
      </c>
      <c r="AS382" s="405">
        <v>15.3</v>
      </c>
      <c r="AT382" s="578">
        <v>0</v>
      </c>
      <c r="AU382" s="405">
        <v>30.8</v>
      </c>
      <c r="AV382" s="405">
        <v>395.4</v>
      </c>
      <c r="AW382" s="405">
        <v>471.5</v>
      </c>
      <c r="AX382" s="405">
        <v>0</v>
      </c>
      <c r="AY382" s="578">
        <v>0</v>
      </c>
      <c r="AZ382" s="578">
        <v>0</v>
      </c>
      <c r="BA382" s="578">
        <v>0</v>
      </c>
      <c r="BB382" s="925">
        <v>1</v>
      </c>
      <c r="BC382" s="405">
        <v>0.79</v>
      </c>
      <c r="BD382" s="405">
        <v>1.73</v>
      </c>
      <c r="BE382" s="578">
        <v>0</v>
      </c>
      <c r="BF382" s="405">
        <v>0</v>
      </c>
      <c r="BG382" s="405">
        <v>0</v>
      </c>
      <c r="BH382" s="578">
        <v>0</v>
      </c>
      <c r="BI382" s="405">
        <v>0</v>
      </c>
      <c r="BJ382" s="405">
        <v>17.600000000000001</v>
      </c>
      <c r="BK382" s="405">
        <v>3.3</v>
      </c>
      <c r="BL382" s="405">
        <v>3.18</v>
      </c>
      <c r="BM382" s="405">
        <v>0</v>
      </c>
      <c r="BN382" s="405">
        <v>10.1</v>
      </c>
      <c r="BO382" s="405">
        <v>515.4</v>
      </c>
      <c r="BP382" s="405">
        <v>215</v>
      </c>
      <c r="BQ382" s="522">
        <v>12.79</v>
      </c>
      <c r="BR382" s="522">
        <v>13.06</v>
      </c>
      <c r="BS382" s="522">
        <v>13.08</v>
      </c>
      <c r="BT382" s="522">
        <v>13.16</v>
      </c>
      <c r="BU382" s="405">
        <v>28.8</v>
      </c>
      <c r="BV382" s="405">
        <v>32.5</v>
      </c>
      <c r="BW382" s="522">
        <v>573.4</v>
      </c>
      <c r="BX382" s="878"/>
      <c r="BY382" s="522">
        <v>0.12</v>
      </c>
      <c r="BZ382" s="522">
        <v>1.51</v>
      </c>
      <c r="CA382" s="522">
        <v>1.4</v>
      </c>
      <c r="CB382" s="522">
        <v>8.9</v>
      </c>
      <c r="CC382" s="522">
        <v>8.3000000000000007</v>
      </c>
      <c r="CD382" s="522">
        <v>13.6</v>
      </c>
      <c r="CE382" s="522">
        <v>31</v>
      </c>
      <c r="CF382" s="522">
        <v>12.3</v>
      </c>
      <c r="CG382" s="522">
        <v>6.2</v>
      </c>
      <c r="CH382" s="522">
        <v>11.3</v>
      </c>
      <c r="CI382" s="522">
        <v>15.6</v>
      </c>
      <c r="CJ382" s="522">
        <v>12.48</v>
      </c>
      <c r="CK382" s="522">
        <v>0</v>
      </c>
      <c r="CL382" s="522">
        <v>0.9</v>
      </c>
      <c r="CM382" s="522">
        <v>2.1</v>
      </c>
      <c r="CN382" s="522">
        <v>396.9</v>
      </c>
      <c r="CO382" s="522">
        <v>342.7</v>
      </c>
      <c r="CP382" s="522">
        <v>544.4</v>
      </c>
      <c r="CQ382" s="522">
        <v>14.2</v>
      </c>
      <c r="CR382" s="522">
        <v>0.82</v>
      </c>
      <c r="CS382" s="405">
        <v>382.9</v>
      </c>
      <c r="CT382" s="405">
        <v>16.747</v>
      </c>
      <c r="CU382" s="405">
        <v>44</v>
      </c>
      <c r="CV382" s="522">
        <v>0</v>
      </c>
      <c r="CW382" s="522">
        <v>0</v>
      </c>
      <c r="CX382" s="522">
        <v>0</v>
      </c>
      <c r="CY382" s="522">
        <v>0</v>
      </c>
      <c r="CZ382" s="642">
        <v>1420</v>
      </c>
      <c r="DA382" s="642">
        <v>1790</v>
      </c>
      <c r="DB382" s="642">
        <v>1460</v>
      </c>
      <c r="DC382" s="642">
        <v>1079.9000000000001</v>
      </c>
      <c r="DD382" s="522"/>
      <c r="DE382" s="522"/>
      <c r="DF382" s="522"/>
      <c r="DG382" s="522"/>
      <c r="DH382" s="522"/>
      <c r="DI382" s="522"/>
      <c r="DJ382" s="522"/>
      <c r="DK382" s="522"/>
      <c r="DL382" s="522"/>
      <c r="DM382" s="522"/>
      <c r="DN382" s="522"/>
      <c r="DO382" s="522"/>
      <c r="DP382" s="522"/>
      <c r="DQ382" s="522"/>
      <c r="DR382" s="522"/>
      <c r="DS382" s="522"/>
      <c r="DT382" s="522"/>
      <c r="DU382" s="522"/>
      <c r="DV382" s="522"/>
      <c r="DW382" s="522"/>
      <c r="DX382" s="522"/>
      <c r="DY382" s="522"/>
      <c r="DZ382" s="522"/>
      <c r="EA382" s="522"/>
      <c r="EB382" s="522"/>
      <c r="EC382" s="522"/>
      <c r="ED382" s="522"/>
      <c r="EE382" s="522"/>
      <c r="EF382" s="522"/>
      <c r="EG382" s="522"/>
      <c r="EH382" s="522"/>
      <c r="EI382" s="522"/>
      <c r="EJ382" s="522"/>
      <c r="EK382" s="522"/>
      <c r="EL382" s="522"/>
      <c r="EM382" s="522"/>
      <c r="EN382" s="522"/>
      <c r="EO382" s="522"/>
      <c r="EP382" s="522"/>
      <c r="EQ382" s="522"/>
      <c r="ER382" s="522"/>
      <c r="ES382" s="407"/>
      <c r="ET382" s="407"/>
    </row>
    <row r="383" spans="1:150" s="357" customFormat="1" ht="15">
      <c r="A383" s="675" t="s">
        <v>4</v>
      </c>
      <c r="B383" s="712">
        <v>42009</v>
      </c>
      <c r="C383" s="358">
        <v>0</v>
      </c>
      <c r="D383" s="405"/>
      <c r="E383" s="681"/>
      <c r="F383" s="681"/>
      <c r="G383" s="681"/>
      <c r="H383" s="405"/>
      <c r="I383" s="405"/>
      <c r="J383" s="405"/>
      <c r="K383" s="405"/>
      <c r="L383" s="644"/>
      <c r="M383" s="405"/>
      <c r="N383" s="405"/>
      <c r="O383" s="405"/>
      <c r="P383" s="405"/>
      <c r="Q383" s="405"/>
      <c r="R383" s="405"/>
      <c r="S383" s="405"/>
      <c r="T383" s="405"/>
      <c r="U383" s="405"/>
      <c r="V383" s="406"/>
      <c r="W383" s="866"/>
      <c r="X383" s="386"/>
      <c r="Y383" s="383"/>
      <c r="Z383" s="681"/>
      <c r="AA383" s="428"/>
      <c r="AB383" s="428"/>
      <c r="AC383" s="775"/>
      <c r="AD383" s="775"/>
      <c r="AE383" s="705"/>
      <c r="AF383" s="705"/>
      <c r="AG383" s="705"/>
      <c r="AH383" s="705"/>
      <c r="AI383" s="705"/>
      <c r="AJ383" s="407"/>
      <c r="AK383" s="407"/>
      <c r="AL383" s="407"/>
      <c r="AM383" s="407"/>
      <c r="AN383" s="407"/>
      <c r="AO383" s="387"/>
      <c r="AP383" s="387"/>
      <c r="AQ383" s="405"/>
      <c r="AR383" s="578"/>
      <c r="AS383" s="405"/>
      <c r="AT383" s="578"/>
      <c r="AU383" s="405"/>
      <c r="AV383" s="405"/>
      <c r="AW383" s="405"/>
      <c r="AX383" s="405"/>
      <c r="AY383" s="578"/>
      <c r="AZ383" s="578"/>
      <c r="BA383" s="578"/>
      <c r="BB383" s="925"/>
      <c r="BC383" s="405"/>
      <c r="BD383" s="405"/>
      <c r="BE383" s="578"/>
      <c r="BF383" s="405"/>
      <c r="BG383" s="405"/>
      <c r="BH383" s="578"/>
      <c r="BI383" s="405"/>
      <c r="BJ383" s="405"/>
      <c r="BK383" s="405"/>
      <c r="BL383" s="405"/>
      <c r="BM383" s="405"/>
      <c r="BN383" s="405"/>
      <c r="BO383" s="405"/>
      <c r="BP383" s="405"/>
      <c r="BQ383" s="522"/>
      <c r="BR383" s="522"/>
      <c r="BS383" s="522"/>
      <c r="BT383" s="522"/>
      <c r="BU383" s="405"/>
      <c r="BV383" s="405"/>
      <c r="BW383" s="522"/>
      <c r="BX383" s="878"/>
      <c r="BY383" s="522"/>
      <c r="BZ383" s="522"/>
      <c r="CA383" s="522"/>
      <c r="CB383" s="522"/>
      <c r="CC383" s="522"/>
      <c r="CD383" s="522"/>
      <c r="CE383" s="522"/>
      <c r="CF383" s="522"/>
      <c r="CG383" s="522"/>
      <c r="CH383" s="522"/>
      <c r="CI383" s="522"/>
      <c r="CJ383" s="522"/>
      <c r="CK383" s="522"/>
      <c r="CL383" s="522"/>
      <c r="CM383" s="522"/>
      <c r="CN383" s="522"/>
      <c r="CO383" s="522"/>
      <c r="CP383" s="522"/>
      <c r="CQ383" s="522"/>
      <c r="CR383" s="522"/>
      <c r="CS383" s="405"/>
      <c r="CT383" s="405"/>
      <c r="CU383" s="405"/>
      <c r="CV383" s="522"/>
      <c r="CW383" s="522"/>
      <c r="CX383" s="522"/>
      <c r="CY383" s="522"/>
      <c r="CZ383" s="642"/>
      <c r="DA383" s="642"/>
      <c r="DB383" s="642"/>
      <c r="DC383" s="642"/>
      <c r="DD383" s="522"/>
      <c r="DE383" s="522"/>
      <c r="DF383" s="522"/>
      <c r="DG383" s="522"/>
      <c r="DH383" s="522"/>
      <c r="DI383" s="522"/>
      <c r="DJ383" s="522"/>
      <c r="DK383" s="522"/>
      <c r="DL383" s="522"/>
      <c r="DM383" s="522"/>
      <c r="DN383" s="522"/>
      <c r="DO383" s="522"/>
      <c r="DP383" s="522"/>
      <c r="DQ383" s="522"/>
      <c r="DR383" s="522"/>
      <c r="DS383" s="522"/>
      <c r="DT383" s="522"/>
      <c r="DU383" s="522"/>
      <c r="DV383" s="522"/>
      <c r="DW383" s="522"/>
      <c r="DX383" s="522"/>
      <c r="DY383" s="522"/>
      <c r="DZ383" s="522"/>
      <c r="EA383" s="522"/>
      <c r="EB383" s="522"/>
      <c r="EC383" s="522"/>
      <c r="ED383" s="522"/>
      <c r="EE383" s="522"/>
      <c r="EF383" s="522"/>
      <c r="EG383" s="522"/>
      <c r="EH383" s="522"/>
      <c r="EI383" s="522"/>
      <c r="EJ383" s="522"/>
      <c r="EK383" s="522"/>
      <c r="EL383" s="522"/>
      <c r="EM383" s="522"/>
      <c r="EN383" s="522"/>
      <c r="EO383" s="522"/>
      <c r="EP383" s="522"/>
      <c r="EQ383" s="522"/>
      <c r="ER383" s="522"/>
      <c r="ES383" s="407"/>
      <c r="ET383" s="407"/>
    </row>
    <row r="384" spans="1:150" s="357" customFormat="1" ht="15">
      <c r="A384" s="675" t="s">
        <v>5</v>
      </c>
      <c r="B384" s="712">
        <v>42010</v>
      </c>
      <c r="C384" s="358">
        <v>0</v>
      </c>
      <c r="D384" s="359"/>
      <c r="E384" s="676"/>
      <c r="F384" s="676"/>
      <c r="G384" s="676"/>
      <c r="H384" s="359"/>
      <c r="I384" s="359"/>
      <c r="J384" s="359"/>
      <c r="K384" s="359"/>
      <c r="L384" s="644"/>
      <c r="M384" s="359"/>
      <c r="N384" s="359"/>
      <c r="O384" s="359"/>
      <c r="P384" s="359"/>
      <c r="Q384" s="359"/>
      <c r="R384" s="359"/>
      <c r="S384" s="359"/>
      <c r="T384" s="359"/>
      <c r="U384" s="359"/>
      <c r="V384" s="641"/>
      <c r="W384" s="360"/>
      <c r="X384" s="361"/>
      <c r="Y384" s="176"/>
      <c r="Z384" s="676"/>
      <c r="AA384" s="794"/>
      <c r="AB384" s="794"/>
      <c r="AC384" s="705"/>
      <c r="AD384" s="705"/>
      <c r="AE384" s="705"/>
      <c r="AF384" s="362"/>
      <c r="AG384" s="362"/>
      <c r="AH384" s="362"/>
      <c r="AI384" s="362"/>
      <c r="AJ384" s="2"/>
      <c r="AK384" s="2"/>
      <c r="AL384" s="2"/>
      <c r="AM384" s="2"/>
      <c r="AN384" s="2"/>
      <c r="AQ384" s="364"/>
      <c r="AR384" s="577"/>
      <c r="AS384" s="364"/>
      <c r="AT384" s="577"/>
      <c r="AU384" s="364"/>
      <c r="AV384" s="364"/>
      <c r="AW384" s="364"/>
      <c r="AX384" s="364"/>
      <c r="AY384" s="577"/>
      <c r="AZ384" s="577"/>
      <c r="BA384" s="577"/>
      <c r="BB384" s="1088"/>
      <c r="BC384" s="364"/>
      <c r="BD384" s="364"/>
      <c r="BE384" s="577"/>
      <c r="BF384" s="364"/>
      <c r="BG384" s="384"/>
      <c r="BH384" s="577"/>
      <c r="BI384" s="364"/>
      <c r="BJ384" s="364"/>
      <c r="BK384" s="364"/>
      <c r="BL384" s="364"/>
      <c r="BM384" s="384"/>
      <c r="BN384" s="364"/>
      <c r="BO384" s="364"/>
      <c r="BP384" s="364"/>
      <c r="BQ384" s="388"/>
      <c r="BR384" s="388"/>
      <c r="BS384" s="388"/>
      <c r="BT384" s="388"/>
      <c r="BU384" s="384"/>
      <c r="BV384" s="384"/>
      <c r="BW384" s="387"/>
      <c r="BX384" s="879"/>
      <c r="BY384" s="388"/>
      <c r="BZ384" s="388"/>
      <c r="CA384" s="388"/>
      <c r="CB384" s="387"/>
      <c r="CC384" s="387"/>
      <c r="CE384" s="2"/>
      <c r="CF384" s="2"/>
      <c r="CG384" s="2"/>
      <c r="CH384" s="2"/>
      <c r="CI384" s="2"/>
      <c r="CJ384" s="2"/>
      <c r="CK384" s="2"/>
      <c r="CL384" s="2"/>
      <c r="CM384" s="2"/>
      <c r="CN384" s="2"/>
      <c r="CO384" s="2"/>
      <c r="CP384" s="2"/>
      <c r="CQ384" s="2"/>
      <c r="CR384" s="2"/>
      <c r="CS384" s="364"/>
      <c r="CT384" s="364"/>
      <c r="CU384" s="364"/>
      <c r="CV384" s="407"/>
      <c r="CW384" s="407"/>
      <c r="CX384" s="407"/>
      <c r="CY384" s="407"/>
      <c r="CZ384" s="404"/>
      <c r="DA384" s="404"/>
      <c r="DB384" s="404"/>
      <c r="DC384" s="404"/>
      <c r="DD384" s="407"/>
      <c r="DE384" s="407"/>
      <c r="DF384" s="407"/>
      <c r="DG384" s="407"/>
      <c r="DH384" s="407"/>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row>
    <row r="385" spans="1:150" s="357" customFormat="1" ht="15">
      <c r="A385" s="364"/>
      <c r="B385" s="712">
        <v>42011</v>
      </c>
      <c r="C385" s="358">
        <v>0</v>
      </c>
      <c r="D385" s="637"/>
      <c r="E385" s="685"/>
      <c r="F385" s="685"/>
      <c r="G385" s="685"/>
      <c r="H385" s="637"/>
      <c r="I385" s="637"/>
      <c r="J385" s="637"/>
      <c r="K385" s="637"/>
      <c r="L385" s="785"/>
      <c r="M385" s="637"/>
      <c r="N385" s="637"/>
      <c r="O385" s="637"/>
      <c r="P385" s="637"/>
      <c r="Q385" s="637"/>
      <c r="R385" s="637"/>
      <c r="S385" s="637"/>
      <c r="T385" s="637"/>
      <c r="U385" s="637"/>
      <c r="V385" s="638"/>
      <c r="W385" s="640"/>
      <c r="X385" s="3"/>
      <c r="Y385" s="639"/>
      <c r="Z385" s="685"/>
      <c r="AA385" s="795"/>
      <c r="AB385" s="795"/>
      <c r="AC385" s="705"/>
      <c r="AD385" s="705"/>
      <c r="AE385" s="705"/>
      <c r="AF385" s="362"/>
      <c r="AG385" s="362"/>
      <c r="AH385" s="362"/>
      <c r="AI385" s="362"/>
      <c r="AJ385" s="2"/>
      <c r="AK385" s="2"/>
      <c r="AL385" s="2"/>
      <c r="AM385" s="2"/>
      <c r="AN385" s="2"/>
      <c r="AO385" s="2"/>
      <c r="AP385" s="2"/>
      <c r="AQ385" s="364"/>
      <c r="AR385" s="577"/>
      <c r="AS385" s="364"/>
      <c r="AT385" s="577"/>
      <c r="AU385" s="364"/>
      <c r="AV385" s="364"/>
      <c r="AW385" s="364"/>
      <c r="AX385" s="364"/>
      <c r="AY385" s="577"/>
      <c r="AZ385" s="577"/>
      <c r="BA385" s="577"/>
      <c r="BB385" s="1088"/>
      <c r="BC385" s="364"/>
      <c r="BD385" s="364"/>
      <c r="BE385" s="577"/>
      <c r="BF385" s="364"/>
      <c r="BG385" s="384"/>
      <c r="BH385" s="577"/>
      <c r="BI385" s="364"/>
      <c r="BJ385" s="364"/>
      <c r="BK385" s="364"/>
      <c r="BL385" s="364"/>
      <c r="BM385" s="384"/>
      <c r="BN385" s="364"/>
      <c r="BO385" s="364"/>
      <c r="BP385" s="364"/>
      <c r="BQ385" s="388"/>
      <c r="BR385" s="388"/>
      <c r="BS385" s="388"/>
      <c r="BT385" s="388"/>
      <c r="BU385" s="384"/>
      <c r="BV385" s="384"/>
      <c r="BW385" s="387"/>
      <c r="BX385" s="879"/>
      <c r="BY385" s="388"/>
      <c r="BZ385" s="388"/>
      <c r="CA385" s="388"/>
      <c r="CB385" s="387"/>
      <c r="CC385" s="387"/>
      <c r="CE385" s="2"/>
      <c r="CF385" s="2"/>
      <c r="CG385" s="2"/>
      <c r="CH385" s="2"/>
      <c r="CI385" s="2"/>
      <c r="CJ385" s="2"/>
      <c r="CK385" s="2"/>
      <c r="CL385" s="2"/>
      <c r="CM385" s="2"/>
      <c r="CN385" s="2"/>
      <c r="CO385" s="2"/>
      <c r="CP385" s="2"/>
      <c r="CQ385" s="2"/>
      <c r="CR385" s="2"/>
      <c r="CS385" s="364"/>
      <c r="CT385" s="364"/>
      <c r="CU385" s="364"/>
      <c r="CV385" s="407"/>
      <c r="CW385" s="407"/>
      <c r="CX385" s="407"/>
      <c r="CY385" s="407"/>
      <c r="CZ385" s="404"/>
      <c r="DA385" s="404"/>
      <c r="DB385" s="404"/>
      <c r="DC385" s="404"/>
      <c r="DD385" s="407"/>
      <c r="DE385" s="407"/>
      <c r="DF385" s="407"/>
      <c r="DG385" s="407"/>
      <c r="DH385" s="407"/>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row>
    <row r="386" spans="1:150" s="357" customFormat="1" ht="15">
      <c r="A386" s="364"/>
      <c r="B386" s="714"/>
      <c r="C386" s="364"/>
      <c r="D386" s="364"/>
      <c r="E386" s="678"/>
      <c r="F386" s="678"/>
      <c r="G386" s="678"/>
      <c r="H386" s="364"/>
      <c r="I386" s="364"/>
      <c r="J386" s="364"/>
      <c r="K386" s="364"/>
      <c r="L386" s="786"/>
      <c r="M386" s="364"/>
      <c r="N386" s="364"/>
      <c r="O386" s="364"/>
      <c r="P386" s="364"/>
      <c r="Q386" s="364"/>
      <c r="R386" s="364"/>
      <c r="S386" s="364"/>
      <c r="T386" s="364"/>
      <c r="U386" s="364"/>
      <c r="V386" s="365"/>
      <c r="W386" s="367"/>
      <c r="X386" s="3"/>
      <c r="Y386" s="366"/>
      <c r="Z386" s="678"/>
      <c r="AA386" s="796"/>
      <c r="AB386" s="796"/>
      <c r="AC386" s="705"/>
      <c r="AD386" s="705"/>
      <c r="AE386" s="705"/>
      <c r="AF386" s="362"/>
      <c r="AG386" s="362"/>
      <c r="AH386" s="362"/>
      <c r="AI386" s="362"/>
      <c r="AJ386" s="2"/>
      <c r="AK386" s="2"/>
      <c r="AL386" s="2"/>
      <c r="AM386" s="2"/>
      <c r="AN386" s="2"/>
      <c r="AO386" s="2"/>
      <c r="AP386" s="2"/>
      <c r="AQ386" s="364"/>
      <c r="AR386" s="577"/>
      <c r="AS386" s="364"/>
      <c r="AT386" s="577"/>
      <c r="AU386" s="364"/>
      <c r="AV386" s="364"/>
      <c r="AW386" s="364"/>
      <c r="AX386" s="364"/>
      <c r="AY386" s="577"/>
      <c r="AZ386" s="577"/>
      <c r="BA386" s="577"/>
      <c r="BB386" s="1088"/>
      <c r="BC386" s="364"/>
      <c r="BD386" s="364"/>
      <c r="BE386" s="577"/>
      <c r="BF386" s="364"/>
      <c r="BG386" s="384"/>
      <c r="BH386" s="577"/>
      <c r="BI386" s="364"/>
      <c r="BJ386" s="364"/>
      <c r="BK386" s="364"/>
      <c r="BL386" s="364"/>
      <c r="BM386" s="384"/>
      <c r="BN386" s="364"/>
      <c r="BO386" s="364"/>
      <c r="BP386" s="364"/>
      <c r="BQ386" s="388"/>
      <c r="BR386" s="388"/>
      <c r="BS386" s="388"/>
      <c r="BT386" s="388"/>
      <c r="BU386" s="384"/>
      <c r="BV386" s="384"/>
      <c r="BW386" s="387"/>
      <c r="BX386" s="879"/>
      <c r="BY386" s="388"/>
      <c r="BZ386" s="388"/>
      <c r="CA386" s="388"/>
      <c r="CB386" s="387"/>
      <c r="CC386" s="387"/>
      <c r="CE386" s="2"/>
      <c r="CF386" s="2"/>
      <c r="CG386" s="2"/>
      <c r="CH386" s="2"/>
      <c r="CI386" s="2"/>
      <c r="CJ386" s="2"/>
      <c r="CK386" s="2"/>
      <c r="CL386" s="2"/>
      <c r="CM386" s="2"/>
      <c r="CN386" s="2"/>
      <c r="CO386" s="2"/>
      <c r="CP386" s="2"/>
      <c r="CQ386" s="2"/>
      <c r="CR386" s="2"/>
      <c r="CS386" s="364"/>
      <c r="CT386" s="364"/>
      <c r="CU386" s="364"/>
      <c r="CV386" s="407"/>
      <c r="CW386" s="407"/>
      <c r="CX386" s="407"/>
      <c r="CY386" s="407"/>
      <c r="CZ386" s="404"/>
      <c r="DA386" s="404"/>
      <c r="DB386" s="404"/>
      <c r="DC386" s="404"/>
      <c r="DD386" s="407"/>
      <c r="DE386" s="407"/>
      <c r="DF386" s="407"/>
      <c r="DG386" s="407"/>
      <c r="DH386" s="407"/>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row>
    <row r="387" spans="1:150" s="357" customFormat="1" ht="15">
      <c r="A387" s="364"/>
      <c r="B387" s="714"/>
      <c r="C387" s="364"/>
      <c r="D387" s="364"/>
      <c r="E387" s="678"/>
      <c r="F387" s="678"/>
      <c r="G387" s="678"/>
      <c r="H387" s="364"/>
      <c r="I387" s="364"/>
      <c r="J387" s="364"/>
      <c r="K387" s="364"/>
      <c r="L387" s="786"/>
      <c r="M387" s="364"/>
      <c r="N387" s="364"/>
      <c r="O387" s="364"/>
      <c r="P387" s="364"/>
      <c r="Q387" s="364"/>
      <c r="R387" s="364"/>
      <c r="S387" s="364"/>
      <c r="T387" s="364"/>
      <c r="U387" s="364"/>
      <c r="V387" s="365"/>
      <c r="W387" s="367"/>
      <c r="X387" s="3"/>
      <c r="Y387" s="366"/>
      <c r="Z387" s="678"/>
      <c r="AA387" s="796"/>
      <c r="AB387" s="796"/>
      <c r="AC387" s="705"/>
      <c r="AD387" s="705"/>
      <c r="AE387" s="705"/>
      <c r="AF387" s="362"/>
      <c r="AG387" s="362"/>
      <c r="AH387" s="362"/>
      <c r="AI387" s="362"/>
      <c r="AJ387" s="2"/>
      <c r="AK387" s="2"/>
      <c r="AL387" s="2"/>
      <c r="AM387" s="2"/>
      <c r="AN387" s="2"/>
      <c r="AO387" s="2"/>
      <c r="AP387" s="2"/>
      <c r="AQ387" s="364"/>
      <c r="AR387" s="577"/>
      <c r="AS387" s="364"/>
      <c r="AT387" s="577"/>
      <c r="AU387" s="364"/>
      <c r="AV387" s="364"/>
      <c r="AW387" s="364"/>
      <c r="AX387" s="364"/>
      <c r="AY387" s="577"/>
      <c r="AZ387" s="577"/>
      <c r="BA387" s="577"/>
      <c r="BB387" s="1088"/>
      <c r="BC387" s="364"/>
      <c r="BD387" s="364"/>
      <c r="BE387" s="577"/>
      <c r="BF387" s="364"/>
      <c r="BG387" s="384"/>
      <c r="BH387" s="577"/>
      <c r="BI387" s="364"/>
      <c r="BJ387" s="364"/>
      <c r="BK387" s="364"/>
      <c r="BL387" s="364"/>
      <c r="BM387" s="384"/>
      <c r="BN387" s="364"/>
      <c r="BO387" s="364"/>
      <c r="BP387" s="364"/>
      <c r="BQ387" s="388"/>
      <c r="BR387" s="388"/>
      <c r="BS387" s="388"/>
      <c r="BT387" s="388"/>
      <c r="BU387" s="384"/>
      <c r="BV387" s="384"/>
      <c r="BW387" s="387"/>
      <c r="BX387" s="879"/>
      <c r="BY387" s="388"/>
      <c r="BZ387" s="388"/>
      <c r="CA387" s="388"/>
      <c r="CB387" s="387"/>
      <c r="CC387" s="387"/>
      <c r="CE387" s="2"/>
      <c r="CF387" s="2"/>
      <c r="CG387" s="2"/>
      <c r="CH387" s="2"/>
      <c r="CI387" s="2"/>
      <c r="CJ387" s="2"/>
      <c r="CK387" s="2"/>
      <c r="CL387" s="2"/>
      <c r="CM387" s="2"/>
      <c r="CN387" s="2"/>
      <c r="CO387" s="2"/>
      <c r="CP387" s="2"/>
      <c r="CQ387" s="2"/>
      <c r="CR387" s="2"/>
      <c r="CS387" s="364"/>
      <c r="CT387" s="364"/>
      <c r="CU387" s="364"/>
      <c r="CV387" s="407"/>
      <c r="CW387" s="407"/>
      <c r="CX387" s="407"/>
      <c r="CY387" s="407"/>
      <c r="CZ387" s="404"/>
      <c r="DA387" s="404"/>
      <c r="DB387" s="404"/>
      <c r="DC387" s="404"/>
      <c r="DD387" s="407"/>
      <c r="DE387" s="407"/>
      <c r="DF387" s="407"/>
      <c r="DG387" s="407"/>
      <c r="DH387" s="407"/>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row>
    <row r="388" spans="1:150" s="357" customFormat="1" ht="15">
      <c r="A388" s="364"/>
      <c r="B388" s="714"/>
      <c r="C388" s="364"/>
      <c r="D388" s="364"/>
      <c r="E388" s="678"/>
      <c r="F388" s="678"/>
      <c r="G388" s="678"/>
      <c r="H388" s="364"/>
      <c r="I388" s="364"/>
      <c r="J388" s="364"/>
      <c r="K388" s="364"/>
      <c r="L388" s="786"/>
      <c r="M388" s="364"/>
      <c r="N388" s="364"/>
      <c r="O388" s="364"/>
      <c r="P388" s="364"/>
      <c r="Q388" s="364"/>
      <c r="R388" s="364"/>
      <c r="S388" s="364"/>
      <c r="T388" s="364"/>
      <c r="U388" s="364"/>
      <c r="V388" s="365"/>
      <c r="W388" s="367"/>
      <c r="X388" s="3"/>
      <c r="Y388" s="366"/>
      <c r="Z388" s="678"/>
      <c r="AA388" s="796"/>
      <c r="AB388" s="796"/>
      <c r="AC388" s="705"/>
      <c r="AD388" s="705"/>
      <c r="AE388" s="705"/>
      <c r="AF388" s="362"/>
      <c r="AG388" s="362"/>
      <c r="AH388" s="362"/>
      <c r="AI388" s="362"/>
      <c r="AJ388" s="2"/>
      <c r="AK388" s="2"/>
      <c r="AL388" s="2"/>
      <c r="AM388" s="2"/>
      <c r="AN388" s="2"/>
      <c r="AO388" s="2"/>
      <c r="AP388" s="2"/>
      <c r="AQ388" s="364"/>
      <c r="AR388" s="577"/>
      <c r="AS388" s="364"/>
      <c r="AT388" s="577"/>
      <c r="AU388" s="364"/>
      <c r="AV388" s="364"/>
      <c r="AW388" s="364"/>
      <c r="AX388" s="364"/>
      <c r="AY388" s="577"/>
      <c r="AZ388" s="577"/>
      <c r="BA388" s="577"/>
      <c r="BB388" s="1088"/>
      <c r="BC388" s="364"/>
      <c r="BD388" s="364"/>
      <c r="BE388" s="577"/>
      <c r="BF388" s="364"/>
      <c r="BG388" s="384"/>
      <c r="BH388" s="577"/>
      <c r="BI388" s="364"/>
      <c r="BJ388" s="364"/>
      <c r="BK388" s="364"/>
      <c r="BL388" s="364"/>
      <c r="BM388" s="384"/>
      <c r="BN388" s="364"/>
      <c r="BO388" s="364"/>
      <c r="BP388" s="364"/>
      <c r="BQ388" s="388"/>
      <c r="BR388" s="388"/>
      <c r="BS388" s="388"/>
      <c r="BT388" s="388"/>
      <c r="BU388" s="384"/>
      <c r="BV388" s="384"/>
      <c r="BW388" s="387"/>
      <c r="BX388" s="879"/>
      <c r="BY388" s="388"/>
      <c r="BZ388" s="388"/>
      <c r="CA388" s="388"/>
      <c r="CB388" s="387"/>
      <c r="CC388" s="387"/>
      <c r="CE388" s="2"/>
      <c r="CF388" s="2"/>
      <c r="CG388" s="2"/>
      <c r="CH388" s="2"/>
      <c r="CI388" s="2"/>
      <c r="CJ388" s="2"/>
      <c r="CK388" s="2"/>
      <c r="CL388" s="2"/>
      <c r="CM388" s="2"/>
      <c r="CN388" s="2"/>
      <c r="CO388" s="2"/>
      <c r="CP388" s="2"/>
      <c r="CQ388" s="2"/>
      <c r="CR388" s="2"/>
      <c r="CS388" s="364"/>
      <c r="CT388" s="364"/>
      <c r="CU388" s="364"/>
      <c r="CV388" s="407"/>
      <c r="CW388" s="407"/>
      <c r="CX388" s="407"/>
      <c r="CY388" s="407"/>
      <c r="CZ388" s="404"/>
      <c r="DA388" s="404"/>
      <c r="DB388" s="404"/>
      <c r="DC388" s="404"/>
      <c r="DD388" s="407"/>
      <c r="DE388" s="407"/>
      <c r="DF388" s="407"/>
      <c r="DG388" s="407"/>
      <c r="DH388" s="407"/>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row>
    <row r="389" spans="1:150" s="357" customFormat="1" ht="15">
      <c r="A389" s="364"/>
      <c r="B389" s="714"/>
      <c r="C389" s="364"/>
      <c r="D389" s="364"/>
      <c r="E389" s="678"/>
      <c r="F389" s="678"/>
      <c r="G389" s="678"/>
      <c r="H389" s="364"/>
      <c r="I389" s="364"/>
      <c r="J389" s="364"/>
      <c r="K389" s="364"/>
      <c r="L389" s="786"/>
      <c r="M389" s="364"/>
      <c r="N389" s="364"/>
      <c r="O389" s="364"/>
      <c r="P389" s="364"/>
      <c r="Q389" s="364"/>
      <c r="R389" s="364"/>
      <c r="S389" s="364"/>
      <c r="T389" s="364"/>
      <c r="U389" s="364"/>
      <c r="V389" s="365"/>
      <c r="W389" s="367"/>
      <c r="X389" s="3"/>
      <c r="Y389" s="366"/>
      <c r="Z389" s="678"/>
      <c r="AA389" s="796"/>
      <c r="AB389" s="796"/>
      <c r="AC389" s="705"/>
      <c r="AD389" s="705"/>
      <c r="AE389" s="705"/>
      <c r="AF389" s="362"/>
      <c r="AG389" s="362"/>
      <c r="AH389" s="362"/>
      <c r="AI389" s="362"/>
      <c r="AJ389" s="2"/>
      <c r="AK389" s="2"/>
      <c r="AL389" s="2"/>
      <c r="AM389" s="2"/>
      <c r="AN389" s="2"/>
      <c r="AO389" s="2"/>
      <c r="AP389" s="2"/>
      <c r="AQ389" s="364"/>
      <c r="AR389" s="577"/>
      <c r="AS389" s="364"/>
      <c r="AT389" s="577"/>
      <c r="AU389" s="364"/>
      <c r="AV389" s="364"/>
      <c r="AW389" s="364"/>
      <c r="AX389" s="364"/>
      <c r="AY389" s="577"/>
      <c r="AZ389" s="577"/>
      <c r="BA389" s="577"/>
      <c r="BB389" s="1088"/>
      <c r="BC389" s="364"/>
      <c r="BD389" s="364"/>
      <c r="BE389" s="577"/>
      <c r="BF389" s="364"/>
      <c r="BG389" s="384"/>
      <c r="BH389" s="577"/>
      <c r="BI389" s="364"/>
      <c r="BJ389" s="364"/>
      <c r="BK389" s="364"/>
      <c r="BL389" s="364"/>
      <c r="BM389" s="384"/>
      <c r="BN389" s="364"/>
      <c r="BO389" s="364"/>
      <c r="BP389" s="364"/>
      <c r="BQ389" s="388"/>
      <c r="BR389" s="388"/>
      <c r="BS389" s="388"/>
      <c r="BT389" s="388"/>
      <c r="BU389" s="384"/>
      <c r="BV389" s="384"/>
      <c r="BW389" s="387"/>
      <c r="BX389" s="879"/>
      <c r="BY389" s="388"/>
      <c r="BZ389" s="388"/>
      <c r="CA389" s="388"/>
      <c r="CB389" s="387"/>
      <c r="CC389" s="387"/>
      <c r="CE389" s="2"/>
      <c r="CF389" s="2"/>
      <c r="CG389" s="2"/>
      <c r="CH389" s="2"/>
      <c r="CI389" s="2"/>
      <c r="CJ389" s="2"/>
      <c r="CK389" s="2"/>
      <c r="CL389" s="2"/>
      <c r="CM389" s="2"/>
      <c r="CN389" s="2"/>
      <c r="CO389" s="2"/>
      <c r="CP389" s="2"/>
      <c r="CQ389" s="2"/>
      <c r="CR389" s="2"/>
      <c r="CS389" s="364"/>
      <c r="CT389" s="364"/>
      <c r="CU389" s="364"/>
      <c r="CV389" s="407"/>
      <c r="CW389" s="407"/>
      <c r="CX389" s="407"/>
      <c r="CY389" s="407"/>
      <c r="CZ389" s="404"/>
      <c r="DA389" s="404"/>
      <c r="DB389" s="404"/>
      <c r="DC389" s="404"/>
      <c r="DD389" s="407"/>
      <c r="DE389" s="407"/>
      <c r="DF389" s="407"/>
      <c r="DG389" s="407"/>
      <c r="DH389" s="407"/>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row>
    <row r="390" spans="1:150" s="357" customFormat="1" ht="15">
      <c r="A390" s="364"/>
      <c r="B390" s="714"/>
      <c r="C390" s="364"/>
      <c r="D390" s="364"/>
      <c r="E390" s="678"/>
      <c r="F390" s="678"/>
      <c r="G390" s="678"/>
      <c r="H390" s="364"/>
      <c r="I390" s="364"/>
      <c r="J390" s="364"/>
      <c r="K390" s="364"/>
      <c r="L390" s="786"/>
      <c r="M390" s="364"/>
      <c r="N390" s="364"/>
      <c r="O390" s="364"/>
      <c r="P390" s="364"/>
      <c r="Q390" s="364"/>
      <c r="R390" s="364"/>
      <c r="S390" s="364"/>
      <c r="T390" s="364"/>
      <c r="U390" s="364"/>
      <c r="V390" s="365"/>
      <c r="W390" s="367"/>
      <c r="X390" s="3"/>
      <c r="Y390" s="366"/>
      <c r="Z390" s="678"/>
      <c r="AA390" s="796"/>
      <c r="AB390" s="796"/>
      <c r="AC390" s="705"/>
      <c r="AD390" s="705"/>
      <c r="AE390" s="705"/>
      <c r="AF390" s="362"/>
      <c r="AG390" s="362"/>
      <c r="AH390" s="362"/>
      <c r="AI390" s="362"/>
      <c r="AJ390" s="2"/>
      <c r="AK390" s="2"/>
      <c r="AL390" s="2"/>
      <c r="AM390" s="2"/>
      <c r="AN390" s="2"/>
      <c r="AO390" s="2"/>
      <c r="AP390" s="2"/>
      <c r="AQ390" s="364"/>
      <c r="AR390" s="577"/>
      <c r="AS390" s="364"/>
      <c r="AT390" s="577"/>
      <c r="AU390" s="364"/>
      <c r="AV390" s="364"/>
      <c r="AW390" s="364"/>
      <c r="AX390" s="364"/>
      <c r="AY390" s="577"/>
      <c r="AZ390" s="577"/>
      <c r="BA390" s="577"/>
      <c r="BB390" s="1088"/>
      <c r="BC390" s="364"/>
      <c r="BD390" s="364"/>
      <c r="BE390" s="577"/>
      <c r="BF390" s="364"/>
      <c r="BG390" s="384"/>
      <c r="BH390" s="577"/>
      <c r="BI390" s="364"/>
      <c r="BJ390" s="364"/>
      <c r="BK390" s="364"/>
      <c r="BL390" s="364"/>
      <c r="BM390" s="384"/>
      <c r="BN390" s="364"/>
      <c r="BO390" s="364"/>
      <c r="BP390" s="364"/>
      <c r="BQ390" s="388"/>
      <c r="BR390" s="388"/>
      <c r="BS390" s="388"/>
      <c r="BT390" s="388"/>
      <c r="BU390" s="384"/>
      <c r="BV390" s="384"/>
      <c r="BW390" s="387"/>
      <c r="BX390" s="879"/>
      <c r="BY390" s="388"/>
      <c r="BZ390" s="388"/>
      <c r="CA390" s="388"/>
      <c r="CB390" s="387"/>
      <c r="CC390" s="387"/>
      <c r="CE390" s="2"/>
      <c r="CF390" s="2"/>
      <c r="CG390" s="2"/>
      <c r="CH390" s="2"/>
      <c r="CI390" s="2"/>
      <c r="CJ390" s="2"/>
      <c r="CK390" s="2"/>
      <c r="CL390" s="2"/>
      <c r="CM390" s="2"/>
      <c r="CN390" s="2"/>
      <c r="CO390" s="2"/>
      <c r="CP390" s="2"/>
      <c r="CQ390" s="2"/>
      <c r="CR390" s="2"/>
      <c r="CS390" s="364"/>
      <c r="CT390" s="364"/>
      <c r="CU390" s="364"/>
      <c r="CV390" s="407"/>
      <c r="CW390" s="407"/>
      <c r="CX390" s="407"/>
      <c r="CY390" s="407"/>
      <c r="CZ390" s="404"/>
      <c r="DA390" s="404"/>
      <c r="DB390" s="404"/>
      <c r="DC390" s="404"/>
      <c r="DD390" s="407"/>
      <c r="DE390" s="407"/>
      <c r="DF390" s="407"/>
      <c r="DG390" s="407"/>
      <c r="DH390" s="407"/>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row>
    <row r="391" spans="1:150" s="357" customFormat="1" ht="15">
      <c r="A391" s="364"/>
      <c r="B391" s="714"/>
      <c r="C391" s="364"/>
      <c r="D391" s="364"/>
      <c r="E391" s="678"/>
      <c r="F391" s="678"/>
      <c r="G391" s="678"/>
      <c r="H391" s="364"/>
      <c r="I391" s="364"/>
      <c r="J391" s="364"/>
      <c r="K391" s="364"/>
      <c r="L391" s="786"/>
      <c r="M391" s="364"/>
      <c r="N391" s="364"/>
      <c r="O391" s="364"/>
      <c r="P391" s="364"/>
      <c r="Q391" s="364"/>
      <c r="R391" s="364"/>
      <c r="S391" s="364"/>
      <c r="T391" s="364"/>
      <c r="U391" s="364"/>
      <c r="V391" s="365"/>
      <c r="W391" s="367"/>
      <c r="X391" s="3"/>
      <c r="Y391" s="366"/>
      <c r="Z391" s="678"/>
      <c r="AA391" s="796"/>
      <c r="AB391" s="796"/>
      <c r="AC391" s="705"/>
      <c r="AD391" s="705"/>
      <c r="AE391" s="705"/>
      <c r="AF391" s="362"/>
      <c r="AG391" s="362"/>
      <c r="AH391" s="362"/>
      <c r="AI391" s="362"/>
      <c r="AJ391" s="2"/>
      <c r="AK391" s="2"/>
      <c r="AL391" s="2"/>
      <c r="AM391" s="2"/>
      <c r="AN391" s="2"/>
      <c r="AO391" s="2"/>
      <c r="AP391" s="2"/>
      <c r="AQ391" s="364"/>
      <c r="AR391" s="577"/>
      <c r="AS391" s="364"/>
      <c r="AT391" s="577"/>
      <c r="AU391" s="364"/>
      <c r="AV391" s="364"/>
      <c r="AW391" s="364"/>
      <c r="AX391" s="364"/>
      <c r="AY391" s="577"/>
      <c r="AZ391" s="577"/>
      <c r="BA391" s="577"/>
      <c r="BB391" s="1088"/>
      <c r="BC391" s="364"/>
      <c r="BD391" s="364"/>
      <c r="BE391" s="577"/>
      <c r="BF391" s="364"/>
      <c r="BG391" s="384"/>
      <c r="BH391" s="577"/>
      <c r="BI391" s="364"/>
      <c r="BJ391" s="364"/>
      <c r="BK391" s="364"/>
      <c r="BL391" s="364"/>
      <c r="BM391" s="384"/>
      <c r="BN391" s="364"/>
      <c r="BO391" s="364"/>
      <c r="BP391" s="364"/>
      <c r="BQ391" s="388"/>
      <c r="BR391" s="388"/>
      <c r="BS391" s="388"/>
      <c r="BT391" s="388"/>
      <c r="BU391" s="384"/>
      <c r="BV391" s="384"/>
      <c r="BW391" s="387"/>
      <c r="BX391" s="879"/>
      <c r="BY391" s="388"/>
      <c r="BZ391" s="388"/>
      <c r="CA391" s="388"/>
      <c r="CB391" s="387"/>
      <c r="CC391" s="387"/>
      <c r="CE391" s="2"/>
      <c r="CF391" s="2"/>
      <c r="CG391" s="2"/>
      <c r="CH391" s="2"/>
      <c r="CI391" s="2"/>
      <c r="CJ391" s="2"/>
      <c r="CK391" s="2"/>
      <c r="CL391" s="2"/>
      <c r="CM391" s="2"/>
      <c r="CN391" s="2"/>
      <c r="CO391" s="2"/>
      <c r="CP391" s="2"/>
      <c r="CQ391" s="2"/>
      <c r="CR391" s="2"/>
      <c r="CS391" s="364"/>
      <c r="CT391" s="364"/>
      <c r="CU391" s="364"/>
      <c r="CV391" s="407"/>
      <c r="CW391" s="407"/>
      <c r="CX391" s="407"/>
      <c r="CY391" s="407"/>
      <c r="CZ391" s="404"/>
      <c r="DA391" s="404"/>
      <c r="DB391" s="404"/>
      <c r="DC391" s="404"/>
      <c r="DD391" s="407"/>
      <c r="DE391" s="407"/>
      <c r="DF391" s="407"/>
      <c r="DG391" s="407"/>
      <c r="DH391" s="407"/>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row>
    <row r="392" spans="1:150" s="357" customFormat="1" ht="15">
      <c r="A392" s="364"/>
      <c r="B392" s="714"/>
      <c r="C392" s="364"/>
      <c r="D392" s="364"/>
      <c r="E392" s="678"/>
      <c r="F392" s="678"/>
      <c r="G392" s="678"/>
      <c r="H392" s="364"/>
      <c r="I392" s="364"/>
      <c r="J392" s="364"/>
      <c r="K392" s="364"/>
      <c r="L392" s="786"/>
      <c r="M392" s="364"/>
      <c r="N392" s="364"/>
      <c r="O392" s="364"/>
      <c r="P392" s="364"/>
      <c r="Q392" s="364"/>
      <c r="R392" s="364"/>
      <c r="S392" s="364"/>
      <c r="T392" s="364"/>
      <c r="U392" s="364"/>
      <c r="V392" s="365"/>
      <c r="W392" s="367"/>
      <c r="X392" s="3"/>
      <c r="Y392" s="366"/>
      <c r="Z392" s="678"/>
      <c r="AA392" s="796"/>
      <c r="AB392" s="796"/>
      <c r="AC392" s="705"/>
      <c r="AD392" s="705"/>
      <c r="AE392" s="705"/>
      <c r="AF392" s="362"/>
      <c r="AG392" s="362"/>
      <c r="AH392" s="362"/>
      <c r="AI392" s="362"/>
      <c r="AJ392" s="2"/>
      <c r="AK392" s="2"/>
      <c r="AL392" s="2"/>
      <c r="AM392" s="2"/>
      <c r="AN392" s="2"/>
      <c r="AO392" s="2"/>
      <c r="AP392" s="2"/>
      <c r="AQ392" s="364"/>
      <c r="AR392" s="577"/>
      <c r="AS392" s="364"/>
      <c r="AT392" s="577"/>
      <c r="AU392" s="364"/>
      <c r="AV392" s="364"/>
      <c r="AW392" s="364"/>
      <c r="AX392" s="364"/>
      <c r="AY392" s="577"/>
      <c r="AZ392" s="577"/>
      <c r="BA392" s="577"/>
      <c r="BB392" s="1088"/>
      <c r="BC392" s="364"/>
      <c r="BD392" s="364"/>
      <c r="BE392" s="577"/>
      <c r="BF392" s="364"/>
      <c r="BG392" s="384"/>
      <c r="BH392" s="577"/>
      <c r="BI392" s="364"/>
      <c r="BJ392" s="364"/>
      <c r="BK392" s="364"/>
      <c r="BL392" s="364"/>
      <c r="BM392" s="384"/>
      <c r="BN392" s="364"/>
      <c r="BO392" s="364"/>
      <c r="BP392" s="364"/>
      <c r="BQ392" s="388"/>
      <c r="BR392" s="388"/>
      <c r="BS392" s="388"/>
      <c r="BT392" s="388"/>
      <c r="BU392" s="384"/>
      <c r="BV392" s="384"/>
      <c r="BW392" s="387"/>
      <c r="BX392" s="879"/>
      <c r="BY392" s="388"/>
      <c r="BZ392" s="388"/>
      <c r="CA392" s="388"/>
      <c r="CB392" s="387"/>
      <c r="CC392" s="387"/>
      <c r="CE392" s="2"/>
      <c r="CF392" s="2"/>
      <c r="CG392" s="2"/>
      <c r="CH392" s="2"/>
      <c r="CI392" s="2"/>
      <c r="CJ392" s="2"/>
      <c r="CK392" s="2"/>
      <c r="CL392" s="2"/>
      <c r="CM392" s="2"/>
      <c r="CN392" s="2"/>
      <c r="CO392" s="2"/>
      <c r="CP392" s="2"/>
      <c r="CQ392" s="2"/>
      <c r="CR392" s="2"/>
      <c r="CS392" s="364"/>
      <c r="CT392" s="364"/>
      <c r="CU392" s="364"/>
      <c r="CV392" s="407"/>
      <c r="CW392" s="407"/>
      <c r="CX392" s="407"/>
      <c r="CY392" s="407"/>
      <c r="CZ392" s="404"/>
      <c r="DA392" s="404"/>
      <c r="DB392" s="404"/>
      <c r="DC392" s="404"/>
      <c r="DD392" s="407"/>
      <c r="DE392" s="407"/>
      <c r="DF392" s="407"/>
      <c r="DG392" s="407"/>
      <c r="DH392" s="407"/>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row>
    <row r="393" spans="1:150" s="357" customFormat="1" ht="15">
      <c r="A393" s="364"/>
      <c r="B393" s="714"/>
      <c r="C393" s="364"/>
      <c r="D393" s="364"/>
      <c r="E393" s="678"/>
      <c r="F393" s="678"/>
      <c r="G393" s="678"/>
      <c r="H393" s="364"/>
      <c r="I393" s="364"/>
      <c r="J393" s="364"/>
      <c r="K393" s="364"/>
      <c r="L393" s="786"/>
      <c r="M393" s="364"/>
      <c r="N393" s="364"/>
      <c r="O393" s="364"/>
      <c r="P393" s="364"/>
      <c r="Q393" s="364"/>
      <c r="R393" s="364"/>
      <c r="S393" s="364"/>
      <c r="T393" s="364"/>
      <c r="U393" s="364"/>
      <c r="V393" s="365"/>
      <c r="W393" s="367"/>
      <c r="X393" s="3"/>
      <c r="Y393" s="366"/>
      <c r="Z393" s="678"/>
      <c r="AA393" s="796"/>
      <c r="AB393" s="796"/>
      <c r="AC393" s="705"/>
      <c r="AD393" s="705"/>
      <c r="AE393" s="705"/>
      <c r="AF393" s="362"/>
      <c r="AG393" s="362"/>
      <c r="AH393" s="362"/>
      <c r="AI393" s="362"/>
      <c r="AJ393" s="2"/>
      <c r="AK393" s="2"/>
      <c r="AL393" s="2"/>
      <c r="AM393" s="2"/>
      <c r="AN393" s="2"/>
      <c r="AO393" s="2"/>
      <c r="AP393" s="2"/>
      <c r="AQ393" s="364"/>
      <c r="AR393" s="577"/>
      <c r="AS393" s="364"/>
      <c r="AT393" s="577"/>
      <c r="AU393" s="364"/>
      <c r="AV393" s="364"/>
      <c r="AW393" s="364"/>
      <c r="AX393" s="364"/>
      <c r="AY393" s="577"/>
      <c r="AZ393" s="577"/>
      <c r="BA393" s="577"/>
      <c r="BB393" s="1088"/>
      <c r="BC393" s="364"/>
      <c r="BD393" s="364"/>
      <c r="BE393" s="577"/>
      <c r="BF393" s="364"/>
      <c r="BG393" s="384"/>
      <c r="BH393" s="577"/>
      <c r="BI393" s="364"/>
      <c r="BJ393" s="364"/>
      <c r="BK393" s="364"/>
      <c r="BL393" s="364"/>
      <c r="BM393" s="384"/>
      <c r="BN393" s="364"/>
      <c r="BO393" s="364"/>
      <c r="BP393" s="364"/>
      <c r="BQ393" s="388"/>
      <c r="BR393" s="388"/>
      <c r="BS393" s="388"/>
      <c r="BT393" s="388"/>
      <c r="BU393" s="384"/>
      <c r="BV393" s="384"/>
      <c r="BW393" s="387"/>
      <c r="BX393" s="879"/>
      <c r="BY393" s="388"/>
      <c r="BZ393" s="388"/>
      <c r="CA393" s="388"/>
      <c r="CB393" s="387"/>
      <c r="CC393" s="387"/>
      <c r="CE393" s="2"/>
      <c r="CF393" s="2"/>
      <c r="CG393" s="2"/>
      <c r="CH393" s="2"/>
      <c r="CI393" s="2"/>
      <c r="CJ393" s="2"/>
      <c r="CK393" s="2"/>
      <c r="CL393" s="2"/>
      <c r="CM393" s="2"/>
      <c r="CN393" s="2"/>
      <c r="CO393" s="2"/>
      <c r="CP393" s="2"/>
      <c r="CQ393" s="2"/>
      <c r="CR393" s="2"/>
      <c r="CS393" s="364"/>
      <c r="CT393" s="364"/>
      <c r="CU393" s="364"/>
      <c r="CV393" s="407"/>
      <c r="CW393" s="407"/>
      <c r="CX393" s="407"/>
      <c r="CY393" s="407"/>
      <c r="CZ393" s="404"/>
      <c r="DA393" s="404"/>
      <c r="DB393" s="404"/>
      <c r="DC393" s="404"/>
      <c r="DD393" s="407"/>
      <c r="DE393" s="407"/>
      <c r="DF393" s="407"/>
      <c r="DG393" s="407"/>
      <c r="DH393" s="407"/>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row>
    <row r="394" spans="1:150" s="357" customFormat="1" ht="15">
      <c r="A394" s="364"/>
      <c r="B394" s="714"/>
      <c r="C394" s="364"/>
      <c r="D394" s="364"/>
      <c r="E394" s="678"/>
      <c r="F394" s="678"/>
      <c r="G394" s="678"/>
      <c r="H394" s="364"/>
      <c r="I394" s="364"/>
      <c r="J394" s="364"/>
      <c r="K394" s="364"/>
      <c r="L394" s="786"/>
      <c r="M394" s="364"/>
      <c r="N394" s="364"/>
      <c r="O394" s="364"/>
      <c r="P394" s="364"/>
      <c r="Q394" s="364"/>
      <c r="R394" s="364"/>
      <c r="S394" s="364"/>
      <c r="T394" s="364"/>
      <c r="U394" s="364"/>
      <c r="V394" s="365"/>
      <c r="W394" s="367"/>
      <c r="X394" s="3"/>
      <c r="Y394" s="366"/>
      <c r="Z394" s="678"/>
      <c r="AA394" s="796"/>
      <c r="AB394" s="796"/>
      <c r="AC394" s="705"/>
      <c r="AD394" s="705"/>
      <c r="AE394" s="705"/>
      <c r="AF394" s="362"/>
      <c r="AG394" s="362"/>
      <c r="AH394" s="362"/>
      <c r="AI394" s="362"/>
      <c r="AJ394" s="2"/>
      <c r="AK394" s="2"/>
      <c r="AL394" s="2"/>
      <c r="AM394" s="2"/>
      <c r="AN394" s="2"/>
      <c r="AO394" s="2"/>
      <c r="AP394" s="2"/>
      <c r="AQ394" s="364"/>
      <c r="AR394" s="577"/>
      <c r="AS394" s="364"/>
      <c r="AT394" s="577"/>
      <c r="AU394" s="364"/>
      <c r="AV394" s="364"/>
      <c r="AW394" s="364"/>
      <c r="AX394" s="364"/>
      <c r="AY394" s="577"/>
      <c r="AZ394" s="577"/>
      <c r="BA394" s="577"/>
      <c r="BB394" s="1088"/>
      <c r="BC394" s="364"/>
      <c r="BD394" s="364"/>
      <c r="BE394" s="577"/>
      <c r="BF394" s="364"/>
      <c r="BG394" s="384"/>
      <c r="BH394" s="577"/>
      <c r="BI394" s="364"/>
      <c r="BJ394" s="364"/>
      <c r="BK394" s="364"/>
      <c r="BL394" s="364"/>
      <c r="BM394" s="384"/>
      <c r="BN394" s="364"/>
      <c r="BO394" s="364"/>
      <c r="BP394" s="364"/>
      <c r="BQ394" s="388"/>
      <c r="BR394" s="388"/>
      <c r="BS394" s="388"/>
      <c r="BT394" s="388"/>
      <c r="BU394" s="384"/>
      <c r="BV394" s="384"/>
      <c r="BW394" s="387"/>
      <c r="BX394" s="879"/>
      <c r="BY394" s="388"/>
      <c r="BZ394" s="388"/>
      <c r="CA394" s="388"/>
      <c r="CB394" s="387"/>
      <c r="CC394" s="387"/>
      <c r="CE394" s="2"/>
      <c r="CF394" s="2"/>
      <c r="CG394" s="2"/>
      <c r="CH394" s="2"/>
      <c r="CI394" s="2"/>
      <c r="CJ394" s="2"/>
      <c r="CK394" s="2"/>
      <c r="CL394" s="2"/>
      <c r="CM394" s="2"/>
      <c r="CN394" s="2"/>
      <c r="CO394" s="2"/>
      <c r="CP394" s="2"/>
      <c r="CQ394" s="2"/>
      <c r="CR394" s="2"/>
      <c r="CS394" s="364"/>
      <c r="CT394" s="364"/>
      <c r="CU394" s="364"/>
      <c r="CV394" s="407"/>
      <c r="CW394" s="407"/>
      <c r="CX394" s="407"/>
      <c r="CY394" s="407"/>
      <c r="CZ394" s="404"/>
      <c r="DA394" s="404"/>
      <c r="DB394" s="404"/>
      <c r="DC394" s="404"/>
      <c r="DD394" s="407"/>
      <c r="DE394" s="407"/>
      <c r="DF394" s="407"/>
      <c r="DG394" s="407"/>
      <c r="DH394" s="407"/>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row>
    <row r="395" spans="1:150" s="357" customFormat="1" ht="15">
      <c r="A395" s="364"/>
      <c r="B395" s="714"/>
      <c r="C395" s="364"/>
      <c r="D395" s="364"/>
      <c r="E395" s="678"/>
      <c r="F395" s="678"/>
      <c r="G395" s="678"/>
      <c r="H395" s="364"/>
      <c r="I395" s="364"/>
      <c r="J395" s="364"/>
      <c r="K395" s="364"/>
      <c r="L395" s="786"/>
      <c r="M395" s="364"/>
      <c r="N395" s="364"/>
      <c r="O395" s="364"/>
      <c r="P395" s="364"/>
      <c r="Q395" s="364"/>
      <c r="R395" s="364"/>
      <c r="S395" s="364"/>
      <c r="T395" s="364"/>
      <c r="U395" s="364"/>
      <c r="V395" s="365"/>
      <c r="W395" s="367"/>
      <c r="X395" s="3"/>
      <c r="Y395" s="366"/>
      <c r="Z395" s="678"/>
      <c r="AA395" s="796"/>
      <c r="AB395" s="796"/>
      <c r="AC395" s="705"/>
      <c r="AD395" s="705"/>
      <c r="AE395" s="705"/>
      <c r="AF395" s="362"/>
      <c r="AG395" s="362"/>
      <c r="AH395" s="362"/>
      <c r="AI395" s="362"/>
      <c r="AJ395" s="2"/>
      <c r="AK395" s="2"/>
      <c r="AL395" s="2"/>
      <c r="AM395" s="2"/>
      <c r="AN395" s="2"/>
      <c r="AO395" s="2"/>
      <c r="AP395" s="2"/>
      <c r="AQ395" s="364"/>
      <c r="AR395" s="577"/>
      <c r="AS395" s="364"/>
      <c r="AT395" s="577"/>
      <c r="AU395" s="364"/>
      <c r="AV395" s="364"/>
      <c r="AW395" s="364"/>
      <c r="AX395" s="364"/>
      <c r="AY395" s="577"/>
      <c r="AZ395" s="577"/>
      <c r="BA395" s="577"/>
      <c r="BB395" s="1088"/>
      <c r="BC395" s="364"/>
      <c r="BD395" s="364"/>
      <c r="BE395" s="577"/>
      <c r="BF395" s="364"/>
      <c r="BG395" s="384"/>
      <c r="BH395" s="577"/>
      <c r="BI395" s="364"/>
      <c r="BJ395" s="364"/>
      <c r="BK395" s="364"/>
      <c r="BL395" s="364"/>
      <c r="BM395" s="384"/>
      <c r="BN395" s="364"/>
      <c r="BO395" s="364"/>
      <c r="BP395" s="364"/>
      <c r="BQ395" s="388"/>
      <c r="BR395" s="388"/>
      <c r="BS395" s="388"/>
      <c r="BT395" s="388"/>
      <c r="BU395" s="384"/>
      <c r="BV395" s="384"/>
      <c r="BW395" s="387"/>
      <c r="BX395" s="879"/>
      <c r="BY395" s="388"/>
      <c r="BZ395" s="388"/>
      <c r="CA395" s="388"/>
      <c r="CB395" s="387"/>
      <c r="CC395" s="387"/>
      <c r="CE395" s="2"/>
      <c r="CF395" s="2"/>
      <c r="CG395" s="2"/>
      <c r="CH395" s="2"/>
      <c r="CI395" s="2"/>
      <c r="CJ395" s="2"/>
      <c r="CK395" s="2"/>
      <c r="CL395" s="2"/>
      <c r="CM395" s="2"/>
      <c r="CN395" s="2"/>
      <c r="CO395" s="2"/>
      <c r="CP395" s="2"/>
      <c r="CQ395" s="2"/>
      <c r="CR395" s="2"/>
      <c r="CS395" s="364"/>
      <c r="CT395" s="364"/>
      <c r="CU395" s="364"/>
      <c r="CV395" s="407"/>
      <c r="CW395" s="407"/>
      <c r="CX395" s="407"/>
      <c r="CY395" s="407"/>
      <c r="CZ395" s="404"/>
      <c r="DA395" s="404"/>
      <c r="DB395" s="404"/>
      <c r="DC395" s="404"/>
      <c r="DD395" s="407"/>
      <c r="DE395" s="407"/>
      <c r="DF395" s="407"/>
      <c r="DG395" s="407"/>
      <c r="DH395" s="407"/>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row>
    <row r="396" spans="1:150" s="357" customFormat="1" ht="15">
      <c r="A396" s="364"/>
      <c r="B396" s="714"/>
      <c r="C396" s="364"/>
      <c r="D396" s="364"/>
      <c r="E396" s="678"/>
      <c r="F396" s="678"/>
      <c r="G396" s="678"/>
      <c r="H396" s="364"/>
      <c r="I396" s="364"/>
      <c r="J396" s="364"/>
      <c r="K396" s="364"/>
      <c r="L396" s="786"/>
      <c r="M396" s="364"/>
      <c r="N396" s="364"/>
      <c r="O396" s="364"/>
      <c r="P396" s="364"/>
      <c r="Q396" s="364"/>
      <c r="R396" s="364"/>
      <c r="S396" s="364"/>
      <c r="T396" s="364"/>
      <c r="U396" s="364"/>
      <c r="V396" s="365"/>
      <c r="W396" s="367"/>
      <c r="X396" s="3"/>
      <c r="Y396" s="366"/>
      <c r="Z396" s="678"/>
      <c r="AA396" s="796"/>
      <c r="AB396" s="796"/>
      <c r="AC396" s="705"/>
      <c r="AD396" s="705"/>
      <c r="AE396" s="705"/>
      <c r="AF396" s="362"/>
      <c r="AG396" s="362"/>
      <c r="AH396" s="362"/>
      <c r="AI396" s="362"/>
      <c r="AJ396" s="2"/>
      <c r="AK396" s="2"/>
      <c r="AL396" s="2"/>
      <c r="AM396" s="2"/>
      <c r="AN396" s="2"/>
      <c r="AO396" s="2"/>
      <c r="AP396" s="2"/>
      <c r="AQ396" s="364"/>
      <c r="AR396" s="577"/>
      <c r="AS396" s="364"/>
      <c r="AT396" s="577"/>
      <c r="AU396" s="364"/>
      <c r="AV396" s="364"/>
      <c r="AW396" s="364"/>
      <c r="AX396" s="364"/>
      <c r="AY396" s="577"/>
      <c r="AZ396" s="577"/>
      <c r="BA396" s="577"/>
      <c r="BB396" s="1088"/>
      <c r="BC396" s="364"/>
      <c r="BD396" s="364"/>
      <c r="BE396" s="577"/>
      <c r="BF396" s="364"/>
      <c r="BG396" s="384"/>
      <c r="BH396" s="577"/>
      <c r="BI396" s="364"/>
      <c r="BJ396" s="364"/>
      <c r="BK396" s="364"/>
      <c r="BL396" s="364"/>
      <c r="BM396" s="384"/>
      <c r="BN396" s="364"/>
      <c r="BO396" s="364"/>
      <c r="BP396" s="364"/>
      <c r="BQ396" s="388"/>
      <c r="BR396" s="388"/>
      <c r="BS396" s="388"/>
      <c r="BT396" s="388"/>
      <c r="BU396" s="384"/>
      <c r="BV396" s="384"/>
      <c r="BW396" s="387"/>
      <c r="BX396" s="879"/>
      <c r="BY396" s="388"/>
      <c r="BZ396" s="388"/>
      <c r="CA396" s="388"/>
      <c r="CB396" s="387"/>
      <c r="CC396" s="387"/>
      <c r="CE396" s="2"/>
      <c r="CF396" s="2"/>
      <c r="CG396" s="2"/>
      <c r="CH396" s="2"/>
      <c r="CI396" s="2"/>
      <c r="CJ396" s="2"/>
      <c r="CK396" s="2"/>
      <c r="CL396" s="2"/>
      <c r="CM396" s="2"/>
      <c r="CN396" s="2"/>
      <c r="CO396" s="2"/>
      <c r="CP396" s="2"/>
      <c r="CQ396" s="2"/>
      <c r="CR396" s="2"/>
      <c r="CS396" s="364"/>
      <c r="CT396" s="364"/>
      <c r="CU396" s="364"/>
      <c r="CV396" s="407"/>
      <c r="CW396" s="407"/>
      <c r="CX396" s="407"/>
      <c r="CY396" s="407"/>
      <c r="CZ396" s="404"/>
      <c r="DA396" s="404"/>
      <c r="DB396" s="404"/>
      <c r="DC396" s="404"/>
      <c r="DD396" s="407"/>
      <c r="DE396" s="407"/>
      <c r="DF396" s="407"/>
      <c r="DG396" s="407"/>
      <c r="DH396" s="407"/>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row>
    <row r="397" spans="1:150" s="357" customFormat="1" ht="15">
      <c r="A397" s="364"/>
      <c r="B397" s="714"/>
      <c r="C397" s="364"/>
      <c r="D397" s="364"/>
      <c r="E397" s="678"/>
      <c r="F397" s="678"/>
      <c r="G397" s="678"/>
      <c r="H397" s="364"/>
      <c r="I397" s="364"/>
      <c r="J397" s="364"/>
      <c r="K397" s="364"/>
      <c r="L397" s="786"/>
      <c r="M397" s="364"/>
      <c r="N397" s="364"/>
      <c r="O397" s="364"/>
      <c r="P397" s="364"/>
      <c r="Q397" s="364"/>
      <c r="R397" s="364"/>
      <c r="S397" s="364"/>
      <c r="T397" s="364"/>
      <c r="U397" s="364"/>
      <c r="V397" s="365"/>
      <c r="W397" s="367"/>
      <c r="X397" s="3"/>
      <c r="Y397" s="366"/>
      <c r="Z397" s="678"/>
      <c r="AA397" s="796"/>
      <c r="AB397" s="796"/>
      <c r="AC397" s="705"/>
      <c r="AD397" s="705"/>
      <c r="AE397" s="705"/>
      <c r="AF397" s="362"/>
      <c r="AG397" s="362"/>
      <c r="AH397" s="362"/>
      <c r="AI397" s="362"/>
      <c r="AJ397" s="2"/>
      <c r="AK397" s="2"/>
      <c r="AL397" s="2"/>
      <c r="AM397" s="2"/>
      <c r="AN397" s="2"/>
      <c r="AO397" s="2"/>
      <c r="AP397" s="2"/>
      <c r="AQ397" s="364"/>
      <c r="AR397" s="577"/>
      <c r="AS397" s="364"/>
      <c r="AT397" s="577"/>
      <c r="AU397" s="364"/>
      <c r="AV397" s="364"/>
      <c r="AW397" s="364"/>
      <c r="AX397" s="364"/>
      <c r="AY397" s="577"/>
      <c r="AZ397" s="577"/>
      <c r="BA397" s="577"/>
      <c r="BB397" s="1088"/>
      <c r="BC397" s="364"/>
      <c r="BD397" s="364"/>
      <c r="BE397" s="577"/>
      <c r="BF397" s="364"/>
      <c r="BG397" s="384"/>
      <c r="BH397" s="577"/>
      <c r="BI397" s="364"/>
      <c r="BJ397" s="364"/>
      <c r="BK397" s="364"/>
      <c r="BL397" s="364"/>
      <c r="BM397" s="384"/>
      <c r="BN397" s="364"/>
      <c r="BO397" s="364"/>
      <c r="BP397" s="364"/>
      <c r="BQ397" s="388"/>
      <c r="BR397" s="388"/>
      <c r="BS397" s="388"/>
      <c r="BT397" s="388"/>
      <c r="BU397" s="384"/>
      <c r="BV397" s="384"/>
      <c r="BW397" s="387"/>
      <c r="BX397" s="879"/>
      <c r="BY397" s="388"/>
      <c r="BZ397" s="388"/>
      <c r="CA397" s="388"/>
      <c r="CB397" s="387"/>
      <c r="CC397" s="387"/>
      <c r="CE397" s="2"/>
      <c r="CF397" s="2"/>
      <c r="CG397" s="2"/>
      <c r="CH397" s="2"/>
      <c r="CI397" s="2"/>
      <c r="CJ397" s="2"/>
      <c r="CK397" s="2"/>
      <c r="CL397" s="2"/>
      <c r="CM397" s="2"/>
      <c r="CN397" s="2"/>
      <c r="CO397" s="2"/>
      <c r="CP397" s="2"/>
      <c r="CQ397" s="2"/>
      <c r="CR397" s="2"/>
      <c r="CS397" s="364"/>
      <c r="CT397" s="364"/>
      <c r="CU397" s="364"/>
      <c r="CV397" s="407"/>
      <c r="CW397" s="407"/>
      <c r="CX397" s="407"/>
      <c r="CY397" s="407"/>
      <c r="CZ397" s="404"/>
      <c r="DA397" s="404"/>
      <c r="DB397" s="404"/>
      <c r="DC397" s="404"/>
      <c r="DD397" s="407"/>
      <c r="DE397" s="407"/>
      <c r="DF397" s="407"/>
      <c r="DG397" s="407"/>
      <c r="DH397" s="407"/>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row>
    <row r="398" spans="1:150" s="357" customFormat="1" ht="15">
      <c r="A398" s="364"/>
      <c r="B398" s="714"/>
      <c r="C398" s="364"/>
      <c r="D398" s="364"/>
      <c r="E398" s="678"/>
      <c r="F398" s="678"/>
      <c r="G398" s="678"/>
      <c r="H398" s="364"/>
      <c r="I398" s="364"/>
      <c r="J398" s="364"/>
      <c r="K398" s="364"/>
      <c r="L398" s="786"/>
      <c r="M398" s="364"/>
      <c r="N398" s="364"/>
      <c r="O398" s="364"/>
      <c r="P398" s="364"/>
      <c r="Q398" s="364"/>
      <c r="R398" s="364"/>
      <c r="S398" s="364"/>
      <c r="T398" s="364"/>
      <c r="U398" s="364"/>
      <c r="V398" s="365"/>
      <c r="W398" s="367"/>
      <c r="X398" s="3"/>
      <c r="Y398" s="366"/>
      <c r="Z398" s="678"/>
      <c r="AA398" s="796"/>
      <c r="AB398" s="796"/>
      <c r="AC398" s="705"/>
      <c r="AD398" s="705"/>
      <c r="AE398" s="705"/>
      <c r="AF398" s="362"/>
      <c r="AG398" s="362"/>
      <c r="AH398" s="362"/>
      <c r="AI398" s="362"/>
      <c r="AJ398" s="2"/>
      <c r="AK398" s="2"/>
      <c r="AL398" s="2"/>
      <c r="AM398" s="2"/>
      <c r="AN398" s="2"/>
      <c r="AO398" s="2"/>
      <c r="AP398" s="2"/>
      <c r="AQ398" s="364"/>
      <c r="AR398" s="577"/>
      <c r="AS398" s="364"/>
      <c r="AT398" s="577"/>
      <c r="AU398" s="364"/>
      <c r="AV398" s="364"/>
      <c r="AW398" s="364"/>
      <c r="AX398" s="364"/>
      <c r="AY398" s="577"/>
      <c r="AZ398" s="577"/>
      <c r="BA398" s="577"/>
      <c r="BB398" s="1088"/>
      <c r="BC398" s="364"/>
      <c r="BD398" s="364"/>
      <c r="BE398" s="577"/>
      <c r="BF398" s="364"/>
      <c r="BG398" s="384"/>
      <c r="BH398" s="577"/>
      <c r="BI398" s="364"/>
      <c r="BJ398" s="364"/>
      <c r="BK398" s="364"/>
      <c r="BL398" s="364"/>
      <c r="BM398" s="384"/>
      <c r="BN398" s="364"/>
      <c r="BO398" s="364"/>
      <c r="BP398" s="364"/>
      <c r="BQ398" s="388"/>
      <c r="BR398" s="388"/>
      <c r="BS398" s="388"/>
      <c r="BT398" s="388"/>
      <c r="BU398" s="384"/>
      <c r="BV398" s="384"/>
      <c r="BW398" s="387"/>
      <c r="BX398" s="879"/>
      <c r="BY398" s="388"/>
      <c r="BZ398" s="388"/>
      <c r="CA398" s="388"/>
      <c r="CB398" s="387"/>
      <c r="CC398" s="387"/>
      <c r="CE398" s="2"/>
      <c r="CF398" s="2"/>
      <c r="CG398" s="2"/>
      <c r="CH398" s="2"/>
      <c r="CI398" s="2"/>
      <c r="CJ398" s="2"/>
      <c r="CK398" s="2"/>
      <c r="CL398" s="2"/>
      <c r="CM398" s="2"/>
      <c r="CN398" s="2"/>
      <c r="CO398" s="2"/>
      <c r="CP398" s="2"/>
      <c r="CQ398" s="2"/>
      <c r="CR398" s="2"/>
      <c r="CS398" s="364"/>
      <c r="CT398" s="364"/>
      <c r="CU398" s="364"/>
      <c r="CV398" s="407"/>
      <c r="CW398" s="407"/>
      <c r="CX398" s="407"/>
      <c r="CY398" s="407"/>
      <c r="CZ398" s="404"/>
      <c r="DA398" s="404"/>
      <c r="DB398" s="404"/>
      <c r="DC398" s="404"/>
      <c r="DD398" s="407"/>
      <c r="DE398" s="407"/>
      <c r="DF398" s="407"/>
      <c r="DG398" s="407"/>
      <c r="DH398" s="407"/>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row>
    <row r="399" spans="1:150" s="357" customFormat="1" ht="15">
      <c r="A399" s="364"/>
      <c r="B399" s="714"/>
      <c r="C399" s="364"/>
      <c r="D399" s="364"/>
      <c r="E399" s="678"/>
      <c r="F399" s="678"/>
      <c r="G399" s="678"/>
      <c r="H399" s="364"/>
      <c r="I399" s="364"/>
      <c r="J399" s="364"/>
      <c r="K399" s="364"/>
      <c r="L399" s="786"/>
      <c r="M399" s="364"/>
      <c r="N399" s="364"/>
      <c r="O399" s="364"/>
      <c r="P399" s="364"/>
      <c r="Q399" s="364"/>
      <c r="R399" s="364"/>
      <c r="S399" s="364"/>
      <c r="T399" s="364"/>
      <c r="U399" s="364"/>
      <c r="V399" s="365"/>
      <c r="W399" s="367"/>
      <c r="X399" s="3"/>
      <c r="Y399" s="366"/>
      <c r="Z399" s="678"/>
      <c r="AA399" s="796"/>
      <c r="AB399" s="796"/>
      <c r="AC399" s="705"/>
      <c r="AD399" s="705"/>
      <c r="AE399" s="705"/>
      <c r="AF399" s="362"/>
      <c r="AG399" s="362"/>
      <c r="AH399" s="362"/>
      <c r="AI399" s="362"/>
      <c r="AJ399" s="2"/>
      <c r="AK399" s="2"/>
      <c r="AL399" s="2"/>
      <c r="AM399" s="2"/>
      <c r="AN399" s="2"/>
      <c r="AO399" s="2"/>
      <c r="AP399" s="2"/>
      <c r="AQ399" s="364"/>
      <c r="AR399" s="577"/>
      <c r="AS399" s="364"/>
      <c r="AT399" s="577"/>
      <c r="AU399" s="364"/>
      <c r="AV399" s="364"/>
      <c r="AW399" s="364"/>
      <c r="AX399" s="364"/>
      <c r="AY399" s="577"/>
      <c r="AZ399" s="577"/>
      <c r="BA399" s="577"/>
      <c r="BB399" s="1088"/>
      <c r="BC399" s="364"/>
      <c r="BD399" s="364"/>
      <c r="BE399" s="577"/>
      <c r="BF399" s="364"/>
      <c r="BG399" s="384"/>
      <c r="BH399" s="577"/>
      <c r="BI399" s="364"/>
      <c r="BJ399" s="364"/>
      <c r="BK399" s="364"/>
      <c r="BL399" s="364"/>
      <c r="BM399" s="384"/>
      <c r="BN399" s="364"/>
      <c r="BO399" s="364"/>
      <c r="BP399" s="364"/>
      <c r="BQ399" s="388"/>
      <c r="BR399" s="388"/>
      <c r="BS399" s="388"/>
      <c r="BT399" s="388"/>
      <c r="BU399" s="384"/>
      <c r="BV399" s="384"/>
      <c r="BW399" s="387"/>
      <c r="BX399" s="387"/>
      <c r="BY399" s="388"/>
      <c r="BZ399" s="388"/>
      <c r="CA399" s="388"/>
      <c r="CB399" s="387"/>
      <c r="CC399" s="387"/>
      <c r="CE399" s="2"/>
      <c r="CF399" s="2"/>
      <c r="CG399" s="2"/>
      <c r="CH399" s="2"/>
      <c r="CI399" s="2"/>
      <c r="CJ399" s="2"/>
      <c r="CK399" s="2"/>
      <c r="CL399" s="2"/>
      <c r="CM399" s="2"/>
      <c r="CN399" s="2"/>
      <c r="CO399" s="2"/>
      <c r="CP399" s="2"/>
      <c r="CQ399" s="2"/>
      <c r="CR399" s="2"/>
      <c r="CS399" s="364"/>
      <c r="CT399" s="364"/>
      <c r="CU399" s="364"/>
      <c r="CV399" s="407"/>
      <c r="CW399" s="407"/>
      <c r="CX399" s="407"/>
      <c r="CY399" s="407"/>
      <c r="CZ399" s="404"/>
      <c r="DA399" s="404"/>
      <c r="DB399" s="404"/>
      <c r="DC399" s="404"/>
      <c r="DD399" s="407"/>
      <c r="DE399" s="407"/>
      <c r="DF399" s="407"/>
      <c r="DG399" s="407"/>
      <c r="DH399" s="407"/>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row>
    <row r="400" spans="1:150" s="357" customFormat="1" ht="15">
      <c r="A400" s="364"/>
      <c r="B400" s="714"/>
      <c r="C400" s="364"/>
      <c r="D400" s="364"/>
      <c r="E400" s="678"/>
      <c r="F400" s="678"/>
      <c r="G400" s="678"/>
      <c r="H400" s="364"/>
      <c r="I400" s="364"/>
      <c r="J400" s="364"/>
      <c r="K400" s="364"/>
      <c r="L400" s="786"/>
      <c r="M400" s="364"/>
      <c r="N400" s="364"/>
      <c r="O400" s="364"/>
      <c r="P400" s="364"/>
      <c r="Q400" s="364"/>
      <c r="R400" s="364"/>
      <c r="S400" s="364"/>
      <c r="T400" s="364"/>
      <c r="U400" s="364"/>
      <c r="V400" s="365"/>
      <c r="W400" s="367"/>
      <c r="X400" s="3"/>
      <c r="Y400" s="366"/>
      <c r="Z400" s="678"/>
      <c r="AA400" s="796"/>
      <c r="AB400" s="796"/>
      <c r="AC400" s="705"/>
      <c r="AD400" s="705"/>
      <c r="AE400" s="705"/>
      <c r="AF400" s="362"/>
      <c r="AG400" s="362"/>
      <c r="AH400" s="362"/>
      <c r="AI400" s="362"/>
      <c r="AJ400" s="2"/>
      <c r="AK400" s="2"/>
      <c r="AL400" s="2"/>
      <c r="AM400" s="2"/>
      <c r="AN400" s="2"/>
      <c r="AO400" s="2"/>
      <c r="AP400" s="2"/>
      <c r="AQ400" s="364"/>
      <c r="AR400" s="577"/>
      <c r="AS400" s="364"/>
      <c r="AT400" s="577"/>
      <c r="AU400" s="364"/>
      <c r="AV400" s="364"/>
      <c r="AW400" s="364"/>
      <c r="AX400" s="364"/>
      <c r="AY400" s="577"/>
      <c r="AZ400" s="577"/>
      <c r="BA400" s="577"/>
      <c r="BB400" s="1088"/>
      <c r="BC400" s="364"/>
      <c r="BD400" s="364"/>
      <c r="BE400" s="577"/>
      <c r="BF400" s="364"/>
      <c r="BG400" s="384"/>
      <c r="BH400" s="577"/>
      <c r="BI400" s="364"/>
      <c r="BJ400" s="364"/>
      <c r="BK400" s="364"/>
      <c r="BL400" s="364"/>
      <c r="BM400" s="384"/>
      <c r="BN400" s="364"/>
      <c r="BO400" s="364"/>
      <c r="BP400" s="364"/>
      <c r="BQ400" s="388"/>
      <c r="BR400" s="388"/>
      <c r="BS400" s="388"/>
      <c r="BT400" s="388"/>
      <c r="BU400" s="384"/>
      <c r="BV400" s="384"/>
      <c r="BW400" s="387"/>
      <c r="BX400" s="387"/>
      <c r="BY400" s="388"/>
      <c r="BZ400" s="388"/>
      <c r="CA400" s="388"/>
      <c r="CB400" s="387"/>
      <c r="CC400" s="387"/>
      <c r="CE400" s="2"/>
      <c r="CF400" s="2"/>
      <c r="CG400" s="2"/>
      <c r="CH400" s="2"/>
      <c r="CI400" s="2"/>
      <c r="CJ400" s="2"/>
      <c r="CK400" s="2"/>
      <c r="CL400" s="2"/>
      <c r="CM400" s="2"/>
      <c r="CN400" s="2"/>
      <c r="CO400" s="2"/>
      <c r="CP400" s="2"/>
      <c r="CQ400" s="2"/>
      <c r="CR400" s="2"/>
      <c r="CS400" s="364"/>
      <c r="CT400" s="364"/>
      <c r="CU400" s="364"/>
      <c r="CV400" s="407"/>
      <c r="CW400" s="407"/>
      <c r="CX400" s="407"/>
      <c r="CY400" s="407"/>
      <c r="CZ400" s="404"/>
      <c r="DA400" s="404"/>
      <c r="DB400" s="404"/>
      <c r="DC400" s="404"/>
      <c r="DD400" s="407"/>
      <c r="DE400" s="407"/>
      <c r="DF400" s="407"/>
      <c r="DG400" s="407"/>
      <c r="DH400" s="407"/>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row>
    <row r="401" spans="1:150" s="357" customFormat="1" ht="15">
      <c r="A401" s="364"/>
      <c r="B401" s="714"/>
      <c r="C401" s="364"/>
      <c r="D401" s="364"/>
      <c r="E401" s="678"/>
      <c r="F401" s="678"/>
      <c r="G401" s="678"/>
      <c r="H401" s="364"/>
      <c r="I401" s="364"/>
      <c r="J401" s="364"/>
      <c r="K401" s="364"/>
      <c r="L401" s="786"/>
      <c r="M401" s="364"/>
      <c r="N401" s="364"/>
      <c r="O401" s="364"/>
      <c r="P401" s="364"/>
      <c r="Q401" s="364"/>
      <c r="R401" s="364"/>
      <c r="S401" s="364"/>
      <c r="T401" s="364"/>
      <c r="U401" s="364"/>
      <c r="V401" s="365"/>
      <c r="W401" s="367"/>
      <c r="X401" s="3"/>
      <c r="Y401" s="366"/>
      <c r="Z401" s="678"/>
      <c r="AA401" s="796"/>
      <c r="AB401" s="796"/>
      <c r="AC401" s="705"/>
      <c r="AD401" s="705"/>
      <c r="AE401" s="705"/>
      <c r="AF401" s="362"/>
      <c r="AG401" s="362"/>
      <c r="AH401" s="362"/>
      <c r="AI401" s="362"/>
      <c r="AJ401" s="2"/>
      <c r="AK401" s="2"/>
      <c r="AL401" s="2"/>
      <c r="AM401" s="2"/>
      <c r="AN401" s="2"/>
      <c r="AO401" s="2"/>
      <c r="AP401" s="2"/>
      <c r="AQ401" s="364"/>
      <c r="AR401" s="577"/>
      <c r="AS401" s="364"/>
      <c r="AT401" s="577"/>
      <c r="AU401" s="364"/>
      <c r="AV401" s="364"/>
      <c r="AW401" s="364"/>
      <c r="AX401" s="364"/>
      <c r="AY401" s="577"/>
      <c r="AZ401" s="577"/>
      <c r="BA401" s="577"/>
      <c r="BB401" s="1088"/>
      <c r="BC401" s="364"/>
      <c r="BD401" s="364"/>
      <c r="BE401" s="577"/>
      <c r="BF401" s="364"/>
      <c r="BG401" s="384"/>
      <c r="BH401" s="577"/>
      <c r="BI401" s="364"/>
      <c r="BJ401" s="364"/>
      <c r="BK401" s="364"/>
      <c r="BL401" s="364"/>
      <c r="BM401" s="384"/>
      <c r="BN401" s="364"/>
      <c r="BO401" s="364"/>
      <c r="BP401" s="364"/>
      <c r="BQ401" s="388"/>
      <c r="BR401" s="388"/>
      <c r="BS401" s="388"/>
      <c r="BT401" s="388"/>
      <c r="BU401" s="384"/>
      <c r="BV401" s="384"/>
      <c r="BW401" s="387"/>
      <c r="BX401" s="387"/>
      <c r="BY401" s="388"/>
      <c r="BZ401" s="388"/>
      <c r="CA401" s="388"/>
      <c r="CB401" s="387"/>
      <c r="CC401" s="387"/>
      <c r="CE401" s="2"/>
      <c r="CF401" s="2"/>
      <c r="CG401" s="2"/>
      <c r="CH401" s="2"/>
      <c r="CI401" s="2"/>
      <c r="CJ401" s="2"/>
      <c r="CK401" s="2"/>
      <c r="CL401" s="2"/>
      <c r="CM401" s="2"/>
      <c r="CN401" s="2"/>
      <c r="CO401" s="2"/>
      <c r="CP401" s="2"/>
      <c r="CQ401" s="2"/>
      <c r="CR401" s="2"/>
      <c r="CS401" s="364"/>
      <c r="CT401" s="364"/>
      <c r="CU401" s="364"/>
      <c r="CV401" s="407"/>
      <c r="CW401" s="407"/>
      <c r="CX401" s="407"/>
      <c r="CY401" s="407"/>
      <c r="CZ401" s="404"/>
      <c r="DA401" s="404"/>
      <c r="DB401" s="404"/>
      <c r="DC401" s="404"/>
      <c r="DD401" s="407"/>
      <c r="DE401" s="407"/>
      <c r="DF401" s="407"/>
      <c r="DG401" s="407"/>
      <c r="DH401" s="407"/>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row>
    <row r="402" spans="1:150" s="357" customFormat="1" ht="15">
      <c r="A402" s="364"/>
      <c r="B402" s="714"/>
      <c r="C402" s="364"/>
      <c r="D402" s="364"/>
      <c r="E402" s="678"/>
      <c r="F402" s="678"/>
      <c r="G402" s="678"/>
      <c r="H402" s="364"/>
      <c r="I402" s="364"/>
      <c r="J402" s="364"/>
      <c r="K402" s="364"/>
      <c r="L402" s="786"/>
      <c r="M402" s="364"/>
      <c r="N402" s="364"/>
      <c r="O402" s="364"/>
      <c r="P402" s="364"/>
      <c r="Q402" s="364"/>
      <c r="R402" s="364"/>
      <c r="S402" s="364"/>
      <c r="T402" s="364"/>
      <c r="U402" s="364"/>
      <c r="V402" s="365"/>
      <c r="W402" s="367"/>
      <c r="X402" s="3"/>
      <c r="Y402" s="366"/>
      <c r="Z402" s="678"/>
      <c r="AA402" s="796"/>
      <c r="AB402" s="796"/>
      <c r="AC402" s="705"/>
      <c r="AD402" s="705"/>
      <c r="AE402" s="705"/>
      <c r="AF402" s="362"/>
      <c r="AG402" s="362"/>
      <c r="AH402" s="362"/>
      <c r="AI402" s="362"/>
      <c r="AJ402" s="2"/>
      <c r="AK402" s="2"/>
      <c r="AL402" s="2"/>
      <c r="AM402" s="2"/>
      <c r="AN402" s="2"/>
      <c r="AO402" s="2"/>
      <c r="AP402" s="2"/>
      <c r="AQ402" s="364"/>
      <c r="AR402" s="577"/>
      <c r="AS402" s="364"/>
      <c r="AT402" s="577"/>
      <c r="AU402" s="364"/>
      <c r="AV402" s="364"/>
      <c r="AW402" s="364"/>
      <c r="AX402" s="364"/>
      <c r="AY402" s="577"/>
      <c r="AZ402" s="577"/>
      <c r="BA402" s="577"/>
      <c r="BB402" s="1088"/>
      <c r="BC402" s="364"/>
      <c r="BD402" s="364"/>
      <c r="BE402" s="577"/>
      <c r="BF402" s="364"/>
      <c r="BG402" s="384"/>
      <c r="BH402" s="577"/>
      <c r="BI402" s="364"/>
      <c r="BJ402" s="364"/>
      <c r="BK402" s="364"/>
      <c r="BL402" s="364"/>
      <c r="BM402" s="384"/>
      <c r="BN402" s="364"/>
      <c r="BO402" s="364"/>
      <c r="BP402" s="364"/>
      <c r="BQ402" s="388"/>
      <c r="BR402" s="388"/>
      <c r="BS402" s="388"/>
      <c r="BT402" s="388"/>
      <c r="BU402" s="384"/>
      <c r="BV402" s="384"/>
      <c r="BW402" s="387"/>
      <c r="BX402" s="387"/>
      <c r="BY402" s="388"/>
      <c r="BZ402" s="388"/>
      <c r="CA402" s="388"/>
      <c r="CB402" s="387"/>
      <c r="CC402" s="387"/>
      <c r="CE402" s="2"/>
      <c r="CF402" s="2"/>
      <c r="CG402" s="2"/>
      <c r="CH402" s="2"/>
      <c r="CI402" s="2"/>
      <c r="CJ402" s="2"/>
      <c r="CK402" s="2"/>
      <c r="CL402" s="2"/>
      <c r="CM402" s="2"/>
      <c r="CN402" s="2"/>
      <c r="CO402" s="2"/>
      <c r="CP402" s="2"/>
      <c r="CQ402" s="2"/>
      <c r="CR402" s="2"/>
      <c r="CS402" s="364"/>
      <c r="CT402" s="364"/>
      <c r="CU402" s="364"/>
      <c r="CV402" s="407"/>
      <c r="CW402" s="407"/>
      <c r="CX402" s="407"/>
      <c r="CY402" s="407"/>
      <c r="CZ402" s="404"/>
      <c r="DA402" s="404"/>
      <c r="DB402" s="404"/>
      <c r="DC402" s="404"/>
      <c r="DD402" s="407"/>
      <c r="DE402" s="407"/>
      <c r="DF402" s="407"/>
      <c r="DG402" s="407"/>
      <c r="DH402" s="407"/>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row>
    <row r="403" spans="1:150" s="357" customFormat="1" ht="15">
      <c r="A403" s="364"/>
      <c r="B403" s="714"/>
      <c r="C403" s="364"/>
      <c r="D403" s="364"/>
      <c r="E403" s="678"/>
      <c r="F403" s="678"/>
      <c r="G403" s="678"/>
      <c r="H403" s="364"/>
      <c r="I403" s="364"/>
      <c r="J403" s="364"/>
      <c r="K403" s="364"/>
      <c r="L403" s="786"/>
      <c r="M403" s="364"/>
      <c r="N403" s="364"/>
      <c r="O403" s="364"/>
      <c r="P403" s="364"/>
      <c r="Q403" s="364"/>
      <c r="R403" s="364"/>
      <c r="S403" s="364"/>
      <c r="T403" s="364"/>
      <c r="U403" s="364"/>
      <c r="V403" s="365"/>
      <c r="W403" s="367"/>
      <c r="X403" s="3"/>
      <c r="Y403" s="366"/>
      <c r="Z403" s="678"/>
      <c r="AA403" s="796"/>
      <c r="AB403" s="796"/>
      <c r="AC403" s="705"/>
      <c r="AD403" s="705"/>
      <c r="AE403" s="705"/>
      <c r="AF403" s="362"/>
      <c r="AG403" s="362"/>
      <c r="AH403" s="362"/>
      <c r="AI403" s="362"/>
      <c r="AJ403" s="2"/>
      <c r="AK403" s="2"/>
      <c r="AL403" s="2"/>
      <c r="AM403" s="2"/>
      <c r="AN403" s="2"/>
      <c r="AO403" s="2"/>
      <c r="AP403" s="2"/>
      <c r="AQ403" s="364"/>
      <c r="AR403" s="577"/>
      <c r="AS403" s="364"/>
      <c r="AT403" s="577"/>
      <c r="AU403" s="364"/>
      <c r="AV403" s="364"/>
      <c r="AW403" s="364"/>
      <c r="AX403" s="364"/>
      <c r="AY403" s="577"/>
      <c r="AZ403" s="577"/>
      <c r="BA403" s="577"/>
      <c r="BB403" s="1088"/>
      <c r="BC403" s="364"/>
      <c r="BD403" s="364"/>
      <c r="BE403" s="577"/>
      <c r="BF403" s="364"/>
      <c r="BG403" s="384"/>
      <c r="BH403" s="577"/>
      <c r="BI403" s="364"/>
      <c r="BJ403" s="364"/>
      <c r="BK403" s="364"/>
      <c r="BL403" s="364"/>
      <c r="BM403" s="384"/>
      <c r="BN403" s="364"/>
      <c r="BO403" s="364"/>
      <c r="BP403" s="364"/>
      <c r="BQ403" s="388"/>
      <c r="BR403" s="388"/>
      <c r="BS403" s="388"/>
      <c r="BT403" s="388"/>
      <c r="BU403" s="384"/>
      <c r="BV403" s="384"/>
      <c r="BW403" s="387"/>
      <c r="BX403" s="387"/>
      <c r="BY403" s="388"/>
      <c r="BZ403" s="388"/>
      <c r="CA403" s="388"/>
      <c r="CB403" s="387"/>
      <c r="CC403" s="387"/>
      <c r="CE403" s="2"/>
      <c r="CF403" s="2"/>
      <c r="CG403" s="2"/>
      <c r="CH403" s="2"/>
      <c r="CI403" s="2"/>
      <c r="CJ403" s="2"/>
      <c r="CK403" s="2"/>
      <c r="CL403" s="2"/>
      <c r="CM403" s="2"/>
      <c r="CN403" s="2"/>
      <c r="CO403" s="2"/>
      <c r="CP403" s="2"/>
      <c r="CQ403" s="2"/>
      <c r="CR403" s="2"/>
      <c r="CS403" s="364"/>
      <c r="CT403" s="364"/>
      <c r="CU403" s="364"/>
      <c r="CV403" s="407"/>
      <c r="CW403" s="407"/>
      <c r="CX403" s="407"/>
      <c r="CY403" s="407"/>
      <c r="CZ403" s="404"/>
      <c r="DA403" s="404"/>
      <c r="DB403" s="404"/>
      <c r="DC403" s="404"/>
      <c r="DD403" s="407"/>
      <c r="DE403" s="407"/>
      <c r="DF403" s="407"/>
      <c r="DG403" s="407"/>
      <c r="DH403" s="407"/>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row>
    <row r="404" spans="1:150" s="357" customFormat="1" ht="15">
      <c r="A404" s="364"/>
      <c r="B404" s="714"/>
      <c r="C404" s="364"/>
      <c r="D404" s="364"/>
      <c r="E404" s="678"/>
      <c r="F404" s="678"/>
      <c r="G404" s="678"/>
      <c r="H404" s="364"/>
      <c r="I404" s="364"/>
      <c r="J404" s="364"/>
      <c r="K404" s="364"/>
      <c r="L404" s="786"/>
      <c r="M404" s="364"/>
      <c r="N404" s="364"/>
      <c r="O404" s="364"/>
      <c r="P404" s="364"/>
      <c r="Q404" s="364"/>
      <c r="R404" s="364"/>
      <c r="S404" s="364"/>
      <c r="T404" s="364"/>
      <c r="U404" s="364"/>
      <c r="V404" s="365"/>
      <c r="W404" s="367"/>
      <c r="X404" s="3"/>
      <c r="Y404" s="366"/>
      <c r="Z404" s="678"/>
      <c r="AA404" s="796"/>
      <c r="AB404" s="796"/>
      <c r="AC404" s="705"/>
      <c r="AD404" s="705"/>
      <c r="AE404" s="705"/>
      <c r="AF404" s="362"/>
      <c r="AG404" s="362"/>
      <c r="AH404" s="362"/>
      <c r="AI404" s="362"/>
      <c r="AJ404" s="2"/>
      <c r="AK404" s="2"/>
      <c r="AL404" s="2"/>
      <c r="AM404" s="2"/>
      <c r="AN404" s="2"/>
      <c r="AO404" s="2"/>
      <c r="AP404" s="2"/>
      <c r="AQ404" s="364"/>
      <c r="AR404" s="577"/>
      <c r="AS404" s="364"/>
      <c r="AT404" s="577"/>
      <c r="AU404" s="364"/>
      <c r="AV404" s="364"/>
      <c r="AW404" s="364"/>
      <c r="AX404" s="364"/>
      <c r="AY404" s="577"/>
      <c r="AZ404" s="577"/>
      <c r="BA404" s="577"/>
      <c r="BB404" s="1088"/>
      <c r="BC404" s="364"/>
      <c r="BD404" s="364"/>
      <c r="BE404" s="577"/>
      <c r="BF404" s="364"/>
      <c r="BG404" s="384"/>
      <c r="BH404" s="577"/>
      <c r="BI404" s="364"/>
      <c r="BJ404" s="364"/>
      <c r="BK404" s="364"/>
      <c r="BL404" s="364"/>
      <c r="BM404" s="384"/>
      <c r="BN404" s="364"/>
      <c r="BO404" s="364"/>
      <c r="BP404" s="364"/>
      <c r="BQ404" s="388"/>
      <c r="BR404" s="388"/>
      <c r="BS404" s="388"/>
      <c r="BT404" s="388"/>
      <c r="BU404" s="384"/>
      <c r="BV404" s="384"/>
      <c r="BW404" s="387"/>
      <c r="BX404" s="387"/>
      <c r="BY404" s="388"/>
      <c r="BZ404" s="388"/>
      <c r="CA404" s="388"/>
      <c r="CB404" s="387"/>
      <c r="CC404" s="387"/>
      <c r="CE404" s="2"/>
      <c r="CF404" s="2"/>
      <c r="CG404" s="2"/>
      <c r="CH404" s="2"/>
      <c r="CI404" s="2"/>
      <c r="CJ404" s="2"/>
      <c r="CK404" s="2"/>
      <c r="CL404" s="2"/>
      <c r="CM404" s="2"/>
      <c r="CN404" s="2"/>
      <c r="CO404" s="2"/>
      <c r="CP404" s="2"/>
      <c r="CQ404" s="2"/>
      <c r="CR404" s="2"/>
      <c r="CS404" s="364"/>
      <c r="CT404" s="364"/>
      <c r="CU404" s="364"/>
      <c r="CV404" s="407"/>
      <c r="CW404" s="407"/>
      <c r="CX404" s="407"/>
      <c r="CY404" s="407"/>
      <c r="CZ404" s="404"/>
      <c r="DA404" s="404"/>
      <c r="DB404" s="404"/>
      <c r="DC404" s="404"/>
      <c r="DD404" s="407"/>
      <c r="DE404" s="407"/>
      <c r="DF404" s="407"/>
      <c r="DG404" s="407"/>
      <c r="DH404" s="407"/>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row>
    <row r="405" spans="1:150" s="357" customFormat="1" ht="15">
      <c r="A405" s="364"/>
      <c r="B405" s="714"/>
      <c r="C405" s="364"/>
      <c r="D405" s="364"/>
      <c r="E405" s="678"/>
      <c r="F405" s="678"/>
      <c r="G405" s="678"/>
      <c r="H405" s="364"/>
      <c r="I405" s="364"/>
      <c r="J405" s="364"/>
      <c r="K405" s="364"/>
      <c r="L405" s="786"/>
      <c r="M405" s="364"/>
      <c r="N405" s="364"/>
      <c r="O405" s="364"/>
      <c r="P405" s="364"/>
      <c r="Q405" s="364"/>
      <c r="R405" s="364"/>
      <c r="S405" s="364"/>
      <c r="T405" s="364"/>
      <c r="U405" s="364"/>
      <c r="V405" s="365"/>
      <c r="W405" s="367"/>
      <c r="X405" s="3"/>
      <c r="Y405" s="366"/>
      <c r="Z405" s="678"/>
      <c r="AA405" s="796"/>
      <c r="AB405" s="796"/>
      <c r="AC405" s="705"/>
      <c r="AD405" s="705"/>
      <c r="AE405" s="705"/>
      <c r="AF405" s="362"/>
      <c r="AG405" s="362"/>
      <c r="AH405" s="362"/>
      <c r="AI405" s="362"/>
      <c r="AJ405" s="2"/>
      <c r="AK405" s="2"/>
      <c r="AL405" s="2"/>
      <c r="AM405" s="2"/>
      <c r="AN405" s="2"/>
      <c r="AO405" s="2"/>
      <c r="AP405" s="2"/>
      <c r="AQ405" s="364"/>
      <c r="AR405" s="577"/>
      <c r="AS405" s="364"/>
      <c r="AT405" s="577"/>
      <c r="AU405" s="364"/>
      <c r="AV405" s="364"/>
      <c r="AW405" s="364"/>
      <c r="AX405" s="364"/>
      <c r="AY405" s="577"/>
      <c r="AZ405" s="577"/>
      <c r="BA405" s="577"/>
      <c r="BB405" s="1088"/>
      <c r="BC405" s="364"/>
      <c r="BD405" s="364"/>
      <c r="BE405" s="577"/>
      <c r="BF405" s="364"/>
      <c r="BG405" s="384"/>
      <c r="BH405" s="577"/>
      <c r="BI405" s="364"/>
      <c r="BJ405" s="364"/>
      <c r="BK405" s="364"/>
      <c r="BL405" s="364"/>
      <c r="BM405" s="384"/>
      <c r="BN405" s="364"/>
      <c r="BO405" s="364"/>
      <c r="BP405" s="364"/>
      <c r="BQ405" s="388"/>
      <c r="BR405" s="388"/>
      <c r="BS405" s="388"/>
      <c r="BT405" s="388"/>
      <c r="BU405" s="384"/>
      <c r="BV405" s="384"/>
      <c r="BW405" s="387"/>
      <c r="BX405" s="387"/>
      <c r="BY405" s="388"/>
      <c r="BZ405" s="388"/>
      <c r="CA405" s="388"/>
      <c r="CB405" s="387"/>
      <c r="CC405" s="387"/>
      <c r="CE405" s="2"/>
      <c r="CF405" s="2"/>
      <c r="CG405" s="2"/>
      <c r="CH405" s="2"/>
      <c r="CI405" s="2"/>
      <c r="CJ405" s="2"/>
      <c r="CK405" s="2"/>
      <c r="CL405" s="2"/>
      <c r="CM405" s="2"/>
      <c r="CN405" s="2"/>
      <c r="CO405" s="2"/>
      <c r="CP405" s="2"/>
      <c r="CQ405" s="2"/>
      <c r="CR405" s="2"/>
      <c r="CS405" s="364"/>
      <c r="CT405" s="364"/>
      <c r="CU405" s="364"/>
      <c r="CV405" s="407"/>
      <c r="CW405" s="407"/>
      <c r="CX405" s="407"/>
      <c r="CY405" s="407"/>
      <c r="CZ405" s="404"/>
      <c r="DA405" s="404"/>
      <c r="DB405" s="404"/>
      <c r="DC405" s="404"/>
      <c r="DD405" s="407"/>
      <c r="DE405" s="407"/>
      <c r="DF405" s="407"/>
      <c r="DG405" s="407"/>
      <c r="DH405" s="407"/>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row>
    <row r="406" spans="1:150" s="357" customFormat="1" ht="15">
      <c r="A406" s="364"/>
      <c r="B406" s="714"/>
      <c r="C406" s="364"/>
      <c r="D406" s="364"/>
      <c r="E406" s="678"/>
      <c r="F406" s="678"/>
      <c r="G406" s="678"/>
      <c r="H406" s="364"/>
      <c r="I406" s="364"/>
      <c r="J406" s="364"/>
      <c r="K406" s="364"/>
      <c r="L406" s="786"/>
      <c r="M406" s="364"/>
      <c r="N406" s="364"/>
      <c r="O406" s="364"/>
      <c r="P406" s="364"/>
      <c r="Q406" s="364"/>
      <c r="R406" s="364"/>
      <c r="S406" s="364"/>
      <c r="T406" s="364"/>
      <c r="U406" s="364"/>
      <c r="V406" s="365"/>
      <c r="W406" s="367"/>
      <c r="X406" s="3"/>
      <c r="Y406" s="366"/>
      <c r="Z406" s="678"/>
      <c r="AA406" s="796"/>
      <c r="AB406" s="796"/>
      <c r="AC406" s="705"/>
      <c r="AD406" s="705"/>
      <c r="AE406" s="705"/>
      <c r="AF406" s="362"/>
      <c r="AG406" s="362"/>
      <c r="AH406" s="362"/>
      <c r="AI406" s="362"/>
      <c r="AJ406" s="2"/>
      <c r="AK406" s="2"/>
      <c r="AL406" s="2"/>
      <c r="AM406" s="2"/>
      <c r="AN406" s="2"/>
      <c r="AO406" s="2"/>
      <c r="AP406" s="2"/>
      <c r="AQ406" s="364"/>
      <c r="AR406" s="577"/>
      <c r="AS406" s="364"/>
      <c r="AT406" s="577"/>
      <c r="AU406" s="364"/>
      <c r="AV406" s="364"/>
      <c r="AW406" s="364"/>
      <c r="AX406" s="364"/>
      <c r="AY406" s="577"/>
      <c r="AZ406" s="577"/>
      <c r="BA406" s="577"/>
      <c r="BB406" s="1088"/>
      <c r="BC406" s="364"/>
      <c r="BD406" s="364"/>
      <c r="BE406" s="577"/>
      <c r="BF406" s="364"/>
      <c r="BG406" s="384"/>
      <c r="BH406" s="577"/>
      <c r="BI406" s="364"/>
      <c r="BJ406" s="364"/>
      <c r="BK406" s="364"/>
      <c r="BL406" s="364"/>
      <c r="BM406" s="384"/>
      <c r="BN406" s="364"/>
      <c r="BO406" s="364"/>
      <c r="BP406" s="364"/>
      <c r="BQ406" s="388"/>
      <c r="BR406" s="388"/>
      <c r="BS406" s="388"/>
      <c r="BT406" s="388"/>
      <c r="BU406" s="384"/>
      <c r="BV406" s="384"/>
      <c r="BW406" s="387"/>
      <c r="BX406" s="387"/>
      <c r="BY406" s="388"/>
      <c r="BZ406" s="388"/>
      <c r="CA406" s="388"/>
      <c r="CB406" s="387"/>
      <c r="CC406" s="387"/>
      <c r="CE406" s="2"/>
      <c r="CF406" s="2"/>
      <c r="CG406" s="2"/>
      <c r="CH406" s="2"/>
      <c r="CI406" s="2"/>
      <c r="CJ406" s="2"/>
      <c r="CK406" s="2"/>
      <c r="CL406" s="2"/>
      <c r="CM406" s="2"/>
      <c r="CN406" s="2"/>
      <c r="CO406" s="2"/>
      <c r="CP406" s="2"/>
      <c r="CQ406" s="2"/>
      <c r="CR406" s="2"/>
      <c r="CS406" s="364"/>
      <c r="CT406" s="364"/>
      <c r="CU406" s="364"/>
      <c r="CV406" s="407"/>
      <c r="CW406" s="407"/>
      <c r="CX406" s="407"/>
      <c r="CY406" s="407"/>
      <c r="CZ406" s="404"/>
      <c r="DA406" s="404"/>
      <c r="DB406" s="404"/>
      <c r="DC406" s="404"/>
      <c r="DD406" s="407"/>
      <c r="DE406" s="407"/>
      <c r="DF406" s="407"/>
      <c r="DG406" s="407"/>
      <c r="DH406" s="407"/>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row>
    <row r="407" spans="1:150" s="357" customFormat="1" ht="15">
      <c r="A407" s="364"/>
      <c r="B407" s="714"/>
      <c r="C407" s="364"/>
      <c r="D407" s="364"/>
      <c r="E407" s="678"/>
      <c r="F407" s="678"/>
      <c r="G407" s="678"/>
      <c r="H407" s="364"/>
      <c r="I407" s="364"/>
      <c r="J407" s="364"/>
      <c r="K407" s="364"/>
      <c r="L407" s="786"/>
      <c r="M407" s="364"/>
      <c r="N407" s="364"/>
      <c r="O407" s="364"/>
      <c r="P407" s="364"/>
      <c r="Q407" s="364"/>
      <c r="R407" s="364"/>
      <c r="S407" s="364"/>
      <c r="T407" s="364"/>
      <c r="U407" s="364"/>
      <c r="V407" s="365"/>
      <c r="W407" s="367"/>
      <c r="X407" s="3"/>
      <c r="Y407" s="366"/>
      <c r="Z407" s="678"/>
      <c r="AA407" s="796"/>
      <c r="AB407" s="796"/>
      <c r="AC407" s="705"/>
      <c r="AD407" s="705"/>
      <c r="AE407" s="705"/>
      <c r="AF407" s="362"/>
      <c r="AG407" s="362"/>
      <c r="AH407" s="362"/>
      <c r="AI407" s="362"/>
      <c r="AJ407" s="2"/>
      <c r="AK407" s="2"/>
      <c r="AL407" s="2"/>
      <c r="AM407" s="2"/>
      <c r="AN407" s="2"/>
      <c r="AO407" s="2"/>
      <c r="AP407" s="2"/>
      <c r="AQ407" s="364"/>
      <c r="AR407" s="577"/>
      <c r="AS407" s="364"/>
      <c r="AT407" s="577"/>
      <c r="AU407" s="364"/>
      <c r="AV407" s="364"/>
      <c r="AW407" s="364"/>
      <c r="AX407" s="364"/>
      <c r="AY407" s="577"/>
      <c r="AZ407" s="577"/>
      <c r="BA407" s="577"/>
      <c r="BB407" s="926"/>
      <c r="BC407" s="364"/>
      <c r="BD407" s="364"/>
      <c r="BE407" s="577"/>
      <c r="BF407" s="364"/>
      <c r="BG407" s="384"/>
      <c r="BH407" s="577"/>
      <c r="BI407" s="364"/>
      <c r="BJ407" s="364"/>
      <c r="BK407" s="364"/>
      <c r="BL407" s="364"/>
      <c r="BM407" s="384"/>
      <c r="BN407" s="364"/>
      <c r="BO407" s="364"/>
      <c r="BP407" s="364"/>
      <c r="BQ407" s="388"/>
      <c r="BR407" s="388"/>
      <c r="BS407" s="388"/>
      <c r="BT407" s="388"/>
      <c r="BU407" s="384"/>
      <c r="BV407" s="384"/>
      <c r="BW407" s="387"/>
      <c r="BX407" s="387"/>
      <c r="BY407" s="388"/>
      <c r="BZ407" s="388"/>
      <c r="CA407" s="388"/>
      <c r="CB407" s="387"/>
      <c r="CC407" s="387"/>
      <c r="CE407" s="2"/>
      <c r="CF407" s="2"/>
      <c r="CG407" s="2"/>
      <c r="CH407" s="2"/>
      <c r="CI407" s="2"/>
      <c r="CJ407" s="2"/>
      <c r="CK407" s="2"/>
      <c r="CL407" s="2"/>
      <c r="CM407" s="2"/>
      <c r="CN407" s="2"/>
      <c r="CO407" s="2"/>
      <c r="CP407" s="2"/>
      <c r="CQ407" s="2"/>
      <c r="CR407" s="2"/>
      <c r="CS407" s="364"/>
      <c r="CT407" s="364"/>
      <c r="CU407" s="364"/>
      <c r="CV407" s="407"/>
      <c r="CW407" s="407"/>
      <c r="CX407" s="407"/>
      <c r="CY407" s="407"/>
      <c r="CZ407" s="404"/>
      <c r="DA407" s="404"/>
      <c r="DB407" s="404"/>
      <c r="DC407" s="404"/>
      <c r="DD407" s="407"/>
      <c r="DE407" s="407"/>
      <c r="DF407" s="407"/>
      <c r="DG407" s="407"/>
      <c r="DH407" s="407"/>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row>
    <row r="408" spans="1:150" s="357" customFormat="1" ht="15">
      <c r="A408" s="364"/>
      <c r="B408" s="714"/>
      <c r="C408" s="364"/>
      <c r="D408" s="364"/>
      <c r="E408" s="678"/>
      <c r="F408" s="678"/>
      <c r="G408" s="678"/>
      <c r="H408" s="364"/>
      <c r="I408" s="364"/>
      <c r="J408" s="364"/>
      <c r="K408" s="364"/>
      <c r="L408" s="786"/>
      <c r="M408" s="364"/>
      <c r="N408" s="364"/>
      <c r="O408" s="364"/>
      <c r="P408" s="364"/>
      <c r="Q408" s="364"/>
      <c r="R408" s="364"/>
      <c r="S408" s="364"/>
      <c r="T408" s="364"/>
      <c r="U408" s="364"/>
      <c r="V408" s="365"/>
      <c r="W408" s="367"/>
      <c r="X408" s="3"/>
      <c r="Y408" s="366"/>
      <c r="Z408" s="678"/>
      <c r="AA408" s="796"/>
      <c r="AB408" s="796"/>
      <c r="AC408" s="705"/>
      <c r="AD408" s="705"/>
      <c r="AE408" s="705"/>
      <c r="AF408" s="362"/>
      <c r="AG408" s="362"/>
      <c r="AH408" s="362"/>
      <c r="AI408" s="362"/>
      <c r="AJ408" s="2"/>
      <c r="AK408" s="2"/>
      <c r="AL408" s="2"/>
      <c r="AM408" s="2"/>
      <c r="AN408" s="2"/>
      <c r="AO408" s="2"/>
      <c r="AP408" s="2"/>
      <c r="AQ408" s="364"/>
      <c r="AR408" s="577"/>
      <c r="AS408" s="364"/>
      <c r="AT408" s="577"/>
      <c r="AU408" s="364"/>
      <c r="AV408" s="364"/>
      <c r="AW408" s="364"/>
      <c r="AX408" s="364"/>
      <c r="AY408" s="577"/>
      <c r="AZ408" s="577"/>
      <c r="BA408" s="577"/>
      <c r="BB408" s="926"/>
      <c r="BC408" s="364"/>
      <c r="BD408" s="364"/>
      <c r="BE408" s="577"/>
      <c r="BF408" s="364"/>
      <c r="BG408" s="384"/>
      <c r="BH408" s="577"/>
      <c r="BI408" s="364"/>
      <c r="BJ408" s="364"/>
      <c r="BK408" s="364"/>
      <c r="BL408" s="364"/>
      <c r="BM408" s="384"/>
      <c r="BN408" s="364"/>
      <c r="BO408" s="364"/>
      <c r="BP408" s="364"/>
      <c r="BQ408" s="388"/>
      <c r="BR408" s="388"/>
      <c r="BS408" s="388"/>
      <c r="BT408" s="388"/>
      <c r="BU408" s="384"/>
      <c r="BV408" s="384"/>
      <c r="BW408" s="387"/>
      <c r="BX408" s="387"/>
      <c r="BY408" s="388"/>
      <c r="BZ408" s="388"/>
      <c r="CA408" s="388"/>
      <c r="CB408" s="387"/>
      <c r="CC408" s="387"/>
      <c r="CE408" s="2"/>
      <c r="CF408" s="2"/>
      <c r="CG408" s="2"/>
      <c r="CH408" s="2"/>
      <c r="CI408" s="2"/>
      <c r="CJ408" s="2"/>
      <c r="CK408" s="2"/>
      <c r="CL408" s="2"/>
      <c r="CM408" s="2"/>
      <c r="CN408" s="2"/>
      <c r="CO408" s="2"/>
      <c r="CP408" s="2"/>
      <c r="CQ408" s="2"/>
      <c r="CR408" s="2"/>
      <c r="CS408" s="364"/>
      <c r="CT408" s="364"/>
      <c r="CU408" s="364"/>
      <c r="CV408" s="407"/>
      <c r="CW408" s="407"/>
      <c r="CX408" s="407"/>
      <c r="CY408" s="407"/>
      <c r="CZ408" s="404"/>
      <c r="DA408" s="404"/>
      <c r="DB408" s="404"/>
      <c r="DC408" s="404"/>
      <c r="DD408" s="407"/>
      <c r="DE408" s="407"/>
      <c r="DF408" s="407"/>
      <c r="DG408" s="407"/>
      <c r="DH408" s="407"/>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row>
    <row r="409" spans="1:150" s="357" customFormat="1" ht="15">
      <c r="A409" s="364"/>
      <c r="B409" s="714"/>
      <c r="C409" s="364"/>
      <c r="D409" s="364"/>
      <c r="E409" s="678"/>
      <c r="F409" s="678"/>
      <c r="G409" s="678"/>
      <c r="H409" s="364"/>
      <c r="I409" s="364"/>
      <c r="J409" s="364"/>
      <c r="K409" s="364"/>
      <c r="L409" s="786"/>
      <c r="M409" s="364"/>
      <c r="N409" s="364"/>
      <c r="O409" s="364"/>
      <c r="P409" s="364"/>
      <c r="Q409" s="364"/>
      <c r="R409" s="364"/>
      <c r="S409" s="364"/>
      <c r="T409" s="364"/>
      <c r="U409" s="364"/>
      <c r="V409" s="365"/>
      <c r="W409" s="367"/>
      <c r="X409" s="3"/>
      <c r="Y409" s="366"/>
      <c r="Z409" s="678"/>
      <c r="AA409" s="796"/>
      <c r="AB409" s="796"/>
      <c r="AC409" s="705"/>
      <c r="AD409" s="705"/>
      <c r="AE409" s="705"/>
      <c r="AF409" s="362"/>
      <c r="AG409" s="362"/>
      <c r="AH409" s="362"/>
      <c r="AI409" s="362"/>
      <c r="AJ409" s="2"/>
      <c r="AK409" s="2"/>
      <c r="AL409" s="2"/>
      <c r="AM409" s="2"/>
      <c r="AN409" s="2"/>
      <c r="AO409" s="2"/>
      <c r="AP409" s="2"/>
      <c r="AQ409" s="364"/>
      <c r="AR409" s="577"/>
      <c r="AS409" s="364"/>
      <c r="AT409" s="577"/>
      <c r="AU409" s="364"/>
      <c r="AV409" s="364"/>
      <c r="AW409" s="364"/>
      <c r="AX409" s="364"/>
      <c r="AY409" s="577"/>
      <c r="AZ409" s="577"/>
      <c r="BA409" s="577"/>
      <c r="BB409" s="926"/>
      <c r="BC409" s="364"/>
      <c r="BD409" s="364"/>
      <c r="BE409" s="577"/>
      <c r="BF409" s="364"/>
      <c r="BG409" s="384"/>
      <c r="BH409" s="577"/>
      <c r="BI409" s="364"/>
      <c r="BJ409" s="364"/>
      <c r="BK409" s="364"/>
      <c r="BL409" s="364"/>
      <c r="BM409" s="384"/>
      <c r="BN409" s="364"/>
      <c r="BO409" s="364"/>
      <c r="BP409" s="364"/>
      <c r="BQ409" s="388"/>
      <c r="BR409" s="388"/>
      <c r="BS409" s="388"/>
      <c r="BT409" s="388"/>
      <c r="BU409" s="384"/>
      <c r="BV409" s="384"/>
      <c r="BW409" s="387"/>
      <c r="BX409" s="387"/>
      <c r="BY409" s="388"/>
      <c r="BZ409" s="388"/>
      <c r="CA409" s="388"/>
      <c r="CB409" s="387"/>
      <c r="CC409" s="387"/>
      <c r="CE409" s="2"/>
      <c r="CF409" s="2"/>
      <c r="CG409" s="2"/>
      <c r="CH409" s="2"/>
      <c r="CI409" s="2"/>
      <c r="CJ409" s="2"/>
      <c r="CK409" s="2"/>
      <c r="CL409" s="2"/>
      <c r="CM409" s="2"/>
      <c r="CN409" s="2"/>
      <c r="CO409" s="2"/>
      <c r="CP409" s="2"/>
      <c r="CQ409" s="2"/>
      <c r="CR409" s="2"/>
      <c r="CS409" s="364"/>
      <c r="CT409" s="364"/>
      <c r="CU409" s="364"/>
      <c r="CV409" s="407"/>
      <c r="CW409" s="407"/>
      <c r="CX409" s="407"/>
      <c r="CY409" s="407"/>
      <c r="CZ409" s="404"/>
      <c r="DA409" s="404"/>
      <c r="DB409" s="404"/>
      <c r="DC409" s="404"/>
      <c r="DD409" s="407"/>
      <c r="DE409" s="407"/>
      <c r="DF409" s="407"/>
      <c r="DG409" s="407"/>
      <c r="DH409" s="407"/>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row>
    <row r="410" spans="1:150" s="357" customFormat="1" ht="15">
      <c r="A410" s="364"/>
      <c r="B410" s="714"/>
      <c r="C410" s="364"/>
      <c r="D410" s="364"/>
      <c r="E410" s="678"/>
      <c r="F410" s="678"/>
      <c r="G410" s="678"/>
      <c r="H410" s="364"/>
      <c r="I410" s="364"/>
      <c r="J410" s="364"/>
      <c r="K410" s="364"/>
      <c r="L410" s="786"/>
      <c r="M410" s="364"/>
      <c r="N410" s="364"/>
      <c r="O410" s="364"/>
      <c r="P410" s="364"/>
      <c r="Q410" s="364"/>
      <c r="R410" s="364"/>
      <c r="S410" s="364"/>
      <c r="T410" s="364"/>
      <c r="U410" s="364"/>
      <c r="V410" s="365"/>
      <c r="W410" s="367"/>
      <c r="X410" s="3"/>
      <c r="Y410" s="366"/>
      <c r="Z410" s="678"/>
      <c r="AA410" s="796"/>
      <c r="AB410" s="796"/>
      <c r="AC410" s="705"/>
      <c r="AD410" s="705"/>
      <c r="AE410" s="705"/>
      <c r="AF410" s="362"/>
      <c r="AG410" s="362"/>
      <c r="AH410" s="362"/>
      <c r="AI410" s="362"/>
      <c r="AJ410" s="2"/>
      <c r="AK410" s="2"/>
      <c r="AL410" s="2"/>
      <c r="AM410" s="2"/>
      <c r="AN410" s="2"/>
      <c r="AO410" s="2"/>
      <c r="AP410" s="2"/>
      <c r="AQ410" s="364"/>
      <c r="AR410" s="577"/>
      <c r="AS410" s="364"/>
      <c r="AT410" s="577"/>
      <c r="AU410" s="364"/>
      <c r="AV410" s="364"/>
      <c r="AW410" s="364"/>
      <c r="AX410" s="364"/>
      <c r="AY410" s="577"/>
      <c r="AZ410" s="577"/>
      <c r="BA410" s="577"/>
      <c r="BB410" s="926"/>
      <c r="BC410" s="364"/>
      <c r="BD410" s="364"/>
      <c r="BE410" s="577"/>
      <c r="BF410" s="364"/>
      <c r="BG410" s="384"/>
      <c r="BH410" s="577"/>
      <c r="BI410" s="364"/>
      <c r="BJ410" s="364"/>
      <c r="BK410" s="364"/>
      <c r="BL410" s="364"/>
      <c r="BM410" s="384"/>
      <c r="BN410" s="364"/>
      <c r="BO410" s="364"/>
      <c r="BP410" s="364"/>
      <c r="BQ410" s="388"/>
      <c r="BR410" s="388"/>
      <c r="BS410" s="388"/>
      <c r="BT410" s="388"/>
      <c r="BU410" s="384"/>
      <c r="BV410" s="384"/>
      <c r="BW410" s="387"/>
      <c r="BX410" s="387"/>
      <c r="BY410" s="388"/>
      <c r="BZ410" s="388"/>
      <c r="CA410" s="388"/>
      <c r="CB410" s="387"/>
      <c r="CC410" s="387"/>
      <c r="CE410" s="2"/>
      <c r="CF410" s="2"/>
      <c r="CG410" s="2"/>
      <c r="CH410" s="2"/>
      <c r="CI410" s="2"/>
      <c r="CJ410" s="2"/>
      <c r="CK410" s="2"/>
      <c r="CL410" s="2"/>
      <c r="CM410" s="2"/>
      <c r="CN410" s="2"/>
      <c r="CO410" s="2"/>
      <c r="CP410" s="2"/>
      <c r="CQ410" s="2"/>
      <c r="CR410" s="2"/>
      <c r="CS410" s="364"/>
      <c r="CT410" s="364"/>
      <c r="CU410" s="364"/>
      <c r="CV410" s="407"/>
      <c r="CW410" s="407"/>
      <c r="CX410" s="407"/>
      <c r="CY410" s="407"/>
      <c r="CZ410" s="404"/>
      <c r="DA410" s="404"/>
      <c r="DB410" s="404"/>
      <c r="DC410" s="404"/>
      <c r="DD410" s="407"/>
      <c r="DE410" s="407"/>
      <c r="DF410" s="407"/>
      <c r="DG410" s="407"/>
      <c r="DH410" s="407"/>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row>
    <row r="411" spans="1:150" s="357" customFormat="1" ht="15">
      <c r="A411" s="364"/>
      <c r="B411" s="714"/>
      <c r="C411" s="364"/>
      <c r="D411" s="364"/>
      <c r="E411" s="678"/>
      <c r="F411" s="678"/>
      <c r="G411" s="678"/>
      <c r="H411" s="364"/>
      <c r="I411" s="364"/>
      <c r="J411" s="364"/>
      <c r="K411" s="364"/>
      <c r="L411" s="786"/>
      <c r="M411" s="364"/>
      <c r="N411" s="364"/>
      <c r="O411" s="364"/>
      <c r="P411" s="364"/>
      <c r="Q411" s="364"/>
      <c r="R411" s="364"/>
      <c r="S411" s="364"/>
      <c r="T411" s="364"/>
      <c r="U411" s="364"/>
      <c r="V411" s="365"/>
      <c r="W411" s="367"/>
      <c r="X411" s="3"/>
      <c r="Y411" s="366"/>
      <c r="Z411" s="678"/>
      <c r="AA411" s="796"/>
      <c r="AB411" s="796"/>
      <c r="AC411" s="705"/>
      <c r="AD411" s="705"/>
      <c r="AE411" s="705"/>
      <c r="AF411" s="362"/>
      <c r="AG411" s="362"/>
      <c r="AH411" s="362"/>
      <c r="AI411" s="362"/>
      <c r="AJ411" s="2"/>
      <c r="AK411" s="2"/>
      <c r="AL411" s="2"/>
      <c r="AM411" s="2"/>
      <c r="AN411" s="2"/>
      <c r="AO411" s="2"/>
      <c r="AP411" s="2"/>
      <c r="AQ411" s="364"/>
      <c r="AR411" s="577"/>
      <c r="AS411" s="364"/>
      <c r="AT411" s="577"/>
      <c r="AU411" s="364"/>
      <c r="AV411" s="364"/>
      <c r="AW411" s="364"/>
      <c r="AX411" s="364"/>
      <c r="AY411" s="577"/>
      <c r="AZ411" s="577"/>
      <c r="BA411" s="577"/>
      <c r="BB411" s="926"/>
      <c r="BC411" s="364"/>
      <c r="BD411" s="364"/>
      <c r="BE411" s="577"/>
      <c r="BF411" s="364"/>
      <c r="BG411" s="384"/>
      <c r="BH411" s="577"/>
      <c r="BI411" s="364"/>
      <c r="BJ411" s="364"/>
      <c r="BK411" s="364"/>
      <c r="BL411" s="364"/>
      <c r="BM411" s="384"/>
      <c r="BN411" s="364"/>
      <c r="BO411" s="364"/>
      <c r="BP411" s="364"/>
      <c r="BQ411" s="388"/>
      <c r="BR411" s="388"/>
      <c r="BS411" s="388"/>
      <c r="BT411" s="388"/>
      <c r="BU411" s="384"/>
      <c r="BV411" s="384"/>
      <c r="BW411" s="387"/>
      <c r="BX411" s="387"/>
      <c r="BY411" s="388"/>
      <c r="BZ411" s="388"/>
      <c r="CA411" s="388"/>
      <c r="CB411" s="387"/>
      <c r="CC411" s="387"/>
      <c r="CE411" s="2"/>
      <c r="CF411" s="2"/>
      <c r="CG411" s="2"/>
      <c r="CH411" s="2"/>
      <c r="CI411" s="2"/>
      <c r="CJ411" s="2"/>
      <c r="CK411" s="2"/>
      <c r="CL411" s="2"/>
      <c r="CM411" s="2"/>
      <c r="CN411" s="2"/>
      <c r="CO411" s="2"/>
      <c r="CP411" s="2"/>
      <c r="CQ411" s="2"/>
      <c r="CR411" s="2"/>
      <c r="CS411" s="364"/>
      <c r="CT411" s="364"/>
      <c r="CU411" s="364"/>
      <c r="CV411" s="407"/>
      <c r="CW411" s="407"/>
      <c r="CX411" s="407"/>
      <c r="CY411" s="407"/>
      <c r="CZ411" s="404"/>
      <c r="DA411" s="404"/>
      <c r="DB411" s="404"/>
      <c r="DC411" s="404"/>
      <c r="DD411" s="407"/>
      <c r="DE411" s="407"/>
      <c r="DF411" s="407"/>
      <c r="DG411" s="407"/>
      <c r="DH411" s="407"/>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row>
    <row r="412" spans="1:150" s="357" customFormat="1" ht="15">
      <c r="A412" s="364"/>
      <c r="B412" s="714"/>
      <c r="C412" s="364"/>
      <c r="D412" s="364"/>
      <c r="E412" s="678"/>
      <c r="F412" s="678"/>
      <c r="G412" s="678"/>
      <c r="H412" s="364"/>
      <c r="I412" s="364"/>
      <c r="J412" s="364"/>
      <c r="K412" s="364"/>
      <c r="L412" s="786"/>
      <c r="M412" s="364"/>
      <c r="N412" s="364"/>
      <c r="O412" s="364"/>
      <c r="P412" s="364"/>
      <c r="Q412" s="364"/>
      <c r="R412" s="364"/>
      <c r="S412" s="364"/>
      <c r="T412" s="364"/>
      <c r="U412" s="364"/>
      <c r="V412" s="365"/>
      <c r="W412" s="367"/>
      <c r="X412" s="3"/>
      <c r="Y412" s="366"/>
      <c r="Z412" s="678"/>
      <c r="AA412" s="796"/>
      <c r="AB412" s="796"/>
      <c r="AC412" s="705"/>
      <c r="AD412" s="705"/>
      <c r="AE412" s="705"/>
      <c r="AF412" s="362"/>
      <c r="AG412" s="362"/>
      <c r="AH412" s="362"/>
      <c r="AI412" s="362"/>
      <c r="AJ412" s="2"/>
      <c r="AK412" s="2"/>
      <c r="AL412" s="2"/>
      <c r="AM412" s="2"/>
      <c r="AN412" s="2"/>
      <c r="AO412" s="2"/>
      <c r="AP412" s="2"/>
      <c r="AQ412" s="364"/>
      <c r="AR412" s="577"/>
      <c r="AS412" s="364"/>
      <c r="AT412" s="577"/>
      <c r="AU412" s="364"/>
      <c r="AV412" s="364"/>
      <c r="AW412" s="364"/>
      <c r="AX412" s="364"/>
      <c r="AY412" s="577"/>
      <c r="AZ412" s="577"/>
      <c r="BA412" s="577"/>
      <c r="BB412" s="926"/>
      <c r="BC412" s="364"/>
      <c r="BD412" s="364"/>
      <c r="BE412" s="577"/>
      <c r="BF412" s="364"/>
      <c r="BG412" s="384"/>
      <c r="BH412" s="577"/>
      <c r="BI412" s="364"/>
      <c r="BJ412" s="364"/>
      <c r="BK412" s="364"/>
      <c r="BL412" s="364"/>
      <c r="BM412" s="384"/>
      <c r="BN412" s="364"/>
      <c r="BO412" s="364"/>
      <c r="BP412" s="364"/>
      <c r="BQ412" s="388"/>
      <c r="BR412" s="388"/>
      <c r="BS412" s="388"/>
      <c r="BT412" s="388"/>
      <c r="BU412" s="384"/>
      <c r="BV412" s="384"/>
      <c r="BW412" s="387"/>
      <c r="BX412" s="387"/>
      <c r="BY412" s="388"/>
      <c r="BZ412" s="388"/>
      <c r="CA412" s="388"/>
      <c r="CB412" s="387"/>
      <c r="CC412" s="387"/>
      <c r="CE412" s="2"/>
      <c r="CF412" s="2"/>
      <c r="CG412" s="2"/>
      <c r="CH412" s="2"/>
      <c r="CI412" s="2"/>
      <c r="CJ412" s="2"/>
      <c r="CK412" s="2"/>
      <c r="CL412" s="2"/>
      <c r="CM412" s="2"/>
      <c r="CN412" s="2"/>
      <c r="CO412" s="2"/>
      <c r="CP412" s="2"/>
      <c r="CQ412" s="2"/>
      <c r="CR412" s="2"/>
      <c r="CS412" s="364"/>
      <c r="CT412" s="364"/>
      <c r="CU412" s="364"/>
      <c r="CV412" s="407"/>
      <c r="CW412" s="407"/>
      <c r="CX412" s="407"/>
      <c r="CY412" s="407"/>
      <c r="CZ412" s="404"/>
      <c r="DA412" s="404"/>
      <c r="DB412" s="404"/>
      <c r="DC412" s="404"/>
      <c r="DD412" s="407"/>
      <c r="DE412" s="407"/>
      <c r="DF412" s="407"/>
      <c r="DG412" s="407"/>
      <c r="DH412" s="407"/>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row>
    <row r="413" spans="1:150" s="357" customFormat="1" ht="15">
      <c r="A413" s="364"/>
      <c r="B413" s="714"/>
      <c r="C413" s="364"/>
      <c r="D413" s="364"/>
      <c r="E413" s="678"/>
      <c r="F413" s="678"/>
      <c r="G413" s="678"/>
      <c r="H413" s="364"/>
      <c r="I413" s="364"/>
      <c r="J413" s="364"/>
      <c r="K413" s="364"/>
      <c r="L413" s="786"/>
      <c r="M413" s="364"/>
      <c r="N413" s="364"/>
      <c r="O413" s="364"/>
      <c r="P413" s="364"/>
      <c r="Q413" s="364"/>
      <c r="R413" s="364"/>
      <c r="S413" s="364"/>
      <c r="T413" s="364"/>
      <c r="U413" s="364"/>
      <c r="V413" s="365"/>
      <c r="W413" s="367"/>
      <c r="X413" s="3"/>
      <c r="Y413" s="366"/>
      <c r="Z413" s="678"/>
      <c r="AA413" s="796"/>
      <c r="AB413" s="796"/>
      <c r="AC413" s="705"/>
      <c r="AD413" s="705"/>
      <c r="AE413" s="705"/>
      <c r="AF413" s="362"/>
      <c r="AG413" s="362"/>
      <c r="AH413" s="362"/>
      <c r="AI413" s="362"/>
      <c r="AJ413" s="2"/>
      <c r="AK413" s="2"/>
      <c r="AL413" s="2"/>
      <c r="AM413" s="2"/>
      <c r="AN413" s="2"/>
      <c r="AO413" s="2"/>
      <c r="AP413" s="2"/>
      <c r="AQ413" s="364"/>
      <c r="AR413" s="577"/>
      <c r="AS413" s="364"/>
      <c r="AT413" s="577"/>
      <c r="AU413" s="364"/>
      <c r="AV413" s="364"/>
      <c r="AW413" s="364"/>
      <c r="AX413" s="364"/>
      <c r="AY413" s="577"/>
      <c r="AZ413" s="577"/>
      <c r="BA413" s="577"/>
      <c r="BB413" s="926"/>
      <c r="BC413" s="364"/>
      <c r="BD413" s="364"/>
      <c r="BE413" s="577"/>
      <c r="BF413" s="364"/>
      <c r="BG413" s="384"/>
      <c r="BH413" s="577"/>
      <c r="BI413" s="364"/>
      <c r="BJ413" s="364"/>
      <c r="BK413" s="364"/>
      <c r="BL413" s="364"/>
      <c r="BM413" s="384"/>
      <c r="BN413" s="364"/>
      <c r="BO413" s="364"/>
      <c r="BP413" s="364"/>
      <c r="BQ413" s="388"/>
      <c r="BR413" s="388"/>
      <c r="BS413" s="388"/>
      <c r="BT413" s="388"/>
      <c r="BU413" s="384"/>
      <c r="BV413" s="384"/>
      <c r="BW413" s="387"/>
      <c r="BX413" s="387"/>
      <c r="BY413" s="388"/>
      <c r="BZ413" s="388"/>
      <c r="CA413" s="388"/>
      <c r="CB413" s="387"/>
      <c r="CC413" s="387"/>
      <c r="CE413" s="2"/>
      <c r="CF413" s="2"/>
      <c r="CG413" s="2"/>
      <c r="CH413" s="2"/>
      <c r="CI413" s="2"/>
      <c r="CJ413" s="2"/>
      <c r="CK413" s="2"/>
      <c r="CL413" s="2"/>
      <c r="CM413" s="2"/>
      <c r="CN413" s="2"/>
      <c r="CO413" s="2"/>
      <c r="CP413" s="2"/>
      <c r="CQ413" s="2"/>
      <c r="CR413" s="2"/>
      <c r="CS413" s="364"/>
      <c r="CT413" s="364"/>
      <c r="CU413" s="364"/>
      <c r="CV413" s="407"/>
      <c r="CW413" s="407"/>
      <c r="CX413" s="407"/>
      <c r="CY413" s="407"/>
      <c r="CZ413" s="404"/>
      <c r="DA413" s="404"/>
      <c r="DB413" s="404"/>
      <c r="DC413" s="404"/>
      <c r="DD413" s="407"/>
      <c r="DE413" s="407"/>
      <c r="DF413" s="407"/>
      <c r="DG413" s="407"/>
      <c r="DH413" s="407"/>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row>
    <row r="414" spans="1:150" s="357" customFormat="1" ht="15">
      <c r="A414" s="364"/>
      <c r="B414" s="714"/>
      <c r="C414" s="364"/>
      <c r="D414" s="364"/>
      <c r="E414" s="678"/>
      <c r="F414" s="678"/>
      <c r="G414" s="678"/>
      <c r="H414" s="364"/>
      <c r="I414" s="364"/>
      <c r="J414" s="364"/>
      <c r="K414" s="364"/>
      <c r="L414" s="786"/>
      <c r="M414" s="364"/>
      <c r="N414" s="364"/>
      <c r="O414" s="364"/>
      <c r="P414" s="364"/>
      <c r="Q414" s="364"/>
      <c r="R414" s="364"/>
      <c r="S414" s="364"/>
      <c r="T414" s="364"/>
      <c r="U414" s="364"/>
      <c r="V414" s="365"/>
      <c r="W414" s="367"/>
      <c r="X414" s="3"/>
      <c r="Y414" s="366"/>
      <c r="Z414" s="678"/>
      <c r="AA414" s="796"/>
      <c r="AB414" s="796"/>
      <c r="AC414" s="705"/>
      <c r="AD414" s="705"/>
      <c r="AE414" s="705"/>
      <c r="AF414" s="362"/>
      <c r="AG414" s="362"/>
      <c r="AH414" s="362"/>
      <c r="AI414" s="362"/>
      <c r="AJ414" s="2"/>
      <c r="AK414" s="2"/>
      <c r="AL414" s="2"/>
      <c r="AM414" s="2"/>
      <c r="AN414" s="2"/>
      <c r="AO414" s="2"/>
      <c r="AP414" s="2"/>
      <c r="AQ414" s="364"/>
      <c r="AR414" s="577"/>
      <c r="AS414" s="364"/>
      <c r="AT414" s="577"/>
      <c r="AU414" s="364"/>
      <c r="AV414" s="364"/>
      <c r="AW414" s="364"/>
      <c r="AX414" s="364"/>
      <c r="AY414" s="577"/>
      <c r="AZ414" s="577"/>
      <c r="BA414" s="577"/>
      <c r="BB414" s="926"/>
      <c r="BC414" s="364"/>
      <c r="BD414" s="364"/>
      <c r="BE414" s="577"/>
      <c r="BF414" s="364"/>
      <c r="BG414" s="384"/>
      <c r="BH414" s="577"/>
      <c r="BI414" s="364"/>
      <c r="BJ414" s="364"/>
      <c r="BK414" s="364"/>
      <c r="BL414" s="364"/>
      <c r="BM414" s="384"/>
      <c r="BN414" s="364"/>
      <c r="BO414" s="364"/>
      <c r="BP414" s="364"/>
      <c r="BQ414" s="388"/>
      <c r="BR414" s="388"/>
      <c r="BS414" s="388"/>
      <c r="BT414" s="388"/>
      <c r="BU414" s="384"/>
      <c r="BV414" s="384"/>
      <c r="BW414" s="387"/>
      <c r="BX414" s="387"/>
      <c r="BY414" s="388"/>
      <c r="BZ414" s="388"/>
      <c r="CA414" s="388"/>
      <c r="CB414" s="387"/>
      <c r="CC414" s="387"/>
      <c r="CE414" s="2"/>
      <c r="CF414" s="2"/>
      <c r="CG414" s="2"/>
      <c r="CH414" s="2"/>
      <c r="CI414" s="2"/>
      <c r="CJ414" s="2"/>
      <c r="CK414" s="2"/>
      <c r="CL414" s="2"/>
      <c r="CM414" s="2"/>
      <c r="CN414" s="2"/>
      <c r="CO414" s="2"/>
      <c r="CP414" s="2"/>
      <c r="CQ414" s="2"/>
      <c r="CR414" s="2"/>
      <c r="CS414" s="364"/>
      <c r="CT414" s="364"/>
      <c r="CU414" s="364"/>
      <c r="CV414" s="407"/>
      <c r="CW414" s="407"/>
      <c r="CX414" s="407"/>
      <c r="CY414" s="407"/>
      <c r="CZ414" s="404"/>
      <c r="DA414" s="404"/>
      <c r="DB414" s="404"/>
      <c r="DC414" s="404"/>
      <c r="DD414" s="407"/>
      <c r="DE414" s="407"/>
      <c r="DF414" s="407"/>
      <c r="DG414" s="407"/>
      <c r="DH414" s="407"/>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row>
    <row r="415" spans="1:150" s="357" customFormat="1" ht="15">
      <c r="A415" s="364"/>
      <c r="B415" s="714"/>
      <c r="C415" s="364"/>
      <c r="D415" s="364"/>
      <c r="E415" s="678"/>
      <c r="F415" s="678"/>
      <c r="G415" s="678"/>
      <c r="H415" s="364"/>
      <c r="I415" s="364"/>
      <c r="J415" s="364"/>
      <c r="K415" s="364"/>
      <c r="L415" s="786"/>
      <c r="M415" s="364"/>
      <c r="N415" s="364"/>
      <c r="O415" s="364"/>
      <c r="P415" s="364"/>
      <c r="Q415" s="364"/>
      <c r="R415" s="364"/>
      <c r="S415" s="364"/>
      <c r="T415" s="364"/>
      <c r="U415" s="364"/>
      <c r="V415" s="365"/>
      <c r="W415" s="367"/>
      <c r="X415" s="3"/>
      <c r="Y415" s="366"/>
      <c r="Z415" s="678"/>
      <c r="AA415" s="796"/>
      <c r="AB415" s="796"/>
      <c r="AC415" s="705"/>
      <c r="AD415" s="705"/>
      <c r="AE415" s="705"/>
      <c r="AF415" s="362"/>
      <c r="AG415" s="362"/>
      <c r="AH415" s="362"/>
      <c r="AI415" s="362"/>
      <c r="AJ415" s="2"/>
      <c r="AK415" s="2"/>
      <c r="AL415" s="2"/>
      <c r="AM415" s="2"/>
      <c r="AN415" s="2"/>
      <c r="AO415" s="2"/>
      <c r="AP415" s="2"/>
      <c r="AQ415" s="364"/>
      <c r="AR415" s="577"/>
      <c r="AS415" s="364"/>
      <c r="AT415" s="577"/>
      <c r="AU415" s="364"/>
      <c r="AV415" s="364"/>
      <c r="AW415" s="364"/>
      <c r="AX415" s="364"/>
      <c r="AY415" s="577"/>
      <c r="AZ415" s="577"/>
      <c r="BA415" s="577"/>
      <c r="BB415" s="926"/>
      <c r="BC415" s="364"/>
      <c r="BD415" s="364"/>
      <c r="BE415" s="577"/>
      <c r="BF415" s="364"/>
      <c r="BG415" s="384"/>
      <c r="BH415" s="577"/>
      <c r="BI415" s="364"/>
      <c r="BJ415" s="364"/>
      <c r="BK415" s="364"/>
      <c r="BL415" s="364"/>
      <c r="BM415" s="384"/>
      <c r="BN415" s="364"/>
      <c r="BO415" s="364"/>
      <c r="BP415" s="364"/>
      <c r="BQ415" s="388"/>
      <c r="BR415" s="388"/>
      <c r="BS415" s="388"/>
      <c r="BT415" s="388"/>
      <c r="BU415" s="384"/>
      <c r="BV415" s="384"/>
      <c r="BW415" s="387"/>
      <c r="BX415" s="387"/>
      <c r="BY415" s="388"/>
      <c r="BZ415" s="388"/>
      <c r="CA415" s="388"/>
      <c r="CB415" s="387"/>
      <c r="CC415" s="387"/>
      <c r="CE415" s="2"/>
      <c r="CF415" s="2"/>
      <c r="CG415" s="2"/>
      <c r="CH415" s="2"/>
      <c r="CI415" s="2"/>
      <c r="CJ415" s="2"/>
      <c r="CK415" s="2"/>
      <c r="CL415" s="2"/>
      <c r="CM415" s="2"/>
      <c r="CN415" s="2"/>
      <c r="CO415" s="2"/>
      <c r="CP415" s="2"/>
      <c r="CQ415" s="2"/>
      <c r="CR415" s="2"/>
      <c r="CS415" s="364"/>
      <c r="CT415" s="364"/>
      <c r="CU415" s="364"/>
      <c r="CV415" s="407"/>
      <c r="CW415" s="407"/>
      <c r="CX415" s="407"/>
      <c r="CY415" s="407"/>
      <c r="CZ415" s="404"/>
      <c r="DA415" s="404"/>
      <c r="DB415" s="404"/>
      <c r="DC415" s="404"/>
      <c r="DD415" s="407"/>
      <c r="DE415" s="407"/>
      <c r="DF415" s="407"/>
      <c r="DG415" s="407"/>
      <c r="DH415" s="407"/>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row>
    <row r="416" spans="1:150" s="357" customFormat="1" ht="15">
      <c r="A416" s="364"/>
      <c r="B416" s="714"/>
      <c r="C416" s="364"/>
      <c r="D416" s="364"/>
      <c r="E416" s="678"/>
      <c r="F416" s="678"/>
      <c r="G416" s="678"/>
      <c r="H416" s="364"/>
      <c r="I416" s="364"/>
      <c r="J416" s="364"/>
      <c r="K416" s="364"/>
      <c r="L416" s="786"/>
      <c r="M416" s="364"/>
      <c r="N416" s="364"/>
      <c r="O416" s="364"/>
      <c r="P416" s="364"/>
      <c r="Q416" s="364"/>
      <c r="R416" s="364"/>
      <c r="S416" s="364"/>
      <c r="T416" s="364"/>
      <c r="U416" s="364"/>
      <c r="V416" s="365"/>
      <c r="W416" s="367"/>
      <c r="X416" s="3"/>
      <c r="Y416" s="366"/>
      <c r="Z416" s="678"/>
      <c r="AA416" s="796"/>
      <c r="AB416" s="796"/>
      <c r="AC416" s="705"/>
      <c r="AD416" s="705"/>
      <c r="AE416" s="705"/>
      <c r="AF416" s="362"/>
      <c r="AG416" s="362"/>
      <c r="AH416" s="362"/>
      <c r="AI416" s="362"/>
      <c r="AJ416" s="2"/>
      <c r="AK416" s="2"/>
      <c r="AL416" s="2"/>
      <c r="AM416" s="2"/>
      <c r="AN416" s="2"/>
      <c r="AO416" s="2"/>
      <c r="AP416" s="2"/>
      <c r="AQ416" s="364"/>
      <c r="AR416" s="577"/>
      <c r="AS416" s="364"/>
      <c r="AT416" s="577"/>
      <c r="AU416" s="364"/>
      <c r="AV416" s="364"/>
      <c r="AW416" s="364"/>
      <c r="AX416" s="364"/>
      <c r="AY416" s="577"/>
      <c r="AZ416" s="577"/>
      <c r="BA416" s="577"/>
      <c r="BB416" s="926"/>
      <c r="BC416" s="364"/>
      <c r="BD416" s="364"/>
      <c r="BE416" s="577"/>
      <c r="BF416" s="364"/>
      <c r="BG416" s="384"/>
      <c r="BH416" s="577"/>
      <c r="BI416" s="364"/>
      <c r="BJ416" s="364"/>
      <c r="BK416" s="364"/>
      <c r="BL416" s="364"/>
      <c r="BM416" s="384"/>
      <c r="BN416" s="364"/>
      <c r="BO416" s="364"/>
      <c r="BP416" s="364"/>
      <c r="BQ416" s="388"/>
      <c r="BR416" s="388"/>
      <c r="BS416" s="388"/>
      <c r="BT416" s="388"/>
      <c r="BU416" s="384"/>
      <c r="BV416" s="384"/>
      <c r="BW416" s="387"/>
      <c r="BX416" s="387"/>
      <c r="BY416" s="388"/>
      <c r="BZ416" s="388"/>
      <c r="CA416" s="388"/>
      <c r="CB416" s="387"/>
      <c r="CC416" s="387"/>
      <c r="CE416" s="2"/>
      <c r="CF416" s="2"/>
      <c r="CG416" s="2"/>
      <c r="CH416" s="2"/>
      <c r="CI416" s="2"/>
      <c r="CJ416" s="2"/>
      <c r="CK416" s="2"/>
      <c r="CL416" s="2"/>
      <c r="CM416" s="2"/>
      <c r="CN416" s="2"/>
      <c r="CO416" s="2"/>
      <c r="CP416" s="2"/>
      <c r="CQ416" s="2"/>
      <c r="CR416" s="2"/>
      <c r="CS416" s="364"/>
      <c r="CT416" s="364"/>
      <c r="CU416" s="364"/>
      <c r="CV416" s="407"/>
      <c r="CW416" s="407"/>
      <c r="CX416" s="407"/>
      <c r="CY416" s="407"/>
      <c r="CZ416" s="404"/>
      <c r="DA416" s="404"/>
      <c r="DB416" s="404"/>
      <c r="DC416" s="404"/>
      <c r="DD416" s="407"/>
      <c r="DE416" s="407"/>
      <c r="DF416" s="407"/>
      <c r="DG416" s="407"/>
      <c r="DH416" s="407"/>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row>
    <row r="417" spans="1:150" s="357" customFormat="1" ht="15">
      <c r="A417" s="364"/>
      <c r="B417" s="714"/>
      <c r="C417" s="364"/>
      <c r="D417" s="364"/>
      <c r="E417" s="678"/>
      <c r="F417" s="678"/>
      <c r="G417" s="678"/>
      <c r="H417" s="364"/>
      <c r="I417" s="364"/>
      <c r="J417" s="364"/>
      <c r="K417" s="364"/>
      <c r="L417" s="786"/>
      <c r="M417" s="364"/>
      <c r="N417" s="364"/>
      <c r="O417" s="364"/>
      <c r="P417" s="364"/>
      <c r="Q417" s="364"/>
      <c r="R417" s="364"/>
      <c r="S417" s="364"/>
      <c r="T417" s="364"/>
      <c r="U417" s="364"/>
      <c r="V417" s="365"/>
      <c r="W417" s="367"/>
      <c r="X417" s="3"/>
      <c r="Y417" s="366"/>
      <c r="Z417" s="678"/>
      <c r="AA417" s="796"/>
      <c r="AB417" s="796"/>
      <c r="AC417" s="705"/>
      <c r="AD417" s="705"/>
      <c r="AE417" s="705"/>
      <c r="AF417" s="362"/>
      <c r="AG417" s="362"/>
      <c r="AH417" s="362"/>
      <c r="AI417" s="362"/>
      <c r="AJ417" s="2"/>
      <c r="AK417" s="2"/>
      <c r="AL417" s="2"/>
      <c r="AM417" s="2"/>
      <c r="AN417" s="2"/>
      <c r="AO417" s="2"/>
      <c r="AP417" s="2"/>
      <c r="AQ417" s="364"/>
      <c r="AR417" s="577"/>
      <c r="AS417" s="364"/>
      <c r="AT417" s="577"/>
      <c r="AU417" s="364"/>
      <c r="AV417" s="364"/>
      <c r="AW417" s="364"/>
      <c r="AX417" s="364"/>
      <c r="AY417" s="577"/>
      <c r="AZ417" s="577"/>
      <c r="BA417" s="577"/>
      <c r="BB417" s="926"/>
      <c r="BC417" s="364"/>
      <c r="BD417" s="364"/>
      <c r="BE417" s="577"/>
      <c r="BF417" s="364"/>
      <c r="BG417" s="384"/>
      <c r="BH417" s="577"/>
      <c r="BI417" s="364"/>
      <c r="BJ417" s="364"/>
      <c r="BK417" s="364"/>
      <c r="BL417" s="364"/>
      <c r="BM417" s="384"/>
      <c r="BN417" s="364"/>
      <c r="BO417" s="364"/>
      <c r="BP417" s="364"/>
      <c r="BQ417" s="388"/>
      <c r="BR417" s="388"/>
      <c r="BS417" s="388"/>
      <c r="BT417" s="388"/>
      <c r="BU417" s="384"/>
      <c r="BV417" s="384"/>
      <c r="BW417" s="387"/>
      <c r="BX417" s="387"/>
      <c r="BY417" s="388"/>
      <c r="BZ417" s="388"/>
      <c r="CA417" s="388"/>
      <c r="CB417" s="387"/>
      <c r="CC417" s="387"/>
      <c r="CE417" s="2"/>
      <c r="CF417" s="2"/>
      <c r="CG417" s="2"/>
      <c r="CH417" s="2"/>
      <c r="CI417" s="2"/>
      <c r="CJ417" s="2"/>
      <c r="CK417" s="2"/>
      <c r="CL417" s="2"/>
      <c r="CM417" s="2"/>
      <c r="CN417" s="2"/>
      <c r="CO417" s="2"/>
      <c r="CP417" s="2"/>
      <c r="CQ417" s="2"/>
      <c r="CR417" s="2"/>
      <c r="CS417" s="364"/>
      <c r="CT417" s="364"/>
      <c r="CU417" s="364"/>
      <c r="CV417" s="407"/>
      <c r="CW417" s="407"/>
      <c r="CX417" s="407"/>
      <c r="CY417" s="407"/>
      <c r="CZ417" s="404"/>
      <c r="DA417" s="404"/>
      <c r="DB417" s="404"/>
      <c r="DC417" s="404"/>
      <c r="DD417" s="407"/>
      <c r="DE417" s="407"/>
      <c r="DF417" s="407"/>
      <c r="DG417" s="407"/>
      <c r="DH417" s="407"/>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row>
    <row r="418" spans="1:150" s="357" customFormat="1" ht="15">
      <c r="A418" s="364"/>
      <c r="B418" s="714"/>
      <c r="C418" s="364"/>
      <c r="D418" s="364"/>
      <c r="E418" s="678"/>
      <c r="F418" s="678"/>
      <c r="G418" s="678"/>
      <c r="H418" s="364"/>
      <c r="I418" s="364"/>
      <c r="J418" s="364"/>
      <c r="K418" s="364"/>
      <c r="L418" s="786"/>
      <c r="M418" s="364"/>
      <c r="N418" s="364"/>
      <c r="O418" s="364"/>
      <c r="P418" s="364"/>
      <c r="Q418" s="364"/>
      <c r="R418" s="364"/>
      <c r="S418" s="364"/>
      <c r="T418" s="364"/>
      <c r="U418" s="364"/>
      <c r="V418" s="365"/>
      <c r="W418" s="367"/>
      <c r="X418" s="3"/>
      <c r="Y418" s="366"/>
      <c r="Z418" s="678"/>
      <c r="AA418" s="796"/>
      <c r="AB418" s="796"/>
      <c r="AC418" s="705"/>
      <c r="AD418" s="705"/>
      <c r="AE418" s="705"/>
      <c r="AF418" s="362"/>
      <c r="AG418" s="362"/>
      <c r="AH418" s="362"/>
      <c r="AI418" s="362"/>
      <c r="AJ418" s="2"/>
      <c r="AK418" s="2"/>
      <c r="AL418" s="2"/>
      <c r="AM418" s="2"/>
      <c r="AN418" s="2"/>
      <c r="AO418" s="2"/>
      <c r="AP418" s="2"/>
      <c r="AQ418" s="364"/>
      <c r="AR418" s="577"/>
      <c r="AS418" s="364"/>
      <c r="AT418" s="577"/>
      <c r="AU418" s="364"/>
      <c r="AV418" s="364"/>
      <c r="AW418" s="364"/>
      <c r="AX418" s="364"/>
      <c r="AY418" s="577"/>
      <c r="AZ418" s="577"/>
      <c r="BA418" s="577"/>
      <c r="BB418" s="926"/>
      <c r="BC418" s="364"/>
      <c r="BD418" s="364"/>
      <c r="BE418" s="577"/>
      <c r="BF418" s="364"/>
      <c r="BG418" s="384"/>
      <c r="BH418" s="577"/>
      <c r="BI418" s="364"/>
      <c r="BJ418" s="364"/>
      <c r="BK418" s="364"/>
      <c r="BL418" s="364"/>
      <c r="BM418" s="384"/>
      <c r="BN418" s="364"/>
      <c r="BO418" s="364"/>
      <c r="BP418" s="364"/>
      <c r="BQ418" s="388"/>
      <c r="BR418" s="388"/>
      <c r="BS418" s="388"/>
      <c r="BT418" s="388"/>
      <c r="BU418" s="384"/>
      <c r="BV418" s="384"/>
      <c r="BW418" s="387"/>
      <c r="BX418" s="387"/>
      <c r="BY418" s="388"/>
      <c r="BZ418" s="388"/>
      <c r="CA418" s="388"/>
      <c r="CB418" s="387"/>
      <c r="CC418" s="387"/>
      <c r="CE418" s="2"/>
      <c r="CF418" s="2"/>
      <c r="CG418" s="2"/>
      <c r="CH418" s="2"/>
      <c r="CI418" s="2"/>
      <c r="CJ418" s="2"/>
      <c r="CK418" s="2"/>
      <c r="CL418" s="2"/>
      <c r="CM418" s="2"/>
      <c r="CN418" s="2"/>
      <c r="CO418" s="2"/>
      <c r="CP418" s="2"/>
      <c r="CQ418" s="2"/>
      <c r="CR418" s="2"/>
      <c r="CS418" s="364"/>
      <c r="CT418" s="364"/>
      <c r="CU418" s="364"/>
      <c r="CV418" s="407"/>
      <c r="CW418" s="407"/>
      <c r="CX418" s="407"/>
      <c r="CY418" s="407"/>
      <c r="CZ418" s="404"/>
      <c r="DA418" s="404"/>
      <c r="DB418" s="404"/>
      <c r="DC418" s="404"/>
      <c r="DD418" s="407"/>
      <c r="DE418" s="407"/>
      <c r="DF418" s="407"/>
      <c r="DG418" s="407"/>
      <c r="DH418" s="407"/>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row>
    <row r="419" spans="1:150" s="357" customFormat="1" ht="15">
      <c r="A419" s="364"/>
      <c r="B419" s="714"/>
      <c r="C419" s="364"/>
      <c r="D419" s="364"/>
      <c r="E419" s="678"/>
      <c r="F419" s="678"/>
      <c r="G419" s="678"/>
      <c r="H419" s="364"/>
      <c r="I419" s="364"/>
      <c r="J419" s="364"/>
      <c r="K419" s="364"/>
      <c r="L419" s="786"/>
      <c r="M419" s="364"/>
      <c r="N419" s="364"/>
      <c r="O419" s="364"/>
      <c r="P419" s="364"/>
      <c r="Q419" s="364"/>
      <c r="R419" s="364"/>
      <c r="S419" s="364"/>
      <c r="T419" s="364"/>
      <c r="U419" s="364"/>
      <c r="V419" s="365"/>
      <c r="W419" s="367"/>
      <c r="X419" s="3"/>
      <c r="Y419" s="366"/>
      <c r="Z419" s="678"/>
      <c r="AA419" s="796"/>
      <c r="AB419" s="796"/>
      <c r="AC419" s="705"/>
      <c r="AD419" s="705"/>
      <c r="AE419" s="705"/>
      <c r="AF419" s="362"/>
      <c r="AG419" s="362"/>
      <c r="AH419" s="362"/>
      <c r="AI419" s="362"/>
      <c r="AJ419" s="2"/>
      <c r="AK419" s="2"/>
      <c r="AL419" s="2"/>
      <c r="AM419" s="2"/>
      <c r="AN419" s="2"/>
      <c r="AO419" s="2"/>
      <c r="AP419" s="2"/>
      <c r="AQ419" s="364"/>
      <c r="AR419" s="577"/>
      <c r="AS419" s="364"/>
      <c r="AT419" s="577"/>
      <c r="AU419" s="364"/>
      <c r="AV419" s="364"/>
      <c r="AW419" s="364"/>
      <c r="AX419" s="364"/>
      <c r="AY419" s="577"/>
      <c r="AZ419" s="577"/>
      <c r="BA419" s="577"/>
      <c r="BB419" s="926"/>
      <c r="BC419" s="364"/>
      <c r="BD419" s="364"/>
      <c r="BE419" s="577"/>
      <c r="BF419" s="364"/>
      <c r="BG419" s="384"/>
      <c r="BH419" s="577"/>
      <c r="BI419" s="364"/>
      <c r="BJ419" s="364"/>
      <c r="BK419" s="364"/>
      <c r="BL419" s="364"/>
      <c r="BM419" s="384"/>
      <c r="BN419" s="364"/>
      <c r="BO419" s="364"/>
      <c r="BP419" s="364"/>
      <c r="BQ419" s="388"/>
      <c r="BR419" s="388"/>
      <c r="BS419" s="388"/>
      <c r="BT419" s="388"/>
      <c r="BU419" s="384"/>
      <c r="BV419" s="384"/>
      <c r="BW419" s="387"/>
      <c r="BX419" s="387"/>
      <c r="BY419" s="388"/>
      <c r="BZ419" s="388"/>
      <c r="CA419" s="388"/>
      <c r="CB419" s="387"/>
      <c r="CC419" s="387"/>
      <c r="CE419" s="2"/>
      <c r="CF419" s="2"/>
      <c r="CG419" s="2"/>
      <c r="CH419" s="2"/>
      <c r="CI419" s="2"/>
      <c r="CJ419" s="2"/>
      <c r="CK419" s="2"/>
      <c r="CL419" s="2"/>
      <c r="CM419" s="2"/>
      <c r="CN419" s="2"/>
      <c r="CO419" s="2"/>
      <c r="CP419" s="2"/>
      <c r="CQ419" s="2"/>
      <c r="CR419" s="2"/>
      <c r="CS419" s="364"/>
      <c r="CT419" s="364"/>
      <c r="CU419" s="364"/>
      <c r="CV419" s="407"/>
      <c r="CW419" s="407"/>
      <c r="CX419" s="407"/>
      <c r="CY419" s="407"/>
      <c r="CZ419" s="404"/>
      <c r="DA419" s="404"/>
      <c r="DB419" s="404"/>
      <c r="DC419" s="404"/>
      <c r="DD419" s="407"/>
      <c r="DE419" s="407"/>
      <c r="DF419" s="407"/>
      <c r="DG419" s="407"/>
      <c r="DH419" s="407"/>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row>
    <row r="420" spans="1:150" s="357" customFormat="1" ht="15">
      <c r="A420" s="364"/>
      <c r="B420" s="714"/>
      <c r="C420" s="364"/>
      <c r="D420" s="364"/>
      <c r="E420" s="678"/>
      <c r="F420" s="678"/>
      <c r="G420" s="678"/>
      <c r="H420" s="364"/>
      <c r="I420" s="364"/>
      <c r="J420" s="364"/>
      <c r="K420" s="364"/>
      <c r="L420" s="786"/>
      <c r="M420" s="364"/>
      <c r="N420" s="364"/>
      <c r="O420" s="364"/>
      <c r="P420" s="364"/>
      <c r="Q420" s="364"/>
      <c r="R420" s="364"/>
      <c r="S420" s="364"/>
      <c r="T420" s="364"/>
      <c r="U420" s="364"/>
      <c r="V420" s="365"/>
      <c r="W420" s="367"/>
      <c r="X420" s="3"/>
      <c r="Y420" s="366"/>
      <c r="Z420" s="678"/>
      <c r="AA420" s="796"/>
      <c r="AB420" s="796"/>
      <c r="AC420" s="705"/>
      <c r="AD420" s="705"/>
      <c r="AE420" s="705"/>
      <c r="AF420" s="362"/>
      <c r="AG420" s="362"/>
      <c r="AH420" s="362"/>
      <c r="AI420" s="362"/>
      <c r="AJ420" s="2"/>
      <c r="AK420" s="2"/>
      <c r="AL420" s="2"/>
      <c r="AM420" s="2"/>
      <c r="AN420" s="2"/>
      <c r="AO420" s="2"/>
      <c r="AP420" s="2"/>
      <c r="AQ420" s="364"/>
      <c r="AR420" s="577"/>
      <c r="AS420" s="364"/>
      <c r="AT420" s="577"/>
      <c r="AU420" s="364"/>
      <c r="AV420" s="364"/>
      <c r="AW420" s="364"/>
      <c r="AX420" s="364"/>
      <c r="AY420" s="577"/>
      <c r="AZ420" s="577"/>
      <c r="BA420" s="577"/>
      <c r="BB420" s="926"/>
      <c r="BC420" s="364"/>
      <c r="BD420" s="364"/>
      <c r="BE420" s="577"/>
      <c r="BF420" s="364"/>
      <c r="BG420" s="384"/>
      <c r="BH420" s="577"/>
      <c r="BI420" s="364"/>
      <c r="BJ420" s="364"/>
      <c r="BK420" s="364"/>
      <c r="BL420" s="364"/>
      <c r="BM420" s="384"/>
      <c r="BN420" s="364"/>
      <c r="BO420" s="364"/>
      <c r="BP420" s="364"/>
      <c r="BQ420" s="388"/>
      <c r="BR420" s="388"/>
      <c r="BS420" s="388"/>
      <c r="BT420" s="388"/>
      <c r="BU420" s="384"/>
      <c r="BV420" s="384"/>
      <c r="BW420" s="387"/>
      <c r="BX420" s="387"/>
      <c r="BY420" s="388"/>
      <c r="BZ420" s="388"/>
      <c r="CA420" s="388"/>
      <c r="CB420" s="387"/>
      <c r="CC420" s="387"/>
      <c r="CE420" s="2"/>
      <c r="CF420" s="2"/>
      <c r="CG420" s="2"/>
      <c r="CH420" s="2"/>
      <c r="CI420" s="2"/>
      <c r="CJ420" s="2"/>
      <c r="CK420" s="2"/>
      <c r="CL420" s="2"/>
      <c r="CM420" s="2"/>
      <c r="CN420" s="2"/>
      <c r="CO420" s="2"/>
      <c r="CP420" s="2"/>
      <c r="CQ420" s="2"/>
      <c r="CR420" s="2"/>
      <c r="CS420" s="364"/>
      <c r="CT420" s="364"/>
      <c r="CU420" s="364"/>
      <c r="CV420" s="407"/>
      <c r="CW420" s="407"/>
      <c r="CX420" s="407"/>
      <c r="CY420" s="407"/>
      <c r="CZ420" s="404"/>
      <c r="DA420" s="404"/>
      <c r="DB420" s="404"/>
      <c r="DC420" s="404"/>
      <c r="DD420" s="407"/>
      <c r="DE420" s="407"/>
      <c r="DF420" s="407"/>
      <c r="DG420" s="407"/>
      <c r="DH420" s="407"/>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row>
    <row r="421" spans="1:150" s="357" customFormat="1" ht="15">
      <c r="A421" s="364"/>
      <c r="B421" s="714"/>
      <c r="C421" s="364"/>
      <c r="D421" s="364"/>
      <c r="E421" s="678"/>
      <c r="F421" s="678"/>
      <c r="G421" s="678"/>
      <c r="H421" s="364"/>
      <c r="I421" s="364"/>
      <c r="J421" s="364"/>
      <c r="K421" s="364"/>
      <c r="L421" s="786"/>
      <c r="M421" s="364"/>
      <c r="N421" s="364"/>
      <c r="O421" s="364"/>
      <c r="P421" s="364"/>
      <c r="Q421" s="364"/>
      <c r="R421" s="364"/>
      <c r="S421" s="364"/>
      <c r="T421" s="364"/>
      <c r="U421" s="364"/>
      <c r="V421" s="365"/>
      <c r="W421" s="367"/>
      <c r="X421" s="3"/>
      <c r="Y421" s="366"/>
      <c r="Z421" s="678"/>
      <c r="AA421" s="796"/>
      <c r="AB421" s="796"/>
      <c r="AC421" s="705"/>
      <c r="AD421" s="705"/>
      <c r="AE421" s="705"/>
      <c r="AF421" s="362"/>
      <c r="AG421" s="362"/>
      <c r="AH421" s="362"/>
      <c r="AI421" s="362"/>
      <c r="AJ421" s="2"/>
      <c r="AK421" s="2"/>
      <c r="AL421" s="2"/>
      <c r="AM421" s="2"/>
      <c r="AN421" s="2"/>
      <c r="AO421" s="2"/>
      <c r="AP421" s="2"/>
      <c r="AQ421" s="364"/>
      <c r="AR421" s="577"/>
      <c r="AS421" s="364"/>
      <c r="AT421" s="577"/>
      <c r="AU421" s="364"/>
      <c r="AV421" s="364"/>
      <c r="AW421" s="364"/>
      <c r="AX421" s="364"/>
      <c r="AY421" s="577"/>
      <c r="AZ421" s="577"/>
      <c r="BA421" s="577"/>
      <c r="BB421" s="926"/>
      <c r="BC421" s="364"/>
      <c r="BD421" s="364"/>
      <c r="BE421" s="577"/>
      <c r="BF421" s="364"/>
      <c r="BG421" s="384"/>
      <c r="BH421" s="577"/>
      <c r="BI421" s="364"/>
      <c r="BJ421" s="364"/>
      <c r="BK421" s="364"/>
      <c r="BL421" s="364"/>
      <c r="BM421" s="384"/>
      <c r="BN421" s="364"/>
      <c r="BO421" s="364"/>
      <c r="BP421" s="364"/>
      <c r="BQ421" s="388"/>
      <c r="BR421" s="388"/>
      <c r="BS421" s="388"/>
      <c r="BT421" s="388"/>
      <c r="BU421" s="384"/>
      <c r="BV421" s="384"/>
      <c r="BW421" s="387"/>
      <c r="BX421" s="387"/>
      <c r="BY421" s="388"/>
      <c r="BZ421" s="388"/>
      <c r="CA421" s="388"/>
      <c r="CB421" s="387"/>
      <c r="CC421" s="387"/>
      <c r="CE421" s="2"/>
      <c r="CF421" s="2"/>
      <c r="CG421" s="2"/>
      <c r="CH421" s="2"/>
      <c r="CI421" s="2"/>
      <c r="CJ421" s="2"/>
      <c r="CK421" s="2"/>
      <c r="CL421" s="2"/>
      <c r="CM421" s="2"/>
      <c r="CN421" s="2"/>
      <c r="CO421" s="2"/>
      <c r="CP421" s="2"/>
      <c r="CQ421" s="2"/>
      <c r="CR421" s="2"/>
      <c r="CS421" s="364"/>
      <c r="CT421" s="364"/>
      <c r="CU421" s="364"/>
      <c r="CV421" s="407"/>
      <c r="CW421" s="407"/>
      <c r="CX421" s="407"/>
      <c r="CY421" s="407"/>
      <c r="CZ421" s="404"/>
      <c r="DA421" s="404"/>
      <c r="DB421" s="404"/>
      <c r="DC421" s="404"/>
      <c r="DD421" s="407"/>
      <c r="DE421" s="407"/>
      <c r="DF421" s="407"/>
      <c r="DG421" s="407"/>
      <c r="DH421" s="407"/>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row>
    <row r="422" spans="1:150" s="357" customFormat="1" ht="15">
      <c r="A422" s="364"/>
      <c r="B422" s="714"/>
      <c r="C422" s="364"/>
      <c r="D422" s="364"/>
      <c r="E422" s="678"/>
      <c r="F422" s="678"/>
      <c r="G422" s="678"/>
      <c r="H422" s="364"/>
      <c r="I422" s="364"/>
      <c r="J422" s="364"/>
      <c r="K422" s="364"/>
      <c r="L422" s="786"/>
      <c r="M422" s="364"/>
      <c r="N422" s="364"/>
      <c r="O422" s="364"/>
      <c r="P422" s="364"/>
      <c r="Q422" s="364"/>
      <c r="R422" s="364"/>
      <c r="S422" s="364"/>
      <c r="T422" s="364"/>
      <c r="U422" s="364"/>
      <c r="V422" s="365"/>
      <c r="W422" s="367"/>
      <c r="X422" s="3"/>
      <c r="Y422" s="366"/>
      <c r="Z422" s="678"/>
      <c r="AA422" s="796"/>
      <c r="AB422" s="796"/>
      <c r="AC422" s="705"/>
      <c r="AD422" s="705"/>
      <c r="AE422" s="705"/>
      <c r="AF422" s="362"/>
      <c r="AG422" s="362"/>
      <c r="AH422" s="362"/>
      <c r="AI422" s="362"/>
      <c r="AJ422" s="2"/>
      <c r="AK422" s="2"/>
      <c r="AL422" s="2"/>
      <c r="AM422" s="2"/>
      <c r="AN422" s="2"/>
      <c r="AO422" s="2"/>
      <c r="AP422" s="2"/>
      <c r="AQ422" s="364"/>
      <c r="AR422" s="577"/>
      <c r="AS422" s="364"/>
      <c r="AT422" s="577"/>
      <c r="AU422" s="364"/>
      <c r="AV422" s="364"/>
      <c r="AW422" s="364"/>
      <c r="AX422" s="364"/>
      <c r="AY422" s="577"/>
      <c r="AZ422" s="577"/>
      <c r="BA422" s="577"/>
      <c r="BB422" s="926"/>
      <c r="BC422" s="364"/>
      <c r="BD422" s="364"/>
      <c r="BE422" s="577"/>
      <c r="BF422" s="364"/>
      <c r="BG422" s="384"/>
      <c r="BH422" s="577"/>
      <c r="BI422" s="364"/>
      <c r="BJ422" s="364"/>
      <c r="BK422" s="364"/>
      <c r="BL422" s="364"/>
      <c r="BM422" s="384"/>
      <c r="BN422" s="364"/>
      <c r="BO422" s="364"/>
      <c r="BP422" s="364"/>
      <c r="BQ422" s="388"/>
      <c r="BR422" s="388"/>
      <c r="BS422" s="388"/>
      <c r="BT422" s="388"/>
      <c r="BU422" s="384"/>
      <c r="BV422" s="384"/>
      <c r="BW422" s="387"/>
      <c r="BX422" s="387"/>
      <c r="BY422" s="388"/>
      <c r="BZ422" s="388"/>
      <c r="CA422" s="388"/>
      <c r="CB422" s="387"/>
      <c r="CC422" s="387"/>
      <c r="CE422" s="2"/>
      <c r="CF422" s="2"/>
      <c r="CG422" s="2"/>
      <c r="CH422" s="2"/>
      <c r="CI422" s="2"/>
      <c r="CJ422" s="2"/>
      <c r="CK422" s="2"/>
      <c r="CL422" s="2"/>
      <c r="CM422" s="2"/>
      <c r="CN422" s="2"/>
      <c r="CO422" s="2"/>
      <c r="CP422" s="2"/>
      <c r="CQ422" s="2"/>
      <c r="CR422" s="2"/>
      <c r="CS422" s="364"/>
      <c r="CT422" s="364"/>
      <c r="CU422" s="364"/>
      <c r="CV422" s="407"/>
      <c r="CW422" s="407"/>
      <c r="CX422" s="407"/>
      <c r="CY422" s="407"/>
      <c r="CZ422" s="404"/>
      <c r="DA422" s="404"/>
      <c r="DB422" s="404"/>
      <c r="DC422" s="404"/>
      <c r="DD422" s="407"/>
      <c r="DE422" s="407"/>
      <c r="DF422" s="407"/>
      <c r="DG422" s="407"/>
      <c r="DH422" s="407"/>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row>
    <row r="423" spans="1:150" s="357" customFormat="1" ht="15">
      <c r="A423" s="364"/>
      <c r="B423" s="714"/>
      <c r="C423" s="364"/>
      <c r="D423" s="364"/>
      <c r="E423" s="678"/>
      <c r="F423" s="678"/>
      <c r="G423" s="678"/>
      <c r="H423" s="364"/>
      <c r="I423" s="364"/>
      <c r="J423" s="364"/>
      <c r="K423" s="364"/>
      <c r="L423" s="786"/>
      <c r="M423" s="364"/>
      <c r="N423" s="364"/>
      <c r="O423" s="364"/>
      <c r="P423" s="364"/>
      <c r="Q423" s="364"/>
      <c r="R423" s="364"/>
      <c r="S423" s="364"/>
      <c r="T423" s="364"/>
      <c r="U423" s="364"/>
      <c r="V423" s="365"/>
      <c r="W423" s="367"/>
      <c r="X423" s="3"/>
      <c r="Y423" s="366"/>
      <c r="Z423" s="678"/>
      <c r="AA423" s="796"/>
      <c r="AB423" s="796"/>
      <c r="AC423" s="705"/>
      <c r="AD423" s="705"/>
      <c r="AE423" s="705"/>
      <c r="AF423" s="362"/>
      <c r="AG423" s="362"/>
      <c r="AH423" s="362"/>
      <c r="AI423" s="362"/>
      <c r="AJ423" s="2"/>
      <c r="AK423" s="2"/>
      <c r="AL423" s="2"/>
      <c r="AM423" s="2"/>
      <c r="AN423" s="2"/>
      <c r="AO423" s="2"/>
      <c r="AP423" s="2"/>
      <c r="AQ423" s="364"/>
      <c r="AR423" s="577"/>
      <c r="AS423" s="364"/>
      <c r="AT423" s="577"/>
      <c r="AU423" s="364"/>
      <c r="AV423" s="364"/>
      <c r="AW423" s="364"/>
      <c r="AX423" s="364"/>
      <c r="AY423" s="577"/>
      <c r="AZ423" s="577"/>
      <c r="BA423" s="577"/>
      <c r="BB423" s="926"/>
      <c r="BC423" s="364"/>
      <c r="BD423" s="364"/>
      <c r="BE423" s="577"/>
      <c r="BF423" s="364"/>
      <c r="BG423" s="384"/>
      <c r="BH423" s="577"/>
      <c r="BI423" s="364"/>
      <c r="BJ423" s="364"/>
      <c r="BK423" s="364"/>
      <c r="BL423" s="364"/>
      <c r="BM423" s="384"/>
      <c r="BN423" s="364"/>
      <c r="BO423" s="364"/>
      <c r="BP423" s="364"/>
      <c r="BQ423" s="388"/>
      <c r="BR423" s="388"/>
      <c r="BS423" s="388"/>
      <c r="BT423" s="388"/>
      <c r="BU423" s="384"/>
      <c r="BV423" s="384"/>
      <c r="BW423" s="387"/>
      <c r="BX423" s="387"/>
      <c r="BY423" s="388"/>
      <c r="BZ423" s="388"/>
      <c r="CA423" s="388"/>
      <c r="CB423" s="387"/>
      <c r="CC423" s="387"/>
      <c r="CE423" s="2"/>
      <c r="CF423" s="2"/>
      <c r="CG423" s="2"/>
      <c r="CH423" s="2"/>
      <c r="CI423" s="2"/>
      <c r="CJ423" s="2"/>
      <c r="CK423" s="2"/>
      <c r="CL423" s="2"/>
      <c r="CM423" s="2"/>
      <c r="CN423" s="2"/>
      <c r="CO423" s="2"/>
      <c r="CP423" s="2"/>
      <c r="CQ423" s="2"/>
      <c r="CR423" s="2"/>
      <c r="CS423" s="364"/>
      <c r="CT423" s="364"/>
      <c r="CU423" s="364"/>
      <c r="CV423" s="407"/>
      <c r="CW423" s="407"/>
      <c r="CX423" s="407"/>
      <c r="CY423" s="407"/>
      <c r="CZ423" s="404"/>
      <c r="DA423" s="404"/>
      <c r="DB423" s="404"/>
      <c r="DC423" s="404"/>
      <c r="DD423" s="407"/>
      <c r="DE423" s="407"/>
      <c r="DF423" s="407"/>
      <c r="DG423" s="407"/>
      <c r="DH423" s="407"/>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row>
    <row r="424" spans="1:150" s="357" customFormat="1" ht="15">
      <c r="A424" s="364"/>
      <c r="B424" s="714"/>
      <c r="C424" s="364"/>
      <c r="D424" s="364"/>
      <c r="E424" s="678"/>
      <c r="F424" s="678"/>
      <c r="G424" s="678"/>
      <c r="H424" s="364"/>
      <c r="I424" s="364"/>
      <c r="J424" s="364"/>
      <c r="K424" s="364"/>
      <c r="L424" s="786"/>
      <c r="M424" s="364"/>
      <c r="N424" s="364"/>
      <c r="O424" s="364"/>
      <c r="P424" s="364"/>
      <c r="Q424" s="364"/>
      <c r="R424" s="364"/>
      <c r="S424" s="364"/>
      <c r="T424" s="364"/>
      <c r="U424" s="364"/>
      <c r="V424" s="365"/>
      <c r="W424" s="367"/>
      <c r="X424" s="3"/>
      <c r="Y424" s="366"/>
      <c r="Z424" s="678"/>
      <c r="AA424" s="796"/>
      <c r="AB424" s="796"/>
      <c r="AC424" s="705"/>
      <c r="AD424" s="705"/>
      <c r="AE424" s="705"/>
      <c r="AF424" s="362"/>
      <c r="AG424" s="362"/>
      <c r="AH424" s="362"/>
      <c r="AI424" s="362"/>
      <c r="AJ424" s="2"/>
      <c r="AK424" s="2"/>
      <c r="AL424" s="2"/>
      <c r="AM424" s="2"/>
      <c r="AN424" s="2"/>
      <c r="AO424" s="2"/>
      <c r="AP424" s="2"/>
      <c r="AQ424" s="364"/>
      <c r="AR424" s="577"/>
      <c r="AS424" s="364"/>
      <c r="AT424" s="577"/>
      <c r="AU424" s="364"/>
      <c r="AV424" s="364"/>
      <c r="AW424" s="364"/>
      <c r="AX424" s="364"/>
      <c r="AY424" s="577"/>
      <c r="AZ424" s="577"/>
      <c r="BA424" s="577"/>
      <c r="BB424" s="926"/>
      <c r="BC424" s="364"/>
      <c r="BD424" s="364"/>
      <c r="BE424" s="577"/>
      <c r="BF424" s="364"/>
      <c r="BG424" s="384"/>
      <c r="BH424" s="577"/>
      <c r="BI424" s="364"/>
      <c r="BJ424" s="364"/>
      <c r="BK424" s="364"/>
      <c r="BL424" s="364"/>
      <c r="BM424" s="384"/>
      <c r="BN424" s="364"/>
      <c r="BO424" s="364"/>
      <c r="BP424" s="364"/>
      <c r="BQ424" s="388"/>
      <c r="BR424" s="388"/>
      <c r="BS424" s="388"/>
      <c r="BT424" s="388"/>
      <c r="BU424" s="384"/>
      <c r="BV424" s="384"/>
      <c r="BW424" s="387"/>
      <c r="BX424" s="387"/>
      <c r="BY424" s="388"/>
      <c r="BZ424" s="388"/>
      <c r="CA424" s="388"/>
      <c r="CB424" s="387"/>
      <c r="CC424" s="387"/>
      <c r="CE424" s="2"/>
      <c r="CF424" s="2"/>
      <c r="CG424" s="2"/>
      <c r="CH424" s="2"/>
      <c r="CI424" s="2"/>
      <c r="CJ424" s="2"/>
      <c r="CK424" s="2"/>
      <c r="CL424" s="2"/>
      <c r="CM424" s="2"/>
      <c r="CN424" s="2"/>
      <c r="CO424" s="2"/>
      <c r="CP424" s="2"/>
      <c r="CQ424" s="2"/>
      <c r="CR424" s="2"/>
      <c r="CS424" s="364"/>
      <c r="CT424" s="364"/>
      <c r="CU424" s="364"/>
      <c r="CV424" s="407"/>
      <c r="CW424" s="407"/>
      <c r="CX424" s="407"/>
      <c r="CY424" s="407"/>
      <c r="CZ424" s="404"/>
      <c r="DA424" s="404"/>
      <c r="DB424" s="404"/>
      <c r="DC424" s="404"/>
      <c r="DD424" s="407"/>
      <c r="DE424" s="407"/>
      <c r="DF424" s="407"/>
      <c r="DG424" s="407"/>
      <c r="DH424" s="407"/>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row>
    <row r="425" spans="1:150" s="357" customFormat="1" ht="15">
      <c r="A425" s="364"/>
      <c r="B425" s="714"/>
      <c r="C425" s="364"/>
      <c r="D425" s="364"/>
      <c r="E425" s="678"/>
      <c r="F425" s="678"/>
      <c r="G425" s="678"/>
      <c r="H425" s="364"/>
      <c r="I425" s="364"/>
      <c r="J425" s="364"/>
      <c r="K425" s="364"/>
      <c r="L425" s="786"/>
      <c r="M425" s="364"/>
      <c r="N425" s="364"/>
      <c r="O425" s="364"/>
      <c r="P425" s="364"/>
      <c r="Q425" s="364"/>
      <c r="R425" s="364"/>
      <c r="S425" s="364"/>
      <c r="T425" s="364"/>
      <c r="U425" s="364"/>
      <c r="V425" s="365"/>
      <c r="W425" s="367"/>
      <c r="X425" s="3"/>
      <c r="Y425" s="366"/>
      <c r="Z425" s="678"/>
      <c r="AA425" s="796"/>
      <c r="AB425" s="796"/>
      <c r="AC425" s="705"/>
      <c r="AD425" s="705"/>
      <c r="AE425" s="705"/>
      <c r="AF425" s="362"/>
      <c r="AG425" s="362"/>
      <c r="AH425" s="362"/>
      <c r="AI425" s="362"/>
      <c r="AJ425" s="2"/>
      <c r="AK425" s="2"/>
      <c r="AL425" s="2"/>
      <c r="AM425" s="2"/>
      <c r="AN425" s="2"/>
      <c r="AO425" s="2"/>
      <c r="AP425" s="2"/>
      <c r="AQ425" s="364"/>
      <c r="AR425" s="577"/>
      <c r="AS425" s="364"/>
      <c r="AT425" s="577"/>
      <c r="AU425" s="364"/>
      <c r="AV425" s="364"/>
      <c r="AW425" s="364"/>
      <c r="AX425" s="364"/>
      <c r="AY425" s="577"/>
      <c r="AZ425" s="577"/>
      <c r="BA425" s="577"/>
      <c r="BB425" s="926"/>
      <c r="BC425" s="364"/>
      <c r="BD425" s="364"/>
      <c r="BE425" s="577"/>
      <c r="BF425" s="364"/>
      <c r="BG425" s="384"/>
      <c r="BH425" s="577"/>
      <c r="BI425" s="364"/>
      <c r="BJ425" s="364"/>
      <c r="BK425" s="364"/>
      <c r="BL425" s="364"/>
      <c r="BM425" s="384"/>
      <c r="BN425" s="364"/>
      <c r="BO425" s="364"/>
      <c r="BP425" s="364"/>
      <c r="BQ425" s="388"/>
      <c r="BR425" s="388"/>
      <c r="BS425" s="388"/>
      <c r="BT425" s="388"/>
      <c r="BU425" s="384"/>
      <c r="BV425" s="384"/>
      <c r="BW425" s="387"/>
      <c r="BX425" s="387"/>
      <c r="BY425" s="388"/>
      <c r="BZ425" s="388"/>
      <c r="CA425" s="388"/>
      <c r="CB425" s="387"/>
      <c r="CC425" s="387"/>
      <c r="CE425" s="2"/>
      <c r="CF425" s="2"/>
      <c r="CG425" s="2"/>
      <c r="CH425" s="2"/>
      <c r="CI425" s="2"/>
      <c r="CJ425" s="2"/>
      <c r="CK425" s="2"/>
      <c r="CL425" s="2"/>
      <c r="CM425" s="2"/>
      <c r="CN425" s="2"/>
      <c r="CO425" s="2"/>
      <c r="CP425" s="2"/>
      <c r="CQ425" s="2"/>
      <c r="CR425" s="2"/>
      <c r="CS425" s="364"/>
      <c r="CT425" s="364"/>
      <c r="CU425" s="364"/>
      <c r="CV425" s="407"/>
      <c r="CW425" s="407"/>
      <c r="CX425" s="407"/>
      <c r="CY425" s="407"/>
      <c r="CZ425" s="404"/>
      <c r="DA425" s="404"/>
      <c r="DB425" s="404"/>
      <c r="DC425" s="404"/>
      <c r="DD425" s="407"/>
      <c r="DE425" s="407"/>
      <c r="DF425" s="407"/>
      <c r="DG425" s="407"/>
      <c r="DH425" s="407"/>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row>
    <row r="426" spans="1:150" s="357" customFormat="1" ht="15">
      <c r="A426" s="364"/>
      <c r="B426" s="714"/>
      <c r="C426" s="364"/>
      <c r="D426" s="364"/>
      <c r="E426" s="678"/>
      <c r="F426" s="678"/>
      <c r="G426" s="678"/>
      <c r="H426" s="364"/>
      <c r="I426" s="364"/>
      <c r="J426" s="364"/>
      <c r="K426" s="364"/>
      <c r="L426" s="786"/>
      <c r="M426" s="364"/>
      <c r="N426" s="364"/>
      <c r="O426" s="364"/>
      <c r="P426" s="364"/>
      <c r="Q426" s="364"/>
      <c r="R426" s="364"/>
      <c r="S426" s="364"/>
      <c r="T426" s="364"/>
      <c r="U426" s="364"/>
      <c r="V426" s="365"/>
      <c r="W426" s="367"/>
      <c r="X426" s="3"/>
      <c r="Y426" s="366"/>
      <c r="Z426" s="678"/>
      <c r="AA426" s="796"/>
      <c r="AB426" s="796"/>
      <c r="AC426" s="705"/>
      <c r="AD426" s="705"/>
      <c r="AE426" s="705"/>
      <c r="AF426" s="362"/>
      <c r="AG426" s="362"/>
      <c r="AH426" s="362"/>
      <c r="AI426" s="362"/>
      <c r="AJ426" s="2"/>
      <c r="AK426" s="2"/>
      <c r="AL426" s="2"/>
      <c r="AM426" s="2"/>
      <c r="AN426" s="2"/>
      <c r="AO426" s="2"/>
      <c r="AP426" s="2"/>
      <c r="AQ426" s="364"/>
      <c r="AR426" s="577"/>
      <c r="AS426" s="364"/>
      <c r="AT426" s="577"/>
      <c r="AU426" s="364"/>
      <c r="AV426" s="364"/>
      <c r="AW426" s="364"/>
      <c r="AX426" s="364"/>
      <c r="AY426" s="577"/>
      <c r="AZ426" s="577"/>
      <c r="BA426" s="577"/>
      <c r="BB426" s="926"/>
      <c r="BC426" s="364"/>
      <c r="BD426" s="364"/>
      <c r="BE426" s="577"/>
      <c r="BF426" s="364"/>
      <c r="BG426" s="384"/>
      <c r="BH426" s="577"/>
      <c r="BI426" s="364"/>
      <c r="BJ426" s="364"/>
      <c r="BK426" s="364"/>
      <c r="BL426" s="364"/>
      <c r="BM426" s="384"/>
      <c r="BN426" s="364"/>
      <c r="BO426" s="364"/>
      <c r="BP426" s="364"/>
      <c r="BQ426" s="388"/>
      <c r="BR426" s="388"/>
      <c r="BS426" s="388"/>
      <c r="BT426" s="388"/>
      <c r="BU426" s="384"/>
      <c r="BV426" s="384"/>
      <c r="BW426" s="387"/>
      <c r="BX426" s="387"/>
      <c r="BY426" s="388"/>
      <c r="BZ426" s="388"/>
      <c r="CA426" s="388"/>
      <c r="CB426" s="387"/>
      <c r="CC426" s="387"/>
      <c r="CE426" s="2"/>
      <c r="CF426" s="2"/>
      <c r="CG426" s="2"/>
      <c r="CH426" s="2"/>
      <c r="CI426" s="2"/>
      <c r="CJ426" s="2"/>
      <c r="CK426" s="2"/>
      <c r="CL426" s="2"/>
      <c r="CM426" s="2"/>
      <c r="CN426" s="2"/>
      <c r="CO426" s="2"/>
      <c r="CP426" s="2"/>
      <c r="CQ426" s="2"/>
      <c r="CR426" s="2"/>
      <c r="CS426" s="364"/>
      <c r="CT426" s="364"/>
      <c r="CU426" s="364"/>
      <c r="CV426" s="407"/>
      <c r="CW426" s="407"/>
      <c r="CX426" s="407"/>
      <c r="CY426" s="407"/>
      <c r="CZ426" s="404"/>
      <c r="DA426" s="404"/>
      <c r="DB426" s="404"/>
      <c r="DC426" s="404"/>
      <c r="DD426" s="407"/>
      <c r="DE426" s="407"/>
      <c r="DF426" s="407"/>
      <c r="DG426" s="407"/>
      <c r="DH426" s="407"/>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row>
    <row r="427" spans="1:150" s="357" customFormat="1">
      <c r="A427" s="364"/>
      <c r="B427" s="678"/>
      <c r="C427" s="364"/>
      <c r="D427" s="364"/>
      <c r="E427" s="678"/>
      <c r="F427" s="678"/>
      <c r="G427" s="678"/>
      <c r="H427" s="364"/>
      <c r="I427" s="364"/>
      <c r="J427" s="364"/>
      <c r="K427" s="364"/>
      <c r="L427" s="786"/>
      <c r="M427" s="364"/>
      <c r="N427" s="364"/>
      <c r="O427" s="364"/>
      <c r="P427" s="364"/>
      <c r="Q427" s="364"/>
      <c r="R427" s="364"/>
      <c r="S427" s="364"/>
      <c r="T427" s="364"/>
      <c r="U427" s="364"/>
      <c r="V427" s="365"/>
      <c r="W427" s="367"/>
      <c r="X427" s="3"/>
      <c r="Y427" s="366"/>
      <c r="Z427" s="678"/>
      <c r="AA427" s="796"/>
      <c r="AB427" s="796"/>
      <c r="AC427" s="705"/>
      <c r="AD427" s="705"/>
      <c r="AE427" s="705"/>
      <c r="AF427" s="362"/>
      <c r="AG427" s="362"/>
      <c r="AH427" s="362"/>
      <c r="AI427" s="362"/>
      <c r="AJ427" s="2"/>
      <c r="AK427" s="2"/>
      <c r="AL427" s="2"/>
      <c r="AM427" s="2"/>
      <c r="AN427" s="2"/>
      <c r="AO427" s="2"/>
      <c r="AP427" s="2"/>
      <c r="AQ427" s="364"/>
      <c r="AR427" s="577"/>
      <c r="AS427" s="364"/>
      <c r="AT427" s="577"/>
      <c r="AU427" s="364"/>
      <c r="AV427" s="364"/>
      <c r="AW427" s="364"/>
      <c r="AX427" s="364"/>
      <c r="AY427" s="577"/>
      <c r="AZ427" s="577"/>
      <c r="BA427" s="577"/>
      <c r="BB427" s="926"/>
      <c r="BC427" s="364"/>
      <c r="BD427" s="364"/>
      <c r="BE427" s="577"/>
      <c r="BF427" s="364"/>
      <c r="BG427" s="384"/>
      <c r="BH427" s="577"/>
      <c r="BI427" s="364"/>
      <c r="BJ427" s="364"/>
      <c r="BK427" s="364"/>
      <c r="BL427" s="364"/>
      <c r="BM427" s="384"/>
      <c r="BN427" s="364"/>
      <c r="BO427" s="364"/>
      <c r="BP427" s="364"/>
      <c r="BQ427" s="388"/>
      <c r="BR427" s="388"/>
      <c r="BS427" s="388"/>
      <c r="BT427" s="388"/>
      <c r="BU427" s="384"/>
      <c r="BV427" s="384"/>
      <c r="BW427" s="387"/>
      <c r="BX427" s="387"/>
      <c r="BY427" s="388"/>
      <c r="BZ427" s="388"/>
      <c r="CA427" s="388"/>
      <c r="CB427" s="387"/>
      <c r="CC427" s="387"/>
      <c r="CE427" s="2"/>
      <c r="CF427" s="2"/>
      <c r="CG427" s="2"/>
      <c r="CH427" s="2"/>
      <c r="CI427" s="2"/>
      <c r="CJ427" s="2"/>
      <c r="CK427" s="2"/>
      <c r="CL427" s="2"/>
      <c r="CM427" s="2"/>
      <c r="CN427" s="2"/>
      <c r="CO427" s="2"/>
      <c r="CP427" s="2"/>
      <c r="CQ427" s="2"/>
      <c r="CR427" s="2"/>
      <c r="CS427" s="364"/>
      <c r="CT427" s="364"/>
      <c r="CU427" s="364"/>
      <c r="CV427" s="407"/>
      <c r="CW427" s="407"/>
      <c r="CX427" s="407"/>
      <c r="CY427" s="407"/>
      <c r="CZ427" s="404"/>
      <c r="DA427" s="404"/>
      <c r="DB427" s="404"/>
      <c r="DC427" s="404"/>
      <c r="DD427" s="407"/>
      <c r="DE427" s="407"/>
      <c r="DF427" s="407"/>
      <c r="DG427" s="407"/>
      <c r="DH427" s="407"/>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row>
    <row r="428" spans="1:150" s="357" customFormat="1">
      <c r="A428" s="364"/>
      <c r="B428" s="678"/>
      <c r="C428" s="364"/>
      <c r="D428" s="364"/>
      <c r="E428" s="678"/>
      <c r="F428" s="678"/>
      <c r="G428" s="678"/>
      <c r="H428" s="364"/>
      <c r="I428" s="364"/>
      <c r="J428" s="364"/>
      <c r="K428" s="364"/>
      <c r="L428" s="786"/>
      <c r="M428" s="364"/>
      <c r="N428" s="364"/>
      <c r="O428" s="364"/>
      <c r="P428" s="364"/>
      <c r="Q428" s="364"/>
      <c r="R428" s="364"/>
      <c r="S428" s="364"/>
      <c r="T428" s="364"/>
      <c r="U428" s="364"/>
      <c r="V428" s="365"/>
      <c r="W428" s="367"/>
      <c r="X428" s="3"/>
      <c r="Y428" s="366"/>
      <c r="Z428" s="678"/>
      <c r="AA428" s="796"/>
      <c r="AB428" s="796"/>
      <c r="AC428" s="705"/>
      <c r="AD428" s="705"/>
      <c r="AE428" s="705"/>
      <c r="AF428" s="362"/>
      <c r="AG428" s="362"/>
      <c r="AH428" s="362"/>
      <c r="AI428" s="362"/>
      <c r="AJ428" s="2"/>
      <c r="AK428" s="2"/>
      <c r="AL428" s="2"/>
      <c r="AM428" s="2"/>
      <c r="AN428" s="2"/>
      <c r="AO428" s="2"/>
      <c r="AP428" s="2"/>
      <c r="AQ428" s="364"/>
      <c r="AR428" s="577"/>
      <c r="AS428" s="364"/>
      <c r="AT428" s="577"/>
      <c r="AU428" s="364"/>
      <c r="AV428" s="364"/>
      <c r="AW428" s="364"/>
      <c r="AX428" s="364"/>
      <c r="AY428" s="577"/>
      <c r="AZ428" s="577"/>
      <c r="BA428" s="577"/>
      <c r="BB428" s="926"/>
      <c r="BC428" s="364"/>
      <c r="BD428" s="364"/>
      <c r="BE428" s="577"/>
      <c r="BF428" s="364"/>
      <c r="BG428" s="384"/>
      <c r="BH428" s="577"/>
      <c r="BI428" s="364"/>
      <c r="BJ428" s="364"/>
      <c r="BK428" s="364"/>
      <c r="BL428" s="364"/>
      <c r="BM428" s="384"/>
      <c r="BN428" s="364"/>
      <c r="BO428" s="364"/>
      <c r="BP428" s="364"/>
      <c r="BQ428" s="388"/>
      <c r="BR428" s="388"/>
      <c r="BS428" s="388"/>
      <c r="BT428" s="388"/>
      <c r="BU428" s="384"/>
      <c r="BV428" s="384"/>
      <c r="BW428" s="387"/>
      <c r="BX428" s="387"/>
      <c r="BY428" s="388"/>
      <c r="BZ428" s="388"/>
      <c r="CA428" s="388"/>
      <c r="CB428" s="387"/>
      <c r="CC428" s="387"/>
      <c r="CE428" s="2"/>
      <c r="CF428" s="2"/>
      <c r="CG428" s="2"/>
      <c r="CH428" s="2"/>
      <c r="CI428" s="2"/>
      <c r="CJ428" s="2"/>
      <c r="CK428" s="2"/>
      <c r="CL428" s="2"/>
      <c r="CM428" s="2"/>
      <c r="CN428" s="2"/>
      <c r="CO428" s="2"/>
      <c r="CP428" s="2"/>
      <c r="CQ428" s="2"/>
      <c r="CR428" s="2"/>
      <c r="CS428" s="364"/>
      <c r="CT428" s="364"/>
      <c r="CU428" s="364"/>
      <c r="CV428" s="407"/>
      <c r="CW428" s="407"/>
      <c r="CX428" s="407"/>
      <c r="CY428" s="407"/>
      <c r="CZ428" s="404"/>
      <c r="DA428" s="404"/>
      <c r="DB428" s="404"/>
      <c r="DC428" s="404"/>
      <c r="DD428" s="407"/>
      <c r="DE428" s="407"/>
      <c r="DF428" s="407"/>
      <c r="DG428" s="407"/>
      <c r="DH428" s="407"/>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row>
    <row r="429" spans="1:150" s="357" customFormat="1">
      <c r="A429" s="364"/>
      <c r="B429" s="678"/>
      <c r="C429" s="364"/>
      <c r="D429" s="364"/>
      <c r="E429" s="678"/>
      <c r="F429" s="678"/>
      <c r="G429" s="678"/>
      <c r="H429" s="364"/>
      <c r="I429" s="364"/>
      <c r="J429" s="364"/>
      <c r="K429" s="364"/>
      <c r="L429" s="786"/>
      <c r="M429" s="364"/>
      <c r="N429" s="364"/>
      <c r="O429" s="364"/>
      <c r="P429" s="364"/>
      <c r="Q429" s="364"/>
      <c r="R429" s="364"/>
      <c r="S429" s="364"/>
      <c r="T429" s="364"/>
      <c r="U429" s="364"/>
      <c r="V429" s="365"/>
      <c r="W429" s="367"/>
      <c r="X429" s="3"/>
      <c r="Y429" s="366"/>
      <c r="Z429" s="678"/>
      <c r="AA429" s="796"/>
      <c r="AB429" s="796"/>
      <c r="AC429" s="705"/>
      <c r="AD429" s="705"/>
      <c r="AE429" s="705"/>
      <c r="AF429" s="362"/>
      <c r="AG429" s="362"/>
      <c r="AH429" s="362"/>
      <c r="AI429" s="362"/>
      <c r="AJ429" s="2"/>
      <c r="AK429" s="2"/>
      <c r="AL429" s="2"/>
      <c r="AM429" s="2"/>
      <c r="AN429" s="2"/>
      <c r="AO429" s="2"/>
      <c r="AP429" s="2"/>
      <c r="AQ429" s="364"/>
      <c r="AR429" s="577"/>
      <c r="AS429" s="364"/>
      <c r="AT429" s="577"/>
      <c r="AU429" s="364"/>
      <c r="AV429" s="364"/>
      <c r="AW429" s="364"/>
      <c r="AX429" s="364"/>
      <c r="AY429" s="577"/>
      <c r="AZ429" s="577"/>
      <c r="BA429" s="577"/>
      <c r="BB429" s="926"/>
      <c r="BC429" s="364"/>
      <c r="BD429" s="364"/>
      <c r="BE429" s="577"/>
      <c r="BF429" s="364"/>
      <c r="BG429" s="384"/>
      <c r="BH429" s="577"/>
      <c r="BI429" s="364"/>
      <c r="BJ429" s="364"/>
      <c r="BK429" s="364"/>
      <c r="BL429" s="364"/>
      <c r="BM429" s="384"/>
      <c r="BN429" s="364"/>
      <c r="BO429" s="364"/>
      <c r="BP429" s="364"/>
      <c r="BQ429" s="388"/>
      <c r="BR429" s="388"/>
      <c r="BS429" s="388"/>
      <c r="BT429" s="388"/>
      <c r="BU429" s="384"/>
      <c r="BV429" s="384"/>
      <c r="BW429" s="387"/>
      <c r="BX429" s="387"/>
      <c r="BY429" s="388"/>
      <c r="BZ429" s="388"/>
      <c r="CA429" s="388"/>
      <c r="CB429" s="387"/>
      <c r="CC429" s="387"/>
      <c r="CE429" s="2"/>
      <c r="CF429" s="2"/>
      <c r="CG429" s="2"/>
      <c r="CH429" s="2"/>
      <c r="CI429" s="2"/>
      <c r="CJ429" s="2"/>
      <c r="CK429" s="2"/>
      <c r="CL429" s="2"/>
      <c r="CM429" s="2"/>
      <c r="CN429" s="2"/>
      <c r="CO429" s="2"/>
      <c r="CP429" s="2"/>
      <c r="CQ429" s="2"/>
      <c r="CR429" s="2"/>
      <c r="CS429" s="364"/>
      <c r="CT429" s="364"/>
      <c r="CU429" s="364"/>
      <c r="CV429" s="407"/>
      <c r="CW429" s="407"/>
      <c r="CX429" s="407"/>
      <c r="CY429" s="407"/>
      <c r="CZ429" s="404"/>
      <c r="DA429" s="404"/>
      <c r="DB429" s="404"/>
      <c r="DC429" s="404"/>
      <c r="DD429" s="407"/>
      <c r="DE429" s="407"/>
      <c r="DF429" s="407"/>
      <c r="DG429" s="407"/>
      <c r="DH429" s="407"/>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row>
    <row r="430" spans="1:150" s="357" customFormat="1">
      <c r="A430" s="364"/>
      <c r="B430" s="678"/>
      <c r="C430" s="364"/>
      <c r="D430" s="364"/>
      <c r="E430" s="678"/>
      <c r="F430" s="678"/>
      <c r="G430" s="678"/>
      <c r="H430" s="364"/>
      <c r="I430" s="364"/>
      <c r="J430" s="364"/>
      <c r="K430" s="364"/>
      <c r="L430" s="786"/>
      <c r="M430" s="364"/>
      <c r="N430" s="364"/>
      <c r="O430" s="364"/>
      <c r="P430" s="364"/>
      <c r="Q430" s="364"/>
      <c r="R430" s="364"/>
      <c r="S430" s="364"/>
      <c r="T430" s="364"/>
      <c r="U430" s="364"/>
      <c r="V430" s="365"/>
      <c r="W430" s="367"/>
      <c r="X430" s="3"/>
      <c r="Y430" s="366"/>
      <c r="Z430" s="678"/>
      <c r="AA430" s="796"/>
      <c r="AB430" s="796"/>
      <c r="AC430" s="705"/>
      <c r="AD430" s="705"/>
      <c r="AE430" s="705"/>
      <c r="AF430" s="362"/>
      <c r="AG430" s="362"/>
      <c r="AH430" s="362"/>
      <c r="AI430" s="362"/>
      <c r="AJ430" s="2"/>
      <c r="AK430" s="2"/>
      <c r="AL430" s="2"/>
      <c r="AM430" s="2"/>
      <c r="AN430" s="2"/>
      <c r="AO430" s="2"/>
      <c r="AP430" s="2"/>
      <c r="AQ430" s="364"/>
      <c r="AR430" s="577"/>
      <c r="AS430" s="364"/>
      <c r="AT430" s="577"/>
      <c r="AU430" s="364"/>
      <c r="AV430" s="364"/>
      <c r="AW430" s="364"/>
      <c r="AX430" s="364"/>
      <c r="AY430" s="577"/>
      <c r="AZ430" s="577"/>
      <c r="BA430" s="577"/>
      <c r="BB430" s="926"/>
      <c r="BC430" s="364"/>
      <c r="BD430" s="364"/>
      <c r="BE430" s="577"/>
      <c r="BF430" s="364"/>
      <c r="BG430" s="384"/>
      <c r="BH430" s="577"/>
      <c r="BI430" s="364"/>
      <c r="BJ430" s="364"/>
      <c r="BK430" s="364"/>
      <c r="BL430" s="364"/>
      <c r="BM430" s="384"/>
      <c r="BN430" s="364"/>
      <c r="BO430" s="364"/>
      <c r="BP430" s="364"/>
      <c r="BQ430" s="388"/>
      <c r="BR430" s="388"/>
      <c r="BS430" s="388"/>
      <c r="BT430" s="388"/>
      <c r="BU430" s="384"/>
      <c r="BV430" s="384"/>
      <c r="BW430" s="387"/>
      <c r="BX430" s="387"/>
      <c r="BY430" s="388"/>
      <c r="BZ430" s="388"/>
      <c r="CA430" s="388"/>
      <c r="CB430" s="387"/>
      <c r="CC430" s="387"/>
      <c r="CE430" s="2"/>
      <c r="CF430" s="2"/>
      <c r="CG430" s="2"/>
      <c r="CH430" s="2"/>
      <c r="CI430" s="2"/>
      <c r="CJ430" s="2"/>
      <c r="CK430" s="2"/>
      <c r="CL430" s="2"/>
      <c r="CM430" s="2"/>
      <c r="CN430" s="2"/>
      <c r="CO430" s="2"/>
      <c r="CP430" s="2"/>
      <c r="CQ430" s="2"/>
      <c r="CR430" s="2"/>
      <c r="CS430" s="364"/>
      <c r="CT430" s="364"/>
      <c r="CU430" s="364"/>
      <c r="CV430" s="407"/>
      <c r="CW430" s="407"/>
      <c r="CX430" s="407"/>
      <c r="CY430" s="407"/>
      <c r="CZ430" s="404"/>
      <c r="DA430" s="404"/>
      <c r="DB430" s="404"/>
      <c r="DC430" s="404"/>
      <c r="DD430" s="407"/>
      <c r="DE430" s="407"/>
      <c r="DF430" s="407"/>
      <c r="DG430" s="407"/>
      <c r="DH430" s="407"/>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row>
    <row r="431" spans="1:150" s="357" customFormat="1">
      <c r="A431" s="364"/>
      <c r="B431" s="678"/>
      <c r="C431" s="364"/>
      <c r="D431" s="364"/>
      <c r="E431" s="678"/>
      <c r="F431" s="678"/>
      <c r="G431" s="678"/>
      <c r="H431" s="364"/>
      <c r="I431" s="364"/>
      <c r="J431" s="364"/>
      <c r="K431" s="364"/>
      <c r="L431" s="786"/>
      <c r="M431" s="364"/>
      <c r="N431" s="364"/>
      <c r="O431" s="364"/>
      <c r="P431" s="364"/>
      <c r="Q431" s="364"/>
      <c r="R431" s="364"/>
      <c r="S431" s="364"/>
      <c r="T431" s="364"/>
      <c r="U431" s="364"/>
      <c r="V431" s="365"/>
      <c r="W431" s="367"/>
      <c r="X431" s="3"/>
      <c r="Y431" s="366"/>
      <c r="Z431" s="678"/>
      <c r="AA431" s="796"/>
      <c r="AB431" s="796"/>
      <c r="AC431" s="705"/>
      <c r="AD431" s="705"/>
      <c r="AE431" s="705"/>
      <c r="AF431" s="362"/>
      <c r="AG431" s="362"/>
      <c r="AH431" s="362"/>
      <c r="AI431" s="362"/>
      <c r="AJ431" s="2"/>
      <c r="AK431" s="2"/>
      <c r="AL431" s="2"/>
      <c r="AM431" s="2"/>
      <c r="AN431" s="2"/>
      <c r="AO431" s="2"/>
      <c r="AP431" s="2"/>
      <c r="AQ431" s="364"/>
      <c r="AR431" s="577"/>
      <c r="AS431" s="364"/>
      <c r="AT431" s="577"/>
      <c r="AU431" s="364"/>
      <c r="AV431" s="364"/>
      <c r="AW431" s="364"/>
      <c r="AX431" s="364"/>
      <c r="AY431" s="577"/>
      <c r="AZ431" s="577"/>
      <c r="BA431" s="577"/>
      <c r="BB431" s="926"/>
      <c r="BC431" s="364"/>
      <c r="BD431" s="364"/>
      <c r="BE431" s="577"/>
      <c r="BF431" s="364"/>
      <c r="BG431" s="384"/>
      <c r="BH431" s="577"/>
      <c r="BI431" s="364"/>
      <c r="BJ431" s="364"/>
      <c r="BK431" s="364"/>
      <c r="BL431" s="364"/>
      <c r="BM431" s="384"/>
      <c r="BN431" s="364"/>
      <c r="BO431" s="364"/>
      <c r="BP431" s="364"/>
      <c r="BQ431" s="388"/>
      <c r="BR431" s="388"/>
      <c r="BS431" s="388"/>
      <c r="BT431" s="388"/>
      <c r="BU431" s="384"/>
      <c r="BV431" s="384"/>
      <c r="BW431" s="387"/>
      <c r="BX431" s="387"/>
      <c r="BY431" s="388"/>
      <c r="BZ431" s="388"/>
      <c r="CA431" s="388"/>
      <c r="CB431" s="387"/>
      <c r="CC431" s="387"/>
      <c r="CE431" s="2"/>
      <c r="CF431" s="2"/>
      <c r="CG431" s="2"/>
      <c r="CH431" s="2"/>
      <c r="CI431" s="2"/>
      <c r="CJ431" s="2"/>
      <c r="CK431" s="2"/>
      <c r="CL431" s="2"/>
      <c r="CM431" s="2"/>
      <c r="CN431" s="2"/>
      <c r="CO431" s="2"/>
      <c r="CP431" s="2"/>
      <c r="CQ431" s="2"/>
      <c r="CR431" s="2"/>
      <c r="CS431" s="364"/>
      <c r="CT431" s="364"/>
      <c r="CU431" s="364"/>
      <c r="CV431" s="407"/>
      <c r="CW431" s="407"/>
      <c r="CX431" s="407"/>
      <c r="CY431" s="407"/>
      <c r="CZ431" s="404"/>
      <c r="DA431" s="404"/>
      <c r="DB431" s="404"/>
      <c r="DC431" s="404"/>
      <c r="DD431" s="407"/>
      <c r="DE431" s="407"/>
      <c r="DF431" s="407"/>
      <c r="DG431" s="407"/>
      <c r="DH431" s="407"/>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row>
    <row r="432" spans="1:150" s="357" customFormat="1">
      <c r="A432" s="364"/>
      <c r="B432" s="678"/>
      <c r="C432" s="364"/>
      <c r="D432" s="364"/>
      <c r="E432" s="678"/>
      <c r="F432" s="678"/>
      <c r="G432" s="678"/>
      <c r="H432" s="364"/>
      <c r="I432" s="364"/>
      <c r="J432" s="364"/>
      <c r="K432" s="364"/>
      <c r="L432" s="786"/>
      <c r="M432" s="364"/>
      <c r="N432" s="364"/>
      <c r="O432" s="364"/>
      <c r="P432" s="364"/>
      <c r="Q432" s="364"/>
      <c r="R432" s="364"/>
      <c r="S432" s="364"/>
      <c r="T432" s="364"/>
      <c r="U432" s="364"/>
      <c r="V432" s="365"/>
      <c r="W432" s="367"/>
      <c r="X432" s="3"/>
      <c r="Y432" s="366"/>
      <c r="Z432" s="678"/>
      <c r="AA432" s="796"/>
      <c r="AB432" s="796"/>
      <c r="AC432" s="705"/>
      <c r="AD432" s="705"/>
      <c r="AE432" s="705"/>
      <c r="AF432" s="362"/>
      <c r="AG432" s="362"/>
      <c r="AH432" s="362"/>
      <c r="AI432" s="362"/>
      <c r="AJ432" s="2"/>
      <c r="AK432" s="2"/>
      <c r="AL432" s="2"/>
      <c r="AM432" s="2"/>
      <c r="AN432" s="2"/>
      <c r="AO432" s="2"/>
      <c r="AP432" s="2"/>
      <c r="AQ432" s="364"/>
      <c r="AR432" s="577"/>
      <c r="AS432" s="364"/>
      <c r="AT432" s="577"/>
      <c r="AU432" s="364"/>
      <c r="AV432" s="364"/>
      <c r="AW432" s="364"/>
      <c r="AX432" s="364"/>
      <c r="AY432" s="577"/>
      <c r="AZ432" s="577"/>
      <c r="BA432" s="577"/>
      <c r="BB432" s="926"/>
      <c r="BC432" s="364"/>
      <c r="BD432" s="364"/>
      <c r="BE432" s="577"/>
      <c r="BF432" s="364"/>
      <c r="BG432" s="384"/>
      <c r="BH432" s="577"/>
      <c r="BI432" s="364"/>
      <c r="BJ432" s="364"/>
      <c r="BK432" s="364"/>
      <c r="BL432" s="364"/>
      <c r="BM432" s="384"/>
      <c r="BN432" s="364"/>
      <c r="BO432" s="364"/>
      <c r="BP432" s="364"/>
      <c r="BQ432" s="388"/>
      <c r="BR432" s="388"/>
      <c r="BS432" s="388"/>
      <c r="BT432" s="388"/>
      <c r="BU432" s="384"/>
      <c r="BV432" s="384"/>
      <c r="BW432" s="387"/>
      <c r="BX432" s="387"/>
      <c r="BY432" s="388"/>
      <c r="BZ432" s="388"/>
      <c r="CA432" s="388"/>
      <c r="CB432" s="387"/>
      <c r="CC432" s="387"/>
      <c r="CE432" s="2"/>
      <c r="CF432" s="2"/>
      <c r="CG432" s="2"/>
      <c r="CH432" s="2"/>
      <c r="CI432" s="2"/>
      <c r="CJ432" s="2"/>
      <c r="CK432" s="2"/>
      <c r="CL432" s="2"/>
      <c r="CM432" s="2"/>
      <c r="CN432" s="2"/>
      <c r="CO432" s="2"/>
      <c r="CP432" s="2"/>
      <c r="CQ432" s="2"/>
      <c r="CR432" s="2"/>
      <c r="CS432" s="364"/>
      <c r="CT432" s="364"/>
      <c r="CU432" s="364"/>
      <c r="CV432" s="407"/>
      <c r="CW432" s="407"/>
      <c r="CX432" s="407"/>
      <c r="CY432" s="407"/>
      <c r="CZ432" s="404"/>
      <c r="DA432" s="404"/>
      <c r="DB432" s="404"/>
      <c r="DC432" s="404"/>
      <c r="DD432" s="407"/>
      <c r="DE432" s="407"/>
      <c r="DF432" s="407"/>
      <c r="DG432" s="407"/>
      <c r="DH432" s="407"/>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row>
    <row r="433" spans="1:150" s="357" customFormat="1">
      <c r="A433" s="364"/>
      <c r="B433" s="678"/>
      <c r="C433" s="364"/>
      <c r="D433" s="364"/>
      <c r="E433" s="678"/>
      <c r="F433" s="678"/>
      <c r="G433" s="678"/>
      <c r="H433" s="364"/>
      <c r="I433" s="364"/>
      <c r="J433" s="364"/>
      <c r="K433" s="364"/>
      <c r="L433" s="786"/>
      <c r="M433" s="364"/>
      <c r="N433" s="364"/>
      <c r="O433" s="364"/>
      <c r="P433" s="364"/>
      <c r="Q433" s="364"/>
      <c r="R433" s="364"/>
      <c r="S433" s="364"/>
      <c r="T433" s="364"/>
      <c r="U433" s="364"/>
      <c r="V433" s="365"/>
      <c r="W433" s="367"/>
      <c r="X433" s="3"/>
      <c r="Y433" s="366"/>
      <c r="Z433" s="678"/>
      <c r="AA433" s="796"/>
      <c r="AB433" s="796"/>
      <c r="AC433" s="705"/>
      <c r="AD433" s="705"/>
      <c r="AE433" s="705"/>
      <c r="AF433" s="362"/>
      <c r="AG433" s="362"/>
      <c r="AH433" s="362"/>
      <c r="AI433" s="362"/>
      <c r="AJ433" s="2"/>
      <c r="AK433" s="2"/>
      <c r="AL433" s="2"/>
      <c r="AM433" s="2"/>
      <c r="AN433" s="2"/>
      <c r="AO433" s="2"/>
      <c r="AP433" s="2"/>
      <c r="AQ433" s="364"/>
      <c r="AR433" s="577"/>
      <c r="AS433" s="364"/>
      <c r="AT433" s="577"/>
      <c r="AU433" s="364"/>
      <c r="AV433" s="364"/>
      <c r="AW433" s="364"/>
      <c r="AX433" s="364"/>
      <c r="AY433" s="577"/>
      <c r="AZ433" s="577"/>
      <c r="BA433" s="577"/>
      <c r="BB433" s="926"/>
      <c r="BC433" s="364"/>
      <c r="BD433" s="364"/>
      <c r="BE433" s="577"/>
      <c r="BF433" s="364"/>
      <c r="BG433" s="384"/>
      <c r="BH433" s="577"/>
      <c r="BI433" s="364"/>
      <c r="BJ433" s="364"/>
      <c r="BK433" s="364"/>
      <c r="BL433" s="364"/>
      <c r="BM433" s="384"/>
      <c r="BN433" s="364"/>
      <c r="BO433" s="364"/>
      <c r="BP433" s="364"/>
      <c r="BQ433" s="388"/>
      <c r="BR433" s="388"/>
      <c r="BS433" s="388"/>
      <c r="BT433" s="388"/>
      <c r="BU433" s="384"/>
      <c r="BV433" s="384"/>
      <c r="BW433" s="387"/>
      <c r="BX433" s="387"/>
      <c r="BY433" s="388"/>
      <c r="BZ433" s="388"/>
      <c r="CA433" s="388"/>
      <c r="CB433" s="387"/>
      <c r="CC433" s="387"/>
      <c r="CE433" s="2"/>
      <c r="CF433" s="2"/>
      <c r="CG433" s="2"/>
      <c r="CH433" s="2"/>
      <c r="CI433" s="2"/>
      <c r="CJ433" s="2"/>
      <c r="CK433" s="2"/>
      <c r="CL433" s="2"/>
      <c r="CM433" s="2"/>
      <c r="CN433" s="2"/>
      <c r="CO433" s="2"/>
      <c r="CP433" s="2"/>
      <c r="CQ433" s="2"/>
      <c r="CR433" s="2"/>
      <c r="CS433" s="364"/>
      <c r="CT433" s="364"/>
      <c r="CU433" s="364"/>
      <c r="CV433" s="407"/>
      <c r="CW433" s="407"/>
      <c r="CX433" s="407"/>
      <c r="CY433" s="407"/>
      <c r="CZ433" s="404"/>
      <c r="DA433" s="404"/>
      <c r="DB433" s="404"/>
      <c r="DC433" s="404"/>
      <c r="DD433" s="407"/>
      <c r="DE433" s="407"/>
      <c r="DF433" s="407"/>
      <c r="DG433" s="407"/>
      <c r="DH433" s="407"/>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row>
    <row r="434" spans="1:150" s="357" customFormat="1">
      <c r="A434" s="364"/>
      <c r="B434" s="678"/>
      <c r="C434" s="364"/>
      <c r="D434" s="364"/>
      <c r="E434" s="678"/>
      <c r="F434" s="678"/>
      <c r="G434" s="678"/>
      <c r="H434" s="364"/>
      <c r="I434" s="364"/>
      <c r="J434" s="364"/>
      <c r="K434" s="364"/>
      <c r="L434" s="786"/>
      <c r="M434" s="364"/>
      <c r="N434" s="364"/>
      <c r="O434" s="364"/>
      <c r="P434" s="364"/>
      <c r="Q434" s="364"/>
      <c r="R434" s="364"/>
      <c r="S434" s="364"/>
      <c r="T434" s="364"/>
      <c r="U434" s="364"/>
      <c r="V434" s="365"/>
      <c r="W434" s="367"/>
      <c r="X434" s="3"/>
      <c r="Y434" s="366"/>
      <c r="Z434" s="678"/>
      <c r="AA434" s="796"/>
      <c r="AB434" s="796"/>
      <c r="AC434" s="705"/>
      <c r="AD434" s="705"/>
      <c r="AE434" s="705"/>
      <c r="AF434" s="362"/>
      <c r="AG434" s="362"/>
      <c r="AH434" s="362"/>
      <c r="AI434" s="362"/>
      <c r="AJ434" s="2"/>
      <c r="AK434" s="2"/>
      <c r="AL434" s="2"/>
      <c r="AM434" s="2"/>
      <c r="AN434" s="2"/>
      <c r="AO434" s="2"/>
      <c r="AP434" s="2"/>
      <c r="AQ434" s="364"/>
      <c r="AR434" s="577"/>
      <c r="AS434" s="364"/>
      <c r="AT434" s="577"/>
      <c r="AU434" s="364"/>
      <c r="AV434" s="364"/>
      <c r="AW434" s="364"/>
      <c r="AX434" s="364"/>
      <c r="AY434" s="577"/>
      <c r="AZ434" s="577"/>
      <c r="BA434" s="577"/>
      <c r="BB434" s="926"/>
      <c r="BC434" s="364"/>
      <c r="BD434" s="364"/>
      <c r="BE434" s="577"/>
      <c r="BF434" s="364"/>
      <c r="BG434" s="384"/>
      <c r="BH434" s="577"/>
      <c r="BI434" s="364"/>
      <c r="BJ434" s="364"/>
      <c r="BK434" s="364"/>
      <c r="BL434" s="364"/>
      <c r="BM434" s="384"/>
      <c r="BN434" s="364"/>
      <c r="BO434" s="364"/>
      <c r="BP434" s="364"/>
      <c r="BQ434" s="388"/>
      <c r="BR434" s="388"/>
      <c r="BS434" s="388"/>
      <c r="BT434" s="388"/>
      <c r="BU434" s="384"/>
      <c r="BV434" s="384"/>
      <c r="BW434" s="387"/>
      <c r="BX434" s="387"/>
      <c r="BY434" s="388"/>
      <c r="BZ434" s="388"/>
      <c r="CA434" s="388"/>
      <c r="CB434" s="387"/>
      <c r="CC434" s="387"/>
      <c r="CE434" s="2"/>
      <c r="CF434" s="2"/>
      <c r="CG434" s="2"/>
      <c r="CH434" s="2"/>
      <c r="CI434" s="2"/>
      <c r="CJ434" s="2"/>
      <c r="CK434" s="2"/>
      <c r="CL434" s="2"/>
      <c r="CM434" s="2"/>
      <c r="CN434" s="2"/>
      <c r="CO434" s="2"/>
      <c r="CP434" s="2"/>
      <c r="CQ434" s="2"/>
      <c r="CR434" s="2"/>
      <c r="CS434" s="364"/>
      <c r="CT434" s="364"/>
      <c r="CU434" s="364"/>
      <c r="CV434" s="407"/>
      <c r="CW434" s="407"/>
      <c r="CX434" s="407"/>
      <c r="CY434" s="407"/>
      <c r="CZ434" s="404"/>
      <c r="DA434" s="404"/>
      <c r="DB434" s="404"/>
      <c r="DC434" s="404"/>
      <c r="DD434" s="407"/>
      <c r="DE434" s="407"/>
      <c r="DF434" s="407"/>
      <c r="DG434" s="407"/>
      <c r="DH434" s="407"/>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row>
    <row r="435" spans="1:150" s="357" customFormat="1">
      <c r="A435" s="364"/>
      <c r="B435" s="678"/>
      <c r="C435" s="364"/>
      <c r="D435" s="364"/>
      <c r="E435" s="678"/>
      <c r="F435" s="678"/>
      <c r="G435" s="678"/>
      <c r="H435" s="364"/>
      <c r="I435" s="364"/>
      <c r="J435" s="364"/>
      <c r="K435" s="364"/>
      <c r="L435" s="786"/>
      <c r="M435" s="364"/>
      <c r="N435" s="364"/>
      <c r="O435" s="364"/>
      <c r="P435" s="364"/>
      <c r="Q435" s="364"/>
      <c r="R435" s="364"/>
      <c r="S435" s="364"/>
      <c r="T435" s="364"/>
      <c r="U435" s="364"/>
      <c r="V435" s="365"/>
      <c r="W435" s="367"/>
      <c r="X435" s="3"/>
      <c r="Y435" s="366"/>
      <c r="Z435" s="678"/>
      <c r="AA435" s="796"/>
      <c r="AB435" s="796"/>
      <c r="AC435" s="705"/>
      <c r="AD435" s="705"/>
      <c r="AE435" s="705"/>
      <c r="AF435" s="362"/>
      <c r="AG435" s="362"/>
      <c r="AH435" s="362"/>
      <c r="AI435" s="362"/>
      <c r="AJ435" s="2"/>
      <c r="AK435" s="2"/>
      <c r="AL435" s="2"/>
      <c r="AM435" s="2"/>
      <c r="AN435" s="2"/>
      <c r="AO435" s="2"/>
      <c r="AP435" s="2"/>
      <c r="AQ435" s="364"/>
      <c r="AR435" s="577"/>
      <c r="AS435" s="364"/>
      <c r="AT435" s="577"/>
      <c r="AU435" s="364"/>
      <c r="AV435" s="364"/>
      <c r="AW435" s="364"/>
      <c r="AX435" s="364"/>
      <c r="AY435" s="577"/>
      <c r="AZ435" s="577"/>
      <c r="BA435" s="577"/>
      <c r="BB435" s="926"/>
      <c r="BC435" s="364"/>
      <c r="BD435" s="364"/>
      <c r="BE435" s="577"/>
      <c r="BF435" s="364"/>
      <c r="BG435" s="384"/>
      <c r="BH435" s="577"/>
      <c r="BI435" s="364"/>
      <c r="BJ435" s="364"/>
      <c r="BK435" s="364"/>
      <c r="BL435" s="364"/>
      <c r="BM435" s="384"/>
      <c r="BN435" s="364"/>
      <c r="BO435" s="364"/>
      <c r="BP435" s="364"/>
      <c r="BQ435" s="388"/>
      <c r="BR435" s="388"/>
      <c r="BS435" s="388"/>
      <c r="BT435" s="388"/>
      <c r="BU435" s="384"/>
      <c r="BV435" s="384"/>
      <c r="BW435" s="387"/>
      <c r="BX435" s="387"/>
      <c r="BY435" s="388"/>
      <c r="BZ435" s="388"/>
      <c r="CA435" s="388"/>
      <c r="CB435" s="387"/>
      <c r="CC435" s="387"/>
      <c r="CE435" s="2"/>
      <c r="CF435" s="2"/>
      <c r="CG435" s="2"/>
      <c r="CH435" s="2"/>
      <c r="CI435" s="2"/>
      <c r="CJ435" s="2"/>
      <c r="CK435" s="2"/>
      <c r="CL435" s="2"/>
      <c r="CM435" s="2"/>
      <c r="CN435" s="2"/>
      <c r="CO435" s="2"/>
      <c r="CP435" s="2"/>
      <c r="CQ435" s="2"/>
      <c r="CR435" s="2"/>
      <c r="CS435" s="364"/>
      <c r="CT435" s="364"/>
      <c r="CU435" s="364"/>
      <c r="CV435" s="407"/>
      <c r="CW435" s="407"/>
      <c r="CX435" s="407"/>
      <c r="CY435" s="407"/>
      <c r="CZ435" s="404"/>
      <c r="DA435" s="404"/>
      <c r="DB435" s="404"/>
      <c r="DC435" s="404"/>
      <c r="DD435" s="407"/>
      <c r="DE435" s="407"/>
      <c r="DF435" s="407"/>
      <c r="DG435" s="407"/>
      <c r="DH435" s="407"/>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row>
    <row r="436" spans="1:150" s="357" customFormat="1">
      <c r="A436" s="364"/>
      <c r="B436" s="678"/>
      <c r="C436" s="364"/>
      <c r="D436" s="364"/>
      <c r="E436" s="678"/>
      <c r="F436" s="678"/>
      <c r="G436" s="678"/>
      <c r="H436" s="364"/>
      <c r="I436" s="364"/>
      <c r="J436" s="364"/>
      <c r="K436" s="364"/>
      <c r="L436" s="786"/>
      <c r="M436" s="364"/>
      <c r="N436" s="364"/>
      <c r="O436" s="364"/>
      <c r="P436" s="364"/>
      <c r="Q436" s="364"/>
      <c r="R436" s="364"/>
      <c r="S436" s="364"/>
      <c r="T436" s="364"/>
      <c r="U436" s="364"/>
      <c r="V436" s="365"/>
      <c r="W436" s="367"/>
      <c r="X436" s="3"/>
      <c r="Y436" s="366"/>
      <c r="Z436" s="678"/>
      <c r="AA436" s="796"/>
      <c r="AB436" s="796"/>
      <c r="AC436" s="705"/>
      <c r="AD436" s="705"/>
      <c r="AE436" s="705"/>
      <c r="AF436" s="362"/>
      <c r="AG436" s="362"/>
      <c r="AH436" s="362"/>
      <c r="AI436" s="362"/>
      <c r="AJ436" s="2"/>
      <c r="AK436" s="2"/>
      <c r="AL436" s="2"/>
      <c r="AM436" s="2"/>
      <c r="AN436" s="2"/>
      <c r="AO436" s="2"/>
      <c r="AP436" s="2"/>
      <c r="AQ436" s="364"/>
      <c r="AR436" s="577"/>
      <c r="AS436" s="364"/>
      <c r="AT436" s="577"/>
      <c r="AU436" s="364"/>
      <c r="AV436" s="364"/>
      <c r="AW436" s="364"/>
      <c r="AX436" s="364"/>
      <c r="AY436" s="577"/>
      <c r="AZ436" s="577"/>
      <c r="BA436" s="577"/>
      <c r="BB436" s="926"/>
      <c r="BC436" s="364"/>
      <c r="BD436" s="364"/>
      <c r="BE436" s="577"/>
      <c r="BF436" s="364"/>
      <c r="BG436" s="384"/>
      <c r="BH436" s="577"/>
      <c r="BI436" s="364"/>
      <c r="BJ436" s="364"/>
      <c r="BK436" s="364"/>
      <c r="BL436" s="364"/>
      <c r="BM436" s="384"/>
      <c r="BN436" s="364"/>
      <c r="BO436" s="364"/>
      <c r="BP436" s="364"/>
      <c r="BQ436" s="388"/>
      <c r="BR436" s="388"/>
      <c r="BS436" s="388"/>
      <c r="BT436" s="388"/>
      <c r="BU436" s="384"/>
      <c r="BV436" s="384"/>
      <c r="BW436" s="387"/>
      <c r="BX436" s="387"/>
      <c r="BY436" s="388"/>
      <c r="BZ436" s="388"/>
      <c r="CA436" s="388"/>
      <c r="CB436" s="387"/>
      <c r="CC436" s="387"/>
      <c r="CE436" s="2"/>
      <c r="CF436" s="2"/>
      <c r="CG436" s="2"/>
      <c r="CH436" s="2"/>
      <c r="CI436" s="2"/>
      <c r="CJ436" s="2"/>
      <c r="CK436" s="2"/>
      <c r="CL436" s="2"/>
      <c r="CM436" s="2"/>
      <c r="CN436" s="2"/>
      <c r="CO436" s="2"/>
      <c r="CP436" s="2"/>
      <c r="CQ436" s="2"/>
      <c r="CR436" s="2"/>
      <c r="CS436" s="364"/>
      <c r="CT436" s="364"/>
      <c r="CU436" s="364"/>
      <c r="CV436" s="407"/>
      <c r="CW436" s="407"/>
      <c r="CX436" s="407"/>
      <c r="CY436" s="407"/>
      <c r="CZ436" s="404"/>
      <c r="DA436" s="404"/>
      <c r="DB436" s="404"/>
      <c r="DC436" s="404"/>
      <c r="DD436" s="407"/>
      <c r="DE436" s="407"/>
      <c r="DF436" s="407"/>
      <c r="DG436" s="407"/>
      <c r="DH436" s="407"/>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row>
    <row r="437" spans="1:150" s="357" customFormat="1">
      <c r="A437" s="364"/>
      <c r="B437" s="678"/>
      <c r="C437" s="364"/>
      <c r="D437" s="364"/>
      <c r="E437" s="678"/>
      <c r="F437" s="678"/>
      <c r="G437" s="678"/>
      <c r="H437" s="364"/>
      <c r="I437" s="364"/>
      <c r="J437" s="364"/>
      <c r="K437" s="364"/>
      <c r="L437" s="786"/>
      <c r="M437" s="364"/>
      <c r="N437" s="364"/>
      <c r="O437" s="364"/>
      <c r="P437" s="364"/>
      <c r="Q437" s="364"/>
      <c r="R437" s="364"/>
      <c r="S437" s="364"/>
      <c r="T437" s="364"/>
      <c r="U437" s="364"/>
      <c r="V437" s="365"/>
      <c r="W437" s="367"/>
      <c r="X437" s="3"/>
      <c r="Y437" s="366"/>
      <c r="Z437" s="678"/>
      <c r="AA437" s="796"/>
      <c r="AB437" s="796"/>
      <c r="AC437" s="705"/>
      <c r="AD437" s="705"/>
      <c r="AE437" s="705"/>
      <c r="AF437" s="362"/>
      <c r="AG437" s="362"/>
      <c r="AH437" s="362"/>
      <c r="AI437" s="362"/>
      <c r="AJ437" s="2"/>
      <c r="AK437" s="2"/>
      <c r="AL437" s="2"/>
      <c r="AM437" s="2"/>
      <c r="AN437" s="2"/>
      <c r="AO437" s="2"/>
      <c r="AP437" s="2"/>
      <c r="AQ437" s="364"/>
      <c r="AR437" s="577"/>
      <c r="AS437" s="364"/>
      <c r="AT437" s="577"/>
      <c r="AU437" s="364"/>
      <c r="AV437" s="364"/>
      <c r="AW437" s="364"/>
      <c r="AX437" s="364"/>
      <c r="AY437" s="577"/>
      <c r="AZ437" s="577"/>
      <c r="BA437" s="577"/>
      <c r="BB437" s="926"/>
      <c r="BC437" s="364"/>
      <c r="BD437" s="364"/>
      <c r="BE437" s="577"/>
      <c r="BF437" s="364"/>
      <c r="BG437" s="384"/>
      <c r="BH437" s="577"/>
      <c r="BI437" s="364"/>
      <c r="BJ437" s="364"/>
      <c r="BK437" s="364"/>
      <c r="BL437" s="364"/>
      <c r="BM437" s="384"/>
      <c r="BN437" s="364"/>
      <c r="BO437" s="364"/>
      <c r="BP437" s="364"/>
      <c r="BQ437" s="388"/>
      <c r="BR437" s="388"/>
      <c r="BS437" s="388"/>
      <c r="BT437" s="388"/>
      <c r="BU437" s="384"/>
      <c r="BV437" s="384"/>
      <c r="BW437" s="387"/>
      <c r="BX437" s="387"/>
      <c r="BY437" s="388"/>
      <c r="BZ437" s="388"/>
      <c r="CA437" s="388"/>
      <c r="CB437" s="387"/>
      <c r="CC437" s="387"/>
      <c r="CE437" s="2"/>
      <c r="CF437" s="2"/>
      <c r="CG437" s="2"/>
      <c r="CH437" s="2"/>
      <c r="CI437" s="2"/>
      <c r="CJ437" s="2"/>
      <c r="CK437" s="2"/>
      <c r="CL437" s="2"/>
      <c r="CM437" s="2"/>
      <c r="CN437" s="2"/>
      <c r="CO437" s="2"/>
      <c r="CP437" s="2"/>
      <c r="CQ437" s="2"/>
      <c r="CR437" s="2"/>
      <c r="CS437" s="364"/>
      <c r="CT437" s="364"/>
      <c r="CU437" s="364"/>
      <c r="CV437" s="407"/>
      <c r="CW437" s="407"/>
      <c r="CX437" s="407"/>
      <c r="CY437" s="407"/>
      <c r="CZ437" s="404"/>
      <c r="DA437" s="404"/>
      <c r="DB437" s="404"/>
      <c r="DC437" s="404"/>
      <c r="DD437" s="407"/>
      <c r="DE437" s="407"/>
      <c r="DF437" s="407"/>
      <c r="DG437" s="407"/>
      <c r="DH437" s="407"/>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row>
    <row r="438" spans="1:150" s="357" customFormat="1">
      <c r="A438" s="364"/>
      <c r="B438" s="678"/>
      <c r="C438" s="364"/>
      <c r="D438" s="364"/>
      <c r="E438" s="678"/>
      <c r="F438" s="678"/>
      <c r="G438" s="678"/>
      <c r="H438" s="364"/>
      <c r="I438" s="364"/>
      <c r="J438" s="364"/>
      <c r="K438" s="364"/>
      <c r="L438" s="786"/>
      <c r="M438" s="364"/>
      <c r="N438" s="364"/>
      <c r="O438" s="364"/>
      <c r="P438" s="364"/>
      <c r="Q438" s="364"/>
      <c r="R438" s="364"/>
      <c r="S438" s="364"/>
      <c r="T438" s="364"/>
      <c r="U438" s="364"/>
      <c r="V438" s="365"/>
      <c r="W438" s="367"/>
      <c r="X438" s="3"/>
      <c r="Y438" s="366"/>
      <c r="Z438" s="678"/>
      <c r="AA438" s="796"/>
      <c r="AB438" s="796"/>
      <c r="AC438" s="705"/>
      <c r="AD438" s="705"/>
      <c r="AE438" s="705"/>
      <c r="AF438" s="362"/>
      <c r="AG438" s="362"/>
      <c r="AH438" s="362"/>
      <c r="AI438" s="362"/>
      <c r="AJ438" s="2"/>
      <c r="AK438" s="2"/>
      <c r="AL438" s="2"/>
      <c r="AM438" s="2"/>
      <c r="AN438" s="2"/>
      <c r="AO438" s="2"/>
      <c r="AP438" s="2"/>
      <c r="AQ438" s="364"/>
      <c r="AR438" s="577"/>
      <c r="AS438" s="364"/>
      <c r="AT438" s="577"/>
      <c r="AU438" s="364"/>
      <c r="AV438" s="364"/>
      <c r="AW438" s="364"/>
      <c r="AX438" s="364"/>
      <c r="AY438" s="577"/>
      <c r="AZ438" s="577"/>
      <c r="BA438" s="577"/>
      <c r="BB438" s="926"/>
      <c r="BC438" s="364"/>
      <c r="BD438" s="364"/>
      <c r="BE438" s="577"/>
      <c r="BF438" s="364"/>
      <c r="BG438" s="384"/>
      <c r="BH438" s="577"/>
      <c r="BI438" s="364"/>
      <c r="BJ438" s="364"/>
      <c r="BK438" s="364"/>
      <c r="BL438" s="364"/>
      <c r="BM438" s="384"/>
      <c r="BN438" s="364"/>
      <c r="BO438" s="364"/>
      <c r="BP438" s="364"/>
      <c r="BQ438" s="388"/>
      <c r="BR438" s="388"/>
      <c r="BS438" s="388"/>
      <c r="BT438" s="388"/>
      <c r="BU438" s="384"/>
      <c r="BV438" s="384"/>
      <c r="BW438" s="387"/>
      <c r="BX438" s="387"/>
      <c r="BY438" s="388"/>
      <c r="BZ438" s="388"/>
      <c r="CA438" s="388"/>
      <c r="CB438" s="387"/>
      <c r="CC438" s="387"/>
      <c r="CE438" s="2"/>
      <c r="CF438" s="2"/>
      <c r="CG438" s="2"/>
      <c r="CH438" s="2"/>
      <c r="CI438" s="2"/>
      <c r="CJ438" s="2"/>
      <c r="CK438" s="2"/>
      <c r="CL438" s="2"/>
      <c r="CM438" s="2"/>
      <c r="CN438" s="2"/>
      <c r="CO438" s="2"/>
      <c r="CP438" s="2"/>
      <c r="CQ438" s="2"/>
      <c r="CR438" s="2"/>
      <c r="CS438" s="364"/>
      <c r="CT438" s="364"/>
      <c r="CU438" s="364"/>
      <c r="CV438" s="407"/>
      <c r="CW438" s="407"/>
      <c r="CX438" s="407"/>
      <c r="CY438" s="407"/>
      <c r="CZ438" s="404"/>
      <c r="DA438" s="404"/>
      <c r="DB438" s="404"/>
      <c r="DC438" s="404"/>
      <c r="DD438" s="407"/>
      <c r="DE438" s="407"/>
      <c r="DF438" s="407"/>
      <c r="DG438" s="407"/>
      <c r="DH438" s="407"/>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row>
    <row r="439" spans="1:150" s="357" customFormat="1">
      <c r="A439" s="364"/>
      <c r="B439" s="678"/>
      <c r="C439" s="364"/>
      <c r="D439" s="364"/>
      <c r="E439" s="678"/>
      <c r="F439" s="678"/>
      <c r="G439" s="678"/>
      <c r="H439" s="364"/>
      <c r="I439" s="364"/>
      <c r="J439" s="364"/>
      <c r="K439" s="364"/>
      <c r="L439" s="786"/>
      <c r="M439" s="364"/>
      <c r="N439" s="364"/>
      <c r="O439" s="364"/>
      <c r="P439" s="364"/>
      <c r="Q439" s="364"/>
      <c r="R439" s="364"/>
      <c r="S439" s="364"/>
      <c r="T439" s="364"/>
      <c r="U439" s="364"/>
      <c r="V439" s="365"/>
      <c r="W439" s="367"/>
      <c r="X439" s="3"/>
      <c r="Y439" s="366"/>
      <c r="Z439" s="678"/>
      <c r="AA439" s="796"/>
      <c r="AB439" s="796"/>
      <c r="AC439" s="705"/>
      <c r="AD439" s="705"/>
      <c r="AE439" s="705"/>
      <c r="AF439" s="362"/>
      <c r="AG439" s="362"/>
      <c r="AH439" s="362"/>
      <c r="AI439" s="362"/>
      <c r="AJ439" s="2"/>
      <c r="AK439" s="2"/>
      <c r="AL439" s="2"/>
      <c r="AM439" s="2"/>
      <c r="AN439" s="2"/>
      <c r="AO439" s="2"/>
      <c r="AP439" s="2"/>
      <c r="AQ439" s="364"/>
      <c r="AR439" s="577"/>
      <c r="AS439" s="364"/>
      <c r="AT439" s="577"/>
      <c r="AU439" s="364"/>
      <c r="AV439" s="364"/>
      <c r="AW439" s="364"/>
      <c r="AX439" s="364"/>
      <c r="AY439" s="577"/>
      <c r="AZ439" s="577"/>
      <c r="BA439" s="577"/>
      <c r="BB439" s="926"/>
      <c r="BC439" s="364"/>
      <c r="BD439" s="364"/>
      <c r="BE439" s="577"/>
      <c r="BF439" s="364"/>
      <c r="BG439" s="384"/>
      <c r="BH439" s="577"/>
      <c r="BI439" s="364"/>
      <c r="BJ439" s="364"/>
      <c r="BK439" s="364"/>
      <c r="BL439" s="364"/>
      <c r="BM439" s="384"/>
      <c r="BN439" s="364"/>
      <c r="BO439" s="364"/>
      <c r="BP439" s="364"/>
      <c r="BQ439" s="388"/>
      <c r="BR439" s="388"/>
      <c r="BS439" s="388"/>
      <c r="BT439" s="388"/>
      <c r="BU439" s="384"/>
      <c r="BV439" s="384"/>
      <c r="BW439" s="387"/>
      <c r="BX439" s="387"/>
      <c r="BY439" s="388"/>
      <c r="BZ439" s="388"/>
      <c r="CA439" s="388"/>
      <c r="CB439" s="387"/>
      <c r="CC439" s="387"/>
      <c r="CE439" s="2"/>
      <c r="CF439" s="2"/>
      <c r="CG439" s="2"/>
      <c r="CH439" s="2"/>
      <c r="CI439" s="2"/>
      <c r="CJ439" s="2"/>
      <c r="CK439" s="2"/>
      <c r="CL439" s="2"/>
      <c r="CM439" s="2"/>
      <c r="CN439" s="2"/>
      <c r="CO439" s="2"/>
      <c r="CP439" s="2"/>
      <c r="CQ439" s="2"/>
      <c r="CR439" s="2"/>
      <c r="CS439" s="364"/>
      <c r="CT439" s="364"/>
      <c r="CU439" s="364"/>
      <c r="CV439" s="407"/>
      <c r="CW439" s="407"/>
      <c r="CX439" s="407"/>
      <c r="CY439" s="407"/>
      <c r="CZ439" s="404"/>
      <c r="DA439" s="404"/>
      <c r="DB439" s="404"/>
      <c r="DC439" s="404"/>
      <c r="DD439" s="407"/>
      <c r="DE439" s="407"/>
      <c r="DF439" s="407"/>
      <c r="DG439" s="407"/>
      <c r="DH439" s="407"/>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row>
    <row r="440" spans="1:150" s="357" customFormat="1">
      <c r="A440" s="364"/>
      <c r="B440" s="678"/>
      <c r="C440" s="364"/>
      <c r="D440" s="364"/>
      <c r="E440" s="678"/>
      <c r="F440" s="678"/>
      <c r="G440" s="678"/>
      <c r="H440" s="364"/>
      <c r="I440" s="364"/>
      <c r="J440" s="364"/>
      <c r="K440" s="364"/>
      <c r="L440" s="786"/>
      <c r="M440" s="364"/>
      <c r="N440" s="364"/>
      <c r="O440" s="364"/>
      <c r="P440" s="364"/>
      <c r="Q440" s="364"/>
      <c r="R440" s="364"/>
      <c r="S440" s="364"/>
      <c r="T440" s="364"/>
      <c r="U440" s="364"/>
      <c r="V440" s="365"/>
      <c r="W440" s="367"/>
      <c r="X440" s="3"/>
      <c r="Y440" s="366"/>
      <c r="Z440" s="678"/>
      <c r="AA440" s="796"/>
      <c r="AB440" s="796"/>
      <c r="AC440" s="705"/>
      <c r="AD440" s="705"/>
      <c r="AE440" s="705"/>
      <c r="AF440" s="362"/>
      <c r="AG440" s="362"/>
      <c r="AH440" s="362"/>
      <c r="AI440" s="362"/>
      <c r="AJ440" s="2"/>
      <c r="AK440" s="2"/>
      <c r="AL440" s="2"/>
      <c r="AM440" s="2"/>
      <c r="AN440" s="2"/>
      <c r="AO440" s="2"/>
      <c r="AP440" s="2"/>
      <c r="AQ440" s="364"/>
      <c r="AR440" s="577"/>
      <c r="AS440" s="364"/>
      <c r="AT440" s="577"/>
      <c r="AU440" s="364"/>
      <c r="AV440" s="364"/>
      <c r="AW440" s="364"/>
      <c r="AX440" s="364"/>
      <c r="AY440" s="577"/>
      <c r="AZ440" s="577"/>
      <c r="BA440" s="577"/>
      <c r="BB440" s="926"/>
      <c r="BC440" s="364"/>
      <c r="BD440" s="364"/>
      <c r="BE440" s="577"/>
      <c r="BF440" s="364"/>
      <c r="BG440" s="384"/>
      <c r="BH440" s="577"/>
      <c r="BI440" s="364"/>
      <c r="BJ440" s="364"/>
      <c r="BK440" s="364"/>
      <c r="BL440" s="364"/>
      <c r="BM440" s="384"/>
      <c r="BN440" s="364"/>
      <c r="BO440" s="364"/>
      <c r="BP440" s="364"/>
      <c r="BQ440" s="388"/>
      <c r="BR440" s="388"/>
      <c r="BS440" s="388"/>
      <c r="BT440" s="388"/>
      <c r="BU440" s="384"/>
      <c r="BV440" s="384"/>
      <c r="BW440" s="387"/>
      <c r="BX440" s="387"/>
      <c r="BY440" s="388"/>
      <c r="BZ440" s="388"/>
      <c r="CA440" s="388"/>
      <c r="CB440" s="387"/>
      <c r="CC440" s="387"/>
      <c r="CE440" s="2"/>
      <c r="CF440" s="2"/>
      <c r="CG440" s="2"/>
      <c r="CH440" s="2"/>
      <c r="CI440" s="2"/>
      <c r="CJ440" s="2"/>
      <c r="CK440" s="2"/>
      <c r="CL440" s="2"/>
      <c r="CM440" s="2"/>
      <c r="CN440" s="2"/>
      <c r="CO440" s="2"/>
      <c r="CP440" s="2"/>
      <c r="CQ440" s="2"/>
      <c r="CR440" s="2"/>
      <c r="CS440" s="364"/>
      <c r="CT440" s="364"/>
      <c r="CU440" s="364"/>
      <c r="CV440" s="407"/>
      <c r="CW440" s="407"/>
      <c r="CX440" s="407"/>
      <c r="CY440" s="407"/>
      <c r="CZ440" s="404"/>
      <c r="DA440" s="404"/>
      <c r="DB440" s="404"/>
      <c r="DC440" s="404"/>
      <c r="DD440" s="407"/>
      <c r="DE440" s="407"/>
      <c r="DF440" s="407"/>
      <c r="DG440" s="407"/>
      <c r="DH440" s="407"/>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row>
    <row r="441" spans="1:150" s="357" customFormat="1">
      <c r="A441" s="364"/>
      <c r="B441" s="678"/>
      <c r="C441" s="364"/>
      <c r="D441" s="364"/>
      <c r="E441" s="678"/>
      <c r="F441" s="678"/>
      <c r="G441" s="678"/>
      <c r="H441" s="364"/>
      <c r="I441" s="364"/>
      <c r="J441" s="364"/>
      <c r="K441" s="364"/>
      <c r="L441" s="786"/>
      <c r="M441" s="364"/>
      <c r="N441" s="364"/>
      <c r="O441" s="364"/>
      <c r="P441" s="364"/>
      <c r="Q441" s="364"/>
      <c r="R441" s="364"/>
      <c r="S441" s="364"/>
      <c r="T441" s="364"/>
      <c r="U441" s="364"/>
      <c r="V441" s="365"/>
      <c r="W441" s="367"/>
      <c r="X441" s="3"/>
      <c r="Y441" s="366"/>
      <c r="Z441" s="678"/>
      <c r="AA441" s="796"/>
      <c r="AB441" s="796"/>
      <c r="AC441" s="705"/>
      <c r="AD441" s="705"/>
      <c r="AE441" s="705"/>
      <c r="AF441" s="362"/>
      <c r="AG441" s="362"/>
      <c r="AH441" s="362"/>
      <c r="AI441" s="362"/>
      <c r="AJ441" s="2"/>
      <c r="AK441" s="2"/>
      <c r="AL441" s="2"/>
      <c r="AM441" s="2"/>
      <c r="AN441" s="2"/>
      <c r="AO441" s="2"/>
      <c r="AP441" s="2"/>
      <c r="AQ441" s="364"/>
      <c r="AR441" s="577"/>
      <c r="AS441" s="364"/>
      <c r="AT441" s="577"/>
      <c r="AU441" s="364"/>
      <c r="AV441" s="364"/>
      <c r="AW441" s="364"/>
      <c r="AX441" s="364"/>
      <c r="AY441" s="577"/>
      <c r="AZ441" s="577"/>
      <c r="BA441" s="577"/>
      <c r="BB441" s="926"/>
      <c r="BC441" s="364"/>
      <c r="BD441" s="364"/>
      <c r="BE441" s="577"/>
      <c r="BF441" s="364"/>
      <c r="BG441" s="384"/>
      <c r="BH441" s="577"/>
      <c r="BI441" s="364"/>
      <c r="BJ441" s="364"/>
      <c r="BK441" s="364"/>
      <c r="BL441" s="364"/>
      <c r="BM441" s="384"/>
      <c r="BN441" s="364"/>
      <c r="BO441" s="364"/>
      <c r="BP441" s="364"/>
      <c r="BQ441" s="388"/>
      <c r="BR441" s="388"/>
      <c r="BS441" s="388"/>
      <c r="BT441" s="388"/>
      <c r="BU441" s="384"/>
      <c r="BV441" s="384"/>
      <c r="BW441" s="387"/>
      <c r="BX441" s="387"/>
      <c r="BY441" s="388"/>
      <c r="BZ441" s="388"/>
      <c r="CA441" s="388"/>
      <c r="CB441" s="387"/>
      <c r="CC441" s="387"/>
      <c r="CE441" s="2"/>
      <c r="CF441" s="2"/>
      <c r="CG441" s="2"/>
      <c r="CH441" s="2"/>
      <c r="CI441" s="2"/>
      <c r="CJ441" s="2"/>
      <c r="CK441" s="2"/>
      <c r="CL441" s="2"/>
      <c r="CM441" s="2"/>
      <c r="CN441" s="2"/>
      <c r="CO441" s="2"/>
      <c r="CP441" s="2"/>
      <c r="CQ441" s="2"/>
      <c r="CR441" s="2"/>
      <c r="CS441" s="364"/>
      <c r="CT441" s="364"/>
      <c r="CU441" s="364"/>
      <c r="CV441" s="407"/>
      <c r="CW441" s="407"/>
      <c r="CX441" s="407"/>
      <c r="CY441" s="407"/>
      <c r="CZ441" s="404"/>
      <c r="DA441" s="404"/>
      <c r="DB441" s="404"/>
      <c r="DC441" s="404"/>
      <c r="DD441" s="407"/>
      <c r="DE441" s="407"/>
      <c r="DF441" s="407"/>
      <c r="DG441" s="407"/>
      <c r="DH441" s="407"/>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row>
    <row r="442" spans="1:150" s="357" customFormat="1">
      <c r="A442" s="364"/>
      <c r="B442" s="678"/>
      <c r="C442" s="364"/>
      <c r="D442" s="364"/>
      <c r="E442" s="678"/>
      <c r="F442" s="678"/>
      <c r="G442" s="678"/>
      <c r="H442" s="364"/>
      <c r="I442" s="364"/>
      <c r="J442" s="364"/>
      <c r="K442" s="364"/>
      <c r="L442" s="786"/>
      <c r="M442" s="364"/>
      <c r="N442" s="364"/>
      <c r="O442" s="364"/>
      <c r="P442" s="364"/>
      <c r="Q442" s="364"/>
      <c r="R442" s="364"/>
      <c r="S442" s="364"/>
      <c r="T442" s="364"/>
      <c r="U442" s="364"/>
      <c r="V442" s="365"/>
      <c r="W442" s="367"/>
      <c r="X442" s="3"/>
      <c r="Y442" s="366"/>
      <c r="Z442" s="678"/>
      <c r="AA442" s="796"/>
      <c r="AB442" s="796"/>
      <c r="AC442" s="705"/>
      <c r="AD442" s="705"/>
      <c r="AE442" s="705"/>
      <c r="AF442" s="362"/>
      <c r="AG442" s="362"/>
      <c r="AH442" s="362"/>
      <c r="AI442" s="362"/>
      <c r="AJ442" s="2"/>
      <c r="AK442" s="2"/>
      <c r="AL442" s="2"/>
      <c r="AM442" s="2"/>
      <c r="AN442" s="2"/>
      <c r="AO442" s="2"/>
      <c r="AP442" s="2"/>
      <c r="AQ442" s="364"/>
      <c r="AR442" s="577"/>
      <c r="AS442" s="364"/>
      <c r="AT442" s="577"/>
      <c r="AU442" s="364"/>
      <c r="AV442" s="364"/>
      <c r="AW442" s="364"/>
      <c r="AX442" s="364"/>
      <c r="AY442" s="577"/>
      <c r="AZ442" s="577"/>
      <c r="BA442" s="577"/>
      <c r="BB442" s="926"/>
      <c r="BC442" s="364"/>
      <c r="BD442" s="364"/>
      <c r="BE442" s="577"/>
      <c r="BF442" s="364"/>
      <c r="BG442" s="384"/>
      <c r="BH442" s="577"/>
      <c r="BI442" s="364"/>
      <c r="BJ442" s="364"/>
      <c r="BK442" s="364"/>
      <c r="BL442" s="364"/>
      <c r="BM442" s="384"/>
      <c r="BN442" s="364"/>
      <c r="BO442" s="364"/>
      <c r="BP442" s="364"/>
      <c r="BQ442" s="388"/>
      <c r="BR442" s="388"/>
      <c r="BS442" s="388"/>
      <c r="BT442" s="388"/>
      <c r="BU442" s="384"/>
      <c r="BV442" s="384"/>
      <c r="BW442" s="387"/>
      <c r="BX442" s="387"/>
      <c r="BY442" s="388"/>
      <c r="BZ442" s="388"/>
      <c r="CA442" s="388"/>
      <c r="CB442" s="387"/>
      <c r="CC442" s="387"/>
      <c r="CE442" s="2"/>
      <c r="CF442" s="2"/>
      <c r="CG442" s="2"/>
      <c r="CH442" s="2"/>
      <c r="CI442" s="2"/>
      <c r="CJ442" s="2"/>
      <c r="CK442" s="2"/>
      <c r="CL442" s="2"/>
      <c r="CM442" s="2"/>
      <c r="CN442" s="2"/>
      <c r="CO442" s="2"/>
      <c r="CP442" s="2"/>
      <c r="CQ442" s="2"/>
      <c r="CR442" s="2"/>
      <c r="CS442" s="364"/>
      <c r="CT442" s="364"/>
      <c r="CU442" s="364"/>
      <c r="CV442" s="407"/>
      <c r="CW442" s="407"/>
      <c r="CX442" s="407"/>
      <c r="CY442" s="407"/>
      <c r="CZ442" s="404"/>
      <c r="DA442" s="404"/>
      <c r="DB442" s="404"/>
      <c r="DC442" s="404"/>
      <c r="DD442" s="407"/>
      <c r="DE442" s="407"/>
      <c r="DF442" s="407"/>
      <c r="DG442" s="407"/>
      <c r="DH442" s="407"/>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row>
    <row r="443" spans="1:150" s="357" customFormat="1">
      <c r="A443" s="364"/>
      <c r="B443" s="678"/>
      <c r="C443" s="364"/>
      <c r="D443" s="364"/>
      <c r="E443" s="678"/>
      <c r="F443" s="678"/>
      <c r="G443" s="678"/>
      <c r="H443" s="364"/>
      <c r="I443" s="364"/>
      <c r="J443" s="364"/>
      <c r="K443" s="364"/>
      <c r="L443" s="786"/>
      <c r="M443" s="364"/>
      <c r="N443" s="364"/>
      <c r="O443" s="364"/>
      <c r="P443" s="364"/>
      <c r="Q443" s="364"/>
      <c r="R443" s="364"/>
      <c r="S443" s="364"/>
      <c r="T443" s="364"/>
      <c r="U443" s="364"/>
      <c r="V443" s="365"/>
      <c r="W443" s="367"/>
      <c r="X443" s="3"/>
      <c r="Y443" s="366"/>
      <c r="Z443" s="678"/>
      <c r="AA443" s="796"/>
      <c r="AB443" s="796"/>
      <c r="AC443" s="705"/>
      <c r="AD443" s="705"/>
      <c r="AE443" s="705"/>
      <c r="AF443" s="362"/>
      <c r="AG443" s="362"/>
      <c r="AH443" s="362"/>
      <c r="AI443" s="362"/>
      <c r="AJ443" s="2"/>
      <c r="AK443" s="2"/>
      <c r="AL443" s="2"/>
      <c r="AM443" s="2"/>
      <c r="AN443" s="2"/>
      <c r="AO443" s="2"/>
      <c r="AP443" s="2"/>
      <c r="AQ443" s="364"/>
      <c r="AR443" s="577"/>
      <c r="AS443" s="364"/>
      <c r="AT443" s="577"/>
      <c r="AU443" s="364"/>
      <c r="AV443" s="364"/>
      <c r="AW443" s="364"/>
      <c r="AX443" s="364"/>
      <c r="AY443" s="577"/>
      <c r="AZ443" s="577"/>
      <c r="BA443" s="577"/>
      <c r="BB443" s="926"/>
      <c r="BC443" s="364"/>
      <c r="BD443" s="364"/>
      <c r="BE443" s="577"/>
      <c r="BF443" s="364"/>
      <c r="BG443" s="384"/>
      <c r="BH443" s="577"/>
      <c r="BI443" s="364"/>
      <c r="BJ443" s="364"/>
      <c r="BK443" s="364"/>
      <c r="BL443" s="364"/>
      <c r="BM443" s="384"/>
      <c r="BN443" s="364"/>
      <c r="BO443" s="364"/>
      <c r="BP443" s="364"/>
      <c r="BQ443" s="388"/>
      <c r="BR443" s="388"/>
      <c r="BS443" s="388"/>
      <c r="BT443" s="388"/>
      <c r="BU443" s="384"/>
      <c r="BV443" s="384"/>
      <c r="BW443" s="387"/>
      <c r="BX443" s="387"/>
      <c r="BY443" s="388"/>
      <c r="BZ443" s="388"/>
      <c r="CA443" s="388"/>
      <c r="CB443" s="387"/>
      <c r="CC443" s="387"/>
      <c r="CE443" s="2"/>
      <c r="CF443" s="2"/>
      <c r="CG443" s="2"/>
      <c r="CH443" s="2"/>
      <c r="CI443" s="2"/>
      <c r="CJ443" s="2"/>
      <c r="CK443" s="2"/>
      <c r="CL443" s="2"/>
      <c r="CM443" s="2"/>
      <c r="CN443" s="2"/>
      <c r="CO443" s="2"/>
      <c r="CP443" s="2"/>
      <c r="CQ443" s="2"/>
      <c r="CR443" s="2"/>
      <c r="CS443" s="364"/>
      <c r="CT443" s="364"/>
      <c r="CU443" s="364"/>
      <c r="CV443" s="407"/>
      <c r="CW443" s="407"/>
      <c r="CX443" s="407"/>
      <c r="CY443" s="407"/>
      <c r="CZ443" s="404"/>
      <c r="DA443" s="404"/>
      <c r="DB443" s="404"/>
      <c r="DC443" s="404"/>
      <c r="DD443" s="407"/>
      <c r="DE443" s="407"/>
      <c r="DF443" s="407"/>
      <c r="DG443" s="407"/>
      <c r="DH443" s="407"/>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row>
    <row r="444" spans="1:150" s="357" customFormat="1">
      <c r="A444" s="364"/>
      <c r="B444" s="678"/>
      <c r="C444" s="364"/>
      <c r="D444" s="364"/>
      <c r="E444" s="678"/>
      <c r="F444" s="678"/>
      <c r="G444" s="678"/>
      <c r="H444" s="364"/>
      <c r="I444" s="364"/>
      <c r="J444" s="364"/>
      <c r="K444" s="364"/>
      <c r="L444" s="786"/>
      <c r="M444" s="364"/>
      <c r="N444" s="364"/>
      <c r="O444" s="364"/>
      <c r="P444" s="364"/>
      <c r="Q444" s="364"/>
      <c r="R444" s="364"/>
      <c r="S444" s="364"/>
      <c r="T444" s="364"/>
      <c r="U444" s="364"/>
      <c r="V444" s="365"/>
      <c r="W444" s="367"/>
      <c r="X444" s="3"/>
      <c r="Y444" s="366"/>
      <c r="Z444" s="678"/>
      <c r="AA444" s="796"/>
      <c r="AB444" s="796"/>
      <c r="AC444" s="705"/>
      <c r="AD444" s="705"/>
      <c r="AE444" s="705"/>
      <c r="AF444" s="362"/>
      <c r="AG444" s="362"/>
      <c r="AH444" s="362"/>
      <c r="AI444" s="362"/>
      <c r="AJ444" s="2"/>
      <c r="AK444" s="2"/>
      <c r="AL444" s="2"/>
      <c r="AM444" s="2"/>
      <c r="AN444" s="2"/>
      <c r="AO444" s="2"/>
      <c r="AP444" s="2"/>
      <c r="AQ444" s="364"/>
      <c r="AR444" s="577"/>
      <c r="AS444" s="364"/>
      <c r="AT444" s="577"/>
      <c r="AU444" s="364"/>
      <c r="AV444" s="364"/>
      <c r="AW444" s="364"/>
      <c r="AX444" s="364"/>
      <c r="AY444" s="577"/>
      <c r="AZ444" s="577"/>
      <c r="BA444" s="577"/>
      <c r="BB444" s="926"/>
      <c r="BC444" s="364"/>
      <c r="BD444" s="364"/>
      <c r="BE444" s="577"/>
      <c r="BF444" s="364"/>
      <c r="BG444" s="384"/>
      <c r="BH444" s="577"/>
      <c r="BI444" s="364"/>
      <c r="BJ444" s="364"/>
      <c r="BK444" s="364"/>
      <c r="BL444" s="364"/>
      <c r="BM444" s="384"/>
      <c r="BN444" s="364"/>
      <c r="BO444" s="364"/>
      <c r="BP444" s="364"/>
      <c r="BQ444" s="388"/>
      <c r="BR444" s="388"/>
      <c r="BS444" s="388"/>
      <c r="BT444" s="388"/>
      <c r="BU444" s="384"/>
      <c r="BV444" s="384"/>
      <c r="BW444" s="387"/>
      <c r="BX444" s="387"/>
      <c r="BY444" s="388"/>
      <c r="BZ444" s="388"/>
      <c r="CA444" s="388"/>
      <c r="CB444" s="387"/>
      <c r="CC444" s="387"/>
      <c r="CE444" s="2"/>
      <c r="CF444" s="2"/>
      <c r="CG444" s="2"/>
      <c r="CH444" s="2"/>
      <c r="CI444" s="2"/>
      <c r="CJ444" s="2"/>
      <c r="CK444" s="2"/>
      <c r="CL444" s="2"/>
      <c r="CM444" s="2"/>
      <c r="CN444" s="2"/>
      <c r="CO444" s="2"/>
      <c r="CP444" s="2"/>
      <c r="CQ444" s="2"/>
      <c r="CR444" s="2"/>
      <c r="CS444" s="364"/>
      <c r="CT444" s="364"/>
      <c r="CU444" s="364"/>
      <c r="CV444" s="407"/>
      <c r="CW444" s="407"/>
      <c r="CX444" s="407"/>
      <c r="CY444" s="407"/>
      <c r="CZ444" s="404"/>
      <c r="DA444" s="404"/>
      <c r="DB444" s="404"/>
      <c r="DC444" s="404"/>
      <c r="DD444" s="407"/>
      <c r="DE444" s="407"/>
      <c r="DF444" s="407"/>
      <c r="DG444" s="407"/>
      <c r="DH444" s="407"/>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row>
    <row r="445" spans="1:150" s="357" customFormat="1">
      <c r="A445" s="364"/>
      <c r="B445" s="678"/>
      <c r="C445" s="364"/>
      <c r="D445" s="364"/>
      <c r="E445" s="678"/>
      <c r="F445" s="678"/>
      <c r="G445" s="678"/>
      <c r="H445" s="364"/>
      <c r="I445" s="364"/>
      <c r="J445" s="364"/>
      <c r="K445" s="364"/>
      <c r="L445" s="786"/>
      <c r="M445" s="364"/>
      <c r="N445" s="364"/>
      <c r="O445" s="364"/>
      <c r="P445" s="364"/>
      <c r="Q445" s="364"/>
      <c r="R445" s="364"/>
      <c r="S445" s="364"/>
      <c r="T445" s="364"/>
      <c r="U445" s="364"/>
      <c r="V445" s="365"/>
      <c r="W445" s="367"/>
      <c r="X445" s="3"/>
      <c r="Y445" s="366"/>
      <c r="Z445" s="678"/>
      <c r="AA445" s="796"/>
      <c r="AB445" s="796"/>
      <c r="AC445" s="705"/>
      <c r="AD445" s="705"/>
      <c r="AE445" s="705"/>
      <c r="AF445" s="362"/>
      <c r="AG445" s="362"/>
      <c r="AH445" s="362"/>
      <c r="AI445" s="362"/>
      <c r="AJ445" s="2"/>
      <c r="AK445" s="2"/>
      <c r="AL445" s="2"/>
      <c r="AM445" s="2"/>
      <c r="AN445" s="2"/>
      <c r="AO445" s="2"/>
      <c r="AP445" s="2"/>
      <c r="AQ445" s="364"/>
      <c r="AR445" s="577"/>
      <c r="AS445" s="364"/>
      <c r="AT445" s="577"/>
      <c r="AU445" s="364"/>
      <c r="AV445" s="364"/>
      <c r="AW445" s="364"/>
      <c r="AX445" s="364"/>
      <c r="AY445" s="577"/>
      <c r="AZ445" s="577"/>
      <c r="BA445" s="577"/>
      <c r="BB445" s="926"/>
      <c r="BC445" s="364"/>
      <c r="BD445" s="364"/>
      <c r="BE445" s="577"/>
      <c r="BF445" s="364"/>
      <c r="BG445" s="384"/>
      <c r="BH445" s="577"/>
      <c r="BI445" s="364"/>
      <c r="BJ445" s="364"/>
      <c r="BK445" s="364"/>
      <c r="BL445" s="364"/>
      <c r="BM445" s="384"/>
      <c r="BN445" s="364"/>
      <c r="BO445" s="364"/>
      <c r="BP445" s="364"/>
      <c r="BQ445" s="388"/>
      <c r="BR445" s="388"/>
      <c r="BS445" s="388"/>
      <c r="BT445" s="388"/>
      <c r="BU445" s="384"/>
      <c r="BV445" s="384"/>
      <c r="BW445" s="387"/>
      <c r="BX445" s="387"/>
      <c r="BY445" s="388"/>
      <c r="BZ445" s="388"/>
      <c r="CA445" s="388"/>
      <c r="CB445" s="387"/>
      <c r="CC445" s="387"/>
      <c r="CE445" s="2"/>
      <c r="CF445" s="2"/>
      <c r="CG445" s="2"/>
      <c r="CH445" s="2"/>
      <c r="CI445" s="2"/>
      <c r="CJ445" s="2"/>
      <c r="CK445" s="2"/>
      <c r="CL445" s="2"/>
      <c r="CM445" s="2"/>
      <c r="CN445" s="2"/>
      <c r="CO445" s="2"/>
      <c r="CP445" s="2"/>
      <c r="CQ445" s="2"/>
      <c r="CR445" s="2"/>
      <c r="CS445" s="364"/>
      <c r="CT445" s="364"/>
      <c r="CU445" s="364"/>
      <c r="CV445" s="407"/>
      <c r="CW445" s="407"/>
      <c r="CX445" s="407"/>
      <c r="CY445" s="407"/>
      <c r="CZ445" s="404"/>
      <c r="DA445" s="404"/>
      <c r="DB445" s="404"/>
      <c r="DC445" s="404"/>
      <c r="DD445" s="407"/>
      <c r="DE445" s="407"/>
      <c r="DF445" s="407"/>
      <c r="DG445" s="407"/>
      <c r="DH445" s="407"/>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row>
    <row r="446" spans="1:150" s="357" customFormat="1">
      <c r="A446" s="364"/>
      <c r="B446" s="678"/>
      <c r="C446" s="364"/>
      <c r="D446" s="364"/>
      <c r="E446" s="678"/>
      <c r="F446" s="678"/>
      <c r="G446" s="678"/>
      <c r="H446" s="364"/>
      <c r="I446" s="364"/>
      <c r="J446" s="364"/>
      <c r="K446" s="364"/>
      <c r="L446" s="786"/>
      <c r="M446" s="364"/>
      <c r="N446" s="364"/>
      <c r="O446" s="364"/>
      <c r="P446" s="364"/>
      <c r="Q446" s="364"/>
      <c r="R446" s="364"/>
      <c r="S446" s="364"/>
      <c r="T446" s="364"/>
      <c r="U446" s="364"/>
      <c r="V446" s="365"/>
      <c r="W446" s="367"/>
      <c r="X446" s="3"/>
      <c r="Y446" s="366"/>
      <c r="Z446" s="678"/>
      <c r="AA446" s="796"/>
      <c r="AB446" s="796"/>
      <c r="AC446" s="705"/>
      <c r="AD446" s="705"/>
      <c r="AE446" s="705"/>
      <c r="AF446" s="362"/>
      <c r="AG446" s="362"/>
      <c r="AH446" s="362"/>
      <c r="AI446" s="362"/>
      <c r="AJ446" s="2"/>
      <c r="AK446" s="2"/>
      <c r="AL446" s="2"/>
      <c r="AM446" s="2"/>
      <c r="AN446" s="2"/>
      <c r="AO446" s="2"/>
      <c r="AP446" s="2"/>
      <c r="AQ446" s="364"/>
      <c r="AR446" s="577"/>
      <c r="AS446" s="364"/>
      <c r="AT446" s="577"/>
      <c r="AU446" s="364"/>
      <c r="AV446" s="364"/>
      <c r="AW446" s="364"/>
      <c r="AX446" s="364"/>
      <c r="AY446" s="577"/>
      <c r="AZ446" s="577"/>
      <c r="BA446" s="577"/>
      <c r="BB446" s="926"/>
      <c r="BC446" s="364"/>
      <c r="BD446" s="364"/>
      <c r="BE446" s="577"/>
      <c r="BF446" s="364"/>
      <c r="BG446" s="384"/>
      <c r="BH446" s="577"/>
      <c r="BI446" s="364"/>
      <c r="BJ446" s="364"/>
      <c r="BK446" s="364"/>
      <c r="BL446" s="364"/>
      <c r="BM446" s="384"/>
      <c r="BN446" s="364"/>
      <c r="BO446" s="364"/>
      <c r="BP446" s="364"/>
      <c r="BQ446" s="388"/>
      <c r="BR446" s="388"/>
      <c r="BS446" s="388"/>
      <c r="BT446" s="388"/>
      <c r="BU446" s="384"/>
      <c r="BV446" s="384"/>
      <c r="BW446" s="387"/>
      <c r="BX446" s="387"/>
      <c r="BY446" s="388"/>
      <c r="BZ446" s="388"/>
      <c r="CA446" s="388"/>
      <c r="CB446" s="387"/>
      <c r="CC446" s="387"/>
      <c r="CE446" s="2"/>
      <c r="CF446" s="2"/>
      <c r="CG446" s="2"/>
      <c r="CH446" s="2"/>
      <c r="CI446" s="2"/>
      <c r="CJ446" s="2"/>
      <c r="CK446" s="2"/>
      <c r="CL446" s="2"/>
      <c r="CM446" s="2"/>
      <c r="CN446" s="2"/>
      <c r="CO446" s="2"/>
      <c r="CP446" s="2"/>
      <c r="CQ446" s="2"/>
      <c r="CR446" s="2"/>
      <c r="CS446" s="364"/>
      <c r="CT446" s="364"/>
      <c r="CU446" s="364"/>
      <c r="CV446" s="407"/>
      <c r="CW446" s="407"/>
      <c r="CX446" s="407"/>
      <c r="CY446" s="407"/>
      <c r="CZ446" s="404"/>
      <c r="DA446" s="404"/>
      <c r="DB446" s="404"/>
      <c r="DC446" s="404"/>
      <c r="DD446" s="407"/>
      <c r="DE446" s="407"/>
      <c r="DF446" s="407"/>
      <c r="DG446" s="407"/>
      <c r="DH446" s="407"/>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row>
    <row r="447" spans="1:150" s="357" customFormat="1">
      <c r="A447" s="364"/>
      <c r="B447" s="678"/>
      <c r="C447" s="364"/>
      <c r="D447" s="364"/>
      <c r="E447" s="678"/>
      <c r="F447" s="678"/>
      <c r="G447" s="678"/>
      <c r="H447" s="364"/>
      <c r="I447" s="364"/>
      <c r="J447" s="364"/>
      <c r="K447" s="364"/>
      <c r="L447" s="786"/>
      <c r="M447" s="364"/>
      <c r="N447" s="364"/>
      <c r="O447" s="364"/>
      <c r="P447" s="364"/>
      <c r="Q447" s="364"/>
      <c r="R447" s="364"/>
      <c r="S447" s="364"/>
      <c r="T447" s="364"/>
      <c r="U447" s="364"/>
      <c r="V447" s="365"/>
      <c r="W447" s="367"/>
      <c r="X447" s="3"/>
      <c r="Y447" s="366"/>
      <c r="Z447" s="678"/>
      <c r="AA447" s="796"/>
      <c r="AB447" s="796"/>
      <c r="AC447" s="705"/>
      <c r="AD447" s="705"/>
      <c r="AE447" s="705"/>
      <c r="AF447" s="362"/>
      <c r="AG447" s="362"/>
      <c r="AH447" s="362"/>
      <c r="AI447" s="362"/>
      <c r="AJ447" s="2"/>
      <c r="AK447" s="2"/>
      <c r="AL447" s="2"/>
      <c r="AM447" s="2"/>
      <c r="AN447" s="2"/>
      <c r="AO447" s="2"/>
      <c r="AP447" s="2"/>
      <c r="AQ447" s="364"/>
      <c r="AR447" s="577"/>
      <c r="AS447" s="364"/>
      <c r="AT447" s="577"/>
      <c r="AU447" s="364"/>
      <c r="AV447" s="364"/>
      <c r="AW447" s="364"/>
      <c r="AX447" s="364"/>
      <c r="AY447" s="577"/>
      <c r="AZ447" s="577"/>
      <c r="BA447" s="577"/>
      <c r="BB447" s="926"/>
      <c r="BC447" s="364"/>
      <c r="BD447" s="364"/>
      <c r="BE447" s="577"/>
      <c r="BF447" s="364"/>
      <c r="BG447" s="384"/>
      <c r="BH447" s="577"/>
      <c r="BI447" s="364"/>
      <c r="BJ447" s="364"/>
      <c r="BK447" s="364"/>
      <c r="BL447" s="364"/>
      <c r="BM447" s="384"/>
      <c r="BN447" s="364"/>
      <c r="BO447" s="364"/>
      <c r="BP447" s="364"/>
      <c r="BQ447" s="388"/>
      <c r="BR447" s="388"/>
      <c r="BS447" s="388"/>
      <c r="BT447" s="388"/>
      <c r="BU447" s="384"/>
      <c r="BV447" s="384"/>
      <c r="BW447" s="387"/>
      <c r="BX447" s="387"/>
      <c r="BY447" s="388"/>
      <c r="BZ447" s="388"/>
      <c r="CA447" s="388"/>
      <c r="CB447" s="387"/>
      <c r="CC447" s="387"/>
      <c r="CE447" s="2"/>
      <c r="CF447" s="2"/>
      <c r="CG447" s="2"/>
      <c r="CH447" s="2"/>
      <c r="CI447" s="2"/>
      <c r="CJ447" s="2"/>
      <c r="CK447" s="2"/>
      <c r="CL447" s="2"/>
      <c r="CM447" s="2"/>
      <c r="CN447" s="2"/>
      <c r="CO447" s="2"/>
      <c r="CP447" s="2"/>
      <c r="CQ447" s="2"/>
      <c r="CR447" s="2"/>
      <c r="CS447" s="364"/>
      <c r="CT447" s="364"/>
      <c r="CU447" s="364"/>
      <c r="CV447" s="407"/>
      <c r="CW447" s="407"/>
      <c r="CX447" s="407"/>
      <c r="CY447" s="407"/>
      <c r="CZ447" s="404"/>
      <c r="DA447" s="404"/>
      <c r="DB447" s="404"/>
      <c r="DC447" s="404"/>
      <c r="DD447" s="407"/>
      <c r="DE447" s="407"/>
      <c r="DF447" s="407"/>
      <c r="DG447" s="407"/>
      <c r="DH447" s="407"/>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row>
    <row r="448" spans="1:150" s="357" customFormat="1">
      <c r="A448" s="364"/>
      <c r="B448" s="678"/>
      <c r="C448" s="364"/>
      <c r="D448" s="364"/>
      <c r="E448" s="678"/>
      <c r="F448" s="678"/>
      <c r="G448" s="678"/>
      <c r="H448" s="364"/>
      <c r="I448" s="364"/>
      <c r="J448" s="364"/>
      <c r="K448" s="364"/>
      <c r="L448" s="786"/>
      <c r="M448" s="364"/>
      <c r="N448" s="364"/>
      <c r="O448" s="364"/>
      <c r="P448" s="364"/>
      <c r="Q448" s="364"/>
      <c r="R448" s="364"/>
      <c r="S448" s="364"/>
      <c r="T448" s="364"/>
      <c r="U448" s="364"/>
      <c r="V448" s="365"/>
      <c r="W448" s="367"/>
      <c r="X448" s="3"/>
      <c r="Y448" s="366"/>
      <c r="Z448" s="678"/>
      <c r="AA448" s="796"/>
      <c r="AB448" s="796"/>
      <c r="AC448" s="705"/>
      <c r="AD448" s="705"/>
      <c r="AE448" s="705"/>
      <c r="AF448" s="362"/>
      <c r="AG448" s="362"/>
      <c r="AH448" s="362"/>
      <c r="AI448" s="362"/>
      <c r="AJ448" s="2"/>
      <c r="AK448" s="2"/>
      <c r="AL448" s="2"/>
      <c r="AM448" s="2"/>
      <c r="AN448" s="2"/>
      <c r="AO448" s="2"/>
      <c r="AP448" s="2"/>
      <c r="AQ448" s="364"/>
      <c r="AR448" s="577"/>
      <c r="AS448" s="364"/>
      <c r="AT448" s="577"/>
      <c r="AU448" s="364"/>
      <c r="AV448" s="364"/>
      <c r="AW448" s="364"/>
      <c r="AX448" s="364"/>
      <c r="AY448" s="577"/>
      <c r="AZ448" s="577"/>
      <c r="BA448" s="577"/>
      <c r="BB448" s="926"/>
      <c r="BC448" s="364"/>
      <c r="BD448" s="364"/>
      <c r="BE448" s="577"/>
      <c r="BF448" s="364"/>
      <c r="BG448" s="384"/>
      <c r="BH448" s="577"/>
      <c r="BI448" s="364"/>
      <c r="BJ448" s="364"/>
      <c r="BK448" s="364"/>
      <c r="BL448" s="364"/>
      <c r="BM448" s="384"/>
      <c r="BN448" s="364"/>
      <c r="BO448" s="364"/>
      <c r="BP448" s="364"/>
      <c r="BQ448" s="388"/>
      <c r="BR448" s="388"/>
      <c r="BS448" s="388"/>
      <c r="BT448" s="388"/>
      <c r="BU448" s="384"/>
      <c r="BV448" s="384"/>
      <c r="BW448" s="387"/>
      <c r="BX448" s="387"/>
      <c r="BY448" s="388"/>
      <c r="BZ448" s="388"/>
      <c r="CA448" s="388"/>
      <c r="CB448" s="387"/>
      <c r="CC448" s="387"/>
      <c r="CE448" s="2"/>
      <c r="CF448" s="2"/>
      <c r="CG448" s="2"/>
      <c r="CH448" s="2"/>
      <c r="CI448" s="2"/>
      <c r="CJ448" s="2"/>
      <c r="CK448" s="2"/>
      <c r="CL448" s="2"/>
      <c r="CM448" s="2"/>
      <c r="CN448" s="2"/>
      <c r="CO448" s="2"/>
      <c r="CP448" s="2"/>
      <c r="CQ448" s="2"/>
      <c r="CR448" s="2"/>
      <c r="CS448" s="364"/>
      <c r="CT448" s="364"/>
      <c r="CU448" s="364"/>
      <c r="CV448" s="407"/>
      <c r="CW448" s="407"/>
      <c r="CX448" s="407"/>
      <c r="CY448" s="407"/>
      <c r="CZ448" s="404"/>
      <c r="DA448" s="404"/>
      <c r="DB448" s="404"/>
      <c r="DC448" s="404"/>
      <c r="DD448" s="407"/>
      <c r="DE448" s="407"/>
      <c r="DF448" s="407"/>
      <c r="DG448" s="407"/>
      <c r="DH448" s="407"/>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row>
    <row r="449" spans="1:150" s="357" customFormat="1">
      <c r="A449" s="364"/>
      <c r="B449" s="678"/>
      <c r="C449" s="364"/>
      <c r="D449" s="364"/>
      <c r="E449" s="678"/>
      <c r="F449" s="678"/>
      <c r="G449" s="678"/>
      <c r="H449" s="364"/>
      <c r="I449" s="364"/>
      <c r="J449" s="364"/>
      <c r="K449" s="364"/>
      <c r="L449" s="786"/>
      <c r="M449" s="364"/>
      <c r="N449" s="364"/>
      <c r="O449" s="364"/>
      <c r="P449" s="364"/>
      <c r="Q449" s="364"/>
      <c r="R449" s="364"/>
      <c r="S449" s="364"/>
      <c r="T449" s="364"/>
      <c r="U449" s="364"/>
      <c r="V449" s="365"/>
      <c r="W449" s="367"/>
      <c r="X449" s="3"/>
      <c r="Y449" s="366"/>
      <c r="Z449" s="678"/>
      <c r="AA449" s="796"/>
      <c r="AB449" s="796"/>
      <c r="AC449" s="705"/>
      <c r="AD449" s="705"/>
      <c r="AE449" s="705"/>
      <c r="AF449" s="362"/>
      <c r="AG449" s="362"/>
      <c r="AH449" s="362"/>
      <c r="AI449" s="362"/>
      <c r="AJ449" s="2"/>
      <c r="AK449" s="2"/>
      <c r="AL449" s="2"/>
      <c r="AM449" s="2"/>
      <c r="AN449" s="2"/>
      <c r="AO449" s="2"/>
      <c r="AP449" s="2"/>
      <c r="AQ449" s="364"/>
      <c r="AR449" s="577"/>
      <c r="AS449" s="364"/>
      <c r="AT449" s="577"/>
      <c r="AU449" s="364"/>
      <c r="AV449" s="364"/>
      <c r="AW449" s="364"/>
      <c r="AX449" s="364"/>
      <c r="AY449" s="577"/>
      <c r="AZ449" s="577"/>
      <c r="BA449" s="577"/>
      <c r="BB449" s="926"/>
      <c r="BC449" s="364"/>
      <c r="BD449" s="364"/>
      <c r="BE449" s="577"/>
      <c r="BF449" s="364"/>
      <c r="BG449" s="384"/>
      <c r="BH449" s="577"/>
      <c r="BI449" s="364"/>
      <c r="BJ449" s="364"/>
      <c r="BK449" s="364"/>
      <c r="BL449" s="364"/>
      <c r="BM449" s="384"/>
      <c r="BN449" s="364"/>
      <c r="BO449" s="364"/>
      <c r="BP449" s="364"/>
      <c r="BQ449" s="388"/>
      <c r="BR449" s="388"/>
      <c r="BS449" s="388"/>
      <c r="BT449" s="388"/>
      <c r="BU449" s="384"/>
      <c r="BV449" s="384"/>
      <c r="BW449" s="387"/>
      <c r="BX449" s="387"/>
      <c r="BY449" s="388"/>
      <c r="BZ449" s="388"/>
      <c r="CA449" s="388"/>
      <c r="CB449" s="387"/>
      <c r="CC449" s="387"/>
      <c r="CE449" s="2"/>
      <c r="CF449" s="2"/>
      <c r="CG449" s="2"/>
      <c r="CH449" s="2"/>
      <c r="CI449" s="2"/>
      <c r="CJ449" s="2"/>
      <c r="CK449" s="2"/>
      <c r="CL449" s="2"/>
      <c r="CM449" s="2"/>
      <c r="CN449" s="2"/>
      <c r="CO449" s="2"/>
      <c r="CP449" s="2"/>
      <c r="CQ449" s="2"/>
      <c r="CR449" s="2"/>
      <c r="CS449" s="364"/>
      <c r="CT449" s="364"/>
      <c r="CU449" s="364"/>
      <c r="CV449" s="407"/>
      <c r="CW449" s="407"/>
      <c r="CX449" s="407"/>
      <c r="CY449" s="407"/>
      <c r="CZ449" s="404"/>
      <c r="DA449" s="404"/>
      <c r="DB449" s="404"/>
      <c r="DC449" s="404"/>
      <c r="DD449" s="407"/>
      <c r="DE449" s="407"/>
      <c r="DF449" s="407"/>
      <c r="DG449" s="407"/>
      <c r="DH449" s="407"/>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row>
    <row r="450" spans="1:150" s="357" customFormat="1">
      <c r="A450" s="364"/>
      <c r="B450" s="678"/>
      <c r="C450" s="364"/>
      <c r="D450" s="364"/>
      <c r="E450" s="678"/>
      <c r="F450" s="678"/>
      <c r="G450" s="678"/>
      <c r="H450" s="364"/>
      <c r="I450" s="364"/>
      <c r="J450" s="364"/>
      <c r="K450" s="364"/>
      <c r="L450" s="786"/>
      <c r="M450" s="364"/>
      <c r="N450" s="364"/>
      <c r="O450" s="364"/>
      <c r="P450" s="364"/>
      <c r="Q450" s="364"/>
      <c r="R450" s="364"/>
      <c r="S450" s="364"/>
      <c r="T450" s="364"/>
      <c r="U450" s="364"/>
      <c r="V450" s="365"/>
      <c r="W450" s="367"/>
      <c r="X450" s="3"/>
      <c r="Y450" s="366"/>
      <c r="Z450" s="678"/>
      <c r="AA450" s="796"/>
      <c r="AB450" s="796"/>
      <c r="AC450" s="705"/>
      <c r="AD450" s="705"/>
      <c r="AE450" s="705"/>
      <c r="AF450" s="362"/>
      <c r="AG450" s="362"/>
      <c r="AH450" s="362"/>
      <c r="AI450" s="362"/>
      <c r="AJ450" s="2"/>
      <c r="AK450" s="2"/>
      <c r="AL450" s="2"/>
      <c r="AM450" s="2"/>
      <c r="AN450" s="2"/>
      <c r="AO450" s="2"/>
      <c r="AP450" s="2"/>
      <c r="AQ450" s="364"/>
      <c r="AR450" s="577"/>
      <c r="AS450" s="364"/>
      <c r="AT450" s="577"/>
      <c r="AU450" s="364"/>
      <c r="AV450" s="364"/>
      <c r="AW450" s="364"/>
      <c r="AX450" s="364"/>
      <c r="AY450" s="577"/>
      <c r="AZ450" s="577"/>
      <c r="BA450" s="577"/>
      <c r="BB450" s="926"/>
      <c r="BC450" s="364"/>
      <c r="BD450" s="364"/>
      <c r="BE450" s="577"/>
      <c r="BF450" s="364"/>
      <c r="BG450" s="384"/>
      <c r="BH450" s="577"/>
      <c r="BI450" s="364"/>
      <c r="BJ450" s="364"/>
      <c r="BK450" s="364"/>
      <c r="BL450" s="364"/>
      <c r="BM450" s="384"/>
      <c r="BN450" s="364"/>
      <c r="BO450" s="364"/>
      <c r="BP450" s="364"/>
      <c r="BQ450" s="388"/>
      <c r="BR450" s="388"/>
      <c r="BS450" s="388"/>
      <c r="BT450" s="388"/>
      <c r="BU450" s="384"/>
      <c r="BV450" s="384"/>
      <c r="BW450" s="387"/>
      <c r="BX450" s="387"/>
      <c r="BY450" s="388"/>
      <c r="BZ450" s="388"/>
      <c r="CA450" s="388"/>
      <c r="CB450" s="387"/>
      <c r="CC450" s="387"/>
      <c r="CE450" s="2"/>
      <c r="CF450" s="2"/>
      <c r="CG450" s="2"/>
      <c r="CH450" s="2"/>
      <c r="CI450" s="2"/>
      <c r="CJ450" s="2"/>
      <c r="CK450" s="2"/>
      <c r="CL450" s="2"/>
      <c r="CM450" s="2"/>
      <c r="CN450" s="2"/>
      <c r="CO450" s="2"/>
      <c r="CP450" s="2"/>
      <c r="CQ450" s="2"/>
      <c r="CR450" s="2"/>
      <c r="CS450" s="364"/>
      <c r="CT450" s="364"/>
      <c r="CU450" s="364"/>
      <c r="CV450" s="407"/>
      <c r="CW450" s="407"/>
      <c r="CX450" s="407"/>
      <c r="CY450" s="407"/>
      <c r="CZ450" s="404"/>
      <c r="DA450" s="404"/>
      <c r="DB450" s="404"/>
      <c r="DC450" s="404"/>
      <c r="DD450" s="407"/>
      <c r="DE450" s="407"/>
      <c r="DF450" s="407"/>
      <c r="DG450" s="407"/>
      <c r="DH450" s="407"/>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row>
    <row r="451" spans="1:150" s="357" customFormat="1">
      <c r="A451" s="364"/>
      <c r="B451" s="678"/>
      <c r="C451" s="364"/>
      <c r="D451" s="364"/>
      <c r="E451" s="678"/>
      <c r="F451" s="678"/>
      <c r="G451" s="678"/>
      <c r="H451" s="364"/>
      <c r="I451" s="364"/>
      <c r="J451" s="364"/>
      <c r="K451" s="364"/>
      <c r="L451" s="786"/>
      <c r="M451" s="364"/>
      <c r="N451" s="364"/>
      <c r="O451" s="364"/>
      <c r="P451" s="364"/>
      <c r="Q451" s="364"/>
      <c r="R451" s="364"/>
      <c r="S451" s="364"/>
      <c r="T451" s="364"/>
      <c r="U451" s="364"/>
      <c r="V451" s="365"/>
      <c r="W451" s="367"/>
      <c r="X451" s="3"/>
      <c r="Y451" s="366"/>
      <c r="Z451" s="678"/>
      <c r="AA451" s="796"/>
      <c r="AB451" s="796"/>
      <c r="AC451" s="705"/>
      <c r="AD451" s="705"/>
      <c r="AE451" s="705"/>
      <c r="AF451" s="362"/>
      <c r="AG451" s="362"/>
      <c r="AH451" s="362"/>
      <c r="AI451" s="362"/>
      <c r="AJ451" s="2"/>
      <c r="AK451" s="2"/>
      <c r="AL451" s="2"/>
      <c r="AM451" s="2"/>
      <c r="AN451" s="2"/>
      <c r="AO451" s="2"/>
      <c r="AP451" s="2"/>
      <c r="AQ451" s="364"/>
      <c r="AR451" s="577"/>
      <c r="AS451" s="364"/>
      <c r="AT451" s="577"/>
      <c r="AU451" s="364"/>
      <c r="AV451" s="364"/>
      <c r="AW451" s="364"/>
      <c r="AX451" s="364"/>
      <c r="AY451" s="577"/>
      <c r="AZ451" s="577"/>
      <c r="BA451" s="577"/>
      <c r="BB451" s="926"/>
      <c r="BC451" s="364"/>
      <c r="BD451" s="364"/>
      <c r="BE451" s="577"/>
      <c r="BF451" s="364"/>
      <c r="BG451" s="384"/>
      <c r="BH451" s="577"/>
      <c r="BI451" s="364"/>
      <c r="BJ451" s="364"/>
      <c r="BK451" s="364"/>
      <c r="BL451" s="364"/>
      <c r="BM451" s="384"/>
      <c r="BN451" s="364"/>
      <c r="BO451" s="364"/>
      <c r="BP451" s="364"/>
      <c r="BQ451" s="388"/>
      <c r="BR451" s="388"/>
      <c r="BS451" s="388"/>
      <c r="BT451" s="388"/>
      <c r="BU451" s="384"/>
      <c r="BV451" s="384"/>
      <c r="BW451" s="387"/>
      <c r="BX451" s="387"/>
      <c r="BY451" s="388"/>
      <c r="BZ451" s="388"/>
      <c r="CA451" s="388"/>
      <c r="CB451" s="387"/>
      <c r="CC451" s="387"/>
      <c r="CE451" s="2"/>
      <c r="CF451" s="2"/>
      <c r="CG451" s="2"/>
      <c r="CH451" s="2"/>
      <c r="CI451" s="2"/>
      <c r="CJ451" s="2"/>
      <c r="CK451" s="2"/>
      <c r="CL451" s="2"/>
      <c r="CM451" s="2"/>
      <c r="CN451" s="2"/>
      <c r="CO451" s="2"/>
      <c r="CP451" s="2"/>
      <c r="CQ451" s="2"/>
      <c r="CR451" s="2"/>
      <c r="CS451" s="364"/>
      <c r="CT451" s="364"/>
      <c r="CU451" s="364"/>
      <c r="CV451" s="407"/>
      <c r="CW451" s="407"/>
      <c r="CX451" s="407"/>
      <c r="CY451" s="407"/>
      <c r="CZ451" s="404"/>
      <c r="DA451" s="404"/>
      <c r="DB451" s="404"/>
      <c r="DC451" s="404"/>
      <c r="DD451" s="407"/>
      <c r="DE451" s="407"/>
      <c r="DF451" s="407"/>
      <c r="DG451" s="407"/>
      <c r="DH451" s="407"/>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row>
    <row r="452" spans="1:150" s="357" customFormat="1">
      <c r="A452" s="364"/>
      <c r="B452" s="678"/>
      <c r="C452" s="364"/>
      <c r="D452" s="364"/>
      <c r="E452" s="678"/>
      <c r="F452" s="678"/>
      <c r="G452" s="678"/>
      <c r="H452" s="364"/>
      <c r="I452" s="364"/>
      <c r="J452" s="364"/>
      <c r="K452" s="364"/>
      <c r="L452" s="786"/>
      <c r="M452" s="364"/>
      <c r="N452" s="364"/>
      <c r="O452" s="364"/>
      <c r="P452" s="364"/>
      <c r="Q452" s="364"/>
      <c r="R452" s="364"/>
      <c r="S452" s="364"/>
      <c r="T452" s="364"/>
      <c r="U452" s="364"/>
      <c r="V452" s="365"/>
      <c r="W452" s="367"/>
      <c r="X452" s="3"/>
      <c r="Y452" s="366"/>
      <c r="Z452" s="678"/>
      <c r="AA452" s="796"/>
      <c r="AB452" s="796"/>
      <c r="AC452" s="705"/>
      <c r="AD452" s="705"/>
      <c r="AE452" s="705"/>
      <c r="AF452" s="362"/>
      <c r="AG452" s="362"/>
      <c r="AH452" s="362"/>
      <c r="AI452" s="362"/>
      <c r="AJ452" s="2"/>
      <c r="AK452" s="2"/>
      <c r="AL452" s="2"/>
      <c r="AM452" s="2"/>
      <c r="AN452" s="2"/>
      <c r="AO452" s="2"/>
      <c r="AP452" s="2"/>
      <c r="AQ452" s="364"/>
      <c r="AR452" s="577"/>
      <c r="AS452" s="364"/>
      <c r="AT452" s="577"/>
      <c r="AU452" s="364"/>
      <c r="AV452" s="364"/>
      <c r="AW452" s="364"/>
      <c r="AX452" s="364"/>
      <c r="AY452" s="577"/>
      <c r="AZ452" s="577"/>
      <c r="BA452" s="577"/>
      <c r="BB452" s="926"/>
      <c r="BC452" s="364"/>
      <c r="BD452" s="364"/>
      <c r="BE452" s="577"/>
      <c r="BF452" s="364"/>
      <c r="BG452" s="384"/>
      <c r="BH452" s="577"/>
      <c r="BI452" s="364"/>
      <c r="BJ452" s="364"/>
      <c r="BK452" s="364"/>
      <c r="BL452" s="364"/>
      <c r="BM452" s="384"/>
      <c r="BN452" s="364"/>
      <c r="BO452" s="364"/>
      <c r="BP452" s="364"/>
      <c r="BQ452" s="388"/>
      <c r="BR452" s="388"/>
      <c r="BS452" s="388"/>
      <c r="BT452" s="388"/>
      <c r="BU452" s="384"/>
      <c r="BV452" s="384"/>
      <c r="BW452" s="387"/>
      <c r="BX452" s="387"/>
      <c r="BY452" s="388"/>
      <c r="BZ452" s="388"/>
      <c r="CA452" s="388"/>
      <c r="CB452" s="387"/>
      <c r="CC452" s="387"/>
      <c r="CE452" s="2"/>
      <c r="CF452" s="2"/>
      <c r="CG452" s="2"/>
      <c r="CH452" s="2"/>
      <c r="CI452" s="2"/>
      <c r="CJ452" s="2"/>
      <c r="CK452" s="2"/>
      <c r="CL452" s="2"/>
      <c r="CM452" s="2"/>
      <c r="CN452" s="2"/>
      <c r="CO452" s="2"/>
      <c r="CP452" s="2"/>
      <c r="CQ452" s="2"/>
      <c r="CR452" s="2"/>
      <c r="CS452" s="364"/>
      <c r="CT452" s="364"/>
      <c r="CU452" s="364"/>
      <c r="CV452" s="407"/>
      <c r="CW452" s="407"/>
      <c r="CX452" s="407"/>
      <c r="CY452" s="407"/>
      <c r="CZ452" s="404"/>
      <c r="DA452" s="404"/>
      <c r="DB452" s="404"/>
      <c r="DC452" s="404"/>
      <c r="DD452" s="407"/>
      <c r="DE452" s="407"/>
      <c r="DF452" s="407"/>
      <c r="DG452" s="407"/>
      <c r="DH452" s="407"/>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row>
    <row r="453" spans="1:150" s="357" customFormat="1">
      <c r="A453" s="364"/>
      <c r="B453" s="678"/>
      <c r="C453" s="364"/>
      <c r="D453" s="364"/>
      <c r="E453" s="678"/>
      <c r="F453" s="678"/>
      <c r="G453" s="678"/>
      <c r="H453" s="364"/>
      <c r="I453" s="364"/>
      <c r="J453" s="364"/>
      <c r="K453" s="364"/>
      <c r="L453" s="786"/>
      <c r="M453" s="364"/>
      <c r="N453" s="364"/>
      <c r="O453" s="364"/>
      <c r="P453" s="364"/>
      <c r="Q453" s="364"/>
      <c r="R453" s="364"/>
      <c r="S453" s="364"/>
      <c r="T453" s="364"/>
      <c r="U453" s="364"/>
      <c r="V453" s="365"/>
      <c r="W453" s="367"/>
      <c r="X453" s="3"/>
      <c r="Y453" s="366"/>
      <c r="Z453" s="678"/>
      <c r="AA453" s="796"/>
      <c r="AB453" s="796"/>
      <c r="AC453" s="705"/>
      <c r="AD453" s="705"/>
      <c r="AE453" s="705"/>
      <c r="AF453" s="362"/>
      <c r="AG453" s="362"/>
      <c r="AH453" s="362"/>
      <c r="AI453" s="362"/>
      <c r="AJ453" s="2"/>
      <c r="AK453" s="2"/>
      <c r="AL453" s="2"/>
      <c r="AM453" s="2"/>
      <c r="AN453" s="2"/>
      <c r="AO453" s="2"/>
      <c r="AP453" s="2"/>
      <c r="AQ453" s="364"/>
      <c r="AR453" s="577"/>
      <c r="AS453" s="364"/>
      <c r="AT453" s="577"/>
      <c r="AU453" s="364"/>
      <c r="AV453" s="364"/>
      <c r="AW453" s="364"/>
      <c r="AX453" s="364"/>
      <c r="AY453" s="577"/>
      <c r="AZ453" s="577"/>
      <c r="BA453" s="577"/>
      <c r="BB453" s="926"/>
      <c r="BC453" s="364"/>
      <c r="BD453" s="364"/>
      <c r="BE453" s="577"/>
      <c r="BF453" s="364"/>
      <c r="BG453" s="384"/>
      <c r="BH453" s="577"/>
      <c r="BI453" s="364"/>
      <c r="BJ453" s="364"/>
      <c r="BK453" s="364"/>
      <c r="BL453" s="364"/>
      <c r="BM453" s="384"/>
      <c r="BN453" s="364"/>
      <c r="BO453" s="364"/>
      <c r="BP453" s="364"/>
      <c r="BQ453" s="388"/>
      <c r="BR453" s="388"/>
      <c r="BS453" s="388"/>
      <c r="BT453" s="388"/>
      <c r="BU453" s="384"/>
      <c r="BV453" s="384"/>
      <c r="BW453" s="387"/>
      <c r="BX453" s="387"/>
      <c r="BY453" s="388"/>
      <c r="BZ453" s="388"/>
      <c r="CA453" s="388"/>
      <c r="CB453" s="387"/>
      <c r="CC453" s="387"/>
      <c r="CE453" s="2"/>
      <c r="CF453" s="2"/>
      <c r="CG453" s="2"/>
      <c r="CH453" s="2"/>
      <c r="CI453" s="2"/>
      <c r="CJ453" s="2"/>
      <c r="CK453" s="2"/>
      <c r="CL453" s="2"/>
      <c r="CM453" s="2"/>
      <c r="CN453" s="2"/>
      <c r="CO453" s="2"/>
      <c r="CP453" s="2"/>
      <c r="CQ453" s="2"/>
      <c r="CR453" s="2"/>
      <c r="CS453" s="364"/>
      <c r="CT453" s="364"/>
      <c r="CU453" s="364"/>
      <c r="CV453" s="407"/>
      <c r="CW453" s="407"/>
      <c r="CX453" s="407"/>
      <c r="CY453" s="407"/>
      <c r="CZ453" s="404"/>
      <c r="DA453" s="404"/>
      <c r="DB453" s="404"/>
      <c r="DC453" s="404"/>
      <c r="DD453" s="407"/>
      <c r="DE453" s="407"/>
      <c r="DF453" s="407"/>
      <c r="DG453" s="407"/>
      <c r="DH453" s="407"/>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row>
    <row r="454" spans="1:150" s="357" customFormat="1">
      <c r="A454" s="364"/>
      <c r="B454" s="678"/>
      <c r="C454" s="364"/>
      <c r="D454" s="364"/>
      <c r="E454" s="678"/>
      <c r="F454" s="678"/>
      <c r="G454" s="678"/>
      <c r="H454" s="364"/>
      <c r="I454" s="364"/>
      <c r="J454" s="364"/>
      <c r="K454" s="364"/>
      <c r="L454" s="786"/>
      <c r="M454" s="364"/>
      <c r="N454" s="364"/>
      <c r="O454" s="364"/>
      <c r="P454" s="364"/>
      <c r="Q454" s="364"/>
      <c r="R454" s="364"/>
      <c r="S454" s="364"/>
      <c r="T454" s="364"/>
      <c r="U454" s="364"/>
      <c r="V454" s="365"/>
      <c r="W454" s="367"/>
      <c r="X454" s="3"/>
      <c r="Y454" s="366"/>
      <c r="Z454" s="678"/>
      <c r="AA454" s="796"/>
      <c r="AB454" s="796"/>
      <c r="AC454" s="705"/>
      <c r="AD454" s="705"/>
      <c r="AE454" s="705"/>
      <c r="AF454" s="362"/>
      <c r="AG454" s="362"/>
      <c r="AH454" s="362"/>
      <c r="AI454" s="362"/>
      <c r="AJ454" s="2"/>
      <c r="AK454" s="2"/>
      <c r="AL454" s="2"/>
      <c r="AM454" s="2"/>
      <c r="AN454" s="2"/>
      <c r="AO454" s="2"/>
      <c r="AP454" s="2"/>
      <c r="AQ454" s="364"/>
      <c r="AR454" s="577"/>
      <c r="AS454" s="364"/>
      <c r="AT454" s="577"/>
      <c r="AU454" s="364"/>
      <c r="AV454" s="364"/>
      <c r="AW454" s="364"/>
      <c r="AX454" s="364"/>
      <c r="AY454" s="577"/>
      <c r="AZ454" s="577"/>
      <c r="BA454" s="577"/>
      <c r="BB454" s="926"/>
      <c r="BC454" s="364"/>
      <c r="BD454" s="364"/>
      <c r="BE454" s="577"/>
      <c r="BF454" s="364"/>
      <c r="BG454" s="384"/>
      <c r="BH454" s="577"/>
      <c r="BI454" s="364"/>
      <c r="BJ454" s="364"/>
      <c r="BK454" s="364"/>
      <c r="BL454" s="364"/>
      <c r="BM454" s="384"/>
      <c r="BN454" s="364"/>
      <c r="BO454" s="364"/>
      <c r="BP454" s="364"/>
      <c r="BQ454" s="388"/>
      <c r="BR454" s="388"/>
      <c r="BS454" s="388"/>
      <c r="BT454" s="388"/>
      <c r="BU454" s="384"/>
      <c r="BV454" s="384"/>
      <c r="BW454" s="387"/>
      <c r="BX454" s="387"/>
      <c r="BY454" s="388"/>
      <c r="BZ454" s="388"/>
      <c r="CA454" s="388"/>
      <c r="CB454" s="387"/>
      <c r="CC454" s="387"/>
      <c r="CE454" s="2"/>
      <c r="CF454" s="2"/>
      <c r="CG454" s="2"/>
      <c r="CH454" s="2"/>
      <c r="CI454" s="2"/>
      <c r="CJ454" s="2"/>
      <c r="CK454" s="2"/>
      <c r="CL454" s="2"/>
      <c r="CM454" s="2"/>
      <c r="CN454" s="2"/>
      <c r="CO454" s="2"/>
      <c r="CP454" s="2"/>
      <c r="CQ454" s="2"/>
      <c r="CR454" s="2"/>
      <c r="CS454" s="364"/>
      <c r="CT454" s="364"/>
      <c r="CU454" s="364"/>
      <c r="CV454" s="407"/>
      <c r="CW454" s="407"/>
      <c r="CX454" s="407"/>
      <c r="CY454" s="407"/>
      <c r="CZ454" s="404"/>
      <c r="DA454" s="404"/>
      <c r="DB454" s="404"/>
      <c r="DC454" s="404"/>
      <c r="DD454" s="407"/>
      <c r="DE454" s="407"/>
      <c r="DF454" s="407"/>
      <c r="DG454" s="407"/>
      <c r="DH454" s="407"/>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row>
    <row r="455" spans="1:150" s="357" customFormat="1">
      <c r="A455" s="364"/>
      <c r="B455" s="678"/>
      <c r="C455" s="364"/>
      <c r="D455" s="364"/>
      <c r="E455" s="678"/>
      <c r="F455" s="678"/>
      <c r="G455" s="678"/>
      <c r="H455" s="364"/>
      <c r="I455" s="364"/>
      <c r="J455" s="364"/>
      <c r="K455" s="364"/>
      <c r="L455" s="786"/>
      <c r="M455" s="364"/>
      <c r="N455" s="364"/>
      <c r="O455" s="364"/>
      <c r="P455" s="364"/>
      <c r="Q455" s="364"/>
      <c r="R455" s="364"/>
      <c r="S455" s="364"/>
      <c r="T455" s="364"/>
      <c r="U455" s="364"/>
      <c r="V455" s="365"/>
      <c r="W455" s="367"/>
      <c r="X455" s="3"/>
      <c r="Y455" s="366"/>
      <c r="Z455" s="678"/>
      <c r="AA455" s="796"/>
      <c r="AB455" s="796"/>
      <c r="AC455" s="705"/>
      <c r="AD455" s="705"/>
      <c r="AE455" s="705"/>
      <c r="AF455" s="362"/>
      <c r="AG455" s="362"/>
      <c r="AH455" s="362"/>
      <c r="AI455" s="362"/>
      <c r="AJ455" s="2"/>
      <c r="AK455" s="2"/>
      <c r="AL455" s="2"/>
      <c r="AM455" s="2"/>
      <c r="AN455" s="2"/>
      <c r="AO455" s="2"/>
      <c r="AP455" s="2"/>
      <c r="AQ455" s="364"/>
      <c r="AR455" s="577"/>
      <c r="AS455" s="364"/>
      <c r="AT455" s="577"/>
      <c r="AU455" s="364"/>
      <c r="AV455" s="364"/>
      <c r="AW455" s="364"/>
      <c r="AX455" s="364"/>
      <c r="AY455" s="577"/>
      <c r="AZ455" s="577"/>
      <c r="BA455" s="577"/>
      <c r="BB455" s="926"/>
      <c r="BC455" s="364"/>
      <c r="BD455" s="364"/>
      <c r="BE455" s="577"/>
      <c r="BF455" s="364"/>
      <c r="BG455" s="384"/>
      <c r="BH455" s="577"/>
      <c r="BI455" s="364"/>
      <c r="BJ455" s="364"/>
      <c r="BK455" s="364"/>
      <c r="BL455" s="364"/>
      <c r="BM455" s="384"/>
      <c r="BN455" s="364"/>
      <c r="BO455" s="364"/>
      <c r="BP455" s="364"/>
      <c r="BQ455" s="388"/>
      <c r="BR455" s="388"/>
      <c r="BS455" s="388"/>
      <c r="BT455" s="388"/>
      <c r="BU455" s="384"/>
      <c r="BV455" s="384"/>
      <c r="BW455" s="387"/>
      <c r="BX455" s="387"/>
      <c r="BY455" s="388"/>
      <c r="BZ455" s="388"/>
      <c r="CA455" s="388"/>
      <c r="CB455" s="387"/>
      <c r="CC455" s="387"/>
      <c r="CE455" s="2"/>
      <c r="CF455" s="2"/>
      <c r="CG455" s="2"/>
      <c r="CH455" s="2"/>
      <c r="CI455" s="2"/>
      <c r="CJ455" s="2"/>
      <c r="CK455" s="2"/>
      <c r="CL455" s="2"/>
      <c r="CM455" s="2"/>
      <c r="CN455" s="2"/>
      <c r="CO455" s="2"/>
      <c r="CP455" s="2"/>
      <c r="CQ455" s="2"/>
      <c r="CR455" s="2"/>
      <c r="CS455" s="364"/>
      <c r="CT455" s="364"/>
      <c r="CU455" s="364"/>
      <c r="CV455" s="407"/>
      <c r="CW455" s="407"/>
      <c r="CX455" s="407"/>
      <c r="CY455" s="407"/>
      <c r="CZ455" s="404"/>
      <c r="DA455" s="404"/>
      <c r="DB455" s="404"/>
      <c r="DC455" s="404"/>
      <c r="DD455" s="407"/>
      <c r="DE455" s="407"/>
      <c r="DF455" s="407"/>
      <c r="DG455" s="407"/>
      <c r="DH455" s="407"/>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row>
    <row r="456" spans="1:150" s="357" customFormat="1">
      <c r="A456" s="364"/>
      <c r="B456" s="678"/>
      <c r="C456" s="364"/>
      <c r="D456" s="364"/>
      <c r="E456" s="678"/>
      <c r="F456" s="678"/>
      <c r="G456" s="678"/>
      <c r="H456" s="364"/>
      <c r="I456" s="364"/>
      <c r="J456" s="364"/>
      <c r="K456" s="364"/>
      <c r="L456" s="786"/>
      <c r="M456" s="364"/>
      <c r="N456" s="364"/>
      <c r="O456" s="364"/>
      <c r="P456" s="364"/>
      <c r="Q456" s="364"/>
      <c r="R456" s="364"/>
      <c r="S456" s="364"/>
      <c r="T456" s="364"/>
      <c r="U456" s="364"/>
      <c r="V456" s="365"/>
      <c r="W456" s="367"/>
      <c r="X456" s="3"/>
      <c r="Y456" s="366"/>
      <c r="Z456" s="678"/>
      <c r="AA456" s="796"/>
      <c r="AB456" s="796"/>
      <c r="AC456" s="705"/>
      <c r="AD456" s="705"/>
      <c r="AE456" s="705"/>
      <c r="AF456" s="362"/>
      <c r="AG456" s="362"/>
      <c r="AH456" s="362"/>
      <c r="AI456" s="362"/>
      <c r="AJ456" s="2"/>
      <c r="AK456" s="2"/>
      <c r="AL456" s="2"/>
      <c r="AM456" s="2"/>
      <c r="AN456" s="2"/>
      <c r="AO456" s="2"/>
      <c r="AP456" s="2"/>
      <c r="AQ456" s="364"/>
      <c r="AR456" s="577"/>
      <c r="AS456" s="364"/>
      <c r="AT456" s="577"/>
      <c r="AU456" s="364"/>
      <c r="AV456" s="364"/>
      <c r="AW456" s="364"/>
      <c r="AX456" s="364"/>
      <c r="AY456" s="577"/>
      <c r="AZ456" s="577"/>
      <c r="BA456" s="577"/>
      <c r="BB456" s="926"/>
      <c r="BC456" s="364"/>
      <c r="BD456" s="364"/>
      <c r="BE456" s="577"/>
      <c r="BF456" s="364"/>
      <c r="BG456" s="384"/>
      <c r="BH456" s="577"/>
      <c r="BI456" s="364"/>
      <c r="BJ456" s="364"/>
      <c r="BK456" s="364"/>
      <c r="BL456" s="364"/>
      <c r="BM456" s="384"/>
      <c r="BN456" s="364"/>
      <c r="BO456" s="364"/>
      <c r="BP456" s="364"/>
      <c r="BQ456" s="388"/>
      <c r="BR456" s="388"/>
      <c r="BS456" s="388"/>
      <c r="BT456" s="388"/>
      <c r="BU456" s="384"/>
      <c r="BV456" s="384"/>
      <c r="BW456" s="387"/>
      <c r="BX456" s="387"/>
      <c r="BY456" s="388"/>
      <c r="BZ456" s="388"/>
      <c r="CA456" s="388"/>
      <c r="CB456" s="387"/>
      <c r="CC456" s="387"/>
      <c r="CE456" s="2"/>
      <c r="CF456" s="2"/>
      <c r="CG456" s="2"/>
      <c r="CH456" s="2"/>
      <c r="CI456" s="2"/>
      <c r="CJ456" s="2"/>
      <c r="CK456" s="2"/>
      <c r="CL456" s="2"/>
      <c r="CM456" s="2"/>
      <c r="CN456" s="2"/>
      <c r="CO456" s="2"/>
      <c r="CP456" s="2"/>
      <c r="CQ456" s="2"/>
      <c r="CR456" s="2"/>
      <c r="CS456" s="364"/>
      <c r="CT456" s="364"/>
      <c r="CU456" s="364"/>
      <c r="CV456" s="407"/>
      <c r="CW456" s="407"/>
      <c r="CX456" s="407"/>
      <c r="CY456" s="407"/>
      <c r="CZ456" s="404"/>
      <c r="DA456" s="404"/>
      <c r="DB456" s="404"/>
      <c r="DC456" s="404"/>
      <c r="DD456" s="407"/>
      <c r="DE456" s="407"/>
      <c r="DF456" s="407"/>
      <c r="DG456" s="407"/>
      <c r="DH456" s="407"/>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row>
    <row r="457" spans="1:150" s="357" customFormat="1">
      <c r="A457" s="364"/>
      <c r="B457" s="678"/>
      <c r="C457" s="364"/>
      <c r="D457" s="364"/>
      <c r="E457" s="678"/>
      <c r="F457" s="678"/>
      <c r="G457" s="678"/>
      <c r="H457" s="364"/>
      <c r="I457" s="364"/>
      <c r="J457" s="364"/>
      <c r="K457" s="364"/>
      <c r="L457" s="786"/>
      <c r="M457" s="364"/>
      <c r="N457" s="364"/>
      <c r="O457" s="364"/>
      <c r="P457" s="364"/>
      <c r="Q457" s="364"/>
      <c r="R457" s="364"/>
      <c r="S457" s="364"/>
      <c r="T457" s="364"/>
      <c r="U457" s="364"/>
      <c r="V457" s="365"/>
      <c r="W457" s="367"/>
      <c r="X457" s="3"/>
      <c r="Y457" s="366"/>
      <c r="Z457" s="678"/>
      <c r="AA457" s="796"/>
      <c r="AB457" s="796"/>
      <c r="AC457" s="705"/>
      <c r="AD457" s="705"/>
      <c r="AE457" s="705"/>
      <c r="AF457" s="362"/>
      <c r="AG457" s="362"/>
      <c r="AH457" s="362"/>
      <c r="AI457" s="362"/>
      <c r="AJ457" s="2"/>
      <c r="AK457" s="2"/>
      <c r="AL457" s="2"/>
      <c r="AM457" s="2"/>
      <c r="AN457" s="2"/>
      <c r="AO457" s="2"/>
      <c r="AP457" s="2"/>
      <c r="AQ457" s="364"/>
      <c r="AR457" s="577"/>
      <c r="AS457" s="364"/>
      <c r="AT457" s="577"/>
      <c r="AU457" s="364"/>
      <c r="AV457" s="364"/>
      <c r="AW457" s="364"/>
      <c r="AX457" s="364"/>
      <c r="AY457" s="577"/>
      <c r="AZ457" s="577"/>
      <c r="BA457" s="577"/>
      <c r="BB457" s="926"/>
      <c r="BC457" s="364"/>
      <c r="BD457" s="364"/>
      <c r="BE457" s="577"/>
      <c r="BF457" s="364"/>
      <c r="BG457" s="384"/>
      <c r="BH457" s="577"/>
      <c r="BI457" s="364"/>
      <c r="BJ457" s="364"/>
      <c r="BK457" s="364"/>
      <c r="BL457" s="364"/>
      <c r="BM457" s="384"/>
      <c r="BN457" s="364"/>
      <c r="BO457" s="364"/>
      <c r="BP457" s="364"/>
      <c r="BQ457" s="388"/>
      <c r="BR457" s="388"/>
      <c r="BS457" s="388"/>
      <c r="BT457" s="388"/>
      <c r="BU457" s="384"/>
      <c r="BV457" s="384"/>
      <c r="BW457" s="387"/>
      <c r="BX457" s="387"/>
      <c r="BY457" s="388"/>
      <c r="BZ457" s="388"/>
      <c r="CA457" s="388"/>
      <c r="CB457" s="387"/>
      <c r="CC457" s="387"/>
      <c r="CE457" s="2"/>
      <c r="CF457" s="2"/>
      <c r="CG457" s="2"/>
      <c r="CH457" s="2"/>
      <c r="CI457" s="2"/>
      <c r="CJ457" s="2"/>
      <c r="CK457" s="2"/>
      <c r="CL457" s="2"/>
      <c r="CM457" s="2"/>
      <c r="CN457" s="2"/>
      <c r="CO457" s="2"/>
      <c r="CP457" s="2"/>
      <c r="CQ457" s="2"/>
      <c r="CR457" s="2"/>
      <c r="CS457" s="364"/>
      <c r="CT457" s="364"/>
      <c r="CU457" s="364"/>
      <c r="CV457" s="407"/>
      <c r="CW457" s="407"/>
      <c r="CX457" s="407"/>
      <c r="CY457" s="407"/>
      <c r="CZ457" s="404"/>
      <c r="DA457" s="404"/>
      <c r="DB457" s="404"/>
      <c r="DC457" s="404"/>
      <c r="DD457" s="407"/>
      <c r="DE457" s="407"/>
      <c r="DF457" s="407"/>
      <c r="DG457" s="407"/>
      <c r="DH457" s="407"/>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row>
    <row r="458" spans="1:150" s="357" customFormat="1">
      <c r="A458" s="364"/>
      <c r="B458" s="678"/>
      <c r="C458" s="364"/>
      <c r="D458" s="364"/>
      <c r="E458" s="678"/>
      <c r="F458" s="678"/>
      <c r="G458" s="678"/>
      <c r="H458" s="364"/>
      <c r="I458" s="364"/>
      <c r="J458" s="364"/>
      <c r="K458" s="364"/>
      <c r="L458" s="786"/>
      <c r="M458" s="364"/>
      <c r="N458" s="364"/>
      <c r="O458" s="364"/>
      <c r="P458" s="364"/>
      <c r="Q458" s="364"/>
      <c r="R458" s="364"/>
      <c r="S458" s="364"/>
      <c r="T458" s="364"/>
      <c r="U458" s="364"/>
      <c r="V458" s="365"/>
      <c r="W458" s="367"/>
      <c r="X458" s="3"/>
      <c r="Y458" s="366"/>
      <c r="Z458" s="678"/>
      <c r="AA458" s="796"/>
      <c r="AB458" s="796"/>
      <c r="AC458" s="705"/>
      <c r="AD458" s="705"/>
      <c r="AE458" s="705"/>
      <c r="AF458" s="362"/>
      <c r="AG458" s="362"/>
      <c r="AH458" s="362"/>
      <c r="AI458" s="362"/>
      <c r="AJ458" s="2"/>
      <c r="AK458" s="2"/>
      <c r="AL458" s="2"/>
      <c r="AM458" s="2"/>
      <c r="AN458" s="2"/>
      <c r="AO458" s="2"/>
      <c r="AP458" s="2"/>
      <c r="AQ458" s="364"/>
      <c r="AR458" s="577"/>
      <c r="AS458" s="364"/>
      <c r="AT458" s="577"/>
      <c r="AU458" s="364"/>
      <c r="AV458" s="364"/>
      <c r="AW458" s="364"/>
      <c r="AX458" s="364"/>
      <c r="AY458" s="577"/>
      <c r="AZ458" s="577"/>
      <c r="BA458" s="577"/>
      <c r="BB458" s="926"/>
      <c r="BC458" s="364"/>
      <c r="BD458" s="364"/>
      <c r="BE458" s="577"/>
      <c r="BF458" s="364"/>
      <c r="BG458" s="384"/>
      <c r="BH458" s="577"/>
      <c r="BI458" s="364"/>
      <c r="BJ458" s="364"/>
      <c r="BK458" s="364"/>
      <c r="BL458" s="364"/>
      <c r="BM458" s="384"/>
      <c r="BN458" s="364"/>
      <c r="BO458" s="364"/>
      <c r="BP458" s="364"/>
      <c r="BQ458" s="388"/>
      <c r="BR458" s="388"/>
      <c r="BS458" s="388"/>
      <c r="BT458" s="388"/>
      <c r="BU458" s="384"/>
      <c r="BV458" s="384"/>
      <c r="BW458" s="387"/>
      <c r="BX458" s="387"/>
      <c r="BY458" s="388"/>
      <c r="BZ458" s="388"/>
      <c r="CA458" s="388"/>
      <c r="CB458" s="387"/>
      <c r="CC458" s="387"/>
      <c r="CE458" s="2"/>
      <c r="CF458" s="2"/>
      <c r="CG458" s="2"/>
      <c r="CH458" s="2"/>
      <c r="CI458" s="2"/>
      <c r="CJ458" s="2"/>
      <c r="CK458" s="2"/>
      <c r="CL458" s="2"/>
      <c r="CM458" s="2"/>
      <c r="CN458" s="2"/>
      <c r="CO458" s="2"/>
      <c r="CP458" s="2"/>
      <c r="CQ458" s="2"/>
      <c r="CR458" s="2"/>
      <c r="CS458" s="364"/>
      <c r="CT458" s="364"/>
      <c r="CU458" s="364"/>
      <c r="CV458" s="407"/>
      <c r="CW458" s="407"/>
      <c r="CX458" s="407"/>
      <c r="CY458" s="407"/>
      <c r="CZ458" s="404"/>
      <c r="DA458" s="404"/>
      <c r="DB458" s="404"/>
      <c r="DC458" s="404"/>
      <c r="DD458" s="407"/>
      <c r="DE458" s="407"/>
      <c r="DF458" s="407"/>
      <c r="DG458" s="407"/>
      <c r="DH458" s="407"/>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row>
    <row r="459" spans="1:150" s="357" customFormat="1">
      <c r="A459" s="364"/>
      <c r="B459" s="678"/>
      <c r="C459" s="364"/>
      <c r="D459" s="364"/>
      <c r="E459" s="678"/>
      <c r="F459" s="678"/>
      <c r="G459" s="678"/>
      <c r="H459" s="364"/>
      <c r="I459" s="364"/>
      <c r="J459" s="364"/>
      <c r="K459" s="364"/>
      <c r="L459" s="786"/>
      <c r="M459" s="364"/>
      <c r="N459" s="364"/>
      <c r="O459" s="364"/>
      <c r="P459" s="364"/>
      <c r="Q459" s="364"/>
      <c r="R459" s="364"/>
      <c r="S459" s="364"/>
      <c r="T459" s="364"/>
      <c r="U459" s="364"/>
      <c r="V459" s="365"/>
      <c r="W459" s="367"/>
      <c r="X459" s="3"/>
      <c r="Y459" s="366"/>
      <c r="Z459" s="678"/>
      <c r="AA459" s="796"/>
      <c r="AB459" s="796"/>
      <c r="AC459" s="705"/>
      <c r="AD459" s="705"/>
      <c r="AE459" s="705"/>
      <c r="AF459" s="362"/>
      <c r="AG459" s="362"/>
      <c r="AH459" s="362"/>
      <c r="AI459" s="362"/>
      <c r="AJ459" s="2"/>
      <c r="AK459" s="2"/>
      <c r="AL459" s="2"/>
      <c r="AM459" s="2"/>
      <c r="AN459" s="2"/>
      <c r="AO459" s="2"/>
      <c r="AP459" s="2"/>
      <c r="AQ459" s="364"/>
      <c r="AR459" s="577"/>
      <c r="AS459" s="364"/>
      <c r="AT459" s="577"/>
      <c r="AU459" s="364"/>
      <c r="AV459" s="364"/>
      <c r="AW459" s="364"/>
      <c r="AX459" s="364"/>
      <c r="AY459" s="577"/>
      <c r="AZ459" s="577"/>
      <c r="BA459" s="577"/>
      <c r="BB459" s="926"/>
      <c r="BC459" s="364"/>
      <c r="BD459" s="364"/>
      <c r="BE459" s="577"/>
      <c r="BF459" s="364"/>
      <c r="BG459" s="384"/>
      <c r="BH459" s="577"/>
      <c r="BI459" s="364"/>
      <c r="BJ459" s="364"/>
      <c r="BK459" s="364"/>
      <c r="BL459" s="364"/>
      <c r="BM459" s="384"/>
      <c r="BN459" s="364"/>
      <c r="BO459" s="364"/>
      <c r="BP459" s="364"/>
      <c r="BQ459" s="388"/>
      <c r="BR459" s="388"/>
      <c r="BS459" s="388"/>
      <c r="BT459" s="388"/>
      <c r="BU459" s="384"/>
      <c r="BV459" s="384"/>
      <c r="BW459" s="387"/>
      <c r="BX459" s="387"/>
      <c r="BY459" s="388"/>
      <c r="BZ459" s="388"/>
      <c r="CA459" s="388"/>
      <c r="CB459" s="387"/>
      <c r="CC459" s="387"/>
      <c r="CE459" s="2"/>
      <c r="CF459" s="2"/>
      <c r="CG459" s="2"/>
      <c r="CH459" s="2"/>
      <c r="CI459" s="2"/>
      <c r="CJ459" s="2"/>
      <c r="CK459" s="2"/>
      <c r="CL459" s="2"/>
      <c r="CM459" s="2"/>
      <c r="CN459" s="2"/>
      <c r="CO459" s="2"/>
      <c r="CP459" s="2"/>
      <c r="CQ459" s="2"/>
      <c r="CR459" s="2"/>
      <c r="CS459" s="364"/>
      <c r="CT459" s="364"/>
      <c r="CU459" s="364"/>
      <c r="CV459" s="407"/>
      <c r="CW459" s="407"/>
      <c r="CX459" s="407"/>
      <c r="CY459" s="407"/>
      <c r="CZ459" s="404"/>
      <c r="DA459" s="404"/>
      <c r="DB459" s="404"/>
      <c r="DC459" s="404"/>
      <c r="DD459" s="407"/>
      <c r="DE459" s="407"/>
      <c r="DF459" s="407"/>
      <c r="DG459" s="407"/>
      <c r="DH459" s="407"/>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row>
    <row r="460" spans="1:150" s="357" customFormat="1">
      <c r="A460" s="364"/>
      <c r="B460" s="678"/>
      <c r="C460" s="364"/>
      <c r="D460" s="364"/>
      <c r="E460" s="678"/>
      <c r="F460" s="678"/>
      <c r="G460" s="678"/>
      <c r="H460" s="364"/>
      <c r="I460" s="364"/>
      <c r="J460" s="364"/>
      <c r="K460" s="364"/>
      <c r="L460" s="786"/>
      <c r="M460" s="364"/>
      <c r="N460" s="364"/>
      <c r="O460" s="364"/>
      <c r="P460" s="364"/>
      <c r="Q460" s="364"/>
      <c r="R460" s="364"/>
      <c r="S460" s="364"/>
      <c r="T460" s="364"/>
      <c r="U460" s="364"/>
      <c r="V460" s="365"/>
      <c r="W460" s="367"/>
      <c r="X460" s="3"/>
      <c r="Y460" s="366"/>
      <c r="Z460" s="678"/>
      <c r="AA460" s="796"/>
      <c r="AB460" s="796"/>
      <c r="AC460" s="705"/>
      <c r="AD460" s="705"/>
      <c r="AE460" s="705"/>
      <c r="AF460" s="362"/>
      <c r="AG460" s="362"/>
      <c r="AH460" s="362"/>
      <c r="AI460" s="362"/>
      <c r="AJ460" s="2"/>
      <c r="AK460" s="2"/>
      <c r="AL460" s="2"/>
      <c r="AM460" s="2"/>
      <c r="AN460" s="2"/>
      <c r="AO460" s="2"/>
      <c r="AP460" s="2"/>
      <c r="AQ460" s="364"/>
      <c r="AR460" s="577"/>
      <c r="AS460" s="364"/>
      <c r="AT460" s="577"/>
      <c r="AU460" s="364"/>
      <c r="AV460" s="364"/>
      <c r="AW460" s="364"/>
      <c r="AX460" s="364"/>
      <c r="AY460" s="577"/>
      <c r="AZ460" s="577"/>
      <c r="BA460" s="577"/>
      <c r="BB460" s="926"/>
      <c r="BC460" s="364"/>
      <c r="BD460" s="364"/>
      <c r="BE460" s="577"/>
      <c r="BF460" s="364"/>
      <c r="BG460" s="384"/>
      <c r="BH460" s="577"/>
      <c r="BI460" s="364"/>
      <c r="BJ460" s="364"/>
      <c r="BK460" s="364"/>
      <c r="BL460" s="364"/>
      <c r="BM460" s="384"/>
      <c r="BN460" s="364"/>
      <c r="BO460" s="364"/>
      <c r="BP460" s="364"/>
      <c r="BQ460" s="388"/>
      <c r="BR460" s="388"/>
      <c r="BS460" s="388"/>
      <c r="BT460" s="388"/>
      <c r="BU460" s="384"/>
      <c r="BV460" s="384"/>
      <c r="BW460" s="387"/>
      <c r="BX460" s="387"/>
      <c r="BY460" s="388"/>
      <c r="BZ460" s="388"/>
      <c r="CA460" s="388"/>
      <c r="CB460" s="387"/>
      <c r="CC460" s="387"/>
      <c r="CE460" s="2"/>
      <c r="CF460" s="2"/>
      <c r="CG460" s="2"/>
      <c r="CH460" s="2"/>
      <c r="CI460" s="2"/>
      <c r="CJ460" s="2"/>
      <c r="CK460" s="2"/>
      <c r="CL460" s="2"/>
      <c r="CM460" s="2"/>
      <c r="CN460" s="2"/>
      <c r="CO460" s="2"/>
      <c r="CP460" s="2"/>
      <c r="CQ460" s="2"/>
      <c r="CR460" s="2"/>
      <c r="CS460" s="364"/>
      <c r="CT460" s="364"/>
      <c r="CU460" s="364"/>
      <c r="CV460" s="407"/>
      <c r="CW460" s="407"/>
      <c r="CX460" s="407"/>
      <c r="CY460" s="407"/>
      <c r="CZ460" s="404"/>
      <c r="DA460" s="404"/>
      <c r="DB460" s="404"/>
      <c r="DC460" s="404"/>
      <c r="DD460" s="407"/>
      <c r="DE460" s="407"/>
      <c r="DF460" s="407"/>
      <c r="DG460" s="407"/>
      <c r="DH460" s="407"/>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row>
    <row r="461" spans="1:150" s="357" customFormat="1">
      <c r="A461" s="364"/>
      <c r="B461" s="678"/>
      <c r="C461" s="364"/>
      <c r="D461" s="364"/>
      <c r="E461" s="678"/>
      <c r="F461" s="678"/>
      <c r="G461" s="678"/>
      <c r="H461" s="364"/>
      <c r="I461" s="364"/>
      <c r="J461" s="364"/>
      <c r="K461" s="364"/>
      <c r="L461" s="786"/>
      <c r="M461" s="364"/>
      <c r="N461" s="364"/>
      <c r="O461" s="364"/>
      <c r="P461" s="364"/>
      <c r="Q461" s="364"/>
      <c r="R461" s="364"/>
      <c r="S461" s="364"/>
      <c r="T461" s="364"/>
      <c r="U461" s="364"/>
      <c r="V461" s="365"/>
      <c r="W461" s="367"/>
      <c r="X461" s="3"/>
      <c r="Y461" s="366"/>
      <c r="Z461" s="678"/>
      <c r="AA461" s="796"/>
      <c r="AB461" s="796"/>
      <c r="AC461" s="705"/>
      <c r="AD461" s="705"/>
      <c r="AE461" s="705"/>
      <c r="AF461" s="362"/>
      <c r="AG461" s="362"/>
      <c r="AH461" s="362"/>
      <c r="AI461" s="362"/>
      <c r="AJ461" s="2"/>
      <c r="AK461" s="2"/>
      <c r="AL461" s="2"/>
      <c r="AM461" s="2"/>
      <c r="AN461" s="2"/>
      <c r="AO461" s="2"/>
      <c r="AP461" s="2"/>
      <c r="AQ461" s="364"/>
      <c r="AR461" s="577"/>
      <c r="AS461" s="364"/>
      <c r="AT461" s="577"/>
      <c r="AU461" s="364"/>
      <c r="AV461" s="364"/>
      <c r="AW461" s="364"/>
      <c r="AX461" s="364"/>
      <c r="AY461" s="577"/>
      <c r="AZ461" s="577"/>
      <c r="BA461" s="577"/>
      <c r="BB461" s="926"/>
      <c r="BC461" s="364"/>
      <c r="BD461" s="364"/>
      <c r="BE461" s="577"/>
      <c r="BF461" s="364"/>
      <c r="BG461" s="384"/>
      <c r="BH461" s="577"/>
      <c r="BI461" s="364"/>
      <c r="BJ461" s="364"/>
      <c r="BK461" s="364"/>
      <c r="BL461" s="364"/>
      <c r="BM461" s="384"/>
      <c r="BN461" s="364"/>
      <c r="BO461" s="364"/>
      <c r="BP461" s="364"/>
      <c r="BQ461" s="388"/>
      <c r="BR461" s="388"/>
      <c r="BS461" s="388"/>
      <c r="BT461" s="388"/>
      <c r="BU461" s="384"/>
      <c r="BV461" s="384"/>
      <c r="BW461" s="387"/>
      <c r="BX461" s="387"/>
      <c r="BY461" s="388"/>
      <c r="BZ461" s="388"/>
      <c r="CA461" s="388"/>
      <c r="CB461" s="387"/>
      <c r="CC461" s="387"/>
      <c r="CE461" s="2"/>
      <c r="CF461" s="2"/>
      <c r="CG461" s="2"/>
      <c r="CH461" s="2"/>
      <c r="CI461" s="2"/>
      <c r="CJ461" s="2"/>
      <c r="CK461" s="2"/>
      <c r="CL461" s="2"/>
      <c r="CM461" s="2"/>
      <c r="CN461" s="2"/>
      <c r="CO461" s="2"/>
      <c r="CP461" s="2"/>
      <c r="CQ461" s="2"/>
      <c r="CR461" s="2"/>
      <c r="CS461" s="364"/>
      <c r="CT461" s="364"/>
      <c r="CU461" s="364"/>
      <c r="CV461" s="407"/>
      <c r="CW461" s="407"/>
      <c r="CX461" s="407"/>
      <c r="CY461" s="407"/>
      <c r="CZ461" s="404"/>
      <c r="DA461" s="404"/>
      <c r="DB461" s="404"/>
      <c r="DC461" s="404"/>
      <c r="DD461" s="407"/>
      <c r="DE461" s="407"/>
      <c r="DF461" s="407"/>
      <c r="DG461" s="407"/>
      <c r="DH461" s="407"/>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row>
    <row r="462" spans="1:150" s="357" customFormat="1">
      <c r="A462" s="364"/>
      <c r="B462" s="678"/>
      <c r="C462" s="364"/>
      <c r="D462" s="364"/>
      <c r="E462" s="678"/>
      <c r="F462" s="678"/>
      <c r="G462" s="678"/>
      <c r="H462" s="364"/>
      <c r="I462" s="364"/>
      <c r="J462" s="364"/>
      <c r="K462" s="364"/>
      <c r="L462" s="786"/>
      <c r="M462" s="364"/>
      <c r="N462" s="364"/>
      <c r="O462" s="364"/>
      <c r="P462" s="364"/>
      <c r="Q462" s="364"/>
      <c r="R462" s="364"/>
      <c r="S462" s="364"/>
      <c r="T462" s="364"/>
      <c r="U462" s="364"/>
      <c r="V462" s="365"/>
      <c r="W462" s="367"/>
      <c r="X462" s="3"/>
      <c r="Y462" s="366"/>
      <c r="Z462" s="678"/>
      <c r="AA462" s="796"/>
      <c r="AB462" s="796"/>
      <c r="AC462" s="705"/>
      <c r="AD462" s="705"/>
      <c r="AE462" s="705"/>
      <c r="AF462" s="362"/>
      <c r="AG462" s="362"/>
      <c r="AH462" s="362"/>
      <c r="AI462" s="362"/>
      <c r="AJ462" s="2"/>
      <c r="AK462" s="2"/>
      <c r="AL462" s="2"/>
      <c r="AM462" s="2"/>
      <c r="AN462" s="2"/>
      <c r="AO462" s="2"/>
      <c r="AP462" s="2"/>
      <c r="AQ462" s="364"/>
      <c r="AR462" s="577"/>
      <c r="AS462" s="364"/>
      <c r="AT462" s="577"/>
      <c r="AU462" s="364"/>
      <c r="AV462" s="364"/>
      <c r="AW462" s="364"/>
      <c r="AX462" s="364"/>
      <c r="AY462" s="577"/>
      <c r="AZ462" s="577"/>
      <c r="BA462" s="577"/>
      <c r="BB462" s="926"/>
      <c r="BC462" s="364"/>
      <c r="BD462" s="364"/>
      <c r="BE462" s="577"/>
      <c r="BF462" s="364"/>
      <c r="BG462" s="384"/>
      <c r="BH462" s="577"/>
      <c r="BI462" s="364"/>
      <c r="BJ462" s="364"/>
      <c r="BK462" s="364"/>
      <c r="BL462" s="364"/>
      <c r="BM462" s="384"/>
      <c r="BN462" s="364"/>
      <c r="BO462" s="364"/>
      <c r="BP462" s="364"/>
      <c r="BQ462" s="388"/>
      <c r="BR462" s="388"/>
      <c r="BS462" s="388"/>
      <c r="BT462" s="388"/>
      <c r="BU462" s="384"/>
      <c r="BV462" s="384"/>
      <c r="BW462" s="387"/>
      <c r="BX462" s="387"/>
      <c r="BY462" s="388"/>
      <c r="BZ462" s="388"/>
      <c r="CA462" s="388"/>
      <c r="CB462" s="387"/>
      <c r="CC462" s="387"/>
      <c r="CE462" s="2"/>
      <c r="CF462" s="2"/>
      <c r="CG462" s="2"/>
      <c r="CH462" s="2"/>
      <c r="CI462" s="2"/>
      <c r="CJ462" s="2"/>
      <c r="CK462" s="2"/>
      <c r="CL462" s="2"/>
      <c r="CM462" s="2"/>
      <c r="CN462" s="2"/>
      <c r="CO462" s="2"/>
      <c r="CP462" s="2"/>
      <c r="CQ462" s="2"/>
      <c r="CR462" s="2"/>
      <c r="CS462" s="364"/>
      <c r="CT462" s="364"/>
      <c r="CU462" s="364"/>
      <c r="CV462" s="407"/>
      <c r="CW462" s="407"/>
      <c r="CX462" s="407"/>
      <c r="CY462" s="407"/>
      <c r="CZ462" s="404"/>
      <c r="DA462" s="404"/>
      <c r="DB462" s="404"/>
      <c r="DC462" s="404"/>
      <c r="DD462" s="407"/>
      <c r="DE462" s="407"/>
      <c r="DF462" s="407"/>
      <c r="DG462" s="407"/>
      <c r="DH462" s="407"/>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row>
    <row r="463" spans="1:150" s="357" customFormat="1">
      <c r="A463" s="364"/>
      <c r="B463" s="678"/>
      <c r="C463" s="364"/>
      <c r="D463" s="364"/>
      <c r="E463" s="678"/>
      <c r="F463" s="678"/>
      <c r="G463" s="678"/>
      <c r="H463" s="364"/>
      <c r="I463" s="364"/>
      <c r="J463" s="364"/>
      <c r="K463" s="364"/>
      <c r="L463" s="786"/>
      <c r="M463" s="364"/>
      <c r="N463" s="364"/>
      <c r="O463" s="364"/>
      <c r="P463" s="364"/>
      <c r="Q463" s="364"/>
      <c r="R463" s="364"/>
      <c r="S463" s="364"/>
      <c r="T463" s="364"/>
      <c r="U463" s="364"/>
      <c r="V463" s="365"/>
      <c r="W463" s="367"/>
      <c r="X463" s="3"/>
      <c r="Y463" s="366"/>
      <c r="Z463" s="678"/>
      <c r="AA463" s="796"/>
      <c r="AB463" s="796"/>
      <c r="AC463" s="705"/>
      <c r="AD463" s="705"/>
      <c r="AE463" s="705"/>
      <c r="AF463" s="362"/>
      <c r="AG463" s="362"/>
      <c r="AH463" s="362"/>
      <c r="AI463" s="362"/>
      <c r="AJ463" s="2"/>
      <c r="AK463" s="2"/>
      <c r="AL463" s="2"/>
      <c r="AM463" s="2"/>
      <c r="AN463" s="2"/>
      <c r="AO463" s="2"/>
      <c r="AP463" s="2"/>
      <c r="AQ463" s="364"/>
      <c r="AR463" s="577"/>
      <c r="AS463" s="364"/>
      <c r="AT463" s="577"/>
      <c r="AU463" s="364"/>
      <c r="AV463" s="364"/>
      <c r="AW463" s="364"/>
      <c r="AX463" s="364"/>
      <c r="AY463" s="577"/>
      <c r="AZ463" s="577"/>
      <c r="BA463" s="577"/>
      <c r="BB463" s="926"/>
      <c r="BC463" s="364"/>
      <c r="BD463" s="364"/>
      <c r="BE463" s="577"/>
      <c r="BF463" s="364"/>
      <c r="BG463" s="384"/>
      <c r="BH463" s="577"/>
      <c r="BI463" s="364"/>
      <c r="BJ463" s="364"/>
      <c r="BK463" s="364"/>
      <c r="BL463" s="364"/>
      <c r="BM463" s="384"/>
      <c r="BN463" s="364"/>
      <c r="BO463" s="364"/>
      <c r="BP463" s="364"/>
      <c r="BQ463" s="388"/>
      <c r="BR463" s="388"/>
      <c r="BS463" s="388"/>
      <c r="BT463" s="388"/>
      <c r="BU463" s="384"/>
      <c r="BV463" s="384"/>
      <c r="BW463" s="387"/>
      <c r="BX463" s="387"/>
      <c r="BY463" s="388"/>
      <c r="BZ463" s="388"/>
      <c r="CA463" s="388"/>
      <c r="CB463" s="387"/>
      <c r="CC463" s="387"/>
      <c r="CE463" s="2"/>
      <c r="CF463" s="2"/>
      <c r="CG463" s="2"/>
      <c r="CH463" s="2"/>
      <c r="CI463" s="2"/>
      <c r="CJ463" s="2"/>
      <c r="CK463" s="2"/>
      <c r="CL463" s="2"/>
      <c r="CM463" s="2"/>
      <c r="CN463" s="2"/>
      <c r="CO463" s="2"/>
      <c r="CP463" s="2"/>
      <c r="CQ463" s="2"/>
      <c r="CR463" s="2"/>
      <c r="CS463" s="364"/>
      <c r="CT463" s="364"/>
      <c r="CU463" s="364"/>
      <c r="CV463" s="407"/>
      <c r="CW463" s="407"/>
      <c r="CX463" s="407"/>
      <c r="CY463" s="407"/>
      <c r="CZ463" s="404"/>
      <c r="DA463" s="404"/>
      <c r="DB463" s="404"/>
      <c r="DC463" s="404"/>
      <c r="DD463" s="407"/>
      <c r="DE463" s="407"/>
      <c r="DF463" s="407"/>
      <c r="DG463" s="407"/>
      <c r="DH463" s="407"/>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row>
    <row r="464" spans="1:150" s="357" customFormat="1">
      <c r="A464" s="364"/>
      <c r="B464" s="678"/>
      <c r="C464" s="364"/>
      <c r="D464" s="364"/>
      <c r="E464" s="678"/>
      <c r="F464" s="678"/>
      <c r="G464" s="678"/>
      <c r="H464" s="364"/>
      <c r="I464" s="364"/>
      <c r="J464" s="364"/>
      <c r="K464" s="364"/>
      <c r="L464" s="786"/>
      <c r="M464" s="364"/>
      <c r="N464" s="364"/>
      <c r="O464" s="364"/>
      <c r="P464" s="364"/>
      <c r="Q464" s="364"/>
      <c r="R464" s="364"/>
      <c r="S464" s="364"/>
      <c r="T464" s="364"/>
      <c r="U464" s="364"/>
      <c r="V464" s="365"/>
      <c r="W464" s="367"/>
      <c r="X464" s="3"/>
      <c r="Y464" s="366"/>
      <c r="Z464" s="678"/>
      <c r="AA464" s="796"/>
      <c r="AB464" s="796"/>
      <c r="AC464" s="705"/>
      <c r="AD464" s="705"/>
      <c r="AE464" s="705"/>
      <c r="AF464" s="362"/>
      <c r="AG464" s="362"/>
      <c r="AH464" s="362"/>
      <c r="AI464" s="362"/>
      <c r="AJ464" s="2"/>
      <c r="AK464" s="2"/>
      <c r="AL464" s="2"/>
      <c r="AM464" s="2"/>
      <c r="AN464" s="2"/>
      <c r="AO464" s="2"/>
      <c r="AP464" s="2"/>
      <c r="AQ464" s="364"/>
      <c r="AR464" s="577"/>
      <c r="AS464" s="364"/>
      <c r="AT464" s="577"/>
      <c r="AU464" s="364"/>
      <c r="AV464" s="364"/>
      <c r="AW464" s="364"/>
      <c r="AX464" s="364"/>
      <c r="AY464" s="577"/>
      <c r="AZ464" s="577"/>
      <c r="BA464" s="577"/>
      <c r="BB464" s="926"/>
      <c r="BC464" s="364"/>
      <c r="BD464" s="364"/>
      <c r="BE464" s="577"/>
      <c r="BF464" s="364"/>
      <c r="BG464" s="384"/>
      <c r="BH464" s="577"/>
      <c r="BI464" s="364"/>
      <c r="BJ464" s="364"/>
      <c r="BK464" s="364"/>
      <c r="BL464" s="364"/>
      <c r="BM464" s="384"/>
      <c r="BN464" s="364"/>
      <c r="BO464" s="364"/>
      <c r="BP464" s="364"/>
      <c r="BQ464" s="388"/>
      <c r="BR464" s="388"/>
      <c r="BS464" s="388"/>
      <c r="BT464" s="388"/>
      <c r="BU464" s="384"/>
      <c r="BV464" s="384"/>
      <c r="BW464" s="387"/>
      <c r="BX464" s="387"/>
      <c r="BY464" s="388"/>
      <c r="BZ464" s="388"/>
      <c r="CA464" s="388"/>
      <c r="CB464" s="387"/>
      <c r="CC464" s="387"/>
      <c r="CE464" s="2"/>
      <c r="CF464" s="2"/>
      <c r="CG464" s="2"/>
      <c r="CH464" s="2"/>
      <c r="CI464" s="2"/>
      <c r="CJ464" s="2"/>
      <c r="CK464" s="2"/>
      <c r="CL464" s="2"/>
      <c r="CM464" s="2"/>
      <c r="CN464" s="2"/>
      <c r="CO464" s="2"/>
      <c r="CP464" s="2"/>
      <c r="CQ464" s="2"/>
      <c r="CR464" s="2"/>
      <c r="CS464" s="364"/>
      <c r="CT464" s="364"/>
      <c r="CU464" s="364"/>
      <c r="CV464" s="407"/>
      <c r="CW464" s="407"/>
      <c r="CX464" s="407"/>
      <c r="CY464" s="407"/>
      <c r="CZ464" s="404"/>
      <c r="DA464" s="404"/>
      <c r="DB464" s="404"/>
      <c r="DC464" s="404"/>
      <c r="DD464" s="407"/>
      <c r="DE464" s="407"/>
      <c r="DF464" s="407"/>
      <c r="DG464" s="407"/>
      <c r="DH464" s="407"/>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row>
    <row r="465" spans="1:150" s="357" customFormat="1">
      <c r="A465" s="364"/>
      <c r="B465" s="678"/>
      <c r="C465" s="364"/>
      <c r="D465" s="364"/>
      <c r="E465" s="678"/>
      <c r="F465" s="678"/>
      <c r="G465" s="678"/>
      <c r="H465" s="364"/>
      <c r="I465" s="364"/>
      <c r="J465" s="364"/>
      <c r="K465" s="364"/>
      <c r="L465" s="786"/>
      <c r="M465" s="364"/>
      <c r="N465" s="364"/>
      <c r="O465" s="364"/>
      <c r="P465" s="364"/>
      <c r="Q465" s="364"/>
      <c r="R465" s="364"/>
      <c r="S465" s="364"/>
      <c r="T465" s="364"/>
      <c r="U465" s="364"/>
      <c r="V465" s="365"/>
      <c r="W465" s="367"/>
      <c r="X465" s="3"/>
      <c r="Y465" s="366"/>
      <c r="Z465" s="678"/>
      <c r="AA465" s="796"/>
      <c r="AB465" s="796"/>
      <c r="AC465" s="705"/>
      <c r="AD465" s="705"/>
      <c r="AE465" s="705"/>
      <c r="AF465" s="362"/>
      <c r="AG465" s="362"/>
      <c r="AH465" s="362"/>
      <c r="AI465" s="362"/>
      <c r="AJ465" s="2"/>
      <c r="AK465" s="2"/>
      <c r="AL465" s="2"/>
      <c r="AM465" s="2"/>
      <c r="AN465" s="2"/>
      <c r="AO465" s="2"/>
      <c r="AP465" s="2"/>
      <c r="AQ465" s="364"/>
      <c r="AR465" s="577"/>
      <c r="AS465" s="364"/>
      <c r="AT465" s="577"/>
      <c r="AU465" s="364"/>
      <c r="AV465" s="364"/>
      <c r="AW465" s="364"/>
      <c r="AX465" s="364"/>
      <c r="AY465" s="577"/>
      <c r="AZ465" s="577"/>
      <c r="BA465" s="577"/>
      <c r="BB465" s="926"/>
      <c r="BC465" s="364"/>
      <c r="BD465" s="364"/>
      <c r="BE465" s="577"/>
      <c r="BF465" s="364"/>
      <c r="BG465" s="384"/>
      <c r="BH465" s="577"/>
      <c r="BI465" s="364"/>
      <c r="BJ465" s="364"/>
      <c r="BK465" s="364"/>
      <c r="BL465" s="364"/>
      <c r="BM465" s="384"/>
      <c r="BN465" s="364"/>
      <c r="BO465" s="364"/>
      <c r="BP465" s="364"/>
      <c r="BQ465" s="388"/>
      <c r="BR465" s="388"/>
      <c r="BS465" s="388"/>
      <c r="BT465" s="388"/>
      <c r="BU465" s="384"/>
      <c r="BV465" s="384"/>
      <c r="BW465" s="387"/>
      <c r="BX465" s="387"/>
      <c r="BY465" s="388"/>
      <c r="BZ465" s="388"/>
      <c r="CA465" s="388"/>
      <c r="CB465" s="387"/>
      <c r="CC465" s="387"/>
      <c r="CE465" s="2"/>
      <c r="CF465" s="2"/>
      <c r="CG465" s="2"/>
      <c r="CH465" s="2"/>
      <c r="CI465" s="2"/>
      <c r="CJ465" s="2"/>
      <c r="CK465" s="2"/>
      <c r="CL465" s="2"/>
      <c r="CM465" s="2"/>
      <c r="CN465" s="2"/>
      <c r="CO465" s="2"/>
      <c r="CP465" s="2"/>
      <c r="CQ465" s="2"/>
      <c r="CR465" s="2"/>
      <c r="CS465" s="364"/>
      <c r="CT465" s="364"/>
      <c r="CU465" s="364"/>
      <c r="CV465" s="407"/>
      <c r="CW465" s="407"/>
      <c r="CX465" s="407"/>
      <c r="CY465" s="407"/>
      <c r="CZ465" s="404"/>
      <c r="DA465" s="404"/>
      <c r="DB465" s="404"/>
      <c r="DC465" s="404"/>
      <c r="DD465" s="407"/>
      <c r="DE465" s="407"/>
      <c r="DF465" s="407"/>
      <c r="DG465" s="407"/>
      <c r="DH465" s="407"/>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row>
    <row r="466" spans="1:150" s="357" customFormat="1">
      <c r="A466" s="364"/>
      <c r="B466" s="678"/>
      <c r="C466" s="364"/>
      <c r="D466" s="364"/>
      <c r="E466" s="678"/>
      <c r="F466" s="678"/>
      <c r="G466" s="678"/>
      <c r="H466" s="364"/>
      <c r="I466" s="364"/>
      <c r="J466" s="364"/>
      <c r="K466" s="364"/>
      <c r="L466" s="786"/>
      <c r="M466" s="364"/>
      <c r="N466" s="364"/>
      <c r="O466" s="364"/>
      <c r="P466" s="364"/>
      <c r="Q466" s="364"/>
      <c r="R466" s="364"/>
      <c r="S466" s="364"/>
      <c r="T466" s="364"/>
      <c r="U466" s="364"/>
      <c r="V466" s="365"/>
      <c r="W466" s="367"/>
      <c r="X466" s="3"/>
      <c r="Y466" s="366"/>
      <c r="Z466" s="678"/>
      <c r="AA466" s="796"/>
      <c r="AB466" s="796"/>
      <c r="AC466" s="705"/>
      <c r="AD466" s="705"/>
      <c r="AE466" s="705"/>
      <c r="AF466" s="362"/>
      <c r="AG466" s="362"/>
      <c r="AH466" s="362"/>
      <c r="AI466" s="362"/>
      <c r="AJ466" s="2"/>
      <c r="AK466" s="2"/>
      <c r="AL466" s="2"/>
      <c r="AM466" s="2"/>
      <c r="AN466" s="2"/>
      <c r="AO466" s="2"/>
      <c r="AP466" s="2"/>
      <c r="AQ466" s="364"/>
      <c r="AR466" s="577"/>
      <c r="AS466" s="364"/>
      <c r="AT466" s="577"/>
      <c r="AU466" s="364"/>
      <c r="AV466" s="364"/>
      <c r="AW466" s="364"/>
      <c r="AX466" s="364"/>
      <c r="AY466" s="577"/>
      <c r="AZ466" s="577"/>
      <c r="BA466" s="577"/>
      <c r="BB466" s="926"/>
      <c r="BC466" s="364"/>
      <c r="BD466" s="364"/>
      <c r="BE466" s="577"/>
      <c r="BF466" s="364"/>
      <c r="BG466" s="384"/>
      <c r="BH466" s="577"/>
      <c r="BI466" s="364"/>
      <c r="BJ466" s="364"/>
      <c r="BK466" s="364"/>
      <c r="BL466" s="364"/>
      <c r="BM466" s="384"/>
      <c r="BN466" s="364"/>
      <c r="BO466" s="364"/>
      <c r="BP466" s="364"/>
      <c r="BQ466" s="388"/>
      <c r="BR466" s="388"/>
      <c r="BS466" s="388"/>
      <c r="BT466" s="388"/>
      <c r="BU466" s="384"/>
      <c r="BV466" s="384"/>
      <c r="BW466" s="387"/>
      <c r="BX466" s="387"/>
      <c r="BY466" s="388"/>
      <c r="BZ466" s="388"/>
      <c r="CA466" s="388"/>
      <c r="CB466" s="387"/>
      <c r="CC466" s="387"/>
      <c r="CE466" s="2"/>
      <c r="CF466" s="2"/>
      <c r="CG466" s="2"/>
      <c r="CH466" s="2"/>
      <c r="CI466" s="2"/>
      <c r="CJ466" s="2"/>
      <c r="CK466" s="2"/>
      <c r="CL466" s="2"/>
      <c r="CM466" s="2"/>
      <c r="CN466" s="2"/>
      <c r="CO466" s="2"/>
      <c r="CP466" s="2"/>
      <c r="CQ466" s="2"/>
      <c r="CR466" s="2"/>
      <c r="CS466" s="364"/>
      <c r="CT466" s="364"/>
      <c r="CU466" s="364"/>
      <c r="CV466" s="407"/>
      <c r="CW466" s="407"/>
      <c r="CX466" s="407"/>
      <c r="CY466" s="407"/>
      <c r="CZ466" s="404"/>
      <c r="DA466" s="404"/>
      <c r="DB466" s="404"/>
      <c r="DC466" s="404"/>
      <c r="DD466" s="407"/>
      <c r="DE466" s="407"/>
      <c r="DF466" s="407"/>
      <c r="DG466" s="407"/>
      <c r="DH466" s="407"/>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row>
    <row r="467" spans="1:150" s="357" customFormat="1">
      <c r="A467" s="364"/>
      <c r="B467" s="678"/>
      <c r="C467" s="364"/>
      <c r="D467" s="364"/>
      <c r="E467" s="678"/>
      <c r="F467" s="678"/>
      <c r="G467" s="678"/>
      <c r="H467" s="364"/>
      <c r="I467" s="364"/>
      <c r="J467" s="364"/>
      <c r="K467" s="364"/>
      <c r="L467" s="786"/>
      <c r="M467" s="364"/>
      <c r="N467" s="364"/>
      <c r="O467" s="364"/>
      <c r="P467" s="364"/>
      <c r="Q467" s="364"/>
      <c r="R467" s="364"/>
      <c r="S467" s="364"/>
      <c r="T467" s="364"/>
      <c r="U467" s="364"/>
      <c r="V467" s="365"/>
      <c r="W467" s="367"/>
      <c r="X467" s="3"/>
      <c r="Y467" s="366"/>
      <c r="Z467" s="678"/>
      <c r="AA467" s="796"/>
      <c r="AB467" s="796"/>
      <c r="AC467" s="705"/>
      <c r="AD467" s="705"/>
      <c r="AE467" s="705"/>
      <c r="AF467" s="362"/>
      <c r="AG467" s="362"/>
      <c r="AH467" s="362"/>
      <c r="AI467" s="362"/>
      <c r="AJ467" s="2"/>
      <c r="AK467" s="2"/>
      <c r="AL467" s="2"/>
      <c r="AM467" s="2"/>
      <c r="AN467" s="2"/>
      <c r="AO467" s="2"/>
      <c r="AP467" s="2"/>
      <c r="AQ467" s="364"/>
      <c r="AR467" s="577"/>
      <c r="AS467" s="364"/>
      <c r="AT467" s="577"/>
      <c r="AU467" s="364"/>
      <c r="AV467" s="364"/>
      <c r="AW467" s="364"/>
      <c r="AX467" s="364"/>
      <c r="AY467" s="577"/>
      <c r="AZ467" s="577"/>
      <c r="BA467" s="577"/>
      <c r="BB467" s="926"/>
      <c r="BC467" s="364"/>
      <c r="BD467" s="364"/>
      <c r="BE467" s="577"/>
      <c r="BF467" s="364"/>
      <c r="BG467" s="384"/>
      <c r="BH467" s="577"/>
      <c r="BI467" s="364"/>
      <c r="BJ467" s="364"/>
      <c r="BK467" s="364"/>
      <c r="BL467" s="364"/>
      <c r="BM467" s="384"/>
      <c r="BN467" s="364"/>
      <c r="BO467" s="364"/>
      <c r="BP467" s="364"/>
      <c r="BQ467" s="388"/>
      <c r="BR467" s="388"/>
      <c r="BS467" s="388"/>
      <c r="BT467" s="388"/>
      <c r="BU467" s="384"/>
      <c r="BV467" s="384"/>
      <c r="BW467" s="387"/>
      <c r="BX467" s="387"/>
      <c r="BY467" s="388"/>
      <c r="BZ467" s="388"/>
      <c r="CA467" s="388"/>
      <c r="CB467" s="387"/>
      <c r="CC467" s="387"/>
      <c r="CE467" s="2"/>
      <c r="CF467" s="2"/>
      <c r="CG467" s="2"/>
      <c r="CH467" s="2"/>
      <c r="CI467" s="2"/>
      <c r="CJ467" s="2"/>
      <c r="CK467" s="2"/>
      <c r="CL467" s="2"/>
      <c r="CM467" s="2"/>
      <c r="CN467" s="2"/>
      <c r="CO467" s="2"/>
      <c r="CP467" s="2"/>
      <c r="CQ467" s="2"/>
      <c r="CR467" s="2"/>
      <c r="CS467" s="364"/>
      <c r="CT467" s="364"/>
      <c r="CU467" s="364"/>
      <c r="CV467" s="407"/>
      <c r="CW467" s="407"/>
      <c r="CX467" s="407"/>
      <c r="CY467" s="407"/>
      <c r="CZ467" s="404"/>
      <c r="DA467" s="404"/>
      <c r="DB467" s="404"/>
      <c r="DC467" s="404"/>
      <c r="DD467" s="407"/>
      <c r="DE467" s="407"/>
      <c r="DF467" s="407"/>
      <c r="DG467" s="407"/>
      <c r="DH467" s="407"/>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row>
    <row r="468" spans="1:150" s="357" customFormat="1">
      <c r="A468" s="364"/>
      <c r="B468" s="678"/>
      <c r="C468" s="364"/>
      <c r="D468" s="364"/>
      <c r="E468" s="678"/>
      <c r="F468" s="678"/>
      <c r="G468" s="678"/>
      <c r="H468" s="364"/>
      <c r="I468" s="364"/>
      <c r="J468" s="364"/>
      <c r="K468" s="364"/>
      <c r="L468" s="786"/>
      <c r="M468" s="364"/>
      <c r="N468" s="364"/>
      <c r="O468" s="364"/>
      <c r="P468" s="364"/>
      <c r="Q468" s="364"/>
      <c r="R468" s="364"/>
      <c r="S468" s="364"/>
      <c r="T468" s="364"/>
      <c r="U468" s="364"/>
      <c r="V468" s="365"/>
      <c r="W468" s="367"/>
      <c r="X468" s="3"/>
      <c r="Y468" s="366"/>
      <c r="Z468" s="678"/>
      <c r="AA468" s="796"/>
      <c r="AB468" s="796"/>
      <c r="AC468" s="705"/>
      <c r="AD468" s="705"/>
      <c r="AE468" s="705"/>
      <c r="AF468" s="362"/>
      <c r="AG468" s="362"/>
      <c r="AH468" s="362"/>
      <c r="AI468" s="362"/>
      <c r="AJ468" s="2"/>
      <c r="AK468" s="2"/>
      <c r="AL468" s="2"/>
      <c r="AM468" s="2"/>
      <c r="AN468" s="2"/>
      <c r="AO468" s="2"/>
      <c r="AP468" s="2"/>
      <c r="AQ468" s="364"/>
      <c r="AR468" s="577"/>
      <c r="AS468" s="364"/>
      <c r="AT468" s="577"/>
      <c r="AU468" s="364"/>
      <c r="AV468" s="364"/>
      <c r="AW468" s="364"/>
      <c r="AX468" s="364"/>
      <c r="AY468" s="577"/>
      <c r="AZ468" s="577"/>
      <c r="BA468" s="577"/>
      <c r="BB468" s="926"/>
      <c r="BC468" s="364"/>
      <c r="BD468" s="364"/>
      <c r="BE468" s="577"/>
      <c r="BF468" s="364"/>
      <c r="BG468" s="384"/>
      <c r="BH468" s="577"/>
      <c r="BI468" s="364"/>
      <c r="BJ468" s="364"/>
      <c r="BK468" s="364"/>
      <c r="BL468" s="364"/>
      <c r="BM468" s="384"/>
      <c r="BN468" s="364"/>
      <c r="BO468" s="364"/>
      <c r="BP468" s="364"/>
      <c r="BQ468" s="388"/>
      <c r="BR468" s="388"/>
      <c r="BS468" s="388"/>
      <c r="BT468" s="388"/>
      <c r="BU468" s="384"/>
      <c r="BV468" s="384"/>
      <c r="BW468" s="387"/>
      <c r="BX468" s="387"/>
      <c r="BY468" s="388"/>
      <c r="BZ468" s="388"/>
      <c r="CA468" s="388"/>
      <c r="CB468" s="387"/>
      <c r="CC468" s="387"/>
      <c r="CE468" s="2"/>
      <c r="CF468" s="2"/>
      <c r="CG468" s="2"/>
      <c r="CH468" s="2"/>
      <c r="CI468" s="2"/>
      <c r="CJ468" s="2"/>
      <c r="CK468" s="2"/>
      <c r="CL468" s="2"/>
      <c r="CM468" s="2"/>
      <c r="CN468" s="2"/>
      <c r="CO468" s="2"/>
      <c r="CP468" s="2"/>
      <c r="CQ468" s="2"/>
      <c r="CR468" s="2"/>
      <c r="CS468" s="364"/>
      <c r="CT468" s="364"/>
      <c r="CU468" s="364"/>
      <c r="CV468" s="407"/>
      <c r="CW468" s="407"/>
      <c r="CX468" s="407"/>
      <c r="CY468" s="407"/>
      <c r="CZ468" s="404"/>
      <c r="DA468" s="404"/>
      <c r="DB468" s="404"/>
      <c r="DC468" s="404"/>
      <c r="DD468" s="407"/>
      <c r="DE468" s="407"/>
      <c r="DF468" s="407"/>
      <c r="DG468" s="407"/>
      <c r="DH468" s="407"/>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row>
    <row r="469" spans="1:150" s="357" customFormat="1">
      <c r="A469" s="364"/>
      <c r="B469" s="678"/>
      <c r="C469" s="364"/>
      <c r="D469" s="364"/>
      <c r="E469" s="678"/>
      <c r="F469" s="678"/>
      <c r="G469" s="678"/>
      <c r="H469" s="364"/>
      <c r="I469" s="364"/>
      <c r="J469" s="364"/>
      <c r="K469" s="364"/>
      <c r="L469" s="786"/>
      <c r="M469" s="364"/>
      <c r="N469" s="364"/>
      <c r="O469" s="364"/>
      <c r="P469" s="364"/>
      <c r="Q469" s="364"/>
      <c r="R469" s="364"/>
      <c r="S469" s="364"/>
      <c r="T469" s="364"/>
      <c r="U469" s="364"/>
      <c r="V469" s="365"/>
      <c r="W469" s="367"/>
      <c r="X469" s="3"/>
      <c r="Y469" s="366"/>
      <c r="Z469" s="678"/>
      <c r="AA469" s="796"/>
      <c r="AB469" s="796"/>
      <c r="AC469" s="705"/>
      <c r="AD469" s="705"/>
      <c r="AE469" s="705"/>
      <c r="AF469" s="362"/>
      <c r="AG469" s="362"/>
      <c r="AH469" s="362"/>
      <c r="AI469" s="362"/>
      <c r="AJ469" s="2"/>
      <c r="AK469" s="2"/>
      <c r="AL469" s="2"/>
      <c r="AM469" s="2"/>
      <c r="AN469" s="2"/>
      <c r="AO469" s="2"/>
      <c r="AP469" s="2"/>
      <c r="AQ469" s="364"/>
      <c r="AR469" s="577"/>
      <c r="AS469" s="364"/>
      <c r="AT469" s="577"/>
      <c r="AU469" s="364"/>
      <c r="AV469" s="364"/>
      <c r="AW469" s="364"/>
      <c r="AX469" s="364"/>
      <c r="AY469" s="577"/>
      <c r="AZ469" s="577"/>
      <c r="BA469" s="577"/>
      <c r="BB469" s="926"/>
      <c r="BC469" s="364"/>
      <c r="BD469" s="364"/>
      <c r="BE469" s="577"/>
      <c r="BF469" s="364"/>
      <c r="BG469" s="384"/>
      <c r="BH469" s="577"/>
      <c r="BI469" s="364"/>
      <c r="BJ469" s="364"/>
      <c r="BK469" s="364"/>
      <c r="BL469" s="364"/>
      <c r="BM469" s="384"/>
      <c r="BN469" s="364"/>
      <c r="BO469" s="364"/>
      <c r="BP469" s="364"/>
      <c r="BQ469" s="388"/>
      <c r="BR469" s="388"/>
      <c r="BS469" s="388"/>
      <c r="BT469" s="388"/>
      <c r="BU469" s="384"/>
      <c r="BV469" s="384"/>
      <c r="BW469" s="387"/>
      <c r="BX469" s="387"/>
      <c r="BY469" s="388"/>
      <c r="BZ469" s="388"/>
      <c r="CA469" s="388"/>
      <c r="CB469" s="387"/>
      <c r="CC469" s="387"/>
      <c r="CE469" s="2"/>
      <c r="CF469" s="2"/>
      <c r="CG469" s="2"/>
      <c r="CH469" s="2"/>
      <c r="CI469" s="2"/>
      <c r="CJ469" s="2"/>
      <c r="CK469" s="2"/>
      <c r="CL469" s="2"/>
      <c r="CM469" s="2"/>
      <c r="CN469" s="2"/>
      <c r="CO469" s="2"/>
      <c r="CP469" s="2"/>
      <c r="CQ469" s="2"/>
      <c r="CR469" s="2"/>
      <c r="CS469" s="364"/>
      <c r="CT469" s="364"/>
      <c r="CU469" s="364"/>
      <c r="CV469" s="407"/>
      <c r="CW469" s="407"/>
      <c r="CX469" s="407"/>
      <c r="CY469" s="407"/>
      <c r="CZ469" s="404"/>
      <c r="DA469" s="404"/>
      <c r="DB469" s="404"/>
      <c r="DC469" s="404"/>
      <c r="DD469" s="407"/>
      <c r="DE469" s="407"/>
      <c r="DF469" s="407"/>
      <c r="DG469" s="407"/>
      <c r="DH469" s="407"/>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row>
    <row r="470" spans="1:150" s="357" customFormat="1">
      <c r="A470" s="364"/>
      <c r="B470" s="678"/>
      <c r="C470" s="364"/>
      <c r="D470" s="364"/>
      <c r="E470" s="678"/>
      <c r="F470" s="678"/>
      <c r="G470" s="678"/>
      <c r="H470" s="364"/>
      <c r="I470" s="364"/>
      <c r="J470" s="364"/>
      <c r="K470" s="364"/>
      <c r="L470" s="786"/>
      <c r="M470" s="364"/>
      <c r="N470" s="364"/>
      <c r="O470" s="364"/>
      <c r="P470" s="364"/>
      <c r="Q470" s="364"/>
      <c r="R470" s="364"/>
      <c r="S470" s="364"/>
      <c r="T470" s="364"/>
      <c r="U470" s="364"/>
      <c r="V470" s="365"/>
      <c r="W470" s="367"/>
      <c r="X470" s="3"/>
      <c r="Y470" s="366"/>
      <c r="Z470" s="678"/>
      <c r="AA470" s="796"/>
      <c r="AB470" s="796"/>
      <c r="AC470" s="705"/>
      <c r="AD470" s="705"/>
      <c r="AE470" s="705"/>
      <c r="AF470" s="362"/>
      <c r="AG470" s="362"/>
      <c r="AH470" s="362"/>
      <c r="AI470" s="362"/>
      <c r="AJ470" s="2"/>
      <c r="AK470" s="2"/>
      <c r="AL470" s="2"/>
      <c r="AM470" s="2"/>
      <c r="AN470" s="2"/>
      <c r="AO470" s="2"/>
      <c r="AP470" s="2"/>
      <c r="AQ470" s="364"/>
      <c r="AR470" s="577"/>
      <c r="AS470" s="364"/>
      <c r="AT470" s="577"/>
      <c r="AU470" s="364"/>
      <c r="AV470" s="364"/>
      <c r="AW470" s="364"/>
      <c r="AX470" s="364"/>
      <c r="AY470" s="577"/>
      <c r="AZ470" s="577"/>
      <c r="BA470" s="577"/>
      <c r="BB470" s="926"/>
      <c r="BC470" s="364"/>
      <c r="BD470" s="364"/>
      <c r="BE470" s="577"/>
      <c r="BF470" s="364"/>
      <c r="BG470" s="384"/>
      <c r="BH470" s="577"/>
      <c r="BI470" s="364"/>
      <c r="BJ470" s="364"/>
      <c r="BK470" s="364"/>
      <c r="BL470" s="364"/>
      <c r="BM470" s="384"/>
      <c r="BN470" s="364"/>
      <c r="BO470" s="364"/>
      <c r="BP470" s="364"/>
      <c r="BQ470" s="388"/>
      <c r="BR470" s="388"/>
      <c r="BS470" s="388"/>
      <c r="BT470" s="388"/>
      <c r="BU470" s="384"/>
      <c r="BV470" s="384"/>
      <c r="BW470" s="387"/>
      <c r="BX470" s="387"/>
      <c r="BY470" s="388"/>
      <c r="BZ470" s="388"/>
      <c r="CA470" s="388"/>
      <c r="CB470" s="387"/>
      <c r="CC470" s="387"/>
      <c r="CE470" s="2"/>
      <c r="CF470" s="2"/>
      <c r="CG470" s="2"/>
      <c r="CH470" s="2"/>
      <c r="CI470" s="2"/>
      <c r="CJ470" s="2"/>
      <c r="CK470" s="2"/>
      <c r="CL470" s="2"/>
      <c r="CM470" s="2"/>
      <c r="CN470" s="2"/>
      <c r="CO470" s="2"/>
      <c r="CP470" s="2"/>
      <c r="CQ470" s="2"/>
      <c r="CR470" s="2"/>
      <c r="CS470" s="364"/>
      <c r="CT470" s="364"/>
      <c r="CU470" s="364"/>
      <c r="CV470" s="407"/>
      <c r="CW470" s="407"/>
      <c r="CX470" s="407"/>
      <c r="CY470" s="407"/>
      <c r="CZ470" s="404"/>
      <c r="DA470" s="404"/>
      <c r="DB470" s="404"/>
      <c r="DC470" s="404"/>
      <c r="DD470" s="407"/>
      <c r="DE470" s="407"/>
      <c r="DF470" s="407"/>
      <c r="DG470" s="407"/>
      <c r="DH470" s="407"/>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row>
    <row r="471" spans="1:150" s="357" customFormat="1">
      <c r="A471" s="364"/>
      <c r="B471" s="678"/>
      <c r="C471" s="364"/>
      <c r="D471" s="364"/>
      <c r="E471" s="678"/>
      <c r="F471" s="678"/>
      <c r="G471" s="678"/>
      <c r="H471" s="364"/>
      <c r="I471" s="364"/>
      <c r="J471" s="364"/>
      <c r="K471" s="364"/>
      <c r="L471" s="786"/>
      <c r="M471" s="364"/>
      <c r="N471" s="364"/>
      <c r="O471" s="364"/>
      <c r="P471" s="364"/>
      <c r="Q471" s="364"/>
      <c r="R471" s="364"/>
      <c r="S471" s="364"/>
      <c r="T471" s="364"/>
      <c r="U471" s="364"/>
      <c r="V471" s="365"/>
      <c r="W471" s="367"/>
      <c r="X471" s="3"/>
      <c r="Y471" s="366"/>
      <c r="Z471" s="678"/>
      <c r="AA471" s="796"/>
      <c r="AB471" s="796"/>
      <c r="AC471" s="705"/>
      <c r="AD471" s="705"/>
      <c r="AE471" s="705"/>
      <c r="AF471" s="362"/>
      <c r="AG471" s="362"/>
      <c r="AH471" s="362"/>
      <c r="AI471" s="362"/>
      <c r="AJ471" s="2"/>
      <c r="AK471" s="2"/>
      <c r="AL471" s="2"/>
      <c r="AM471" s="2"/>
      <c r="AN471" s="2"/>
      <c r="AO471" s="2"/>
      <c r="AP471" s="2"/>
      <c r="AQ471" s="364"/>
      <c r="AR471" s="577"/>
      <c r="AS471" s="364"/>
      <c r="AT471" s="577"/>
      <c r="AU471" s="364"/>
      <c r="AV471" s="364"/>
      <c r="AW471" s="364"/>
      <c r="AX471" s="364"/>
      <c r="AY471" s="577"/>
      <c r="AZ471" s="577"/>
      <c r="BA471" s="577"/>
      <c r="BB471" s="926"/>
      <c r="BC471" s="364"/>
      <c r="BD471" s="364"/>
      <c r="BE471" s="577"/>
      <c r="BF471" s="364"/>
      <c r="BG471" s="384"/>
      <c r="BH471" s="577"/>
      <c r="BI471" s="364"/>
      <c r="BJ471" s="364"/>
      <c r="BK471" s="364"/>
      <c r="BL471" s="364"/>
      <c r="BM471" s="384"/>
      <c r="BN471" s="364"/>
      <c r="BO471" s="364"/>
      <c r="BP471" s="364"/>
      <c r="BQ471" s="388"/>
      <c r="BR471" s="388"/>
      <c r="BS471" s="388"/>
      <c r="BT471" s="388"/>
      <c r="BU471" s="384"/>
      <c r="BV471" s="384"/>
      <c r="BW471" s="387"/>
      <c r="BX471" s="387"/>
      <c r="BY471" s="388"/>
      <c r="BZ471" s="388"/>
      <c r="CA471" s="388"/>
      <c r="CB471" s="387"/>
      <c r="CC471" s="387"/>
      <c r="CE471" s="2"/>
      <c r="CF471" s="2"/>
      <c r="CG471" s="2"/>
      <c r="CH471" s="2"/>
      <c r="CI471" s="2"/>
      <c r="CJ471" s="2"/>
      <c r="CK471" s="2"/>
      <c r="CL471" s="2"/>
      <c r="CM471" s="2"/>
      <c r="CN471" s="2"/>
      <c r="CO471" s="2"/>
      <c r="CP471" s="2"/>
      <c r="CQ471" s="2"/>
      <c r="CR471" s="2"/>
      <c r="CS471" s="364"/>
      <c r="CT471" s="364"/>
      <c r="CU471" s="364"/>
      <c r="CV471" s="407"/>
      <c r="CW471" s="407"/>
      <c r="CX471" s="407"/>
      <c r="CY471" s="407"/>
      <c r="CZ471" s="404"/>
      <c r="DA471" s="404"/>
      <c r="DB471" s="404"/>
      <c r="DC471" s="404"/>
      <c r="DD471" s="407"/>
      <c r="DE471" s="407"/>
      <c r="DF471" s="407"/>
      <c r="DG471" s="407"/>
      <c r="DH471" s="407"/>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row>
    <row r="472" spans="1:150" s="357" customFormat="1">
      <c r="A472" s="364"/>
      <c r="B472" s="678"/>
      <c r="C472" s="364"/>
      <c r="D472" s="364"/>
      <c r="E472" s="678"/>
      <c r="F472" s="678"/>
      <c r="G472" s="678"/>
      <c r="H472" s="364"/>
      <c r="I472" s="364"/>
      <c r="J472" s="364"/>
      <c r="K472" s="364"/>
      <c r="L472" s="786"/>
      <c r="M472" s="364"/>
      <c r="N472" s="364"/>
      <c r="O472" s="364"/>
      <c r="P472" s="364"/>
      <c r="Q472" s="364"/>
      <c r="R472" s="364"/>
      <c r="S472" s="364"/>
      <c r="T472" s="364"/>
      <c r="U472" s="364"/>
      <c r="V472" s="365"/>
      <c r="W472" s="367"/>
      <c r="X472" s="3"/>
      <c r="Y472" s="366"/>
      <c r="Z472" s="678"/>
      <c r="AA472" s="796"/>
      <c r="AB472" s="796"/>
      <c r="AC472" s="705"/>
      <c r="AD472" s="705"/>
      <c r="AE472" s="705"/>
      <c r="AF472" s="362"/>
      <c r="AG472" s="362"/>
      <c r="AH472" s="362"/>
      <c r="AI472" s="362"/>
      <c r="AJ472" s="2"/>
      <c r="AK472" s="2"/>
      <c r="AL472" s="2"/>
      <c r="AM472" s="2"/>
      <c r="AN472" s="2"/>
      <c r="AO472" s="2"/>
      <c r="AP472" s="2"/>
      <c r="AQ472" s="364"/>
      <c r="AR472" s="577"/>
      <c r="AS472" s="364"/>
      <c r="AT472" s="577"/>
      <c r="AU472" s="364"/>
      <c r="AV472" s="364"/>
      <c r="AW472" s="364"/>
      <c r="AX472" s="364"/>
      <c r="AY472" s="577"/>
      <c r="AZ472" s="577"/>
      <c r="BA472" s="577"/>
      <c r="BB472" s="926"/>
      <c r="BC472" s="364"/>
      <c r="BD472" s="364"/>
      <c r="BE472" s="577"/>
      <c r="BF472" s="364"/>
      <c r="BG472" s="384"/>
      <c r="BH472" s="577"/>
      <c r="BI472" s="364"/>
      <c r="BJ472" s="364"/>
      <c r="BK472" s="364"/>
      <c r="BL472" s="364"/>
      <c r="BM472" s="384"/>
      <c r="BN472" s="364"/>
      <c r="BO472" s="364"/>
      <c r="BP472" s="364"/>
      <c r="BQ472" s="388"/>
      <c r="BR472" s="388"/>
      <c r="BS472" s="388"/>
      <c r="BT472" s="388"/>
      <c r="BU472" s="384"/>
      <c r="BV472" s="384"/>
      <c r="BW472" s="387"/>
      <c r="BX472" s="387"/>
      <c r="BY472" s="388"/>
      <c r="BZ472" s="388"/>
      <c r="CA472" s="388"/>
      <c r="CB472" s="387"/>
      <c r="CC472" s="387"/>
      <c r="CE472" s="2"/>
      <c r="CF472" s="2"/>
      <c r="CG472" s="2"/>
      <c r="CH472" s="2"/>
      <c r="CI472" s="2"/>
      <c r="CJ472" s="2"/>
      <c r="CK472" s="2"/>
      <c r="CL472" s="2"/>
      <c r="CM472" s="2"/>
      <c r="CN472" s="2"/>
      <c r="CO472" s="2"/>
      <c r="CP472" s="2"/>
      <c r="CQ472" s="2"/>
      <c r="CR472" s="2"/>
      <c r="CS472" s="364"/>
      <c r="CT472" s="364"/>
      <c r="CU472" s="364"/>
      <c r="CV472" s="407"/>
      <c r="CW472" s="407"/>
      <c r="CX472" s="407"/>
      <c r="CY472" s="407"/>
      <c r="CZ472" s="404"/>
      <c r="DA472" s="404"/>
      <c r="DB472" s="404"/>
      <c r="DC472" s="404"/>
      <c r="DD472" s="407"/>
      <c r="DE472" s="407"/>
      <c r="DF472" s="407"/>
      <c r="DG472" s="407"/>
      <c r="DH472" s="407"/>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row>
    <row r="473" spans="1:150" s="357" customFormat="1">
      <c r="A473" s="364"/>
      <c r="B473" s="678"/>
      <c r="C473" s="364"/>
      <c r="D473" s="364"/>
      <c r="E473" s="678"/>
      <c r="F473" s="678"/>
      <c r="G473" s="678"/>
      <c r="H473" s="364"/>
      <c r="I473" s="364"/>
      <c r="J473" s="364"/>
      <c r="K473" s="364"/>
      <c r="L473" s="786"/>
      <c r="M473" s="364"/>
      <c r="N473" s="364"/>
      <c r="O473" s="364"/>
      <c r="P473" s="364"/>
      <c r="Q473" s="364"/>
      <c r="R473" s="364"/>
      <c r="S473" s="364"/>
      <c r="T473" s="364"/>
      <c r="U473" s="364"/>
      <c r="V473" s="365"/>
      <c r="W473" s="367"/>
      <c r="X473" s="3"/>
      <c r="Y473" s="366"/>
      <c r="Z473" s="678"/>
      <c r="AA473" s="796"/>
      <c r="AB473" s="796"/>
      <c r="AC473" s="705"/>
      <c r="AD473" s="705"/>
      <c r="AE473" s="705"/>
      <c r="AF473" s="362"/>
      <c r="AG473" s="362"/>
      <c r="AH473" s="362"/>
      <c r="AI473" s="362"/>
      <c r="AJ473" s="2"/>
      <c r="AK473" s="2"/>
      <c r="AL473" s="2"/>
      <c r="AM473" s="2"/>
      <c r="AN473" s="2"/>
      <c r="AO473" s="2"/>
      <c r="AP473" s="2"/>
      <c r="AQ473" s="364"/>
      <c r="AR473" s="577"/>
      <c r="AS473" s="364"/>
      <c r="AT473" s="577"/>
      <c r="AU473" s="364"/>
      <c r="AV473" s="364"/>
      <c r="AW473" s="364"/>
      <c r="AX473" s="364"/>
      <c r="AY473" s="577"/>
      <c r="AZ473" s="577"/>
      <c r="BA473" s="577"/>
      <c r="BB473" s="926"/>
      <c r="BC473" s="364"/>
      <c r="BD473" s="364"/>
      <c r="BE473" s="577"/>
      <c r="BF473" s="364"/>
      <c r="BG473" s="384"/>
      <c r="BH473" s="577"/>
      <c r="BI473" s="364"/>
      <c r="BJ473" s="364"/>
      <c r="BK473" s="364"/>
      <c r="BL473" s="364"/>
      <c r="BM473" s="384"/>
      <c r="BN473" s="364"/>
      <c r="BO473" s="364"/>
      <c r="BP473" s="364"/>
      <c r="BQ473" s="388"/>
      <c r="BR473" s="388"/>
      <c r="BS473" s="388"/>
      <c r="BT473" s="388"/>
      <c r="BU473" s="384"/>
      <c r="BV473" s="384"/>
      <c r="BW473" s="387"/>
      <c r="BX473" s="387"/>
      <c r="BY473" s="388"/>
      <c r="BZ473" s="388"/>
      <c r="CA473" s="388"/>
      <c r="CB473" s="387"/>
      <c r="CC473" s="387"/>
      <c r="CE473" s="2"/>
      <c r="CF473" s="2"/>
      <c r="CG473" s="2"/>
      <c r="CH473" s="2"/>
      <c r="CI473" s="2"/>
      <c r="CJ473" s="2"/>
      <c r="CK473" s="2"/>
      <c r="CL473" s="2"/>
      <c r="CM473" s="2"/>
      <c r="CN473" s="2"/>
      <c r="CO473" s="2"/>
      <c r="CP473" s="2"/>
      <c r="CQ473" s="2"/>
      <c r="CR473" s="2"/>
      <c r="CS473" s="364"/>
      <c r="CT473" s="364"/>
      <c r="CU473" s="364"/>
      <c r="CV473" s="407"/>
      <c r="CW473" s="407"/>
      <c r="CX473" s="407"/>
      <c r="CY473" s="407"/>
      <c r="CZ473" s="404"/>
      <c r="DA473" s="404"/>
      <c r="DB473" s="404"/>
      <c r="DC473" s="404"/>
      <c r="DD473" s="407"/>
      <c r="DE473" s="407"/>
      <c r="DF473" s="407"/>
      <c r="DG473" s="407"/>
      <c r="DH473" s="407"/>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row>
    <row r="474" spans="1:150" s="357" customFormat="1">
      <c r="A474" s="364"/>
      <c r="B474" s="678"/>
      <c r="C474" s="364"/>
      <c r="D474" s="364"/>
      <c r="E474" s="678"/>
      <c r="F474" s="678"/>
      <c r="G474" s="678"/>
      <c r="H474" s="364"/>
      <c r="I474" s="364"/>
      <c r="J474" s="364"/>
      <c r="K474" s="364"/>
      <c r="L474" s="786"/>
      <c r="M474" s="364"/>
      <c r="N474" s="364"/>
      <c r="O474" s="364"/>
      <c r="P474" s="364"/>
      <c r="Q474" s="364"/>
      <c r="R474" s="364"/>
      <c r="S474" s="364"/>
      <c r="T474" s="364"/>
      <c r="U474" s="364"/>
      <c r="V474" s="365"/>
      <c r="W474" s="367"/>
      <c r="X474" s="3"/>
      <c r="Y474" s="366"/>
      <c r="Z474" s="678"/>
      <c r="AA474" s="796"/>
      <c r="AB474" s="796"/>
      <c r="AC474" s="705"/>
      <c r="AD474" s="705"/>
      <c r="AE474" s="705"/>
      <c r="AF474" s="362"/>
      <c r="AG474" s="362"/>
      <c r="AH474" s="362"/>
      <c r="AI474" s="362"/>
      <c r="AJ474" s="2"/>
      <c r="AK474" s="2"/>
      <c r="AL474" s="2"/>
      <c r="AM474" s="2"/>
      <c r="AN474" s="2"/>
      <c r="AO474" s="2"/>
      <c r="AP474" s="2"/>
      <c r="AQ474" s="364"/>
      <c r="AR474" s="577"/>
      <c r="AS474" s="364"/>
      <c r="AT474" s="577"/>
      <c r="AU474" s="364"/>
      <c r="AV474" s="364"/>
      <c r="AW474" s="364"/>
      <c r="AX474" s="364"/>
      <c r="AY474" s="577"/>
      <c r="AZ474" s="577"/>
      <c r="BA474" s="577"/>
      <c r="BB474" s="926"/>
      <c r="BC474" s="364"/>
      <c r="BD474" s="364"/>
      <c r="BE474" s="577"/>
      <c r="BF474" s="364"/>
      <c r="BG474" s="384"/>
      <c r="BH474" s="577"/>
      <c r="BI474" s="364"/>
      <c r="BJ474" s="364"/>
      <c r="BK474" s="364"/>
      <c r="BL474" s="364"/>
      <c r="BM474" s="384"/>
      <c r="BN474" s="364"/>
      <c r="BO474" s="364"/>
      <c r="BP474" s="364"/>
      <c r="BQ474" s="388"/>
      <c r="BR474" s="388"/>
      <c r="BS474" s="388"/>
      <c r="BT474" s="388"/>
      <c r="BU474" s="384"/>
      <c r="BV474" s="384"/>
      <c r="BW474" s="387"/>
      <c r="BX474" s="387"/>
      <c r="BY474" s="388"/>
      <c r="BZ474" s="388"/>
      <c r="CA474" s="388"/>
      <c r="CB474" s="387"/>
      <c r="CC474" s="387"/>
      <c r="CE474" s="2"/>
      <c r="CF474" s="2"/>
      <c r="CG474" s="2"/>
      <c r="CH474" s="2"/>
      <c r="CI474" s="2"/>
      <c r="CJ474" s="2"/>
      <c r="CK474" s="2"/>
      <c r="CL474" s="2"/>
      <c r="CM474" s="2"/>
      <c r="CN474" s="2"/>
      <c r="CO474" s="2"/>
      <c r="CP474" s="2"/>
      <c r="CQ474" s="2"/>
      <c r="CR474" s="2"/>
      <c r="CS474" s="364"/>
      <c r="CT474" s="364"/>
      <c r="CU474" s="364"/>
      <c r="CV474" s="407"/>
      <c r="CW474" s="407"/>
      <c r="CX474" s="407"/>
      <c r="CY474" s="407"/>
      <c r="CZ474" s="404"/>
      <c r="DA474" s="404"/>
      <c r="DB474" s="404"/>
      <c r="DC474" s="404"/>
      <c r="DD474" s="407"/>
      <c r="DE474" s="407"/>
      <c r="DF474" s="407"/>
      <c r="DG474" s="407"/>
      <c r="DH474" s="407"/>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row>
    <row r="475" spans="1:150" s="357" customFormat="1">
      <c r="A475" s="364"/>
      <c r="B475" s="678"/>
      <c r="C475" s="364"/>
      <c r="D475" s="364"/>
      <c r="E475" s="678"/>
      <c r="F475" s="678"/>
      <c r="G475" s="678"/>
      <c r="H475" s="364"/>
      <c r="I475" s="364"/>
      <c r="J475" s="364"/>
      <c r="K475" s="364"/>
      <c r="L475" s="786"/>
      <c r="M475" s="364"/>
      <c r="N475" s="364"/>
      <c r="O475" s="364"/>
      <c r="P475" s="364"/>
      <c r="Q475" s="364"/>
      <c r="R475" s="364"/>
      <c r="S475" s="364"/>
      <c r="T475" s="364"/>
      <c r="U475" s="364"/>
      <c r="V475" s="365"/>
      <c r="W475" s="367"/>
      <c r="X475" s="3"/>
      <c r="Y475" s="366"/>
      <c r="Z475" s="678"/>
      <c r="AA475" s="796"/>
      <c r="AB475" s="796"/>
      <c r="AC475" s="705"/>
      <c r="AD475" s="705"/>
      <c r="AE475" s="705"/>
      <c r="AF475" s="362"/>
      <c r="AG475" s="362"/>
      <c r="AH475" s="362"/>
      <c r="AI475" s="362"/>
      <c r="AJ475" s="2"/>
      <c r="AK475" s="2"/>
      <c r="AL475" s="2"/>
      <c r="AM475" s="2"/>
      <c r="AN475" s="2"/>
      <c r="AO475" s="2"/>
      <c r="AP475" s="2"/>
      <c r="AQ475" s="364"/>
      <c r="AR475" s="577"/>
      <c r="AS475" s="364"/>
      <c r="AT475" s="577"/>
      <c r="AU475" s="364"/>
      <c r="AV475" s="364"/>
      <c r="AW475" s="364"/>
      <c r="AX475" s="364"/>
      <c r="AY475" s="577"/>
      <c r="AZ475" s="577"/>
      <c r="BA475" s="577"/>
      <c r="BB475" s="926"/>
      <c r="BC475" s="364"/>
      <c r="BD475" s="364"/>
      <c r="BE475" s="577"/>
      <c r="BF475" s="364"/>
      <c r="BG475" s="384"/>
      <c r="BH475" s="577"/>
      <c r="BI475" s="364"/>
      <c r="BJ475" s="364"/>
      <c r="BK475" s="364"/>
      <c r="BL475" s="364"/>
      <c r="BM475" s="384"/>
      <c r="BN475" s="364"/>
      <c r="BO475" s="364"/>
      <c r="BP475" s="364"/>
      <c r="BQ475" s="388"/>
      <c r="BR475" s="388"/>
      <c r="BS475" s="388"/>
      <c r="BT475" s="388"/>
      <c r="BU475" s="384"/>
      <c r="BV475" s="384"/>
      <c r="BW475" s="387"/>
      <c r="BX475" s="387"/>
      <c r="BY475" s="388"/>
      <c r="BZ475" s="388"/>
      <c r="CA475" s="388"/>
      <c r="CB475" s="387"/>
      <c r="CC475" s="387"/>
      <c r="CE475" s="2"/>
      <c r="CF475" s="2"/>
      <c r="CG475" s="2"/>
      <c r="CH475" s="2"/>
      <c r="CI475" s="2"/>
      <c r="CJ475" s="2"/>
      <c r="CK475" s="2"/>
      <c r="CL475" s="2"/>
      <c r="CM475" s="2"/>
      <c r="CN475" s="2"/>
      <c r="CO475" s="2"/>
      <c r="CP475" s="2"/>
      <c r="CQ475" s="2"/>
      <c r="CR475" s="2"/>
      <c r="CS475" s="364"/>
      <c r="CT475" s="364"/>
      <c r="CU475" s="364"/>
      <c r="CV475" s="407"/>
      <c r="CW475" s="407"/>
      <c r="CX475" s="407"/>
      <c r="CY475" s="407"/>
      <c r="CZ475" s="404"/>
      <c r="DA475" s="404"/>
      <c r="DB475" s="404"/>
      <c r="DC475" s="404"/>
      <c r="DD475" s="407"/>
      <c r="DE475" s="407"/>
      <c r="DF475" s="407"/>
      <c r="DG475" s="407"/>
      <c r="DH475" s="407"/>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row>
    <row r="476" spans="1:150" s="357" customFormat="1">
      <c r="A476" s="364"/>
      <c r="B476" s="678"/>
      <c r="C476" s="364"/>
      <c r="D476" s="364"/>
      <c r="E476" s="678"/>
      <c r="F476" s="678"/>
      <c r="G476" s="678"/>
      <c r="H476" s="364"/>
      <c r="I476" s="364"/>
      <c r="J476" s="364"/>
      <c r="K476" s="364"/>
      <c r="L476" s="786"/>
      <c r="M476" s="364"/>
      <c r="N476" s="364"/>
      <c r="O476" s="364"/>
      <c r="P476" s="364"/>
      <c r="Q476" s="364"/>
      <c r="R476" s="364"/>
      <c r="S476" s="364"/>
      <c r="T476" s="364"/>
      <c r="U476" s="364"/>
      <c r="V476" s="365"/>
      <c r="W476" s="367"/>
      <c r="X476" s="3"/>
      <c r="Y476" s="366"/>
      <c r="Z476" s="678"/>
      <c r="AA476" s="796"/>
      <c r="AB476" s="796"/>
      <c r="AC476" s="705"/>
      <c r="AD476" s="705"/>
      <c r="AE476" s="705"/>
      <c r="AF476" s="362"/>
      <c r="AG476" s="362"/>
      <c r="AH476" s="362"/>
      <c r="AI476" s="362"/>
      <c r="AJ476" s="2"/>
      <c r="AK476" s="2"/>
      <c r="AL476" s="2"/>
      <c r="AM476" s="2"/>
      <c r="AN476" s="2"/>
      <c r="AO476" s="2"/>
      <c r="AP476" s="2"/>
      <c r="AQ476" s="364"/>
      <c r="AR476" s="577"/>
      <c r="AS476" s="364"/>
      <c r="AT476" s="577"/>
      <c r="AU476" s="364"/>
      <c r="AV476" s="364"/>
      <c r="AW476" s="364"/>
      <c r="AX476" s="364"/>
      <c r="AY476" s="577"/>
      <c r="AZ476" s="577"/>
      <c r="BA476" s="577"/>
      <c r="BB476" s="926"/>
      <c r="BC476" s="364"/>
      <c r="BD476" s="364"/>
      <c r="BE476" s="577"/>
      <c r="BF476" s="364"/>
      <c r="BG476" s="384"/>
      <c r="BH476" s="577"/>
      <c r="BI476" s="364"/>
      <c r="BJ476" s="364"/>
      <c r="BK476" s="364"/>
      <c r="BL476" s="364"/>
      <c r="BM476" s="384"/>
      <c r="BN476" s="364"/>
      <c r="BO476" s="364"/>
      <c r="BP476" s="364"/>
      <c r="BQ476" s="388"/>
      <c r="BR476" s="388"/>
      <c r="BS476" s="388"/>
      <c r="BT476" s="388"/>
      <c r="BU476" s="384"/>
      <c r="BV476" s="384"/>
      <c r="BW476" s="387"/>
      <c r="BX476" s="387"/>
      <c r="BY476" s="388"/>
      <c r="BZ476" s="388"/>
      <c r="CA476" s="388"/>
      <c r="CB476" s="387"/>
      <c r="CC476" s="387"/>
      <c r="CE476" s="2"/>
      <c r="CF476" s="2"/>
      <c r="CG476" s="2"/>
      <c r="CH476" s="2"/>
      <c r="CI476" s="2"/>
      <c r="CJ476" s="2"/>
      <c r="CK476" s="2"/>
      <c r="CL476" s="2"/>
      <c r="CM476" s="2"/>
      <c r="CN476" s="2"/>
      <c r="CO476" s="2"/>
      <c r="CP476" s="2"/>
      <c r="CQ476" s="2"/>
      <c r="CR476" s="2"/>
      <c r="CS476" s="364"/>
      <c r="CT476" s="364"/>
      <c r="CU476" s="364"/>
      <c r="CV476" s="407"/>
      <c r="CW476" s="407"/>
      <c r="CX476" s="407"/>
      <c r="CY476" s="407"/>
      <c r="CZ476" s="404"/>
      <c r="DA476" s="404"/>
      <c r="DB476" s="404"/>
      <c r="DC476" s="404"/>
      <c r="DD476" s="407"/>
      <c r="DE476" s="407"/>
      <c r="DF476" s="407"/>
      <c r="DG476" s="407"/>
      <c r="DH476" s="407"/>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row>
    <row r="477" spans="1:150" s="357" customFormat="1">
      <c r="A477" s="364"/>
      <c r="B477" s="678"/>
      <c r="C477" s="364"/>
      <c r="D477" s="364"/>
      <c r="E477" s="678"/>
      <c r="F477" s="678"/>
      <c r="G477" s="678"/>
      <c r="H477" s="364"/>
      <c r="I477" s="364"/>
      <c r="J477" s="364"/>
      <c r="K477" s="364"/>
      <c r="L477" s="786"/>
      <c r="M477" s="364"/>
      <c r="N477" s="364"/>
      <c r="O477" s="364"/>
      <c r="P477" s="364"/>
      <c r="Q477" s="364"/>
      <c r="R477" s="364"/>
      <c r="S477" s="364"/>
      <c r="T477" s="364"/>
      <c r="U477" s="364"/>
      <c r="V477" s="365"/>
      <c r="W477" s="367"/>
      <c r="X477" s="3"/>
      <c r="Y477" s="366"/>
      <c r="Z477" s="678"/>
      <c r="AA477" s="796"/>
      <c r="AB477" s="796"/>
      <c r="AC477" s="705"/>
      <c r="AD477" s="705"/>
      <c r="AE477" s="705"/>
      <c r="AF477" s="362"/>
      <c r="AG477" s="362"/>
      <c r="AH477" s="362"/>
      <c r="AI477" s="362"/>
      <c r="AJ477" s="2"/>
      <c r="AK477" s="2"/>
      <c r="AL477" s="2"/>
      <c r="AM477" s="2"/>
      <c r="AN477" s="2"/>
      <c r="AO477" s="2"/>
      <c r="AP477" s="2"/>
      <c r="AQ477" s="364"/>
      <c r="AR477" s="577"/>
      <c r="AS477" s="364"/>
      <c r="AT477" s="577"/>
      <c r="AU477" s="364"/>
      <c r="AV477" s="364"/>
      <c r="AW477" s="364"/>
      <c r="AX477" s="364"/>
      <c r="AY477" s="577"/>
      <c r="AZ477" s="577"/>
      <c r="BA477" s="577"/>
      <c r="BB477" s="926"/>
      <c r="BC477" s="364"/>
      <c r="BD477" s="364"/>
      <c r="BE477" s="577"/>
      <c r="BF477" s="364"/>
      <c r="BG477" s="384"/>
      <c r="BH477" s="577"/>
      <c r="BI477" s="364"/>
      <c r="BJ477" s="364"/>
      <c r="BK477" s="364"/>
      <c r="BL477" s="364"/>
      <c r="BM477" s="384"/>
      <c r="BN477" s="364"/>
      <c r="BO477" s="364"/>
      <c r="BP477" s="364"/>
      <c r="BQ477" s="388"/>
      <c r="BR477" s="388"/>
      <c r="BS477" s="388"/>
      <c r="BT477" s="388"/>
      <c r="BU477" s="384"/>
      <c r="BV477" s="384"/>
      <c r="BW477" s="387"/>
      <c r="BX477" s="387"/>
      <c r="BY477" s="388"/>
      <c r="BZ477" s="388"/>
      <c r="CA477" s="388"/>
      <c r="CB477" s="387"/>
      <c r="CC477" s="387"/>
      <c r="CE477" s="2"/>
      <c r="CF477" s="2"/>
      <c r="CG477" s="2"/>
      <c r="CH477" s="2"/>
      <c r="CI477" s="2"/>
      <c r="CJ477" s="2"/>
      <c r="CK477" s="2"/>
      <c r="CL477" s="2"/>
      <c r="CM477" s="2"/>
      <c r="CN477" s="2"/>
      <c r="CO477" s="2"/>
      <c r="CP477" s="2"/>
      <c r="CQ477" s="2"/>
      <c r="CR477" s="2"/>
      <c r="CS477" s="364"/>
      <c r="CT477" s="364"/>
      <c r="CU477" s="364"/>
      <c r="CV477" s="407"/>
      <c r="CW477" s="407"/>
      <c r="CX477" s="407"/>
      <c r="CY477" s="407"/>
      <c r="CZ477" s="404"/>
      <c r="DA477" s="404"/>
      <c r="DB477" s="404"/>
      <c r="DC477" s="404"/>
      <c r="DD477" s="407"/>
      <c r="DE477" s="407"/>
      <c r="DF477" s="407"/>
      <c r="DG477" s="407"/>
      <c r="DH477" s="407"/>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row>
    <row r="478" spans="1:150" s="357" customFormat="1">
      <c r="A478" s="364"/>
      <c r="B478" s="678"/>
      <c r="C478" s="364"/>
      <c r="D478" s="364"/>
      <c r="E478" s="678"/>
      <c r="F478" s="678"/>
      <c r="G478" s="678"/>
      <c r="H478" s="364"/>
      <c r="I478" s="364"/>
      <c r="J478" s="364"/>
      <c r="K478" s="364"/>
      <c r="L478" s="786"/>
      <c r="M478" s="364"/>
      <c r="N478" s="364"/>
      <c r="O478" s="364"/>
      <c r="P478" s="364"/>
      <c r="Q478" s="364"/>
      <c r="R478" s="364"/>
      <c r="S478" s="364"/>
      <c r="T478" s="364"/>
      <c r="U478" s="364"/>
      <c r="V478" s="365"/>
      <c r="W478" s="367"/>
      <c r="X478" s="3"/>
      <c r="Y478" s="366"/>
      <c r="Z478" s="678"/>
      <c r="AA478" s="796"/>
      <c r="AB478" s="796"/>
      <c r="AC478" s="705"/>
      <c r="AD478" s="705"/>
      <c r="AE478" s="705"/>
      <c r="AF478" s="362"/>
      <c r="AG478" s="362"/>
      <c r="AH478" s="362"/>
      <c r="AI478" s="362"/>
      <c r="AJ478" s="2"/>
      <c r="AK478" s="2"/>
      <c r="AL478" s="2"/>
      <c r="AM478" s="2"/>
      <c r="AN478" s="2"/>
      <c r="AO478" s="2"/>
      <c r="AP478" s="2"/>
      <c r="AQ478" s="364"/>
      <c r="AR478" s="577"/>
      <c r="AS478" s="364"/>
      <c r="AT478" s="577"/>
      <c r="AU478" s="364"/>
      <c r="AV478" s="364"/>
      <c r="AW478" s="364"/>
      <c r="AX478" s="364"/>
      <c r="AY478" s="577"/>
      <c r="AZ478" s="577"/>
      <c r="BA478" s="577"/>
      <c r="BB478" s="926"/>
      <c r="BC478" s="364"/>
      <c r="BD478" s="364"/>
      <c r="BE478" s="577"/>
      <c r="BF478" s="364"/>
      <c r="BG478" s="384"/>
      <c r="BH478" s="577"/>
      <c r="BI478" s="364"/>
      <c r="BJ478" s="364"/>
      <c r="BK478" s="364"/>
      <c r="BL478" s="364"/>
      <c r="BM478" s="384"/>
      <c r="BN478" s="364"/>
      <c r="BO478" s="364"/>
      <c r="BP478" s="364"/>
      <c r="BQ478" s="388"/>
      <c r="BR478" s="388"/>
      <c r="BS478" s="388"/>
      <c r="BT478" s="388"/>
      <c r="BU478" s="384"/>
      <c r="BV478" s="384"/>
      <c r="BW478" s="387"/>
      <c r="BX478" s="387"/>
      <c r="BY478" s="388"/>
      <c r="BZ478" s="388"/>
      <c r="CA478" s="388"/>
      <c r="CB478" s="387"/>
      <c r="CC478" s="387"/>
      <c r="CE478" s="2"/>
      <c r="CF478" s="2"/>
      <c r="CG478" s="2"/>
      <c r="CH478" s="2"/>
      <c r="CI478" s="2"/>
      <c r="CJ478" s="2"/>
      <c r="CK478" s="2"/>
      <c r="CL478" s="2"/>
      <c r="CM478" s="2"/>
      <c r="CN478" s="2"/>
      <c r="CO478" s="2"/>
      <c r="CP478" s="2"/>
      <c r="CQ478" s="2"/>
      <c r="CR478" s="2"/>
      <c r="CS478" s="364"/>
      <c r="CT478" s="364"/>
      <c r="CU478" s="364"/>
      <c r="CV478" s="407"/>
      <c r="CW478" s="407"/>
      <c r="CX478" s="407"/>
      <c r="CY478" s="407"/>
      <c r="CZ478" s="404"/>
      <c r="DA478" s="404"/>
      <c r="DB478" s="404"/>
      <c r="DC478" s="404"/>
      <c r="DD478" s="407"/>
      <c r="DE478" s="407"/>
      <c r="DF478" s="407"/>
      <c r="DG478" s="407"/>
      <c r="DH478" s="407"/>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row>
    <row r="479" spans="1:150" s="357" customFormat="1">
      <c r="A479" s="364"/>
      <c r="B479" s="678"/>
      <c r="C479" s="364"/>
      <c r="D479" s="364"/>
      <c r="E479" s="678"/>
      <c r="F479" s="678"/>
      <c r="G479" s="678"/>
      <c r="H479" s="364"/>
      <c r="I479" s="364"/>
      <c r="J479" s="364"/>
      <c r="K479" s="364"/>
      <c r="L479" s="786"/>
      <c r="M479" s="364"/>
      <c r="N479" s="364"/>
      <c r="O479" s="364"/>
      <c r="P479" s="364"/>
      <c r="Q479" s="364"/>
      <c r="R479" s="364"/>
      <c r="S479" s="364"/>
      <c r="T479" s="364"/>
      <c r="U479" s="364"/>
      <c r="V479" s="365"/>
      <c r="W479" s="367"/>
      <c r="X479" s="3"/>
      <c r="Y479" s="366"/>
      <c r="Z479" s="678"/>
      <c r="AA479" s="796"/>
      <c r="AB479" s="796"/>
      <c r="AC479" s="705"/>
      <c r="AD479" s="705"/>
      <c r="AE479" s="705"/>
      <c r="AF479" s="362"/>
      <c r="AG479" s="362"/>
      <c r="AH479" s="362"/>
      <c r="AI479" s="362"/>
      <c r="AJ479" s="2"/>
      <c r="AK479" s="2"/>
      <c r="AL479" s="2"/>
      <c r="AM479" s="2"/>
      <c r="AN479" s="2"/>
      <c r="AO479" s="2"/>
      <c r="AP479" s="2"/>
      <c r="AQ479" s="364"/>
      <c r="AR479" s="577"/>
      <c r="AS479" s="364"/>
      <c r="AT479" s="577"/>
      <c r="AU479" s="364"/>
      <c r="AV479" s="364"/>
      <c r="AW479" s="364"/>
      <c r="AX479" s="364"/>
      <c r="AY479" s="577"/>
      <c r="AZ479" s="577"/>
      <c r="BA479" s="577"/>
      <c r="BB479" s="926"/>
      <c r="BC479" s="364"/>
      <c r="BD479" s="364"/>
      <c r="BE479" s="577"/>
      <c r="BF479" s="364"/>
      <c r="BG479" s="384"/>
      <c r="BH479" s="577"/>
      <c r="BI479" s="364"/>
      <c r="BJ479" s="364"/>
      <c r="BK479" s="364"/>
      <c r="BL479" s="364"/>
      <c r="BM479" s="384"/>
      <c r="BN479" s="364"/>
      <c r="BO479" s="364"/>
      <c r="BP479" s="364"/>
      <c r="BQ479" s="388"/>
      <c r="BR479" s="388"/>
      <c r="BS479" s="388"/>
      <c r="BT479" s="388"/>
      <c r="BU479" s="384"/>
      <c r="BV479" s="384"/>
      <c r="BW479" s="387"/>
      <c r="BX479" s="387"/>
      <c r="BY479" s="388"/>
      <c r="BZ479" s="388"/>
      <c r="CA479" s="388"/>
      <c r="CB479" s="387"/>
      <c r="CC479" s="387"/>
      <c r="CE479" s="2"/>
      <c r="CF479" s="2"/>
      <c r="CG479" s="2"/>
      <c r="CH479" s="2"/>
      <c r="CI479" s="2"/>
      <c r="CJ479" s="2"/>
      <c r="CK479" s="2"/>
      <c r="CL479" s="2"/>
      <c r="CM479" s="2"/>
      <c r="CN479" s="2"/>
      <c r="CO479" s="2"/>
      <c r="CP479" s="2"/>
      <c r="CQ479" s="2"/>
      <c r="CR479" s="2"/>
      <c r="CS479" s="364"/>
      <c r="CT479" s="364"/>
      <c r="CU479" s="364"/>
      <c r="CV479" s="407"/>
      <c r="CW479" s="407"/>
      <c r="CX479" s="407"/>
      <c r="CY479" s="407"/>
      <c r="CZ479" s="404"/>
      <c r="DA479" s="404"/>
      <c r="DB479" s="404"/>
      <c r="DC479" s="404"/>
      <c r="DD479" s="407"/>
      <c r="DE479" s="407"/>
      <c r="DF479" s="407"/>
      <c r="DG479" s="407"/>
      <c r="DH479" s="407"/>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row>
    <row r="480" spans="1:150" s="357" customFormat="1">
      <c r="A480" s="364"/>
      <c r="B480" s="678"/>
      <c r="C480" s="364"/>
      <c r="D480" s="364"/>
      <c r="E480" s="678"/>
      <c r="F480" s="678"/>
      <c r="G480" s="678"/>
      <c r="H480" s="364"/>
      <c r="I480" s="364"/>
      <c r="J480" s="364"/>
      <c r="K480" s="364"/>
      <c r="L480" s="786"/>
      <c r="M480" s="364"/>
      <c r="N480" s="364"/>
      <c r="O480" s="364"/>
      <c r="P480" s="364"/>
      <c r="Q480" s="364"/>
      <c r="R480" s="364"/>
      <c r="S480" s="364"/>
      <c r="T480" s="364"/>
      <c r="U480" s="364"/>
      <c r="V480" s="365"/>
      <c r="W480" s="367"/>
      <c r="X480" s="3"/>
      <c r="Y480" s="366"/>
      <c r="Z480" s="678"/>
      <c r="AA480" s="796"/>
      <c r="AB480" s="796"/>
      <c r="AC480" s="705"/>
      <c r="AD480" s="705"/>
      <c r="AE480" s="705"/>
      <c r="AF480" s="362"/>
      <c r="AG480" s="362"/>
      <c r="AH480" s="362"/>
      <c r="AI480" s="362"/>
      <c r="AJ480" s="2"/>
      <c r="AK480" s="2"/>
      <c r="AL480" s="2"/>
      <c r="AM480" s="2"/>
      <c r="AN480" s="2"/>
      <c r="AO480" s="2"/>
      <c r="AP480" s="2"/>
      <c r="AQ480" s="364"/>
      <c r="AR480" s="577"/>
      <c r="AS480" s="364"/>
      <c r="AT480" s="577"/>
      <c r="AU480" s="364"/>
      <c r="AV480" s="364"/>
      <c r="AW480" s="364"/>
      <c r="AX480" s="364"/>
      <c r="AY480" s="577"/>
      <c r="AZ480" s="577"/>
      <c r="BA480" s="577"/>
      <c r="BB480" s="926"/>
      <c r="BC480" s="364"/>
      <c r="BD480" s="364"/>
      <c r="BE480" s="577"/>
      <c r="BF480" s="364"/>
      <c r="BG480" s="384"/>
      <c r="BH480" s="577"/>
      <c r="BI480" s="364"/>
      <c r="BJ480" s="364"/>
      <c r="BK480" s="364"/>
      <c r="BL480" s="364"/>
      <c r="BM480" s="384"/>
      <c r="BN480" s="364"/>
      <c r="BO480" s="364"/>
      <c r="BP480" s="364"/>
      <c r="BQ480" s="388"/>
      <c r="BR480" s="388"/>
      <c r="BS480" s="388"/>
      <c r="BT480" s="388"/>
      <c r="BU480" s="384"/>
      <c r="BV480" s="384"/>
      <c r="BW480" s="387"/>
      <c r="BX480" s="387"/>
      <c r="BY480" s="388"/>
      <c r="BZ480" s="388"/>
      <c r="CA480" s="388"/>
      <c r="CB480" s="387"/>
      <c r="CC480" s="387"/>
      <c r="CE480" s="2"/>
      <c r="CF480" s="2"/>
      <c r="CG480" s="2"/>
      <c r="CH480" s="2"/>
      <c r="CI480" s="2"/>
      <c r="CJ480" s="2"/>
      <c r="CK480" s="2"/>
      <c r="CL480" s="2"/>
      <c r="CM480" s="2"/>
      <c r="CN480" s="2"/>
      <c r="CO480" s="2"/>
      <c r="CP480" s="2"/>
      <c r="CQ480" s="2"/>
      <c r="CR480" s="2"/>
      <c r="CS480" s="364"/>
      <c r="CT480" s="364"/>
      <c r="CU480" s="364"/>
      <c r="CV480" s="407"/>
      <c r="CW480" s="407"/>
      <c r="CX480" s="407"/>
      <c r="CY480" s="407"/>
      <c r="CZ480" s="404"/>
      <c r="DA480" s="404"/>
      <c r="DB480" s="404"/>
      <c r="DC480" s="404"/>
      <c r="DD480" s="407"/>
      <c r="DE480" s="407"/>
      <c r="DF480" s="407"/>
      <c r="DG480" s="407"/>
      <c r="DH480" s="407"/>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row>
    <row r="481" spans="1:150" s="357" customFormat="1">
      <c r="A481" s="364"/>
      <c r="B481" s="678"/>
      <c r="C481" s="364"/>
      <c r="D481" s="364"/>
      <c r="E481" s="678"/>
      <c r="F481" s="678"/>
      <c r="G481" s="678"/>
      <c r="H481" s="364"/>
      <c r="I481" s="364"/>
      <c r="J481" s="364"/>
      <c r="K481" s="364"/>
      <c r="L481" s="786"/>
      <c r="M481" s="364"/>
      <c r="N481" s="364"/>
      <c r="O481" s="364"/>
      <c r="P481" s="364"/>
      <c r="Q481" s="364"/>
      <c r="R481" s="364"/>
      <c r="S481" s="364"/>
      <c r="T481" s="364"/>
      <c r="U481" s="364"/>
      <c r="V481" s="365"/>
      <c r="W481" s="367"/>
      <c r="X481" s="3"/>
      <c r="Y481" s="366"/>
      <c r="Z481" s="678"/>
      <c r="AA481" s="796"/>
      <c r="AB481" s="796"/>
      <c r="AC481" s="705"/>
      <c r="AD481" s="705"/>
      <c r="AE481" s="705"/>
      <c r="AF481" s="362"/>
      <c r="AG481" s="362"/>
      <c r="AH481" s="362"/>
      <c r="AI481" s="362"/>
      <c r="AJ481" s="2"/>
      <c r="AK481" s="2"/>
      <c r="AL481" s="2"/>
      <c r="AM481" s="2"/>
      <c r="AN481" s="2"/>
      <c r="AO481" s="2"/>
      <c r="AP481" s="2"/>
      <c r="AQ481" s="364"/>
      <c r="AR481" s="577"/>
      <c r="AS481" s="364"/>
      <c r="AT481" s="577"/>
      <c r="AU481" s="364"/>
      <c r="AV481" s="364"/>
      <c r="AW481" s="364"/>
      <c r="AX481" s="364"/>
      <c r="AY481" s="577"/>
      <c r="AZ481" s="577"/>
      <c r="BA481" s="577"/>
      <c r="BB481" s="926"/>
      <c r="BC481" s="364"/>
      <c r="BD481" s="364"/>
      <c r="BE481" s="577"/>
      <c r="BF481" s="364"/>
      <c r="BG481" s="384"/>
      <c r="BH481" s="577"/>
      <c r="BI481" s="364"/>
      <c r="BJ481" s="364"/>
      <c r="BK481" s="364"/>
      <c r="BL481" s="364"/>
      <c r="BM481" s="384"/>
      <c r="BN481" s="364"/>
      <c r="BO481" s="364"/>
      <c r="BP481" s="364"/>
      <c r="BQ481" s="388"/>
      <c r="BR481" s="388"/>
      <c r="BS481" s="388"/>
      <c r="BT481" s="388"/>
      <c r="BU481" s="384"/>
      <c r="BV481" s="384"/>
      <c r="BW481" s="387"/>
      <c r="BX481" s="387"/>
      <c r="BY481" s="388"/>
      <c r="BZ481" s="388"/>
      <c r="CA481" s="388"/>
      <c r="CB481" s="387"/>
      <c r="CC481" s="387"/>
      <c r="CE481" s="2"/>
      <c r="CF481" s="2"/>
      <c r="CG481" s="2"/>
      <c r="CH481" s="2"/>
      <c r="CI481" s="2"/>
      <c r="CJ481" s="2"/>
      <c r="CK481" s="2"/>
      <c r="CL481" s="2"/>
      <c r="CM481" s="2"/>
      <c r="CN481" s="2"/>
      <c r="CO481" s="2"/>
      <c r="CP481" s="2"/>
      <c r="CQ481" s="2"/>
      <c r="CR481" s="2"/>
      <c r="CS481" s="364"/>
      <c r="CT481" s="364"/>
      <c r="CU481" s="364"/>
      <c r="CV481" s="407"/>
      <c r="CW481" s="407"/>
      <c r="CX481" s="407"/>
      <c r="CY481" s="407"/>
      <c r="CZ481" s="404"/>
      <c r="DA481" s="404"/>
      <c r="DB481" s="404"/>
      <c r="DC481" s="404"/>
      <c r="DD481" s="407"/>
      <c r="DE481" s="407"/>
      <c r="DF481" s="407"/>
      <c r="DG481" s="407"/>
      <c r="DH481" s="407"/>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row>
    <row r="482" spans="1:150" s="357" customFormat="1">
      <c r="A482" s="364"/>
      <c r="B482" s="678"/>
      <c r="C482" s="364"/>
      <c r="D482" s="364"/>
      <c r="E482" s="678"/>
      <c r="F482" s="678"/>
      <c r="G482" s="678"/>
      <c r="H482" s="364"/>
      <c r="I482" s="364"/>
      <c r="J482" s="364"/>
      <c r="K482" s="364"/>
      <c r="L482" s="786"/>
      <c r="M482" s="364"/>
      <c r="N482" s="364"/>
      <c r="O482" s="364"/>
      <c r="P482" s="364"/>
      <c r="Q482" s="364"/>
      <c r="R482" s="364"/>
      <c r="S482" s="364"/>
      <c r="T482" s="364"/>
      <c r="U482" s="364"/>
      <c r="V482" s="365"/>
      <c r="W482" s="367"/>
      <c r="X482" s="3"/>
      <c r="Y482" s="366"/>
      <c r="Z482" s="678"/>
      <c r="AA482" s="796"/>
      <c r="AB482" s="796"/>
      <c r="AC482" s="705"/>
      <c r="AD482" s="705"/>
      <c r="AE482" s="705"/>
      <c r="AF482" s="362"/>
      <c r="AG482" s="362"/>
      <c r="AH482" s="362"/>
      <c r="AI482" s="362"/>
      <c r="AJ482" s="2"/>
      <c r="AK482" s="2"/>
      <c r="AL482" s="2"/>
      <c r="AM482" s="2"/>
      <c r="AN482" s="2"/>
      <c r="AO482" s="2"/>
      <c r="AP482" s="2"/>
      <c r="AQ482" s="364"/>
      <c r="AR482" s="577"/>
      <c r="AS482" s="364"/>
      <c r="AT482" s="577"/>
      <c r="AU482" s="364"/>
      <c r="AV482" s="364"/>
      <c r="AW482" s="364"/>
      <c r="AX482" s="364"/>
      <c r="AY482" s="577"/>
      <c r="AZ482" s="577"/>
      <c r="BA482" s="577"/>
      <c r="BB482" s="926"/>
      <c r="BC482" s="364"/>
      <c r="BD482" s="364"/>
      <c r="BE482" s="577"/>
      <c r="BF482" s="364"/>
      <c r="BG482" s="384"/>
      <c r="BH482" s="577"/>
      <c r="BI482" s="364"/>
      <c r="BJ482" s="364"/>
      <c r="BK482" s="364"/>
      <c r="BL482" s="364"/>
      <c r="BM482" s="384"/>
      <c r="BN482" s="364"/>
      <c r="BO482" s="364"/>
      <c r="BP482" s="364"/>
      <c r="BQ482" s="388"/>
      <c r="BR482" s="388"/>
      <c r="BS482" s="388"/>
      <c r="BT482" s="388"/>
      <c r="BU482" s="384"/>
      <c r="BV482" s="384"/>
      <c r="BW482" s="387"/>
      <c r="BX482" s="387"/>
      <c r="BY482" s="388"/>
      <c r="BZ482" s="388"/>
      <c r="CA482" s="388"/>
      <c r="CB482" s="387"/>
      <c r="CC482" s="387"/>
      <c r="CE482" s="2"/>
      <c r="CF482" s="2"/>
      <c r="CG482" s="2"/>
      <c r="CH482" s="2"/>
      <c r="CI482" s="2"/>
      <c r="CJ482" s="2"/>
      <c r="CK482" s="2"/>
      <c r="CL482" s="2"/>
      <c r="CM482" s="2"/>
      <c r="CN482" s="2"/>
      <c r="CO482" s="2"/>
      <c r="CP482" s="2"/>
      <c r="CQ482" s="2"/>
      <c r="CR482" s="2"/>
      <c r="CS482" s="364"/>
      <c r="CT482" s="364"/>
      <c r="CU482" s="364"/>
      <c r="CV482" s="407"/>
      <c r="CW482" s="407"/>
      <c r="CX482" s="407"/>
      <c r="CY482" s="407"/>
      <c r="CZ482" s="404"/>
      <c r="DA482" s="404"/>
      <c r="DB482" s="404"/>
      <c r="DC482" s="404"/>
      <c r="DD482" s="407"/>
      <c r="DE482" s="407"/>
      <c r="DF482" s="407"/>
      <c r="DG482" s="407"/>
      <c r="DH482" s="407"/>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row>
    <row r="483" spans="1:150" s="357" customFormat="1">
      <c r="A483" s="364"/>
      <c r="B483" s="678"/>
      <c r="C483" s="364"/>
      <c r="D483" s="364"/>
      <c r="E483" s="678"/>
      <c r="F483" s="678"/>
      <c r="G483" s="678"/>
      <c r="H483" s="364"/>
      <c r="I483" s="364"/>
      <c r="J483" s="364"/>
      <c r="K483" s="364"/>
      <c r="L483" s="786"/>
      <c r="M483" s="364"/>
      <c r="N483" s="364"/>
      <c r="O483" s="364"/>
      <c r="P483" s="364"/>
      <c r="Q483" s="364"/>
      <c r="R483" s="364"/>
      <c r="S483" s="364"/>
      <c r="T483" s="364"/>
      <c r="U483" s="364"/>
      <c r="V483" s="365"/>
      <c r="W483" s="367"/>
      <c r="X483" s="3"/>
      <c r="Y483" s="366"/>
      <c r="Z483" s="678"/>
      <c r="AA483" s="796"/>
      <c r="AB483" s="796"/>
      <c r="AC483" s="705"/>
      <c r="AD483" s="705"/>
      <c r="AE483" s="705"/>
      <c r="AF483" s="362"/>
      <c r="AG483" s="362"/>
      <c r="AH483" s="362"/>
      <c r="AI483" s="362"/>
      <c r="AJ483" s="2"/>
      <c r="AK483" s="2"/>
      <c r="AL483" s="2"/>
      <c r="AM483" s="2"/>
      <c r="AN483" s="2"/>
      <c r="AO483" s="2"/>
      <c r="AP483" s="2"/>
      <c r="AQ483" s="364"/>
      <c r="AR483" s="577"/>
      <c r="AS483" s="364"/>
      <c r="AT483" s="577"/>
      <c r="AU483" s="364"/>
      <c r="AV483" s="364"/>
      <c r="AW483" s="364"/>
      <c r="AX483" s="364"/>
      <c r="AY483" s="577"/>
      <c r="AZ483" s="577"/>
      <c r="BA483" s="577"/>
      <c r="BB483" s="926"/>
      <c r="BC483" s="364"/>
      <c r="BD483" s="364"/>
      <c r="BE483" s="577"/>
      <c r="BF483" s="364"/>
      <c r="BG483" s="384"/>
      <c r="BH483" s="577"/>
      <c r="BI483" s="364"/>
      <c r="BJ483" s="364"/>
      <c r="BK483" s="364"/>
      <c r="BL483" s="364"/>
      <c r="BM483" s="384"/>
      <c r="BN483" s="364"/>
      <c r="BO483" s="364"/>
      <c r="BP483" s="364"/>
      <c r="BQ483" s="388"/>
      <c r="BR483" s="388"/>
      <c r="BS483" s="388"/>
      <c r="BT483" s="388"/>
      <c r="BU483" s="384"/>
      <c r="BV483" s="384"/>
      <c r="BW483" s="387"/>
      <c r="BX483" s="387"/>
      <c r="BY483" s="388"/>
      <c r="BZ483" s="388"/>
      <c r="CA483" s="388"/>
      <c r="CB483" s="387"/>
      <c r="CC483" s="387"/>
      <c r="CE483" s="2"/>
      <c r="CF483" s="2"/>
      <c r="CG483" s="2"/>
      <c r="CH483" s="2"/>
      <c r="CI483" s="2"/>
      <c r="CJ483" s="2"/>
      <c r="CK483" s="2"/>
      <c r="CL483" s="2"/>
      <c r="CM483" s="2"/>
      <c r="CN483" s="2"/>
      <c r="CO483" s="2"/>
      <c r="CP483" s="2"/>
      <c r="CQ483" s="2"/>
      <c r="CR483" s="2"/>
      <c r="CS483" s="364"/>
      <c r="CT483" s="364"/>
      <c r="CU483" s="364"/>
      <c r="CV483" s="407"/>
      <c r="CW483" s="407"/>
      <c r="CX483" s="407"/>
      <c r="CY483" s="407"/>
      <c r="CZ483" s="404"/>
      <c r="DA483" s="404"/>
      <c r="DB483" s="404"/>
      <c r="DC483" s="404"/>
      <c r="DD483" s="407"/>
      <c r="DE483" s="407"/>
      <c r="DF483" s="407"/>
      <c r="DG483" s="407"/>
      <c r="DH483" s="407"/>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row>
    <row r="484" spans="1:150" s="357" customFormat="1">
      <c r="A484" s="364"/>
      <c r="B484" s="678"/>
      <c r="C484" s="364"/>
      <c r="D484" s="364"/>
      <c r="E484" s="678"/>
      <c r="F484" s="678"/>
      <c r="G484" s="678"/>
      <c r="H484" s="364"/>
      <c r="I484" s="364"/>
      <c r="J484" s="364"/>
      <c r="K484" s="364"/>
      <c r="L484" s="786"/>
      <c r="M484" s="364"/>
      <c r="N484" s="364"/>
      <c r="O484" s="364"/>
      <c r="P484" s="364"/>
      <c r="Q484" s="364"/>
      <c r="R484" s="364"/>
      <c r="S484" s="364"/>
      <c r="T484" s="364"/>
      <c r="U484" s="364"/>
      <c r="V484" s="365"/>
      <c r="W484" s="367"/>
      <c r="X484" s="3"/>
      <c r="Y484" s="366"/>
      <c r="Z484" s="678"/>
      <c r="AA484" s="796"/>
      <c r="AB484" s="796"/>
      <c r="AC484" s="705"/>
      <c r="AD484" s="705"/>
      <c r="AE484" s="705"/>
      <c r="AF484" s="362"/>
      <c r="AG484" s="362"/>
      <c r="AH484" s="362"/>
      <c r="AI484" s="362"/>
      <c r="AJ484" s="2"/>
      <c r="AK484" s="2"/>
      <c r="AL484" s="2"/>
      <c r="AM484" s="2"/>
      <c r="AN484" s="2"/>
      <c r="AO484" s="2"/>
      <c r="AP484" s="2"/>
      <c r="AQ484" s="364"/>
      <c r="AR484" s="577"/>
      <c r="AS484" s="364"/>
      <c r="AT484" s="577"/>
      <c r="AU484" s="364"/>
      <c r="AV484" s="364"/>
      <c r="AW484" s="364"/>
      <c r="AX484" s="364"/>
      <c r="AY484" s="577"/>
      <c r="AZ484" s="577"/>
      <c r="BA484" s="577"/>
      <c r="BB484" s="926"/>
      <c r="BC484" s="364"/>
      <c r="BD484" s="364"/>
      <c r="BE484" s="577"/>
      <c r="BF484" s="364"/>
      <c r="BG484" s="384"/>
      <c r="BH484" s="577"/>
      <c r="BI484" s="364"/>
      <c r="BJ484" s="364"/>
      <c r="BK484" s="364"/>
      <c r="BL484" s="364"/>
      <c r="BM484" s="384"/>
      <c r="BN484" s="364"/>
      <c r="BO484" s="364"/>
      <c r="BP484" s="364"/>
      <c r="BQ484" s="388"/>
      <c r="BR484" s="388"/>
      <c r="BS484" s="388"/>
      <c r="BT484" s="388"/>
      <c r="BU484" s="384"/>
      <c r="BV484" s="384"/>
      <c r="BW484" s="387"/>
      <c r="BX484" s="387"/>
      <c r="BY484" s="388"/>
      <c r="BZ484" s="388"/>
      <c r="CA484" s="388"/>
      <c r="CB484" s="387"/>
      <c r="CC484" s="387"/>
      <c r="CE484" s="2"/>
      <c r="CF484" s="2"/>
      <c r="CG484" s="2"/>
      <c r="CH484" s="2"/>
      <c r="CI484" s="2"/>
      <c r="CJ484" s="2"/>
      <c r="CK484" s="2"/>
      <c r="CL484" s="2"/>
      <c r="CM484" s="2"/>
      <c r="CN484" s="2"/>
      <c r="CO484" s="2"/>
      <c r="CP484" s="2"/>
      <c r="CQ484" s="2"/>
      <c r="CR484" s="2"/>
      <c r="CS484" s="364"/>
      <c r="CT484" s="364"/>
      <c r="CU484" s="364"/>
      <c r="CV484" s="407"/>
      <c r="CW484" s="407"/>
      <c r="CX484" s="407"/>
      <c r="CY484" s="407"/>
      <c r="CZ484" s="404"/>
      <c r="DA484" s="404"/>
      <c r="DB484" s="404"/>
      <c r="DC484" s="404"/>
      <c r="DD484" s="407"/>
      <c r="DE484" s="407"/>
      <c r="DF484" s="407"/>
      <c r="DG484" s="407"/>
      <c r="DH484" s="407"/>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row>
    <row r="485" spans="1:150" s="357" customFormat="1">
      <c r="A485" s="364"/>
      <c r="B485" s="678"/>
      <c r="C485" s="364"/>
      <c r="D485" s="364"/>
      <c r="E485" s="678"/>
      <c r="F485" s="678"/>
      <c r="G485" s="678"/>
      <c r="H485" s="364"/>
      <c r="I485" s="364"/>
      <c r="J485" s="364"/>
      <c r="K485" s="364"/>
      <c r="L485" s="786"/>
      <c r="M485" s="364"/>
      <c r="N485" s="364"/>
      <c r="O485" s="364"/>
      <c r="P485" s="364"/>
      <c r="Q485" s="364"/>
      <c r="R485" s="364"/>
      <c r="S485" s="364"/>
      <c r="T485" s="364"/>
      <c r="U485" s="364"/>
      <c r="V485" s="365"/>
      <c r="W485" s="367"/>
      <c r="X485" s="3"/>
      <c r="Y485" s="366"/>
      <c r="Z485" s="678"/>
      <c r="AA485" s="796"/>
      <c r="AB485" s="796"/>
      <c r="AC485" s="705"/>
      <c r="AD485" s="705"/>
      <c r="AE485" s="705"/>
      <c r="AF485" s="362"/>
      <c r="AG485" s="362"/>
      <c r="AH485" s="362"/>
      <c r="AI485" s="362"/>
      <c r="AJ485" s="2"/>
      <c r="AK485" s="2"/>
      <c r="AL485" s="2"/>
      <c r="AM485" s="2"/>
      <c r="AN485" s="2"/>
      <c r="AO485" s="2"/>
      <c r="AP485" s="2"/>
      <c r="AQ485" s="364"/>
      <c r="AR485" s="577"/>
      <c r="AS485" s="364"/>
      <c r="AT485" s="577"/>
      <c r="AU485" s="364"/>
      <c r="AV485" s="364"/>
      <c r="AW485" s="364"/>
      <c r="AX485" s="364"/>
      <c r="AY485" s="577"/>
      <c r="AZ485" s="577"/>
      <c r="BA485" s="577"/>
      <c r="BB485" s="926"/>
      <c r="BC485" s="364"/>
      <c r="BD485" s="364"/>
      <c r="BE485" s="577"/>
      <c r="BF485" s="364"/>
      <c r="BG485" s="384"/>
      <c r="BH485" s="577"/>
      <c r="BI485" s="364"/>
      <c r="BJ485" s="364"/>
      <c r="BK485" s="364"/>
      <c r="BL485" s="364"/>
      <c r="BM485" s="384"/>
      <c r="BN485" s="364"/>
      <c r="BO485" s="364"/>
      <c r="BP485" s="364"/>
      <c r="BQ485" s="388"/>
      <c r="BR485" s="388"/>
      <c r="BS485" s="388"/>
      <c r="BT485" s="388"/>
      <c r="BU485" s="384"/>
      <c r="BV485" s="384"/>
      <c r="BW485" s="387"/>
      <c r="BX485" s="387"/>
      <c r="BY485" s="388"/>
      <c r="BZ485" s="388"/>
      <c r="CA485" s="388"/>
      <c r="CB485" s="387"/>
      <c r="CC485" s="387"/>
      <c r="CE485" s="2"/>
      <c r="CF485" s="2"/>
      <c r="CG485" s="2"/>
      <c r="CH485" s="2"/>
      <c r="CI485" s="2"/>
      <c r="CJ485" s="2"/>
      <c r="CK485" s="2"/>
      <c r="CL485" s="2"/>
      <c r="CM485" s="2"/>
      <c r="CN485" s="2"/>
      <c r="CO485" s="2"/>
      <c r="CP485" s="2"/>
      <c r="CQ485" s="2"/>
      <c r="CR485" s="2"/>
      <c r="CS485" s="364"/>
      <c r="CT485" s="364"/>
      <c r="CU485" s="364"/>
      <c r="CV485" s="407"/>
      <c r="CW485" s="407"/>
      <c r="CX485" s="407"/>
      <c r="CY485" s="407"/>
      <c r="CZ485" s="404"/>
      <c r="DA485" s="404"/>
      <c r="DB485" s="404"/>
      <c r="DC485" s="404"/>
      <c r="DD485" s="407"/>
      <c r="DE485" s="407"/>
      <c r="DF485" s="407"/>
      <c r="DG485" s="407"/>
      <c r="DH485" s="407"/>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row>
    <row r="486" spans="1:150" s="357" customFormat="1">
      <c r="A486" s="364"/>
      <c r="B486" s="678"/>
      <c r="C486" s="364"/>
      <c r="D486" s="364"/>
      <c r="E486" s="678"/>
      <c r="F486" s="678"/>
      <c r="G486" s="678"/>
      <c r="H486" s="364"/>
      <c r="I486" s="364"/>
      <c r="J486" s="364"/>
      <c r="K486" s="364"/>
      <c r="L486" s="786"/>
      <c r="M486" s="364"/>
      <c r="N486" s="364"/>
      <c r="O486" s="364"/>
      <c r="P486" s="364"/>
      <c r="Q486" s="364"/>
      <c r="R486" s="364"/>
      <c r="S486" s="364"/>
      <c r="T486" s="364"/>
      <c r="U486" s="364"/>
      <c r="V486" s="365"/>
      <c r="W486" s="367"/>
      <c r="X486" s="3"/>
      <c r="Y486" s="366"/>
      <c r="Z486" s="678"/>
      <c r="AA486" s="796"/>
      <c r="AB486" s="796"/>
      <c r="AC486" s="705"/>
      <c r="AD486" s="705"/>
      <c r="AE486" s="705"/>
      <c r="AF486" s="362"/>
      <c r="AG486" s="362"/>
      <c r="AH486" s="362"/>
      <c r="AI486" s="362"/>
      <c r="AJ486" s="2"/>
      <c r="AK486" s="2"/>
      <c r="AL486" s="2"/>
      <c r="AM486" s="2"/>
      <c r="AN486" s="2"/>
      <c r="AO486" s="2"/>
      <c r="AP486" s="2"/>
      <c r="AQ486" s="364"/>
      <c r="AR486" s="577"/>
      <c r="AS486" s="364"/>
      <c r="AT486" s="577"/>
      <c r="AU486" s="364"/>
      <c r="AV486" s="364"/>
      <c r="AW486" s="364"/>
      <c r="AX486" s="364"/>
      <c r="AY486" s="577"/>
      <c r="AZ486" s="577"/>
      <c r="BA486" s="577"/>
      <c r="BB486" s="926"/>
      <c r="BC486" s="364"/>
      <c r="BD486" s="364"/>
      <c r="BE486" s="577"/>
      <c r="BF486" s="364"/>
      <c r="BG486" s="384"/>
      <c r="BH486" s="577"/>
      <c r="BI486" s="364"/>
      <c r="BJ486" s="364"/>
      <c r="BK486" s="364"/>
      <c r="BL486" s="364"/>
      <c r="BM486" s="384"/>
      <c r="BN486" s="364"/>
      <c r="BO486" s="364"/>
      <c r="BP486" s="364"/>
      <c r="BQ486" s="388"/>
      <c r="BR486" s="388"/>
      <c r="BS486" s="388"/>
      <c r="BT486" s="388"/>
      <c r="BU486" s="384"/>
      <c r="BV486" s="384"/>
      <c r="BW486" s="387"/>
      <c r="BX486" s="387"/>
      <c r="BY486" s="388"/>
      <c r="BZ486" s="388"/>
      <c r="CA486" s="388"/>
      <c r="CB486" s="387"/>
      <c r="CC486" s="387"/>
      <c r="CE486" s="2"/>
      <c r="CF486" s="2"/>
      <c r="CG486" s="2"/>
      <c r="CH486" s="2"/>
      <c r="CI486" s="2"/>
      <c r="CJ486" s="2"/>
      <c r="CK486" s="2"/>
      <c r="CL486" s="2"/>
      <c r="CM486" s="2"/>
      <c r="CN486" s="2"/>
      <c r="CO486" s="2"/>
      <c r="CP486" s="2"/>
      <c r="CQ486" s="2"/>
      <c r="CR486" s="2"/>
      <c r="CS486" s="364"/>
      <c r="CT486" s="364"/>
      <c r="CU486" s="364"/>
      <c r="CV486" s="407"/>
      <c r="CW486" s="407"/>
      <c r="CX486" s="407"/>
      <c r="CY486" s="407"/>
      <c r="CZ486" s="404"/>
      <c r="DA486" s="404"/>
      <c r="DB486" s="404"/>
      <c r="DC486" s="404"/>
      <c r="DD486" s="407"/>
      <c r="DE486" s="407"/>
      <c r="DF486" s="407"/>
      <c r="DG486" s="407"/>
      <c r="DH486" s="407"/>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row>
    <row r="487" spans="1:150" s="357" customFormat="1">
      <c r="A487" s="364"/>
      <c r="B487" s="678"/>
      <c r="C487" s="364"/>
      <c r="D487" s="364"/>
      <c r="E487" s="678"/>
      <c r="F487" s="678"/>
      <c r="G487" s="678"/>
      <c r="H487" s="364"/>
      <c r="I487" s="364"/>
      <c r="J487" s="364"/>
      <c r="K487" s="364"/>
      <c r="L487" s="786"/>
      <c r="M487" s="364"/>
      <c r="N487" s="364"/>
      <c r="O487" s="364"/>
      <c r="P487" s="364"/>
      <c r="Q487" s="364"/>
      <c r="R487" s="364"/>
      <c r="S487" s="364"/>
      <c r="T487" s="364"/>
      <c r="U487" s="364"/>
      <c r="V487" s="365"/>
      <c r="W487" s="367"/>
      <c r="X487" s="3"/>
      <c r="Y487" s="366"/>
      <c r="Z487" s="678"/>
      <c r="AA487" s="796"/>
      <c r="AB487" s="796"/>
      <c r="AC487" s="705"/>
      <c r="AD487" s="705"/>
      <c r="AE487" s="705"/>
      <c r="AF487" s="362"/>
      <c r="AG487" s="362"/>
      <c r="AH487" s="362"/>
      <c r="AI487" s="362"/>
      <c r="AJ487" s="2"/>
      <c r="AK487" s="2"/>
      <c r="AL487" s="2"/>
      <c r="AM487" s="2"/>
      <c r="AN487" s="2"/>
      <c r="AO487" s="2"/>
      <c r="AP487" s="2"/>
      <c r="AQ487" s="364"/>
      <c r="AR487" s="577"/>
      <c r="AS487" s="364"/>
      <c r="AT487" s="577"/>
      <c r="AU487" s="364"/>
      <c r="AV487" s="364"/>
      <c r="AW487" s="364"/>
      <c r="AX487" s="364"/>
      <c r="AY487" s="577"/>
      <c r="AZ487" s="577"/>
      <c r="BA487" s="577"/>
      <c r="BB487" s="926"/>
      <c r="BC487" s="364"/>
      <c r="BD487" s="364"/>
      <c r="BE487" s="577"/>
      <c r="BF487" s="364"/>
      <c r="BG487" s="384"/>
      <c r="BH487" s="577"/>
      <c r="BI487" s="364"/>
      <c r="BJ487" s="364"/>
      <c r="BK487" s="364"/>
      <c r="BL487" s="364"/>
      <c r="BM487" s="384"/>
      <c r="BN487" s="364"/>
      <c r="BO487" s="364"/>
      <c r="BP487" s="364"/>
      <c r="BQ487" s="388"/>
      <c r="BR487" s="388"/>
      <c r="BS487" s="388"/>
      <c r="BT487" s="388"/>
      <c r="BU487" s="384"/>
      <c r="BV487" s="384"/>
      <c r="BW487" s="387"/>
      <c r="BX487" s="387"/>
      <c r="BY487" s="388"/>
      <c r="BZ487" s="388"/>
      <c r="CA487" s="388"/>
      <c r="CB487" s="387"/>
      <c r="CC487" s="387"/>
      <c r="CE487" s="2"/>
      <c r="CF487" s="2"/>
      <c r="CG487" s="2"/>
      <c r="CH487" s="2"/>
      <c r="CI487" s="2"/>
      <c r="CJ487" s="2"/>
      <c r="CK487" s="2"/>
      <c r="CL487" s="2"/>
      <c r="CM487" s="2"/>
      <c r="CN487" s="2"/>
      <c r="CO487" s="2"/>
      <c r="CP487" s="2"/>
      <c r="CQ487" s="2"/>
      <c r="CR487" s="2"/>
      <c r="CS487" s="364"/>
      <c r="CT487" s="364"/>
      <c r="CU487" s="364"/>
      <c r="CV487" s="407"/>
      <c r="CW487" s="407"/>
      <c r="CX487" s="407"/>
      <c r="CY487" s="407"/>
      <c r="CZ487" s="404"/>
      <c r="DA487" s="404"/>
      <c r="DB487" s="404"/>
      <c r="DC487" s="404"/>
      <c r="DD487" s="407"/>
      <c r="DE487" s="407"/>
      <c r="DF487" s="407"/>
      <c r="DG487" s="407"/>
      <c r="DH487" s="407"/>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row>
    <row r="488" spans="1:150" s="357" customFormat="1">
      <c r="A488" s="364"/>
      <c r="B488" s="678"/>
      <c r="C488" s="364"/>
      <c r="D488" s="364"/>
      <c r="E488" s="678"/>
      <c r="F488" s="678"/>
      <c r="G488" s="678"/>
      <c r="H488" s="364"/>
      <c r="I488" s="364"/>
      <c r="J488" s="364"/>
      <c r="K488" s="364"/>
      <c r="L488" s="786"/>
      <c r="M488" s="364"/>
      <c r="N488" s="364"/>
      <c r="O488" s="364"/>
      <c r="P488" s="364"/>
      <c r="Q488" s="364"/>
      <c r="R488" s="364"/>
      <c r="S488" s="364"/>
      <c r="T488" s="364"/>
      <c r="U488" s="364"/>
      <c r="V488" s="365"/>
      <c r="W488" s="367"/>
      <c r="X488" s="3"/>
      <c r="Y488" s="366"/>
      <c r="Z488" s="678"/>
      <c r="AA488" s="796"/>
      <c r="AB488" s="796"/>
      <c r="AC488" s="705"/>
      <c r="AD488" s="705"/>
      <c r="AE488" s="705"/>
      <c r="AF488" s="362"/>
      <c r="AG488" s="362"/>
      <c r="AH488" s="362"/>
      <c r="AI488" s="362"/>
      <c r="AJ488" s="2"/>
      <c r="AK488" s="2"/>
      <c r="AL488" s="2"/>
      <c r="AM488" s="2"/>
      <c r="AN488" s="2"/>
      <c r="AO488" s="2"/>
      <c r="AP488" s="2"/>
      <c r="AQ488" s="364"/>
      <c r="AR488" s="577"/>
      <c r="AS488" s="364"/>
      <c r="AT488" s="577"/>
      <c r="AU488" s="364"/>
      <c r="AV488" s="364"/>
      <c r="AW488" s="364"/>
      <c r="AX488" s="364"/>
      <c r="AY488" s="577"/>
      <c r="AZ488" s="577"/>
      <c r="BA488" s="577"/>
      <c r="BB488" s="926"/>
      <c r="BC488" s="364"/>
      <c r="BD488" s="364"/>
      <c r="BE488" s="577"/>
      <c r="BF488" s="364"/>
      <c r="BG488" s="384"/>
      <c r="BH488" s="577"/>
      <c r="BI488" s="364"/>
      <c r="BJ488" s="364"/>
      <c r="BK488" s="364"/>
      <c r="BL488" s="364"/>
      <c r="BM488" s="384"/>
      <c r="BN488" s="364"/>
      <c r="BO488" s="364"/>
      <c r="BP488" s="364"/>
      <c r="BQ488" s="388"/>
      <c r="BR488" s="388"/>
      <c r="BS488" s="388"/>
      <c r="BT488" s="388"/>
      <c r="BU488" s="384"/>
      <c r="BV488" s="384"/>
      <c r="BW488" s="387"/>
      <c r="BX488" s="387"/>
      <c r="BY488" s="388"/>
      <c r="BZ488" s="388"/>
      <c r="CA488" s="388"/>
      <c r="CB488" s="387"/>
      <c r="CC488" s="387"/>
      <c r="CE488" s="2"/>
      <c r="CF488" s="2"/>
      <c r="CG488" s="2"/>
      <c r="CH488" s="2"/>
      <c r="CI488" s="2"/>
      <c r="CJ488" s="2"/>
      <c r="CK488" s="2"/>
      <c r="CL488" s="2"/>
      <c r="CM488" s="2"/>
      <c r="CN488" s="2"/>
      <c r="CO488" s="2"/>
      <c r="CP488" s="2"/>
      <c r="CQ488" s="2"/>
      <c r="CR488" s="2"/>
      <c r="CS488" s="364"/>
      <c r="CT488" s="364"/>
      <c r="CU488" s="364"/>
      <c r="CV488" s="407"/>
      <c r="CW488" s="407"/>
      <c r="CX488" s="407"/>
      <c r="CY488" s="407"/>
      <c r="CZ488" s="404"/>
      <c r="DA488" s="404"/>
      <c r="DB488" s="404"/>
      <c r="DC488" s="404"/>
      <c r="DD488" s="407"/>
      <c r="DE488" s="407"/>
      <c r="DF488" s="407"/>
      <c r="DG488" s="407"/>
      <c r="DH488" s="407"/>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row>
    <row r="489" spans="1:150" s="357" customFormat="1">
      <c r="A489" s="364"/>
      <c r="B489" s="678"/>
      <c r="C489" s="364"/>
      <c r="D489" s="364"/>
      <c r="E489" s="678"/>
      <c r="F489" s="678"/>
      <c r="G489" s="678"/>
      <c r="H489" s="364"/>
      <c r="I489" s="364"/>
      <c r="J489" s="364"/>
      <c r="K489" s="364"/>
      <c r="L489" s="786"/>
      <c r="M489" s="364"/>
      <c r="N489" s="364"/>
      <c r="O489" s="364"/>
      <c r="P489" s="364"/>
      <c r="Q489" s="364"/>
      <c r="R489" s="364"/>
      <c r="S489" s="364"/>
      <c r="T489" s="364"/>
      <c r="U489" s="364"/>
      <c r="V489" s="365"/>
      <c r="W489" s="367"/>
      <c r="X489" s="3"/>
      <c r="Y489" s="366"/>
      <c r="Z489" s="678"/>
      <c r="AA489" s="796"/>
      <c r="AB489" s="796"/>
      <c r="AC489" s="705"/>
      <c r="AD489" s="705"/>
      <c r="AE489" s="705"/>
      <c r="AF489" s="362"/>
      <c r="AG489" s="362"/>
      <c r="AH489" s="362"/>
      <c r="AI489" s="362"/>
      <c r="AJ489" s="2"/>
      <c r="AK489" s="2"/>
      <c r="AL489" s="2"/>
      <c r="AM489" s="2"/>
      <c r="AN489" s="2"/>
      <c r="AO489" s="2"/>
      <c r="AP489" s="2"/>
      <c r="AQ489" s="364"/>
      <c r="AR489" s="577"/>
      <c r="AS489" s="364"/>
      <c r="AT489" s="577"/>
      <c r="AU489" s="364"/>
      <c r="AV489" s="364"/>
      <c r="AW489" s="364"/>
      <c r="AX489" s="364"/>
      <c r="AY489" s="577"/>
      <c r="AZ489" s="577"/>
      <c r="BA489" s="577"/>
      <c r="BB489" s="926"/>
      <c r="BC489" s="364"/>
      <c r="BD489" s="364"/>
      <c r="BE489" s="577"/>
      <c r="BF489" s="364"/>
      <c r="BG489" s="384"/>
      <c r="BH489" s="577"/>
      <c r="BI489" s="364"/>
      <c r="BJ489" s="364"/>
      <c r="BK489" s="364"/>
      <c r="BL489" s="364"/>
      <c r="BM489" s="384"/>
      <c r="BN489" s="364"/>
      <c r="BO489" s="364"/>
      <c r="BP489" s="364"/>
      <c r="BQ489" s="388"/>
      <c r="BR489" s="388"/>
      <c r="BS489" s="388"/>
      <c r="BT489" s="388"/>
      <c r="BU489" s="384"/>
      <c r="BV489" s="384"/>
      <c r="BW489" s="387"/>
      <c r="BX489" s="387"/>
      <c r="BY489" s="388"/>
      <c r="BZ489" s="388"/>
      <c r="CA489" s="388"/>
      <c r="CB489" s="387"/>
      <c r="CC489" s="387"/>
      <c r="CE489" s="2"/>
      <c r="CF489" s="2"/>
      <c r="CG489" s="2"/>
      <c r="CH489" s="2"/>
      <c r="CI489" s="2"/>
      <c r="CJ489" s="2"/>
      <c r="CK489" s="2"/>
      <c r="CL489" s="2"/>
      <c r="CM489" s="2"/>
      <c r="CN489" s="2"/>
      <c r="CO489" s="2"/>
      <c r="CP489" s="2"/>
      <c r="CQ489" s="2"/>
      <c r="CR489" s="2"/>
      <c r="CS489" s="364"/>
      <c r="CT489" s="364"/>
      <c r="CU489" s="364"/>
      <c r="CV489" s="407"/>
      <c r="CW489" s="407"/>
      <c r="CX489" s="407"/>
      <c r="CY489" s="407"/>
      <c r="CZ489" s="404"/>
      <c r="DA489" s="404"/>
      <c r="DB489" s="404"/>
      <c r="DC489" s="404"/>
      <c r="DD489" s="407"/>
      <c r="DE489" s="407"/>
      <c r="DF489" s="407"/>
      <c r="DG489" s="407"/>
      <c r="DH489" s="407"/>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row>
    <row r="490" spans="1:150" s="357" customFormat="1">
      <c r="A490" s="364"/>
      <c r="B490" s="678"/>
      <c r="C490" s="364"/>
      <c r="D490" s="364"/>
      <c r="E490" s="678"/>
      <c r="F490" s="678"/>
      <c r="G490" s="678"/>
      <c r="H490" s="364"/>
      <c r="I490" s="364"/>
      <c r="J490" s="364"/>
      <c r="K490" s="364"/>
      <c r="L490" s="786"/>
      <c r="M490" s="364"/>
      <c r="N490" s="364"/>
      <c r="O490" s="364"/>
      <c r="P490" s="364"/>
      <c r="Q490" s="364"/>
      <c r="R490" s="364"/>
      <c r="S490" s="364"/>
      <c r="T490" s="364"/>
      <c r="U490" s="364"/>
      <c r="V490" s="365"/>
      <c r="W490" s="367"/>
      <c r="X490" s="3"/>
      <c r="Y490" s="366"/>
      <c r="Z490" s="678"/>
      <c r="AA490" s="796"/>
      <c r="AB490" s="796"/>
      <c r="AC490" s="705"/>
      <c r="AD490" s="705"/>
      <c r="AE490" s="705"/>
      <c r="AF490" s="362"/>
      <c r="AG490" s="362"/>
      <c r="AH490" s="362"/>
      <c r="AI490" s="362"/>
      <c r="AJ490" s="2"/>
      <c r="AK490" s="2"/>
      <c r="AL490" s="2"/>
      <c r="AM490" s="2"/>
      <c r="AN490" s="2"/>
      <c r="AO490" s="2"/>
      <c r="AP490" s="2"/>
      <c r="AQ490" s="364"/>
      <c r="AR490" s="577"/>
      <c r="AS490" s="364"/>
      <c r="AT490" s="577"/>
      <c r="AU490" s="364"/>
      <c r="AV490" s="364"/>
      <c r="AW490" s="364"/>
      <c r="AX490" s="364"/>
      <c r="AY490" s="577"/>
      <c r="AZ490" s="577"/>
      <c r="BA490" s="577"/>
      <c r="BB490" s="926"/>
      <c r="BC490" s="364"/>
      <c r="BD490" s="364"/>
      <c r="BE490" s="577"/>
      <c r="BF490" s="364"/>
      <c r="BG490" s="384"/>
      <c r="BH490" s="577"/>
      <c r="BI490" s="364"/>
      <c r="BJ490" s="364"/>
      <c r="BK490" s="364"/>
      <c r="BL490" s="364"/>
      <c r="BM490" s="384"/>
      <c r="BN490" s="364"/>
      <c r="BO490" s="364"/>
      <c r="BP490" s="364"/>
      <c r="BQ490" s="388"/>
      <c r="BR490" s="388"/>
      <c r="BS490" s="388"/>
      <c r="BT490" s="388"/>
      <c r="BU490" s="384"/>
      <c r="BV490" s="384"/>
      <c r="BW490" s="387"/>
      <c r="BX490" s="387"/>
      <c r="BY490" s="388"/>
      <c r="BZ490" s="388"/>
      <c r="CA490" s="388"/>
      <c r="CB490" s="387"/>
      <c r="CC490" s="387"/>
      <c r="CE490" s="2"/>
      <c r="CF490" s="2"/>
      <c r="CG490" s="2"/>
      <c r="CH490" s="2"/>
      <c r="CI490" s="2"/>
      <c r="CJ490" s="2"/>
      <c r="CK490" s="2"/>
      <c r="CL490" s="2"/>
      <c r="CM490" s="2"/>
      <c r="CN490" s="2"/>
      <c r="CO490" s="2"/>
      <c r="CP490" s="2"/>
      <c r="CQ490" s="2"/>
      <c r="CR490" s="2"/>
      <c r="CS490" s="364"/>
      <c r="CT490" s="364"/>
      <c r="CU490" s="364"/>
      <c r="CV490" s="407"/>
      <c r="CW490" s="407"/>
      <c r="CX490" s="407"/>
      <c r="CY490" s="407"/>
      <c r="CZ490" s="404"/>
      <c r="DA490" s="404"/>
      <c r="DB490" s="404"/>
      <c r="DC490" s="404"/>
      <c r="DD490" s="407"/>
      <c r="DE490" s="407"/>
      <c r="DF490" s="407"/>
      <c r="DG490" s="407"/>
      <c r="DH490" s="407"/>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row>
    <row r="491" spans="1:150" s="357" customFormat="1">
      <c r="A491" s="364"/>
      <c r="B491" s="678"/>
      <c r="C491" s="364"/>
      <c r="D491" s="364"/>
      <c r="E491" s="678"/>
      <c r="F491" s="678"/>
      <c r="G491" s="678"/>
      <c r="H491" s="364"/>
      <c r="I491" s="364"/>
      <c r="J491" s="364"/>
      <c r="K491" s="364"/>
      <c r="L491" s="786"/>
      <c r="M491" s="364"/>
      <c r="N491" s="364"/>
      <c r="O491" s="364"/>
      <c r="P491" s="364"/>
      <c r="Q491" s="364"/>
      <c r="R491" s="364"/>
      <c r="S491" s="364"/>
      <c r="T491" s="364"/>
      <c r="U491" s="364"/>
      <c r="V491" s="365"/>
      <c r="W491" s="367"/>
      <c r="X491" s="3"/>
      <c r="Y491" s="366"/>
      <c r="Z491" s="678"/>
      <c r="AA491" s="796"/>
      <c r="AB491" s="796"/>
      <c r="AC491" s="705"/>
      <c r="AD491" s="705"/>
      <c r="AE491" s="705"/>
      <c r="AF491" s="362"/>
      <c r="AG491" s="362"/>
      <c r="AH491" s="362"/>
      <c r="AI491" s="362"/>
      <c r="AJ491" s="2"/>
      <c r="AK491" s="2"/>
      <c r="AL491" s="2"/>
      <c r="AM491" s="2"/>
      <c r="AN491" s="2"/>
      <c r="AO491" s="2"/>
      <c r="AP491" s="2"/>
      <c r="AQ491" s="364"/>
      <c r="AR491" s="577"/>
      <c r="AS491" s="364"/>
      <c r="AT491" s="577"/>
      <c r="AU491" s="364"/>
      <c r="AV491" s="364"/>
      <c r="AW491" s="364"/>
      <c r="AX491" s="364"/>
      <c r="AY491" s="577"/>
      <c r="AZ491" s="577"/>
      <c r="BA491" s="577"/>
      <c r="BB491" s="926"/>
      <c r="BC491" s="364"/>
      <c r="BD491" s="364"/>
      <c r="BE491" s="577"/>
      <c r="BF491" s="364"/>
      <c r="BG491" s="384"/>
      <c r="BH491" s="577"/>
      <c r="BI491" s="364"/>
      <c r="BJ491" s="364"/>
      <c r="BK491" s="364"/>
      <c r="BL491" s="364"/>
      <c r="BM491" s="384"/>
      <c r="BN491" s="364"/>
      <c r="BO491" s="364"/>
      <c r="BP491" s="364"/>
      <c r="BQ491" s="388"/>
      <c r="BR491" s="388"/>
      <c r="BS491" s="388"/>
      <c r="BT491" s="388"/>
      <c r="BU491" s="384"/>
      <c r="BV491" s="384"/>
      <c r="BW491" s="387"/>
      <c r="BX491" s="387"/>
      <c r="BY491" s="388"/>
      <c r="BZ491" s="388"/>
      <c r="CA491" s="388"/>
      <c r="CB491" s="387"/>
      <c r="CC491" s="387"/>
      <c r="CE491" s="2"/>
      <c r="CF491" s="2"/>
      <c r="CG491" s="2"/>
      <c r="CH491" s="2"/>
      <c r="CI491" s="2"/>
      <c r="CJ491" s="2"/>
      <c r="CK491" s="2"/>
      <c r="CL491" s="2"/>
      <c r="CM491" s="2"/>
      <c r="CN491" s="2"/>
      <c r="CO491" s="2"/>
      <c r="CP491" s="2"/>
      <c r="CQ491" s="2"/>
      <c r="CR491" s="2"/>
      <c r="CS491" s="364"/>
      <c r="CT491" s="364"/>
      <c r="CU491" s="364"/>
      <c r="CV491" s="407"/>
      <c r="CW491" s="407"/>
      <c r="CX491" s="407"/>
      <c r="CY491" s="407"/>
      <c r="CZ491" s="404"/>
      <c r="DA491" s="404"/>
      <c r="DB491" s="404"/>
      <c r="DC491" s="404"/>
      <c r="DD491" s="407"/>
      <c r="DE491" s="407"/>
      <c r="DF491" s="407"/>
      <c r="DG491" s="407"/>
      <c r="DH491" s="407"/>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row>
    <row r="492" spans="1:150" s="357" customFormat="1">
      <c r="A492" s="364"/>
      <c r="B492" s="678"/>
      <c r="C492" s="364"/>
      <c r="D492" s="364"/>
      <c r="E492" s="678"/>
      <c r="F492" s="678"/>
      <c r="G492" s="678"/>
      <c r="H492" s="364"/>
      <c r="I492" s="364"/>
      <c r="J492" s="364"/>
      <c r="K492" s="364"/>
      <c r="L492" s="786"/>
      <c r="M492" s="364"/>
      <c r="N492" s="364"/>
      <c r="O492" s="364"/>
      <c r="P492" s="364"/>
      <c r="Q492" s="364"/>
      <c r="R492" s="364"/>
      <c r="S492" s="364"/>
      <c r="T492" s="364"/>
      <c r="U492" s="364"/>
      <c r="V492" s="365"/>
      <c r="W492" s="367"/>
      <c r="X492" s="3"/>
      <c r="Y492" s="366"/>
      <c r="Z492" s="678"/>
      <c r="AA492" s="796"/>
      <c r="AB492" s="796"/>
      <c r="AC492" s="705"/>
      <c r="AD492" s="705"/>
      <c r="AE492" s="705"/>
      <c r="AF492" s="362"/>
      <c r="AG492" s="362"/>
      <c r="AH492" s="362"/>
      <c r="AI492" s="362"/>
      <c r="AJ492" s="2"/>
      <c r="AK492" s="2"/>
      <c r="AL492" s="2"/>
      <c r="AM492" s="2"/>
      <c r="AN492" s="2"/>
      <c r="AO492" s="2"/>
      <c r="AP492" s="2"/>
      <c r="AQ492" s="364"/>
      <c r="AR492" s="577"/>
      <c r="AS492" s="364"/>
      <c r="AT492" s="577"/>
      <c r="AU492" s="364"/>
      <c r="AV492" s="364"/>
      <c r="AW492" s="364"/>
      <c r="AX492" s="364"/>
      <c r="AY492" s="577"/>
      <c r="AZ492" s="577"/>
      <c r="BA492" s="577"/>
      <c r="BB492" s="926"/>
      <c r="BC492" s="364"/>
      <c r="BD492" s="364"/>
      <c r="BE492" s="577"/>
      <c r="BF492" s="364"/>
      <c r="BG492" s="384"/>
      <c r="BH492" s="577"/>
      <c r="BI492" s="364"/>
      <c r="BJ492" s="364"/>
      <c r="BK492" s="364"/>
      <c r="BL492" s="364"/>
      <c r="BM492" s="384"/>
      <c r="BN492" s="364"/>
      <c r="BO492" s="364"/>
      <c r="BP492" s="364"/>
      <c r="BQ492" s="388"/>
      <c r="BR492" s="388"/>
      <c r="BS492" s="388"/>
      <c r="BT492" s="388"/>
      <c r="BU492" s="384"/>
      <c r="BV492" s="384"/>
      <c r="BW492" s="387"/>
      <c r="BX492" s="387"/>
      <c r="BY492" s="388"/>
      <c r="BZ492" s="388"/>
      <c r="CA492" s="388"/>
      <c r="CB492" s="387"/>
      <c r="CC492" s="387"/>
      <c r="CE492" s="2"/>
      <c r="CF492" s="2"/>
      <c r="CG492" s="2"/>
      <c r="CH492" s="2"/>
      <c r="CI492" s="2"/>
      <c r="CJ492" s="2"/>
      <c r="CK492" s="2"/>
      <c r="CL492" s="2"/>
      <c r="CM492" s="2"/>
      <c r="CN492" s="2"/>
      <c r="CO492" s="2"/>
      <c r="CP492" s="2"/>
      <c r="CQ492" s="2"/>
      <c r="CR492" s="2"/>
      <c r="CS492" s="364"/>
      <c r="CT492" s="364"/>
      <c r="CU492" s="364"/>
      <c r="CV492" s="407"/>
      <c r="CW492" s="407"/>
      <c r="CX492" s="407"/>
      <c r="CY492" s="407"/>
      <c r="CZ492" s="404"/>
      <c r="DA492" s="404"/>
      <c r="DB492" s="404"/>
      <c r="DC492" s="404"/>
      <c r="DD492" s="407"/>
      <c r="DE492" s="407"/>
      <c r="DF492" s="407"/>
      <c r="DG492" s="407"/>
      <c r="DH492" s="407"/>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row>
    <row r="493" spans="1:150" s="357" customFormat="1">
      <c r="A493" s="364"/>
      <c r="B493" s="678"/>
      <c r="C493" s="364"/>
      <c r="D493" s="364"/>
      <c r="E493" s="678"/>
      <c r="F493" s="678"/>
      <c r="G493" s="678"/>
      <c r="H493" s="364"/>
      <c r="I493" s="364"/>
      <c r="J493" s="364"/>
      <c r="K493" s="364"/>
      <c r="L493" s="786"/>
      <c r="M493" s="364"/>
      <c r="N493" s="364"/>
      <c r="O493" s="364"/>
      <c r="P493" s="364"/>
      <c r="Q493" s="364"/>
      <c r="R493" s="364"/>
      <c r="S493" s="364"/>
      <c r="T493" s="364"/>
      <c r="U493" s="364"/>
      <c r="V493" s="365"/>
      <c r="W493" s="367"/>
      <c r="X493" s="3"/>
      <c r="Y493" s="366"/>
      <c r="Z493" s="678"/>
      <c r="AA493" s="796"/>
      <c r="AB493" s="796"/>
      <c r="AC493" s="705"/>
      <c r="AD493" s="705"/>
      <c r="AE493" s="705"/>
      <c r="AF493" s="362"/>
      <c r="AG493" s="362"/>
      <c r="AH493" s="362"/>
      <c r="AI493" s="362"/>
      <c r="AJ493" s="2"/>
      <c r="AK493" s="2"/>
      <c r="AL493" s="2"/>
      <c r="AM493" s="2"/>
      <c r="AN493" s="2"/>
      <c r="AO493" s="2"/>
      <c r="AP493" s="2"/>
      <c r="AQ493" s="364"/>
      <c r="AR493" s="577"/>
      <c r="AS493" s="364"/>
      <c r="AT493" s="577"/>
      <c r="AU493" s="364"/>
      <c r="AV493" s="364"/>
      <c r="AW493" s="364"/>
      <c r="AX493" s="364"/>
      <c r="AY493" s="577"/>
      <c r="AZ493" s="577"/>
      <c r="BA493" s="577"/>
      <c r="BB493" s="926"/>
      <c r="BC493" s="364"/>
      <c r="BD493" s="364"/>
      <c r="BE493" s="577"/>
      <c r="BF493" s="364"/>
      <c r="BG493" s="384"/>
      <c r="BH493" s="577"/>
      <c r="BI493" s="364"/>
      <c r="BJ493" s="364"/>
      <c r="BK493" s="364"/>
      <c r="BL493" s="364"/>
      <c r="BM493" s="384"/>
      <c r="BN493" s="364"/>
      <c r="BO493" s="364"/>
      <c r="BP493" s="364"/>
      <c r="BQ493" s="388"/>
      <c r="BR493" s="388"/>
      <c r="BS493" s="388"/>
      <c r="BT493" s="388"/>
      <c r="BU493" s="384"/>
      <c r="BV493" s="384"/>
      <c r="BW493" s="387"/>
      <c r="BX493" s="387"/>
      <c r="BY493" s="388"/>
      <c r="BZ493" s="388"/>
      <c r="CA493" s="388"/>
      <c r="CB493" s="387"/>
      <c r="CC493" s="387"/>
      <c r="CE493" s="2"/>
      <c r="CF493" s="2"/>
      <c r="CG493" s="2"/>
      <c r="CH493" s="2"/>
      <c r="CI493" s="2"/>
      <c r="CJ493" s="2"/>
      <c r="CK493" s="2"/>
      <c r="CL493" s="2"/>
      <c r="CM493" s="2"/>
      <c r="CN493" s="2"/>
      <c r="CO493" s="2"/>
      <c r="CP493" s="2"/>
      <c r="CQ493" s="2"/>
      <c r="CR493" s="2"/>
      <c r="CS493" s="364"/>
      <c r="CT493" s="364"/>
      <c r="CU493" s="364"/>
      <c r="CV493" s="407"/>
      <c r="CW493" s="407"/>
      <c r="CX493" s="407"/>
      <c r="CY493" s="407"/>
      <c r="CZ493" s="404"/>
      <c r="DA493" s="404"/>
      <c r="DB493" s="404"/>
      <c r="DC493" s="404"/>
      <c r="DD493" s="407"/>
      <c r="DE493" s="407"/>
      <c r="DF493" s="407"/>
      <c r="DG493" s="407"/>
      <c r="DH493" s="407"/>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row>
    <row r="494" spans="1:150" s="357" customFormat="1">
      <c r="A494" s="364"/>
      <c r="B494" s="678"/>
      <c r="C494" s="364"/>
      <c r="D494" s="364"/>
      <c r="E494" s="678"/>
      <c r="F494" s="678"/>
      <c r="G494" s="678"/>
      <c r="H494" s="364"/>
      <c r="I494" s="364"/>
      <c r="J494" s="364"/>
      <c r="K494" s="364"/>
      <c r="L494" s="786"/>
      <c r="M494" s="364"/>
      <c r="N494" s="364"/>
      <c r="O494" s="364"/>
      <c r="P494" s="364"/>
      <c r="Q494" s="364"/>
      <c r="R494" s="364"/>
      <c r="S494" s="364"/>
      <c r="T494" s="364"/>
      <c r="U494" s="364"/>
      <c r="V494" s="365"/>
      <c r="W494" s="367"/>
      <c r="X494" s="3"/>
      <c r="Y494" s="366"/>
      <c r="Z494" s="678"/>
      <c r="AA494" s="796"/>
      <c r="AB494" s="796"/>
      <c r="AC494" s="705"/>
      <c r="AD494" s="705"/>
      <c r="AE494" s="705"/>
      <c r="AF494" s="362"/>
      <c r="AG494" s="362"/>
      <c r="AH494" s="362"/>
      <c r="AI494" s="362"/>
      <c r="AJ494" s="2"/>
      <c r="AK494" s="2"/>
      <c r="AL494" s="2"/>
      <c r="AM494" s="2"/>
      <c r="AN494" s="2"/>
      <c r="AO494" s="2"/>
      <c r="AP494" s="2"/>
      <c r="AQ494" s="364"/>
      <c r="AR494" s="577"/>
      <c r="AS494" s="364"/>
      <c r="AT494" s="577"/>
      <c r="AU494" s="364"/>
      <c r="AV494" s="364"/>
      <c r="AW494" s="364"/>
      <c r="AX494" s="364"/>
      <c r="AY494" s="577"/>
      <c r="AZ494" s="577"/>
      <c r="BA494" s="577"/>
      <c r="BB494" s="926"/>
      <c r="BC494" s="364"/>
      <c r="BD494" s="364"/>
      <c r="BE494" s="577"/>
      <c r="BF494" s="364"/>
      <c r="BG494" s="384"/>
      <c r="BH494" s="577"/>
      <c r="BI494" s="364"/>
      <c r="BJ494" s="364"/>
      <c r="BK494" s="364"/>
      <c r="BL494" s="364"/>
      <c r="BM494" s="384"/>
      <c r="BN494" s="364"/>
      <c r="BO494" s="364"/>
      <c r="BP494" s="364"/>
      <c r="BQ494" s="388"/>
      <c r="BR494" s="388"/>
      <c r="BS494" s="388"/>
      <c r="BT494" s="388"/>
      <c r="BU494" s="384"/>
      <c r="BV494" s="384"/>
      <c r="BW494" s="387"/>
      <c r="BX494" s="387"/>
      <c r="BY494" s="388"/>
      <c r="BZ494" s="388"/>
      <c r="CA494" s="388"/>
      <c r="CB494" s="387"/>
      <c r="CC494" s="387"/>
      <c r="CE494" s="2"/>
      <c r="CF494" s="2"/>
      <c r="CG494" s="2"/>
      <c r="CH494" s="2"/>
      <c r="CI494" s="2"/>
      <c r="CJ494" s="2"/>
      <c r="CK494" s="2"/>
      <c r="CL494" s="2"/>
      <c r="CM494" s="2"/>
      <c r="CN494" s="2"/>
      <c r="CO494" s="2"/>
      <c r="CP494" s="2"/>
      <c r="CQ494" s="2"/>
      <c r="CR494" s="2"/>
      <c r="CS494" s="364"/>
      <c r="CT494" s="364"/>
      <c r="CU494" s="364"/>
      <c r="CV494" s="407"/>
      <c r="CW494" s="407"/>
      <c r="CX494" s="407"/>
      <c r="CY494" s="407"/>
      <c r="CZ494" s="404"/>
      <c r="DA494" s="404"/>
      <c r="DB494" s="404"/>
      <c r="DC494" s="404"/>
      <c r="DD494" s="407"/>
      <c r="DE494" s="407"/>
      <c r="DF494" s="407"/>
      <c r="DG494" s="407"/>
      <c r="DH494" s="407"/>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row>
    <row r="495" spans="1:150" s="357" customFormat="1">
      <c r="A495" s="364"/>
      <c r="B495" s="678"/>
      <c r="C495" s="364"/>
      <c r="D495" s="364"/>
      <c r="E495" s="678"/>
      <c r="F495" s="678"/>
      <c r="G495" s="678"/>
      <c r="H495" s="364"/>
      <c r="I495" s="364"/>
      <c r="J495" s="364"/>
      <c r="K495" s="364"/>
      <c r="L495" s="786"/>
      <c r="M495" s="364"/>
      <c r="N495" s="364"/>
      <c r="O495" s="364"/>
      <c r="P495" s="364"/>
      <c r="Q495" s="364"/>
      <c r="R495" s="364"/>
      <c r="S495" s="364"/>
      <c r="T495" s="364"/>
      <c r="U495" s="364"/>
      <c r="V495" s="365"/>
      <c r="W495" s="367"/>
      <c r="X495" s="3"/>
      <c r="Y495" s="366"/>
      <c r="Z495" s="678"/>
      <c r="AA495" s="796"/>
      <c r="AB495" s="796"/>
      <c r="AC495" s="705"/>
      <c r="AD495" s="705"/>
      <c r="AE495" s="705"/>
      <c r="AF495" s="362"/>
      <c r="AG495" s="362"/>
      <c r="AH495" s="362"/>
      <c r="AI495" s="362"/>
      <c r="AJ495" s="2"/>
      <c r="AK495" s="2"/>
      <c r="AL495" s="2"/>
      <c r="AM495" s="2"/>
      <c r="AN495" s="2"/>
      <c r="AO495" s="2"/>
      <c r="AP495" s="2"/>
      <c r="AQ495" s="364"/>
      <c r="AR495" s="577"/>
      <c r="AS495" s="364"/>
      <c r="AT495" s="577"/>
      <c r="AU495" s="364"/>
      <c r="AV495" s="364"/>
      <c r="AW495" s="364"/>
      <c r="AX495" s="364"/>
      <c r="AY495" s="577"/>
      <c r="AZ495" s="577"/>
      <c r="BA495" s="577"/>
      <c r="BB495" s="926"/>
      <c r="BC495" s="364"/>
      <c r="BD495" s="364"/>
      <c r="BE495" s="577"/>
      <c r="BF495" s="364"/>
      <c r="BG495" s="384"/>
      <c r="BH495" s="577"/>
      <c r="BI495" s="364"/>
      <c r="BJ495" s="364"/>
      <c r="BK495" s="364"/>
      <c r="BL495" s="364"/>
      <c r="BM495" s="384"/>
      <c r="BN495" s="364"/>
      <c r="BO495" s="364"/>
      <c r="BP495" s="364"/>
      <c r="BQ495" s="388"/>
      <c r="BR495" s="388"/>
      <c r="BS495" s="388"/>
      <c r="BT495" s="388"/>
      <c r="BU495" s="384"/>
      <c r="BV495" s="384"/>
      <c r="BW495" s="387"/>
      <c r="BX495" s="387"/>
      <c r="BY495" s="388"/>
      <c r="BZ495" s="388"/>
      <c r="CA495" s="388"/>
      <c r="CB495" s="387"/>
      <c r="CC495" s="387"/>
      <c r="CE495" s="2"/>
      <c r="CF495" s="2"/>
      <c r="CG495" s="2"/>
      <c r="CH495" s="2"/>
      <c r="CI495" s="2"/>
      <c r="CJ495" s="2"/>
      <c r="CK495" s="2"/>
      <c r="CL495" s="2"/>
      <c r="CM495" s="2"/>
      <c r="CN495" s="2"/>
      <c r="CO495" s="2"/>
      <c r="CP495" s="2"/>
      <c r="CQ495" s="2"/>
      <c r="CR495" s="2"/>
      <c r="CS495" s="364"/>
      <c r="CT495" s="364"/>
      <c r="CU495" s="364"/>
      <c r="CV495" s="407"/>
      <c r="CW495" s="407"/>
      <c r="CX495" s="407"/>
      <c r="CY495" s="407"/>
      <c r="CZ495" s="404"/>
      <c r="DA495" s="404"/>
      <c r="DB495" s="404"/>
      <c r="DC495" s="404"/>
      <c r="DD495" s="407"/>
      <c r="DE495" s="407"/>
      <c r="DF495" s="407"/>
      <c r="DG495" s="407"/>
      <c r="DH495" s="407"/>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row>
    <row r="496" spans="1:150" s="357" customFormat="1">
      <c r="A496" s="364"/>
      <c r="B496" s="678"/>
      <c r="C496" s="364"/>
      <c r="D496" s="364"/>
      <c r="E496" s="678"/>
      <c r="F496" s="678"/>
      <c r="G496" s="678"/>
      <c r="H496" s="364"/>
      <c r="I496" s="364"/>
      <c r="J496" s="364"/>
      <c r="K496" s="364"/>
      <c r="L496" s="786"/>
      <c r="M496" s="364"/>
      <c r="N496" s="364"/>
      <c r="O496" s="364"/>
      <c r="P496" s="364"/>
      <c r="Q496" s="364"/>
      <c r="R496" s="364"/>
      <c r="S496" s="364"/>
      <c r="T496" s="364"/>
      <c r="U496" s="364"/>
      <c r="V496" s="365"/>
      <c r="W496" s="367"/>
      <c r="X496" s="3"/>
      <c r="Y496" s="366"/>
      <c r="Z496" s="678"/>
      <c r="AA496" s="796"/>
      <c r="AB496" s="796"/>
      <c r="AC496" s="705"/>
      <c r="AD496" s="705"/>
      <c r="AE496" s="705"/>
      <c r="AF496" s="362"/>
      <c r="AG496" s="362"/>
      <c r="AH496" s="362"/>
      <c r="AI496" s="362"/>
      <c r="AJ496" s="2"/>
      <c r="AK496" s="2"/>
      <c r="AL496" s="2"/>
      <c r="AM496" s="2"/>
      <c r="AN496" s="2"/>
      <c r="AO496" s="2"/>
      <c r="AP496" s="2"/>
      <c r="AQ496" s="364"/>
      <c r="AR496" s="577"/>
      <c r="AS496" s="364"/>
      <c r="AT496" s="577"/>
      <c r="AU496" s="364"/>
      <c r="AV496" s="364"/>
      <c r="AW496" s="364"/>
      <c r="AX496" s="364"/>
      <c r="AY496" s="577"/>
      <c r="AZ496" s="577"/>
      <c r="BA496" s="577"/>
      <c r="BB496" s="926"/>
      <c r="BC496" s="364"/>
      <c r="BD496" s="364"/>
      <c r="BE496" s="577"/>
      <c r="BF496" s="364"/>
      <c r="BG496" s="384"/>
      <c r="BH496" s="577"/>
      <c r="BI496" s="364"/>
      <c r="BJ496" s="364"/>
      <c r="BK496" s="364"/>
      <c r="BL496" s="364"/>
      <c r="BM496" s="384"/>
      <c r="BN496" s="364"/>
      <c r="BO496" s="364"/>
      <c r="BP496" s="364"/>
      <c r="BQ496" s="388"/>
      <c r="BR496" s="388"/>
      <c r="BS496" s="388"/>
      <c r="BT496" s="388"/>
      <c r="BU496" s="384"/>
      <c r="BV496" s="384"/>
      <c r="BW496" s="387"/>
      <c r="BX496" s="387"/>
      <c r="BY496" s="388"/>
      <c r="BZ496" s="388"/>
      <c r="CA496" s="388"/>
      <c r="CB496" s="387"/>
      <c r="CC496" s="387"/>
      <c r="CE496" s="2"/>
      <c r="CF496" s="2"/>
      <c r="CG496" s="2"/>
      <c r="CH496" s="2"/>
      <c r="CI496" s="2"/>
      <c r="CJ496" s="2"/>
      <c r="CK496" s="2"/>
      <c r="CL496" s="2"/>
      <c r="CM496" s="2"/>
      <c r="CN496" s="2"/>
      <c r="CO496" s="2"/>
      <c r="CP496" s="2"/>
      <c r="CQ496" s="2"/>
      <c r="CR496" s="2"/>
      <c r="CS496" s="364"/>
      <c r="CT496" s="364"/>
      <c r="CU496" s="364"/>
      <c r="CV496" s="407"/>
      <c r="CW496" s="407"/>
      <c r="CX496" s="407"/>
      <c r="CY496" s="407"/>
      <c r="CZ496" s="404"/>
      <c r="DA496" s="404"/>
      <c r="DB496" s="404"/>
      <c r="DC496" s="404"/>
      <c r="DD496" s="407"/>
      <c r="DE496" s="407"/>
      <c r="DF496" s="407"/>
      <c r="DG496" s="407"/>
      <c r="DH496" s="407"/>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row>
    <row r="497" spans="1:150" s="357" customFormat="1">
      <c r="A497" s="364"/>
      <c r="B497" s="678"/>
      <c r="C497" s="364"/>
      <c r="D497" s="364"/>
      <c r="E497" s="678"/>
      <c r="F497" s="678"/>
      <c r="G497" s="678"/>
      <c r="H497" s="364"/>
      <c r="I497" s="364"/>
      <c r="J497" s="364"/>
      <c r="K497" s="364"/>
      <c r="L497" s="786"/>
      <c r="M497" s="364"/>
      <c r="N497" s="364"/>
      <c r="O497" s="364"/>
      <c r="P497" s="364"/>
      <c r="Q497" s="364"/>
      <c r="R497" s="364"/>
      <c r="S497" s="364"/>
      <c r="T497" s="364"/>
      <c r="U497" s="364"/>
      <c r="V497" s="365"/>
      <c r="W497" s="367"/>
      <c r="X497" s="3"/>
      <c r="Y497" s="366"/>
      <c r="Z497" s="678"/>
      <c r="AA497" s="796"/>
      <c r="AB497" s="796"/>
      <c r="AC497" s="705"/>
      <c r="AD497" s="705"/>
      <c r="AE497" s="705"/>
      <c r="AF497" s="362"/>
      <c r="AG497" s="362"/>
      <c r="AH497" s="362"/>
      <c r="AI497" s="362"/>
      <c r="AJ497" s="2"/>
      <c r="AK497" s="2"/>
      <c r="AL497" s="2"/>
      <c r="AM497" s="2"/>
      <c r="AN497" s="2"/>
      <c r="AO497" s="2"/>
      <c r="AP497" s="2"/>
      <c r="AQ497" s="364"/>
      <c r="AR497" s="577"/>
      <c r="AS497" s="364"/>
      <c r="AT497" s="577"/>
      <c r="AU497" s="364"/>
      <c r="AV497" s="364"/>
      <c r="AW497" s="364"/>
      <c r="AX497" s="364"/>
      <c r="AY497" s="577"/>
      <c r="AZ497" s="577"/>
      <c r="BA497" s="577"/>
      <c r="BB497" s="926"/>
      <c r="BC497" s="364"/>
      <c r="BD497" s="364"/>
      <c r="BE497" s="577"/>
      <c r="BF497" s="364"/>
      <c r="BG497" s="384"/>
      <c r="BH497" s="577"/>
      <c r="BI497" s="364"/>
      <c r="BJ497" s="364"/>
      <c r="BK497" s="364"/>
      <c r="BL497" s="364"/>
      <c r="BM497" s="384"/>
      <c r="BN497" s="364"/>
      <c r="BO497" s="364"/>
      <c r="BP497" s="364"/>
      <c r="BQ497" s="388"/>
      <c r="BR497" s="388"/>
      <c r="BS497" s="388"/>
      <c r="BT497" s="388"/>
      <c r="BU497" s="384"/>
      <c r="BV497" s="384"/>
      <c r="BW497" s="387"/>
      <c r="BX497" s="387"/>
      <c r="BY497" s="388"/>
      <c r="BZ497" s="388"/>
      <c r="CA497" s="388"/>
      <c r="CB497" s="387"/>
      <c r="CC497" s="387"/>
      <c r="CE497" s="2"/>
      <c r="CF497" s="2"/>
      <c r="CG497" s="2"/>
      <c r="CH497" s="2"/>
      <c r="CI497" s="2"/>
      <c r="CJ497" s="2"/>
      <c r="CK497" s="2"/>
      <c r="CL497" s="2"/>
      <c r="CM497" s="2"/>
      <c r="CN497" s="2"/>
      <c r="CO497" s="2"/>
      <c r="CP497" s="2"/>
      <c r="CQ497" s="2"/>
      <c r="CR497" s="2"/>
      <c r="CS497" s="364"/>
      <c r="CT497" s="364"/>
      <c r="CU497" s="364"/>
      <c r="CV497" s="407"/>
      <c r="CW497" s="407"/>
      <c r="CX497" s="407"/>
      <c r="CY497" s="407"/>
      <c r="CZ497" s="404"/>
      <c r="DA497" s="404"/>
      <c r="DB497" s="404"/>
      <c r="DC497" s="404"/>
      <c r="DD497" s="407"/>
      <c r="DE497" s="407"/>
      <c r="DF497" s="407"/>
      <c r="DG497" s="407"/>
      <c r="DH497" s="407"/>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row>
    <row r="498" spans="1:150" s="357" customFormat="1">
      <c r="A498" s="364"/>
      <c r="B498" s="678"/>
      <c r="C498" s="364"/>
      <c r="D498" s="364"/>
      <c r="E498" s="678"/>
      <c r="F498" s="678"/>
      <c r="G498" s="678"/>
      <c r="H498" s="364"/>
      <c r="I498" s="364"/>
      <c r="J498" s="364"/>
      <c r="K498" s="364"/>
      <c r="L498" s="786"/>
      <c r="M498" s="364"/>
      <c r="N498" s="364"/>
      <c r="O498" s="364"/>
      <c r="P498" s="364"/>
      <c r="Q498" s="364"/>
      <c r="R498" s="364"/>
      <c r="S498" s="364"/>
      <c r="T498" s="364"/>
      <c r="U498" s="364"/>
      <c r="V498" s="365"/>
      <c r="W498" s="367"/>
      <c r="X498" s="3"/>
      <c r="Y498" s="366"/>
      <c r="Z498" s="678"/>
      <c r="AA498" s="796"/>
      <c r="AB498" s="796"/>
      <c r="AC498" s="705"/>
      <c r="AD498" s="705"/>
      <c r="AE498" s="705"/>
      <c r="AF498" s="362"/>
      <c r="AG498" s="362"/>
      <c r="AH498" s="362"/>
      <c r="AI498" s="362"/>
      <c r="AJ498" s="2"/>
      <c r="AK498" s="2"/>
      <c r="AL498" s="2"/>
      <c r="AM498" s="2"/>
      <c r="AN498" s="2"/>
      <c r="AO498" s="2"/>
      <c r="AP498" s="2"/>
      <c r="AQ498" s="364"/>
      <c r="AR498" s="577"/>
      <c r="AS498" s="364"/>
      <c r="AT498" s="577"/>
      <c r="AU498" s="364"/>
      <c r="AV498" s="364"/>
      <c r="AW498" s="364"/>
      <c r="AX498" s="364"/>
      <c r="AY498" s="577"/>
      <c r="AZ498" s="577"/>
      <c r="BA498" s="577"/>
      <c r="BB498" s="926"/>
      <c r="BC498" s="364"/>
      <c r="BD498" s="364"/>
      <c r="BE498" s="577"/>
      <c r="BF498" s="364"/>
      <c r="BG498" s="384"/>
      <c r="BH498" s="577"/>
      <c r="BI498" s="364"/>
      <c r="BJ498" s="364"/>
      <c r="BK498" s="364"/>
      <c r="BL498" s="364"/>
      <c r="BM498" s="384"/>
      <c r="BN498" s="364"/>
      <c r="BO498" s="364"/>
      <c r="BP498" s="364"/>
      <c r="BQ498" s="388"/>
      <c r="BR498" s="388"/>
      <c r="BS498" s="388"/>
      <c r="BT498" s="388"/>
      <c r="BU498" s="384"/>
      <c r="BV498" s="384"/>
      <c r="BW498" s="387"/>
      <c r="BX498" s="387"/>
      <c r="BY498" s="388"/>
      <c r="BZ498" s="388"/>
      <c r="CA498" s="388"/>
      <c r="CB498" s="387"/>
      <c r="CC498" s="387"/>
      <c r="CE498" s="2"/>
      <c r="CF498" s="2"/>
      <c r="CG498" s="2"/>
      <c r="CH498" s="2"/>
      <c r="CI498" s="2"/>
      <c r="CJ498" s="2"/>
      <c r="CK498" s="2"/>
      <c r="CL498" s="2"/>
      <c r="CM498" s="2"/>
      <c r="CN498" s="2"/>
      <c r="CO498" s="2"/>
      <c r="CP498" s="2"/>
      <c r="CQ498" s="2"/>
      <c r="CR498" s="2"/>
      <c r="CS498" s="364"/>
      <c r="CT498" s="364"/>
      <c r="CU498" s="364"/>
      <c r="CV498" s="407"/>
      <c r="CW498" s="407"/>
      <c r="CX498" s="407"/>
      <c r="CY498" s="407"/>
      <c r="CZ498" s="404"/>
      <c r="DA498" s="404"/>
      <c r="DB498" s="404"/>
      <c r="DC498" s="404"/>
      <c r="DD498" s="407"/>
      <c r="DE498" s="407"/>
      <c r="DF498" s="407"/>
      <c r="DG498" s="407"/>
      <c r="DH498" s="407"/>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row>
    <row r="499" spans="1:150" s="357" customFormat="1">
      <c r="A499" s="364"/>
      <c r="B499" s="678"/>
      <c r="C499" s="364"/>
      <c r="D499" s="364"/>
      <c r="E499" s="678"/>
      <c r="F499" s="678"/>
      <c r="G499" s="678"/>
      <c r="H499" s="364"/>
      <c r="I499" s="364"/>
      <c r="J499" s="364"/>
      <c r="K499" s="364"/>
      <c r="L499" s="786"/>
      <c r="M499" s="364"/>
      <c r="N499" s="364"/>
      <c r="O499" s="364"/>
      <c r="P499" s="364"/>
      <c r="Q499" s="364"/>
      <c r="R499" s="364"/>
      <c r="S499" s="364"/>
      <c r="T499" s="364"/>
      <c r="U499" s="364"/>
      <c r="V499" s="365"/>
      <c r="W499" s="367"/>
      <c r="X499" s="3"/>
      <c r="Y499" s="366"/>
      <c r="Z499" s="678"/>
      <c r="AA499" s="796"/>
      <c r="AB499" s="796"/>
      <c r="AC499" s="705"/>
      <c r="AD499" s="705"/>
      <c r="AE499" s="705"/>
      <c r="AF499" s="362"/>
      <c r="AG499" s="362"/>
      <c r="AH499" s="362"/>
      <c r="AI499" s="362"/>
      <c r="AJ499" s="2"/>
      <c r="AK499" s="2"/>
      <c r="AL499" s="2"/>
      <c r="AM499" s="2"/>
      <c r="AN499" s="2"/>
      <c r="AO499" s="2"/>
      <c r="AP499" s="2"/>
      <c r="AQ499" s="364"/>
      <c r="AR499" s="577"/>
      <c r="AS499" s="364"/>
      <c r="AT499" s="577"/>
      <c r="AU499" s="364"/>
      <c r="AV499" s="364"/>
      <c r="AW499" s="364"/>
      <c r="AX499" s="364"/>
      <c r="AY499" s="577"/>
      <c r="AZ499" s="577"/>
      <c r="BA499" s="577"/>
      <c r="BB499" s="926"/>
      <c r="BC499" s="364"/>
      <c r="BD499" s="364"/>
      <c r="BE499" s="577"/>
      <c r="BF499" s="364"/>
      <c r="BG499" s="384"/>
      <c r="BH499" s="577"/>
      <c r="BI499" s="364"/>
      <c r="BJ499" s="364"/>
      <c r="BK499" s="364"/>
      <c r="BL499" s="364"/>
      <c r="BM499" s="384"/>
      <c r="BN499" s="364"/>
      <c r="BO499" s="364"/>
      <c r="BP499" s="364"/>
      <c r="BQ499" s="388"/>
      <c r="BR499" s="388"/>
      <c r="BS499" s="388"/>
      <c r="BT499" s="388"/>
      <c r="BU499" s="384"/>
      <c r="BV499" s="384"/>
      <c r="BW499" s="387"/>
      <c r="BX499" s="387"/>
      <c r="BY499" s="388"/>
      <c r="BZ499" s="388"/>
      <c r="CA499" s="388"/>
      <c r="CB499" s="387"/>
      <c r="CC499" s="387"/>
      <c r="CE499" s="2"/>
      <c r="CF499" s="2"/>
      <c r="CG499" s="2"/>
      <c r="CH499" s="2"/>
      <c r="CI499" s="2"/>
      <c r="CJ499" s="2"/>
      <c r="CK499" s="2"/>
      <c r="CL499" s="2"/>
      <c r="CM499" s="2"/>
      <c r="CN499" s="2"/>
      <c r="CO499" s="2"/>
      <c r="CP499" s="2"/>
      <c r="CQ499" s="2"/>
      <c r="CR499" s="2"/>
      <c r="CS499" s="364"/>
      <c r="CT499" s="364"/>
      <c r="CU499" s="364"/>
      <c r="CV499" s="407"/>
      <c r="CW499" s="407"/>
      <c r="CX499" s="407"/>
      <c r="CY499" s="407"/>
      <c r="CZ499" s="404"/>
      <c r="DA499" s="404"/>
      <c r="DB499" s="404"/>
      <c r="DC499" s="404"/>
      <c r="DD499" s="407"/>
      <c r="DE499" s="407"/>
      <c r="DF499" s="407"/>
      <c r="DG499" s="407"/>
      <c r="DH499" s="407"/>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row>
    <row r="500" spans="1:150" s="357" customFormat="1">
      <c r="A500" s="364"/>
      <c r="B500" s="678"/>
      <c r="C500" s="364"/>
      <c r="D500" s="364"/>
      <c r="E500" s="678"/>
      <c r="F500" s="678"/>
      <c r="G500" s="678"/>
      <c r="H500" s="364"/>
      <c r="I500" s="364"/>
      <c r="J500" s="364"/>
      <c r="K500" s="364"/>
      <c r="L500" s="786"/>
      <c r="M500" s="364"/>
      <c r="N500" s="364"/>
      <c r="O500" s="364"/>
      <c r="P500" s="364"/>
      <c r="Q500" s="364"/>
      <c r="R500" s="364"/>
      <c r="S500" s="364"/>
      <c r="T500" s="364"/>
      <c r="U500" s="364"/>
      <c r="V500" s="365"/>
      <c r="W500" s="367"/>
      <c r="X500" s="3"/>
      <c r="Y500" s="366"/>
      <c r="Z500" s="678"/>
      <c r="AA500" s="796"/>
      <c r="AB500" s="796"/>
      <c r="AC500" s="705"/>
      <c r="AD500" s="705"/>
      <c r="AE500" s="705"/>
      <c r="AF500" s="362"/>
      <c r="AG500" s="362"/>
      <c r="AH500" s="362"/>
      <c r="AI500" s="362"/>
      <c r="AJ500" s="2"/>
      <c r="AK500" s="2"/>
      <c r="AL500" s="2"/>
      <c r="AM500" s="2"/>
      <c r="AN500" s="2"/>
      <c r="AO500" s="2"/>
      <c r="AP500" s="2"/>
      <c r="AQ500" s="364"/>
      <c r="AR500" s="577"/>
      <c r="AS500" s="364"/>
      <c r="AT500" s="577"/>
      <c r="AU500" s="364"/>
      <c r="AV500" s="364"/>
      <c r="AW500" s="364"/>
      <c r="AX500" s="364"/>
      <c r="AY500" s="577"/>
      <c r="AZ500" s="577"/>
      <c r="BA500" s="577"/>
      <c r="BB500" s="926"/>
      <c r="BC500" s="364"/>
      <c r="BD500" s="364"/>
      <c r="BE500" s="577"/>
      <c r="BF500" s="364"/>
      <c r="BG500" s="384"/>
      <c r="BH500" s="577"/>
      <c r="BI500" s="364"/>
      <c r="BJ500" s="364"/>
      <c r="BK500" s="364"/>
      <c r="BL500" s="364"/>
      <c r="BM500" s="384"/>
      <c r="BN500" s="364"/>
      <c r="BO500" s="364"/>
      <c r="BP500" s="364"/>
      <c r="BQ500" s="388"/>
      <c r="BR500" s="388"/>
      <c r="BS500" s="388"/>
      <c r="BT500" s="388"/>
      <c r="BU500" s="384"/>
      <c r="BV500" s="384"/>
      <c r="BW500" s="387"/>
      <c r="BX500" s="387"/>
      <c r="BY500" s="388"/>
      <c r="BZ500" s="388"/>
      <c r="CA500" s="388"/>
      <c r="CB500" s="387"/>
      <c r="CC500" s="387"/>
      <c r="CE500" s="2"/>
      <c r="CF500" s="2"/>
      <c r="CG500" s="2"/>
      <c r="CH500" s="2"/>
      <c r="CI500" s="2"/>
      <c r="CJ500" s="2"/>
      <c r="CK500" s="2"/>
      <c r="CL500" s="2"/>
      <c r="CM500" s="2"/>
      <c r="CN500" s="2"/>
      <c r="CO500" s="2"/>
      <c r="CP500" s="2"/>
      <c r="CQ500" s="2"/>
      <c r="CR500" s="2"/>
      <c r="CS500" s="364"/>
      <c r="CT500" s="364"/>
      <c r="CU500" s="364"/>
      <c r="CV500" s="407"/>
      <c r="CW500" s="407"/>
      <c r="CX500" s="407"/>
      <c r="CY500" s="407"/>
      <c r="CZ500" s="404"/>
      <c r="DA500" s="404"/>
      <c r="DB500" s="404"/>
      <c r="DC500" s="404"/>
      <c r="DD500" s="407"/>
      <c r="DE500" s="407"/>
      <c r="DF500" s="407"/>
      <c r="DG500" s="407"/>
      <c r="DH500" s="407"/>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row>
    <row r="501" spans="1:150" s="357" customFormat="1">
      <c r="A501" s="364"/>
      <c r="B501" s="678"/>
      <c r="C501" s="364"/>
      <c r="D501" s="364"/>
      <c r="E501" s="678"/>
      <c r="F501" s="678"/>
      <c r="G501" s="678"/>
      <c r="H501" s="364"/>
      <c r="I501" s="364"/>
      <c r="J501" s="364"/>
      <c r="K501" s="364"/>
      <c r="L501" s="786"/>
      <c r="M501" s="364"/>
      <c r="N501" s="364"/>
      <c r="O501" s="364"/>
      <c r="P501" s="364"/>
      <c r="Q501" s="364"/>
      <c r="R501" s="364"/>
      <c r="S501" s="364"/>
      <c r="T501" s="364"/>
      <c r="U501" s="364"/>
      <c r="V501" s="365"/>
      <c r="W501" s="367"/>
      <c r="X501" s="3"/>
      <c r="Y501" s="366"/>
      <c r="Z501" s="678"/>
      <c r="AA501" s="796"/>
      <c r="AB501" s="796"/>
      <c r="AC501" s="705"/>
      <c r="AD501" s="705"/>
      <c r="AE501" s="705"/>
      <c r="AF501" s="362"/>
      <c r="AG501" s="362"/>
      <c r="AH501" s="362"/>
      <c r="AI501" s="362"/>
      <c r="AJ501" s="2"/>
      <c r="AK501" s="2"/>
      <c r="AL501" s="2"/>
      <c r="AM501" s="2"/>
      <c r="AN501" s="2"/>
      <c r="AO501" s="2"/>
      <c r="AP501" s="2"/>
      <c r="AQ501" s="364"/>
      <c r="AR501" s="577"/>
      <c r="AS501" s="364"/>
      <c r="AT501" s="577"/>
      <c r="AU501" s="364"/>
      <c r="AV501" s="364"/>
      <c r="AW501" s="364"/>
      <c r="AX501" s="364"/>
      <c r="AY501" s="577"/>
      <c r="AZ501" s="577"/>
      <c r="BA501" s="577"/>
      <c r="BB501" s="926"/>
      <c r="BC501" s="364"/>
      <c r="BD501" s="364"/>
      <c r="BE501" s="577"/>
      <c r="BF501" s="364"/>
      <c r="BG501" s="384"/>
      <c r="BH501" s="577"/>
      <c r="BI501" s="364"/>
      <c r="BJ501" s="364"/>
      <c r="BK501" s="364"/>
      <c r="BL501" s="364"/>
      <c r="BM501" s="384"/>
      <c r="BN501" s="364"/>
      <c r="BO501" s="364"/>
      <c r="BP501" s="364"/>
      <c r="BQ501" s="388"/>
      <c r="BR501" s="388"/>
      <c r="BS501" s="388"/>
      <c r="BT501" s="388"/>
      <c r="BU501" s="384"/>
      <c r="BV501" s="384"/>
      <c r="BW501" s="387"/>
      <c r="BX501" s="387"/>
      <c r="BY501" s="388"/>
      <c r="BZ501" s="388"/>
      <c r="CA501" s="388"/>
      <c r="CB501" s="387"/>
      <c r="CC501" s="387"/>
      <c r="CE501" s="2"/>
      <c r="CF501" s="2"/>
      <c r="CG501" s="2"/>
      <c r="CH501" s="2"/>
      <c r="CI501" s="2"/>
      <c r="CJ501" s="2"/>
      <c r="CK501" s="2"/>
      <c r="CL501" s="2"/>
      <c r="CM501" s="2"/>
      <c r="CN501" s="2"/>
      <c r="CO501" s="2"/>
      <c r="CP501" s="2"/>
      <c r="CQ501" s="2"/>
      <c r="CR501" s="2"/>
      <c r="CS501" s="364"/>
      <c r="CT501" s="364"/>
      <c r="CU501" s="364"/>
      <c r="CV501" s="407"/>
      <c r="CW501" s="407"/>
      <c r="CX501" s="407"/>
      <c r="CY501" s="407"/>
      <c r="CZ501" s="404"/>
      <c r="DA501" s="404"/>
      <c r="DB501" s="404"/>
      <c r="DC501" s="404"/>
      <c r="DD501" s="407"/>
      <c r="DE501" s="407"/>
      <c r="DF501" s="407"/>
      <c r="DG501" s="407"/>
      <c r="DH501" s="407"/>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row>
    <row r="502" spans="1:150" s="357" customFormat="1">
      <c r="A502" s="364"/>
      <c r="B502" s="678"/>
      <c r="C502" s="364"/>
      <c r="D502" s="364"/>
      <c r="E502" s="678"/>
      <c r="F502" s="678"/>
      <c r="G502" s="678"/>
      <c r="H502" s="364"/>
      <c r="I502" s="364"/>
      <c r="J502" s="364"/>
      <c r="K502" s="364"/>
      <c r="L502" s="786"/>
      <c r="M502" s="364"/>
      <c r="N502" s="364"/>
      <c r="O502" s="364"/>
      <c r="P502" s="364"/>
      <c r="Q502" s="364"/>
      <c r="R502" s="364"/>
      <c r="S502" s="364"/>
      <c r="T502" s="364"/>
      <c r="U502" s="364"/>
      <c r="V502" s="365"/>
      <c r="W502" s="367"/>
      <c r="X502" s="3"/>
      <c r="Y502" s="366"/>
      <c r="Z502" s="678"/>
      <c r="AA502" s="796"/>
      <c r="AB502" s="796"/>
      <c r="AC502" s="705"/>
      <c r="AD502" s="705"/>
      <c r="AE502" s="705"/>
      <c r="AF502" s="362"/>
      <c r="AG502" s="362"/>
      <c r="AH502" s="362"/>
      <c r="AI502" s="362"/>
      <c r="AJ502" s="2"/>
      <c r="AK502" s="2"/>
      <c r="AL502" s="2"/>
      <c r="AM502" s="2"/>
      <c r="AN502" s="2"/>
      <c r="AO502" s="2"/>
      <c r="AP502" s="2"/>
      <c r="AQ502" s="364"/>
      <c r="AR502" s="577"/>
      <c r="AS502" s="364"/>
      <c r="AT502" s="577"/>
      <c r="AU502" s="364"/>
      <c r="AV502" s="364"/>
      <c r="AW502" s="364"/>
      <c r="AX502" s="364"/>
      <c r="AY502" s="577"/>
      <c r="AZ502" s="577"/>
      <c r="BA502" s="577"/>
      <c r="BB502" s="926"/>
      <c r="BC502" s="364"/>
      <c r="BD502" s="364"/>
      <c r="BE502" s="577"/>
      <c r="BF502" s="364"/>
      <c r="BG502" s="384"/>
      <c r="BH502" s="577"/>
      <c r="BI502" s="364"/>
      <c r="BJ502" s="364"/>
      <c r="BK502" s="364"/>
      <c r="BL502" s="364"/>
      <c r="BM502" s="384"/>
      <c r="BN502" s="364"/>
      <c r="BO502" s="364"/>
      <c r="BP502" s="364"/>
      <c r="BQ502" s="388"/>
      <c r="BR502" s="388"/>
      <c r="BS502" s="388"/>
      <c r="BT502" s="388"/>
      <c r="BU502" s="384"/>
      <c r="BV502" s="384"/>
      <c r="BW502" s="387"/>
      <c r="BX502" s="387"/>
      <c r="BY502" s="388"/>
      <c r="BZ502" s="388"/>
      <c r="CA502" s="388"/>
      <c r="CB502" s="387"/>
      <c r="CC502" s="387"/>
      <c r="CE502" s="2"/>
      <c r="CF502" s="2"/>
      <c r="CG502" s="2"/>
      <c r="CH502" s="2"/>
      <c r="CI502" s="2"/>
      <c r="CJ502" s="2"/>
      <c r="CK502" s="2"/>
      <c r="CL502" s="2"/>
      <c r="CM502" s="2"/>
      <c r="CN502" s="2"/>
      <c r="CO502" s="2"/>
      <c r="CP502" s="2"/>
      <c r="CQ502" s="2"/>
      <c r="CR502" s="2"/>
      <c r="CS502" s="364"/>
      <c r="CT502" s="364"/>
      <c r="CU502" s="364"/>
      <c r="CV502" s="407"/>
      <c r="CW502" s="407"/>
      <c r="CX502" s="407"/>
      <c r="CY502" s="407"/>
      <c r="CZ502" s="404"/>
      <c r="DA502" s="404"/>
      <c r="DB502" s="404"/>
      <c r="DC502" s="404"/>
      <c r="DD502" s="407"/>
      <c r="DE502" s="407"/>
      <c r="DF502" s="407"/>
      <c r="DG502" s="407"/>
      <c r="DH502" s="407"/>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row>
    <row r="503" spans="1:150" s="357" customFormat="1">
      <c r="A503" s="364"/>
      <c r="B503" s="678"/>
      <c r="C503" s="364"/>
      <c r="D503" s="364"/>
      <c r="E503" s="678"/>
      <c r="F503" s="678"/>
      <c r="G503" s="678"/>
      <c r="H503" s="364"/>
      <c r="I503" s="364"/>
      <c r="J503" s="364"/>
      <c r="K503" s="364"/>
      <c r="L503" s="786"/>
      <c r="M503" s="364"/>
      <c r="N503" s="364"/>
      <c r="O503" s="364"/>
      <c r="P503" s="364"/>
      <c r="Q503" s="364"/>
      <c r="R503" s="364"/>
      <c r="S503" s="364"/>
      <c r="T503" s="364"/>
      <c r="U503" s="364"/>
      <c r="V503" s="365"/>
      <c r="W503" s="367"/>
      <c r="X503" s="3"/>
      <c r="Y503" s="366"/>
      <c r="Z503" s="678"/>
      <c r="AA503" s="796"/>
      <c r="AB503" s="796"/>
      <c r="AC503" s="705"/>
      <c r="AD503" s="705"/>
      <c r="AE503" s="705"/>
      <c r="AF503" s="362"/>
      <c r="AG503" s="362"/>
      <c r="AH503" s="362"/>
      <c r="AI503" s="362"/>
      <c r="AJ503" s="2"/>
      <c r="AK503" s="2"/>
      <c r="AL503" s="2"/>
      <c r="AM503" s="2"/>
      <c r="AN503" s="2"/>
      <c r="AO503" s="2"/>
      <c r="AP503" s="2"/>
      <c r="AQ503" s="364"/>
      <c r="AR503" s="577"/>
      <c r="AS503" s="364"/>
      <c r="AT503" s="577"/>
      <c r="AU503" s="364"/>
      <c r="AV503" s="364"/>
      <c r="AW503" s="364"/>
      <c r="AX503" s="364"/>
      <c r="AY503" s="577"/>
      <c r="AZ503" s="577"/>
      <c r="BA503" s="577"/>
      <c r="BB503" s="926"/>
      <c r="BC503" s="364"/>
      <c r="BD503" s="364"/>
      <c r="BE503" s="577"/>
      <c r="BF503" s="364"/>
      <c r="BG503" s="384"/>
      <c r="BH503" s="577"/>
      <c r="BI503" s="364"/>
      <c r="BJ503" s="364"/>
      <c r="BK503" s="364"/>
      <c r="BL503" s="364"/>
      <c r="BM503" s="384"/>
      <c r="BN503" s="364"/>
      <c r="BO503" s="364"/>
      <c r="BP503" s="364"/>
      <c r="BQ503" s="388"/>
      <c r="BR503" s="388"/>
      <c r="BS503" s="388"/>
      <c r="BT503" s="388"/>
      <c r="BU503" s="384"/>
      <c r="BV503" s="384"/>
      <c r="BW503" s="387"/>
      <c r="BX503" s="387"/>
      <c r="BY503" s="388"/>
      <c r="BZ503" s="388"/>
      <c r="CA503" s="388"/>
      <c r="CB503" s="387"/>
      <c r="CC503" s="387"/>
      <c r="CE503" s="2"/>
      <c r="CF503" s="2"/>
      <c r="CG503" s="2"/>
      <c r="CH503" s="2"/>
      <c r="CI503" s="2"/>
      <c r="CJ503" s="2"/>
      <c r="CK503" s="2"/>
      <c r="CL503" s="2"/>
      <c r="CM503" s="2"/>
      <c r="CN503" s="2"/>
      <c r="CO503" s="2"/>
      <c r="CP503" s="2"/>
      <c r="CQ503" s="2"/>
      <c r="CR503" s="2"/>
      <c r="CS503" s="364"/>
      <c r="CT503" s="364"/>
      <c r="CU503" s="364"/>
      <c r="CV503" s="407"/>
      <c r="CW503" s="407"/>
      <c r="CX503" s="407"/>
      <c r="CY503" s="407"/>
      <c r="CZ503" s="404"/>
      <c r="DA503" s="404"/>
      <c r="DB503" s="404"/>
      <c r="DC503" s="404"/>
      <c r="DD503" s="407"/>
      <c r="DE503" s="407"/>
      <c r="DF503" s="407"/>
      <c r="DG503" s="407"/>
      <c r="DH503" s="407"/>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row>
    <row r="504" spans="1:150" s="357" customFormat="1">
      <c r="A504" s="364"/>
      <c r="B504" s="678"/>
      <c r="C504" s="364"/>
      <c r="D504" s="364"/>
      <c r="E504" s="678"/>
      <c r="F504" s="678"/>
      <c r="G504" s="678"/>
      <c r="H504" s="364"/>
      <c r="I504" s="364"/>
      <c r="J504" s="364"/>
      <c r="K504" s="364"/>
      <c r="L504" s="786"/>
      <c r="M504" s="364"/>
      <c r="N504" s="364"/>
      <c r="O504" s="364"/>
      <c r="P504" s="364"/>
      <c r="Q504" s="364"/>
      <c r="R504" s="364"/>
      <c r="S504" s="364"/>
      <c r="T504" s="364"/>
      <c r="U504" s="364"/>
      <c r="V504" s="365"/>
      <c r="W504" s="367"/>
      <c r="X504" s="3"/>
      <c r="Y504" s="366"/>
      <c r="Z504" s="678"/>
      <c r="AA504" s="796"/>
      <c r="AB504" s="796"/>
      <c r="AC504" s="705"/>
      <c r="AD504" s="705"/>
      <c r="AE504" s="705"/>
      <c r="AF504" s="362"/>
      <c r="AG504" s="362"/>
      <c r="AH504" s="362"/>
      <c r="AI504" s="362"/>
      <c r="AJ504" s="2"/>
      <c r="AK504" s="2"/>
      <c r="AL504" s="2"/>
      <c r="AM504" s="2"/>
      <c r="AN504" s="2"/>
      <c r="AO504" s="2"/>
      <c r="AP504" s="2"/>
      <c r="AQ504" s="364"/>
      <c r="AR504" s="577"/>
      <c r="AS504" s="364"/>
      <c r="AT504" s="577"/>
      <c r="AU504" s="364"/>
      <c r="AV504" s="364"/>
      <c r="AW504" s="364"/>
      <c r="AX504" s="364"/>
      <c r="AY504" s="577"/>
      <c r="AZ504" s="577"/>
      <c r="BA504" s="577"/>
      <c r="BB504" s="926"/>
      <c r="BC504" s="364"/>
      <c r="BD504" s="364"/>
      <c r="BE504" s="577"/>
      <c r="BF504" s="364"/>
      <c r="BG504" s="384"/>
      <c r="BH504" s="577"/>
      <c r="BI504" s="364"/>
      <c r="BJ504" s="364"/>
      <c r="BK504" s="364"/>
      <c r="BL504" s="364"/>
      <c r="BM504" s="384"/>
      <c r="BN504" s="364"/>
      <c r="BO504" s="364"/>
      <c r="BP504" s="364"/>
      <c r="BQ504" s="388"/>
      <c r="BR504" s="388"/>
      <c r="BS504" s="388"/>
      <c r="BT504" s="388"/>
      <c r="BU504" s="384"/>
      <c r="BV504" s="384"/>
      <c r="BW504" s="387"/>
      <c r="BX504" s="387"/>
      <c r="BY504" s="388"/>
      <c r="BZ504" s="388"/>
      <c r="CA504" s="388"/>
      <c r="CB504" s="387"/>
      <c r="CC504" s="387"/>
      <c r="CE504" s="2"/>
      <c r="CF504" s="2"/>
      <c r="CG504" s="2"/>
      <c r="CH504" s="2"/>
      <c r="CI504" s="2"/>
      <c r="CJ504" s="2"/>
      <c r="CK504" s="2"/>
      <c r="CL504" s="2"/>
      <c r="CM504" s="2"/>
      <c r="CN504" s="2"/>
      <c r="CO504" s="2"/>
      <c r="CP504" s="2"/>
      <c r="CQ504" s="2"/>
      <c r="CR504" s="2"/>
      <c r="CS504" s="364"/>
      <c r="CT504" s="364"/>
      <c r="CU504" s="364"/>
      <c r="CV504" s="407"/>
      <c r="CW504" s="407"/>
      <c r="CX504" s="407"/>
      <c r="CY504" s="407"/>
      <c r="CZ504" s="404"/>
      <c r="DA504" s="404"/>
      <c r="DB504" s="404"/>
      <c r="DC504" s="404"/>
      <c r="DD504" s="407"/>
      <c r="DE504" s="407"/>
      <c r="DF504" s="407"/>
      <c r="DG504" s="407"/>
      <c r="DH504" s="407"/>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row>
    <row r="505" spans="1:150" s="357" customFormat="1">
      <c r="A505" s="364"/>
      <c r="B505" s="678"/>
      <c r="C505" s="364"/>
      <c r="D505" s="364"/>
      <c r="E505" s="678"/>
      <c r="F505" s="678"/>
      <c r="G505" s="678"/>
      <c r="H505" s="364"/>
      <c r="I505" s="364"/>
      <c r="J505" s="364"/>
      <c r="K505" s="364"/>
      <c r="L505" s="786"/>
      <c r="M505" s="364"/>
      <c r="N505" s="364"/>
      <c r="O505" s="364"/>
      <c r="P505" s="364"/>
      <c r="Q505" s="364"/>
      <c r="R505" s="364"/>
      <c r="S505" s="364"/>
      <c r="T505" s="364"/>
      <c r="U505" s="364"/>
      <c r="V505" s="365"/>
      <c r="W505" s="367"/>
      <c r="X505" s="3"/>
      <c r="Y505" s="366"/>
      <c r="Z505" s="678"/>
      <c r="AA505" s="796"/>
      <c r="AB505" s="796"/>
      <c r="AC505" s="705"/>
      <c r="AD505" s="705"/>
      <c r="AE505" s="705"/>
      <c r="AF505" s="362"/>
      <c r="AG505" s="362"/>
      <c r="AH505" s="362"/>
      <c r="AI505" s="362"/>
      <c r="AJ505" s="2"/>
      <c r="AK505" s="2"/>
      <c r="AL505" s="2"/>
      <c r="AM505" s="2"/>
      <c r="AN505" s="2"/>
      <c r="AO505" s="2"/>
      <c r="AP505" s="2"/>
      <c r="AQ505" s="364"/>
      <c r="AR505" s="577"/>
      <c r="AS505" s="364"/>
      <c r="AT505" s="577"/>
      <c r="AU505" s="364"/>
      <c r="AV505" s="364"/>
      <c r="AW505" s="364"/>
      <c r="AX505" s="364"/>
      <c r="AY505" s="577"/>
      <c r="AZ505" s="577"/>
      <c r="BA505" s="577"/>
      <c r="BB505" s="926"/>
      <c r="BC505" s="364"/>
      <c r="BD505" s="364"/>
      <c r="BE505" s="577"/>
      <c r="BF505" s="364"/>
      <c r="BG505" s="384"/>
      <c r="BH505" s="577"/>
      <c r="BI505" s="364"/>
      <c r="BJ505" s="364"/>
      <c r="BK505" s="364"/>
      <c r="BL505" s="364"/>
      <c r="BM505" s="384"/>
      <c r="BN505" s="364"/>
      <c r="BO505" s="364"/>
      <c r="BP505" s="364"/>
      <c r="BQ505" s="388"/>
      <c r="BR505" s="388"/>
      <c r="BS505" s="388"/>
      <c r="BT505" s="388"/>
      <c r="BU505" s="384"/>
      <c r="BV505" s="384"/>
      <c r="BW505" s="387"/>
      <c r="BX505" s="387"/>
      <c r="BY505" s="388"/>
      <c r="BZ505" s="388"/>
      <c r="CA505" s="388"/>
      <c r="CB505" s="387"/>
      <c r="CC505" s="387"/>
      <c r="CE505" s="2"/>
      <c r="CF505" s="2"/>
      <c r="CG505" s="2"/>
      <c r="CH505" s="2"/>
      <c r="CI505" s="2"/>
      <c r="CJ505" s="2"/>
      <c r="CK505" s="2"/>
      <c r="CL505" s="2"/>
      <c r="CM505" s="2"/>
      <c r="CN505" s="2"/>
      <c r="CO505" s="2"/>
      <c r="CP505" s="2"/>
      <c r="CQ505" s="2"/>
      <c r="CR505" s="2"/>
      <c r="CS505" s="364"/>
      <c r="CT505" s="364"/>
      <c r="CU505" s="364"/>
      <c r="CV505" s="407"/>
      <c r="CW505" s="407"/>
      <c r="CX505" s="407"/>
      <c r="CY505" s="407"/>
      <c r="CZ505" s="404"/>
      <c r="DA505" s="404"/>
      <c r="DB505" s="404"/>
      <c r="DC505" s="404"/>
      <c r="DD505" s="407"/>
      <c r="DE505" s="407"/>
      <c r="DF505" s="407"/>
      <c r="DG505" s="407"/>
      <c r="DH505" s="407"/>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row>
    <row r="506" spans="1:150" s="357" customFormat="1">
      <c r="A506" s="364"/>
      <c r="B506" s="678"/>
      <c r="C506" s="364"/>
      <c r="D506" s="364"/>
      <c r="E506" s="678"/>
      <c r="F506" s="678"/>
      <c r="G506" s="678"/>
      <c r="H506" s="364"/>
      <c r="I506" s="364"/>
      <c r="J506" s="364"/>
      <c r="K506" s="364"/>
      <c r="L506" s="786"/>
      <c r="M506" s="364"/>
      <c r="N506" s="364"/>
      <c r="O506" s="364"/>
      <c r="P506" s="364"/>
      <c r="Q506" s="364"/>
      <c r="R506" s="364"/>
      <c r="S506" s="364"/>
      <c r="T506" s="364"/>
      <c r="U506" s="364"/>
      <c r="V506" s="365"/>
      <c r="W506" s="367"/>
      <c r="X506" s="3"/>
      <c r="Y506" s="366"/>
      <c r="Z506" s="678"/>
      <c r="AA506" s="796"/>
      <c r="AB506" s="796"/>
      <c r="AC506" s="705"/>
      <c r="AD506" s="705"/>
      <c r="AE506" s="705"/>
      <c r="AF506" s="362"/>
      <c r="AG506" s="362"/>
      <c r="AH506" s="362"/>
      <c r="AI506" s="362"/>
      <c r="AJ506" s="2"/>
      <c r="AK506" s="2"/>
      <c r="AL506" s="2"/>
      <c r="AM506" s="2"/>
      <c r="AN506" s="2"/>
      <c r="AO506" s="2"/>
      <c r="AP506" s="2"/>
      <c r="AQ506" s="364"/>
      <c r="AR506" s="577"/>
      <c r="AS506" s="364"/>
      <c r="AT506" s="577"/>
      <c r="AU506" s="364"/>
      <c r="AV506" s="364"/>
      <c r="AW506" s="364"/>
      <c r="AX506" s="364"/>
      <c r="AY506" s="577"/>
      <c r="AZ506" s="577"/>
      <c r="BA506" s="577"/>
      <c r="BB506" s="926"/>
      <c r="BC506" s="364"/>
      <c r="BD506" s="364"/>
      <c r="BE506" s="577"/>
      <c r="BF506" s="364"/>
      <c r="BG506" s="384"/>
      <c r="BH506" s="577"/>
      <c r="BI506" s="364"/>
      <c r="BJ506" s="364"/>
      <c r="BK506" s="364"/>
      <c r="BL506" s="364"/>
      <c r="BM506" s="384"/>
      <c r="BN506" s="364"/>
      <c r="BO506" s="364"/>
      <c r="BP506" s="364"/>
      <c r="BQ506" s="388"/>
      <c r="BR506" s="388"/>
      <c r="BS506" s="388"/>
      <c r="BT506" s="388"/>
      <c r="BU506" s="384"/>
      <c r="BV506" s="384"/>
      <c r="BW506" s="387"/>
      <c r="BX506" s="387"/>
      <c r="BY506" s="388"/>
      <c r="BZ506" s="388"/>
      <c r="CA506" s="388"/>
      <c r="CB506" s="387"/>
      <c r="CC506" s="387"/>
      <c r="CE506" s="2"/>
      <c r="CF506" s="2"/>
      <c r="CG506" s="2"/>
      <c r="CH506" s="2"/>
      <c r="CI506" s="2"/>
      <c r="CJ506" s="2"/>
      <c r="CK506" s="2"/>
      <c r="CL506" s="2"/>
      <c r="CM506" s="2"/>
      <c r="CN506" s="2"/>
      <c r="CO506" s="2"/>
      <c r="CP506" s="2"/>
      <c r="CQ506" s="2"/>
      <c r="CR506" s="2"/>
      <c r="CS506" s="364"/>
      <c r="CT506" s="364"/>
      <c r="CU506" s="364"/>
      <c r="CV506" s="407"/>
      <c r="CW506" s="407"/>
      <c r="CX506" s="407"/>
      <c r="CY506" s="407"/>
      <c r="CZ506" s="404"/>
      <c r="DA506" s="404"/>
      <c r="DB506" s="404"/>
      <c r="DC506" s="404"/>
      <c r="DD506" s="407"/>
      <c r="DE506" s="407"/>
      <c r="DF506" s="407"/>
      <c r="DG506" s="407"/>
      <c r="DH506" s="407"/>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row>
    <row r="507" spans="1:150" s="357" customFormat="1">
      <c r="A507" s="364"/>
      <c r="B507" s="678"/>
      <c r="C507" s="364"/>
      <c r="D507" s="364"/>
      <c r="E507" s="678"/>
      <c r="F507" s="678"/>
      <c r="G507" s="678"/>
      <c r="H507" s="364"/>
      <c r="I507" s="364"/>
      <c r="J507" s="364"/>
      <c r="K507" s="364"/>
      <c r="L507" s="786"/>
      <c r="M507" s="364"/>
      <c r="N507" s="364"/>
      <c r="O507" s="364"/>
      <c r="P507" s="364"/>
      <c r="Q507" s="364"/>
      <c r="R507" s="364"/>
      <c r="S507" s="364"/>
      <c r="T507" s="364"/>
      <c r="U507" s="364"/>
      <c r="V507" s="365"/>
      <c r="W507" s="367"/>
      <c r="X507" s="3"/>
      <c r="Y507" s="366"/>
      <c r="Z507" s="678"/>
      <c r="AA507" s="796"/>
      <c r="AB507" s="796"/>
      <c r="AC507" s="705"/>
      <c r="AD507" s="705"/>
      <c r="AE507" s="705"/>
      <c r="AF507" s="362"/>
      <c r="AG507" s="362"/>
      <c r="AH507" s="362"/>
      <c r="AI507" s="362"/>
      <c r="AJ507" s="2"/>
      <c r="AK507" s="2"/>
      <c r="AL507" s="2"/>
      <c r="AM507" s="2"/>
      <c r="AN507" s="2"/>
      <c r="AO507" s="2"/>
      <c r="AP507" s="2"/>
      <c r="AQ507" s="364"/>
      <c r="AR507" s="577"/>
      <c r="AS507" s="364"/>
      <c r="AT507" s="577"/>
      <c r="AU507" s="364"/>
      <c r="AV507" s="364"/>
      <c r="AW507" s="364"/>
      <c r="AX507" s="364"/>
      <c r="AY507" s="577"/>
      <c r="AZ507" s="577"/>
      <c r="BA507" s="577"/>
      <c r="BB507" s="926"/>
      <c r="BC507" s="364"/>
      <c r="BD507" s="364"/>
      <c r="BE507" s="577"/>
      <c r="BF507" s="364"/>
      <c r="BG507" s="384"/>
      <c r="BH507" s="577"/>
      <c r="BI507" s="364"/>
      <c r="BJ507" s="364"/>
      <c r="BK507" s="364"/>
      <c r="BL507" s="364"/>
      <c r="BM507" s="384"/>
      <c r="BN507" s="364"/>
      <c r="BO507" s="364"/>
      <c r="BP507" s="364"/>
      <c r="BQ507" s="388"/>
      <c r="BR507" s="388"/>
      <c r="BS507" s="388"/>
      <c r="BT507" s="388"/>
      <c r="BU507" s="384"/>
      <c r="BV507" s="384"/>
      <c r="BW507" s="387"/>
      <c r="BX507" s="387"/>
      <c r="BY507" s="388"/>
      <c r="BZ507" s="388"/>
      <c r="CA507" s="388"/>
      <c r="CB507" s="387"/>
      <c r="CC507" s="387"/>
      <c r="CE507" s="2"/>
      <c r="CF507" s="2"/>
      <c r="CG507" s="2"/>
      <c r="CH507" s="2"/>
      <c r="CI507" s="2"/>
      <c r="CJ507" s="2"/>
      <c r="CK507" s="2"/>
      <c r="CL507" s="2"/>
      <c r="CM507" s="2"/>
      <c r="CN507" s="2"/>
      <c r="CO507" s="2"/>
      <c r="CP507" s="2"/>
      <c r="CQ507" s="2"/>
      <c r="CR507" s="2"/>
      <c r="CS507" s="364"/>
      <c r="CT507" s="364"/>
      <c r="CU507" s="364"/>
      <c r="CV507" s="407"/>
      <c r="CW507" s="407"/>
      <c r="CX507" s="407"/>
      <c r="CY507" s="407"/>
      <c r="CZ507" s="404"/>
      <c r="DA507" s="404"/>
      <c r="DB507" s="404"/>
      <c r="DC507" s="404"/>
      <c r="DD507" s="407"/>
      <c r="DE507" s="407"/>
      <c r="DF507" s="407"/>
      <c r="DG507" s="407"/>
      <c r="DH507" s="407"/>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row>
    <row r="508" spans="1:150" s="357" customFormat="1">
      <c r="A508" s="364"/>
      <c r="B508" s="678"/>
      <c r="C508" s="364"/>
      <c r="D508" s="364"/>
      <c r="E508" s="678"/>
      <c r="F508" s="678"/>
      <c r="G508" s="678"/>
      <c r="H508" s="364"/>
      <c r="I508" s="364"/>
      <c r="J508" s="364"/>
      <c r="K508" s="364"/>
      <c r="L508" s="786"/>
      <c r="M508" s="364"/>
      <c r="N508" s="364"/>
      <c r="O508" s="364"/>
      <c r="P508" s="364"/>
      <c r="Q508" s="364"/>
      <c r="R508" s="364"/>
      <c r="S508" s="364"/>
      <c r="T508" s="364"/>
      <c r="U508" s="364"/>
      <c r="V508" s="365"/>
      <c r="W508" s="367"/>
      <c r="X508" s="3"/>
      <c r="Y508" s="366"/>
      <c r="Z508" s="678"/>
      <c r="AA508" s="796"/>
      <c r="AB508" s="796"/>
      <c r="AC508" s="705"/>
      <c r="AD508" s="705"/>
      <c r="AE508" s="705"/>
      <c r="AF508" s="362"/>
      <c r="AG508" s="362"/>
      <c r="AH508" s="362"/>
      <c r="AI508" s="362"/>
      <c r="AJ508" s="2"/>
      <c r="AK508" s="2"/>
      <c r="AL508" s="2"/>
      <c r="AM508" s="2"/>
      <c r="AN508" s="2"/>
      <c r="AO508" s="2"/>
      <c r="AP508" s="2"/>
      <c r="AQ508" s="364"/>
      <c r="AR508" s="577"/>
      <c r="AS508" s="364"/>
      <c r="AT508" s="577"/>
      <c r="AU508" s="364"/>
      <c r="AV508" s="364"/>
      <c r="AW508" s="364"/>
      <c r="AX508" s="364"/>
      <c r="AY508" s="577"/>
      <c r="AZ508" s="577"/>
      <c r="BA508" s="577"/>
      <c r="BB508" s="926"/>
      <c r="BC508" s="364"/>
      <c r="BD508" s="364"/>
      <c r="BE508" s="577"/>
      <c r="BF508" s="364"/>
      <c r="BG508" s="384"/>
      <c r="BH508" s="577"/>
      <c r="BI508" s="364"/>
      <c r="BJ508" s="364"/>
      <c r="BK508" s="364"/>
      <c r="BL508" s="364"/>
      <c r="BM508" s="384"/>
      <c r="BN508" s="364"/>
      <c r="BO508" s="364"/>
      <c r="BP508" s="364"/>
      <c r="BQ508" s="388"/>
      <c r="BR508" s="388"/>
      <c r="BS508" s="388"/>
      <c r="BT508" s="388"/>
      <c r="BU508" s="384"/>
      <c r="BV508" s="384"/>
      <c r="BW508" s="387"/>
      <c r="BX508" s="387"/>
      <c r="BY508" s="388"/>
      <c r="BZ508" s="388"/>
      <c r="CA508" s="388"/>
      <c r="CB508" s="387"/>
      <c r="CC508" s="387"/>
      <c r="CE508" s="2"/>
      <c r="CF508" s="2"/>
      <c r="CG508" s="2"/>
      <c r="CH508" s="2"/>
      <c r="CI508" s="2"/>
      <c r="CJ508" s="2"/>
      <c r="CK508" s="2"/>
      <c r="CL508" s="2"/>
      <c r="CM508" s="2"/>
      <c r="CN508" s="2"/>
      <c r="CO508" s="2"/>
      <c r="CP508" s="2"/>
      <c r="CQ508" s="2"/>
      <c r="CR508" s="2"/>
      <c r="CS508" s="364"/>
      <c r="CT508" s="364"/>
      <c r="CU508" s="364"/>
      <c r="CV508" s="407"/>
      <c r="CW508" s="407"/>
      <c r="CX508" s="407"/>
      <c r="CY508" s="407"/>
      <c r="CZ508" s="404"/>
      <c r="DA508" s="404"/>
      <c r="DB508" s="404"/>
      <c r="DC508" s="404"/>
      <c r="DD508" s="407"/>
      <c r="DE508" s="407"/>
      <c r="DF508" s="407"/>
      <c r="DG508" s="407"/>
      <c r="DH508" s="407"/>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row>
    <row r="509" spans="1:150" s="357" customFormat="1">
      <c r="A509" s="364"/>
      <c r="B509" s="678"/>
      <c r="C509" s="364"/>
      <c r="D509" s="364"/>
      <c r="E509" s="678"/>
      <c r="F509" s="678"/>
      <c r="G509" s="678"/>
      <c r="H509" s="364"/>
      <c r="I509" s="364"/>
      <c r="J509" s="364"/>
      <c r="K509" s="364"/>
      <c r="L509" s="786"/>
      <c r="M509" s="364"/>
      <c r="N509" s="364"/>
      <c r="O509" s="364"/>
      <c r="P509" s="364"/>
      <c r="Q509" s="364"/>
      <c r="R509" s="364"/>
      <c r="S509" s="364"/>
      <c r="T509" s="364"/>
      <c r="U509" s="364"/>
      <c r="V509" s="365"/>
      <c r="W509" s="367"/>
      <c r="X509" s="3"/>
      <c r="Y509" s="366"/>
      <c r="Z509" s="678"/>
      <c r="AA509" s="796"/>
      <c r="AB509" s="796"/>
      <c r="AC509" s="705"/>
      <c r="AD509" s="705"/>
      <c r="AE509" s="705"/>
      <c r="AF509" s="362"/>
      <c r="AG509" s="362"/>
      <c r="AH509" s="362"/>
      <c r="AI509" s="362"/>
      <c r="AJ509" s="2"/>
      <c r="AK509" s="2"/>
      <c r="AL509" s="2"/>
      <c r="AM509" s="2"/>
      <c r="AN509" s="2"/>
      <c r="AO509" s="2"/>
      <c r="AP509" s="2"/>
      <c r="AQ509" s="364"/>
      <c r="AR509" s="577"/>
      <c r="AS509" s="364"/>
      <c r="AT509" s="577"/>
      <c r="AU509" s="364"/>
      <c r="AV509" s="364"/>
      <c r="AW509" s="364"/>
      <c r="AX509" s="364"/>
      <c r="AY509" s="577"/>
      <c r="AZ509" s="577"/>
      <c r="BA509" s="577"/>
      <c r="BB509" s="926"/>
      <c r="BC509" s="364"/>
      <c r="BD509" s="364"/>
      <c r="BE509" s="577"/>
      <c r="BF509" s="364"/>
      <c r="BG509" s="384"/>
      <c r="BH509" s="577"/>
      <c r="BI509" s="364"/>
      <c r="BJ509" s="364"/>
      <c r="BK509" s="364"/>
      <c r="BL509" s="364"/>
      <c r="BM509" s="384"/>
      <c r="BN509" s="364"/>
      <c r="BO509" s="364"/>
      <c r="BP509" s="364"/>
      <c r="BQ509" s="388"/>
      <c r="BR509" s="388"/>
      <c r="BS509" s="388"/>
      <c r="BT509" s="388"/>
      <c r="BU509" s="384"/>
      <c r="BV509" s="384"/>
      <c r="BW509" s="387"/>
      <c r="BX509" s="387"/>
      <c r="BY509" s="388"/>
      <c r="BZ509" s="388"/>
      <c r="CA509" s="388"/>
      <c r="CB509" s="387"/>
      <c r="CC509" s="387"/>
      <c r="CE509" s="2"/>
      <c r="CF509" s="2"/>
      <c r="CG509" s="2"/>
      <c r="CH509" s="2"/>
      <c r="CI509" s="2"/>
      <c r="CJ509" s="2"/>
      <c r="CK509" s="2"/>
      <c r="CL509" s="2"/>
      <c r="CM509" s="2"/>
      <c r="CN509" s="2"/>
      <c r="CO509" s="2"/>
      <c r="CP509" s="2"/>
      <c r="CQ509" s="2"/>
      <c r="CR509" s="2"/>
      <c r="CS509" s="364"/>
      <c r="CT509" s="364"/>
      <c r="CU509" s="364"/>
      <c r="CV509" s="407"/>
      <c r="CW509" s="407"/>
      <c r="CX509" s="407"/>
      <c r="CY509" s="407"/>
      <c r="CZ509" s="404"/>
      <c r="DA509" s="404"/>
      <c r="DB509" s="404"/>
      <c r="DC509" s="404"/>
      <c r="DD509" s="407"/>
      <c r="DE509" s="407"/>
      <c r="DF509" s="407"/>
      <c r="DG509" s="407"/>
      <c r="DH509" s="407"/>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row>
    <row r="510" spans="1:150" s="357" customFormat="1">
      <c r="A510" s="364"/>
      <c r="B510" s="678"/>
      <c r="C510" s="364"/>
      <c r="D510" s="364"/>
      <c r="E510" s="678"/>
      <c r="F510" s="678"/>
      <c r="G510" s="678"/>
      <c r="H510" s="364"/>
      <c r="I510" s="364"/>
      <c r="J510" s="364"/>
      <c r="K510" s="364"/>
      <c r="L510" s="786"/>
      <c r="M510" s="364"/>
      <c r="N510" s="364"/>
      <c r="O510" s="364"/>
      <c r="P510" s="364"/>
      <c r="Q510" s="364"/>
      <c r="R510" s="364"/>
      <c r="S510" s="364"/>
      <c r="T510" s="364"/>
      <c r="U510" s="364"/>
      <c r="V510" s="365"/>
      <c r="W510" s="367"/>
      <c r="X510" s="3"/>
      <c r="Y510" s="366"/>
      <c r="Z510" s="678"/>
      <c r="AA510" s="796"/>
      <c r="AB510" s="796"/>
      <c r="AC510" s="705"/>
      <c r="AD510" s="705"/>
      <c r="AE510" s="705"/>
      <c r="AF510" s="362"/>
      <c r="AG510" s="362"/>
      <c r="AH510" s="362"/>
      <c r="AI510" s="362"/>
      <c r="AJ510" s="2"/>
      <c r="AK510" s="2"/>
      <c r="AL510" s="2"/>
      <c r="AM510" s="2"/>
      <c r="AN510" s="2"/>
      <c r="AO510" s="2"/>
      <c r="AP510" s="2"/>
      <c r="AQ510" s="364"/>
      <c r="AR510" s="577"/>
      <c r="AS510" s="364"/>
      <c r="AT510" s="577"/>
      <c r="AU510" s="364"/>
      <c r="AV510" s="364"/>
      <c r="AW510" s="364"/>
      <c r="AX510" s="364"/>
      <c r="AY510" s="577"/>
      <c r="AZ510" s="577"/>
      <c r="BA510" s="577"/>
      <c r="BB510" s="926"/>
      <c r="BC510" s="364"/>
      <c r="BD510" s="364"/>
      <c r="BE510" s="577"/>
      <c r="BF510" s="364"/>
      <c r="BG510" s="384"/>
      <c r="BH510" s="577"/>
      <c r="BI510" s="364"/>
      <c r="BJ510" s="364"/>
      <c r="BK510" s="364"/>
      <c r="BL510" s="364"/>
      <c r="BM510" s="384"/>
      <c r="BN510" s="364"/>
      <c r="BO510" s="364"/>
      <c r="BP510" s="364"/>
      <c r="BQ510" s="388"/>
      <c r="BR510" s="388"/>
      <c r="BS510" s="388"/>
      <c r="BT510" s="388"/>
      <c r="BU510" s="384"/>
      <c r="BV510" s="384"/>
      <c r="BW510" s="387"/>
      <c r="BX510" s="387"/>
      <c r="BY510" s="388"/>
      <c r="BZ510" s="388"/>
      <c r="CA510" s="388"/>
      <c r="CB510" s="387"/>
      <c r="CC510" s="387"/>
      <c r="CE510" s="2"/>
      <c r="CF510" s="2"/>
      <c r="CG510" s="2"/>
      <c r="CH510" s="2"/>
      <c r="CI510" s="2"/>
      <c r="CJ510" s="2"/>
      <c r="CK510" s="2"/>
      <c r="CL510" s="2"/>
      <c r="CM510" s="2"/>
      <c r="CN510" s="2"/>
      <c r="CO510" s="2"/>
      <c r="CP510" s="2"/>
      <c r="CQ510" s="2"/>
      <c r="CR510" s="2"/>
      <c r="CS510" s="364"/>
      <c r="CT510" s="364"/>
      <c r="CU510" s="364"/>
      <c r="CV510" s="407"/>
      <c r="CW510" s="407"/>
      <c r="CX510" s="407"/>
      <c r="CY510" s="407"/>
      <c r="CZ510" s="404"/>
      <c r="DA510" s="404"/>
      <c r="DB510" s="404"/>
      <c r="DC510" s="404"/>
      <c r="DD510" s="407"/>
      <c r="DE510" s="407"/>
      <c r="DF510" s="407"/>
      <c r="DG510" s="407"/>
      <c r="DH510" s="407"/>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row>
    <row r="511" spans="1:150" s="357" customFormat="1">
      <c r="A511" s="364"/>
      <c r="B511" s="678"/>
      <c r="C511" s="364"/>
      <c r="D511" s="364"/>
      <c r="E511" s="678"/>
      <c r="F511" s="678"/>
      <c r="G511" s="678"/>
      <c r="H511" s="364"/>
      <c r="I511" s="364"/>
      <c r="J511" s="364"/>
      <c r="K511" s="364"/>
      <c r="L511" s="786"/>
      <c r="M511" s="364"/>
      <c r="N511" s="364"/>
      <c r="O511" s="364"/>
      <c r="P511" s="364"/>
      <c r="Q511" s="364"/>
      <c r="R511" s="364"/>
      <c r="S511" s="364"/>
      <c r="T511" s="364"/>
      <c r="U511" s="364"/>
      <c r="V511" s="365"/>
      <c r="W511" s="367"/>
      <c r="X511" s="3"/>
      <c r="Y511" s="366"/>
      <c r="Z511" s="678"/>
      <c r="AA511" s="796"/>
      <c r="AB511" s="796"/>
      <c r="AC511" s="705"/>
      <c r="AD511" s="705"/>
      <c r="AE511" s="705"/>
      <c r="AF511" s="362"/>
      <c r="AG511" s="362"/>
      <c r="AH511" s="362"/>
      <c r="AI511" s="362"/>
      <c r="AJ511" s="2"/>
      <c r="AK511" s="2"/>
      <c r="AL511" s="2"/>
      <c r="AM511" s="2"/>
      <c r="AN511" s="2"/>
      <c r="AO511" s="2"/>
      <c r="AP511" s="2"/>
      <c r="AQ511" s="364"/>
      <c r="AR511" s="577"/>
      <c r="AS511" s="364"/>
      <c r="AT511" s="577"/>
      <c r="AU511" s="364"/>
      <c r="AV511" s="364"/>
      <c r="AW511" s="364"/>
      <c r="AX511" s="364"/>
      <c r="AY511" s="577"/>
      <c r="AZ511" s="577"/>
      <c r="BA511" s="577"/>
      <c r="BB511" s="926"/>
      <c r="BC511" s="364"/>
      <c r="BD511" s="364"/>
      <c r="BE511" s="577"/>
      <c r="BF511" s="364"/>
      <c r="BG511" s="384"/>
      <c r="BH511" s="577"/>
      <c r="BI511" s="364"/>
      <c r="BJ511" s="364"/>
      <c r="BK511" s="364"/>
      <c r="BL511" s="364"/>
      <c r="BM511" s="384"/>
      <c r="BN511" s="364"/>
      <c r="BO511" s="364"/>
      <c r="BP511" s="364"/>
      <c r="BQ511" s="388"/>
      <c r="BR511" s="388"/>
      <c r="BS511" s="388"/>
      <c r="BT511" s="388"/>
      <c r="BU511" s="384"/>
      <c r="BV511" s="384"/>
      <c r="BW511" s="387"/>
      <c r="BX511" s="387"/>
      <c r="BY511" s="388"/>
      <c r="BZ511" s="388"/>
      <c r="CA511" s="388"/>
      <c r="CB511" s="387"/>
      <c r="CC511" s="387"/>
      <c r="CE511" s="2"/>
      <c r="CF511" s="2"/>
      <c r="CG511" s="2"/>
      <c r="CH511" s="2"/>
      <c r="CI511" s="2"/>
      <c r="CJ511" s="2"/>
      <c r="CK511" s="2"/>
      <c r="CL511" s="2"/>
      <c r="CM511" s="2"/>
      <c r="CN511" s="2"/>
      <c r="CO511" s="2"/>
      <c r="CP511" s="2"/>
      <c r="CQ511" s="2"/>
      <c r="CR511" s="2"/>
      <c r="CS511" s="364"/>
      <c r="CT511" s="364"/>
      <c r="CU511" s="364"/>
      <c r="CV511" s="407"/>
      <c r="CW511" s="407"/>
      <c r="CX511" s="407"/>
      <c r="CY511" s="407"/>
      <c r="CZ511" s="404"/>
      <c r="DA511" s="404"/>
      <c r="DB511" s="404"/>
      <c r="DC511" s="404"/>
      <c r="DD511" s="407"/>
      <c r="DE511" s="407"/>
      <c r="DF511" s="407"/>
      <c r="DG511" s="407"/>
      <c r="DH511" s="407"/>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row>
    <row r="512" spans="1:150" s="357" customFormat="1">
      <c r="A512" s="364"/>
      <c r="B512" s="678"/>
      <c r="C512" s="364"/>
      <c r="D512" s="364"/>
      <c r="E512" s="678"/>
      <c r="F512" s="678"/>
      <c r="G512" s="678"/>
      <c r="H512" s="364"/>
      <c r="I512" s="364"/>
      <c r="J512" s="364"/>
      <c r="K512" s="364"/>
      <c r="L512" s="786"/>
      <c r="M512" s="364"/>
      <c r="N512" s="364"/>
      <c r="O512" s="364"/>
      <c r="P512" s="364"/>
      <c r="Q512" s="364"/>
      <c r="R512" s="364"/>
      <c r="S512" s="364"/>
      <c r="T512" s="364"/>
      <c r="U512" s="364"/>
      <c r="V512" s="365"/>
      <c r="W512" s="367"/>
      <c r="X512" s="3"/>
      <c r="Y512" s="366"/>
      <c r="Z512" s="678"/>
      <c r="AA512" s="796"/>
      <c r="AB512" s="796"/>
      <c r="AC512" s="705"/>
      <c r="AD512" s="705"/>
      <c r="AE512" s="705"/>
      <c r="AF512" s="362"/>
      <c r="AG512" s="362"/>
      <c r="AH512" s="362"/>
      <c r="AI512" s="362"/>
      <c r="AJ512" s="2"/>
      <c r="AK512" s="2"/>
      <c r="AL512" s="2"/>
      <c r="AM512" s="2"/>
      <c r="AN512" s="2"/>
      <c r="AO512" s="2"/>
      <c r="AP512" s="2"/>
      <c r="AQ512" s="364"/>
      <c r="AR512" s="577"/>
      <c r="AS512" s="364"/>
      <c r="AT512" s="577"/>
      <c r="AU512" s="364"/>
      <c r="AV512" s="364"/>
      <c r="AW512" s="364"/>
      <c r="AX512" s="364"/>
      <c r="AY512" s="577"/>
      <c r="AZ512" s="577"/>
      <c r="BA512" s="577"/>
      <c r="BB512" s="926"/>
      <c r="BC512" s="364"/>
      <c r="BD512" s="364"/>
      <c r="BE512" s="577"/>
      <c r="BF512" s="364"/>
      <c r="BG512" s="384"/>
      <c r="BH512" s="577"/>
      <c r="BI512" s="364"/>
      <c r="BJ512" s="364"/>
      <c r="BK512" s="364"/>
      <c r="BL512" s="364"/>
      <c r="BM512" s="384"/>
      <c r="BN512" s="364"/>
      <c r="BO512" s="364"/>
      <c r="BP512" s="364"/>
      <c r="BQ512" s="388"/>
      <c r="BR512" s="388"/>
      <c r="BS512" s="388"/>
      <c r="BT512" s="388"/>
      <c r="BU512" s="384"/>
      <c r="BV512" s="384"/>
      <c r="BW512" s="387"/>
      <c r="BX512" s="387"/>
      <c r="BY512" s="388"/>
      <c r="BZ512" s="388"/>
      <c r="CA512" s="388"/>
      <c r="CB512" s="387"/>
      <c r="CC512" s="387"/>
      <c r="CE512" s="2"/>
      <c r="CF512" s="2"/>
      <c r="CG512" s="2"/>
      <c r="CH512" s="2"/>
      <c r="CI512" s="2"/>
      <c r="CJ512" s="2"/>
      <c r="CK512" s="2"/>
      <c r="CL512" s="2"/>
      <c r="CM512" s="2"/>
      <c r="CN512" s="2"/>
      <c r="CO512" s="2"/>
      <c r="CP512" s="2"/>
      <c r="CQ512" s="2"/>
      <c r="CR512" s="2"/>
      <c r="CS512" s="364"/>
      <c r="CT512" s="364"/>
      <c r="CU512" s="364"/>
      <c r="CV512" s="407"/>
      <c r="CW512" s="407"/>
      <c r="CX512" s="407"/>
      <c r="CY512" s="407"/>
      <c r="CZ512" s="404"/>
      <c r="DA512" s="404"/>
      <c r="DB512" s="404"/>
      <c r="DC512" s="404"/>
      <c r="DD512" s="407"/>
      <c r="DE512" s="407"/>
      <c r="DF512" s="407"/>
      <c r="DG512" s="407"/>
      <c r="DH512" s="407"/>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row>
    <row r="513" spans="1:150" s="357" customFormat="1">
      <c r="A513" s="364"/>
      <c r="B513" s="678"/>
      <c r="C513" s="364"/>
      <c r="D513" s="364"/>
      <c r="E513" s="678"/>
      <c r="F513" s="678"/>
      <c r="G513" s="678"/>
      <c r="H513" s="364"/>
      <c r="I513" s="364"/>
      <c r="J513" s="364"/>
      <c r="K513" s="364"/>
      <c r="L513" s="786"/>
      <c r="M513" s="364"/>
      <c r="N513" s="364"/>
      <c r="O513" s="364"/>
      <c r="P513" s="364"/>
      <c r="Q513" s="364"/>
      <c r="R513" s="364"/>
      <c r="S513" s="364"/>
      <c r="T513" s="364"/>
      <c r="U513" s="364"/>
      <c r="V513" s="365"/>
      <c r="W513" s="367"/>
      <c r="X513" s="3"/>
      <c r="Y513" s="366"/>
      <c r="Z513" s="678"/>
      <c r="AA513" s="796"/>
      <c r="AB513" s="796"/>
      <c r="AC513" s="705"/>
      <c r="AD513" s="705"/>
      <c r="AE513" s="705"/>
      <c r="AF513" s="362"/>
      <c r="AG513" s="362"/>
      <c r="AH513" s="362"/>
      <c r="AI513" s="362"/>
      <c r="AJ513" s="2"/>
      <c r="AK513" s="2"/>
      <c r="AL513" s="2"/>
      <c r="AM513" s="2"/>
      <c r="AN513" s="2"/>
      <c r="AO513" s="2"/>
      <c r="AP513" s="2"/>
      <c r="AQ513" s="364"/>
      <c r="AR513" s="577"/>
      <c r="AS513" s="364"/>
      <c r="AT513" s="577"/>
      <c r="AU513" s="364"/>
      <c r="AV513" s="364"/>
      <c r="AW513" s="364"/>
      <c r="AX513" s="364"/>
      <c r="AY513" s="577"/>
      <c r="AZ513" s="577"/>
      <c r="BA513" s="577"/>
      <c r="BB513" s="926"/>
      <c r="BC513" s="364"/>
      <c r="BD513" s="364"/>
      <c r="BE513" s="577"/>
      <c r="BF513" s="364"/>
      <c r="BG513" s="384"/>
      <c r="BH513" s="577"/>
      <c r="BI513" s="364"/>
      <c r="BJ513" s="364"/>
      <c r="BK513" s="364"/>
      <c r="BL513" s="364"/>
      <c r="BM513" s="384"/>
      <c r="BN513" s="364"/>
      <c r="BO513" s="364"/>
      <c r="BP513" s="364"/>
      <c r="BQ513" s="388"/>
      <c r="BR513" s="388"/>
      <c r="BS513" s="388"/>
      <c r="BT513" s="388"/>
      <c r="BU513" s="384"/>
      <c r="BV513" s="384"/>
      <c r="BW513" s="387"/>
      <c r="BX513" s="387"/>
      <c r="BY513" s="388"/>
      <c r="BZ513" s="388"/>
      <c r="CA513" s="388"/>
      <c r="CB513" s="387"/>
      <c r="CC513" s="387"/>
      <c r="CE513" s="2"/>
      <c r="CF513" s="2"/>
      <c r="CG513" s="2"/>
      <c r="CH513" s="2"/>
      <c r="CI513" s="2"/>
      <c r="CJ513" s="2"/>
      <c r="CK513" s="2"/>
      <c r="CL513" s="2"/>
      <c r="CM513" s="2"/>
      <c r="CN513" s="2"/>
      <c r="CO513" s="2"/>
      <c r="CP513" s="2"/>
      <c r="CQ513" s="2"/>
      <c r="CR513" s="2"/>
      <c r="CS513" s="364"/>
      <c r="CT513" s="364"/>
      <c r="CU513" s="364"/>
      <c r="CV513" s="407"/>
      <c r="CW513" s="407"/>
      <c r="CX513" s="407"/>
      <c r="CY513" s="407"/>
      <c r="CZ513" s="404"/>
      <c r="DA513" s="404"/>
      <c r="DB513" s="404"/>
      <c r="DC513" s="404"/>
      <c r="DD513" s="407"/>
      <c r="DE513" s="407"/>
      <c r="DF513" s="407"/>
      <c r="DG513" s="407"/>
      <c r="DH513" s="407"/>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row>
    <row r="514" spans="1:150" s="357" customFormat="1">
      <c r="A514" s="364"/>
      <c r="B514" s="678"/>
      <c r="C514" s="364"/>
      <c r="D514" s="364"/>
      <c r="E514" s="678"/>
      <c r="F514" s="678"/>
      <c r="G514" s="678"/>
      <c r="H514" s="364"/>
      <c r="I514" s="364"/>
      <c r="J514" s="364"/>
      <c r="K514" s="364"/>
      <c r="L514" s="786"/>
      <c r="M514" s="364"/>
      <c r="N514" s="364"/>
      <c r="O514" s="364"/>
      <c r="P514" s="364"/>
      <c r="Q514" s="364"/>
      <c r="R514" s="364"/>
      <c r="S514" s="364"/>
      <c r="T514" s="364"/>
      <c r="U514" s="364"/>
      <c r="V514" s="365"/>
      <c r="W514" s="367"/>
      <c r="X514" s="3"/>
      <c r="Y514" s="366"/>
      <c r="Z514" s="678"/>
      <c r="AA514" s="796"/>
      <c r="AB514" s="796"/>
      <c r="AC514" s="705"/>
      <c r="AD514" s="705"/>
      <c r="AE514" s="705"/>
      <c r="AF514" s="362"/>
      <c r="AG514" s="362"/>
      <c r="AH514" s="362"/>
      <c r="AI514" s="362"/>
      <c r="AJ514" s="2"/>
      <c r="AK514" s="2"/>
      <c r="AL514" s="2"/>
      <c r="AM514" s="2"/>
      <c r="AN514" s="2"/>
      <c r="AO514" s="2"/>
      <c r="AP514" s="2"/>
      <c r="AQ514" s="364"/>
      <c r="AR514" s="577"/>
      <c r="AS514" s="364"/>
      <c r="AT514" s="577"/>
      <c r="AU514" s="364"/>
      <c r="AV514" s="364"/>
      <c r="AW514" s="364"/>
      <c r="AX514" s="364"/>
      <c r="AY514" s="577"/>
      <c r="AZ514" s="577"/>
      <c r="BA514" s="577"/>
      <c r="BB514" s="926"/>
      <c r="BC514" s="364"/>
      <c r="BD514" s="364"/>
      <c r="BE514" s="577"/>
      <c r="BF514" s="364"/>
      <c r="BG514" s="384"/>
      <c r="BH514" s="577"/>
      <c r="BI514" s="364"/>
      <c r="BJ514" s="364"/>
      <c r="BK514" s="364"/>
      <c r="BL514" s="364"/>
      <c r="BM514" s="384"/>
      <c r="BN514" s="364"/>
      <c r="BO514" s="364"/>
      <c r="BP514" s="364"/>
      <c r="BQ514" s="388"/>
      <c r="BR514" s="388"/>
      <c r="BS514" s="388"/>
      <c r="BT514" s="388"/>
      <c r="BU514" s="384"/>
      <c r="BV514" s="384"/>
      <c r="BW514" s="387"/>
      <c r="BX514" s="387"/>
      <c r="BY514" s="388"/>
      <c r="BZ514" s="388"/>
      <c r="CA514" s="388"/>
      <c r="CB514" s="387"/>
      <c r="CC514" s="387"/>
      <c r="CE514" s="2"/>
      <c r="CF514" s="2"/>
      <c r="CG514" s="2"/>
      <c r="CH514" s="2"/>
      <c r="CI514" s="2"/>
      <c r="CJ514" s="2"/>
      <c r="CK514" s="2"/>
      <c r="CL514" s="2"/>
      <c r="CM514" s="2"/>
      <c r="CN514" s="2"/>
      <c r="CO514" s="2"/>
      <c r="CP514" s="2"/>
      <c r="CQ514" s="2"/>
      <c r="CR514" s="2"/>
      <c r="CS514" s="364"/>
      <c r="CT514" s="364"/>
      <c r="CU514" s="364"/>
      <c r="CV514" s="407"/>
      <c r="CW514" s="407"/>
      <c r="CX514" s="407"/>
      <c r="CY514" s="407"/>
      <c r="CZ514" s="404"/>
      <c r="DA514" s="404"/>
      <c r="DB514" s="404"/>
      <c r="DC514" s="404"/>
      <c r="DD514" s="407"/>
      <c r="DE514" s="407"/>
      <c r="DF514" s="407"/>
      <c r="DG514" s="407"/>
      <c r="DH514" s="407"/>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row>
    <row r="515" spans="1:150" s="357" customFormat="1">
      <c r="A515" s="364"/>
      <c r="B515" s="678"/>
      <c r="C515" s="364"/>
      <c r="D515" s="364"/>
      <c r="E515" s="678"/>
      <c r="F515" s="678"/>
      <c r="G515" s="678"/>
      <c r="H515" s="364"/>
      <c r="I515" s="364"/>
      <c r="J515" s="364"/>
      <c r="K515" s="364"/>
      <c r="L515" s="786"/>
      <c r="M515" s="364"/>
      <c r="N515" s="364"/>
      <c r="O515" s="364"/>
      <c r="P515" s="364"/>
      <c r="Q515" s="364"/>
      <c r="R515" s="364"/>
      <c r="S515" s="364"/>
      <c r="T515" s="364"/>
      <c r="U515" s="364"/>
      <c r="V515" s="365"/>
      <c r="W515" s="367"/>
      <c r="X515" s="3"/>
      <c r="Y515" s="366"/>
      <c r="Z515" s="678"/>
      <c r="AA515" s="796"/>
      <c r="AB515" s="796"/>
      <c r="AC515" s="705"/>
      <c r="AD515" s="705"/>
      <c r="AE515" s="705"/>
      <c r="AF515" s="362"/>
      <c r="AG515" s="362"/>
      <c r="AH515" s="362"/>
      <c r="AI515" s="362"/>
      <c r="AJ515" s="2"/>
      <c r="AK515" s="2"/>
      <c r="AL515" s="2"/>
      <c r="AM515" s="2"/>
      <c r="AN515" s="2"/>
      <c r="AO515" s="2"/>
      <c r="AP515" s="2"/>
      <c r="AQ515" s="364"/>
      <c r="AR515" s="577"/>
      <c r="AS515" s="364"/>
      <c r="AT515" s="577"/>
      <c r="AU515" s="364"/>
      <c r="AV515" s="364"/>
      <c r="AW515" s="364"/>
      <c r="AX515" s="364"/>
      <c r="AY515" s="577"/>
      <c r="AZ515" s="577"/>
      <c r="BA515" s="577"/>
      <c r="BB515" s="926"/>
      <c r="BC515" s="364"/>
      <c r="BD515" s="364"/>
      <c r="BE515" s="577"/>
      <c r="BF515" s="364"/>
      <c r="BG515" s="384"/>
      <c r="BH515" s="577"/>
      <c r="BI515" s="364"/>
      <c r="BJ515" s="364"/>
      <c r="BK515" s="364"/>
      <c r="BL515" s="364"/>
      <c r="BM515" s="384"/>
      <c r="BN515" s="364"/>
      <c r="BO515" s="364"/>
      <c r="BP515" s="364"/>
      <c r="BQ515" s="388"/>
      <c r="BR515" s="388"/>
      <c r="BS515" s="388"/>
      <c r="BT515" s="388"/>
      <c r="BU515" s="384"/>
      <c r="BV515" s="384"/>
      <c r="BW515" s="387"/>
      <c r="BX515" s="387"/>
      <c r="BY515" s="388"/>
      <c r="BZ515" s="388"/>
      <c r="CA515" s="388"/>
      <c r="CB515" s="387"/>
      <c r="CC515" s="387"/>
      <c r="CE515" s="2"/>
      <c r="CF515" s="2"/>
      <c r="CG515" s="2"/>
      <c r="CH515" s="2"/>
      <c r="CI515" s="2"/>
      <c r="CJ515" s="2"/>
      <c r="CK515" s="2"/>
      <c r="CL515" s="2"/>
      <c r="CM515" s="2"/>
      <c r="CN515" s="2"/>
      <c r="CO515" s="2"/>
      <c r="CP515" s="2"/>
      <c r="CQ515" s="2"/>
      <c r="CR515" s="2"/>
      <c r="CS515" s="364"/>
      <c r="CT515" s="364"/>
      <c r="CU515" s="364"/>
      <c r="CV515" s="407"/>
      <c r="CW515" s="407"/>
      <c r="CX515" s="407"/>
      <c r="CY515" s="407"/>
      <c r="CZ515" s="404"/>
      <c r="DA515" s="404"/>
      <c r="DB515" s="404"/>
      <c r="DC515" s="404"/>
      <c r="DD515" s="407"/>
      <c r="DE515" s="407"/>
      <c r="DF515" s="407"/>
      <c r="DG515" s="407"/>
      <c r="DH515" s="407"/>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row>
    <row r="516" spans="1:150" s="357" customFormat="1">
      <c r="A516" s="364"/>
      <c r="B516" s="678"/>
      <c r="C516" s="364"/>
      <c r="D516" s="364"/>
      <c r="E516" s="678"/>
      <c r="F516" s="678"/>
      <c r="G516" s="678"/>
      <c r="H516" s="364"/>
      <c r="I516" s="364"/>
      <c r="J516" s="364"/>
      <c r="K516" s="364"/>
      <c r="L516" s="786"/>
      <c r="M516" s="364"/>
      <c r="N516" s="364"/>
      <c r="O516" s="364"/>
      <c r="P516" s="364"/>
      <c r="Q516" s="364"/>
      <c r="R516" s="364"/>
      <c r="S516" s="364"/>
      <c r="T516" s="364"/>
      <c r="U516" s="364"/>
      <c r="V516" s="365"/>
      <c r="W516" s="367"/>
      <c r="X516" s="3"/>
      <c r="Y516" s="366"/>
      <c r="Z516" s="678"/>
      <c r="AA516" s="796"/>
      <c r="AB516" s="796"/>
      <c r="AC516" s="705"/>
      <c r="AD516" s="705"/>
      <c r="AE516" s="705"/>
      <c r="AF516" s="362"/>
      <c r="AG516" s="362"/>
      <c r="AH516" s="362"/>
      <c r="AI516" s="362"/>
      <c r="AJ516" s="2"/>
      <c r="AK516" s="2"/>
      <c r="AL516" s="2"/>
      <c r="AM516" s="2"/>
      <c r="AN516" s="2"/>
      <c r="AO516" s="2"/>
      <c r="AP516" s="2"/>
      <c r="AQ516" s="364"/>
      <c r="AR516" s="577"/>
      <c r="AS516" s="364"/>
      <c r="AT516" s="577"/>
      <c r="AU516" s="364"/>
      <c r="AV516" s="364"/>
      <c r="AW516" s="364"/>
      <c r="AX516" s="364"/>
      <c r="AY516" s="577"/>
      <c r="AZ516" s="577"/>
      <c r="BA516" s="577"/>
      <c r="BB516" s="926"/>
      <c r="BC516" s="364"/>
      <c r="BD516" s="364"/>
      <c r="BE516" s="577"/>
      <c r="BF516" s="364"/>
      <c r="BG516" s="384"/>
      <c r="BH516" s="577"/>
      <c r="BI516" s="364"/>
      <c r="BJ516" s="364"/>
      <c r="BK516" s="364"/>
      <c r="BL516" s="364"/>
      <c r="BM516" s="384"/>
      <c r="BN516" s="364"/>
      <c r="BO516" s="364"/>
      <c r="BP516" s="364"/>
      <c r="BQ516" s="388"/>
      <c r="BR516" s="388"/>
      <c r="BS516" s="388"/>
      <c r="BT516" s="388"/>
      <c r="BU516" s="384"/>
      <c r="BV516" s="384"/>
      <c r="BW516" s="387"/>
      <c r="BX516" s="387"/>
      <c r="BY516" s="388"/>
      <c r="BZ516" s="388"/>
      <c r="CA516" s="388"/>
      <c r="CB516" s="387"/>
      <c r="CC516" s="387"/>
      <c r="CE516" s="2"/>
      <c r="CF516" s="2"/>
      <c r="CG516" s="2"/>
      <c r="CH516" s="2"/>
      <c r="CI516" s="2"/>
      <c r="CJ516" s="2"/>
      <c r="CK516" s="2"/>
      <c r="CL516" s="2"/>
      <c r="CM516" s="2"/>
      <c r="CN516" s="2"/>
      <c r="CO516" s="2"/>
      <c r="CP516" s="2"/>
      <c r="CQ516" s="2"/>
      <c r="CR516" s="2"/>
      <c r="CS516" s="364"/>
      <c r="CT516" s="364"/>
      <c r="CU516" s="364"/>
      <c r="CV516" s="407"/>
      <c r="CW516" s="407"/>
      <c r="CX516" s="407"/>
      <c r="CY516" s="407"/>
      <c r="CZ516" s="404"/>
      <c r="DA516" s="404"/>
      <c r="DB516" s="404"/>
      <c r="DC516" s="404"/>
      <c r="DD516" s="407"/>
      <c r="DE516" s="407"/>
      <c r="DF516" s="407"/>
      <c r="DG516" s="407"/>
      <c r="DH516" s="407"/>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row>
    <row r="517" spans="1:150" s="357" customFormat="1">
      <c r="A517" s="364"/>
      <c r="B517" s="678"/>
      <c r="C517" s="364"/>
      <c r="D517" s="364"/>
      <c r="E517" s="678"/>
      <c r="F517" s="678"/>
      <c r="G517" s="678"/>
      <c r="H517" s="364"/>
      <c r="I517" s="364"/>
      <c r="J517" s="364"/>
      <c r="K517" s="364"/>
      <c r="L517" s="786"/>
      <c r="M517" s="364"/>
      <c r="N517" s="364"/>
      <c r="O517" s="364"/>
      <c r="P517" s="364"/>
      <c r="Q517" s="364"/>
      <c r="R517" s="364"/>
      <c r="S517" s="364"/>
      <c r="T517" s="364"/>
      <c r="U517" s="364"/>
      <c r="V517" s="365"/>
      <c r="W517" s="367"/>
      <c r="X517" s="3"/>
      <c r="Y517" s="366"/>
      <c r="Z517" s="678"/>
      <c r="AA517" s="796"/>
      <c r="AB517" s="796"/>
      <c r="AC517" s="705"/>
      <c r="AD517" s="705"/>
      <c r="AE517" s="705"/>
      <c r="AF517" s="362"/>
      <c r="AG517" s="362"/>
      <c r="AH517" s="362"/>
      <c r="AI517" s="362"/>
      <c r="AJ517" s="2"/>
      <c r="AK517" s="2"/>
      <c r="AL517" s="2"/>
      <c r="AM517" s="2"/>
      <c r="AN517" s="2"/>
      <c r="AO517" s="2"/>
      <c r="AP517" s="2"/>
      <c r="AQ517" s="364"/>
      <c r="AR517" s="577"/>
      <c r="AS517" s="364"/>
      <c r="AT517" s="577"/>
      <c r="AU517" s="364"/>
      <c r="AV517" s="364"/>
      <c r="AW517" s="364"/>
      <c r="AX517" s="364"/>
      <c r="AY517" s="577"/>
      <c r="AZ517" s="577"/>
      <c r="BA517" s="577"/>
      <c r="BB517" s="926"/>
      <c r="BC517" s="364"/>
      <c r="BD517" s="364"/>
      <c r="BE517" s="577"/>
      <c r="BF517" s="364"/>
      <c r="BG517" s="384"/>
      <c r="BH517" s="577"/>
      <c r="BI517" s="364"/>
      <c r="BJ517" s="364"/>
      <c r="BK517" s="364"/>
      <c r="BL517" s="364"/>
      <c r="BM517" s="384"/>
      <c r="BN517" s="364"/>
      <c r="BO517" s="364"/>
      <c r="BP517" s="364"/>
      <c r="BQ517" s="388"/>
      <c r="BR517" s="388"/>
      <c r="BS517" s="388"/>
      <c r="BT517" s="388"/>
      <c r="BU517" s="384"/>
      <c r="BV517" s="384"/>
      <c r="BW517" s="387"/>
      <c r="BX517" s="387"/>
      <c r="BY517" s="388"/>
      <c r="BZ517" s="388"/>
      <c r="CA517" s="388"/>
      <c r="CB517" s="387"/>
      <c r="CC517" s="387"/>
      <c r="CE517" s="2"/>
      <c r="CF517" s="2"/>
      <c r="CG517" s="2"/>
      <c r="CH517" s="2"/>
      <c r="CI517" s="2"/>
      <c r="CJ517" s="2"/>
      <c r="CK517" s="2"/>
      <c r="CL517" s="2"/>
      <c r="CM517" s="2"/>
      <c r="CN517" s="2"/>
      <c r="CO517" s="2"/>
      <c r="CP517" s="2"/>
      <c r="CQ517" s="2"/>
      <c r="CR517" s="2"/>
      <c r="CS517" s="364"/>
      <c r="CT517" s="364"/>
      <c r="CU517" s="364"/>
      <c r="CV517" s="407"/>
      <c r="CW517" s="407"/>
      <c r="CX517" s="407"/>
      <c r="CY517" s="407"/>
      <c r="CZ517" s="404"/>
      <c r="DA517" s="404"/>
      <c r="DB517" s="404"/>
      <c r="DC517" s="404"/>
      <c r="DD517" s="407"/>
      <c r="DE517" s="407"/>
      <c r="DF517" s="407"/>
      <c r="DG517" s="407"/>
      <c r="DH517" s="407"/>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row>
    <row r="518" spans="1:150" s="357" customFormat="1">
      <c r="A518" s="364"/>
      <c r="B518" s="678"/>
      <c r="C518" s="364"/>
      <c r="D518" s="364"/>
      <c r="E518" s="678"/>
      <c r="F518" s="678"/>
      <c r="G518" s="678"/>
      <c r="H518" s="364"/>
      <c r="I518" s="364"/>
      <c r="J518" s="364"/>
      <c r="K518" s="364"/>
      <c r="L518" s="786"/>
      <c r="M518" s="364"/>
      <c r="N518" s="364"/>
      <c r="O518" s="364"/>
      <c r="P518" s="364"/>
      <c r="Q518" s="364"/>
      <c r="R518" s="364"/>
      <c r="S518" s="364"/>
      <c r="T518" s="364"/>
      <c r="U518" s="364"/>
      <c r="V518" s="365"/>
      <c r="W518" s="367"/>
      <c r="X518" s="3"/>
      <c r="Y518" s="366"/>
      <c r="Z518" s="678"/>
      <c r="AA518" s="796"/>
      <c r="AB518" s="796"/>
      <c r="AC518" s="705"/>
      <c r="AD518" s="705"/>
      <c r="AE518" s="705"/>
      <c r="AF518" s="362"/>
      <c r="AG518" s="362"/>
      <c r="AH518" s="362"/>
      <c r="AI518" s="362"/>
      <c r="AJ518" s="2"/>
      <c r="AK518" s="2"/>
      <c r="AL518" s="2"/>
      <c r="AM518" s="2"/>
      <c r="AN518" s="2"/>
      <c r="AO518" s="2"/>
      <c r="AP518" s="2"/>
      <c r="AQ518" s="364"/>
      <c r="AR518" s="577"/>
      <c r="AS518" s="364"/>
      <c r="AT518" s="577"/>
      <c r="AU518" s="364"/>
      <c r="AV518" s="364"/>
      <c r="AW518" s="364"/>
      <c r="AX518" s="364"/>
      <c r="AY518" s="577"/>
      <c r="AZ518" s="577"/>
      <c r="BA518" s="577"/>
      <c r="BB518" s="926"/>
      <c r="BC518" s="364"/>
      <c r="BD518" s="364"/>
      <c r="BE518" s="577"/>
      <c r="BF518" s="364"/>
      <c r="BG518" s="384"/>
      <c r="BH518" s="577"/>
      <c r="BI518" s="364"/>
      <c r="BJ518" s="364"/>
      <c r="BK518" s="364"/>
      <c r="BL518" s="364"/>
      <c r="BM518" s="384"/>
      <c r="BN518" s="364"/>
      <c r="BO518" s="364"/>
      <c r="BP518" s="364"/>
      <c r="BQ518" s="388"/>
      <c r="BR518" s="388"/>
      <c r="BS518" s="388"/>
      <c r="BT518" s="388"/>
      <c r="BU518" s="384"/>
      <c r="BV518" s="384"/>
      <c r="BW518" s="387"/>
      <c r="BX518" s="387"/>
      <c r="BY518" s="388"/>
      <c r="BZ518" s="388"/>
      <c r="CA518" s="388"/>
      <c r="CB518" s="387"/>
      <c r="CC518" s="387"/>
      <c r="CE518" s="2"/>
      <c r="CF518" s="2"/>
      <c r="CG518" s="2"/>
      <c r="CH518" s="2"/>
      <c r="CI518" s="2"/>
      <c r="CJ518" s="2"/>
      <c r="CK518" s="2"/>
      <c r="CL518" s="2"/>
      <c r="CM518" s="2"/>
      <c r="CN518" s="2"/>
      <c r="CO518" s="2"/>
      <c r="CP518" s="2"/>
      <c r="CQ518" s="2"/>
      <c r="CR518" s="2"/>
      <c r="CS518" s="364"/>
      <c r="CT518" s="364"/>
      <c r="CU518" s="364"/>
      <c r="CV518" s="407"/>
      <c r="CW518" s="407"/>
      <c r="CX518" s="407"/>
      <c r="CY518" s="407"/>
      <c r="CZ518" s="404"/>
      <c r="DA518" s="404"/>
      <c r="DB518" s="404"/>
      <c r="DC518" s="404"/>
      <c r="DD518" s="407"/>
      <c r="DE518" s="407"/>
      <c r="DF518" s="407"/>
      <c r="DG518" s="407"/>
      <c r="DH518" s="407"/>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row>
    <row r="519" spans="1:150" s="357" customFormat="1">
      <c r="A519" s="364"/>
      <c r="B519" s="678"/>
      <c r="C519" s="364"/>
      <c r="D519" s="364"/>
      <c r="E519" s="678"/>
      <c r="F519" s="678"/>
      <c r="G519" s="678"/>
      <c r="H519" s="364"/>
      <c r="I519" s="364"/>
      <c r="J519" s="364"/>
      <c r="K519" s="364"/>
      <c r="L519" s="786"/>
      <c r="M519" s="364"/>
      <c r="N519" s="364"/>
      <c r="O519" s="364"/>
      <c r="P519" s="364"/>
      <c r="Q519" s="364"/>
      <c r="R519" s="364"/>
      <c r="S519" s="364"/>
      <c r="T519" s="364"/>
      <c r="U519" s="364"/>
      <c r="V519" s="365"/>
      <c r="W519" s="367"/>
      <c r="X519" s="3"/>
      <c r="Y519" s="366"/>
      <c r="Z519" s="678"/>
      <c r="AA519" s="796"/>
      <c r="AB519" s="796"/>
      <c r="AC519" s="705"/>
      <c r="AD519" s="705"/>
      <c r="AE519" s="705"/>
      <c r="AF519" s="362"/>
      <c r="AG519" s="362"/>
      <c r="AH519" s="362"/>
      <c r="AI519" s="362"/>
      <c r="AJ519" s="2"/>
      <c r="AK519" s="2"/>
      <c r="AL519" s="2"/>
      <c r="AM519" s="2"/>
      <c r="AN519" s="2"/>
      <c r="AO519" s="2"/>
      <c r="AP519" s="2"/>
      <c r="AQ519" s="364"/>
      <c r="AR519" s="577"/>
      <c r="AS519" s="364"/>
      <c r="AT519" s="577"/>
      <c r="AU519" s="364"/>
      <c r="AV519" s="364"/>
      <c r="AW519" s="364"/>
      <c r="AX519" s="364"/>
      <c r="AY519" s="577"/>
      <c r="AZ519" s="577"/>
      <c r="BA519" s="577"/>
      <c r="BB519" s="926"/>
      <c r="BC519" s="364"/>
      <c r="BD519" s="364"/>
      <c r="BE519" s="577"/>
      <c r="BF519" s="364"/>
      <c r="BG519" s="384"/>
      <c r="BH519" s="577"/>
      <c r="BI519" s="364"/>
      <c r="BJ519" s="364"/>
      <c r="BK519" s="364"/>
      <c r="BL519" s="364"/>
      <c r="BM519" s="384"/>
      <c r="BN519" s="364"/>
      <c r="BO519" s="364"/>
      <c r="BP519" s="364"/>
      <c r="BQ519" s="388"/>
      <c r="BR519" s="388"/>
      <c r="BS519" s="388"/>
      <c r="BT519" s="388"/>
      <c r="BU519" s="384"/>
      <c r="BV519" s="384"/>
      <c r="BW519" s="387"/>
      <c r="BX519" s="387"/>
      <c r="BY519" s="388"/>
      <c r="BZ519" s="388"/>
      <c r="CA519" s="388"/>
      <c r="CB519" s="387"/>
      <c r="CC519" s="387"/>
      <c r="CE519" s="2"/>
      <c r="CF519" s="2"/>
      <c r="CG519" s="2"/>
      <c r="CH519" s="2"/>
      <c r="CI519" s="2"/>
      <c r="CJ519" s="2"/>
      <c r="CK519" s="2"/>
      <c r="CL519" s="2"/>
      <c r="CM519" s="2"/>
      <c r="CN519" s="2"/>
      <c r="CO519" s="2"/>
      <c r="CP519" s="2"/>
      <c r="CQ519" s="2"/>
      <c r="CR519" s="2"/>
      <c r="CS519" s="364"/>
      <c r="CT519" s="364"/>
      <c r="CU519" s="364"/>
      <c r="CV519" s="407"/>
      <c r="CW519" s="407"/>
      <c r="CX519" s="407"/>
      <c r="CY519" s="407"/>
      <c r="CZ519" s="404"/>
      <c r="DA519" s="404"/>
      <c r="DB519" s="404"/>
      <c r="DC519" s="404"/>
      <c r="DD519" s="407"/>
      <c r="DE519" s="407"/>
      <c r="DF519" s="407"/>
      <c r="DG519" s="407"/>
      <c r="DH519" s="407"/>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row>
    <row r="520" spans="1:150" s="357" customFormat="1">
      <c r="A520" s="364"/>
      <c r="B520" s="678"/>
      <c r="C520" s="364"/>
      <c r="D520" s="364"/>
      <c r="E520" s="678"/>
      <c r="F520" s="678"/>
      <c r="G520" s="678"/>
      <c r="H520" s="364"/>
      <c r="I520" s="364"/>
      <c r="J520" s="364"/>
      <c r="K520" s="364"/>
      <c r="L520" s="786"/>
      <c r="M520" s="364"/>
      <c r="N520" s="364"/>
      <c r="O520" s="364"/>
      <c r="P520" s="364"/>
      <c r="Q520" s="364"/>
      <c r="R520" s="364"/>
      <c r="S520" s="364"/>
      <c r="T520" s="364"/>
      <c r="U520" s="364"/>
      <c r="V520" s="365"/>
      <c r="W520" s="367"/>
      <c r="X520" s="3"/>
      <c r="Y520" s="366"/>
      <c r="Z520" s="678"/>
      <c r="AA520" s="796"/>
      <c r="AB520" s="796"/>
      <c r="AC520" s="705"/>
      <c r="AD520" s="705"/>
      <c r="AE520" s="705"/>
      <c r="AF520" s="362"/>
      <c r="AG520" s="362"/>
      <c r="AH520" s="362"/>
      <c r="AI520" s="362"/>
      <c r="AJ520" s="2"/>
      <c r="AK520" s="2"/>
      <c r="AL520" s="2"/>
      <c r="AM520" s="2"/>
      <c r="AN520" s="2"/>
      <c r="AO520" s="2"/>
      <c r="AP520" s="2"/>
      <c r="AQ520" s="364"/>
      <c r="AR520" s="577"/>
      <c r="AS520" s="364"/>
      <c r="AT520" s="577"/>
      <c r="AU520" s="364"/>
      <c r="AV520" s="364"/>
      <c r="AW520" s="364"/>
      <c r="AX520" s="364"/>
      <c r="AY520" s="577"/>
      <c r="AZ520" s="577"/>
      <c r="BA520" s="577"/>
      <c r="BB520" s="926"/>
      <c r="BC520" s="364"/>
      <c r="BD520" s="364"/>
      <c r="BE520" s="577"/>
      <c r="BF520" s="364"/>
      <c r="BG520" s="384"/>
      <c r="BH520" s="577"/>
      <c r="BI520" s="364"/>
      <c r="BJ520" s="364"/>
      <c r="BK520" s="364"/>
      <c r="BL520" s="364"/>
      <c r="BM520" s="384"/>
      <c r="BN520" s="364"/>
      <c r="BO520" s="364"/>
      <c r="BP520" s="364"/>
      <c r="BQ520" s="388"/>
      <c r="BR520" s="388"/>
      <c r="BS520" s="388"/>
      <c r="BT520" s="388"/>
      <c r="BU520" s="384"/>
      <c r="BV520" s="384"/>
      <c r="BW520" s="387"/>
      <c r="BX520" s="387"/>
      <c r="BY520" s="388"/>
      <c r="BZ520" s="388"/>
      <c r="CA520" s="388"/>
      <c r="CB520" s="387"/>
      <c r="CC520" s="387"/>
      <c r="CE520" s="2"/>
      <c r="CF520" s="2"/>
      <c r="CG520" s="2"/>
      <c r="CH520" s="2"/>
      <c r="CI520" s="2"/>
      <c r="CJ520" s="2"/>
      <c r="CK520" s="2"/>
      <c r="CL520" s="2"/>
      <c r="CM520" s="2"/>
      <c r="CN520" s="2"/>
      <c r="CO520" s="2"/>
      <c r="CP520" s="2"/>
      <c r="CQ520" s="2"/>
      <c r="CR520" s="2"/>
      <c r="CS520" s="364"/>
      <c r="CT520" s="364"/>
      <c r="CU520" s="364"/>
      <c r="CV520" s="407"/>
      <c r="CW520" s="407"/>
      <c r="CX520" s="407"/>
      <c r="CY520" s="407"/>
      <c r="CZ520" s="404"/>
      <c r="DA520" s="404"/>
      <c r="DB520" s="404"/>
      <c r="DC520" s="404"/>
      <c r="DD520" s="407"/>
      <c r="DE520" s="407"/>
      <c r="DF520" s="407"/>
      <c r="DG520" s="407"/>
      <c r="DH520" s="407"/>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row>
    <row r="521" spans="1:150" s="357" customFormat="1">
      <c r="A521" s="364"/>
      <c r="B521" s="678"/>
      <c r="C521" s="364"/>
      <c r="D521" s="364"/>
      <c r="E521" s="678"/>
      <c r="F521" s="678"/>
      <c r="G521" s="678"/>
      <c r="H521" s="364"/>
      <c r="I521" s="364"/>
      <c r="J521" s="364"/>
      <c r="K521" s="364"/>
      <c r="L521" s="786"/>
      <c r="M521" s="364"/>
      <c r="N521" s="364"/>
      <c r="O521" s="364"/>
      <c r="P521" s="364"/>
      <c r="Q521" s="364"/>
      <c r="R521" s="364"/>
      <c r="S521" s="364"/>
      <c r="T521" s="364"/>
      <c r="U521" s="364"/>
      <c r="V521" s="365"/>
      <c r="W521" s="367"/>
      <c r="X521" s="3"/>
      <c r="Y521" s="366"/>
      <c r="Z521" s="678"/>
      <c r="AA521" s="796"/>
      <c r="AB521" s="796"/>
      <c r="AC521" s="705"/>
      <c r="AD521" s="705"/>
      <c r="AE521" s="705"/>
      <c r="AF521" s="362"/>
      <c r="AG521" s="362"/>
      <c r="AH521" s="362"/>
      <c r="AI521" s="362"/>
      <c r="AJ521" s="2"/>
      <c r="AK521" s="2"/>
      <c r="AL521" s="2"/>
      <c r="AM521" s="2"/>
      <c r="AN521" s="2"/>
      <c r="AO521" s="2"/>
      <c r="AP521" s="2"/>
      <c r="AQ521" s="364"/>
      <c r="AR521" s="577"/>
      <c r="AS521" s="364"/>
      <c r="AT521" s="577"/>
      <c r="AU521" s="364"/>
      <c r="AV521" s="364"/>
      <c r="AW521" s="364"/>
      <c r="AX521" s="364"/>
      <c r="AY521" s="577"/>
      <c r="AZ521" s="577"/>
      <c r="BA521" s="577"/>
      <c r="BB521" s="926"/>
      <c r="BC521" s="364"/>
      <c r="BD521" s="364"/>
      <c r="BE521" s="577"/>
      <c r="BF521" s="364"/>
      <c r="BG521" s="384"/>
      <c r="BH521" s="577"/>
      <c r="BI521" s="364"/>
      <c r="BJ521" s="364"/>
      <c r="BK521" s="364"/>
      <c r="BL521" s="364"/>
      <c r="BM521" s="384"/>
      <c r="BN521" s="364"/>
      <c r="BO521" s="364"/>
      <c r="BP521" s="364"/>
      <c r="BQ521" s="388"/>
      <c r="BR521" s="388"/>
      <c r="BS521" s="388"/>
      <c r="BT521" s="388"/>
      <c r="BU521" s="384"/>
      <c r="BV521" s="384"/>
      <c r="BW521" s="387"/>
      <c r="BX521" s="387"/>
      <c r="BY521" s="388"/>
      <c r="BZ521" s="388"/>
      <c r="CA521" s="388"/>
      <c r="CB521" s="387"/>
      <c r="CC521" s="387"/>
      <c r="CE521" s="2"/>
      <c r="CF521" s="2"/>
      <c r="CG521" s="2"/>
      <c r="CH521" s="2"/>
      <c r="CI521" s="2"/>
      <c r="CJ521" s="2"/>
      <c r="CK521" s="2"/>
      <c r="CL521" s="2"/>
      <c r="CM521" s="2"/>
      <c r="CN521" s="2"/>
      <c r="CO521" s="2"/>
      <c r="CP521" s="2"/>
      <c r="CQ521" s="2"/>
      <c r="CR521" s="2"/>
      <c r="CS521" s="364"/>
      <c r="CT521" s="364"/>
      <c r="CU521" s="364"/>
      <c r="CV521" s="407"/>
      <c r="CW521" s="407"/>
      <c r="CX521" s="407"/>
      <c r="CY521" s="407"/>
      <c r="CZ521" s="404"/>
      <c r="DA521" s="404"/>
      <c r="DB521" s="404"/>
      <c r="DC521" s="404"/>
      <c r="DD521" s="407"/>
      <c r="DE521" s="407"/>
      <c r="DF521" s="407"/>
      <c r="DG521" s="407"/>
      <c r="DH521" s="407"/>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row>
    <row r="522" spans="1:150" s="357" customFormat="1">
      <c r="A522" s="364"/>
      <c r="B522" s="678"/>
      <c r="C522" s="364"/>
      <c r="D522" s="364"/>
      <c r="E522" s="678"/>
      <c r="F522" s="678"/>
      <c r="G522" s="678"/>
      <c r="H522" s="364"/>
      <c r="I522" s="364"/>
      <c r="J522" s="364"/>
      <c r="K522" s="364"/>
      <c r="L522" s="786"/>
      <c r="M522" s="364"/>
      <c r="N522" s="364"/>
      <c r="O522" s="364"/>
      <c r="P522" s="364"/>
      <c r="Q522" s="364"/>
      <c r="R522" s="364"/>
      <c r="S522" s="364"/>
      <c r="T522" s="364"/>
      <c r="U522" s="364"/>
      <c r="V522" s="365"/>
      <c r="W522" s="367"/>
      <c r="X522" s="3"/>
      <c r="Y522" s="366"/>
      <c r="Z522" s="678"/>
      <c r="AA522" s="796"/>
      <c r="AB522" s="796"/>
      <c r="AC522" s="705"/>
      <c r="AD522" s="705"/>
      <c r="AE522" s="705"/>
      <c r="AF522" s="362"/>
      <c r="AG522" s="362"/>
      <c r="AH522" s="362"/>
      <c r="AI522" s="362"/>
      <c r="AJ522" s="2"/>
      <c r="AK522" s="2"/>
      <c r="AL522" s="2"/>
      <c r="AM522" s="2"/>
      <c r="AN522" s="2"/>
      <c r="AO522" s="2"/>
      <c r="AP522" s="2"/>
      <c r="AQ522" s="364"/>
      <c r="AR522" s="577"/>
      <c r="AS522" s="364"/>
      <c r="AT522" s="577"/>
      <c r="AU522" s="364"/>
      <c r="AV522" s="364"/>
      <c r="AW522" s="364"/>
      <c r="AX522" s="364"/>
      <c r="AY522" s="577"/>
      <c r="AZ522" s="577"/>
      <c r="BA522" s="577"/>
      <c r="BB522" s="926"/>
      <c r="BC522" s="364"/>
      <c r="BD522" s="364"/>
      <c r="BE522" s="577"/>
      <c r="BF522" s="364"/>
      <c r="BG522" s="384"/>
      <c r="BH522" s="577"/>
      <c r="BI522" s="364"/>
      <c r="BJ522" s="364"/>
      <c r="BK522" s="364"/>
      <c r="BL522" s="364"/>
      <c r="BM522" s="384"/>
      <c r="BN522" s="364"/>
      <c r="BO522" s="364"/>
      <c r="BP522" s="364"/>
      <c r="BQ522" s="388"/>
      <c r="BR522" s="388"/>
      <c r="BS522" s="388"/>
      <c r="BT522" s="388"/>
      <c r="BU522" s="384"/>
      <c r="BV522" s="384"/>
      <c r="BW522" s="387"/>
      <c r="BX522" s="387"/>
      <c r="BY522" s="388"/>
      <c r="BZ522" s="388"/>
      <c r="CA522" s="388"/>
      <c r="CB522" s="387"/>
      <c r="CC522" s="387"/>
      <c r="CE522" s="2"/>
      <c r="CF522" s="2"/>
      <c r="CG522" s="2"/>
      <c r="CH522" s="2"/>
      <c r="CI522" s="2"/>
      <c r="CJ522" s="2"/>
      <c r="CK522" s="2"/>
      <c r="CL522" s="2"/>
      <c r="CM522" s="2"/>
      <c r="CN522" s="2"/>
      <c r="CO522" s="2"/>
      <c r="CP522" s="2"/>
      <c r="CQ522" s="2"/>
      <c r="CR522" s="2"/>
      <c r="CS522" s="364"/>
      <c r="CT522" s="364"/>
      <c r="CU522" s="364"/>
      <c r="CV522" s="407"/>
      <c r="CW522" s="407"/>
      <c r="CX522" s="407"/>
      <c r="CY522" s="407"/>
      <c r="CZ522" s="404"/>
      <c r="DA522" s="404"/>
      <c r="DB522" s="404"/>
      <c r="DC522" s="404"/>
      <c r="DD522" s="407"/>
      <c r="DE522" s="407"/>
      <c r="DF522" s="407"/>
      <c r="DG522" s="407"/>
      <c r="DH522" s="407"/>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row>
    <row r="523" spans="1:150" s="357" customFormat="1">
      <c r="A523" s="364"/>
      <c r="B523" s="678"/>
      <c r="C523" s="364"/>
      <c r="D523" s="364"/>
      <c r="E523" s="678"/>
      <c r="F523" s="678"/>
      <c r="G523" s="678"/>
      <c r="H523" s="364"/>
      <c r="I523" s="364"/>
      <c r="J523" s="364"/>
      <c r="K523" s="364"/>
      <c r="L523" s="786"/>
      <c r="M523" s="364"/>
      <c r="N523" s="364"/>
      <c r="O523" s="364"/>
      <c r="P523" s="364"/>
      <c r="Q523" s="364"/>
      <c r="R523" s="364"/>
      <c r="S523" s="364"/>
      <c r="T523" s="364"/>
      <c r="U523" s="364"/>
      <c r="V523" s="365"/>
      <c r="W523" s="367"/>
      <c r="X523" s="3"/>
      <c r="Y523" s="366"/>
      <c r="Z523" s="678"/>
      <c r="AA523" s="796"/>
      <c r="AB523" s="796"/>
      <c r="AC523" s="705"/>
      <c r="AD523" s="705"/>
      <c r="AE523" s="705"/>
      <c r="AF523" s="362"/>
      <c r="AG523" s="362"/>
      <c r="AH523" s="362"/>
      <c r="AI523" s="362"/>
      <c r="AJ523" s="2"/>
      <c r="AK523" s="2"/>
      <c r="AL523" s="2"/>
      <c r="AM523" s="2"/>
      <c r="AN523" s="2"/>
      <c r="AO523" s="2"/>
      <c r="AP523" s="2"/>
      <c r="AQ523" s="364"/>
      <c r="AR523" s="577"/>
      <c r="AS523" s="364"/>
      <c r="AT523" s="577"/>
      <c r="AU523" s="364"/>
      <c r="AV523" s="364"/>
      <c r="AW523" s="364"/>
      <c r="AX523" s="364"/>
      <c r="AY523" s="577"/>
      <c r="AZ523" s="577"/>
      <c r="BA523" s="577"/>
      <c r="BB523" s="926"/>
      <c r="BC523" s="364"/>
      <c r="BD523" s="364"/>
      <c r="BE523" s="577"/>
      <c r="BF523" s="364"/>
      <c r="BG523" s="384"/>
      <c r="BH523" s="577"/>
      <c r="BI523" s="364"/>
      <c r="BJ523" s="364"/>
      <c r="BK523" s="364"/>
      <c r="BL523" s="364"/>
      <c r="BM523" s="384"/>
      <c r="BN523" s="364"/>
      <c r="BO523" s="364"/>
      <c r="BP523" s="364"/>
      <c r="BQ523" s="388"/>
      <c r="BR523" s="388"/>
      <c r="BS523" s="388"/>
      <c r="BT523" s="388"/>
      <c r="BU523" s="384"/>
      <c r="BV523" s="384"/>
      <c r="BW523" s="387"/>
      <c r="BX523" s="387"/>
      <c r="BY523" s="388"/>
      <c r="BZ523" s="388"/>
      <c r="CA523" s="388"/>
      <c r="CB523" s="387"/>
      <c r="CC523" s="387"/>
      <c r="CE523" s="2"/>
      <c r="CF523" s="2"/>
      <c r="CG523" s="2"/>
      <c r="CH523" s="2"/>
      <c r="CI523" s="2"/>
      <c r="CJ523" s="2"/>
      <c r="CK523" s="2"/>
      <c r="CL523" s="2"/>
      <c r="CM523" s="2"/>
      <c r="CN523" s="2"/>
      <c r="CO523" s="2"/>
      <c r="CP523" s="2"/>
      <c r="CQ523" s="2"/>
      <c r="CR523" s="2"/>
      <c r="CS523" s="364"/>
      <c r="CT523" s="364"/>
      <c r="CU523" s="364"/>
      <c r="CV523" s="407"/>
      <c r="CW523" s="407"/>
      <c r="CX523" s="407"/>
      <c r="CY523" s="407"/>
      <c r="CZ523" s="404"/>
      <c r="DA523" s="404"/>
      <c r="DB523" s="404"/>
      <c r="DC523" s="404"/>
      <c r="DD523" s="407"/>
      <c r="DE523" s="407"/>
      <c r="DF523" s="407"/>
      <c r="DG523" s="407"/>
      <c r="DH523" s="407"/>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row>
    <row r="524" spans="1:150" s="357" customFormat="1">
      <c r="A524" s="364"/>
      <c r="B524" s="678"/>
      <c r="C524" s="364"/>
      <c r="D524" s="364"/>
      <c r="E524" s="678"/>
      <c r="F524" s="678"/>
      <c r="G524" s="678"/>
      <c r="H524" s="364"/>
      <c r="I524" s="364"/>
      <c r="J524" s="364"/>
      <c r="K524" s="364"/>
      <c r="L524" s="786"/>
      <c r="M524" s="364"/>
      <c r="N524" s="364"/>
      <c r="O524" s="364"/>
      <c r="P524" s="364"/>
      <c r="Q524" s="364"/>
      <c r="R524" s="364"/>
      <c r="S524" s="364"/>
      <c r="T524" s="364"/>
      <c r="U524" s="364"/>
      <c r="V524" s="365"/>
      <c r="W524" s="367"/>
      <c r="X524" s="3"/>
      <c r="Y524" s="366"/>
      <c r="Z524" s="678"/>
      <c r="AA524" s="796"/>
      <c r="AB524" s="796"/>
      <c r="AC524" s="705"/>
      <c r="AD524" s="705"/>
      <c r="AE524" s="705"/>
      <c r="AF524" s="362"/>
      <c r="AG524" s="362"/>
      <c r="AH524" s="362"/>
      <c r="AI524" s="362"/>
      <c r="AJ524" s="2"/>
      <c r="AK524" s="2"/>
      <c r="AL524" s="2"/>
      <c r="AM524" s="2"/>
      <c r="AN524" s="2"/>
      <c r="AO524" s="2"/>
      <c r="AP524" s="2"/>
      <c r="AQ524" s="364"/>
      <c r="AR524" s="577"/>
      <c r="AS524" s="364"/>
      <c r="AT524" s="577"/>
      <c r="AU524" s="364"/>
      <c r="AV524" s="364"/>
      <c r="AW524" s="364"/>
      <c r="AX524" s="364"/>
      <c r="AY524" s="577"/>
      <c r="AZ524" s="577"/>
      <c r="BA524" s="577"/>
      <c r="BB524" s="926"/>
      <c r="BC524" s="364"/>
      <c r="BD524" s="364"/>
      <c r="BE524" s="577"/>
      <c r="BF524" s="364"/>
      <c r="BG524" s="384"/>
      <c r="BH524" s="577"/>
      <c r="BI524" s="364"/>
      <c r="BJ524" s="364"/>
      <c r="BK524" s="364"/>
      <c r="BL524" s="364"/>
      <c r="BM524" s="384"/>
      <c r="BN524" s="364"/>
      <c r="BO524" s="364"/>
      <c r="BP524" s="364"/>
      <c r="BQ524" s="388"/>
      <c r="BR524" s="388"/>
      <c r="BS524" s="388"/>
      <c r="BT524" s="388"/>
      <c r="BU524" s="384"/>
      <c r="BV524" s="384"/>
      <c r="BW524" s="387"/>
      <c r="BX524" s="387"/>
      <c r="BY524" s="388"/>
      <c r="BZ524" s="388"/>
      <c r="CA524" s="388"/>
      <c r="CB524" s="387"/>
      <c r="CC524" s="387"/>
      <c r="CE524" s="2"/>
      <c r="CF524" s="2"/>
      <c r="CG524" s="2"/>
      <c r="CH524" s="2"/>
      <c r="CI524" s="2"/>
      <c r="CJ524" s="2"/>
      <c r="CK524" s="2"/>
      <c r="CL524" s="2"/>
      <c r="CM524" s="2"/>
      <c r="CN524" s="2"/>
      <c r="CO524" s="2"/>
      <c r="CP524" s="2"/>
      <c r="CQ524" s="2"/>
      <c r="CR524" s="2"/>
      <c r="CS524" s="364"/>
      <c r="CT524" s="364"/>
      <c r="CU524" s="364"/>
      <c r="CV524" s="407"/>
      <c r="CW524" s="407"/>
      <c r="CX524" s="407"/>
      <c r="CY524" s="407"/>
      <c r="CZ524" s="404"/>
      <c r="DA524" s="404"/>
      <c r="DB524" s="404"/>
      <c r="DC524" s="404"/>
      <c r="DD524" s="407"/>
      <c r="DE524" s="407"/>
      <c r="DF524" s="407"/>
      <c r="DG524" s="407"/>
      <c r="DH524" s="407"/>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row>
    <row r="525" spans="1:150" s="357" customFormat="1">
      <c r="A525" s="364"/>
      <c r="B525" s="678"/>
      <c r="C525" s="364"/>
      <c r="D525" s="364"/>
      <c r="E525" s="678"/>
      <c r="F525" s="678"/>
      <c r="G525" s="678"/>
      <c r="H525" s="364"/>
      <c r="I525" s="364"/>
      <c r="J525" s="364"/>
      <c r="K525" s="364"/>
      <c r="L525" s="786"/>
      <c r="M525" s="364"/>
      <c r="N525" s="364"/>
      <c r="O525" s="364"/>
      <c r="P525" s="364"/>
      <c r="Q525" s="364"/>
      <c r="R525" s="364"/>
      <c r="S525" s="364"/>
      <c r="T525" s="364"/>
      <c r="U525" s="364"/>
      <c r="V525" s="365"/>
      <c r="W525" s="367"/>
      <c r="X525" s="3"/>
      <c r="Y525" s="366"/>
      <c r="Z525" s="678"/>
      <c r="AA525" s="796"/>
      <c r="AB525" s="796"/>
      <c r="AC525" s="705"/>
      <c r="AD525" s="705"/>
      <c r="AE525" s="705"/>
      <c r="AF525" s="362"/>
      <c r="AG525" s="362"/>
      <c r="AH525" s="362"/>
      <c r="AI525" s="362"/>
      <c r="AJ525" s="2"/>
      <c r="AK525" s="2"/>
      <c r="AL525" s="2"/>
      <c r="AM525" s="2"/>
      <c r="AN525" s="2"/>
      <c r="AO525" s="2"/>
      <c r="AP525" s="2"/>
      <c r="AQ525" s="364"/>
      <c r="AR525" s="577"/>
      <c r="AS525" s="364"/>
      <c r="AT525" s="577"/>
      <c r="AU525" s="364"/>
      <c r="AV525" s="364"/>
      <c r="AW525" s="364"/>
      <c r="AX525" s="364"/>
      <c r="AY525" s="577"/>
      <c r="AZ525" s="577"/>
      <c r="BA525" s="577"/>
      <c r="BB525" s="926"/>
      <c r="BC525" s="364"/>
      <c r="BD525" s="364"/>
      <c r="BE525" s="577"/>
      <c r="BF525" s="364"/>
      <c r="BG525" s="384"/>
      <c r="BH525" s="577"/>
      <c r="BI525" s="364"/>
      <c r="BJ525" s="364"/>
      <c r="BK525" s="364"/>
      <c r="BL525" s="364"/>
      <c r="BM525" s="384"/>
      <c r="BN525" s="364"/>
      <c r="BO525" s="364"/>
      <c r="BP525" s="364"/>
      <c r="BQ525" s="388"/>
      <c r="BR525" s="388"/>
      <c r="BS525" s="388"/>
      <c r="BT525" s="388"/>
      <c r="BU525" s="384"/>
      <c r="BV525" s="384"/>
      <c r="BW525" s="387"/>
      <c r="BX525" s="387"/>
      <c r="BY525" s="388"/>
      <c r="BZ525" s="388"/>
      <c r="CA525" s="388"/>
      <c r="CB525" s="387"/>
      <c r="CC525" s="387"/>
      <c r="CE525" s="2"/>
      <c r="CF525" s="2"/>
      <c r="CG525" s="2"/>
      <c r="CH525" s="2"/>
      <c r="CI525" s="2"/>
      <c r="CJ525" s="2"/>
      <c r="CK525" s="2"/>
      <c r="CL525" s="2"/>
      <c r="CM525" s="2"/>
      <c r="CN525" s="2"/>
      <c r="CO525" s="2"/>
      <c r="CP525" s="2"/>
      <c r="CQ525" s="2"/>
      <c r="CR525" s="2"/>
      <c r="CS525" s="364"/>
      <c r="CT525" s="364"/>
      <c r="CU525" s="364"/>
      <c r="CV525" s="407"/>
      <c r="CW525" s="407"/>
      <c r="CX525" s="407"/>
      <c r="CY525" s="407"/>
      <c r="CZ525" s="404"/>
      <c r="DA525" s="404"/>
      <c r="DB525" s="404"/>
      <c r="DC525" s="404"/>
      <c r="DD525" s="407"/>
      <c r="DE525" s="407"/>
      <c r="DF525" s="407"/>
      <c r="DG525" s="407"/>
      <c r="DH525" s="407"/>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row>
    <row r="526" spans="1:150" s="357" customFormat="1">
      <c r="A526" s="364"/>
      <c r="B526" s="678"/>
      <c r="C526" s="364"/>
      <c r="D526" s="364"/>
      <c r="E526" s="678"/>
      <c r="F526" s="678"/>
      <c r="G526" s="678"/>
      <c r="H526" s="364"/>
      <c r="I526" s="364"/>
      <c r="J526" s="364"/>
      <c r="K526" s="364"/>
      <c r="L526" s="786"/>
      <c r="M526" s="364"/>
      <c r="N526" s="364"/>
      <c r="O526" s="364"/>
      <c r="P526" s="364"/>
      <c r="Q526" s="364"/>
      <c r="R526" s="364"/>
      <c r="S526" s="364"/>
      <c r="T526" s="364"/>
      <c r="U526" s="364"/>
      <c r="V526" s="365"/>
      <c r="W526" s="367"/>
      <c r="X526" s="3"/>
      <c r="Y526" s="366"/>
      <c r="Z526" s="678"/>
      <c r="AA526" s="796"/>
      <c r="AB526" s="796"/>
      <c r="AC526" s="705"/>
      <c r="AD526" s="705"/>
      <c r="AE526" s="705"/>
      <c r="AF526" s="362"/>
      <c r="AG526" s="362"/>
      <c r="AH526" s="362"/>
      <c r="AI526" s="362"/>
      <c r="AJ526" s="2"/>
      <c r="AK526" s="2"/>
      <c r="AL526" s="2"/>
      <c r="AM526" s="2"/>
      <c r="AN526" s="2"/>
      <c r="AO526" s="2"/>
      <c r="AP526" s="2"/>
      <c r="AQ526" s="364"/>
      <c r="AR526" s="577"/>
      <c r="AS526" s="364"/>
      <c r="AT526" s="577"/>
      <c r="AU526" s="364"/>
      <c r="AV526" s="364"/>
      <c r="AW526" s="364"/>
      <c r="AX526" s="364"/>
      <c r="AY526" s="577"/>
      <c r="AZ526" s="577"/>
      <c r="BA526" s="577"/>
      <c r="BB526" s="926"/>
      <c r="BC526" s="364"/>
      <c r="BD526" s="364"/>
      <c r="BE526" s="577"/>
      <c r="BF526" s="364"/>
      <c r="BG526" s="384"/>
      <c r="BH526" s="577"/>
      <c r="BI526" s="364"/>
      <c r="BJ526" s="364"/>
      <c r="BK526" s="364"/>
      <c r="BL526" s="364"/>
      <c r="BM526" s="384"/>
      <c r="BN526" s="364"/>
      <c r="BO526" s="364"/>
      <c r="BP526" s="364"/>
      <c r="BQ526" s="388"/>
      <c r="BR526" s="388"/>
      <c r="BS526" s="388"/>
      <c r="BT526" s="388"/>
      <c r="BU526" s="384"/>
      <c r="BV526" s="384"/>
      <c r="BW526" s="387"/>
      <c r="BX526" s="387"/>
      <c r="BY526" s="388"/>
      <c r="BZ526" s="388"/>
      <c r="CA526" s="388"/>
      <c r="CB526" s="387"/>
      <c r="CC526" s="387"/>
      <c r="CE526" s="2"/>
      <c r="CF526" s="2"/>
      <c r="CG526" s="2"/>
      <c r="CH526" s="2"/>
      <c r="CI526" s="2"/>
      <c r="CJ526" s="2"/>
      <c r="CK526" s="2"/>
      <c r="CL526" s="2"/>
      <c r="CM526" s="2"/>
      <c r="CN526" s="2"/>
      <c r="CO526" s="2"/>
      <c r="CP526" s="2"/>
      <c r="CQ526" s="2"/>
      <c r="CR526" s="2"/>
      <c r="CS526" s="364"/>
      <c r="CT526" s="364"/>
      <c r="CU526" s="364"/>
      <c r="CV526" s="407"/>
      <c r="CW526" s="407"/>
      <c r="CX526" s="407"/>
      <c r="CY526" s="407"/>
      <c r="CZ526" s="404"/>
      <c r="DA526" s="404"/>
      <c r="DB526" s="404"/>
      <c r="DC526" s="404"/>
      <c r="DD526" s="407"/>
      <c r="DE526" s="407"/>
      <c r="DF526" s="407"/>
      <c r="DG526" s="407"/>
      <c r="DH526" s="407"/>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row>
    <row r="527" spans="1:150" s="357" customFormat="1">
      <c r="A527" s="364"/>
      <c r="B527" s="678"/>
      <c r="C527" s="364"/>
      <c r="D527" s="364"/>
      <c r="E527" s="678"/>
      <c r="F527" s="678"/>
      <c r="G527" s="678"/>
      <c r="H527" s="364"/>
      <c r="I527" s="364"/>
      <c r="J527" s="364"/>
      <c r="K527" s="364"/>
      <c r="L527" s="786"/>
      <c r="M527" s="364"/>
      <c r="N527" s="364"/>
      <c r="O527" s="364"/>
      <c r="P527" s="364"/>
      <c r="Q527" s="364"/>
      <c r="R527" s="364"/>
      <c r="S527" s="364"/>
      <c r="T527" s="364"/>
      <c r="U527" s="364"/>
      <c r="V527" s="365"/>
      <c r="W527" s="367"/>
      <c r="X527" s="3"/>
      <c r="Y527" s="366"/>
      <c r="Z527" s="678"/>
      <c r="AA527" s="796"/>
      <c r="AB527" s="796"/>
      <c r="AC527" s="705"/>
      <c r="AD527" s="705"/>
      <c r="AE527" s="705"/>
      <c r="AF527" s="362"/>
      <c r="AG527" s="362"/>
      <c r="AH527" s="362"/>
      <c r="AI527" s="362"/>
      <c r="AJ527" s="2"/>
      <c r="AK527" s="2"/>
      <c r="AL527" s="2"/>
      <c r="AM527" s="2"/>
      <c r="AN527" s="2"/>
      <c r="AO527" s="2"/>
      <c r="AP527" s="2"/>
      <c r="AQ527" s="364"/>
      <c r="AR527" s="577"/>
      <c r="AS527" s="364"/>
      <c r="AT527" s="577"/>
      <c r="AU527" s="364"/>
      <c r="AV527" s="364"/>
      <c r="AW527" s="364"/>
      <c r="AX527" s="364"/>
      <c r="AY527" s="577"/>
      <c r="AZ527" s="577"/>
      <c r="BA527" s="577"/>
      <c r="BB527" s="926"/>
      <c r="BC527" s="364"/>
      <c r="BD527" s="364"/>
      <c r="BE527" s="577"/>
      <c r="BF527" s="364"/>
      <c r="BG527" s="384"/>
      <c r="BH527" s="577"/>
      <c r="BI527" s="364"/>
      <c r="BJ527" s="364"/>
      <c r="BK527" s="364"/>
      <c r="BL527" s="364"/>
      <c r="BM527" s="384"/>
      <c r="BN527" s="364"/>
      <c r="BO527" s="364"/>
      <c r="BP527" s="364"/>
      <c r="BQ527" s="388"/>
      <c r="BR527" s="388"/>
      <c r="BS527" s="388"/>
      <c r="BT527" s="388"/>
      <c r="BU527" s="384"/>
      <c r="BV527" s="384"/>
      <c r="BW527" s="387"/>
      <c r="BX527" s="387"/>
      <c r="BY527" s="388"/>
      <c r="BZ527" s="388"/>
      <c r="CA527" s="388"/>
      <c r="CB527" s="387"/>
      <c r="CC527" s="387"/>
      <c r="CE527" s="2"/>
      <c r="CF527" s="2"/>
      <c r="CG527" s="2"/>
      <c r="CH527" s="2"/>
      <c r="CI527" s="2"/>
      <c r="CJ527" s="2"/>
      <c r="CK527" s="2"/>
      <c r="CL527" s="2"/>
      <c r="CM527" s="2"/>
      <c r="CN527" s="2"/>
      <c r="CO527" s="2"/>
      <c r="CP527" s="2"/>
      <c r="CQ527" s="2"/>
      <c r="CR527" s="2"/>
      <c r="CS527" s="364"/>
      <c r="CT527" s="364"/>
      <c r="CU527" s="364"/>
      <c r="CV527" s="407"/>
      <c r="CW527" s="407"/>
      <c r="CX527" s="407"/>
      <c r="CY527" s="407"/>
      <c r="CZ527" s="404"/>
      <c r="DA527" s="404"/>
      <c r="DB527" s="404"/>
      <c r="DC527" s="404"/>
      <c r="DD527" s="407"/>
      <c r="DE527" s="407"/>
      <c r="DF527" s="407"/>
      <c r="DG527" s="407"/>
      <c r="DH527" s="407"/>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row>
    <row r="528" spans="1:150" s="357" customFormat="1">
      <c r="A528" s="2"/>
      <c r="B528" s="678"/>
      <c r="C528" s="364"/>
      <c r="D528" s="364"/>
      <c r="E528" s="678"/>
      <c r="F528" s="678"/>
      <c r="G528" s="678"/>
      <c r="H528" s="364"/>
      <c r="I528" s="364"/>
      <c r="J528" s="364"/>
      <c r="K528" s="364"/>
      <c r="L528" s="786"/>
      <c r="M528" s="364"/>
      <c r="N528" s="364"/>
      <c r="O528" s="364"/>
      <c r="P528" s="364"/>
      <c r="Q528" s="364"/>
      <c r="R528" s="364"/>
      <c r="S528" s="364"/>
      <c r="T528" s="364"/>
      <c r="U528" s="364"/>
      <c r="V528" s="365"/>
      <c r="W528" s="367"/>
      <c r="X528" s="3"/>
      <c r="Y528" s="366"/>
      <c r="Z528" s="678"/>
      <c r="AA528" s="796"/>
      <c r="AB528" s="796"/>
      <c r="AC528" s="705"/>
      <c r="AD528" s="705"/>
      <c r="AE528" s="705"/>
      <c r="AF528" s="362"/>
      <c r="AG528" s="362"/>
      <c r="AH528" s="362"/>
      <c r="AI528" s="362"/>
      <c r="AJ528" s="2"/>
      <c r="AK528" s="2"/>
      <c r="AL528" s="2"/>
      <c r="AM528" s="2"/>
      <c r="AN528" s="2"/>
      <c r="AO528" s="2"/>
      <c r="AP528" s="2"/>
      <c r="AQ528" s="364"/>
      <c r="AR528" s="577"/>
      <c r="AS528" s="364"/>
      <c r="AT528" s="577"/>
      <c r="AU528" s="364"/>
      <c r="AV528" s="364"/>
      <c r="AW528" s="364"/>
      <c r="AX528" s="364"/>
      <c r="AY528" s="577"/>
      <c r="AZ528" s="577"/>
      <c r="BA528" s="577"/>
      <c r="BB528" s="926"/>
      <c r="BC528" s="364"/>
      <c r="BD528" s="364"/>
      <c r="BE528" s="577"/>
      <c r="BF528" s="364"/>
      <c r="BG528" s="384"/>
      <c r="BH528" s="577"/>
      <c r="BI528" s="364"/>
      <c r="BJ528" s="364"/>
      <c r="BK528" s="364"/>
      <c r="BL528" s="364"/>
      <c r="BM528" s="384"/>
      <c r="BN528" s="364"/>
      <c r="BO528" s="364"/>
      <c r="BP528" s="364"/>
      <c r="BQ528" s="388"/>
      <c r="BR528" s="388"/>
      <c r="BS528" s="388"/>
      <c r="BT528" s="388"/>
      <c r="BU528" s="384"/>
      <c r="BV528" s="384"/>
      <c r="BW528" s="387"/>
      <c r="BX528" s="387"/>
      <c r="BY528" s="388"/>
      <c r="BZ528" s="388"/>
      <c r="CA528" s="388"/>
      <c r="CB528" s="387"/>
      <c r="CC528" s="387"/>
      <c r="CE528" s="2"/>
      <c r="CF528" s="2"/>
      <c r="CG528" s="2"/>
      <c r="CH528" s="2"/>
      <c r="CI528" s="2"/>
      <c r="CJ528" s="2"/>
      <c r="CK528" s="2"/>
      <c r="CL528" s="2"/>
      <c r="CM528" s="2"/>
      <c r="CN528" s="2"/>
      <c r="CO528" s="2"/>
      <c r="CP528" s="2"/>
      <c r="CQ528" s="2"/>
      <c r="CR528" s="2"/>
      <c r="CS528" s="364"/>
      <c r="CT528" s="364"/>
      <c r="CU528" s="364"/>
      <c r="CV528" s="407"/>
      <c r="CW528" s="407"/>
      <c r="CX528" s="407"/>
      <c r="CY528" s="407"/>
      <c r="CZ528" s="404"/>
      <c r="DA528" s="404"/>
      <c r="DB528" s="404"/>
      <c r="DC528" s="404"/>
      <c r="DD528" s="407"/>
      <c r="DE528" s="407"/>
      <c r="DF528" s="407"/>
      <c r="DG528" s="407"/>
      <c r="DH528" s="407"/>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row>
  </sheetData>
  <mergeCells count="2">
    <mergeCell ref="B5:C5"/>
    <mergeCell ref="B6:C6"/>
  </mergeCells>
  <phoneticPr fontId="4"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6.xml><?xml version="1.0" encoding="utf-8"?>
<worksheet xmlns="http://schemas.openxmlformats.org/spreadsheetml/2006/main" xmlns:r="http://schemas.openxmlformats.org/officeDocument/2006/relationships">
  <sheetPr codeName="Sheet6">
    <pageSetUpPr fitToPage="1"/>
  </sheetPr>
  <dimension ref="A1:AC72"/>
  <sheetViews>
    <sheetView tabSelected="1" zoomScale="90" zoomScaleNormal="90" workbookViewId="0">
      <selection activeCell="H28" sqref="H28"/>
    </sheetView>
  </sheetViews>
  <sheetFormatPr defaultColWidth="1.42578125" defaultRowHeight="12.75"/>
  <cols>
    <col min="1" max="1" width="8.5703125" style="52" customWidth="1"/>
    <col min="2" max="2" width="7.42578125" style="52" bestFit="1" customWidth="1"/>
    <col min="3" max="3" width="7" style="52" bestFit="1" customWidth="1"/>
    <col min="4" max="4" width="7.42578125" style="52" bestFit="1" customWidth="1"/>
    <col min="5" max="5" width="7.85546875" style="248" bestFit="1" customWidth="1"/>
    <col min="6" max="6" width="8.5703125" style="248" customWidth="1"/>
    <col min="7" max="7" width="9" style="248" bestFit="1" customWidth="1"/>
    <col min="8" max="8" width="8.5703125" style="52" bestFit="1" customWidth="1"/>
    <col min="9" max="9" width="11" style="52" bestFit="1" customWidth="1"/>
    <col min="10" max="10" width="9.5703125" style="52" bestFit="1" customWidth="1"/>
    <col min="11" max="11" width="9" style="52" bestFit="1" customWidth="1"/>
    <col min="12" max="12" width="12.42578125" style="52" bestFit="1" customWidth="1"/>
    <col min="13" max="13" width="8.85546875"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42578125" style="52" customWidth="1"/>
    <col min="20" max="20" width="26.42578125" style="52" customWidth="1"/>
    <col min="21" max="21" width="10.5703125" style="52" customWidth="1"/>
    <col min="22" max="22" width="17.42578125" style="52" customWidth="1"/>
    <col min="23" max="26" width="9.140625" customWidth="1"/>
    <col min="27" max="29" width="9.42578125" style="52" customWidth="1"/>
    <col min="30" max="32" width="1.42578125" style="52"/>
    <col min="33" max="33" width="5.42578125" style="52" customWidth="1"/>
    <col min="34" max="34" width="4" style="52" customWidth="1"/>
    <col min="35" max="47" width="7.42578125" style="52" customWidth="1"/>
    <col min="48" max="16384" width="1.42578125" style="52"/>
  </cols>
  <sheetData>
    <row r="1" spans="1:29">
      <c r="A1" s="248"/>
      <c r="B1" s="248"/>
      <c r="C1" s="248"/>
      <c r="D1" s="248"/>
      <c r="E1" s="302">
        <v>41974</v>
      </c>
      <c r="F1" s="248" t="s">
        <v>225</v>
      </c>
      <c r="K1" s="248"/>
      <c r="L1" s="248"/>
      <c r="M1" s="248"/>
      <c r="N1" s="248"/>
      <c r="O1" s="248"/>
      <c r="P1" s="248"/>
      <c r="Q1" s="248"/>
      <c r="R1" s="248"/>
      <c r="S1" s="248"/>
      <c r="T1" s="248"/>
      <c r="U1" s="248"/>
      <c r="V1" s="248"/>
      <c r="AA1" s="248"/>
    </row>
    <row r="2" spans="1:29" ht="18">
      <c r="A2" s="1173" t="s">
        <v>442</v>
      </c>
      <c r="B2" s="1173"/>
      <c r="C2" s="1173"/>
      <c r="D2" s="1173"/>
      <c r="E2" s="1173"/>
      <c r="F2" s="1173"/>
      <c r="G2" s="1173"/>
      <c r="H2" s="1173"/>
      <c r="I2" s="1173"/>
      <c r="J2" s="1173"/>
      <c r="K2" s="1173"/>
      <c r="L2" s="1173"/>
      <c r="M2" s="1173"/>
      <c r="N2" s="1173"/>
      <c r="O2" s="1173"/>
      <c r="P2" s="1173"/>
      <c r="Q2" s="1173"/>
      <c r="R2" s="1173"/>
      <c r="S2" s="245"/>
      <c r="T2" s="245"/>
      <c r="U2" s="245"/>
      <c r="V2" s="245"/>
      <c r="AA2" s="245"/>
      <c r="AB2" s="245"/>
      <c r="AC2" s="245"/>
    </row>
    <row r="3" spans="1:29" ht="20.25" customHeight="1">
      <c r="A3" s="1174" t="str">
        <f>"Monthly Production Report for: "&amp;CHOOSE(MONTH(E1),"January","February","March","April","May","June","July","August","September","October","November","December")&amp;" "&amp;YEAR(E1)</f>
        <v>Monthly Production Report for: December 2014</v>
      </c>
      <c r="B3" s="1174"/>
      <c r="C3" s="1174"/>
      <c r="D3" s="1174"/>
      <c r="E3" s="1174"/>
      <c r="F3" s="1174"/>
      <c r="G3" s="1174"/>
      <c r="H3" s="1174"/>
      <c r="I3" s="1174"/>
      <c r="J3" s="1174"/>
      <c r="K3" s="1174"/>
      <c r="L3" s="1174"/>
      <c r="M3" s="1174"/>
      <c r="N3" s="1174"/>
      <c r="O3" s="1174"/>
      <c r="P3" s="1174"/>
      <c r="Q3" s="1174"/>
      <c r="R3" s="1174"/>
      <c r="S3" s="320"/>
      <c r="T3" s="320"/>
      <c r="U3" s="175"/>
      <c r="V3" s="175"/>
      <c r="AA3" s="175"/>
      <c r="AB3" s="175"/>
      <c r="AC3" s="175"/>
    </row>
    <row r="4" spans="1:29" ht="9" customHeight="1">
      <c r="A4" s="429"/>
      <c r="B4" s="175"/>
      <c r="C4" s="175"/>
      <c r="D4" s="175"/>
      <c r="E4" s="175"/>
      <c r="F4" s="175"/>
      <c r="G4" s="175"/>
      <c r="H4" s="175"/>
      <c r="I4" s="175"/>
      <c r="J4" s="175"/>
      <c r="K4" s="175"/>
      <c r="L4" s="175"/>
      <c r="M4" s="175"/>
      <c r="N4" s="175"/>
      <c r="O4" s="175"/>
      <c r="P4" s="175"/>
      <c r="Q4" s="175"/>
      <c r="R4" s="175"/>
      <c r="S4" s="175"/>
      <c r="T4" s="175"/>
      <c r="U4" s="175"/>
      <c r="V4" s="175"/>
      <c r="AA4" s="175"/>
      <c r="AB4" s="175"/>
      <c r="AC4" s="175"/>
    </row>
    <row r="5" spans="1:29" ht="8.25" customHeight="1" thickBot="1">
      <c r="A5" s="53"/>
      <c r="B5" s="53"/>
      <c r="C5" s="54"/>
      <c r="D5" s="54"/>
      <c r="E5" s="305"/>
      <c r="F5" s="305"/>
      <c r="G5" s="305"/>
      <c r="H5" s="54"/>
      <c r="I5" s="54"/>
      <c r="J5" s="54"/>
      <c r="K5" s="54"/>
      <c r="L5" s="54"/>
      <c r="M5" s="54"/>
      <c r="N5" s="54"/>
      <c r="O5" s="54"/>
      <c r="P5" s="54"/>
      <c r="Q5" s="54"/>
      <c r="R5" s="54"/>
      <c r="U5"/>
      <c r="V5"/>
      <c r="Y5" s="303"/>
      <c r="Z5" s="304"/>
      <c r="AA5" s="304"/>
    </row>
    <row r="6" spans="1:29" ht="18" customHeight="1" thickBot="1">
      <c r="A6" s="318"/>
      <c r="B6" s="319"/>
      <c r="C6" s="1187" t="s">
        <v>416</v>
      </c>
      <c r="D6" s="1188"/>
      <c r="E6" s="1188"/>
      <c r="F6" s="1188"/>
      <c r="G6" s="1189"/>
      <c r="H6" s="1185" t="s">
        <v>658</v>
      </c>
      <c r="I6" s="1190"/>
      <c r="J6" s="1186"/>
      <c r="K6" s="97" t="s">
        <v>657</v>
      </c>
      <c r="L6" s="1191" t="s">
        <v>417</v>
      </c>
      <c r="M6" s="1192"/>
      <c r="N6" s="1192"/>
      <c r="O6" s="1192"/>
      <c r="P6" s="1192"/>
      <c r="Q6" s="1192"/>
      <c r="R6" s="1193"/>
      <c r="S6" s="1185" t="s">
        <v>224</v>
      </c>
      <c r="T6" s="1186"/>
      <c r="U6"/>
      <c r="V6"/>
      <c r="Y6" s="246"/>
      <c r="Z6" s="246"/>
      <c r="AA6" s="246"/>
    </row>
    <row r="7" spans="1:29" ht="15.75">
      <c r="A7" s="249"/>
      <c r="B7" s="307" t="s">
        <v>158</v>
      </c>
      <c r="C7" s="251" t="s">
        <v>444</v>
      </c>
      <c r="D7" s="252" t="s">
        <v>418</v>
      </c>
      <c r="E7" s="252" t="s">
        <v>202</v>
      </c>
      <c r="F7" s="1030" t="s">
        <v>160</v>
      </c>
      <c r="G7" s="1031" t="s">
        <v>419</v>
      </c>
      <c r="H7" s="312"/>
      <c r="I7" s="307" t="s">
        <v>159</v>
      </c>
      <c r="J7" s="307" t="s">
        <v>420</v>
      </c>
      <c r="K7" s="484" t="s">
        <v>654</v>
      </c>
      <c r="L7" s="312" t="s">
        <v>436</v>
      </c>
      <c r="M7" s="253"/>
      <c r="N7" s="252" t="s">
        <v>541</v>
      </c>
      <c r="O7" s="252" t="s">
        <v>256</v>
      </c>
      <c r="P7" s="252" t="s">
        <v>163</v>
      </c>
      <c r="Q7" s="252" t="s">
        <v>440</v>
      </c>
      <c r="R7" s="250" t="s">
        <v>162</v>
      </c>
      <c r="S7" s="312" t="s">
        <v>218</v>
      </c>
      <c r="T7" s="250" t="s">
        <v>222</v>
      </c>
      <c r="U7"/>
      <c r="V7"/>
      <c r="Y7" s="247"/>
      <c r="Z7" s="247"/>
      <c r="AA7" s="247"/>
    </row>
    <row r="8" spans="1:29" s="575" customFormat="1">
      <c r="A8" s="331" t="s">
        <v>1</v>
      </c>
      <c r="B8" s="308" t="s">
        <v>18</v>
      </c>
      <c r="C8" s="254" t="s">
        <v>18</v>
      </c>
      <c r="D8" s="255" t="s">
        <v>161</v>
      </c>
      <c r="E8" s="255" t="s">
        <v>161</v>
      </c>
      <c r="F8" s="1032" t="s">
        <v>71</v>
      </c>
      <c r="G8" s="1033" t="s">
        <v>167</v>
      </c>
      <c r="H8" s="313" t="s">
        <v>21</v>
      </c>
      <c r="I8" s="308" t="s">
        <v>164</v>
      </c>
      <c r="J8" s="308" t="s">
        <v>435</v>
      </c>
      <c r="K8" s="485" t="s">
        <v>655</v>
      </c>
      <c r="L8" s="493" t="s">
        <v>651</v>
      </c>
      <c r="M8" s="255" t="s">
        <v>19</v>
      </c>
      <c r="N8" s="255" t="s">
        <v>438</v>
      </c>
      <c r="O8" s="255" t="s">
        <v>439</v>
      </c>
      <c r="P8" s="255" t="s">
        <v>166</v>
      </c>
      <c r="Q8" s="255" t="s">
        <v>422</v>
      </c>
      <c r="R8" s="256" t="s">
        <v>445</v>
      </c>
      <c r="S8" s="313" t="s">
        <v>219</v>
      </c>
      <c r="T8" s="256" t="s">
        <v>223</v>
      </c>
      <c r="U8" s="574"/>
      <c r="V8" s="574"/>
      <c r="W8" s="574"/>
      <c r="X8" s="574"/>
    </row>
    <row r="9" spans="1:29">
      <c r="A9" s="408">
        <f>E1</f>
        <v>41974</v>
      </c>
      <c r="B9" s="257">
        <f>IF(MONTH(A9)=MONTH($E$1),VLOOKUP((A9),Sheet1!$B$8:$HT$528,11,FALSE),0)</f>
        <v>39.529999999998836</v>
      </c>
      <c r="C9" s="310">
        <f>IF(MONTH(A9)=MONTH($E$1),VLOOKUP(A9,'Calculations II'!$B$8:$IV$434,54,FALSE),0)</f>
        <v>13.022064000000002</v>
      </c>
      <c r="D9" s="259">
        <f>IF(MONTH(A9)=MONTH($E$1),VLOOKUP(A9,Sheet1!$B$8:$HT$528,26,FALSE),0)</f>
        <v>19.8</v>
      </c>
      <c r="E9" s="57">
        <f>IF(MONTH(A9)=MONTH($E$1),VLOOKUP(A9,Sheet1!$B$8:$HT$528,27,FALSE),0)</f>
        <v>19</v>
      </c>
      <c r="F9" s="733">
        <f>C9+D9+E9-P9-Q9</f>
        <v>41.926339286757042</v>
      </c>
      <c r="G9" s="733">
        <f t="shared" ref="G9:G38" si="0">C9+D9+E9</f>
        <v>51.822064000000005</v>
      </c>
      <c r="H9" s="258">
        <f>IF(MONTH(A9)=MONTH($E$1),VLOOKUP(A9,Calculation!$B$8:$JF$503,148,FALSE),0)</f>
        <v>-1.1076731458202638</v>
      </c>
      <c r="I9" s="481">
        <f ca="1">IF(MONTH(A9)=MONTH($E$1),VLOOKUP(A9,'Calculations II'!$B$8:$IV$434,14,FALSE),0)</f>
        <v>2.0628969571893085</v>
      </c>
      <c r="J9" s="481">
        <f ca="1">H9+I9</f>
        <v>0.95522381136904477</v>
      </c>
      <c r="K9" s="486">
        <f>IF(MONTH(A9)=MONTH($E$1),VLOOKUP(A9,'Calculations II'!$B$8:$IV$434,67,FALSE),0)</f>
        <v>0</v>
      </c>
      <c r="L9" s="494">
        <f>IF(MONTH(A9)=MONTH($E$1),VLOOKUP(A9,Sheet1!$B$8:$HT$528,65,FALSE),0)</f>
        <v>9.1999999999999993</v>
      </c>
      <c r="M9" s="57">
        <f>IF(MONTH(A9)=MONTH($E$1),VLOOKUP(A9,Sheet1!$B$8:$HT$528,97,FALSE),0)</f>
        <v>15.567</v>
      </c>
      <c r="N9" s="260">
        <f ca="1">IF(AND(D9=0,E9=0),0,C9+D9+J9-K9+L9-M9)</f>
        <v>27.410287811369052</v>
      </c>
      <c r="O9" s="260">
        <f ca="1">M9+N9</f>
        <v>42.977287811369052</v>
      </c>
      <c r="P9" s="57">
        <f>IF(MONTH(A9)=MONTH($E$1),VLOOKUP(A9,Calculation!$B$8:$JF$503,44,FALSE),0)</f>
        <v>1</v>
      </c>
      <c r="Q9" s="259">
        <f>IF(MONTH(A9)=MONTH($E$1),VLOOKUP(A9,Calculation!$B$8:$JF$503,113,FALSE),0)</f>
        <v>8.8957247132429629</v>
      </c>
      <c r="R9" s="261">
        <f ca="1">IF(AND(D9=0,E9=0),0,C9+D9+J9-K9+L9+P9+Q9)</f>
        <v>52.873012524612015</v>
      </c>
      <c r="S9" s="338">
        <f>IF(MONTH(A9)=MONTH($E$1),VLOOKUP(A9,Sheet1!$B$8:$HT$528,123,FALSE),0)</f>
        <v>0</v>
      </c>
      <c r="T9" s="314">
        <f>IF(MONTH(A9)=MONTH($E$1),VLOOKUP(A9,Sheet1!$B$8:$HT$528,124,FALSE),0)</f>
        <v>0</v>
      </c>
      <c r="U9"/>
      <c r="V9"/>
      <c r="Y9" s="53"/>
      <c r="Z9" s="53"/>
      <c r="AA9" s="53"/>
    </row>
    <row r="10" spans="1:29">
      <c r="A10" s="408">
        <f>A9+1</f>
        <v>41975</v>
      </c>
      <c r="B10" s="257">
        <f>IF(MONTH(A10)=MONTH($E$1),VLOOKUP((A10),Sheet1!$B$8:$HT$528,11,FALSE),0)</f>
        <v>7.8600000000005821</v>
      </c>
      <c r="C10" s="310">
        <f>IF(MONTH(A10)=MONTH($E$1),VLOOKUP(A10,'Calculations II'!$B$8:$IV$434,54,FALSE),0)</f>
        <v>12.058992</v>
      </c>
      <c r="D10" s="259">
        <f>IF(MONTH(A10)=MONTH($E$1),VLOOKUP(A10,Sheet1!$B$8:$HT$528,26,FALSE),0)</f>
        <v>19.8</v>
      </c>
      <c r="E10" s="57">
        <f>IF(MONTH(A10)=MONTH($E$1),VLOOKUP(A10,Sheet1!$B$8:$HT$528,27,FALSE),0)</f>
        <v>25.5</v>
      </c>
      <c r="F10" s="733">
        <f t="shared" ref="F10:F39" si="1">C10+D10+E10-P10-Q10</f>
        <v>47.052641549196395</v>
      </c>
      <c r="G10" s="733">
        <f>C10+D10+E10</f>
        <v>57.358992000000001</v>
      </c>
      <c r="H10" s="258">
        <f>IF(MONTH(A10)=MONTH($E$1),VLOOKUP(A10,Calculation!$B$8:$JF$503,148,FALSE),0)</f>
        <v>-0.27695032555626709</v>
      </c>
      <c r="I10" s="481">
        <f ca="1">IF(MONTH(A10)=MONTH($E$1),VLOOKUP(A10,'Calculations II'!$B$8:$IV$434,14,FALSE),0)</f>
        <v>0.11129213137191174</v>
      </c>
      <c r="J10" s="481">
        <f t="shared" ref="J10:J39" ca="1" si="2">H10+I10</f>
        <v>-0.16565819418435535</v>
      </c>
      <c r="K10" s="486">
        <f>IF(MONTH(A10)=MONTH($E$1),VLOOKUP(A10,'Calculations II'!$B$8:$IV$434,67,FALSE),0)</f>
        <v>0</v>
      </c>
      <c r="L10" s="494">
        <f>IF(MONTH(A10)=MONTH($E$1),VLOOKUP(A10,Sheet1!$B$8:$HT$528,65,FALSE),0)</f>
        <v>15.2</v>
      </c>
      <c r="M10" s="57">
        <f>IF(MONTH(A10)=MONTH($E$1),VLOOKUP(A10,Sheet1!$B$8:$HT$528,97,FALSE),0)</f>
        <v>16.614000000000001</v>
      </c>
      <c r="N10" s="260">
        <f t="shared" ref="N10:N38" ca="1" si="3">IF(AND(D10=0,E10=0),0,C10+D10+J10-K10+L10-M10)</f>
        <v>30.279333805815643</v>
      </c>
      <c r="O10" s="260">
        <f t="shared" ref="O10:O39" ca="1" si="4">M10+N10</f>
        <v>46.893333805815644</v>
      </c>
      <c r="P10" s="57">
        <f>IF(MONTH(A10)=MONTH($E$1),VLOOKUP(A10,Calculation!$B$8:$JF$503,44,FALSE),0)</f>
        <v>1</v>
      </c>
      <c r="Q10" s="259">
        <f>IF(MONTH(A10)=MONTH($E$1),VLOOKUP(A10,Calculation!$B$8:$JF$503,113,FALSE),0)</f>
        <v>9.3063504508036079</v>
      </c>
      <c r="R10" s="261">
        <f t="shared" ref="R10:R39" ca="1" si="5">IF(AND(D10=0,E10=0),0,C10+D10+J10-K10+L10+P10+Q10)</f>
        <v>57.19968425661925</v>
      </c>
      <c r="S10" s="338">
        <f>IF(MONTH(A10)=MONTH($E$1),VLOOKUP(A10,Sheet1!$B$8:$HT$528,123,FALSE),0)</f>
        <v>0</v>
      </c>
      <c r="T10" s="314">
        <f>IF(MONTH(A10)=MONTH($E$1),VLOOKUP(A10,Sheet1!$B$8:$HT$528,124,FALSE),0)</f>
        <v>0</v>
      </c>
      <c r="U10"/>
      <c r="V10"/>
      <c r="Y10" s="53"/>
      <c r="Z10" s="53"/>
      <c r="AA10" s="53"/>
    </row>
    <row r="11" spans="1:29">
      <c r="A11" s="408">
        <f t="shared" ref="A11:A39" si="6">A10+1</f>
        <v>41976</v>
      </c>
      <c r="B11" s="257">
        <f>IF(MONTH(A11)=MONTH($E$1),VLOOKUP((A11),Sheet1!$B$8:$HT$528,11,FALSE),0)</f>
        <v>6.6500000000014552</v>
      </c>
      <c r="C11" s="310">
        <f>IF(MONTH(A11)=MONTH($E$1),VLOOKUP(A11,'Calculations II'!$B$8:$IV$434,54,FALSE),0)</f>
        <v>5.2773120000000002</v>
      </c>
      <c r="D11" s="259">
        <f>IF(MONTH(A11)=MONTH($E$1),VLOOKUP(A11,Sheet1!$B$8:$HT$528,26,FALSE),0)</f>
        <v>19.489999999999998</v>
      </c>
      <c r="E11" s="57">
        <f>IF(MONTH(A11)=MONTH($E$1),VLOOKUP(A11,Sheet1!$B$8:$HT$528,27,FALSE),0)</f>
        <v>31.9</v>
      </c>
      <c r="F11" s="733">
        <f t="shared" si="1"/>
        <v>46.660138700094009</v>
      </c>
      <c r="G11" s="733">
        <f t="shared" si="0"/>
        <v>56.667311999999995</v>
      </c>
      <c r="H11" s="258">
        <f>IF(MONTH(A11)=MONTH($E$1),VLOOKUP(A11,Calculation!$B$8:$JF$503,148,FALSE),0)</f>
        <v>-1.661971104548972</v>
      </c>
      <c r="I11" s="481">
        <f ca="1">IF(MONTH(A11)=MONTH($E$1),VLOOKUP(A11,'Calculations II'!$B$8:$IV$434,14,FALSE),0)</f>
        <v>1.5448501867741051</v>
      </c>
      <c r="J11" s="481">
        <f t="shared" ca="1" si="2"/>
        <v>-0.11712091777486688</v>
      </c>
      <c r="K11" s="486">
        <f>IF(MONTH(A11)=MONTH($E$1),VLOOKUP(A11,'Calculations II'!$B$8:$IV$434,67,FALSE),0)</f>
        <v>0</v>
      </c>
      <c r="L11" s="494">
        <f>IF(MONTH(A11)=MONTH($E$1),VLOOKUP(A11,Sheet1!$B$8:$HT$528,65,FALSE),0)</f>
        <v>21.9</v>
      </c>
      <c r="M11" s="57">
        <f>IF(MONTH(A11)=MONTH($E$1),VLOOKUP(A11,Sheet1!$B$8:$HT$528,97,FALSE),0)</f>
        <v>15.859</v>
      </c>
      <c r="N11" s="260">
        <f t="shared" ca="1" si="3"/>
        <v>30.691191082225124</v>
      </c>
      <c r="O11" s="260">
        <f t="shared" ca="1" si="4"/>
        <v>46.550191082225126</v>
      </c>
      <c r="P11" s="57">
        <f>IF(MONTH(A11)=MONTH($E$1),VLOOKUP(A11,Calculation!$B$8:$JF$503,44,FALSE),0)</f>
        <v>0.99</v>
      </c>
      <c r="Q11" s="259">
        <f>IF(MONTH(A11)=MONTH($E$1),VLOOKUP(A11,Calculation!$B$8:$JF$503,113,FALSE),0)</f>
        <v>9.0171732999059877</v>
      </c>
      <c r="R11" s="261">
        <f t="shared" ca="1" si="5"/>
        <v>56.557364382131112</v>
      </c>
      <c r="S11" s="338">
        <f>IF(MONTH(A11)=MONTH($E$1),VLOOKUP(A11,Sheet1!$B$8:$HT$528,123,FALSE),0)</f>
        <v>0</v>
      </c>
      <c r="T11" s="314">
        <f>IF(MONTH(A11)=MONTH($E$1),VLOOKUP(A11,Sheet1!$B$8:$HT$528,124,FALSE),0)</f>
        <v>0</v>
      </c>
      <c r="U11"/>
      <c r="V11"/>
      <c r="Y11" s="55"/>
      <c r="Z11" s="55"/>
      <c r="AA11" s="55"/>
    </row>
    <row r="12" spans="1:29">
      <c r="A12" s="408">
        <f>A11+1</f>
        <v>41977</v>
      </c>
      <c r="B12" s="257">
        <f>IF(MONTH(A12)=MONTH($E$1),VLOOKUP((A12),Sheet1!$B$8:$HT$528,11,FALSE),0)</f>
        <v>21.009999999998399</v>
      </c>
      <c r="C12" s="310">
        <f>IF(MONTH(A12)=MONTH($E$1),VLOOKUP(A12,'Calculations II'!$B$8:$IV$434,54,FALSE),0)</f>
        <v>0</v>
      </c>
      <c r="D12" s="259">
        <f>IF(MONTH(A12)=MONTH($E$1),VLOOKUP(A12,Sheet1!$B$8:$HT$528,26,FALSE),0)</f>
        <v>19.510000000000002</v>
      </c>
      <c r="E12" s="57">
        <f>IF(MONTH(A12)=MONTH($E$1),VLOOKUP(A12,Sheet1!$B$8:$HT$528,27,FALSE),0)</f>
        <v>34</v>
      </c>
      <c r="F12" s="733">
        <f>C12+D12+E12-P12-Q12</f>
        <v>43.449423247559899</v>
      </c>
      <c r="G12" s="733">
        <f t="shared" si="0"/>
        <v>53.510000000000005</v>
      </c>
      <c r="H12" s="258">
        <f>IF(MONTH(A12)=MONTH($E$1),VLOOKUP(A12,Calculation!$B$8:$JF$503,148,FALSE),0)</f>
        <v>-0.96968822766284268</v>
      </c>
      <c r="I12" s="481">
        <f ca="1">IF(MONTH(A12)=MONTH($E$1),VLOOKUP(A12,'Calculations II'!$B$8:$IV$434,14,FALSE),0)</f>
        <v>3.885573191340395</v>
      </c>
      <c r="J12" s="481">
        <f t="shared" ca="1" si="2"/>
        <v>2.9158849636775521</v>
      </c>
      <c r="K12" s="486">
        <f>IF(MONTH(A12)=MONTH($E$1),VLOOKUP(A12,'Calculations II'!$B$8:$IV$434,67,FALSE),0)</f>
        <v>0</v>
      </c>
      <c r="L12" s="494">
        <f>IF(MONTH(A12)=MONTH($E$1),VLOOKUP(A12,Sheet1!$B$8:$HT$528,65,FALSE),0)</f>
        <v>23.8</v>
      </c>
      <c r="M12" s="57">
        <f>IF(MONTH(A12)=MONTH($E$1),VLOOKUP(A12,Sheet1!$B$8:$HT$528,97,FALSE),0)</f>
        <v>15.08</v>
      </c>
      <c r="N12" s="260">
        <f ca="1">IF(AND(D12=0,E12=0),0,C12+D12+J12-K12+L12-M12)</f>
        <v>31.14588496367756</v>
      </c>
      <c r="O12" s="260">
        <f t="shared" ca="1" si="4"/>
        <v>46.225884963677558</v>
      </c>
      <c r="P12" s="57">
        <f>IF(MONTH(A12)=MONTH($E$1),VLOOKUP(A12,Calculation!$B$8:$JF$503,44,FALSE),0)</f>
        <v>1.01</v>
      </c>
      <c r="Q12" s="259">
        <f>IF(MONTH(A12)=MONTH($E$1),VLOOKUP(A12,Calculation!$B$8:$JF$503,113,FALSE),0)</f>
        <v>9.0505767524401062</v>
      </c>
      <c r="R12" s="261">
        <f t="shared" ca="1" si="5"/>
        <v>56.286461716117664</v>
      </c>
      <c r="S12" s="338">
        <f>IF(MONTH(A12)=MONTH($E$1),VLOOKUP(A12,Sheet1!$B$8:$HT$528,123,FALSE),0)</f>
        <v>0</v>
      </c>
      <c r="T12" s="314">
        <f>IF(MONTH(A12)=MONTH($E$1),VLOOKUP(A12,Sheet1!$B$8:$HT$528,124,FALSE),0)</f>
        <v>0</v>
      </c>
      <c r="U12"/>
      <c r="V12"/>
      <c r="Y12" s="57"/>
      <c r="Z12" s="57"/>
      <c r="AA12" s="57"/>
    </row>
    <row r="13" spans="1:29">
      <c r="A13" s="408">
        <f t="shared" si="6"/>
        <v>41978</v>
      </c>
      <c r="B13" s="257">
        <f>IF(MONTH(A13)=MONTH($E$1),VLOOKUP((A13),Sheet1!$B$8:$HT$528,11,FALSE),0)</f>
        <v>36.400000000001455</v>
      </c>
      <c r="C13" s="310">
        <f>IF(MONTH(A13)=MONTH($E$1),VLOOKUP(A13,'Calculations II'!$B$8:$IV$434,54,FALSE),0)</f>
        <v>6.6424320000000003</v>
      </c>
      <c r="D13" s="259">
        <f>IF(MONTH(A13)=MONTH($E$1),VLOOKUP(A13,Sheet1!$B$8:$HT$528,26,FALSE),0)</f>
        <v>19.5</v>
      </c>
      <c r="E13" s="57">
        <f>IF(MONTH(A13)=MONTH($E$1),VLOOKUP(A13,Sheet1!$B$8:$HT$528,27,FALSE),0)</f>
        <v>33.9</v>
      </c>
      <c r="F13" s="733">
        <f t="shared" si="1"/>
        <v>50.015834366863906</v>
      </c>
      <c r="G13" s="733">
        <f t="shared" si="0"/>
        <v>60.042431999999998</v>
      </c>
      <c r="H13" s="258">
        <f>IF(MONTH(A13)=MONTH($E$1),VLOOKUP(A13,Calculation!$B$8:$JF$503,148,FALSE),0)</f>
        <v>-0.55427878766309846</v>
      </c>
      <c r="I13" s="481">
        <f ca="1">IF(MONTH(A13)=MONTH($E$1),VLOOKUP(A13,'Calculations II'!$B$8:$IV$434,14,FALSE),0)</f>
        <v>-8.0336183886778549</v>
      </c>
      <c r="J13" s="481">
        <f t="shared" ca="1" si="2"/>
        <v>-8.5878971763409542</v>
      </c>
      <c r="K13" s="486">
        <f>IF(MONTH(A13)=MONTH($E$1),VLOOKUP(A13,'Calculations II'!$B$8:$IV$434,67,FALSE),0)</f>
        <v>0</v>
      </c>
      <c r="L13" s="494">
        <f>IF(MONTH(A13)=MONTH($E$1),VLOOKUP(A13,Sheet1!$B$8:$HT$528,65,FALSE),0)</f>
        <v>23.8</v>
      </c>
      <c r="M13" s="57">
        <f>IF(MONTH(A13)=MONTH($E$1),VLOOKUP(A13,Sheet1!$B$8:$HT$528,97,FALSE),0)</f>
        <v>15.4</v>
      </c>
      <c r="N13" s="260">
        <f t="shared" ca="1" si="3"/>
        <v>25.954534823659053</v>
      </c>
      <c r="O13" s="260">
        <f t="shared" ca="1" si="4"/>
        <v>41.354534823659051</v>
      </c>
      <c r="P13" s="57">
        <f>IF(MONTH(A13)=MONTH($E$1),VLOOKUP(A13,Calculation!$B$8:$JF$503,44,FALSE),0)</f>
        <v>1.01</v>
      </c>
      <c r="Q13" s="259">
        <f>IF(MONTH(A13)=MONTH($E$1),VLOOKUP(A13,Calculation!$B$8:$JF$503,113,FALSE),0)</f>
        <v>9.0165976331360937</v>
      </c>
      <c r="R13" s="261">
        <f t="shared" ca="1" si="5"/>
        <v>51.381132456795143</v>
      </c>
      <c r="S13" s="338">
        <f>IF(MONTH(A13)=MONTH($E$1),VLOOKUP(A13,Sheet1!$B$8:$HT$528,123,FALSE),0)</f>
        <v>0</v>
      </c>
      <c r="T13" s="314">
        <f>IF(MONTH(A13)=MONTH($E$1),VLOOKUP(A13,Sheet1!$B$8:$HT$528,124,FALSE),0)</f>
        <v>0</v>
      </c>
      <c r="U13"/>
      <c r="V13"/>
      <c r="Y13" s="57"/>
      <c r="Z13" s="57"/>
      <c r="AA13" s="57"/>
    </row>
    <row r="14" spans="1:29">
      <c r="A14" s="408">
        <f t="shared" si="6"/>
        <v>41979</v>
      </c>
      <c r="B14" s="257">
        <f>IF(MONTH(A14)=MONTH($E$1),VLOOKUP((A14),Sheet1!$B$8:$HT$528,11,FALSE),0)</f>
        <v>19.979999999999563</v>
      </c>
      <c r="C14" s="310">
        <f>IF(MONTH(A14)=MONTH($E$1),VLOOKUP(A14,'Calculations II'!$B$8:$IV$434,54,FALSE),0)</f>
        <v>9.8637120000000014</v>
      </c>
      <c r="D14" s="259">
        <f>IF(MONTH(A14)=MONTH($E$1),VLOOKUP(A14,Sheet1!$B$8:$HT$528,26,FALSE),0)</f>
        <v>14.4</v>
      </c>
      <c r="E14" s="57">
        <f>IF(MONTH(A14)=MONTH($E$1),VLOOKUP(A14,Sheet1!$B$8:$HT$528,27,FALSE),0)</f>
        <v>34</v>
      </c>
      <c r="F14" s="733">
        <f t="shared" si="1"/>
        <v>48.217902588931636</v>
      </c>
      <c r="G14" s="733">
        <f t="shared" si="0"/>
        <v>58.263711999999998</v>
      </c>
      <c r="H14" s="258">
        <f>IF(MONTH(A14)=MONTH($E$1),VLOOKUP(A14,Calculation!$B$8:$JF$503,148,FALSE),0)</f>
        <v>2.2165190614550152</v>
      </c>
      <c r="I14" s="481">
        <f ca="1">IF(MONTH(A14)=MONTH($E$1),VLOOKUP(A14,'Calculations II'!$B$8:$IV$434,14,FALSE),0)</f>
        <v>-7.3397103970299664</v>
      </c>
      <c r="J14" s="481">
        <f t="shared" ca="1" si="2"/>
        <v>-5.1231913355749512</v>
      </c>
      <c r="K14" s="486">
        <f>IF(MONTH(A14)=MONTH($E$1),VLOOKUP(A14,'Calculations II'!$B$8:$IV$434,67,FALSE),0)</f>
        <v>0</v>
      </c>
      <c r="L14" s="494">
        <f>IF(MONTH(A14)=MONTH($E$1),VLOOKUP(A14,Sheet1!$B$8:$HT$528,65,FALSE),0)</f>
        <v>23.8</v>
      </c>
      <c r="M14" s="57">
        <f>IF(MONTH(A14)=MONTH($E$1),VLOOKUP(A14,Sheet1!$B$8:$HT$528,97,FALSE),0)</f>
        <v>15.797000000000001</v>
      </c>
      <c r="N14" s="260">
        <f ca="1">IF(AND(D14=0,E14=0),0,C14+D14+J14-K14+L14-M14)</f>
        <v>27.143520664425051</v>
      </c>
      <c r="O14" s="260">
        <f ca="1">M14+N14</f>
        <v>42.940520664425051</v>
      </c>
      <c r="P14" s="57">
        <f>IF(MONTH(A14)=MONTH($E$1),VLOOKUP(A14,Calculation!$B$8:$JF$503,44,FALSE),0)</f>
        <v>1.01</v>
      </c>
      <c r="Q14" s="259">
        <f>IF(MONTH(A14)=MONTH($E$1),VLOOKUP(A14,Calculation!$B$8:$JF$503,113,FALSE),0)</f>
        <v>9.035809411068362</v>
      </c>
      <c r="R14" s="261">
        <f t="shared" ca="1" si="5"/>
        <v>52.986330075493413</v>
      </c>
      <c r="S14" s="338">
        <f>IF(MONTH(A14)=MONTH($E$1),VLOOKUP(A14,Sheet1!$B$8:$HT$528,123,FALSE),0)</f>
        <v>0</v>
      </c>
      <c r="T14" s="314">
        <f>IF(MONTH(A14)=MONTH($E$1),VLOOKUP(A14,Sheet1!$B$8:$HT$528,124,FALSE),0)</f>
        <v>0</v>
      </c>
      <c r="U14"/>
      <c r="V14"/>
      <c r="Y14" s="57"/>
      <c r="Z14" s="57"/>
      <c r="AA14" s="57"/>
    </row>
    <row r="15" spans="1:29" ht="12.75" customHeight="1">
      <c r="A15" s="408">
        <f t="shared" si="6"/>
        <v>41980</v>
      </c>
      <c r="B15" s="257">
        <f>IF(MONTH(A15)=MONTH($E$1),VLOOKUP((A15),Sheet1!$B$8:$HT$528,11,FALSE),0)</f>
        <v>0</v>
      </c>
      <c r="C15" s="310">
        <f>IF(MONTH(A15)=MONTH($E$1),VLOOKUP(A15,'Calculations II'!$B$8:$IV$434,54,FALSE),0)</f>
        <v>10.445040000000001</v>
      </c>
      <c r="D15" s="259">
        <f>IF(MONTH(A15)=MONTH($E$1),VLOOKUP(A15,Sheet1!$B$8:$HT$528,26,FALSE),0)</f>
        <v>7.5</v>
      </c>
      <c r="E15" s="57">
        <f>IF(MONTH(A15)=MONTH($E$1),VLOOKUP(A15,Sheet1!$B$8:$HT$528,27,FALSE),0)</f>
        <v>34.700000000000003</v>
      </c>
      <c r="F15" s="733">
        <f t="shared" si="1"/>
        <v>42.633912180451134</v>
      </c>
      <c r="G15" s="733">
        <f t="shared" si="0"/>
        <v>52.645040000000002</v>
      </c>
      <c r="H15" s="258">
        <f>IF(MONTH(A15)=MONTH($E$1),VLOOKUP(A15,Calculation!$B$8:$JF$503,148,FALSE),0)</f>
        <v>-4.7108794020371807</v>
      </c>
      <c r="I15" s="481">
        <f ca="1">IF(MONTH(A15)=MONTH($E$1),VLOOKUP(A15,'Calculations II'!$B$8:$IV$434,14,FALSE),0)</f>
        <v>2.8852597207188788</v>
      </c>
      <c r="J15" s="481">
        <f t="shared" ca="1" si="2"/>
        <v>-1.8256196813183019</v>
      </c>
      <c r="K15" s="486">
        <f>IF(MONTH(A15)=MONTH($E$1),VLOOKUP(A15,'Calculations II'!$B$8:$IV$434,67,FALSE),0)</f>
        <v>0</v>
      </c>
      <c r="L15" s="494">
        <f>IF(MONTH(A15)=MONTH($E$1),VLOOKUP(A15,Sheet1!$B$8:$HT$528,65,FALSE),0)</f>
        <v>24.6</v>
      </c>
      <c r="M15" s="57">
        <f>IF(MONTH(A15)=MONTH($E$1),VLOOKUP(A15,Sheet1!$B$8:$HT$528,97,FALSE),0)</f>
        <v>16.318000000000001</v>
      </c>
      <c r="N15" s="260">
        <f t="shared" ca="1" si="3"/>
        <v>24.401420318681698</v>
      </c>
      <c r="O15" s="260">
        <f t="shared" ca="1" si="4"/>
        <v>40.719420318681699</v>
      </c>
      <c r="P15" s="57">
        <f>IF(MONTH(A15)=MONTH($E$1),VLOOKUP(A15,Calculation!$B$8:$JF$503,44,FALSE),0)</f>
        <v>1.01</v>
      </c>
      <c r="Q15" s="259">
        <f>IF(MONTH(A15)=MONTH($E$1),VLOOKUP(A15,Calculation!$B$8:$JF$503,113,FALSE),0)</f>
        <v>9.0011278195488718</v>
      </c>
      <c r="R15" s="261">
        <f t="shared" ca="1" si="5"/>
        <v>50.730548138230567</v>
      </c>
      <c r="S15" s="338">
        <f>IF(MONTH(A15)=MONTH($E$1),VLOOKUP(A15,Sheet1!$B$8:$HT$528,123,FALSE),0)</f>
        <v>0</v>
      </c>
      <c r="T15" s="314">
        <f>IF(MONTH(A15)=MONTH($E$1),VLOOKUP(A15,Sheet1!$B$8:$HT$528,124,FALSE),0)</f>
        <v>0</v>
      </c>
      <c r="U15"/>
      <c r="V15"/>
      <c r="Y15" s="57"/>
      <c r="Z15" s="57"/>
      <c r="AA15" s="57"/>
    </row>
    <row r="16" spans="1:29">
      <c r="A16" s="408">
        <f t="shared" si="6"/>
        <v>41981</v>
      </c>
      <c r="B16" s="257">
        <f>IF(MONTH(A16)=MONTH($E$1),VLOOKUP((A16),Sheet1!$B$8:$HT$528,11,FALSE),0)</f>
        <v>0</v>
      </c>
      <c r="C16" s="310">
        <f>IF(MONTH(A16)=MONTH($E$1),VLOOKUP(A16,'Calculations II'!$B$8:$IV$434,54,FALSE),0)</f>
        <v>17.217648000000001</v>
      </c>
      <c r="D16" s="259">
        <f>IF(MONTH(A16)=MONTH($E$1),VLOOKUP(A16,Sheet1!$B$8:$HT$528,26,FALSE),0)</f>
        <v>0</v>
      </c>
      <c r="E16" s="57">
        <f>IF(MONTH(A16)=MONTH($E$1),VLOOKUP(A16,Sheet1!$B$8:$HT$528,27,FALSE),0)</f>
        <v>36</v>
      </c>
      <c r="F16" s="733">
        <f t="shared" si="1"/>
        <v>43.247670246941041</v>
      </c>
      <c r="G16" s="733">
        <f t="shared" si="0"/>
        <v>53.217647999999997</v>
      </c>
      <c r="H16" s="258">
        <f>IF(MONTH(A16)=MONTH($E$1),VLOOKUP(A16,Calculation!$B$8:$JF$503,148,FALSE),0)</f>
        <v>0.13860014753019809</v>
      </c>
      <c r="I16" s="481">
        <f ca="1">IF(MONTH(A16)=MONTH($E$1),VLOOKUP(A16,'Calculations II'!$B$8:$IV$434,14,FALSE),0)</f>
        <v>-1.1527407897421793</v>
      </c>
      <c r="J16" s="481">
        <f t="shared" ca="1" si="2"/>
        <v>-1.0141406422119812</v>
      </c>
      <c r="K16" s="486">
        <f>IF(MONTH(A16)=MONTH($E$1),VLOOKUP(A16,'Calculations II'!$B$8:$IV$434,67,FALSE),0)</f>
        <v>0</v>
      </c>
      <c r="L16" s="494">
        <f>IF(MONTH(A16)=MONTH($E$1),VLOOKUP(A16,Sheet1!$B$8:$HT$528,65,FALSE),0)</f>
        <v>26</v>
      </c>
      <c r="M16" s="57">
        <f>IF(MONTH(A16)=MONTH($E$1),VLOOKUP(A16,Sheet1!$B$8:$HT$528,97,FALSE),0)</f>
        <v>16.175999999999998</v>
      </c>
      <c r="N16" s="260">
        <f t="shared" ca="1" si="3"/>
        <v>26.027507357788021</v>
      </c>
      <c r="O16" s="260">
        <f t="shared" ca="1" si="4"/>
        <v>42.20350735778802</v>
      </c>
      <c r="P16" s="57">
        <f>IF(MONTH(A16)=MONTH($E$1),VLOOKUP(A16,Calculation!$B$8:$JF$503,44,FALSE),0)</f>
        <v>0.99</v>
      </c>
      <c r="Q16" s="259">
        <f>IF(MONTH(A16)=MONTH($E$1),VLOOKUP(A16,Calculation!$B$8:$JF$503,113,FALSE),0)</f>
        <v>8.9799777530589537</v>
      </c>
      <c r="R16" s="261">
        <f t="shared" ca="1" si="5"/>
        <v>52.173485110846975</v>
      </c>
      <c r="S16" s="338">
        <f>IF(MONTH(A16)=MONTH($E$1),VLOOKUP(A16,Sheet1!$B$8:$HT$528,123,FALSE),0)</f>
        <v>0</v>
      </c>
      <c r="T16" s="314">
        <f>IF(MONTH(A16)=MONTH($E$1),VLOOKUP(A16,Sheet1!$B$8:$HT$528,124,FALSE),0)</f>
        <v>0</v>
      </c>
      <c r="U16"/>
      <c r="V16"/>
      <c r="Y16" s="57"/>
      <c r="Z16" s="57"/>
      <c r="AA16" s="57"/>
    </row>
    <row r="17" spans="1:27">
      <c r="A17" s="408">
        <f t="shared" si="6"/>
        <v>41982</v>
      </c>
      <c r="B17" s="257">
        <f>IF(MONTH(A17)=MONTH($E$1),VLOOKUP((A17),Sheet1!$B$8:$HT$528,11,FALSE),0)</f>
        <v>2.9399999999986903</v>
      </c>
      <c r="C17" s="310">
        <f>IF(MONTH(A17)=MONTH($E$1),VLOOKUP(A17,'Calculations II'!$B$8:$IV$434,54,FALSE),0)</f>
        <v>17.055935999999999</v>
      </c>
      <c r="D17" s="259">
        <f>IF(MONTH(A17)=MONTH($E$1),VLOOKUP(A17,Sheet1!$B$8:$HT$528,26,FALSE),0)</f>
        <v>0</v>
      </c>
      <c r="E17" s="57">
        <f>IF(MONTH(A17)=MONTH($E$1),VLOOKUP(A17,Sheet1!$B$8:$HT$528,27,FALSE),0)</f>
        <v>35.950000000000003</v>
      </c>
      <c r="F17" s="733">
        <f t="shared" si="1"/>
        <v>43.048433219132377</v>
      </c>
      <c r="G17" s="733">
        <f t="shared" si="0"/>
        <v>53.005936000000005</v>
      </c>
      <c r="H17" s="258">
        <f>IF(MONTH(A17)=MONTH($E$1),VLOOKUP(A17,Calculation!$B$8:$JF$503,148,FALSE),0)</f>
        <v>1.9401776960137933</v>
      </c>
      <c r="I17" s="481">
        <f ca="1">IF(MONTH(A17)=MONTH($E$1),VLOOKUP(A17,'Calculations II'!$B$8:$IV$434,14,FALSE),0)</f>
        <v>-1.8853141560815674</v>
      </c>
      <c r="J17" s="481">
        <f t="shared" ca="1" si="2"/>
        <v>5.4863539932225924E-2</v>
      </c>
      <c r="K17" s="486">
        <f>IF(MONTH(A17)=MONTH($E$1),VLOOKUP(A17,'Calculations II'!$B$8:$IV$434,67,FALSE),0)</f>
        <v>0</v>
      </c>
      <c r="L17" s="494">
        <f>IF(MONTH(A17)=MONTH($E$1),VLOOKUP(A17,Sheet1!$B$8:$HT$528,65,FALSE),0)</f>
        <v>26</v>
      </c>
      <c r="M17" s="57">
        <f>IF(MONTH(A17)=MONTH($E$1),VLOOKUP(A17,Sheet1!$B$8:$HT$528,97,FALSE),0)</f>
        <v>16.765000000000001</v>
      </c>
      <c r="N17" s="260">
        <f t="shared" ca="1" si="3"/>
        <v>26.345799539932223</v>
      </c>
      <c r="O17" s="260">
        <f t="shared" ca="1" si="4"/>
        <v>43.110799539932223</v>
      </c>
      <c r="P17" s="57">
        <f>IF(MONTH(A17)=MONTH($E$1),VLOOKUP(A17,Calculation!$B$8:$JF$503,44,FALSE),0)</f>
        <v>0.98</v>
      </c>
      <c r="Q17" s="259">
        <f>IF(MONTH(A17)=MONTH($E$1),VLOOKUP(A17,Calculation!$B$8:$JF$503,113,FALSE),0)</f>
        <v>8.9775027808676313</v>
      </c>
      <c r="R17" s="261">
        <f ca="1">IF(AND(D17=0,E17=0),0,C17+D17+J17-K17+L17+P17+Q17)</f>
        <v>53.068302320799852</v>
      </c>
      <c r="S17" s="338">
        <f>IF(MONTH(A17)=MONTH($E$1),VLOOKUP(A17,Sheet1!$B$8:$HT$528,123,FALSE),0)</f>
        <v>0</v>
      </c>
      <c r="T17" s="314">
        <f>IF(MONTH(A17)=MONTH($E$1),VLOOKUP(A17,Sheet1!$B$8:$HT$528,124,FALSE),0)</f>
        <v>0</v>
      </c>
      <c r="U17"/>
      <c r="V17"/>
      <c r="Y17" s="57"/>
      <c r="Z17" s="57"/>
      <c r="AA17" s="57"/>
    </row>
    <row r="18" spans="1:27">
      <c r="A18" s="408">
        <f t="shared" si="6"/>
        <v>41983</v>
      </c>
      <c r="B18" s="257">
        <f>IF(MONTH(A18)=MONTH($E$1),VLOOKUP((A18),Sheet1!$B$8:$HT$528,11,FALSE),0)</f>
        <v>0</v>
      </c>
      <c r="C18" s="310">
        <f>IF(MONTH(A18)=MONTH($E$1),VLOOKUP(A18,'Calculations II'!$B$8:$IV$434,54,FALSE),0)</f>
        <v>15.820416</v>
      </c>
      <c r="D18" s="259">
        <f>IF(MONTH(A18)=MONTH($E$1),VLOOKUP(A18,Sheet1!$B$8:$HT$528,26,FALSE),0)</f>
        <v>0</v>
      </c>
      <c r="E18" s="57">
        <f>IF(MONTH(A18)=MONTH($E$1),VLOOKUP(A18,Sheet1!$B$8:$HT$528,27,FALSE),0)</f>
        <v>36.03</v>
      </c>
      <c r="F18" s="733">
        <f t="shared" si="1"/>
        <v>41.890374414194625</v>
      </c>
      <c r="G18" s="733">
        <f t="shared" si="0"/>
        <v>51.850416000000003</v>
      </c>
      <c r="H18" s="258">
        <f>IF(MONTH(A18)=MONTH($E$1),VLOOKUP(A18,Calculation!$B$8:$JF$503,148,FALSE),0)</f>
        <v>1.2469333762086332</v>
      </c>
      <c r="I18" s="481">
        <f ca="1">IF(MONTH(A18)=MONTH($E$1),VLOOKUP(A18,'Calculations II'!$B$8:$IV$434,14,FALSE),0)</f>
        <v>1.0896005670061077</v>
      </c>
      <c r="J18" s="481">
        <f t="shared" ca="1" si="2"/>
        <v>2.3365339432147412</v>
      </c>
      <c r="K18" s="486">
        <f>IF(MONTH(A18)=MONTH($E$1),VLOOKUP(A18,'Calculations II'!$B$8:$IV$434,67,FALSE),0)</f>
        <v>0</v>
      </c>
      <c r="L18" s="494">
        <f>IF(MONTH(A18)=MONTH($E$1),VLOOKUP(A18,Sheet1!$B$8:$HT$528,65,FALSE),0)</f>
        <v>26.1</v>
      </c>
      <c r="M18" s="57">
        <f>IF(MONTH(A18)=MONTH($E$1),VLOOKUP(A18,Sheet1!$B$8:$HT$528,97,FALSE),0)</f>
        <v>17.608000000000001</v>
      </c>
      <c r="N18" s="260">
        <f t="shared" ca="1" si="3"/>
        <v>26.648949943214742</v>
      </c>
      <c r="O18" s="260">
        <f t="shared" ca="1" si="4"/>
        <v>44.256949943214742</v>
      </c>
      <c r="P18" s="57">
        <f>IF(MONTH(A18)=MONTH($E$1),VLOOKUP(A18,Calculation!$B$8:$JF$503,44,FALSE),0)</f>
        <v>0.99</v>
      </c>
      <c r="Q18" s="259">
        <f>IF(MONTH(A18)=MONTH($E$1),VLOOKUP(A18,Calculation!$B$8:$JF$503,113,FALSE),0)</f>
        <v>8.9700415858053795</v>
      </c>
      <c r="R18" s="261">
        <f t="shared" ca="1" si="5"/>
        <v>54.21699152902012</v>
      </c>
      <c r="S18" s="338">
        <f>IF(MONTH(A18)=MONTH($E$1),VLOOKUP(A18,Sheet1!$B$8:$HT$528,123,FALSE),0)</f>
        <v>0</v>
      </c>
      <c r="T18" s="314">
        <f>IF(MONTH(A18)=MONTH($E$1),VLOOKUP(A18,Sheet1!$B$8:$HT$528,124,FALSE),0)</f>
        <v>0</v>
      </c>
      <c r="U18"/>
      <c r="V18"/>
      <c r="Y18" s="57"/>
      <c r="Z18" s="57"/>
      <c r="AA18" s="57"/>
    </row>
    <row r="19" spans="1:27">
      <c r="A19" s="408">
        <f t="shared" si="6"/>
        <v>41984</v>
      </c>
      <c r="B19" s="257">
        <f>IF(MONTH(A19)=MONTH($E$1),VLOOKUP((A19),Sheet1!$B$8:$HT$528,11,FALSE),0)</f>
        <v>2.6100000000005821</v>
      </c>
      <c r="C19" s="310">
        <f>IF(MONTH(A19)=MONTH($E$1),VLOOKUP(A19,'Calculations II'!$B$8:$IV$434,54,FALSE),0)</f>
        <v>15.837120000000001</v>
      </c>
      <c r="D19" s="259">
        <f>IF(MONTH(A19)=MONTH($E$1),VLOOKUP(A19,Sheet1!$B$8:$HT$528,26,FALSE),0)</f>
        <v>10.8</v>
      </c>
      <c r="E19" s="57">
        <f>IF(MONTH(A19)=MONTH($E$1),VLOOKUP(A19,Sheet1!$B$8:$HT$528,27,FALSE),0)</f>
        <v>35.43</v>
      </c>
      <c r="F19" s="733">
        <f t="shared" si="1"/>
        <v>52.192344296461414</v>
      </c>
      <c r="G19" s="733">
        <f t="shared" si="0"/>
        <v>62.067120000000003</v>
      </c>
      <c r="H19" s="258">
        <f>IF(MONTH(A19)=MONTH($E$1),VLOOKUP(A19,Calculation!$B$8:$JF$503,148,FALSE),0)</f>
        <v>-1.5240631559080631</v>
      </c>
      <c r="I19" s="481">
        <f ca="1">IF(MONTH(A19)=MONTH($E$1),VLOOKUP(A19,'Calculations II'!$B$8:$IV$434,14,FALSE),0)</f>
        <v>1.0429632968813447</v>
      </c>
      <c r="J19" s="481">
        <f t="shared" ca="1" si="2"/>
        <v>-0.48109985902671837</v>
      </c>
      <c r="K19" s="486">
        <f>IF(MONTH(A19)=MONTH($E$1),VLOOKUP(A19,'Calculations II'!$B$8:$IV$434,67,FALSE),0)</f>
        <v>0</v>
      </c>
      <c r="L19" s="494">
        <f>IF(MONTH(A19)=MONTH($E$1),VLOOKUP(A19,Sheet1!$B$8:$HT$528,65,FALSE),0)</f>
        <v>25.9</v>
      </c>
      <c r="M19" s="57">
        <f>IF(MONTH(A19)=MONTH($E$1),VLOOKUP(A19,Sheet1!$B$8:$HT$528,97,FALSE),0)</f>
        <v>18.641999999999999</v>
      </c>
      <c r="N19" s="260">
        <f t="shared" ca="1" si="3"/>
        <v>33.414020140973292</v>
      </c>
      <c r="O19" s="260">
        <f t="shared" ca="1" si="4"/>
        <v>52.056020140973288</v>
      </c>
      <c r="P19" s="57">
        <f>IF(MONTH(A19)=MONTH($E$1),VLOOKUP(A19,Calculation!$B$8:$JF$503,44,FALSE),0)</f>
        <v>1</v>
      </c>
      <c r="Q19" s="259">
        <f>IF(MONTH(A19)=MONTH($E$1),VLOOKUP(A19,Calculation!$B$8:$JF$503,113,FALSE),0)</f>
        <v>8.8747757035385906</v>
      </c>
      <c r="R19" s="261">
        <f t="shared" ca="1" si="5"/>
        <v>61.930795844511877</v>
      </c>
      <c r="S19" s="338">
        <f>IF(MONTH(A19)=MONTH($E$1),VLOOKUP(A19,Sheet1!$B$8:$HT$528,123,FALSE),0)</f>
        <v>0</v>
      </c>
      <c r="T19" s="314">
        <f>IF(MONTH(A19)=MONTH($E$1),VLOOKUP(A19,Sheet1!$B$8:$HT$528,124,FALSE),0)</f>
        <v>0</v>
      </c>
      <c r="U19"/>
      <c r="V19"/>
      <c r="Y19" s="57"/>
      <c r="Z19" s="57"/>
      <c r="AA19" s="57"/>
    </row>
    <row r="20" spans="1:27">
      <c r="A20" s="408">
        <f t="shared" si="6"/>
        <v>41985</v>
      </c>
      <c r="B20" s="257">
        <f>IF(MONTH(A20)=MONTH($E$1),VLOOKUP((A20),Sheet1!$B$8:$HT$528,11,FALSE),0)</f>
        <v>0</v>
      </c>
      <c r="C20" s="310">
        <f>IF(MONTH(A20)=MONTH($E$1),VLOOKUP(A20,'Calculations II'!$B$8:$IV$434,54,FALSE),0)</f>
        <v>1.8868320000000001</v>
      </c>
      <c r="D20" s="259">
        <f>IF(MONTH(A20)=MONTH($E$1),VLOOKUP(A20,Sheet1!$B$8:$HT$528,26,FALSE),0)</f>
        <v>24</v>
      </c>
      <c r="E20" s="57">
        <f>IF(MONTH(A20)=MONTH($E$1),VLOOKUP(A20,Sheet1!$B$8:$HT$528,27,FALSE),0)</f>
        <v>32.799999999999997</v>
      </c>
      <c r="F20" s="733">
        <f t="shared" si="1"/>
        <v>48.623015206106871</v>
      </c>
      <c r="G20" s="733">
        <f t="shared" si="0"/>
        <v>58.686831999999995</v>
      </c>
      <c r="H20" s="258">
        <f>IF(MONTH(A20)=MONTH($E$1),VLOOKUP(A20,Calculation!$B$8:$JF$503,148,FALSE),0)</f>
        <v>1.8011224286711365</v>
      </c>
      <c r="I20" s="481">
        <f ca="1">IF(MONTH(A20)=MONTH($E$1),VLOOKUP(A20,'Calculations II'!$B$8:$IV$434,14,FALSE),0)</f>
        <v>-2.5657424925280186</v>
      </c>
      <c r="J20" s="481">
        <f t="shared" ca="1" si="2"/>
        <v>-0.76462006385688208</v>
      </c>
      <c r="K20" s="486">
        <f>IF(MONTH(A20)=MONTH($E$1),VLOOKUP(A20,'Calculations II'!$B$8:$IV$434,67,FALSE),0)</f>
        <v>0</v>
      </c>
      <c r="L20" s="494">
        <f>IF(MONTH(A20)=MONTH($E$1),VLOOKUP(A20,Sheet1!$B$8:$HT$528,65,FALSE),0)</f>
        <v>22.7</v>
      </c>
      <c r="M20" s="57">
        <f>IF(MONTH(A20)=MONTH($E$1),VLOOKUP(A20,Sheet1!$B$8:$HT$528,97,FALSE),0)</f>
        <v>17.867000000000001</v>
      </c>
      <c r="N20" s="260">
        <f t="shared" ca="1" si="3"/>
        <v>29.955211936143119</v>
      </c>
      <c r="O20" s="260">
        <f t="shared" ca="1" si="4"/>
        <v>47.82221193614312</v>
      </c>
      <c r="P20" s="57">
        <f>IF(MONTH(A20)=MONTH($E$1),VLOOKUP(A20,Calculation!$B$8:$JF$503,44,FALSE),0)</f>
        <v>1</v>
      </c>
      <c r="Q20" s="259">
        <f>IF(MONTH(A20)=MONTH($E$1),VLOOKUP(A20,Calculation!$B$8:$JF$503,113,FALSE),0)</f>
        <v>9.0638167938931282</v>
      </c>
      <c r="R20" s="261">
        <f t="shared" ca="1" si="5"/>
        <v>57.886028730036244</v>
      </c>
      <c r="S20" s="338">
        <f>IF(MONTH(A20)=MONTH($E$1),VLOOKUP(A20,Sheet1!$B$8:$HT$528,123,FALSE),0)</f>
        <v>0</v>
      </c>
      <c r="T20" s="314">
        <f>IF(MONTH(A20)=MONTH($E$1),VLOOKUP(A20,Sheet1!$B$8:$HT$528,124,FALSE),0)</f>
        <v>0</v>
      </c>
      <c r="U20"/>
      <c r="V20"/>
      <c r="Y20" s="57"/>
      <c r="Z20" s="57"/>
      <c r="AA20" s="57"/>
    </row>
    <row r="21" spans="1:27">
      <c r="A21" s="408">
        <f t="shared" si="6"/>
        <v>41986</v>
      </c>
      <c r="B21" s="257">
        <f>IF(MONTH(A21)=MONTH($E$1),VLOOKUP((A21),Sheet1!$B$8:$HT$528,11,FALSE),0)</f>
        <v>2.6300000000010186</v>
      </c>
      <c r="C21" s="310">
        <f>IF(MONTH(A21)=MONTH($E$1),VLOOKUP(A21,'Calculations II'!$B$8:$IV$434,54,FALSE),0)</f>
        <v>0</v>
      </c>
      <c r="D21" s="259">
        <f>IF(MONTH(A21)=MONTH($E$1),VLOOKUP(A21,Sheet1!$B$8:$HT$528,26,FALSE),0)</f>
        <v>24.1</v>
      </c>
      <c r="E21" s="57">
        <f>IF(MONTH(A21)=MONTH($E$1),VLOOKUP(A21,Sheet1!$B$8:$HT$528,27,FALSE),0)</f>
        <v>27.4</v>
      </c>
      <c r="F21" s="733">
        <f t="shared" si="1"/>
        <v>41.446404657933044</v>
      </c>
      <c r="G21" s="733">
        <f t="shared" si="0"/>
        <v>51.5</v>
      </c>
      <c r="H21" s="258">
        <f>IF(MONTH(A21)=MONTH($E$1),VLOOKUP(A21,Calculation!$B$8:$JF$503,148,FALSE),0)</f>
        <v>3.3237115187012516</v>
      </c>
      <c r="I21" s="481">
        <f ca="1">IF(MONTH(A21)=MONTH($E$1),VLOOKUP(A21,'Calculations II'!$B$8:$IV$434,14,FALSE),0)</f>
        <v>0.38503152904396121</v>
      </c>
      <c r="J21" s="481">
        <f t="shared" ca="1" si="2"/>
        <v>3.7087430477452128</v>
      </c>
      <c r="K21" s="486">
        <f>IF(MONTH(A21)=MONTH($E$1),VLOOKUP(A21,'Calculations II'!$B$8:$IV$434,67,FALSE),0)</f>
        <v>0</v>
      </c>
      <c r="L21" s="494">
        <f>IF(MONTH(A21)=MONTH($E$1),VLOOKUP(A21,Sheet1!$B$8:$HT$528,65,FALSE),0)</f>
        <v>17.399999999999999</v>
      </c>
      <c r="M21" s="57">
        <f>IF(MONTH(A21)=MONTH($E$1),VLOOKUP(A21,Sheet1!$B$8:$HT$528,97,FALSE),0)</f>
        <v>17.206</v>
      </c>
      <c r="N21" s="260">
        <f t="shared" ca="1" si="3"/>
        <v>28.002743047745216</v>
      </c>
      <c r="O21" s="260">
        <f t="shared" ca="1" si="4"/>
        <v>45.208743047745216</v>
      </c>
      <c r="P21" s="57">
        <f>IF(MONTH(A21)=MONTH($E$1),VLOOKUP(A21,Calculation!$B$8:$JF$503,44,FALSE),0)</f>
        <v>1.01</v>
      </c>
      <c r="Q21" s="259">
        <f>IF(MONTH(A21)=MONTH($E$1),VLOOKUP(A21,Calculation!$B$8:$JF$503,113,FALSE),0)</f>
        <v>9.0435953420669577</v>
      </c>
      <c r="R21" s="261">
        <f t="shared" ca="1" si="5"/>
        <v>55.262338389812172</v>
      </c>
      <c r="S21" s="338">
        <f>IF(MONTH(A21)=MONTH($E$1),VLOOKUP(A21,Sheet1!$B$8:$HT$528,123,FALSE),0)</f>
        <v>0</v>
      </c>
      <c r="T21" s="314">
        <f>IF(MONTH(A21)=MONTH($E$1),VLOOKUP(A21,Sheet1!$B$8:$HT$528,124,FALSE),0)</f>
        <v>0</v>
      </c>
      <c r="U21"/>
      <c r="V21"/>
      <c r="Y21" s="57"/>
      <c r="Z21" s="57"/>
      <c r="AA21" s="57"/>
    </row>
    <row r="22" spans="1:27">
      <c r="A22" s="408">
        <f t="shared" si="6"/>
        <v>41987</v>
      </c>
      <c r="B22" s="257">
        <f>IF(MONTH(A22)=MONTH($E$1),VLOOKUP((A22),Sheet1!$B$8:$HT$528,11,FALSE),0)</f>
        <v>1.9899999999979627</v>
      </c>
      <c r="C22" s="310">
        <f>IF(MONTH(A22)=MONTH($E$1),VLOOKUP(A22,'Calculations II'!$B$8:$IV$434,54,FALSE),0)</f>
        <v>0</v>
      </c>
      <c r="D22" s="259">
        <f>IF(MONTH(A22)=MONTH($E$1),VLOOKUP(A22,Sheet1!$B$8:$HT$528,26,FALSE),0)</f>
        <v>24.2</v>
      </c>
      <c r="E22" s="57">
        <f>IF(MONTH(A22)=MONTH($E$1),VLOOKUP(A22,Sheet1!$B$8:$HT$528,27,FALSE),0)</f>
        <v>25.9</v>
      </c>
      <c r="F22" s="733">
        <f t="shared" si="1"/>
        <v>40.227799227799224</v>
      </c>
      <c r="G22" s="733">
        <f t="shared" si="0"/>
        <v>50.099999999999994</v>
      </c>
      <c r="H22" s="258">
        <f>IF(MONTH(A22)=MONTH($E$1),VLOOKUP(A22,Calculation!$B$8:$JF$503,148,FALSE),0)</f>
        <v>2.6299548644427846</v>
      </c>
      <c r="I22" s="481">
        <f ca="1">IF(MONTH(A22)=MONTH($E$1),VLOOKUP(A22,'Calculations II'!$B$8:$IV$434,14,FALSE),0)</f>
        <v>2.9691839633837773</v>
      </c>
      <c r="J22" s="481">
        <f t="shared" ca="1" si="2"/>
        <v>5.5991388278265619</v>
      </c>
      <c r="K22" s="486">
        <f>IF(MONTH(A22)=MONTH($E$1),VLOOKUP(A22,'Calculations II'!$B$8:$IV$434,67,FALSE),0)</f>
        <v>0</v>
      </c>
      <c r="L22" s="494">
        <f>IF(MONTH(A22)=MONTH($E$1),VLOOKUP(A22,Sheet1!$B$8:$HT$528,65,FALSE),0)</f>
        <v>16.100000000000001</v>
      </c>
      <c r="M22" s="57">
        <f>IF(MONTH(A22)=MONTH($E$1),VLOOKUP(A22,Sheet1!$B$8:$HT$528,97,FALSE),0)</f>
        <v>17.75</v>
      </c>
      <c r="N22" s="260">
        <f t="shared" ca="1" si="3"/>
        <v>28.149138827826562</v>
      </c>
      <c r="O22" s="260">
        <f t="shared" ca="1" si="4"/>
        <v>45.899138827826562</v>
      </c>
      <c r="P22" s="57">
        <f>IF(MONTH(A22)=MONTH($E$1),VLOOKUP(A22,Calculation!$B$8:$JF$503,44,FALSE),0)</f>
        <v>1.01</v>
      </c>
      <c r="Q22" s="259">
        <f>IF(MONTH(A22)=MONTH($E$1),VLOOKUP(A22,Calculation!$B$8:$JF$503,113,FALSE),0)</f>
        <v>8.8622007722007705</v>
      </c>
      <c r="R22" s="261">
        <f t="shared" ca="1" si="5"/>
        <v>55.771339600027332</v>
      </c>
      <c r="S22" s="338">
        <f>IF(MONTH(A22)=MONTH($E$1),VLOOKUP(A22,Sheet1!$B$8:$HT$528,123,FALSE),0)</f>
        <v>0</v>
      </c>
      <c r="T22" s="626">
        <f>IF(MONTH(A22)=MONTH($E$1),VLOOKUP(A22,Sheet1!$B$8:$HT$528,124,FALSE),0)</f>
        <v>0</v>
      </c>
      <c r="U22"/>
      <c r="V22"/>
      <c r="Y22" s="57"/>
      <c r="Z22" s="57"/>
      <c r="AA22" s="57"/>
    </row>
    <row r="23" spans="1:27">
      <c r="A23" s="408">
        <f t="shared" si="6"/>
        <v>41988</v>
      </c>
      <c r="B23" s="257">
        <f>IF(MONTH(A23)=MONTH($E$1),VLOOKUP((A23),Sheet1!$B$8:$HT$528,11,FALSE),0)</f>
        <v>2.0000000000436557E-2</v>
      </c>
      <c r="C23" s="310">
        <f>IF(MONTH(A23)=MONTH($E$1),VLOOKUP(A23,'Calculations II'!$B$8:$IV$434,54,FALSE),0)</f>
        <v>0</v>
      </c>
      <c r="D23" s="259">
        <f>IF(MONTH(A23)=MONTH($E$1),VLOOKUP(A23,Sheet1!$B$8:$HT$528,26,FALSE),0)</f>
        <v>21.9</v>
      </c>
      <c r="E23" s="57">
        <f>IF(MONTH(A23)=MONTH($E$1),VLOOKUP(A23,Sheet1!$B$8:$HT$528,27,FALSE),0)</f>
        <v>28.13</v>
      </c>
      <c r="F23" s="733">
        <f t="shared" si="1"/>
        <v>40.07274084607181</v>
      </c>
      <c r="G23" s="733">
        <f t="shared" si="0"/>
        <v>50.03</v>
      </c>
      <c r="H23" s="258">
        <f>IF(MONTH(A23)=MONTH($E$1),VLOOKUP(A23,Calculation!$B$8:$JF$503,148,FALSE),0)</f>
        <v>8.1593657975795271</v>
      </c>
      <c r="I23" s="481">
        <f ca="1">IF(MONTH(A23)=MONTH($E$1),VLOOKUP(A23,'Calculations II'!$B$8:$IV$434,14,FALSE),0)</f>
        <v>-2.8883641314631969</v>
      </c>
      <c r="J23" s="481">
        <f t="shared" ca="1" si="2"/>
        <v>5.2710016661163301</v>
      </c>
      <c r="K23" s="486">
        <f>IF(MONTH(A23)=MONTH($E$1),VLOOKUP(A23,'Calculations II'!$B$8:$IV$434,67,FALSE),0)</f>
        <v>0</v>
      </c>
      <c r="L23" s="494">
        <f>IF(MONTH(A23)=MONTH($E$1),VLOOKUP(A23,Sheet1!$B$8:$HT$528,65,FALSE),0)</f>
        <v>18.2</v>
      </c>
      <c r="M23" s="57">
        <f>IF(MONTH(A23)=MONTH($E$1),VLOOKUP(A23,Sheet1!$B$8:$HT$528,97,FALSE),0)</f>
        <v>18.574000000000002</v>
      </c>
      <c r="N23" s="260">
        <f t="shared" ca="1" si="3"/>
        <v>26.797001666116326</v>
      </c>
      <c r="O23" s="260">
        <f t="shared" ca="1" si="4"/>
        <v>45.371001666116328</v>
      </c>
      <c r="P23" s="57">
        <f>IF(MONTH(A23)=MONTH($E$1),VLOOKUP(A23,Calculation!$B$8:$JF$503,44,FALSE),0)</f>
        <v>1.01</v>
      </c>
      <c r="Q23" s="259">
        <f>IF(MONTH(A23)=MONTH($E$1),VLOOKUP(A23,Calculation!$B$8:$JF$503,113,FALSE),0)</f>
        <v>8.94725915392819</v>
      </c>
      <c r="R23" s="261">
        <f t="shared" ca="1" si="5"/>
        <v>55.32826082004452</v>
      </c>
      <c r="S23" s="338">
        <f>IF(MONTH(A23)=MONTH($E$1),VLOOKUP(A23,Sheet1!$B$8:$HT$528,123,FALSE),0)</f>
        <v>0</v>
      </c>
      <c r="T23" s="626">
        <f>IF(MONTH(A23)=MONTH($E$1),VLOOKUP(A23,Sheet1!$B$8:$HT$528,124,FALSE),0)</f>
        <v>0</v>
      </c>
      <c r="U23"/>
      <c r="V23"/>
      <c r="Y23" s="57"/>
      <c r="Z23" s="57"/>
      <c r="AA23" s="57"/>
    </row>
    <row r="24" spans="1:27" ht="12" customHeight="1">
      <c r="A24" s="408">
        <f t="shared" si="6"/>
        <v>41989</v>
      </c>
      <c r="B24" s="257">
        <f>IF(MONTH(A24)=MONTH($E$1),VLOOKUP((A24),Sheet1!$B$8:$HT$528,11,FALSE),0)</f>
        <v>0</v>
      </c>
      <c r="C24" s="310">
        <f>IF(MONTH(A24)=MONTH($E$1),VLOOKUP(A24,'Calculations II'!$B$8:$IV$434,54,FALSE),0)</f>
        <v>0</v>
      </c>
      <c r="D24" s="259">
        <f>IF(MONTH(A24)=MONTH($E$1),VLOOKUP(A24,Sheet1!$B$8:$HT$528,26,FALSE),0)</f>
        <v>19.89</v>
      </c>
      <c r="E24" s="57">
        <f>IF(MONTH(A24)=MONTH($E$1),VLOOKUP(A24,Sheet1!$B$8:$HT$528,27,FALSE),0)</f>
        <v>33.17</v>
      </c>
      <c r="F24" s="733">
        <f t="shared" si="1"/>
        <v>42.504238310708899</v>
      </c>
      <c r="G24" s="733">
        <f t="shared" si="0"/>
        <v>53.06</v>
      </c>
      <c r="H24" s="258">
        <f>IF(MONTH(A24)=MONTH($E$1),VLOOKUP(A24,Calculation!$B$8:$JF$503,148,FALSE),0)</f>
        <v>2.0726282279522867</v>
      </c>
      <c r="I24" s="481">
        <f ca="1">IF(MONTH(A24)=MONTH($E$1),VLOOKUP(A24,'Calculations II'!$B$8:$IV$434,14,FALSE),0)</f>
        <v>1.6276352381745056</v>
      </c>
      <c r="J24" s="481">
        <f t="shared" ca="1" si="2"/>
        <v>3.7002634661267924</v>
      </c>
      <c r="K24" s="486">
        <f>IF(MONTH(A24)=MONTH($E$1),VLOOKUP(A24,'Calculations II'!$B$8:$IV$434,67,FALSE),0)</f>
        <v>0</v>
      </c>
      <c r="L24" s="494">
        <f>IF(MONTH(A24)=MONTH($E$1),VLOOKUP(A24,Sheet1!$B$8:$HT$528,65,FALSE),0)</f>
        <v>22.6</v>
      </c>
      <c r="M24" s="57">
        <f>IF(MONTH(A24)=MONTH($E$1),VLOOKUP(A24,Sheet1!$B$8:$HT$528,97,FALSE),0)</f>
        <v>18.329000000000001</v>
      </c>
      <c r="N24" s="260">
        <f t="shared" ca="1" si="3"/>
        <v>27.861263466126793</v>
      </c>
      <c r="O24" s="260">
        <f t="shared" ca="1" si="4"/>
        <v>46.190263466126794</v>
      </c>
      <c r="P24" s="57">
        <f>IF(MONTH(A24)=MONTH($E$1),VLOOKUP(A24,Calculation!$B$8:$JF$503,44,FALSE),0)</f>
        <v>1</v>
      </c>
      <c r="Q24" s="259">
        <f>IF(MONTH(A24)=MONTH($E$1),VLOOKUP(A24,Calculation!$B$8:$JF$503,113,FALSE),0)</f>
        <v>9.555761689291101</v>
      </c>
      <c r="R24" s="261">
        <f t="shared" ca="1" si="5"/>
        <v>56.746025155417897</v>
      </c>
      <c r="S24" s="338">
        <f>IF(MONTH(A24)=MONTH($E$1),VLOOKUP(A24,Sheet1!$B$8:$HT$528,123,FALSE),0)</f>
        <v>0</v>
      </c>
      <c r="T24" s="314">
        <f>IF(MONTH(A24)=MONTH($E$1),VLOOKUP(A24,Sheet1!$B$8:$HT$528,124,FALSE),0)</f>
        <v>0</v>
      </c>
      <c r="U24"/>
      <c r="V24"/>
      <c r="Y24" s="57"/>
      <c r="Z24" s="57"/>
      <c r="AA24" s="57"/>
    </row>
    <row r="25" spans="1:27">
      <c r="A25" s="408">
        <f t="shared" si="6"/>
        <v>41990</v>
      </c>
      <c r="B25" s="257">
        <f>IF(MONTH(A25)=MONTH($E$1),VLOOKUP((A25),Sheet1!$B$8:$HT$528,11,FALSE),0)</f>
        <v>0</v>
      </c>
      <c r="C25" s="310">
        <f>IF(MONTH(A25)=MONTH($E$1),VLOOKUP(A25,'Calculations II'!$B$8:$IV$434,54,FALSE),0)</f>
        <v>0.73641599999999996</v>
      </c>
      <c r="D25" s="259">
        <f>IF(MONTH(A25)=MONTH($E$1),VLOOKUP(A25,Sheet1!$B$8:$HT$528,26,FALSE),0)</f>
        <v>26.71</v>
      </c>
      <c r="E25" s="57">
        <f>IF(MONTH(A25)=MONTH($E$1),VLOOKUP(A25,Sheet1!$B$8:$HT$528,27,FALSE),0)</f>
        <v>26.62</v>
      </c>
      <c r="F25" s="733">
        <f t="shared" si="1"/>
        <v>43.885700638554219</v>
      </c>
      <c r="G25" s="733">
        <f t="shared" si="0"/>
        <v>54.066416000000004</v>
      </c>
      <c r="H25" s="258">
        <f>IF(MONTH(A25)=MONTH($E$1),VLOOKUP(A25,Calculation!$B$8:$JF$503,148,FALSE),0)</f>
        <v>4.281174541087525</v>
      </c>
      <c r="I25" s="481">
        <f ca="1">IF(MONTH(A25)=MONTH($E$1),VLOOKUP(A25,'Calculations II'!$B$8:$IV$434,14,FALSE),0)</f>
        <v>-2.5640943695680267</v>
      </c>
      <c r="J25" s="481">
        <f t="shared" ca="1" si="2"/>
        <v>1.7170801715194983</v>
      </c>
      <c r="K25" s="486">
        <f>IF(MONTH(A25)=MONTH($E$1),VLOOKUP(A25,'Calculations II'!$B$8:$IV$434,67,FALSE),0)</f>
        <v>0</v>
      </c>
      <c r="L25" s="494">
        <f>IF(MONTH(A25)=MONTH($E$1),VLOOKUP(A25,Sheet1!$B$8:$HT$528,65,FALSE),0)</f>
        <v>16.399999999999999</v>
      </c>
      <c r="M25" s="57">
        <f>IF(MONTH(A25)=MONTH($E$1),VLOOKUP(A25,Sheet1!$B$8:$HT$528,97,FALSE),0)</f>
        <v>17.452000000000002</v>
      </c>
      <c r="N25" s="260">
        <f t="shared" ca="1" si="3"/>
        <v>28.111496171519494</v>
      </c>
      <c r="O25" s="260">
        <f t="shared" ca="1" si="4"/>
        <v>45.563496171519496</v>
      </c>
      <c r="P25" s="57">
        <f>IF(MONTH(A25)=MONTH($E$1),VLOOKUP(A25,Calculation!$B$8:$JF$503,44,FALSE),0)</f>
        <v>0.99</v>
      </c>
      <c r="Q25" s="259">
        <f>IF(MONTH(A25)=MONTH($E$1),VLOOKUP(A25,Calculation!$B$8:$JF$503,113,FALSE),0)</f>
        <v>9.1907153614457844</v>
      </c>
      <c r="R25" s="261">
        <f t="shared" ca="1" si="5"/>
        <v>55.744211532965281</v>
      </c>
      <c r="S25" s="338">
        <f>IF(MONTH(A25)=MONTH($E$1),VLOOKUP(A25,Sheet1!$B$8:$HT$528,123,FALSE),0)</f>
        <v>0</v>
      </c>
      <c r="T25" s="314">
        <f>IF(MONTH(A25)=MONTH($E$1),VLOOKUP(A25,Sheet1!$B$8:$HT$528,124,FALSE),0)</f>
        <v>0</v>
      </c>
      <c r="U25"/>
      <c r="V25"/>
      <c r="Y25" s="57"/>
      <c r="Z25" s="57"/>
      <c r="AA25" s="57"/>
    </row>
    <row r="26" spans="1:27">
      <c r="A26" s="408">
        <f t="shared" si="6"/>
        <v>41991</v>
      </c>
      <c r="B26" s="257">
        <f>IF(MONTH(A26)=MONTH($E$1),VLOOKUP((A26),Sheet1!$B$8:$HT$528,11,FALSE),0)</f>
        <v>0</v>
      </c>
      <c r="C26" s="310">
        <f>IF(MONTH(A26)=MONTH($E$1),VLOOKUP(A26,'Calculations II'!$B$8:$IV$434,54,FALSE),0)</f>
        <v>0</v>
      </c>
      <c r="D26" s="259">
        <f>IF(MONTH(A26)=MONTH($E$1),VLOOKUP(A26,Sheet1!$B$8:$HT$528,26,FALSE),0)</f>
        <v>40.4</v>
      </c>
      <c r="E26" s="57">
        <f>IF(MONTH(A26)=MONTH($E$1),VLOOKUP(A26,Sheet1!$B$8:$HT$528,27,FALSE),0)</f>
        <v>19.88</v>
      </c>
      <c r="F26" s="733">
        <f t="shared" si="1"/>
        <v>50.40597007481297</v>
      </c>
      <c r="G26" s="733">
        <f t="shared" si="0"/>
        <v>60.28</v>
      </c>
      <c r="H26" s="258">
        <f>IF(MONTH(A26)=MONTH($E$1),VLOOKUP(A26,Calculation!$B$8:$JF$503,148,FALSE),0)</f>
        <v>-8.5654085584786177</v>
      </c>
      <c r="I26" s="481">
        <f ca="1">IF(MONTH(A26)=MONTH($E$1),VLOOKUP(A26,'Calculations II'!$B$8:$IV$434,14,FALSE),0)</f>
        <v>3.4823741452099108</v>
      </c>
      <c r="J26" s="481">
        <f t="shared" ca="1" si="2"/>
        <v>-5.0830344132687069</v>
      </c>
      <c r="K26" s="486">
        <f>IF(MONTH(A26)=MONTH($E$1),VLOOKUP(A26,'Calculations II'!$B$8:$IV$434,67,FALSE),0)</f>
        <v>0</v>
      </c>
      <c r="L26" s="494">
        <f>IF(MONTH(A26)=MONTH($E$1),VLOOKUP(A26,Sheet1!$B$8:$HT$528,65,FALSE),0)</f>
        <v>10.1</v>
      </c>
      <c r="M26" s="57">
        <f>IF(MONTH(A26)=MONTH($E$1),VLOOKUP(A26,Sheet1!$B$8:$HT$528,97,FALSE),0)</f>
        <v>16.396000000000001</v>
      </c>
      <c r="N26" s="260">
        <f t="shared" ca="1" si="3"/>
        <v>29.020965586731293</v>
      </c>
      <c r="O26" s="260">
        <f t="shared" ca="1" si="4"/>
        <v>45.416965586731294</v>
      </c>
      <c r="P26" s="57">
        <f>IF(MONTH(A26)=MONTH($E$1),VLOOKUP(A26,Calculation!$B$8:$JF$503,44,FALSE),0)</f>
        <v>0.99</v>
      </c>
      <c r="Q26" s="259">
        <f>IF(MONTH(A26)=MONTH($E$1),VLOOKUP(A26,Calculation!$B$8:$JF$503,113,FALSE),0)</f>
        <v>8.8840299251870309</v>
      </c>
      <c r="R26" s="261">
        <f t="shared" ca="1" si="5"/>
        <v>55.290995511918325</v>
      </c>
      <c r="S26" s="338">
        <f>IF(MONTH(A26)=MONTH($E$1),VLOOKUP(A26,Sheet1!$B$8:$HT$528,123,FALSE),0)</f>
        <v>0</v>
      </c>
      <c r="T26" s="626">
        <f>IF(MONTH(A26)=MONTH($E$1),VLOOKUP(A26,Sheet1!$B$8:$HT$528,124,FALSE),0)</f>
        <v>0</v>
      </c>
      <c r="U26"/>
      <c r="V26"/>
      <c r="Y26" s="57"/>
      <c r="Z26" s="57"/>
      <c r="AA26" s="57"/>
    </row>
    <row r="27" spans="1:27">
      <c r="A27" s="408">
        <f t="shared" si="6"/>
        <v>41992</v>
      </c>
      <c r="B27" s="257">
        <f>IF(MONTH(A27)=MONTH($E$1),VLOOKUP((A27),Sheet1!$B$8:$HT$528,11,FALSE),0)</f>
        <v>15.520000000000437</v>
      </c>
      <c r="C27" s="310">
        <f>IF(MONTH(A27)=MONTH($E$1),VLOOKUP(A27,'Calculations II'!$B$8:$IV$434,54,FALSE),0)</f>
        <v>6.0912000000000001E-2</v>
      </c>
      <c r="D27" s="259">
        <f>IF(MONTH(A27)=MONTH($E$1),VLOOKUP(A27,Sheet1!$B$8:$HT$528,26,FALSE),0)</f>
        <v>40.9</v>
      </c>
      <c r="E27" s="57">
        <f>IF(MONTH(A27)=MONTH($E$1),VLOOKUP(A27,Sheet1!$B$8:$HT$528,27,FALSE),0)</f>
        <v>19.8</v>
      </c>
      <c r="F27" s="733">
        <f t="shared" si="1"/>
        <v>51.010685755656112</v>
      </c>
      <c r="G27" s="733">
        <f t="shared" si="0"/>
        <v>60.760912000000005</v>
      </c>
      <c r="H27" s="258">
        <f>IF(MONTH(A27)=MONTH($E$1),VLOOKUP(A27,Calculation!$B$8:$JF$503,148,FALSE),0)</f>
        <v>-9.1315386295575465</v>
      </c>
      <c r="I27" s="481">
        <f ca="1">IF(MONTH(A27)=MONTH($E$1),VLOOKUP(A27,'Calculations II'!$B$8:$IV$434,14,FALSE),0)</f>
        <v>0.45842821954144469</v>
      </c>
      <c r="J27" s="481">
        <f t="shared" ca="1" si="2"/>
        <v>-8.6731104100161023</v>
      </c>
      <c r="K27" s="486">
        <f>IF(MONTH(A27)=MONTH($E$1),VLOOKUP(A27,'Calculations II'!$B$8:$IV$434,67,FALSE),0)</f>
        <v>0</v>
      </c>
      <c r="L27" s="494">
        <f>IF(MONTH(A27)=MONTH($E$1),VLOOKUP(A27,Sheet1!$B$8:$HT$528,65,FALSE),0)</f>
        <v>10.1</v>
      </c>
      <c r="M27" s="57">
        <f>IF(MONTH(A27)=MONTH($E$1),VLOOKUP(A27,Sheet1!$B$8:$HT$528,97,FALSE),0)</f>
        <v>16.57</v>
      </c>
      <c r="N27" s="260">
        <f t="shared" ca="1" si="3"/>
        <v>25.817801589983901</v>
      </c>
      <c r="O27" s="260">
        <f t="shared" ca="1" si="4"/>
        <v>42.387801589983901</v>
      </c>
      <c r="P27" s="57">
        <f>IF(MONTH(A27)=MONTH($E$1),VLOOKUP(A27,Calculation!$B$8:$JF$503,44,FALSE),0)</f>
        <v>1</v>
      </c>
      <c r="Q27" s="259">
        <f>IF(MONTH(A27)=MONTH($E$1),VLOOKUP(A27,Calculation!$B$8:$JF$503,113,FALSE),0)</f>
        <v>8.7502262443438923</v>
      </c>
      <c r="R27" s="261">
        <f t="shared" ca="1" si="5"/>
        <v>52.138027834327794</v>
      </c>
      <c r="S27" s="338">
        <f>IF(MONTH(A27)=MONTH($E$1),VLOOKUP(A27,Sheet1!$B$8:$HT$528,123,FALSE),0)</f>
        <v>0</v>
      </c>
      <c r="T27" s="626">
        <f>IF(MONTH(A27)=MONTH($E$1),VLOOKUP(A27,Sheet1!$B$8:$HT$528,124,FALSE),0)</f>
        <v>0</v>
      </c>
      <c r="U27"/>
      <c r="V27"/>
      <c r="Y27" s="57"/>
      <c r="Z27" s="57"/>
      <c r="AA27" s="57"/>
    </row>
    <row r="28" spans="1:27">
      <c r="A28" s="408">
        <f t="shared" si="6"/>
        <v>41993</v>
      </c>
      <c r="B28" s="257">
        <f>IF(MONTH(A28)=MONTH($E$1),VLOOKUP((A28),Sheet1!$B$8:$HT$528,11,FALSE),0)</f>
        <v>27.479999999999563</v>
      </c>
      <c r="C28" s="310">
        <f>IF(MONTH(A28)=MONTH($E$1),VLOOKUP(A28,'Calculations II'!$B$8:$IV$434,54,FALSE),0)</f>
        <v>0</v>
      </c>
      <c r="D28" s="259">
        <f>IF(MONTH(A28)=MONTH($E$1),VLOOKUP(A28,Sheet1!$B$8:$HT$528,26,FALSE),0)</f>
        <v>30.4</v>
      </c>
      <c r="E28" s="57">
        <f>IF(MONTH(A28)=MONTH($E$1),VLOOKUP(A28,Sheet1!$B$8:$HT$528,27,FALSE),0)</f>
        <v>20</v>
      </c>
      <c r="F28" s="733">
        <f t="shared" si="1"/>
        <v>40.444776119402988</v>
      </c>
      <c r="G28" s="733">
        <f t="shared" si="0"/>
        <v>50.4</v>
      </c>
      <c r="H28" s="258">
        <f>IF(MONTH(A28)=MONTH($E$1),VLOOKUP(A28,Calculation!$B$8:$JF$503,148,FALSE),0)</f>
        <v>5.1209060894664749</v>
      </c>
      <c r="I28" s="481">
        <f ca="1">IF(MONTH(A28)=MONTH($E$1),VLOOKUP(A28,'Calculations II'!$B$8:$IV$434,14,FALSE),0)</f>
        <v>-1.4998681108608154</v>
      </c>
      <c r="J28" s="481">
        <f t="shared" ca="1" si="2"/>
        <v>3.6210379786056595</v>
      </c>
      <c r="K28" s="486">
        <f>IF(MONTH(A28)=MONTH($E$1),VLOOKUP(A28,'Calculations II'!$B$8:$IV$434,67,FALSE),0)</f>
        <v>0</v>
      </c>
      <c r="L28" s="494">
        <f>IF(MONTH(A28)=MONTH($E$1),VLOOKUP(A28,Sheet1!$B$8:$HT$528,65,FALSE),0)</f>
        <v>10.1</v>
      </c>
      <c r="M28" s="57">
        <f>IF(MONTH(A28)=MONTH($E$1),VLOOKUP(A28,Sheet1!$B$8:$HT$528,97,FALSE),0)</f>
        <v>17.18</v>
      </c>
      <c r="N28" s="260">
        <f t="shared" ca="1" si="3"/>
        <v>26.941037978605657</v>
      </c>
      <c r="O28" s="260">
        <f t="shared" ca="1" si="4"/>
        <v>44.121037978605656</v>
      </c>
      <c r="P28" s="57">
        <f>IF(MONTH(A28)=MONTH($E$1),VLOOKUP(A28,Calculation!$B$8:$JF$503,44,FALSE),0)</f>
        <v>1</v>
      </c>
      <c r="Q28" s="259">
        <f>IF(MONTH(A28)=MONTH($E$1),VLOOKUP(A28,Calculation!$B$8:$JF$503,113,FALSE),0)</f>
        <v>8.9552238805970141</v>
      </c>
      <c r="R28" s="261">
        <f t="shared" ca="1" si="5"/>
        <v>54.076261859202674</v>
      </c>
      <c r="S28" s="338">
        <f>IF(MONTH(A28)=MONTH($E$1),VLOOKUP(A28,Sheet1!$B$8:$HT$528,123,FALSE),0)</f>
        <v>0</v>
      </c>
      <c r="T28" s="314">
        <f>IF(MONTH(A28)=MONTH($E$1),VLOOKUP(A28,Sheet1!$B$8:$HT$528,124,FALSE),0)</f>
        <v>0</v>
      </c>
      <c r="U28"/>
      <c r="V28"/>
      <c r="Y28" s="57"/>
      <c r="Z28" s="57"/>
      <c r="AA28" s="57"/>
    </row>
    <row r="29" spans="1:27">
      <c r="A29" s="408">
        <f t="shared" si="6"/>
        <v>41994</v>
      </c>
      <c r="B29" s="257">
        <f>IF(MONTH(A29)=MONTH($E$1),VLOOKUP((A29),Sheet1!$B$8:$HT$528,11,FALSE),0)</f>
        <v>50.18999999999869</v>
      </c>
      <c r="C29" s="310">
        <f>IF(MONTH(A29)=MONTH($E$1),VLOOKUP(A29,'Calculations II'!$B$8:$IV$434,54,FALSE),0)</f>
        <v>0</v>
      </c>
      <c r="D29" s="259">
        <f>IF(MONTH(A29)=MONTH($E$1),VLOOKUP(A29,Sheet1!$B$8:$HT$528,26,FALSE),0)</f>
        <v>30.3</v>
      </c>
      <c r="E29" s="57">
        <f>IF(MONTH(A29)=MONTH($E$1),VLOOKUP(A29,Sheet1!$B$8:$HT$528,27,FALSE),0)</f>
        <v>20</v>
      </c>
      <c r="F29" s="733">
        <f t="shared" si="1"/>
        <v>40.389108910891082</v>
      </c>
      <c r="G29" s="733">
        <f t="shared" si="0"/>
        <v>50.3</v>
      </c>
      <c r="H29" s="258">
        <f>IF(MONTH(A29)=MONTH($E$1),VLOOKUP(A29,Calculation!$B$8:$JF$503,148,FALSE),0)</f>
        <v>11.05726145129314</v>
      </c>
      <c r="I29" s="481">
        <f ca="1">IF(MONTH(A29)=MONTH($E$1),VLOOKUP(A29,'Calculations II'!$B$8:$IV$434,14,FALSE),0)</f>
        <v>-5.9119146105880995</v>
      </c>
      <c r="J29" s="481">
        <f t="shared" ca="1" si="2"/>
        <v>5.1453468407050407</v>
      </c>
      <c r="K29" s="486">
        <f>IF(MONTH(A29)=MONTH($E$1),VLOOKUP(A29,'Calculations II'!$B$8:$IV$434,67,FALSE),0)</f>
        <v>0</v>
      </c>
      <c r="L29" s="494">
        <f>IF(MONTH(A29)=MONTH($E$1),VLOOKUP(A29,Sheet1!$B$8:$HT$528,65,FALSE),0)</f>
        <v>10.199999999999999</v>
      </c>
      <c r="M29" s="57">
        <f>IF(MONTH(A29)=MONTH($E$1),VLOOKUP(A29,Sheet1!$B$8:$HT$528,97,FALSE),0)</f>
        <v>18.239999999999998</v>
      </c>
      <c r="N29" s="260">
        <f t="shared" ca="1" si="3"/>
        <v>27.405346840705047</v>
      </c>
      <c r="O29" s="260">
        <f t="shared" ca="1" si="4"/>
        <v>45.645346840705045</v>
      </c>
      <c r="P29" s="57">
        <f>IF(MONTH(A29)=MONTH($E$1),VLOOKUP(A29,Calculation!$B$8:$JF$503,44,FALSE),0)</f>
        <v>1</v>
      </c>
      <c r="Q29" s="259">
        <f>IF(MONTH(A29)=MONTH($E$1),VLOOKUP(A29,Calculation!$B$8:$JF$503,113,FALSE),0)</f>
        <v>8.9108910891089117</v>
      </c>
      <c r="R29" s="261">
        <f ca="1">IF(AND(D29=0,E29=0),0,C29+D29+J29-K29+L29+P29+Q29)</f>
        <v>55.55623792981396</v>
      </c>
      <c r="S29" s="338">
        <f>IF(MONTH(A29)=MONTH($E$1),VLOOKUP(A29,Sheet1!$B$8:$HT$528,123,FALSE),0)</f>
        <v>0</v>
      </c>
      <c r="T29" s="626"/>
      <c r="U29"/>
      <c r="V29"/>
      <c r="Y29" s="57"/>
      <c r="Z29" s="57"/>
      <c r="AA29" s="57"/>
    </row>
    <row r="30" spans="1:27">
      <c r="A30" s="408">
        <f t="shared" si="6"/>
        <v>41995</v>
      </c>
      <c r="B30" s="257">
        <f>IF(MONTH(A30)=MONTH($E$1),VLOOKUP((A30),Sheet1!$B$8:$HT$528,11,FALSE),0)</f>
        <v>45.470000000001164</v>
      </c>
      <c r="C30" s="310">
        <f>IF(MONTH(A30)=MONTH($E$1),VLOOKUP(A30,'Calculations II'!$B$8:$IV$434,54,FALSE),0)</f>
        <v>2.6500319999999999</v>
      </c>
      <c r="D30" s="259">
        <f>IF(MONTH(A30)=MONTH($E$1),VLOOKUP(A30,Sheet1!$B$8:$HT$528,26,FALSE),0)</f>
        <v>30.3</v>
      </c>
      <c r="E30" s="57">
        <f>IF(MONTH(A30)=MONTH($E$1),VLOOKUP(A30,Sheet1!$B$8:$HT$528,27,FALSE),0)</f>
        <v>19.8</v>
      </c>
      <c r="F30" s="733">
        <f t="shared" si="1"/>
        <v>42.878280871048673</v>
      </c>
      <c r="G30" s="733">
        <f>C30+D30+E30</f>
        <v>52.750032000000004</v>
      </c>
      <c r="H30" s="258">
        <f>IF(MONTH(A30)=MONTH($E$1),VLOOKUP(A30,Calculation!$B$8:$JF$503,148,FALSE),0)</f>
        <v>-1.6572833389672077</v>
      </c>
      <c r="I30" s="481">
        <f ca="1">IF(MONTH(A30)=MONTH($E$1),VLOOKUP(A30,'Calculations II'!$B$8:$IV$434,14,FALSE),0)</f>
        <v>4.226448653900678</v>
      </c>
      <c r="J30" s="481">
        <f t="shared" ca="1" si="2"/>
        <v>2.5691653149334703</v>
      </c>
      <c r="K30" s="486">
        <f>IF(MONTH(A30)=MONTH($E$1),VLOOKUP(A30,'Calculations II'!$B$8:$IV$434,67,FALSE),0)</f>
        <v>0</v>
      </c>
      <c r="L30" s="494">
        <f>IF(MONTH(A30)=MONTH($E$1),VLOOKUP(A30,Sheet1!$B$8:$HT$528,65,FALSE),0)</f>
        <v>10</v>
      </c>
      <c r="M30" s="57">
        <f>IF(MONTH(A30)=MONTH($E$1),VLOOKUP(A30,Sheet1!$B$8:$HT$528,97,FALSE),0)</f>
        <v>16.940000000000001</v>
      </c>
      <c r="N30" s="260">
        <f t="shared" ca="1" si="3"/>
        <v>28.57919731493347</v>
      </c>
      <c r="O30" s="260">
        <f t="shared" ca="1" si="4"/>
        <v>45.519197314933471</v>
      </c>
      <c r="P30" s="57">
        <f>IF(MONTH(A30)=MONTH($E$1),VLOOKUP(A30,Calculation!$B$8:$JF$503,44,FALSE),0)</f>
        <v>1</v>
      </c>
      <c r="Q30" s="259">
        <f>IF(MONTH(A30)=MONTH($E$1),VLOOKUP(A30,Calculation!$B$8:$JF$503,113,FALSE),0)</f>
        <v>8.8717511289513311</v>
      </c>
      <c r="R30" s="261">
        <f t="shared" ca="1" si="5"/>
        <v>55.390948443884803</v>
      </c>
      <c r="S30" s="338">
        <f>IF(MONTH(A30)=MONTH($E$1),VLOOKUP(A30,Sheet1!$B$8:$HT$528,123,FALSE),0)</f>
        <v>0</v>
      </c>
      <c r="T30" s="314">
        <f>IF(MONTH(A30)=MONTH($E$1),VLOOKUP(A30,Sheet1!$B$8:$HT$528,124,FALSE),0)</f>
        <v>0</v>
      </c>
      <c r="U30"/>
      <c r="V30"/>
      <c r="Y30" s="57"/>
      <c r="Z30" s="57"/>
      <c r="AA30" s="57"/>
    </row>
    <row r="31" spans="1:27">
      <c r="A31" s="408">
        <f t="shared" si="6"/>
        <v>41996</v>
      </c>
      <c r="B31" s="257">
        <f>IF(MONTH(A31)=MONTH($E$1),VLOOKUP((A31),Sheet1!$B$8:$HT$528,11,FALSE),0)</f>
        <v>43.270000000000437</v>
      </c>
      <c r="C31" s="310">
        <f>IF(MONTH(A31)=MONTH($E$1),VLOOKUP(A31,'Calculations II'!$B$8:$IV$434,54,FALSE),0)</f>
        <v>5.5431360000000005</v>
      </c>
      <c r="D31" s="259">
        <f>IF(MONTH(A31)=MONTH($E$1),VLOOKUP(A31,Sheet1!$B$8:$HT$528,26,FALSE),0)</f>
        <v>28.52</v>
      </c>
      <c r="E31" s="57">
        <f>IF(MONTH(A31)=MONTH($E$1),VLOOKUP(A31,Sheet1!$B$8:$HT$528,27,FALSE),0)</f>
        <v>20.8</v>
      </c>
      <c r="F31" s="733">
        <f t="shared" si="1"/>
        <v>44.948850285714286</v>
      </c>
      <c r="G31" s="733">
        <f t="shared" si="0"/>
        <v>54.863135999999997</v>
      </c>
      <c r="H31" s="258">
        <f>IF(MONTH(A31)=MONTH($E$1),VLOOKUP(A31,Calculation!$B$8:$JF$503,148,FALSE),0)</f>
        <v>-3.3159491389416234</v>
      </c>
      <c r="I31" s="481">
        <f ca="1">IF(MONTH(A31)=MONTH($E$1),VLOOKUP(A31,'Calculations II'!$B$8:$IV$434,14,FALSE),0)</f>
        <v>1.8921764664306044</v>
      </c>
      <c r="J31" s="481">
        <f t="shared" ca="1" si="2"/>
        <v>-1.4237726725110189</v>
      </c>
      <c r="K31" s="486">
        <f>IF(MONTH(A31)=MONTH($E$1),VLOOKUP(A31,'Calculations II'!$B$8:$IV$434,67,FALSE),0)</f>
        <v>0</v>
      </c>
      <c r="L31" s="494">
        <f>IF(MONTH(A31)=MONTH($E$1),VLOOKUP(A31,Sheet1!$B$8:$HT$528,65,FALSE),0)</f>
        <v>11</v>
      </c>
      <c r="M31" s="57">
        <f>IF(MONTH(A31)=MONTH($E$1),VLOOKUP(A31,Sheet1!$B$8:$HT$528,97,FALSE),0)</f>
        <v>17.79</v>
      </c>
      <c r="N31" s="260">
        <f t="shared" ca="1" si="3"/>
        <v>25.84936332748898</v>
      </c>
      <c r="O31" s="260">
        <f t="shared" ca="1" si="4"/>
        <v>43.639363327488979</v>
      </c>
      <c r="P31" s="57">
        <f>IF(MONTH(A31)=MONTH($E$1),VLOOKUP(A31,Calculation!$B$8:$JF$503,44,FALSE),0)</f>
        <v>1</v>
      </c>
      <c r="Q31" s="259">
        <f>IF(MONTH(A31)=MONTH($E$1),VLOOKUP(A31,Calculation!$B$8:$JF$503,113,FALSE),0)</f>
        <v>8.9142857142857146</v>
      </c>
      <c r="R31" s="261">
        <f t="shared" ca="1" si="5"/>
        <v>53.55364904177469</v>
      </c>
      <c r="S31" s="338">
        <f>IF(MONTH(A31)=MONTH($E$1),VLOOKUP(A31,Sheet1!$B$8:$HT$528,123,FALSE),0)</f>
        <v>0</v>
      </c>
      <c r="T31" s="314">
        <f>IF(MONTH(A31)=MONTH($E$1),VLOOKUP(A31,Sheet1!$B$8:$HT$528,124,FALSE),0)</f>
        <v>0</v>
      </c>
      <c r="U31"/>
      <c r="V31"/>
      <c r="Y31" s="57"/>
      <c r="Z31" s="57"/>
      <c r="AA31" s="57"/>
    </row>
    <row r="32" spans="1:27">
      <c r="A32" s="408">
        <f t="shared" si="6"/>
        <v>41997</v>
      </c>
      <c r="B32" s="257">
        <f>IF(MONTH(A32)=MONTH($E$1),VLOOKUP((A32),Sheet1!$B$8:$HT$528,11,FALSE),0)</f>
        <v>39.110000000000582</v>
      </c>
      <c r="C32" s="310">
        <f>IF(MONTH(A32)=MONTH($E$1),VLOOKUP(A32,'Calculations II'!$B$8:$IV$434,54,FALSE),0)</f>
        <v>3.3572160000000002</v>
      </c>
      <c r="D32" s="259">
        <f>IF(MONTH(A32)=MONTH($E$1),VLOOKUP(A32,Sheet1!$B$8:$HT$528,26,FALSE),0)</f>
        <v>29.48</v>
      </c>
      <c r="E32" s="57">
        <f>IF(MONTH(A32)=MONTH($E$1),VLOOKUP(A32,Sheet1!$B$8:$HT$528,27,FALSE),0)</f>
        <v>20.7</v>
      </c>
      <c r="F32" s="733">
        <f>C32+D32+E32-P32-Q32</f>
        <v>43.591787703561117</v>
      </c>
      <c r="G32" s="733">
        <f t="shared" si="0"/>
        <v>53.537216000000001</v>
      </c>
      <c r="H32" s="258">
        <f>IF(MONTH(A32)=MONTH($E$1),VLOOKUP(A32,Calculation!$B$8:$JF$503,148,FALSE),0)</f>
        <v>3.454081682829905</v>
      </c>
      <c r="I32" s="481">
        <f ca="1">IF(MONTH(A32)=MONTH($E$1),VLOOKUP(A32,'Calculations II'!$B$8:$IV$434,14,FALSE),0)</f>
        <v>-2.7796408363949947</v>
      </c>
      <c r="J32" s="481">
        <f t="shared" ca="1" si="2"/>
        <v>0.67444084643491031</v>
      </c>
      <c r="K32" s="486">
        <f>IF(MONTH(A32)=MONTH($E$1),VLOOKUP(A32,'Calculations II'!$B$8:$IV$434,67,FALSE),0)</f>
        <v>0</v>
      </c>
      <c r="L32" s="494">
        <f>IF(MONTH(A32)=MONTH($E$1),VLOOKUP(A32,Sheet1!$B$8:$HT$528,65,FALSE),0)</f>
        <v>10.8</v>
      </c>
      <c r="M32" s="57">
        <f>IF(MONTH(A32)=MONTH($E$1),VLOOKUP(A32,Sheet1!$B$8:$HT$528,97,FALSE),0)</f>
        <v>18.16</v>
      </c>
      <c r="N32" s="260">
        <f t="shared" ca="1" si="3"/>
        <v>26.151656846434914</v>
      </c>
      <c r="O32" s="260">
        <f t="shared" ca="1" si="4"/>
        <v>44.311656846434914</v>
      </c>
      <c r="P32" s="57">
        <f>IF(MONTH(A32)=MONTH($E$1),VLOOKUP(A32,Calculation!$B$8:$JF$503,44,FALSE),0)</f>
        <v>1</v>
      </c>
      <c r="Q32" s="259">
        <f>IF(MONTH(A32)=MONTH($E$1),VLOOKUP(A32,Calculation!$B$8:$JF$503,113,FALSE),0)</f>
        <v>8.9454282964388838</v>
      </c>
      <c r="R32" s="261">
        <f t="shared" ca="1" si="5"/>
        <v>54.257085142873798</v>
      </c>
      <c r="S32" s="338">
        <f>IF(MONTH(A32)=MONTH($E$1),VLOOKUP(A32,Sheet1!$B$8:$HT$528,123,FALSE),0)</f>
        <v>0</v>
      </c>
      <c r="T32" s="314">
        <f>IF(MONTH(A32)=MONTH($E$1),VLOOKUP(A32,Sheet1!$B$8:$HT$528,124,FALSE),0)</f>
        <v>0</v>
      </c>
      <c r="U32"/>
      <c r="V32"/>
      <c r="Y32" s="57"/>
      <c r="Z32" s="57"/>
      <c r="AA32" s="57"/>
    </row>
    <row r="33" spans="1:28">
      <c r="A33" s="408">
        <f t="shared" si="6"/>
        <v>41998</v>
      </c>
      <c r="B33" s="257">
        <f>IF(MONTH(A33)=MONTH($E$1),VLOOKUP((A33),Sheet1!$B$8:$HT$528,11,FALSE),0)</f>
        <v>38.700000000000728</v>
      </c>
      <c r="C33" s="310">
        <f>IF(MONTH(A33)=MONTH($E$1),VLOOKUP(A33,'Calculations II'!$B$8:$IV$434,54,FALSE),0)</f>
        <v>1.8581760000000003</v>
      </c>
      <c r="D33" s="259">
        <f>IF(MONTH(A33)=MONTH($E$1),VLOOKUP(A33,Sheet1!$B$8:$HT$528,26,FALSE),0)</f>
        <v>30.12</v>
      </c>
      <c r="E33" s="57">
        <f>IF(MONTH(A33)=MONTH($E$1),VLOOKUP(A33,Sheet1!$B$8:$HT$528,27,FALSE),0)</f>
        <v>19.98</v>
      </c>
      <c r="F33" s="733">
        <f t="shared" si="1"/>
        <v>42.03398856231307</v>
      </c>
      <c r="G33" s="733">
        <f t="shared" si="0"/>
        <v>51.958176000000002</v>
      </c>
      <c r="H33" s="258">
        <f>IF(MONTH(A33)=MONTH($E$1),VLOOKUP(A33,Calculation!$B$8:$JF$503,148,FALSE),0)</f>
        <v>-4.0069191081512008</v>
      </c>
      <c r="I33" s="481">
        <f ca="1">IF(MONTH(A33)=MONTH($E$1),VLOOKUP(A33,'Calculations II'!$B$8:$IV$434,14,FALSE),0)</f>
        <v>1.9109705483860666</v>
      </c>
      <c r="J33" s="481">
        <f t="shared" ca="1" si="2"/>
        <v>-2.0959485597651342</v>
      </c>
      <c r="K33" s="486">
        <f>IF(MONTH(A33)=MONTH($E$1),VLOOKUP(A33,'Calculations II'!$B$8:$IV$434,67,FALSE),0)</f>
        <v>0</v>
      </c>
      <c r="L33" s="494">
        <f>IF(MONTH(A33)=MONTH($E$1),VLOOKUP(A33,Sheet1!$B$8:$HT$528,65,FALSE),0)</f>
        <v>10.1</v>
      </c>
      <c r="M33" s="57">
        <f>IF(MONTH(A33)=MONTH($E$1),VLOOKUP(A33,Sheet1!$B$8:$HT$528,97,FALSE),0)</f>
        <v>16.21</v>
      </c>
      <c r="N33" s="260">
        <f t="shared" ca="1" si="3"/>
        <v>23.772227440234865</v>
      </c>
      <c r="O33" s="260">
        <f t="shared" ca="1" si="4"/>
        <v>39.982227440234865</v>
      </c>
      <c r="P33" s="57">
        <f>IF(MONTH(A33)=MONTH($E$1),VLOOKUP(A33,Calculation!$B$8:$JF$503,44,FALSE),0)</f>
        <v>0.98</v>
      </c>
      <c r="Q33" s="259">
        <f>IF(MONTH(A33)=MONTH($E$1),VLOOKUP(A33,Calculation!$B$8:$JF$503,113,FALSE),0)</f>
        <v>8.9441874376869386</v>
      </c>
      <c r="R33" s="261">
        <f t="shared" ca="1" si="5"/>
        <v>49.906414877921804</v>
      </c>
      <c r="S33" s="338">
        <f>IF(MONTH(A33)=MONTH($E$1),VLOOKUP(A33,Sheet1!$B$8:$HT$528,123,FALSE),0)</f>
        <v>0</v>
      </c>
      <c r="T33" s="314">
        <f>IF(MONTH(A33)=MONTH($E$1),VLOOKUP(A33,Sheet1!$B$8:$HT$528,124,FALSE),0)</f>
        <v>0</v>
      </c>
      <c r="U33"/>
      <c r="V33"/>
      <c r="Y33" s="57"/>
      <c r="Z33" s="57"/>
      <c r="AA33" s="57"/>
    </row>
    <row r="34" spans="1:28">
      <c r="A34" s="408">
        <f t="shared" si="6"/>
        <v>41999</v>
      </c>
      <c r="B34" s="257">
        <f>IF(MONTH(A34)=MONTH($E$1),VLOOKUP((A34),Sheet1!$B$8:$HT$528,11,FALSE),0)</f>
        <v>32.219999999997526</v>
      </c>
      <c r="C34" s="310">
        <f>IF(MONTH(A34)=MONTH($E$1),VLOOKUP(A34,'Calculations II'!$B$8:$IV$434,54,FALSE),0)</f>
        <v>0</v>
      </c>
      <c r="D34" s="259">
        <f>IF(MONTH(A34)=MONTH($E$1),VLOOKUP(A34,Sheet1!$B$8:$HT$528,26,FALSE),0)</f>
        <v>30.16</v>
      </c>
      <c r="E34" s="57">
        <f>IF(MONTH(A34)=MONTH($E$1),VLOOKUP(A34,Sheet1!$B$8:$HT$528,27,FALSE),0)</f>
        <v>15.52</v>
      </c>
      <c r="F34" s="733">
        <f t="shared" si="1"/>
        <v>35.783184713375796</v>
      </c>
      <c r="G34" s="733">
        <f t="shared" si="0"/>
        <v>45.68</v>
      </c>
      <c r="H34" s="258">
        <f>IF(MONTH(A34)=MONTH($E$1),VLOOKUP(A34,Calculation!$B$8:$JF$503,148,FALSE),0)</f>
        <v>5.8022389976333715</v>
      </c>
      <c r="I34" s="481">
        <f ca="1">IF(MONTH(A34)=MONTH($E$1),VLOOKUP(A34,'Calculations II'!$B$8:$IV$434,14,FALSE),0)</f>
        <v>0.26555681517952168</v>
      </c>
      <c r="J34" s="481">
        <f t="shared" ca="1" si="2"/>
        <v>6.0677958128128928</v>
      </c>
      <c r="K34" s="486">
        <f>IF(MONTH(A34)=MONTH($E$1),VLOOKUP(A34,'Calculations II'!$B$8:$IV$434,67,FALSE),0)</f>
        <v>0</v>
      </c>
      <c r="L34" s="494">
        <f>IF(MONTH(A34)=MONTH($E$1),VLOOKUP(A34,Sheet1!$B$8:$HT$528,65,FALSE),0)</f>
        <v>5.7</v>
      </c>
      <c r="M34" s="57">
        <f>IF(MONTH(A34)=MONTH($E$1),VLOOKUP(A34,Sheet1!$B$8:$HT$528,97,FALSE),0)</f>
        <v>16.079999999999998</v>
      </c>
      <c r="N34" s="260">
        <f t="shared" ca="1" si="3"/>
        <v>25.847795812812898</v>
      </c>
      <c r="O34" s="260">
        <f t="shared" ca="1" si="4"/>
        <v>41.927795812812896</v>
      </c>
      <c r="P34" s="57">
        <f>IF(MONTH(A34)=MONTH($E$1),VLOOKUP(A34,Calculation!$B$8:$JF$503,44,FALSE),0)</f>
        <v>1</v>
      </c>
      <c r="Q34" s="259">
        <f>IF(MONTH(A34)=MONTH($E$1),VLOOKUP(A34,Calculation!$B$8:$JF$503,113,FALSE),0)</f>
        <v>8.8968152866242036</v>
      </c>
      <c r="R34" s="261">
        <f t="shared" ca="1" si="5"/>
        <v>51.824611099437099</v>
      </c>
      <c r="S34" s="338">
        <f>IF(MONTH(A34)=MONTH($E$1),VLOOKUP(A34,Sheet1!$B$8:$HT$528,123,FALSE),0)</f>
        <v>0</v>
      </c>
      <c r="T34" s="314">
        <f>IF(MONTH(A34)=MONTH($E$1),VLOOKUP(A34,Sheet1!$B$8:$HT$528,124,FALSE),0)</f>
        <v>0</v>
      </c>
      <c r="U34"/>
      <c r="V34"/>
      <c r="Y34" s="57"/>
      <c r="Z34" s="57"/>
      <c r="AA34" s="57"/>
    </row>
    <row r="35" spans="1:28">
      <c r="A35" s="408">
        <f t="shared" si="6"/>
        <v>42000</v>
      </c>
      <c r="B35" s="257">
        <f>IF(MONTH(A35)=MONTH($E$1),VLOOKUP((A35),Sheet1!$B$8:$HT$528,11,FALSE),0)</f>
        <v>26.740000000001601</v>
      </c>
      <c r="C35" s="310">
        <f>IF(MONTH(A35)=MONTH($E$1),VLOOKUP(A35,'Calculations II'!$B$8:$IV$434,54,FALSE),0)</f>
        <v>8.3914559999999998</v>
      </c>
      <c r="D35" s="259">
        <f>IF(MONTH(A35)=MONTH($E$1),VLOOKUP(A35,Sheet1!$B$8:$HT$528,26,FALSE),0)</f>
        <v>30.19</v>
      </c>
      <c r="E35" s="57">
        <f>IF(MONTH(A35)=MONTH($E$1),VLOOKUP(A35,Sheet1!$B$8:$HT$528,27,FALSE),0)</f>
        <v>12.89</v>
      </c>
      <c r="F35" s="733">
        <f t="shared" si="1"/>
        <v>41.475414171959727</v>
      </c>
      <c r="G35" s="733">
        <f t="shared" si="0"/>
        <v>51.471456000000003</v>
      </c>
      <c r="H35" s="258">
        <f>IF(MONTH(A35)=MONTH($E$1),VLOOKUP(A35,Calculation!$B$8:$JF$503,148,FALSE),0)</f>
        <v>0.4142376440395229</v>
      </c>
      <c r="I35" s="481">
        <f ca="1">IF(MONTH(A35)=MONTH($E$1),VLOOKUP(A35,'Calculations II'!$B$8:$IV$434,14,FALSE),0)</f>
        <v>0.57869239973651054</v>
      </c>
      <c r="J35" s="481">
        <f t="shared" ca="1" si="2"/>
        <v>0.99293004377603344</v>
      </c>
      <c r="K35" s="498">
        <f>IF(MONTH(A35)=MONTH($E$1),VLOOKUP(A35,'Calculations II'!$B$8:$IV$434,67,FALSE),0)</f>
        <v>0</v>
      </c>
      <c r="L35" s="494">
        <f>IF(MONTH(A35)=MONTH($E$1),VLOOKUP(A35,Sheet1!$B$8:$HT$528,65,FALSE),0)</f>
        <v>2.9</v>
      </c>
      <c r="M35" s="57">
        <f>IF(MONTH(A35)=MONTH($E$1),VLOOKUP(A35,Sheet1!$B$8:$HT$528,97,FALSE),0)</f>
        <v>17.067</v>
      </c>
      <c r="N35" s="260">
        <f t="shared" ca="1" si="3"/>
        <v>25.407386043776036</v>
      </c>
      <c r="O35" s="260">
        <f t="shared" ca="1" si="4"/>
        <v>42.474386043776036</v>
      </c>
      <c r="P35" s="57">
        <f>IF(MONTH(A35)=MONTH($E$1),VLOOKUP(A35,Calculation!$B$8:$JF$503,44,FALSE),0)</f>
        <v>1</v>
      </c>
      <c r="Q35" s="259">
        <f>IF(MONTH(A35)=MONTH($E$1),VLOOKUP(A35,Calculation!$B$8:$JF$503,113,FALSE),0)</f>
        <v>8.9960418280402799</v>
      </c>
      <c r="R35" s="261">
        <f t="shared" ca="1" si="5"/>
        <v>52.470427871816312</v>
      </c>
      <c r="S35" s="338">
        <f>IF(MONTH(A35)=MONTH($E$1),VLOOKUP(A35,Sheet1!$B$8:$HT$528,123,FALSE),0)</f>
        <v>0</v>
      </c>
      <c r="T35" s="314">
        <f>IF(MONTH(A35)=MONTH($E$1),VLOOKUP(A35,Sheet1!$B$8:$HT$528,124,FALSE),0)</f>
        <v>0</v>
      </c>
      <c r="U35"/>
      <c r="V35"/>
      <c r="Y35" s="57"/>
      <c r="Z35" s="57"/>
      <c r="AA35" s="57"/>
    </row>
    <row r="36" spans="1:28">
      <c r="A36" s="408">
        <f t="shared" si="6"/>
        <v>42001</v>
      </c>
      <c r="B36" s="257">
        <f>IF(MONTH(A36)=MONTH($E$1),VLOOKUP((A36),Sheet1!$B$8:$HT$528,11,FALSE),0)</f>
        <v>25.869999999998981</v>
      </c>
      <c r="C36" s="310">
        <f>IF(MONTH(A36)=MONTH($E$1),VLOOKUP(A36,'Calculations II'!$B$8:$IV$434,54,FALSE),0)</f>
        <v>5.3995680000000004</v>
      </c>
      <c r="D36" s="259">
        <f>IF(MONTH(A36)=MONTH($E$1),VLOOKUP(A36,Sheet1!$B$8:$HT$528,26,FALSE),0)</f>
        <v>30.13</v>
      </c>
      <c r="E36" s="57">
        <f>IF(MONTH(A36)=MONTH($E$1),VLOOKUP(A36,Sheet1!$B$8:$HT$528,27,FALSE),0)</f>
        <v>13.31</v>
      </c>
      <c r="F36" s="733">
        <f t="shared" si="1"/>
        <v>38.900015761194027</v>
      </c>
      <c r="G36" s="733">
        <f t="shared" si="0"/>
        <v>48.839568</v>
      </c>
      <c r="H36" s="258">
        <f>IF(MONTH(A36)=MONTH($E$1),VLOOKUP(A36,Calculation!$B$8:$JF$503,148,FALSE),0)</f>
        <v>3.7267631890074142</v>
      </c>
      <c r="I36" s="481">
        <f ca="1">IF(MONTH(A36)=MONTH($E$1),VLOOKUP(A36,'Calculations II'!$B$8:$IV$434,14,FALSE),0)</f>
        <v>1.5050432410286221</v>
      </c>
      <c r="J36" s="481">
        <f t="shared" ca="1" si="2"/>
        <v>5.2318064300360358</v>
      </c>
      <c r="K36" s="498">
        <f>IF(MONTH(A36)=MONTH($E$1),VLOOKUP(A36,'Calculations II'!$B$8:$IV$434,67,FALSE),0)</f>
        <v>0</v>
      </c>
      <c r="L36" s="494">
        <f>IF(MONTH(A36)=MONTH($E$1),VLOOKUP(A36,Sheet1!$B$8:$HT$528,65,FALSE),0)</f>
        <v>3.4</v>
      </c>
      <c r="M36" s="57">
        <f>IF(MONTH(A36)=MONTH($E$1),VLOOKUP(A36,Sheet1!$B$8:$HT$528,97,FALSE),0)</f>
        <v>18.073</v>
      </c>
      <c r="N36" s="260">
        <f t="shared" ca="1" si="3"/>
        <v>26.088374430036033</v>
      </c>
      <c r="O36" s="260">
        <f t="shared" ca="1" si="4"/>
        <v>44.161374430036034</v>
      </c>
      <c r="P36" s="57">
        <f>IF(MONTH(A36)=MONTH($E$1),VLOOKUP(A36,Calculation!$B$8:$JF$503,44,FALSE),0)</f>
        <v>1</v>
      </c>
      <c r="Q36" s="259">
        <f>IF(MONTH(A36)=MONTH($E$1),VLOOKUP(A36,Calculation!$B$8:$JF$503,113,FALSE),0)</f>
        <v>8.9395522388059696</v>
      </c>
      <c r="R36" s="261">
        <f ca="1">IF(AND(D36=0,E36=0),0,C36+D36+J36-K36+L36+P36+Q36)</f>
        <v>54.100926668842007</v>
      </c>
      <c r="S36" s="338">
        <f>IF(MONTH(A36)=MONTH($E$1),VLOOKUP(A36,Sheet1!$B$8:$HT$528,123,FALSE),0)</f>
        <v>0</v>
      </c>
      <c r="T36" s="314">
        <f>IF(MONTH(A36)=MONTH($E$1),VLOOKUP(A36,Sheet1!$B$8:$HT$528,124,FALSE),0)</f>
        <v>0</v>
      </c>
      <c r="U36"/>
      <c r="V36"/>
      <c r="Y36" s="57"/>
      <c r="Z36" s="57"/>
      <c r="AA36" s="57"/>
    </row>
    <row r="37" spans="1:28">
      <c r="A37" s="409">
        <f t="shared" si="6"/>
        <v>42002</v>
      </c>
      <c r="B37" s="257">
        <f>IF(MONTH(A37)=MONTH($E$1),VLOOKUP((A37),Sheet1!$B$8:$HT$528,11,FALSE),0)</f>
        <v>22.139999999999418</v>
      </c>
      <c r="C37" s="310">
        <f>IF(MONTH(A37)=MONTH($E$1),VLOOKUP(A37,'Calculations II'!$B$8:$IV$434,54,FALSE),0)</f>
        <v>10.599264000000002</v>
      </c>
      <c r="D37" s="259">
        <f>IF(MONTH(A37)=MONTH($E$1),VLOOKUP(A37,Sheet1!$B$8:$HT$528,26,FALSE),0)</f>
        <v>30</v>
      </c>
      <c r="E37" s="57">
        <f>IF(MONTH(A37)=MONTH($E$1),VLOOKUP(A37,Sheet1!$B$8:$HT$528,27,FALSE),0)</f>
        <v>17.3</v>
      </c>
      <c r="F37" s="733">
        <f>C37+D37+E37-P37-Q37</f>
        <v>47.997202320959452</v>
      </c>
      <c r="G37" s="733">
        <f t="shared" si="0"/>
        <v>57.899264000000002</v>
      </c>
      <c r="H37" s="258">
        <f>IF(MONTH(A37)=MONTH($E$1),VLOOKUP(A37,Calculation!$B$8:$JF$503,148,FALSE),0)</f>
        <v>-1.1039853912749886</v>
      </c>
      <c r="I37" s="481">
        <f ca="1">IF(MONTH(A37)=MONTH($E$1),VLOOKUP(A37,'Calculations II'!$B$8:$IV$434,14,FALSE),0)</f>
        <v>-2.8171677051330022</v>
      </c>
      <c r="J37" s="481">
        <f t="shared" ca="1" si="2"/>
        <v>-3.9211530964079908</v>
      </c>
      <c r="K37" s="498">
        <f>IF(MONTH(A37)=MONTH($E$1),VLOOKUP(A37,'Calculations II'!$B$8:$IV$434,67,FALSE),0)</f>
        <v>0</v>
      </c>
      <c r="L37" s="494">
        <f>IF(MONTH(A37)=MONTH($E$1),VLOOKUP(A37,Sheet1!$B$8:$HT$528,65,FALSE),0)</f>
        <v>7.5</v>
      </c>
      <c r="M37" s="57">
        <f>IF(MONTH(A37)=MONTH($E$1),VLOOKUP(A37,Sheet1!$B$8:$HT$528,97,FALSE),0)</f>
        <v>18.474</v>
      </c>
      <c r="N37" s="260">
        <f t="shared" ca="1" si="3"/>
        <v>25.704110903592014</v>
      </c>
      <c r="O37" s="260">
        <f t="shared" ca="1" si="4"/>
        <v>44.178110903592014</v>
      </c>
      <c r="P37" s="57">
        <f>IF(MONTH(A37)=MONTH($E$1),VLOOKUP(A37,Calculation!$B$8:$JF$503,44,FALSE),0)</f>
        <v>1.01</v>
      </c>
      <c r="Q37" s="259">
        <f>IF(MONTH(A37)=MONTH($E$1),VLOOKUP(A37,Calculation!$B$8:$JF$503,113,FALSE),0)</f>
        <v>8.89206167904055</v>
      </c>
      <c r="R37" s="261">
        <f ca="1">IF(AND(D37=0,E37=0),0,C37+D37+J37-K37+L37+P37+Q37)</f>
        <v>54.080172582632564</v>
      </c>
      <c r="S37" s="258">
        <f>IF(MONTH(A37)=MONTH($E$1),VLOOKUP(A37,Sheet1!$B$8:$HT$528,123,FALSE),0)</f>
        <v>0</v>
      </c>
      <c r="T37" s="314">
        <f>IF(MONTH(A37)=MONTH($E$1),VLOOKUP(A37,Sheet1!$B$8:$HT$528,124,FALSE),0)</f>
        <v>0</v>
      </c>
      <c r="U37"/>
      <c r="V37"/>
      <c r="Y37" s="57"/>
      <c r="Z37" s="57"/>
      <c r="AA37" s="57"/>
    </row>
    <row r="38" spans="1:28">
      <c r="A38" s="409">
        <f t="shared" si="6"/>
        <v>42003</v>
      </c>
      <c r="B38" s="257">
        <f>IF(MONTH(A38)=MONTH($E$1),VLOOKUP((A38),Sheet1!$B$8:$HT$528,11,FALSE),0)</f>
        <v>5.4799999999995634</v>
      </c>
      <c r="C38" s="310">
        <f>IF(MONTH(A38)=MONTH($E$1),VLOOKUP(A38,'Calculations II'!$B$8:$IV$434,54,FALSE),0)</f>
        <v>6.6401279999999998</v>
      </c>
      <c r="D38" s="259">
        <f>IF(MONTH(A38)=MONTH($E$1),VLOOKUP(A38,Sheet1!$B$8:$HT$528,26,FALSE),0)</f>
        <v>30</v>
      </c>
      <c r="E38" s="57">
        <f>IF(MONTH(A38)=MONTH($E$1),VLOOKUP(A38,Sheet1!$B$8:$HT$528,27,FALSE),0)</f>
        <v>20</v>
      </c>
      <c r="F38" s="733">
        <f>C38+D38+E38-P38-Q38</f>
        <v>46.6739252166998</v>
      </c>
      <c r="G38" s="733">
        <f t="shared" si="0"/>
        <v>56.640127999999997</v>
      </c>
      <c r="H38" s="258">
        <f>IF(MONTH(A38)=MONTH($E$1),VLOOKUP(A38,Calculation!$B$8:$JF$503,148,FALSE),0)</f>
        <v>0.276015539059069</v>
      </c>
      <c r="I38" s="481">
        <f ca="1">IF(MONTH(A38)=MONTH($E$1),VLOOKUP(A38,'Calculations II'!$B$8:$IV$434,14,FALSE),0)</f>
        <v>-2.1160490550280064</v>
      </c>
      <c r="J38" s="481">
        <f t="shared" ca="1" si="2"/>
        <v>-1.8400335159689374</v>
      </c>
      <c r="K38" s="498">
        <f>IF(MONTH(A38)=MONTH($E$1),VLOOKUP(A38,'Calculations II'!$B$8:$IV$434,67,FALSE),0)</f>
        <v>0</v>
      </c>
      <c r="L38" s="494">
        <f>IF(MONTH(A38)=MONTH($E$1),VLOOKUP(A38,Sheet1!$B$8:$HT$528,65,FALSE),0)</f>
        <v>10.1</v>
      </c>
      <c r="M38" s="57">
        <f>IF(MONTH(A38)=MONTH($E$1),VLOOKUP(A38,Sheet1!$B$8:$HT$528,97,FALSE),0)</f>
        <v>17.763999999999999</v>
      </c>
      <c r="N38" s="260">
        <f t="shared" ca="1" si="3"/>
        <v>27.136094484031059</v>
      </c>
      <c r="O38" s="260">
        <f t="shared" ca="1" si="4"/>
        <v>44.900094484031058</v>
      </c>
      <c r="P38" s="57">
        <f>IF(MONTH(A38)=MONTH($E$1),VLOOKUP(A38,Calculation!$B$8:$JF$503,44,FALSE),0)</f>
        <v>1</v>
      </c>
      <c r="Q38" s="259">
        <f>IF(MONTH(A38)=MONTH($E$1),VLOOKUP(A38,Calculation!$B$8:$JF$503,113,FALSE),0)</f>
        <v>8.9662027833001989</v>
      </c>
      <c r="R38" s="261">
        <f t="shared" ca="1" si="5"/>
        <v>54.866297267331255</v>
      </c>
      <c r="S38" s="258">
        <f>IF(MONTH(A38)=MONTH($E$1),VLOOKUP(A38,Sheet1!$B$8:$HT$528,123,FALSE),0)</f>
        <v>0</v>
      </c>
      <c r="T38" s="314"/>
      <c r="U38"/>
      <c r="V38"/>
      <c r="Y38" s="57"/>
      <c r="Z38" s="57"/>
      <c r="AA38" s="57"/>
    </row>
    <row r="39" spans="1:28" ht="13.5" thickBot="1">
      <c r="A39" s="410">
        <f t="shared" si="6"/>
        <v>42004</v>
      </c>
      <c r="B39" s="316">
        <f>IF(MONTH(A39)=MONTH($E$1),VLOOKUP((A39),Sheet1!$B$8:$HT$528,11,FALSE),0)</f>
        <v>0</v>
      </c>
      <c r="C39" s="311">
        <f>IF(MONTH(A39)=MONTH($E$1),VLOOKUP(A39,'Calculations II'!$B$8:$IV$434,54,FALSE),0)</f>
        <v>5.3959679999999999</v>
      </c>
      <c r="D39" s="306">
        <f>IF(MONTH(A39)=MONTH($E$1),VLOOKUP(A39,Sheet1!$B$8:$HT$528,26,FALSE),0)</f>
        <v>30</v>
      </c>
      <c r="E39" s="58">
        <f>IF(MONTH(A39)=MONTH($E$1),VLOOKUP(A39,Sheet1!$B$8:$HT$528,27,FALSE),0)</f>
        <v>20</v>
      </c>
      <c r="F39" s="1034">
        <f t="shared" si="1"/>
        <v>45.396959080277497</v>
      </c>
      <c r="G39" s="1035">
        <f>C39+D39+E39</f>
        <v>55.395967999999996</v>
      </c>
      <c r="H39" s="339">
        <f>IF(MONTH(A39)=MONTH($E$1),VLOOKUP(A39,Calculation!$B$8:$JF$503,148,FALSE),0)</f>
        <v>-1.656285160059646</v>
      </c>
      <c r="I39" s="482">
        <f ca="1">IF(MONTH(A39)=MONTH($E$1),VLOOKUP(A39,'Calculations II'!$B$8:$IV$434,14,FALSE),0)</f>
        <v>2.349125926267901</v>
      </c>
      <c r="J39" s="482">
        <f t="shared" ca="1" si="2"/>
        <v>0.69284076620825497</v>
      </c>
      <c r="K39" s="499">
        <f>IF(MONTH(A39)=MONTH($E$1),VLOOKUP(A39,'Calculations II'!$B$8:$IV$434,67,FALSE),0)</f>
        <v>0</v>
      </c>
      <c r="L39" s="495">
        <f>IF(MONTH(A39)=MONTH($E$1),VLOOKUP(A39,Sheet1!$B$8:$HT$528,65,FALSE),0)</f>
        <v>10.1</v>
      </c>
      <c r="M39" s="58">
        <f>IF(MONTH(A39)=MONTH($E$1),VLOOKUP(A39,Sheet1!$B$8:$HT$528,97,FALSE),0)</f>
        <v>18.350999999999999</v>
      </c>
      <c r="N39" s="491">
        <f ca="1">IF(AND(D39=0,E39=0),0,C39+D39+J39-K39+L39-M39)</f>
        <v>27.837808766208255</v>
      </c>
      <c r="O39" s="491">
        <f t="shared" ca="1" si="4"/>
        <v>46.188808766208254</v>
      </c>
      <c r="P39" s="482">
        <f>IF(MONTH(A39)=MONTH($E$1),VLOOKUP(A39,Calculation!$B$8:$JF$503,44,FALSE),0)</f>
        <v>1</v>
      </c>
      <c r="Q39" s="306">
        <f>IF(MONTH(A39)=MONTH($E$1),VLOOKUP(A39,Calculation!$B$8:$JF$503,113,FALSE),0)</f>
        <v>8.9990089197224989</v>
      </c>
      <c r="R39" s="492">
        <f t="shared" ca="1" si="5"/>
        <v>56.187817685930753</v>
      </c>
      <c r="S39" s="339">
        <f>IF(MONTH(A39)=MONTH($E$1),VLOOKUP(A39,Sheet1!$B$8:$HT$528,123,FALSE),0)</f>
        <v>0</v>
      </c>
      <c r="T39" s="315"/>
      <c r="U39"/>
      <c r="V39"/>
      <c r="Y39" s="57"/>
      <c r="Z39" s="57"/>
      <c r="AA39" s="57"/>
    </row>
    <row r="40" spans="1:28" ht="13.5" thickTop="1">
      <c r="A40" s="333" t="s">
        <v>443</v>
      </c>
      <c r="B40" s="317"/>
      <c r="C40" s="309"/>
      <c r="D40" s="59"/>
      <c r="E40" s="55"/>
      <c r="F40" s="735"/>
      <c r="G40" s="736"/>
      <c r="H40" s="55"/>
      <c r="I40" s="483"/>
      <c r="J40" s="483"/>
      <c r="K40" s="487"/>
      <c r="L40" s="56"/>
      <c r="M40" s="55"/>
      <c r="N40" s="343"/>
      <c r="O40" s="343"/>
      <c r="P40" s="55"/>
      <c r="Q40" s="59"/>
      <c r="R40" s="261"/>
      <c r="S40" s="332"/>
      <c r="T40" s="325"/>
      <c r="U40"/>
      <c r="V40"/>
      <c r="Y40" s="57"/>
      <c r="Z40" s="57"/>
      <c r="AA40" s="57"/>
    </row>
    <row r="41" spans="1:28">
      <c r="A41" s="334" t="s">
        <v>168</v>
      </c>
      <c r="B41" s="411">
        <f>SUM(B9:B39)</f>
        <v>513.80999999999767</v>
      </c>
      <c r="C41" s="412">
        <f>SUM(C9:C39)</f>
        <v>175.75977600000002</v>
      </c>
      <c r="D41" s="413">
        <f t="shared" ref="D41:S41" si="7">SUM(D9:D39)</f>
        <v>712.49999999999989</v>
      </c>
      <c r="E41" s="414">
        <f t="shared" si="7"/>
        <v>790.40999999999974</v>
      </c>
      <c r="F41" s="1036">
        <f t="shared" si="7"/>
        <v>1369.0250625316244</v>
      </c>
      <c r="G41" s="1037">
        <f t="shared" si="7"/>
        <v>1678.6697760000002</v>
      </c>
      <c r="H41" s="412">
        <f t="shared" si="7"/>
        <v>17.418818778343532</v>
      </c>
      <c r="I41" s="416">
        <f t="shared" ca="1" si="7"/>
        <v>-7.2811218455301745</v>
      </c>
      <c r="J41" s="416">
        <f t="shared" ca="1" si="7"/>
        <v>10.137696932813355</v>
      </c>
      <c r="K41" s="488">
        <f t="shared" si="7"/>
        <v>0</v>
      </c>
      <c r="L41" s="496">
        <f t="shared" si="7"/>
        <v>481.80000000000007</v>
      </c>
      <c r="M41" s="414">
        <f t="shared" si="7"/>
        <v>530.29899999999998</v>
      </c>
      <c r="N41" s="263">
        <f t="shared" ca="1" si="7"/>
        <v>849.89847293281343</v>
      </c>
      <c r="O41" s="415">
        <f t="shared" ca="1" si="7"/>
        <v>1380.1974729328135</v>
      </c>
      <c r="P41" s="416">
        <f t="shared" si="7"/>
        <v>30.99</v>
      </c>
      <c r="Q41" s="413">
        <f t="shared" si="7"/>
        <v>278.65471346837586</v>
      </c>
      <c r="R41" s="264">
        <f t="shared" ca="1" si="7"/>
        <v>1689.8421864011893</v>
      </c>
      <c r="S41" s="417">
        <f t="shared" si="7"/>
        <v>0</v>
      </c>
      <c r="T41" s="326"/>
      <c r="U41"/>
      <c r="V41"/>
      <c r="Y41" s="57"/>
      <c r="Z41" s="57"/>
      <c r="AA41" s="57"/>
    </row>
    <row r="42" spans="1:28">
      <c r="A42" s="262" t="s">
        <v>216</v>
      </c>
      <c r="B42" s="321"/>
      <c r="C42" s="322"/>
      <c r="D42" s="323"/>
      <c r="E42" s="324"/>
      <c r="F42" s="739"/>
      <c r="G42" s="740"/>
      <c r="H42" s="322"/>
      <c r="I42" s="340"/>
      <c r="J42" s="340"/>
      <c r="K42" s="489"/>
      <c r="L42" s="324"/>
      <c r="M42" s="324"/>
      <c r="N42" s="265"/>
      <c r="O42" s="265"/>
      <c r="P42" s="340"/>
      <c r="Q42" s="323"/>
      <c r="R42" s="266"/>
      <c r="S42" s="341"/>
      <c r="T42" s="342"/>
      <c r="U42"/>
      <c r="V42"/>
      <c r="Y42" s="57"/>
      <c r="Z42" s="57"/>
      <c r="AA42" s="57"/>
    </row>
    <row r="43" spans="1:28" ht="13.5" thickBot="1">
      <c r="A43" s="478" t="s">
        <v>217</v>
      </c>
      <c r="B43" s="327">
        <f>IF(SUM(B9:B39)=0,0,SUM(B9:B39)/COUNTIF($G9:$G39,"&lt;&gt;0"))</f>
        <v>16.574516129032183</v>
      </c>
      <c r="C43" s="328">
        <f t="shared" ref="C43:S43" si="8">IF(SUM(C9:C39)=0,0,SUM(C9:C39)/COUNTIF($G9:$G39,"&lt;&gt;0"))</f>
        <v>5.669670193548388</v>
      </c>
      <c r="D43" s="329">
        <f t="shared" si="8"/>
        <v>22.983870967741932</v>
      </c>
      <c r="E43" s="330">
        <f t="shared" si="8"/>
        <v>25.49709677419354</v>
      </c>
      <c r="F43" s="741">
        <f t="shared" si="8"/>
        <v>44.162098791342721</v>
      </c>
      <c r="G43" s="742">
        <f t="shared" si="8"/>
        <v>54.150637935483878</v>
      </c>
      <c r="H43" s="328">
        <f t="shared" si="8"/>
        <v>0.56189737994656552</v>
      </c>
      <c r="I43" s="337">
        <f t="shared" ca="1" si="8"/>
        <v>-0.23487489824290886</v>
      </c>
      <c r="J43" s="337">
        <f t="shared" ca="1" si="8"/>
        <v>0.32702248170365661</v>
      </c>
      <c r="K43" s="490">
        <f t="shared" si="8"/>
        <v>0</v>
      </c>
      <c r="L43" s="497">
        <f t="shared" si="8"/>
        <v>15.54193548387097</v>
      </c>
      <c r="M43" s="330">
        <f t="shared" si="8"/>
        <v>17.10641935483871</v>
      </c>
      <c r="N43" s="267">
        <f t="shared" ca="1" si="8"/>
        <v>27.41607977202624</v>
      </c>
      <c r="O43" s="336">
        <f t="shared" ca="1" si="8"/>
        <v>44.52249912686495</v>
      </c>
      <c r="P43" s="337">
        <f t="shared" si="8"/>
        <v>0.99967741935483867</v>
      </c>
      <c r="Q43" s="329">
        <f t="shared" si="8"/>
        <v>8.9888617247863181</v>
      </c>
      <c r="R43" s="268">
        <f t="shared" ca="1" si="8"/>
        <v>54.511038271006107</v>
      </c>
      <c r="S43" s="335">
        <f t="shared" si="8"/>
        <v>0</v>
      </c>
      <c r="T43" s="479"/>
      <c r="U43"/>
      <c r="V43"/>
      <c r="Y43" s="57"/>
      <c r="Z43" s="57"/>
      <c r="AA43" s="57"/>
    </row>
    <row r="44" spans="1:28" ht="8.25" customHeight="1">
      <c r="A44" s="53"/>
      <c r="B44" s="53"/>
      <c r="C44" s="53"/>
      <c r="D44" s="53"/>
      <c r="E44" s="303"/>
      <c r="F44" s="303"/>
      <c r="G44" s="303"/>
      <c r="H44" s="53"/>
      <c r="I44" s="53"/>
      <c r="J44" s="53"/>
      <c r="K44" s="53"/>
      <c r="L44" s="53"/>
      <c r="M44" s="53"/>
      <c r="N44" s="53"/>
      <c r="O44" s="53"/>
      <c r="P44" s="53"/>
      <c r="Q44" s="53"/>
      <c r="R44" s="53"/>
      <c r="S44" s="53"/>
      <c r="T44" s="53"/>
      <c r="U44"/>
      <c r="V44"/>
      <c r="Y44" s="55"/>
      <c r="Z44" s="55"/>
      <c r="AA44" s="55"/>
    </row>
    <row r="45" spans="1:28" ht="6" customHeight="1" thickBot="1"/>
    <row r="46" spans="1:28" ht="13.5" thickBot="1">
      <c r="A46" s="270" t="s">
        <v>446</v>
      </c>
      <c r="B46" s="271"/>
      <c r="C46" s="271"/>
      <c r="D46" s="271"/>
      <c r="E46" s="271"/>
      <c r="F46" s="272" t="s">
        <v>169</v>
      </c>
      <c r="G46" s="273" t="s">
        <v>170</v>
      </c>
      <c r="H46" s="51"/>
      <c r="I46" s="51"/>
      <c r="J46" s="51"/>
      <c r="K46" s="274" t="s">
        <v>447</v>
      </c>
      <c r="L46" s="275"/>
      <c r="M46" s="275"/>
      <c r="N46" s="275"/>
      <c r="O46" s="275"/>
      <c r="P46" s="275"/>
      <c r="Q46" s="276" t="s">
        <v>169</v>
      </c>
      <c r="R46" s="277" t="s">
        <v>170</v>
      </c>
      <c r="T46" s="61"/>
      <c r="AA46" s="61"/>
      <c r="AB46" s="61"/>
    </row>
    <row r="47" spans="1:28">
      <c r="A47" s="278" t="s">
        <v>171</v>
      </c>
      <c r="B47" s="279"/>
      <c r="C47" s="279"/>
      <c r="D47" s="279"/>
      <c r="E47" s="279"/>
      <c r="F47" s="281">
        <f>IF(MONTH($A$39)=MONTH($E$1),MATCH(MIN(G$9:G$39),G$9:G$39,0),IF(MONTH($A$38)=MONTH($E$1),MATCH(MIN(G$9:G$38),G$9:G$38,0),IF(MONTH($A$37)=MONTH($E$1),MATCH(MIN(G$9:G$37),G$9:G$37,0),MATCH(MIN(G$9:G$36),G$9:G$36,0))))</f>
        <v>26</v>
      </c>
      <c r="G47" s="282">
        <f>IF(MONTH($A$39)=MONTH($E$1),MIN(G$9:G$39),IF(MONTH($A$38)=MONTH($E$1),MIN(G$9:G$38),IF(MONTH($A$37)=MONTH($E$1),MIN(G$9:G$37),MIN(G$9:G$36))))</f>
        <v>45.68</v>
      </c>
      <c r="H47" s="51"/>
      <c r="I47" s="51"/>
      <c r="J47" s="51"/>
      <c r="K47" s="283" t="s">
        <v>448</v>
      </c>
      <c r="L47" s="284"/>
      <c r="M47" s="284"/>
      <c r="N47" s="284"/>
      <c r="O47" s="284"/>
      <c r="P47" s="284"/>
      <c r="Q47" s="286">
        <f ca="1">IF(MONTH($A$39)=MONTH($E$1),MATCH(MIN(R$9:R$39),R$9:R$39,0),IF(MONTH($A$38)=MONTH($E$1),MATCH(MIN(R$9:R$38),R$9:R$38,0),IF(MONTH($A$37)=MONTH($E$1),MATCH(MIN(R$9:R$37),R$9:R$37,0),MATCH(MIN(R$9:R$36),R$9:R$36,0))))</f>
        <v>25</v>
      </c>
      <c r="R47" s="287">
        <f ca="1">IF(MONTH($A$39)=MONTH($E$1),MIN(R$9:R$39),IF(MONTH($A$38)=MONTH($E$1),MIN(R$9:R$38),IF(MONTH($A$37)=MONTH($E$1),MIN(R$9:R$37),MIN(R$9:R$36))))</f>
        <v>49.906414877921804</v>
      </c>
      <c r="S47" s="288"/>
      <c r="T47" s="61"/>
      <c r="AA47" s="61"/>
      <c r="AB47" s="61"/>
    </row>
    <row r="48" spans="1:28" ht="13.5" thickBot="1">
      <c r="A48" s="289" t="s">
        <v>172</v>
      </c>
      <c r="B48" s="290"/>
      <c r="C48" s="290"/>
      <c r="D48" s="290"/>
      <c r="E48" s="290"/>
      <c r="F48" s="291">
        <f>IF(MONTH($A$39)=MONTH($E$1),MATCH(MAX(G$9:G$39),G$9:G$39,0),IF(MONTH($A$38)=MONTH($E$1),MATCH(MAX(G$9:G$38),G$9:G$38,0),IF(MONTH($A$37)=MONTH($E$1),MATCH(MAX(G$9:G$37),G$9:G$37,0),MATCH(MAX(G$9:G$36),G$9:G$36,0))))</f>
        <v>11</v>
      </c>
      <c r="G48" s="292">
        <f>IF(MONTH($A$39)=MONTH($E$1),MAX(G$9:G$39),IF(MONTH($A$38)=MONTH($E$1),MAX(G$9:G$38),IF(MONTH($A$37)=MONTH($E$1),MAX(G$9:G$37),MAX(G$9:G$36))))</f>
        <v>62.067120000000003</v>
      </c>
      <c r="H48" s="51"/>
      <c r="I48" s="51"/>
      <c r="J48" s="51"/>
      <c r="K48" s="293" t="s">
        <v>449</v>
      </c>
      <c r="L48" s="294"/>
      <c r="M48" s="294"/>
      <c r="N48" s="294"/>
      <c r="O48" s="294"/>
      <c r="P48" s="294"/>
      <c r="Q48" s="296">
        <f ca="1">IF(MONTH($A$39)=MONTH($E$1),MATCH(MAX(R$9:R$39),R$9:R$39,0),IF(MONTH($A$38)=MONTH($E$1),MATCH(MAX(R$9:R$38),R$9:R$38,0),IF(MONTH($A$37)=MONTH($E$1),MATCH(MAX(R$9:R$37),R$9:R$37,0),MATCH(MAX(R$9:R$36),R$9:R$36,0))))</f>
        <v>11</v>
      </c>
      <c r="R48" s="297">
        <f ca="1">IF(MONTH($A$39)=MONTH($E$1),MAX(R$9:R$39),IF(MONTH($A$38)=MONTH($E$1),MAX(R$9:R$38),IF(MONTH($A$37)=MONTH($E$1),MAX(R$9:R$37),MAX(R$9:R$36))))</f>
        <v>61.930795844511877</v>
      </c>
    </row>
    <row r="49" spans="1:19">
      <c r="A49" s="269"/>
      <c r="B49" s="60"/>
      <c r="C49" s="60"/>
      <c r="D49" s="60"/>
      <c r="E49" s="60"/>
      <c r="F49" s="60"/>
      <c r="G49" s="60"/>
      <c r="H49" s="51"/>
      <c r="I49" s="51"/>
      <c r="J49" s="51"/>
      <c r="K49" s="60"/>
      <c r="L49" s="60"/>
      <c r="M49" s="60"/>
      <c r="N49" s="60"/>
      <c r="O49" s="60"/>
      <c r="Q49" s="60"/>
      <c r="R49" s="60"/>
    </row>
    <row r="50" spans="1:19" ht="13.5" thickBot="1">
      <c r="A50" s="269" t="s">
        <v>450</v>
      </c>
      <c r="B50" s="60"/>
      <c r="C50" s="60"/>
      <c r="D50" s="60"/>
      <c r="E50" s="60"/>
      <c r="F50" s="60"/>
      <c r="G50" s="60"/>
      <c r="H50" s="51"/>
      <c r="I50" s="51"/>
      <c r="J50" s="51"/>
      <c r="K50" s="269" t="s">
        <v>450</v>
      </c>
      <c r="L50" s="60"/>
      <c r="M50" s="60"/>
      <c r="N50" s="60"/>
      <c r="O50" s="60"/>
      <c r="Q50" s="60"/>
      <c r="R50" s="60"/>
    </row>
    <row r="51" spans="1:19" ht="13.5" thickBot="1">
      <c r="A51" s="270" t="s">
        <v>446</v>
      </c>
      <c r="B51" s="271"/>
      <c r="C51" s="271"/>
      <c r="D51" s="271"/>
      <c r="E51" s="272" t="s">
        <v>169</v>
      </c>
      <c r="F51" s="273" t="s">
        <v>170</v>
      </c>
      <c r="G51" s="52"/>
      <c r="H51" s="51"/>
      <c r="I51" s="51"/>
      <c r="J51" s="51"/>
      <c r="K51" s="274" t="s">
        <v>447</v>
      </c>
      <c r="L51" s="275"/>
      <c r="M51" s="275"/>
      <c r="N51" s="276" t="s">
        <v>169</v>
      </c>
      <c r="O51" s="277" t="s">
        <v>170</v>
      </c>
      <c r="Q51" s="51"/>
    </row>
    <row r="52" spans="1:19">
      <c r="A52" s="278" t="s">
        <v>171</v>
      </c>
      <c r="B52" s="279"/>
      <c r="C52" s="279"/>
      <c r="D52" s="279"/>
      <c r="E52" s="281">
        <f>IF(MONTH($A$39)=MONTH($E$1),MATCH(MIN(F$9:F$39),F$9:F$39,0),IF(MONTH($A$38)=MONTH($E$1),MATCH(MIN(F$9:F$38),F$9:F$38,0),IF(MONTH($A$37)=MONTH($E$1),MATCH(MIN(F$9:F$37),F$9:F$37,0),MATCH(MIN(F$9:F$36),F$9:F$36,0))))</f>
        <v>26</v>
      </c>
      <c r="F52" s="282">
        <f>IF(MONTH($A$39)=MONTH($E$1),MIN(F$9:F$39),IF(MONTH($A$38)=MONTH($E$1),MIN(F$9:F$38),IF(MONTH($A$37)=MONTH($E$1),MIN(F$9:F$37),MIN(F$9:F$36))))</f>
        <v>35.783184713375796</v>
      </c>
      <c r="G52" s="52"/>
      <c r="H52" s="51"/>
      <c r="I52" s="51"/>
      <c r="J52" s="51"/>
      <c r="K52" s="283" t="s">
        <v>448</v>
      </c>
      <c r="L52" s="284"/>
      <c r="M52" s="284"/>
      <c r="N52" s="286">
        <f ca="1">IF(MONTH($A$39)=MONTH($E$1),MATCH(MIN(O$9:O$39),O$9:O$39,0),IF(MONTH($A$38)=MONTH($E$1),MATCH(MIN(O$9:O$38),O$9:O$38,0),IF(MONTH($A$37)=MONTH($E$1),MATCH(MIN(O$9:O$37),O$9:O$37,0),MATCH(MIN(O$9:O$36),O$9:O$36,0))))</f>
        <v>25</v>
      </c>
      <c r="O52" s="287">
        <f ca="1">IF(MONTH($A$39)=MONTH($E$1),MIN(O$9:O$39),IF(MONTH($A$38)=MONTH($E$1),MIN(O$9:O$38),IF(MONTH($A$37)=MONTH($E$1),MIN(O$9:O$37),MIN(O$9:O$36))))</f>
        <v>39.982227440234865</v>
      </c>
      <c r="Q52" s="51"/>
    </row>
    <row r="53" spans="1:19" ht="13.5" thickBot="1">
      <c r="A53" s="289" t="s">
        <v>172</v>
      </c>
      <c r="B53" s="290"/>
      <c r="C53" s="290"/>
      <c r="D53" s="290"/>
      <c r="E53" s="291">
        <f>IF(MONTH($A$39)=MONTH($E$1),MATCH(MAX(F$9:F$39),F$9:F$39,0),IF(MONTH($A$38)=MONTH($E$1),MATCH(MAX(F$9:F$38),F$9:F$38,0),IF(MONTH($A$37)=MONTH($E$1),MATCH(MAX(F$9:F$37),F$9:F$37,0),MATCH(MAX(F$9:F$36),F$9:F$36,0))))</f>
        <v>11</v>
      </c>
      <c r="F53" s="292">
        <f>IF(MONTH($A$39)=MONTH($E$1),MAX(F$9:F$39),IF(MONTH($A$38)=MONTH($E$1),MAX(F$9:F$38),IF(MONTH($A$37)=MONTH($E$1),MAX(F$9:F$37),MAX(F$9:F$36))))</f>
        <v>52.192344296461414</v>
      </c>
      <c r="G53" s="52"/>
      <c r="H53" s="51"/>
      <c r="I53" s="51"/>
      <c r="J53" s="51"/>
      <c r="K53" s="293" t="s">
        <v>449</v>
      </c>
      <c r="L53" s="294"/>
      <c r="M53" s="294"/>
      <c r="N53" s="296">
        <f ca="1">IF(MONTH($A$39)=MONTH($E$1),MATCH(MAX(O$9:O$39),O$9:O$39,0),IF(MONTH($A$38)=MONTH($E$1),MATCH(MAX(O$9:O$38),O$9:O$38,0),IF(MONTH($A$37)=MONTH($E$1),MATCH(MAX(O$9:O$37),O$9:O$37,0),MATCH(MAX(O$9:O$36),O$9:O$36,0))))</f>
        <v>11</v>
      </c>
      <c r="O53" s="297">
        <f ca="1">IF(MONTH($A$39)=MONTH($E$1),MAX(O$9:O$39),IF(MONTH($A$38)=MONTH($E$1),MAX(O$9:O$38),IF(MONTH($A$37)=MONTH($E$1),MAX(O$9:O$37),MAX(O$9:O$36))))</f>
        <v>52.056020140973288</v>
      </c>
      <c r="Q53" s="51"/>
    </row>
    <row r="54" spans="1:19">
      <c r="E54" s="52"/>
      <c r="F54" s="52"/>
      <c r="G54" s="52"/>
      <c r="K54" s="52" t="s">
        <v>451</v>
      </c>
    </row>
    <row r="55" spans="1:19">
      <c r="A55" s="298" t="s">
        <v>452</v>
      </c>
      <c r="B55" s="1215">
        <v>1</v>
      </c>
      <c r="C55" s="1215">
        <v>2</v>
      </c>
      <c r="D55" s="1215">
        <v>3</v>
      </c>
      <c r="E55" s="1215">
        <v>4</v>
      </c>
      <c r="F55" s="298" t="s">
        <v>453</v>
      </c>
      <c r="G55" s="300" t="s">
        <v>454</v>
      </c>
      <c r="H55" s="1215">
        <v>5</v>
      </c>
      <c r="I55" s="1215">
        <v>6</v>
      </c>
      <c r="J55" s="299"/>
      <c r="K55" s="1215">
        <v>7</v>
      </c>
      <c r="L55" s="1215">
        <v>8</v>
      </c>
      <c r="M55" s="1215">
        <v>9</v>
      </c>
      <c r="N55" s="300" t="s">
        <v>456</v>
      </c>
      <c r="O55" s="300" t="s">
        <v>457</v>
      </c>
      <c r="P55" s="1215">
        <v>10</v>
      </c>
      <c r="Q55" s="1215">
        <v>11</v>
      </c>
      <c r="R55" s="300" t="s">
        <v>458</v>
      </c>
      <c r="S55" s="301"/>
    </row>
    <row r="58" spans="1:19">
      <c r="N58" s="98"/>
      <c r="O58" s="98"/>
      <c r="S58" s="98"/>
    </row>
    <row r="59" spans="1:19">
      <c r="N59" s="61"/>
      <c r="O59" s="61"/>
      <c r="S59" s="61"/>
    </row>
    <row r="60" spans="1:19">
      <c r="N60" s="61"/>
      <c r="O60" s="61"/>
      <c r="S60" s="61"/>
    </row>
    <row r="61" spans="1:19">
      <c r="N61" s="61"/>
      <c r="O61" s="61"/>
      <c r="S61" s="61"/>
    </row>
    <row r="62" spans="1:19">
      <c r="N62" s="61"/>
      <c r="O62" s="61"/>
      <c r="S62" s="61"/>
    </row>
    <row r="63" spans="1:19">
      <c r="N63" s="61"/>
      <c r="O63" s="61"/>
      <c r="S63" s="61"/>
    </row>
    <row r="64" spans="1:19">
      <c r="N64" s="61"/>
      <c r="O64" s="61"/>
      <c r="S64" s="61"/>
    </row>
    <row r="65" spans="1:19">
      <c r="N65" s="61"/>
      <c r="O65" s="61"/>
      <c r="S65" s="61"/>
    </row>
    <row r="66" spans="1:19">
      <c r="N66" s="61"/>
      <c r="O66" s="61"/>
      <c r="S66" s="61"/>
    </row>
    <row r="67" spans="1:19">
      <c r="N67" s="61"/>
      <c r="O67" s="61"/>
      <c r="S67" s="61"/>
    </row>
    <row r="68" spans="1:19">
      <c r="N68" s="61"/>
      <c r="O68" s="61"/>
      <c r="S68" s="61"/>
    </row>
    <row r="69" spans="1:19">
      <c r="N69" s="61"/>
      <c r="O69" s="61"/>
      <c r="S69" s="61"/>
    </row>
    <row r="70" spans="1:19">
      <c r="A70" s="52" t="s">
        <v>853</v>
      </c>
      <c r="N70" s="61"/>
      <c r="O70" s="61"/>
      <c r="S70" s="61"/>
    </row>
    <row r="71" spans="1:19">
      <c r="A71" s="52" t="s">
        <v>842</v>
      </c>
    </row>
    <row r="72" spans="1:19">
      <c r="A72" s="52" t="s">
        <v>852</v>
      </c>
    </row>
  </sheetData>
  <mergeCells count="6">
    <mergeCell ref="S6:T6"/>
    <mergeCell ref="A2:R2"/>
    <mergeCell ref="A3:R3"/>
    <mergeCell ref="C6:G6"/>
    <mergeCell ref="H6:J6"/>
    <mergeCell ref="L6:R6"/>
  </mergeCells>
  <phoneticPr fontId="19" type="noConversion"/>
  <conditionalFormatting sqref="T9:T39">
    <cfRule type="cellIs" dxfId="25" priority="28" stopIfTrue="1" operator="equal">
      <formula>0</formula>
    </cfRule>
  </conditionalFormatting>
  <conditionalFormatting sqref="Y40:AA40 U40:V40">
    <cfRule type="expression" priority="43" stopIfTrue="1">
      <formula>IF(MONTH($A$40)=MONTH($E$1),TRUE,FALSE)</formula>
    </cfRule>
    <cfRule type="expression" dxfId="24" priority="44" stopIfTrue="1">
      <formula>IF(MONTH($A$40)&gt;MONTH($E$1),TRUE,FALSE)</formula>
    </cfRule>
    <cfRule type="expression" dxfId="23" priority="45" stopIfTrue="1">
      <formula>IF(MONTH($A$40)&lt;MONTH($E$1),TRUE,FALSE)</formula>
    </cfRule>
  </conditionalFormatting>
  <conditionalFormatting sqref="U43:AA43 A39:E39 S39:T39 I39:M39">
    <cfRule type="expression" priority="30" stopIfTrue="1">
      <formula>IF(MONTH($A$39)=MONTH($E$1),TRUE,FALSE)</formula>
    </cfRule>
    <cfRule type="expression" dxfId="22" priority="31" stopIfTrue="1">
      <formula>IF(MONTH($A$39)&gt;MONTH($E$1),TRUE,FALSE)</formula>
    </cfRule>
    <cfRule type="expression" dxfId="21" priority="32" stopIfTrue="1">
      <formula>IF(MONTH($A$39)&lt;MONTH($E$1),TRUE,FALSE)</formula>
    </cfRule>
  </conditionalFormatting>
  <conditionalFormatting sqref="A38:E38 S38:T38 U41:AA43 I38:M38">
    <cfRule type="expression" priority="33" stopIfTrue="1">
      <formula>IF(MONTH($A$38)=MONTH($E$1),TRUE,FALSE)</formula>
    </cfRule>
    <cfRule type="expression" dxfId="20" priority="34" stopIfTrue="1">
      <formula>IF(MONTH($A$38)&gt;MONTH($E$1),TRUE,FALSE)</formula>
    </cfRule>
    <cfRule type="expression" dxfId="19" priority="35" stopIfTrue="1">
      <formula>IF(MONTH($A$38)&lt;MONTH($E$1),TRUE,FALSE)</formula>
    </cfRule>
  </conditionalFormatting>
  <conditionalFormatting sqref="A37:E37 S37 I37:M37">
    <cfRule type="expression" dxfId="18" priority="69" stopIfTrue="1">
      <formula>IF(MONTH($A$37)&gt;MONTH($E$1),TRUE,FALSE)</formula>
    </cfRule>
    <cfRule type="expression" dxfId="17" priority="70" stopIfTrue="1">
      <formula>IF(MONTH($A$37)&lt;MONTH($E$1),TRUE,FALSE)</formula>
    </cfRule>
  </conditionalFormatting>
  <conditionalFormatting sqref="R37:IV37 A37:E37 O37 I37:M37">
    <cfRule type="expression" priority="68" stopIfTrue="1">
      <formula>IF(MONTH($A$37)=MONTH($E$1),TRUE,FALSE)</formula>
    </cfRule>
  </conditionalFormatting>
  <conditionalFormatting sqref="F9:G39">
    <cfRule type="cellIs" dxfId="16" priority="23" stopIfTrue="1" operator="equal">
      <formula>0</formula>
    </cfRule>
  </conditionalFormatting>
  <conditionalFormatting sqref="N9:O39 R9:R40">
    <cfRule type="cellIs" dxfId="15" priority="22" stopIfTrue="1" operator="equal">
      <formula>0</formula>
    </cfRule>
  </conditionalFormatting>
  <printOptions horizontalCentered="1"/>
  <pageMargins left="0" right="0" top="0.5" bottom="0" header="0" footer="0"/>
  <pageSetup scale="82" orientation="landscape" r:id="rId1"/>
  <headerFooter alignWithMargins="0"/>
  <colBreaks count="1" manualBreakCount="1">
    <brk id="18" max="1048575" man="1"/>
  </colBreaks>
  <legacyDrawing r:id="rId2"/>
</worksheet>
</file>

<file path=xl/worksheets/sheet7.xml><?xml version="1.0" encoding="utf-8"?>
<worksheet xmlns="http://schemas.openxmlformats.org/spreadsheetml/2006/main" xmlns:r="http://schemas.openxmlformats.org/officeDocument/2006/relationships">
  <sheetPr codeName="Sheet11"/>
  <dimension ref="A1:JL506"/>
  <sheetViews>
    <sheetView zoomScale="85" zoomScaleNormal="85" workbookViewId="0">
      <pane xSplit="2" ySplit="7" topLeftCell="C344" activePane="bottomRight" state="frozen"/>
      <selection activeCell="FL381" sqref="FL381"/>
      <selection pane="topRight" activeCell="FL381" sqref="FL381"/>
      <selection pane="bottomLeft" activeCell="FL381" sqref="FL381"/>
      <selection pane="bottomRight" activeCell="I380" sqref="I380"/>
    </sheetView>
  </sheetViews>
  <sheetFormatPr defaultColWidth="9.140625" defaultRowHeight="12.75"/>
  <cols>
    <col min="1" max="1" width="10.42578125" style="558" customWidth="1"/>
    <col min="2" max="2" width="18" style="558" customWidth="1"/>
    <col min="3" max="3" width="11.5703125" style="558" customWidth="1"/>
    <col min="4" max="6" width="9.140625" style="558"/>
    <col min="7" max="7" width="10" style="558" customWidth="1"/>
    <col min="8" max="8" width="11.140625" style="894" customWidth="1"/>
    <col min="9" max="10" width="10.5703125" style="558" customWidth="1"/>
    <col min="11" max="11" width="13.42578125" style="905" customWidth="1"/>
    <col min="12" max="12" width="11" style="558" customWidth="1"/>
    <col min="13" max="13" width="9.5703125" style="558" bestFit="1" customWidth="1"/>
    <col min="14" max="14" width="9.42578125" style="906" bestFit="1" customWidth="1"/>
    <col min="15" max="15" width="11.5703125" style="558" customWidth="1"/>
    <col min="16" max="16" width="10.42578125" style="558" customWidth="1"/>
    <col min="17" max="17" width="10.42578125" style="899" customWidth="1"/>
    <col min="18" max="18" width="9.42578125" style="558" bestFit="1" customWidth="1"/>
    <col min="19" max="27" width="9.42578125" style="899" customWidth="1"/>
    <col min="28" max="28" width="16.85546875" style="899" customWidth="1"/>
    <col min="29" max="33" width="11.5703125" style="558" customWidth="1"/>
    <col min="34" max="35" width="9.42578125" style="558" bestFit="1" customWidth="1"/>
    <col min="36" max="36" width="11.140625" style="558" customWidth="1"/>
    <col min="37" max="37" width="12.42578125" style="558" customWidth="1"/>
    <col min="38" max="38" width="11.5703125" style="558" customWidth="1"/>
    <col min="39" max="39" width="15" style="558" customWidth="1"/>
    <col min="40" max="40" width="9.42578125" style="558" bestFit="1" customWidth="1"/>
    <col min="41" max="41" width="9.5703125" style="558" bestFit="1" customWidth="1"/>
    <col min="42" max="42" width="11" style="558" customWidth="1"/>
    <col min="43" max="43" width="10.5703125" style="558" customWidth="1"/>
    <col min="44" max="44" width="12" style="558" customWidth="1"/>
    <col min="45" max="45" width="9.85546875" style="558" customWidth="1"/>
    <col min="46" max="46" width="12.140625" style="696" customWidth="1"/>
    <col min="47" max="47" width="10.85546875" style="558" customWidth="1"/>
    <col min="48" max="48" width="12.5703125" style="558" customWidth="1"/>
    <col min="49" max="53" width="9.140625" style="696"/>
    <col min="54" max="54" width="9.42578125" style="558" bestFit="1" customWidth="1"/>
    <col min="55" max="55" width="9.140625" style="558"/>
    <col min="56" max="67" width="9.42578125" style="558" bestFit="1" customWidth="1"/>
    <col min="68" max="72" width="9.140625" style="558"/>
    <col min="73" max="73" width="9.42578125" style="558" bestFit="1" customWidth="1"/>
    <col min="74" max="74" width="9.140625" style="558"/>
    <col min="75" max="81" width="9.42578125" style="558" bestFit="1" customWidth="1"/>
    <col min="82" max="82" width="10" style="558" customWidth="1"/>
    <col min="83" max="85" width="9.42578125" style="558" bestFit="1" customWidth="1"/>
    <col min="86" max="86" width="10.42578125" style="558" customWidth="1"/>
    <col min="87" max="88" width="9.42578125" style="558" bestFit="1" customWidth="1"/>
    <col min="89" max="93" width="9.140625" style="558"/>
    <col min="94" max="94" width="9.42578125" style="558" bestFit="1" customWidth="1"/>
    <col min="95" max="95" width="9.140625" style="558"/>
    <col min="96" max="96" width="9.42578125" style="558" bestFit="1" customWidth="1"/>
    <col min="97" max="97" width="10.42578125" style="558" customWidth="1"/>
    <col min="98" max="98" width="9.85546875" style="558" customWidth="1"/>
    <col min="99" max="99" width="10" style="558" customWidth="1"/>
    <col min="100" max="101" width="10.42578125" style="558" customWidth="1"/>
    <col min="102" max="102" width="11.140625" style="558" customWidth="1"/>
    <col min="103" max="103" width="10.140625" style="558" customWidth="1"/>
    <col min="104" max="104" width="10.42578125" style="558" customWidth="1"/>
    <col min="105" max="105" width="9.85546875" style="558" customWidth="1"/>
    <col min="106" max="106" width="12.5703125" style="558" customWidth="1"/>
    <col min="107" max="107" width="12" style="558" customWidth="1"/>
    <col min="108" max="109" width="9.5703125" style="558" customWidth="1"/>
    <col min="110" max="110" width="9.42578125" style="558" customWidth="1"/>
    <col min="111" max="111" width="9.140625" style="558"/>
    <col min="112" max="112" width="10.5703125" style="558" customWidth="1"/>
    <col min="113" max="113" width="10.140625" style="558" customWidth="1"/>
    <col min="114" max="114" width="9.85546875" style="696" customWidth="1"/>
    <col min="115" max="115" width="10.42578125" style="558" customWidth="1"/>
    <col min="116" max="116" width="9.85546875" style="696" customWidth="1"/>
    <col min="117" max="117" width="10.5703125" style="558" customWidth="1"/>
    <col min="118" max="119" width="9.42578125" style="558" bestFit="1" customWidth="1"/>
    <col min="120" max="120" width="9.5703125" style="566" bestFit="1" customWidth="1"/>
    <col min="121" max="121" width="10.140625" style="566" bestFit="1" customWidth="1"/>
    <col min="122" max="122" width="9.5703125" style="566" bestFit="1" customWidth="1"/>
    <col min="123" max="124" width="10.85546875" style="558" customWidth="1"/>
    <col min="125" max="125" width="10.42578125" style="558" customWidth="1"/>
    <col min="126" max="128" width="10.85546875" style="558" customWidth="1"/>
    <col min="129" max="129" width="9.42578125" style="558" bestFit="1" customWidth="1"/>
    <col min="130" max="130" width="9.5703125" style="558" bestFit="1" customWidth="1"/>
    <col min="131" max="131" width="9.140625" style="558"/>
    <col min="132" max="132" width="9.42578125" style="558" bestFit="1" customWidth="1"/>
    <col min="133" max="133" width="9.140625" style="558"/>
    <col min="134" max="134" width="11.5703125" style="558" bestFit="1" customWidth="1"/>
    <col min="135" max="135" width="9.140625" style="558"/>
    <col min="136" max="136" width="10.42578125" style="558" customWidth="1"/>
    <col min="137" max="138" width="9.140625" style="558"/>
    <col min="139" max="140" width="12.5703125" style="558" customWidth="1"/>
    <col min="141" max="142" width="9.140625" style="558"/>
    <col min="143" max="143" width="10.42578125" style="558" bestFit="1" customWidth="1"/>
    <col min="144" max="149" width="9.42578125" style="558" bestFit="1" customWidth="1"/>
    <col min="150" max="159" width="9.140625" style="558"/>
    <col min="160" max="162" width="9.42578125" style="590" bestFit="1" customWidth="1"/>
    <col min="163" max="164" width="9.140625" style="590"/>
    <col min="165" max="165" width="9.42578125" style="590" bestFit="1" customWidth="1"/>
    <col min="166" max="166" width="9.5703125" style="590" bestFit="1" customWidth="1"/>
    <col min="167" max="170" width="9.140625" style="558"/>
    <col min="171" max="171" width="9" style="558" customWidth="1"/>
    <col min="172" max="173" width="9.42578125" style="558" bestFit="1" customWidth="1"/>
    <col min="174" max="177" width="9.140625" style="558"/>
    <col min="178" max="178" width="9.85546875" style="696" bestFit="1" customWidth="1"/>
    <col min="179" max="179" width="11" style="696" bestFit="1" customWidth="1"/>
    <col min="180" max="184" width="9.140625" style="558"/>
    <col min="185" max="185" width="10.42578125" style="558" bestFit="1" customWidth="1"/>
    <col min="186" max="186" width="9.85546875" style="696" bestFit="1" customWidth="1"/>
    <col min="187" max="187" width="9.42578125" style="558" bestFit="1" customWidth="1"/>
    <col min="188" max="188" width="9.85546875" style="696" bestFit="1" customWidth="1"/>
    <col min="189" max="189" width="9.42578125" style="558" bestFit="1" customWidth="1"/>
    <col min="190" max="190" width="11" style="558" bestFit="1" customWidth="1"/>
    <col min="191" max="191" width="9.140625" style="565"/>
    <col min="192" max="192" width="9.42578125" style="558" bestFit="1" customWidth="1"/>
    <col min="193" max="193" width="11.42578125" style="558" customWidth="1"/>
    <col min="194" max="199" width="9.42578125" style="558" bestFit="1" customWidth="1"/>
    <col min="200" max="200" width="11.42578125" style="558" customWidth="1"/>
    <col min="201" max="206" width="9.42578125" style="558" bestFit="1" customWidth="1"/>
    <col min="207" max="207" width="9.140625" style="558"/>
    <col min="208" max="213" width="9.42578125" style="558" bestFit="1" customWidth="1"/>
    <col min="214" max="214" width="9.140625" style="558"/>
    <col min="215" max="220" width="9.42578125" style="558" bestFit="1" customWidth="1"/>
    <col min="221" max="16384" width="9.140625" style="558"/>
  </cols>
  <sheetData>
    <row r="1" spans="1:221" s="529" customFormat="1">
      <c r="A1" s="529">
        <v>2014</v>
      </c>
      <c r="H1" s="894"/>
      <c r="K1" s="900"/>
      <c r="N1" s="906"/>
      <c r="Q1" s="893"/>
      <c r="S1" s="893"/>
      <c r="T1" s="893"/>
      <c r="U1" s="893"/>
      <c r="V1" s="893"/>
      <c r="W1" s="893"/>
      <c r="X1" s="893"/>
      <c r="Y1" s="893"/>
      <c r="Z1" s="893"/>
      <c r="AA1" s="893"/>
      <c r="AB1" s="893"/>
      <c r="AT1" s="691"/>
      <c r="AW1" s="691"/>
      <c r="AX1" s="691"/>
      <c r="AY1" s="691"/>
      <c r="AZ1" s="691"/>
      <c r="BA1" s="691"/>
      <c r="BE1" s="529" t="s">
        <v>257</v>
      </c>
      <c r="BF1" s="529" t="s">
        <v>257</v>
      </c>
      <c r="BG1" s="529" t="s">
        <v>257</v>
      </c>
      <c r="BH1" s="529" t="s">
        <v>257</v>
      </c>
      <c r="BI1" s="529" t="s">
        <v>257</v>
      </c>
      <c r="BJ1" s="529" t="s">
        <v>257</v>
      </c>
      <c r="BK1" s="529" t="s">
        <v>257</v>
      </c>
      <c r="BL1" s="529" t="s">
        <v>257</v>
      </c>
      <c r="BM1" s="529" t="s">
        <v>257</v>
      </c>
      <c r="BN1" s="529" t="s">
        <v>257</v>
      </c>
      <c r="BO1" s="529" t="s">
        <v>257</v>
      </c>
      <c r="BP1" s="529" t="s">
        <v>257</v>
      </c>
      <c r="BQ1" s="529" t="s">
        <v>257</v>
      </c>
      <c r="BR1" s="529" t="s">
        <v>257</v>
      </c>
      <c r="BU1" s="529" t="s">
        <v>257</v>
      </c>
      <c r="BW1" s="529" t="s">
        <v>257</v>
      </c>
      <c r="BX1" s="529" t="s">
        <v>258</v>
      </c>
      <c r="BY1" s="529" t="s">
        <v>258</v>
      </c>
      <c r="BZ1" s="529" t="s">
        <v>258</v>
      </c>
      <c r="CA1" s="529" t="s">
        <v>258</v>
      </c>
      <c r="CB1" s="529" t="s">
        <v>258</v>
      </c>
      <c r="CC1" s="529" t="s">
        <v>258</v>
      </c>
      <c r="CD1" s="529" t="s">
        <v>258</v>
      </c>
      <c r="CE1" s="529" t="s">
        <v>258</v>
      </c>
      <c r="CF1" s="529" t="s">
        <v>258</v>
      </c>
      <c r="CG1" s="529" t="s">
        <v>258</v>
      </c>
      <c r="CH1" s="529" t="s">
        <v>258</v>
      </c>
      <c r="CI1" s="529" t="s">
        <v>258</v>
      </c>
      <c r="CJ1" s="529" t="s">
        <v>258</v>
      </c>
      <c r="CK1" s="529" t="s">
        <v>258</v>
      </c>
      <c r="CL1" s="529" t="s">
        <v>258</v>
      </c>
      <c r="CM1" s="529" t="s">
        <v>258</v>
      </c>
      <c r="CP1" s="529" t="s">
        <v>258</v>
      </c>
      <c r="CR1" s="529" t="s">
        <v>258</v>
      </c>
      <c r="CS1" s="529" t="s">
        <v>259</v>
      </c>
      <c r="CT1" s="529" t="s">
        <v>259</v>
      </c>
      <c r="CU1" s="529" t="s">
        <v>259</v>
      </c>
      <c r="CV1" s="529" t="s">
        <v>259</v>
      </c>
      <c r="CW1" s="529" t="s">
        <v>259</v>
      </c>
      <c r="CX1" s="529" t="s">
        <v>259</v>
      </c>
      <c r="CY1" s="529" t="s">
        <v>259</v>
      </c>
      <c r="CZ1" s="529" t="s">
        <v>259</v>
      </c>
      <c r="DA1" s="529" t="s">
        <v>259</v>
      </c>
      <c r="DB1" s="529" t="s">
        <v>259</v>
      </c>
      <c r="DC1" s="529" t="s">
        <v>259</v>
      </c>
      <c r="DD1" s="529" t="s">
        <v>259</v>
      </c>
      <c r="DE1" s="529" t="s">
        <v>259</v>
      </c>
      <c r="DF1" s="529" t="s">
        <v>259</v>
      </c>
      <c r="DH1" s="529" t="s">
        <v>259</v>
      </c>
      <c r="DI1" s="529" t="s">
        <v>259</v>
      </c>
      <c r="DJ1" s="691" t="s">
        <v>259</v>
      </c>
      <c r="DK1" s="529" t="s">
        <v>259</v>
      </c>
      <c r="DL1" s="691"/>
      <c r="DP1" s="544"/>
      <c r="DQ1" s="544"/>
      <c r="DR1" s="544"/>
      <c r="EH1" s="529" t="s">
        <v>160</v>
      </c>
      <c r="EI1" s="529" t="s">
        <v>160</v>
      </c>
      <c r="EJ1" s="529" t="s">
        <v>160</v>
      </c>
      <c r="EN1" s="529" t="s">
        <v>670</v>
      </c>
      <c r="EO1" s="529" t="s">
        <v>670</v>
      </c>
      <c r="EP1" s="529" t="s">
        <v>160</v>
      </c>
      <c r="EQ1" s="529" t="s">
        <v>160</v>
      </c>
      <c r="ER1" s="529" t="s">
        <v>160</v>
      </c>
      <c r="ES1" s="529" t="s">
        <v>160</v>
      </c>
      <c r="FD1" s="590"/>
      <c r="FE1" s="590"/>
      <c r="FF1" s="590"/>
      <c r="FG1" s="590"/>
      <c r="FH1" s="590"/>
      <c r="FI1" s="590"/>
      <c r="FJ1" s="590"/>
      <c r="FO1" s="529" t="s">
        <v>160</v>
      </c>
      <c r="FP1" s="529" t="s">
        <v>160</v>
      </c>
      <c r="FQ1" s="529" t="s">
        <v>160</v>
      </c>
      <c r="FV1" s="691" t="s">
        <v>671</v>
      </c>
      <c r="FW1" s="691"/>
      <c r="GC1" s="529" t="s">
        <v>671</v>
      </c>
      <c r="GD1" s="691" t="s">
        <v>671</v>
      </c>
      <c r="GE1" s="529" t="s">
        <v>671</v>
      </c>
      <c r="GF1" s="691" t="s">
        <v>671</v>
      </c>
      <c r="GG1" s="529" t="s">
        <v>671</v>
      </c>
      <c r="GH1" s="529" t="s">
        <v>671</v>
      </c>
      <c r="GJ1" s="529" t="s">
        <v>669</v>
      </c>
    </row>
    <row r="2" spans="1:221" s="529" customFormat="1">
      <c r="B2" s="529">
        <v>1</v>
      </c>
      <c r="C2" s="529">
        <v>2</v>
      </c>
      <c r="D2" s="529">
        <v>3</v>
      </c>
      <c r="E2" s="529">
        <v>4</v>
      </c>
      <c r="F2" s="529">
        <v>5</v>
      </c>
      <c r="G2" s="529">
        <v>6</v>
      </c>
      <c r="H2" s="894">
        <v>7</v>
      </c>
      <c r="I2" s="529">
        <v>8</v>
      </c>
      <c r="J2" s="529">
        <v>9</v>
      </c>
      <c r="K2" s="900">
        <v>10</v>
      </c>
      <c r="L2" s="529">
        <v>11</v>
      </c>
      <c r="M2" s="529">
        <v>12</v>
      </c>
      <c r="N2" s="906">
        <v>13</v>
      </c>
      <c r="O2" s="529">
        <v>14</v>
      </c>
      <c r="P2" s="529">
        <v>15</v>
      </c>
      <c r="Q2" s="893">
        <v>16</v>
      </c>
      <c r="R2" s="529">
        <v>17</v>
      </c>
      <c r="S2" s="893"/>
      <c r="T2" s="893"/>
      <c r="U2" s="893"/>
      <c r="V2" s="893"/>
      <c r="W2" s="893"/>
      <c r="X2" s="893"/>
      <c r="Y2" s="893"/>
      <c r="Z2" s="893"/>
      <c r="AA2" s="893"/>
      <c r="AB2" s="893"/>
      <c r="AC2" s="529">
        <v>18</v>
      </c>
      <c r="AD2" s="529">
        <v>19</v>
      </c>
      <c r="AE2" s="529">
        <v>20</v>
      </c>
      <c r="AF2" s="529">
        <v>21</v>
      </c>
      <c r="AG2" s="529">
        <v>22</v>
      </c>
      <c r="AH2" s="529">
        <v>23</v>
      </c>
      <c r="AI2" s="529">
        <v>24</v>
      </c>
      <c r="AJ2" s="529">
        <v>25</v>
      </c>
      <c r="AK2" s="529">
        <v>26</v>
      </c>
      <c r="AL2" s="529">
        <v>27</v>
      </c>
      <c r="AM2" s="529">
        <v>28</v>
      </c>
      <c r="AN2" s="529">
        <v>29</v>
      </c>
      <c r="AO2" s="529">
        <v>30</v>
      </c>
      <c r="AP2" s="529">
        <v>31</v>
      </c>
      <c r="AQ2" s="529">
        <v>32</v>
      </c>
      <c r="AR2" s="529">
        <v>33</v>
      </c>
      <c r="AS2" s="529">
        <v>34</v>
      </c>
      <c r="AT2" s="691">
        <v>35</v>
      </c>
      <c r="AU2" s="529">
        <v>36</v>
      </c>
      <c r="AV2" s="529">
        <v>37</v>
      </c>
      <c r="AW2" s="691">
        <v>38</v>
      </c>
      <c r="AX2" s="691">
        <v>39</v>
      </c>
      <c r="AY2" s="691">
        <v>40</v>
      </c>
      <c r="AZ2" s="691">
        <v>41</v>
      </c>
      <c r="BA2" s="691">
        <v>42</v>
      </c>
      <c r="BB2" s="529">
        <v>43</v>
      </c>
      <c r="BC2" s="529">
        <v>44</v>
      </c>
      <c r="BD2" s="529">
        <v>45</v>
      </c>
      <c r="BE2" s="529">
        <v>46</v>
      </c>
      <c r="BF2" s="529">
        <v>47</v>
      </c>
      <c r="BG2" s="529">
        <v>48</v>
      </c>
      <c r="BH2" s="529">
        <v>49</v>
      </c>
      <c r="BI2" s="529">
        <v>50</v>
      </c>
      <c r="BJ2" s="529">
        <v>51</v>
      </c>
      <c r="BK2" s="529">
        <v>52</v>
      </c>
      <c r="BL2" s="529">
        <v>53</v>
      </c>
      <c r="BM2" s="529">
        <v>54</v>
      </c>
      <c r="BN2" s="529">
        <v>55</v>
      </c>
      <c r="BO2" s="529">
        <v>56</v>
      </c>
      <c r="BP2" s="529">
        <v>57</v>
      </c>
      <c r="BQ2" s="529">
        <v>58</v>
      </c>
      <c r="BR2" s="529">
        <v>59</v>
      </c>
      <c r="BS2" s="529">
        <v>60</v>
      </c>
      <c r="BT2" s="529">
        <v>61</v>
      </c>
      <c r="BU2" s="529">
        <v>62</v>
      </c>
      <c r="BV2" s="529">
        <v>63</v>
      </c>
      <c r="BW2" s="529">
        <v>64</v>
      </c>
      <c r="BX2" s="529">
        <v>65</v>
      </c>
      <c r="BY2" s="529">
        <v>66</v>
      </c>
      <c r="BZ2" s="529">
        <v>67</v>
      </c>
      <c r="CA2" s="529">
        <v>68</v>
      </c>
      <c r="CB2" s="529">
        <v>69</v>
      </c>
      <c r="CC2" s="529">
        <v>70</v>
      </c>
      <c r="CD2" s="529">
        <v>71</v>
      </c>
      <c r="CE2" s="529">
        <v>72</v>
      </c>
      <c r="CF2" s="529">
        <v>73</v>
      </c>
      <c r="CG2" s="529">
        <v>74</v>
      </c>
      <c r="CH2" s="529">
        <v>75</v>
      </c>
      <c r="CI2" s="529">
        <v>76</v>
      </c>
      <c r="CJ2" s="529">
        <v>77</v>
      </c>
      <c r="CK2" s="529">
        <v>78</v>
      </c>
      <c r="CL2" s="529">
        <v>79</v>
      </c>
      <c r="CM2" s="529">
        <v>80</v>
      </c>
      <c r="CN2" s="529">
        <v>81</v>
      </c>
      <c r="CO2" s="529">
        <v>82</v>
      </c>
      <c r="CP2" s="529">
        <v>83</v>
      </c>
      <c r="CQ2" s="529">
        <v>84</v>
      </c>
      <c r="CR2" s="529">
        <v>85</v>
      </c>
      <c r="CS2" s="529">
        <v>86</v>
      </c>
      <c r="CT2" s="529">
        <v>87</v>
      </c>
      <c r="CU2" s="529">
        <v>88</v>
      </c>
      <c r="CV2" s="529">
        <v>89</v>
      </c>
      <c r="CW2" s="529">
        <v>90</v>
      </c>
      <c r="CX2" s="529">
        <v>91</v>
      </c>
      <c r="CY2" s="529">
        <v>92</v>
      </c>
      <c r="CZ2" s="529">
        <v>93</v>
      </c>
      <c r="DA2" s="529">
        <v>94</v>
      </c>
      <c r="DB2" s="529">
        <v>95</v>
      </c>
      <c r="DC2" s="529">
        <v>96</v>
      </c>
      <c r="DD2" s="529">
        <v>97</v>
      </c>
      <c r="DE2" s="529">
        <v>98</v>
      </c>
      <c r="DF2" s="529">
        <v>99</v>
      </c>
      <c r="DG2" s="529">
        <v>100</v>
      </c>
      <c r="DH2" s="529">
        <v>101</v>
      </c>
      <c r="DI2" s="529">
        <v>102</v>
      </c>
      <c r="DJ2" s="691">
        <v>103</v>
      </c>
      <c r="DK2" s="529">
        <v>104</v>
      </c>
      <c r="DL2" s="691">
        <v>105</v>
      </c>
      <c r="DM2" s="529">
        <v>106</v>
      </c>
      <c r="DN2" s="529">
        <v>107</v>
      </c>
      <c r="DO2" s="529">
        <v>108</v>
      </c>
      <c r="DP2" s="529">
        <v>109</v>
      </c>
      <c r="DQ2" s="529">
        <v>110</v>
      </c>
      <c r="DR2" s="529">
        <v>111</v>
      </c>
      <c r="DS2" s="529">
        <v>112</v>
      </c>
      <c r="DT2" s="529">
        <v>113</v>
      </c>
      <c r="DU2" s="529">
        <v>114</v>
      </c>
      <c r="DV2" s="529">
        <v>115</v>
      </c>
      <c r="DW2" s="529">
        <v>116</v>
      </c>
      <c r="DX2" s="529">
        <v>117</v>
      </c>
      <c r="DY2" s="529">
        <v>118</v>
      </c>
      <c r="DZ2" s="529">
        <v>119</v>
      </c>
      <c r="EA2" s="529">
        <v>120</v>
      </c>
      <c r="EB2" s="529">
        <v>121</v>
      </c>
      <c r="EC2" s="529">
        <v>122</v>
      </c>
      <c r="ED2" s="529">
        <v>123</v>
      </c>
      <c r="EE2" s="529">
        <v>124</v>
      </c>
      <c r="EF2" s="529">
        <v>125</v>
      </c>
      <c r="EG2" s="529">
        <v>126</v>
      </c>
      <c r="EH2" s="529">
        <v>127</v>
      </c>
      <c r="EI2" s="529">
        <v>128</v>
      </c>
      <c r="EJ2" s="529">
        <v>129</v>
      </c>
      <c r="EK2" s="529">
        <v>130</v>
      </c>
      <c r="EL2" s="529">
        <v>131</v>
      </c>
      <c r="EM2" s="529">
        <v>132</v>
      </c>
      <c r="EN2" s="529">
        <v>133</v>
      </c>
      <c r="EO2" s="529">
        <v>134</v>
      </c>
      <c r="EP2" s="529">
        <v>135</v>
      </c>
      <c r="EQ2" s="529">
        <v>136</v>
      </c>
      <c r="ER2" s="529">
        <v>137</v>
      </c>
      <c r="ES2" s="529">
        <v>138</v>
      </c>
      <c r="ET2" s="529">
        <v>139</v>
      </c>
      <c r="EU2" s="529">
        <v>140</v>
      </c>
      <c r="EV2" s="529">
        <v>141</v>
      </c>
      <c r="EW2" s="529">
        <v>142</v>
      </c>
      <c r="EX2" s="529">
        <v>143</v>
      </c>
      <c r="EY2" s="529">
        <v>144</v>
      </c>
      <c r="EZ2" s="529">
        <v>145</v>
      </c>
      <c r="FA2" s="529">
        <v>146</v>
      </c>
      <c r="FB2" s="529">
        <v>147</v>
      </c>
      <c r="FC2" s="529">
        <v>148</v>
      </c>
      <c r="FD2" s="590">
        <v>149</v>
      </c>
      <c r="FE2" s="590">
        <v>150</v>
      </c>
      <c r="FF2" s="590">
        <v>151</v>
      </c>
      <c r="FG2" s="590">
        <v>152</v>
      </c>
      <c r="FH2" s="590">
        <v>153</v>
      </c>
      <c r="FI2" s="590">
        <v>154</v>
      </c>
      <c r="FJ2" s="590">
        <v>155</v>
      </c>
      <c r="FK2" s="529">
        <v>156</v>
      </c>
      <c r="FL2" s="529">
        <v>157</v>
      </c>
      <c r="FM2" s="529">
        <v>158</v>
      </c>
      <c r="FN2" s="529">
        <v>159</v>
      </c>
      <c r="FO2" s="529">
        <v>160</v>
      </c>
      <c r="FP2" s="529">
        <v>161</v>
      </c>
      <c r="FQ2" s="529">
        <v>162</v>
      </c>
      <c r="FR2" s="529">
        <v>163</v>
      </c>
      <c r="FS2" s="529">
        <v>164</v>
      </c>
      <c r="FT2" s="529">
        <v>165</v>
      </c>
      <c r="FU2" s="529">
        <v>166</v>
      </c>
      <c r="FV2" s="691">
        <v>180</v>
      </c>
      <c r="FW2" s="691">
        <v>168</v>
      </c>
      <c r="FX2" s="529">
        <v>169</v>
      </c>
      <c r="FY2" s="529">
        <v>170</v>
      </c>
      <c r="FZ2" s="529">
        <v>171</v>
      </c>
      <c r="GA2" s="529">
        <v>172</v>
      </c>
      <c r="GB2" s="529">
        <v>173</v>
      </c>
      <c r="GC2" s="529">
        <v>174</v>
      </c>
      <c r="GD2" s="691">
        <v>175</v>
      </c>
      <c r="GE2" s="529">
        <v>176</v>
      </c>
      <c r="GF2" s="691">
        <v>177</v>
      </c>
      <c r="GG2" s="529">
        <v>178</v>
      </c>
      <c r="GH2" s="529">
        <v>179</v>
      </c>
      <c r="GJ2" s="529">
        <v>181</v>
      </c>
      <c r="GK2" s="529">
        <v>182</v>
      </c>
      <c r="GL2" s="529">
        <v>183</v>
      </c>
      <c r="GM2" s="529">
        <v>184</v>
      </c>
      <c r="GN2" s="529">
        <v>185</v>
      </c>
      <c r="GO2" s="529">
        <v>186</v>
      </c>
      <c r="GP2" s="529">
        <v>187</v>
      </c>
      <c r="GQ2" s="529">
        <v>188</v>
      </c>
      <c r="GR2" s="529">
        <v>189</v>
      </c>
      <c r="GS2" s="529">
        <v>190</v>
      </c>
      <c r="GT2" s="529">
        <v>191</v>
      </c>
      <c r="GU2" s="529">
        <v>192</v>
      </c>
      <c r="GV2" s="529">
        <v>193</v>
      </c>
      <c r="GW2" s="529">
        <v>194</v>
      </c>
      <c r="GX2" s="529">
        <v>195</v>
      </c>
      <c r="GY2" s="529">
        <v>196</v>
      </c>
      <c r="GZ2" s="529">
        <v>197</v>
      </c>
      <c r="HA2" s="529">
        <v>198</v>
      </c>
      <c r="HB2" s="529">
        <v>199</v>
      </c>
      <c r="HC2" s="529">
        <v>200</v>
      </c>
      <c r="HD2" s="529">
        <v>201</v>
      </c>
      <c r="HE2" s="529">
        <v>202</v>
      </c>
      <c r="HF2" s="529">
        <v>203</v>
      </c>
      <c r="HG2" s="529">
        <v>204</v>
      </c>
      <c r="HH2" s="529">
        <v>205</v>
      </c>
      <c r="HI2" s="529">
        <v>206</v>
      </c>
      <c r="HJ2" s="529">
        <v>207</v>
      </c>
      <c r="HK2" s="529">
        <v>208</v>
      </c>
      <c r="HL2" s="529">
        <v>209</v>
      </c>
      <c r="HM2" s="529">
        <v>210</v>
      </c>
    </row>
    <row r="3" spans="1:221" s="529" customFormat="1">
      <c r="H3" s="894"/>
      <c r="K3" s="900"/>
      <c r="N3" s="906"/>
      <c r="Q3" s="893"/>
      <c r="S3" s="894">
        <v>18</v>
      </c>
      <c r="T3" s="894">
        <v>19</v>
      </c>
      <c r="U3" s="894">
        <v>20</v>
      </c>
      <c r="V3" s="894">
        <v>21</v>
      </c>
      <c r="W3" s="894">
        <v>22</v>
      </c>
      <c r="X3" s="894">
        <v>23</v>
      </c>
      <c r="Y3" s="894">
        <v>24</v>
      </c>
      <c r="Z3" s="894">
        <v>25</v>
      </c>
      <c r="AA3" s="894">
        <v>26</v>
      </c>
      <c r="AB3" s="894">
        <v>27</v>
      </c>
      <c r="AC3" s="826">
        <v>28</v>
      </c>
      <c r="AD3" s="826">
        <v>29</v>
      </c>
      <c r="AE3" s="826">
        <v>30</v>
      </c>
      <c r="AF3" s="826">
        <v>31</v>
      </c>
      <c r="AG3" s="826">
        <v>32</v>
      </c>
      <c r="AH3" s="826">
        <v>33</v>
      </c>
      <c r="AI3" s="826">
        <v>34</v>
      </c>
      <c r="AJ3" s="826">
        <v>35</v>
      </c>
      <c r="AK3" s="826">
        <v>36</v>
      </c>
      <c r="AL3" s="826">
        <v>37</v>
      </c>
      <c r="AM3" s="826">
        <v>38</v>
      </c>
      <c r="AN3" s="826">
        <v>39</v>
      </c>
      <c r="AO3" s="826">
        <v>40</v>
      </c>
      <c r="AP3" s="826">
        <v>41</v>
      </c>
      <c r="AQ3" s="826">
        <v>42</v>
      </c>
      <c r="AR3" s="826">
        <v>43</v>
      </c>
      <c r="AS3" s="826">
        <v>44</v>
      </c>
      <c r="AT3" s="850">
        <v>45</v>
      </c>
      <c r="AU3" s="826">
        <v>46</v>
      </c>
      <c r="AV3" s="826">
        <v>47</v>
      </c>
      <c r="AW3" s="850">
        <v>48</v>
      </c>
      <c r="AX3" s="850">
        <v>49</v>
      </c>
      <c r="AY3" s="850">
        <v>50</v>
      </c>
      <c r="AZ3" s="850">
        <v>51</v>
      </c>
      <c r="BA3" s="850">
        <v>52</v>
      </c>
      <c r="BB3" s="826">
        <v>53</v>
      </c>
      <c r="BC3" s="826">
        <v>54</v>
      </c>
      <c r="BD3" s="826">
        <v>55</v>
      </c>
      <c r="BE3" s="826">
        <v>56</v>
      </c>
      <c r="BF3" s="826">
        <v>57</v>
      </c>
      <c r="BG3" s="826">
        <v>58</v>
      </c>
      <c r="BH3" s="826">
        <v>59</v>
      </c>
      <c r="BI3" s="826">
        <v>60</v>
      </c>
      <c r="BJ3" s="826">
        <v>61</v>
      </c>
      <c r="BK3" s="826">
        <v>62</v>
      </c>
      <c r="BL3" s="826">
        <v>63</v>
      </c>
      <c r="BM3" s="826">
        <v>64</v>
      </c>
      <c r="BN3" s="826">
        <v>65</v>
      </c>
      <c r="BO3" s="851">
        <v>66</v>
      </c>
      <c r="BP3" s="826">
        <v>67</v>
      </c>
      <c r="BQ3" s="826">
        <v>68</v>
      </c>
      <c r="BR3" s="826">
        <v>69</v>
      </c>
      <c r="BS3" s="826">
        <v>70</v>
      </c>
      <c r="BT3" s="826">
        <v>71</v>
      </c>
      <c r="BU3" s="826">
        <v>72</v>
      </c>
      <c r="BV3" s="826">
        <v>73</v>
      </c>
      <c r="BW3" s="826">
        <v>74</v>
      </c>
      <c r="BX3" s="826">
        <v>75</v>
      </c>
      <c r="BY3" s="826">
        <v>76</v>
      </c>
      <c r="BZ3" s="826">
        <v>77</v>
      </c>
      <c r="CA3" s="826">
        <v>78</v>
      </c>
      <c r="CB3" s="826">
        <v>79</v>
      </c>
      <c r="CC3" s="826">
        <v>80</v>
      </c>
      <c r="CD3" s="826">
        <v>81</v>
      </c>
      <c r="CE3" s="826">
        <v>82</v>
      </c>
      <c r="CF3" s="826">
        <v>83</v>
      </c>
      <c r="CG3" s="826">
        <v>84</v>
      </c>
      <c r="CH3" s="826">
        <v>85</v>
      </c>
      <c r="CI3" s="826">
        <v>86</v>
      </c>
      <c r="CJ3" s="826">
        <v>87</v>
      </c>
      <c r="CK3" s="826">
        <v>88</v>
      </c>
      <c r="CL3" s="826">
        <v>89</v>
      </c>
      <c r="CM3" s="826">
        <v>90</v>
      </c>
      <c r="CN3" s="826">
        <v>91</v>
      </c>
      <c r="CO3" s="826">
        <v>92</v>
      </c>
      <c r="CP3" s="826">
        <v>93</v>
      </c>
      <c r="CQ3" s="826">
        <v>94</v>
      </c>
      <c r="CR3" s="826">
        <v>95</v>
      </c>
      <c r="CS3" s="826">
        <v>96</v>
      </c>
      <c r="CT3" s="826">
        <v>97</v>
      </c>
      <c r="CU3" s="826">
        <v>98</v>
      </c>
      <c r="CV3" s="826">
        <v>99</v>
      </c>
      <c r="CW3" s="826">
        <v>100</v>
      </c>
      <c r="CX3" s="826">
        <v>101</v>
      </c>
      <c r="CY3" s="826">
        <v>102</v>
      </c>
      <c r="CZ3" s="826">
        <v>103</v>
      </c>
      <c r="DA3" s="826">
        <v>104</v>
      </c>
      <c r="DB3" s="826">
        <v>105</v>
      </c>
      <c r="DC3" s="826">
        <v>106</v>
      </c>
      <c r="DD3" s="826">
        <v>107</v>
      </c>
      <c r="DE3" s="826">
        <v>108</v>
      </c>
      <c r="DF3" s="826">
        <v>109</v>
      </c>
      <c r="DG3" s="826">
        <v>110</v>
      </c>
      <c r="DH3" s="826">
        <v>111</v>
      </c>
      <c r="DI3" s="826">
        <v>112</v>
      </c>
      <c r="DJ3" s="850">
        <v>113</v>
      </c>
      <c r="DK3" s="826">
        <v>114</v>
      </c>
      <c r="DL3" s="850">
        <v>115</v>
      </c>
      <c r="DM3" s="826">
        <v>116</v>
      </c>
      <c r="DN3" s="826">
        <v>117</v>
      </c>
      <c r="DO3" s="826">
        <v>118</v>
      </c>
      <c r="DP3" s="851">
        <v>119</v>
      </c>
      <c r="DQ3" s="851">
        <v>120</v>
      </c>
      <c r="DR3" s="851">
        <v>121</v>
      </c>
      <c r="DS3" s="826">
        <v>122</v>
      </c>
      <c r="DT3" s="826">
        <v>123</v>
      </c>
      <c r="DU3" s="826">
        <v>124</v>
      </c>
      <c r="DV3" s="826">
        <v>125</v>
      </c>
      <c r="DW3" s="826">
        <v>126</v>
      </c>
      <c r="DX3" s="826">
        <v>127</v>
      </c>
      <c r="DY3" s="826">
        <v>128</v>
      </c>
      <c r="DZ3" s="826">
        <v>129</v>
      </c>
      <c r="EA3" s="826">
        <v>130</v>
      </c>
      <c r="EB3" s="826">
        <v>131</v>
      </c>
      <c r="EC3" s="826">
        <v>132</v>
      </c>
      <c r="ED3" s="826">
        <v>133</v>
      </c>
      <c r="EE3" s="826">
        <v>134</v>
      </c>
      <c r="EF3" s="826">
        <v>135</v>
      </c>
      <c r="EG3" s="826">
        <v>136</v>
      </c>
      <c r="EH3" s="826">
        <v>137</v>
      </c>
      <c r="EI3" s="826">
        <v>138</v>
      </c>
      <c r="EJ3" s="826">
        <v>139</v>
      </c>
      <c r="EK3" s="826">
        <v>140</v>
      </c>
      <c r="EL3" s="826">
        <v>141</v>
      </c>
      <c r="EM3" s="826">
        <v>142</v>
      </c>
      <c r="EN3" s="826">
        <v>143</v>
      </c>
      <c r="EO3" s="826">
        <v>144</v>
      </c>
      <c r="EP3" s="826">
        <v>145</v>
      </c>
      <c r="EQ3" s="826">
        <v>146</v>
      </c>
      <c r="ER3" s="826">
        <v>147</v>
      </c>
      <c r="ES3" s="826">
        <v>148</v>
      </c>
      <c r="ET3" s="826">
        <v>149</v>
      </c>
      <c r="EU3" s="826">
        <v>150</v>
      </c>
      <c r="EV3" s="826">
        <v>151</v>
      </c>
      <c r="EW3" s="826">
        <v>152</v>
      </c>
      <c r="EX3" s="826">
        <v>153</v>
      </c>
      <c r="EY3" s="826">
        <v>154</v>
      </c>
      <c r="EZ3" s="826">
        <v>155</v>
      </c>
      <c r="FA3" s="826">
        <v>156</v>
      </c>
      <c r="FB3" s="826">
        <v>157</v>
      </c>
      <c r="FC3" s="826">
        <v>158</v>
      </c>
      <c r="FD3" s="852">
        <v>159</v>
      </c>
      <c r="FE3" s="852">
        <v>160</v>
      </c>
      <c r="FF3" s="852">
        <v>161</v>
      </c>
      <c r="FG3" s="852">
        <v>162</v>
      </c>
      <c r="FH3" s="852">
        <v>163</v>
      </c>
      <c r="FI3" s="852">
        <v>164</v>
      </c>
      <c r="FJ3" s="852">
        <v>165</v>
      </c>
      <c r="FK3" s="826">
        <v>166</v>
      </c>
      <c r="FL3" s="826">
        <v>167</v>
      </c>
      <c r="FM3" s="826">
        <v>168</v>
      </c>
      <c r="FN3" s="826">
        <v>169</v>
      </c>
      <c r="FO3" s="826">
        <v>170</v>
      </c>
      <c r="FP3" s="826">
        <v>171</v>
      </c>
      <c r="FQ3" s="826">
        <v>172</v>
      </c>
      <c r="FR3" s="826">
        <v>173</v>
      </c>
      <c r="FS3" s="826">
        <v>174</v>
      </c>
      <c r="FT3" s="826">
        <v>175</v>
      </c>
      <c r="FU3" s="826">
        <v>176</v>
      </c>
      <c r="FV3" s="850">
        <v>177</v>
      </c>
      <c r="FW3" s="850">
        <v>178</v>
      </c>
      <c r="FX3" s="826">
        <v>179</v>
      </c>
      <c r="FY3" s="826">
        <v>180</v>
      </c>
      <c r="FZ3" s="826">
        <v>181</v>
      </c>
      <c r="GA3" s="826">
        <v>182</v>
      </c>
      <c r="GB3" s="826">
        <v>183</v>
      </c>
      <c r="GC3" s="826">
        <v>184</v>
      </c>
      <c r="GD3" s="850">
        <v>185</v>
      </c>
      <c r="GE3" s="826">
        <v>186</v>
      </c>
      <c r="GF3" s="850">
        <v>187</v>
      </c>
      <c r="GG3" s="826">
        <v>188</v>
      </c>
      <c r="GH3" s="826">
        <v>189</v>
      </c>
      <c r="GI3" s="826">
        <v>190</v>
      </c>
      <c r="GJ3" s="826">
        <v>191</v>
      </c>
      <c r="GK3" s="826">
        <v>192</v>
      </c>
      <c r="GL3" s="826">
        <v>193</v>
      </c>
      <c r="GM3" s="826">
        <v>194</v>
      </c>
      <c r="GN3" s="826">
        <v>195</v>
      </c>
      <c r="GO3" s="826">
        <v>196</v>
      </c>
      <c r="GP3" s="826">
        <v>197</v>
      </c>
      <c r="GQ3" s="827">
        <v>198</v>
      </c>
      <c r="GR3" s="826">
        <v>199</v>
      </c>
      <c r="GS3" s="826">
        <v>200</v>
      </c>
      <c r="GT3" s="826">
        <v>201</v>
      </c>
      <c r="GU3" s="826">
        <v>202</v>
      </c>
      <c r="GV3" s="826">
        <v>203</v>
      </c>
      <c r="GW3" s="826">
        <v>204</v>
      </c>
      <c r="GX3" s="826">
        <v>205</v>
      </c>
      <c r="GY3" s="826">
        <v>206</v>
      </c>
      <c r="GZ3" s="826">
        <v>207</v>
      </c>
      <c r="HA3" s="826">
        <v>208</v>
      </c>
      <c r="HB3" s="826">
        <v>209</v>
      </c>
      <c r="HC3" s="826">
        <v>210</v>
      </c>
      <c r="HD3" s="826">
        <v>211</v>
      </c>
      <c r="HE3" s="826">
        <v>212</v>
      </c>
      <c r="HF3" s="826">
        <v>213</v>
      </c>
      <c r="HG3" s="826">
        <v>214</v>
      </c>
      <c r="HH3" s="826">
        <v>215</v>
      </c>
      <c r="HI3" s="826">
        <v>216</v>
      </c>
      <c r="HJ3" s="826">
        <v>217</v>
      </c>
      <c r="HK3" s="826">
        <v>218</v>
      </c>
      <c r="HL3" s="826">
        <v>219</v>
      </c>
      <c r="HM3" s="826">
        <v>220</v>
      </c>
    </row>
    <row r="4" spans="1:221" s="529" customFormat="1">
      <c r="A4" s="546" t="s">
        <v>527</v>
      </c>
      <c r="H4" s="894"/>
      <c r="K4" s="900"/>
      <c r="N4" s="906"/>
      <c r="Q4" s="893"/>
      <c r="S4" s="893"/>
      <c r="T4" s="893"/>
      <c r="U4" s="893"/>
      <c r="V4" s="893"/>
      <c r="W4" s="893"/>
      <c r="X4" s="893"/>
      <c r="Y4" s="893"/>
      <c r="Z4" s="893"/>
      <c r="AA4" s="893"/>
      <c r="AB4" s="893"/>
      <c r="AH4" s="529">
        <v>42</v>
      </c>
      <c r="AI4" s="529">
        <v>43</v>
      </c>
      <c r="AJ4" s="529">
        <v>44</v>
      </c>
      <c r="AK4" s="529">
        <v>45</v>
      </c>
      <c r="AN4" s="529">
        <v>50</v>
      </c>
      <c r="AO4" s="529">
        <v>48</v>
      </c>
      <c r="AT4" s="691"/>
      <c r="AU4" s="529">
        <v>68</v>
      </c>
      <c r="AV4" s="529">
        <v>70</v>
      </c>
      <c r="AW4" s="691">
        <v>14</v>
      </c>
      <c r="AX4" s="691">
        <v>15</v>
      </c>
      <c r="AY4" s="691">
        <v>16</v>
      </c>
      <c r="AZ4" s="691">
        <v>17</v>
      </c>
      <c r="BA4" s="691">
        <v>18</v>
      </c>
      <c r="BB4" s="529">
        <v>75</v>
      </c>
      <c r="BD4" s="529">
        <v>81</v>
      </c>
      <c r="DJ4" s="691"/>
      <c r="DL4" s="691"/>
      <c r="DP4" s="544"/>
      <c r="DQ4" s="544"/>
      <c r="DR4" s="544"/>
      <c r="DX4" s="529">
        <v>49</v>
      </c>
      <c r="FD4" s="590"/>
      <c r="FE4" s="590"/>
      <c r="FF4" s="590"/>
      <c r="FG4" s="590"/>
      <c r="FH4" s="590"/>
      <c r="FI4" s="590"/>
      <c r="FJ4" s="590"/>
      <c r="FV4" s="800">
        <v>41827</v>
      </c>
      <c r="FW4" s="800">
        <v>41934</v>
      </c>
      <c r="GB4" s="802" t="s">
        <v>752</v>
      </c>
      <c r="GC4" s="819">
        <v>41691</v>
      </c>
      <c r="GD4" s="800">
        <v>41807</v>
      </c>
      <c r="GF4" s="800">
        <v>41808</v>
      </c>
      <c r="GH4" s="1114">
        <v>41934</v>
      </c>
      <c r="GJ4" s="529">
        <v>46</v>
      </c>
      <c r="GK4" s="529">
        <v>47</v>
      </c>
      <c r="GL4" s="529">
        <v>71</v>
      </c>
      <c r="GM4" s="529">
        <v>72</v>
      </c>
      <c r="GN4" s="529">
        <v>73</v>
      </c>
      <c r="GO4" s="529">
        <v>74</v>
      </c>
      <c r="GP4" s="529">
        <v>76</v>
      </c>
      <c r="GQ4" s="529">
        <v>80</v>
      </c>
      <c r="GR4" s="529">
        <v>78</v>
      </c>
    </row>
    <row r="5" spans="1:221" s="529" customFormat="1">
      <c r="B5" s="1194"/>
      <c r="C5" s="1194"/>
      <c r="D5" s="547"/>
      <c r="E5" s="547"/>
      <c r="F5" s="547"/>
      <c r="G5" s="547"/>
      <c r="H5" s="911"/>
      <c r="I5" s="547"/>
      <c r="J5" s="547"/>
      <c r="K5" s="901"/>
      <c r="L5" s="547"/>
      <c r="M5" s="547"/>
      <c r="N5" s="907"/>
      <c r="O5" s="547"/>
      <c r="P5" s="547"/>
      <c r="Q5" s="1196" t="s">
        <v>739</v>
      </c>
      <c r="R5" s="547"/>
      <c r="S5" s="895"/>
      <c r="T5" s="895"/>
      <c r="U5" s="895"/>
      <c r="V5" s="895"/>
      <c r="W5" s="895"/>
      <c r="X5" s="895"/>
      <c r="Y5" s="895"/>
      <c r="Z5" s="895"/>
      <c r="AA5" s="895"/>
      <c r="AB5" s="895"/>
      <c r="AC5" s="547"/>
      <c r="AD5" s="547"/>
      <c r="AE5" s="547"/>
      <c r="AF5" s="547"/>
      <c r="AG5" s="547"/>
      <c r="AH5" s="547"/>
      <c r="AI5" s="547"/>
      <c r="AJ5" s="547"/>
      <c r="AK5" s="547"/>
      <c r="AL5" s="547"/>
      <c r="AM5" s="547"/>
      <c r="AN5" s="547"/>
      <c r="AO5" s="547"/>
      <c r="AP5" s="1199" t="s">
        <v>483</v>
      </c>
      <c r="AQ5" s="1199" t="s">
        <v>530</v>
      </c>
      <c r="AR5" s="1199" t="s">
        <v>484</v>
      </c>
      <c r="AS5" s="547"/>
      <c r="AT5" s="1204" t="s">
        <v>797</v>
      </c>
      <c r="AU5" s="547"/>
      <c r="AV5" s="547"/>
      <c r="AW5" s="692"/>
      <c r="AX5" s="692"/>
      <c r="AY5" s="692"/>
      <c r="AZ5" s="692"/>
      <c r="BA5" s="692"/>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692"/>
      <c r="DK5" s="547"/>
      <c r="DL5" s="692"/>
      <c r="DM5" s="547"/>
      <c r="DN5" s="547"/>
      <c r="DO5" s="547"/>
      <c r="DP5" s="548"/>
      <c r="DQ5" s="548"/>
      <c r="DR5" s="548"/>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91"/>
      <c r="FC5" s="547"/>
      <c r="FD5" s="591"/>
      <c r="FE5" s="591"/>
      <c r="FF5" s="591"/>
      <c r="FG5" s="591"/>
      <c r="FH5" s="591"/>
      <c r="FI5" s="591"/>
      <c r="FJ5" s="591"/>
      <c r="FK5" s="547"/>
      <c r="FL5" s="547"/>
      <c r="FM5" s="547"/>
      <c r="FN5" s="547"/>
      <c r="FO5" s="547"/>
      <c r="FP5" s="547"/>
      <c r="FQ5" s="547"/>
      <c r="FR5" s="547"/>
      <c r="FS5" s="547"/>
      <c r="FT5" s="547"/>
      <c r="FU5" s="547"/>
      <c r="FV5" s="692"/>
      <c r="FW5" s="692"/>
      <c r="FX5" s="547"/>
      <c r="FY5" s="547"/>
      <c r="FZ5" s="547"/>
      <c r="GA5" s="547"/>
      <c r="GB5" s="547"/>
      <c r="GC5" s="547"/>
      <c r="GD5" s="692"/>
      <c r="GE5" s="547"/>
      <c r="GF5" s="692"/>
      <c r="GG5" s="547"/>
      <c r="GH5" s="547"/>
      <c r="GJ5" s="547"/>
      <c r="GK5" s="547"/>
      <c r="GL5" s="547"/>
      <c r="GM5" s="547"/>
      <c r="GN5" s="547"/>
      <c r="GO5" s="547"/>
      <c r="GP5" s="1199" t="s">
        <v>317</v>
      </c>
      <c r="GQ5" s="1207" t="s">
        <v>303</v>
      </c>
      <c r="GR5" s="1199" t="s">
        <v>532</v>
      </c>
      <c r="GS5" s="547"/>
      <c r="GT5" s="547"/>
      <c r="GU5" s="547"/>
      <c r="GV5" s="547"/>
      <c r="GW5" s="547"/>
      <c r="GX5" s="547"/>
      <c r="GY5" s="547"/>
      <c r="GZ5" s="547"/>
      <c r="HA5" s="547"/>
      <c r="HB5" s="547"/>
      <c r="HC5" s="547"/>
      <c r="HD5" s="547"/>
      <c r="HE5" s="547"/>
      <c r="HF5" s="547"/>
      <c r="HG5" s="547"/>
      <c r="HH5" s="547"/>
      <c r="HI5" s="547"/>
      <c r="HJ5" s="547"/>
      <c r="HK5" s="547"/>
      <c r="HL5" s="547"/>
      <c r="HM5" s="547"/>
    </row>
    <row r="6" spans="1:221" s="529" customFormat="1">
      <c r="B6" s="1195" t="s">
        <v>0</v>
      </c>
      <c r="C6" s="1195"/>
      <c r="D6" s="549"/>
      <c r="E6" s="549"/>
      <c r="F6" s="549"/>
      <c r="G6" s="549"/>
      <c r="H6" s="912"/>
      <c r="I6" s="549"/>
      <c r="J6" s="549"/>
      <c r="K6" s="902"/>
      <c r="L6" s="549"/>
      <c r="M6" s="549"/>
      <c r="N6" s="908"/>
      <c r="O6" s="549"/>
      <c r="P6" s="549"/>
      <c r="Q6" s="1197"/>
      <c r="R6" s="549"/>
      <c r="S6" s="896"/>
      <c r="T6" s="896"/>
      <c r="U6" s="896"/>
      <c r="V6" s="896"/>
      <c r="W6" s="896"/>
      <c r="X6" s="896"/>
      <c r="Y6" s="896"/>
      <c r="Z6" s="896"/>
      <c r="AA6" s="896"/>
      <c r="AB6" s="896"/>
      <c r="AC6" s="549"/>
      <c r="AD6" s="549"/>
      <c r="AE6" s="549"/>
      <c r="AF6" s="549"/>
      <c r="AG6" s="549"/>
      <c r="AH6" s="549"/>
      <c r="AI6" s="549"/>
      <c r="AJ6" s="549"/>
      <c r="AK6" s="549"/>
      <c r="AL6" s="549"/>
      <c r="AM6" s="549"/>
      <c r="AN6" s="549"/>
      <c r="AO6" s="549"/>
      <c r="AP6" s="1200"/>
      <c r="AQ6" s="1200"/>
      <c r="AR6" s="1200"/>
      <c r="AS6" s="549"/>
      <c r="AT6" s="1205"/>
      <c r="AU6" s="549"/>
      <c r="AV6" s="549"/>
      <c r="AW6" s="693"/>
      <c r="AX6" s="693"/>
      <c r="AY6" s="693"/>
      <c r="AZ6" s="693"/>
      <c r="BA6" s="693"/>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c r="DA6" s="549"/>
      <c r="DB6" s="549"/>
      <c r="DC6" s="549"/>
      <c r="DD6" s="549"/>
      <c r="DE6" s="549"/>
      <c r="DF6" s="549"/>
      <c r="DG6" s="549"/>
      <c r="DH6" s="549"/>
      <c r="DI6" s="549"/>
      <c r="DJ6" s="693"/>
      <c r="DK6" s="549"/>
      <c r="DL6" s="693"/>
      <c r="DM6" s="549"/>
      <c r="DN6" s="549"/>
      <c r="DO6" s="549"/>
      <c r="DP6" s="550"/>
      <c r="DQ6" s="550"/>
      <c r="DR6" s="550"/>
      <c r="DS6" s="549"/>
      <c r="DT6" s="549"/>
      <c r="DU6" s="549"/>
      <c r="DV6" s="549"/>
      <c r="DW6" s="549"/>
      <c r="DX6" s="549"/>
      <c r="DY6" s="549"/>
      <c r="DZ6" s="549"/>
      <c r="EA6" s="549"/>
      <c r="EB6" s="549"/>
      <c r="EC6" s="549"/>
      <c r="ED6" s="549"/>
      <c r="EE6" s="549"/>
      <c r="EF6" s="549"/>
      <c r="EG6" s="549"/>
      <c r="EH6" s="549"/>
      <c r="EI6" s="549"/>
      <c r="EJ6" s="549"/>
      <c r="EK6" s="549"/>
      <c r="EL6" s="549"/>
      <c r="EM6" s="549"/>
      <c r="EN6" s="549"/>
      <c r="EO6" s="549"/>
      <c r="EP6" s="549"/>
      <c r="EQ6" s="549"/>
      <c r="ER6" s="549"/>
      <c r="ES6" s="549"/>
      <c r="ET6" s="549"/>
      <c r="EU6" s="549"/>
      <c r="EV6" s="549"/>
      <c r="EW6" s="549"/>
      <c r="EX6" s="549"/>
      <c r="EY6" s="549"/>
      <c r="EZ6" s="549"/>
      <c r="FA6" s="549"/>
      <c r="FB6" s="592"/>
      <c r="FC6" s="549"/>
      <c r="FD6" s="592"/>
      <c r="FE6" s="592"/>
      <c r="FF6" s="592"/>
      <c r="FG6" s="592"/>
      <c r="FH6" s="592"/>
      <c r="FI6" s="592"/>
      <c r="FJ6" s="592"/>
      <c r="FK6" s="549"/>
      <c r="FL6" s="549"/>
      <c r="FM6" s="549"/>
      <c r="FN6" s="549"/>
      <c r="FO6" s="549"/>
      <c r="FP6" s="549"/>
      <c r="FQ6" s="549"/>
      <c r="FR6" s="549"/>
      <c r="FS6" s="549"/>
      <c r="FT6" s="549"/>
      <c r="FU6" s="549"/>
      <c r="FV6" s="693"/>
      <c r="FW6" s="693"/>
      <c r="FX6" s="549"/>
      <c r="FY6" s="549"/>
      <c r="FZ6" s="549"/>
      <c r="GA6" s="549"/>
      <c r="GB6" s="549"/>
      <c r="GC6" s="549"/>
      <c r="GD6" s="693"/>
      <c r="GE6" s="549"/>
      <c r="GF6" s="693"/>
      <c r="GG6" s="549"/>
      <c r="GH6" s="549"/>
      <c r="GJ6" s="549"/>
      <c r="GK6" s="549"/>
      <c r="GL6" s="549"/>
      <c r="GM6" s="549"/>
      <c r="GN6" s="549"/>
      <c r="GO6" s="549"/>
      <c r="GP6" s="1202"/>
      <c r="GQ6" s="1208"/>
      <c r="GR6" s="1202"/>
      <c r="GS6" s="549"/>
      <c r="GT6" s="549"/>
      <c r="GU6" s="549"/>
      <c r="GV6" s="549"/>
      <c r="GW6" s="549"/>
      <c r="GX6" s="549"/>
      <c r="GY6" s="549"/>
      <c r="GZ6" s="549"/>
      <c r="HA6" s="549"/>
      <c r="HB6" s="549"/>
      <c r="HC6" s="549"/>
      <c r="HD6" s="549"/>
      <c r="HE6" s="549"/>
      <c r="HF6" s="549"/>
      <c r="HG6" s="549"/>
      <c r="HH6" s="549"/>
      <c r="HI6" s="549"/>
      <c r="HJ6" s="549"/>
      <c r="HK6" s="549"/>
      <c r="HL6" s="549"/>
      <c r="HM6" s="549"/>
    </row>
    <row r="7" spans="1:221" s="529" customFormat="1" ht="140.25">
      <c r="A7" s="551"/>
      <c r="B7" s="377" t="s">
        <v>1</v>
      </c>
      <c r="C7" s="377" t="s">
        <v>2</v>
      </c>
      <c r="D7" s="377" t="s">
        <v>467</v>
      </c>
      <c r="E7" s="377" t="s">
        <v>468</v>
      </c>
      <c r="F7" s="377" t="s">
        <v>469</v>
      </c>
      <c r="G7" s="636" t="s">
        <v>704</v>
      </c>
      <c r="H7" s="913" t="s">
        <v>488</v>
      </c>
      <c r="I7" s="377" t="s">
        <v>489</v>
      </c>
      <c r="J7" s="377" t="s">
        <v>490</v>
      </c>
      <c r="K7" s="903" t="s">
        <v>470</v>
      </c>
      <c r="L7" s="377" t="s">
        <v>491</v>
      </c>
      <c r="M7" s="377" t="s">
        <v>494</v>
      </c>
      <c r="N7" s="909" t="s">
        <v>471</v>
      </c>
      <c r="O7" s="377" t="s">
        <v>495</v>
      </c>
      <c r="P7" s="377" t="s">
        <v>487</v>
      </c>
      <c r="Q7" s="1198"/>
      <c r="R7" s="828" t="s">
        <v>667</v>
      </c>
      <c r="S7" s="897" t="s">
        <v>731</v>
      </c>
      <c r="T7" s="897" t="s">
        <v>734</v>
      </c>
      <c r="U7" s="897" t="s">
        <v>799</v>
      </c>
      <c r="V7" s="897" t="s">
        <v>732</v>
      </c>
      <c r="W7" s="897" t="s">
        <v>733</v>
      </c>
      <c r="X7" s="897" t="s">
        <v>735</v>
      </c>
      <c r="Y7" s="897" t="s">
        <v>736</v>
      </c>
      <c r="Z7" s="897" t="s">
        <v>737</v>
      </c>
      <c r="AA7" s="897" t="s">
        <v>738</v>
      </c>
      <c r="AB7" s="897"/>
      <c r="AC7" s="377" t="s">
        <v>472</v>
      </c>
      <c r="AD7" s="377" t="s">
        <v>473</v>
      </c>
      <c r="AE7" s="377" t="s">
        <v>474</v>
      </c>
      <c r="AF7" s="377" t="s">
        <v>475</v>
      </c>
      <c r="AG7" s="377" t="s">
        <v>476</v>
      </c>
      <c r="AH7" s="377" t="s">
        <v>477</v>
      </c>
      <c r="AI7" s="377" t="s">
        <v>479</v>
      </c>
      <c r="AJ7" s="377" t="s">
        <v>113</v>
      </c>
      <c r="AK7" s="377" t="s">
        <v>478</v>
      </c>
      <c r="AL7" s="377" t="s">
        <v>529</v>
      </c>
      <c r="AM7" s="377" t="s">
        <v>480</v>
      </c>
      <c r="AN7" s="377" t="s">
        <v>481</v>
      </c>
      <c r="AO7" s="377" t="s">
        <v>482</v>
      </c>
      <c r="AP7" s="1201"/>
      <c r="AQ7" s="1201"/>
      <c r="AR7" s="1201"/>
      <c r="AS7" s="680" t="s">
        <v>841</v>
      </c>
      <c r="AT7" s="1206"/>
      <c r="AU7" s="377" t="s">
        <v>486</v>
      </c>
      <c r="AV7" s="377" t="s">
        <v>485</v>
      </c>
      <c r="AW7" s="1029" t="s">
        <v>528</v>
      </c>
      <c r="AX7" s="1029" t="s">
        <v>649</v>
      </c>
      <c r="AY7" s="1029" t="s">
        <v>648</v>
      </c>
      <c r="AZ7" s="1029" t="s">
        <v>650</v>
      </c>
      <c r="BA7" s="1029" t="s">
        <v>677</v>
      </c>
      <c r="BB7" s="377" t="s">
        <v>296</v>
      </c>
      <c r="BD7" s="377" t="s">
        <v>318</v>
      </c>
      <c r="BE7" s="377" t="s">
        <v>375</v>
      </c>
      <c r="BF7" s="377" t="s">
        <v>376</v>
      </c>
      <c r="BG7" s="377" t="s">
        <v>377</v>
      </c>
      <c r="BH7" s="377" t="s">
        <v>378</v>
      </c>
      <c r="BI7" s="377" t="s">
        <v>403</v>
      </c>
      <c r="BJ7" s="377" t="s">
        <v>404</v>
      </c>
      <c r="BK7" s="377" t="s">
        <v>379</v>
      </c>
      <c r="BL7" s="377" t="s">
        <v>380</v>
      </c>
      <c r="BM7" s="636" t="s">
        <v>705</v>
      </c>
      <c r="BN7" s="377" t="s">
        <v>239</v>
      </c>
      <c r="BO7" s="377" t="s">
        <v>240</v>
      </c>
      <c r="BP7" s="377" t="s">
        <v>544</v>
      </c>
      <c r="BQ7" s="377" t="s">
        <v>556</v>
      </c>
      <c r="BR7" s="377" t="s">
        <v>561</v>
      </c>
      <c r="BS7" s="552"/>
      <c r="BT7" s="552"/>
      <c r="BU7" s="377" t="s">
        <v>307</v>
      </c>
      <c r="BV7" s="552"/>
      <c r="BW7" s="377" t="s">
        <v>324</v>
      </c>
      <c r="BX7" s="377" t="s">
        <v>381</v>
      </c>
      <c r="BY7" s="377" t="s">
        <v>382</v>
      </c>
      <c r="BZ7" s="377" t="s">
        <v>383</v>
      </c>
      <c r="CA7" s="377" t="s">
        <v>384</v>
      </c>
      <c r="CB7" s="377" t="s">
        <v>405</v>
      </c>
      <c r="CC7" s="377" t="s">
        <v>406</v>
      </c>
      <c r="CD7" s="377" t="s">
        <v>385</v>
      </c>
      <c r="CE7" s="377" t="s">
        <v>391</v>
      </c>
      <c r="CF7" s="377" t="s">
        <v>394</v>
      </c>
      <c r="CG7" s="377" t="s">
        <v>386</v>
      </c>
      <c r="CH7" s="377" t="s">
        <v>498</v>
      </c>
      <c r="CI7" s="377" t="s">
        <v>241</v>
      </c>
      <c r="CJ7" s="377" t="s">
        <v>242</v>
      </c>
      <c r="CK7" s="377" t="s">
        <v>545</v>
      </c>
      <c r="CL7" s="377" t="s">
        <v>557</v>
      </c>
      <c r="CM7" s="377" t="s">
        <v>559</v>
      </c>
      <c r="CN7" s="552"/>
      <c r="CO7" s="552"/>
      <c r="CP7" s="377" t="s">
        <v>301</v>
      </c>
      <c r="CQ7" s="552"/>
      <c r="CR7" s="377" t="s">
        <v>320</v>
      </c>
      <c r="CS7" s="377" t="s">
        <v>387</v>
      </c>
      <c r="CT7" s="377" t="s">
        <v>388</v>
      </c>
      <c r="CU7" s="377" t="s">
        <v>389</v>
      </c>
      <c r="CV7" s="377" t="s">
        <v>390</v>
      </c>
      <c r="CW7" s="377" t="s">
        <v>407</v>
      </c>
      <c r="CX7" s="377" t="s">
        <v>408</v>
      </c>
      <c r="CY7" s="377" t="s">
        <v>392</v>
      </c>
      <c r="CZ7" s="377" t="s">
        <v>393</v>
      </c>
      <c r="DA7" s="636" t="s">
        <v>706</v>
      </c>
      <c r="DB7" s="377" t="s">
        <v>496</v>
      </c>
      <c r="DC7" s="377" t="s">
        <v>243</v>
      </c>
      <c r="DD7" s="377" t="s">
        <v>546</v>
      </c>
      <c r="DE7" s="377" t="s">
        <v>558</v>
      </c>
      <c r="DF7" s="377" t="s">
        <v>560</v>
      </c>
      <c r="DG7" s="552"/>
      <c r="DH7" s="377" t="s">
        <v>668</v>
      </c>
      <c r="DI7" s="377" t="s">
        <v>311</v>
      </c>
      <c r="DJ7" s="825" t="s">
        <v>415</v>
      </c>
      <c r="DK7" s="377" t="s">
        <v>323</v>
      </c>
      <c r="DL7" s="916" t="s">
        <v>284</v>
      </c>
      <c r="DM7" s="377" t="s">
        <v>283</v>
      </c>
      <c r="DN7" s="377" t="s">
        <v>292</v>
      </c>
      <c r="DO7" s="680" t="s">
        <v>72</v>
      </c>
      <c r="DP7" s="553" t="s">
        <v>493</v>
      </c>
      <c r="DQ7" s="553" t="s">
        <v>492</v>
      </c>
      <c r="DR7" s="553" t="s">
        <v>155</v>
      </c>
      <c r="DS7" s="377" t="s">
        <v>244</v>
      </c>
      <c r="DT7" s="377" t="s">
        <v>245</v>
      </c>
      <c r="DU7" s="377" t="s">
        <v>246</v>
      </c>
      <c r="DV7" s="377" t="s">
        <v>247</v>
      </c>
      <c r="DW7" s="377" t="s">
        <v>248</v>
      </c>
      <c r="DX7" s="377" t="s">
        <v>233</v>
      </c>
      <c r="DY7" s="377" t="s">
        <v>268</v>
      </c>
      <c r="DZ7" s="377" t="s">
        <v>269</v>
      </c>
      <c r="EA7" s="552"/>
      <c r="EB7" s="377" t="s">
        <v>499</v>
      </c>
      <c r="EC7" s="552"/>
      <c r="ED7" s="377" t="s">
        <v>73</v>
      </c>
      <c r="EE7" s="552"/>
      <c r="EF7" s="377" t="s">
        <v>331</v>
      </c>
      <c r="EG7" s="552"/>
      <c r="EH7" s="377" t="s">
        <v>550</v>
      </c>
      <c r="EI7" s="377" t="s">
        <v>91</v>
      </c>
      <c r="EJ7" s="377" t="s">
        <v>414</v>
      </c>
      <c r="EK7" s="552"/>
      <c r="EL7" s="552"/>
      <c r="EM7" s="552"/>
      <c r="EN7" s="377" t="s">
        <v>156</v>
      </c>
      <c r="EO7" s="377" t="s">
        <v>157</v>
      </c>
      <c r="EP7" s="377" t="s">
        <v>191</v>
      </c>
      <c r="EQ7" s="377" t="s">
        <v>192</v>
      </c>
      <c r="ER7" s="377" t="s">
        <v>193</v>
      </c>
      <c r="ES7" s="377" t="s">
        <v>194</v>
      </c>
      <c r="ET7" s="636" t="s">
        <v>710</v>
      </c>
      <c r="EU7" s="636" t="s">
        <v>711</v>
      </c>
      <c r="EV7" s="552"/>
      <c r="EW7" s="552"/>
      <c r="EX7" s="552"/>
      <c r="EY7" s="552"/>
      <c r="EZ7" s="552"/>
      <c r="FA7" s="552"/>
      <c r="FB7" s="593" t="s">
        <v>701</v>
      </c>
      <c r="FC7" s="630" t="s">
        <v>700</v>
      </c>
      <c r="FD7" s="593" t="s">
        <v>433</v>
      </c>
      <c r="FE7" s="593" t="s">
        <v>148</v>
      </c>
      <c r="FF7" s="593" t="s">
        <v>293</v>
      </c>
      <c r="FG7" s="593" t="s">
        <v>149</v>
      </c>
      <c r="FH7" s="593" t="s">
        <v>150</v>
      </c>
      <c r="FI7" s="593" t="s">
        <v>294</v>
      </c>
      <c r="FJ7" s="593" t="s">
        <v>434</v>
      </c>
      <c r="FK7" s="1038" t="s">
        <v>816</v>
      </c>
      <c r="FL7" s="377"/>
      <c r="FM7" s="377"/>
      <c r="FN7" s="377"/>
      <c r="FO7" s="377" t="s">
        <v>286</v>
      </c>
      <c r="FP7" s="377" t="s">
        <v>330</v>
      </c>
      <c r="FQ7" s="377" t="s">
        <v>332</v>
      </c>
      <c r="FR7" s="552"/>
      <c r="FS7" s="552"/>
      <c r="FT7" s="552"/>
      <c r="FU7" s="552"/>
      <c r="FV7" s="694" t="s">
        <v>672</v>
      </c>
      <c r="FW7" s="694" t="s">
        <v>673</v>
      </c>
      <c r="FX7" s="552"/>
      <c r="FY7" s="552"/>
      <c r="FZ7" s="552"/>
      <c r="GA7" s="552"/>
      <c r="GB7" s="801" t="s">
        <v>722</v>
      </c>
      <c r="GC7" s="554" t="s">
        <v>123</v>
      </c>
      <c r="GD7" s="694" t="s">
        <v>124</v>
      </c>
      <c r="GE7" s="554" t="s">
        <v>125</v>
      </c>
      <c r="GF7" s="694" t="s">
        <v>126</v>
      </c>
      <c r="GG7" s="554" t="s">
        <v>127</v>
      </c>
      <c r="GH7" s="554" t="s">
        <v>128</v>
      </c>
      <c r="GJ7" s="377" t="s">
        <v>312</v>
      </c>
      <c r="GK7" s="377" t="s">
        <v>313</v>
      </c>
      <c r="GL7" s="377" t="s">
        <v>358</v>
      </c>
      <c r="GM7" s="377" t="s">
        <v>295</v>
      </c>
      <c r="GN7" s="377" t="s">
        <v>298</v>
      </c>
      <c r="GO7" s="377" t="s">
        <v>297</v>
      </c>
      <c r="GP7" s="1203"/>
      <c r="GQ7" s="1209"/>
      <c r="GR7" s="1203"/>
      <c r="GS7" s="377" t="s">
        <v>315</v>
      </c>
      <c r="GT7" s="377" t="s">
        <v>304</v>
      </c>
      <c r="GU7" s="377" t="s">
        <v>305</v>
      </c>
      <c r="GV7" s="803" t="s">
        <v>297</v>
      </c>
      <c r="GW7" s="377" t="s">
        <v>321</v>
      </c>
      <c r="GX7" s="803" t="s">
        <v>306</v>
      </c>
      <c r="GY7" s="552"/>
      <c r="GZ7" s="377" t="s">
        <v>314</v>
      </c>
      <c r="HA7" s="377" t="s">
        <v>299</v>
      </c>
      <c r="HB7" s="377" t="s">
        <v>300</v>
      </c>
      <c r="HC7" s="377" t="s">
        <v>297</v>
      </c>
      <c r="HD7" s="377" t="s">
        <v>319</v>
      </c>
      <c r="HE7" s="803" t="s">
        <v>302</v>
      </c>
      <c r="HF7" s="552"/>
      <c r="HG7" s="377" t="s">
        <v>316</v>
      </c>
      <c r="HH7" s="377" t="s">
        <v>308</v>
      </c>
      <c r="HI7" s="377" t="s">
        <v>309</v>
      </c>
      <c r="HJ7" s="377" t="s">
        <v>297</v>
      </c>
      <c r="HK7" s="377" t="s">
        <v>322</v>
      </c>
      <c r="HL7" s="803" t="s">
        <v>310</v>
      </c>
      <c r="HM7" s="552"/>
    </row>
    <row r="8" spans="1:221">
      <c r="A8" s="580" t="s">
        <v>9</v>
      </c>
      <c r="B8" s="556">
        <v>41636</v>
      </c>
      <c r="C8" s="561">
        <v>0</v>
      </c>
      <c r="D8" s="529">
        <f t="shared" ref="D8:D17" si="0">IF(AND(B8&gt;=DATE($A$1,7,15),B8&lt;=DATE($A$1,9,15)),200,300)</f>
        <v>300</v>
      </c>
      <c r="E8" s="529">
        <f t="shared" ref="E8:E17" si="1">IF(AND(B8&gt;=DATE($A$1,7,15),B8&lt;=DATE($A$1,9,15)),400,250)</f>
        <v>250</v>
      </c>
      <c r="F8" s="529">
        <v>250</v>
      </c>
      <c r="G8" s="560">
        <v>4129.7</v>
      </c>
      <c r="H8" s="914">
        <f t="shared" ref="H8:H71" si="2">MAX((G8-113-D8)*CFStoMGD,0)</f>
        <v>2402.4748799999998</v>
      </c>
      <c r="I8" s="559">
        <f>MAX(Sheet1!Z10-AT8+(Sheet1!DA10-E8)*CFStoMGD,0)</f>
        <v>990.26400000000001</v>
      </c>
      <c r="J8" s="562">
        <v>1549.74</v>
      </c>
      <c r="K8" s="904">
        <f t="shared" ref="K8:K17" si="3">MAX(MIN(H8:J8,64.64),0)</f>
        <v>64.64</v>
      </c>
      <c r="L8" s="560">
        <f>Sheet1!AA10+Sheet1!AB10-Sheet1!L10+(Sheet1!DA10-F8)*CFStoMGD</f>
        <v>976.06399999999996</v>
      </c>
      <c r="M8" s="560">
        <f t="shared" ref="M8:M17" si="4">1.02*CFStoMGD*G8</f>
        <v>2722.8268416000001</v>
      </c>
      <c r="N8" s="910">
        <f>IF(Sheet1!DA10&gt;=F8,MIN(73,MIN(MAX(L8,0),MAX(M8,0))),0)</f>
        <v>73</v>
      </c>
      <c r="O8" s="563">
        <f>Sheet1!AA10+Sheet1!AB10</f>
        <v>35.33</v>
      </c>
      <c r="P8" s="563">
        <f t="shared" ref="P8:P17" si="5">AE8+AF8</f>
        <v>54.655510000000007</v>
      </c>
      <c r="Q8" s="898">
        <f>IF(OR(Y8="FALSE",AND(B8&gt;=FV8,B8&lt;=FW8)),O8-S8-U8,0)</f>
        <v>0</v>
      </c>
      <c r="R8" s="829">
        <v>2.57</v>
      </c>
      <c r="S8" s="898">
        <f>IF(OR(B8&lt;GC8,B8&gt;GH8),MIN(O8,K8),IF(AND(B8&gt;=FV8,B8&lt;=FW8),0,IF(AND(B8&gt;=GC8,B8&lt;=GD8),DL8,IF(AND(B8&gt;GD8,B8&lt;FV8),MIN(K8,O8),0))))</f>
        <v>35.33</v>
      </c>
      <c r="T8" s="898">
        <f>IF(OR(B8&lt;GC8,B8&gt;GD8),0, K8-DL8)</f>
        <v>0</v>
      </c>
      <c r="U8" s="898">
        <f t="shared" ref="U8:U72" si="6">IF(AND(B8&gt;=FV8,B8&lt;=FW8),MAX(EF8,ED8),0)</f>
        <v>0</v>
      </c>
      <c r="V8" s="898"/>
      <c r="W8" s="898">
        <f>MAX(K8-DJ8,0)</f>
        <v>62.14</v>
      </c>
      <c r="X8" s="898">
        <f>S8+T8</f>
        <v>35.33</v>
      </c>
      <c r="Y8" s="898" t="str">
        <f>IF(OR(O8&gt;K8,AND(B8&gt;=GC8,B8&lt;=GD8),), "FALSE","")</f>
        <v/>
      </c>
      <c r="Z8" s="898">
        <f>O8</f>
        <v>35.33</v>
      </c>
      <c r="AA8" s="898">
        <f>Q8+S8+U8</f>
        <v>35.33</v>
      </c>
      <c r="AB8" s="898" t="str">
        <f>IF(OR(Z8-AA8&lt;-0.1,Z8-AA8&gt;0.1),"BAD ENGINEER","")</f>
        <v/>
      </c>
      <c r="AC8" s="563">
        <f>Sheet1!Y10*MGDtoCFS</f>
        <v>32.409649999999999</v>
      </c>
      <c r="AD8" s="563">
        <f>Sheet1!Z10*MGDtoCFS</f>
        <v>21.967399999999998</v>
      </c>
      <c r="AE8" s="563">
        <f>Sheet1!AA10*MGDtoCFS</f>
        <v>32.533410000000003</v>
      </c>
      <c r="AF8" s="563">
        <f>Sheet1!AB10*MGDtoCFS</f>
        <v>22.1221</v>
      </c>
      <c r="AG8" s="563">
        <f>Sheet1!L10*MGDtoCFS</f>
        <v>54.655509999999992</v>
      </c>
      <c r="AH8" s="545">
        <v>0</v>
      </c>
      <c r="AI8" s="560">
        <f t="shared" ref="AI8:AI17" si="7">AH8*MGDtoCFS</f>
        <v>0</v>
      </c>
      <c r="AJ8" s="560">
        <v>0</v>
      </c>
      <c r="AK8" s="560">
        <f t="shared" ref="AK8:AK17" si="8">AJ8*MGDtoCFS</f>
        <v>0</v>
      </c>
      <c r="AL8" s="560">
        <f>(VLOOKUP(Sheet1!DC10,hhdcap_wcm,4)-(((VLOOKUP(Sheet1!DC10,hhdcap_wcm,3)-Sheet1!DC10)/(VLOOKUP(Sheet1!DC10,hhdcap_wcm,3)-VLOOKUP(Sheet1!DC10,hhdcap_wcm,1)))*(VLOOKUP(Sheet1!DC10,hhdcap_wcm,4)-VLOOKUP(Sheet1!DC10,hhdcap_wcm,2))))</f>
        <v>1625.0000000042292</v>
      </c>
      <c r="AM8" s="560">
        <v>2843.44</v>
      </c>
      <c r="AN8" s="560">
        <f t="shared" ref="AN8:AN17" si="9">(IF(AND(B8&gt;=GC8,B8&lt;GF8),MIN(BB8+BU8+CP8+DI8,GE8),IF(B8=GF8,GG8,IF(AND(B8&gt;GF8,B8&lt;GH8),BB8+BU8+CP8+DI8,IF(B8&gt;=GH8,0,0)))))</f>
        <v>0</v>
      </c>
      <c r="AO8" s="560">
        <f t="shared" ref="AO8:AO17" si="10">AN8*MGtoAF</f>
        <v>0</v>
      </c>
      <c r="AP8" s="560">
        <f>Sheet1!BA10+Sheet1!BB10+Sheet1!BN10+CD8</f>
        <v>11.8</v>
      </c>
      <c r="AQ8" s="560">
        <f>Sheet1!BN10+(DO8*Sheet1!BN10)</f>
        <v>10.8</v>
      </c>
      <c r="AR8" s="560">
        <f>Sheet1!BA10+CD8</f>
        <v>0</v>
      </c>
      <c r="AS8" s="560">
        <f>Sheet1!BA10+Sheet1!BB10+CD8</f>
        <v>1</v>
      </c>
      <c r="AT8" s="698">
        <f>0</f>
        <v>0</v>
      </c>
      <c r="AU8" s="560">
        <f>IF(EB8&lt;K8,0,MAX(Sheet1!AA10+AQ8-15/36*K8-N8,Sheet1!EH10,0))</f>
        <v>0</v>
      </c>
      <c r="AV8" s="560">
        <f>IF(OR(B8&gt;=GD8,B8&lt;GC8),0,15/36*K8-MAX(0,64.6-(137.6-(Sheet1!AA10+Sheet1!AB10))))</f>
        <v>0</v>
      </c>
      <c r="AW8" s="698">
        <f>Sheet1!DB10-110</f>
        <v>1080</v>
      </c>
      <c r="AX8" s="698">
        <f>Sheet1!DA10-265</f>
        <v>1495</v>
      </c>
      <c r="AY8" s="698">
        <f t="shared" ref="AY8:AY17" si="11">N8-Q8</f>
        <v>73</v>
      </c>
      <c r="AZ8" s="698">
        <v>0</v>
      </c>
      <c r="BA8" s="698">
        <f t="shared" ref="BA8:BA17" si="12">IF(AZ8&lt;=0,0,AZ8/1.547)</f>
        <v>0</v>
      </c>
      <c r="BB8" s="560">
        <f t="shared" ref="BB8:BB17" si="13">GO8+GQ8</f>
        <v>0</v>
      </c>
      <c r="BC8" s="560"/>
      <c r="BD8" s="560">
        <f ca="1">IF(B8&gt;Summary!$A$1,#N/A,BB8*MGtoAF)</f>
        <v>0</v>
      </c>
      <c r="BE8" s="560">
        <f>Sheet1!BG10+Sheet1!BH10+Sheet1!BI10-BM8</f>
        <v>0</v>
      </c>
      <c r="BF8" s="560">
        <f t="shared" ref="BF8:BF17" si="14">BE8+(DO8*BE8)</f>
        <v>0</v>
      </c>
      <c r="BG8" s="560">
        <f>IF(Sheet1!EP10="FM",BM8,0)</f>
        <v>0</v>
      </c>
      <c r="BH8" s="560">
        <f t="shared" ref="BH8:BH17" si="15">BG8+(DO8*BG8)</f>
        <v>0</v>
      </c>
      <c r="BI8" s="560">
        <f>IF(Sheet1!EP10="OTHER",BM8,0)</f>
        <v>0</v>
      </c>
      <c r="BJ8" s="560">
        <f t="shared" ref="BJ8:BJ17" si="16">BI8+(DO8*BI8)</f>
        <v>0</v>
      </c>
      <c r="BK8" s="560">
        <f t="shared" ref="BK8:BK17" si="17">MAX(BE8,BG8,BI8)</f>
        <v>0</v>
      </c>
      <c r="BL8" s="560">
        <f t="shared" ref="BL8:BL17" si="18">MAX(BF8,BH8,BJ8)</f>
        <v>0</v>
      </c>
      <c r="BM8" s="560">
        <f>IF(OR(Sheet1!EP10="FM", Sheet1!EP10="OTHER"),SUM(Sheet1!BG10:'Sheet1'!BI10),0)</f>
        <v>0</v>
      </c>
      <c r="BN8" s="545">
        <f>IF(AND($B8&gt;=$FV8,$B8&lt;=$FW8),MAX(BF8,Sheet1!EI10,0),MAX(BF8-(7/36)*$K8,0))</f>
        <v>0</v>
      </c>
      <c r="BO8" s="560">
        <f t="shared" ref="BO8:BO17" si="19">IF(B8&gt;=GC8,IF(B8&lt;=GD8,(7/36)*K8-BF8,0),0)</f>
        <v>0</v>
      </c>
      <c r="BP8" s="545">
        <f t="shared" ref="BP8:BP17" si="20">MAX(BL8-BN8,0)</f>
        <v>0</v>
      </c>
      <c r="BQ8" s="545">
        <f>IF(AND($O8&gt;0,Sheet1!EM10=1),(1-($O8-Sheet1!$L10)/$O8)*BL8,0)</f>
        <v>0</v>
      </c>
      <c r="BR8" s="545">
        <f>IF(AND(Sheet1!$L10=0,Sheet1!$L9=0, Calculation!BK8&lt;Sheet1!$EI10-0.1,Sheet1!$EI10=Sheet1!$EI9,Sheet1!$EI10=Sheet1!$EI11),Sheet1!$EI10,BL8-BQ8)</f>
        <v>0</v>
      </c>
      <c r="BS8" s="560"/>
      <c r="BT8" s="560"/>
      <c r="BU8" s="560">
        <f t="shared" ref="BU8:BU17" si="21">GV8+GX8</f>
        <v>0</v>
      </c>
      <c r="BV8" s="560"/>
      <c r="BW8" s="560">
        <f ca="1">IF(B8&gt;Summary!$A$1,#N/A,BU8*MGtoAF)</f>
        <v>0</v>
      </c>
      <c r="BX8" s="560">
        <f>Sheet1!BC10+Sheet1!BD10+Sheet1!BE10+Sheet1!BF10-CG8-CH8</f>
        <v>2.5</v>
      </c>
      <c r="BY8" s="560">
        <f t="shared" ref="BY8:BY17" si="22">BX8+(DO8*BX8)</f>
        <v>2.5</v>
      </c>
      <c r="BZ8" s="560">
        <f>IF(Sheet1!EQ10="FM",CH8,0)</f>
        <v>0</v>
      </c>
      <c r="CA8" s="560">
        <f t="shared" ref="CA8:CA17" si="23">BZ8+(DO8*BZ8)</f>
        <v>0</v>
      </c>
      <c r="CB8" s="560">
        <f>IF(Sheet1!EQ10="OTHER",CH8,0)</f>
        <v>0</v>
      </c>
      <c r="CC8" s="560">
        <f t="shared" ref="CC8:CC17" si="24">CB8+(DO8*CB8)</f>
        <v>0</v>
      </c>
      <c r="CD8" s="560">
        <f t="shared" ref="CD8:CD17" si="25">CG8</f>
        <v>0</v>
      </c>
      <c r="CE8" s="560">
        <f t="shared" ref="CE8:CE17" si="26">MAX(BX8,BZ8,CB8)</f>
        <v>2.5</v>
      </c>
      <c r="CF8" s="560">
        <f t="shared" ref="CF8:CF17" si="27">MAX(BY8,CA8, CC8)</f>
        <v>2.5</v>
      </c>
      <c r="CG8" s="560">
        <f>IF(Sheet1!EQ10="CWA",SUM(Sheet1!BC10:'Sheet1'!BF10),0)</f>
        <v>0</v>
      </c>
      <c r="CH8" s="560">
        <f>IF(OR(Sheet1!EQ10="FM", Sheet1!EQ10="OTHER"),SUM(Sheet1!BC10:'Sheet1'!BF10),0)</f>
        <v>0</v>
      </c>
      <c r="CI8" s="545">
        <f>IF(AND($B8&gt;=$FV8,$B8&lt;=$FW8),MAX(CF8,Sheet1!EJ10,0),MAX(CF8-(7/36)*$K8,0))</f>
        <v>0</v>
      </c>
      <c r="CJ8" s="560">
        <f t="shared" ref="CJ8:CJ17" si="28">IF(B8&gt;=GC8,IF(B8&lt;=GD8,(7/36)*K8-BY8,0),0)</f>
        <v>0</v>
      </c>
      <c r="CK8" s="545">
        <f t="shared" ref="CK8:CK17" si="29">MAX(CF8-CI8,0)</f>
        <v>2.5</v>
      </c>
      <c r="CL8" s="545">
        <f>IF(AND($O8&gt;0,Sheet1!EN10=1),(1-($O8-Sheet1!$L10)/$O8)*CF8,0)</f>
        <v>0</v>
      </c>
      <c r="CM8" s="545">
        <f>IF(AND(Sheet1!$L10=0,Sheet1!$L9=0, Calculation!CE8&lt;Sheet1!EJ10-0.1,Sheet1!EJ10=Sheet1!EJ9,Sheet1!EJ10=Sheet1!EJ11),Sheet1!EJ10,CF8-CL8)</f>
        <v>2.5</v>
      </c>
      <c r="CN8" s="545"/>
      <c r="CO8" s="560"/>
      <c r="CP8" s="560">
        <f t="shared" ref="CP8:CP17" si="30">HC8+HE8</f>
        <v>0</v>
      </c>
      <c r="CQ8" s="560"/>
      <c r="CR8" s="560">
        <f ca="1">IF(B8&gt;Summary!$A$1,#N/A,CP8*MGtoAF)</f>
        <v>0</v>
      </c>
      <c r="CS8" s="560">
        <f>Sheet1!BK10+Sheet1!BL10+Sheet1!BM10-Sheet1!ER10-DA8</f>
        <v>0</v>
      </c>
      <c r="CT8" s="560">
        <f t="shared" ref="CT8:CT17" si="31">CS8+(DO8*CS8)</f>
        <v>0</v>
      </c>
      <c r="CU8" s="560">
        <f>IF(Sheet1!ER10="FM",DA8,0)</f>
        <v>0</v>
      </c>
      <c r="CV8" s="560">
        <f t="shared" ref="CV8:CV17" si="32">CU8+(DO8*CU8)</f>
        <v>0</v>
      </c>
      <c r="CW8" s="560">
        <f>IF(Sheet1!ER10="OTHER",DA8,0)</f>
        <v>0</v>
      </c>
      <c r="CX8" s="560">
        <f t="shared" ref="CX8:CX17" si="33">CW8+(DO8*CW8)</f>
        <v>0</v>
      </c>
      <c r="CY8" s="560">
        <f t="shared" ref="CY8:CY17" si="34">MAX(CS8,CU8)</f>
        <v>0</v>
      </c>
      <c r="CZ8" s="560">
        <f t="shared" ref="CZ8:CZ17" si="35">MAX(CT8,CV8)</f>
        <v>0</v>
      </c>
      <c r="DA8" s="560">
        <f>IF(OR(Sheet1!ER10="FM", Sheet1!ER10="OTHER"),SUM(Sheet1!BK10:'Sheet1'!BM10),0)</f>
        <v>0</v>
      </c>
      <c r="DB8" s="545">
        <f>IF(AND($B8&gt;=$FV8,$B8&lt;=$FW8),MAX($CT8,Sheet1!EK10,0),MAX($CT8-(7/36)*$K8,0))</f>
        <v>0</v>
      </c>
      <c r="DC8" s="560">
        <f t="shared" ref="DC8:DC17" si="36">IF(B8&gt;=GC8,IF(B8&lt;=GD8,(7/36)*K8-CT8,0),0)</f>
        <v>0</v>
      </c>
      <c r="DD8" s="545">
        <f t="shared" ref="DD8:DD17" si="37">MAX(CZ8-DB8,0)</f>
        <v>0</v>
      </c>
      <c r="DE8" s="545">
        <f>IF(AND($O8&gt;0,Sheet1!EO10=1),(1-($O8-Sheet1!$L10)/$O8)*CZ8,0)</f>
        <v>0</v>
      </c>
      <c r="DF8" s="545">
        <f>IF(AND(Sheet1!$L10=0,Sheet1!$L9=0, Calculation!CY8&lt;Sheet1!$EK10-0.1,Sheet1!$EK10=Sheet1!$EK9,Sheet1!$EK10=Sheet1!$EK11),Sheet1!$EK10,CZ8-DE8)</f>
        <v>0</v>
      </c>
      <c r="DG8" s="545"/>
      <c r="DH8" s="560">
        <f t="shared" ref="DH8:DH17" si="38">BK8+CE8+CY8</f>
        <v>2.5</v>
      </c>
      <c r="DI8" s="560">
        <f t="shared" ref="DI8:DI17" si="39">HJ8+HL8</f>
        <v>0</v>
      </c>
      <c r="DJ8" s="698">
        <f t="shared" ref="DJ8:DJ17" si="40">BL8+CF8+CZ8</f>
        <v>2.5</v>
      </c>
      <c r="DK8" s="560">
        <f ca="1">IF(B8&gt;Summary!$A$1,#N/A,DI8*MGtoAF)</f>
        <v>0</v>
      </c>
      <c r="DL8" s="698">
        <f t="shared" ref="DL8:DL17" si="41">CY8+CE8+BK8</f>
        <v>2.5</v>
      </c>
      <c r="DM8" s="560">
        <f t="shared" ref="DM8:DM17" si="42">DL8+AP8</f>
        <v>14.3</v>
      </c>
      <c r="DN8" s="560">
        <f>Sheet1!AB10-DM8</f>
        <v>0</v>
      </c>
      <c r="DO8" s="823">
        <f t="shared" ref="DO8:DO17" si="43">IF(DM8=0,0,DN8/DM8)</f>
        <v>0</v>
      </c>
      <c r="DP8" s="560">
        <f>(VLOOKUP(Sheet1!DC10,hhdcap_wcm,4)-(((VLOOKUP(Sheet1!DC10,hhdcap_wcm,3)-Sheet1!DC10)/(VLOOKUP(Sheet1!DC10,hhdcap_wcm,3)-VLOOKUP(Sheet1!DC10,hhdcap_wcm,1)))*(VLOOKUP(Sheet1!DC10,hhdcap_wcm,4)-VLOOKUP(Sheet1!DC10,hhdcap_wcm,2))))</f>
        <v>1625.0000000042292</v>
      </c>
      <c r="DQ8" s="560" t="e">
        <f>DP8-#REF!</f>
        <v>#REF!</v>
      </c>
      <c r="DR8" s="560" t="e">
        <f t="shared" ref="DR8:DR17" si="44">DQ8*AFtoCFS</f>
        <v>#REF!</v>
      </c>
      <c r="DS8" s="560">
        <f>Sheet1!EA10*AFtoMG</f>
        <v>0</v>
      </c>
      <c r="DT8" s="560">
        <f>Sheet1!EB10*AFtoMG</f>
        <v>0</v>
      </c>
      <c r="DU8" s="560">
        <f>Sheet1!EC10*AFtoMG</f>
        <v>0</v>
      </c>
      <c r="DV8" s="560">
        <f>Sheet1!ED10*AFtoMG</f>
        <v>0</v>
      </c>
      <c r="DW8" s="560">
        <f t="shared" ref="DW8:DW17" si="45">SUM(DS8:DV8)</f>
        <v>0</v>
      </c>
      <c r="DX8" s="560">
        <f t="shared" ref="DX8:DX17" si="46">DW8*MGtoAF</f>
        <v>0</v>
      </c>
      <c r="DY8" s="560">
        <f t="shared" ref="DY8:DY17" si="47">AN8</f>
        <v>0</v>
      </c>
      <c r="DZ8" s="560">
        <f t="shared" ref="DZ8:DZ17" si="48">DY8*MGtoAF</f>
        <v>0</v>
      </c>
      <c r="EA8" s="560"/>
      <c r="EB8" s="545">
        <f>IF(OR(B8&lt;FV8,B8&gt;FW8),(MIN(BF8+BY8+CT8+MAX(Sheet1!AA10+AQ8-73,0),K8)),0)</f>
        <v>2.5</v>
      </c>
      <c r="EC8" s="560"/>
      <c r="ED8" s="560">
        <f t="shared" ref="ED8:ED17" si="49">CT8+BF8+BY8</f>
        <v>2.5</v>
      </c>
      <c r="EE8" s="560"/>
      <c r="EF8" s="560">
        <f>Sheet1!EH10+Sheet1!EI10+Sheet1!EJ10+Sheet1!EK10</f>
        <v>2.5</v>
      </c>
      <c r="EG8" s="560"/>
      <c r="EH8" s="545">
        <f t="shared" ref="EH8:EH17" si="50">EB8-BP8-CK8-DD8</f>
        <v>0</v>
      </c>
      <c r="EI8" s="560">
        <f>IF(Sheet1!ET10=1,SUM('Calculations II'!AT8:BA8)+'Calculations II'!BC8+Sheet1!BV10+'Calculations II'!BE8+AP8,SUM('Calculations II'!AT8:BA8)+'Calculations II'!BC8+Sheet1!BV10+'Calculations II'!BE8+AP8)</f>
        <v>52.242767999999998</v>
      </c>
      <c r="EJ8" s="560">
        <f>Sheet1!AA10+Sheet1!AB10+'Calculations II'!BC8</f>
        <v>49.333855999999997</v>
      </c>
      <c r="EK8" s="560"/>
      <c r="EL8" s="560"/>
      <c r="EM8" s="560">
        <f t="shared" ref="EM8:EM17" si="51">B8</f>
        <v>41636</v>
      </c>
      <c r="EN8" s="560">
        <f t="shared" ref="EN8:EN17" si="52">AJ8-AH8</f>
        <v>0</v>
      </c>
      <c r="EO8" s="560">
        <f t="shared" ref="EO8:EO17" si="53">AK8-AI8</f>
        <v>0</v>
      </c>
      <c r="EP8" s="560">
        <v>0</v>
      </c>
      <c r="EQ8" s="560">
        <v>0</v>
      </c>
      <c r="ER8" s="560">
        <v>0</v>
      </c>
      <c r="ES8" s="545">
        <f>ET8+EU8</f>
        <v>2.9074049376062976</v>
      </c>
      <c r="ET8" s="560">
        <f>-(VLOOKUP(Sheet1!BQ10,Lookup!$O$4:$Q$262,2)-VLOOKUP(Sheet1!BQ9,Lookup!$O$4:$Q$262,2))/1000000</f>
        <v>1.384495322361704</v>
      </c>
      <c r="EU8" s="560">
        <f>-(VLOOKUP(Sheet1!BR10,Lookup!$O$4:$Q$262,3)-VLOOKUP(Sheet1!BR9,Lookup!$O$4:$Q$262,3))/1000000</f>
        <v>1.5229096152445936</v>
      </c>
      <c r="EV8" s="560"/>
      <c r="EW8" s="560"/>
      <c r="EX8" s="560"/>
      <c r="EY8" s="560"/>
      <c r="EZ8" s="560"/>
      <c r="FA8" s="560"/>
      <c r="FB8" s="560"/>
      <c r="FC8" s="560"/>
      <c r="FD8" s="594" t="e">
        <f>VLOOKUP(#REF!,hhdelev_wcm,4) -(((VLOOKUP(#REF!,hhdelev_wcm,3)-#REF!)/(VLOOKUP(#REF!,hhdelev_wcm,3)-VLOOKUP(#REF!,hhdelev_wcm,1)))*(VLOOKUP(#REF!,hhdelev_wcm,4)-VLOOKUP(#REF!,hhdelev_wcm,2)))</f>
        <v>#REF!</v>
      </c>
      <c r="FE8" s="594">
        <v>0</v>
      </c>
      <c r="FF8" s="595">
        <f t="shared" ref="FF8:FF17" si="54">IF(DP8-AO8-FE8-1220&lt;0,0,DP8-AO8-FE8-1220)</f>
        <v>405.00000000422915</v>
      </c>
      <c r="FG8" s="596" t="s">
        <v>691</v>
      </c>
      <c r="FH8" s="596" t="s">
        <v>691</v>
      </c>
      <c r="FI8" s="594" t="e">
        <v>#N/A</v>
      </c>
      <c r="FJ8" s="594" t="e">
        <v>#N/A</v>
      </c>
      <c r="FK8" s="560"/>
      <c r="FL8" s="560"/>
      <c r="FM8" s="560"/>
      <c r="FN8" s="560"/>
      <c r="FO8" s="560">
        <f>O8+((Sheet1!CS10)*GPMtoMGD)</f>
        <v>49.333855999999997</v>
      </c>
      <c r="FP8" s="560">
        <f>IF(Sheet1!AA10+AQ8&lt;=Calculation!N8,AQ8,Calculation!N8-Sheet1!AA10)</f>
        <v>10.8</v>
      </c>
      <c r="FQ8" s="560">
        <f>(Sheet1!BP10+Sheet1!BO10)/694.4</f>
        <v>2.2036290322580645</v>
      </c>
      <c r="FR8" s="560"/>
      <c r="FS8" s="560"/>
      <c r="FT8" s="560"/>
      <c r="FU8" s="560"/>
      <c r="FV8" s="695">
        <f>$FV$4</f>
        <v>41827</v>
      </c>
      <c r="FW8" s="695">
        <f>$FW$4</f>
        <v>41934</v>
      </c>
      <c r="FX8" s="560"/>
      <c r="FY8" s="560"/>
      <c r="FZ8" s="560"/>
      <c r="GA8" s="560"/>
      <c r="GB8" s="560" t="str">
        <f>$GB$4</f>
        <v>n</v>
      </c>
      <c r="GC8" s="564">
        <f>$GC$4</f>
        <v>41691</v>
      </c>
      <c r="GD8" s="695">
        <f>$GD$4</f>
        <v>41807</v>
      </c>
      <c r="GE8" s="560">
        <v>6518.9</v>
      </c>
      <c r="GF8" s="695">
        <f>$GF$4</f>
        <v>41808</v>
      </c>
      <c r="GG8" s="560">
        <v>3259</v>
      </c>
      <c r="GH8" s="564">
        <f>$GH$4</f>
        <v>41934</v>
      </c>
      <c r="GJ8" s="545">
        <f>IF(B8=GD8,AFtoMG*(20000-#REF!),GL8+GZ8+GS8+HG8)</f>
        <v>0</v>
      </c>
      <c r="GK8" s="560" t="str">
        <f t="shared" ref="GK8:GK17" si="55">CONCATENATE(GM8,HA8,GT8,HH8)</f>
        <v/>
      </c>
      <c r="GL8" s="560">
        <f>IF(GP8&gt;=8333.3,AV8,0)</f>
        <v>0</v>
      </c>
      <c r="GM8" s="560" t="str">
        <f>IF(AND(GP8&lt;8333.3,GJ8&gt;0),"T","")</f>
        <v/>
      </c>
      <c r="GN8" s="560">
        <f>IF(GK8="P",Lookup!$M$12,IF(GK8="PP",Lookup!$M$13,IF(GK8="PPP",Lookup!$M$14,IF(GK8="T",Lookup!$M$15,IF(GK8="TP",Lookup!$M$16,IF(GK8="TPP",Lookup!$M$17,IF(GK8="TPPP",Lookup!$M$18,0)))))))*GJ8</f>
        <v>0</v>
      </c>
      <c r="GO8" s="560">
        <f>IF(GM8="T", MIN(GN8, 2716.2-$GQ8),0)</f>
        <v>0</v>
      </c>
      <c r="GP8" s="560">
        <f t="shared" ref="GP8:GP17" si="56">GQ8*MGtoAF</f>
        <v>0</v>
      </c>
      <c r="GQ8" s="560">
        <f>(IF(AND(GB7="Y",B8=GD8),2716.2,(IF(AND(B8&lt;GF8,B8&gt;=GC8),MIN(BB7+AV8-AU8,15/36*GE8),IF(B8=GF8,15/36*GG8,IF(AND(B8&gt;GF8,B8&lt;GH8),MIN(BB7+AV8-AU8,15/36*GG8),IF(B8&gt;=GH8,0,0)))))))+DS8</f>
        <v>0</v>
      </c>
      <c r="GR8" s="560"/>
      <c r="GS8" s="560">
        <f>IF(GW8&gt;=3888.8,BO8,0)</f>
        <v>0</v>
      </c>
      <c r="GT8" s="560" t="str">
        <f>IF(AND(GW8&lt;3888.8,GJ8&gt;0),"P","")</f>
        <v/>
      </c>
      <c r="GU8" s="560">
        <f>IF(GK8="P",Lookup!$N$12,IF(GK8="PP",Lookup!$N$13,IF(GK8="PPP",Lookup!$N$14,IF(GK8="T",Lookup!$N$15,IF(GK8="TP",Lookup!$N$16,IF(GK8="TPP",Lookup!$N$17,IF(GK8="TPPP",Lookup!$N$18,0)))))))*GJ8</f>
        <v>0</v>
      </c>
      <c r="GV8" s="560">
        <f t="shared" ref="GV8:GV72" si="57">IF(GT8="P",MIN(GU8,7/36*GE8-GX8),0)</f>
        <v>0</v>
      </c>
      <c r="GW8" s="560">
        <f t="shared" ref="GW8:GW17" si="58">GX8*MGtoAF</f>
        <v>0</v>
      </c>
      <c r="GX8" s="560">
        <f>(IF(AND(GB8="Y",B8=GD8),1267.5,(IF(AND(B8&lt;GF8,B8&gt;=GC8),MIN(BU7+BO8-BN8,7/36*GE8),IF(B8=GF8,7/36*GG8,IF(AND(B8&gt;GF8,B8&lt;GH8),MIN(BU7+BO8-BN8,7/36*GG8),IF(B8&gt;=GH8,0,0)))))))+DT8</f>
        <v>0</v>
      </c>
      <c r="GY8" s="560"/>
      <c r="GZ8" s="560">
        <f>IF(HD8&gt;=3888.8,CJ8,0)</f>
        <v>0</v>
      </c>
      <c r="HA8" s="560" t="str">
        <f>IF(AND(HD8&lt;3888.8,GJ8&gt;0),"P","")</f>
        <v/>
      </c>
      <c r="HB8" s="560">
        <f>IF(GK8="P",Lookup!$N$12,IF(GK8="PP",Lookup!$N$13,IF(GK8="PPP",Lookup!$N$14,IF(GK8="T",Lookup!$N$15,IF(GK8="TP",Lookup!$N$16,IF(GK8="TPP",Lookup!$N$17,IF(GK8="TPPP",Lookup!$N$18,0)))))))*GJ8</f>
        <v>0</v>
      </c>
      <c r="HC8" s="545">
        <f t="shared" ref="HC8:HC17" si="59">IF(HA8="P",MIN(HB8,7/36*GE8-HE8),0)</f>
        <v>0</v>
      </c>
      <c r="HD8" s="560">
        <f t="shared" ref="HD8:HD17" si="60">HE8*MGtoAF</f>
        <v>0</v>
      </c>
      <c r="HE8" s="560">
        <f>(IF(AND(GB8="Y",B8=GD8),1267.5,IF(AND(B8&lt;GF8,B8&gt;=GC8),MIN(CP7+CJ8-CI8,7/36*GE8),IF(B8=GF8,7/36*GG8,IF(AND(B8&gt;GF8,B8&lt;GH8),MIN(CP7+CJ8-CI8,7/36*GG8),IF(B8&gt;=GH8,0,0))))))+DU8</f>
        <v>0</v>
      </c>
      <c r="HF8" s="560"/>
      <c r="HG8" s="560">
        <f>IF(HK8&gt;=3888.8,DC8,0)</f>
        <v>0</v>
      </c>
      <c r="HH8" s="560" t="str">
        <f>IF(AND(HK8&lt;3888.8,GJ8&gt;0),"P","")</f>
        <v/>
      </c>
      <c r="HI8" s="560">
        <f>IF(GK8="P",Lookup!$N$12,IF(GK8="PP",Lookup!$N$13,IF(GK8="PPP",Lookup!$N$14,IF(GK8="T",Lookup!$N$15,IF(GK8="TP",Lookup!$N$16,IF(GK8="TPP",Lookup!$N$17,IF(GK8="TPPP",Lookup!$N$18,0)))))))*GJ8</f>
        <v>0</v>
      </c>
      <c r="HJ8" s="545">
        <f t="shared" ref="HJ8:HJ17" si="61">IF(HH8="P",MIN(HI8,7/36*GE8-HL8),0)</f>
        <v>0</v>
      </c>
      <c r="HK8" s="560">
        <f t="shared" ref="HK8:HK17" si="62">HL8*MGtoAF</f>
        <v>0</v>
      </c>
      <c r="HL8" s="560">
        <f>(IF(AND(GB8="Y",B8=GD8),1267.5,(IF(AND(B8&lt;GF8,B8&gt;=GC8),MIN(DI7+DC8-DB8,7/36*GE8),IF(B8=GF8,7/36*GG8,IF(AND(B8&gt;GF8,B8&lt;GH8),MIN(DI7+DC8-DB8,7/36*GG8),IF(B8&gt;=GH8,0,0)))))))+DV8</f>
        <v>0</v>
      </c>
      <c r="HM8" s="560"/>
    </row>
    <row r="9" spans="1:221">
      <c r="A9" s="580" t="s">
        <v>3</v>
      </c>
      <c r="B9" s="556">
        <v>41637</v>
      </c>
      <c r="C9" s="557">
        <v>0</v>
      </c>
      <c r="D9" s="529">
        <f t="shared" si="0"/>
        <v>300</v>
      </c>
      <c r="E9" s="529">
        <f t="shared" si="1"/>
        <v>250</v>
      </c>
      <c r="F9" s="529">
        <v>250</v>
      </c>
      <c r="G9" s="560">
        <f>DR9+Sheet1!CZ11</f>
        <v>1210.7261724657383</v>
      </c>
      <c r="H9" s="914">
        <f t="shared" si="2"/>
        <v>515.65019788185316</v>
      </c>
      <c r="I9" s="559">
        <f>MAX(Sheet1!Z11-AT9+(Sheet1!DA11-E9)*CFStoMGD,0)</f>
        <v>964.50799999999992</v>
      </c>
      <c r="J9" s="562">
        <f>IF(AND(B9&gt;=Calculation!GC9,B9&lt;=Calculation!GD9),IF(Sheet1!DB11&gt;=Calculation!D9,64.64,0),MAX(Sheet1!Z11-AT9+(Sheet1!DB11-D9)*CFStoMGD,0))</f>
        <v>576.66799999999989</v>
      </c>
      <c r="K9" s="904">
        <f t="shared" si="3"/>
        <v>64.64</v>
      </c>
      <c r="L9" s="560">
        <f>Sheet1!AA11+Sheet1!AB11-Sheet1!L11+(Sheet1!DA11-F9)*CFStoMGD</f>
        <v>950.20799999999997</v>
      </c>
      <c r="M9" s="560">
        <f t="shared" si="4"/>
        <v>798.26566583949034</v>
      </c>
      <c r="N9" s="910">
        <f>IF(Sheet1!DA11&gt;=F9,MIN(73,MIN(MAX(L9,0),MAX(M9,0))),0)</f>
        <v>73</v>
      </c>
      <c r="O9" s="563">
        <f>Sheet1!AA11+Sheet1!AB11</f>
        <v>35.22</v>
      </c>
      <c r="P9" s="563">
        <f t="shared" si="5"/>
        <v>54.485339999999994</v>
      </c>
      <c r="Q9" s="898">
        <f t="shared" ref="Q9:Q72" si="63">IF(OR(Y9="FALSE",AND(B9&gt;=FV9,B9&lt;=FW9)),O9-S9-U9,0)</f>
        <v>0</v>
      </c>
      <c r="R9" s="829">
        <f t="shared" ref="R9:R17" si="64">IF(AND(B9&gt;=GF9,B9&lt;=GH9),MAX(EB9,EF9),EB9)</f>
        <v>2.4975376389475166</v>
      </c>
      <c r="S9" s="898">
        <f t="shared" ref="S9:S72" si="65">IF(OR(B9&lt;GC9,B9&gt;GH9),MIN(O9,K9),IF(AND(B9&gt;=FV9,B9&lt;=FW9),0,IF(AND(B9&gt;=GC9,B9&lt;=GD9),DL9,IF(AND(B9&gt;GD9,B9&lt;FV9),MIN(K9,O9),0))))</f>
        <v>35.22</v>
      </c>
      <c r="T9" s="898">
        <f t="shared" ref="T9:T72" si="66">IF(OR(B9&lt;GC9,B9&gt;GD9),0, K9-DL9)</f>
        <v>0</v>
      </c>
      <c r="U9" s="898">
        <f t="shared" si="6"/>
        <v>0</v>
      </c>
      <c r="V9" s="898"/>
      <c r="W9" s="898">
        <f t="shared" ref="W9:W72" si="67">MAX(K9-DJ9,0)</f>
        <v>62.14246236105248</v>
      </c>
      <c r="X9" s="898">
        <f t="shared" ref="X9:X72" si="68">S9+T9</f>
        <v>35.22</v>
      </c>
      <c r="Y9" s="898" t="str">
        <f t="shared" ref="Y9:Y72" si="69">IF(OR(O9&gt;K9,AND(B9&gt;=GC9,B9&lt;=GD9),), "FALSE","")</f>
        <v/>
      </c>
      <c r="Z9" s="898">
        <f t="shared" ref="Z9:Z72" si="70">O9</f>
        <v>35.22</v>
      </c>
      <c r="AA9" s="898">
        <f t="shared" ref="AA9:AA72" si="71">Q9+S9+U9</f>
        <v>35.22</v>
      </c>
      <c r="AB9" s="898" t="str">
        <f t="shared" ref="AB9:AB72" si="72">IF(OR(Z9-AA9&lt;-0.1,Z9-AA9&gt;0.1),"BAD ENGINEER","")</f>
        <v/>
      </c>
      <c r="AC9" s="563">
        <f>Sheet1!Y11*MGDtoCFS</f>
        <v>32.533410000000003</v>
      </c>
      <c r="AD9" s="563">
        <f>Sheet1!Z11*MGDtoCFS</f>
        <v>22.1221</v>
      </c>
      <c r="AE9" s="563">
        <f>Sheet1!AA11*MGDtoCFS</f>
        <v>32.517939999999996</v>
      </c>
      <c r="AF9" s="563">
        <f>Sheet1!AB11*MGDtoCFS</f>
        <v>21.967399999999998</v>
      </c>
      <c r="AG9" s="563">
        <f>Sheet1!L11*MGDtoCFS</f>
        <v>54.485339999999994</v>
      </c>
      <c r="AH9" s="545">
        <f t="shared" ref="AH9:AH17" si="73">AU9+BN9+CI9+DB9</f>
        <v>0</v>
      </c>
      <c r="AI9" s="560">
        <f t="shared" si="7"/>
        <v>0</v>
      </c>
      <c r="AJ9" s="560">
        <f t="shared" ref="AJ9:AJ17" si="74">IF(B9&gt;=GC9,IF(B9&lt;=GD9,K9-EB9,0),0)</f>
        <v>0</v>
      </c>
      <c r="AK9" s="560">
        <f t="shared" si="8"/>
        <v>0</v>
      </c>
      <c r="AL9" s="560">
        <f>(VLOOKUP(Sheet1!DC11,hhdcap_wcm,4)-(((VLOOKUP(Sheet1!DC11,hhdcap_wcm,3)-Sheet1!DC11)/(VLOOKUP(Sheet1!DC11,hhdcap_wcm,3)-VLOOKUP(Sheet1!DC11,hhdcap_wcm,1)))*(VLOOKUP(Sheet1!DC11,hhdcap_wcm,4)-VLOOKUP(Sheet1!DC11,hhdcap_wcm,2))))</f>
        <v>1467.800000003788</v>
      </c>
      <c r="AM9" s="560">
        <f t="shared" ref="AM9:AM17" si="75">AL9-AL8</f>
        <v>-157.20000000044115</v>
      </c>
      <c r="AN9" s="560">
        <f t="shared" si="9"/>
        <v>0</v>
      </c>
      <c r="AO9" s="560">
        <f t="shared" si="10"/>
        <v>0</v>
      </c>
      <c r="AP9" s="560">
        <f>Sheet1!BA11+Sheet1!BB11+Sheet1!BN11+CD9</f>
        <v>11.713999999999999</v>
      </c>
      <c r="AQ9" s="560">
        <f>Sheet1!BN11+(DO9*Sheet1!BN11)</f>
        <v>10.689461094695371</v>
      </c>
      <c r="AR9" s="560">
        <f>Sheet1!BA11+CD9</f>
        <v>0</v>
      </c>
      <c r="AS9" s="560">
        <f>Sheet1!BA11+Sheet1!BB11+CD9</f>
        <v>1.014</v>
      </c>
      <c r="AT9" s="698">
        <f>0</f>
        <v>0</v>
      </c>
      <c r="AU9" s="560">
        <f>IF(EB9&lt;K9,0,MAX(Sheet1!AA11+AQ9-15/36*K9-N9,Sheet1!EH11,0))</f>
        <v>0</v>
      </c>
      <c r="AV9" s="560">
        <f>IF(OR(B9&gt;=GD9,B9&lt;GC9),0,15/36*K9-MAX(0,64.6-(137.6-(Sheet1!AA11+Sheet1!AB11))))</f>
        <v>0</v>
      </c>
      <c r="AW9" s="698">
        <f>Sheet1!DB11-110</f>
        <v>1060</v>
      </c>
      <c r="AX9" s="698">
        <f>Sheet1!DA11-265</f>
        <v>1455</v>
      </c>
      <c r="AY9" s="698">
        <f t="shared" si="11"/>
        <v>73</v>
      </c>
      <c r="AZ9" s="698">
        <v>0</v>
      </c>
      <c r="BA9" s="698">
        <f t="shared" si="12"/>
        <v>0</v>
      </c>
      <c r="BB9" s="560">
        <f t="shared" si="13"/>
        <v>0</v>
      </c>
      <c r="BC9" s="560"/>
      <c r="BD9" s="560">
        <f ca="1">IF(B9&gt;Summary!$A$1,#N/A,BB9*MGtoAF)</f>
        <v>0</v>
      </c>
      <c r="BE9" s="560">
        <f>Sheet1!BG11+Sheet1!BH11+Sheet1!BI11-BM9</f>
        <v>0</v>
      </c>
      <c r="BF9" s="560">
        <f t="shared" si="14"/>
        <v>0</v>
      </c>
      <c r="BG9" s="560">
        <f>IF(Sheet1!EP11="FM",BM9,0)</f>
        <v>0</v>
      </c>
      <c r="BH9" s="560">
        <f t="shared" si="15"/>
        <v>0</v>
      </c>
      <c r="BI9" s="560">
        <f>IF(Sheet1!EP11="OTHER",BM9,0)</f>
        <v>0</v>
      </c>
      <c r="BJ9" s="560">
        <f t="shared" si="16"/>
        <v>0</v>
      </c>
      <c r="BK9" s="560">
        <f t="shared" si="17"/>
        <v>0</v>
      </c>
      <c r="BL9" s="560">
        <f t="shared" si="18"/>
        <v>0</v>
      </c>
      <c r="BM9" s="560">
        <f>IF(OR(Sheet1!EP11="FM", Sheet1!EP11="OTHER"),SUM(Sheet1!BG11:'Sheet1'!BI11),0)</f>
        <v>0</v>
      </c>
      <c r="BN9" s="545">
        <f>IF(AND($B9&gt;=$FV9,$B9&lt;=$FW9),MAX(BF9,Sheet1!EI11,0),MAX(BF9-(7/36)*$K9,0))</f>
        <v>0</v>
      </c>
      <c r="BO9" s="560">
        <f t="shared" si="19"/>
        <v>0</v>
      </c>
      <c r="BP9" s="545">
        <f t="shared" si="20"/>
        <v>0</v>
      </c>
      <c r="BQ9" s="545">
        <f>IF(AND($O9&gt;0,Sheet1!EM11=1),(1-($O9-Sheet1!$L11)/$O9)*BL9,0)</f>
        <v>0</v>
      </c>
      <c r="BR9" s="545">
        <f>IF(AND(Sheet1!$L11=0,Sheet1!$L10=0, Calculation!BK9&lt;Sheet1!$EI11-0.1,Sheet1!$EI11=Sheet1!$EI10,Sheet1!$EI11=Sheet1!$EI12),Sheet1!$EI11,BL9-BQ9)</f>
        <v>0</v>
      </c>
      <c r="BS9" s="560"/>
      <c r="BT9" s="560"/>
      <c r="BU9" s="560">
        <f t="shared" si="21"/>
        <v>0</v>
      </c>
      <c r="BV9" s="560"/>
      <c r="BW9" s="560">
        <f ca="1">IF(B9&gt;Summary!$A$1,#N/A,BU9*MGtoAF)</f>
        <v>0</v>
      </c>
      <c r="BX9" s="560">
        <f>Sheet1!BC11+Sheet1!BD11+Sheet1!BE11+Sheet1!BF11-CG9-CH9</f>
        <v>2.5</v>
      </c>
      <c r="BY9" s="560">
        <f t="shared" si="22"/>
        <v>2.4975376389475166</v>
      </c>
      <c r="BZ9" s="560">
        <f>IF(Sheet1!EQ11="FM",CH9,0)</f>
        <v>0</v>
      </c>
      <c r="CA9" s="560">
        <f t="shared" si="23"/>
        <v>0</v>
      </c>
      <c r="CB9" s="560">
        <f>IF(Sheet1!EQ11="OTHER",CH9,0)</f>
        <v>0</v>
      </c>
      <c r="CC9" s="560">
        <f t="shared" si="24"/>
        <v>0</v>
      </c>
      <c r="CD9" s="560">
        <f t="shared" si="25"/>
        <v>0</v>
      </c>
      <c r="CE9" s="560">
        <f t="shared" si="26"/>
        <v>2.5</v>
      </c>
      <c r="CF9" s="560">
        <f t="shared" si="27"/>
        <v>2.4975376389475166</v>
      </c>
      <c r="CG9" s="560">
        <f>IF(Sheet1!EQ11="CWA",SUM(Sheet1!BC11:'Sheet1'!BF11),0)</f>
        <v>0</v>
      </c>
      <c r="CH9" s="560">
        <f>IF(OR(Sheet1!EQ11="FM", Sheet1!EQ11="OTHER"),SUM(Sheet1!BC11:'Sheet1'!BF11),0)</f>
        <v>0</v>
      </c>
      <c r="CI9" s="545">
        <f>IF(AND($B9&gt;=$FV9,$B9&lt;=$FW9),MAX(CF9,Sheet1!EJ11,0),MAX(CF9-(7/36)*$K9,0))</f>
        <v>0</v>
      </c>
      <c r="CJ9" s="560">
        <f t="shared" si="28"/>
        <v>0</v>
      </c>
      <c r="CK9" s="545">
        <f t="shared" si="29"/>
        <v>2.4975376389475166</v>
      </c>
      <c r="CL9" s="545">
        <f>IF(AND($O9&gt;0,Sheet1!EN11=1),(1-($O9-Sheet1!$L11)/$O9)*CF9,0)</f>
        <v>0</v>
      </c>
      <c r="CM9" s="545">
        <f>IF(AND(Sheet1!$L11=0,Sheet1!$L10=0, Calculation!CE9&lt;Sheet1!EJ11-0.1,Sheet1!EJ11=Sheet1!EJ10,Sheet1!EJ11=Sheet1!EJ12),Sheet1!EJ11,CF9-CL9)</f>
        <v>2.4975376389475166</v>
      </c>
      <c r="CN9" s="545"/>
      <c r="CO9" s="560"/>
      <c r="CP9" s="560">
        <f t="shared" si="30"/>
        <v>0</v>
      </c>
      <c r="CQ9" s="560"/>
      <c r="CR9" s="560">
        <f ca="1">IF(B9&gt;Summary!$A$1,#N/A,CP9*MGtoAF)</f>
        <v>0</v>
      </c>
      <c r="CS9" s="560">
        <f>Sheet1!BK11+Sheet1!BL11+Sheet1!BM11-Sheet1!ER11-DA9</f>
        <v>0</v>
      </c>
      <c r="CT9" s="560">
        <f t="shared" si="31"/>
        <v>0</v>
      </c>
      <c r="CU9" s="560">
        <f>IF(Sheet1!ER11="FM",DA9,0)</f>
        <v>0</v>
      </c>
      <c r="CV9" s="560">
        <f t="shared" si="32"/>
        <v>0</v>
      </c>
      <c r="CW9" s="560">
        <f>IF(Sheet1!ER11="OTHER",DA9,0)</f>
        <v>0</v>
      </c>
      <c r="CX9" s="560">
        <f t="shared" si="33"/>
        <v>0</v>
      </c>
      <c r="CY9" s="560">
        <f t="shared" si="34"/>
        <v>0</v>
      </c>
      <c r="CZ9" s="560">
        <f t="shared" si="35"/>
        <v>0</v>
      </c>
      <c r="DA9" s="560">
        <f>IF(OR(Sheet1!ER11="FM", Sheet1!ER11="OTHER"),SUM(Sheet1!BK11:'Sheet1'!BM11),0)</f>
        <v>0</v>
      </c>
      <c r="DB9" s="545">
        <f>IF(AND($B9&gt;=$FV9,$B9&lt;=$FW9),MAX($CT9,Sheet1!EK11,0),MAX($CT9-(7/36)*$K9,0))</f>
        <v>0</v>
      </c>
      <c r="DC9" s="560">
        <f t="shared" si="36"/>
        <v>0</v>
      </c>
      <c r="DD9" s="545">
        <f t="shared" si="37"/>
        <v>0</v>
      </c>
      <c r="DE9" s="545">
        <f>IF(AND($O9&gt;0,Sheet1!EO11=1),(1-($O9-Sheet1!$L11)/$O9)*CZ9,0)</f>
        <v>0</v>
      </c>
      <c r="DF9" s="545">
        <f>IF(AND(Sheet1!$L11=0,Sheet1!$L10=0, Calculation!CY9&lt;Sheet1!$EK11-0.1,Sheet1!$EK11=Sheet1!$EK10,Sheet1!$EK11=Sheet1!$EK12),Sheet1!$EK11,CZ9-DE9)</f>
        <v>0</v>
      </c>
      <c r="DG9" s="545"/>
      <c r="DH9" s="560">
        <f t="shared" si="38"/>
        <v>2.5</v>
      </c>
      <c r="DI9" s="560">
        <f t="shared" si="39"/>
        <v>0</v>
      </c>
      <c r="DJ9" s="698">
        <f t="shared" si="40"/>
        <v>2.4975376389475166</v>
      </c>
      <c r="DK9" s="560">
        <f ca="1">IF(B9&gt;Summary!$A$1,#N/A,DI9*MGtoAF)</f>
        <v>0</v>
      </c>
      <c r="DL9" s="698">
        <f t="shared" si="41"/>
        <v>2.5</v>
      </c>
      <c r="DM9" s="560">
        <f t="shared" si="42"/>
        <v>14.213999999999999</v>
      </c>
      <c r="DN9" s="560">
        <f>Sheet1!AB11-DM9</f>
        <v>-1.3999999999999346E-2</v>
      </c>
      <c r="DO9" s="823">
        <f t="shared" si="43"/>
        <v>-9.8494442099334085E-4</v>
      </c>
      <c r="DP9" s="560">
        <f>(VLOOKUP(Sheet1!DC11,hhdcap_wcm,4)-(((VLOOKUP(Sheet1!DC11,hhdcap_wcm,3)-Sheet1!DC11)/(VLOOKUP(Sheet1!DC11,hhdcap_wcm,3)-VLOOKUP(Sheet1!DC11,hhdcap_wcm,1)))*(VLOOKUP(Sheet1!DC11,hhdcap_wcm,4)-VLOOKUP(Sheet1!DC11,hhdcap_wcm,2))))</f>
        <v>1467.800000003788</v>
      </c>
      <c r="DQ9" s="560">
        <f t="shared" ref="DQ9:DQ17" si="76">DP9-DP8</f>
        <v>-157.20000000044115</v>
      </c>
      <c r="DR9" s="560">
        <f t="shared" si="44"/>
        <v>-79.273827534261784</v>
      </c>
      <c r="DS9" s="560">
        <f>Sheet1!EA11*AFtoMG</f>
        <v>0</v>
      </c>
      <c r="DT9" s="560">
        <f>Sheet1!EB11*AFtoMG</f>
        <v>0</v>
      </c>
      <c r="DU9" s="560">
        <f>Sheet1!EC11*AFtoMG</f>
        <v>0</v>
      </c>
      <c r="DV9" s="560">
        <f>Sheet1!ED11*AFtoMG</f>
        <v>0</v>
      </c>
      <c r="DW9" s="560">
        <f t="shared" si="45"/>
        <v>0</v>
      </c>
      <c r="DX9" s="560">
        <f t="shared" si="46"/>
        <v>0</v>
      </c>
      <c r="DY9" s="560">
        <f t="shared" si="47"/>
        <v>0</v>
      </c>
      <c r="DZ9" s="560">
        <f t="shared" si="48"/>
        <v>0</v>
      </c>
      <c r="EA9" s="560"/>
      <c r="EB9" s="545">
        <f>IF(OR(B9&lt;FV9,B9&gt;FW9),(MIN(BF9+BY9+CT9+MAX(Sheet1!AA11+AQ9-73,0),K9)),0)</f>
        <v>2.4975376389475166</v>
      </c>
      <c r="EC9" s="560"/>
      <c r="ED9" s="560">
        <f t="shared" si="49"/>
        <v>2.4975376389475166</v>
      </c>
      <c r="EE9" s="560"/>
      <c r="EF9" s="560">
        <f>Sheet1!EH11+Sheet1!EI11+Sheet1!EJ11+Sheet1!EK11</f>
        <v>2.5</v>
      </c>
      <c r="EG9" s="560"/>
      <c r="EH9" s="545">
        <f t="shared" si="50"/>
        <v>0</v>
      </c>
      <c r="EI9" s="560">
        <f>IF(Sheet1!ET11=1,SUM('Calculations II'!AT9:BA9)+'Calculations II'!BC9+Sheet1!BV11+'Calculations II'!BE9+AP9,SUM('Calculations II'!AT9:BA9)+'Calculations II'!BC9+Sheet1!BV11+'Calculations II'!BE9+AP9)</f>
        <v>47.764575999999998</v>
      </c>
      <c r="EJ9" s="560">
        <f>Sheet1!AA11+Sheet1!AB11+'Calculations II'!BC9</f>
        <v>51.122064000000002</v>
      </c>
      <c r="EK9" s="560"/>
      <c r="EL9" s="560"/>
      <c r="EM9" s="560">
        <f t="shared" si="51"/>
        <v>41637</v>
      </c>
      <c r="EN9" s="560">
        <f t="shared" si="52"/>
        <v>0</v>
      </c>
      <c r="EO9" s="560">
        <f t="shared" si="53"/>
        <v>0</v>
      </c>
      <c r="EP9" s="560">
        <v>0</v>
      </c>
      <c r="EQ9" s="560">
        <v>0</v>
      </c>
      <c r="ER9" s="560">
        <v>0</v>
      </c>
      <c r="ES9" s="545">
        <f t="shared" ref="ES9:ES72" si="77">ET9+EU9</f>
        <v>-3.461356853645563</v>
      </c>
      <c r="ET9" s="560">
        <f>-(VLOOKUP(Sheet1!BQ11,Lookup!$O$4:$Q$262,2)-VLOOKUP(Sheet1!BQ10,Lookup!$O$4:$Q$262,2))/1000000</f>
        <v>-1.6614712803813367</v>
      </c>
      <c r="EU9" s="560">
        <f>-(VLOOKUP(Sheet1!BR11,Lookup!$O$4:$Q$262,3)-VLOOKUP(Sheet1!BR10,Lookup!$O$4:$Q$262,3))/1000000</f>
        <v>-1.7998855732642263</v>
      </c>
      <c r="EV9" s="560"/>
      <c r="EW9" s="560"/>
      <c r="EX9" s="560"/>
      <c r="EY9" s="560"/>
      <c r="EZ9" s="560"/>
      <c r="FA9" s="560"/>
      <c r="FB9" s="560"/>
      <c r="FC9" s="560"/>
      <c r="FD9" s="594" t="e">
        <f t="shared" ref="FD9:FD17" si="78">VLOOKUP(FJ8,hhdelev_wcm,4) -(((VLOOKUP(FJ8,hhdelev_wcm,3)-FJ8)/(VLOOKUP(FJ8,hhdelev_wcm,3)-VLOOKUP(FJ8,hhdelev_wcm,1)))*(VLOOKUP(FJ8,hhdelev_wcm,4)-VLOOKUP(FJ8,hhdelev_wcm,2)))</f>
        <v>#N/A</v>
      </c>
      <c r="FE9" s="594" t="e">
        <f t="shared" ref="FE9:FE17" si="79">MAX((FE8-FI9*1.983),0)</f>
        <v>#N/A</v>
      </c>
      <c r="FF9" s="595" t="e">
        <f t="shared" si="54"/>
        <v>#N/A</v>
      </c>
      <c r="FG9" s="596" t="s">
        <v>691</v>
      </c>
      <c r="FH9" s="596" t="s">
        <v>691</v>
      </c>
      <c r="FI9" s="594" t="e">
        <v>#N/A</v>
      </c>
      <c r="FJ9" s="594" t="e">
        <v>#N/A</v>
      </c>
      <c r="FK9" s="560"/>
      <c r="FL9" s="560"/>
      <c r="FM9" s="560"/>
      <c r="FN9" s="560"/>
      <c r="FO9" s="560">
        <f>O9+((Sheet1!CS11)*GPMtoMGD)</f>
        <v>51.122064000000002</v>
      </c>
      <c r="FP9" s="560">
        <f>IF(Sheet1!AA11+AQ9&lt;=Calculation!N9,AQ9,Calculation!N9-Sheet1!AA11)</f>
        <v>10.689461094695371</v>
      </c>
      <c r="FQ9" s="560">
        <f>(Sheet1!BP11+Sheet1!BO11)/694.4</f>
        <v>0.34735023041474655</v>
      </c>
      <c r="FR9" s="560"/>
      <c r="FS9" s="560"/>
      <c r="FT9" s="560"/>
      <c r="FU9" s="560"/>
      <c r="FV9" s="695">
        <f t="shared" ref="FV9:FV72" si="80">$FV$4</f>
        <v>41827</v>
      </c>
      <c r="FW9" s="695">
        <f t="shared" ref="FW9:FW72" si="81">$FW$4</f>
        <v>41934</v>
      </c>
      <c r="FX9" s="560"/>
      <c r="FY9" s="560"/>
      <c r="FZ9" s="560"/>
      <c r="GA9" s="560"/>
      <c r="GB9" s="560" t="str">
        <f t="shared" ref="GB9:GB72" si="82">$GB$4</f>
        <v>n</v>
      </c>
      <c r="GC9" s="564">
        <f t="shared" ref="GC9:GC72" si="83">$GC$4</f>
        <v>41691</v>
      </c>
      <c r="GD9" s="695">
        <f t="shared" ref="GD9:GD72" si="84">$GD$4</f>
        <v>41807</v>
      </c>
      <c r="GE9" s="560">
        <v>6518.9</v>
      </c>
      <c r="GF9" s="695">
        <f t="shared" ref="GF9:GF72" si="85">$GF$4</f>
        <v>41808</v>
      </c>
      <c r="GG9" s="560">
        <f t="shared" ref="GG9" si="86">GG8</f>
        <v>3259</v>
      </c>
      <c r="GH9" s="564">
        <f t="shared" ref="GH9:GH72" si="87">$GH$4</f>
        <v>41934</v>
      </c>
      <c r="GJ9" s="545">
        <f t="shared" ref="GJ9:GJ72" si="88">IF(AND(B9&gt;=GD9,B9&lt;GF9),AFtoMG*(20000-AO8),GL9+GZ9+GS9+HG9)</f>
        <v>0</v>
      </c>
      <c r="GK9" s="560" t="str">
        <f t="shared" si="55"/>
        <v/>
      </c>
      <c r="GL9" s="560">
        <f t="shared" ref="GL9:GL72" si="89">IF(GP9&gt;=8333.3,AV9,0)</f>
        <v>0</v>
      </c>
      <c r="GM9" s="560" t="str">
        <f t="shared" ref="GM9:GM72" si="90">IF(AND(GP9&lt;8333.3,GJ9&gt;0),"T","")</f>
        <v/>
      </c>
      <c r="GN9" s="560">
        <f>IF(GK9="P",Lookup!$M$12,IF(GK9="PP",Lookup!$M$13,IF(GK9="PPP",Lookup!$M$14,IF(GK9="T",Lookup!$M$15,IF(GK9="TP",Lookup!$M$16,IF(GK9="TPP",Lookup!$M$17,IF(GK9="TPPP",Lookup!$M$18,0)))))))*GJ9</f>
        <v>0</v>
      </c>
      <c r="GO9" s="560">
        <f t="shared" ref="GO9:GO72" si="91">IF(GM9="T", MIN(GN9, 2716.2-$GQ9),0)</f>
        <v>0</v>
      </c>
      <c r="GP9" s="560">
        <f t="shared" si="56"/>
        <v>0</v>
      </c>
      <c r="GQ9" s="560">
        <f>(IF(AND(GB8="Y",B9=GD9),2716.2,(IF(AND(B9&lt;GF9,B9&gt;=GC9),MIN(BB8+AV9-AU9,15/36*GE9),IF(B9=GF9,15/36*GG9,IF(AND(B9&gt;GF9,B9&lt;GH9),MIN(BB8+AV9-AU9,15/36*GG9),IF(B9&gt;=GH9,0,0)))))))+DS9</f>
        <v>0</v>
      </c>
      <c r="GR9" s="560"/>
      <c r="GS9" s="560">
        <f t="shared" ref="GS9:GS72" si="92">IF(GW9&gt;=3888.8,BO9,0)</f>
        <v>0</v>
      </c>
      <c r="GT9" s="560" t="str">
        <f t="shared" ref="GT9:GT72" si="93">IF(AND(GW9&lt;3888.8,GJ9&gt;0),"P","")</f>
        <v/>
      </c>
      <c r="GU9" s="560">
        <f>IF(GK9="P",Lookup!$N$12,IF(GK9="PP",Lookup!$N$13,IF(GK9="PPP",Lookup!$N$14,IF(GK9="T",Lookup!$N$15,IF(GK9="TP",Lookup!$N$16,IF(GK9="TPP",Lookup!$N$17,IF(GK9="TPPP",Lookup!$N$18,0)))))))*GJ9</f>
        <v>0</v>
      </c>
      <c r="GV9" s="560">
        <f t="shared" si="57"/>
        <v>0</v>
      </c>
      <c r="GW9" s="560">
        <f t="shared" si="58"/>
        <v>0</v>
      </c>
      <c r="GX9" s="560">
        <f>(IF(AND(GB9="Y",B9=GD9),1267.5,(IF(AND(B9&lt;GF9,B9&gt;=GC9),MIN(BU8+BO9-BN9,7/36*GE9),IF(B9=GF9,7/36*GG9,IF(AND(B9&gt;GF9,B9&lt;GH9),MIN(BU8+BO9-BN9,7/36*GG9),IF(B9&gt;=GH9,0,0)))))))+DT9</f>
        <v>0</v>
      </c>
      <c r="GY9" s="560"/>
      <c r="GZ9" s="560">
        <f t="shared" ref="GZ9:GZ72" si="94">IF(HD9&gt;=3888.8,CJ9,0)</f>
        <v>0</v>
      </c>
      <c r="HA9" s="560" t="str">
        <f t="shared" ref="HA9:HA72" si="95">IF(AND(HD9&lt;3888.8,GJ9&gt;0),"P","")</f>
        <v/>
      </c>
      <c r="HB9" s="560">
        <f>IF(GK9="P",Lookup!$N$12,IF(GK9="PP",Lookup!$N$13,IF(GK9="PPP",Lookup!$N$14,IF(GK9="T",Lookup!$N$15,IF(GK9="TP",Lookup!$N$16,IF(GK9="TPP",Lookup!$N$17,IF(GK9="TPPP",Lookup!$N$18,0)))))))*GJ9</f>
        <v>0</v>
      </c>
      <c r="HC9" s="545">
        <f t="shared" si="59"/>
        <v>0</v>
      </c>
      <c r="HD9" s="560">
        <f t="shared" si="60"/>
        <v>0</v>
      </c>
      <c r="HE9" s="560">
        <f>(IF(AND(GB9="Y",B9=GD9),1267.5,IF(AND(B9&lt;GF9,B9&gt;=GC9),MIN(CP8+CJ9-CI9,7/36*GE9),IF(B9=GF9,7/36*GG9,IF(AND(B9&gt;GF9,B9&lt;GH9),MIN(CP8+CJ9-CI9,7/36*GG9),IF(B9&gt;=GH9,0,0))))))+DU9</f>
        <v>0</v>
      </c>
      <c r="HF9" s="560"/>
      <c r="HG9" s="560">
        <f t="shared" ref="HG9:HG72" si="96">IF(HK9&gt;=3888.8,DC9,0)</f>
        <v>0</v>
      </c>
      <c r="HH9" s="560" t="str">
        <f t="shared" ref="HH9:HH72" si="97">IF(AND(HK9&lt;3888.8,GJ9&gt;0),"P","")</f>
        <v/>
      </c>
      <c r="HI9" s="560">
        <f>IF(GK9="P",Lookup!$N$12,IF(GK9="PP",Lookup!$N$13,IF(GK9="PPP",Lookup!$N$14,IF(GK9="T",Lookup!$N$15,IF(GK9="TP",Lookup!$N$16,IF(GK9="TPP",Lookup!$N$17,IF(GK9="TPPP",Lookup!$N$18,0)))))))*GJ9</f>
        <v>0</v>
      </c>
      <c r="HJ9" s="545">
        <f t="shared" si="61"/>
        <v>0</v>
      </c>
      <c r="HK9" s="560">
        <f t="shared" si="62"/>
        <v>0</v>
      </c>
      <c r="HL9" s="560">
        <f>(IF(AND(GB9="Y",B9=GD9),1267.5,(IF(AND(B9&lt;GF9,B9&gt;=GC9),MIN(DI8+DC9-DB9,7/36*GE9),IF(B9=GF9,7/36*GG9,IF(AND(B9&gt;GF9,B9&lt;GH9),MIN(DI8+DC9-DB9,7/36*GG9),IF(B9&gt;=GH9,0,0)))))))+DV9</f>
        <v>0</v>
      </c>
      <c r="HM9" s="560"/>
    </row>
    <row r="10" spans="1:221">
      <c r="A10" s="580" t="s">
        <v>4</v>
      </c>
      <c r="B10" s="556">
        <v>41638</v>
      </c>
      <c r="C10" s="557">
        <v>0</v>
      </c>
      <c r="D10" s="529">
        <f t="shared" si="0"/>
        <v>300</v>
      </c>
      <c r="E10" s="529">
        <f t="shared" si="1"/>
        <v>250</v>
      </c>
      <c r="F10" s="529">
        <v>250</v>
      </c>
      <c r="G10" s="560">
        <f>DR10+Sheet1!CZ12</f>
        <v>1106.7977811394169</v>
      </c>
      <c r="H10" s="914">
        <f t="shared" si="2"/>
        <v>448.47088572851908</v>
      </c>
      <c r="I10" s="559">
        <f>MAX(Sheet1!Z12-AT10+(Sheet1!DA12-E10)*CFStoMGD,0)</f>
        <v>938.55200000000002</v>
      </c>
      <c r="J10" s="562">
        <f>IF(AND(B10&gt;=Calculation!GC10,B10&lt;=Calculation!GD10),IF(Sheet1!DB12&gt;=Calculation!D10,64.64,0),MAX(Sheet1!Z12-AT10+(Sheet1!DB12-D10)*CFStoMGD,0))</f>
        <v>563.64</v>
      </c>
      <c r="K10" s="904">
        <f t="shared" si="3"/>
        <v>64.64</v>
      </c>
      <c r="L10" s="560">
        <f>Sheet1!AA12+Sheet1!AB12-Sheet1!L12+(Sheet1!DA12-F10)*CFStoMGD</f>
        <v>924.35199999999998</v>
      </c>
      <c r="M10" s="560">
        <f t="shared" si="4"/>
        <v>729.74276744308952</v>
      </c>
      <c r="N10" s="910">
        <f>IF(Sheet1!DA12&gt;=F10,MIN(73,MIN(MAX(L10,0),MAX(M10,0))),0)</f>
        <v>73</v>
      </c>
      <c r="O10" s="563">
        <f>Sheet1!AA12+Sheet1!AB12</f>
        <v>35.25</v>
      </c>
      <c r="P10" s="563">
        <f t="shared" si="5"/>
        <v>54.531749999999995</v>
      </c>
      <c r="Q10" s="898">
        <f t="shared" si="63"/>
        <v>0</v>
      </c>
      <c r="R10" s="829">
        <f t="shared" si="64"/>
        <v>2.866339334424441</v>
      </c>
      <c r="S10" s="898">
        <f t="shared" si="65"/>
        <v>35.25</v>
      </c>
      <c r="T10" s="898">
        <f t="shared" si="66"/>
        <v>0</v>
      </c>
      <c r="U10" s="898">
        <f t="shared" si="6"/>
        <v>0</v>
      </c>
      <c r="V10" s="898"/>
      <c r="W10" s="898">
        <f t="shared" si="67"/>
        <v>61.773660665575562</v>
      </c>
      <c r="X10" s="898">
        <f t="shared" si="68"/>
        <v>35.25</v>
      </c>
      <c r="Y10" s="898" t="str">
        <f t="shared" si="69"/>
        <v/>
      </c>
      <c r="Z10" s="898">
        <f t="shared" si="70"/>
        <v>35.25</v>
      </c>
      <c r="AA10" s="898">
        <f t="shared" si="71"/>
        <v>35.25</v>
      </c>
      <c r="AB10" s="898" t="str">
        <f t="shared" si="72"/>
        <v/>
      </c>
      <c r="AC10" s="563">
        <f>Sheet1!Y12*MGDtoCFS</f>
        <v>32.517939999999996</v>
      </c>
      <c r="AD10" s="563">
        <f>Sheet1!Z12*MGDtoCFS</f>
        <v>21.967399999999998</v>
      </c>
      <c r="AE10" s="563">
        <f>Sheet1!AA12*MGDtoCFS</f>
        <v>32.564349999999997</v>
      </c>
      <c r="AF10" s="563">
        <f>Sheet1!AB12*MGDtoCFS</f>
        <v>21.967399999999998</v>
      </c>
      <c r="AG10" s="563">
        <f>Sheet1!L12*MGDtoCFS</f>
        <v>54.531749999999995</v>
      </c>
      <c r="AH10" s="545">
        <f t="shared" si="73"/>
        <v>0</v>
      </c>
      <c r="AI10" s="560">
        <f t="shared" si="7"/>
        <v>0</v>
      </c>
      <c r="AJ10" s="560">
        <f t="shared" si="74"/>
        <v>0</v>
      </c>
      <c r="AK10" s="560">
        <f t="shared" si="8"/>
        <v>0</v>
      </c>
      <c r="AL10" s="560">
        <f>(VLOOKUP(Sheet1!DC12,hhdcap_wcm,4)-(((VLOOKUP(Sheet1!DC12,hhdcap_wcm,3)-Sheet1!DC12)/(VLOOKUP(Sheet1!DC12,hhdcap_wcm,3)-VLOOKUP(Sheet1!DC12,hhdcap_wcm,1)))*(VLOOKUP(Sheet1!DC12,hhdcap_wcm,4)-VLOOKUP(Sheet1!DC12,hhdcap_wcm,2))))</f>
        <v>1164.0000000032514</v>
      </c>
      <c r="AM10" s="560">
        <f t="shared" si="75"/>
        <v>-303.80000000053656</v>
      </c>
      <c r="AN10" s="560">
        <f t="shared" si="9"/>
        <v>0</v>
      </c>
      <c r="AO10" s="560">
        <f t="shared" si="10"/>
        <v>0</v>
      </c>
      <c r="AP10" s="560">
        <f>Sheet1!BA12+Sheet1!BB12+Sheet1!BN12+CD10</f>
        <v>11.703999999999999</v>
      </c>
      <c r="AQ10" s="560">
        <f>Sheet1!BN12+(DO10*Sheet1!BN12)</f>
        <v>10.361429350791052</v>
      </c>
      <c r="AR10" s="560">
        <f>Sheet1!BA12+CD10</f>
        <v>0</v>
      </c>
      <c r="AS10" s="560">
        <f>Sheet1!BA12+Sheet1!BB12+CD10</f>
        <v>1.004</v>
      </c>
      <c r="AT10" s="698">
        <f>0</f>
        <v>0</v>
      </c>
      <c r="AU10" s="560">
        <f>IF(EB10&lt;K10,0,MAX(Sheet1!AA12+AQ10-15/36*K10-N10,Sheet1!EH12,0))</f>
        <v>0</v>
      </c>
      <c r="AV10" s="560">
        <f>IF(OR(B10&gt;=GD10,B10&lt;GC10),0,15/36*K10-MAX(0,64.6-(137.6-(Sheet1!AA12+Sheet1!AB12))))</f>
        <v>0</v>
      </c>
      <c r="AW10" s="698">
        <f>Sheet1!DB12-110</f>
        <v>1040</v>
      </c>
      <c r="AX10" s="698">
        <f>Sheet1!DA12-265</f>
        <v>1415</v>
      </c>
      <c r="AY10" s="698">
        <f t="shared" si="11"/>
        <v>73</v>
      </c>
      <c r="AZ10" s="698">
        <v>0</v>
      </c>
      <c r="BA10" s="698">
        <f t="shared" si="12"/>
        <v>0</v>
      </c>
      <c r="BB10" s="560">
        <f t="shared" si="13"/>
        <v>0</v>
      </c>
      <c r="BC10" s="560"/>
      <c r="BD10" s="560">
        <f ca="1">IF(B10&gt;Summary!$A$1,#N/A,BB10*MGtoAF)</f>
        <v>0</v>
      </c>
      <c r="BE10" s="560">
        <f>Sheet1!BG12+Sheet1!BH12+Sheet1!BI12-BM10</f>
        <v>0</v>
      </c>
      <c r="BF10" s="560">
        <f t="shared" si="14"/>
        <v>0</v>
      </c>
      <c r="BG10" s="560">
        <f>IF(Sheet1!EP12="FM",BM10,0)</f>
        <v>0</v>
      </c>
      <c r="BH10" s="560">
        <f t="shared" si="15"/>
        <v>0</v>
      </c>
      <c r="BI10" s="560">
        <f>IF(Sheet1!EP12="OTHER",BM10,0)</f>
        <v>0</v>
      </c>
      <c r="BJ10" s="560">
        <f t="shared" si="16"/>
        <v>0</v>
      </c>
      <c r="BK10" s="560">
        <f t="shared" si="17"/>
        <v>0</v>
      </c>
      <c r="BL10" s="560">
        <f t="shared" si="18"/>
        <v>0</v>
      </c>
      <c r="BM10" s="560">
        <f>IF(OR(Sheet1!EP12="FM", Sheet1!EP12="OTHER"),SUM(Sheet1!BG12:'Sheet1'!BI12),0)</f>
        <v>0</v>
      </c>
      <c r="BN10" s="545">
        <f>IF(AND($B10&gt;=$FV10,$B10&lt;=$FW10),MAX(BF10,Sheet1!EI12,0),MAX(BF10-(7/36)*$K10,0))</f>
        <v>0</v>
      </c>
      <c r="BO10" s="560">
        <f t="shared" si="19"/>
        <v>0</v>
      </c>
      <c r="BP10" s="545">
        <f t="shared" si="20"/>
        <v>0</v>
      </c>
      <c r="BQ10" s="545">
        <f>IF(AND($O10&gt;0,Sheet1!EM12=1),(1-($O10-Sheet1!$L12)/$O10)*BL10,0)</f>
        <v>0</v>
      </c>
      <c r="BR10" s="545">
        <f>IF(AND(Sheet1!$L12=0,Sheet1!$L11=0, Calculation!BK10&lt;Sheet1!$EI12-0.1,Sheet1!$EI12=Sheet1!$EI11,Sheet1!$EI12=Sheet1!$EI13),Sheet1!$EI12,BL10-BQ10)</f>
        <v>0</v>
      </c>
      <c r="BS10" s="560"/>
      <c r="BT10" s="560"/>
      <c r="BU10" s="560">
        <f t="shared" si="21"/>
        <v>0</v>
      </c>
      <c r="BV10" s="560"/>
      <c r="BW10" s="560">
        <f ca="1">IF(B10&gt;Summary!$A$1,#N/A,BU10*MGtoAF)</f>
        <v>0</v>
      </c>
      <c r="BX10" s="560">
        <f>Sheet1!BC12+Sheet1!BD12+Sheet1!BE12+Sheet1!BF12-CG10-CH10</f>
        <v>2.96</v>
      </c>
      <c r="BY10" s="560">
        <f t="shared" si="22"/>
        <v>2.866339334424441</v>
      </c>
      <c r="BZ10" s="560">
        <f>IF(Sheet1!EQ12="FM",CH10,0)</f>
        <v>0</v>
      </c>
      <c r="CA10" s="560">
        <f t="shared" si="23"/>
        <v>0</v>
      </c>
      <c r="CB10" s="560">
        <f>IF(Sheet1!EQ12="OTHER",CH10,0)</f>
        <v>0</v>
      </c>
      <c r="CC10" s="560">
        <f t="shared" si="24"/>
        <v>0</v>
      </c>
      <c r="CD10" s="560">
        <f t="shared" si="25"/>
        <v>0</v>
      </c>
      <c r="CE10" s="560">
        <f t="shared" si="26"/>
        <v>2.96</v>
      </c>
      <c r="CF10" s="560">
        <f t="shared" si="27"/>
        <v>2.866339334424441</v>
      </c>
      <c r="CG10" s="560">
        <f>IF(Sheet1!EQ12="CWA",SUM(Sheet1!BC12:'Sheet1'!BF12),0)</f>
        <v>0</v>
      </c>
      <c r="CH10" s="560">
        <f>IF(OR(Sheet1!EQ12="FM", Sheet1!EQ12="OTHER"),SUM(Sheet1!BC12:'Sheet1'!BF12),0)</f>
        <v>0</v>
      </c>
      <c r="CI10" s="545">
        <f>IF(AND($B10&gt;=$FV10,$B10&lt;=$FW10),MAX(CF10,Sheet1!EJ12,0),MAX(CF10-(7/36)*$K10,0))</f>
        <v>0</v>
      </c>
      <c r="CJ10" s="560">
        <f t="shared" si="28"/>
        <v>0</v>
      </c>
      <c r="CK10" s="545">
        <f t="shared" si="29"/>
        <v>2.866339334424441</v>
      </c>
      <c r="CL10" s="545">
        <f>IF(AND($O10&gt;0,Sheet1!EN12=1),(1-($O10-Sheet1!$L12)/$O10)*CF10,0)</f>
        <v>0</v>
      </c>
      <c r="CM10" s="545">
        <f>IF(AND(Sheet1!$L12=0,Sheet1!$L11=0, Calculation!CE10&lt;Sheet1!EJ12-0.1,Sheet1!EJ12=Sheet1!EJ11,Sheet1!EJ12=Sheet1!EJ13),Sheet1!EJ12,CF10-CL10)</f>
        <v>2.866339334424441</v>
      </c>
      <c r="CN10" s="545"/>
      <c r="CO10" s="560"/>
      <c r="CP10" s="560">
        <f t="shared" si="30"/>
        <v>0</v>
      </c>
      <c r="CQ10" s="560"/>
      <c r="CR10" s="560">
        <f ca="1">IF(B10&gt;Summary!$A$1,#N/A,CP10*MGtoAF)</f>
        <v>0</v>
      </c>
      <c r="CS10" s="560">
        <f>Sheet1!BK12+Sheet1!BL12+Sheet1!BM12-Sheet1!ER12-DA10</f>
        <v>0</v>
      </c>
      <c r="CT10" s="560">
        <f t="shared" si="31"/>
        <v>0</v>
      </c>
      <c r="CU10" s="560">
        <f>IF(Sheet1!ER12="FM",DA10,0)</f>
        <v>0</v>
      </c>
      <c r="CV10" s="560">
        <f t="shared" si="32"/>
        <v>0</v>
      </c>
      <c r="CW10" s="560">
        <f>IF(Sheet1!ER12="OTHER",DA10,0)</f>
        <v>0</v>
      </c>
      <c r="CX10" s="560">
        <f t="shared" si="33"/>
        <v>0</v>
      </c>
      <c r="CY10" s="560">
        <f t="shared" si="34"/>
        <v>0</v>
      </c>
      <c r="CZ10" s="560">
        <f t="shared" si="35"/>
        <v>0</v>
      </c>
      <c r="DA10" s="560">
        <f>IF(OR(Sheet1!ER12="FM", Sheet1!ER12="OTHER"),SUM(Sheet1!BK12:'Sheet1'!BM12),0)</f>
        <v>0</v>
      </c>
      <c r="DB10" s="545">
        <f>IF(AND($B10&gt;=$FV10,$B10&lt;=$FW10),MAX($CT10,Sheet1!EK12,0),MAX($CT10-(7/36)*$K10,0))</f>
        <v>0</v>
      </c>
      <c r="DC10" s="560">
        <f t="shared" si="36"/>
        <v>0</v>
      </c>
      <c r="DD10" s="545">
        <f t="shared" si="37"/>
        <v>0</v>
      </c>
      <c r="DE10" s="545">
        <f>IF(AND($O10&gt;0,Sheet1!EO12=1),(1-($O10-Sheet1!$L12)/$O10)*CZ10,0)</f>
        <v>0</v>
      </c>
      <c r="DF10" s="545">
        <f>IF(AND(Sheet1!$L12=0,Sheet1!$L11=0, Calculation!CY10&lt;Sheet1!$EK12-0.1,Sheet1!$EK12=Sheet1!$EK11,Sheet1!$EK12=Sheet1!$EK13),Sheet1!$EK12,CZ10-DE10)</f>
        <v>0</v>
      </c>
      <c r="DG10" s="545"/>
      <c r="DH10" s="560">
        <f t="shared" si="38"/>
        <v>2.96</v>
      </c>
      <c r="DI10" s="560">
        <f t="shared" si="39"/>
        <v>0</v>
      </c>
      <c r="DJ10" s="698">
        <f t="shared" si="40"/>
        <v>2.866339334424441</v>
      </c>
      <c r="DK10" s="560">
        <f ca="1">IF(B10&gt;Summary!$A$1,#N/A,DI10*MGtoAF)</f>
        <v>0</v>
      </c>
      <c r="DL10" s="698">
        <f t="shared" si="41"/>
        <v>2.96</v>
      </c>
      <c r="DM10" s="560">
        <f t="shared" si="42"/>
        <v>14.663999999999998</v>
      </c>
      <c r="DN10" s="560">
        <f>Sheet1!AB12-DM10</f>
        <v>-0.46399999999999864</v>
      </c>
      <c r="DO10" s="823">
        <f t="shared" si="43"/>
        <v>-3.1642116748499642E-2</v>
      </c>
      <c r="DP10" s="560">
        <f>(VLOOKUP(Sheet1!DC12,hhdcap_wcm,4)-(((VLOOKUP(Sheet1!DC12,hhdcap_wcm,3)-Sheet1!DC12)/(VLOOKUP(Sheet1!DC12,hhdcap_wcm,3)-VLOOKUP(Sheet1!DC12,hhdcap_wcm,1)))*(VLOOKUP(Sheet1!DC12,hhdcap_wcm,4)-VLOOKUP(Sheet1!DC12,hhdcap_wcm,2))))</f>
        <v>1164.0000000032514</v>
      </c>
      <c r="DQ10" s="560">
        <f t="shared" si="76"/>
        <v>-303.80000000053656</v>
      </c>
      <c r="DR10" s="560">
        <f t="shared" si="44"/>
        <v>-153.2022188605832</v>
      </c>
      <c r="DS10" s="560">
        <f>Sheet1!EA12*AFtoMG</f>
        <v>0</v>
      </c>
      <c r="DT10" s="560">
        <f>Sheet1!EB12*AFtoMG</f>
        <v>0</v>
      </c>
      <c r="DU10" s="560">
        <f>Sheet1!EC12*AFtoMG</f>
        <v>0</v>
      </c>
      <c r="DV10" s="560">
        <f>Sheet1!ED12*AFtoMG</f>
        <v>0</v>
      </c>
      <c r="DW10" s="560">
        <f t="shared" si="45"/>
        <v>0</v>
      </c>
      <c r="DX10" s="560">
        <f t="shared" si="46"/>
        <v>0</v>
      </c>
      <c r="DY10" s="560">
        <f t="shared" si="47"/>
        <v>0</v>
      </c>
      <c r="DZ10" s="560">
        <f t="shared" si="48"/>
        <v>0</v>
      </c>
      <c r="EA10" s="560"/>
      <c r="EB10" s="545">
        <f>IF(OR(B10&lt;FV10,B10&gt;FW10),(MIN(BF10+BY10+CT10+MAX(Sheet1!AA12+AQ10-73,0),K10)),0)</f>
        <v>2.866339334424441</v>
      </c>
      <c r="EC10" s="560"/>
      <c r="ED10" s="560">
        <f t="shared" si="49"/>
        <v>2.866339334424441</v>
      </c>
      <c r="EE10" s="560"/>
      <c r="EF10" s="560">
        <f>Sheet1!EH12+Sheet1!EI12+Sheet1!EJ12+Sheet1!EK12</f>
        <v>2.5</v>
      </c>
      <c r="EG10" s="560"/>
      <c r="EH10" s="545">
        <f t="shared" si="50"/>
        <v>0</v>
      </c>
      <c r="EI10" s="560">
        <f>IF(Sheet1!ET12=1,SUM('Calculations II'!AT10:BA10)+'Calculations II'!BC10+Sheet1!BV12+'Calculations II'!BE10+AP10,SUM('Calculations II'!AT10:BA10)+'Calculations II'!BC10+Sheet1!BV12+'Calculations II'!BE10+AP10)</f>
        <v>51.221824000000005</v>
      </c>
      <c r="EJ10" s="560">
        <f>Sheet1!AA12+Sheet1!AB12+'Calculations II'!BC10</f>
        <v>49.146864000000001</v>
      </c>
      <c r="EK10" s="560"/>
      <c r="EL10" s="560"/>
      <c r="EM10" s="560">
        <f t="shared" si="51"/>
        <v>41638</v>
      </c>
      <c r="EN10" s="560">
        <f t="shared" si="52"/>
        <v>0</v>
      </c>
      <c r="EO10" s="560">
        <f t="shared" si="53"/>
        <v>0</v>
      </c>
      <c r="EP10" s="560">
        <v>0</v>
      </c>
      <c r="EQ10" s="560">
        <v>0</v>
      </c>
      <c r="ER10" s="560">
        <v>0</v>
      </c>
      <c r="ES10" s="545">
        <f t="shared" si="77"/>
        <v>1.9386074246695115</v>
      </c>
      <c r="ET10" s="560">
        <f>-(VLOOKUP(Sheet1!BQ12,Lookup!$O$4:$Q$262,2)-VLOOKUP(Sheet1!BQ11,Lookup!$O$4:$Q$262,2))/1000000</f>
        <v>0.96930371233475576</v>
      </c>
      <c r="EU10" s="560">
        <f>-(VLOOKUP(Sheet1!BR12,Lookup!$O$4:$Q$262,3)-VLOOKUP(Sheet1!BR11,Lookup!$O$4:$Q$262,3))/1000000</f>
        <v>0.96930371233475576</v>
      </c>
      <c r="EV10" s="560"/>
      <c r="EW10" s="560"/>
      <c r="EX10" s="560"/>
      <c r="EY10" s="560"/>
      <c r="EZ10" s="560"/>
      <c r="FA10" s="560"/>
      <c r="FB10" s="560"/>
      <c r="FC10" s="560"/>
      <c r="FD10" s="594" t="e">
        <f t="shared" si="78"/>
        <v>#N/A</v>
      </c>
      <c r="FE10" s="594" t="e">
        <f t="shared" si="79"/>
        <v>#N/A</v>
      </c>
      <c r="FF10" s="595" t="e">
        <f t="shared" si="54"/>
        <v>#N/A</v>
      </c>
      <c r="FG10" s="596" t="s">
        <v>691</v>
      </c>
      <c r="FH10" s="596" t="s">
        <v>691</v>
      </c>
      <c r="FI10" s="594" t="e">
        <v>#N/A</v>
      </c>
      <c r="FJ10" s="594" t="e">
        <v>#N/A</v>
      </c>
      <c r="FK10" s="560"/>
      <c r="FL10" s="560"/>
      <c r="FM10" s="560"/>
      <c r="FN10" s="560"/>
      <c r="FO10" s="560">
        <f>O10+((Sheet1!CS12)*GPMtoMGD)</f>
        <v>49.146864000000001</v>
      </c>
      <c r="FP10" s="560">
        <f>IF(Sheet1!AA12+AQ10&lt;=Calculation!N10,AQ10,Calculation!N10-Sheet1!AA12)</f>
        <v>10.361429350791052</v>
      </c>
      <c r="FQ10" s="560">
        <f>(Sheet1!BP12+Sheet1!BO12)/694.4</f>
        <v>2.8629032258064515</v>
      </c>
      <c r="FR10" s="560"/>
      <c r="FS10" s="560"/>
      <c r="FT10" s="560"/>
      <c r="FU10" s="560"/>
      <c r="FV10" s="695">
        <f t="shared" si="80"/>
        <v>41827</v>
      </c>
      <c r="FW10" s="695">
        <f t="shared" si="81"/>
        <v>41934</v>
      </c>
      <c r="FX10" s="560"/>
      <c r="FY10" s="560"/>
      <c r="FZ10" s="560"/>
      <c r="GA10" s="560"/>
      <c r="GB10" s="560" t="str">
        <f t="shared" si="82"/>
        <v>n</v>
      </c>
      <c r="GC10" s="564">
        <f t="shared" si="83"/>
        <v>41691</v>
      </c>
      <c r="GD10" s="695">
        <f t="shared" si="84"/>
        <v>41807</v>
      </c>
      <c r="GE10" s="560">
        <v>6518.9</v>
      </c>
      <c r="GF10" s="695">
        <f t="shared" si="85"/>
        <v>41808</v>
      </c>
      <c r="GG10" s="560">
        <f t="shared" ref="GG10:GG17" si="98">GG9</f>
        <v>3259</v>
      </c>
      <c r="GH10" s="564">
        <f t="shared" si="87"/>
        <v>41934</v>
      </c>
      <c r="GJ10" s="545">
        <f t="shared" si="88"/>
        <v>0</v>
      </c>
      <c r="GK10" s="560" t="str">
        <f t="shared" si="55"/>
        <v/>
      </c>
      <c r="GL10" s="560">
        <f t="shared" si="89"/>
        <v>0</v>
      </c>
      <c r="GM10" s="560" t="str">
        <f t="shared" si="90"/>
        <v/>
      </c>
      <c r="GN10" s="560">
        <f>IF(GK10="P",Lookup!$M$12,IF(GK10="PP",Lookup!$M$13,IF(GK10="PPP",Lookup!$M$14,IF(GK10="T",Lookup!$M$15,IF(GK10="TP",Lookup!$M$16,IF(GK10="TPP",Lookup!$M$17,IF(GK10="TPPP",Lookup!$M$18,0)))))))*GJ10</f>
        <v>0</v>
      </c>
      <c r="GO10" s="560">
        <f t="shared" si="91"/>
        <v>0</v>
      </c>
      <c r="GP10" s="560">
        <f t="shared" si="56"/>
        <v>0</v>
      </c>
      <c r="GQ10" s="560">
        <f t="shared" ref="GQ10:GQ73" si="99">(IF(AND(GB9="Y",B10=GD10),2716.2,(IF(AND(B10&lt;GF10,B10&gt;=GC10),MIN(BB9+AV10-AU10,15/36*GE10),IF(B10=GF10,15/36*GG10,IF(AND(B10&gt;GF10,B10&lt;GH10),MIN(BB9+AV10-AU10,15/36*GG10),IF(B10&gt;=GH10,0,0)))))))+DS10</f>
        <v>0</v>
      </c>
      <c r="GR10" s="560"/>
      <c r="GS10" s="560">
        <f t="shared" si="92"/>
        <v>0</v>
      </c>
      <c r="GT10" s="560" t="str">
        <f t="shared" si="93"/>
        <v/>
      </c>
      <c r="GU10" s="560">
        <f>IF(GK10="P",Lookup!$N$12,IF(GK10="PP",Lookup!$N$13,IF(GK10="PPP",Lookup!$N$14,IF(GK10="T",Lookup!$N$15,IF(GK10="TP",Lookup!$N$16,IF(GK10="TPP",Lookup!$N$17,IF(GK10="TPPP",Lookup!$N$18,0)))))))*GJ10</f>
        <v>0</v>
      </c>
      <c r="GV10" s="560">
        <f t="shared" si="57"/>
        <v>0</v>
      </c>
      <c r="GW10" s="560">
        <f t="shared" si="58"/>
        <v>0</v>
      </c>
      <c r="GX10" s="560">
        <f t="shared" ref="GX10:GX73" si="100">(IF(AND(GB10="Y",B10=GD10),1267.5,(IF(AND(B10&lt;GF10,B10&gt;=GC10),MIN(BU9+BO10-BN10,7/36*GE10),IF(B10=GF10,7/36*GG10,IF(AND(B10&gt;GF10,B10&lt;GH10),MIN(BU9+BO10-BN10,7/36*GG10),IF(B10&gt;=GH10,0,0)))))))+DT10</f>
        <v>0</v>
      </c>
      <c r="GY10" s="560"/>
      <c r="GZ10" s="560">
        <f t="shared" si="94"/>
        <v>0</v>
      </c>
      <c r="HA10" s="560" t="str">
        <f t="shared" si="95"/>
        <v/>
      </c>
      <c r="HB10" s="560">
        <f>IF(GK10="P",Lookup!$N$12,IF(GK10="PP",Lookup!$N$13,IF(GK10="PPP",Lookup!$N$14,IF(GK10="T",Lookup!$N$15,IF(GK10="TP",Lookup!$N$16,IF(GK10="TPP",Lookup!$N$17,IF(GK10="TPPP",Lookup!$N$18,0)))))))*GJ10</f>
        <v>0</v>
      </c>
      <c r="HC10" s="545">
        <f t="shared" si="59"/>
        <v>0</v>
      </c>
      <c r="HD10" s="560">
        <f t="shared" si="60"/>
        <v>0</v>
      </c>
      <c r="HE10" s="560">
        <f t="shared" ref="HE10:HE73" si="101">(IF(AND(GB10="Y",B10=GD10),1267.5,IF(AND(B10&lt;GF10,B10&gt;=GC10),MIN(CP9+CJ10-CI10,7/36*GE10),IF(B10=GF10,7/36*GG10,IF(AND(B10&gt;GF10,B10&lt;GH10),MIN(CP9+CJ10-CI10,7/36*GG10),IF(B10&gt;=GH10,0,0))))))+DU10</f>
        <v>0</v>
      </c>
      <c r="HF10" s="560"/>
      <c r="HG10" s="560">
        <f t="shared" si="96"/>
        <v>0</v>
      </c>
      <c r="HH10" s="560" t="str">
        <f t="shared" si="97"/>
        <v/>
      </c>
      <c r="HI10" s="560">
        <f>IF(GK10="P",Lookup!$N$12,IF(GK10="PP",Lookup!$N$13,IF(GK10="PPP",Lookup!$N$14,IF(GK10="T",Lookup!$N$15,IF(GK10="TP",Lookup!$N$16,IF(GK10="TPP",Lookup!$N$17,IF(GK10="TPPP",Lookup!$N$18,0)))))))*GJ10</f>
        <v>0</v>
      </c>
      <c r="HJ10" s="545">
        <f t="shared" si="61"/>
        <v>0</v>
      </c>
      <c r="HK10" s="560">
        <f t="shared" si="62"/>
        <v>0</v>
      </c>
      <c r="HL10" s="560">
        <f t="shared" ref="HL10:HL73" si="102">(IF(AND(GB10="Y",B10=GD10),1267.5,(IF(AND(B10&lt;GF10,B10&gt;=GC10),MIN(DI9+DC10-DB10,7/36*GE10),IF(B10=GF10,7/36*GG10,IF(AND(B10&gt;GF10,B10&lt;GH10),MIN(DI9+DC10-DB10,7/36*GG10),IF(B10&gt;=GH10,0,0)))))))+DV10</f>
        <v>0</v>
      </c>
      <c r="HM10" s="560"/>
    </row>
    <row r="11" spans="1:221">
      <c r="A11" s="580" t="s">
        <v>5</v>
      </c>
      <c r="B11" s="556">
        <v>41639</v>
      </c>
      <c r="C11" s="557">
        <v>0</v>
      </c>
      <c r="D11" s="529">
        <f t="shared" si="0"/>
        <v>300</v>
      </c>
      <c r="E11" s="529">
        <f t="shared" si="1"/>
        <v>250</v>
      </c>
      <c r="F11" s="529">
        <v>250</v>
      </c>
      <c r="G11" s="560">
        <f>DR11+Sheet1!CZ13</f>
        <v>902.18557740775907</v>
      </c>
      <c r="H11" s="914">
        <f t="shared" si="2"/>
        <v>316.20955723637547</v>
      </c>
      <c r="I11" s="559">
        <f>MAX(Sheet1!Z13-AT11+(Sheet1!DA13-E11)*CFStoMGD,0)</f>
        <v>789.88</v>
      </c>
      <c r="J11" s="562">
        <f>IF(AND(B11&gt;=Calculation!GC11,B11&lt;=Calculation!GD11),IF(Sheet1!DB13&gt;=Calculation!D11,64.64,0),MAX(Sheet1!Z13-AT11+(Sheet1!DB13-D11)*CFStoMGD,0))</f>
        <v>427.24959999999999</v>
      </c>
      <c r="K11" s="904">
        <f t="shared" si="3"/>
        <v>64.64</v>
      </c>
      <c r="L11" s="560">
        <f>Sheet1!AA13+Sheet1!AB13-Sheet1!L13+(Sheet1!DA13-F11)*CFStoMGD</f>
        <v>775.68</v>
      </c>
      <c r="M11" s="560">
        <f t="shared" si="4"/>
        <v>594.836212381103</v>
      </c>
      <c r="N11" s="910">
        <f>IF(Sheet1!DA13&gt;=F11,MIN(73,MIN(MAX(L11,0),MAX(M11,0))),0)</f>
        <v>73</v>
      </c>
      <c r="O11" s="563">
        <f>Sheet1!AA13+Sheet1!AB13</f>
        <v>35.200000000000003</v>
      </c>
      <c r="P11" s="563">
        <f t="shared" si="5"/>
        <v>54.4544</v>
      </c>
      <c r="Q11" s="898">
        <f t="shared" si="63"/>
        <v>0</v>
      </c>
      <c r="R11" s="829">
        <f t="shared" si="64"/>
        <v>2.8818930041152262</v>
      </c>
      <c r="S11" s="898">
        <f t="shared" si="65"/>
        <v>35.200000000000003</v>
      </c>
      <c r="T11" s="898">
        <f t="shared" si="66"/>
        <v>0</v>
      </c>
      <c r="U11" s="898">
        <f t="shared" si="6"/>
        <v>0</v>
      </c>
      <c r="V11" s="898"/>
      <c r="W11" s="898">
        <f t="shared" si="67"/>
        <v>61.758106995884773</v>
      </c>
      <c r="X11" s="898">
        <f t="shared" si="68"/>
        <v>35.200000000000003</v>
      </c>
      <c r="Y11" s="898" t="str">
        <f t="shared" si="69"/>
        <v/>
      </c>
      <c r="Z11" s="898">
        <f t="shared" si="70"/>
        <v>35.200000000000003</v>
      </c>
      <c r="AA11" s="898">
        <f t="shared" si="71"/>
        <v>35.200000000000003</v>
      </c>
      <c r="AB11" s="898" t="str">
        <f t="shared" si="72"/>
        <v/>
      </c>
      <c r="AC11" s="563">
        <f>Sheet1!Y13*MGDtoCFS</f>
        <v>32.564349999999997</v>
      </c>
      <c r="AD11" s="563">
        <f>Sheet1!Z13*MGDtoCFS</f>
        <v>21.967399999999998</v>
      </c>
      <c r="AE11" s="563">
        <f>Sheet1!AA13*MGDtoCFS</f>
        <v>32.6417</v>
      </c>
      <c r="AF11" s="563">
        <f>Sheet1!AB13*MGDtoCFS</f>
        <v>21.8127</v>
      </c>
      <c r="AG11" s="563">
        <f>Sheet1!L13*MGDtoCFS</f>
        <v>54.4544</v>
      </c>
      <c r="AH11" s="545">
        <f t="shared" si="73"/>
        <v>0</v>
      </c>
      <c r="AI11" s="560">
        <f t="shared" si="7"/>
        <v>0</v>
      </c>
      <c r="AJ11" s="560">
        <f t="shared" si="74"/>
        <v>0</v>
      </c>
      <c r="AK11" s="560">
        <f t="shared" si="8"/>
        <v>0</v>
      </c>
      <c r="AL11" s="560">
        <f>(VLOOKUP(Sheet1!DC13,hhdcap_wcm,4)-(((VLOOKUP(Sheet1!DC13,hhdcap_wcm,3)-Sheet1!DC13)/(VLOOKUP(Sheet1!DC13,hhdcap_wcm,3)-VLOOKUP(Sheet1!DC13,hhdcap_wcm,1)))*(VLOOKUP(Sheet1!DC13,hhdcap_wcm,4)-VLOOKUP(Sheet1!DC13,hhdcap_wcm,2))))</f>
        <v>974.00000000283762</v>
      </c>
      <c r="AM11" s="560">
        <f t="shared" si="75"/>
        <v>-190.00000000041382</v>
      </c>
      <c r="AN11" s="560">
        <f t="shared" si="9"/>
        <v>0</v>
      </c>
      <c r="AO11" s="560">
        <f t="shared" si="10"/>
        <v>0</v>
      </c>
      <c r="AP11" s="560">
        <f>Sheet1!BA13+Sheet1!BB13+Sheet1!BN13+CD11</f>
        <v>11.6</v>
      </c>
      <c r="AQ11" s="560">
        <f>Sheet1!BN13+(DO11*Sheet1!BN13)</f>
        <v>10.251028806584362</v>
      </c>
      <c r="AR11" s="560">
        <f>Sheet1!BA13+CD11</f>
        <v>0</v>
      </c>
      <c r="AS11" s="560">
        <f>Sheet1!BA13+Sheet1!BB13+CD11</f>
        <v>1</v>
      </c>
      <c r="AT11" s="698">
        <f>0</f>
        <v>0</v>
      </c>
      <c r="AU11" s="560">
        <f>IF(EB11&lt;K11,0,MAX(Sheet1!AA13+AQ11-15/36*K11-N11,Sheet1!EH13,0))</f>
        <v>0</v>
      </c>
      <c r="AV11" s="560">
        <f>IF(OR(B11&gt;=GD11,B11&lt;GC11),0,15/36*K11-MAX(0,64.6-(137.6-(Sheet1!AA13+Sheet1!AB13))))</f>
        <v>0</v>
      </c>
      <c r="AW11" s="698">
        <f>Sheet1!DB13-110</f>
        <v>829</v>
      </c>
      <c r="AX11" s="698">
        <f>Sheet1!DA13-265</f>
        <v>1185</v>
      </c>
      <c r="AY11" s="698">
        <f t="shared" si="11"/>
        <v>73</v>
      </c>
      <c r="AZ11" s="698">
        <v>0</v>
      </c>
      <c r="BA11" s="698">
        <f t="shared" si="12"/>
        <v>0</v>
      </c>
      <c r="BB11" s="560">
        <f t="shared" si="13"/>
        <v>0</v>
      </c>
      <c r="BC11" s="560"/>
      <c r="BD11" s="560">
        <f ca="1">IF(B11&gt;Summary!$A$1,#N/A,BB11*MGtoAF)</f>
        <v>0</v>
      </c>
      <c r="BE11" s="560">
        <f>Sheet1!BG13+Sheet1!BH13+Sheet1!BI13-BM11</f>
        <v>0</v>
      </c>
      <c r="BF11" s="560">
        <f t="shared" si="14"/>
        <v>0</v>
      </c>
      <c r="BG11" s="560">
        <f>IF(Sheet1!EP13="FM",BM11,0)</f>
        <v>0</v>
      </c>
      <c r="BH11" s="560">
        <f t="shared" si="15"/>
        <v>0</v>
      </c>
      <c r="BI11" s="560">
        <f>IF(Sheet1!EP13="OTHER",BM11,0)</f>
        <v>0</v>
      </c>
      <c r="BJ11" s="560">
        <f t="shared" si="16"/>
        <v>0</v>
      </c>
      <c r="BK11" s="560">
        <f t="shared" si="17"/>
        <v>0</v>
      </c>
      <c r="BL11" s="560">
        <f t="shared" si="18"/>
        <v>0</v>
      </c>
      <c r="BM11" s="560">
        <f>IF(OR(Sheet1!EP13="FM", Sheet1!EP13="OTHER"),SUM(Sheet1!BG13:'Sheet1'!BI13),0)</f>
        <v>0</v>
      </c>
      <c r="BN11" s="545">
        <f>IF(AND($B11&gt;=$FV11,$B11&lt;=$FW11),MAX(BF11,Sheet1!EI13,0),MAX(BF11-(7/36)*$K11,0))</f>
        <v>0</v>
      </c>
      <c r="BO11" s="560">
        <f t="shared" si="19"/>
        <v>0</v>
      </c>
      <c r="BP11" s="545">
        <f t="shared" si="20"/>
        <v>0</v>
      </c>
      <c r="BQ11" s="545">
        <f>IF(AND($O11&gt;0,Sheet1!EM13=1),(1-($O11-Sheet1!$L13)/$O11)*BL11,0)</f>
        <v>0</v>
      </c>
      <c r="BR11" s="545">
        <f>IF(AND(Sheet1!$L13=0,Sheet1!$L12=0, Calculation!BK11&lt;Sheet1!$EI13-0.1,Sheet1!$EI13=Sheet1!$EI12,Sheet1!$EI13=Sheet1!$EI14),Sheet1!$EI13,BL11-BQ11)</f>
        <v>0</v>
      </c>
      <c r="BS11" s="560"/>
      <c r="BT11" s="560"/>
      <c r="BU11" s="560">
        <f t="shared" si="21"/>
        <v>0</v>
      </c>
      <c r="BV11" s="560"/>
      <c r="BW11" s="560">
        <f ca="1">IF(B11&gt;Summary!$A$1,#N/A,BU11*MGtoAF)</f>
        <v>0</v>
      </c>
      <c r="BX11" s="560">
        <f>Sheet1!BC13+Sheet1!BD13+Sheet1!BE13+Sheet1!BF13-CG11-CH11</f>
        <v>2.98</v>
      </c>
      <c r="BY11" s="560">
        <f t="shared" si="22"/>
        <v>2.8818930041152262</v>
      </c>
      <c r="BZ11" s="560">
        <f>IF(Sheet1!EQ13="FM",CH11,0)</f>
        <v>0</v>
      </c>
      <c r="CA11" s="560">
        <f t="shared" si="23"/>
        <v>0</v>
      </c>
      <c r="CB11" s="560">
        <f>IF(Sheet1!EQ13="OTHER",CH11,0)</f>
        <v>0</v>
      </c>
      <c r="CC11" s="560">
        <f t="shared" si="24"/>
        <v>0</v>
      </c>
      <c r="CD11" s="560">
        <f t="shared" si="25"/>
        <v>0</v>
      </c>
      <c r="CE11" s="560">
        <f t="shared" si="26"/>
        <v>2.98</v>
      </c>
      <c r="CF11" s="560">
        <f t="shared" si="27"/>
        <v>2.8818930041152262</v>
      </c>
      <c r="CG11" s="560">
        <f>IF(Sheet1!EQ13="CWA",SUM(Sheet1!BC13:'Sheet1'!BF13),0)</f>
        <v>0</v>
      </c>
      <c r="CH11" s="560">
        <f>IF(OR(Sheet1!EQ13="FM", Sheet1!EQ13="OTHER"),SUM(Sheet1!BC13:'Sheet1'!BF13),0)</f>
        <v>0</v>
      </c>
      <c r="CI11" s="545">
        <f>IF(AND($B11&gt;=$FV11,$B11&lt;=$FW11),MAX(CF11,Sheet1!EJ13,0),MAX(CF11-(7/36)*$K11,0))</f>
        <v>0</v>
      </c>
      <c r="CJ11" s="560">
        <f t="shared" si="28"/>
        <v>0</v>
      </c>
      <c r="CK11" s="545">
        <f t="shared" si="29"/>
        <v>2.8818930041152262</v>
      </c>
      <c r="CL11" s="545">
        <f>IF(AND($O11&gt;0,Sheet1!EN13=1),(1-($O11-Sheet1!$L13)/$O11)*CF11,0)</f>
        <v>0</v>
      </c>
      <c r="CM11" s="545">
        <f>IF(AND(Sheet1!$L13=0,Sheet1!$L12=0, Calculation!CE11&lt;Sheet1!EJ13-0.1,Sheet1!EJ13=Sheet1!EJ12,Sheet1!EJ13=Sheet1!EJ14),Sheet1!EJ13,CF11-CL11)</f>
        <v>2.8818930041152262</v>
      </c>
      <c r="CN11" s="545"/>
      <c r="CO11" s="560"/>
      <c r="CP11" s="560">
        <f t="shared" si="30"/>
        <v>0</v>
      </c>
      <c r="CQ11" s="560"/>
      <c r="CR11" s="560">
        <f ca="1">IF(B11&gt;Summary!$A$1,#N/A,CP11*MGtoAF)</f>
        <v>0</v>
      </c>
      <c r="CS11" s="560">
        <f>Sheet1!BK13+Sheet1!BL13+Sheet1!BM13-Sheet1!ER13-DA11</f>
        <v>0</v>
      </c>
      <c r="CT11" s="560">
        <f t="shared" si="31"/>
        <v>0</v>
      </c>
      <c r="CU11" s="560">
        <f>IF(Sheet1!ER13="FM",DA11,0)</f>
        <v>0</v>
      </c>
      <c r="CV11" s="560">
        <f t="shared" si="32"/>
        <v>0</v>
      </c>
      <c r="CW11" s="560">
        <f>IF(Sheet1!ER13="OTHER",DA11,0)</f>
        <v>0</v>
      </c>
      <c r="CX11" s="560">
        <f t="shared" si="33"/>
        <v>0</v>
      </c>
      <c r="CY11" s="560">
        <f t="shared" si="34"/>
        <v>0</v>
      </c>
      <c r="CZ11" s="560">
        <f t="shared" si="35"/>
        <v>0</v>
      </c>
      <c r="DA11" s="560">
        <f>IF(OR(Sheet1!ER13="FM", Sheet1!ER13="OTHER"),SUM(Sheet1!BK13:'Sheet1'!BM13),0)</f>
        <v>0</v>
      </c>
      <c r="DB11" s="545">
        <f>IF(AND($B11&gt;=$FV11,$B11&lt;=$FW11),MAX($CT11,Sheet1!EK13,0),MAX($CT11-(7/36)*$K11,0))</f>
        <v>0</v>
      </c>
      <c r="DC11" s="560">
        <f t="shared" si="36"/>
        <v>0</v>
      </c>
      <c r="DD11" s="545">
        <f t="shared" si="37"/>
        <v>0</v>
      </c>
      <c r="DE11" s="545">
        <f>IF(AND($O11&gt;0,Sheet1!EO13=1),(1-($O11-Sheet1!$L13)/$O11)*CZ11,0)</f>
        <v>0</v>
      </c>
      <c r="DF11" s="545">
        <f>IF(AND(Sheet1!$L13=0,Sheet1!$L12=0, Calculation!CY11&lt;Sheet1!$EK13-0.1,Sheet1!$EK13=Sheet1!$EK12,Sheet1!$EK13=Sheet1!$EK14),Sheet1!$EK13,CZ11-DE11)</f>
        <v>0</v>
      </c>
      <c r="DG11" s="545"/>
      <c r="DH11" s="560">
        <f t="shared" si="38"/>
        <v>2.98</v>
      </c>
      <c r="DI11" s="560">
        <f t="shared" si="39"/>
        <v>0</v>
      </c>
      <c r="DJ11" s="698">
        <f t="shared" si="40"/>
        <v>2.8818930041152262</v>
      </c>
      <c r="DK11" s="560">
        <f ca="1">IF(B11&gt;Summary!$A$1,#N/A,DI11*MGtoAF)</f>
        <v>0</v>
      </c>
      <c r="DL11" s="698">
        <f t="shared" si="41"/>
        <v>2.98</v>
      </c>
      <c r="DM11" s="560">
        <f t="shared" si="42"/>
        <v>14.58</v>
      </c>
      <c r="DN11" s="560">
        <f>Sheet1!AB13-DM11</f>
        <v>-0.48000000000000043</v>
      </c>
      <c r="DO11" s="823">
        <f t="shared" si="43"/>
        <v>-3.2921810699588508E-2</v>
      </c>
      <c r="DP11" s="560">
        <f>(VLOOKUP(Sheet1!DC13,hhdcap_wcm,4)-(((VLOOKUP(Sheet1!DC13,hhdcap_wcm,3)-Sheet1!DC13)/(VLOOKUP(Sheet1!DC13,hhdcap_wcm,3)-VLOOKUP(Sheet1!DC13,hhdcap_wcm,1)))*(VLOOKUP(Sheet1!DC13,hhdcap_wcm,4)-VLOOKUP(Sheet1!DC13,hhdcap_wcm,2))))</f>
        <v>974.00000000283762</v>
      </c>
      <c r="DQ11" s="560">
        <f t="shared" si="76"/>
        <v>-190.00000000041382</v>
      </c>
      <c r="DR11" s="560">
        <f t="shared" si="44"/>
        <v>-95.814422592240945</v>
      </c>
      <c r="DS11" s="560">
        <f>Sheet1!EA13*AFtoMG</f>
        <v>0</v>
      </c>
      <c r="DT11" s="560">
        <f>Sheet1!EB13*AFtoMG</f>
        <v>0</v>
      </c>
      <c r="DU11" s="560">
        <f>Sheet1!EC13*AFtoMG</f>
        <v>0</v>
      </c>
      <c r="DV11" s="560">
        <f>Sheet1!ED13*AFtoMG</f>
        <v>0</v>
      </c>
      <c r="DW11" s="560">
        <f t="shared" si="45"/>
        <v>0</v>
      </c>
      <c r="DX11" s="560">
        <f t="shared" si="46"/>
        <v>0</v>
      </c>
      <c r="DY11" s="560">
        <f t="shared" si="47"/>
        <v>0</v>
      </c>
      <c r="DZ11" s="560">
        <f t="shared" si="48"/>
        <v>0</v>
      </c>
      <c r="EA11" s="560"/>
      <c r="EB11" s="545">
        <f>IF(OR(B11&lt;FV11,B11&gt;FW11),(MIN(BF11+BY11+CT11+MAX(Sheet1!AA13+AQ11-73,0),K11)),0)</f>
        <v>2.8818930041152262</v>
      </c>
      <c r="EC11" s="560"/>
      <c r="ED11" s="560">
        <f t="shared" si="49"/>
        <v>2.8818930041152262</v>
      </c>
      <c r="EE11" s="560"/>
      <c r="EF11" s="560">
        <f>Sheet1!EH13+Sheet1!EI13+Sheet1!EJ13+Sheet1!EK13</f>
        <v>2.5</v>
      </c>
      <c r="EG11" s="560"/>
      <c r="EH11" s="545">
        <f t="shared" si="50"/>
        <v>0</v>
      </c>
      <c r="EI11" s="560">
        <f>IF(Sheet1!ET13=1,SUM('Calculations II'!AT11:BA11)+'Calculations II'!BC11+Sheet1!BV13+'Calculations II'!BE11+AP11,SUM('Calculations II'!AT11:BA11)+'Calculations II'!BC11+Sheet1!BV13+'Calculations II'!BE11+AP11)</f>
        <v>47.293343999999998</v>
      </c>
      <c r="EJ11" s="560">
        <f>Sheet1!AA13+Sheet1!AB13+'Calculations II'!BC11</f>
        <v>49.062880000000007</v>
      </c>
      <c r="EK11" s="560"/>
      <c r="EL11" s="560"/>
      <c r="EM11" s="560">
        <f t="shared" si="51"/>
        <v>41639</v>
      </c>
      <c r="EN11" s="560">
        <f t="shared" si="52"/>
        <v>0</v>
      </c>
      <c r="EO11" s="560">
        <f t="shared" si="53"/>
        <v>0</v>
      </c>
      <c r="EP11" s="560">
        <v>0</v>
      </c>
      <c r="EQ11" s="560">
        <v>0</v>
      </c>
      <c r="ER11" s="560">
        <v>0</v>
      </c>
      <c r="ES11" s="545">
        <f t="shared" si="77"/>
        <v>-1.6616250583123342</v>
      </c>
      <c r="ET11" s="560">
        <f>-(VLOOKUP(Sheet1!BQ13,Lookup!$O$4:$Q$262,2)-VLOOKUP(Sheet1!BQ12,Lookup!$O$4:$Q$262,2))/1000000</f>
        <v>-0.8308125291561671</v>
      </c>
      <c r="EU11" s="560">
        <f>-(VLOOKUP(Sheet1!BR13,Lookup!$O$4:$Q$262,3)-VLOOKUP(Sheet1!BR12,Lookup!$O$4:$Q$262,3))/1000000</f>
        <v>-0.8308125291561671</v>
      </c>
      <c r="EV11" s="560"/>
      <c r="EW11" s="560"/>
      <c r="EX11" s="560"/>
      <c r="EY11" s="560"/>
      <c r="EZ11" s="560"/>
      <c r="FA11" s="560"/>
      <c r="FB11" s="560"/>
      <c r="FC11" s="560"/>
      <c r="FD11" s="594" t="e">
        <f t="shared" si="78"/>
        <v>#N/A</v>
      </c>
      <c r="FE11" s="594" t="e">
        <f t="shared" si="79"/>
        <v>#N/A</v>
      </c>
      <c r="FF11" s="595" t="e">
        <f t="shared" si="54"/>
        <v>#N/A</v>
      </c>
      <c r="FG11" s="596" t="s">
        <v>691</v>
      </c>
      <c r="FH11" s="596" t="s">
        <v>691</v>
      </c>
      <c r="FI11" s="594" t="e">
        <v>#N/A</v>
      </c>
      <c r="FJ11" s="594" t="e">
        <v>#N/A</v>
      </c>
      <c r="FK11" s="560"/>
      <c r="FL11" s="560"/>
      <c r="FM11" s="560"/>
      <c r="FN11" s="560"/>
      <c r="FO11" s="560">
        <f>O11+((Sheet1!CS13)*GPMtoMGD)</f>
        <v>49.062880000000007</v>
      </c>
      <c r="FP11" s="560">
        <f>IF(Sheet1!AA13+AQ11&lt;=Calculation!N11,AQ11,Calculation!N11-Sheet1!AA13)</f>
        <v>10.251028806584362</v>
      </c>
      <c r="FQ11" s="560">
        <f>(Sheet1!BP13+Sheet1!BO13)/694.4</f>
        <v>0.26814516129032256</v>
      </c>
      <c r="FR11" s="560"/>
      <c r="FS11" s="560"/>
      <c r="FT11" s="560"/>
      <c r="FU11" s="560"/>
      <c r="FV11" s="695">
        <f t="shared" si="80"/>
        <v>41827</v>
      </c>
      <c r="FW11" s="695">
        <f t="shared" si="81"/>
        <v>41934</v>
      </c>
      <c r="FX11" s="560"/>
      <c r="FY11" s="560"/>
      <c r="FZ11" s="560"/>
      <c r="GA11" s="560"/>
      <c r="GB11" s="560" t="str">
        <f t="shared" si="82"/>
        <v>n</v>
      </c>
      <c r="GC11" s="564">
        <f t="shared" si="83"/>
        <v>41691</v>
      </c>
      <c r="GD11" s="695">
        <f t="shared" si="84"/>
        <v>41807</v>
      </c>
      <c r="GE11" s="560">
        <v>6518.9</v>
      </c>
      <c r="GF11" s="695">
        <f t="shared" si="85"/>
        <v>41808</v>
      </c>
      <c r="GG11" s="560">
        <f t="shared" si="98"/>
        <v>3259</v>
      </c>
      <c r="GH11" s="564">
        <f t="shared" si="87"/>
        <v>41934</v>
      </c>
      <c r="GJ11" s="545">
        <f t="shared" si="88"/>
        <v>0</v>
      </c>
      <c r="GK11" s="560" t="str">
        <f t="shared" si="55"/>
        <v/>
      </c>
      <c r="GL11" s="560">
        <f t="shared" si="89"/>
        <v>0</v>
      </c>
      <c r="GM11" s="560" t="str">
        <f t="shared" si="90"/>
        <v/>
      </c>
      <c r="GN11" s="560">
        <f>IF(GK11="P",Lookup!$M$12,IF(GK11="PP",Lookup!$M$13,IF(GK11="PPP",Lookup!$M$14,IF(GK11="T",Lookup!$M$15,IF(GK11="TP",Lookup!$M$16,IF(GK11="TPP",Lookup!$M$17,IF(GK11="TPPP",Lookup!$M$18,0)))))))*GJ11</f>
        <v>0</v>
      </c>
      <c r="GO11" s="560">
        <f t="shared" si="91"/>
        <v>0</v>
      </c>
      <c r="GP11" s="560">
        <f t="shared" si="56"/>
        <v>0</v>
      </c>
      <c r="GQ11" s="560">
        <f t="shared" si="99"/>
        <v>0</v>
      </c>
      <c r="GR11" s="560"/>
      <c r="GS11" s="560">
        <f t="shared" si="92"/>
        <v>0</v>
      </c>
      <c r="GT11" s="560" t="str">
        <f t="shared" si="93"/>
        <v/>
      </c>
      <c r="GU11" s="560">
        <f>IF(GK11="P",Lookup!$N$12,IF(GK11="PP",Lookup!$N$13,IF(GK11="PPP",Lookup!$N$14,IF(GK11="T",Lookup!$N$15,IF(GK11="TP",Lookup!$N$16,IF(GK11="TPP",Lookup!$N$17,IF(GK11="TPPP",Lookup!$N$18,0)))))))*GJ11</f>
        <v>0</v>
      </c>
      <c r="GV11" s="560">
        <f t="shared" si="57"/>
        <v>0</v>
      </c>
      <c r="GW11" s="560">
        <f t="shared" si="58"/>
        <v>0</v>
      </c>
      <c r="GX11" s="560">
        <f t="shared" si="100"/>
        <v>0</v>
      </c>
      <c r="GY11" s="560"/>
      <c r="GZ11" s="560">
        <f t="shared" si="94"/>
        <v>0</v>
      </c>
      <c r="HA11" s="560" t="str">
        <f t="shared" si="95"/>
        <v/>
      </c>
      <c r="HB11" s="560">
        <f>IF(GK11="P",Lookup!$N$12,IF(GK11="PP",Lookup!$N$13,IF(GK11="PPP",Lookup!$N$14,IF(GK11="T",Lookup!$N$15,IF(GK11="TP",Lookup!$N$16,IF(GK11="TPP",Lookup!$N$17,IF(GK11="TPPP",Lookup!$N$18,0)))))))*GJ11</f>
        <v>0</v>
      </c>
      <c r="HC11" s="545">
        <f t="shared" si="59"/>
        <v>0</v>
      </c>
      <c r="HD11" s="560">
        <f t="shared" si="60"/>
        <v>0</v>
      </c>
      <c r="HE11" s="560">
        <f t="shared" si="101"/>
        <v>0</v>
      </c>
      <c r="HF11" s="560"/>
      <c r="HG11" s="560">
        <f t="shared" si="96"/>
        <v>0</v>
      </c>
      <c r="HH11" s="560" t="str">
        <f t="shared" si="97"/>
        <v/>
      </c>
      <c r="HI11" s="560">
        <f>IF(GK11="P",Lookup!$N$12,IF(GK11="PP",Lookup!$N$13,IF(GK11="PPP",Lookup!$N$14,IF(GK11="T",Lookup!$N$15,IF(GK11="TP",Lookup!$N$16,IF(GK11="TPP",Lookup!$N$17,IF(GK11="TPPP",Lookup!$N$18,0)))))))*GJ11</f>
        <v>0</v>
      </c>
      <c r="HJ11" s="545">
        <f t="shared" si="61"/>
        <v>0</v>
      </c>
      <c r="HK11" s="560">
        <f t="shared" si="62"/>
        <v>0</v>
      </c>
      <c r="HL11" s="560">
        <f t="shared" si="102"/>
        <v>0</v>
      </c>
      <c r="HM11" s="560"/>
    </row>
    <row r="12" spans="1:221">
      <c r="A12" s="580" t="s">
        <v>6</v>
      </c>
      <c r="B12" s="556">
        <v>41640</v>
      </c>
      <c r="C12" s="557">
        <v>0</v>
      </c>
      <c r="D12" s="529">
        <f t="shared" si="0"/>
        <v>300</v>
      </c>
      <c r="E12" s="529">
        <f t="shared" si="1"/>
        <v>250</v>
      </c>
      <c r="F12" s="529">
        <v>250</v>
      </c>
      <c r="G12" s="560">
        <f>DR12+Sheet1!CZ14</f>
        <v>944.58850226924767</v>
      </c>
      <c r="H12" s="914">
        <f t="shared" si="2"/>
        <v>343.61880786684168</v>
      </c>
      <c r="I12" s="559">
        <f>MAX(Sheet1!Z14-AT12+(Sheet1!DA14-E12)*CFStoMGD,0)</f>
        <v>757.46</v>
      </c>
      <c r="J12" s="562">
        <f>IF(AND(B12&gt;=Calculation!GC12,B12&lt;=Calculation!GD12),IF(Sheet1!DB14&gt;=Calculation!D12,64.64,0),MAX(Sheet1!Z14-AT12+(Sheet1!DB14-D12)*CFStoMGD,0))</f>
        <v>416.16079999999999</v>
      </c>
      <c r="K12" s="904">
        <f t="shared" si="3"/>
        <v>64.64</v>
      </c>
      <c r="L12" s="560">
        <f>Sheet1!AA14+Sheet1!AB14-Sheet1!L14+(Sheet1!DA14-F12)*CFStoMGD</f>
        <v>743.36</v>
      </c>
      <c r="M12" s="560">
        <f t="shared" si="4"/>
        <v>622.79364802417854</v>
      </c>
      <c r="N12" s="910">
        <f>IF(Sheet1!DA14&gt;=F12,MIN(73,MIN(MAX(L12,0),MAX(M12,0))),0)</f>
        <v>73</v>
      </c>
      <c r="O12" s="563">
        <f>Sheet1!AA14+Sheet1!AB14</f>
        <v>35.15</v>
      </c>
      <c r="P12" s="563">
        <f t="shared" si="5"/>
        <v>54.377049999999997</v>
      </c>
      <c r="Q12" s="898">
        <f t="shared" si="63"/>
        <v>0</v>
      </c>
      <c r="R12" s="829">
        <f t="shared" si="64"/>
        <v>4.9202293318233306</v>
      </c>
      <c r="S12" s="898">
        <f t="shared" si="65"/>
        <v>35.15</v>
      </c>
      <c r="T12" s="898">
        <f t="shared" si="66"/>
        <v>0</v>
      </c>
      <c r="U12" s="898">
        <f t="shared" si="6"/>
        <v>0</v>
      </c>
      <c r="V12" s="898"/>
      <c r="W12" s="898">
        <f t="shared" si="67"/>
        <v>59.719770668176672</v>
      </c>
      <c r="X12" s="898">
        <f t="shared" si="68"/>
        <v>35.15</v>
      </c>
      <c r="Y12" s="898" t="str">
        <f t="shared" si="69"/>
        <v/>
      </c>
      <c r="Z12" s="898">
        <f t="shared" si="70"/>
        <v>35.15</v>
      </c>
      <c r="AA12" s="898">
        <f t="shared" si="71"/>
        <v>35.15</v>
      </c>
      <c r="AB12" s="898" t="str">
        <f t="shared" si="72"/>
        <v/>
      </c>
      <c r="AC12" s="563">
        <f>Sheet1!Y14*MGDtoCFS</f>
        <v>32.6417</v>
      </c>
      <c r="AD12" s="563">
        <f>Sheet1!Z14*MGDtoCFS</f>
        <v>21.8127</v>
      </c>
      <c r="AE12" s="563">
        <f>Sheet1!AA14*MGDtoCFS</f>
        <v>32.564349999999997</v>
      </c>
      <c r="AF12" s="563">
        <f>Sheet1!AB14*MGDtoCFS</f>
        <v>21.8127</v>
      </c>
      <c r="AG12" s="563">
        <f>Sheet1!L14*MGDtoCFS</f>
        <v>54.377049999999997</v>
      </c>
      <c r="AH12" s="545">
        <f t="shared" si="73"/>
        <v>0</v>
      </c>
      <c r="AI12" s="560">
        <f t="shared" si="7"/>
        <v>0</v>
      </c>
      <c r="AJ12" s="560">
        <f t="shared" si="74"/>
        <v>0</v>
      </c>
      <c r="AK12" s="560">
        <f t="shared" si="8"/>
        <v>0</v>
      </c>
      <c r="AL12" s="560">
        <f>(VLOOKUP(Sheet1!DC14,hhdcap_wcm,4)-(((VLOOKUP(Sheet1!DC14,hhdcap_wcm,3)-Sheet1!DC14)/(VLOOKUP(Sheet1!DC14,hhdcap_wcm,3)-VLOOKUP(Sheet1!DC14,hhdcap_wcm,1)))*(VLOOKUP(Sheet1!DC14,hhdcap_wcm,4)-VLOOKUP(Sheet1!DC14,hhdcap_wcm,2))))</f>
        <v>878.00000000275577</v>
      </c>
      <c r="AM12" s="560">
        <f t="shared" si="75"/>
        <v>-96.000000000081855</v>
      </c>
      <c r="AN12" s="560">
        <f t="shared" si="9"/>
        <v>0</v>
      </c>
      <c r="AO12" s="560">
        <f t="shared" si="10"/>
        <v>0</v>
      </c>
      <c r="AP12" s="560">
        <f>Sheet1!BA14+Sheet1!BB14+Sheet1!BN14+CD12</f>
        <v>9.1979999999999986</v>
      </c>
      <c r="AQ12" s="560">
        <f>Sheet1!BN14+(DO12*Sheet1!BN14)</f>
        <v>8.183748584371461</v>
      </c>
      <c r="AR12" s="560">
        <f>Sheet1!BA14+CD12</f>
        <v>0</v>
      </c>
      <c r="AS12" s="560">
        <f>Sheet1!BA14+Sheet1!BB14+CD12</f>
        <v>0.998</v>
      </c>
      <c r="AT12" s="698">
        <f>0</f>
        <v>0</v>
      </c>
      <c r="AU12" s="560">
        <f>IF(EB12&lt;K12,0,MAX(Sheet1!AA14+AQ12-15/36*K12-N12,Sheet1!EH14,0))</f>
        <v>0</v>
      </c>
      <c r="AV12" s="560">
        <f>IF(OR(B12&gt;=GD12,B12&lt;GC12),0,15/36*K12-MAX(0,64.6-(137.6-(Sheet1!AA14+Sheet1!AB14))))</f>
        <v>0</v>
      </c>
      <c r="AW12" s="698">
        <f>Sheet1!DB14-110</f>
        <v>812</v>
      </c>
      <c r="AX12" s="698">
        <f>Sheet1!DA14-265</f>
        <v>1135</v>
      </c>
      <c r="AY12" s="698">
        <f t="shared" si="11"/>
        <v>73</v>
      </c>
      <c r="AZ12" s="698">
        <v>0</v>
      </c>
      <c r="BA12" s="698">
        <f t="shared" si="12"/>
        <v>0</v>
      </c>
      <c r="BB12" s="560">
        <f t="shared" si="13"/>
        <v>0</v>
      </c>
      <c r="BC12" s="560"/>
      <c r="BD12" s="560">
        <f ca="1">IF(B12&gt;Summary!$A$1,#N/A,BB12*MGtoAF)</f>
        <v>0</v>
      </c>
      <c r="BE12" s="560">
        <f>Sheet1!BG14+Sheet1!BH14+Sheet1!BI14-BM12</f>
        <v>0</v>
      </c>
      <c r="BF12" s="560">
        <f t="shared" si="14"/>
        <v>0</v>
      </c>
      <c r="BG12" s="560">
        <f>IF(Sheet1!EP14="FM",BM12,0)</f>
        <v>0</v>
      </c>
      <c r="BH12" s="560">
        <f t="shared" si="15"/>
        <v>0</v>
      </c>
      <c r="BI12" s="560">
        <f>IF(Sheet1!EP14="OTHER",BM12,0)</f>
        <v>0</v>
      </c>
      <c r="BJ12" s="560">
        <f t="shared" si="16"/>
        <v>0</v>
      </c>
      <c r="BK12" s="560">
        <f t="shared" si="17"/>
        <v>0</v>
      </c>
      <c r="BL12" s="560">
        <f t="shared" si="18"/>
        <v>0</v>
      </c>
      <c r="BM12" s="560">
        <f>IF(OR(Sheet1!EP14="FM", Sheet1!EP14="OTHER"),SUM(Sheet1!BG14:'Sheet1'!BI14),0)</f>
        <v>0</v>
      </c>
      <c r="BN12" s="545">
        <f>IF(AND($B12&gt;=$FV12,$B12&lt;=$FW12),MAX(BF12,Sheet1!EI14,0),MAX(BF12-(7/36)*$K12,0))</f>
        <v>0</v>
      </c>
      <c r="BO12" s="560">
        <f t="shared" si="19"/>
        <v>0</v>
      </c>
      <c r="BP12" s="545">
        <f t="shared" si="20"/>
        <v>0</v>
      </c>
      <c r="BQ12" s="545">
        <f>IF(AND($O12&gt;0,Sheet1!EM14=1),(1-($O12-Sheet1!$L14)/$O12)*BL12,0)</f>
        <v>0</v>
      </c>
      <c r="BR12" s="545">
        <f>IF(AND(Sheet1!$L14=0,Sheet1!$L13=0, Calculation!BK12&lt;Sheet1!$EI14-0.1,Sheet1!$EI14=Sheet1!$EI13,Sheet1!$EI14=Sheet1!$EI15),Sheet1!$EI14,BL12-BQ12)</f>
        <v>0</v>
      </c>
      <c r="BS12" s="560"/>
      <c r="BT12" s="560"/>
      <c r="BU12" s="560">
        <f t="shared" si="21"/>
        <v>0</v>
      </c>
      <c r="BV12" s="560"/>
      <c r="BW12" s="560">
        <f ca="1">IF(B12&gt;Summary!$A$1,#N/A,BU12*MGtoAF)</f>
        <v>0</v>
      </c>
      <c r="BX12" s="560">
        <f>Sheet1!BC14+Sheet1!BD14+Sheet1!BE14+Sheet1!BF14-CG12-CH12</f>
        <v>2.5</v>
      </c>
      <c r="BY12" s="560">
        <f t="shared" si="22"/>
        <v>2.4950453001132504</v>
      </c>
      <c r="BZ12" s="560">
        <f>IF(Sheet1!EQ14="FM",CH12,0)</f>
        <v>0</v>
      </c>
      <c r="CA12" s="560">
        <f t="shared" si="23"/>
        <v>0</v>
      </c>
      <c r="CB12" s="560">
        <f>IF(Sheet1!EQ14="OTHER",CH12,0)</f>
        <v>0</v>
      </c>
      <c r="CC12" s="560">
        <f t="shared" si="24"/>
        <v>0</v>
      </c>
      <c r="CD12" s="560">
        <f t="shared" si="25"/>
        <v>0</v>
      </c>
      <c r="CE12" s="560">
        <f t="shared" si="26"/>
        <v>2.5</v>
      </c>
      <c r="CF12" s="560">
        <f t="shared" si="27"/>
        <v>2.4950453001132504</v>
      </c>
      <c r="CG12" s="560">
        <f>IF(Sheet1!EQ14="CWA",SUM(Sheet1!BC14:'Sheet1'!BF14),0)</f>
        <v>0</v>
      </c>
      <c r="CH12" s="560">
        <f>IF(OR(Sheet1!EQ14="FM", Sheet1!EQ14="OTHER"),SUM(Sheet1!BC14:'Sheet1'!BF14),0)</f>
        <v>0</v>
      </c>
      <c r="CI12" s="545">
        <f>IF(AND($B12&gt;=$FV12,$B12&lt;=$FW12),MAX(CF12,Sheet1!EJ14,0),MAX(CF12-(7/36)*$K12,0))</f>
        <v>0</v>
      </c>
      <c r="CJ12" s="560">
        <f t="shared" si="28"/>
        <v>0</v>
      </c>
      <c r="CK12" s="545">
        <f t="shared" si="29"/>
        <v>2.4950453001132504</v>
      </c>
      <c r="CL12" s="545">
        <f>IF(AND($O12&gt;0,Sheet1!EN14=1),(1-($O12-Sheet1!$L14)/$O12)*CF12,0)</f>
        <v>0</v>
      </c>
      <c r="CM12" s="545">
        <f>IF(AND(Sheet1!$L14=0,Sheet1!$L13=0, Calculation!CE12&lt;Sheet1!EJ14-0.1,Sheet1!EJ14=Sheet1!EJ13,Sheet1!EJ14=Sheet1!EJ15),Sheet1!EJ14,CF12-CL12)</f>
        <v>2.4950453001132504</v>
      </c>
      <c r="CN12" s="545"/>
      <c r="CO12" s="560"/>
      <c r="CP12" s="560">
        <f t="shared" si="30"/>
        <v>0</v>
      </c>
      <c r="CQ12" s="560"/>
      <c r="CR12" s="560">
        <f ca="1">IF(B12&gt;Summary!$A$1,#N/A,CP12*MGtoAF)</f>
        <v>0</v>
      </c>
      <c r="CS12" s="560">
        <f>Sheet1!BK14+Sheet1!BL14+Sheet1!BM14-Sheet1!ER14-DA12</f>
        <v>2.4300000000000002</v>
      </c>
      <c r="CT12" s="560">
        <f t="shared" si="31"/>
        <v>2.4251840317100797</v>
      </c>
      <c r="CU12" s="560">
        <f>IF(Sheet1!ER14="FM",DA12,0)</f>
        <v>0</v>
      </c>
      <c r="CV12" s="560">
        <f t="shared" si="32"/>
        <v>0</v>
      </c>
      <c r="CW12" s="560">
        <f>IF(Sheet1!ER14="OTHER",DA12,0)</f>
        <v>0</v>
      </c>
      <c r="CX12" s="560">
        <f t="shared" si="33"/>
        <v>0</v>
      </c>
      <c r="CY12" s="560">
        <f t="shared" si="34"/>
        <v>2.4300000000000002</v>
      </c>
      <c r="CZ12" s="560">
        <f t="shared" si="35"/>
        <v>2.4251840317100797</v>
      </c>
      <c r="DA12" s="560">
        <f>IF(OR(Sheet1!ER14="FM", Sheet1!ER14="OTHER"),SUM(Sheet1!BK14:'Sheet1'!BM14),0)</f>
        <v>0</v>
      </c>
      <c r="DB12" s="545">
        <f>IF(AND($B12&gt;=$FV12,$B12&lt;=$FW12),MAX($CT12,Sheet1!EK14,0),MAX($CT12-(7/36)*$K12,0))</f>
        <v>0</v>
      </c>
      <c r="DC12" s="560">
        <f t="shared" si="36"/>
        <v>0</v>
      </c>
      <c r="DD12" s="545">
        <f t="shared" si="37"/>
        <v>2.4251840317100797</v>
      </c>
      <c r="DE12" s="545">
        <f>IF(AND($O12&gt;0,Sheet1!EO14=1),(1-($O12-Sheet1!$L14)/$O12)*CZ12,0)</f>
        <v>0</v>
      </c>
      <c r="DF12" s="545">
        <f>IF(AND(Sheet1!$L14=0,Sheet1!$L13=0, Calculation!CY12&lt;Sheet1!$EK14-0.1,Sheet1!$EK14=Sheet1!$EK13,Sheet1!$EK14=Sheet1!$EK15),Sheet1!$EK14,CZ12-DE12)</f>
        <v>2.4251840317100797</v>
      </c>
      <c r="DG12" s="545"/>
      <c r="DH12" s="560">
        <f t="shared" si="38"/>
        <v>4.93</v>
      </c>
      <c r="DI12" s="560">
        <f t="shared" si="39"/>
        <v>0</v>
      </c>
      <c r="DJ12" s="698">
        <f t="shared" si="40"/>
        <v>4.9202293318233306</v>
      </c>
      <c r="DK12" s="560">
        <f ca="1">IF(B12&gt;Summary!$A$1,#N/A,DI12*MGtoAF)</f>
        <v>0</v>
      </c>
      <c r="DL12" s="698">
        <f t="shared" si="41"/>
        <v>4.93</v>
      </c>
      <c r="DM12" s="560">
        <f t="shared" si="42"/>
        <v>14.127999999999998</v>
      </c>
      <c r="DN12" s="560">
        <f>Sheet1!AB14-DM12</f>
        <v>-2.7999999999998693E-2</v>
      </c>
      <c r="DO12" s="823">
        <f t="shared" si="43"/>
        <v>-1.9818799546997942E-3</v>
      </c>
      <c r="DP12" s="560">
        <f>(VLOOKUP(Sheet1!DC14,hhdcap_wcm,4)-(((VLOOKUP(Sheet1!DC14,hhdcap_wcm,3)-Sheet1!DC14)/(VLOOKUP(Sheet1!DC14,hhdcap_wcm,3)-VLOOKUP(Sheet1!DC14,hhdcap_wcm,1)))*(VLOOKUP(Sheet1!DC14,hhdcap_wcm,4)-VLOOKUP(Sheet1!DC14,hhdcap_wcm,2))))</f>
        <v>878.00000000275577</v>
      </c>
      <c r="DQ12" s="560">
        <f t="shared" si="76"/>
        <v>-96.000000000081855</v>
      </c>
      <c r="DR12" s="560">
        <f t="shared" si="44"/>
        <v>-48.411497730752316</v>
      </c>
      <c r="DS12" s="560">
        <f>Sheet1!EA14*AFtoMG</f>
        <v>0</v>
      </c>
      <c r="DT12" s="560">
        <f>Sheet1!EB14*AFtoMG</f>
        <v>0</v>
      </c>
      <c r="DU12" s="560">
        <f>Sheet1!EC14*AFtoMG</f>
        <v>0</v>
      </c>
      <c r="DV12" s="560">
        <f>Sheet1!ED14*AFtoMG</f>
        <v>0</v>
      </c>
      <c r="DW12" s="560">
        <f t="shared" si="45"/>
        <v>0</v>
      </c>
      <c r="DX12" s="560">
        <f t="shared" si="46"/>
        <v>0</v>
      </c>
      <c r="DY12" s="560">
        <f t="shared" si="47"/>
        <v>0</v>
      </c>
      <c r="DZ12" s="560">
        <f t="shared" si="48"/>
        <v>0</v>
      </c>
      <c r="EA12" s="560"/>
      <c r="EB12" s="545">
        <f>IF(OR(B12&lt;FV12,B12&gt;FW12),(MIN(BF12+BY12+CT12+MAX(Sheet1!AA14+AQ12-73,0),K12)),0)</f>
        <v>4.9202293318233306</v>
      </c>
      <c r="EC12" s="560"/>
      <c r="ED12" s="560">
        <f t="shared" si="49"/>
        <v>4.9202293318233306</v>
      </c>
      <c r="EE12" s="560"/>
      <c r="EF12" s="560">
        <f>Sheet1!EH14+Sheet1!EI14+Sheet1!EJ14+Sheet1!EK14</f>
        <v>4.93</v>
      </c>
      <c r="EG12" s="560"/>
      <c r="EH12" s="545">
        <f t="shared" si="50"/>
        <v>0</v>
      </c>
      <c r="EI12" s="560">
        <f>IF(Sheet1!ET14=1,SUM('Calculations II'!AT12:BA12)+'Calculations II'!BC12+Sheet1!BV14+'Calculations II'!BE12+AP12,SUM('Calculations II'!AT12:BA12)+'Calculations II'!BC12+Sheet1!BV14+'Calculations II'!BE12+AP12)</f>
        <v>49.460784000000004</v>
      </c>
      <c r="EJ12" s="560">
        <f>Sheet1!AA14+Sheet1!AB14+'Calculations II'!BC12</f>
        <v>50.169200000000004</v>
      </c>
      <c r="EK12" s="560"/>
      <c r="EL12" s="560"/>
      <c r="EM12" s="560">
        <f t="shared" si="51"/>
        <v>41640</v>
      </c>
      <c r="EN12" s="560">
        <f t="shared" si="52"/>
        <v>0</v>
      </c>
      <c r="EO12" s="560">
        <f t="shared" si="53"/>
        <v>0</v>
      </c>
      <c r="EP12" s="560">
        <v>0</v>
      </c>
      <c r="EQ12" s="560">
        <v>0</v>
      </c>
      <c r="ER12" s="560">
        <v>0</v>
      </c>
      <c r="ES12" s="545">
        <f t="shared" si="77"/>
        <v>1.6616250583123342</v>
      </c>
      <c r="ET12" s="560">
        <f>-(VLOOKUP(Sheet1!BQ14,Lookup!$O$4:$Q$262,2)-VLOOKUP(Sheet1!BQ13,Lookup!$O$4:$Q$262,2))/1000000</f>
        <v>0.8308125291561671</v>
      </c>
      <c r="EU12" s="560">
        <f>-(VLOOKUP(Sheet1!BR14,Lookup!$O$4:$Q$262,3)-VLOOKUP(Sheet1!BR13,Lookup!$O$4:$Q$262,3))/1000000</f>
        <v>0.8308125291561671</v>
      </c>
      <c r="EV12" s="560"/>
      <c r="EW12" s="560"/>
      <c r="EX12" s="560"/>
      <c r="EY12" s="560"/>
      <c r="EZ12" s="560"/>
      <c r="FA12" s="560"/>
      <c r="FB12" s="560"/>
      <c r="FC12" s="560"/>
      <c r="FD12" s="594" t="e">
        <f t="shared" si="78"/>
        <v>#N/A</v>
      </c>
      <c r="FE12" s="594" t="e">
        <f t="shared" si="79"/>
        <v>#N/A</v>
      </c>
      <c r="FF12" s="595" t="e">
        <f t="shared" si="54"/>
        <v>#N/A</v>
      </c>
      <c r="FG12" s="596" t="s">
        <v>691</v>
      </c>
      <c r="FH12" s="596" t="s">
        <v>691</v>
      </c>
      <c r="FI12" s="594" t="e">
        <v>#N/A</v>
      </c>
      <c r="FJ12" s="594" t="e">
        <v>#N/A</v>
      </c>
      <c r="FK12" s="560"/>
      <c r="FL12" s="560"/>
      <c r="FM12" s="560"/>
      <c r="FN12" s="560"/>
      <c r="FO12" s="560">
        <f>O12+((Sheet1!CS14)*GPMtoMGD)</f>
        <v>50.169200000000004</v>
      </c>
      <c r="FP12" s="560">
        <f>IF(Sheet1!AA14+AQ12&lt;=Calculation!N12,AQ12,Calculation!N12-Sheet1!AA14)</f>
        <v>8.183748584371461</v>
      </c>
      <c r="FQ12" s="560">
        <f>(Sheet1!BP14+Sheet1!BO14)/694.4</f>
        <v>1.887816820276498</v>
      </c>
      <c r="FR12" s="560"/>
      <c r="FS12" s="560"/>
      <c r="FT12" s="560"/>
      <c r="FU12" s="560"/>
      <c r="FV12" s="695">
        <f t="shared" si="80"/>
        <v>41827</v>
      </c>
      <c r="FW12" s="695">
        <f t="shared" si="81"/>
        <v>41934</v>
      </c>
      <c r="FX12" s="560"/>
      <c r="FY12" s="560"/>
      <c r="FZ12" s="560"/>
      <c r="GA12" s="560"/>
      <c r="GB12" s="560" t="str">
        <f t="shared" si="82"/>
        <v>n</v>
      </c>
      <c r="GC12" s="564">
        <f t="shared" si="83"/>
        <v>41691</v>
      </c>
      <c r="GD12" s="695">
        <f t="shared" si="84"/>
        <v>41807</v>
      </c>
      <c r="GE12" s="560">
        <v>6518.9</v>
      </c>
      <c r="GF12" s="695">
        <f t="shared" si="85"/>
        <v>41808</v>
      </c>
      <c r="GG12" s="560">
        <f t="shared" si="98"/>
        <v>3259</v>
      </c>
      <c r="GH12" s="564">
        <f t="shared" si="87"/>
        <v>41934</v>
      </c>
      <c r="GJ12" s="545">
        <f t="shared" si="88"/>
        <v>0</v>
      </c>
      <c r="GK12" s="560" t="str">
        <f t="shared" si="55"/>
        <v/>
      </c>
      <c r="GL12" s="560">
        <f t="shared" si="89"/>
        <v>0</v>
      </c>
      <c r="GM12" s="560" t="str">
        <f t="shared" si="90"/>
        <v/>
      </c>
      <c r="GN12" s="560">
        <f>IF(GK12="P",Lookup!$M$12,IF(GK12="PP",Lookup!$M$13,IF(GK12="PPP",Lookup!$M$14,IF(GK12="T",Lookup!$M$15,IF(GK12="TP",Lookup!$M$16,IF(GK12="TPP",Lookup!$M$17,IF(GK12="TPPP",Lookup!$M$18,0)))))))*GJ12</f>
        <v>0</v>
      </c>
      <c r="GO12" s="560">
        <f t="shared" si="91"/>
        <v>0</v>
      </c>
      <c r="GP12" s="560">
        <f t="shared" si="56"/>
        <v>0</v>
      </c>
      <c r="GQ12" s="560">
        <f t="shared" si="99"/>
        <v>0</v>
      </c>
      <c r="GR12" s="560"/>
      <c r="GS12" s="560">
        <f t="shared" si="92"/>
        <v>0</v>
      </c>
      <c r="GT12" s="560" t="str">
        <f t="shared" si="93"/>
        <v/>
      </c>
      <c r="GU12" s="560">
        <f>IF(GK12="P",Lookup!$N$12,IF(GK12="PP",Lookup!$N$13,IF(GK12="PPP",Lookup!$N$14,IF(GK12="T",Lookup!$N$15,IF(GK12="TP",Lookup!$N$16,IF(GK12="TPP",Lookup!$N$17,IF(GK12="TPPP",Lookup!$N$18,0)))))))*GJ12</f>
        <v>0</v>
      </c>
      <c r="GV12" s="560">
        <f t="shared" si="57"/>
        <v>0</v>
      </c>
      <c r="GW12" s="560">
        <f t="shared" si="58"/>
        <v>0</v>
      </c>
      <c r="GX12" s="560">
        <f t="shared" si="100"/>
        <v>0</v>
      </c>
      <c r="GY12" s="560"/>
      <c r="GZ12" s="560">
        <f t="shared" si="94"/>
        <v>0</v>
      </c>
      <c r="HA12" s="560" t="str">
        <f t="shared" si="95"/>
        <v/>
      </c>
      <c r="HB12" s="560">
        <f>IF(GK12="P",Lookup!$N$12,IF(GK12="PP",Lookup!$N$13,IF(GK12="PPP",Lookup!$N$14,IF(GK12="T",Lookup!$N$15,IF(GK12="TP",Lookup!$N$16,IF(GK12="TPP",Lookup!$N$17,IF(GK12="TPPP",Lookup!$N$18,0)))))))*GJ12</f>
        <v>0</v>
      </c>
      <c r="HC12" s="545">
        <f t="shared" si="59"/>
        <v>0</v>
      </c>
      <c r="HD12" s="560">
        <f t="shared" si="60"/>
        <v>0</v>
      </c>
      <c r="HE12" s="560">
        <f t="shared" si="101"/>
        <v>0</v>
      </c>
      <c r="HF12" s="560"/>
      <c r="HG12" s="560">
        <f t="shared" si="96"/>
        <v>0</v>
      </c>
      <c r="HH12" s="560" t="str">
        <f t="shared" si="97"/>
        <v/>
      </c>
      <c r="HI12" s="560">
        <f>IF(GK12="P",Lookup!$N$12,IF(GK12="PP",Lookup!$N$13,IF(GK12="PPP",Lookup!$N$14,IF(GK12="T",Lookup!$N$15,IF(GK12="TP",Lookup!$N$16,IF(GK12="TPP",Lookup!$N$17,IF(GK12="TPPP",Lookup!$N$18,0)))))))*GJ12</f>
        <v>0</v>
      </c>
      <c r="HJ12" s="545">
        <f t="shared" si="61"/>
        <v>0</v>
      </c>
      <c r="HK12" s="560">
        <f t="shared" si="62"/>
        <v>0</v>
      </c>
      <c r="HL12" s="560">
        <f t="shared" si="102"/>
        <v>0</v>
      </c>
      <c r="HM12" s="560"/>
    </row>
    <row r="13" spans="1:221">
      <c r="A13" s="580" t="s">
        <v>7</v>
      </c>
      <c r="B13" s="556">
        <v>41641</v>
      </c>
      <c r="C13" s="561">
        <v>0</v>
      </c>
      <c r="D13" s="529">
        <f t="shared" si="0"/>
        <v>300</v>
      </c>
      <c r="E13" s="529">
        <f t="shared" si="1"/>
        <v>250</v>
      </c>
      <c r="F13" s="529">
        <v>250</v>
      </c>
      <c r="G13" s="560">
        <f>DR13+Sheet1!CZ15</f>
        <v>867.97428139183057</v>
      </c>
      <c r="H13" s="914">
        <f t="shared" si="2"/>
        <v>294.09537549167925</v>
      </c>
      <c r="I13" s="559">
        <f>MAX(Sheet1!Z15-AT13+(Sheet1!DA15-E13)*CFStoMGD,0)</f>
        <v>718.67600000000004</v>
      </c>
      <c r="J13" s="562">
        <f>IF(AND(B13&gt;=Calculation!GC13,B13&lt;=Calculation!GD13),IF(Sheet1!DB15&gt;=Calculation!D13,64.64,0),MAX(Sheet1!Z15-AT13+(Sheet1!DB15-D13)*CFStoMGD,0))</f>
        <v>378.6696</v>
      </c>
      <c r="K13" s="904">
        <f t="shared" si="3"/>
        <v>64.64</v>
      </c>
      <c r="L13" s="560">
        <f>Sheet1!AA15+Sheet1!AB15-Sheet1!L15+(Sheet1!DA15-F13)*CFStoMGD</f>
        <v>704.57600000000002</v>
      </c>
      <c r="M13" s="560">
        <f t="shared" si="4"/>
        <v>572.27974700151287</v>
      </c>
      <c r="N13" s="910">
        <f>IF(Sheet1!DA15&gt;=F13,MIN(73,MIN(MAX(L13,0),MAX(M13,0))),0)</f>
        <v>73</v>
      </c>
      <c r="O13" s="563">
        <f>Sheet1!AA15+Sheet1!AB15</f>
        <v>35.299999999999997</v>
      </c>
      <c r="P13" s="563">
        <f t="shared" si="5"/>
        <v>54.609099999999998</v>
      </c>
      <c r="Q13" s="898">
        <f t="shared" si="63"/>
        <v>0</v>
      </c>
      <c r="R13" s="829">
        <f t="shared" si="64"/>
        <v>6.1913080228217234</v>
      </c>
      <c r="S13" s="898">
        <f t="shared" si="65"/>
        <v>35.299999999999997</v>
      </c>
      <c r="T13" s="898">
        <f t="shared" si="66"/>
        <v>0</v>
      </c>
      <c r="U13" s="898">
        <f t="shared" si="6"/>
        <v>0</v>
      </c>
      <c r="V13" s="898"/>
      <c r="W13" s="898">
        <f t="shared" si="67"/>
        <v>58.448691977178278</v>
      </c>
      <c r="X13" s="898">
        <f t="shared" si="68"/>
        <v>35.299999999999997</v>
      </c>
      <c r="Y13" s="898" t="str">
        <f t="shared" si="69"/>
        <v/>
      </c>
      <c r="Z13" s="898">
        <f t="shared" si="70"/>
        <v>35.299999999999997</v>
      </c>
      <c r="AA13" s="898">
        <f t="shared" si="71"/>
        <v>35.299999999999997</v>
      </c>
      <c r="AB13" s="898" t="str">
        <f t="shared" si="72"/>
        <v/>
      </c>
      <c r="AC13" s="563">
        <f>Sheet1!Y15*MGDtoCFS</f>
        <v>32.564349999999997</v>
      </c>
      <c r="AD13" s="563">
        <f>Sheet1!Z15*MGDtoCFS</f>
        <v>21.8127</v>
      </c>
      <c r="AE13" s="563">
        <f>Sheet1!AA15*MGDtoCFS</f>
        <v>32.6417</v>
      </c>
      <c r="AF13" s="563">
        <f>Sheet1!AB15*MGDtoCFS</f>
        <v>21.967399999999998</v>
      </c>
      <c r="AG13" s="563">
        <f>Sheet1!L15*MGDtoCFS</f>
        <v>54.609099999999991</v>
      </c>
      <c r="AH13" s="545">
        <f t="shared" si="73"/>
        <v>0</v>
      </c>
      <c r="AI13" s="560">
        <f t="shared" si="7"/>
        <v>0</v>
      </c>
      <c r="AJ13" s="560">
        <f t="shared" si="74"/>
        <v>0</v>
      </c>
      <c r="AK13" s="560">
        <f t="shared" si="8"/>
        <v>0</v>
      </c>
      <c r="AL13" s="560">
        <f>(VLOOKUP(Sheet1!DC15,hhdcap_wcm,4)-(((VLOOKUP(Sheet1!DC15,hhdcap_wcm,3)-Sheet1!DC15)/(VLOOKUP(Sheet1!DC15,hhdcap_wcm,3)-VLOOKUP(Sheet1!DC15,hhdcap_wcm,1)))*(VLOOKUP(Sheet1!DC15,hhdcap_wcm,4)-VLOOKUP(Sheet1!DC15,hhdcap_wcm,2))))</f>
        <v>872.00000000275577</v>
      </c>
      <c r="AM13" s="560">
        <f t="shared" si="75"/>
        <v>-6</v>
      </c>
      <c r="AN13" s="560">
        <f t="shared" si="9"/>
        <v>0</v>
      </c>
      <c r="AO13" s="560">
        <f t="shared" si="10"/>
        <v>0</v>
      </c>
      <c r="AP13" s="560">
        <f>Sheet1!BA15+Sheet1!BB15+Sheet1!BN15+CD13</f>
        <v>8.0069999999999997</v>
      </c>
      <c r="AQ13" s="560">
        <f>Sheet1!BN15+(DO13*Sheet1!BN15)</f>
        <v>7.0014791857434666</v>
      </c>
      <c r="AR13" s="560">
        <f>Sheet1!BA15+CD13</f>
        <v>0</v>
      </c>
      <c r="AS13" s="560">
        <f>Sheet1!BA15+Sheet1!BB15+CD13</f>
        <v>1.0069999999999999</v>
      </c>
      <c r="AT13" s="698">
        <f>0</f>
        <v>0</v>
      </c>
      <c r="AU13" s="560">
        <f>IF(EB13&lt;K13,0,MAX(Sheet1!AA15+AQ13-15/36*K13-N13,Sheet1!EH15,0))</f>
        <v>0</v>
      </c>
      <c r="AV13" s="560">
        <f>IF(OR(B13&gt;=GD13,B13&lt;GC13),0,15/36*K13-MAX(0,64.6-(137.6-(Sheet1!AA15+Sheet1!AB15))))</f>
        <v>0</v>
      </c>
      <c r="AW13" s="698">
        <f>Sheet1!DB15-110</f>
        <v>754</v>
      </c>
      <c r="AX13" s="698">
        <f>Sheet1!DA15-265</f>
        <v>1075</v>
      </c>
      <c r="AY13" s="698">
        <f t="shared" si="11"/>
        <v>73</v>
      </c>
      <c r="AZ13" s="698">
        <v>0</v>
      </c>
      <c r="BA13" s="698">
        <f t="shared" si="12"/>
        <v>0</v>
      </c>
      <c r="BB13" s="560">
        <f t="shared" si="13"/>
        <v>0</v>
      </c>
      <c r="BC13" s="560"/>
      <c r="BD13" s="560">
        <f ca="1">IF(B13&gt;Summary!$A$1,#N/A,BB13*MGtoAF)</f>
        <v>0</v>
      </c>
      <c r="BE13" s="560">
        <f>Sheet1!BG15+Sheet1!BH15+Sheet1!BI15-BM13</f>
        <v>0</v>
      </c>
      <c r="BF13" s="560">
        <f t="shared" si="14"/>
        <v>0</v>
      </c>
      <c r="BG13" s="560">
        <f>IF(Sheet1!EP15="FM",BM13,0)</f>
        <v>0</v>
      </c>
      <c r="BH13" s="560">
        <f t="shared" si="15"/>
        <v>0</v>
      </c>
      <c r="BI13" s="560">
        <f>IF(Sheet1!EP15="OTHER",BM13,0)</f>
        <v>0</v>
      </c>
      <c r="BJ13" s="560">
        <f t="shared" si="16"/>
        <v>0</v>
      </c>
      <c r="BK13" s="560">
        <f t="shared" si="17"/>
        <v>0</v>
      </c>
      <c r="BL13" s="560">
        <f t="shared" si="18"/>
        <v>0</v>
      </c>
      <c r="BM13" s="560">
        <f>IF(OR(Sheet1!EP15="FM", Sheet1!EP15="OTHER"),SUM(Sheet1!BG15:'Sheet1'!BI15),0)</f>
        <v>0</v>
      </c>
      <c r="BN13" s="545">
        <f>IF(AND($B13&gt;=$FV13,$B13&lt;=$FW13),MAX(BF13,Sheet1!EI15,0),MAX(BF13-(7/36)*$K13,0))</f>
        <v>0</v>
      </c>
      <c r="BO13" s="560">
        <f t="shared" si="19"/>
        <v>0</v>
      </c>
      <c r="BP13" s="545">
        <f t="shared" si="20"/>
        <v>0</v>
      </c>
      <c r="BQ13" s="545">
        <f>IF(AND($O13&gt;0,Sheet1!EM15=1),(1-($O13-Sheet1!$L15)/$O13)*BL13,0)</f>
        <v>0</v>
      </c>
      <c r="BR13" s="545">
        <f>IF(AND(Sheet1!$L15=0,Sheet1!$L14=0, Calculation!BK13&lt;Sheet1!$EI15-0.1,Sheet1!$EI15=Sheet1!$EI14,Sheet1!$EI15=Sheet1!$EI16),Sheet1!$EI15,BL13-BQ13)</f>
        <v>0</v>
      </c>
      <c r="BS13" s="560"/>
      <c r="BT13" s="560"/>
      <c r="BU13" s="560">
        <f t="shared" si="21"/>
        <v>0</v>
      </c>
      <c r="BV13" s="560"/>
      <c r="BW13" s="560">
        <f ca="1">IF(B13&gt;Summary!$A$1,#N/A,BU13*MGtoAF)</f>
        <v>0</v>
      </c>
      <c r="BX13" s="560">
        <f>Sheet1!BC15+Sheet1!BD15+Sheet1!BE15+Sheet1!BF15-CG13-CH13</f>
        <v>2.4900000000000002</v>
      </c>
      <c r="BY13" s="560">
        <f t="shared" si="22"/>
        <v>2.4905261675001764</v>
      </c>
      <c r="BZ13" s="560">
        <f>IF(Sheet1!EQ15="FM",CH13,0)</f>
        <v>0</v>
      </c>
      <c r="CA13" s="560">
        <f t="shared" si="23"/>
        <v>0</v>
      </c>
      <c r="CB13" s="560">
        <f>IF(Sheet1!EQ15="OTHER",CH13,0)</f>
        <v>0</v>
      </c>
      <c r="CC13" s="560">
        <f t="shared" si="24"/>
        <v>0</v>
      </c>
      <c r="CD13" s="560">
        <f t="shared" si="25"/>
        <v>0</v>
      </c>
      <c r="CE13" s="560">
        <f t="shared" si="26"/>
        <v>2.4900000000000002</v>
      </c>
      <c r="CF13" s="560">
        <f t="shared" si="27"/>
        <v>2.4905261675001764</v>
      </c>
      <c r="CG13" s="560">
        <f>IF(Sheet1!EQ15="CWA",SUM(Sheet1!BC15:'Sheet1'!BF15),0)</f>
        <v>0</v>
      </c>
      <c r="CH13" s="560">
        <f>IF(OR(Sheet1!EQ15="FM", Sheet1!EQ15="OTHER"),SUM(Sheet1!BC15:'Sheet1'!BF15),0)</f>
        <v>0</v>
      </c>
      <c r="CI13" s="545">
        <f>IF(AND($B13&gt;=$FV13,$B13&lt;=$FW13),MAX(CF13,Sheet1!EJ15,0),MAX(CF13-(7/36)*$K13,0))</f>
        <v>0</v>
      </c>
      <c r="CJ13" s="560">
        <f t="shared" si="28"/>
        <v>0</v>
      </c>
      <c r="CK13" s="545">
        <f t="shared" si="29"/>
        <v>2.4905261675001764</v>
      </c>
      <c r="CL13" s="545">
        <f>IF(AND($O13&gt;0,Sheet1!EN15=1),(1-($O13-Sheet1!$L15)/$O13)*CF13,0)</f>
        <v>0</v>
      </c>
      <c r="CM13" s="545">
        <f>IF(AND(Sheet1!$L15=0,Sheet1!$L14=0, Calculation!CE13&lt;Sheet1!EJ15-0.1,Sheet1!EJ15=Sheet1!EJ14,Sheet1!EJ15=Sheet1!EJ16),Sheet1!EJ15,CF13-CL13)</f>
        <v>2.4905261675001764</v>
      </c>
      <c r="CN13" s="545"/>
      <c r="CO13" s="560"/>
      <c r="CP13" s="560">
        <f t="shared" si="30"/>
        <v>0</v>
      </c>
      <c r="CQ13" s="560"/>
      <c r="CR13" s="560">
        <f ca="1">IF(B13&gt;Summary!$A$1,#N/A,CP13*MGtoAF)</f>
        <v>0</v>
      </c>
      <c r="CS13" s="560">
        <f>Sheet1!BK15+Sheet1!BL15+Sheet1!BM15-Sheet1!ER15-DA13</f>
        <v>3.7</v>
      </c>
      <c r="CT13" s="560">
        <f t="shared" si="31"/>
        <v>3.700781855321547</v>
      </c>
      <c r="CU13" s="560">
        <f>IF(Sheet1!ER15="FM",DA13,0)</f>
        <v>0</v>
      </c>
      <c r="CV13" s="560">
        <f t="shared" si="32"/>
        <v>0</v>
      </c>
      <c r="CW13" s="560">
        <f>IF(Sheet1!ER15="OTHER",DA13,0)</f>
        <v>0</v>
      </c>
      <c r="CX13" s="560">
        <f t="shared" si="33"/>
        <v>0</v>
      </c>
      <c r="CY13" s="560">
        <f t="shared" si="34"/>
        <v>3.7</v>
      </c>
      <c r="CZ13" s="560">
        <f t="shared" si="35"/>
        <v>3.700781855321547</v>
      </c>
      <c r="DA13" s="560">
        <f>IF(OR(Sheet1!ER15="FM", Sheet1!ER15="OTHER"),SUM(Sheet1!BK15:'Sheet1'!BM15),0)</f>
        <v>0</v>
      </c>
      <c r="DB13" s="545">
        <f>IF(AND($B13&gt;=$FV13,$B13&lt;=$FW13),MAX($CT13,Sheet1!EK15,0),MAX($CT13-(7/36)*$K13,0))</f>
        <v>0</v>
      </c>
      <c r="DC13" s="560">
        <f t="shared" si="36"/>
        <v>0</v>
      </c>
      <c r="DD13" s="545">
        <f t="shared" si="37"/>
        <v>3.700781855321547</v>
      </c>
      <c r="DE13" s="545">
        <f>IF(AND($O13&gt;0,Sheet1!EO15=1),(1-($O13-Sheet1!$L15)/$O13)*CZ13,0)</f>
        <v>0</v>
      </c>
      <c r="DF13" s="545">
        <f>IF(AND(Sheet1!$L15=0,Sheet1!$L14=0, Calculation!CY13&lt;Sheet1!$EK15-0.1,Sheet1!$EK15=Sheet1!$EK14,Sheet1!$EK15=Sheet1!$EK16),Sheet1!$EK15,CZ13-DE13)</f>
        <v>3.700781855321547</v>
      </c>
      <c r="DG13" s="545"/>
      <c r="DH13" s="560">
        <f t="shared" si="38"/>
        <v>6.19</v>
      </c>
      <c r="DI13" s="560">
        <f t="shared" si="39"/>
        <v>0</v>
      </c>
      <c r="DJ13" s="698">
        <f t="shared" si="40"/>
        <v>6.1913080228217234</v>
      </c>
      <c r="DK13" s="560">
        <f ca="1">IF(B13&gt;Summary!$A$1,#N/A,DI13*MGtoAF)</f>
        <v>0</v>
      </c>
      <c r="DL13" s="698">
        <f t="shared" si="41"/>
        <v>6.19</v>
      </c>
      <c r="DM13" s="560">
        <f t="shared" si="42"/>
        <v>14.196999999999999</v>
      </c>
      <c r="DN13" s="560">
        <f>Sheet1!AB15-DM13</f>
        <v>3.0000000000001137E-3</v>
      </c>
      <c r="DO13" s="823">
        <f t="shared" si="43"/>
        <v>2.1131224906671225E-4</v>
      </c>
      <c r="DP13" s="560">
        <f>(VLOOKUP(Sheet1!DC15,hhdcap_wcm,4)-(((VLOOKUP(Sheet1!DC15,hhdcap_wcm,3)-Sheet1!DC15)/(VLOOKUP(Sheet1!DC15,hhdcap_wcm,3)-VLOOKUP(Sheet1!DC15,hhdcap_wcm,1)))*(VLOOKUP(Sheet1!DC15,hhdcap_wcm,4)-VLOOKUP(Sheet1!DC15,hhdcap_wcm,2))))</f>
        <v>872.00000000275577</v>
      </c>
      <c r="DQ13" s="560">
        <f t="shared" si="76"/>
        <v>-6</v>
      </c>
      <c r="DR13" s="560">
        <f t="shared" si="44"/>
        <v>-3.0257186081694396</v>
      </c>
      <c r="DS13" s="560">
        <f>Sheet1!EA15*AFtoMG</f>
        <v>0</v>
      </c>
      <c r="DT13" s="560">
        <f>Sheet1!EB15*AFtoMG</f>
        <v>0</v>
      </c>
      <c r="DU13" s="560">
        <f>Sheet1!EC15*AFtoMG</f>
        <v>0</v>
      </c>
      <c r="DV13" s="560">
        <f>Sheet1!ED15*AFtoMG</f>
        <v>0</v>
      </c>
      <c r="DW13" s="560">
        <f t="shared" si="45"/>
        <v>0</v>
      </c>
      <c r="DX13" s="560">
        <f t="shared" si="46"/>
        <v>0</v>
      </c>
      <c r="DY13" s="560">
        <f t="shared" si="47"/>
        <v>0</v>
      </c>
      <c r="DZ13" s="560">
        <f t="shared" si="48"/>
        <v>0</v>
      </c>
      <c r="EA13" s="560"/>
      <c r="EB13" s="545">
        <f>IF(OR(B13&lt;FV13,B13&gt;FW13),(MIN(BF13+BY13+CT13+MAX(Sheet1!AA15+AQ13-73,0),K13)),0)</f>
        <v>6.1913080228217234</v>
      </c>
      <c r="EC13" s="560"/>
      <c r="ED13" s="560">
        <f t="shared" si="49"/>
        <v>6.1913080228217234</v>
      </c>
      <c r="EE13" s="560"/>
      <c r="EF13" s="560">
        <f>Sheet1!EH15+Sheet1!EI15+Sheet1!EJ15+Sheet1!EK15</f>
        <v>6.2</v>
      </c>
      <c r="EG13" s="560"/>
      <c r="EH13" s="545">
        <f t="shared" si="50"/>
        <v>0</v>
      </c>
      <c r="EI13" s="560">
        <f>IF(Sheet1!ET15=1,SUM('Calculations II'!AT13:BA13)+'Calculations II'!BC13+Sheet1!BV15+'Calculations II'!BE13+AP13,SUM('Calculations II'!AT13:BA13)+'Calculations II'!BC13+Sheet1!BV15+'Calculations II'!BE13+AP13)</f>
        <v>50.765151999999993</v>
      </c>
      <c r="EJ13" s="560">
        <f>Sheet1!AA15+Sheet1!AB15+'Calculations II'!BC13</f>
        <v>54.992576</v>
      </c>
      <c r="EK13" s="560"/>
      <c r="EL13" s="560"/>
      <c r="EM13" s="560">
        <f t="shared" si="51"/>
        <v>41641</v>
      </c>
      <c r="EN13" s="560">
        <f t="shared" si="52"/>
        <v>0</v>
      </c>
      <c r="EO13" s="560">
        <f t="shared" si="53"/>
        <v>0</v>
      </c>
      <c r="EP13" s="560">
        <v>0</v>
      </c>
      <c r="EQ13" s="560">
        <v>0</v>
      </c>
      <c r="ER13" s="560">
        <v>0</v>
      </c>
      <c r="ES13" s="545">
        <f t="shared" si="77"/>
        <v>-1.1076987753276304</v>
      </c>
      <c r="ET13" s="560">
        <f>-(VLOOKUP(Sheet1!BQ15,Lookup!$O$4:$Q$262,2)-VLOOKUP(Sheet1!BQ14,Lookup!$O$4:$Q$262,2))/1000000</f>
        <v>-0.5538493876638152</v>
      </c>
      <c r="EU13" s="560">
        <f>-(VLOOKUP(Sheet1!BR15,Lookup!$O$4:$Q$262,3)-VLOOKUP(Sheet1!BR14,Lookup!$O$4:$Q$262,3))/1000000</f>
        <v>-0.5538493876638152</v>
      </c>
      <c r="EV13" s="560"/>
      <c r="EW13" s="560"/>
      <c r="EX13" s="560"/>
      <c r="EY13" s="560"/>
      <c r="EZ13" s="560"/>
      <c r="FA13" s="560"/>
      <c r="FB13" s="560"/>
      <c r="FC13" s="560"/>
      <c r="FD13" s="594" t="e">
        <f t="shared" si="78"/>
        <v>#N/A</v>
      </c>
      <c r="FE13" s="594" t="e">
        <f t="shared" si="79"/>
        <v>#N/A</v>
      </c>
      <c r="FF13" s="595" t="e">
        <f t="shared" si="54"/>
        <v>#N/A</v>
      </c>
      <c r="FG13" s="596" t="s">
        <v>691</v>
      </c>
      <c r="FH13" s="596" t="s">
        <v>691</v>
      </c>
      <c r="FI13" s="594" t="e">
        <v>#N/A</v>
      </c>
      <c r="FJ13" s="594" t="e">
        <v>#N/A</v>
      </c>
      <c r="FK13" s="560"/>
      <c r="FL13" s="560"/>
      <c r="FM13" s="560"/>
      <c r="FN13" s="560"/>
      <c r="FO13" s="560">
        <f>O13+((Sheet1!CS15)*GPMtoMGD)</f>
        <v>54.992576</v>
      </c>
      <c r="FP13" s="560">
        <f>IF(Sheet1!AA15+AQ13&lt;=Calculation!N13,AQ13,Calculation!N13-Sheet1!AA15)</f>
        <v>7.0014791857434666</v>
      </c>
      <c r="FQ13" s="560">
        <f>(Sheet1!BP15+Sheet1!BO15)/694.4</f>
        <v>2.7440956221198158</v>
      </c>
      <c r="FR13" s="560"/>
      <c r="FS13" s="560"/>
      <c r="FT13" s="560"/>
      <c r="FU13" s="560"/>
      <c r="FV13" s="695">
        <f t="shared" si="80"/>
        <v>41827</v>
      </c>
      <c r="FW13" s="695">
        <f t="shared" si="81"/>
        <v>41934</v>
      </c>
      <c r="FX13" s="560"/>
      <c r="FY13" s="560"/>
      <c r="FZ13" s="560"/>
      <c r="GA13" s="560"/>
      <c r="GB13" s="560" t="str">
        <f t="shared" si="82"/>
        <v>n</v>
      </c>
      <c r="GC13" s="564">
        <f t="shared" si="83"/>
        <v>41691</v>
      </c>
      <c r="GD13" s="695">
        <f t="shared" si="84"/>
        <v>41807</v>
      </c>
      <c r="GE13" s="560">
        <v>6518.9</v>
      </c>
      <c r="GF13" s="695">
        <f t="shared" si="85"/>
        <v>41808</v>
      </c>
      <c r="GG13" s="560">
        <f t="shared" si="98"/>
        <v>3259</v>
      </c>
      <c r="GH13" s="564">
        <f t="shared" si="87"/>
        <v>41934</v>
      </c>
      <c r="GJ13" s="545">
        <f t="shared" si="88"/>
        <v>0</v>
      </c>
      <c r="GK13" s="560" t="str">
        <f t="shared" si="55"/>
        <v/>
      </c>
      <c r="GL13" s="560">
        <f t="shared" si="89"/>
        <v>0</v>
      </c>
      <c r="GM13" s="560" t="str">
        <f t="shared" si="90"/>
        <v/>
      </c>
      <c r="GN13" s="560">
        <f>IF(GK13="P",Lookup!$M$12,IF(GK13="PP",Lookup!$M$13,IF(GK13="PPP",Lookup!$M$14,IF(GK13="T",Lookup!$M$15,IF(GK13="TP",Lookup!$M$16,IF(GK13="TPP",Lookup!$M$17,IF(GK13="TPPP",Lookup!$M$18,0)))))))*GJ13</f>
        <v>0</v>
      </c>
      <c r="GO13" s="560">
        <f t="shared" si="91"/>
        <v>0</v>
      </c>
      <c r="GP13" s="560">
        <f t="shared" si="56"/>
        <v>0</v>
      </c>
      <c r="GQ13" s="560">
        <f t="shared" si="99"/>
        <v>0</v>
      </c>
      <c r="GR13" s="560"/>
      <c r="GS13" s="560">
        <f t="shared" si="92"/>
        <v>0</v>
      </c>
      <c r="GT13" s="560" t="str">
        <f t="shared" si="93"/>
        <v/>
      </c>
      <c r="GU13" s="560">
        <f>IF(GK13="P",Lookup!$N$12,IF(GK13="PP",Lookup!$N$13,IF(GK13="PPP",Lookup!$N$14,IF(GK13="T",Lookup!$N$15,IF(GK13="TP",Lookup!$N$16,IF(GK13="TPP",Lookup!$N$17,IF(GK13="TPPP",Lookup!$N$18,0)))))))*GJ13</f>
        <v>0</v>
      </c>
      <c r="GV13" s="560">
        <f t="shared" si="57"/>
        <v>0</v>
      </c>
      <c r="GW13" s="560">
        <f t="shared" si="58"/>
        <v>0</v>
      </c>
      <c r="GX13" s="560">
        <f t="shared" si="100"/>
        <v>0</v>
      </c>
      <c r="GY13" s="560"/>
      <c r="GZ13" s="560">
        <f t="shared" si="94"/>
        <v>0</v>
      </c>
      <c r="HA13" s="560" t="str">
        <f t="shared" si="95"/>
        <v/>
      </c>
      <c r="HB13" s="560">
        <f>IF(GK13="P",Lookup!$N$12,IF(GK13="PP",Lookup!$N$13,IF(GK13="PPP",Lookup!$N$14,IF(GK13="T",Lookup!$N$15,IF(GK13="TP",Lookup!$N$16,IF(GK13="TPP",Lookup!$N$17,IF(GK13="TPPP",Lookup!$N$18,0)))))))*GJ13</f>
        <v>0</v>
      </c>
      <c r="HC13" s="545">
        <f t="shared" si="59"/>
        <v>0</v>
      </c>
      <c r="HD13" s="560">
        <f t="shared" si="60"/>
        <v>0</v>
      </c>
      <c r="HE13" s="560">
        <f t="shared" si="101"/>
        <v>0</v>
      </c>
      <c r="HF13" s="560"/>
      <c r="HG13" s="560">
        <f t="shared" si="96"/>
        <v>0</v>
      </c>
      <c r="HH13" s="560" t="str">
        <f t="shared" si="97"/>
        <v/>
      </c>
      <c r="HI13" s="560">
        <f>IF(GK13="P",Lookup!$N$12,IF(GK13="PP",Lookup!$N$13,IF(GK13="PPP",Lookup!$N$14,IF(GK13="T",Lookup!$N$15,IF(GK13="TP",Lookup!$N$16,IF(GK13="TPP",Lookup!$N$17,IF(GK13="TPPP",Lookup!$N$18,0)))))))*GJ13</f>
        <v>0</v>
      </c>
      <c r="HJ13" s="545">
        <f t="shared" si="61"/>
        <v>0</v>
      </c>
      <c r="HK13" s="560">
        <f t="shared" si="62"/>
        <v>0</v>
      </c>
      <c r="HL13" s="560">
        <f t="shared" si="102"/>
        <v>0</v>
      </c>
      <c r="HM13" s="560"/>
    </row>
    <row r="14" spans="1:221">
      <c r="A14" s="580" t="s">
        <v>8</v>
      </c>
      <c r="B14" s="556">
        <v>41642</v>
      </c>
      <c r="C14" s="557">
        <v>0</v>
      </c>
      <c r="D14" s="529">
        <f t="shared" si="0"/>
        <v>300</v>
      </c>
      <c r="E14" s="529">
        <f t="shared" si="1"/>
        <v>250</v>
      </c>
      <c r="F14" s="529">
        <v>250</v>
      </c>
      <c r="G14" s="560">
        <f>DR14+Sheet1!CZ16</f>
        <v>1238.441754917249</v>
      </c>
      <c r="H14" s="914">
        <f t="shared" si="2"/>
        <v>533.56555037850978</v>
      </c>
      <c r="I14" s="559">
        <f>MAX(Sheet1!Z16-AT14+(Sheet1!DA16-E14)*CFStoMGD,0)</f>
        <v>867.44799999999998</v>
      </c>
      <c r="J14" s="562">
        <f>IF(AND(B14&gt;=Calculation!GC14,B14&lt;=Calculation!GD14),IF(Sheet1!DB16&gt;=Calculation!D14,64.64,0),MAX(Sheet1!Z16-AT14+(Sheet1!DB16-D14)*CFStoMGD,0))</f>
        <v>433.06719999999996</v>
      </c>
      <c r="K14" s="904">
        <f t="shared" si="3"/>
        <v>64.64</v>
      </c>
      <c r="L14" s="560">
        <f>Sheet1!AA16+Sheet1!AB16-Sheet1!L16+(Sheet1!DA16-F14)*CFStoMGD</f>
        <v>853.24799999999993</v>
      </c>
      <c r="M14" s="560">
        <f t="shared" si="4"/>
        <v>816.53932538608001</v>
      </c>
      <c r="N14" s="910">
        <f>IF(Sheet1!DA16&gt;=F14,MIN(73,MIN(MAX(L14,0),MAX(M14,0))),0)</f>
        <v>73</v>
      </c>
      <c r="O14" s="563">
        <f>Sheet1!AA16+Sheet1!AB16</f>
        <v>35.15</v>
      </c>
      <c r="P14" s="563">
        <f t="shared" si="5"/>
        <v>54.377049999999997</v>
      </c>
      <c r="Q14" s="898">
        <f t="shared" si="63"/>
        <v>0</v>
      </c>
      <c r="R14" s="829">
        <f t="shared" si="64"/>
        <v>6.1619282195636869</v>
      </c>
      <c r="S14" s="898">
        <f t="shared" si="65"/>
        <v>35.15</v>
      </c>
      <c r="T14" s="898">
        <f t="shared" si="66"/>
        <v>0</v>
      </c>
      <c r="U14" s="898">
        <f t="shared" si="6"/>
        <v>0</v>
      </c>
      <c r="V14" s="898"/>
      <c r="W14" s="898">
        <f t="shared" si="67"/>
        <v>58.478071780436316</v>
      </c>
      <c r="X14" s="898">
        <f t="shared" si="68"/>
        <v>35.15</v>
      </c>
      <c r="Y14" s="898" t="str">
        <f t="shared" si="69"/>
        <v/>
      </c>
      <c r="Z14" s="898">
        <f t="shared" si="70"/>
        <v>35.15</v>
      </c>
      <c r="AA14" s="898">
        <f t="shared" si="71"/>
        <v>35.15</v>
      </c>
      <c r="AB14" s="898" t="str">
        <f t="shared" si="72"/>
        <v/>
      </c>
      <c r="AC14" s="563">
        <f>Sheet1!Y16*MGDtoCFS</f>
        <v>32.6417</v>
      </c>
      <c r="AD14" s="563">
        <f>Sheet1!Z16*MGDtoCFS</f>
        <v>21.967399999999998</v>
      </c>
      <c r="AE14" s="563">
        <f>Sheet1!AA16*MGDtoCFS</f>
        <v>32.564349999999997</v>
      </c>
      <c r="AF14" s="563">
        <f>Sheet1!AB16*MGDtoCFS</f>
        <v>21.8127</v>
      </c>
      <c r="AG14" s="563">
        <f>Sheet1!L16*MGDtoCFS</f>
        <v>54.377049999999997</v>
      </c>
      <c r="AH14" s="545">
        <f t="shared" si="73"/>
        <v>0</v>
      </c>
      <c r="AI14" s="560">
        <f t="shared" si="7"/>
        <v>0</v>
      </c>
      <c r="AJ14" s="560">
        <f t="shared" si="74"/>
        <v>0</v>
      </c>
      <c r="AK14" s="560">
        <f t="shared" si="8"/>
        <v>0</v>
      </c>
      <c r="AL14" s="560">
        <f>(VLOOKUP(Sheet1!DC16,hhdcap_wcm,4)-(((VLOOKUP(Sheet1!DC16,hhdcap_wcm,3)-Sheet1!DC16)/(VLOOKUP(Sheet1!DC16,hhdcap_wcm,3)-VLOOKUP(Sheet1!DC16,hhdcap_wcm,1)))*(VLOOKUP(Sheet1!DC16,hhdcap_wcm,4)-VLOOKUP(Sheet1!DC16,hhdcap_wcm,2))))</f>
        <v>1325.0000000036607</v>
      </c>
      <c r="AM14" s="560">
        <f t="shared" si="75"/>
        <v>453.00000000090495</v>
      </c>
      <c r="AN14" s="560">
        <f t="shared" si="9"/>
        <v>0</v>
      </c>
      <c r="AO14" s="560">
        <f t="shared" si="10"/>
        <v>0</v>
      </c>
      <c r="AP14" s="560">
        <f>Sheet1!BA16+Sheet1!BB16+Sheet1!BN16+CD14</f>
        <v>8</v>
      </c>
      <c r="AQ14" s="560">
        <f>Sheet1!BN16+(DO14*Sheet1!BN16)</f>
        <v>6.9458128078817731</v>
      </c>
      <c r="AR14" s="560">
        <f>Sheet1!BA16+CD14</f>
        <v>0</v>
      </c>
      <c r="AS14" s="560">
        <f>Sheet1!BA16+Sheet1!BB16+CD14</f>
        <v>1</v>
      </c>
      <c r="AT14" s="698">
        <f>0</f>
        <v>0</v>
      </c>
      <c r="AU14" s="560">
        <f>IF(EB14&lt;K14,0,MAX(Sheet1!AA16+AQ14-15/36*K14-N14,Sheet1!EH16,0))</f>
        <v>0</v>
      </c>
      <c r="AV14" s="560">
        <f>IF(OR(B14&gt;=GD14,B14&lt;GC14),0,15/36*K14-MAX(0,64.6-(137.6-(Sheet1!AA16+Sheet1!AB16))))</f>
        <v>0</v>
      </c>
      <c r="AW14" s="698">
        <f>Sheet1!DB16-110</f>
        <v>838</v>
      </c>
      <c r="AX14" s="698">
        <f>Sheet1!DA16-265</f>
        <v>1305</v>
      </c>
      <c r="AY14" s="698">
        <f t="shared" si="11"/>
        <v>73</v>
      </c>
      <c r="AZ14" s="698">
        <v>0</v>
      </c>
      <c r="BA14" s="698">
        <f t="shared" si="12"/>
        <v>0</v>
      </c>
      <c r="BB14" s="560">
        <f t="shared" si="13"/>
        <v>0</v>
      </c>
      <c r="BC14" s="560"/>
      <c r="BD14" s="560">
        <f ca="1">IF(B14&gt;Summary!$A$1,#N/A,BB14*MGtoAF)</f>
        <v>0</v>
      </c>
      <c r="BE14" s="560">
        <f>Sheet1!BG16+Sheet1!BH16+Sheet1!BI16-BM14</f>
        <v>0</v>
      </c>
      <c r="BF14" s="560">
        <f t="shared" si="14"/>
        <v>0</v>
      </c>
      <c r="BG14" s="560">
        <f>IF(Sheet1!EP16="FM",BM14,0)</f>
        <v>0</v>
      </c>
      <c r="BH14" s="560">
        <f t="shared" si="15"/>
        <v>0</v>
      </c>
      <c r="BI14" s="560">
        <f>IF(Sheet1!EP16="OTHER",BM14,0)</f>
        <v>0</v>
      </c>
      <c r="BJ14" s="560">
        <f t="shared" si="16"/>
        <v>0</v>
      </c>
      <c r="BK14" s="560">
        <f t="shared" si="17"/>
        <v>0</v>
      </c>
      <c r="BL14" s="560">
        <f t="shared" si="18"/>
        <v>0</v>
      </c>
      <c r="BM14" s="560">
        <f>IF(OR(Sheet1!EP16="FM", Sheet1!EP16="OTHER"),SUM(Sheet1!BG16:'Sheet1'!BI16),0)</f>
        <v>0</v>
      </c>
      <c r="BN14" s="545">
        <f>IF(AND($B14&gt;=$FV14,$B14&lt;=$FW14),MAX(BF14,Sheet1!EI16,0),MAX(BF14-(7/36)*$K14,0))</f>
        <v>0</v>
      </c>
      <c r="BO14" s="560">
        <f t="shared" si="19"/>
        <v>0</v>
      </c>
      <c r="BP14" s="545">
        <f t="shared" si="20"/>
        <v>0</v>
      </c>
      <c r="BQ14" s="545">
        <f>IF(AND($O14&gt;0,Sheet1!EM16=1),(1-($O14-Sheet1!$L16)/$O14)*BL14,0)</f>
        <v>0</v>
      </c>
      <c r="BR14" s="545">
        <f>IF(AND(Sheet1!$L16=0,Sheet1!$L15=0, Calculation!BK14&lt;Sheet1!$EI16-0.1,Sheet1!$EI16=Sheet1!$EI15,Sheet1!$EI16=Sheet1!$EI17),Sheet1!$EI16,BL14-BQ14)</f>
        <v>0</v>
      </c>
      <c r="BS14" s="560"/>
      <c r="BT14" s="560"/>
      <c r="BU14" s="560">
        <f t="shared" si="21"/>
        <v>0</v>
      </c>
      <c r="BV14" s="560"/>
      <c r="BW14" s="560">
        <f ca="1">IF(B14&gt;Summary!$A$1,#N/A,BU14*MGtoAF)</f>
        <v>0</v>
      </c>
      <c r="BX14" s="560">
        <f>Sheet1!BC16+Sheet1!BD16+Sheet1!BE16+Sheet1!BF16-CG14-CH14</f>
        <v>2.5</v>
      </c>
      <c r="BY14" s="560">
        <f t="shared" si="22"/>
        <v>2.4806474313863474</v>
      </c>
      <c r="BZ14" s="560">
        <f>IF(Sheet1!EQ16="FM",CH14,0)</f>
        <v>0</v>
      </c>
      <c r="CA14" s="560">
        <f t="shared" si="23"/>
        <v>0</v>
      </c>
      <c r="CB14" s="560">
        <f>IF(Sheet1!EQ16="OTHER",CH14,0)</f>
        <v>0</v>
      </c>
      <c r="CC14" s="560">
        <f t="shared" si="24"/>
        <v>0</v>
      </c>
      <c r="CD14" s="560">
        <f t="shared" si="25"/>
        <v>0</v>
      </c>
      <c r="CE14" s="560">
        <f t="shared" si="26"/>
        <v>2.5</v>
      </c>
      <c r="CF14" s="560">
        <f t="shared" si="27"/>
        <v>2.4806474313863474</v>
      </c>
      <c r="CG14" s="560">
        <f>IF(Sheet1!EQ16="CWA",SUM(Sheet1!BC16:'Sheet1'!BF16),0)</f>
        <v>0</v>
      </c>
      <c r="CH14" s="560">
        <f>IF(OR(Sheet1!EQ16="FM", Sheet1!EQ16="OTHER"),SUM(Sheet1!BC16:'Sheet1'!BF16),0)</f>
        <v>0</v>
      </c>
      <c r="CI14" s="545">
        <f>IF(AND($B14&gt;=$FV14,$B14&lt;=$FW14),MAX(CF14,Sheet1!EJ16,0),MAX(CF14-(7/36)*$K14,0))</f>
        <v>0</v>
      </c>
      <c r="CJ14" s="560">
        <f t="shared" si="28"/>
        <v>0</v>
      </c>
      <c r="CK14" s="545">
        <f t="shared" si="29"/>
        <v>2.4806474313863474</v>
      </c>
      <c r="CL14" s="545">
        <f>IF(AND($O14&gt;0,Sheet1!EN16=1),(1-($O14-Sheet1!$L16)/$O14)*CF14,0)</f>
        <v>0</v>
      </c>
      <c r="CM14" s="545">
        <f>IF(AND(Sheet1!$L16=0,Sheet1!$L15=0, Calculation!CE14&lt;Sheet1!EJ16-0.1,Sheet1!EJ16=Sheet1!EJ15,Sheet1!EJ16=Sheet1!EJ17),Sheet1!EJ16,CF14-CL14)</f>
        <v>2.4806474313863474</v>
      </c>
      <c r="CN14" s="545"/>
      <c r="CO14" s="560"/>
      <c r="CP14" s="560">
        <f t="shared" si="30"/>
        <v>0</v>
      </c>
      <c r="CQ14" s="560"/>
      <c r="CR14" s="560">
        <f ca="1">IF(B14&gt;Summary!$A$1,#N/A,CP14*MGtoAF)</f>
        <v>0</v>
      </c>
      <c r="CS14" s="560">
        <f>Sheet1!BK16+Sheet1!BL16+Sheet1!BM16-Sheet1!ER16-DA14</f>
        <v>3.71</v>
      </c>
      <c r="CT14" s="560">
        <f t="shared" si="31"/>
        <v>3.6812807881773395</v>
      </c>
      <c r="CU14" s="560">
        <f>IF(Sheet1!ER16="FM",DA14,0)</f>
        <v>0</v>
      </c>
      <c r="CV14" s="560">
        <f t="shared" si="32"/>
        <v>0</v>
      </c>
      <c r="CW14" s="560">
        <f>IF(Sheet1!ER16="OTHER",DA14,0)</f>
        <v>0</v>
      </c>
      <c r="CX14" s="560">
        <f t="shared" si="33"/>
        <v>0</v>
      </c>
      <c r="CY14" s="560">
        <f t="shared" si="34"/>
        <v>3.71</v>
      </c>
      <c r="CZ14" s="560">
        <f t="shared" si="35"/>
        <v>3.6812807881773395</v>
      </c>
      <c r="DA14" s="560">
        <f>IF(OR(Sheet1!ER16="FM", Sheet1!ER16="OTHER"),SUM(Sheet1!BK16:'Sheet1'!BM16),0)</f>
        <v>0</v>
      </c>
      <c r="DB14" s="545">
        <f>IF(AND($B14&gt;=$FV14,$B14&lt;=$FW14),MAX($CT14,Sheet1!EK16,0),MAX($CT14-(7/36)*$K14,0))</f>
        <v>0</v>
      </c>
      <c r="DC14" s="560">
        <f t="shared" si="36"/>
        <v>0</v>
      </c>
      <c r="DD14" s="545">
        <f t="shared" si="37"/>
        <v>3.6812807881773395</v>
      </c>
      <c r="DE14" s="545">
        <f>IF(AND($O14&gt;0,Sheet1!EO16=1),(1-($O14-Sheet1!$L16)/$O14)*CZ14,0)</f>
        <v>0</v>
      </c>
      <c r="DF14" s="545">
        <f>IF(AND(Sheet1!$L16=0,Sheet1!$L15=0, Calculation!CY14&lt;Sheet1!$EK16-0.1,Sheet1!$EK16=Sheet1!$EK15,Sheet1!$EK16=Sheet1!$EK17),Sheet1!$EK16,CZ14-DE14)</f>
        <v>3.6812807881773395</v>
      </c>
      <c r="DG14" s="545"/>
      <c r="DH14" s="560">
        <f t="shared" si="38"/>
        <v>6.21</v>
      </c>
      <c r="DI14" s="560">
        <f t="shared" si="39"/>
        <v>0</v>
      </c>
      <c r="DJ14" s="698">
        <f t="shared" si="40"/>
        <v>6.1619282195636869</v>
      </c>
      <c r="DK14" s="560">
        <f ca="1">IF(B14&gt;Summary!$A$1,#N/A,DI14*MGtoAF)</f>
        <v>0</v>
      </c>
      <c r="DL14" s="698">
        <f t="shared" si="41"/>
        <v>6.21</v>
      </c>
      <c r="DM14" s="560">
        <f t="shared" si="42"/>
        <v>14.21</v>
      </c>
      <c r="DN14" s="560">
        <f>Sheet1!AB16-DM14</f>
        <v>-0.11000000000000121</v>
      </c>
      <c r="DO14" s="823">
        <f t="shared" si="43"/>
        <v>-7.7410274454610276E-3</v>
      </c>
      <c r="DP14" s="560">
        <f>(VLOOKUP(Sheet1!DC16,hhdcap_wcm,4)-(((VLOOKUP(Sheet1!DC16,hhdcap_wcm,3)-Sheet1!DC16)/(VLOOKUP(Sheet1!DC16,hhdcap_wcm,3)-VLOOKUP(Sheet1!DC16,hhdcap_wcm,1)))*(VLOOKUP(Sheet1!DC16,hhdcap_wcm,4)-VLOOKUP(Sheet1!DC16,hhdcap_wcm,2))))</f>
        <v>1325.0000000036607</v>
      </c>
      <c r="DQ14" s="560">
        <f t="shared" si="76"/>
        <v>453.00000000090495</v>
      </c>
      <c r="DR14" s="560">
        <f t="shared" si="44"/>
        <v>228.44175491724906</v>
      </c>
      <c r="DS14" s="560">
        <f>Sheet1!EA16*AFtoMG</f>
        <v>0</v>
      </c>
      <c r="DT14" s="560">
        <f>Sheet1!EB16*AFtoMG</f>
        <v>0</v>
      </c>
      <c r="DU14" s="560">
        <f>Sheet1!EC16*AFtoMG</f>
        <v>0</v>
      </c>
      <c r="DV14" s="560">
        <f>Sheet1!ED16*AFtoMG</f>
        <v>0</v>
      </c>
      <c r="DW14" s="560">
        <f t="shared" si="45"/>
        <v>0</v>
      </c>
      <c r="DX14" s="560">
        <f t="shared" si="46"/>
        <v>0</v>
      </c>
      <c r="DY14" s="560">
        <f t="shared" si="47"/>
        <v>0</v>
      </c>
      <c r="DZ14" s="560">
        <f t="shared" si="48"/>
        <v>0</v>
      </c>
      <c r="EA14" s="560"/>
      <c r="EB14" s="545">
        <f>IF(OR(B14&lt;FV14,B14&gt;FW14),(MIN(BF14+BY14+CT14+MAX(Sheet1!AA16+AQ14-73,0),K14)),0)</f>
        <v>6.1619282195636869</v>
      </c>
      <c r="EC14" s="560"/>
      <c r="ED14" s="560">
        <f t="shared" si="49"/>
        <v>6.1619282195636869</v>
      </c>
      <c r="EE14" s="560"/>
      <c r="EF14" s="560">
        <f>Sheet1!EH16+Sheet1!EI16+Sheet1!EJ16+Sheet1!EK16</f>
        <v>6.21</v>
      </c>
      <c r="EG14" s="560"/>
      <c r="EH14" s="545">
        <f t="shared" si="50"/>
        <v>0</v>
      </c>
      <c r="EI14" s="560">
        <f>IF(Sheet1!ET16=1,SUM('Calculations II'!AT14:BA14)+'Calculations II'!BC14+Sheet1!BV16+'Calculations II'!BE14+AP14,SUM('Calculations II'!AT14:BA14)+'Calculations II'!BC14+Sheet1!BV16+'Calculations II'!BE14+AP14)</f>
        <v>46.78844800000001</v>
      </c>
      <c r="EJ14" s="560">
        <f>Sheet1!AA16+Sheet1!AB16+'Calculations II'!BC14</f>
        <v>54.832352</v>
      </c>
      <c r="EK14" s="560"/>
      <c r="EL14" s="560"/>
      <c r="EM14" s="560">
        <f t="shared" si="51"/>
        <v>41642</v>
      </c>
      <c r="EN14" s="560">
        <f t="shared" si="52"/>
        <v>0</v>
      </c>
      <c r="EO14" s="560">
        <f t="shared" si="53"/>
        <v>0</v>
      </c>
      <c r="EP14" s="560">
        <v>0</v>
      </c>
      <c r="EQ14" s="560">
        <v>0</v>
      </c>
      <c r="ER14" s="560">
        <v>0</v>
      </c>
      <c r="ES14" s="545">
        <f t="shared" si="77"/>
        <v>-4.1556968538829091</v>
      </c>
      <c r="ET14" s="560">
        <f>-(VLOOKUP(Sheet1!BQ16,Lookup!$O$4:$Q$262,2)-VLOOKUP(Sheet1!BQ15,Lookup!$O$4:$Q$262,2))/1000000</f>
        <v>-2.0778484269414546</v>
      </c>
      <c r="EU14" s="560">
        <f>-(VLOOKUP(Sheet1!BR16,Lookup!$O$4:$Q$262,3)-VLOOKUP(Sheet1!BR15,Lookup!$O$4:$Q$262,3))/1000000</f>
        <v>-2.0778484269414546</v>
      </c>
      <c r="EV14" s="560"/>
      <c r="EW14" s="560"/>
      <c r="EX14" s="560"/>
      <c r="EY14" s="560"/>
      <c r="EZ14" s="560"/>
      <c r="FA14" s="560"/>
      <c r="FB14" s="560"/>
      <c r="FC14" s="560"/>
      <c r="FD14" s="594" t="e">
        <f t="shared" si="78"/>
        <v>#N/A</v>
      </c>
      <c r="FE14" s="594" t="e">
        <f t="shared" si="79"/>
        <v>#N/A</v>
      </c>
      <c r="FF14" s="595" t="e">
        <f t="shared" si="54"/>
        <v>#N/A</v>
      </c>
      <c r="FG14" s="596" t="s">
        <v>692</v>
      </c>
      <c r="FH14" s="596" t="s">
        <v>692</v>
      </c>
      <c r="FI14" s="594" t="e">
        <v>#N/A</v>
      </c>
      <c r="FJ14" s="594" t="e">
        <v>#N/A</v>
      </c>
      <c r="FK14" s="560"/>
      <c r="FL14" s="560"/>
      <c r="FM14" s="560"/>
      <c r="FN14" s="560"/>
      <c r="FO14" s="560">
        <f>O14+((Sheet1!CS16)*GPMtoMGD)</f>
        <v>54.832352</v>
      </c>
      <c r="FP14" s="560">
        <f>IF(Sheet1!AA16+AQ14&lt;=Calculation!N14,AQ14,Calculation!N14-Sheet1!AA16)</f>
        <v>6.9458128078817731</v>
      </c>
      <c r="FQ14" s="560">
        <f>(Sheet1!BP16+Sheet1!BO16)/694.4</f>
        <v>3.2690092165898618E-2</v>
      </c>
      <c r="FR14" s="560"/>
      <c r="FS14" s="560"/>
      <c r="FT14" s="560"/>
      <c r="FU14" s="560"/>
      <c r="FV14" s="695">
        <f t="shared" si="80"/>
        <v>41827</v>
      </c>
      <c r="FW14" s="695">
        <f t="shared" si="81"/>
        <v>41934</v>
      </c>
      <c r="FX14" s="560"/>
      <c r="FY14" s="560"/>
      <c r="FZ14" s="560"/>
      <c r="GA14" s="560"/>
      <c r="GB14" s="560" t="str">
        <f t="shared" si="82"/>
        <v>n</v>
      </c>
      <c r="GC14" s="564">
        <f t="shared" si="83"/>
        <v>41691</v>
      </c>
      <c r="GD14" s="695">
        <f t="shared" si="84"/>
        <v>41807</v>
      </c>
      <c r="GE14" s="560">
        <v>6518.9</v>
      </c>
      <c r="GF14" s="695">
        <f t="shared" si="85"/>
        <v>41808</v>
      </c>
      <c r="GG14" s="560">
        <f t="shared" si="98"/>
        <v>3259</v>
      </c>
      <c r="GH14" s="564">
        <f t="shared" si="87"/>
        <v>41934</v>
      </c>
      <c r="GJ14" s="545">
        <f t="shared" si="88"/>
        <v>0</v>
      </c>
      <c r="GK14" s="560" t="str">
        <f t="shared" si="55"/>
        <v/>
      </c>
      <c r="GL14" s="560">
        <f t="shared" si="89"/>
        <v>0</v>
      </c>
      <c r="GM14" s="560" t="str">
        <f t="shared" si="90"/>
        <v/>
      </c>
      <c r="GN14" s="560">
        <f>IF(GK14="P",Lookup!$M$12,IF(GK14="PP",Lookup!$M$13,IF(GK14="PPP",Lookup!$M$14,IF(GK14="T",Lookup!$M$15,IF(GK14="TP",Lookup!$M$16,IF(GK14="TPP",Lookup!$M$17,IF(GK14="TPPP",Lookup!$M$18,0)))))))*GJ14</f>
        <v>0</v>
      </c>
      <c r="GO14" s="560">
        <f t="shared" si="91"/>
        <v>0</v>
      </c>
      <c r="GP14" s="560">
        <f t="shared" si="56"/>
        <v>0</v>
      </c>
      <c r="GQ14" s="560">
        <f t="shared" si="99"/>
        <v>0</v>
      </c>
      <c r="GR14" s="560"/>
      <c r="GS14" s="560">
        <f t="shared" si="92"/>
        <v>0</v>
      </c>
      <c r="GT14" s="560" t="str">
        <f t="shared" si="93"/>
        <v/>
      </c>
      <c r="GU14" s="560">
        <f>IF(GK14="P",Lookup!$N$12,IF(GK14="PP",Lookup!$N$13,IF(GK14="PPP",Lookup!$N$14,IF(GK14="T",Lookup!$N$15,IF(GK14="TP",Lookup!$N$16,IF(GK14="TPP",Lookup!$N$17,IF(GK14="TPPP",Lookup!$N$18,0)))))))*GJ14</f>
        <v>0</v>
      </c>
      <c r="GV14" s="560">
        <f t="shared" si="57"/>
        <v>0</v>
      </c>
      <c r="GW14" s="560">
        <f t="shared" si="58"/>
        <v>0</v>
      </c>
      <c r="GX14" s="560">
        <f t="shared" si="100"/>
        <v>0</v>
      </c>
      <c r="GY14" s="560"/>
      <c r="GZ14" s="560">
        <f t="shared" si="94"/>
        <v>0</v>
      </c>
      <c r="HA14" s="560" t="str">
        <f t="shared" si="95"/>
        <v/>
      </c>
      <c r="HB14" s="560">
        <f>IF(GK14="P",Lookup!$N$12,IF(GK14="PP",Lookup!$N$13,IF(GK14="PPP",Lookup!$N$14,IF(GK14="T",Lookup!$N$15,IF(GK14="TP",Lookup!$N$16,IF(GK14="TPP",Lookup!$N$17,IF(GK14="TPPP",Lookup!$N$18,0)))))))*GJ14</f>
        <v>0</v>
      </c>
      <c r="HC14" s="545">
        <f t="shared" si="59"/>
        <v>0</v>
      </c>
      <c r="HD14" s="560">
        <f t="shared" si="60"/>
        <v>0</v>
      </c>
      <c r="HE14" s="560">
        <f t="shared" si="101"/>
        <v>0</v>
      </c>
      <c r="HF14" s="560"/>
      <c r="HG14" s="560">
        <f t="shared" si="96"/>
        <v>0</v>
      </c>
      <c r="HH14" s="560" t="str">
        <f t="shared" si="97"/>
        <v/>
      </c>
      <c r="HI14" s="560">
        <f>IF(GK14="P",Lookup!$N$12,IF(GK14="PP",Lookup!$N$13,IF(GK14="PPP",Lookup!$N$14,IF(GK14="T",Lookup!$N$15,IF(GK14="TP",Lookup!$N$16,IF(GK14="TPP",Lookup!$N$17,IF(GK14="TPPP",Lookup!$N$18,0)))))))*GJ14</f>
        <v>0</v>
      </c>
      <c r="HJ14" s="545">
        <f t="shared" si="61"/>
        <v>0</v>
      </c>
      <c r="HK14" s="560">
        <f t="shared" si="62"/>
        <v>0</v>
      </c>
      <c r="HL14" s="560">
        <f t="shared" si="102"/>
        <v>0</v>
      </c>
      <c r="HM14" s="560"/>
    </row>
    <row r="15" spans="1:221">
      <c r="A15" s="580" t="s">
        <v>9</v>
      </c>
      <c r="B15" s="556">
        <v>41643</v>
      </c>
      <c r="C15" s="561">
        <v>0</v>
      </c>
      <c r="D15" s="529">
        <f t="shared" si="0"/>
        <v>300</v>
      </c>
      <c r="E15" s="529">
        <f t="shared" si="1"/>
        <v>250</v>
      </c>
      <c r="F15" s="529">
        <v>250</v>
      </c>
      <c r="G15" s="560">
        <f>DR15+Sheet1!CZ17</f>
        <v>1097.6601109430958</v>
      </c>
      <c r="H15" s="914">
        <f t="shared" si="2"/>
        <v>442.56429571361713</v>
      </c>
      <c r="I15" s="559">
        <f>MAX(Sheet1!Z17-AT15+(Sheet1!DA17-E15)*CFStoMGD,0)</f>
        <v>796.24400000000003</v>
      </c>
      <c r="J15" s="562">
        <f>IF(AND(B15&gt;=Calculation!GC15,B15&lt;=Calculation!GD15),IF(Sheet1!DB17&gt;=Calculation!D15,64.64,0),MAX(Sheet1!Z17-AT15+(Sheet1!DB17-D15)*CFStoMGD,0))</f>
        <v>435.55279999999999</v>
      </c>
      <c r="K15" s="904">
        <f t="shared" si="3"/>
        <v>64.64</v>
      </c>
      <c r="L15" s="560">
        <f>Sheet1!AA17+Sheet1!AB17-Sheet1!L17+(Sheet1!DA17-F15)*CFStoMGD</f>
        <v>782.14400000000001</v>
      </c>
      <c r="M15" s="560">
        <f t="shared" si="4"/>
        <v>723.71804562788952</v>
      </c>
      <c r="N15" s="910">
        <f>IF(Sheet1!DA17&gt;=F15,MIN(73,MIN(MAX(L15,0),MAX(M15,0))),0)</f>
        <v>73</v>
      </c>
      <c r="O15" s="563">
        <f>Sheet1!AA17+Sheet1!AB17</f>
        <v>35.15</v>
      </c>
      <c r="P15" s="563">
        <f t="shared" si="5"/>
        <v>54.377049999999997</v>
      </c>
      <c r="Q15" s="898">
        <f t="shared" si="63"/>
        <v>0</v>
      </c>
      <c r="R15" s="829">
        <f t="shared" si="64"/>
        <v>6.1132867132867137</v>
      </c>
      <c r="S15" s="898">
        <f t="shared" si="65"/>
        <v>35.15</v>
      </c>
      <c r="T15" s="898">
        <f t="shared" si="66"/>
        <v>0</v>
      </c>
      <c r="U15" s="898">
        <f t="shared" si="6"/>
        <v>0</v>
      </c>
      <c r="V15" s="898"/>
      <c r="W15" s="898">
        <f t="shared" si="67"/>
        <v>58.526713286713289</v>
      </c>
      <c r="X15" s="898">
        <f t="shared" si="68"/>
        <v>35.15</v>
      </c>
      <c r="Y15" s="898" t="str">
        <f t="shared" si="69"/>
        <v/>
      </c>
      <c r="Z15" s="898">
        <f t="shared" si="70"/>
        <v>35.15</v>
      </c>
      <c r="AA15" s="898">
        <f t="shared" si="71"/>
        <v>35.15</v>
      </c>
      <c r="AB15" s="898" t="str">
        <f t="shared" si="72"/>
        <v/>
      </c>
      <c r="AC15" s="563">
        <f>Sheet1!Y17*MGDtoCFS</f>
        <v>32.564349999999997</v>
      </c>
      <c r="AD15" s="563">
        <f>Sheet1!Z17*MGDtoCFS</f>
        <v>21.8127</v>
      </c>
      <c r="AE15" s="563">
        <f>Sheet1!AA17*MGDtoCFS</f>
        <v>32.564349999999997</v>
      </c>
      <c r="AF15" s="563">
        <f>Sheet1!AB17*MGDtoCFS</f>
        <v>21.8127</v>
      </c>
      <c r="AG15" s="563">
        <f>Sheet1!L17*MGDtoCFS</f>
        <v>54.377049999999997</v>
      </c>
      <c r="AH15" s="545">
        <f t="shared" si="73"/>
        <v>0</v>
      </c>
      <c r="AI15" s="560">
        <f t="shared" si="7"/>
        <v>0</v>
      </c>
      <c r="AJ15" s="560">
        <f t="shared" si="74"/>
        <v>0</v>
      </c>
      <c r="AK15" s="560">
        <f t="shared" si="8"/>
        <v>0</v>
      </c>
      <c r="AL15" s="560">
        <f>(VLOOKUP(Sheet1!DC17,hhdcap_wcm,4)-(((VLOOKUP(Sheet1!DC17,hhdcap_wcm,3)-Sheet1!DC17)/(VLOOKUP(Sheet1!DC17,hhdcap_wcm,3)-VLOOKUP(Sheet1!DC17,hhdcap_wcm,1)))*(VLOOKUP(Sheet1!DC17,hhdcap_wcm,4)-VLOOKUP(Sheet1!DC17,hhdcap_wcm,2))))</f>
        <v>1479.0000000038199</v>
      </c>
      <c r="AM15" s="560">
        <f t="shared" si="75"/>
        <v>154.00000000015916</v>
      </c>
      <c r="AN15" s="560">
        <f t="shared" si="9"/>
        <v>0</v>
      </c>
      <c r="AO15" s="560">
        <f t="shared" si="10"/>
        <v>0</v>
      </c>
      <c r="AP15" s="560">
        <f>Sheet1!BA17+Sheet1!BB17+Sheet1!BN17+CD15</f>
        <v>8.1</v>
      </c>
      <c r="AQ15" s="560">
        <f>Sheet1!BN17+(DO15*Sheet1!BN17)</f>
        <v>7.0006993006993001</v>
      </c>
      <c r="AR15" s="560">
        <f>Sheet1!BA17+CD15</f>
        <v>0</v>
      </c>
      <c r="AS15" s="560">
        <f>Sheet1!BA17+Sheet1!BB17+CD15</f>
        <v>1</v>
      </c>
      <c r="AT15" s="698">
        <f>0</f>
        <v>0</v>
      </c>
      <c r="AU15" s="560">
        <f>IF(EB15&lt;K15,0,MAX(Sheet1!AA17+AQ15-15/36*K15-N15,Sheet1!EH17,0))</f>
        <v>0</v>
      </c>
      <c r="AV15" s="560">
        <f>IF(OR(B15&gt;=GD15,B15&lt;GC15),0,15/36*K15-MAX(0,64.6-(137.6-(Sheet1!AA17+Sheet1!AB17))))</f>
        <v>0</v>
      </c>
      <c r="AW15" s="698">
        <f>Sheet1!DB17-110</f>
        <v>842</v>
      </c>
      <c r="AX15" s="698">
        <f>Sheet1!DA17-265</f>
        <v>1195</v>
      </c>
      <c r="AY15" s="698">
        <f t="shared" si="11"/>
        <v>73</v>
      </c>
      <c r="AZ15" s="698">
        <v>0</v>
      </c>
      <c r="BA15" s="698">
        <f t="shared" si="12"/>
        <v>0</v>
      </c>
      <c r="BB15" s="560">
        <f t="shared" si="13"/>
        <v>0</v>
      </c>
      <c r="BC15" s="560"/>
      <c r="BD15" s="560">
        <f ca="1">IF(B15&gt;Summary!$A$1,#N/A,BB15*MGtoAF)</f>
        <v>0</v>
      </c>
      <c r="BE15" s="560">
        <f>Sheet1!BG17+Sheet1!BH17+Sheet1!BI17-BM15</f>
        <v>0</v>
      </c>
      <c r="BF15" s="560">
        <f t="shared" si="14"/>
        <v>0</v>
      </c>
      <c r="BG15" s="560">
        <f>IF(Sheet1!EP17="FM",BM15,0)</f>
        <v>0</v>
      </c>
      <c r="BH15" s="560">
        <f t="shared" si="15"/>
        <v>0</v>
      </c>
      <c r="BI15" s="560">
        <f>IF(Sheet1!EP17="OTHER",BM15,0)</f>
        <v>0</v>
      </c>
      <c r="BJ15" s="560">
        <f t="shared" si="16"/>
        <v>0</v>
      </c>
      <c r="BK15" s="560">
        <f t="shared" si="17"/>
        <v>0</v>
      </c>
      <c r="BL15" s="560">
        <f t="shared" si="18"/>
        <v>0</v>
      </c>
      <c r="BM15" s="560">
        <f>IF(OR(Sheet1!EP17="FM", Sheet1!EP17="OTHER"),SUM(Sheet1!BG17:'Sheet1'!BI17),0)</f>
        <v>0</v>
      </c>
      <c r="BN15" s="545">
        <f>IF(AND($B15&gt;=$FV15,$B15&lt;=$FW15),MAX(BF15,Sheet1!EI17,0),MAX(BF15-(7/36)*$K15,0))</f>
        <v>0</v>
      </c>
      <c r="BO15" s="560">
        <f t="shared" si="19"/>
        <v>0</v>
      </c>
      <c r="BP15" s="545">
        <f t="shared" si="20"/>
        <v>0</v>
      </c>
      <c r="BQ15" s="545">
        <f>IF(AND($O15&gt;0,Sheet1!EM17=1),(1-($O15-Sheet1!$L17)/$O15)*BL15,0)</f>
        <v>0</v>
      </c>
      <c r="BR15" s="545">
        <f>IF(AND(Sheet1!$L17=0,Sheet1!$L16=0, Calculation!BK15&lt;Sheet1!$EI17-0.1,Sheet1!$EI17=Sheet1!$EI16,Sheet1!$EI17=Sheet1!$EI18),Sheet1!$EI17,BL15-BQ15)</f>
        <v>0</v>
      </c>
      <c r="BS15" s="560"/>
      <c r="BT15" s="560"/>
      <c r="BU15" s="560">
        <f t="shared" si="21"/>
        <v>0</v>
      </c>
      <c r="BV15" s="560"/>
      <c r="BW15" s="560">
        <f ca="1">IF(B15&gt;Summary!$A$1,#N/A,BU15*MGtoAF)</f>
        <v>0</v>
      </c>
      <c r="BX15" s="560">
        <f>Sheet1!BC17+Sheet1!BD17+Sheet1!BE17+Sheet1!BF17-CG15-CH15</f>
        <v>2.4900000000000002</v>
      </c>
      <c r="BY15" s="560">
        <f t="shared" si="22"/>
        <v>2.4551748251748253</v>
      </c>
      <c r="BZ15" s="560">
        <f>IF(Sheet1!EQ17="FM",CH15,0)</f>
        <v>0</v>
      </c>
      <c r="CA15" s="560">
        <f t="shared" si="23"/>
        <v>0</v>
      </c>
      <c r="CB15" s="560">
        <f>IF(Sheet1!EQ17="OTHER",CH15,0)</f>
        <v>0</v>
      </c>
      <c r="CC15" s="560">
        <f t="shared" si="24"/>
        <v>0</v>
      </c>
      <c r="CD15" s="560">
        <f t="shared" si="25"/>
        <v>0</v>
      </c>
      <c r="CE15" s="560">
        <f t="shared" si="26"/>
        <v>2.4900000000000002</v>
      </c>
      <c r="CF15" s="560">
        <f t="shared" si="27"/>
        <v>2.4551748251748253</v>
      </c>
      <c r="CG15" s="560">
        <f>IF(Sheet1!EQ17="CWA",SUM(Sheet1!BC17:'Sheet1'!BF17),0)</f>
        <v>0</v>
      </c>
      <c r="CH15" s="560">
        <f>IF(OR(Sheet1!EQ17="FM", Sheet1!EQ17="OTHER"),SUM(Sheet1!BC17:'Sheet1'!BF17),0)</f>
        <v>0</v>
      </c>
      <c r="CI15" s="545">
        <f>IF(AND($B15&gt;=$FV15,$B15&lt;=$FW15),MAX(CF15,Sheet1!EJ17,0),MAX(CF15-(7/36)*$K15,0))</f>
        <v>0</v>
      </c>
      <c r="CJ15" s="560">
        <f t="shared" si="28"/>
        <v>0</v>
      </c>
      <c r="CK15" s="545">
        <f t="shared" si="29"/>
        <v>2.4551748251748253</v>
      </c>
      <c r="CL15" s="545">
        <f>IF(AND($O15&gt;0,Sheet1!EN17=1),(1-($O15-Sheet1!$L17)/$O15)*CF15,0)</f>
        <v>0</v>
      </c>
      <c r="CM15" s="545">
        <f>IF(AND(Sheet1!$L17=0,Sheet1!$L16=0, Calculation!CE15&lt;Sheet1!EJ17-0.1,Sheet1!EJ17=Sheet1!EJ16,Sheet1!EJ17=Sheet1!EJ18),Sheet1!EJ17,CF15-CL15)</f>
        <v>2.4551748251748253</v>
      </c>
      <c r="CN15" s="545"/>
      <c r="CO15" s="560"/>
      <c r="CP15" s="560">
        <f t="shared" si="30"/>
        <v>0</v>
      </c>
      <c r="CQ15" s="560"/>
      <c r="CR15" s="560">
        <f ca="1">IF(B15&gt;Summary!$A$1,#N/A,CP15*MGtoAF)</f>
        <v>0</v>
      </c>
      <c r="CS15" s="560">
        <f>Sheet1!BK17+Sheet1!BL17+Sheet1!BM17-Sheet1!ER17-DA15</f>
        <v>3.71</v>
      </c>
      <c r="CT15" s="560">
        <f t="shared" si="31"/>
        <v>3.6581118881118879</v>
      </c>
      <c r="CU15" s="560">
        <f>IF(Sheet1!ER17="FM",DA15,0)</f>
        <v>0</v>
      </c>
      <c r="CV15" s="560">
        <f t="shared" si="32"/>
        <v>0</v>
      </c>
      <c r="CW15" s="560">
        <f>IF(Sheet1!ER17="OTHER",DA15,0)</f>
        <v>0</v>
      </c>
      <c r="CX15" s="560">
        <f t="shared" si="33"/>
        <v>0</v>
      </c>
      <c r="CY15" s="560">
        <f t="shared" si="34"/>
        <v>3.71</v>
      </c>
      <c r="CZ15" s="560">
        <f t="shared" si="35"/>
        <v>3.6581118881118879</v>
      </c>
      <c r="DA15" s="560">
        <f>IF(OR(Sheet1!ER17="FM", Sheet1!ER17="OTHER"),SUM(Sheet1!BK17:'Sheet1'!BM17),0)</f>
        <v>0</v>
      </c>
      <c r="DB15" s="545">
        <f>IF(AND($B15&gt;=$FV15,$B15&lt;=$FW15),MAX($CT15,Sheet1!EK17,0),MAX($CT15-(7/36)*$K15,0))</f>
        <v>0</v>
      </c>
      <c r="DC15" s="560">
        <f t="shared" si="36"/>
        <v>0</v>
      </c>
      <c r="DD15" s="545">
        <f t="shared" si="37"/>
        <v>3.6581118881118879</v>
      </c>
      <c r="DE15" s="545">
        <f>IF(AND($O15&gt;0,Sheet1!EO17=1),(1-($O15-Sheet1!$L17)/$O15)*CZ15,0)</f>
        <v>0</v>
      </c>
      <c r="DF15" s="545">
        <f>IF(AND(Sheet1!$L17=0,Sheet1!$L16=0, Calculation!CY15&lt;Sheet1!$EK17-0.1,Sheet1!$EK17=Sheet1!$EK16,Sheet1!$EK17=Sheet1!$EK18),Sheet1!$EK17,CZ15-DE15)</f>
        <v>3.6581118881118879</v>
      </c>
      <c r="DG15" s="545"/>
      <c r="DH15" s="560">
        <f t="shared" si="38"/>
        <v>6.2</v>
      </c>
      <c r="DI15" s="560">
        <f t="shared" si="39"/>
        <v>0</v>
      </c>
      <c r="DJ15" s="698">
        <f t="shared" si="40"/>
        <v>6.1132867132867137</v>
      </c>
      <c r="DK15" s="560">
        <f ca="1">IF(B15&gt;Summary!$A$1,#N/A,DI15*MGtoAF)</f>
        <v>0</v>
      </c>
      <c r="DL15" s="698">
        <f t="shared" si="41"/>
        <v>6.2</v>
      </c>
      <c r="DM15" s="560">
        <f t="shared" si="42"/>
        <v>14.3</v>
      </c>
      <c r="DN15" s="560">
        <f>Sheet1!AB17-DM15</f>
        <v>-0.20000000000000107</v>
      </c>
      <c r="DO15" s="823">
        <f t="shared" si="43"/>
        <v>-1.3986013986014061E-2</v>
      </c>
      <c r="DP15" s="560">
        <f>(VLOOKUP(Sheet1!DC17,hhdcap_wcm,4)-(((VLOOKUP(Sheet1!DC17,hhdcap_wcm,3)-Sheet1!DC17)/(VLOOKUP(Sheet1!DC17,hhdcap_wcm,3)-VLOOKUP(Sheet1!DC17,hhdcap_wcm,1)))*(VLOOKUP(Sheet1!DC17,hhdcap_wcm,4)-VLOOKUP(Sheet1!DC17,hhdcap_wcm,2))))</f>
        <v>1479.0000000038199</v>
      </c>
      <c r="DQ15" s="560">
        <f t="shared" si="76"/>
        <v>154.00000000015916</v>
      </c>
      <c r="DR15" s="560">
        <f t="shared" si="44"/>
        <v>77.660110943095887</v>
      </c>
      <c r="DS15" s="560">
        <f>Sheet1!EA17*AFtoMG</f>
        <v>0</v>
      </c>
      <c r="DT15" s="560">
        <f>Sheet1!EB17*AFtoMG</f>
        <v>0</v>
      </c>
      <c r="DU15" s="560">
        <f>Sheet1!EC17*AFtoMG</f>
        <v>0</v>
      </c>
      <c r="DV15" s="560">
        <f>Sheet1!ED17*AFtoMG</f>
        <v>0</v>
      </c>
      <c r="DW15" s="560">
        <f t="shared" si="45"/>
        <v>0</v>
      </c>
      <c r="DX15" s="560">
        <f t="shared" si="46"/>
        <v>0</v>
      </c>
      <c r="DY15" s="560">
        <f t="shared" si="47"/>
        <v>0</v>
      </c>
      <c r="DZ15" s="560">
        <f t="shared" si="48"/>
        <v>0</v>
      </c>
      <c r="EA15" s="560"/>
      <c r="EB15" s="545">
        <f>IF(OR(B15&lt;FV15,B15&gt;FW15),(MIN(BF15+BY15+CT15+MAX(Sheet1!AA17+AQ15-73,0),K15)),0)</f>
        <v>6.1132867132867137</v>
      </c>
      <c r="EC15" s="560"/>
      <c r="ED15" s="560">
        <f t="shared" si="49"/>
        <v>6.1132867132867137</v>
      </c>
      <c r="EE15" s="560"/>
      <c r="EF15" s="560">
        <f>Sheet1!EH17+Sheet1!EI17+Sheet1!EJ17+Sheet1!EK17</f>
        <v>6.21</v>
      </c>
      <c r="EG15" s="560"/>
      <c r="EH15" s="545">
        <f t="shared" si="50"/>
        <v>0</v>
      </c>
      <c r="EI15" s="560">
        <f>IF(Sheet1!ET17=1,SUM('Calculations II'!AT15:BA15)+'Calculations II'!BC15+Sheet1!BV17+'Calculations II'!BE15+AP15,SUM('Calculations II'!AT15:BA15)+'Calculations II'!BC15+Sheet1!BV17+'Calculations II'!BE15+AP15)</f>
        <v>49.416496000000009</v>
      </c>
      <c r="EJ15" s="560">
        <f>Sheet1!AA17+Sheet1!AB17+'Calculations II'!BC15</f>
        <v>51.082304000000001</v>
      </c>
      <c r="EK15" s="560"/>
      <c r="EL15" s="560"/>
      <c r="EM15" s="560">
        <f t="shared" si="51"/>
        <v>41643</v>
      </c>
      <c r="EN15" s="560">
        <f t="shared" si="52"/>
        <v>0</v>
      </c>
      <c r="EO15" s="560">
        <f t="shared" si="53"/>
        <v>0</v>
      </c>
      <c r="EP15" s="560">
        <v>0</v>
      </c>
      <c r="EQ15" s="560">
        <v>0</v>
      </c>
      <c r="ER15" s="560">
        <v>0</v>
      </c>
      <c r="ES15" s="545">
        <f t="shared" si="77"/>
        <v>1.6626248396676109</v>
      </c>
      <c r="ET15" s="560">
        <f>-(VLOOKUP(Sheet1!BQ17,Lookup!$O$4:$Q$262,2)-VLOOKUP(Sheet1!BQ16,Lookup!$O$4:$Q$262,2))/1000000</f>
        <v>0.83131241983380544</v>
      </c>
      <c r="EU15" s="560">
        <f>-(VLOOKUP(Sheet1!BR17,Lookup!$O$4:$Q$262,3)-VLOOKUP(Sheet1!BR16,Lookup!$O$4:$Q$262,3))/1000000</f>
        <v>0.83131241983380544</v>
      </c>
      <c r="EV15" s="560"/>
      <c r="EW15" s="560"/>
      <c r="EX15" s="560"/>
      <c r="EY15" s="560"/>
      <c r="EZ15" s="560"/>
      <c r="FA15" s="560"/>
      <c r="FB15" s="560"/>
      <c r="FC15" s="560"/>
      <c r="FD15" s="594" t="e">
        <f t="shared" si="78"/>
        <v>#N/A</v>
      </c>
      <c r="FE15" s="594" t="e">
        <f t="shared" si="79"/>
        <v>#N/A</v>
      </c>
      <c r="FF15" s="595" t="e">
        <f t="shared" si="54"/>
        <v>#N/A</v>
      </c>
      <c r="FG15" s="596" t="s">
        <v>692</v>
      </c>
      <c r="FH15" s="596" t="s">
        <v>692</v>
      </c>
      <c r="FI15" s="594" t="e">
        <v>#N/A</v>
      </c>
      <c r="FJ15" s="594" t="e">
        <v>#N/A</v>
      </c>
      <c r="FK15" s="560"/>
      <c r="FL15" s="560"/>
      <c r="FM15" s="560"/>
      <c r="FN15" s="560"/>
      <c r="FO15" s="560">
        <f>O15+((Sheet1!CS17)*GPMtoMGD)</f>
        <v>51.082304000000001</v>
      </c>
      <c r="FP15" s="560">
        <f>IF(Sheet1!AA17+AQ15&lt;=Calculation!N15,AQ15,Calculation!N15-Sheet1!AA17)</f>
        <v>7.0006993006993001</v>
      </c>
      <c r="FQ15" s="560">
        <f>(Sheet1!BP17+Sheet1!BO17)/694.4</f>
        <v>2.8326612903225805</v>
      </c>
      <c r="FR15" s="560"/>
      <c r="FS15" s="560"/>
      <c r="FT15" s="560"/>
      <c r="FU15" s="560"/>
      <c r="FV15" s="695">
        <f t="shared" si="80"/>
        <v>41827</v>
      </c>
      <c r="FW15" s="695">
        <f t="shared" si="81"/>
        <v>41934</v>
      </c>
      <c r="FX15" s="560"/>
      <c r="FY15" s="560"/>
      <c r="FZ15" s="560"/>
      <c r="GA15" s="560"/>
      <c r="GB15" s="560" t="str">
        <f t="shared" si="82"/>
        <v>n</v>
      </c>
      <c r="GC15" s="564">
        <f t="shared" si="83"/>
        <v>41691</v>
      </c>
      <c r="GD15" s="695">
        <f t="shared" si="84"/>
        <v>41807</v>
      </c>
      <c r="GE15" s="560">
        <v>6518.9</v>
      </c>
      <c r="GF15" s="695">
        <f t="shared" si="85"/>
        <v>41808</v>
      </c>
      <c r="GG15" s="560">
        <f t="shared" si="98"/>
        <v>3259</v>
      </c>
      <c r="GH15" s="564">
        <f t="shared" si="87"/>
        <v>41934</v>
      </c>
      <c r="GJ15" s="545">
        <f t="shared" si="88"/>
        <v>0</v>
      </c>
      <c r="GK15" s="560" t="str">
        <f t="shared" si="55"/>
        <v/>
      </c>
      <c r="GL15" s="560">
        <f t="shared" si="89"/>
        <v>0</v>
      </c>
      <c r="GM15" s="560" t="str">
        <f t="shared" si="90"/>
        <v/>
      </c>
      <c r="GN15" s="560">
        <f>IF(GK15="P",Lookup!$M$12,IF(GK15="PP",Lookup!$M$13,IF(GK15="PPP",Lookup!$M$14,IF(GK15="T",Lookup!$M$15,IF(GK15="TP",Lookup!$M$16,IF(GK15="TPP",Lookup!$M$17,IF(GK15="TPPP",Lookup!$M$18,0)))))))*GJ15</f>
        <v>0</v>
      </c>
      <c r="GO15" s="560">
        <f t="shared" si="91"/>
        <v>0</v>
      </c>
      <c r="GP15" s="560">
        <f t="shared" si="56"/>
        <v>0</v>
      </c>
      <c r="GQ15" s="560">
        <f t="shared" si="99"/>
        <v>0</v>
      </c>
      <c r="GR15" s="560"/>
      <c r="GS15" s="560">
        <f t="shared" si="92"/>
        <v>0</v>
      </c>
      <c r="GT15" s="560" t="str">
        <f t="shared" si="93"/>
        <v/>
      </c>
      <c r="GU15" s="560">
        <f>IF(GK15="P",Lookup!$N$12,IF(GK15="PP",Lookup!$N$13,IF(GK15="PPP",Lookup!$N$14,IF(GK15="T",Lookup!$N$15,IF(GK15="TP",Lookup!$N$16,IF(GK15="TPP",Lookup!$N$17,IF(GK15="TPPP",Lookup!$N$18,0)))))))*GJ15</f>
        <v>0</v>
      </c>
      <c r="GV15" s="560">
        <f t="shared" si="57"/>
        <v>0</v>
      </c>
      <c r="GW15" s="560">
        <f t="shared" si="58"/>
        <v>0</v>
      </c>
      <c r="GX15" s="560">
        <f t="shared" si="100"/>
        <v>0</v>
      </c>
      <c r="GY15" s="560"/>
      <c r="GZ15" s="560">
        <f t="shared" si="94"/>
        <v>0</v>
      </c>
      <c r="HA15" s="560" t="str">
        <f t="shared" si="95"/>
        <v/>
      </c>
      <c r="HB15" s="560">
        <f>IF(GK15="P",Lookup!$N$12,IF(GK15="PP",Lookup!$N$13,IF(GK15="PPP",Lookup!$N$14,IF(GK15="T",Lookup!$N$15,IF(GK15="TP",Lookup!$N$16,IF(GK15="TPP",Lookup!$N$17,IF(GK15="TPPP",Lookup!$N$18,0)))))))*GJ15</f>
        <v>0</v>
      </c>
      <c r="HC15" s="545">
        <f t="shared" si="59"/>
        <v>0</v>
      </c>
      <c r="HD15" s="560">
        <f t="shared" si="60"/>
        <v>0</v>
      </c>
      <c r="HE15" s="560">
        <f t="shared" si="101"/>
        <v>0</v>
      </c>
      <c r="HF15" s="560"/>
      <c r="HG15" s="560">
        <f t="shared" si="96"/>
        <v>0</v>
      </c>
      <c r="HH15" s="560" t="str">
        <f t="shared" si="97"/>
        <v/>
      </c>
      <c r="HI15" s="560">
        <f>IF(GK15="P",Lookup!$N$12,IF(GK15="PP",Lookup!$N$13,IF(GK15="PPP",Lookup!$N$14,IF(GK15="T",Lookup!$N$15,IF(GK15="TP",Lookup!$N$16,IF(GK15="TPP",Lookup!$N$17,IF(GK15="TPPP",Lookup!$N$18,0)))))))*GJ15</f>
        <v>0</v>
      </c>
      <c r="HJ15" s="545">
        <f t="shared" si="61"/>
        <v>0</v>
      </c>
      <c r="HK15" s="560">
        <f t="shared" si="62"/>
        <v>0</v>
      </c>
      <c r="HL15" s="560">
        <f t="shared" si="102"/>
        <v>0</v>
      </c>
      <c r="HM15" s="560"/>
    </row>
    <row r="16" spans="1:221">
      <c r="A16" s="580" t="s">
        <v>3</v>
      </c>
      <c r="B16" s="556">
        <v>41644</v>
      </c>
      <c r="C16" s="557">
        <v>0</v>
      </c>
      <c r="D16" s="529">
        <f t="shared" si="0"/>
        <v>300</v>
      </c>
      <c r="E16" s="529">
        <f t="shared" si="1"/>
        <v>250</v>
      </c>
      <c r="F16" s="529">
        <v>250</v>
      </c>
      <c r="G16" s="560">
        <f>DR16+Sheet1!CZ18</f>
        <v>998.81996974278184</v>
      </c>
      <c r="H16" s="914">
        <f t="shared" si="2"/>
        <v>378.67402844173415</v>
      </c>
      <c r="I16" s="559">
        <f>MAX(Sheet1!Z18-AT16+(Sheet1!DA18-E16)*CFStoMGD,0)</f>
        <v>770.38800000000003</v>
      </c>
      <c r="J16" s="562">
        <f>IF(AND(B16&gt;=Calculation!GC16,B16&lt;=Calculation!GD16),IF(Sheet1!DB18&gt;=Calculation!D16,64.64,0),MAX(Sheet1!Z18-AT16+(Sheet1!DB18-D16)*CFStoMGD,0))</f>
        <v>429.73520000000002</v>
      </c>
      <c r="K16" s="904">
        <f t="shared" si="3"/>
        <v>64.64</v>
      </c>
      <c r="L16" s="560">
        <f>Sheet1!AA18+Sheet1!AB18-Sheet1!L18+(Sheet1!DA18-F16)*CFStoMGD</f>
        <v>756.28800000000001</v>
      </c>
      <c r="M16" s="560">
        <f t="shared" si="4"/>
        <v>658.54997301056892</v>
      </c>
      <c r="N16" s="910">
        <f>IF(Sheet1!DA18&gt;=F16,MIN(73,MIN(MAX(L16,0),MAX(M16,0))),0)</f>
        <v>73</v>
      </c>
      <c r="O16" s="563">
        <f>Sheet1!AA18+Sheet1!AB18</f>
        <v>34.700000000000003</v>
      </c>
      <c r="P16" s="563">
        <f t="shared" si="5"/>
        <v>53.680900000000001</v>
      </c>
      <c r="Q16" s="898">
        <f t="shared" si="63"/>
        <v>0</v>
      </c>
      <c r="R16" s="829">
        <f t="shared" si="64"/>
        <v>6.0947301943723247</v>
      </c>
      <c r="S16" s="898">
        <f t="shared" si="65"/>
        <v>34.700000000000003</v>
      </c>
      <c r="T16" s="898">
        <f t="shared" si="66"/>
        <v>0</v>
      </c>
      <c r="U16" s="898">
        <f t="shared" si="6"/>
        <v>0</v>
      </c>
      <c r="V16" s="898"/>
      <c r="W16" s="898">
        <f t="shared" si="67"/>
        <v>58.545269805627676</v>
      </c>
      <c r="X16" s="898">
        <f t="shared" si="68"/>
        <v>34.700000000000003</v>
      </c>
      <c r="Y16" s="898" t="str">
        <f t="shared" si="69"/>
        <v/>
      </c>
      <c r="Z16" s="898">
        <f t="shared" si="70"/>
        <v>34.700000000000003</v>
      </c>
      <c r="AA16" s="898">
        <f t="shared" si="71"/>
        <v>34.700000000000003</v>
      </c>
      <c r="AB16" s="898" t="str">
        <f t="shared" si="72"/>
        <v/>
      </c>
      <c r="AC16" s="563">
        <f>Sheet1!Y18*MGDtoCFS</f>
        <v>32.564349999999997</v>
      </c>
      <c r="AD16" s="563">
        <f>Sheet1!Z18*MGDtoCFS</f>
        <v>21.8127</v>
      </c>
      <c r="AE16" s="563">
        <f>Sheet1!AA18*MGDtoCFS</f>
        <v>31.868200000000002</v>
      </c>
      <c r="AF16" s="563">
        <f>Sheet1!AB18*MGDtoCFS</f>
        <v>21.8127</v>
      </c>
      <c r="AG16" s="563">
        <f>Sheet1!L18*MGDtoCFS</f>
        <v>53.680900000000001</v>
      </c>
      <c r="AH16" s="545">
        <f t="shared" si="73"/>
        <v>0</v>
      </c>
      <c r="AI16" s="560">
        <f t="shared" si="7"/>
        <v>0</v>
      </c>
      <c r="AJ16" s="560">
        <f t="shared" si="74"/>
        <v>0</v>
      </c>
      <c r="AK16" s="560">
        <f t="shared" si="8"/>
        <v>0</v>
      </c>
      <c r="AL16" s="560">
        <f>(VLOOKUP(Sheet1!DC18,hhdcap_wcm,4)-(((VLOOKUP(Sheet1!DC18,hhdcap_wcm,3)-Sheet1!DC18)/(VLOOKUP(Sheet1!DC18,hhdcap_wcm,3)-VLOOKUP(Sheet1!DC18,hhdcap_wcm,1)))*(VLOOKUP(Sheet1!DC18,hhdcap_wcm,4)-VLOOKUP(Sheet1!DC18,hhdcap_wcm,2))))</f>
        <v>1437.0000000037562</v>
      </c>
      <c r="AM16" s="560">
        <f t="shared" si="75"/>
        <v>-42.000000000063665</v>
      </c>
      <c r="AN16" s="560">
        <f t="shared" si="9"/>
        <v>0</v>
      </c>
      <c r="AO16" s="560">
        <f t="shared" si="10"/>
        <v>0</v>
      </c>
      <c r="AP16" s="560">
        <f>Sheet1!BA18+Sheet1!BB18+Sheet1!BN18+CD16</f>
        <v>8.0909999999999993</v>
      </c>
      <c r="AQ16" s="560">
        <f>Sheet1!BN18+(DO16*Sheet1!BN18)</f>
        <v>7.0247701915655041</v>
      </c>
      <c r="AR16" s="560">
        <f>Sheet1!BA18+CD16</f>
        <v>0</v>
      </c>
      <c r="AS16" s="560">
        <f>Sheet1!BA18+Sheet1!BB18+CD16</f>
        <v>0.99099999999999999</v>
      </c>
      <c r="AT16" s="698">
        <f>0</f>
        <v>0</v>
      </c>
      <c r="AU16" s="560">
        <f>IF(EB16&lt;K16,0,MAX(Sheet1!AA18+AQ16-15/36*K16-N16,Sheet1!EH18,0))</f>
        <v>0</v>
      </c>
      <c r="AV16" s="560">
        <f>IF(OR(B16&gt;=GD16,B16&lt;GC16),0,15/36*K16-MAX(0,64.6-(137.6-(Sheet1!AA18+Sheet1!AB18))))</f>
        <v>0</v>
      </c>
      <c r="AW16" s="698">
        <f>Sheet1!DB18-110</f>
        <v>833</v>
      </c>
      <c r="AX16" s="698">
        <f>Sheet1!DA18-265</f>
        <v>1155</v>
      </c>
      <c r="AY16" s="698">
        <f t="shared" si="11"/>
        <v>73</v>
      </c>
      <c r="AZ16" s="698">
        <v>0</v>
      </c>
      <c r="BA16" s="698">
        <f t="shared" si="12"/>
        <v>0</v>
      </c>
      <c r="BB16" s="560">
        <f t="shared" si="13"/>
        <v>0</v>
      </c>
      <c r="BC16" s="560"/>
      <c r="BD16" s="560">
        <f ca="1">IF(B16&gt;Summary!$A$1,#N/A,BB16*MGtoAF)</f>
        <v>0</v>
      </c>
      <c r="BE16" s="560">
        <f>Sheet1!BG18+Sheet1!BH18+Sheet1!BI18-BM16</f>
        <v>0</v>
      </c>
      <c r="BF16" s="560">
        <f t="shared" si="14"/>
        <v>0</v>
      </c>
      <c r="BG16" s="560">
        <f>IF(Sheet1!EP18="FM",BM16,0)</f>
        <v>0</v>
      </c>
      <c r="BH16" s="560">
        <f t="shared" si="15"/>
        <v>0</v>
      </c>
      <c r="BI16" s="560">
        <f>IF(Sheet1!EP18="OTHER",BM16,0)</f>
        <v>0</v>
      </c>
      <c r="BJ16" s="560">
        <f t="shared" si="16"/>
        <v>0</v>
      </c>
      <c r="BK16" s="560">
        <f t="shared" si="17"/>
        <v>0</v>
      </c>
      <c r="BL16" s="560">
        <f t="shared" si="18"/>
        <v>0</v>
      </c>
      <c r="BM16" s="560">
        <f>IF(OR(Sheet1!EP18="FM", Sheet1!EP18="OTHER"),SUM(Sheet1!BG18:'Sheet1'!BI18),0)</f>
        <v>0</v>
      </c>
      <c r="BN16" s="545">
        <f>IF(AND($B16&gt;=$FV16,$B16&lt;=$FW16),MAX(BF16,Sheet1!EI18,0),MAX(BF16-(7/36)*$K16,0))</f>
        <v>0</v>
      </c>
      <c r="BO16" s="560">
        <f t="shared" si="19"/>
        <v>0</v>
      </c>
      <c r="BP16" s="545">
        <f t="shared" si="20"/>
        <v>0</v>
      </c>
      <c r="BQ16" s="545">
        <f>IF(AND($O16&gt;0,Sheet1!EM18=1),(1-($O16-Sheet1!$L18)/$O16)*BL16,0)</f>
        <v>0</v>
      </c>
      <c r="BR16" s="545">
        <f>IF(AND(Sheet1!$L18=0,Sheet1!$L17=0, Calculation!BK16&lt;Sheet1!$EI18-0.1,Sheet1!$EI18=Sheet1!$EI17,Sheet1!$EI18=Sheet1!$EI19),Sheet1!$EI18,BL16-BQ16)</f>
        <v>0</v>
      </c>
      <c r="BS16" s="560"/>
      <c r="BT16" s="560"/>
      <c r="BU16" s="560">
        <f t="shared" si="21"/>
        <v>0</v>
      </c>
      <c r="BV16" s="560"/>
      <c r="BW16" s="560">
        <f ca="1">IF(B16&gt;Summary!$A$1,#N/A,BU16*MGtoAF)</f>
        <v>0</v>
      </c>
      <c r="BX16" s="560">
        <f>Sheet1!BC18+Sheet1!BD18+Sheet1!BE18+Sheet1!BF18-CG16-CH16</f>
        <v>2.4500000000000002</v>
      </c>
      <c r="BY16" s="560">
        <f t="shared" si="22"/>
        <v>2.4240404182162658</v>
      </c>
      <c r="BZ16" s="560">
        <f>IF(Sheet1!EQ18="FM",CH16,0)</f>
        <v>0</v>
      </c>
      <c r="CA16" s="560">
        <f t="shared" si="23"/>
        <v>0</v>
      </c>
      <c r="CB16" s="560">
        <f>IF(Sheet1!EQ18="OTHER",CH16,0)</f>
        <v>0</v>
      </c>
      <c r="CC16" s="560">
        <f t="shared" si="24"/>
        <v>0</v>
      </c>
      <c r="CD16" s="560">
        <f t="shared" si="25"/>
        <v>0</v>
      </c>
      <c r="CE16" s="560">
        <f t="shared" si="26"/>
        <v>2.4500000000000002</v>
      </c>
      <c r="CF16" s="560">
        <f t="shared" si="27"/>
        <v>2.4240404182162658</v>
      </c>
      <c r="CG16" s="560">
        <f>IF(Sheet1!EQ18="CWA",SUM(Sheet1!BC18:'Sheet1'!BF18),0)</f>
        <v>0</v>
      </c>
      <c r="CH16" s="560">
        <f>IF(OR(Sheet1!EQ18="FM", Sheet1!EQ18="OTHER"),SUM(Sheet1!BC18:'Sheet1'!BF18),0)</f>
        <v>0</v>
      </c>
      <c r="CI16" s="545">
        <f>IF(AND($B16&gt;=$FV16,$B16&lt;=$FW16),MAX(CF16,Sheet1!EJ18,0),MAX(CF16-(7/36)*$K16,0))</f>
        <v>0</v>
      </c>
      <c r="CJ16" s="560">
        <f t="shared" si="28"/>
        <v>0</v>
      </c>
      <c r="CK16" s="545">
        <f t="shared" si="29"/>
        <v>2.4240404182162658</v>
      </c>
      <c r="CL16" s="545">
        <f>IF(AND($O16&gt;0,Sheet1!EN18=1),(1-($O16-Sheet1!$L18)/$O16)*CF16,0)</f>
        <v>0</v>
      </c>
      <c r="CM16" s="545">
        <f>IF(AND(Sheet1!$L18=0,Sheet1!$L17=0, Calculation!CE16&lt;Sheet1!EJ18-0.1,Sheet1!EJ18=Sheet1!EJ17,Sheet1!EJ18=Sheet1!EJ19),Sheet1!EJ18,CF16-CL16)</f>
        <v>2.4240404182162658</v>
      </c>
      <c r="CN16" s="545"/>
      <c r="CO16" s="560"/>
      <c r="CP16" s="560">
        <f t="shared" si="30"/>
        <v>0</v>
      </c>
      <c r="CQ16" s="560"/>
      <c r="CR16" s="560">
        <f ca="1">IF(B16&gt;Summary!$A$1,#N/A,CP16*MGtoAF)</f>
        <v>0</v>
      </c>
      <c r="CS16" s="560">
        <f>Sheet1!BK18+Sheet1!BL18+Sheet1!BM18-Sheet1!ER18-DA16</f>
        <v>3.71</v>
      </c>
      <c r="CT16" s="560">
        <f t="shared" si="31"/>
        <v>3.6706897761560593</v>
      </c>
      <c r="CU16" s="560">
        <f>IF(Sheet1!ER18="FM",DA16,0)</f>
        <v>0</v>
      </c>
      <c r="CV16" s="560">
        <f t="shared" si="32"/>
        <v>0</v>
      </c>
      <c r="CW16" s="560">
        <f>IF(Sheet1!ER18="OTHER",DA16,0)</f>
        <v>0</v>
      </c>
      <c r="CX16" s="560">
        <f t="shared" si="33"/>
        <v>0</v>
      </c>
      <c r="CY16" s="560">
        <f t="shared" si="34"/>
        <v>3.71</v>
      </c>
      <c r="CZ16" s="560">
        <f t="shared" si="35"/>
        <v>3.6706897761560593</v>
      </c>
      <c r="DA16" s="560">
        <f>IF(OR(Sheet1!ER18="FM", Sheet1!ER18="OTHER"),SUM(Sheet1!BK18:'Sheet1'!BM18),0)</f>
        <v>0</v>
      </c>
      <c r="DB16" s="545">
        <f>IF(AND($B16&gt;=$FV16,$B16&lt;=$FW16),MAX($CT16,Sheet1!EK18,0),MAX($CT16-(7/36)*$K16,0))</f>
        <v>0</v>
      </c>
      <c r="DC16" s="560">
        <f t="shared" si="36"/>
        <v>0</v>
      </c>
      <c r="DD16" s="545">
        <f t="shared" si="37"/>
        <v>3.6706897761560593</v>
      </c>
      <c r="DE16" s="545">
        <f>IF(AND($O16&gt;0,Sheet1!EO18=1),(1-($O16-Sheet1!$L18)/$O16)*CZ16,0)</f>
        <v>0</v>
      </c>
      <c r="DF16" s="545">
        <f>IF(AND(Sheet1!$L18=0,Sheet1!$L17=0, Calculation!CY16&lt;Sheet1!$EK18-0.1,Sheet1!$EK18=Sheet1!$EK17,Sheet1!$EK18=Sheet1!$EK19),Sheet1!$EK18,CZ16-DE16)</f>
        <v>3.6706897761560593</v>
      </c>
      <c r="DG16" s="545"/>
      <c r="DH16" s="560">
        <f t="shared" si="38"/>
        <v>6.16</v>
      </c>
      <c r="DI16" s="560">
        <f t="shared" si="39"/>
        <v>0</v>
      </c>
      <c r="DJ16" s="698">
        <f t="shared" si="40"/>
        <v>6.0947301943723247</v>
      </c>
      <c r="DK16" s="560">
        <f ca="1">IF(B16&gt;Summary!$A$1,#N/A,DI16*MGtoAF)</f>
        <v>0</v>
      </c>
      <c r="DL16" s="698">
        <f t="shared" si="41"/>
        <v>6.16</v>
      </c>
      <c r="DM16" s="560">
        <f t="shared" si="42"/>
        <v>14.250999999999999</v>
      </c>
      <c r="DN16" s="560">
        <f>Sheet1!AB18-DM16</f>
        <v>-0.1509999999999998</v>
      </c>
      <c r="DO16" s="823">
        <f t="shared" si="43"/>
        <v>-1.0595747666830385E-2</v>
      </c>
      <c r="DP16" s="560">
        <f>(VLOOKUP(Sheet1!DC18,hhdcap_wcm,4)-(((VLOOKUP(Sheet1!DC18,hhdcap_wcm,3)-Sheet1!DC18)/(VLOOKUP(Sheet1!DC18,hhdcap_wcm,3)-VLOOKUP(Sheet1!DC18,hhdcap_wcm,1)))*(VLOOKUP(Sheet1!DC18,hhdcap_wcm,4)-VLOOKUP(Sheet1!DC18,hhdcap_wcm,2))))</f>
        <v>1437.0000000037562</v>
      </c>
      <c r="DQ16" s="560">
        <f t="shared" si="76"/>
        <v>-42.000000000063665</v>
      </c>
      <c r="DR16" s="560">
        <f t="shared" si="44"/>
        <v>-21.180030257218185</v>
      </c>
      <c r="DS16" s="560">
        <f>Sheet1!EA18*AFtoMG</f>
        <v>0</v>
      </c>
      <c r="DT16" s="560">
        <f>Sheet1!EB18*AFtoMG</f>
        <v>0</v>
      </c>
      <c r="DU16" s="560">
        <f>Sheet1!EC18*AFtoMG</f>
        <v>0</v>
      </c>
      <c r="DV16" s="560">
        <f>Sheet1!ED18*AFtoMG</f>
        <v>0</v>
      </c>
      <c r="DW16" s="560">
        <f t="shared" si="45"/>
        <v>0</v>
      </c>
      <c r="DX16" s="560">
        <f t="shared" si="46"/>
        <v>0</v>
      </c>
      <c r="DY16" s="560">
        <f t="shared" si="47"/>
        <v>0</v>
      </c>
      <c r="DZ16" s="560">
        <f t="shared" si="48"/>
        <v>0</v>
      </c>
      <c r="EA16" s="560"/>
      <c r="EB16" s="545">
        <f>IF(OR(B16&lt;FV16,B16&gt;FW16),(MIN(BF16+BY16+CT16+MAX(Sheet1!AA18+AQ16-73,0),K16)),0)</f>
        <v>6.0947301943723247</v>
      </c>
      <c r="EC16" s="560"/>
      <c r="ED16" s="560">
        <f t="shared" si="49"/>
        <v>6.0947301943723247</v>
      </c>
      <c r="EE16" s="560"/>
      <c r="EF16" s="560">
        <f>Sheet1!EH18+Sheet1!EI18+Sheet1!EJ18+Sheet1!EK18</f>
        <v>6.21</v>
      </c>
      <c r="EG16" s="560"/>
      <c r="EH16" s="545">
        <f t="shared" si="50"/>
        <v>0</v>
      </c>
      <c r="EI16" s="560">
        <f>IF(Sheet1!ET18=1,SUM('Calculations II'!AT16:BA16)+'Calculations II'!BC16+Sheet1!BV18+'Calculations II'!BE16+AP16,SUM('Calculations II'!AT16:BA16)+'Calculations II'!BC16+Sheet1!BV18+'Calculations II'!BE16+AP16)</f>
        <v>47.739440000000002</v>
      </c>
      <c r="EJ16" s="560">
        <f>Sheet1!AA18+Sheet1!AB18+'Calculations II'!BC16</f>
        <v>48.558128000000004</v>
      </c>
      <c r="EK16" s="560"/>
      <c r="EL16" s="560"/>
      <c r="EM16" s="560">
        <f t="shared" si="51"/>
        <v>41644</v>
      </c>
      <c r="EN16" s="560">
        <f t="shared" si="52"/>
        <v>0</v>
      </c>
      <c r="EO16" s="560">
        <f t="shared" si="53"/>
        <v>0</v>
      </c>
      <c r="EP16" s="560">
        <v>0</v>
      </c>
      <c r="EQ16" s="560">
        <v>0</v>
      </c>
      <c r="ER16" s="560">
        <v>0</v>
      </c>
      <c r="ES16" s="545">
        <f t="shared" si="77"/>
        <v>2.6315439728246668</v>
      </c>
      <c r="ET16" s="560">
        <f>-(VLOOKUP(Sheet1!BQ18,Lookup!$O$4:$Q$262,2)-VLOOKUP(Sheet1!BQ17,Lookup!$O$4:$Q$262,2))/1000000</f>
        <v>1.246536007107649</v>
      </c>
      <c r="EU16" s="560">
        <f>-(VLOOKUP(Sheet1!BR18,Lookup!$O$4:$Q$262,3)-VLOOKUP(Sheet1!BR17,Lookup!$O$4:$Q$262,3))/1000000</f>
        <v>1.3850079657170176</v>
      </c>
      <c r="EV16" s="560"/>
      <c r="EW16" s="560"/>
      <c r="EX16" s="560"/>
      <c r="EY16" s="560"/>
      <c r="EZ16" s="560"/>
      <c r="FA16" s="560"/>
      <c r="FB16" s="560"/>
      <c r="FC16" s="560"/>
      <c r="FD16" s="594" t="e">
        <f t="shared" si="78"/>
        <v>#N/A</v>
      </c>
      <c r="FE16" s="594" t="e">
        <f t="shared" si="79"/>
        <v>#N/A</v>
      </c>
      <c r="FF16" s="595" t="e">
        <f t="shared" si="54"/>
        <v>#N/A</v>
      </c>
      <c r="FG16" s="596" t="s">
        <v>692</v>
      </c>
      <c r="FH16" s="596" t="s">
        <v>692</v>
      </c>
      <c r="FI16" s="594" t="e">
        <v>#N/A</v>
      </c>
      <c r="FJ16" s="594" t="e">
        <v>#N/A</v>
      </c>
      <c r="FK16" s="560"/>
      <c r="FL16" s="560"/>
      <c r="FM16" s="560"/>
      <c r="FN16" s="560"/>
      <c r="FO16" s="560">
        <f>O16+((Sheet1!CS18)*GPMtoMGD)</f>
        <v>48.558128000000004</v>
      </c>
      <c r="FP16" s="560">
        <f>IF(Sheet1!AA18+AQ16&lt;=Calculation!N16,AQ16,Calculation!N16-Sheet1!AA18)</f>
        <v>7.0247701915655041</v>
      </c>
      <c r="FQ16" s="560">
        <f>(Sheet1!BP18+Sheet1!BO18)/694.4</f>
        <v>0.68951612903225812</v>
      </c>
      <c r="FR16" s="560"/>
      <c r="FS16" s="560"/>
      <c r="FT16" s="560"/>
      <c r="FU16" s="560"/>
      <c r="FV16" s="695">
        <f t="shared" si="80"/>
        <v>41827</v>
      </c>
      <c r="FW16" s="695">
        <f t="shared" si="81"/>
        <v>41934</v>
      </c>
      <c r="FX16" s="560"/>
      <c r="FY16" s="560"/>
      <c r="FZ16" s="560"/>
      <c r="GA16" s="560"/>
      <c r="GB16" s="560" t="str">
        <f t="shared" si="82"/>
        <v>n</v>
      </c>
      <c r="GC16" s="564">
        <f t="shared" si="83"/>
        <v>41691</v>
      </c>
      <c r="GD16" s="695">
        <f t="shared" si="84"/>
        <v>41807</v>
      </c>
      <c r="GE16" s="560">
        <v>6518.9</v>
      </c>
      <c r="GF16" s="695">
        <f t="shared" si="85"/>
        <v>41808</v>
      </c>
      <c r="GG16" s="560">
        <f t="shared" si="98"/>
        <v>3259</v>
      </c>
      <c r="GH16" s="564">
        <f t="shared" si="87"/>
        <v>41934</v>
      </c>
      <c r="GJ16" s="545">
        <f t="shared" si="88"/>
        <v>0</v>
      </c>
      <c r="GK16" s="560" t="str">
        <f t="shared" si="55"/>
        <v/>
      </c>
      <c r="GL16" s="560">
        <f t="shared" si="89"/>
        <v>0</v>
      </c>
      <c r="GM16" s="560" t="str">
        <f t="shared" si="90"/>
        <v/>
      </c>
      <c r="GN16" s="560">
        <f>IF(GK16="P",Lookup!$M$12,IF(GK16="PP",Lookup!$M$13,IF(GK16="PPP",Lookup!$M$14,IF(GK16="T",Lookup!$M$15,IF(GK16="TP",Lookup!$M$16,IF(GK16="TPP",Lookup!$M$17,IF(GK16="TPPP",Lookup!$M$18,0)))))))*GJ16</f>
        <v>0</v>
      </c>
      <c r="GO16" s="560">
        <f t="shared" si="91"/>
        <v>0</v>
      </c>
      <c r="GP16" s="560">
        <f t="shared" si="56"/>
        <v>0</v>
      </c>
      <c r="GQ16" s="560">
        <f t="shared" si="99"/>
        <v>0</v>
      </c>
      <c r="GR16" s="560"/>
      <c r="GS16" s="560">
        <f t="shared" si="92"/>
        <v>0</v>
      </c>
      <c r="GT16" s="560" t="str">
        <f t="shared" si="93"/>
        <v/>
      </c>
      <c r="GU16" s="560">
        <f>IF(GK16="P",Lookup!$N$12,IF(GK16="PP",Lookup!$N$13,IF(GK16="PPP",Lookup!$N$14,IF(GK16="T",Lookup!$N$15,IF(GK16="TP",Lookup!$N$16,IF(GK16="TPP",Lookup!$N$17,IF(GK16="TPPP",Lookup!$N$18,0)))))))*GJ16</f>
        <v>0</v>
      </c>
      <c r="GV16" s="560">
        <f t="shared" si="57"/>
        <v>0</v>
      </c>
      <c r="GW16" s="560">
        <f t="shared" si="58"/>
        <v>0</v>
      </c>
      <c r="GX16" s="560">
        <f t="shared" si="100"/>
        <v>0</v>
      </c>
      <c r="GY16" s="560"/>
      <c r="GZ16" s="560">
        <f t="shared" si="94"/>
        <v>0</v>
      </c>
      <c r="HA16" s="560" t="str">
        <f t="shared" si="95"/>
        <v/>
      </c>
      <c r="HB16" s="560">
        <f>IF(GK16="P",Lookup!$N$12,IF(GK16="PP",Lookup!$N$13,IF(GK16="PPP",Lookup!$N$14,IF(GK16="T",Lookup!$N$15,IF(GK16="TP",Lookup!$N$16,IF(GK16="TPP",Lookup!$N$17,IF(GK16="TPPP",Lookup!$N$18,0)))))))*GJ16</f>
        <v>0</v>
      </c>
      <c r="HC16" s="545">
        <f t="shared" si="59"/>
        <v>0</v>
      </c>
      <c r="HD16" s="560">
        <f t="shared" si="60"/>
        <v>0</v>
      </c>
      <c r="HE16" s="560">
        <f t="shared" si="101"/>
        <v>0</v>
      </c>
      <c r="HF16" s="560"/>
      <c r="HG16" s="560">
        <f t="shared" si="96"/>
        <v>0</v>
      </c>
      <c r="HH16" s="560" t="str">
        <f t="shared" si="97"/>
        <v/>
      </c>
      <c r="HI16" s="560">
        <f>IF(GK16="P",Lookup!$N$12,IF(GK16="PP",Lookup!$N$13,IF(GK16="PPP",Lookup!$N$14,IF(GK16="T",Lookup!$N$15,IF(GK16="TP",Lookup!$N$16,IF(GK16="TPP",Lookup!$N$17,IF(GK16="TPPP",Lookup!$N$18,0)))))))*GJ16</f>
        <v>0</v>
      </c>
      <c r="HJ16" s="545">
        <f t="shared" si="61"/>
        <v>0</v>
      </c>
      <c r="HK16" s="560">
        <f t="shared" si="62"/>
        <v>0</v>
      </c>
      <c r="HL16" s="560">
        <f t="shared" si="102"/>
        <v>0</v>
      </c>
      <c r="HM16" s="560"/>
    </row>
    <row r="17" spans="1:221">
      <c r="A17" s="580" t="s">
        <v>4</v>
      </c>
      <c r="B17" s="556">
        <v>41645</v>
      </c>
      <c r="C17" s="561">
        <v>0</v>
      </c>
      <c r="D17" s="529">
        <f t="shared" si="0"/>
        <v>300</v>
      </c>
      <c r="E17" s="529">
        <f t="shared" si="1"/>
        <v>250</v>
      </c>
      <c r="F17" s="529">
        <v>250</v>
      </c>
      <c r="G17" s="560">
        <f>DR17+Sheet1!CZ19</f>
        <v>959.70751386762242</v>
      </c>
      <c r="H17" s="914">
        <f t="shared" si="2"/>
        <v>353.39173696403111</v>
      </c>
      <c r="I17" s="559">
        <f>MAX(Sheet1!Z19-AT17+(Sheet1!DA19-E17)*CFStoMGD,0)</f>
        <v>815.63599999999997</v>
      </c>
      <c r="J17" s="562">
        <f>IF(AND(B17&gt;=Calculation!GC17,B17&lt;=Calculation!GD17),IF(Sheet1!DB19&gt;=Calculation!D17,64.64,0),MAX(Sheet1!Z19-AT17+(Sheet1!DB19-D17)*CFStoMGD,0))</f>
        <v>466.58</v>
      </c>
      <c r="K17" s="904">
        <f t="shared" si="3"/>
        <v>64.64</v>
      </c>
      <c r="L17" s="560">
        <f>Sheet1!AA19+Sheet1!AB19-Sheet1!L19+(Sheet1!DA19-F17)*CFStoMGD</f>
        <v>801.53599999999994</v>
      </c>
      <c r="M17" s="560">
        <f t="shared" si="4"/>
        <v>632.76203570331177</v>
      </c>
      <c r="N17" s="910">
        <f>IF(Sheet1!DA19&gt;=F17,MIN(73,MIN(MAX(L17,0),MAX(M17,0))),0)</f>
        <v>73</v>
      </c>
      <c r="O17" s="563">
        <f>Sheet1!AA19+Sheet1!AB19</f>
        <v>33.83</v>
      </c>
      <c r="P17" s="563">
        <f t="shared" si="5"/>
        <v>52.335009999999997</v>
      </c>
      <c r="Q17" s="898">
        <f t="shared" si="63"/>
        <v>0</v>
      </c>
      <c r="R17" s="829">
        <f t="shared" si="64"/>
        <v>6.064836325237593</v>
      </c>
      <c r="S17" s="898">
        <f t="shared" si="65"/>
        <v>33.83</v>
      </c>
      <c r="T17" s="898">
        <f t="shared" si="66"/>
        <v>0</v>
      </c>
      <c r="U17" s="898">
        <f t="shared" si="6"/>
        <v>0</v>
      </c>
      <c r="V17" s="898"/>
      <c r="W17" s="898">
        <f t="shared" si="67"/>
        <v>58.575163674762408</v>
      </c>
      <c r="X17" s="898">
        <f t="shared" si="68"/>
        <v>33.83</v>
      </c>
      <c r="Y17" s="898" t="str">
        <f t="shared" si="69"/>
        <v/>
      </c>
      <c r="Z17" s="898">
        <f t="shared" si="70"/>
        <v>33.83</v>
      </c>
      <c r="AA17" s="898">
        <f t="shared" si="71"/>
        <v>33.83</v>
      </c>
      <c r="AB17" s="898" t="str">
        <f t="shared" si="72"/>
        <v/>
      </c>
      <c r="AC17" s="563">
        <f>Sheet1!Y19*MGDtoCFS</f>
        <v>31.868200000000002</v>
      </c>
      <c r="AD17" s="563">
        <f>Sheet1!Z19*MGDtoCFS</f>
        <v>21.8127</v>
      </c>
      <c r="AE17" s="563">
        <f>Sheet1!AA19*MGDtoCFS</f>
        <v>30.522310000000001</v>
      </c>
      <c r="AF17" s="563">
        <f>Sheet1!AB19*MGDtoCFS</f>
        <v>21.8127</v>
      </c>
      <c r="AG17" s="563">
        <f>Sheet1!L19*MGDtoCFS</f>
        <v>52.335009999999997</v>
      </c>
      <c r="AH17" s="545">
        <f t="shared" si="73"/>
        <v>0</v>
      </c>
      <c r="AI17" s="560">
        <f t="shared" si="7"/>
        <v>0</v>
      </c>
      <c r="AJ17" s="560">
        <f t="shared" si="74"/>
        <v>0</v>
      </c>
      <c r="AK17" s="560">
        <f t="shared" si="8"/>
        <v>0</v>
      </c>
      <c r="AL17" s="560">
        <f>(VLOOKUP(Sheet1!DC19,hhdcap_wcm,4)-(((VLOOKUP(Sheet1!DC19,hhdcap_wcm,3)-Sheet1!DC19)/(VLOOKUP(Sheet1!DC19,hhdcap_wcm,3)-VLOOKUP(Sheet1!DC19,hhdcap_wcm,1)))*(VLOOKUP(Sheet1!DC19,hhdcap_wcm,4)-VLOOKUP(Sheet1!DC19,hhdcap_wcm,2))))</f>
        <v>1158.8000000032514</v>
      </c>
      <c r="AM17" s="560">
        <f t="shared" si="75"/>
        <v>-278.20000000050482</v>
      </c>
      <c r="AN17" s="560">
        <f t="shared" si="9"/>
        <v>0</v>
      </c>
      <c r="AO17" s="560">
        <f t="shared" si="10"/>
        <v>0</v>
      </c>
      <c r="AP17" s="560">
        <f>Sheet1!BA19+Sheet1!BB19+Sheet1!BN19+CD17</f>
        <v>8.0949999999999989</v>
      </c>
      <c r="AQ17" s="560">
        <f>Sheet1!BN19+(DO17*Sheet1!BN19)</f>
        <v>7.0475184794086596</v>
      </c>
      <c r="AR17" s="560">
        <f>Sheet1!BA19+CD17</f>
        <v>0</v>
      </c>
      <c r="AS17" s="560">
        <f>Sheet1!BA19+Sheet1!BB19+CD17</f>
        <v>0.995</v>
      </c>
      <c r="AT17" s="698">
        <f>0</f>
        <v>0</v>
      </c>
      <c r="AU17" s="560">
        <f>IF(EB17&lt;K17,0,MAX(Sheet1!AA19+AQ17-15/36*K17-N17,Sheet1!EH19,0))</f>
        <v>0</v>
      </c>
      <c r="AV17" s="560">
        <f>IF(OR(B17&gt;=GD17,B17&lt;GC17),0,15/36*K17-MAX(0,64.6-(137.6-(Sheet1!AA19+Sheet1!AB19))))</f>
        <v>0</v>
      </c>
      <c r="AW17" s="698">
        <f>Sheet1!DB19-110</f>
        <v>890</v>
      </c>
      <c r="AX17" s="698">
        <f>Sheet1!DA19-265</f>
        <v>1225</v>
      </c>
      <c r="AY17" s="698">
        <f t="shared" si="11"/>
        <v>73</v>
      </c>
      <c r="AZ17" s="698">
        <v>0</v>
      </c>
      <c r="BA17" s="698">
        <f t="shared" si="12"/>
        <v>0</v>
      </c>
      <c r="BB17" s="560">
        <f t="shared" si="13"/>
        <v>0</v>
      </c>
      <c r="BC17" s="560"/>
      <c r="BD17" s="560">
        <f ca="1">IF(B17&gt;Summary!$A$1,#N/A,BB17*MGtoAF)</f>
        <v>0</v>
      </c>
      <c r="BE17" s="560">
        <f>Sheet1!BG19+Sheet1!BH19+Sheet1!BI19-BM17</f>
        <v>0</v>
      </c>
      <c r="BF17" s="560">
        <f t="shared" si="14"/>
        <v>0</v>
      </c>
      <c r="BG17" s="560">
        <f>IF(Sheet1!EP19="FM",BM17,0)</f>
        <v>0</v>
      </c>
      <c r="BH17" s="560">
        <f t="shared" si="15"/>
        <v>0</v>
      </c>
      <c r="BI17" s="560">
        <f>IF(Sheet1!EP19="OTHER",BM17,0)</f>
        <v>0</v>
      </c>
      <c r="BJ17" s="560">
        <f t="shared" si="16"/>
        <v>0</v>
      </c>
      <c r="BK17" s="560">
        <f t="shared" si="17"/>
        <v>0</v>
      </c>
      <c r="BL17" s="560">
        <f t="shared" si="18"/>
        <v>0</v>
      </c>
      <c r="BM17" s="560">
        <f>IF(OR(Sheet1!EP19="FM", Sheet1!EP19="OTHER"),SUM(Sheet1!BG19:'Sheet1'!BI19),0)</f>
        <v>0</v>
      </c>
      <c r="BN17" s="545">
        <f>IF(AND($B17&gt;=$FV17,$B17&lt;=$FW17),MAX(BF17,Sheet1!EI19,0),MAX(BF17-(7/36)*$K17,0))</f>
        <v>0</v>
      </c>
      <c r="BO17" s="560">
        <f t="shared" si="19"/>
        <v>0</v>
      </c>
      <c r="BP17" s="545">
        <f t="shared" si="20"/>
        <v>0</v>
      </c>
      <c r="BQ17" s="545">
        <f>IF(AND($O17&gt;0,Sheet1!EM19=1),(1-($O17-Sheet1!$L19)/$O17)*BL17,0)</f>
        <v>0</v>
      </c>
      <c r="BR17" s="545">
        <f>IF(AND(Sheet1!$L19=0,Sheet1!$L18=0, Calculation!BK17&lt;Sheet1!$EI19-0.1,Sheet1!$EI19=Sheet1!$EI18,Sheet1!$EI19=Sheet1!$EI20),Sheet1!$EI19,BL17-BQ17)</f>
        <v>0</v>
      </c>
      <c r="BS17" s="560"/>
      <c r="BT17" s="560"/>
      <c r="BU17" s="560">
        <f t="shared" si="21"/>
        <v>0</v>
      </c>
      <c r="BV17" s="560"/>
      <c r="BW17" s="560">
        <f ca="1">IF(B17&gt;Summary!$A$1,#N/A,BU17*MGtoAF)</f>
        <v>0</v>
      </c>
      <c r="BX17" s="560">
        <f>Sheet1!BC19+Sheet1!BD19+Sheet1!BE19+Sheet1!BF19-CG17-CH17</f>
        <v>2.4</v>
      </c>
      <c r="BY17" s="560">
        <f t="shared" si="22"/>
        <v>2.382259767687434</v>
      </c>
      <c r="BZ17" s="560">
        <f>IF(Sheet1!EQ19="FM",CH17,0)</f>
        <v>0</v>
      </c>
      <c r="CA17" s="560">
        <f t="shared" si="23"/>
        <v>0</v>
      </c>
      <c r="CB17" s="560">
        <f>IF(Sheet1!EQ19="OTHER",CH17,0)</f>
        <v>0</v>
      </c>
      <c r="CC17" s="560">
        <f t="shared" si="24"/>
        <v>0</v>
      </c>
      <c r="CD17" s="560">
        <f t="shared" si="25"/>
        <v>0</v>
      </c>
      <c r="CE17" s="560">
        <f t="shared" si="26"/>
        <v>2.4</v>
      </c>
      <c r="CF17" s="560">
        <f t="shared" si="27"/>
        <v>2.382259767687434</v>
      </c>
      <c r="CG17" s="560">
        <f>IF(Sheet1!EQ19="CWA",SUM(Sheet1!BC19:'Sheet1'!BF19),0)</f>
        <v>0</v>
      </c>
      <c r="CH17" s="560">
        <f>IF(OR(Sheet1!EQ19="FM", Sheet1!EQ19="OTHER"),SUM(Sheet1!BC19:'Sheet1'!BF19),0)</f>
        <v>0</v>
      </c>
      <c r="CI17" s="545">
        <f>IF(AND($B17&gt;=$FV17,$B17&lt;=$FW17),MAX(CF17,Sheet1!EJ19,0),MAX(CF17-(7/36)*$K17,0))</f>
        <v>0</v>
      </c>
      <c r="CJ17" s="560">
        <f t="shared" si="28"/>
        <v>0</v>
      </c>
      <c r="CK17" s="545">
        <f t="shared" si="29"/>
        <v>2.382259767687434</v>
      </c>
      <c r="CL17" s="545">
        <f>IF(AND($O17&gt;0,Sheet1!EN19=1),(1-($O17-Sheet1!$L19)/$O17)*CF17,0)</f>
        <v>0</v>
      </c>
      <c r="CM17" s="545">
        <f>IF(AND(Sheet1!$L19=0,Sheet1!$L18=0, Calculation!CE17&lt;Sheet1!EJ19-0.1,Sheet1!EJ19=Sheet1!EJ18,Sheet1!EJ19=Sheet1!EJ20),Sheet1!EJ19,CF17-CL17)</f>
        <v>2.382259767687434</v>
      </c>
      <c r="CN17" s="545"/>
      <c r="CO17" s="560"/>
      <c r="CP17" s="560">
        <f t="shared" si="30"/>
        <v>0</v>
      </c>
      <c r="CQ17" s="560"/>
      <c r="CR17" s="560">
        <f ca="1">IF(B17&gt;Summary!$A$1,#N/A,CP17*MGtoAF)</f>
        <v>0</v>
      </c>
      <c r="CS17" s="560">
        <f>Sheet1!BK19+Sheet1!BL19+Sheet1!BM19-Sheet1!ER19-DA17</f>
        <v>3.71</v>
      </c>
      <c r="CT17" s="560">
        <f t="shared" si="31"/>
        <v>3.6825765575501586</v>
      </c>
      <c r="CU17" s="560">
        <f>IF(Sheet1!ER19="FM",DA17,0)</f>
        <v>0</v>
      </c>
      <c r="CV17" s="560">
        <f t="shared" si="32"/>
        <v>0</v>
      </c>
      <c r="CW17" s="560">
        <f>IF(Sheet1!ER19="OTHER",DA17,0)</f>
        <v>0</v>
      </c>
      <c r="CX17" s="560">
        <f t="shared" si="33"/>
        <v>0</v>
      </c>
      <c r="CY17" s="560">
        <f t="shared" si="34"/>
        <v>3.71</v>
      </c>
      <c r="CZ17" s="560">
        <f t="shared" si="35"/>
        <v>3.6825765575501586</v>
      </c>
      <c r="DA17" s="560">
        <f>IF(OR(Sheet1!ER19="FM", Sheet1!ER19="OTHER"),SUM(Sheet1!BK19:'Sheet1'!BM19),0)</f>
        <v>0</v>
      </c>
      <c r="DB17" s="545">
        <f>IF(AND($B17&gt;=$FV17,$B17&lt;=$FW17),MAX($CT17,Sheet1!EK19,0),MAX($CT17-(7/36)*$K17,0))</f>
        <v>0</v>
      </c>
      <c r="DC17" s="560">
        <f t="shared" si="36"/>
        <v>0</v>
      </c>
      <c r="DD17" s="545">
        <f t="shared" si="37"/>
        <v>3.6825765575501586</v>
      </c>
      <c r="DE17" s="545">
        <f>IF(AND($O17&gt;0,Sheet1!EO19=1),(1-($O17-Sheet1!$L19)/$O17)*CZ17,0)</f>
        <v>0</v>
      </c>
      <c r="DF17" s="545">
        <f>IF(AND(Sheet1!$L19=0,Sheet1!$L18=0, Calculation!CY17&lt;Sheet1!$EK19-0.1,Sheet1!$EK19=Sheet1!$EK18,Sheet1!$EK19=Sheet1!$EK20),Sheet1!$EK19,CZ17-DE17)</f>
        <v>3.6825765575501586</v>
      </c>
      <c r="DG17" s="545"/>
      <c r="DH17" s="560">
        <f t="shared" si="38"/>
        <v>6.1099999999999994</v>
      </c>
      <c r="DI17" s="560">
        <f t="shared" si="39"/>
        <v>0</v>
      </c>
      <c r="DJ17" s="698">
        <f t="shared" si="40"/>
        <v>6.064836325237593</v>
      </c>
      <c r="DK17" s="560">
        <f ca="1">IF(B17&gt;Summary!$A$1,#N/A,DI17*MGtoAF)</f>
        <v>0</v>
      </c>
      <c r="DL17" s="698">
        <f t="shared" si="41"/>
        <v>6.1099999999999994</v>
      </c>
      <c r="DM17" s="560">
        <f t="shared" si="42"/>
        <v>14.204999999999998</v>
      </c>
      <c r="DN17" s="560">
        <f>Sheet1!AB19-DM17</f>
        <v>-0.10499999999999865</v>
      </c>
      <c r="DO17" s="823">
        <f t="shared" si="43"/>
        <v>-7.391763463569072E-3</v>
      </c>
      <c r="DP17" s="560">
        <f>(VLOOKUP(Sheet1!DC19,hhdcap_wcm,4)-(((VLOOKUP(Sheet1!DC19,hhdcap_wcm,3)-Sheet1!DC19)/(VLOOKUP(Sheet1!DC19,hhdcap_wcm,3)-VLOOKUP(Sheet1!DC19,hhdcap_wcm,1)))*(VLOOKUP(Sheet1!DC19,hhdcap_wcm,4)-VLOOKUP(Sheet1!DC19,hhdcap_wcm,2))))</f>
        <v>1158.8000000032514</v>
      </c>
      <c r="DQ17" s="560">
        <f t="shared" si="76"/>
        <v>-278.20000000050482</v>
      </c>
      <c r="DR17" s="560">
        <f t="shared" si="44"/>
        <v>-140.2924861323776</v>
      </c>
      <c r="DS17" s="560">
        <f>Sheet1!EA19*AFtoMG</f>
        <v>0</v>
      </c>
      <c r="DT17" s="560">
        <f>Sheet1!EB19*AFtoMG</f>
        <v>0</v>
      </c>
      <c r="DU17" s="560">
        <f>Sheet1!EC19*AFtoMG</f>
        <v>0</v>
      </c>
      <c r="DV17" s="560">
        <f>Sheet1!ED19*AFtoMG</f>
        <v>0</v>
      </c>
      <c r="DW17" s="560">
        <f t="shared" si="45"/>
        <v>0</v>
      </c>
      <c r="DX17" s="560">
        <f t="shared" si="46"/>
        <v>0</v>
      </c>
      <c r="DY17" s="560">
        <f t="shared" si="47"/>
        <v>0</v>
      </c>
      <c r="DZ17" s="560">
        <f t="shared" si="48"/>
        <v>0</v>
      </c>
      <c r="EA17" s="560"/>
      <c r="EB17" s="545">
        <f>IF(OR(B17&lt;FV17,B17&gt;FW17),(MIN(BF17+BY17+CT17+MAX(Sheet1!AA19+AQ17-73,0),K17)),0)</f>
        <v>6.064836325237593</v>
      </c>
      <c r="EC17" s="560"/>
      <c r="ED17" s="560">
        <f t="shared" si="49"/>
        <v>6.064836325237593</v>
      </c>
      <c r="EE17" s="560"/>
      <c r="EF17" s="560">
        <f>Sheet1!EH19+Sheet1!EI19+Sheet1!EJ19+Sheet1!EK19</f>
        <v>6.21</v>
      </c>
      <c r="EG17" s="560"/>
      <c r="EH17" s="545">
        <f t="shared" si="50"/>
        <v>0</v>
      </c>
      <c r="EI17" s="560">
        <f>IF(Sheet1!ET19=1,SUM('Calculations II'!AT17:BA17)+'Calculations II'!BC17+Sheet1!BV19+'Calculations II'!BE17+AP17,SUM('Calculations II'!AT17:BA17)+'Calculations II'!BC17+Sheet1!BV19+'Calculations II'!BE17+AP17)</f>
        <v>49.659744000000003</v>
      </c>
      <c r="EJ17" s="560">
        <f>Sheet1!AA19+Sheet1!AB19+'Calculations II'!BC17</f>
        <v>51.496064000000004</v>
      </c>
      <c r="EK17" s="560"/>
      <c r="EL17" s="560"/>
      <c r="EM17" s="560">
        <f t="shared" si="51"/>
        <v>41645</v>
      </c>
      <c r="EN17" s="560">
        <f t="shared" si="52"/>
        <v>0</v>
      </c>
      <c r="EO17" s="560">
        <f t="shared" si="53"/>
        <v>0</v>
      </c>
      <c r="EP17" s="560">
        <v>0</v>
      </c>
      <c r="EQ17" s="560">
        <v>0</v>
      </c>
      <c r="ER17" s="560">
        <v>0</v>
      </c>
      <c r="ES17" s="545">
        <f t="shared" si="77"/>
        <v>1.522999313790772</v>
      </c>
      <c r="ET17" s="560">
        <f>-(VLOOKUP(Sheet1!BQ19,Lookup!$O$4:$Q$262,2)-VLOOKUP(Sheet1!BQ18,Lookup!$O$4:$Q$262,2))/1000000</f>
        <v>0.8307356362000704</v>
      </c>
      <c r="EU17" s="560">
        <f>-(VLOOKUP(Sheet1!BR19,Lookup!$O$4:$Q$262,3)-VLOOKUP(Sheet1!BR18,Lookup!$O$4:$Q$262,3))/1000000</f>
        <v>0.69226367759070173</v>
      </c>
      <c r="EV17" s="560"/>
      <c r="EW17" s="560"/>
      <c r="EX17" s="560"/>
      <c r="EY17" s="560"/>
      <c r="EZ17" s="560"/>
      <c r="FA17" s="560"/>
      <c r="FB17" s="560"/>
      <c r="FC17" s="560"/>
      <c r="FD17" s="594" t="e">
        <f t="shared" si="78"/>
        <v>#N/A</v>
      </c>
      <c r="FE17" s="594" t="e">
        <f t="shared" si="79"/>
        <v>#N/A</v>
      </c>
      <c r="FF17" s="595" t="e">
        <f t="shared" si="54"/>
        <v>#N/A</v>
      </c>
      <c r="FG17" s="596" t="s">
        <v>692</v>
      </c>
      <c r="FH17" s="596" t="s">
        <v>692</v>
      </c>
      <c r="FI17" s="594" t="e">
        <v>#N/A</v>
      </c>
      <c r="FJ17" s="594" t="e">
        <v>#N/A</v>
      </c>
      <c r="FK17" s="560"/>
      <c r="FL17" s="560"/>
      <c r="FM17" s="560"/>
      <c r="FN17" s="560"/>
      <c r="FO17" s="560">
        <f>O17+((Sheet1!CS19)*GPMtoMGD)</f>
        <v>51.496064000000004</v>
      </c>
      <c r="FP17" s="560">
        <f>IF(Sheet1!AA19+AQ17&lt;=Calculation!N17,AQ17,Calculation!N17-Sheet1!AA19)</f>
        <v>7.0475184794086596</v>
      </c>
      <c r="FQ17" s="560">
        <f>(Sheet1!BP19+Sheet1!BO19)/694.4</f>
        <v>1.4533410138248848</v>
      </c>
      <c r="FR17" s="560"/>
      <c r="FS17" s="560"/>
      <c r="FT17" s="560"/>
      <c r="FU17" s="560"/>
      <c r="FV17" s="695">
        <f t="shared" si="80"/>
        <v>41827</v>
      </c>
      <c r="FW17" s="695">
        <f t="shared" si="81"/>
        <v>41934</v>
      </c>
      <c r="FX17" s="560"/>
      <c r="FY17" s="560"/>
      <c r="FZ17" s="560"/>
      <c r="GA17" s="560"/>
      <c r="GB17" s="560" t="str">
        <f t="shared" si="82"/>
        <v>n</v>
      </c>
      <c r="GC17" s="564">
        <f t="shared" si="83"/>
        <v>41691</v>
      </c>
      <c r="GD17" s="695">
        <f t="shared" si="84"/>
        <v>41807</v>
      </c>
      <c r="GE17" s="560">
        <v>6518.9</v>
      </c>
      <c r="GF17" s="695">
        <f t="shared" si="85"/>
        <v>41808</v>
      </c>
      <c r="GG17" s="560">
        <f t="shared" si="98"/>
        <v>3259</v>
      </c>
      <c r="GH17" s="564">
        <f t="shared" si="87"/>
        <v>41934</v>
      </c>
      <c r="GJ17" s="545">
        <f t="shared" si="88"/>
        <v>0</v>
      </c>
      <c r="GK17" s="560" t="str">
        <f t="shared" si="55"/>
        <v/>
      </c>
      <c r="GL17" s="560">
        <f t="shared" si="89"/>
        <v>0</v>
      </c>
      <c r="GM17" s="560" t="str">
        <f t="shared" si="90"/>
        <v/>
      </c>
      <c r="GN17" s="560">
        <f>IF(GK17="P",Lookup!$M$12,IF(GK17="PP",Lookup!$M$13,IF(GK17="PPP",Lookup!$M$14,IF(GK17="T",Lookup!$M$15,IF(GK17="TP",Lookup!$M$16,IF(GK17="TPP",Lookup!$M$17,IF(GK17="TPPP",Lookup!$M$18,0)))))))*GJ17</f>
        <v>0</v>
      </c>
      <c r="GO17" s="560">
        <f t="shared" si="91"/>
        <v>0</v>
      </c>
      <c r="GP17" s="560">
        <f t="shared" si="56"/>
        <v>0</v>
      </c>
      <c r="GQ17" s="560">
        <f t="shared" si="99"/>
        <v>0</v>
      </c>
      <c r="GR17" s="560"/>
      <c r="GS17" s="560">
        <f t="shared" si="92"/>
        <v>0</v>
      </c>
      <c r="GT17" s="560" t="str">
        <f t="shared" si="93"/>
        <v/>
      </c>
      <c r="GU17" s="560">
        <f>IF(GK17="P",Lookup!$N$12,IF(GK17="PP",Lookup!$N$13,IF(GK17="PPP",Lookup!$N$14,IF(GK17="T",Lookup!$N$15,IF(GK17="TP",Lookup!$N$16,IF(GK17="TPP",Lookup!$N$17,IF(GK17="TPPP",Lookup!$N$18,0)))))))*GJ17</f>
        <v>0</v>
      </c>
      <c r="GV17" s="560">
        <f t="shared" si="57"/>
        <v>0</v>
      </c>
      <c r="GW17" s="560">
        <f t="shared" si="58"/>
        <v>0</v>
      </c>
      <c r="GX17" s="560">
        <f t="shared" si="100"/>
        <v>0</v>
      </c>
      <c r="GY17" s="560"/>
      <c r="GZ17" s="560">
        <f t="shared" si="94"/>
        <v>0</v>
      </c>
      <c r="HA17" s="560" t="str">
        <f t="shared" si="95"/>
        <v/>
      </c>
      <c r="HB17" s="560">
        <f>IF(GK17="P",Lookup!$N$12,IF(GK17="PP",Lookup!$N$13,IF(GK17="PPP",Lookup!$N$14,IF(GK17="T",Lookup!$N$15,IF(GK17="TP",Lookup!$N$16,IF(GK17="TPP",Lookup!$N$17,IF(GK17="TPPP",Lookup!$N$18,0)))))))*GJ17</f>
        <v>0</v>
      </c>
      <c r="HC17" s="545">
        <f t="shared" si="59"/>
        <v>0</v>
      </c>
      <c r="HD17" s="560">
        <f t="shared" si="60"/>
        <v>0</v>
      </c>
      <c r="HE17" s="560">
        <f t="shared" si="101"/>
        <v>0</v>
      </c>
      <c r="HF17" s="560"/>
      <c r="HG17" s="560">
        <f t="shared" si="96"/>
        <v>0</v>
      </c>
      <c r="HH17" s="560" t="str">
        <f t="shared" si="97"/>
        <v/>
      </c>
      <c r="HI17" s="560">
        <f>IF(GK17="P",Lookup!$N$12,IF(GK17="PP",Lookup!$N$13,IF(GK17="PPP",Lookup!$N$14,IF(GK17="T",Lookup!$N$15,IF(GK17="TP",Lookup!$N$16,IF(GK17="TPP",Lookup!$N$17,IF(GK17="TPPP",Lookup!$N$18,0)))))))*GJ17</f>
        <v>0</v>
      </c>
      <c r="HJ17" s="545">
        <f t="shared" si="61"/>
        <v>0</v>
      </c>
      <c r="HK17" s="560">
        <f t="shared" si="62"/>
        <v>0</v>
      </c>
      <c r="HL17" s="560">
        <f t="shared" si="102"/>
        <v>0</v>
      </c>
      <c r="HM17" s="560"/>
    </row>
    <row r="18" spans="1:221">
      <c r="A18" s="580" t="s">
        <v>5</v>
      </c>
      <c r="B18" s="556">
        <v>41646</v>
      </c>
      <c r="C18" s="561">
        <v>0</v>
      </c>
      <c r="D18" s="529">
        <f t="shared" ref="D18:D81" si="103">IF(AND(B18&gt;=DATE($A$1,7,15),B18&lt;=DATE($A$1,9,15)),200,300)</f>
        <v>300</v>
      </c>
      <c r="E18" s="529">
        <f t="shared" ref="E18:E81" si="104">IF(AND(B18&gt;=DATE($A$1,7,15),B18&lt;=DATE($A$1,9,15)),400,250)</f>
        <v>250</v>
      </c>
      <c r="F18" s="529">
        <v>250</v>
      </c>
      <c r="G18" s="560">
        <f>DR18+Sheet1!CZ20</f>
        <v>875.41099344399481</v>
      </c>
      <c r="H18" s="914">
        <f t="shared" si="2"/>
        <v>298.90246616219821</v>
      </c>
      <c r="I18" s="559">
        <f>MAX(Sheet1!Z20-AT18+(Sheet1!DA20-E18)*CFStoMGD,0)</f>
        <v>847.95600000000002</v>
      </c>
      <c r="J18" s="562">
        <f>IF(AND(B18&gt;=Calculation!GC18,B18&lt;=Calculation!GD18),IF(Sheet1!DB20&gt;=Calculation!D18,64.64,0),MAX(Sheet1!Z20-AT18+(Sheet1!DB20-D18)*CFStoMGD,0))</f>
        <v>449.77359999999999</v>
      </c>
      <c r="K18" s="904">
        <f t="shared" ref="K18:K42" si="105">MAX(MIN(H18:J18,64.64),0)</f>
        <v>64.64</v>
      </c>
      <c r="L18" s="560">
        <f>Sheet1!AA20+Sheet1!AB20-Sheet1!L20+(Sheet1!DA20-F18)*CFStoMGD</f>
        <v>833.85599999999999</v>
      </c>
      <c r="M18" s="560">
        <f t="shared" ref="M18:M42" si="106">1.02*CFStoMGD*G18</f>
        <v>577.18297948544227</v>
      </c>
      <c r="N18" s="910">
        <f>IF(Sheet1!DA20&gt;=F18,MIN(73,MIN(MAX(L18,0),MAX(M18,0))),0)</f>
        <v>73</v>
      </c>
      <c r="O18" s="563">
        <f>Sheet1!AA20+Sheet1!AB20</f>
        <v>33.870000000000005</v>
      </c>
      <c r="P18" s="563">
        <f t="shared" ref="P18:P42" si="107">AE18+AF18</f>
        <v>52.396889999999999</v>
      </c>
      <c r="Q18" s="898">
        <f t="shared" si="63"/>
        <v>0</v>
      </c>
      <c r="R18" s="829">
        <f t="shared" ref="R18:R42" si="108">IF(AND(B18&gt;=GF18,B18&lt;=GH18),MAX(EB18,EF18),EB18)</f>
        <v>6.1678770949720665</v>
      </c>
      <c r="S18" s="898">
        <f t="shared" si="65"/>
        <v>33.870000000000005</v>
      </c>
      <c r="T18" s="898">
        <f t="shared" si="66"/>
        <v>0</v>
      </c>
      <c r="U18" s="898">
        <f t="shared" si="6"/>
        <v>0</v>
      </c>
      <c r="V18" s="898"/>
      <c r="W18" s="898">
        <f t="shared" si="67"/>
        <v>58.472122905027931</v>
      </c>
      <c r="X18" s="898">
        <f t="shared" si="68"/>
        <v>33.870000000000005</v>
      </c>
      <c r="Y18" s="898" t="str">
        <f t="shared" si="69"/>
        <v/>
      </c>
      <c r="Z18" s="898">
        <f t="shared" si="70"/>
        <v>33.870000000000005</v>
      </c>
      <c r="AA18" s="898">
        <f t="shared" si="71"/>
        <v>33.870000000000005</v>
      </c>
      <c r="AB18" s="898" t="str">
        <f t="shared" si="72"/>
        <v/>
      </c>
      <c r="AC18" s="563">
        <f>Sheet1!Y20*MGDtoCFS</f>
        <v>30.522310000000001</v>
      </c>
      <c r="AD18" s="563">
        <f>Sheet1!Z20*MGDtoCFS</f>
        <v>21.8127</v>
      </c>
      <c r="AE18" s="563">
        <f>Sheet1!AA20*MGDtoCFS</f>
        <v>30.429490000000001</v>
      </c>
      <c r="AF18" s="563">
        <f>Sheet1!AB20*MGDtoCFS</f>
        <v>21.967399999999998</v>
      </c>
      <c r="AG18" s="563">
        <f>Sheet1!L20*MGDtoCFS</f>
        <v>52.396890000000006</v>
      </c>
      <c r="AH18" s="545">
        <f t="shared" ref="AH18:AH42" si="109">AU18+BN18+CI18+DB18</f>
        <v>0</v>
      </c>
      <c r="AI18" s="560">
        <f t="shared" ref="AI18:AI42" si="110">AH18*MGDtoCFS</f>
        <v>0</v>
      </c>
      <c r="AJ18" s="560">
        <f t="shared" ref="AJ18:AJ42" si="111">IF(B18&gt;=GC18,IF(B18&lt;=GD18,K18-EB18,0),0)</f>
        <v>0</v>
      </c>
      <c r="AK18" s="560">
        <f t="shared" ref="AK18:AK42" si="112">AJ18*MGDtoCFS</f>
        <v>0</v>
      </c>
      <c r="AL18" s="560">
        <f>(VLOOKUP(Sheet1!DC20,hhdcap_wcm,4)-(((VLOOKUP(Sheet1!DC20,hhdcap_wcm,3)-Sheet1!DC20)/(VLOOKUP(Sheet1!DC20,hhdcap_wcm,3)-VLOOKUP(Sheet1!DC20,hhdcap_wcm,1)))*(VLOOKUP(Sheet1!DC20,hhdcap_wcm,4)-VLOOKUP(Sheet1!DC20,hhdcap_wcm,2))))</f>
        <v>792.760000002693</v>
      </c>
      <c r="AM18" s="560">
        <f t="shared" ref="AM18:AM42" si="113">AL18-AL17</f>
        <v>-366.04000000055839</v>
      </c>
      <c r="AN18" s="560">
        <f t="shared" ref="AN18:AN42" si="114">(IF(AND(B18&gt;=GC18,B18&lt;GF18),MIN(BB18+BU18+CP18+DI18,GE18),IF(B18=GF18,GG18,IF(AND(B18&gt;GF18,B18&lt;GH18),BB18+BU18+CP18+DI18,IF(B18&gt;=GH18,0,0)))))</f>
        <v>0</v>
      </c>
      <c r="AO18" s="560">
        <f t="shared" ref="AO18:AO42" si="115">AN18*MGtoAF</f>
        <v>0</v>
      </c>
      <c r="AP18" s="560">
        <f>Sheet1!BA20+Sheet1!BB20+Sheet1!BN20+CD18</f>
        <v>8.1</v>
      </c>
      <c r="AQ18" s="560">
        <f>Sheet1!BN20+(DO18*Sheet1!BN20)</f>
        <v>7.0405027932960884</v>
      </c>
      <c r="AR18" s="560">
        <f>Sheet1!BA20+CD18</f>
        <v>0</v>
      </c>
      <c r="AS18" s="560">
        <f>Sheet1!BA20+Sheet1!BB20+CD18</f>
        <v>1</v>
      </c>
      <c r="AT18" s="698">
        <f>0</f>
        <v>0</v>
      </c>
      <c r="AU18" s="560">
        <f>IF(EB18&lt;K18,0,MAX(Sheet1!AA20+AQ18-15/36*K18-N18,Sheet1!EH20,0))</f>
        <v>0</v>
      </c>
      <c r="AV18" s="560">
        <f>IF(OR(B18&gt;=GD18,B18&lt;GC18),0,15/36*K18-MAX(0,64.6-(137.6-(Sheet1!AA20+Sheet1!AB20))))</f>
        <v>0</v>
      </c>
      <c r="AW18" s="698">
        <f>Sheet1!DB20-110</f>
        <v>864</v>
      </c>
      <c r="AX18" s="698">
        <f>Sheet1!DA20-265</f>
        <v>1275</v>
      </c>
      <c r="AY18" s="698">
        <f t="shared" ref="AY18:AY42" si="116">N18-Q18</f>
        <v>73</v>
      </c>
      <c r="AZ18" s="698">
        <v>0</v>
      </c>
      <c r="BA18" s="698">
        <f t="shared" ref="BA18:BA42" si="117">IF(AZ18&lt;=0,0,AZ18/1.547)</f>
        <v>0</v>
      </c>
      <c r="BB18" s="560">
        <f t="shared" ref="BB18:BB42" si="118">GO18+GQ18</f>
        <v>0</v>
      </c>
      <c r="BC18" s="560"/>
      <c r="BD18" s="560">
        <f ca="1">IF(B18&gt;Summary!$A$1,#N/A,BB18*MGtoAF)</f>
        <v>0</v>
      </c>
      <c r="BE18" s="560">
        <f>Sheet1!BG20+Sheet1!BH20+Sheet1!BI20-BM18</f>
        <v>0</v>
      </c>
      <c r="BF18" s="560">
        <f t="shared" ref="BF18:BF42" si="119">BE18+(DO18*BE18)</f>
        <v>0</v>
      </c>
      <c r="BG18" s="560">
        <f>IF(Sheet1!EP20="FM",BM18,0)</f>
        <v>0</v>
      </c>
      <c r="BH18" s="560">
        <f t="shared" ref="BH18:BH42" si="120">BG18+(DO18*BG18)</f>
        <v>0</v>
      </c>
      <c r="BI18" s="560">
        <f>IF(Sheet1!EP20="OTHER",BM18,0)</f>
        <v>0</v>
      </c>
      <c r="BJ18" s="560">
        <f t="shared" ref="BJ18:BJ42" si="121">BI18+(DO18*BI18)</f>
        <v>0</v>
      </c>
      <c r="BK18" s="560">
        <f t="shared" ref="BK18:BK42" si="122">MAX(BE18,BG18,BI18)</f>
        <v>0</v>
      </c>
      <c r="BL18" s="560">
        <f t="shared" ref="BL18:BL42" si="123">MAX(BF18,BH18,BJ18)</f>
        <v>0</v>
      </c>
      <c r="BM18" s="560">
        <f>IF(OR(Sheet1!EP20="FM", Sheet1!EP20="OTHER"),SUM(Sheet1!BG20:'Sheet1'!BI20),0)</f>
        <v>0</v>
      </c>
      <c r="BN18" s="545">
        <f>IF(AND($B18&gt;=$FV18,$B18&lt;=$FW18),MAX(BF18,Sheet1!EI20,0),MAX(BF18-(7/36)*$K18,0))</f>
        <v>0</v>
      </c>
      <c r="BO18" s="560">
        <f t="shared" ref="BO18:BO42" si="124">IF(B18&gt;=GC18,IF(B18&lt;=GD18,(7/36)*K18-BF18,0),0)</f>
        <v>0</v>
      </c>
      <c r="BP18" s="545">
        <f t="shared" ref="BP18:BP42" si="125">MAX(BL18-BN18,0)</f>
        <v>0</v>
      </c>
      <c r="BQ18" s="545">
        <f>IF(AND($O18&gt;0,Sheet1!EM20=1),(1-($O18-Sheet1!$L20)/$O18)*BL18,0)</f>
        <v>0</v>
      </c>
      <c r="BR18" s="545">
        <f>IF(AND(Sheet1!$L20=0,Sheet1!$L19=0, Calculation!BK18&lt;Sheet1!$EI20-0.1,Sheet1!$EI20=Sheet1!$EI19,Sheet1!$EI20=Sheet1!$EI21),Sheet1!$EI20,BL18-BQ18)</f>
        <v>0</v>
      </c>
      <c r="BS18" s="560"/>
      <c r="BT18" s="560"/>
      <c r="BU18" s="560">
        <f t="shared" ref="BU18:BU42" si="126">GV18+GX18</f>
        <v>0</v>
      </c>
      <c r="BV18" s="560"/>
      <c r="BW18" s="560">
        <f ca="1">IF(B18&gt;Summary!$A$1,#N/A,BU18*MGtoAF)</f>
        <v>0</v>
      </c>
      <c r="BX18" s="560">
        <f>Sheet1!BC20+Sheet1!BD20+Sheet1!BE20+Sheet1!BF20-CG18-CH18</f>
        <v>2.5099999999999998</v>
      </c>
      <c r="BY18" s="560">
        <f t="shared" ref="BY18:BY42" si="127">BX18+(DO18*BX18)</f>
        <v>2.4889664804469271</v>
      </c>
      <c r="BZ18" s="560">
        <f>IF(Sheet1!EQ20="FM",CH18,0)</f>
        <v>0</v>
      </c>
      <c r="CA18" s="560">
        <f t="shared" ref="CA18:CA42" si="128">BZ18+(DO18*BZ18)</f>
        <v>0</v>
      </c>
      <c r="CB18" s="560">
        <f>IF(Sheet1!EQ20="OTHER",CH18,0)</f>
        <v>0</v>
      </c>
      <c r="CC18" s="560">
        <f t="shared" ref="CC18:CC42" si="129">CB18+(DO18*CB18)</f>
        <v>0</v>
      </c>
      <c r="CD18" s="560">
        <f t="shared" ref="CD18:CD42" si="130">CG18</f>
        <v>0</v>
      </c>
      <c r="CE18" s="560">
        <f t="shared" ref="CE18:CE42" si="131">MAX(BX18,BZ18,CB18)</f>
        <v>2.5099999999999998</v>
      </c>
      <c r="CF18" s="560">
        <f t="shared" ref="CF18:CF42" si="132">MAX(BY18,CA18, CC18)</f>
        <v>2.4889664804469271</v>
      </c>
      <c r="CG18" s="560">
        <f>IF(Sheet1!EQ20="CWA",SUM(Sheet1!BC20:'Sheet1'!BF20),0)</f>
        <v>0</v>
      </c>
      <c r="CH18" s="560">
        <f>IF(OR(Sheet1!EQ20="FM", Sheet1!EQ20="OTHER"),SUM(Sheet1!BC20:'Sheet1'!BF20),0)</f>
        <v>0</v>
      </c>
      <c r="CI18" s="545">
        <f>IF(AND($B18&gt;=$FV18,$B18&lt;=$FW18),MAX(CF18,Sheet1!EJ20,0),MAX(CF18-(7/36)*$K18,0))</f>
        <v>0</v>
      </c>
      <c r="CJ18" s="560">
        <f t="shared" ref="CJ18:CJ42" si="133">IF(B18&gt;=GC18,IF(B18&lt;=GD18,(7/36)*K18-BY18,0),0)</f>
        <v>0</v>
      </c>
      <c r="CK18" s="545">
        <f t="shared" ref="CK18:CK42" si="134">MAX(CF18-CI18,0)</f>
        <v>2.4889664804469271</v>
      </c>
      <c r="CL18" s="545">
        <f>IF(AND($O18&gt;0,Sheet1!EN20=1),(1-($O18-Sheet1!$L20)/$O18)*CF18,0)</f>
        <v>0</v>
      </c>
      <c r="CM18" s="545">
        <f>IF(AND(Sheet1!$L20=0,Sheet1!$L19=0, Calculation!CE18&lt;Sheet1!EJ20-0.1,Sheet1!EJ20=Sheet1!EJ19,Sheet1!EJ20=Sheet1!EJ21),Sheet1!EJ20,CF18-CL18)</f>
        <v>2.4889664804469271</v>
      </c>
      <c r="CN18" s="545"/>
      <c r="CO18" s="560"/>
      <c r="CP18" s="560">
        <f t="shared" ref="CP18:CP42" si="135">HC18+HE18</f>
        <v>0</v>
      </c>
      <c r="CQ18" s="560"/>
      <c r="CR18" s="560">
        <f ca="1">IF(B18&gt;Summary!$A$1,#N/A,CP18*MGtoAF)</f>
        <v>0</v>
      </c>
      <c r="CS18" s="560">
        <f>Sheet1!BK20+Sheet1!BL20+Sheet1!BM20-Sheet1!ER20-DA18</f>
        <v>3.71</v>
      </c>
      <c r="CT18" s="560">
        <f t="shared" ref="CT18:CT42" si="136">CS18+(DO18*CS18)</f>
        <v>3.6789106145251393</v>
      </c>
      <c r="CU18" s="560">
        <f>IF(Sheet1!ER20="FM",DA18,0)</f>
        <v>0</v>
      </c>
      <c r="CV18" s="560">
        <f t="shared" ref="CV18:CV42" si="137">CU18+(DO18*CU18)</f>
        <v>0</v>
      </c>
      <c r="CW18" s="560">
        <f>IF(Sheet1!ER20="OTHER",DA18,0)</f>
        <v>0</v>
      </c>
      <c r="CX18" s="560">
        <f t="shared" ref="CX18:CX42" si="138">CW18+(DO18*CW18)</f>
        <v>0</v>
      </c>
      <c r="CY18" s="560">
        <f t="shared" ref="CY18:CY42" si="139">MAX(CS18,CU18)</f>
        <v>3.71</v>
      </c>
      <c r="CZ18" s="560">
        <f t="shared" ref="CZ18:CZ42" si="140">MAX(CT18,CV18)</f>
        <v>3.6789106145251393</v>
      </c>
      <c r="DA18" s="560">
        <f>IF(OR(Sheet1!ER20="FM", Sheet1!ER20="OTHER"),SUM(Sheet1!BK20:'Sheet1'!BM20),0)</f>
        <v>0</v>
      </c>
      <c r="DB18" s="545">
        <f>IF(AND($B18&gt;=$FV18,$B18&lt;=$FW18),MAX($CT18,Sheet1!EK20,0),MAX($CT18-(7/36)*$K18,0))</f>
        <v>0</v>
      </c>
      <c r="DC18" s="560">
        <f t="shared" ref="DC18:DC42" si="141">IF(B18&gt;=GC18,IF(B18&lt;=GD18,(7/36)*K18-CT18,0),0)</f>
        <v>0</v>
      </c>
      <c r="DD18" s="545">
        <f t="shared" ref="DD18:DD42" si="142">MAX(CZ18-DB18,0)</f>
        <v>3.6789106145251393</v>
      </c>
      <c r="DE18" s="545">
        <f>IF(AND($O18&gt;0,Sheet1!EO20=1),(1-($O18-Sheet1!$L20)/$O18)*CZ18,0)</f>
        <v>0</v>
      </c>
      <c r="DF18" s="545">
        <f>IF(AND(Sheet1!$L20=0,Sheet1!$L19=0, Calculation!CY18&lt;Sheet1!$EK20-0.1,Sheet1!$EK20=Sheet1!$EK19,Sheet1!$EK20=Sheet1!$EK21),Sheet1!$EK20,CZ18-DE18)</f>
        <v>3.6789106145251393</v>
      </c>
      <c r="DG18" s="545"/>
      <c r="DH18" s="560">
        <f t="shared" ref="DH18:DH42" si="143">BK18+CE18+CY18</f>
        <v>6.22</v>
      </c>
      <c r="DI18" s="560">
        <f t="shared" ref="DI18:DI42" si="144">HJ18+HL18</f>
        <v>0</v>
      </c>
      <c r="DJ18" s="698">
        <f t="shared" ref="DJ18:DJ42" si="145">BL18+CF18+CZ18</f>
        <v>6.1678770949720665</v>
      </c>
      <c r="DK18" s="560">
        <f ca="1">IF(B18&gt;Summary!$A$1,#N/A,DI18*MGtoAF)</f>
        <v>0</v>
      </c>
      <c r="DL18" s="698">
        <f t="shared" ref="DL18:DL42" si="146">CY18+CE18+BK18</f>
        <v>6.22</v>
      </c>
      <c r="DM18" s="560">
        <f t="shared" ref="DM18:DM42" si="147">DL18+AP18</f>
        <v>14.32</v>
      </c>
      <c r="DN18" s="560">
        <f>Sheet1!AB20-DM18</f>
        <v>-0.12000000000000099</v>
      </c>
      <c r="DO18" s="823">
        <f t="shared" ref="DO18:DO42" si="148">IF(DM18=0,0,DN18/DM18)</f>
        <v>-8.3798882681564938E-3</v>
      </c>
      <c r="DP18" s="560">
        <f>(VLOOKUP(Sheet1!DC20,hhdcap_wcm,4)-(((VLOOKUP(Sheet1!DC20,hhdcap_wcm,3)-Sheet1!DC20)/(VLOOKUP(Sheet1!DC20,hhdcap_wcm,3)-VLOOKUP(Sheet1!DC20,hhdcap_wcm,1)))*(VLOOKUP(Sheet1!DC20,hhdcap_wcm,4)-VLOOKUP(Sheet1!DC20,hhdcap_wcm,2))))</f>
        <v>792.760000002693</v>
      </c>
      <c r="DQ18" s="560">
        <f t="shared" ref="DQ18:DQ42" si="149">DP18-DP17</f>
        <v>-366.04000000055839</v>
      </c>
      <c r="DR18" s="560">
        <f t="shared" ref="DR18:DR42" si="150">DQ18*AFtoCFS</f>
        <v>-184.58900655600522</v>
      </c>
      <c r="DS18" s="560">
        <f>Sheet1!EA20*AFtoMG</f>
        <v>0</v>
      </c>
      <c r="DT18" s="560">
        <f>Sheet1!EB20*AFtoMG</f>
        <v>0</v>
      </c>
      <c r="DU18" s="560">
        <f>Sheet1!EC20*AFtoMG</f>
        <v>0</v>
      </c>
      <c r="DV18" s="560">
        <f>Sheet1!ED20*AFtoMG</f>
        <v>0</v>
      </c>
      <c r="DW18" s="560">
        <f t="shared" ref="DW18:DW42" si="151">SUM(DS18:DV18)</f>
        <v>0</v>
      </c>
      <c r="DX18" s="560">
        <f t="shared" ref="DX18:DX42" si="152">DW18*MGtoAF</f>
        <v>0</v>
      </c>
      <c r="DY18" s="560">
        <f t="shared" ref="DY18:DY42" si="153">AN18</f>
        <v>0</v>
      </c>
      <c r="DZ18" s="560">
        <f t="shared" ref="DZ18:DZ42" si="154">DY18*MGtoAF</f>
        <v>0</v>
      </c>
      <c r="EA18" s="560"/>
      <c r="EB18" s="545">
        <f>IF(OR(B18&lt;FV18,B18&gt;FW18),(MIN(BF18+BY18+CT18+MAX(Sheet1!AA20+AQ18-73,0),K18)),0)</f>
        <v>6.1678770949720665</v>
      </c>
      <c r="EC18" s="560"/>
      <c r="ED18" s="560">
        <f t="shared" ref="ED18:ED42" si="155">CT18+BF18+BY18</f>
        <v>6.1678770949720665</v>
      </c>
      <c r="EE18" s="560"/>
      <c r="EF18" s="560">
        <f>Sheet1!EH20+Sheet1!EI20+Sheet1!EJ20+Sheet1!EK20</f>
        <v>6.21</v>
      </c>
      <c r="EG18" s="560"/>
      <c r="EH18" s="545">
        <f t="shared" ref="EH18:EH42" si="156">EB18-BP18-CK18-DD18</f>
        <v>0</v>
      </c>
      <c r="EI18" s="560">
        <f>IF(Sheet1!ET20=1,SUM('Calculations II'!AT18:BA18)+'Calculations II'!BC18+Sheet1!BV20+'Calculations II'!BE18+AP18,SUM('Calculations II'!AT18:BA18)+'Calculations II'!BC18+Sheet1!BV20+'Calculations II'!BE18+AP18)</f>
        <v>49.963903999999999</v>
      </c>
      <c r="EJ18" s="560">
        <f>Sheet1!AA20+Sheet1!AB20+'Calculations II'!BC18</f>
        <v>53.456160000000004</v>
      </c>
      <c r="EK18" s="560"/>
      <c r="EL18" s="560"/>
      <c r="EM18" s="560">
        <f t="shared" ref="EM18:EM42" si="157">B18</f>
        <v>41646</v>
      </c>
      <c r="EN18" s="560">
        <f t="shared" ref="EN18:EN42" si="158">AJ18-AH18</f>
        <v>0</v>
      </c>
      <c r="EO18" s="560">
        <f t="shared" ref="EO18:EO42" si="159">AK18-AI18</f>
        <v>0</v>
      </c>
      <c r="EP18" s="560">
        <v>0</v>
      </c>
      <c r="EQ18" s="560">
        <v>0</v>
      </c>
      <c r="ER18" s="560">
        <v>0</v>
      </c>
      <c r="ES18" s="545">
        <f t="shared" si="77"/>
        <v>0.27686702692302317</v>
      </c>
      <c r="ET18" s="560">
        <f>-(VLOOKUP(Sheet1!BQ20,Lookup!$O$4:$Q$262,2)-VLOOKUP(Sheet1!BQ19,Lookup!$O$4:$Q$262,2))/1000000</f>
        <v>0.13843351346151159</v>
      </c>
      <c r="EU18" s="560">
        <f>-(VLOOKUP(Sheet1!BR20,Lookup!$O$4:$Q$262,3)-VLOOKUP(Sheet1!BR19,Lookup!$O$4:$Q$262,3))/1000000</f>
        <v>0.13843351346151159</v>
      </c>
      <c r="EV18" s="560"/>
      <c r="EW18" s="560"/>
      <c r="EX18" s="560"/>
      <c r="EY18" s="560"/>
      <c r="EZ18" s="560"/>
      <c r="FA18" s="560"/>
      <c r="FB18" s="560"/>
      <c r="FC18" s="560"/>
      <c r="FD18" s="594" t="e">
        <f t="shared" ref="FD18:FD42" si="160">VLOOKUP(FJ17,hhdelev_wcm,4) -(((VLOOKUP(FJ17,hhdelev_wcm,3)-FJ17)/(VLOOKUP(FJ17,hhdelev_wcm,3)-VLOOKUP(FJ17,hhdelev_wcm,1)))*(VLOOKUP(FJ17,hhdelev_wcm,4)-VLOOKUP(FJ17,hhdelev_wcm,2)))</f>
        <v>#N/A</v>
      </c>
      <c r="FE18" s="594" t="e">
        <f t="shared" ref="FE18:FE42" si="161">MAX((FE17-FI18*1.983),0)</f>
        <v>#N/A</v>
      </c>
      <c r="FF18" s="595" t="e">
        <f t="shared" ref="FF18:FF42" si="162">IF(DP18-AO18-FE18-1220&lt;0,0,DP18-AO18-FE18-1220)</f>
        <v>#N/A</v>
      </c>
      <c r="FG18" s="596" t="s">
        <v>692</v>
      </c>
      <c r="FH18" s="596" t="s">
        <v>692</v>
      </c>
      <c r="FI18" s="594" t="e">
        <v>#N/A</v>
      </c>
      <c r="FJ18" s="594" t="e">
        <v>#N/A</v>
      </c>
      <c r="FK18" s="560"/>
      <c r="FL18" s="560"/>
      <c r="FM18" s="560"/>
      <c r="FN18" s="560"/>
      <c r="FO18" s="560">
        <f>O18+((Sheet1!CS20)*GPMtoMGD)</f>
        <v>53.456160000000004</v>
      </c>
      <c r="FP18" s="560">
        <f>IF(Sheet1!AA20+AQ18&lt;=Calculation!N18,AQ18,Calculation!N18-Sheet1!AA20)</f>
        <v>7.0405027932960884</v>
      </c>
      <c r="FQ18" s="560">
        <f>(Sheet1!BP20+Sheet1!BO20)/694.4</f>
        <v>2.5711405529953919</v>
      </c>
      <c r="FR18" s="560"/>
      <c r="FS18" s="560"/>
      <c r="FT18" s="560"/>
      <c r="FU18" s="560"/>
      <c r="FV18" s="695">
        <f t="shared" si="80"/>
        <v>41827</v>
      </c>
      <c r="FW18" s="695">
        <f t="shared" si="81"/>
        <v>41934</v>
      </c>
      <c r="FX18" s="560"/>
      <c r="FY18" s="560"/>
      <c r="FZ18" s="560"/>
      <c r="GA18" s="560"/>
      <c r="GB18" s="560" t="str">
        <f t="shared" si="82"/>
        <v>n</v>
      </c>
      <c r="GC18" s="564">
        <f t="shared" si="83"/>
        <v>41691</v>
      </c>
      <c r="GD18" s="695">
        <f t="shared" si="84"/>
        <v>41807</v>
      </c>
      <c r="GE18" s="560">
        <v>6518.9</v>
      </c>
      <c r="GF18" s="695">
        <f t="shared" si="85"/>
        <v>41808</v>
      </c>
      <c r="GG18" s="560">
        <f t="shared" ref="GG18:GG81" si="163">GG17</f>
        <v>3259</v>
      </c>
      <c r="GH18" s="564">
        <f t="shared" si="87"/>
        <v>41934</v>
      </c>
      <c r="GJ18" s="545">
        <f t="shared" si="88"/>
        <v>0</v>
      </c>
      <c r="GK18" s="560" t="str">
        <f t="shared" ref="GK18:GK42" si="164">CONCATENATE(GM18,HA18,GT18,HH18)</f>
        <v/>
      </c>
      <c r="GL18" s="560">
        <f t="shared" si="89"/>
        <v>0</v>
      </c>
      <c r="GM18" s="560" t="str">
        <f t="shared" si="90"/>
        <v/>
      </c>
      <c r="GN18" s="560">
        <f>IF(GK18="P",Lookup!$M$12,IF(GK18="PP",Lookup!$M$13,IF(GK18="PPP",Lookup!$M$14,IF(GK18="T",Lookup!$M$15,IF(GK18="TP",Lookup!$M$16,IF(GK18="TPP",Lookup!$M$17,IF(GK18="TPPP",Lookup!$M$18,0)))))))*GJ18</f>
        <v>0</v>
      </c>
      <c r="GO18" s="560">
        <f t="shared" si="91"/>
        <v>0</v>
      </c>
      <c r="GP18" s="560">
        <f t="shared" ref="GP18:GP42" si="165">GQ18*MGtoAF</f>
        <v>0</v>
      </c>
      <c r="GQ18" s="560">
        <f t="shared" si="99"/>
        <v>0</v>
      </c>
      <c r="GR18" s="560"/>
      <c r="GS18" s="560">
        <f t="shared" si="92"/>
        <v>0</v>
      </c>
      <c r="GT18" s="560" t="str">
        <f t="shared" si="93"/>
        <v/>
      </c>
      <c r="GU18" s="560">
        <f>IF(GK18="P",Lookup!$N$12,IF(GK18="PP",Lookup!$N$13,IF(GK18="PPP",Lookup!$N$14,IF(GK18="T",Lookup!$N$15,IF(GK18="TP",Lookup!$N$16,IF(GK18="TPP",Lookup!$N$17,IF(GK18="TPPP",Lookup!$N$18,0)))))))*GJ18</f>
        <v>0</v>
      </c>
      <c r="GV18" s="560">
        <f t="shared" si="57"/>
        <v>0</v>
      </c>
      <c r="GW18" s="560">
        <f t="shared" ref="GW18:GW42" si="166">GX18*MGtoAF</f>
        <v>0</v>
      </c>
      <c r="GX18" s="560">
        <f t="shared" si="100"/>
        <v>0</v>
      </c>
      <c r="GY18" s="560"/>
      <c r="GZ18" s="560">
        <f t="shared" si="94"/>
        <v>0</v>
      </c>
      <c r="HA18" s="560" t="str">
        <f t="shared" si="95"/>
        <v/>
      </c>
      <c r="HB18" s="560">
        <f>IF(GK18="P",Lookup!$N$12,IF(GK18="PP",Lookup!$N$13,IF(GK18="PPP",Lookup!$N$14,IF(GK18="T",Lookup!$N$15,IF(GK18="TP",Lookup!$N$16,IF(GK18="TPP",Lookup!$N$17,IF(GK18="TPPP",Lookup!$N$18,0)))))))*GJ18</f>
        <v>0</v>
      </c>
      <c r="HC18" s="545">
        <f t="shared" ref="HC18:HC42" si="167">IF(HA18="P",MIN(HB18,7/36*GE18-HE18),0)</f>
        <v>0</v>
      </c>
      <c r="HD18" s="560">
        <f t="shared" ref="HD18:HD42" si="168">HE18*MGtoAF</f>
        <v>0</v>
      </c>
      <c r="HE18" s="560">
        <f t="shared" si="101"/>
        <v>0</v>
      </c>
      <c r="HF18" s="560"/>
      <c r="HG18" s="560">
        <f t="shared" si="96"/>
        <v>0</v>
      </c>
      <c r="HH18" s="560" t="str">
        <f t="shared" si="97"/>
        <v/>
      </c>
      <c r="HI18" s="560">
        <f>IF(GK18="P",Lookup!$N$12,IF(GK18="PP",Lookup!$N$13,IF(GK18="PPP",Lookup!$N$14,IF(GK18="T",Lookup!$N$15,IF(GK18="TP",Lookup!$N$16,IF(GK18="TPP",Lookup!$N$17,IF(GK18="TPPP",Lookup!$N$18,0)))))))*GJ18</f>
        <v>0</v>
      </c>
      <c r="HJ18" s="545">
        <f t="shared" ref="HJ18:HJ42" si="169">IF(HH18="P",MIN(HI18,7/36*GE18-HL18),0)</f>
        <v>0</v>
      </c>
      <c r="HK18" s="560">
        <f t="shared" ref="HK18:HK42" si="170">HL18*MGtoAF</f>
        <v>0</v>
      </c>
      <c r="HL18" s="560">
        <f t="shared" si="102"/>
        <v>0</v>
      </c>
      <c r="HM18" s="560"/>
    </row>
    <row r="19" spans="1:221">
      <c r="A19" s="580" t="s">
        <v>6</v>
      </c>
      <c r="B19" s="556">
        <v>41647</v>
      </c>
      <c r="C19" s="561">
        <v>0</v>
      </c>
      <c r="D19" s="529">
        <f t="shared" si="103"/>
        <v>300</v>
      </c>
      <c r="E19" s="529">
        <f t="shared" si="104"/>
        <v>250</v>
      </c>
      <c r="F19" s="529">
        <v>250</v>
      </c>
      <c r="G19" s="560">
        <f>DR19+Sheet1!CZ21</f>
        <v>941.03530005030666</v>
      </c>
      <c r="H19" s="914">
        <f t="shared" si="2"/>
        <v>341.32201795251819</v>
      </c>
      <c r="I19" s="559">
        <f>MAX(Sheet1!Z21-AT19+(Sheet1!DA21-E19)*CFStoMGD,0)</f>
        <v>815.73599999999999</v>
      </c>
      <c r="J19" s="562">
        <f>IF(AND(B19&gt;=Calculation!GC19,B19&lt;=Calculation!GD19),IF(Sheet1!DB21&gt;=Calculation!D19,64.64,0),MAX(Sheet1!Z21-AT19+(Sheet1!DB21-D19)*CFStoMGD,0))</f>
        <v>422.07839999999999</v>
      </c>
      <c r="K19" s="904">
        <f t="shared" si="105"/>
        <v>64.64</v>
      </c>
      <c r="L19" s="560">
        <f>Sheet1!AA21+Sheet1!AB21-Sheet1!L21+(Sheet1!DA21-F19)*CFStoMGD</f>
        <v>801.53599999999994</v>
      </c>
      <c r="M19" s="560">
        <f t="shared" si="106"/>
        <v>620.45092231156866</v>
      </c>
      <c r="N19" s="910">
        <f>IF(Sheet1!DA21&gt;=F19,MIN(73,MIN(MAX(L19,0),MAX(M19,0))),0)</f>
        <v>73</v>
      </c>
      <c r="O19" s="563">
        <f>Sheet1!AA21+Sheet1!AB21</f>
        <v>33.78</v>
      </c>
      <c r="P19" s="563">
        <f t="shared" si="107"/>
        <v>52.257660000000001</v>
      </c>
      <c r="Q19" s="898">
        <f t="shared" si="63"/>
        <v>0</v>
      </c>
      <c r="R19" s="829">
        <f t="shared" si="108"/>
        <v>5.976469756924816</v>
      </c>
      <c r="S19" s="898">
        <f t="shared" si="65"/>
        <v>33.78</v>
      </c>
      <c r="T19" s="898">
        <f t="shared" si="66"/>
        <v>0</v>
      </c>
      <c r="U19" s="898">
        <f t="shared" si="6"/>
        <v>0</v>
      </c>
      <c r="V19" s="898"/>
      <c r="W19" s="898">
        <f t="shared" si="67"/>
        <v>58.663530243075186</v>
      </c>
      <c r="X19" s="898">
        <f t="shared" si="68"/>
        <v>33.78</v>
      </c>
      <c r="Y19" s="898" t="str">
        <f t="shared" si="69"/>
        <v/>
      </c>
      <c r="Z19" s="898">
        <f t="shared" si="70"/>
        <v>33.78</v>
      </c>
      <c r="AA19" s="898">
        <f t="shared" si="71"/>
        <v>33.78</v>
      </c>
      <c r="AB19" s="898" t="str">
        <f t="shared" si="72"/>
        <v/>
      </c>
      <c r="AC19" s="563">
        <f>Sheet1!Y21*MGDtoCFS</f>
        <v>30.429490000000001</v>
      </c>
      <c r="AD19" s="563">
        <f>Sheet1!Z21*MGDtoCFS</f>
        <v>21.967399999999998</v>
      </c>
      <c r="AE19" s="563">
        <f>Sheet1!AA21*MGDtoCFS</f>
        <v>30.630600000000001</v>
      </c>
      <c r="AF19" s="563">
        <f>Sheet1!AB21*MGDtoCFS</f>
        <v>21.62706</v>
      </c>
      <c r="AG19" s="563">
        <f>Sheet1!L21*MGDtoCFS</f>
        <v>52.257660000000001</v>
      </c>
      <c r="AH19" s="545">
        <f t="shared" si="109"/>
        <v>0</v>
      </c>
      <c r="AI19" s="560">
        <f t="shared" si="110"/>
        <v>0</v>
      </c>
      <c r="AJ19" s="560">
        <f t="shared" si="111"/>
        <v>0</v>
      </c>
      <c r="AK19" s="560">
        <f t="shared" si="112"/>
        <v>0</v>
      </c>
      <c r="AL19" s="560">
        <f>(VLOOKUP(Sheet1!DC21,hhdcap_wcm,4)-(((VLOOKUP(Sheet1!DC21,hhdcap_wcm,3)-Sheet1!DC21)/(VLOOKUP(Sheet1!DC21,hhdcap_wcm,3)-VLOOKUP(Sheet1!DC21,hhdcap_wcm,1)))*(VLOOKUP(Sheet1!DC21,hhdcap_wcm,4)-VLOOKUP(Sheet1!DC21,hhdcap_wcm,2))))</f>
        <v>773.00000000245109</v>
      </c>
      <c r="AM19" s="560">
        <f t="shared" si="113"/>
        <v>-19.760000000241916</v>
      </c>
      <c r="AN19" s="560">
        <f t="shared" si="114"/>
        <v>0</v>
      </c>
      <c r="AO19" s="560">
        <f t="shared" si="115"/>
        <v>0</v>
      </c>
      <c r="AP19" s="560">
        <f>Sheet1!BA21+Sheet1!BB21+Sheet1!BN21+CD19</f>
        <v>8.1020000000000003</v>
      </c>
      <c r="AQ19" s="560">
        <f>Sheet1!BN21+(DO19*Sheet1!BN21)</f>
        <v>7.0137083097795356</v>
      </c>
      <c r="AR19" s="560">
        <f>Sheet1!BA21+CD19</f>
        <v>0</v>
      </c>
      <c r="AS19" s="560">
        <f>Sheet1!BA21+Sheet1!BB21+CD19</f>
        <v>1.002</v>
      </c>
      <c r="AT19" s="698">
        <f>0</f>
        <v>0</v>
      </c>
      <c r="AU19" s="560">
        <f>IF(EB19&lt;K19,0,MAX(Sheet1!AA21+AQ19-15/36*K19-N19,Sheet1!EH21,0))</f>
        <v>0</v>
      </c>
      <c r="AV19" s="560">
        <f>IF(OR(B19&gt;=GD19,B19&lt;GC19),0,15/36*K19-MAX(0,64.6-(137.6-(Sheet1!AA21+Sheet1!AB21))))</f>
        <v>0</v>
      </c>
      <c r="AW19" s="698">
        <f>Sheet1!DB21-110</f>
        <v>821</v>
      </c>
      <c r="AX19" s="698">
        <f>Sheet1!DA21-265</f>
        <v>1225</v>
      </c>
      <c r="AY19" s="698">
        <f t="shared" si="116"/>
        <v>73</v>
      </c>
      <c r="AZ19" s="698">
        <v>0</v>
      </c>
      <c r="BA19" s="698">
        <f t="shared" si="117"/>
        <v>0</v>
      </c>
      <c r="BB19" s="560">
        <f t="shared" si="118"/>
        <v>0</v>
      </c>
      <c r="BC19" s="560"/>
      <c r="BD19" s="560">
        <f ca="1">IF(B19&gt;Summary!$A$1,#N/A,BB19*MGtoAF)</f>
        <v>0</v>
      </c>
      <c r="BE19" s="560">
        <f>Sheet1!BG21+Sheet1!BH21+Sheet1!BI21-BM19</f>
        <v>0</v>
      </c>
      <c r="BF19" s="560">
        <f t="shared" si="119"/>
        <v>0</v>
      </c>
      <c r="BG19" s="560">
        <f>IF(Sheet1!EP21="FM",BM19,0)</f>
        <v>0</v>
      </c>
      <c r="BH19" s="560">
        <f t="shared" si="120"/>
        <v>0</v>
      </c>
      <c r="BI19" s="560">
        <f>IF(Sheet1!EP21="OTHER",BM19,0)</f>
        <v>0</v>
      </c>
      <c r="BJ19" s="560">
        <f t="shared" si="121"/>
        <v>0</v>
      </c>
      <c r="BK19" s="560">
        <f t="shared" si="122"/>
        <v>0</v>
      </c>
      <c r="BL19" s="560">
        <f t="shared" si="123"/>
        <v>0</v>
      </c>
      <c r="BM19" s="560">
        <f>IF(OR(Sheet1!EP21="FM", Sheet1!EP21="OTHER"),SUM(Sheet1!BG21:'Sheet1'!BI21),0)</f>
        <v>0</v>
      </c>
      <c r="BN19" s="545">
        <f>IF(AND($B19&gt;=$FV19,$B19&lt;=$FW19),MAX(BF19,Sheet1!EI21,0),MAX(BF19-(7/36)*$K19,0))</f>
        <v>0</v>
      </c>
      <c r="BO19" s="560">
        <f t="shared" si="124"/>
        <v>0</v>
      </c>
      <c r="BP19" s="545">
        <f t="shared" si="125"/>
        <v>0</v>
      </c>
      <c r="BQ19" s="545">
        <f>IF(AND($O19&gt;0,Sheet1!EM21=1),(1-($O19-Sheet1!$L21)/$O19)*BL19,0)</f>
        <v>0</v>
      </c>
      <c r="BR19" s="545">
        <f>IF(AND(Sheet1!$L21=0,Sheet1!$L20=0, Calculation!BK19&lt;Sheet1!$EI21-0.1,Sheet1!$EI21=Sheet1!$EI20,Sheet1!$EI21=Sheet1!$EI22),Sheet1!$EI21,BL19-BQ19)</f>
        <v>0</v>
      </c>
      <c r="BS19" s="560"/>
      <c r="BT19" s="560"/>
      <c r="BU19" s="560">
        <f t="shared" si="126"/>
        <v>0</v>
      </c>
      <c r="BV19" s="560"/>
      <c r="BW19" s="560">
        <f ca="1">IF(B19&gt;Summary!$A$1,#N/A,BU19*MGtoAF)</f>
        <v>0</v>
      </c>
      <c r="BX19" s="560">
        <f>Sheet1!BC21+Sheet1!BD21+Sheet1!BE21+Sheet1!BF21-CG19-CH19</f>
        <v>2.34</v>
      </c>
      <c r="BY19" s="560">
        <f t="shared" si="127"/>
        <v>2.3115602035048046</v>
      </c>
      <c r="BZ19" s="560">
        <f>IF(Sheet1!EQ21="FM",CH19,0)</f>
        <v>0</v>
      </c>
      <c r="CA19" s="560">
        <f t="shared" si="128"/>
        <v>0</v>
      </c>
      <c r="CB19" s="560">
        <f>IF(Sheet1!EQ21="OTHER",CH19,0)</f>
        <v>0</v>
      </c>
      <c r="CC19" s="560">
        <f t="shared" si="129"/>
        <v>0</v>
      </c>
      <c r="CD19" s="560">
        <f t="shared" si="130"/>
        <v>0</v>
      </c>
      <c r="CE19" s="560">
        <f t="shared" si="131"/>
        <v>2.34</v>
      </c>
      <c r="CF19" s="560">
        <f t="shared" si="132"/>
        <v>2.3115602035048046</v>
      </c>
      <c r="CG19" s="560">
        <f>IF(Sheet1!EQ21="CWA",SUM(Sheet1!BC21:'Sheet1'!BF21),0)</f>
        <v>0</v>
      </c>
      <c r="CH19" s="560">
        <f>IF(OR(Sheet1!EQ21="FM", Sheet1!EQ21="OTHER"),SUM(Sheet1!BC21:'Sheet1'!BF21),0)</f>
        <v>0</v>
      </c>
      <c r="CI19" s="545">
        <f>IF(AND($B19&gt;=$FV19,$B19&lt;=$FW19),MAX(CF19,Sheet1!EJ21,0),MAX(CF19-(7/36)*$K19,0))</f>
        <v>0</v>
      </c>
      <c r="CJ19" s="560">
        <f t="shared" si="133"/>
        <v>0</v>
      </c>
      <c r="CK19" s="545">
        <f t="shared" si="134"/>
        <v>2.3115602035048046</v>
      </c>
      <c r="CL19" s="545">
        <f>IF(AND($O19&gt;0,Sheet1!EN21=1),(1-($O19-Sheet1!$L21)/$O19)*CF19,0)</f>
        <v>0</v>
      </c>
      <c r="CM19" s="545">
        <f>IF(AND(Sheet1!$L21=0,Sheet1!$L20=0, Calculation!CE19&lt;Sheet1!EJ21-0.1,Sheet1!EJ21=Sheet1!EJ20,Sheet1!EJ21=Sheet1!EJ22),Sheet1!EJ21,CF19-CL19)</f>
        <v>2.3115602035048046</v>
      </c>
      <c r="CN19" s="545"/>
      <c r="CO19" s="560"/>
      <c r="CP19" s="560">
        <f t="shared" si="135"/>
        <v>0</v>
      </c>
      <c r="CQ19" s="560"/>
      <c r="CR19" s="560">
        <f ca="1">IF(B19&gt;Summary!$A$1,#N/A,CP19*MGtoAF)</f>
        <v>0</v>
      </c>
      <c r="CS19" s="560">
        <f>Sheet1!BK21+Sheet1!BL21+Sheet1!BM21-Sheet1!ER21-DA19</f>
        <v>3.71</v>
      </c>
      <c r="CT19" s="560">
        <f t="shared" si="136"/>
        <v>3.6649095534200109</v>
      </c>
      <c r="CU19" s="560">
        <f>IF(Sheet1!ER21="FM",DA19,0)</f>
        <v>0</v>
      </c>
      <c r="CV19" s="560">
        <f t="shared" si="137"/>
        <v>0</v>
      </c>
      <c r="CW19" s="560">
        <f>IF(Sheet1!ER21="OTHER",DA19,0)</f>
        <v>0</v>
      </c>
      <c r="CX19" s="560">
        <f t="shared" si="138"/>
        <v>0</v>
      </c>
      <c r="CY19" s="560">
        <f t="shared" si="139"/>
        <v>3.71</v>
      </c>
      <c r="CZ19" s="560">
        <f t="shared" si="140"/>
        <v>3.6649095534200109</v>
      </c>
      <c r="DA19" s="560">
        <f>IF(OR(Sheet1!ER21="FM", Sheet1!ER21="OTHER"),SUM(Sheet1!BK21:'Sheet1'!BM21),0)</f>
        <v>0</v>
      </c>
      <c r="DB19" s="545">
        <f>IF(AND($B19&gt;=$FV19,$B19&lt;=$FW19),MAX($CT19,Sheet1!EK21,0),MAX($CT19-(7/36)*$K19,0))</f>
        <v>0</v>
      </c>
      <c r="DC19" s="560">
        <f t="shared" si="141"/>
        <v>0</v>
      </c>
      <c r="DD19" s="545">
        <f t="shared" si="142"/>
        <v>3.6649095534200109</v>
      </c>
      <c r="DE19" s="545">
        <f>IF(AND($O19&gt;0,Sheet1!EO21=1),(1-($O19-Sheet1!$L21)/$O19)*CZ19,0)</f>
        <v>0</v>
      </c>
      <c r="DF19" s="545">
        <f>IF(AND(Sheet1!$L21=0,Sheet1!$L20=0, Calculation!CY19&lt;Sheet1!$EK21-0.1,Sheet1!$EK21=Sheet1!$EK20,Sheet1!$EK21=Sheet1!$EK22),Sheet1!$EK21,CZ19-DE19)</f>
        <v>3.6649095534200109</v>
      </c>
      <c r="DG19" s="545"/>
      <c r="DH19" s="560">
        <f t="shared" si="143"/>
        <v>6.05</v>
      </c>
      <c r="DI19" s="560">
        <f t="shared" si="144"/>
        <v>0</v>
      </c>
      <c r="DJ19" s="698">
        <f t="shared" si="145"/>
        <v>5.976469756924816</v>
      </c>
      <c r="DK19" s="560">
        <f ca="1">IF(B19&gt;Summary!$A$1,#N/A,DI19*MGtoAF)</f>
        <v>0</v>
      </c>
      <c r="DL19" s="698">
        <f t="shared" si="146"/>
        <v>6.05</v>
      </c>
      <c r="DM19" s="560">
        <f t="shared" si="147"/>
        <v>14.152000000000001</v>
      </c>
      <c r="DN19" s="560">
        <f>Sheet1!AB21-DM19</f>
        <v>-0.1720000000000006</v>
      </c>
      <c r="DO19" s="823">
        <f t="shared" si="148"/>
        <v>-1.2153759185980821E-2</v>
      </c>
      <c r="DP19" s="560">
        <f>(VLOOKUP(Sheet1!DC21,hhdcap_wcm,4)-(((VLOOKUP(Sheet1!DC21,hhdcap_wcm,3)-Sheet1!DC21)/(VLOOKUP(Sheet1!DC21,hhdcap_wcm,3)-VLOOKUP(Sheet1!DC21,hhdcap_wcm,1)))*(VLOOKUP(Sheet1!DC21,hhdcap_wcm,4)-VLOOKUP(Sheet1!DC21,hhdcap_wcm,2))))</f>
        <v>773.00000000245109</v>
      </c>
      <c r="DQ19" s="560">
        <f t="shared" si="149"/>
        <v>-19.760000000241916</v>
      </c>
      <c r="DR19" s="560">
        <f t="shared" si="150"/>
        <v>-9.964699949693351</v>
      </c>
      <c r="DS19" s="560">
        <f>Sheet1!EA21*AFtoMG</f>
        <v>0</v>
      </c>
      <c r="DT19" s="560">
        <f>Sheet1!EB21*AFtoMG</f>
        <v>0</v>
      </c>
      <c r="DU19" s="560">
        <f>Sheet1!EC21*AFtoMG</f>
        <v>0</v>
      </c>
      <c r="DV19" s="560">
        <f>Sheet1!ED21*AFtoMG</f>
        <v>0</v>
      </c>
      <c r="DW19" s="560">
        <f t="shared" si="151"/>
        <v>0</v>
      </c>
      <c r="DX19" s="560">
        <f t="shared" si="152"/>
        <v>0</v>
      </c>
      <c r="DY19" s="560">
        <f t="shared" si="153"/>
        <v>0</v>
      </c>
      <c r="DZ19" s="560">
        <f t="shared" si="154"/>
        <v>0</v>
      </c>
      <c r="EA19" s="560"/>
      <c r="EB19" s="545">
        <f>IF(OR(B19&lt;FV19,B19&gt;FW19),(MIN(BF19+BY19+CT19+MAX(Sheet1!AA21+AQ19-73,0),K19)),0)</f>
        <v>5.976469756924816</v>
      </c>
      <c r="EC19" s="560"/>
      <c r="ED19" s="560">
        <f t="shared" si="155"/>
        <v>5.976469756924816</v>
      </c>
      <c r="EE19" s="560"/>
      <c r="EF19" s="560">
        <f>Sheet1!EH21+Sheet1!EI21+Sheet1!EJ21+Sheet1!EK21</f>
        <v>6.21</v>
      </c>
      <c r="EG19" s="560"/>
      <c r="EH19" s="545">
        <f t="shared" si="156"/>
        <v>0</v>
      </c>
      <c r="EI19" s="560">
        <f>IF(Sheet1!ET21=1,SUM('Calculations II'!AT19:BA19)+'Calculations II'!BC19+Sheet1!BV21+'Calculations II'!BE19+AP19,SUM('Calculations II'!AT19:BA19)+'Calculations II'!BC19+Sheet1!BV21+'Calculations II'!BE19+AP19)</f>
        <v>46.417231999999998</v>
      </c>
      <c r="EJ19" s="560">
        <f>Sheet1!AA21+Sheet1!AB21+'Calculations II'!BC19</f>
        <v>53.299344000000005</v>
      </c>
      <c r="EK19" s="560"/>
      <c r="EL19" s="560"/>
      <c r="EM19" s="560">
        <f t="shared" si="157"/>
        <v>41647</v>
      </c>
      <c r="EN19" s="560">
        <f t="shared" si="158"/>
        <v>0</v>
      </c>
      <c r="EO19" s="560">
        <f t="shared" si="159"/>
        <v>0</v>
      </c>
      <c r="EP19" s="560">
        <v>0</v>
      </c>
      <c r="EQ19" s="560">
        <v>0</v>
      </c>
      <c r="ER19" s="560">
        <v>0</v>
      </c>
      <c r="ES19" s="545">
        <f t="shared" si="77"/>
        <v>-3.3232501325870456</v>
      </c>
      <c r="ET19" s="560">
        <f>-(VLOOKUP(Sheet1!BQ21,Lookup!$O$4:$Q$262,2)-VLOOKUP(Sheet1!BQ20,Lookup!$O$4:$Q$262,2))/1000000</f>
        <v>-1.6616250662935228</v>
      </c>
      <c r="EU19" s="560">
        <f>-(VLOOKUP(Sheet1!BR21,Lookup!$O$4:$Q$262,3)-VLOOKUP(Sheet1!BR20,Lookup!$O$4:$Q$262,3))/1000000</f>
        <v>-1.6616250662935228</v>
      </c>
      <c r="EV19" s="560"/>
      <c r="EW19" s="560"/>
      <c r="EX19" s="560"/>
      <c r="EY19" s="560"/>
      <c r="EZ19" s="560"/>
      <c r="FA19" s="560"/>
      <c r="FB19" s="560"/>
      <c r="FC19" s="560"/>
      <c r="FD19" s="594" t="e">
        <f t="shared" si="160"/>
        <v>#N/A</v>
      </c>
      <c r="FE19" s="594" t="e">
        <f t="shared" si="161"/>
        <v>#N/A</v>
      </c>
      <c r="FF19" s="595" t="e">
        <f t="shared" si="162"/>
        <v>#N/A</v>
      </c>
      <c r="FG19" s="596" t="s">
        <v>692</v>
      </c>
      <c r="FH19" s="596" t="s">
        <v>692</v>
      </c>
      <c r="FI19" s="594" t="e">
        <v>#N/A</v>
      </c>
      <c r="FJ19" s="594" t="e">
        <v>#N/A</v>
      </c>
      <c r="FK19" s="560"/>
      <c r="FL19" s="560"/>
      <c r="FM19" s="560"/>
      <c r="FN19" s="560"/>
      <c r="FO19" s="560">
        <f>O19+((Sheet1!CS21)*GPMtoMGD)</f>
        <v>53.299344000000005</v>
      </c>
      <c r="FP19" s="560">
        <f>IF(Sheet1!AA21+AQ19&lt;=Calculation!N19,AQ19,Calculation!N19-Sheet1!AA21)</f>
        <v>7.0137083097795356</v>
      </c>
      <c r="FQ19" s="560">
        <f>(Sheet1!BP21+Sheet1!BO21)/694.4</f>
        <v>0</v>
      </c>
      <c r="FR19" s="560"/>
      <c r="FS19" s="560"/>
      <c r="FT19" s="560"/>
      <c r="FU19" s="560"/>
      <c r="FV19" s="695">
        <f t="shared" si="80"/>
        <v>41827</v>
      </c>
      <c r="FW19" s="695">
        <f t="shared" si="81"/>
        <v>41934</v>
      </c>
      <c r="FX19" s="560"/>
      <c r="FY19" s="560"/>
      <c r="FZ19" s="560"/>
      <c r="GA19" s="560"/>
      <c r="GB19" s="560" t="str">
        <f t="shared" si="82"/>
        <v>n</v>
      </c>
      <c r="GC19" s="564">
        <f t="shared" si="83"/>
        <v>41691</v>
      </c>
      <c r="GD19" s="695">
        <f t="shared" si="84"/>
        <v>41807</v>
      </c>
      <c r="GE19" s="560">
        <v>6518.9</v>
      </c>
      <c r="GF19" s="695">
        <f t="shared" si="85"/>
        <v>41808</v>
      </c>
      <c r="GG19" s="560">
        <f t="shared" si="163"/>
        <v>3259</v>
      </c>
      <c r="GH19" s="564">
        <f t="shared" si="87"/>
        <v>41934</v>
      </c>
      <c r="GJ19" s="545">
        <f t="shared" si="88"/>
        <v>0</v>
      </c>
      <c r="GK19" s="560" t="str">
        <f t="shared" si="164"/>
        <v/>
      </c>
      <c r="GL19" s="560">
        <f t="shared" si="89"/>
        <v>0</v>
      </c>
      <c r="GM19" s="560" t="str">
        <f t="shared" si="90"/>
        <v/>
      </c>
      <c r="GN19" s="560">
        <f>IF(GK19="P",Lookup!$M$12,IF(GK19="PP",Lookup!$M$13,IF(GK19="PPP",Lookup!$M$14,IF(GK19="T",Lookup!$M$15,IF(GK19="TP",Lookup!$M$16,IF(GK19="TPP",Lookup!$M$17,IF(GK19="TPPP",Lookup!$M$18,0)))))))*GJ19</f>
        <v>0</v>
      </c>
      <c r="GO19" s="560">
        <f t="shared" si="91"/>
        <v>0</v>
      </c>
      <c r="GP19" s="560">
        <f t="shared" si="165"/>
        <v>0</v>
      </c>
      <c r="GQ19" s="560">
        <f t="shared" si="99"/>
        <v>0</v>
      </c>
      <c r="GR19" s="560"/>
      <c r="GS19" s="560">
        <f t="shared" si="92"/>
        <v>0</v>
      </c>
      <c r="GT19" s="560" t="str">
        <f t="shared" si="93"/>
        <v/>
      </c>
      <c r="GU19" s="560">
        <f>IF(GK19="P",Lookup!$N$12,IF(GK19="PP",Lookup!$N$13,IF(GK19="PPP",Lookup!$N$14,IF(GK19="T",Lookup!$N$15,IF(GK19="TP",Lookup!$N$16,IF(GK19="TPP",Lookup!$N$17,IF(GK19="TPPP",Lookup!$N$18,0)))))))*GJ19</f>
        <v>0</v>
      </c>
      <c r="GV19" s="560">
        <f t="shared" si="57"/>
        <v>0</v>
      </c>
      <c r="GW19" s="560">
        <f t="shared" si="166"/>
        <v>0</v>
      </c>
      <c r="GX19" s="560">
        <f t="shared" si="100"/>
        <v>0</v>
      </c>
      <c r="GY19" s="560"/>
      <c r="GZ19" s="560">
        <f t="shared" si="94"/>
        <v>0</v>
      </c>
      <c r="HA19" s="560" t="str">
        <f t="shared" si="95"/>
        <v/>
      </c>
      <c r="HB19" s="560">
        <f>IF(GK19="P",Lookup!$N$12,IF(GK19="PP",Lookup!$N$13,IF(GK19="PPP",Lookup!$N$14,IF(GK19="T",Lookup!$N$15,IF(GK19="TP",Lookup!$N$16,IF(GK19="TPP",Lookup!$N$17,IF(GK19="TPPP",Lookup!$N$18,0)))))))*GJ19</f>
        <v>0</v>
      </c>
      <c r="HC19" s="545">
        <f t="shared" si="167"/>
        <v>0</v>
      </c>
      <c r="HD19" s="560">
        <f t="shared" si="168"/>
        <v>0</v>
      </c>
      <c r="HE19" s="560">
        <f t="shared" si="101"/>
        <v>0</v>
      </c>
      <c r="HF19" s="560"/>
      <c r="HG19" s="560">
        <f t="shared" si="96"/>
        <v>0</v>
      </c>
      <c r="HH19" s="560" t="str">
        <f t="shared" si="97"/>
        <v/>
      </c>
      <c r="HI19" s="560">
        <f>IF(GK19="P",Lookup!$N$12,IF(GK19="PP",Lookup!$N$13,IF(GK19="PPP",Lookup!$N$14,IF(GK19="T",Lookup!$N$15,IF(GK19="TP",Lookup!$N$16,IF(GK19="TPP",Lookup!$N$17,IF(GK19="TPPP",Lookup!$N$18,0)))))))*GJ19</f>
        <v>0</v>
      </c>
      <c r="HJ19" s="545">
        <f t="shared" si="169"/>
        <v>0</v>
      </c>
      <c r="HK19" s="560">
        <f t="shared" si="170"/>
        <v>0</v>
      </c>
      <c r="HL19" s="560">
        <f t="shared" si="102"/>
        <v>0</v>
      </c>
      <c r="HM19" s="560"/>
    </row>
    <row r="20" spans="1:221">
      <c r="A20" s="580" t="s">
        <v>7</v>
      </c>
      <c r="B20" s="556">
        <v>41648</v>
      </c>
      <c r="C20" s="561">
        <v>0</v>
      </c>
      <c r="D20" s="529">
        <f t="shared" si="103"/>
        <v>300</v>
      </c>
      <c r="E20" s="529">
        <f t="shared" si="104"/>
        <v>250</v>
      </c>
      <c r="F20" s="529">
        <v>250</v>
      </c>
      <c r="G20" s="560">
        <f>DR20+Sheet1!CZ22</f>
        <v>1389.8940998488815</v>
      </c>
      <c r="H20" s="914">
        <f t="shared" si="2"/>
        <v>631.46434614231703</v>
      </c>
      <c r="I20" s="559">
        <f>MAX(Sheet1!Z22-AT20+(Sheet1!DA22-E20)*CFStoMGD,0)</f>
        <v>1132.252</v>
      </c>
      <c r="J20" s="562">
        <f>IF(AND(B20&gt;=Calculation!GC20,B20&lt;=Calculation!GD20),IF(Sheet1!DB22&gt;=Calculation!D20,64.64,0),MAX(Sheet1!Z22-AT20+(Sheet1!DB22-D20)*CFStoMGD,0))</f>
        <v>673.30799999999999</v>
      </c>
      <c r="K20" s="904">
        <f t="shared" si="105"/>
        <v>64.64</v>
      </c>
      <c r="L20" s="560">
        <f>Sheet1!AA22+Sheet1!AB22-Sheet1!L22+(Sheet1!DA22-F20)*CFStoMGD</f>
        <v>1118.2719999999999</v>
      </c>
      <c r="M20" s="560">
        <f t="shared" si="106"/>
        <v>916.39609706516342</v>
      </c>
      <c r="N20" s="910">
        <f>IF(Sheet1!DA22&gt;=F20,MIN(73,MIN(MAX(L20,0),MAX(M20,0))),0)</f>
        <v>73</v>
      </c>
      <c r="O20" s="563">
        <f>Sheet1!AA22+Sheet1!AB22</f>
        <v>33.82</v>
      </c>
      <c r="P20" s="563">
        <f t="shared" si="107"/>
        <v>52.319540000000003</v>
      </c>
      <c r="Q20" s="898">
        <f t="shared" si="63"/>
        <v>0</v>
      </c>
      <c r="R20" s="829">
        <f t="shared" si="108"/>
        <v>5.8590747835958563</v>
      </c>
      <c r="S20" s="898">
        <f t="shared" si="65"/>
        <v>33.82</v>
      </c>
      <c r="T20" s="898">
        <f t="shared" si="66"/>
        <v>0</v>
      </c>
      <c r="U20" s="898">
        <f t="shared" si="6"/>
        <v>0</v>
      </c>
      <c r="V20" s="898"/>
      <c r="W20" s="898">
        <f t="shared" si="67"/>
        <v>58.780925216404142</v>
      </c>
      <c r="X20" s="898">
        <f t="shared" si="68"/>
        <v>33.82</v>
      </c>
      <c r="Y20" s="898" t="str">
        <f t="shared" si="69"/>
        <v/>
      </c>
      <c r="Z20" s="898">
        <f t="shared" si="70"/>
        <v>33.82</v>
      </c>
      <c r="AA20" s="898">
        <f t="shared" si="71"/>
        <v>33.82</v>
      </c>
      <c r="AB20" s="898" t="str">
        <f t="shared" si="72"/>
        <v/>
      </c>
      <c r="AC20" s="563">
        <f>Sheet1!Y22*MGDtoCFS</f>
        <v>30.630600000000001</v>
      </c>
      <c r="AD20" s="563">
        <f>Sheet1!Z22*MGDtoCFS</f>
        <v>21.62706</v>
      </c>
      <c r="AE20" s="563">
        <f>Sheet1!AA22*MGDtoCFS</f>
        <v>30.630600000000001</v>
      </c>
      <c r="AF20" s="563">
        <f>Sheet1!AB22*MGDtoCFS</f>
        <v>21.688939999999999</v>
      </c>
      <c r="AG20" s="563">
        <f>Sheet1!L22*MGDtoCFS</f>
        <v>52.319539999999996</v>
      </c>
      <c r="AH20" s="545">
        <f t="shared" si="109"/>
        <v>0</v>
      </c>
      <c r="AI20" s="560">
        <f t="shared" si="110"/>
        <v>0</v>
      </c>
      <c r="AJ20" s="560">
        <f t="shared" si="111"/>
        <v>0</v>
      </c>
      <c r="AK20" s="560">
        <f t="shared" si="112"/>
        <v>0</v>
      </c>
      <c r="AL20" s="560">
        <f>(VLOOKUP(Sheet1!DC22,hhdcap_wcm,4)-(((VLOOKUP(Sheet1!DC22,hhdcap_wcm,3)-Sheet1!DC22)/(VLOOKUP(Sheet1!DC22,hhdcap_wcm,3)-VLOOKUP(Sheet1!DC22,hhdcap_wcm,1)))*(VLOOKUP(Sheet1!DC22,hhdcap_wcm,4)-VLOOKUP(Sheet1!DC22,hhdcap_wcm,2))))</f>
        <v>911.60000000278308</v>
      </c>
      <c r="AM20" s="560">
        <f t="shared" si="113"/>
        <v>138.60000000033199</v>
      </c>
      <c r="AN20" s="560">
        <f t="shared" si="114"/>
        <v>0</v>
      </c>
      <c r="AO20" s="560">
        <f t="shared" si="115"/>
        <v>0</v>
      </c>
      <c r="AP20" s="560">
        <f>Sheet1!BA22+Sheet1!BB22+Sheet1!BN22+CD20</f>
        <v>8.2040000000000006</v>
      </c>
      <c r="AQ20" s="560">
        <f>Sheet1!BN22+(DO20*Sheet1!BN22)</f>
        <v>7.1621966794380585</v>
      </c>
      <c r="AR20" s="560">
        <f>Sheet1!BA22+CD20</f>
        <v>0</v>
      </c>
      <c r="AS20" s="560">
        <f>Sheet1!BA22+Sheet1!BB22+CD20</f>
        <v>1.004</v>
      </c>
      <c r="AT20" s="698">
        <f>0</f>
        <v>0</v>
      </c>
      <c r="AU20" s="560">
        <f>IF(EB20&lt;K20,0,MAX(Sheet1!AA22+AQ20-15/36*K20-N20,Sheet1!EH22,0))</f>
        <v>0</v>
      </c>
      <c r="AV20" s="560">
        <f>IF(OR(B20&gt;=GD20,B20&lt;GC20),0,15/36*K20-MAX(0,64.6-(137.6-(Sheet1!AA22+Sheet1!AB22))))</f>
        <v>0</v>
      </c>
      <c r="AW20" s="698">
        <f>Sheet1!DB22-110</f>
        <v>1210</v>
      </c>
      <c r="AX20" s="698">
        <f>Sheet1!DA22-265</f>
        <v>1715</v>
      </c>
      <c r="AY20" s="698">
        <f t="shared" si="116"/>
        <v>73</v>
      </c>
      <c r="AZ20" s="698">
        <v>0</v>
      </c>
      <c r="BA20" s="698">
        <f t="shared" si="117"/>
        <v>0</v>
      </c>
      <c r="BB20" s="560">
        <f t="shared" si="118"/>
        <v>0</v>
      </c>
      <c r="BC20" s="560"/>
      <c r="BD20" s="560">
        <f ca="1">IF(B20&gt;Summary!$A$1,#N/A,BB20*MGtoAF)</f>
        <v>0</v>
      </c>
      <c r="BE20" s="560">
        <f>Sheet1!BG22+Sheet1!BH22+Sheet1!BI22-BM20</f>
        <v>0</v>
      </c>
      <c r="BF20" s="560">
        <f t="shared" si="119"/>
        <v>0</v>
      </c>
      <c r="BG20" s="560">
        <f>IF(Sheet1!EP22="FM",BM20,0)</f>
        <v>0</v>
      </c>
      <c r="BH20" s="560">
        <f t="shared" si="120"/>
        <v>0</v>
      </c>
      <c r="BI20" s="560">
        <f>IF(Sheet1!EP22="OTHER",BM20,0)</f>
        <v>0</v>
      </c>
      <c r="BJ20" s="560">
        <f t="shared" si="121"/>
        <v>0</v>
      </c>
      <c r="BK20" s="560">
        <f t="shared" si="122"/>
        <v>0</v>
      </c>
      <c r="BL20" s="560">
        <f t="shared" si="123"/>
        <v>0</v>
      </c>
      <c r="BM20" s="560">
        <f>IF(OR(Sheet1!EP22="FM", Sheet1!EP22="OTHER"),SUM(Sheet1!BG22:'Sheet1'!BI22),0)</f>
        <v>0</v>
      </c>
      <c r="BN20" s="545">
        <f>IF(AND($B20&gt;=$FV20,$B20&lt;=$FW20),MAX(BF20,Sheet1!EI22,0),MAX(BF20-(7/36)*$K20,0))</f>
        <v>0</v>
      </c>
      <c r="BO20" s="560">
        <f t="shared" si="124"/>
        <v>0</v>
      </c>
      <c r="BP20" s="545">
        <f t="shared" si="125"/>
        <v>0</v>
      </c>
      <c r="BQ20" s="545">
        <f>IF(AND($O20&gt;0,Sheet1!EM22=1),(1-($O20-Sheet1!$L22)/$O20)*BL20,0)</f>
        <v>0</v>
      </c>
      <c r="BR20" s="545">
        <f>IF(AND(Sheet1!$L22=0,Sheet1!$L21=0, Calculation!BK20&lt;Sheet1!$EI22-0.1,Sheet1!$EI22=Sheet1!$EI21,Sheet1!$EI22=Sheet1!$EI23),Sheet1!$EI22,BL20-BQ20)</f>
        <v>0</v>
      </c>
      <c r="BS20" s="560"/>
      <c r="BT20" s="560"/>
      <c r="BU20" s="560">
        <f t="shared" si="126"/>
        <v>0</v>
      </c>
      <c r="BV20" s="560"/>
      <c r="BW20" s="560">
        <f ca="1">IF(B20&gt;Summary!$A$1,#N/A,BU20*MGtoAF)</f>
        <v>0</v>
      </c>
      <c r="BX20" s="560">
        <f>Sheet1!BC22+Sheet1!BD22+Sheet1!BE22+Sheet1!BF22-CG20-CH20</f>
        <v>2.19</v>
      </c>
      <c r="BY20" s="560">
        <f t="shared" si="127"/>
        <v>2.1785014899957424</v>
      </c>
      <c r="BZ20" s="560">
        <f>IF(Sheet1!EQ22="FM",CH20,0)</f>
        <v>0</v>
      </c>
      <c r="CA20" s="560">
        <f t="shared" si="128"/>
        <v>0</v>
      </c>
      <c r="CB20" s="560">
        <f>IF(Sheet1!EQ22="OTHER",CH20,0)</f>
        <v>0</v>
      </c>
      <c r="CC20" s="560">
        <f t="shared" si="129"/>
        <v>0</v>
      </c>
      <c r="CD20" s="560">
        <f t="shared" si="130"/>
        <v>0</v>
      </c>
      <c r="CE20" s="560">
        <f t="shared" si="131"/>
        <v>2.19</v>
      </c>
      <c r="CF20" s="560">
        <f t="shared" si="132"/>
        <v>2.1785014899957424</v>
      </c>
      <c r="CG20" s="560">
        <f>IF(Sheet1!EQ22="CWA",SUM(Sheet1!BC22:'Sheet1'!BF22),0)</f>
        <v>0</v>
      </c>
      <c r="CH20" s="560">
        <f>IF(OR(Sheet1!EQ22="FM", Sheet1!EQ22="OTHER"),SUM(Sheet1!BC22:'Sheet1'!BF22),0)</f>
        <v>0</v>
      </c>
      <c r="CI20" s="545">
        <f>IF(AND($B20&gt;=$FV20,$B20&lt;=$FW20),MAX(CF20,Sheet1!EJ22,0),MAX(CF20-(7/36)*$K20,0))</f>
        <v>0</v>
      </c>
      <c r="CJ20" s="560">
        <f t="shared" si="133"/>
        <v>0</v>
      </c>
      <c r="CK20" s="545">
        <f t="shared" si="134"/>
        <v>2.1785014899957424</v>
      </c>
      <c r="CL20" s="545">
        <f>IF(AND($O20&gt;0,Sheet1!EN22=1),(1-($O20-Sheet1!$L22)/$O20)*CF20,0)</f>
        <v>0</v>
      </c>
      <c r="CM20" s="545">
        <f>IF(AND(Sheet1!$L22=0,Sheet1!$L21=0, Calculation!CE20&lt;Sheet1!EJ22-0.1,Sheet1!EJ22=Sheet1!EJ21,Sheet1!EJ22=Sheet1!EJ23),Sheet1!EJ22,CF20-CL20)</f>
        <v>2.1785014899957424</v>
      </c>
      <c r="CN20" s="545"/>
      <c r="CO20" s="560"/>
      <c r="CP20" s="560">
        <f t="shared" si="135"/>
        <v>0</v>
      </c>
      <c r="CQ20" s="560"/>
      <c r="CR20" s="560">
        <f ca="1">IF(B20&gt;Summary!$A$1,#N/A,CP20*MGtoAF)</f>
        <v>0</v>
      </c>
      <c r="CS20" s="560">
        <f>Sheet1!BK22+Sheet1!BL22+Sheet1!BM22-Sheet1!ER22-DA20</f>
        <v>3.7</v>
      </c>
      <c r="CT20" s="560">
        <f t="shared" si="136"/>
        <v>3.6805732936001134</v>
      </c>
      <c r="CU20" s="560">
        <f>IF(Sheet1!ER22="FM",DA20,0)</f>
        <v>0</v>
      </c>
      <c r="CV20" s="560">
        <f t="shared" si="137"/>
        <v>0</v>
      </c>
      <c r="CW20" s="560">
        <f>IF(Sheet1!ER22="OTHER",DA20,0)</f>
        <v>0</v>
      </c>
      <c r="CX20" s="560">
        <f t="shared" si="138"/>
        <v>0</v>
      </c>
      <c r="CY20" s="560">
        <f t="shared" si="139"/>
        <v>3.7</v>
      </c>
      <c r="CZ20" s="560">
        <f t="shared" si="140"/>
        <v>3.6805732936001134</v>
      </c>
      <c r="DA20" s="560">
        <f>IF(OR(Sheet1!ER22="FM", Sheet1!ER22="OTHER"),SUM(Sheet1!BK22:'Sheet1'!BM22),0)</f>
        <v>0</v>
      </c>
      <c r="DB20" s="545">
        <f>IF(AND($B20&gt;=$FV20,$B20&lt;=$FW20),MAX($CT20,Sheet1!EK22,0),MAX($CT20-(7/36)*$K20,0))</f>
        <v>0</v>
      </c>
      <c r="DC20" s="560">
        <f t="shared" si="141"/>
        <v>0</v>
      </c>
      <c r="DD20" s="545">
        <f t="shared" si="142"/>
        <v>3.6805732936001134</v>
      </c>
      <c r="DE20" s="545">
        <f>IF(AND($O20&gt;0,Sheet1!EO22=1),(1-($O20-Sheet1!$L22)/$O20)*CZ20,0)</f>
        <v>0</v>
      </c>
      <c r="DF20" s="545">
        <f>IF(AND(Sheet1!$L22=0,Sheet1!$L21=0, Calculation!CY20&lt;Sheet1!$EK22-0.1,Sheet1!$EK22=Sheet1!$EK21,Sheet1!$EK22=Sheet1!$EK23),Sheet1!$EK22,CZ20-DE20)</f>
        <v>3.6805732936001134</v>
      </c>
      <c r="DG20" s="545"/>
      <c r="DH20" s="560">
        <f t="shared" si="143"/>
        <v>5.8900000000000006</v>
      </c>
      <c r="DI20" s="560">
        <f t="shared" si="144"/>
        <v>0</v>
      </c>
      <c r="DJ20" s="698">
        <f t="shared" si="145"/>
        <v>5.8590747835958563</v>
      </c>
      <c r="DK20" s="560">
        <f ca="1">IF(B20&gt;Summary!$A$1,#N/A,DI20*MGtoAF)</f>
        <v>0</v>
      </c>
      <c r="DL20" s="698">
        <f t="shared" si="146"/>
        <v>5.8900000000000006</v>
      </c>
      <c r="DM20" s="560">
        <f t="shared" si="147"/>
        <v>14.094000000000001</v>
      </c>
      <c r="DN20" s="560">
        <f>Sheet1!AB22-DM20</f>
        <v>-7.400000000000162E-2</v>
      </c>
      <c r="DO20" s="823">
        <f t="shared" si="148"/>
        <v>-5.2504611891586216E-3</v>
      </c>
      <c r="DP20" s="560">
        <f>(VLOOKUP(Sheet1!DC22,hhdcap_wcm,4)-(((VLOOKUP(Sheet1!DC22,hhdcap_wcm,3)-Sheet1!DC22)/(VLOOKUP(Sheet1!DC22,hhdcap_wcm,3)-VLOOKUP(Sheet1!DC22,hhdcap_wcm,1)))*(VLOOKUP(Sheet1!DC22,hhdcap_wcm,4)-VLOOKUP(Sheet1!DC22,hhdcap_wcm,2))))</f>
        <v>911.60000000278308</v>
      </c>
      <c r="DQ20" s="560">
        <f t="shared" si="149"/>
        <v>138.60000000033199</v>
      </c>
      <c r="DR20" s="560">
        <f t="shared" si="150"/>
        <v>69.894099848881481</v>
      </c>
      <c r="DS20" s="560">
        <f>Sheet1!EA22*AFtoMG</f>
        <v>0</v>
      </c>
      <c r="DT20" s="560">
        <f>Sheet1!EB22*AFtoMG</f>
        <v>0</v>
      </c>
      <c r="DU20" s="560">
        <f>Sheet1!EC22*AFtoMG</f>
        <v>0</v>
      </c>
      <c r="DV20" s="560">
        <f>Sheet1!ED22*AFtoMG</f>
        <v>0</v>
      </c>
      <c r="DW20" s="560">
        <f t="shared" si="151"/>
        <v>0</v>
      </c>
      <c r="DX20" s="560">
        <f t="shared" si="152"/>
        <v>0</v>
      </c>
      <c r="DY20" s="560">
        <f t="shared" si="153"/>
        <v>0</v>
      </c>
      <c r="DZ20" s="560">
        <f t="shared" si="154"/>
        <v>0</v>
      </c>
      <c r="EA20" s="560"/>
      <c r="EB20" s="545">
        <f>IF(OR(B20&lt;FV20,B20&gt;FW20),(MIN(BF20+BY20+CT20+MAX(Sheet1!AA22+AQ20-73,0),K20)),0)</f>
        <v>5.8590747835958563</v>
      </c>
      <c r="EC20" s="560"/>
      <c r="ED20" s="560">
        <f t="shared" si="155"/>
        <v>5.8590747835958563</v>
      </c>
      <c r="EE20" s="560"/>
      <c r="EF20" s="560">
        <f>Sheet1!EH22+Sheet1!EI22+Sheet1!EJ22+Sheet1!EK22</f>
        <v>6.2</v>
      </c>
      <c r="EG20" s="560"/>
      <c r="EH20" s="545">
        <f t="shared" si="156"/>
        <v>0</v>
      </c>
      <c r="EI20" s="560">
        <f>IF(Sheet1!ET22=1,SUM('Calculations II'!AT20:BA20)+'Calculations II'!BC20+Sheet1!BV22+'Calculations II'!BE20+AP20,SUM('Calculations II'!AT20:BA20)+'Calculations II'!BC20+Sheet1!BV22+'Calculations II'!BE20+AP20)</f>
        <v>48.103920000000002</v>
      </c>
      <c r="EJ20" s="560">
        <f>Sheet1!AA22+Sheet1!AB22+'Calculations II'!BC20</f>
        <v>53.339632000000002</v>
      </c>
      <c r="EK20" s="560"/>
      <c r="EL20" s="560"/>
      <c r="EM20" s="560">
        <f t="shared" si="157"/>
        <v>41648</v>
      </c>
      <c r="EN20" s="560">
        <f t="shared" si="158"/>
        <v>0</v>
      </c>
      <c r="EO20" s="560">
        <f t="shared" si="159"/>
        <v>0</v>
      </c>
      <c r="EP20" s="560">
        <v>0</v>
      </c>
      <c r="EQ20" s="560">
        <v>0</v>
      </c>
      <c r="ER20" s="560">
        <v>0</v>
      </c>
      <c r="ES20" s="545">
        <f t="shared" si="77"/>
        <v>-2.2165254618113561</v>
      </c>
      <c r="ET20" s="560">
        <f>-(VLOOKUP(Sheet1!BQ22,Lookup!$O$4:$Q$262,2)-VLOOKUP(Sheet1!BQ21,Lookup!$O$4:$Q$262,2))/1000000</f>
        <v>-1.1082627309056781</v>
      </c>
      <c r="EU20" s="560">
        <f>-(VLOOKUP(Sheet1!BR22,Lookup!$O$4:$Q$262,3)-VLOOKUP(Sheet1!BR21,Lookup!$O$4:$Q$262,3))/1000000</f>
        <v>-1.1082627309056781</v>
      </c>
      <c r="EV20" s="560"/>
      <c r="EW20" s="560"/>
      <c r="EX20" s="560"/>
      <c r="EY20" s="560"/>
      <c r="EZ20" s="560"/>
      <c r="FA20" s="560"/>
      <c r="FB20" s="560"/>
      <c r="FC20" s="560"/>
      <c r="FD20" s="594" t="e">
        <f t="shared" si="160"/>
        <v>#N/A</v>
      </c>
      <c r="FE20" s="594" t="e">
        <f t="shared" si="161"/>
        <v>#N/A</v>
      </c>
      <c r="FF20" s="595" t="e">
        <f t="shared" si="162"/>
        <v>#N/A</v>
      </c>
      <c r="FG20" s="596" t="s">
        <v>692</v>
      </c>
      <c r="FH20" s="596" t="s">
        <v>692</v>
      </c>
      <c r="FI20" s="594" t="e">
        <v>#N/A</v>
      </c>
      <c r="FJ20" s="594" t="e">
        <v>#N/A</v>
      </c>
      <c r="FK20" s="560"/>
      <c r="FL20" s="560"/>
      <c r="FM20" s="560"/>
      <c r="FN20" s="560"/>
      <c r="FO20" s="560">
        <f>O20+((Sheet1!CS22)*GPMtoMGD)</f>
        <v>53.339632000000002</v>
      </c>
      <c r="FP20" s="560">
        <f>IF(Sheet1!AA22+AQ20&lt;=Calculation!N20,AQ20,Calculation!N20-Sheet1!AA22)</f>
        <v>7.1621966794380585</v>
      </c>
      <c r="FQ20" s="560">
        <f>(Sheet1!BP22+Sheet1!BO22)/694.4</f>
        <v>2.4370679723502304</v>
      </c>
      <c r="FR20" s="560"/>
      <c r="FS20" s="560"/>
      <c r="FT20" s="560"/>
      <c r="FU20" s="560"/>
      <c r="FV20" s="695">
        <f t="shared" si="80"/>
        <v>41827</v>
      </c>
      <c r="FW20" s="695">
        <f t="shared" si="81"/>
        <v>41934</v>
      </c>
      <c r="FX20" s="560"/>
      <c r="FY20" s="560"/>
      <c r="FZ20" s="560"/>
      <c r="GA20" s="560"/>
      <c r="GB20" s="560" t="str">
        <f t="shared" si="82"/>
        <v>n</v>
      </c>
      <c r="GC20" s="564">
        <f t="shared" si="83"/>
        <v>41691</v>
      </c>
      <c r="GD20" s="695">
        <f t="shared" si="84"/>
        <v>41807</v>
      </c>
      <c r="GE20" s="560">
        <v>6518.9</v>
      </c>
      <c r="GF20" s="695">
        <f t="shared" si="85"/>
        <v>41808</v>
      </c>
      <c r="GG20" s="560">
        <f t="shared" si="163"/>
        <v>3259</v>
      </c>
      <c r="GH20" s="564">
        <f t="shared" si="87"/>
        <v>41934</v>
      </c>
      <c r="GJ20" s="545">
        <f t="shared" si="88"/>
        <v>0</v>
      </c>
      <c r="GK20" s="560" t="str">
        <f t="shared" si="164"/>
        <v/>
      </c>
      <c r="GL20" s="560">
        <f t="shared" si="89"/>
        <v>0</v>
      </c>
      <c r="GM20" s="560" t="str">
        <f t="shared" si="90"/>
        <v/>
      </c>
      <c r="GN20" s="560">
        <f>IF(GK20="P",Lookup!$M$12,IF(GK20="PP",Lookup!$M$13,IF(GK20="PPP",Lookup!$M$14,IF(GK20="T",Lookup!$M$15,IF(GK20="TP",Lookup!$M$16,IF(GK20="TPP",Lookup!$M$17,IF(GK20="TPPP",Lookup!$M$18,0)))))))*GJ20</f>
        <v>0</v>
      </c>
      <c r="GO20" s="560">
        <f t="shared" si="91"/>
        <v>0</v>
      </c>
      <c r="GP20" s="560">
        <f t="shared" si="165"/>
        <v>0</v>
      </c>
      <c r="GQ20" s="560">
        <f t="shared" si="99"/>
        <v>0</v>
      </c>
      <c r="GR20" s="560"/>
      <c r="GS20" s="560">
        <f t="shared" si="92"/>
        <v>0</v>
      </c>
      <c r="GT20" s="560" t="str">
        <f t="shared" si="93"/>
        <v/>
      </c>
      <c r="GU20" s="560">
        <f>IF(GK20="P",Lookup!$N$12,IF(GK20="PP",Lookup!$N$13,IF(GK20="PPP",Lookup!$N$14,IF(GK20="T",Lookup!$N$15,IF(GK20="TP",Lookup!$N$16,IF(GK20="TPP",Lookup!$N$17,IF(GK20="TPPP",Lookup!$N$18,0)))))))*GJ20</f>
        <v>0</v>
      </c>
      <c r="GV20" s="560">
        <f t="shared" si="57"/>
        <v>0</v>
      </c>
      <c r="GW20" s="560">
        <f t="shared" si="166"/>
        <v>0</v>
      </c>
      <c r="GX20" s="560">
        <f t="shared" si="100"/>
        <v>0</v>
      </c>
      <c r="GY20" s="560"/>
      <c r="GZ20" s="560">
        <f t="shared" si="94"/>
        <v>0</v>
      </c>
      <c r="HA20" s="560" t="str">
        <f t="shared" si="95"/>
        <v/>
      </c>
      <c r="HB20" s="560">
        <f>IF(GK20="P",Lookup!$N$12,IF(GK20="PP",Lookup!$N$13,IF(GK20="PPP",Lookup!$N$14,IF(GK20="T",Lookup!$N$15,IF(GK20="TP",Lookup!$N$16,IF(GK20="TPP",Lookup!$N$17,IF(GK20="TPPP",Lookup!$N$18,0)))))))*GJ20</f>
        <v>0</v>
      </c>
      <c r="HC20" s="545">
        <f t="shared" si="167"/>
        <v>0</v>
      </c>
      <c r="HD20" s="560">
        <f t="shared" si="168"/>
        <v>0</v>
      </c>
      <c r="HE20" s="560">
        <f t="shared" si="101"/>
        <v>0</v>
      </c>
      <c r="HF20" s="560"/>
      <c r="HG20" s="560">
        <f t="shared" si="96"/>
        <v>0</v>
      </c>
      <c r="HH20" s="560" t="str">
        <f t="shared" si="97"/>
        <v/>
      </c>
      <c r="HI20" s="560">
        <f>IF(GK20="P",Lookup!$N$12,IF(GK20="PP",Lookup!$N$13,IF(GK20="PPP",Lookup!$N$14,IF(GK20="T",Lookup!$N$15,IF(GK20="TP",Lookup!$N$16,IF(GK20="TPP",Lookup!$N$17,IF(GK20="TPPP",Lookup!$N$18,0)))))))*GJ20</f>
        <v>0</v>
      </c>
      <c r="HJ20" s="545">
        <f t="shared" si="169"/>
        <v>0</v>
      </c>
      <c r="HK20" s="560">
        <f t="shared" si="170"/>
        <v>0</v>
      </c>
      <c r="HL20" s="560">
        <f t="shared" si="102"/>
        <v>0</v>
      </c>
      <c r="HM20" s="560"/>
    </row>
    <row r="21" spans="1:221">
      <c r="A21" s="580" t="s">
        <v>8</v>
      </c>
      <c r="B21" s="556">
        <v>41649</v>
      </c>
      <c r="C21" s="561">
        <v>0</v>
      </c>
      <c r="D21" s="529">
        <f t="shared" si="103"/>
        <v>300</v>
      </c>
      <c r="E21" s="529">
        <f t="shared" si="104"/>
        <v>250</v>
      </c>
      <c r="F21" s="529">
        <v>250</v>
      </c>
      <c r="G21" s="560">
        <f>DR21+Sheet1!CZ23</f>
        <v>2398.8603126576172</v>
      </c>
      <c r="H21" s="914">
        <f t="shared" si="2"/>
        <v>1283.6601061018837</v>
      </c>
      <c r="I21" s="559">
        <f>MAX(Sheet1!Z23-AT21+(Sheet1!DA23-E21)*CFStoMGD,0)</f>
        <v>1875.6519999999998</v>
      </c>
      <c r="J21" s="562">
        <f>IF(AND(B21&gt;=Calculation!GC21,B21&lt;=Calculation!GD21),IF(Sheet1!DB23&gt;=Calculation!D21,64.64,0),MAX(Sheet1!Z23-AT21+(Sheet1!DB23-D21)*CFStoMGD,0))</f>
        <v>1339.1399999999999</v>
      </c>
      <c r="K21" s="904">
        <f t="shared" si="105"/>
        <v>64.64</v>
      </c>
      <c r="L21" s="560">
        <f>Sheet1!AA23+Sheet1!AB23-Sheet1!L23+(Sheet1!DA23-F21)*CFStoMGD</f>
        <v>1861.6319999999998</v>
      </c>
      <c r="M21" s="560">
        <f t="shared" si="106"/>
        <v>1581.6357722239215</v>
      </c>
      <c r="N21" s="910">
        <f>IF(Sheet1!DA23&gt;=F21,MIN(73,MIN(MAX(L21,0),MAX(M21,0))),0)</f>
        <v>73</v>
      </c>
      <c r="O21" s="563">
        <f>Sheet1!AA23+Sheet1!AB23</f>
        <v>38.67</v>
      </c>
      <c r="P21" s="563">
        <f t="shared" si="107"/>
        <v>59.822490000000002</v>
      </c>
      <c r="Q21" s="898">
        <f t="shared" si="63"/>
        <v>0</v>
      </c>
      <c r="R21" s="829">
        <f t="shared" si="108"/>
        <v>7.050314465408805</v>
      </c>
      <c r="S21" s="898">
        <f t="shared" si="65"/>
        <v>38.67</v>
      </c>
      <c r="T21" s="898">
        <f t="shared" si="66"/>
        <v>0</v>
      </c>
      <c r="U21" s="898">
        <f t="shared" si="6"/>
        <v>0</v>
      </c>
      <c r="V21" s="898"/>
      <c r="W21" s="898">
        <f t="shared" si="67"/>
        <v>57.589685534591197</v>
      </c>
      <c r="X21" s="898">
        <f t="shared" si="68"/>
        <v>38.67</v>
      </c>
      <c r="Y21" s="898" t="str">
        <f t="shared" si="69"/>
        <v/>
      </c>
      <c r="Z21" s="898">
        <f t="shared" si="70"/>
        <v>38.67</v>
      </c>
      <c r="AA21" s="898">
        <f t="shared" si="71"/>
        <v>38.67</v>
      </c>
      <c r="AB21" s="898" t="str">
        <f t="shared" si="72"/>
        <v/>
      </c>
      <c r="AC21" s="563">
        <f>Sheet1!Y23*MGDtoCFS</f>
        <v>30.630600000000001</v>
      </c>
      <c r="AD21" s="563">
        <f>Sheet1!Z23*MGDtoCFS</f>
        <v>21.688939999999999</v>
      </c>
      <c r="AE21" s="563">
        <f>Sheet1!AA23*MGDtoCFS</f>
        <v>30.429490000000001</v>
      </c>
      <c r="AF21" s="563">
        <f>Sheet1!AB23*MGDtoCFS</f>
        <v>29.392999999999997</v>
      </c>
      <c r="AG21" s="563">
        <f>Sheet1!L23*MGDtoCFS</f>
        <v>59.822490000000002</v>
      </c>
      <c r="AH21" s="545">
        <f t="shared" si="109"/>
        <v>0</v>
      </c>
      <c r="AI21" s="560">
        <f t="shared" si="110"/>
        <v>0</v>
      </c>
      <c r="AJ21" s="560">
        <f t="shared" si="111"/>
        <v>0</v>
      </c>
      <c r="AK21" s="560">
        <f t="shared" si="112"/>
        <v>0</v>
      </c>
      <c r="AL21" s="560">
        <f>(VLOOKUP(Sheet1!DC23,hhdcap_wcm,4)-(((VLOOKUP(Sheet1!DC23,hhdcap_wcm,3)-Sheet1!DC23)/(VLOOKUP(Sheet1!DC23,hhdcap_wcm,3)-VLOOKUP(Sheet1!DC23,hhdcap_wcm,1)))*(VLOOKUP(Sheet1!DC23,hhdcap_wcm,4)-VLOOKUP(Sheet1!DC23,hhdcap_wcm,2))))</f>
        <v>949.00000000283762</v>
      </c>
      <c r="AM21" s="560">
        <f t="shared" si="113"/>
        <v>37.400000000054547</v>
      </c>
      <c r="AN21" s="560">
        <f t="shared" si="114"/>
        <v>0</v>
      </c>
      <c r="AO21" s="560">
        <f t="shared" si="115"/>
        <v>0</v>
      </c>
      <c r="AP21" s="560">
        <f>Sheet1!BA23+Sheet1!BB23+Sheet1!BN23+CD21</f>
        <v>12</v>
      </c>
      <c r="AQ21" s="560">
        <f>Sheet1!BN23+(DO21*Sheet1!BN23)</f>
        <v>10.953878406708597</v>
      </c>
      <c r="AR21" s="560">
        <f>Sheet1!BA23+CD21</f>
        <v>0</v>
      </c>
      <c r="AS21" s="560">
        <f>Sheet1!BA23+Sheet1!BB23+CD21</f>
        <v>1</v>
      </c>
      <c r="AT21" s="698">
        <f>0</f>
        <v>0</v>
      </c>
      <c r="AU21" s="560">
        <f>IF(EB21&lt;K21,0,MAX(Sheet1!AA23+AQ21-15/36*K21-N21,Sheet1!EH23,0))</f>
        <v>0</v>
      </c>
      <c r="AV21" s="560">
        <f>IF(OR(B21&gt;=GD21,B21&lt;GC21),0,15/36*K21-MAX(0,64.6-(137.6-(Sheet1!AA23+Sheet1!AB23))))</f>
        <v>0</v>
      </c>
      <c r="AW21" s="698">
        <f>Sheet1!DB23-110</f>
        <v>2240</v>
      </c>
      <c r="AX21" s="698">
        <f>Sheet1!DA23-265</f>
        <v>2865</v>
      </c>
      <c r="AY21" s="698">
        <f t="shared" si="116"/>
        <v>73</v>
      </c>
      <c r="AZ21" s="698">
        <v>0</v>
      </c>
      <c r="BA21" s="698">
        <f t="shared" si="117"/>
        <v>0</v>
      </c>
      <c r="BB21" s="560">
        <f t="shared" si="118"/>
        <v>0</v>
      </c>
      <c r="BC21" s="560"/>
      <c r="BD21" s="560">
        <f ca="1">IF(B21&gt;Summary!$A$1,#N/A,BB21*MGtoAF)</f>
        <v>0</v>
      </c>
      <c r="BE21" s="560">
        <f>Sheet1!BG23+Sheet1!BH23+Sheet1!BI23-BM21</f>
        <v>0</v>
      </c>
      <c r="BF21" s="560">
        <f t="shared" si="119"/>
        <v>0</v>
      </c>
      <c r="BG21" s="560">
        <f>IF(Sheet1!EP23="FM",BM21,0)</f>
        <v>0</v>
      </c>
      <c r="BH21" s="560">
        <f t="shared" si="120"/>
        <v>0</v>
      </c>
      <c r="BI21" s="560">
        <f>IF(Sheet1!EP23="OTHER",BM21,0)</f>
        <v>0</v>
      </c>
      <c r="BJ21" s="560">
        <f t="shared" si="121"/>
        <v>0</v>
      </c>
      <c r="BK21" s="560">
        <f t="shared" si="122"/>
        <v>0</v>
      </c>
      <c r="BL21" s="560">
        <f t="shared" si="123"/>
        <v>0</v>
      </c>
      <c r="BM21" s="560">
        <f>IF(OR(Sheet1!EP23="FM", Sheet1!EP23="OTHER"),SUM(Sheet1!BG23:'Sheet1'!BI23),0)</f>
        <v>0</v>
      </c>
      <c r="BN21" s="545">
        <f>IF(AND($B21&gt;=$FV21,$B21&lt;=$FW21),MAX(BF21,Sheet1!EI23,0),MAX(BF21-(7/36)*$K21,0))</f>
        <v>0</v>
      </c>
      <c r="BO21" s="560">
        <f t="shared" si="124"/>
        <v>0</v>
      </c>
      <c r="BP21" s="545">
        <f t="shared" si="125"/>
        <v>0</v>
      </c>
      <c r="BQ21" s="545">
        <f>IF(AND($O21&gt;0,Sheet1!EM23=1),(1-($O21-Sheet1!$L23)/$O21)*BL21,0)</f>
        <v>0</v>
      </c>
      <c r="BR21" s="545">
        <f>IF(AND(Sheet1!$L23=0,Sheet1!$L22=0, Calculation!BK21&lt;Sheet1!$EI23-0.1,Sheet1!$EI23=Sheet1!$EI22,Sheet1!$EI23=Sheet1!$EI24),Sheet1!$EI23,BL21-BQ21)</f>
        <v>0</v>
      </c>
      <c r="BS21" s="560"/>
      <c r="BT21" s="560"/>
      <c r="BU21" s="560">
        <f t="shared" si="126"/>
        <v>0</v>
      </c>
      <c r="BV21" s="560"/>
      <c r="BW21" s="560">
        <f ca="1">IF(B21&gt;Summary!$A$1,#N/A,BU21*MGtoAF)</f>
        <v>0</v>
      </c>
      <c r="BX21" s="560">
        <f>Sheet1!BC23+Sheet1!BD23+Sheet1!BE23+Sheet1!BF23-CG21-CH21</f>
        <v>2.4900000000000002</v>
      </c>
      <c r="BY21" s="560">
        <f t="shared" si="127"/>
        <v>2.4795597484276732</v>
      </c>
      <c r="BZ21" s="560">
        <f>IF(Sheet1!EQ23="FM",CH21,0)</f>
        <v>0</v>
      </c>
      <c r="CA21" s="560">
        <f t="shared" si="128"/>
        <v>0</v>
      </c>
      <c r="CB21" s="560">
        <f>IF(Sheet1!EQ23="OTHER",CH21,0)</f>
        <v>0</v>
      </c>
      <c r="CC21" s="560">
        <f t="shared" si="129"/>
        <v>0</v>
      </c>
      <c r="CD21" s="560">
        <f t="shared" si="130"/>
        <v>0</v>
      </c>
      <c r="CE21" s="560">
        <f t="shared" si="131"/>
        <v>2.4900000000000002</v>
      </c>
      <c r="CF21" s="560">
        <f t="shared" si="132"/>
        <v>2.4795597484276732</v>
      </c>
      <c r="CG21" s="560">
        <f>IF(Sheet1!EQ23="CWA",SUM(Sheet1!BC23:'Sheet1'!BF23),0)</f>
        <v>0</v>
      </c>
      <c r="CH21" s="560">
        <f>IF(OR(Sheet1!EQ23="FM", Sheet1!EQ23="OTHER"),SUM(Sheet1!BC23:'Sheet1'!BF23),0)</f>
        <v>0</v>
      </c>
      <c r="CI21" s="545">
        <f>IF(AND($B21&gt;=$FV21,$B21&lt;=$FW21),MAX(CF21,Sheet1!EJ23,0),MAX(CF21-(7/36)*$K21,0))</f>
        <v>0</v>
      </c>
      <c r="CJ21" s="560">
        <f t="shared" si="133"/>
        <v>0</v>
      </c>
      <c r="CK21" s="545">
        <f t="shared" si="134"/>
        <v>2.4795597484276732</v>
      </c>
      <c r="CL21" s="545">
        <f>IF(AND($O21&gt;0,Sheet1!EN23=1),(1-($O21-Sheet1!$L23)/$O21)*CF21,0)</f>
        <v>0</v>
      </c>
      <c r="CM21" s="545">
        <f>IF(AND(Sheet1!$L23=0,Sheet1!$L22=0, Calculation!CE21&lt;Sheet1!EJ23-0.1,Sheet1!EJ23=Sheet1!EJ22,Sheet1!EJ23=Sheet1!EJ24),Sheet1!EJ23,CF21-CL21)</f>
        <v>2.4795597484276732</v>
      </c>
      <c r="CN21" s="545"/>
      <c r="CO21" s="560"/>
      <c r="CP21" s="560">
        <f t="shared" si="135"/>
        <v>0</v>
      </c>
      <c r="CQ21" s="560"/>
      <c r="CR21" s="560">
        <f ca="1">IF(B21&gt;Summary!$A$1,#N/A,CP21*MGtoAF)</f>
        <v>0</v>
      </c>
      <c r="CS21" s="560">
        <f>Sheet1!BK23+Sheet1!BL23+Sheet1!BM23-Sheet1!ER23-DA21</f>
        <v>4.59</v>
      </c>
      <c r="CT21" s="560">
        <f t="shared" si="136"/>
        <v>4.5707547169811322</v>
      </c>
      <c r="CU21" s="560">
        <f>IF(Sheet1!ER23="FM",DA21,0)</f>
        <v>0</v>
      </c>
      <c r="CV21" s="560">
        <f t="shared" si="137"/>
        <v>0</v>
      </c>
      <c r="CW21" s="560">
        <f>IF(Sheet1!ER23="OTHER",DA21,0)</f>
        <v>0</v>
      </c>
      <c r="CX21" s="560">
        <f t="shared" si="138"/>
        <v>0</v>
      </c>
      <c r="CY21" s="560">
        <f t="shared" si="139"/>
        <v>4.59</v>
      </c>
      <c r="CZ21" s="560">
        <f t="shared" si="140"/>
        <v>4.5707547169811322</v>
      </c>
      <c r="DA21" s="560">
        <f>IF(OR(Sheet1!ER23="FM", Sheet1!ER23="OTHER"),SUM(Sheet1!BK23:'Sheet1'!BM23),0)</f>
        <v>0</v>
      </c>
      <c r="DB21" s="545">
        <f>IF(AND($B21&gt;=$FV21,$B21&lt;=$FW21),MAX($CT21,Sheet1!EK23,0),MAX($CT21-(7/36)*$K21,0))</f>
        <v>0</v>
      </c>
      <c r="DC21" s="560">
        <f t="shared" si="141"/>
        <v>0</v>
      </c>
      <c r="DD21" s="545">
        <f t="shared" si="142"/>
        <v>4.5707547169811322</v>
      </c>
      <c r="DE21" s="545">
        <f>IF(AND($O21&gt;0,Sheet1!EO23=1),(1-($O21-Sheet1!$L23)/$O21)*CZ21,0)</f>
        <v>0</v>
      </c>
      <c r="DF21" s="545">
        <f>IF(AND(Sheet1!$L23=0,Sheet1!$L22=0, Calculation!CY21&lt;Sheet1!$EK23-0.1,Sheet1!$EK23=Sheet1!$EK22,Sheet1!$EK23=Sheet1!$EK24),Sheet1!$EK23,CZ21-DE21)</f>
        <v>4.5707547169811322</v>
      </c>
      <c r="DG21" s="545"/>
      <c r="DH21" s="560">
        <f t="shared" si="143"/>
        <v>7.08</v>
      </c>
      <c r="DI21" s="560">
        <f t="shared" si="144"/>
        <v>0</v>
      </c>
      <c r="DJ21" s="698">
        <f t="shared" si="145"/>
        <v>7.050314465408805</v>
      </c>
      <c r="DK21" s="560">
        <f ca="1">IF(B21&gt;Summary!$A$1,#N/A,DI21*MGtoAF)</f>
        <v>0</v>
      </c>
      <c r="DL21" s="698">
        <f t="shared" si="146"/>
        <v>7.08</v>
      </c>
      <c r="DM21" s="560">
        <f t="shared" si="147"/>
        <v>19.079999999999998</v>
      </c>
      <c r="DN21" s="560">
        <f>Sheet1!AB23-DM21</f>
        <v>-7.9999999999998295E-2</v>
      </c>
      <c r="DO21" s="823">
        <f t="shared" si="148"/>
        <v>-4.1928721174003302E-3</v>
      </c>
      <c r="DP21" s="560">
        <f>(VLOOKUP(Sheet1!DC23,hhdcap_wcm,4)-(((VLOOKUP(Sheet1!DC23,hhdcap_wcm,3)-Sheet1!DC23)/(VLOOKUP(Sheet1!DC23,hhdcap_wcm,3)-VLOOKUP(Sheet1!DC23,hhdcap_wcm,1)))*(VLOOKUP(Sheet1!DC23,hhdcap_wcm,4)-VLOOKUP(Sheet1!DC23,hhdcap_wcm,2))))</f>
        <v>949.00000000283762</v>
      </c>
      <c r="DQ21" s="560">
        <f t="shared" si="149"/>
        <v>37.400000000054547</v>
      </c>
      <c r="DR21" s="560">
        <f t="shared" si="150"/>
        <v>18.860312657617015</v>
      </c>
      <c r="DS21" s="560">
        <f>Sheet1!EA23*AFtoMG</f>
        <v>0</v>
      </c>
      <c r="DT21" s="560">
        <f>Sheet1!EB23*AFtoMG</f>
        <v>0</v>
      </c>
      <c r="DU21" s="560">
        <f>Sheet1!EC23*AFtoMG</f>
        <v>0</v>
      </c>
      <c r="DV21" s="560">
        <f>Sheet1!ED23*AFtoMG</f>
        <v>0</v>
      </c>
      <c r="DW21" s="560">
        <f t="shared" si="151"/>
        <v>0</v>
      </c>
      <c r="DX21" s="560">
        <f t="shared" si="152"/>
        <v>0</v>
      </c>
      <c r="DY21" s="560">
        <f t="shared" si="153"/>
        <v>0</v>
      </c>
      <c r="DZ21" s="560">
        <f t="shared" si="154"/>
        <v>0</v>
      </c>
      <c r="EA21" s="560"/>
      <c r="EB21" s="545">
        <f>IF(OR(B21&lt;FV21,B21&gt;FW21),(MIN(BF21+BY21+CT21+MAX(Sheet1!AA23+AQ21-73,0),K21)),0)</f>
        <v>7.050314465408805</v>
      </c>
      <c r="EC21" s="560"/>
      <c r="ED21" s="560">
        <f t="shared" si="155"/>
        <v>7.050314465408805</v>
      </c>
      <c r="EE21" s="560"/>
      <c r="EF21" s="560">
        <f>Sheet1!EH23+Sheet1!EI23+Sheet1!EJ23+Sheet1!EK23</f>
        <v>7.09</v>
      </c>
      <c r="EG21" s="560"/>
      <c r="EH21" s="545">
        <f t="shared" si="156"/>
        <v>0</v>
      </c>
      <c r="EI21" s="560">
        <f>IF(Sheet1!ET23=1,SUM('Calculations II'!AT21:BA21)+'Calculations II'!BC21+Sheet1!BV23+'Calculations II'!BE21+AP21,SUM('Calculations II'!AT21:BA21)+'Calculations II'!BC21+Sheet1!BV23+'Calculations II'!BE21+AP21)</f>
        <v>47.720768000000007</v>
      </c>
      <c r="EJ21" s="560">
        <f>Sheet1!AA23+Sheet1!AB23+'Calculations II'!BC21</f>
        <v>53.352671999999998</v>
      </c>
      <c r="EK21" s="560"/>
      <c r="EL21" s="560"/>
      <c r="EM21" s="560">
        <f t="shared" si="157"/>
        <v>41649</v>
      </c>
      <c r="EN21" s="560">
        <f t="shared" si="158"/>
        <v>0</v>
      </c>
      <c r="EO21" s="560">
        <f t="shared" si="159"/>
        <v>0</v>
      </c>
      <c r="EP21" s="560">
        <v>0</v>
      </c>
      <c r="EQ21" s="560">
        <v>0</v>
      </c>
      <c r="ER21" s="560">
        <v>0</v>
      </c>
      <c r="ES21" s="545">
        <f t="shared" si="77"/>
        <v>-0.96998948426369958</v>
      </c>
      <c r="ET21" s="560">
        <f>-(VLOOKUP(Sheet1!BQ23,Lookup!$O$4:$Q$262,2)-VLOOKUP(Sheet1!BQ22,Lookup!$O$4:$Q$262,2))/1000000</f>
        <v>-0.55428519984343649</v>
      </c>
      <c r="EU21" s="560">
        <f>-(VLOOKUP(Sheet1!BR23,Lookup!$O$4:$Q$262,3)-VLOOKUP(Sheet1!BR22,Lookup!$O$4:$Q$262,3))/1000000</f>
        <v>-0.41570428442026303</v>
      </c>
      <c r="EV21" s="560"/>
      <c r="EW21" s="560"/>
      <c r="EX21" s="560"/>
      <c r="EY21" s="560"/>
      <c r="EZ21" s="560"/>
      <c r="FA21" s="560"/>
      <c r="FB21" s="560"/>
      <c r="FC21" s="560"/>
      <c r="FD21" s="594" t="e">
        <f t="shared" si="160"/>
        <v>#N/A</v>
      </c>
      <c r="FE21" s="594" t="e">
        <f t="shared" si="161"/>
        <v>#N/A</v>
      </c>
      <c r="FF21" s="595" t="e">
        <f t="shared" si="162"/>
        <v>#N/A</v>
      </c>
      <c r="FG21" s="596" t="s">
        <v>692</v>
      </c>
      <c r="FH21" s="596" t="s">
        <v>692</v>
      </c>
      <c r="FI21" s="594" t="e">
        <v>#N/A</v>
      </c>
      <c r="FJ21" s="594" t="e">
        <v>#N/A</v>
      </c>
      <c r="FK21" s="560"/>
      <c r="FL21" s="560"/>
      <c r="FM21" s="560"/>
      <c r="FN21" s="560"/>
      <c r="FO21" s="560">
        <f>O21+((Sheet1!CS23)*GPMtoMGD)</f>
        <v>53.352671999999998</v>
      </c>
      <c r="FP21" s="560">
        <f>IF(Sheet1!AA23+AQ21&lt;=Calculation!N21,AQ21,Calculation!N21-Sheet1!AA23)</f>
        <v>10.953878406708597</v>
      </c>
      <c r="FQ21" s="560">
        <f>(Sheet1!BP23+Sheet1!BO23)/694.4</f>
        <v>1.3842165898617513</v>
      </c>
      <c r="FR21" s="560"/>
      <c r="FS21" s="560"/>
      <c r="FT21" s="560"/>
      <c r="FU21" s="560"/>
      <c r="FV21" s="695">
        <f t="shared" si="80"/>
        <v>41827</v>
      </c>
      <c r="FW21" s="695">
        <f t="shared" si="81"/>
        <v>41934</v>
      </c>
      <c r="FX21" s="560"/>
      <c r="FY21" s="560"/>
      <c r="FZ21" s="560"/>
      <c r="GA21" s="560"/>
      <c r="GB21" s="560" t="str">
        <f t="shared" si="82"/>
        <v>n</v>
      </c>
      <c r="GC21" s="564">
        <f t="shared" si="83"/>
        <v>41691</v>
      </c>
      <c r="GD21" s="695">
        <f t="shared" si="84"/>
        <v>41807</v>
      </c>
      <c r="GE21" s="560">
        <v>6518.9</v>
      </c>
      <c r="GF21" s="695">
        <f t="shared" si="85"/>
        <v>41808</v>
      </c>
      <c r="GG21" s="560">
        <f t="shared" si="163"/>
        <v>3259</v>
      </c>
      <c r="GH21" s="564">
        <f t="shared" si="87"/>
        <v>41934</v>
      </c>
      <c r="GJ21" s="545">
        <f t="shared" si="88"/>
        <v>0</v>
      </c>
      <c r="GK21" s="560" t="str">
        <f t="shared" si="164"/>
        <v/>
      </c>
      <c r="GL21" s="560">
        <f t="shared" si="89"/>
        <v>0</v>
      </c>
      <c r="GM21" s="560" t="str">
        <f t="shared" si="90"/>
        <v/>
      </c>
      <c r="GN21" s="560">
        <f>IF(GK21="P",Lookup!$M$12,IF(GK21="PP",Lookup!$M$13,IF(GK21="PPP",Lookup!$M$14,IF(GK21="T",Lookup!$M$15,IF(GK21="TP",Lookup!$M$16,IF(GK21="TPP",Lookup!$M$17,IF(GK21="TPPP",Lookup!$M$18,0)))))))*GJ21</f>
        <v>0</v>
      </c>
      <c r="GO21" s="560">
        <f t="shared" si="91"/>
        <v>0</v>
      </c>
      <c r="GP21" s="560">
        <f t="shared" si="165"/>
        <v>0</v>
      </c>
      <c r="GQ21" s="560">
        <f t="shared" si="99"/>
        <v>0</v>
      </c>
      <c r="GR21" s="560"/>
      <c r="GS21" s="560">
        <f t="shared" si="92"/>
        <v>0</v>
      </c>
      <c r="GT21" s="560" t="str">
        <f t="shared" si="93"/>
        <v/>
      </c>
      <c r="GU21" s="560">
        <f>IF(GK21="P",Lookup!$N$12,IF(GK21="PP",Lookup!$N$13,IF(GK21="PPP",Lookup!$N$14,IF(GK21="T",Lookup!$N$15,IF(GK21="TP",Lookup!$N$16,IF(GK21="TPP",Lookup!$N$17,IF(GK21="TPPP",Lookup!$N$18,0)))))))*GJ21</f>
        <v>0</v>
      </c>
      <c r="GV21" s="560">
        <f t="shared" si="57"/>
        <v>0</v>
      </c>
      <c r="GW21" s="560">
        <f t="shared" si="166"/>
        <v>0</v>
      </c>
      <c r="GX21" s="560">
        <f t="shared" si="100"/>
        <v>0</v>
      </c>
      <c r="GY21" s="560"/>
      <c r="GZ21" s="560">
        <f t="shared" si="94"/>
        <v>0</v>
      </c>
      <c r="HA21" s="560" t="str">
        <f t="shared" si="95"/>
        <v/>
      </c>
      <c r="HB21" s="560">
        <f>IF(GK21="P",Lookup!$N$12,IF(GK21="PP",Lookup!$N$13,IF(GK21="PPP",Lookup!$N$14,IF(GK21="T",Lookup!$N$15,IF(GK21="TP",Lookup!$N$16,IF(GK21="TPP",Lookup!$N$17,IF(GK21="TPPP",Lookup!$N$18,0)))))))*GJ21</f>
        <v>0</v>
      </c>
      <c r="HC21" s="545">
        <f t="shared" si="167"/>
        <v>0</v>
      </c>
      <c r="HD21" s="560">
        <f t="shared" si="168"/>
        <v>0</v>
      </c>
      <c r="HE21" s="560">
        <f t="shared" si="101"/>
        <v>0</v>
      </c>
      <c r="HF21" s="560"/>
      <c r="HG21" s="560">
        <f t="shared" si="96"/>
        <v>0</v>
      </c>
      <c r="HH21" s="560" t="str">
        <f t="shared" si="97"/>
        <v/>
      </c>
      <c r="HI21" s="560">
        <f>IF(GK21="P",Lookup!$N$12,IF(GK21="PP",Lookup!$N$13,IF(GK21="PPP",Lookup!$N$14,IF(GK21="T",Lookup!$N$15,IF(GK21="TP",Lookup!$N$16,IF(GK21="TPP",Lookup!$N$17,IF(GK21="TPPP",Lookup!$N$18,0)))))))*GJ21</f>
        <v>0</v>
      </c>
      <c r="HJ21" s="545">
        <f t="shared" si="169"/>
        <v>0</v>
      </c>
      <c r="HK21" s="560">
        <f t="shared" si="170"/>
        <v>0</v>
      </c>
      <c r="HL21" s="560">
        <f t="shared" si="102"/>
        <v>0</v>
      </c>
      <c r="HM21" s="560"/>
    </row>
    <row r="22" spans="1:221">
      <c r="A22" s="580" t="s">
        <v>9</v>
      </c>
      <c r="B22" s="556">
        <v>41650</v>
      </c>
      <c r="C22" s="561">
        <v>0</v>
      </c>
      <c r="D22" s="529">
        <f t="shared" si="103"/>
        <v>300</v>
      </c>
      <c r="E22" s="529">
        <f t="shared" si="104"/>
        <v>250</v>
      </c>
      <c r="F22" s="529">
        <v>250</v>
      </c>
      <c r="G22" s="560">
        <f>DR22+Sheet1!CZ24</f>
        <v>2495.6429652044148</v>
      </c>
      <c r="H22" s="914">
        <f t="shared" si="2"/>
        <v>1346.2204127081336</v>
      </c>
      <c r="I22" s="559">
        <f>MAX(Sheet1!Z24-AT22+(Sheet1!DA24-E22)*CFStoMGD,0)</f>
        <v>2158.5839999999998</v>
      </c>
      <c r="J22" s="562">
        <f>IF(AND(B22&gt;=Calculation!GC22,B22&lt;=Calculation!GD22),IF(Sheet1!DB24&gt;=Calculation!D22,64.64,0),MAX(Sheet1!Z24-AT22+(Sheet1!DB24-D22)*CFStoMGD,0))</f>
        <v>1415.2239999999999</v>
      </c>
      <c r="K22" s="904">
        <f t="shared" si="105"/>
        <v>64.64</v>
      </c>
      <c r="L22" s="560">
        <f>Sheet1!AA24+Sheet1!AB24-Sheet1!L24+(Sheet1!DA24-F22)*CFStoMGD</f>
        <v>2139.5839999999998</v>
      </c>
      <c r="M22" s="560">
        <f t="shared" si="106"/>
        <v>1645.4472849622964</v>
      </c>
      <c r="N22" s="910">
        <f>IF(Sheet1!DA24&gt;=F22,MIN(73,MIN(MAX(L22,0),MAX(M22,0))),0)</f>
        <v>73</v>
      </c>
      <c r="O22" s="563">
        <f>Sheet1!AA24+Sheet1!AB24</f>
        <v>44.129999999999995</v>
      </c>
      <c r="P22" s="563">
        <f t="shared" si="107"/>
        <v>68.269109999999998</v>
      </c>
      <c r="Q22" s="898">
        <f t="shared" si="63"/>
        <v>0</v>
      </c>
      <c r="R22" s="829">
        <f t="shared" si="108"/>
        <v>7.9228346456692913</v>
      </c>
      <c r="S22" s="898">
        <f t="shared" si="65"/>
        <v>44.129999999999995</v>
      </c>
      <c r="T22" s="898">
        <f t="shared" si="66"/>
        <v>0</v>
      </c>
      <c r="U22" s="898">
        <f t="shared" si="6"/>
        <v>0</v>
      </c>
      <c r="V22" s="898"/>
      <c r="W22" s="898">
        <f t="shared" si="67"/>
        <v>56.71716535433071</v>
      </c>
      <c r="X22" s="898">
        <f t="shared" si="68"/>
        <v>44.129999999999995</v>
      </c>
      <c r="Y22" s="898" t="str">
        <f t="shared" si="69"/>
        <v/>
      </c>
      <c r="Z22" s="898">
        <f t="shared" si="70"/>
        <v>44.129999999999995</v>
      </c>
      <c r="AA22" s="898">
        <f t="shared" si="71"/>
        <v>44.129999999999995</v>
      </c>
      <c r="AB22" s="898" t="str">
        <f t="shared" si="72"/>
        <v/>
      </c>
      <c r="AC22" s="563">
        <f>Sheet1!Y24*MGDtoCFS</f>
        <v>30.429490000000001</v>
      </c>
      <c r="AD22" s="563">
        <f>Sheet1!Z24*MGDtoCFS</f>
        <v>29.392999999999997</v>
      </c>
      <c r="AE22" s="563">
        <f>Sheet1!AA24*MGDtoCFS</f>
        <v>28.356509999999997</v>
      </c>
      <c r="AF22" s="563">
        <f>Sheet1!AB24*MGDtoCFS</f>
        <v>39.912599999999998</v>
      </c>
      <c r="AG22" s="563">
        <f>Sheet1!L24*MGDtoCFS</f>
        <v>68.269109999999984</v>
      </c>
      <c r="AH22" s="545">
        <f t="shared" si="109"/>
        <v>0</v>
      </c>
      <c r="AI22" s="560">
        <f t="shared" si="110"/>
        <v>0</v>
      </c>
      <c r="AJ22" s="560">
        <f t="shared" si="111"/>
        <v>0</v>
      </c>
      <c r="AK22" s="560">
        <f t="shared" si="112"/>
        <v>0</v>
      </c>
      <c r="AL22" s="560">
        <f>(VLOOKUP(Sheet1!DC24,hhdcap_wcm,4)-(((VLOOKUP(Sheet1!DC24,hhdcap_wcm,3)-Sheet1!DC24)/(VLOOKUP(Sheet1!DC24,hhdcap_wcm,3)-VLOOKUP(Sheet1!DC24,hhdcap_wcm,1)))*(VLOOKUP(Sheet1!DC24,hhdcap_wcm,4)-VLOOKUP(Sheet1!DC24,hhdcap_wcm,2))))</f>
        <v>1099.0000000031923</v>
      </c>
      <c r="AM22" s="560">
        <f t="shared" si="113"/>
        <v>150.0000000003547</v>
      </c>
      <c r="AN22" s="560">
        <f t="shared" si="114"/>
        <v>0</v>
      </c>
      <c r="AO22" s="560">
        <f t="shared" si="115"/>
        <v>0</v>
      </c>
      <c r="AP22" s="560">
        <f>Sheet1!BA24+Sheet1!BB24+Sheet1!BN24+CD22</f>
        <v>17.600000000000001</v>
      </c>
      <c r="AQ22" s="560">
        <f>Sheet1!BN24+(DO22*Sheet1!BN24)</f>
        <v>16.861417322834647</v>
      </c>
      <c r="AR22" s="560">
        <f>Sheet1!BA24+CD22</f>
        <v>0</v>
      </c>
      <c r="AS22" s="560">
        <f>Sheet1!BA24+Sheet1!BB24+CD22</f>
        <v>1</v>
      </c>
      <c r="AT22" s="698">
        <f>0</f>
        <v>0</v>
      </c>
      <c r="AU22" s="560">
        <f>IF(EB22&lt;K22,0,MAX(Sheet1!AA24+AQ22-15/36*K22-N22,Sheet1!EH24,0))</f>
        <v>0</v>
      </c>
      <c r="AV22" s="560">
        <f>IF(OR(B22&gt;=GD22,B22&lt;GC22),0,15/36*K22-MAX(0,64.6-(137.6-(Sheet1!AA24+Sheet1!AB24))))</f>
        <v>0</v>
      </c>
      <c r="AW22" s="698">
        <f>Sheet1!DB24-110</f>
        <v>2350</v>
      </c>
      <c r="AX22" s="698">
        <f>Sheet1!DA24-265</f>
        <v>3295</v>
      </c>
      <c r="AY22" s="698">
        <f t="shared" si="116"/>
        <v>73</v>
      </c>
      <c r="AZ22" s="698">
        <v>0</v>
      </c>
      <c r="BA22" s="698">
        <f t="shared" si="117"/>
        <v>0</v>
      </c>
      <c r="BB22" s="560">
        <f t="shared" si="118"/>
        <v>0</v>
      </c>
      <c r="BC22" s="560"/>
      <c r="BD22" s="560">
        <f ca="1">IF(B22&gt;Summary!$A$1,#N/A,BB22*MGtoAF)</f>
        <v>0</v>
      </c>
      <c r="BE22" s="560">
        <f>Sheet1!BG24+Sheet1!BH24+Sheet1!BI24-BM22</f>
        <v>0</v>
      </c>
      <c r="BF22" s="560">
        <f t="shared" si="119"/>
        <v>0</v>
      </c>
      <c r="BG22" s="560">
        <f>IF(Sheet1!EP24="FM",BM22,0)</f>
        <v>0</v>
      </c>
      <c r="BH22" s="560">
        <f t="shared" si="120"/>
        <v>0</v>
      </c>
      <c r="BI22" s="560">
        <f>IF(Sheet1!EP24="OTHER",BM22,0)</f>
        <v>0</v>
      </c>
      <c r="BJ22" s="560">
        <f t="shared" si="121"/>
        <v>0</v>
      </c>
      <c r="BK22" s="560">
        <f t="shared" si="122"/>
        <v>0</v>
      </c>
      <c r="BL22" s="560">
        <f t="shared" si="123"/>
        <v>0</v>
      </c>
      <c r="BM22" s="560">
        <f>IF(OR(Sheet1!EP24="FM", Sheet1!EP24="OTHER"),SUM(Sheet1!BG24:'Sheet1'!BI24),0)</f>
        <v>0</v>
      </c>
      <c r="BN22" s="545">
        <f>IF(AND($B22&gt;=$FV22,$B22&lt;=$FW22),MAX(BF22,Sheet1!EI24,0),MAX(BF22-(7/36)*$K22,0))</f>
        <v>0</v>
      </c>
      <c r="BO22" s="560">
        <f t="shared" si="124"/>
        <v>0</v>
      </c>
      <c r="BP22" s="545">
        <f t="shared" si="125"/>
        <v>0</v>
      </c>
      <c r="BQ22" s="545">
        <f>IF(AND($O22&gt;0,Sheet1!EM24=1),(1-($O22-Sheet1!$L24)/$O22)*BL22,0)</f>
        <v>0</v>
      </c>
      <c r="BR22" s="545">
        <f>IF(AND(Sheet1!$L24=0,Sheet1!$L23=0, Calculation!BK22&lt;Sheet1!$EI24-0.1,Sheet1!$EI24=Sheet1!$EI23,Sheet1!$EI24=Sheet1!$EI25),Sheet1!$EI24,BL22-BQ22)</f>
        <v>0</v>
      </c>
      <c r="BS22" s="560"/>
      <c r="BT22" s="560"/>
      <c r="BU22" s="560">
        <f t="shared" si="126"/>
        <v>0</v>
      </c>
      <c r="BV22" s="560"/>
      <c r="BW22" s="560">
        <f ca="1">IF(B22&gt;Summary!$A$1,#N/A,BU22*MGtoAF)</f>
        <v>0</v>
      </c>
      <c r="BX22" s="560">
        <f>Sheet1!BC24+Sheet1!BD24+Sheet1!BE24+Sheet1!BF24-CG22-CH22</f>
        <v>2.5</v>
      </c>
      <c r="BY22" s="560">
        <f t="shared" si="127"/>
        <v>2.5393700787401574</v>
      </c>
      <c r="BZ22" s="560">
        <f>IF(Sheet1!EQ24="FM",CH22,0)</f>
        <v>0</v>
      </c>
      <c r="CA22" s="560">
        <f t="shared" si="128"/>
        <v>0</v>
      </c>
      <c r="CB22" s="560">
        <f>IF(Sheet1!EQ24="OTHER",CH22,0)</f>
        <v>0</v>
      </c>
      <c r="CC22" s="560">
        <f t="shared" si="129"/>
        <v>0</v>
      </c>
      <c r="CD22" s="560">
        <f t="shared" si="130"/>
        <v>0</v>
      </c>
      <c r="CE22" s="560">
        <f t="shared" si="131"/>
        <v>2.5</v>
      </c>
      <c r="CF22" s="560">
        <f t="shared" si="132"/>
        <v>2.5393700787401574</v>
      </c>
      <c r="CG22" s="560">
        <f>IF(Sheet1!EQ24="CWA",SUM(Sheet1!BC24:'Sheet1'!BF24),0)</f>
        <v>0</v>
      </c>
      <c r="CH22" s="560">
        <f>IF(OR(Sheet1!EQ24="FM", Sheet1!EQ24="OTHER"),SUM(Sheet1!BC24:'Sheet1'!BF24),0)</f>
        <v>0</v>
      </c>
      <c r="CI22" s="545">
        <f>IF(AND($B22&gt;=$FV22,$B22&lt;=$FW22),MAX(CF22,Sheet1!EJ24,0),MAX(CF22-(7/36)*$K22,0))</f>
        <v>0</v>
      </c>
      <c r="CJ22" s="560">
        <f t="shared" si="133"/>
        <v>0</v>
      </c>
      <c r="CK22" s="545">
        <f t="shared" si="134"/>
        <v>2.5393700787401574</v>
      </c>
      <c r="CL22" s="545">
        <f>IF(AND($O22&gt;0,Sheet1!EN24=1),(1-($O22-Sheet1!$L24)/$O22)*CF22,0)</f>
        <v>0</v>
      </c>
      <c r="CM22" s="545">
        <f>IF(AND(Sheet1!$L24=0,Sheet1!$L23=0, Calculation!CE22&lt;Sheet1!EJ24-0.1,Sheet1!EJ24=Sheet1!EJ23,Sheet1!EJ24=Sheet1!EJ25),Sheet1!EJ24,CF22-CL22)</f>
        <v>2.5393700787401574</v>
      </c>
      <c r="CN22" s="545"/>
      <c r="CO22" s="560"/>
      <c r="CP22" s="560">
        <f t="shared" si="135"/>
        <v>0</v>
      </c>
      <c r="CQ22" s="560"/>
      <c r="CR22" s="560">
        <f ca="1">IF(B22&gt;Summary!$A$1,#N/A,CP22*MGtoAF)</f>
        <v>0</v>
      </c>
      <c r="CS22" s="560">
        <f>Sheet1!BK24+Sheet1!BL24+Sheet1!BM24-Sheet1!ER24-DA22</f>
        <v>5.3000000000000007</v>
      </c>
      <c r="CT22" s="560">
        <f t="shared" si="136"/>
        <v>5.3834645669291339</v>
      </c>
      <c r="CU22" s="560">
        <f>IF(Sheet1!ER24="FM",DA22,0)</f>
        <v>0</v>
      </c>
      <c r="CV22" s="560">
        <f t="shared" si="137"/>
        <v>0</v>
      </c>
      <c r="CW22" s="560">
        <f>IF(Sheet1!ER24="OTHER",DA22,0)</f>
        <v>0</v>
      </c>
      <c r="CX22" s="560">
        <f t="shared" si="138"/>
        <v>0</v>
      </c>
      <c r="CY22" s="560">
        <f t="shared" si="139"/>
        <v>5.3000000000000007</v>
      </c>
      <c r="CZ22" s="560">
        <f t="shared" si="140"/>
        <v>5.3834645669291339</v>
      </c>
      <c r="DA22" s="560">
        <f>IF(OR(Sheet1!ER24="FM", Sheet1!ER24="OTHER"),SUM(Sheet1!BK24:'Sheet1'!BM24),0)</f>
        <v>0</v>
      </c>
      <c r="DB22" s="545">
        <f>IF(AND($B22&gt;=$FV22,$B22&lt;=$FW22),MAX($CT22,Sheet1!EK24,0),MAX($CT22-(7/36)*$K22,0))</f>
        <v>0</v>
      </c>
      <c r="DC22" s="560">
        <f t="shared" si="141"/>
        <v>0</v>
      </c>
      <c r="DD22" s="545">
        <f t="shared" si="142"/>
        <v>5.3834645669291339</v>
      </c>
      <c r="DE22" s="545">
        <f>IF(AND($O22&gt;0,Sheet1!EO24=1),(1-($O22-Sheet1!$L24)/$O22)*CZ22,0)</f>
        <v>0</v>
      </c>
      <c r="DF22" s="545">
        <f>IF(AND(Sheet1!$L24=0,Sheet1!$L23=0, Calculation!CY22&lt;Sheet1!$EK24-0.1,Sheet1!$EK24=Sheet1!$EK23,Sheet1!$EK24=Sheet1!$EK25),Sheet1!$EK24,CZ22-DE22)</f>
        <v>5.3834645669291339</v>
      </c>
      <c r="DG22" s="545"/>
      <c r="DH22" s="560">
        <f t="shared" si="143"/>
        <v>7.8000000000000007</v>
      </c>
      <c r="DI22" s="560">
        <f t="shared" si="144"/>
        <v>0</v>
      </c>
      <c r="DJ22" s="698">
        <f t="shared" si="145"/>
        <v>7.9228346456692913</v>
      </c>
      <c r="DK22" s="560">
        <f ca="1">IF(B22&gt;Summary!$A$1,#N/A,DI22*MGtoAF)</f>
        <v>0</v>
      </c>
      <c r="DL22" s="698">
        <f t="shared" si="146"/>
        <v>7.8000000000000007</v>
      </c>
      <c r="DM22" s="560">
        <f t="shared" si="147"/>
        <v>25.400000000000002</v>
      </c>
      <c r="DN22" s="560">
        <f>Sheet1!AB24-DM22</f>
        <v>0.39999999999999858</v>
      </c>
      <c r="DO22" s="823">
        <f t="shared" si="148"/>
        <v>1.5748031496062936E-2</v>
      </c>
      <c r="DP22" s="560">
        <f>(VLOOKUP(Sheet1!DC24,hhdcap_wcm,4)-(((VLOOKUP(Sheet1!DC24,hhdcap_wcm,3)-Sheet1!DC24)/(VLOOKUP(Sheet1!DC24,hhdcap_wcm,3)-VLOOKUP(Sheet1!DC24,hhdcap_wcm,1)))*(VLOOKUP(Sheet1!DC24,hhdcap_wcm,4)-VLOOKUP(Sheet1!DC24,hhdcap_wcm,2))))</f>
        <v>1099.0000000031923</v>
      </c>
      <c r="DQ22" s="560">
        <f t="shared" si="149"/>
        <v>150.0000000003547</v>
      </c>
      <c r="DR22" s="560">
        <f t="shared" si="150"/>
        <v>75.642965204414864</v>
      </c>
      <c r="DS22" s="560">
        <f>Sheet1!EA24*AFtoMG</f>
        <v>0</v>
      </c>
      <c r="DT22" s="560">
        <f>Sheet1!EB24*AFtoMG</f>
        <v>0</v>
      </c>
      <c r="DU22" s="560">
        <f>Sheet1!EC24*AFtoMG</f>
        <v>0</v>
      </c>
      <c r="DV22" s="560">
        <f>Sheet1!ED24*AFtoMG</f>
        <v>0</v>
      </c>
      <c r="DW22" s="560">
        <f t="shared" si="151"/>
        <v>0</v>
      </c>
      <c r="DX22" s="560">
        <f t="shared" si="152"/>
        <v>0</v>
      </c>
      <c r="DY22" s="560">
        <f t="shared" si="153"/>
        <v>0</v>
      </c>
      <c r="DZ22" s="560">
        <f t="shared" si="154"/>
        <v>0</v>
      </c>
      <c r="EA22" s="560"/>
      <c r="EB22" s="545">
        <f>IF(OR(B22&lt;FV22,B22&gt;FW22),(MIN(BF22+BY22+CT22+MAX(Sheet1!AA24+AQ22-73,0),K22)),0)</f>
        <v>7.9228346456692913</v>
      </c>
      <c r="EC22" s="560"/>
      <c r="ED22" s="560">
        <f t="shared" si="155"/>
        <v>7.9228346456692913</v>
      </c>
      <c r="EE22" s="560"/>
      <c r="EF22" s="560">
        <f>Sheet1!EH24+Sheet1!EI24+Sheet1!EJ24+Sheet1!EK24</f>
        <v>7.8000000000000007</v>
      </c>
      <c r="EG22" s="560"/>
      <c r="EH22" s="545">
        <f t="shared" si="156"/>
        <v>0</v>
      </c>
      <c r="EI22" s="560">
        <f>IF(Sheet1!ET24=1,SUM('Calculations II'!AT22:BA22)+'Calculations II'!BC22+Sheet1!BV24+'Calculations II'!BE22+AP22,SUM('Calculations II'!AT22:BA22)+'Calculations II'!BC22+Sheet1!BV24+'Calculations II'!BE22+AP22)</f>
        <v>47.266512000000006</v>
      </c>
      <c r="EJ22" s="560">
        <f>Sheet1!AA24+Sheet1!AB24+'Calculations II'!BC22</f>
        <v>54.179327999999998</v>
      </c>
      <c r="EK22" s="560"/>
      <c r="EL22" s="560"/>
      <c r="EM22" s="560">
        <f t="shared" si="157"/>
        <v>41650</v>
      </c>
      <c r="EN22" s="560">
        <f t="shared" si="158"/>
        <v>0</v>
      </c>
      <c r="EO22" s="560">
        <f t="shared" si="159"/>
        <v>0</v>
      </c>
      <c r="EP22" s="560">
        <v>0</v>
      </c>
      <c r="EQ22" s="560">
        <v>0</v>
      </c>
      <c r="ER22" s="560">
        <v>0</v>
      </c>
      <c r="ES22" s="545">
        <f t="shared" si="77"/>
        <v>-2.2177049429534224</v>
      </c>
      <c r="ET22" s="560">
        <f>-(VLOOKUP(Sheet1!BQ24,Lookup!$O$4:$Q$262,2)-VLOOKUP(Sheet1!BQ23,Lookup!$O$4:$Q$262,2))/1000000</f>
        <v>-1.1088781157640815</v>
      </c>
      <c r="EU22" s="560">
        <f>-(VLOOKUP(Sheet1!BR24,Lookup!$O$4:$Q$262,3)-VLOOKUP(Sheet1!BR23,Lookup!$O$4:$Q$262,3))/1000000</f>
        <v>-1.1088268271893411</v>
      </c>
      <c r="EV22" s="560"/>
      <c r="EW22" s="560"/>
      <c r="EX22" s="560"/>
      <c r="EY22" s="560"/>
      <c r="EZ22" s="560"/>
      <c r="FA22" s="560"/>
      <c r="FB22" s="560"/>
      <c r="FC22" s="560"/>
      <c r="FD22" s="594" t="e">
        <f t="shared" si="160"/>
        <v>#N/A</v>
      </c>
      <c r="FE22" s="594" t="e">
        <f t="shared" si="161"/>
        <v>#N/A</v>
      </c>
      <c r="FF22" s="595" t="e">
        <f t="shared" si="162"/>
        <v>#N/A</v>
      </c>
      <c r="FG22" s="596" t="s">
        <v>692</v>
      </c>
      <c r="FH22" s="596" t="s">
        <v>692</v>
      </c>
      <c r="FI22" s="594" t="e">
        <v>#N/A</v>
      </c>
      <c r="FJ22" s="594" t="e">
        <v>#N/A</v>
      </c>
      <c r="FK22" s="560"/>
      <c r="FL22" s="560"/>
      <c r="FM22" s="560"/>
      <c r="FN22" s="560"/>
      <c r="FO22" s="560">
        <f>O22+((Sheet1!CS24)*GPMtoMGD)</f>
        <v>54.179327999999998</v>
      </c>
      <c r="FP22" s="560">
        <f>IF(Sheet1!AA24+AQ22&lt;=Calculation!N22,AQ22,Calculation!N22-Sheet1!AA24)</f>
        <v>16.861417322834647</v>
      </c>
      <c r="FQ22" s="560">
        <f>(Sheet1!BP24+Sheet1!BO24)/694.4</f>
        <v>1.6340725806451615</v>
      </c>
      <c r="FR22" s="560"/>
      <c r="FS22" s="560"/>
      <c r="FT22" s="560"/>
      <c r="FU22" s="560"/>
      <c r="FV22" s="695">
        <f t="shared" si="80"/>
        <v>41827</v>
      </c>
      <c r="FW22" s="695">
        <f t="shared" si="81"/>
        <v>41934</v>
      </c>
      <c r="FX22" s="560"/>
      <c r="FY22" s="560"/>
      <c r="FZ22" s="560"/>
      <c r="GA22" s="560"/>
      <c r="GB22" s="560" t="str">
        <f t="shared" si="82"/>
        <v>n</v>
      </c>
      <c r="GC22" s="564">
        <f t="shared" si="83"/>
        <v>41691</v>
      </c>
      <c r="GD22" s="695">
        <f t="shared" si="84"/>
        <v>41807</v>
      </c>
      <c r="GE22" s="560">
        <v>6518.9</v>
      </c>
      <c r="GF22" s="695">
        <f t="shared" si="85"/>
        <v>41808</v>
      </c>
      <c r="GG22" s="560">
        <f t="shared" si="163"/>
        <v>3259</v>
      </c>
      <c r="GH22" s="564">
        <f t="shared" si="87"/>
        <v>41934</v>
      </c>
      <c r="GJ22" s="545">
        <f t="shared" si="88"/>
        <v>0</v>
      </c>
      <c r="GK22" s="560" t="str">
        <f t="shared" si="164"/>
        <v/>
      </c>
      <c r="GL22" s="560">
        <f t="shared" si="89"/>
        <v>0</v>
      </c>
      <c r="GM22" s="560" t="str">
        <f t="shared" si="90"/>
        <v/>
      </c>
      <c r="GN22" s="560">
        <f>IF(GK22="P",Lookup!$M$12,IF(GK22="PP",Lookup!$M$13,IF(GK22="PPP",Lookup!$M$14,IF(GK22="T",Lookup!$M$15,IF(GK22="TP",Lookup!$M$16,IF(GK22="TPP",Lookup!$M$17,IF(GK22="TPPP",Lookup!$M$18,0)))))))*GJ22</f>
        <v>0</v>
      </c>
      <c r="GO22" s="560">
        <f t="shared" si="91"/>
        <v>0</v>
      </c>
      <c r="GP22" s="560">
        <f t="shared" si="165"/>
        <v>0</v>
      </c>
      <c r="GQ22" s="560">
        <f t="shared" si="99"/>
        <v>0</v>
      </c>
      <c r="GR22" s="560"/>
      <c r="GS22" s="560">
        <f t="shared" si="92"/>
        <v>0</v>
      </c>
      <c r="GT22" s="560" t="str">
        <f t="shared" si="93"/>
        <v/>
      </c>
      <c r="GU22" s="560">
        <f>IF(GK22="P",Lookup!$N$12,IF(GK22="PP",Lookup!$N$13,IF(GK22="PPP",Lookup!$N$14,IF(GK22="T",Lookup!$N$15,IF(GK22="TP",Lookup!$N$16,IF(GK22="TPP",Lookup!$N$17,IF(GK22="TPPP",Lookup!$N$18,0)))))))*GJ22</f>
        <v>0</v>
      </c>
      <c r="GV22" s="560">
        <f t="shared" si="57"/>
        <v>0</v>
      </c>
      <c r="GW22" s="560">
        <f t="shared" si="166"/>
        <v>0</v>
      </c>
      <c r="GX22" s="560">
        <f t="shared" si="100"/>
        <v>0</v>
      </c>
      <c r="GY22" s="560"/>
      <c r="GZ22" s="560">
        <f t="shared" si="94"/>
        <v>0</v>
      </c>
      <c r="HA22" s="560" t="str">
        <f t="shared" si="95"/>
        <v/>
      </c>
      <c r="HB22" s="560">
        <f>IF(GK22="P",Lookup!$N$12,IF(GK22="PP",Lookup!$N$13,IF(GK22="PPP",Lookup!$N$14,IF(GK22="T",Lookup!$N$15,IF(GK22="TP",Lookup!$N$16,IF(GK22="TPP",Lookup!$N$17,IF(GK22="TPPP",Lookup!$N$18,0)))))))*GJ22</f>
        <v>0</v>
      </c>
      <c r="HC22" s="545">
        <f t="shared" si="167"/>
        <v>0</v>
      </c>
      <c r="HD22" s="560">
        <f t="shared" si="168"/>
        <v>0</v>
      </c>
      <c r="HE22" s="560">
        <f t="shared" si="101"/>
        <v>0</v>
      </c>
      <c r="HF22" s="560"/>
      <c r="HG22" s="560">
        <f t="shared" si="96"/>
        <v>0</v>
      </c>
      <c r="HH22" s="560" t="str">
        <f t="shared" si="97"/>
        <v/>
      </c>
      <c r="HI22" s="560">
        <f>IF(GK22="P",Lookup!$N$12,IF(GK22="PP",Lookup!$N$13,IF(GK22="PPP",Lookup!$N$14,IF(GK22="T",Lookup!$N$15,IF(GK22="TP",Lookup!$N$16,IF(GK22="TPP",Lookup!$N$17,IF(GK22="TPPP",Lookup!$N$18,0)))))))*GJ22</f>
        <v>0</v>
      </c>
      <c r="HJ22" s="545">
        <f t="shared" si="169"/>
        <v>0</v>
      </c>
      <c r="HK22" s="560">
        <f t="shared" si="170"/>
        <v>0</v>
      </c>
      <c r="HL22" s="560">
        <f t="shared" si="102"/>
        <v>0</v>
      </c>
      <c r="HM22" s="560"/>
    </row>
    <row r="23" spans="1:221">
      <c r="A23" s="580" t="s">
        <v>3</v>
      </c>
      <c r="B23" s="556">
        <v>41651</v>
      </c>
      <c r="C23" s="561">
        <v>0</v>
      </c>
      <c r="D23" s="529">
        <f t="shared" si="103"/>
        <v>300</v>
      </c>
      <c r="E23" s="529">
        <f t="shared" si="104"/>
        <v>250</v>
      </c>
      <c r="F23" s="529">
        <v>250</v>
      </c>
      <c r="G23" s="560">
        <f>DR23+Sheet1!CZ25</f>
        <v>3260.8925869907102</v>
      </c>
      <c r="H23" s="914">
        <f t="shared" si="2"/>
        <v>1840.877768230795</v>
      </c>
      <c r="I23" s="559">
        <f>MAX(Sheet1!Z25-AT23+(Sheet1!DA25-E23)*CFStoMGD,0)</f>
        <v>2158.92</v>
      </c>
      <c r="J23" s="562">
        <f>IF(AND(B23&gt;=Calculation!GC23,B23&lt;=Calculation!GD23),IF(Sheet1!DB25&gt;=Calculation!D23,64.64,0),MAX(Sheet1!Z25-AT23+(Sheet1!DB25-D23)*CFStoMGD,0))</f>
        <v>1518.9839999999999</v>
      </c>
      <c r="K23" s="904">
        <f t="shared" si="105"/>
        <v>64.64</v>
      </c>
      <c r="L23" s="560">
        <f>Sheet1!AA25+Sheet1!AB25-Sheet1!L25+(Sheet1!DA25-F23)*CFStoMGD</f>
        <v>2133.12</v>
      </c>
      <c r="M23" s="560">
        <f t="shared" si="106"/>
        <v>2149.997787595411</v>
      </c>
      <c r="N23" s="910">
        <f>IF(Sheet1!DA25&gt;=F23,MIN(73,MIN(MAX(L23,0),MAX(M23,0))),0)</f>
        <v>73</v>
      </c>
      <c r="O23" s="563">
        <f>Sheet1!AA25+Sheet1!AB25</f>
        <v>44.3</v>
      </c>
      <c r="P23" s="563">
        <f t="shared" si="107"/>
        <v>68.5321</v>
      </c>
      <c r="Q23" s="898">
        <f t="shared" si="63"/>
        <v>0</v>
      </c>
      <c r="R23" s="829">
        <f t="shared" si="108"/>
        <v>8.0829231089232483</v>
      </c>
      <c r="S23" s="898">
        <f t="shared" si="65"/>
        <v>44.3</v>
      </c>
      <c r="T23" s="898">
        <f t="shared" si="66"/>
        <v>0</v>
      </c>
      <c r="U23" s="898">
        <f t="shared" si="6"/>
        <v>0</v>
      </c>
      <c r="V23" s="898"/>
      <c r="W23" s="898">
        <f t="shared" si="67"/>
        <v>56.557076891076754</v>
      </c>
      <c r="X23" s="898">
        <f t="shared" si="68"/>
        <v>44.3</v>
      </c>
      <c r="Y23" s="898" t="str">
        <f t="shared" si="69"/>
        <v/>
      </c>
      <c r="Z23" s="898">
        <f t="shared" si="70"/>
        <v>44.3</v>
      </c>
      <c r="AA23" s="898">
        <f t="shared" si="71"/>
        <v>44.3</v>
      </c>
      <c r="AB23" s="898" t="str">
        <f t="shared" si="72"/>
        <v/>
      </c>
      <c r="AC23" s="563">
        <f>Sheet1!Y25*MGDtoCFS</f>
        <v>28.356509999999997</v>
      </c>
      <c r="AD23" s="563">
        <f>Sheet1!Z25*MGDtoCFS</f>
        <v>39.912599999999998</v>
      </c>
      <c r="AE23" s="563">
        <f>Sheet1!AA25*MGDtoCFS</f>
        <v>23.6691</v>
      </c>
      <c r="AF23" s="563">
        <f>Sheet1!AB25*MGDtoCFS</f>
        <v>44.863</v>
      </c>
      <c r="AG23" s="563">
        <f>Sheet1!L25*MGDtoCFS</f>
        <v>68.532099999999986</v>
      </c>
      <c r="AH23" s="545">
        <f t="shared" si="109"/>
        <v>0</v>
      </c>
      <c r="AI23" s="560">
        <f t="shared" si="110"/>
        <v>0</v>
      </c>
      <c r="AJ23" s="560">
        <f t="shared" si="111"/>
        <v>0</v>
      </c>
      <c r="AK23" s="560">
        <f t="shared" si="112"/>
        <v>0</v>
      </c>
      <c r="AL23" s="560">
        <f>(VLOOKUP(Sheet1!DC25,hhdcap_wcm,4)-(((VLOOKUP(Sheet1!DC25,hhdcap_wcm,3)-Sheet1!DC25)/(VLOOKUP(Sheet1!DC25,hhdcap_wcm,3)-VLOOKUP(Sheet1!DC25,hhdcap_wcm,1)))*(VLOOKUP(Sheet1!DC25,hhdcap_wcm,4)-VLOOKUP(Sheet1!DC25,hhdcap_wcm,2))))</f>
        <v>2310.4000000057708</v>
      </c>
      <c r="AM23" s="560">
        <f t="shared" si="113"/>
        <v>1211.4000000025785</v>
      </c>
      <c r="AN23" s="560">
        <f t="shared" si="114"/>
        <v>0</v>
      </c>
      <c r="AO23" s="560">
        <f t="shared" si="115"/>
        <v>0</v>
      </c>
      <c r="AP23" s="560">
        <f>Sheet1!BA25+Sheet1!BB25+Sheet1!BN25+CD23</f>
        <v>20.806000000000001</v>
      </c>
      <c r="AQ23" s="560">
        <f>Sheet1!BN25+(DO23*Sheet1!BN25)</f>
        <v>19.905706163766208</v>
      </c>
      <c r="AR23" s="560">
        <f>Sheet1!BA25+CD23</f>
        <v>0</v>
      </c>
      <c r="AS23" s="560">
        <f>Sheet1!BA25+Sheet1!BB25+CD23</f>
        <v>1.006</v>
      </c>
      <c r="AT23" s="698">
        <f>0</f>
        <v>0</v>
      </c>
      <c r="AU23" s="560">
        <f>IF(EB23&lt;K23,0,MAX(Sheet1!AA25+AQ23-15/36*K23-N23,Sheet1!EH25,0))</f>
        <v>0</v>
      </c>
      <c r="AV23" s="560">
        <f>IF(OR(B23&gt;=GD23,B23&lt;GC23),0,15/36*K23-MAX(0,64.6-(137.6-(Sheet1!AA25+Sheet1!AB25))))</f>
        <v>0</v>
      </c>
      <c r="AW23" s="698">
        <f>Sheet1!DB25-110</f>
        <v>2500</v>
      </c>
      <c r="AX23" s="698">
        <f>Sheet1!DA25-265</f>
        <v>3285</v>
      </c>
      <c r="AY23" s="698">
        <f t="shared" si="116"/>
        <v>73</v>
      </c>
      <c r="AZ23" s="698">
        <v>0</v>
      </c>
      <c r="BA23" s="698">
        <f t="shared" si="117"/>
        <v>0</v>
      </c>
      <c r="BB23" s="560">
        <f t="shared" si="118"/>
        <v>0</v>
      </c>
      <c r="BC23" s="560"/>
      <c r="BD23" s="560">
        <f ca="1">IF(B23&gt;Summary!$A$1,#N/A,BB23*MGtoAF)</f>
        <v>0</v>
      </c>
      <c r="BE23" s="560">
        <f>Sheet1!BG25+Sheet1!BH25+Sheet1!BI25-BM23</f>
        <v>0</v>
      </c>
      <c r="BF23" s="560">
        <f t="shared" si="119"/>
        <v>0</v>
      </c>
      <c r="BG23" s="560">
        <f>IF(Sheet1!EP25="FM",BM23,0)</f>
        <v>0</v>
      </c>
      <c r="BH23" s="560">
        <f t="shared" si="120"/>
        <v>0</v>
      </c>
      <c r="BI23" s="560">
        <f>IF(Sheet1!EP25="OTHER",BM23,0)</f>
        <v>0</v>
      </c>
      <c r="BJ23" s="560">
        <f t="shared" si="121"/>
        <v>0</v>
      </c>
      <c r="BK23" s="560">
        <f t="shared" si="122"/>
        <v>0</v>
      </c>
      <c r="BL23" s="560">
        <f t="shared" si="123"/>
        <v>0</v>
      </c>
      <c r="BM23" s="560">
        <f>IF(OR(Sheet1!EP25="FM", Sheet1!EP25="OTHER"),SUM(Sheet1!BG25:'Sheet1'!BI25),0)</f>
        <v>0</v>
      </c>
      <c r="BN23" s="545">
        <f>IF(AND($B23&gt;=$FV23,$B23&lt;=$FW23),MAX(BF23,Sheet1!EI25,0),MAX(BF23-(7/36)*$K23,0))</f>
        <v>0</v>
      </c>
      <c r="BO23" s="560">
        <f t="shared" si="124"/>
        <v>0</v>
      </c>
      <c r="BP23" s="545">
        <f t="shared" si="125"/>
        <v>0</v>
      </c>
      <c r="BQ23" s="545">
        <f>IF(AND($O23&gt;0,Sheet1!EM25=1),(1-($O23-Sheet1!$L25)/$O23)*BL23,0)</f>
        <v>0</v>
      </c>
      <c r="BR23" s="545">
        <f>IF(AND(Sheet1!$L25=0,Sheet1!$L24=0, Calculation!BK23&lt;Sheet1!$EI25-0.1,Sheet1!$EI25=Sheet1!$EI24,Sheet1!$EI25=Sheet1!$EI26),Sheet1!$EI25,BL23-BQ23)</f>
        <v>0</v>
      </c>
      <c r="BS23" s="560"/>
      <c r="BT23" s="560"/>
      <c r="BU23" s="560">
        <f t="shared" si="126"/>
        <v>0</v>
      </c>
      <c r="BV23" s="560"/>
      <c r="BW23" s="560">
        <f ca="1">IF(B23&gt;Summary!$A$1,#N/A,BU23*MGtoAF)</f>
        <v>0</v>
      </c>
      <c r="BX23" s="560">
        <f>Sheet1!BC25+Sheet1!BD25+Sheet1!BE25+Sheet1!BF25-CG23-CH23</f>
        <v>2.5</v>
      </c>
      <c r="BY23" s="560">
        <f t="shared" si="127"/>
        <v>2.5133467378492687</v>
      </c>
      <c r="BZ23" s="560">
        <f>IF(Sheet1!EQ25="FM",CH23,0)</f>
        <v>0</v>
      </c>
      <c r="CA23" s="560">
        <f t="shared" si="128"/>
        <v>0</v>
      </c>
      <c r="CB23" s="560">
        <f>IF(Sheet1!EQ25="OTHER",CH23,0)</f>
        <v>0</v>
      </c>
      <c r="CC23" s="560">
        <f t="shared" si="129"/>
        <v>0</v>
      </c>
      <c r="CD23" s="560">
        <f t="shared" si="130"/>
        <v>0</v>
      </c>
      <c r="CE23" s="560">
        <f t="shared" si="131"/>
        <v>2.5</v>
      </c>
      <c r="CF23" s="560">
        <f t="shared" si="132"/>
        <v>2.5133467378492687</v>
      </c>
      <c r="CG23" s="560">
        <f>IF(Sheet1!EQ25="CWA",SUM(Sheet1!BC25:'Sheet1'!BF25),0)</f>
        <v>0</v>
      </c>
      <c r="CH23" s="560">
        <f>IF(OR(Sheet1!EQ25="FM", Sheet1!EQ25="OTHER"),SUM(Sheet1!BC25:'Sheet1'!BF25),0)</f>
        <v>0</v>
      </c>
      <c r="CI23" s="545">
        <f>IF(AND($B23&gt;=$FV23,$B23&lt;=$FW23),MAX(CF23,Sheet1!EJ25,0),MAX(CF23-(7/36)*$K23,0))</f>
        <v>0</v>
      </c>
      <c r="CJ23" s="560">
        <f t="shared" si="133"/>
        <v>0</v>
      </c>
      <c r="CK23" s="545">
        <f t="shared" si="134"/>
        <v>2.5133467378492687</v>
      </c>
      <c r="CL23" s="545">
        <f>IF(AND($O23&gt;0,Sheet1!EN25=1),(1-($O23-Sheet1!$L25)/$O23)*CF23,0)</f>
        <v>0</v>
      </c>
      <c r="CM23" s="545">
        <f>IF(AND(Sheet1!$L25=0,Sheet1!$L24=0, Calculation!CE23&lt;Sheet1!EJ25-0.1,Sheet1!EJ25=Sheet1!EJ24,Sheet1!EJ25=Sheet1!EJ26),Sheet1!EJ25,CF23-CL23)</f>
        <v>2.5133467378492687</v>
      </c>
      <c r="CN23" s="545"/>
      <c r="CO23" s="560"/>
      <c r="CP23" s="560">
        <f t="shared" si="135"/>
        <v>0</v>
      </c>
      <c r="CQ23" s="560"/>
      <c r="CR23" s="560">
        <f ca="1">IF(B23&gt;Summary!$A$1,#N/A,CP23*MGtoAF)</f>
        <v>0</v>
      </c>
      <c r="CS23" s="560">
        <f>Sheet1!BK25+Sheet1!BL25+Sheet1!BM25-Sheet1!ER25-DA23</f>
        <v>5.54</v>
      </c>
      <c r="CT23" s="560">
        <f t="shared" si="136"/>
        <v>5.5695763710739792</v>
      </c>
      <c r="CU23" s="560">
        <f>IF(Sheet1!ER25="FM",DA23,0)</f>
        <v>0</v>
      </c>
      <c r="CV23" s="560">
        <f t="shared" si="137"/>
        <v>0</v>
      </c>
      <c r="CW23" s="560">
        <f>IF(Sheet1!ER25="OTHER",DA23,0)</f>
        <v>0</v>
      </c>
      <c r="CX23" s="560">
        <f t="shared" si="138"/>
        <v>0</v>
      </c>
      <c r="CY23" s="560">
        <f t="shared" si="139"/>
        <v>5.54</v>
      </c>
      <c r="CZ23" s="560">
        <f t="shared" si="140"/>
        <v>5.5695763710739792</v>
      </c>
      <c r="DA23" s="560">
        <f>IF(OR(Sheet1!ER25="FM", Sheet1!ER25="OTHER"),SUM(Sheet1!BK25:'Sheet1'!BM25),0)</f>
        <v>0</v>
      </c>
      <c r="DB23" s="545">
        <f>IF(AND($B23&gt;=$FV23,$B23&lt;=$FW23),MAX($CT23,Sheet1!EK25,0),MAX($CT23-(7/36)*$K23,0))</f>
        <v>0</v>
      </c>
      <c r="DC23" s="560">
        <f t="shared" si="141"/>
        <v>0</v>
      </c>
      <c r="DD23" s="545">
        <f t="shared" si="142"/>
        <v>5.5695763710739792</v>
      </c>
      <c r="DE23" s="545">
        <f>IF(AND($O23&gt;0,Sheet1!EO25=1),(1-($O23-Sheet1!$L25)/$O23)*CZ23,0)</f>
        <v>0</v>
      </c>
      <c r="DF23" s="545">
        <f>IF(AND(Sheet1!$L25=0,Sheet1!$L24=0, Calculation!CY23&lt;Sheet1!$EK25-0.1,Sheet1!$EK25=Sheet1!$EK24,Sheet1!$EK25=Sheet1!$EK26),Sheet1!$EK25,CZ23-DE23)</f>
        <v>5.5695763710739792</v>
      </c>
      <c r="DG23" s="545"/>
      <c r="DH23" s="560">
        <f t="shared" si="143"/>
        <v>8.0399999999999991</v>
      </c>
      <c r="DI23" s="560">
        <f t="shared" si="144"/>
        <v>0</v>
      </c>
      <c r="DJ23" s="698">
        <f t="shared" si="145"/>
        <v>8.0829231089232483</v>
      </c>
      <c r="DK23" s="560">
        <f ca="1">IF(B23&gt;Summary!$A$1,#N/A,DI23*MGtoAF)</f>
        <v>0</v>
      </c>
      <c r="DL23" s="698">
        <f t="shared" si="146"/>
        <v>8.0399999999999991</v>
      </c>
      <c r="DM23" s="560">
        <f t="shared" si="147"/>
        <v>28.846</v>
      </c>
      <c r="DN23" s="560">
        <f>Sheet1!AB25-DM23</f>
        <v>0.15399999999999991</v>
      </c>
      <c r="DO23" s="823">
        <f t="shared" si="148"/>
        <v>5.3386951397074089E-3</v>
      </c>
      <c r="DP23" s="560">
        <f>(VLOOKUP(Sheet1!DC25,hhdcap_wcm,4)-(((VLOOKUP(Sheet1!DC25,hhdcap_wcm,3)-Sheet1!DC25)/(VLOOKUP(Sheet1!DC25,hhdcap_wcm,3)-VLOOKUP(Sheet1!DC25,hhdcap_wcm,1)))*(VLOOKUP(Sheet1!DC25,hhdcap_wcm,4)-VLOOKUP(Sheet1!DC25,hhdcap_wcm,2))))</f>
        <v>2310.4000000057708</v>
      </c>
      <c r="DQ23" s="560">
        <f t="shared" si="149"/>
        <v>1211.4000000025785</v>
      </c>
      <c r="DR23" s="560">
        <f t="shared" si="150"/>
        <v>610.89258699071024</v>
      </c>
      <c r="DS23" s="560">
        <f>Sheet1!EA25*AFtoMG</f>
        <v>0</v>
      </c>
      <c r="DT23" s="560">
        <f>Sheet1!EB25*AFtoMG</f>
        <v>0</v>
      </c>
      <c r="DU23" s="560">
        <f>Sheet1!EC25*AFtoMG</f>
        <v>0</v>
      </c>
      <c r="DV23" s="560">
        <f>Sheet1!ED25*AFtoMG</f>
        <v>0</v>
      </c>
      <c r="DW23" s="560">
        <f t="shared" si="151"/>
        <v>0</v>
      </c>
      <c r="DX23" s="560">
        <f t="shared" si="152"/>
        <v>0</v>
      </c>
      <c r="DY23" s="560">
        <f t="shared" si="153"/>
        <v>0</v>
      </c>
      <c r="DZ23" s="560">
        <f t="shared" si="154"/>
        <v>0</v>
      </c>
      <c r="EA23" s="560"/>
      <c r="EB23" s="545">
        <f>IF(OR(B23&lt;FV23,B23&gt;FW23),(MIN(BF23+BY23+CT23+MAX(Sheet1!AA25+AQ23-73,0),K23)),0)</f>
        <v>8.0829231089232483</v>
      </c>
      <c r="EC23" s="560"/>
      <c r="ED23" s="560">
        <f t="shared" si="155"/>
        <v>8.0829231089232483</v>
      </c>
      <c r="EE23" s="560"/>
      <c r="EF23" s="560">
        <f>Sheet1!EH25+Sheet1!EI25+Sheet1!EJ25+Sheet1!EK25</f>
        <v>8.0399999999999991</v>
      </c>
      <c r="EG23" s="560"/>
      <c r="EH23" s="545">
        <f t="shared" si="156"/>
        <v>0</v>
      </c>
      <c r="EI23" s="560">
        <f>IF(Sheet1!ET25=1,SUM('Calculations II'!AT23:BA23)+'Calculations II'!BC23+Sheet1!BV25+'Calculations II'!BE23+AP23,SUM('Calculations II'!AT23:BA23)+'Calculations II'!BC23+Sheet1!BV25+'Calculations II'!BE23+AP23)</f>
        <v>52.067920000000001</v>
      </c>
      <c r="EJ23" s="560">
        <f>Sheet1!AA25+Sheet1!AB25+'Calculations II'!BC23</f>
        <v>54.330463999999999</v>
      </c>
      <c r="EK23" s="560"/>
      <c r="EL23" s="560"/>
      <c r="EM23" s="560">
        <f t="shared" si="157"/>
        <v>41651</v>
      </c>
      <c r="EN23" s="560">
        <f t="shared" si="158"/>
        <v>0</v>
      </c>
      <c r="EO23" s="560">
        <f t="shared" si="159"/>
        <v>0</v>
      </c>
      <c r="EP23" s="560">
        <v>0</v>
      </c>
      <c r="EQ23" s="560">
        <v>0</v>
      </c>
      <c r="ER23" s="560">
        <v>0</v>
      </c>
      <c r="ES23" s="545">
        <f t="shared" si="77"/>
        <v>3.4648049765831272</v>
      </c>
      <c r="ET23" s="560">
        <f>-(VLOOKUP(Sheet1!BQ25,Lookup!$O$4:$Q$262,2)-VLOOKUP(Sheet1!BQ24,Lookup!$O$4:$Q$262,2))/1000000</f>
        <v>1.8017185902905204</v>
      </c>
      <c r="EU23" s="560">
        <f>-(VLOOKUP(Sheet1!BR25,Lookup!$O$4:$Q$262,3)-VLOOKUP(Sheet1!BR24,Lookup!$O$4:$Q$262,3))/1000000</f>
        <v>1.6630863862926066</v>
      </c>
      <c r="EV23" s="560"/>
      <c r="EW23" s="560"/>
      <c r="EX23" s="560"/>
      <c r="EY23" s="560"/>
      <c r="EZ23" s="560"/>
      <c r="FA23" s="560"/>
      <c r="FB23" s="560"/>
      <c r="FC23" s="560"/>
      <c r="FD23" s="594" t="e">
        <f t="shared" si="160"/>
        <v>#N/A</v>
      </c>
      <c r="FE23" s="594" t="e">
        <f t="shared" si="161"/>
        <v>#N/A</v>
      </c>
      <c r="FF23" s="595" t="e">
        <f t="shared" si="162"/>
        <v>#N/A</v>
      </c>
      <c r="FG23" s="596" t="s">
        <v>692</v>
      </c>
      <c r="FH23" s="596" t="s">
        <v>692</v>
      </c>
      <c r="FI23" s="594" t="e">
        <v>#N/A</v>
      </c>
      <c r="FJ23" s="594" t="e">
        <v>#N/A</v>
      </c>
      <c r="FK23" s="560"/>
      <c r="FL23" s="560"/>
      <c r="FM23" s="560"/>
      <c r="FN23" s="560"/>
      <c r="FO23" s="560">
        <f>O23+((Sheet1!CS25)*GPMtoMGD)</f>
        <v>54.330463999999999</v>
      </c>
      <c r="FP23" s="560">
        <f>IF(Sheet1!AA25+AQ23&lt;=Calculation!N23,AQ23,Calculation!N23-Sheet1!AA25)</f>
        <v>19.905706163766208</v>
      </c>
      <c r="FQ23" s="560">
        <f>(Sheet1!BP25+Sheet1!BO25)/694.4</f>
        <v>1.6595622119815669</v>
      </c>
      <c r="FR23" s="560"/>
      <c r="FS23" s="560"/>
      <c r="FT23" s="560"/>
      <c r="FU23" s="560"/>
      <c r="FV23" s="695">
        <f t="shared" si="80"/>
        <v>41827</v>
      </c>
      <c r="FW23" s="695">
        <f t="shared" si="81"/>
        <v>41934</v>
      </c>
      <c r="FX23" s="560"/>
      <c r="FY23" s="560"/>
      <c r="FZ23" s="560"/>
      <c r="GA23" s="560"/>
      <c r="GB23" s="560" t="str">
        <f t="shared" si="82"/>
        <v>n</v>
      </c>
      <c r="GC23" s="564">
        <f t="shared" si="83"/>
        <v>41691</v>
      </c>
      <c r="GD23" s="695">
        <f t="shared" si="84"/>
        <v>41807</v>
      </c>
      <c r="GE23" s="560">
        <v>6518.9</v>
      </c>
      <c r="GF23" s="695">
        <f t="shared" si="85"/>
        <v>41808</v>
      </c>
      <c r="GG23" s="560">
        <f t="shared" si="163"/>
        <v>3259</v>
      </c>
      <c r="GH23" s="564">
        <f t="shared" si="87"/>
        <v>41934</v>
      </c>
      <c r="GJ23" s="545">
        <f t="shared" si="88"/>
        <v>0</v>
      </c>
      <c r="GK23" s="560" t="str">
        <f t="shared" si="164"/>
        <v/>
      </c>
      <c r="GL23" s="560">
        <f t="shared" si="89"/>
        <v>0</v>
      </c>
      <c r="GM23" s="560" t="str">
        <f t="shared" si="90"/>
        <v/>
      </c>
      <c r="GN23" s="560">
        <f>IF(GK23="P",Lookup!$M$12,IF(GK23="PP",Lookup!$M$13,IF(GK23="PPP",Lookup!$M$14,IF(GK23="T",Lookup!$M$15,IF(GK23="TP",Lookup!$M$16,IF(GK23="TPP",Lookup!$M$17,IF(GK23="TPPP",Lookup!$M$18,0)))))))*GJ23</f>
        <v>0</v>
      </c>
      <c r="GO23" s="560">
        <f t="shared" si="91"/>
        <v>0</v>
      </c>
      <c r="GP23" s="560">
        <f t="shared" si="165"/>
        <v>0</v>
      </c>
      <c r="GQ23" s="560">
        <f t="shared" si="99"/>
        <v>0</v>
      </c>
      <c r="GR23" s="560"/>
      <c r="GS23" s="560">
        <f t="shared" si="92"/>
        <v>0</v>
      </c>
      <c r="GT23" s="560" t="str">
        <f t="shared" si="93"/>
        <v/>
      </c>
      <c r="GU23" s="560">
        <f>IF(GK23="P",Lookup!$N$12,IF(GK23="PP",Lookup!$N$13,IF(GK23="PPP",Lookup!$N$14,IF(GK23="T",Lookup!$N$15,IF(GK23="TP",Lookup!$N$16,IF(GK23="TPP",Lookup!$N$17,IF(GK23="TPPP",Lookup!$N$18,0)))))))*GJ23</f>
        <v>0</v>
      </c>
      <c r="GV23" s="560">
        <f t="shared" si="57"/>
        <v>0</v>
      </c>
      <c r="GW23" s="560">
        <f t="shared" si="166"/>
        <v>0</v>
      </c>
      <c r="GX23" s="560">
        <f t="shared" si="100"/>
        <v>0</v>
      </c>
      <c r="GY23" s="560"/>
      <c r="GZ23" s="560">
        <f t="shared" si="94"/>
        <v>0</v>
      </c>
      <c r="HA23" s="560" t="str">
        <f t="shared" si="95"/>
        <v/>
      </c>
      <c r="HB23" s="560">
        <f>IF(GK23="P",Lookup!$N$12,IF(GK23="PP",Lookup!$N$13,IF(GK23="PPP",Lookup!$N$14,IF(GK23="T",Lookup!$N$15,IF(GK23="TP",Lookup!$N$16,IF(GK23="TPP",Lookup!$N$17,IF(GK23="TPPP",Lookup!$N$18,0)))))))*GJ23</f>
        <v>0</v>
      </c>
      <c r="HC23" s="545">
        <f t="shared" si="167"/>
        <v>0</v>
      </c>
      <c r="HD23" s="560">
        <f t="shared" si="168"/>
        <v>0</v>
      </c>
      <c r="HE23" s="560">
        <f t="shared" si="101"/>
        <v>0</v>
      </c>
      <c r="HF23" s="560"/>
      <c r="HG23" s="560">
        <f t="shared" si="96"/>
        <v>0</v>
      </c>
      <c r="HH23" s="560" t="str">
        <f t="shared" si="97"/>
        <v/>
      </c>
      <c r="HI23" s="560">
        <f>IF(GK23="P",Lookup!$N$12,IF(GK23="PP",Lookup!$N$13,IF(GK23="PPP",Lookup!$N$14,IF(GK23="T",Lookup!$N$15,IF(GK23="TP",Lookup!$N$16,IF(GK23="TPP",Lookup!$N$17,IF(GK23="TPPP",Lookup!$N$18,0)))))))*GJ23</f>
        <v>0</v>
      </c>
      <c r="HJ23" s="545">
        <f t="shared" si="169"/>
        <v>0</v>
      </c>
      <c r="HK23" s="560">
        <f t="shared" si="170"/>
        <v>0</v>
      </c>
      <c r="HL23" s="560">
        <f t="shared" si="102"/>
        <v>0</v>
      </c>
      <c r="HM23" s="560"/>
    </row>
    <row r="24" spans="1:221">
      <c r="A24" s="580" t="s">
        <v>4</v>
      </c>
      <c r="B24" s="556">
        <v>41652</v>
      </c>
      <c r="C24" s="561">
        <v>0</v>
      </c>
      <c r="D24" s="529">
        <f t="shared" si="103"/>
        <v>300</v>
      </c>
      <c r="E24" s="529">
        <f t="shared" si="104"/>
        <v>250</v>
      </c>
      <c r="F24" s="529">
        <v>250</v>
      </c>
      <c r="G24" s="560">
        <f>DR24+Sheet1!CZ26</f>
        <v>5309.0519415047338</v>
      </c>
      <c r="H24" s="914">
        <f t="shared" si="2"/>
        <v>3164.8079749886597</v>
      </c>
      <c r="I24" s="559">
        <f>MAX(Sheet1!Z26-AT24+(Sheet1!DA26-E24)*CFStoMGD,0)</f>
        <v>3293.3199999999997</v>
      </c>
      <c r="J24" s="562">
        <f>IF(AND(B24&gt;=Calculation!GC24,B24&lt;=Calculation!GD24),IF(Sheet1!DB26&gt;=Calculation!D24,64.64,0),MAX(Sheet1!Z26-AT24+(Sheet1!DB26-D24)*CFStoMGD,0))</f>
        <v>2485.3199999999997</v>
      </c>
      <c r="K24" s="904">
        <f t="shared" si="105"/>
        <v>64.64</v>
      </c>
      <c r="L24" s="560">
        <f>Sheet1!AA26+Sheet1!AB26-Sheet1!L26+(Sheet1!DA26-F24)*CFStoMGD</f>
        <v>3264.3199999999997</v>
      </c>
      <c r="M24" s="560">
        <f t="shared" si="106"/>
        <v>3500.4065984884332</v>
      </c>
      <c r="N24" s="910">
        <f>IF(Sheet1!DA26&gt;=F24,MIN(73,MIN(MAX(L24,0),MAX(M24,0))),0)</f>
        <v>73</v>
      </c>
      <c r="O24" s="563">
        <f>Sheet1!AA26+Sheet1!AB26</f>
        <v>44.2</v>
      </c>
      <c r="P24" s="563">
        <f t="shared" si="107"/>
        <v>68.377399999999994</v>
      </c>
      <c r="Q24" s="898">
        <f t="shared" si="63"/>
        <v>0</v>
      </c>
      <c r="R24" s="829">
        <f t="shared" si="108"/>
        <v>7.9798516687268233</v>
      </c>
      <c r="S24" s="898">
        <f t="shared" si="65"/>
        <v>44.2</v>
      </c>
      <c r="T24" s="898">
        <f t="shared" si="66"/>
        <v>0</v>
      </c>
      <c r="U24" s="898">
        <f t="shared" si="6"/>
        <v>0</v>
      </c>
      <c r="V24" s="898"/>
      <c r="W24" s="898">
        <f t="shared" si="67"/>
        <v>56.660148331273177</v>
      </c>
      <c r="X24" s="898">
        <f t="shared" si="68"/>
        <v>44.2</v>
      </c>
      <c r="Y24" s="898" t="str">
        <f t="shared" si="69"/>
        <v/>
      </c>
      <c r="Z24" s="898">
        <f t="shared" si="70"/>
        <v>44.2</v>
      </c>
      <c r="AA24" s="898">
        <f t="shared" si="71"/>
        <v>44.2</v>
      </c>
      <c r="AB24" s="898" t="str">
        <f t="shared" si="72"/>
        <v/>
      </c>
      <c r="AC24" s="563">
        <f>Sheet1!Y26*MGDtoCFS</f>
        <v>23.6691</v>
      </c>
      <c r="AD24" s="563">
        <f>Sheet1!Z26*MGDtoCFS</f>
        <v>44.863</v>
      </c>
      <c r="AE24" s="563">
        <f>Sheet1!AA26*MGDtoCFS</f>
        <v>30.785299999999996</v>
      </c>
      <c r="AF24" s="563">
        <f>Sheet1!AB26*MGDtoCFS</f>
        <v>37.592100000000002</v>
      </c>
      <c r="AG24" s="563">
        <f>Sheet1!L26*MGDtoCFS</f>
        <v>68.377399999999994</v>
      </c>
      <c r="AH24" s="545">
        <f t="shared" si="109"/>
        <v>0</v>
      </c>
      <c r="AI24" s="560">
        <f t="shared" si="110"/>
        <v>0</v>
      </c>
      <c r="AJ24" s="560">
        <f t="shared" si="111"/>
        <v>0</v>
      </c>
      <c r="AK24" s="560">
        <f t="shared" si="112"/>
        <v>0</v>
      </c>
      <c r="AL24" s="560">
        <f>(VLOOKUP(Sheet1!DC26,hhdcap_wcm,4)-(((VLOOKUP(Sheet1!DC26,hhdcap_wcm,3)-Sheet1!DC26)/(VLOOKUP(Sheet1!DC26,hhdcap_wcm,3)-VLOOKUP(Sheet1!DC26,hhdcap_wcm,1)))*(VLOOKUP(Sheet1!DC26,hhdcap_wcm,4)-VLOOKUP(Sheet1!DC26,hhdcap_wcm,2))))</f>
        <v>4212.2000000096587</v>
      </c>
      <c r="AM24" s="560">
        <f t="shared" si="113"/>
        <v>1901.8000000038878</v>
      </c>
      <c r="AN24" s="560">
        <f t="shared" si="114"/>
        <v>0</v>
      </c>
      <c r="AO24" s="560">
        <f t="shared" si="115"/>
        <v>0</v>
      </c>
      <c r="AP24" s="560">
        <f>Sheet1!BA26+Sheet1!BB26+Sheet1!BN26+CD24</f>
        <v>16.3</v>
      </c>
      <c r="AQ24" s="560">
        <f>Sheet1!BN26+(DO24*Sheet1!BN26)</f>
        <v>15.318912237330039</v>
      </c>
      <c r="AR24" s="560">
        <f>Sheet1!BA26+CD24</f>
        <v>0</v>
      </c>
      <c r="AS24" s="560">
        <f>Sheet1!BA26+Sheet1!BB26+CD24</f>
        <v>1</v>
      </c>
      <c r="AT24" s="698">
        <f>0</f>
        <v>0</v>
      </c>
      <c r="AU24" s="560">
        <f>IF(EB24&lt;K24,0,MAX(Sheet1!AA26+AQ24-15/36*K24-N24,Sheet1!EH26,0))</f>
        <v>0</v>
      </c>
      <c r="AV24" s="560">
        <f>IF(OR(B24&gt;=GD24,B24&lt;GC24),0,15/36*K24-MAX(0,64.6-(137.6-(Sheet1!AA26+Sheet1!AB26))))</f>
        <v>0</v>
      </c>
      <c r="AW24" s="698">
        <f>Sheet1!DB26-110</f>
        <v>3990</v>
      </c>
      <c r="AX24" s="698">
        <f>Sheet1!DA26-265</f>
        <v>5035</v>
      </c>
      <c r="AY24" s="698">
        <f t="shared" si="116"/>
        <v>73</v>
      </c>
      <c r="AZ24" s="698">
        <v>0</v>
      </c>
      <c r="BA24" s="698">
        <f t="shared" si="117"/>
        <v>0</v>
      </c>
      <c r="BB24" s="560">
        <f t="shared" si="118"/>
        <v>0</v>
      </c>
      <c r="BC24" s="560"/>
      <c r="BD24" s="560">
        <f ca="1">IF(B24&gt;Summary!$A$1,#N/A,BB24*MGtoAF)</f>
        <v>0</v>
      </c>
      <c r="BE24" s="560">
        <f>Sheet1!BG26+Sheet1!BH26+Sheet1!BI26-BM24</f>
        <v>0</v>
      </c>
      <c r="BF24" s="560">
        <f t="shared" si="119"/>
        <v>0</v>
      </c>
      <c r="BG24" s="560">
        <f>IF(Sheet1!EP26="FM",BM24,0)</f>
        <v>0</v>
      </c>
      <c r="BH24" s="560">
        <f t="shared" si="120"/>
        <v>0</v>
      </c>
      <c r="BI24" s="560">
        <f>IF(Sheet1!EP26="OTHER",BM24,0)</f>
        <v>0</v>
      </c>
      <c r="BJ24" s="560">
        <f t="shared" si="121"/>
        <v>0</v>
      </c>
      <c r="BK24" s="560">
        <f t="shared" si="122"/>
        <v>0</v>
      </c>
      <c r="BL24" s="560">
        <f t="shared" si="123"/>
        <v>0</v>
      </c>
      <c r="BM24" s="560">
        <f>IF(OR(Sheet1!EP26="FM", Sheet1!EP26="OTHER"),SUM(Sheet1!BG26:'Sheet1'!BI26),0)</f>
        <v>0</v>
      </c>
      <c r="BN24" s="545">
        <f>IF(AND($B24&gt;=$FV24,$B24&lt;=$FW24),MAX(BF24,Sheet1!EI26,0),MAX(BF24-(7/36)*$K24,0))</f>
        <v>0</v>
      </c>
      <c r="BO24" s="560">
        <f t="shared" si="124"/>
        <v>0</v>
      </c>
      <c r="BP24" s="545">
        <f t="shared" si="125"/>
        <v>0</v>
      </c>
      <c r="BQ24" s="545">
        <f>IF(AND($O24&gt;0,Sheet1!EM26=1),(1-($O24-Sheet1!$L26)/$O24)*BL24,0)</f>
        <v>0</v>
      </c>
      <c r="BR24" s="545">
        <f>IF(AND(Sheet1!$L26=0,Sheet1!$L25=0, Calculation!BK24&lt;Sheet1!$EI26-0.1,Sheet1!$EI26=Sheet1!$EI25,Sheet1!$EI26=Sheet1!$EI27),Sheet1!$EI26,BL24-BQ24)</f>
        <v>0</v>
      </c>
      <c r="BS24" s="560"/>
      <c r="BT24" s="560"/>
      <c r="BU24" s="560">
        <f t="shared" si="126"/>
        <v>0</v>
      </c>
      <c r="BV24" s="560"/>
      <c r="BW24" s="560">
        <f ca="1">IF(B24&gt;Summary!$A$1,#N/A,BU24*MGtoAF)</f>
        <v>0</v>
      </c>
      <c r="BX24" s="560">
        <f>Sheet1!BC26+Sheet1!BD26+Sheet1!BE26+Sheet1!BF26-CG24-CH24</f>
        <v>2.5</v>
      </c>
      <c r="BY24" s="560">
        <f t="shared" si="127"/>
        <v>2.5030902348578494</v>
      </c>
      <c r="BZ24" s="560">
        <f>IF(Sheet1!EQ26="FM",CH24,0)</f>
        <v>0</v>
      </c>
      <c r="CA24" s="560">
        <f t="shared" si="128"/>
        <v>0</v>
      </c>
      <c r="CB24" s="560">
        <f>IF(Sheet1!EQ26="OTHER",CH24,0)</f>
        <v>0</v>
      </c>
      <c r="CC24" s="560">
        <f t="shared" si="129"/>
        <v>0</v>
      </c>
      <c r="CD24" s="560">
        <f t="shared" si="130"/>
        <v>0</v>
      </c>
      <c r="CE24" s="560">
        <f t="shared" si="131"/>
        <v>2.5</v>
      </c>
      <c r="CF24" s="560">
        <f t="shared" si="132"/>
        <v>2.5030902348578494</v>
      </c>
      <c r="CG24" s="560">
        <f>IF(Sheet1!EQ26="CWA",SUM(Sheet1!BC26:'Sheet1'!BF26),0)</f>
        <v>0</v>
      </c>
      <c r="CH24" s="560">
        <f>IF(OR(Sheet1!EQ26="FM", Sheet1!EQ26="OTHER"),SUM(Sheet1!BC26:'Sheet1'!BF26),0)</f>
        <v>0</v>
      </c>
      <c r="CI24" s="545">
        <f>IF(AND($B24&gt;=$FV24,$B24&lt;=$FW24),MAX(CF24,Sheet1!EJ26,0),MAX(CF24-(7/36)*$K24,0))</f>
        <v>0</v>
      </c>
      <c r="CJ24" s="560">
        <f t="shared" si="133"/>
        <v>0</v>
      </c>
      <c r="CK24" s="545">
        <f t="shared" si="134"/>
        <v>2.5030902348578494</v>
      </c>
      <c r="CL24" s="545">
        <f>IF(AND($O24&gt;0,Sheet1!EN26=1),(1-($O24-Sheet1!$L26)/$O24)*CF24,0)</f>
        <v>0</v>
      </c>
      <c r="CM24" s="545">
        <f>IF(AND(Sheet1!$L26=0,Sheet1!$L25=0, Calculation!CE24&lt;Sheet1!EJ26-0.1,Sheet1!EJ26=Sheet1!EJ25,Sheet1!EJ26=Sheet1!EJ27),Sheet1!EJ26,CF24-CL24)</f>
        <v>2.5030902348578494</v>
      </c>
      <c r="CN24" s="545"/>
      <c r="CO24" s="560"/>
      <c r="CP24" s="560">
        <f t="shared" si="135"/>
        <v>0</v>
      </c>
      <c r="CQ24" s="560"/>
      <c r="CR24" s="560">
        <f ca="1">IF(B24&gt;Summary!$A$1,#N/A,CP24*MGtoAF)</f>
        <v>0</v>
      </c>
      <c r="CS24" s="560">
        <f>Sheet1!BK26+Sheet1!BL26+Sheet1!BM26-Sheet1!ER26-DA24</f>
        <v>5.47</v>
      </c>
      <c r="CT24" s="560">
        <f t="shared" si="136"/>
        <v>5.4767614338689743</v>
      </c>
      <c r="CU24" s="560">
        <f>IF(Sheet1!ER26="FM",DA24,0)</f>
        <v>0</v>
      </c>
      <c r="CV24" s="560">
        <f t="shared" si="137"/>
        <v>0</v>
      </c>
      <c r="CW24" s="560">
        <f>IF(Sheet1!ER26="OTHER",DA24,0)</f>
        <v>0</v>
      </c>
      <c r="CX24" s="560">
        <f t="shared" si="138"/>
        <v>0</v>
      </c>
      <c r="CY24" s="560">
        <f t="shared" si="139"/>
        <v>5.47</v>
      </c>
      <c r="CZ24" s="560">
        <f t="shared" si="140"/>
        <v>5.4767614338689743</v>
      </c>
      <c r="DA24" s="560">
        <f>IF(OR(Sheet1!ER26="FM", Sheet1!ER26="OTHER"),SUM(Sheet1!BK26:'Sheet1'!BM26),0)</f>
        <v>0</v>
      </c>
      <c r="DB24" s="545">
        <f>IF(AND($B24&gt;=$FV24,$B24&lt;=$FW24),MAX($CT24,Sheet1!EK26,0),MAX($CT24-(7/36)*$K24,0))</f>
        <v>0</v>
      </c>
      <c r="DC24" s="560">
        <f t="shared" si="141"/>
        <v>0</v>
      </c>
      <c r="DD24" s="545">
        <f t="shared" si="142"/>
        <v>5.4767614338689743</v>
      </c>
      <c r="DE24" s="545">
        <f>IF(AND($O24&gt;0,Sheet1!EO26=1),(1-($O24-Sheet1!$L26)/$O24)*CZ24,0)</f>
        <v>0</v>
      </c>
      <c r="DF24" s="545">
        <f>IF(AND(Sheet1!$L26=0,Sheet1!$L25=0, Calculation!CY24&lt;Sheet1!$EK26-0.1,Sheet1!$EK26=Sheet1!$EK25,Sheet1!$EK26=Sheet1!$EK27),Sheet1!$EK26,CZ24-DE24)</f>
        <v>5.4767614338689743</v>
      </c>
      <c r="DG24" s="545"/>
      <c r="DH24" s="560">
        <f t="shared" si="143"/>
        <v>7.97</v>
      </c>
      <c r="DI24" s="560">
        <f t="shared" si="144"/>
        <v>0</v>
      </c>
      <c r="DJ24" s="698">
        <f t="shared" si="145"/>
        <v>7.9798516687268233</v>
      </c>
      <c r="DK24" s="560">
        <f ca="1">IF(B24&gt;Summary!$A$1,#N/A,DI24*MGtoAF)</f>
        <v>0</v>
      </c>
      <c r="DL24" s="698">
        <f t="shared" si="146"/>
        <v>7.97</v>
      </c>
      <c r="DM24" s="560">
        <f t="shared" si="147"/>
        <v>24.27</v>
      </c>
      <c r="DN24" s="560">
        <f>Sheet1!AB26-DM24</f>
        <v>3.0000000000001137E-2</v>
      </c>
      <c r="DO24" s="823">
        <f t="shared" si="148"/>
        <v>1.2360939431397256E-3</v>
      </c>
      <c r="DP24" s="560">
        <f>(VLOOKUP(Sheet1!DC26,hhdcap_wcm,4)-(((VLOOKUP(Sheet1!DC26,hhdcap_wcm,3)-Sheet1!DC26)/(VLOOKUP(Sheet1!DC26,hhdcap_wcm,3)-VLOOKUP(Sheet1!DC26,hhdcap_wcm,1)))*(VLOOKUP(Sheet1!DC26,hhdcap_wcm,4)-VLOOKUP(Sheet1!DC26,hhdcap_wcm,2))))</f>
        <v>4212.2000000096587</v>
      </c>
      <c r="DQ24" s="560">
        <f t="shared" si="149"/>
        <v>1901.8000000038878</v>
      </c>
      <c r="DR24" s="560">
        <f t="shared" si="150"/>
        <v>959.05194150473403</v>
      </c>
      <c r="DS24" s="560">
        <f>Sheet1!EA26*AFtoMG</f>
        <v>0</v>
      </c>
      <c r="DT24" s="560">
        <f>Sheet1!EB26*AFtoMG</f>
        <v>0</v>
      </c>
      <c r="DU24" s="560">
        <f>Sheet1!EC26*AFtoMG</f>
        <v>0</v>
      </c>
      <c r="DV24" s="560">
        <f>Sheet1!ED26*AFtoMG</f>
        <v>0</v>
      </c>
      <c r="DW24" s="560">
        <f t="shared" si="151"/>
        <v>0</v>
      </c>
      <c r="DX24" s="560">
        <f t="shared" si="152"/>
        <v>0</v>
      </c>
      <c r="DY24" s="560">
        <f t="shared" si="153"/>
        <v>0</v>
      </c>
      <c r="DZ24" s="560">
        <f t="shared" si="154"/>
        <v>0</v>
      </c>
      <c r="EA24" s="560"/>
      <c r="EB24" s="545">
        <f>IF(OR(B24&lt;FV24,B24&gt;FW24),(MIN(BF24+BY24+CT24+MAX(Sheet1!AA26+AQ24-73,0),K24)),0)</f>
        <v>7.9798516687268233</v>
      </c>
      <c r="EC24" s="560"/>
      <c r="ED24" s="560">
        <f t="shared" si="155"/>
        <v>7.9798516687268233</v>
      </c>
      <c r="EE24" s="560"/>
      <c r="EF24" s="560">
        <f>Sheet1!EH26+Sheet1!EI26+Sheet1!EJ26+Sheet1!EK26</f>
        <v>7.97</v>
      </c>
      <c r="EG24" s="560"/>
      <c r="EH24" s="545">
        <f t="shared" si="156"/>
        <v>0</v>
      </c>
      <c r="EI24" s="560">
        <f>IF(Sheet1!ET26=1,SUM('Calculations II'!AT24:BA24)+'Calculations II'!BC24+Sheet1!BV26+'Calculations II'!BE24+AP24,SUM('Calculations II'!AT24:BA24)+'Calculations II'!BC24+Sheet1!BV26+'Calculations II'!BE24+AP24)</f>
        <v>47.250240000000005</v>
      </c>
      <c r="EJ24" s="560">
        <f>Sheet1!AA26+Sheet1!AB26+'Calculations II'!BC24</f>
        <v>54.214912000000005</v>
      </c>
      <c r="EK24" s="560"/>
      <c r="EL24" s="560"/>
      <c r="EM24" s="560">
        <f t="shared" si="157"/>
        <v>41652</v>
      </c>
      <c r="EN24" s="560">
        <f t="shared" si="158"/>
        <v>0</v>
      </c>
      <c r="EO24" s="560">
        <f t="shared" si="159"/>
        <v>0</v>
      </c>
      <c r="EP24" s="560">
        <v>0</v>
      </c>
      <c r="EQ24" s="560">
        <v>0</v>
      </c>
      <c r="ER24" s="560">
        <v>0</v>
      </c>
      <c r="ES24" s="545">
        <f t="shared" si="77"/>
        <v>-1.6628556010083109</v>
      </c>
      <c r="ET24" s="560">
        <f>-(VLOOKUP(Sheet1!BQ26,Lookup!$O$4:$Q$262,2)-VLOOKUP(Sheet1!BQ25,Lookup!$O$4:$Q$262,2))/1000000</f>
        <v>-0.83142780050415543</v>
      </c>
      <c r="EU24" s="560">
        <f>-(VLOOKUP(Sheet1!BR26,Lookup!$O$4:$Q$262,3)-VLOOKUP(Sheet1!BR25,Lookup!$O$4:$Q$262,3))/1000000</f>
        <v>-0.83142780050415543</v>
      </c>
      <c r="EV24" s="560"/>
      <c r="EW24" s="560"/>
      <c r="EX24" s="560"/>
      <c r="EY24" s="560"/>
      <c r="EZ24" s="560"/>
      <c r="FA24" s="560"/>
      <c r="FB24" s="560"/>
      <c r="FC24" s="560"/>
      <c r="FD24" s="594" t="e">
        <f t="shared" si="160"/>
        <v>#N/A</v>
      </c>
      <c r="FE24" s="594" t="e">
        <f t="shared" si="161"/>
        <v>#N/A</v>
      </c>
      <c r="FF24" s="595" t="e">
        <f t="shared" si="162"/>
        <v>#N/A</v>
      </c>
      <c r="FG24" s="596" t="s">
        <v>692</v>
      </c>
      <c r="FH24" s="596" t="s">
        <v>692</v>
      </c>
      <c r="FI24" s="594" t="e">
        <v>#N/A</v>
      </c>
      <c r="FJ24" s="594" t="e">
        <v>#N/A</v>
      </c>
      <c r="FK24" s="560"/>
      <c r="FL24" s="560"/>
      <c r="FM24" s="560"/>
      <c r="FN24" s="560"/>
      <c r="FO24" s="560">
        <f>O24+((Sheet1!CS26)*GPMtoMGD)</f>
        <v>54.214912000000005</v>
      </c>
      <c r="FP24" s="560">
        <f>IF(Sheet1!AA26+AQ24&lt;=Calculation!N24,AQ24,Calculation!N24-Sheet1!AA26)</f>
        <v>15.318912237330039</v>
      </c>
      <c r="FQ24" s="560">
        <f>(Sheet1!BP26+Sheet1!BO26)/694.4</f>
        <v>1.3715437788018434</v>
      </c>
      <c r="FR24" s="560"/>
      <c r="FS24" s="560"/>
      <c r="FT24" s="560"/>
      <c r="FU24" s="560"/>
      <c r="FV24" s="695">
        <f t="shared" si="80"/>
        <v>41827</v>
      </c>
      <c r="FW24" s="695">
        <f t="shared" si="81"/>
        <v>41934</v>
      </c>
      <c r="FX24" s="560"/>
      <c r="FY24" s="560"/>
      <c r="FZ24" s="560"/>
      <c r="GA24" s="560"/>
      <c r="GB24" s="560" t="str">
        <f t="shared" si="82"/>
        <v>n</v>
      </c>
      <c r="GC24" s="564">
        <f t="shared" si="83"/>
        <v>41691</v>
      </c>
      <c r="GD24" s="695">
        <f t="shared" si="84"/>
        <v>41807</v>
      </c>
      <c r="GE24" s="560">
        <v>6518.9</v>
      </c>
      <c r="GF24" s="695">
        <f t="shared" si="85"/>
        <v>41808</v>
      </c>
      <c r="GG24" s="560">
        <f t="shared" si="163"/>
        <v>3259</v>
      </c>
      <c r="GH24" s="564">
        <f t="shared" si="87"/>
        <v>41934</v>
      </c>
      <c r="GJ24" s="545">
        <f t="shared" si="88"/>
        <v>0</v>
      </c>
      <c r="GK24" s="560" t="str">
        <f t="shared" si="164"/>
        <v/>
      </c>
      <c r="GL24" s="560">
        <f t="shared" si="89"/>
        <v>0</v>
      </c>
      <c r="GM24" s="560" t="str">
        <f t="shared" si="90"/>
        <v/>
      </c>
      <c r="GN24" s="560">
        <f>IF(GK24="P",Lookup!$M$12,IF(GK24="PP",Lookup!$M$13,IF(GK24="PPP",Lookup!$M$14,IF(GK24="T",Lookup!$M$15,IF(GK24="TP",Lookup!$M$16,IF(GK24="TPP",Lookup!$M$17,IF(GK24="TPPP",Lookup!$M$18,0)))))))*GJ24</f>
        <v>0</v>
      </c>
      <c r="GO24" s="560">
        <f t="shared" si="91"/>
        <v>0</v>
      </c>
      <c r="GP24" s="560">
        <f t="shared" si="165"/>
        <v>0</v>
      </c>
      <c r="GQ24" s="560">
        <f t="shared" si="99"/>
        <v>0</v>
      </c>
      <c r="GR24" s="560"/>
      <c r="GS24" s="560">
        <f t="shared" si="92"/>
        <v>0</v>
      </c>
      <c r="GT24" s="560" t="str">
        <f t="shared" si="93"/>
        <v/>
      </c>
      <c r="GU24" s="560">
        <f>IF(GK24="P",Lookup!$N$12,IF(GK24="PP",Lookup!$N$13,IF(GK24="PPP",Lookup!$N$14,IF(GK24="T",Lookup!$N$15,IF(GK24="TP",Lookup!$N$16,IF(GK24="TPP",Lookup!$N$17,IF(GK24="TPPP",Lookup!$N$18,0)))))))*GJ24</f>
        <v>0</v>
      </c>
      <c r="GV24" s="560">
        <f t="shared" si="57"/>
        <v>0</v>
      </c>
      <c r="GW24" s="560">
        <f t="shared" si="166"/>
        <v>0</v>
      </c>
      <c r="GX24" s="560">
        <f t="shared" si="100"/>
        <v>0</v>
      </c>
      <c r="GY24" s="560"/>
      <c r="GZ24" s="560">
        <f t="shared" si="94"/>
        <v>0</v>
      </c>
      <c r="HA24" s="560" t="str">
        <f t="shared" si="95"/>
        <v/>
      </c>
      <c r="HB24" s="560">
        <f>IF(GK24="P",Lookup!$N$12,IF(GK24="PP",Lookup!$N$13,IF(GK24="PPP",Lookup!$N$14,IF(GK24="T",Lookup!$N$15,IF(GK24="TP",Lookup!$N$16,IF(GK24="TPP",Lookup!$N$17,IF(GK24="TPPP",Lookup!$N$18,0)))))))*GJ24</f>
        <v>0</v>
      </c>
      <c r="HC24" s="545">
        <f t="shared" si="167"/>
        <v>0</v>
      </c>
      <c r="HD24" s="560">
        <f t="shared" si="168"/>
        <v>0</v>
      </c>
      <c r="HE24" s="560">
        <f t="shared" si="101"/>
        <v>0</v>
      </c>
      <c r="HF24" s="560"/>
      <c r="HG24" s="560">
        <f t="shared" si="96"/>
        <v>0</v>
      </c>
      <c r="HH24" s="560" t="str">
        <f t="shared" si="97"/>
        <v/>
      </c>
      <c r="HI24" s="560">
        <f>IF(GK24="P",Lookup!$N$12,IF(GK24="PP",Lookup!$N$13,IF(GK24="PPP",Lookup!$N$14,IF(GK24="T",Lookup!$N$15,IF(GK24="TP",Lookup!$N$16,IF(GK24="TPP",Lookup!$N$17,IF(GK24="TPPP",Lookup!$N$18,0)))))))*GJ24</f>
        <v>0</v>
      </c>
      <c r="HJ24" s="545">
        <f t="shared" si="169"/>
        <v>0</v>
      </c>
      <c r="HK24" s="560">
        <f t="shared" si="170"/>
        <v>0</v>
      </c>
      <c r="HL24" s="560">
        <f t="shared" si="102"/>
        <v>0</v>
      </c>
      <c r="HM24" s="560"/>
    </row>
    <row r="25" spans="1:221">
      <c r="A25" s="580" t="s">
        <v>5</v>
      </c>
      <c r="B25" s="556">
        <v>41653</v>
      </c>
      <c r="C25" s="561">
        <v>0</v>
      </c>
      <c r="D25" s="529">
        <f t="shared" si="103"/>
        <v>300</v>
      </c>
      <c r="E25" s="529">
        <f t="shared" si="104"/>
        <v>250</v>
      </c>
      <c r="F25" s="529">
        <v>250</v>
      </c>
      <c r="G25" s="560">
        <f>DR25+Sheet1!CZ27</f>
        <v>3660.1916288447437</v>
      </c>
      <c r="H25" s="914">
        <f t="shared" si="2"/>
        <v>2098.9846688852422</v>
      </c>
      <c r="I25" s="559">
        <f>MAX(Sheet1!Z27-AT25+(Sheet1!DA27-E25)*CFStoMGD,0)</f>
        <v>3107.6280000000002</v>
      </c>
      <c r="J25" s="562">
        <f>IF(AND(B25&gt;=Calculation!GC25,B25&lt;=Calculation!GD25),IF(Sheet1!DB27&gt;=Calculation!D25,64.64,0),MAX(Sheet1!Z27-AT25+(Sheet1!DB27-D25)*CFStoMGD,0))</f>
        <v>2234.9880000000003</v>
      </c>
      <c r="K25" s="904">
        <f t="shared" si="105"/>
        <v>64.64</v>
      </c>
      <c r="L25" s="560">
        <f>Sheet1!AA27+Sheet1!AB27-Sheet1!L27+(Sheet1!DA27-F25)*CFStoMGD</f>
        <v>3083.328</v>
      </c>
      <c r="M25" s="560">
        <f t="shared" si="106"/>
        <v>2413.2668262629472</v>
      </c>
      <c r="N25" s="910">
        <f>IF(Sheet1!DA27&gt;=F25,MIN(73,MIN(MAX(L25,0),MAX(M25,0))),0)</f>
        <v>73</v>
      </c>
      <c r="O25" s="563">
        <f>Sheet1!AA27+Sheet1!AB27</f>
        <v>43.8</v>
      </c>
      <c r="P25" s="563">
        <f t="shared" si="107"/>
        <v>67.758600000000001</v>
      </c>
      <c r="Q25" s="898">
        <f t="shared" si="63"/>
        <v>0</v>
      </c>
      <c r="R25" s="829">
        <f t="shared" si="108"/>
        <v>7.9913263612217822</v>
      </c>
      <c r="S25" s="898">
        <f t="shared" si="65"/>
        <v>43.8</v>
      </c>
      <c r="T25" s="898">
        <f t="shared" si="66"/>
        <v>0</v>
      </c>
      <c r="U25" s="898">
        <f t="shared" si="6"/>
        <v>0</v>
      </c>
      <c r="V25" s="898"/>
      <c r="W25" s="898">
        <f t="shared" si="67"/>
        <v>56.64867363877822</v>
      </c>
      <c r="X25" s="898">
        <f t="shared" si="68"/>
        <v>43.8</v>
      </c>
      <c r="Y25" s="898" t="str">
        <f t="shared" si="69"/>
        <v/>
      </c>
      <c r="Z25" s="898">
        <f t="shared" si="70"/>
        <v>43.8</v>
      </c>
      <c r="AA25" s="898">
        <f t="shared" si="71"/>
        <v>43.8</v>
      </c>
      <c r="AB25" s="898" t="str">
        <f t="shared" si="72"/>
        <v/>
      </c>
      <c r="AC25" s="563">
        <f>Sheet1!Y27*MGDtoCFS</f>
        <v>30.785299999999996</v>
      </c>
      <c r="AD25" s="563">
        <f>Sheet1!Z27*MGDtoCFS</f>
        <v>37.592100000000002</v>
      </c>
      <c r="AE25" s="563">
        <f>Sheet1!AA27*MGDtoCFS</f>
        <v>30.475899999999996</v>
      </c>
      <c r="AF25" s="563">
        <f>Sheet1!AB27*MGDtoCFS</f>
        <v>37.282699999999998</v>
      </c>
      <c r="AG25" s="563">
        <f>Sheet1!L27*MGDtoCFS</f>
        <v>67.758599999999987</v>
      </c>
      <c r="AH25" s="545">
        <f t="shared" si="109"/>
        <v>0</v>
      </c>
      <c r="AI25" s="560">
        <f t="shared" si="110"/>
        <v>0</v>
      </c>
      <c r="AJ25" s="560">
        <f t="shared" si="111"/>
        <v>0</v>
      </c>
      <c r="AK25" s="560">
        <f t="shared" si="112"/>
        <v>0</v>
      </c>
      <c r="AL25" s="560">
        <f>(VLOOKUP(Sheet1!DC27,hhdcap_wcm,4)-(((VLOOKUP(Sheet1!DC27,hhdcap_wcm,3)-Sheet1!DC27)/(VLOOKUP(Sheet1!DC27,hhdcap_wcm,3)-VLOOKUP(Sheet1!DC27,hhdcap_wcm,1)))*(VLOOKUP(Sheet1!DC27,hhdcap_wcm,4)-VLOOKUP(Sheet1!DC27,hhdcap_wcm,2))))</f>
        <v>3697.0000000087857</v>
      </c>
      <c r="AM25" s="560">
        <f t="shared" si="113"/>
        <v>-515.20000000087293</v>
      </c>
      <c r="AN25" s="560">
        <f t="shared" si="114"/>
        <v>0</v>
      </c>
      <c r="AO25" s="560">
        <f t="shared" si="115"/>
        <v>0</v>
      </c>
      <c r="AP25" s="560">
        <f>Sheet1!BA27+Sheet1!BB27+Sheet1!BN27+CD25</f>
        <v>16.105999999999998</v>
      </c>
      <c r="AQ25" s="560">
        <f>Sheet1!BN27+(DO25*Sheet1!BN27)</f>
        <v>15.102506640106244</v>
      </c>
      <c r="AR25" s="560">
        <f>Sheet1!BA27+CD25</f>
        <v>0</v>
      </c>
      <c r="AS25" s="560">
        <f>Sheet1!BA27+Sheet1!BB27+CD25</f>
        <v>1.006</v>
      </c>
      <c r="AT25" s="698">
        <f>0</f>
        <v>0</v>
      </c>
      <c r="AU25" s="560">
        <f>IF(EB25&lt;K25,0,MAX(Sheet1!AA27+AQ25-15/36*K25-N25,Sheet1!EH27,0))</f>
        <v>0</v>
      </c>
      <c r="AV25" s="560">
        <f>IF(OR(B25&gt;=GD25,B25&lt;GC25),0,15/36*K25-MAX(0,64.6-(137.6-(Sheet1!AA27+Sheet1!AB27))))</f>
        <v>0</v>
      </c>
      <c r="AW25" s="698">
        <f>Sheet1!DB27-110</f>
        <v>3610</v>
      </c>
      <c r="AX25" s="698">
        <f>Sheet1!DA27-265</f>
        <v>4755</v>
      </c>
      <c r="AY25" s="698">
        <f t="shared" si="116"/>
        <v>73</v>
      </c>
      <c r="AZ25" s="698">
        <v>0</v>
      </c>
      <c r="BA25" s="698">
        <f t="shared" si="117"/>
        <v>0</v>
      </c>
      <c r="BB25" s="560">
        <f t="shared" si="118"/>
        <v>0</v>
      </c>
      <c r="BC25" s="560"/>
      <c r="BD25" s="560">
        <f ca="1">IF(B25&gt;Summary!$A$1,#N/A,BB25*MGtoAF)</f>
        <v>0</v>
      </c>
      <c r="BE25" s="560">
        <f>Sheet1!BG27+Sheet1!BH27+Sheet1!BI27-BM25</f>
        <v>0</v>
      </c>
      <c r="BF25" s="560">
        <f t="shared" si="119"/>
        <v>0</v>
      </c>
      <c r="BG25" s="560">
        <f>IF(Sheet1!EP27="FM",BM25,0)</f>
        <v>0</v>
      </c>
      <c r="BH25" s="560">
        <f t="shared" si="120"/>
        <v>0</v>
      </c>
      <c r="BI25" s="560">
        <f>IF(Sheet1!EP27="OTHER",BM25,0)</f>
        <v>0</v>
      </c>
      <c r="BJ25" s="560">
        <f t="shared" si="121"/>
        <v>0</v>
      </c>
      <c r="BK25" s="560">
        <f t="shared" si="122"/>
        <v>0</v>
      </c>
      <c r="BL25" s="560">
        <f t="shared" si="123"/>
        <v>0</v>
      </c>
      <c r="BM25" s="560">
        <f>IF(OR(Sheet1!EP27="FM", Sheet1!EP27="OTHER"),SUM(Sheet1!BG27:'Sheet1'!BI27),0)</f>
        <v>0</v>
      </c>
      <c r="BN25" s="545">
        <f>IF(AND($B25&gt;=$FV25,$B25&lt;=$FW25),MAX(BF25,Sheet1!EI27,0),MAX(BF25-(7/36)*$K25,0))</f>
        <v>0</v>
      </c>
      <c r="BO25" s="560">
        <f t="shared" si="124"/>
        <v>0</v>
      </c>
      <c r="BP25" s="545">
        <f t="shared" si="125"/>
        <v>0</v>
      </c>
      <c r="BQ25" s="545">
        <f>IF(AND($O25&gt;0,Sheet1!EM27=1),(1-($O25-Sheet1!$L27)/$O25)*BL25,0)</f>
        <v>0</v>
      </c>
      <c r="BR25" s="545">
        <f>IF(AND(Sheet1!$L27=0,Sheet1!$L26=0, Calculation!BK25&lt;Sheet1!$EI27-0.1,Sheet1!$EI27=Sheet1!$EI26,Sheet1!$EI27=Sheet1!$EI28),Sheet1!$EI27,BL25-BQ25)</f>
        <v>0</v>
      </c>
      <c r="BS25" s="560"/>
      <c r="BT25" s="560"/>
      <c r="BU25" s="560">
        <f t="shared" si="126"/>
        <v>0</v>
      </c>
      <c r="BV25" s="560"/>
      <c r="BW25" s="560">
        <f ca="1">IF(B25&gt;Summary!$A$1,#N/A,BU25*MGtoAF)</f>
        <v>0</v>
      </c>
      <c r="BX25" s="560">
        <f>Sheet1!BC27+Sheet1!BD27+Sheet1!BE27+Sheet1!BF27-CG25-CH25</f>
        <v>2.5</v>
      </c>
      <c r="BY25" s="560">
        <f t="shared" si="127"/>
        <v>2.500415006640107</v>
      </c>
      <c r="BZ25" s="560">
        <f>IF(Sheet1!EQ27="FM",CH25,0)</f>
        <v>0</v>
      </c>
      <c r="CA25" s="560">
        <f t="shared" si="128"/>
        <v>0</v>
      </c>
      <c r="CB25" s="560">
        <f>IF(Sheet1!EQ27="OTHER",CH25,0)</f>
        <v>0</v>
      </c>
      <c r="CC25" s="560">
        <f t="shared" si="129"/>
        <v>0</v>
      </c>
      <c r="CD25" s="560">
        <f t="shared" si="130"/>
        <v>0</v>
      </c>
      <c r="CE25" s="560">
        <f t="shared" si="131"/>
        <v>2.5</v>
      </c>
      <c r="CF25" s="560">
        <f t="shared" si="132"/>
        <v>2.500415006640107</v>
      </c>
      <c r="CG25" s="560">
        <f>IF(Sheet1!EQ27="CWA",SUM(Sheet1!BC27:'Sheet1'!BF27),0)</f>
        <v>0</v>
      </c>
      <c r="CH25" s="560">
        <f>IF(OR(Sheet1!EQ27="FM", Sheet1!EQ27="OTHER"),SUM(Sheet1!BC27:'Sheet1'!BF27),0)</f>
        <v>0</v>
      </c>
      <c r="CI25" s="545">
        <f>IF(AND($B25&gt;=$FV25,$B25&lt;=$FW25),MAX(CF25,Sheet1!EJ27,0),MAX(CF25-(7/36)*$K25,0))</f>
        <v>0</v>
      </c>
      <c r="CJ25" s="560">
        <f t="shared" si="133"/>
        <v>0</v>
      </c>
      <c r="CK25" s="545">
        <f t="shared" si="134"/>
        <v>2.500415006640107</v>
      </c>
      <c r="CL25" s="545">
        <f>IF(AND($O25&gt;0,Sheet1!EN27=1),(1-($O25-Sheet1!$L27)/$O25)*CF25,0)</f>
        <v>0</v>
      </c>
      <c r="CM25" s="545">
        <f>IF(AND(Sheet1!$L27=0,Sheet1!$L26=0, Calculation!CE25&lt;Sheet1!EJ27-0.1,Sheet1!EJ27=Sheet1!EJ26,Sheet1!EJ27=Sheet1!EJ28),Sheet1!EJ27,CF25-CL25)</f>
        <v>2.500415006640107</v>
      </c>
      <c r="CN25" s="545"/>
      <c r="CO25" s="560"/>
      <c r="CP25" s="560">
        <f t="shared" si="135"/>
        <v>0</v>
      </c>
      <c r="CQ25" s="560"/>
      <c r="CR25" s="560">
        <f ca="1">IF(B25&gt;Summary!$A$1,#N/A,CP25*MGtoAF)</f>
        <v>0</v>
      </c>
      <c r="CS25" s="560">
        <f>Sheet1!BK27+Sheet1!BL27+Sheet1!BM27-Sheet1!ER27-DA25</f>
        <v>5.49</v>
      </c>
      <c r="CT25" s="560">
        <f t="shared" si="136"/>
        <v>5.4909113545816748</v>
      </c>
      <c r="CU25" s="560">
        <f>IF(Sheet1!ER27="FM",DA25,0)</f>
        <v>0</v>
      </c>
      <c r="CV25" s="560">
        <f t="shared" si="137"/>
        <v>0</v>
      </c>
      <c r="CW25" s="560">
        <f>IF(Sheet1!ER27="OTHER",DA25,0)</f>
        <v>0</v>
      </c>
      <c r="CX25" s="560">
        <f t="shared" si="138"/>
        <v>0</v>
      </c>
      <c r="CY25" s="560">
        <f t="shared" si="139"/>
        <v>5.49</v>
      </c>
      <c r="CZ25" s="560">
        <f t="shared" si="140"/>
        <v>5.4909113545816748</v>
      </c>
      <c r="DA25" s="560">
        <f>IF(OR(Sheet1!ER27="FM", Sheet1!ER27="OTHER"),SUM(Sheet1!BK27:'Sheet1'!BM27),0)</f>
        <v>0</v>
      </c>
      <c r="DB25" s="545">
        <f>IF(AND($B25&gt;=$FV25,$B25&lt;=$FW25),MAX($CT25,Sheet1!EK27,0),MAX($CT25-(7/36)*$K25,0))</f>
        <v>0</v>
      </c>
      <c r="DC25" s="560">
        <f t="shared" si="141"/>
        <v>0</v>
      </c>
      <c r="DD25" s="545">
        <f t="shared" si="142"/>
        <v>5.4909113545816748</v>
      </c>
      <c r="DE25" s="545">
        <f>IF(AND($O25&gt;0,Sheet1!EO27=1),(1-($O25-Sheet1!$L27)/$O25)*CZ25,0)</f>
        <v>0</v>
      </c>
      <c r="DF25" s="545">
        <f>IF(AND(Sheet1!$L27=0,Sheet1!$L26=0, Calculation!CY25&lt;Sheet1!$EK27-0.1,Sheet1!$EK27=Sheet1!$EK26,Sheet1!$EK27=Sheet1!$EK28),Sheet1!$EK27,CZ25-DE25)</f>
        <v>5.4909113545816748</v>
      </c>
      <c r="DG25" s="545"/>
      <c r="DH25" s="560">
        <f t="shared" si="143"/>
        <v>7.99</v>
      </c>
      <c r="DI25" s="560">
        <f t="shared" si="144"/>
        <v>0</v>
      </c>
      <c r="DJ25" s="698">
        <f t="shared" si="145"/>
        <v>7.9913263612217822</v>
      </c>
      <c r="DK25" s="560">
        <f ca="1">IF(B25&gt;Summary!$A$1,#N/A,DI25*MGtoAF)</f>
        <v>0</v>
      </c>
      <c r="DL25" s="698">
        <f t="shared" si="146"/>
        <v>7.99</v>
      </c>
      <c r="DM25" s="560">
        <f t="shared" si="147"/>
        <v>24.095999999999997</v>
      </c>
      <c r="DN25" s="560">
        <f>Sheet1!AB27-DM25</f>
        <v>4.0000000000048885E-3</v>
      </c>
      <c r="DO25" s="823">
        <f t="shared" si="148"/>
        <v>1.6600265604269958E-4</v>
      </c>
      <c r="DP25" s="560">
        <f>(VLOOKUP(Sheet1!DC27,hhdcap_wcm,4)-(((VLOOKUP(Sheet1!DC27,hhdcap_wcm,3)-Sheet1!DC27)/(VLOOKUP(Sheet1!DC27,hhdcap_wcm,3)-VLOOKUP(Sheet1!DC27,hhdcap_wcm,1)))*(VLOOKUP(Sheet1!DC27,hhdcap_wcm,4)-VLOOKUP(Sheet1!DC27,hhdcap_wcm,2))))</f>
        <v>3697.0000000087857</v>
      </c>
      <c r="DQ25" s="560">
        <f t="shared" si="149"/>
        <v>-515.20000000087293</v>
      </c>
      <c r="DR25" s="560">
        <f t="shared" si="150"/>
        <v>-259.80837115525611</v>
      </c>
      <c r="DS25" s="560">
        <f>Sheet1!EA27*AFtoMG</f>
        <v>0</v>
      </c>
      <c r="DT25" s="560">
        <f>Sheet1!EB27*AFtoMG</f>
        <v>0</v>
      </c>
      <c r="DU25" s="560">
        <f>Sheet1!EC27*AFtoMG</f>
        <v>0</v>
      </c>
      <c r="DV25" s="560">
        <f>Sheet1!ED27*AFtoMG</f>
        <v>0</v>
      </c>
      <c r="DW25" s="560">
        <f t="shared" si="151"/>
        <v>0</v>
      </c>
      <c r="DX25" s="560">
        <f t="shared" si="152"/>
        <v>0</v>
      </c>
      <c r="DY25" s="560">
        <f t="shared" si="153"/>
        <v>0</v>
      </c>
      <c r="DZ25" s="560">
        <f t="shared" si="154"/>
        <v>0</v>
      </c>
      <c r="EA25" s="560"/>
      <c r="EB25" s="545">
        <f>IF(OR(B25&lt;FV25,B25&gt;FW25),(MIN(BF25+BY25+CT25+MAX(Sheet1!AA27+AQ25-73,0),K25)),0)</f>
        <v>7.9913263612217822</v>
      </c>
      <c r="EC25" s="560"/>
      <c r="ED25" s="560">
        <f t="shared" si="155"/>
        <v>7.9913263612217822</v>
      </c>
      <c r="EE25" s="560"/>
      <c r="EF25" s="560">
        <f>Sheet1!EH27+Sheet1!EI27+Sheet1!EJ27+Sheet1!EK27</f>
        <v>7.99</v>
      </c>
      <c r="EG25" s="560"/>
      <c r="EH25" s="545">
        <f t="shared" si="156"/>
        <v>0</v>
      </c>
      <c r="EI25" s="560">
        <f>IF(Sheet1!ET27=1,SUM('Calculations II'!AT25:BA25)+'Calculations II'!BC25+Sheet1!BV27+'Calculations II'!BE25+AP25,SUM('Calculations II'!AT25:BA25)+'Calculations II'!BC25+Sheet1!BV27+'Calculations II'!BE25+AP25)</f>
        <v>47.147072000000001</v>
      </c>
      <c r="EJ25" s="560">
        <f>Sheet1!AA27+Sheet1!AB27+'Calculations II'!BC25</f>
        <v>50.697744</v>
      </c>
      <c r="EK25" s="560"/>
      <c r="EL25" s="560"/>
      <c r="EM25" s="560">
        <f t="shared" si="157"/>
        <v>41653</v>
      </c>
      <c r="EN25" s="560">
        <f t="shared" si="158"/>
        <v>0</v>
      </c>
      <c r="EO25" s="560">
        <f t="shared" si="159"/>
        <v>0</v>
      </c>
      <c r="EP25" s="560">
        <v>0</v>
      </c>
      <c r="EQ25" s="560">
        <v>0</v>
      </c>
      <c r="ER25" s="560">
        <v>0</v>
      </c>
      <c r="ES25" s="545">
        <f t="shared" si="77"/>
        <v>1.9399533307432457</v>
      </c>
      <c r="ET25" s="560">
        <f>-(VLOOKUP(Sheet1!BQ27,Lookup!$O$4:$Q$262,2)-VLOOKUP(Sheet1!BQ26,Lookup!$O$4:$Q$262,2))/1000000</f>
        <v>0.96997666537162286</v>
      </c>
      <c r="EU25" s="560">
        <f>-(VLOOKUP(Sheet1!BR27,Lookup!$O$4:$Q$262,3)-VLOOKUP(Sheet1!BR26,Lookup!$O$4:$Q$262,3))/1000000</f>
        <v>0.96997666537162286</v>
      </c>
      <c r="EV25" s="560"/>
      <c r="EW25" s="560"/>
      <c r="EX25" s="560"/>
      <c r="EY25" s="560"/>
      <c r="EZ25" s="560"/>
      <c r="FA25" s="560"/>
      <c r="FB25" s="560"/>
      <c r="FC25" s="560"/>
      <c r="FD25" s="594" t="e">
        <f t="shared" si="160"/>
        <v>#N/A</v>
      </c>
      <c r="FE25" s="594" t="e">
        <f t="shared" si="161"/>
        <v>#N/A</v>
      </c>
      <c r="FF25" s="595" t="e">
        <f t="shared" si="162"/>
        <v>#N/A</v>
      </c>
      <c r="FG25" s="596" t="s">
        <v>692</v>
      </c>
      <c r="FH25" s="596" t="s">
        <v>692</v>
      </c>
      <c r="FI25" s="594" t="e">
        <v>#N/A</v>
      </c>
      <c r="FJ25" s="594" t="e">
        <v>#N/A</v>
      </c>
      <c r="FK25" s="560"/>
      <c r="FL25" s="560"/>
      <c r="FM25" s="560"/>
      <c r="FN25" s="560"/>
      <c r="FO25" s="560">
        <f>O25+((Sheet1!CS27)*GPMtoMGD)</f>
        <v>50.697744</v>
      </c>
      <c r="FP25" s="560">
        <f>IF(Sheet1!AA27+AQ25&lt;=Calculation!N25,AQ25,Calculation!N25-Sheet1!AA27)</f>
        <v>15.102506640106244</v>
      </c>
      <c r="FQ25" s="560">
        <f>(Sheet1!BP27+Sheet1!BO27)/694.4</f>
        <v>1.3966013824884793</v>
      </c>
      <c r="FR25" s="560"/>
      <c r="FS25" s="560"/>
      <c r="FT25" s="560"/>
      <c r="FU25" s="560"/>
      <c r="FV25" s="695">
        <f t="shared" si="80"/>
        <v>41827</v>
      </c>
      <c r="FW25" s="695">
        <f t="shared" si="81"/>
        <v>41934</v>
      </c>
      <c r="FX25" s="560"/>
      <c r="FY25" s="560"/>
      <c r="FZ25" s="560"/>
      <c r="GA25" s="560"/>
      <c r="GB25" s="560" t="str">
        <f t="shared" si="82"/>
        <v>n</v>
      </c>
      <c r="GC25" s="564">
        <f t="shared" si="83"/>
        <v>41691</v>
      </c>
      <c r="GD25" s="695">
        <f t="shared" si="84"/>
        <v>41807</v>
      </c>
      <c r="GE25" s="560">
        <v>6518.9</v>
      </c>
      <c r="GF25" s="695">
        <f t="shared" si="85"/>
        <v>41808</v>
      </c>
      <c r="GG25" s="560">
        <f t="shared" si="163"/>
        <v>3259</v>
      </c>
      <c r="GH25" s="564">
        <f t="shared" si="87"/>
        <v>41934</v>
      </c>
      <c r="GJ25" s="545">
        <f t="shared" si="88"/>
        <v>0</v>
      </c>
      <c r="GK25" s="560" t="str">
        <f t="shared" si="164"/>
        <v/>
      </c>
      <c r="GL25" s="560">
        <f t="shared" si="89"/>
        <v>0</v>
      </c>
      <c r="GM25" s="560" t="str">
        <f t="shared" si="90"/>
        <v/>
      </c>
      <c r="GN25" s="560">
        <f>IF(GK25="P",Lookup!$M$12,IF(GK25="PP",Lookup!$M$13,IF(GK25="PPP",Lookup!$M$14,IF(GK25="T",Lookup!$M$15,IF(GK25="TP",Lookup!$M$16,IF(GK25="TPP",Lookup!$M$17,IF(GK25="TPPP",Lookup!$M$18,0)))))))*GJ25</f>
        <v>0</v>
      </c>
      <c r="GO25" s="560">
        <f t="shared" si="91"/>
        <v>0</v>
      </c>
      <c r="GP25" s="560">
        <f t="shared" si="165"/>
        <v>0</v>
      </c>
      <c r="GQ25" s="560">
        <f t="shared" si="99"/>
        <v>0</v>
      </c>
      <c r="GR25" s="560"/>
      <c r="GS25" s="560">
        <f t="shared" si="92"/>
        <v>0</v>
      </c>
      <c r="GT25" s="560" t="str">
        <f t="shared" si="93"/>
        <v/>
      </c>
      <c r="GU25" s="560">
        <f>IF(GK25="P",Lookup!$N$12,IF(GK25="PP",Lookup!$N$13,IF(GK25="PPP",Lookup!$N$14,IF(GK25="T",Lookup!$N$15,IF(GK25="TP",Lookup!$N$16,IF(GK25="TPP",Lookup!$N$17,IF(GK25="TPPP",Lookup!$N$18,0)))))))*GJ25</f>
        <v>0</v>
      </c>
      <c r="GV25" s="560">
        <f t="shared" si="57"/>
        <v>0</v>
      </c>
      <c r="GW25" s="560">
        <f t="shared" si="166"/>
        <v>0</v>
      </c>
      <c r="GX25" s="560">
        <f t="shared" si="100"/>
        <v>0</v>
      </c>
      <c r="GY25" s="560"/>
      <c r="GZ25" s="560">
        <f t="shared" si="94"/>
        <v>0</v>
      </c>
      <c r="HA25" s="560" t="str">
        <f t="shared" si="95"/>
        <v/>
      </c>
      <c r="HB25" s="560">
        <f>IF(GK25="P",Lookup!$N$12,IF(GK25="PP",Lookup!$N$13,IF(GK25="PPP",Lookup!$N$14,IF(GK25="T",Lookup!$N$15,IF(GK25="TP",Lookup!$N$16,IF(GK25="TPP",Lookup!$N$17,IF(GK25="TPPP",Lookup!$N$18,0)))))))*GJ25</f>
        <v>0</v>
      </c>
      <c r="HC25" s="545">
        <f t="shared" si="167"/>
        <v>0</v>
      </c>
      <c r="HD25" s="560">
        <f t="shared" si="168"/>
        <v>0</v>
      </c>
      <c r="HE25" s="560">
        <f t="shared" si="101"/>
        <v>0</v>
      </c>
      <c r="HF25" s="560"/>
      <c r="HG25" s="560">
        <f t="shared" si="96"/>
        <v>0</v>
      </c>
      <c r="HH25" s="560" t="str">
        <f t="shared" si="97"/>
        <v/>
      </c>
      <c r="HI25" s="560">
        <f>IF(GK25="P",Lookup!$N$12,IF(GK25="PP",Lookup!$N$13,IF(GK25="PPP",Lookup!$N$14,IF(GK25="T",Lookup!$N$15,IF(GK25="TP",Lookup!$N$16,IF(GK25="TPP",Lookup!$N$17,IF(GK25="TPPP",Lookup!$N$18,0)))))))*GJ25</f>
        <v>0</v>
      </c>
      <c r="HJ25" s="545">
        <f t="shared" si="169"/>
        <v>0</v>
      </c>
      <c r="HK25" s="560">
        <f t="shared" si="170"/>
        <v>0</v>
      </c>
      <c r="HL25" s="560">
        <f t="shared" si="102"/>
        <v>0</v>
      </c>
      <c r="HM25" s="560"/>
    </row>
    <row r="26" spans="1:221">
      <c r="A26" s="580" t="s">
        <v>6</v>
      </c>
      <c r="B26" s="556">
        <v>41654</v>
      </c>
      <c r="C26" s="561">
        <v>0</v>
      </c>
      <c r="D26" s="529">
        <f t="shared" si="103"/>
        <v>300</v>
      </c>
      <c r="E26" s="529">
        <f t="shared" si="104"/>
        <v>250</v>
      </c>
      <c r="F26" s="529">
        <v>250</v>
      </c>
      <c r="G26" s="560">
        <f>DR26+Sheet1!CZ28</f>
        <v>2373.2375189090203</v>
      </c>
      <c r="H26" s="914">
        <f t="shared" si="2"/>
        <v>1267.0975322227907</v>
      </c>
      <c r="I26" s="559">
        <f>MAX(Sheet1!Z28-AT26+(Sheet1!DA28-E26)*CFStoMGD,0)</f>
        <v>2467.4919999999997</v>
      </c>
      <c r="J26" s="562">
        <f>IF(AND(B26&gt;=Calculation!GC26,B26&lt;=Calculation!GD26),IF(Sheet1!DB28&gt;=Calculation!D26,64.64,0),MAX(Sheet1!Z28-AT26+(Sheet1!DB28-D26)*CFStoMGD,0))</f>
        <v>1743.5239999999999</v>
      </c>
      <c r="K26" s="904">
        <f t="shared" si="105"/>
        <v>64.64</v>
      </c>
      <c r="L26" s="560">
        <f>Sheet1!AA28+Sheet1!AB28-Sheet1!L28+(Sheet1!DA28-F26)*CFStoMGD</f>
        <v>2443.3919999999998</v>
      </c>
      <c r="M26" s="560">
        <f t="shared" si="106"/>
        <v>1564.7419468672465</v>
      </c>
      <c r="N26" s="910">
        <f>IF(Sheet1!DA28&gt;=F26,MIN(73,MIN(MAX(L26,0),MAX(M26,0))),0)</f>
        <v>73</v>
      </c>
      <c r="O26" s="563">
        <f>Sheet1!AA28+Sheet1!AB28</f>
        <v>43.900000000000006</v>
      </c>
      <c r="P26" s="563">
        <f t="shared" si="107"/>
        <v>67.913299999999992</v>
      </c>
      <c r="Q26" s="898">
        <f t="shared" si="63"/>
        <v>0</v>
      </c>
      <c r="R26" s="829">
        <f t="shared" si="108"/>
        <v>7.9933167289331664</v>
      </c>
      <c r="S26" s="898">
        <f t="shared" si="65"/>
        <v>43.900000000000006</v>
      </c>
      <c r="T26" s="898">
        <f t="shared" si="66"/>
        <v>0</v>
      </c>
      <c r="U26" s="898">
        <f t="shared" si="6"/>
        <v>0</v>
      </c>
      <c r="V26" s="898"/>
      <c r="W26" s="898">
        <f t="shared" si="67"/>
        <v>56.646683271066834</v>
      </c>
      <c r="X26" s="898">
        <f t="shared" si="68"/>
        <v>43.900000000000006</v>
      </c>
      <c r="Y26" s="898" t="str">
        <f t="shared" si="69"/>
        <v/>
      </c>
      <c r="Z26" s="898">
        <f t="shared" si="70"/>
        <v>43.900000000000006</v>
      </c>
      <c r="AA26" s="898">
        <f t="shared" si="71"/>
        <v>43.900000000000006</v>
      </c>
      <c r="AB26" s="898" t="str">
        <f t="shared" si="72"/>
        <v/>
      </c>
      <c r="AC26" s="563">
        <f>Sheet1!Y28*MGDtoCFS</f>
        <v>30.475899999999996</v>
      </c>
      <c r="AD26" s="563">
        <f>Sheet1!Z28*MGDtoCFS</f>
        <v>37.282699999999998</v>
      </c>
      <c r="AE26" s="563">
        <f>Sheet1!AA28*MGDtoCFS</f>
        <v>30.630600000000001</v>
      </c>
      <c r="AF26" s="563">
        <f>Sheet1!AB28*MGDtoCFS</f>
        <v>37.282699999999998</v>
      </c>
      <c r="AG26" s="563">
        <f>Sheet1!L28*MGDtoCFS</f>
        <v>67.913300000000007</v>
      </c>
      <c r="AH26" s="545">
        <f t="shared" si="109"/>
        <v>0</v>
      </c>
      <c r="AI26" s="560">
        <f t="shared" si="110"/>
        <v>0</v>
      </c>
      <c r="AJ26" s="560">
        <f t="shared" si="111"/>
        <v>0</v>
      </c>
      <c r="AK26" s="560">
        <f t="shared" si="112"/>
        <v>0</v>
      </c>
      <c r="AL26" s="560">
        <f>(VLOOKUP(Sheet1!DC28,hhdcap_wcm,4)-(((VLOOKUP(Sheet1!DC28,hhdcap_wcm,3)-Sheet1!DC28)/(VLOOKUP(Sheet1!DC28,hhdcap_wcm,3)-VLOOKUP(Sheet1!DC28,hhdcap_wcm,1)))*(VLOOKUP(Sheet1!DC28,hhdcap_wcm,4)-VLOOKUP(Sheet1!DC28,hhdcap_wcm,2))))</f>
        <v>2236.0000000053728</v>
      </c>
      <c r="AM26" s="560">
        <f t="shared" si="113"/>
        <v>-1461.0000000034129</v>
      </c>
      <c r="AN26" s="560">
        <f t="shared" si="114"/>
        <v>0</v>
      </c>
      <c r="AO26" s="560">
        <f t="shared" si="115"/>
        <v>0</v>
      </c>
      <c r="AP26" s="560">
        <f>Sheet1!BA28+Sheet1!BB28+Sheet1!BN28+CD26</f>
        <v>16.100000000000001</v>
      </c>
      <c r="AQ26" s="560">
        <f>Sheet1!BN28+(DO26*Sheet1!BN28)</f>
        <v>15.10626816106268</v>
      </c>
      <c r="AR26" s="560">
        <f>Sheet1!BA28+CD26</f>
        <v>0</v>
      </c>
      <c r="AS26" s="560">
        <f>Sheet1!BA28+Sheet1!BB28+CD26</f>
        <v>1</v>
      </c>
      <c r="AT26" s="698">
        <f>0</f>
        <v>0</v>
      </c>
      <c r="AU26" s="560">
        <f>IF(EB26&lt;K26,0,MAX(Sheet1!AA28+AQ26-15/36*K26-N26,Sheet1!EH28,0))</f>
        <v>0</v>
      </c>
      <c r="AV26" s="560">
        <f>IF(OR(B26&gt;=GD26,B26&lt;GC26),0,15/36*K26-MAX(0,64.6-(137.6-(Sheet1!AA28+Sheet1!AB28))))</f>
        <v>0</v>
      </c>
      <c r="AW26" s="698">
        <f>Sheet1!DB28-110</f>
        <v>2850</v>
      </c>
      <c r="AX26" s="698">
        <f>Sheet1!DA28-265</f>
        <v>3765</v>
      </c>
      <c r="AY26" s="698">
        <f t="shared" si="116"/>
        <v>73</v>
      </c>
      <c r="AZ26" s="698">
        <v>0</v>
      </c>
      <c r="BA26" s="698">
        <f t="shared" si="117"/>
        <v>0</v>
      </c>
      <c r="BB26" s="560">
        <f t="shared" si="118"/>
        <v>0</v>
      </c>
      <c r="BC26" s="560"/>
      <c r="BD26" s="560">
        <f ca="1">IF(B26&gt;Summary!$A$1,#N/A,BB26*MGtoAF)</f>
        <v>0</v>
      </c>
      <c r="BE26" s="560">
        <f>Sheet1!BG28+Sheet1!BH28+Sheet1!BI28-BM26</f>
        <v>0</v>
      </c>
      <c r="BF26" s="560">
        <f t="shared" si="119"/>
        <v>0</v>
      </c>
      <c r="BG26" s="560">
        <f>IF(Sheet1!EP28="FM",BM26,0)</f>
        <v>0</v>
      </c>
      <c r="BH26" s="560">
        <f t="shared" si="120"/>
        <v>0</v>
      </c>
      <c r="BI26" s="560">
        <f>IF(Sheet1!EP28="OTHER",BM26,0)</f>
        <v>0</v>
      </c>
      <c r="BJ26" s="560">
        <f t="shared" si="121"/>
        <v>0</v>
      </c>
      <c r="BK26" s="560">
        <f t="shared" si="122"/>
        <v>0</v>
      </c>
      <c r="BL26" s="560">
        <f t="shared" si="123"/>
        <v>0</v>
      </c>
      <c r="BM26" s="560">
        <f>IF(OR(Sheet1!EP28="FM", Sheet1!EP28="OTHER"),SUM(Sheet1!BG28:'Sheet1'!BI28),0)</f>
        <v>0</v>
      </c>
      <c r="BN26" s="545">
        <f>IF(AND($B26&gt;=$FV26,$B26&lt;=$FW26),MAX(BF26,Sheet1!EI28,0),MAX(BF26-(7/36)*$K26,0))</f>
        <v>0</v>
      </c>
      <c r="BO26" s="560">
        <f t="shared" si="124"/>
        <v>0</v>
      </c>
      <c r="BP26" s="545">
        <f t="shared" si="125"/>
        <v>0</v>
      </c>
      <c r="BQ26" s="545">
        <f>IF(AND($O26&gt;0,Sheet1!EM28=1),(1-($O26-Sheet1!$L28)/$O26)*BL26,0)</f>
        <v>0</v>
      </c>
      <c r="BR26" s="545">
        <f>IF(AND(Sheet1!$L28=0,Sheet1!$L27=0, Calculation!BK26&lt;Sheet1!$EI28-0.1,Sheet1!$EI28=Sheet1!$EI27,Sheet1!$EI28=Sheet1!$EI29),Sheet1!$EI28,BL26-BQ26)</f>
        <v>0</v>
      </c>
      <c r="BS26" s="560"/>
      <c r="BT26" s="560"/>
      <c r="BU26" s="560">
        <f t="shared" si="126"/>
        <v>0</v>
      </c>
      <c r="BV26" s="560"/>
      <c r="BW26" s="560">
        <f ca="1">IF(B26&gt;Summary!$A$1,#N/A,BU26*MGtoAF)</f>
        <v>0</v>
      </c>
      <c r="BX26" s="560">
        <f>Sheet1!BC28+Sheet1!BD28+Sheet1!BE28+Sheet1!BF28-CG26-CH26</f>
        <v>2.5</v>
      </c>
      <c r="BY26" s="560">
        <f t="shared" si="127"/>
        <v>2.5010377750103774</v>
      </c>
      <c r="BZ26" s="560">
        <f>IF(Sheet1!EQ28="FM",CH26,0)</f>
        <v>0</v>
      </c>
      <c r="CA26" s="560">
        <f t="shared" si="128"/>
        <v>0</v>
      </c>
      <c r="CB26" s="560">
        <f>IF(Sheet1!EQ28="OTHER",CH26,0)</f>
        <v>0</v>
      </c>
      <c r="CC26" s="560">
        <f t="shared" si="129"/>
        <v>0</v>
      </c>
      <c r="CD26" s="560">
        <f t="shared" si="130"/>
        <v>0</v>
      </c>
      <c r="CE26" s="560">
        <f t="shared" si="131"/>
        <v>2.5</v>
      </c>
      <c r="CF26" s="560">
        <f t="shared" si="132"/>
        <v>2.5010377750103774</v>
      </c>
      <c r="CG26" s="560">
        <f>IF(Sheet1!EQ28="CWA",SUM(Sheet1!BC28:'Sheet1'!BF28),0)</f>
        <v>0</v>
      </c>
      <c r="CH26" s="560">
        <f>IF(OR(Sheet1!EQ28="FM", Sheet1!EQ28="OTHER"),SUM(Sheet1!BC28:'Sheet1'!BF28),0)</f>
        <v>0</v>
      </c>
      <c r="CI26" s="545">
        <f>IF(AND($B26&gt;=$FV26,$B26&lt;=$FW26),MAX(CF26,Sheet1!EJ28,0),MAX(CF26-(7/36)*$K26,0))</f>
        <v>0</v>
      </c>
      <c r="CJ26" s="560">
        <f t="shared" si="133"/>
        <v>0</v>
      </c>
      <c r="CK26" s="545">
        <f t="shared" si="134"/>
        <v>2.5010377750103774</v>
      </c>
      <c r="CL26" s="545">
        <f>IF(AND($O26&gt;0,Sheet1!EN28=1),(1-($O26-Sheet1!$L28)/$O26)*CF26,0)</f>
        <v>0</v>
      </c>
      <c r="CM26" s="545">
        <f>IF(AND(Sheet1!$L28=0,Sheet1!$L27=0, Calculation!CE26&lt;Sheet1!EJ28-0.1,Sheet1!EJ28=Sheet1!EJ27,Sheet1!EJ28=Sheet1!EJ29),Sheet1!EJ28,CF26-CL26)</f>
        <v>2.5010377750103774</v>
      </c>
      <c r="CN26" s="545"/>
      <c r="CO26" s="560"/>
      <c r="CP26" s="560">
        <f t="shared" si="135"/>
        <v>0</v>
      </c>
      <c r="CQ26" s="560"/>
      <c r="CR26" s="560">
        <f ca="1">IF(B26&gt;Summary!$A$1,#N/A,CP26*MGtoAF)</f>
        <v>0</v>
      </c>
      <c r="CS26" s="560">
        <f>Sheet1!BK28+Sheet1!BL28+Sheet1!BM28-Sheet1!ER28-DA26</f>
        <v>5.49</v>
      </c>
      <c r="CT26" s="560">
        <f t="shared" si="136"/>
        <v>5.4922789539227894</v>
      </c>
      <c r="CU26" s="560">
        <f>IF(Sheet1!ER28="FM",DA26,0)</f>
        <v>0</v>
      </c>
      <c r="CV26" s="560">
        <f t="shared" si="137"/>
        <v>0</v>
      </c>
      <c r="CW26" s="560">
        <f>IF(Sheet1!ER28="OTHER",DA26,0)</f>
        <v>0</v>
      </c>
      <c r="CX26" s="560">
        <f t="shared" si="138"/>
        <v>0</v>
      </c>
      <c r="CY26" s="560">
        <f t="shared" si="139"/>
        <v>5.49</v>
      </c>
      <c r="CZ26" s="560">
        <f t="shared" si="140"/>
        <v>5.4922789539227894</v>
      </c>
      <c r="DA26" s="560">
        <f>IF(OR(Sheet1!ER28="FM", Sheet1!ER28="OTHER"),SUM(Sheet1!BK28:'Sheet1'!BM28),0)</f>
        <v>0</v>
      </c>
      <c r="DB26" s="545">
        <f>IF(AND($B26&gt;=$FV26,$B26&lt;=$FW26),MAX($CT26,Sheet1!EK28,0),MAX($CT26-(7/36)*$K26,0))</f>
        <v>0</v>
      </c>
      <c r="DC26" s="560">
        <f t="shared" si="141"/>
        <v>0</v>
      </c>
      <c r="DD26" s="545">
        <f t="shared" si="142"/>
        <v>5.4922789539227894</v>
      </c>
      <c r="DE26" s="545">
        <f>IF(AND($O26&gt;0,Sheet1!EO28=1),(1-($O26-Sheet1!$L28)/$O26)*CZ26,0)</f>
        <v>0</v>
      </c>
      <c r="DF26" s="545">
        <f>IF(AND(Sheet1!$L28=0,Sheet1!$L27=0, Calculation!CY26&lt;Sheet1!$EK28-0.1,Sheet1!$EK28=Sheet1!$EK27,Sheet1!$EK28=Sheet1!$EK29),Sheet1!$EK28,CZ26-DE26)</f>
        <v>5.4922789539227894</v>
      </c>
      <c r="DG26" s="545"/>
      <c r="DH26" s="560">
        <f t="shared" si="143"/>
        <v>7.99</v>
      </c>
      <c r="DI26" s="560">
        <f t="shared" si="144"/>
        <v>0</v>
      </c>
      <c r="DJ26" s="698">
        <f t="shared" si="145"/>
        <v>7.9933167289331664</v>
      </c>
      <c r="DK26" s="560">
        <f ca="1">IF(B26&gt;Summary!$A$1,#N/A,DI26*MGtoAF)</f>
        <v>0</v>
      </c>
      <c r="DL26" s="698">
        <f t="shared" si="146"/>
        <v>7.99</v>
      </c>
      <c r="DM26" s="560">
        <f t="shared" si="147"/>
        <v>24.090000000000003</v>
      </c>
      <c r="DN26" s="560">
        <f>Sheet1!AB28-DM26</f>
        <v>9.9999999999980105E-3</v>
      </c>
      <c r="DO26" s="823">
        <f t="shared" si="148"/>
        <v>4.1511000415101742E-4</v>
      </c>
      <c r="DP26" s="560">
        <f>(VLOOKUP(Sheet1!DC28,hhdcap_wcm,4)-(((VLOOKUP(Sheet1!DC28,hhdcap_wcm,3)-Sheet1!DC28)/(VLOOKUP(Sheet1!DC28,hhdcap_wcm,3)-VLOOKUP(Sheet1!DC28,hhdcap_wcm,1)))*(VLOOKUP(Sheet1!DC28,hhdcap_wcm,4)-VLOOKUP(Sheet1!DC28,hhdcap_wcm,2))))</f>
        <v>2236.0000000053728</v>
      </c>
      <c r="DQ26" s="560">
        <f t="shared" si="149"/>
        <v>-1461.0000000034129</v>
      </c>
      <c r="DR26" s="560">
        <f t="shared" si="150"/>
        <v>-736.76248109097969</v>
      </c>
      <c r="DS26" s="560">
        <f>Sheet1!EA28*AFtoMG</f>
        <v>0</v>
      </c>
      <c r="DT26" s="560">
        <f>Sheet1!EB28*AFtoMG</f>
        <v>0</v>
      </c>
      <c r="DU26" s="560">
        <f>Sheet1!EC28*AFtoMG</f>
        <v>0</v>
      </c>
      <c r="DV26" s="560">
        <f>Sheet1!ED28*AFtoMG</f>
        <v>0</v>
      </c>
      <c r="DW26" s="560">
        <f t="shared" si="151"/>
        <v>0</v>
      </c>
      <c r="DX26" s="560">
        <f t="shared" si="152"/>
        <v>0</v>
      </c>
      <c r="DY26" s="560">
        <f t="shared" si="153"/>
        <v>0</v>
      </c>
      <c r="DZ26" s="560">
        <f t="shared" si="154"/>
        <v>0</v>
      </c>
      <c r="EA26" s="560"/>
      <c r="EB26" s="545">
        <f>IF(OR(B26&lt;FV26,B26&gt;FW26),(MIN(BF26+BY26+CT26+MAX(Sheet1!AA28+AQ26-73,0),K26)),0)</f>
        <v>7.9933167289331664</v>
      </c>
      <c r="EC26" s="560"/>
      <c r="ED26" s="560">
        <f t="shared" si="155"/>
        <v>7.9933167289331664</v>
      </c>
      <c r="EE26" s="560"/>
      <c r="EF26" s="560">
        <f>Sheet1!EH28+Sheet1!EI28+Sheet1!EJ28+Sheet1!EK28</f>
        <v>7.99</v>
      </c>
      <c r="EG26" s="560"/>
      <c r="EH26" s="545">
        <f t="shared" si="156"/>
        <v>0</v>
      </c>
      <c r="EI26" s="560">
        <f>IF(Sheet1!ET28=1,SUM('Calculations II'!AT26:BA26)+'Calculations II'!BC26+Sheet1!BV28+'Calculations II'!BE26+AP26,SUM('Calculations II'!AT26:BA26)+'Calculations II'!BC26+Sheet1!BV28+'Calculations II'!BE26+AP26)</f>
        <v>51.500032000000004</v>
      </c>
      <c r="EJ26" s="560">
        <f>Sheet1!AA28+Sheet1!AB28+'Calculations II'!BC26</f>
        <v>52.008784000000006</v>
      </c>
      <c r="EK26" s="560"/>
      <c r="EL26" s="560"/>
      <c r="EM26" s="560">
        <f t="shared" si="157"/>
        <v>41654</v>
      </c>
      <c r="EN26" s="560">
        <f t="shared" si="158"/>
        <v>0</v>
      </c>
      <c r="EO26" s="560">
        <f t="shared" si="159"/>
        <v>0</v>
      </c>
      <c r="EP26" s="560">
        <v>0</v>
      </c>
      <c r="EQ26" s="560">
        <v>0</v>
      </c>
      <c r="ER26" s="560">
        <v>0</v>
      </c>
      <c r="ES26" s="545">
        <f t="shared" si="77"/>
        <v>4.8471338018359509</v>
      </c>
      <c r="ET26" s="560">
        <f>-(VLOOKUP(Sheet1!BQ28,Lookup!$O$4:$Q$262,2)-VLOOKUP(Sheet1!BQ27,Lookup!$O$4:$Q$262,2))/1000000</f>
        <v>2.3543501441872197</v>
      </c>
      <c r="EU26" s="560">
        <f>-(VLOOKUP(Sheet1!BR28,Lookup!$O$4:$Q$262,3)-VLOOKUP(Sheet1!BR27,Lookup!$O$4:$Q$262,3))/1000000</f>
        <v>2.4927836576487312</v>
      </c>
      <c r="EV26" s="560"/>
      <c r="EW26" s="560"/>
      <c r="EX26" s="560"/>
      <c r="EY26" s="560"/>
      <c r="EZ26" s="560"/>
      <c r="FA26" s="560"/>
      <c r="FB26" s="560"/>
      <c r="FC26" s="560"/>
      <c r="FD26" s="594" t="e">
        <f t="shared" si="160"/>
        <v>#N/A</v>
      </c>
      <c r="FE26" s="594" t="e">
        <f t="shared" si="161"/>
        <v>#N/A</v>
      </c>
      <c r="FF26" s="595" t="e">
        <f t="shared" si="162"/>
        <v>#N/A</v>
      </c>
      <c r="FG26" s="596" t="s">
        <v>692</v>
      </c>
      <c r="FH26" s="596" t="s">
        <v>692</v>
      </c>
      <c r="FI26" s="594" t="e">
        <v>#N/A</v>
      </c>
      <c r="FJ26" s="594" t="e">
        <v>#N/A</v>
      </c>
      <c r="FK26" s="560"/>
      <c r="FL26" s="560"/>
      <c r="FM26" s="560"/>
      <c r="FN26" s="560"/>
      <c r="FO26" s="560">
        <f>O26+((Sheet1!CS28)*GPMtoMGD)</f>
        <v>52.008784000000006</v>
      </c>
      <c r="FP26" s="560">
        <f>IF(Sheet1!AA28+AQ26&lt;=Calculation!N26,AQ26,Calculation!N26-Sheet1!AA28)</f>
        <v>15.10626816106268</v>
      </c>
      <c r="FQ26" s="560">
        <f>(Sheet1!BP28+Sheet1!BO28)/694.4</f>
        <v>1.4359158986175116</v>
      </c>
      <c r="FR26" s="560"/>
      <c r="FS26" s="560"/>
      <c r="FT26" s="560"/>
      <c r="FU26" s="560"/>
      <c r="FV26" s="695">
        <f t="shared" si="80"/>
        <v>41827</v>
      </c>
      <c r="FW26" s="695">
        <f t="shared" si="81"/>
        <v>41934</v>
      </c>
      <c r="FX26" s="560"/>
      <c r="FY26" s="560"/>
      <c r="FZ26" s="560"/>
      <c r="GA26" s="560"/>
      <c r="GB26" s="560" t="str">
        <f t="shared" si="82"/>
        <v>n</v>
      </c>
      <c r="GC26" s="564">
        <f t="shared" si="83"/>
        <v>41691</v>
      </c>
      <c r="GD26" s="695">
        <f t="shared" si="84"/>
        <v>41807</v>
      </c>
      <c r="GE26" s="560">
        <v>6518.9</v>
      </c>
      <c r="GF26" s="695">
        <f t="shared" si="85"/>
        <v>41808</v>
      </c>
      <c r="GG26" s="560">
        <f t="shared" si="163"/>
        <v>3259</v>
      </c>
      <c r="GH26" s="564">
        <f t="shared" si="87"/>
        <v>41934</v>
      </c>
      <c r="GJ26" s="545">
        <f t="shared" si="88"/>
        <v>0</v>
      </c>
      <c r="GK26" s="560" t="str">
        <f t="shared" si="164"/>
        <v/>
      </c>
      <c r="GL26" s="560">
        <f t="shared" si="89"/>
        <v>0</v>
      </c>
      <c r="GM26" s="560" t="str">
        <f t="shared" si="90"/>
        <v/>
      </c>
      <c r="GN26" s="560">
        <f>IF(GK26="P",Lookup!$M$12,IF(GK26="PP",Lookup!$M$13,IF(GK26="PPP",Lookup!$M$14,IF(GK26="T",Lookup!$M$15,IF(GK26="TP",Lookup!$M$16,IF(GK26="TPP",Lookup!$M$17,IF(GK26="TPPP",Lookup!$M$18,0)))))))*GJ26</f>
        <v>0</v>
      </c>
      <c r="GO26" s="560">
        <f t="shared" si="91"/>
        <v>0</v>
      </c>
      <c r="GP26" s="560">
        <f t="shared" si="165"/>
        <v>0</v>
      </c>
      <c r="GQ26" s="560">
        <f t="shared" si="99"/>
        <v>0</v>
      </c>
      <c r="GR26" s="560"/>
      <c r="GS26" s="560">
        <f t="shared" si="92"/>
        <v>0</v>
      </c>
      <c r="GT26" s="560" t="str">
        <f t="shared" si="93"/>
        <v/>
      </c>
      <c r="GU26" s="560">
        <f>IF(GK26="P",Lookup!$N$12,IF(GK26="PP",Lookup!$N$13,IF(GK26="PPP",Lookup!$N$14,IF(GK26="T",Lookup!$N$15,IF(GK26="TP",Lookup!$N$16,IF(GK26="TPP",Lookup!$N$17,IF(GK26="TPPP",Lookup!$N$18,0)))))))*GJ26</f>
        <v>0</v>
      </c>
      <c r="GV26" s="560">
        <f t="shared" si="57"/>
        <v>0</v>
      </c>
      <c r="GW26" s="560">
        <f t="shared" si="166"/>
        <v>0</v>
      </c>
      <c r="GX26" s="560">
        <f t="shared" si="100"/>
        <v>0</v>
      </c>
      <c r="GY26" s="560"/>
      <c r="GZ26" s="560">
        <f t="shared" si="94"/>
        <v>0</v>
      </c>
      <c r="HA26" s="560" t="str">
        <f t="shared" si="95"/>
        <v/>
      </c>
      <c r="HB26" s="560">
        <f>IF(GK26="P",Lookup!$N$12,IF(GK26="PP",Lookup!$N$13,IF(GK26="PPP",Lookup!$N$14,IF(GK26="T",Lookup!$N$15,IF(GK26="TP",Lookup!$N$16,IF(GK26="TPP",Lookup!$N$17,IF(GK26="TPPP",Lookup!$N$18,0)))))))*GJ26</f>
        <v>0</v>
      </c>
      <c r="HC26" s="545">
        <f t="shared" si="167"/>
        <v>0</v>
      </c>
      <c r="HD26" s="560">
        <f t="shared" si="168"/>
        <v>0</v>
      </c>
      <c r="HE26" s="560">
        <f t="shared" si="101"/>
        <v>0</v>
      </c>
      <c r="HF26" s="560"/>
      <c r="HG26" s="560">
        <f t="shared" si="96"/>
        <v>0</v>
      </c>
      <c r="HH26" s="560" t="str">
        <f t="shared" si="97"/>
        <v/>
      </c>
      <c r="HI26" s="560">
        <f>IF(GK26="P",Lookup!$N$12,IF(GK26="PP",Lookup!$N$13,IF(GK26="PPP",Lookup!$N$14,IF(GK26="T",Lookup!$N$15,IF(GK26="TP",Lookup!$N$16,IF(GK26="TPP",Lookup!$N$17,IF(GK26="TPPP",Lookup!$N$18,0)))))))*GJ26</f>
        <v>0</v>
      </c>
      <c r="HJ26" s="545">
        <f t="shared" si="169"/>
        <v>0</v>
      </c>
      <c r="HK26" s="560">
        <f t="shared" si="170"/>
        <v>0</v>
      </c>
      <c r="HL26" s="560">
        <f t="shared" si="102"/>
        <v>0</v>
      </c>
      <c r="HM26" s="560"/>
    </row>
    <row r="27" spans="1:221">
      <c r="A27" s="580" t="s">
        <v>7</v>
      </c>
      <c r="B27" s="556">
        <v>41655</v>
      </c>
      <c r="C27" s="561">
        <v>0</v>
      </c>
      <c r="D27" s="529">
        <f t="shared" si="103"/>
        <v>300</v>
      </c>
      <c r="E27" s="529">
        <f t="shared" si="104"/>
        <v>250</v>
      </c>
      <c r="F27" s="529">
        <v>250</v>
      </c>
      <c r="G27" s="560">
        <f>DR27+Sheet1!CZ29</f>
        <v>1726.9591527979906</v>
      </c>
      <c r="H27" s="914">
        <f t="shared" si="2"/>
        <v>849.34319636862108</v>
      </c>
      <c r="I27" s="559">
        <f>MAX(Sheet1!Z29-AT27+(Sheet1!DA29-E27)*CFStoMGD,0)</f>
        <v>1704.7399999999998</v>
      </c>
      <c r="J27" s="562">
        <f>IF(AND(B27&gt;=Calculation!GC27,B27&lt;=Calculation!GD27),IF(Sheet1!DB29&gt;=Calculation!D27,64.64,0),MAX(Sheet1!Z29-AT27+(Sheet1!DB29-D27)*CFStoMGD,0))</f>
        <v>1148.8359999999998</v>
      </c>
      <c r="K27" s="904">
        <f t="shared" si="105"/>
        <v>64.64</v>
      </c>
      <c r="L27" s="560">
        <f>Sheet1!AA29+Sheet1!AB29-Sheet1!L29+(Sheet1!DA29-F27)*CFStoMGD</f>
        <v>1680.6399999999999</v>
      </c>
      <c r="M27" s="560">
        <f t="shared" si="106"/>
        <v>1138.6325242959936</v>
      </c>
      <c r="N27" s="910">
        <f>IF(Sheet1!DA29&gt;=F27,MIN(73,MIN(MAX(L27,0),MAX(M27,0))),0)</f>
        <v>73</v>
      </c>
      <c r="O27" s="563">
        <f>Sheet1!AA29+Sheet1!AB29</f>
        <v>43.91</v>
      </c>
      <c r="P27" s="563">
        <f t="shared" si="107"/>
        <v>67.92877</v>
      </c>
      <c r="Q27" s="898">
        <f t="shared" si="63"/>
        <v>0</v>
      </c>
      <c r="R27" s="829">
        <f t="shared" si="108"/>
        <v>7.9784318606098328</v>
      </c>
      <c r="S27" s="898">
        <f t="shared" si="65"/>
        <v>43.91</v>
      </c>
      <c r="T27" s="898">
        <f t="shared" si="66"/>
        <v>0</v>
      </c>
      <c r="U27" s="898">
        <f t="shared" si="6"/>
        <v>0</v>
      </c>
      <c r="V27" s="898"/>
      <c r="W27" s="898">
        <f t="shared" si="67"/>
        <v>56.66156813939017</v>
      </c>
      <c r="X27" s="898">
        <f t="shared" si="68"/>
        <v>43.91</v>
      </c>
      <c r="Y27" s="898" t="str">
        <f t="shared" si="69"/>
        <v/>
      </c>
      <c r="Z27" s="898">
        <f t="shared" si="70"/>
        <v>43.91</v>
      </c>
      <c r="AA27" s="898">
        <f t="shared" si="71"/>
        <v>43.91</v>
      </c>
      <c r="AB27" s="898" t="str">
        <f t="shared" si="72"/>
        <v/>
      </c>
      <c r="AC27" s="563">
        <f>Sheet1!Y29*MGDtoCFS</f>
        <v>30.630600000000001</v>
      </c>
      <c r="AD27" s="563">
        <f>Sheet1!Z29*MGDtoCFS</f>
        <v>37.282699999999998</v>
      </c>
      <c r="AE27" s="563">
        <f>Sheet1!AA29*MGDtoCFS</f>
        <v>30.785299999999996</v>
      </c>
      <c r="AF27" s="563">
        <f>Sheet1!AB29*MGDtoCFS</f>
        <v>37.143470000000001</v>
      </c>
      <c r="AG27" s="563">
        <f>Sheet1!L29*MGDtoCFS</f>
        <v>67.928769999999986</v>
      </c>
      <c r="AH27" s="545">
        <f t="shared" si="109"/>
        <v>0</v>
      </c>
      <c r="AI27" s="560">
        <f t="shared" si="110"/>
        <v>0</v>
      </c>
      <c r="AJ27" s="560">
        <f t="shared" si="111"/>
        <v>0</v>
      </c>
      <c r="AK27" s="560">
        <f t="shared" si="112"/>
        <v>0</v>
      </c>
      <c r="AL27" s="560">
        <f>(VLOOKUP(Sheet1!DC29,hhdcap_wcm,4)-(((VLOOKUP(Sheet1!DC29,hhdcap_wcm,3)-Sheet1!DC29)/(VLOOKUP(Sheet1!DC29,hhdcap_wcm,3)-VLOOKUP(Sheet1!DC29,hhdcap_wcm,1)))*(VLOOKUP(Sheet1!DC29,hhdcap_wcm,4)-VLOOKUP(Sheet1!DC29,hhdcap_wcm,2))))</f>
        <v>1456.600000003788</v>
      </c>
      <c r="AM27" s="560">
        <f t="shared" si="113"/>
        <v>-779.40000000158489</v>
      </c>
      <c r="AN27" s="560">
        <f t="shared" si="114"/>
        <v>0</v>
      </c>
      <c r="AO27" s="560">
        <f t="shared" si="115"/>
        <v>0</v>
      </c>
      <c r="AP27" s="560">
        <f>Sheet1!BA29+Sheet1!BB29+Sheet1!BN29+CD27</f>
        <v>16.094999999999999</v>
      </c>
      <c r="AQ27" s="560">
        <f>Sheet1!BN29+(DO27*Sheet1!BN29)</f>
        <v>15.040489524994817</v>
      </c>
      <c r="AR27" s="560">
        <f>Sheet1!BA29+CD27</f>
        <v>0</v>
      </c>
      <c r="AS27" s="560">
        <f>Sheet1!BA29+Sheet1!BB29+CD27</f>
        <v>0.995</v>
      </c>
      <c r="AT27" s="698">
        <f>0</f>
        <v>0</v>
      </c>
      <c r="AU27" s="560">
        <f>IF(EB27&lt;K27,0,MAX(Sheet1!AA29+AQ27-15/36*K27-N27,Sheet1!EH29,0))</f>
        <v>0</v>
      </c>
      <c r="AV27" s="560">
        <f>IF(OR(B27&gt;=GD27,B27&lt;GC27),0,15/36*K27-MAX(0,64.6-(137.6-(Sheet1!AA29+Sheet1!AB29))))</f>
        <v>0</v>
      </c>
      <c r="AW27" s="698">
        <f>Sheet1!DB29-110</f>
        <v>1930</v>
      </c>
      <c r="AX27" s="698">
        <f>Sheet1!DA29-265</f>
        <v>2585</v>
      </c>
      <c r="AY27" s="698">
        <f t="shared" si="116"/>
        <v>73</v>
      </c>
      <c r="AZ27" s="698">
        <v>0</v>
      </c>
      <c r="BA27" s="698">
        <f t="shared" si="117"/>
        <v>0</v>
      </c>
      <c r="BB27" s="560">
        <f t="shared" si="118"/>
        <v>0</v>
      </c>
      <c r="BC27" s="560"/>
      <c r="BD27" s="560">
        <f ca="1">IF(B27&gt;Summary!$A$1,#N/A,BB27*MGtoAF)</f>
        <v>0</v>
      </c>
      <c r="BE27" s="560">
        <f>Sheet1!BG29+Sheet1!BH29+Sheet1!BI29-BM27</f>
        <v>0</v>
      </c>
      <c r="BF27" s="560">
        <f t="shared" si="119"/>
        <v>0</v>
      </c>
      <c r="BG27" s="560">
        <f>IF(Sheet1!EP29="FM",BM27,0)</f>
        <v>0</v>
      </c>
      <c r="BH27" s="560">
        <f t="shared" si="120"/>
        <v>0</v>
      </c>
      <c r="BI27" s="560">
        <f>IF(Sheet1!EP29="OTHER",BM27,0)</f>
        <v>0</v>
      </c>
      <c r="BJ27" s="560">
        <f t="shared" si="121"/>
        <v>0</v>
      </c>
      <c r="BK27" s="560">
        <f t="shared" si="122"/>
        <v>0</v>
      </c>
      <c r="BL27" s="560">
        <f t="shared" si="123"/>
        <v>0</v>
      </c>
      <c r="BM27" s="560">
        <f>IF(OR(Sheet1!EP29="FM", Sheet1!EP29="OTHER"),SUM(Sheet1!BG29:'Sheet1'!BI29),0)</f>
        <v>0</v>
      </c>
      <c r="BN27" s="545">
        <f>IF(AND($B27&gt;=$FV27,$B27&lt;=$FW27),MAX(BF27,Sheet1!EI29,0),MAX(BF27-(7/36)*$K27,0))</f>
        <v>0</v>
      </c>
      <c r="BO27" s="560">
        <f t="shared" si="124"/>
        <v>0</v>
      </c>
      <c r="BP27" s="545">
        <f t="shared" si="125"/>
        <v>0</v>
      </c>
      <c r="BQ27" s="545">
        <f>IF(AND($O27&gt;0,Sheet1!EM29=1),(1-($O27-Sheet1!$L29)/$O27)*BL27,0)</f>
        <v>0</v>
      </c>
      <c r="BR27" s="545">
        <f>IF(AND(Sheet1!$L29=0,Sheet1!$L28=0, Calculation!BK27&lt;Sheet1!$EI29-0.1,Sheet1!$EI29=Sheet1!$EI28,Sheet1!$EI29=Sheet1!$EI30),Sheet1!$EI29,BL27-BQ27)</f>
        <v>0</v>
      </c>
      <c r="BS27" s="560"/>
      <c r="BT27" s="560"/>
      <c r="BU27" s="560">
        <f t="shared" si="126"/>
        <v>0</v>
      </c>
      <c r="BV27" s="560"/>
      <c r="BW27" s="560">
        <f ca="1">IF(B27&gt;Summary!$A$1,#N/A,BU27*MGtoAF)</f>
        <v>0</v>
      </c>
      <c r="BX27" s="560">
        <f>Sheet1!BC29+Sheet1!BD29+Sheet1!BE29+Sheet1!BF29-CG27-CH27</f>
        <v>2.5</v>
      </c>
      <c r="BY27" s="560">
        <f t="shared" si="127"/>
        <v>2.4901472723501352</v>
      </c>
      <c r="BZ27" s="560">
        <f>IF(Sheet1!EQ29="FM",CH27,0)</f>
        <v>0</v>
      </c>
      <c r="CA27" s="560">
        <f t="shared" si="128"/>
        <v>0</v>
      </c>
      <c r="CB27" s="560">
        <f>IF(Sheet1!EQ29="OTHER",CH27,0)</f>
        <v>0</v>
      </c>
      <c r="CC27" s="560">
        <f t="shared" si="129"/>
        <v>0</v>
      </c>
      <c r="CD27" s="560">
        <f t="shared" si="130"/>
        <v>0</v>
      </c>
      <c r="CE27" s="560">
        <f t="shared" si="131"/>
        <v>2.5</v>
      </c>
      <c r="CF27" s="560">
        <f t="shared" si="132"/>
        <v>2.4901472723501352</v>
      </c>
      <c r="CG27" s="560">
        <f>IF(Sheet1!EQ29="CWA",SUM(Sheet1!BC29:'Sheet1'!BF29),0)</f>
        <v>0</v>
      </c>
      <c r="CH27" s="560">
        <f>IF(OR(Sheet1!EQ29="FM", Sheet1!EQ29="OTHER"),SUM(Sheet1!BC29:'Sheet1'!BF29),0)</f>
        <v>0</v>
      </c>
      <c r="CI27" s="545">
        <f>IF(AND($B27&gt;=$FV27,$B27&lt;=$FW27),MAX(CF27,Sheet1!EJ29,0),MAX(CF27-(7/36)*$K27,0))</f>
        <v>0</v>
      </c>
      <c r="CJ27" s="560">
        <f t="shared" si="133"/>
        <v>0</v>
      </c>
      <c r="CK27" s="545">
        <f t="shared" si="134"/>
        <v>2.4901472723501352</v>
      </c>
      <c r="CL27" s="545">
        <f>IF(AND($O27&gt;0,Sheet1!EN29=1),(1-($O27-Sheet1!$L29)/$O27)*CF27,0)</f>
        <v>0</v>
      </c>
      <c r="CM27" s="545">
        <f>IF(AND(Sheet1!$L29=0,Sheet1!$L28=0, Calculation!CE27&lt;Sheet1!EJ29-0.1,Sheet1!EJ29=Sheet1!EJ28,Sheet1!EJ29=Sheet1!EJ30),Sheet1!EJ29,CF27-CL27)</f>
        <v>2.4901472723501352</v>
      </c>
      <c r="CN27" s="545"/>
      <c r="CO27" s="560"/>
      <c r="CP27" s="560">
        <f t="shared" si="135"/>
        <v>0</v>
      </c>
      <c r="CQ27" s="560"/>
      <c r="CR27" s="560">
        <f ca="1">IF(B27&gt;Summary!$A$1,#N/A,CP27*MGtoAF)</f>
        <v>0</v>
      </c>
      <c r="CS27" s="560">
        <f>Sheet1!BK29+Sheet1!BL29+Sheet1!BM29-Sheet1!ER29-DA27</f>
        <v>5.51</v>
      </c>
      <c r="CT27" s="560">
        <f t="shared" si="136"/>
        <v>5.488284588259698</v>
      </c>
      <c r="CU27" s="560">
        <f>IF(Sheet1!ER29="FM",DA27,0)</f>
        <v>0</v>
      </c>
      <c r="CV27" s="560">
        <f t="shared" si="137"/>
        <v>0</v>
      </c>
      <c r="CW27" s="560">
        <f>IF(Sheet1!ER29="OTHER",DA27,0)</f>
        <v>0</v>
      </c>
      <c r="CX27" s="560">
        <f t="shared" si="138"/>
        <v>0</v>
      </c>
      <c r="CY27" s="560">
        <f t="shared" si="139"/>
        <v>5.51</v>
      </c>
      <c r="CZ27" s="560">
        <f t="shared" si="140"/>
        <v>5.488284588259698</v>
      </c>
      <c r="DA27" s="560">
        <f>IF(OR(Sheet1!ER29="FM", Sheet1!ER29="OTHER"),SUM(Sheet1!BK29:'Sheet1'!BM29),0)</f>
        <v>0</v>
      </c>
      <c r="DB27" s="545">
        <f>IF(AND($B27&gt;=$FV27,$B27&lt;=$FW27),MAX($CT27,Sheet1!EK29,0),MAX($CT27-(7/36)*$K27,0))</f>
        <v>0</v>
      </c>
      <c r="DC27" s="560">
        <f t="shared" si="141"/>
        <v>0</v>
      </c>
      <c r="DD27" s="545">
        <f t="shared" si="142"/>
        <v>5.488284588259698</v>
      </c>
      <c r="DE27" s="545">
        <f>IF(AND($O27&gt;0,Sheet1!EO29=1),(1-($O27-Sheet1!$L29)/$O27)*CZ27,0)</f>
        <v>0</v>
      </c>
      <c r="DF27" s="545">
        <f>IF(AND(Sheet1!$L29=0,Sheet1!$L28=0, Calculation!CY27&lt;Sheet1!$EK29-0.1,Sheet1!$EK29=Sheet1!$EK28,Sheet1!$EK29=Sheet1!$EK30),Sheet1!$EK29,CZ27-DE27)</f>
        <v>5.488284588259698</v>
      </c>
      <c r="DG27" s="545"/>
      <c r="DH27" s="560">
        <f t="shared" si="143"/>
        <v>8.01</v>
      </c>
      <c r="DI27" s="560">
        <f t="shared" si="144"/>
        <v>0</v>
      </c>
      <c r="DJ27" s="698">
        <f t="shared" si="145"/>
        <v>7.9784318606098328</v>
      </c>
      <c r="DK27" s="560">
        <f ca="1">IF(B27&gt;Summary!$A$1,#N/A,DI27*MGtoAF)</f>
        <v>0</v>
      </c>
      <c r="DL27" s="698">
        <f t="shared" si="146"/>
        <v>8.01</v>
      </c>
      <c r="DM27" s="560">
        <f t="shared" si="147"/>
        <v>24.104999999999997</v>
      </c>
      <c r="DN27" s="560">
        <f>Sheet1!AB29-DM27</f>
        <v>-9.499999999999531E-2</v>
      </c>
      <c r="DO27" s="823">
        <f t="shared" si="148"/>
        <v>-3.9410910599458754E-3</v>
      </c>
      <c r="DP27" s="560">
        <f>(VLOOKUP(Sheet1!DC29,hhdcap_wcm,4)-(((VLOOKUP(Sheet1!DC29,hhdcap_wcm,3)-Sheet1!DC29)/(VLOOKUP(Sheet1!DC29,hhdcap_wcm,3)-VLOOKUP(Sheet1!DC29,hhdcap_wcm,1)))*(VLOOKUP(Sheet1!DC29,hhdcap_wcm,4)-VLOOKUP(Sheet1!DC29,hhdcap_wcm,2))))</f>
        <v>1456.600000003788</v>
      </c>
      <c r="DQ27" s="560">
        <f t="shared" si="149"/>
        <v>-779.40000000158489</v>
      </c>
      <c r="DR27" s="560">
        <f t="shared" si="150"/>
        <v>-393.04084720200945</v>
      </c>
      <c r="DS27" s="560">
        <f>Sheet1!EA29*AFtoMG</f>
        <v>0</v>
      </c>
      <c r="DT27" s="560">
        <f>Sheet1!EB29*AFtoMG</f>
        <v>0</v>
      </c>
      <c r="DU27" s="560">
        <f>Sheet1!EC29*AFtoMG</f>
        <v>0</v>
      </c>
      <c r="DV27" s="560">
        <f>Sheet1!ED29*AFtoMG</f>
        <v>0</v>
      </c>
      <c r="DW27" s="560">
        <f t="shared" si="151"/>
        <v>0</v>
      </c>
      <c r="DX27" s="560">
        <f t="shared" si="152"/>
        <v>0</v>
      </c>
      <c r="DY27" s="560">
        <f t="shared" si="153"/>
        <v>0</v>
      </c>
      <c r="DZ27" s="560">
        <f t="shared" si="154"/>
        <v>0</v>
      </c>
      <c r="EA27" s="560"/>
      <c r="EB27" s="545">
        <f>IF(OR(B27&lt;FV27,B27&gt;FW27),(MIN(BF27+BY27+CT27+MAX(Sheet1!AA29+AQ27-73,0),K27)),0)</f>
        <v>7.9784318606098328</v>
      </c>
      <c r="EC27" s="560"/>
      <c r="ED27" s="560">
        <f t="shared" si="155"/>
        <v>7.9784318606098328</v>
      </c>
      <c r="EE27" s="560"/>
      <c r="EF27" s="560">
        <f>Sheet1!EH29+Sheet1!EI29+Sheet1!EJ29+Sheet1!EK29</f>
        <v>8.01</v>
      </c>
      <c r="EG27" s="560"/>
      <c r="EH27" s="545">
        <f t="shared" si="156"/>
        <v>0</v>
      </c>
      <c r="EI27" s="560">
        <f>IF(Sheet1!ET29=1,SUM('Calculations II'!AT27:BA27)+'Calculations II'!BC27+Sheet1!BV29+'Calculations II'!BE27+AP27,SUM('Calculations II'!AT27:BA27)+'Calculations II'!BC27+Sheet1!BV29+'Calculations II'!BE27+AP27)</f>
        <v>51.259120000000003</v>
      </c>
      <c r="EJ27" s="560">
        <f>Sheet1!AA29+Sheet1!AB29+'Calculations II'!BC27</f>
        <v>57.015152</v>
      </c>
      <c r="EK27" s="560"/>
      <c r="EL27" s="560"/>
      <c r="EM27" s="560">
        <f t="shared" si="157"/>
        <v>41655</v>
      </c>
      <c r="EN27" s="560">
        <f t="shared" si="158"/>
        <v>0</v>
      </c>
      <c r="EO27" s="560">
        <f t="shared" si="159"/>
        <v>0</v>
      </c>
      <c r="EP27" s="560">
        <v>0</v>
      </c>
      <c r="EQ27" s="560">
        <v>0</v>
      </c>
      <c r="ER27" s="560">
        <v>0</v>
      </c>
      <c r="ES27" s="545">
        <f t="shared" si="77"/>
        <v>-0.4153133546948321</v>
      </c>
      <c r="ET27" s="560">
        <f>-(VLOOKUP(Sheet1!BQ29,Lookup!$O$4:$Q$262,2)-VLOOKUP(Sheet1!BQ28,Lookup!$O$4:$Q$262,2))/1000000</f>
        <v>-0.13843992061666027</v>
      </c>
      <c r="EU27" s="560">
        <f>-(VLOOKUP(Sheet1!BR29,Lookup!$O$4:$Q$262,3)-VLOOKUP(Sheet1!BR28,Lookup!$O$4:$Q$262,3))/1000000</f>
        <v>-0.27687343407817183</v>
      </c>
      <c r="EV27" s="560"/>
      <c r="EW27" s="560"/>
      <c r="EX27" s="560"/>
      <c r="EY27" s="560"/>
      <c r="EZ27" s="560"/>
      <c r="FA27" s="560"/>
      <c r="FB27" s="560"/>
      <c r="FC27" s="560"/>
      <c r="FD27" s="594" t="e">
        <f t="shared" si="160"/>
        <v>#N/A</v>
      </c>
      <c r="FE27" s="594" t="e">
        <f t="shared" si="161"/>
        <v>#N/A</v>
      </c>
      <c r="FF27" s="595" t="e">
        <f t="shared" si="162"/>
        <v>#N/A</v>
      </c>
      <c r="FG27" s="596" t="s">
        <v>692</v>
      </c>
      <c r="FH27" s="596" t="s">
        <v>692</v>
      </c>
      <c r="FI27" s="594" t="e">
        <v>#N/A</v>
      </c>
      <c r="FJ27" s="594" t="e">
        <v>#N/A</v>
      </c>
      <c r="FK27" s="560"/>
      <c r="FL27" s="560"/>
      <c r="FM27" s="560"/>
      <c r="FN27" s="560"/>
      <c r="FO27" s="560">
        <f>O27+((Sheet1!CS29)*GPMtoMGD)</f>
        <v>57.015152</v>
      </c>
      <c r="FP27" s="560">
        <f>IF(Sheet1!AA29+AQ27&lt;=Calculation!N27,AQ27,Calculation!N27-Sheet1!AA29)</f>
        <v>15.040489524994817</v>
      </c>
      <c r="FQ27" s="560">
        <f>(Sheet1!BP29+Sheet1!BO29)/694.4</f>
        <v>1.4039458525345623</v>
      </c>
      <c r="FR27" s="560"/>
      <c r="FS27" s="560"/>
      <c r="FT27" s="560"/>
      <c r="FU27" s="560"/>
      <c r="FV27" s="695">
        <f t="shared" si="80"/>
        <v>41827</v>
      </c>
      <c r="FW27" s="695">
        <f t="shared" si="81"/>
        <v>41934</v>
      </c>
      <c r="FX27" s="560"/>
      <c r="FY27" s="560"/>
      <c r="FZ27" s="560"/>
      <c r="GA27" s="560"/>
      <c r="GB27" s="560" t="str">
        <f t="shared" si="82"/>
        <v>n</v>
      </c>
      <c r="GC27" s="564">
        <f t="shared" si="83"/>
        <v>41691</v>
      </c>
      <c r="GD27" s="695">
        <f t="shared" si="84"/>
        <v>41807</v>
      </c>
      <c r="GE27" s="560">
        <v>6518.9</v>
      </c>
      <c r="GF27" s="695">
        <f t="shared" si="85"/>
        <v>41808</v>
      </c>
      <c r="GG27" s="560">
        <f t="shared" si="163"/>
        <v>3259</v>
      </c>
      <c r="GH27" s="564">
        <f t="shared" si="87"/>
        <v>41934</v>
      </c>
      <c r="GJ27" s="545">
        <f t="shared" si="88"/>
        <v>0</v>
      </c>
      <c r="GK27" s="560" t="str">
        <f t="shared" si="164"/>
        <v/>
      </c>
      <c r="GL27" s="560">
        <f t="shared" si="89"/>
        <v>0</v>
      </c>
      <c r="GM27" s="560" t="str">
        <f t="shared" si="90"/>
        <v/>
      </c>
      <c r="GN27" s="560">
        <f>IF(GK27="P",Lookup!$M$12,IF(GK27="PP",Lookup!$M$13,IF(GK27="PPP",Lookup!$M$14,IF(GK27="T",Lookup!$M$15,IF(GK27="TP",Lookup!$M$16,IF(GK27="TPP",Lookup!$M$17,IF(GK27="TPPP",Lookup!$M$18,0)))))))*GJ27</f>
        <v>0</v>
      </c>
      <c r="GO27" s="560">
        <f t="shared" si="91"/>
        <v>0</v>
      </c>
      <c r="GP27" s="560">
        <f t="shared" si="165"/>
        <v>0</v>
      </c>
      <c r="GQ27" s="560">
        <f t="shared" si="99"/>
        <v>0</v>
      </c>
      <c r="GR27" s="560"/>
      <c r="GS27" s="560">
        <f t="shared" si="92"/>
        <v>0</v>
      </c>
      <c r="GT27" s="560" t="str">
        <f t="shared" si="93"/>
        <v/>
      </c>
      <c r="GU27" s="560">
        <f>IF(GK27="P",Lookup!$N$12,IF(GK27="PP",Lookup!$N$13,IF(GK27="PPP",Lookup!$N$14,IF(GK27="T",Lookup!$N$15,IF(GK27="TP",Lookup!$N$16,IF(GK27="TPP",Lookup!$N$17,IF(GK27="TPPP",Lookup!$N$18,0)))))))*GJ27</f>
        <v>0</v>
      </c>
      <c r="GV27" s="560">
        <f t="shared" si="57"/>
        <v>0</v>
      </c>
      <c r="GW27" s="560">
        <f t="shared" si="166"/>
        <v>0</v>
      </c>
      <c r="GX27" s="560">
        <f t="shared" si="100"/>
        <v>0</v>
      </c>
      <c r="GY27" s="560"/>
      <c r="GZ27" s="560">
        <f t="shared" si="94"/>
        <v>0</v>
      </c>
      <c r="HA27" s="560" t="str">
        <f t="shared" si="95"/>
        <v/>
      </c>
      <c r="HB27" s="560">
        <f>IF(GK27="P",Lookup!$N$12,IF(GK27="PP",Lookup!$N$13,IF(GK27="PPP",Lookup!$N$14,IF(GK27="T",Lookup!$N$15,IF(GK27="TP",Lookup!$N$16,IF(GK27="TPP",Lookup!$N$17,IF(GK27="TPPP",Lookup!$N$18,0)))))))*GJ27</f>
        <v>0</v>
      </c>
      <c r="HC27" s="545">
        <f t="shared" si="167"/>
        <v>0</v>
      </c>
      <c r="HD27" s="560">
        <f t="shared" si="168"/>
        <v>0</v>
      </c>
      <c r="HE27" s="560">
        <f t="shared" si="101"/>
        <v>0</v>
      </c>
      <c r="HF27" s="560"/>
      <c r="HG27" s="560">
        <f t="shared" si="96"/>
        <v>0</v>
      </c>
      <c r="HH27" s="560" t="str">
        <f t="shared" si="97"/>
        <v/>
      </c>
      <c r="HI27" s="560">
        <f>IF(GK27="P",Lookup!$N$12,IF(GK27="PP",Lookup!$N$13,IF(GK27="PPP",Lookup!$N$14,IF(GK27="T",Lookup!$N$15,IF(GK27="TP",Lookup!$N$16,IF(GK27="TPP",Lookup!$N$17,IF(GK27="TPPP",Lookup!$N$18,0)))))))*GJ27</f>
        <v>0</v>
      </c>
      <c r="HJ27" s="545">
        <f t="shared" si="169"/>
        <v>0</v>
      </c>
      <c r="HK27" s="560">
        <f t="shared" si="170"/>
        <v>0</v>
      </c>
      <c r="HL27" s="560">
        <f t="shared" si="102"/>
        <v>0</v>
      </c>
      <c r="HM27" s="560"/>
    </row>
    <row r="28" spans="1:221">
      <c r="A28" s="580" t="s">
        <v>8</v>
      </c>
      <c r="B28" s="556">
        <v>41656</v>
      </c>
      <c r="C28" s="561">
        <v>0</v>
      </c>
      <c r="D28" s="529">
        <f t="shared" si="103"/>
        <v>300</v>
      </c>
      <c r="E28" s="529">
        <f t="shared" si="104"/>
        <v>250</v>
      </c>
      <c r="F28" s="529">
        <v>250</v>
      </c>
      <c r="G28" s="560">
        <f>DR28+Sheet1!CZ30</f>
        <v>1504.2360060514372</v>
      </c>
      <c r="H28" s="914">
        <f t="shared" si="2"/>
        <v>705.37495431164905</v>
      </c>
      <c r="I28" s="559">
        <f>MAX(Sheet1!Z30-AT28+(Sheet1!DA30-E28)*CFStoMGD,0)</f>
        <v>1206.922</v>
      </c>
      <c r="J28" s="562">
        <f>IF(AND(B28&gt;=Calculation!GC28,B28&lt;=Calculation!GD28),IF(Sheet1!DB30&gt;=Calculation!D28,64.64,0),MAX(Sheet1!Z30-AT28+(Sheet1!DB30-D28)*CFStoMGD,0))</f>
        <v>728.58600000000001</v>
      </c>
      <c r="K28" s="904">
        <f t="shared" si="105"/>
        <v>64.64</v>
      </c>
      <c r="L28" s="560">
        <f>Sheet1!AA30+Sheet1!AB30-Sheet1!L30+(Sheet1!DA30-F28)*CFStoMGD</f>
        <v>1182.912</v>
      </c>
      <c r="M28" s="560">
        <f t="shared" si="106"/>
        <v>991.78491739788205</v>
      </c>
      <c r="N28" s="910">
        <f>IF(Sheet1!DA30&gt;=F28,MIN(73,MIN(MAX(L28,0),MAX(M28,0))),0)</f>
        <v>73</v>
      </c>
      <c r="O28" s="563">
        <f>Sheet1!AA30+Sheet1!AB30</f>
        <v>43.69</v>
      </c>
      <c r="P28" s="563">
        <f t="shared" si="107"/>
        <v>67.588430000000002</v>
      </c>
      <c r="Q28" s="898">
        <f t="shared" si="63"/>
        <v>0</v>
      </c>
      <c r="R28" s="829">
        <f t="shared" si="108"/>
        <v>8.0100248756218893</v>
      </c>
      <c r="S28" s="898">
        <f t="shared" si="65"/>
        <v>43.69</v>
      </c>
      <c r="T28" s="898">
        <f t="shared" si="66"/>
        <v>0</v>
      </c>
      <c r="U28" s="898">
        <f t="shared" si="6"/>
        <v>0</v>
      </c>
      <c r="V28" s="898"/>
      <c r="W28" s="898">
        <f t="shared" si="67"/>
        <v>56.629975124378113</v>
      </c>
      <c r="X28" s="898">
        <f t="shared" si="68"/>
        <v>43.69</v>
      </c>
      <c r="Y28" s="898" t="str">
        <f t="shared" si="69"/>
        <v/>
      </c>
      <c r="Z28" s="898">
        <f t="shared" si="70"/>
        <v>43.69</v>
      </c>
      <c r="AA28" s="898">
        <f t="shared" si="71"/>
        <v>43.69</v>
      </c>
      <c r="AB28" s="898" t="str">
        <f t="shared" si="72"/>
        <v/>
      </c>
      <c r="AC28" s="563">
        <f>Sheet1!Y30*MGDtoCFS</f>
        <v>30.785299999999996</v>
      </c>
      <c r="AD28" s="563">
        <f>Sheet1!Z30*MGDtoCFS</f>
        <v>37.143470000000001</v>
      </c>
      <c r="AE28" s="563">
        <f>Sheet1!AA30*MGDtoCFS</f>
        <v>30.321200000000001</v>
      </c>
      <c r="AF28" s="563">
        <f>Sheet1!AB30*MGDtoCFS</f>
        <v>37.267229999999998</v>
      </c>
      <c r="AG28" s="563">
        <f>Sheet1!L30*MGDtoCFS</f>
        <v>67.588429999999988</v>
      </c>
      <c r="AH28" s="545">
        <f t="shared" si="109"/>
        <v>0</v>
      </c>
      <c r="AI28" s="560">
        <f t="shared" si="110"/>
        <v>0</v>
      </c>
      <c r="AJ28" s="560">
        <f t="shared" si="111"/>
        <v>0</v>
      </c>
      <c r="AK28" s="560">
        <f t="shared" si="112"/>
        <v>0</v>
      </c>
      <c r="AL28" s="560">
        <f>(VLOOKUP(Sheet1!DC30,hhdcap_wcm,4)-(((VLOOKUP(Sheet1!DC30,hhdcap_wcm,3)-Sheet1!DC30)/(VLOOKUP(Sheet1!DC30,hhdcap_wcm,3)-VLOOKUP(Sheet1!DC30,hhdcap_wcm,1)))*(VLOOKUP(Sheet1!DC30,hhdcap_wcm,4)-VLOOKUP(Sheet1!DC30,hhdcap_wcm,2))))</f>
        <v>1465.000000003788</v>
      </c>
      <c r="AM28" s="560">
        <f t="shared" si="113"/>
        <v>8.4000000000000909</v>
      </c>
      <c r="AN28" s="560">
        <f t="shared" si="114"/>
        <v>0</v>
      </c>
      <c r="AO28" s="560">
        <f t="shared" si="115"/>
        <v>0</v>
      </c>
      <c r="AP28" s="560">
        <f>Sheet1!BA30+Sheet1!BB30+Sheet1!BN30+CD28</f>
        <v>16.100000000000001</v>
      </c>
      <c r="AQ28" s="560">
        <f>Sheet1!BN30+(DO28*Sheet1!BN30)</f>
        <v>15.081218905472635</v>
      </c>
      <c r="AR28" s="560">
        <f>Sheet1!BA30+CD28</f>
        <v>0</v>
      </c>
      <c r="AS28" s="560">
        <f>Sheet1!BA30+Sheet1!BB30+CD28</f>
        <v>1</v>
      </c>
      <c r="AT28" s="698">
        <f>0</f>
        <v>0</v>
      </c>
      <c r="AU28" s="560">
        <f>IF(EB28&lt;K28,0,MAX(Sheet1!AA30+AQ28-15/36*K28-N28,Sheet1!EH30,0))</f>
        <v>0</v>
      </c>
      <c r="AV28" s="560">
        <f>IF(OR(B28&gt;=GD28,B28&lt;GC28),0,15/36*K28-MAX(0,64.6-(137.6-(Sheet1!AA30+Sheet1!AB30))))</f>
        <v>0</v>
      </c>
      <c r="AW28" s="698">
        <f>Sheet1!DB30-110</f>
        <v>1280</v>
      </c>
      <c r="AX28" s="698">
        <f>Sheet1!DA30-265</f>
        <v>1815</v>
      </c>
      <c r="AY28" s="698">
        <f t="shared" si="116"/>
        <v>73</v>
      </c>
      <c r="AZ28" s="698">
        <v>0</v>
      </c>
      <c r="BA28" s="698">
        <f t="shared" si="117"/>
        <v>0</v>
      </c>
      <c r="BB28" s="560">
        <f t="shared" si="118"/>
        <v>0</v>
      </c>
      <c r="BC28" s="560"/>
      <c r="BD28" s="560">
        <f ca="1">IF(B28&gt;Summary!$A$1,#N/A,BB28*MGtoAF)</f>
        <v>0</v>
      </c>
      <c r="BE28" s="560">
        <f>Sheet1!BG30+Sheet1!BH30+Sheet1!BI30-BM28</f>
        <v>0</v>
      </c>
      <c r="BF28" s="560">
        <f t="shared" si="119"/>
        <v>0</v>
      </c>
      <c r="BG28" s="560">
        <f>IF(Sheet1!EP30="FM",BM28,0)</f>
        <v>0</v>
      </c>
      <c r="BH28" s="560">
        <f t="shared" si="120"/>
        <v>0</v>
      </c>
      <c r="BI28" s="560">
        <f>IF(Sheet1!EP30="OTHER",BM28,0)</f>
        <v>0</v>
      </c>
      <c r="BJ28" s="560">
        <f t="shared" si="121"/>
        <v>0</v>
      </c>
      <c r="BK28" s="560">
        <f t="shared" si="122"/>
        <v>0</v>
      </c>
      <c r="BL28" s="560">
        <f t="shared" si="123"/>
        <v>0</v>
      </c>
      <c r="BM28" s="560">
        <f>IF(OR(Sheet1!EP30="FM", Sheet1!EP30="OTHER"),SUM(Sheet1!BG30:'Sheet1'!BI30),0)</f>
        <v>0</v>
      </c>
      <c r="BN28" s="545">
        <f>IF(AND($B28&gt;=$FV28,$B28&lt;=$FW28),MAX(BF28,Sheet1!EI30,0),MAX(BF28-(7/36)*$K28,0))</f>
        <v>0</v>
      </c>
      <c r="BO28" s="560">
        <f t="shared" si="124"/>
        <v>0</v>
      </c>
      <c r="BP28" s="545">
        <f t="shared" si="125"/>
        <v>0</v>
      </c>
      <c r="BQ28" s="545">
        <f>IF(AND($O28&gt;0,Sheet1!EM30=1),(1-($O28-Sheet1!$L30)/$O28)*BL28,0)</f>
        <v>0</v>
      </c>
      <c r="BR28" s="545">
        <f>IF(AND(Sheet1!$L30=0,Sheet1!$L29=0, Calculation!BK28&lt;Sheet1!$EI30-0.1,Sheet1!$EI30=Sheet1!$EI29,Sheet1!$EI30=Sheet1!$EI31),Sheet1!$EI30,BL28-BQ28)</f>
        <v>0</v>
      </c>
      <c r="BS28" s="560"/>
      <c r="BT28" s="560"/>
      <c r="BU28" s="560">
        <f t="shared" si="126"/>
        <v>0</v>
      </c>
      <c r="BV28" s="560"/>
      <c r="BW28" s="560">
        <f ca="1">IF(B28&gt;Summary!$A$1,#N/A,BU28*MGtoAF)</f>
        <v>0</v>
      </c>
      <c r="BX28" s="560">
        <f>Sheet1!BC30+Sheet1!BD30+Sheet1!BE30+Sheet1!BF30-CG28-CH28</f>
        <v>2.5</v>
      </c>
      <c r="BY28" s="560">
        <f t="shared" si="127"/>
        <v>2.4968905472636815</v>
      </c>
      <c r="BZ28" s="560">
        <f>IF(Sheet1!EQ30="FM",CH28,0)</f>
        <v>0</v>
      </c>
      <c r="CA28" s="560">
        <f t="shared" si="128"/>
        <v>0</v>
      </c>
      <c r="CB28" s="560">
        <f>IF(Sheet1!EQ30="OTHER",CH28,0)</f>
        <v>0</v>
      </c>
      <c r="CC28" s="560">
        <f t="shared" si="129"/>
        <v>0</v>
      </c>
      <c r="CD28" s="560">
        <f t="shared" si="130"/>
        <v>0</v>
      </c>
      <c r="CE28" s="560">
        <f t="shared" si="131"/>
        <v>2.5</v>
      </c>
      <c r="CF28" s="560">
        <f t="shared" si="132"/>
        <v>2.4968905472636815</v>
      </c>
      <c r="CG28" s="560">
        <f>IF(Sheet1!EQ30="CWA",SUM(Sheet1!BC30:'Sheet1'!BF30),0)</f>
        <v>0</v>
      </c>
      <c r="CH28" s="560">
        <f>IF(OR(Sheet1!EQ30="FM", Sheet1!EQ30="OTHER"),SUM(Sheet1!BC30:'Sheet1'!BF30),0)</f>
        <v>0</v>
      </c>
      <c r="CI28" s="545">
        <f>IF(AND($B28&gt;=$FV28,$B28&lt;=$FW28),MAX(CF28,Sheet1!EJ30,0),MAX(CF28-(7/36)*$K28,0))</f>
        <v>0</v>
      </c>
      <c r="CJ28" s="560">
        <f t="shared" si="133"/>
        <v>0</v>
      </c>
      <c r="CK28" s="545">
        <f t="shared" si="134"/>
        <v>2.4968905472636815</v>
      </c>
      <c r="CL28" s="545">
        <f>IF(AND($O28&gt;0,Sheet1!EN30=1),(1-($O28-Sheet1!$L30)/$O28)*CF28,0)</f>
        <v>0</v>
      </c>
      <c r="CM28" s="545">
        <f>IF(AND(Sheet1!$L30=0,Sheet1!$L29=0, Calculation!CE28&lt;Sheet1!EJ30-0.1,Sheet1!EJ30=Sheet1!EJ29,Sheet1!EJ30=Sheet1!EJ31),Sheet1!EJ30,CF28-CL28)</f>
        <v>2.4968905472636815</v>
      </c>
      <c r="CN28" s="545"/>
      <c r="CO28" s="560"/>
      <c r="CP28" s="560">
        <f t="shared" si="135"/>
        <v>0</v>
      </c>
      <c r="CQ28" s="560"/>
      <c r="CR28" s="560">
        <f ca="1">IF(B28&gt;Summary!$A$1,#N/A,CP28*MGtoAF)</f>
        <v>0</v>
      </c>
      <c r="CS28" s="560">
        <f>Sheet1!BK30+Sheet1!BL30+Sheet1!BM30-Sheet1!ER30-DA28</f>
        <v>5.52</v>
      </c>
      <c r="CT28" s="560">
        <f t="shared" si="136"/>
        <v>5.5131343283582082</v>
      </c>
      <c r="CU28" s="560">
        <f>IF(Sheet1!ER30="FM",DA28,0)</f>
        <v>0</v>
      </c>
      <c r="CV28" s="560">
        <f t="shared" si="137"/>
        <v>0</v>
      </c>
      <c r="CW28" s="560">
        <f>IF(Sheet1!ER30="OTHER",DA28,0)</f>
        <v>0</v>
      </c>
      <c r="CX28" s="560">
        <f t="shared" si="138"/>
        <v>0</v>
      </c>
      <c r="CY28" s="560">
        <f t="shared" si="139"/>
        <v>5.52</v>
      </c>
      <c r="CZ28" s="560">
        <f t="shared" si="140"/>
        <v>5.5131343283582082</v>
      </c>
      <c r="DA28" s="560">
        <f>IF(OR(Sheet1!ER30="FM", Sheet1!ER30="OTHER"),SUM(Sheet1!BK30:'Sheet1'!BM30),0)</f>
        <v>0</v>
      </c>
      <c r="DB28" s="545">
        <f>IF(AND($B28&gt;=$FV28,$B28&lt;=$FW28),MAX($CT28,Sheet1!EK30,0),MAX($CT28-(7/36)*$K28,0))</f>
        <v>0</v>
      </c>
      <c r="DC28" s="560">
        <f t="shared" si="141"/>
        <v>0</v>
      </c>
      <c r="DD28" s="545">
        <f t="shared" si="142"/>
        <v>5.5131343283582082</v>
      </c>
      <c r="DE28" s="545">
        <f>IF(AND($O28&gt;0,Sheet1!EO30=1),(1-($O28-Sheet1!$L30)/$O28)*CZ28,0)</f>
        <v>0</v>
      </c>
      <c r="DF28" s="545">
        <f>IF(AND(Sheet1!$L30=0,Sheet1!$L29=0, Calculation!CY28&lt;Sheet1!$EK30-0.1,Sheet1!$EK30=Sheet1!$EK29,Sheet1!$EK30=Sheet1!$EK31),Sheet1!$EK30,CZ28-DE28)</f>
        <v>5.5131343283582082</v>
      </c>
      <c r="DG28" s="545"/>
      <c r="DH28" s="560">
        <f t="shared" si="143"/>
        <v>8.02</v>
      </c>
      <c r="DI28" s="560">
        <f t="shared" si="144"/>
        <v>0</v>
      </c>
      <c r="DJ28" s="698">
        <f t="shared" si="145"/>
        <v>8.0100248756218893</v>
      </c>
      <c r="DK28" s="560">
        <f ca="1">IF(B28&gt;Summary!$A$1,#N/A,DI28*MGtoAF)</f>
        <v>0</v>
      </c>
      <c r="DL28" s="698">
        <f t="shared" si="146"/>
        <v>8.02</v>
      </c>
      <c r="DM28" s="560">
        <f t="shared" si="147"/>
        <v>24.12</v>
      </c>
      <c r="DN28" s="560">
        <f>Sheet1!AB30-DM28</f>
        <v>-3.0000000000001137E-2</v>
      </c>
      <c r="DO28" s="823">
        <f t="shared" si="148"/>
        <v>-1.2437810945274102E-3</v>
      </c>
      <c r="DP28" s="560">
        <f>(VLOOKUP(Sheet1!DC30,hhdcap_wcm,4)-(((VLOOKUP(Sheet1!DC30,hhdcap_wcm,3)-Sheet1!DC30)/(VLOOKUP(Sheet1!DC30,hhdcap_wcm,3)-VLOOKUP(Sheet1!DC30,hhdcap_wcm,1)))*(VLOOKUP(Sheet1!DC30,hhdcap_wcm,4)-VLOOKUP(Sheet1!DC30,hhdcap_wcm,2))))</f>
        <v>1465.000000003788</v>
      </c>
      <c r="DQ28" s="560">
        <f t="shared" si="149"/>
        <v>8.4000000000000909</v>
      </c>
      <c r="DR28" s="560">
        <f t="shared" si="150"/>
        <v>4.2360060514372613</v>
      </c>
      <c r="DS28" s="560">
        <f>Sheet1!EA30*AFtoMG</f>
        <v>0</v>
      </c>
      <c r="DT28" s="560">
        <f>Sheet1!EB30*AFtoMG</f>
        <v>0</v>
      </c>
      <c r="DU28" s="560">
        <f>Sheet1!EC30*AFtoMG</f>
        <v>0</v>
      </c>
      <c r="DV28" s="560">
        <f>Sheet1!ED30*AFtoMG</f>
        <v>0</v>
      </c>
      <c r="DW28" s="560">
        <f t="shared" si="151"/>
        <v>0</v>
      </c>
      <c r="DX28" s="560">
        <f t="shared" si="152"/>
        <v>0</v>
      </c>
      <c r="DY28" s="560">
        <f t="shared" si="153"/>
        <v>0</v>
      </c>
      <c r="DZ28" s="560">
        <f t="shared" si="154"/>
        <v>0</v>
      </c>
      <c r="EA28" s="560"/>
      <c r="EB28" s="545">
        <f>IF(OR(B28&lt;FV28,B28&gt;FW28),(MIN(BF28+BY28+CT28+MAX(Sheet1!AA30+AQ28-73,0),K28)),0)</f>
        <v>8.0100248756218893</v>
      </c>
      <c r="EC28" s="560"/>
      <c r="ED28" s="560">
        <f t="shared" si="155"/>
        <v>8.0100248756218893</v>
      </c>
      <c r="EE28" s="560"/>
      <c r="EF28" s="560">
        <f>Sheet1!EH30+Sheet1!EI30+Sheet1!EJ30+Sheet1!EK30</f>
        <v>8.02</v>
      </c>
      <c r="EG28" s="560"/>
      <c r="EH28" s="545">
        <f t="shared" si="156"/>
        <v>0</v>
      </c>
      <c r="EI28" s="560">
        <f>IF(Sheet1!ET30=1,SUM('Calculations II'!AT28:BA28)+'Calculations II'!BC28+Sheet1!BV30+'Calculations II'!BE28+AP28,SUM('Calculations II'!AT28:BA28)+'Calculations II'!BC28+Sheet1!BV30+'Calculations II'!BE28+AP28)</f>
        <v>52.155136000000006</v>
      </c>
      <c r="EJ28" s="560">
        <f>Sheet1!AA30+Sheet1!AB30+'Calculations II'!BC28</f>
        <v>57.524079999999998</v>
      </c>
      <c r="EK28" s="560"/>
      <c r="EL28" s="560"/>
      <c r="EM28" s="560">
        <f t="shared" si="157"/>
        <v>41656</v>
      </c>
      <c r="EN28" s="560">
        <f t="shared" si="158"/>
        <v>0</v>
      </c>
      <c r="EO28" s="560">
        <f t="shared" si="159"/>
        <v>0</v>
      </c>
      <c r="EP28" s="560">
        <v>0</v>
      </c>
      <c r="EQ28" s="560">
        <v>0</v>
      </c>
      <c r="ER28" s="560">
        <v>0</v>
      </c>
      <c r="ES28" s="545">
        <f t="shared" si="77"/>
        <v>-0.13844632791959494</v>
      </c>
      <c r="ET28" s="560">
        <f>-(VLOOKUP(Sheet1!BQ30,Lookup!$O$4:$Q$262,2)-VLOOKUP(Sheet1!BQ29,Lookup!$O$4:$Q$262,2))/1000000</f>
        <v>0</v>
      </c>
      <c r="EU28" s="560">
        <f>-(VLOOKUP(Sheet1!BR30,Lookup!$O$4:$Q$262,3)-VLOOKUP(Sheet1!BR29,Lookup!$O$4:$Q$262,3))/1000000</f>
        <v>-0.13844632791959494</v>
      </c>
      <c r="EV28" s="560"/>
      <c r="EW28" s="560"/>
      <c r="EX28" s="560"/>
      <c r="EY28" s="560"/>
      <c r="EZ28" s="560"/>
      <c r="FA28" s="560"/>
      <c r="FB28" s="560"/>
      <c r="FC28" s="560"/>
      <c r="FD28" s="594" t="e">
        <f t="shared" si="160"/>
        <v>#N/A</v>
      </c>
      <c r="FE28" s="594" t="e">
        <f t="shared" si="161"/>
        <v>#N/A</v>
      </c>
      <c r="FF28" s="595" t="e">
        <f t="shared" si="162"/>
        <v>#N/A</v>
      </c>
      <c r="FG28" s="596" t="s">
        <v>692</v>
      </c>
      <c r="FH28" s="596" t="s">
        <v>692</v>
      </c>
      <c r="FI28" s="594" t="e">
        <v>#N/A</v>
      </c>
      <c r="FJ28" s="594" t="e">
        <v>#N/A</v>
      </c>
      <c r="FK28" s="560"/>
      <c r="FL28" s="560"/>
      <c r="FM28" s="560"/>
      <c r="FN28" s="560"/>
      <c r="FO28" s="560">
        <f>O28+((Sheet1!CS30)*GPMtoMGD)</f>
        <v>57.524079999999998</v>
      </c>
      <c r="FP28" s="560">
        <f>IF(Sheet1!AA30+AQ28&lt;=Calculation!N28,AQ28,Calculation!N28-Sheet1!AA30)</f>
        <v>15.081218905472635</v>
      </c>
      <c r="FQ28" s="560">
        <f>(Sheet1!BP30+Sheet1!BO30)/694.4</f>
        <v>1.469758064516129</v>
      </c>
      <c r="FR28" s="560"/>
      <c r="FS28" s="560"/>
      <c r="FT28" s="560"/>
      <c r="FU28" s="560"/>
      <c r="FV28" s="695">
        <f t="shared" si="80"/>
        <v>41827</v>
      </c>
      <c r="FW28" s="695">
        <f t="shared" si="81"/>
        <v>41934</v>
      </c>
      <c r="FX28" s="560"/>
      <c r="FY28" s="560"/>
      <c r="FZ28" s="560"/>
      <c r="GA28" s="560"/>
      <c r="GB28" s="560" t="str">
        <f t="shared" si="82"/>
        <v>n</v>
      </c>
      <c r="GC28" s="564">
        <f t="shared" si="83"/>
        <v>41691</v>
      </c>
      <c r="GD28" s="695">
        <f t="shared" si="84"/>
        <v>41807</v>
      </c>
      <c r="GE28" s="560">
        <v>6518.9</v>
      </c>
      <c r="GF28" s="695">
        <f t="shared" si="85"/>
        <v>41808</v>
      </c>
      <c r="GG28" s="560">
        <f t="shared" si="163"/>
        <v>3259</v>
      </c>
      <c r="GH28" s="564">
        <f t="shared" si="87"/>
        <v>41934</v>
      </c>
      <c r="GJ28" s="545">
        <f t="shared" si="88"/>
        <v>0</v>
      </c>
      <c r="GK28" s="560" t="str">
        <f t="shared" si="164"/>
        <v/>
      </c>
      <c r="GL28" s="560">
        <f t="shared" si="89"/>
        <v>0</v>
      </c>
      <c r="GM28" s="560" t="str">
        <f t="shared" si="90"/>
        <v/>
      </c>
      <c r="GN28" s="560">
        <f>IF(GK28="P",Lookup!$M$12,IF(GK28="PP",Lookup!$M$13,IF(GK28="PPP",Lookup!$M$14,IF(GK28="T",Lookup!$M$15,IF(GK28="TP",Lookup!$M$16,IF(GK28="TPP",Lookup!$M$17,IF(GK28="TPPP",Lookup!$M$18,0)))))))*GJ28</f>
        <v>0</v>
      </c>
      <c r="GO28" s="560">
        <f t="shared" si="91"/>
        <v>0</v>
      </c>
      <c r="GP28" s="560">
        <f t="shared" si="165"/>
        <v>0</v>
      </c>
      <c r="GQ28" s="560">
        <f t="shared" si="99"/>
        <v>0</v>
      </c>
      <c r="GR28" s="560"/>
      <c r="GS28" s="560">
        <f t="shared" si="92"/>
        <v>0</v>
      </c>
      <c r="GT28" s="560" t="str">
        <f t="shared" si="93"/>
        <v/>
      </c>
      <c r="GU28" s="560">
        <f>IF(GK28="P",Lookup!$N$12,IF(GK28="PP",Lookup!$N$13,IF(GK28="PPP",Lookup!$N$14,IF(GK28="T",Lookup!$N$15,IF(GK28="TP",Lookup!$N$16,IF(GK28="TPP",Lookup!$N$17,IF(GK28="TPPP",Lookup!$N$18,0)))))))*GJ28</f>
        <v>0</v>
      </c>
      <c r="GV28" s="560">
        <f t="shared" si="57"/>
        <v>0</v>
      </c>
      <c r="GW28" s="560">
        <f t="shared" si="166"/>
        <v>0</v>
      </c>
      <c r="GX28" s="560">
        <f t="shared" si="100"/>
        <v>0</v>
      </c>
      <c r="GY28" s="560"/>
      <c r="GZ28" s="560">
        <f t="shared" si="94"/>
        <v>0</v>
      </c>
      <c r="HA28" s="560" t="str">
        <f t="shared" si="95"/>
        <v/>
      </c>
      <c r="HB28" s="560">
        <f>IF(GK28="P",Lookup!$N$12,IF(GK28="PP",Lookup!$N$13,IF(GK28="PPP",Lookup!$N$14,IF(GK28="T",Lookup!$N$15,IF(GK28="TP",Lookup!$N$16,IF(GK28="TPP",Lookup!$N$17,IF(GK28="TPPP",Lookup!$N$18,0)))))))*GJ28</f>
        <v>0</v>
      </c>
      <c r="HC28" s="545">
        <f t="shared" si="167"/>
        <v>0</v>
      </c>
      <c r="HD28" s="560">
        <f t="shared" si="168"/>
        <v>0</v>
      </c>
      <c r="HE28" s="560">
        <f t="shared" si="101"/>
        <v>0</v>
      </c>
      <c r="HF28" s="560"/>
      <c r="HG28" s="560">
        <f t="shared" si="96"/>
        <v>0</v>
      </c>
      <c r="HH28" s="560" t="str">
        <f t="shared" si="97"/>
        <v/>
      </c>
      <c r="HI28" s="560">
        <f>IF(GK28="P",Lookup!$N$12,IF(GK28="PP",Lookup!$N$13,IF(GK28="PPP",Lookup!$N$14,IF(GK28="T",Lookup!$N$15,IF(GK28="TP",Lookup!$N$16,IF(GK28="TPP",Lookup!$N$17,IF(GK28="TPPP",Lookup!$N$18,0)))))))*GJ28</f>
        <v>0</v>
      </c>
      <c r="HJ28" s="545">
        <f t="shared" si="169"/>
        <v>0</v>
      </c>
      <c r="HK28" s="560">
        <f t="shared" si="170"/>
        <v>0</v>
      </c>
      <c r="HL28" s="560">
        <f t="shared" si="102"/>
        <v>0</v>
      </c>
      <c r="HM28" s="560"/>
    </row>
    <row r="29" spans="1:221">
      <c r="A29" s="580" t="s">
        <v>9</v>
      </c>
      <c r="B29" s="556">
        <v>41657</v>
      </c>
      <c r="C29" s="561">
        <v>0</v>
      </c>
      <c r="D29" s="529">
        <f t="shared" si="103"/>
        <v>300</v>
      </c>
      <c r="E29" s="529">
        <f t="shared" si="104"/>
        <v>250</v>
      </c>
      <c r="F29" s="529">
        <v>250</v>
      </c>
      <c r="G29" s="560">
        <f>DR29+Sheet1!CZ31</f>
        <v>1529.2486132123367</v>
      </c>
      <c r="H29" s="914">
        <f t="shared" si="2"/>
        <v>721.5431035804545</v>
      </c>
      <c r="I29" s="559">
        <f>MAX(Sheet1!Z31-AT29+(Sheet1!DA31-E29)*CFStoMGD,0)</f>
        <v>1168.2179999999998</v>
      </c>
      <c r="J29" s="562">
        <f>IF(AND(B29&gt;=Calculation!GC29,B29&lt;=Calculation!GD29),IF(Sheet1!DB31&gt;=Calculation!D29,64.64,0),MAX(Sheet1!Z31-AT29+(Sheet1!DB31-D29)*CFStoMGD,0))</f>
        <v>722.202</v>
      </c>
      <c r="K29" s="904">
        <f t="shared" si="105"/>
        <v>64.64</v>
      </c>
      <c r="L29" s="560">
        <f>Sheet1!AA31+Sheet1!AB31-Sheet1!L31+(Sheet1!DA31-F29)*CFStoMGD</f>
        <v>1144.1279999999999</v>
      </c>
      <c r="M29" s="560">
        <f t="shared" si="106"/>
        <v>1008.2764296520636</v>
      </c>
      <c r="N29" s="910">
        <f>IF(Sheet1!DA31&gt;=F29,MIN(73,MIN(MAX(L29,0),MAX(M29,0))),0)</f>
        <v>73</v>
      </c>
      <c r="O29" s="563">
        <f>Sheet1!AA31+Sheet1!AB31</f>
        <v>43.69</v>
      </c>
      <c r="P29" s="563">
        <f t="shared" si="107"/>
        <v>67.588430000000002</v>
      </c>
      <c r="Q29" s="898">
        <f t="shared" si="63"/>
        <v>0</v>
      </c>
      <c r="R29" s="829">
        <f t="shared" si="108"/>
        <v>8.0033554541683944</v>
      </c>
      <c r="S29" s="898">
        <f t="shared" si="65"/>
        <v>43.69</v>
      </c>
      <c r="T29" s="898">
        <f t="shared" si="66"/>
        <v>0</v>
      </c>
      <c r="U29" s="898">
        <f t="shared" si="6"/>
        <v>0</v>
      </c>
      <c r="V29" s="898"/>
      <c r="W29" s="898">
        <f t="shared" si="67"/>
        <v>56.636644545831608</v>
      </c>
      <c r="X29" s="898">
        <f t="shared" si="68"/>
        <v>43.69</v>
      </c>
      <c r="Y29" s="898" t="str">
        <f t="shared" si="69"/>
        <v/>
      </c>
      <c r="Z29" s="898">
        <f t="shared" si="70"/>
        <v>43.69</v>
      </c>
      <c r="AA29" s="898">
        <f t="shared" si="71"/>
        <v>43.69</v>
      </c>
      <c r="AB29" s="898" t="str">
        <f t="shared" si="72"/>
        <v/>
      </c>
      <c r="AC29" s="563">
        <f>Sheet1!Y31*MGDtoCFS</f>
        <v>30.321200000000001</v>
      </c>
      <c r="AD29" s="563">
        <f>Sheet1!Z31*MGDtoCFS</f>
        <v>37.267229999999998</v>
      </c>
      <c r="AE29" s="563">
        <f>Sheet1!AA31*MGDtoCFS</f>
        <v>30.321200000000001</v>
      </c>
      <c r="AF29" s="563">
        <f>Sheet1!AB31*MGDtoCFS</f>
        <v>37.267229999999998</v>
      </c>
      <c r="AG29" s="563">
        <f>Sheet1!L31*MGDtoCFS</f>
        <v>67.588429999999988</v>
      </c>
      <c r="AH29" s="545">
        <f t="shared" si="109"/>
        <v>0</v>
      </c>
      <c r="AI29" s="560">
        <f t="shared" si="110"/>
        <v>0</v>
      </c>
      <c r="AJ29" s="560">
        <f t="shared" si="111"/>
        <v>0</v>
      </c>
      <c r="AK29" s="560">
        <f t="shared" si="112"/>
        <v>0</v>
      </c>
      <c r="AL29" s="560">
        <f>(VLOOKUP(Sheet1!DC31,hhdcap_wcm,4)-(((VLOOKUP(Sheet1!DC31,hhdcap_wcm,3)-Sheet1!DC31)/(VLOOKUP(Sheet1!DC31,hhdcap_wcm,3)-VLOOKUP(Sheet1!DC31,hhdcap_wcm,1)))*(VLOOKUP(Sheet1!DC31,hhdcap_wcm,4)-VLOOKUP(Sheet1!DC31,hhdcap_wcm,2))))</f>
        <v>1523.0000000038517</v>
      </c>
      <c r="AM29" s="560">
        <f t="shared" si="113"/>
        <v>58.000000000063665</v>
      </c>
      <c r="AN29" s="560">
        <f t="shared" si="114"/>
        <v>0</v>
      </c>
      <c r="AO29" s="560">
        <f t="shared" si="115"/>
        <v>0</v>
      </c>
      <c r="AP29" s="560">
        <f>Sheet1!BA31+Sheet1!BB31+Sheet1!BN31+CD29</f>
        <v>16.100000000000001</v>
      </c>
      <c r="AQ29" s="560">
        <f>Sheet1!BN31+(DO29*Sheet1!BN31)</f>
        <v>15.087474077146412</v>
      </c>
      <c r="AR29" s="560">
        <f>Sheet1!BA31+CD29</f>
        <v>0</v>
      </c>
      <c r="AS29" s="560">
        <f>Sheet1!BA31+Sheet1!BB31+CD29</f>
        <v>1</v>
      </c>
      <c r="AT29" s="698">
        <f>0</f>
        <v>0</v>
      </c>
      <c r="AU29" s="560">
        <f>IF(EB29&lt;K29,0,MAX(Sheet1!AA31+AQ29-15/36*K29-N29,Sheet1!EH31,0))</f>
        <v>0</v>
      </c>
      <c r="AV29" s="560">
        <f>IF(OR(B29&gt;=GD29,B29&lt;GC29),0,15/36*K29-MAX(0,64.6-(137.6-(Sheet1!AA31+Sheet1!AB31))))</f>
        <v>0</v>
      </c>
      <c r="AW29" s="698">
        <f>Sheet1!DB31-110</f>
        <v>1270</v>
      </c>
      <c r="AX29" s="698">
        <f>Sheet1!DA31-265</f>
        <v>1755</v>
      </c>
      <c r="AY29" s="698">
        <f t="shared" si="116"/>
        <v>73</v>
      </c>
      <c r="AZ29" s="698">
        <v>0</v>
      </c>
      <c r="BA29" s="698">
        <f t="shared" si="117"/>
        <v>0</v>
      </c>
      <c r="BB29" s="560">
        <f t="shared" si="118"/>
        <v>0</v>
      </c>
      <c r="BC29" s="560"/>
      <c r="BD29" s="560">
        <f ca="1">IF(B29&gt;Summary!$A$1,#N/A,BB29*MGtoAF)</f>
        <v>0</v>
      </c>
      <c r="BE29" s="560">
        <f>Sheet1!BG31+Sheet1!BH31+Sheet1!BI31-BM29</f>
        <v>0</v>
      </c>
      <c r="BF29" s="560">
        <f t="shared" si="119"/>
        <v>0</v>
      </c>
      <c r="BG29" s="560">
        <f>IF(Sheet1!EP31="FM",BM29,0)</f>
        <v>0</v>
      </c>
      <c r="BH29" s="560">
        <f t="shared" si="120"/>
        <v>0</v>
      </c>
      <c r="BI29" s="560">
        <f>IF(Sheet1!EP31="OTHER",BM29,0)</f>
        <v>0</v>
      </c>
      <c r="BJ29" s="560">
        <f t="shared" si="121"/>
        <v>0</v>
      </c>
      <c r="BK29" s="560">
        <f t="shared" si="122"/>
        <v>0</v>
      </c>
      <c r="BL29" s="560">
        <f t="shared" si="123"/>
        <v>0</v>
      </c>
      <c r="BM29" s="560">
        <f>IF(OR(Sheet1!EP31="FM", Sheet1!EP31="OTHER"),SUM(Sheet1!BG31:'Sheet1'!BI31),0)</f>
        <v>0</v>
      </c>
      <c r="BN29" s="545">
        <f>IF(AND($B29&gt;=$FV29,$B29&lt;=$FW29),MAX(BF29,Sheet1!EI31,0),MAX(BF29-(7/36)*$K29,0))</f>
        <v>0</v>
      </c>
      <c r="BO29" s="560">
        <f t="shared" si="124"/>
        <v>0</v>
      </c>
      <c r="BP29" s="545">
        <f t="shared" si="125"/>
        <v>0</v>
      </c>
      <c r="BQ29" s="545">
        <f>IF(AND($O29&gt;0,Sheet1!EM31=1),(1-($O29-Sheet1!$L31)/$O29)*BL29,0)</f>
        <v>0</v>
      </c>
      <c r="BR29" s="545">
        <f>IF(AND(Sheet1!$L31=0,Sheet1!$L30=0, Calculation!BK29&lt;Sheet1!$EI31-0.1,Sheet1!$EI31=Sheet1!$EI30,Sheet1!$EI31=Sheet1!$EI32),Sheet1!$EI31,BL29-BQ29)</f>
        <v>0</v>
      </c>
      <c r="BS29" s="560"/>
      <c r="BT29" s="560"/>
      <c r="BU29" s="560">
        <f t="shared" si="126"/>
        <v>0</v>
      </c>
      <c r="BV29" s="560"/>
      <c r="BW29" s="560">
        <f ca="1">IF(B29&gt;Summary!$A$1,#N/A,BU29*MGtoAF)</f>
        <v>0</v>
      </c>
      <c r="BX29" s="560">
        <f>Sheet1!BC31+Sheet1!BD31+Sheet1!BE31+Sheet1!BF31-CG29-CH29</f>
        <v>2.4900000000000002</v>
      </c>
      <c r="BY29" s="560">
        <f t="shared" si="127"/>
        <v>2.4879344670261303</v>
      </c>
      <c r="BZ29" s="560">
        <f>IF(Sheet1!EQ31="FM",CH29,0)</f>
        <v>0</v>
      </c>
      <c r="CA29" s="560">
        <f t="shared" si="128"/>
        <v>0</v>
      </c>
      <c r="CB29" s="560">
        <f>IF(Sheet1!EQ31="OTHER",CH29,0)</f>
        <v>0</v>
      </c>
      <c r="CC29" s="560">
        <f t="shared" si="129"/>
        <v>0</v>
      </c>
      <c r="CD29" s="560">
        <f t="shared" si="130"/>
        <v>0</v>
      </c>
      <c r="CE29" s="560">
        <f t="shared" si="131"/>
        <v>2.4900000000000002</v>
      </c>
      <c r="CF29" s="560">
        <f t="shared" si="132"/>
        <v>2.4879344670261303</v>
      </c>
      <c r="CG29" s="560">
        <f>IF(Sheet1!EQ31="CWA",SUM(Sheet1!BC31:'Sheet1'!BF31),0)</f>
        <v>0</v>
      </c>
      <c r="CH29" s="560">
        <f>IF(OR(Sheet1!EQ31="FM", Sheet1!EQ31="OTHER"),SUM(Sheet1!BC31:'Sheet1'!BF31),0)</f>
        <v>0</v>
      </c>
      <c r="CI29" s="545">
        <f>IF(AND($B29&gt;=$FV29,$B29&lt;=$FW29),MAX(CF29,Sheet1!EJ31,0),MAX(CF29-(7/36)*$K29,0))</f>
        <v>0</v>
      </c>
      <c r="CJ29" s="560">
        <f t="shared" si="133"/>
        <v>0</v>
      </c>
      <c r="CK29" s="545">
        <f t="shared" si="134"/>
        <v>2.4879344670261303</v>
      </c>
      <c r="CL29" s="545">
        <f>IF(AND($O29&gt;0,Sheet1!EN31=1),(1-($O29-Sheet1!$L31)/$O29)*CF29,0)</f>
        <v>0</v>
      </c>
      <c r="CM29" s="545">
        <f>IF(AND(Sheet1!$L31=0,Sheet1!$L30=0, Calculation!CE29&lt;Sheet1!EJ31-0.1,Sheet1!EJ31=Sheet1!EJ30,Sheet1!EJ31=Sheet1!EJ32),Sheet1!EJ31,CF29-CL29)</f>
        <v>2.4879344670261303</v>
      </c>
      <c r="CN29" s="545"/>
      <c r="CO29" s="560"/>
      <c r="CP29" s="560">
        <f t="shared" si="135"/>
        <v>0</v>
      </c>
      <c r="CQ29" s="560"/>
      <c r="CR29" s="560">
        <f ca="1">IF(B29&gt;Summary!$A$1,#N/A,CP29*MGtoAF)</f>
        <v>0</v>
      </c>
      <c r="CS29" s="560">
        <f>Sheet1!BK31+Sheet1!BL31+Sheet1!BM31-Sheet1!ER31-DA29</f>
        <v>5.52</v>
      </c>
      <c r="CT29" s="560">
        <f t="shared" si="136"/>
        <v>5.5154209871422646</v>
      </c>
      <c r="CU29" s="560">
        <f>IF(Sheet1!ER31="FM",DA29,0)</f>
        <v>0</v>
      </c>
      <c r="CV29" s="560">
        <f t="shared" si="137"/>
        <v>0</v>
      </c>
      <c r="CW29" s="560">
        <f>IF(Sheet1!ER31="OTHER",DA29,0)</f>
        <v>0</v>
      </c>
      <c r="CX29" s="560">
        <f t="shared" si="138"/>
        <v>0</v>
      </c>
      <c r="CY29" s="560">
        <f t="shared" si="139"/>
        <v>5.52</v>
      </c>
      <c r="CZ29" s="560">
        <f t="shared" si="140"/>
        <v>5.5154209871422646</v>
      </c>
      <c r="DA29" s="560">
        <f>IF(OR(Sheet1!ER31="FM", Sheet1!ER31="OTHER"),SUM(Sheet1!BK31:'Sheet1'!BM31),0)</f>
        <v>0</v>
      </c>
      <c r="DB29" s="545">
        <f>IF(AND($B29&gt;=$FV29,$B29&lt;=$FW29),MAX($CT29,Sheet1!EK31,0),MAX($CT29-(7/36)*$K29,0))</f>
        <v>0</v>
      </c>
      <c r="DC29" s="560">
        <f t="shared" si="141"/>
        <v>0</v>
      </c>
      <c r="DD29" s="545">
        <f t="shared" si="142"/>
        <v>5.5154209871422646</v>
      </c>
      <c r="DE29" s="545">
        <f>IF(AND($O29&gt;0,Sheet1!EO31=1),(1-($O29-Sheet1!$L31)/$O29)*CZ29,0)</f>
        <v>0</v>
      </c>
      <c r="DF29" s="545">
        <f>IF(AND(Sheet1!$L31=0,Sheet1!$L30=0, Calculation!CY29&lt;Sheet1!$EK31-0.1,Sheet1!$EK31=Sheet1!$EK30,Sheet1!$EK31=Sheet1!$EK32),Sheet1!$EK31,CZ29-DE29)</f>
        <v>5.5154209871422646</v>
      </c>
      <c r="DG29" s="545"/>
      <c r="DH29" s="560">
        <f t="shared" si="143"/>
        <v>8.01</v>
      </c>
      <c r="DI29" s="560">
        <f t="shared" si="144"/>
        <v>0</v>
      </c>
      <c r="DJ29" s="698">
        <f t="shared" si="145"/>
        <v>8.0033554541683944</v>
      </c>
      <c r="DK29" s="560">
        <f ca="1">IF(B29&gt;Summary!$A$1,#N/A,DI29*MGtoAF)</f>
        <v>0</v>
      </c>
      <c r="DL29" s="698">
        <f t="shared" si="146"/>
        <v>8.01</v>
      </c>
      <c r="DM29" s="560">
        <f t="shared" si="147"/>
        <v>24.11</v>
      </c>
      <c r="DN29" s="560">
        <f>Sheet1!AB31-DM29</f>
        <v>-1.9999999999999574E-2</v>
      </c>
      <c r="DO29" s="823">
        <f t="shared" si="148"/>
        <v>-8.2953131480711635E-4</v>
      </c>
      <c r="DP29" s="560">
        <f>(VLOOKUP(Sheet1!DC31,hhdcap_wcm,4)-(((VLOOKUP(Sheet1!DC31,hhdcap_wcm,3)-Sheet1!DC31)/(VLOOKUP(Sheet1!DC31,hhdcap_wcm,3)-VLOOKUP(Sheet1!DC31,hhdcap_wcm,1)))*(VLOOKUP(Sheet1!DC31,hhdcap_wcm,4)-VLOOKUP(Sheet1!DC31,hhdcap_wcm,2))))</f>
        <v>1523.0000000038517</v>
      </c>
      <c r="DQ29" s="560">
        <f t="shared" si="149"/>
        <v>58.000000000063665</v>
      </c>
      <c r="DR29" s="560">
        <f t="shared" si="150"/>
        <v>29.248613212336689</v>
      </c>
      <c r="DS29" s="560">
        <f>Sheet1!EA31*AFtoMG</f>
        <v>0</v>
      </c>
      <c r="DT29" s="560">
        <f>Sheet1!EB31*AFtoMG</f>
        <v>0</v>
      </c>
      <c r="DU29" s="560">
        <f>Sheet1!EC31*AFtoMG</f>
        <v>0</v>
      </c>
      <c r="DV29" s="560">
        <f>Sheet1!ED31*AFtoMG</f>
        <v>0</v>
      </c>
      <c r="DW29" s="560">
        <f t="shared" si="151"/>
        <v>0</v>
      </c>
      <c r="DX29" s="560">
        <f t="shared" si="152"/>
        <v>0</v>
      </c>
      <c r="DY29" s="560">
        <f t="shared" si="153"/>
        <v>0</v>
      </c>
      <c r="DZ29" s="560">
        <f t="shared" si="154"/>
        <v>0</v>
      </c>
      <c r="EA29" s="560"/>
      <c r="EB29" s="545">
        <f>IF(OR(B29&lt;FV29,B29&gt;FW29),(MIN(BF29+BY29+CT29+MAX(Sheet1!AA31+AQ29-73,0),K29)),0)</f>
        <v>8.0033554541683944</v>
      </c>
      <c r="EC29" s="560"/>
      <c r="ED29" s="560">
        <f t="shared" si="155"/>
        <v>8.0033554541683944</v>
      </c>
      <c r="EE29" s="560"/>
      <c r="EF29" s="560">
        <f>Sheet1!EH31+Sheet1!EI31+Sheet1!EJ31+Sheet1!EK31</f>
        <v>8.02</v>
      </c>
      <c r="EG29" s="560"/>
      <c r="EH29" s="545">
        <f t="shared" si="156"/>
        <v>0</v>
      </c>
      <c r="EI29" s="560">
        <f>IF(Sheet1!ET31=1,SUM('Calculations II'!AT29:BA29)+'Calculations II'!BC29+Sheet1!BV31+'Calculations II'!BE29+AP29,SUM('Calculations II'!AT29:BA29)+'Calculations II'!BC29+Sheet1!BV31+'Calculations II'!BE29+AP29)</f>
        <v>52.088112000000002</v>
      </c>
      <c r="EJ29" s="560">
        <f>Sheet1!AA31+Sheet1!AB31+'Calculations II'!BC29</f>
        <v>57.423568000000003</v>
      </c>
      <c r="EK29" s="560"/>
      <c r="EL29" s="560"/>
      <c r="EM29" s="560">
        <f t="shared" si="157"/>
        <v>41657</v>
      </c>
      <c r="EN29" s="560">
        <f t="shared" si="158"/>
        <v>0</v>
      </c>
      <c r="EO29" s="560">
        <f t="shared" si="159"/>
        <v>0</v>
      </c>
      <c r="EP29" s="560">
        <v>0</v>
      </c>
      <c r="EQ29" s="560">
        <v>0</v>
      </c>
      <c r="ER29" s="560">
        <v>0</v>
      </c>
      <c r="ES29" s="545">
        <f t="shared" si="77"/>
        <v>0.13844632791959494</v>
      </c>
      <c r="ET29" s="560">
        <f>-(VLOOKUP(Sheet1!BQ31,Lookup!$O$4:$Q$262,2)-VLOOKUP(Sheet1!BQ30,Lookup!$O$4:$Q$262,2))/1000000</f>
        <v>0</v>
      </c>
      <c r="EU29" s="560">
        <f>-(VLOOKUP(Sheet1!BR31,Lookup!$O$4:$Q$262,3)-VLOOKUP(Sheet1!BR30,Lookup!$O$4:$Q$262,3))/1000000</f>
        <v>0.13844632791959494</v>
      </c>
      <c r="EV29" s="560"/>
      <c r="EW29" s="560"/>
      <c r="EX29" s="560"/>
      <c r="EY29" s="560"/>
      <c r="EZ29" s="560"/>
      <c r="FA29" s="560"/>
      <c r="FB29" s="560"/>
      <c r="FC29" s="560"/>
      <c r="FD29" s="594" t="e">
        <f t="shared" si="160"/>
        <v>#N/A</v>
      </c>
      <c r="FE29" s="594" t="e">
        <f t="shared" si="161"/>
        <v>#N/A</v>
      </c>
      <c r="FF29" s="595" t="e">
        <f t="shared" si="162"/>
        <v>#N/A</v>
      </c>
      <c r="FG29" s="596" t="s">
        <v>692</v>
      </c>
      <c r="FH29" s="596" t="s">
        <v>692</v>
      </c>
      <c r="FI29" s="594" t="e">
        <v>#N/A</v>
      </c>
      <c r="FJ29" s="594" t="e">
        <v>#N/A</v>
      </c>
      <c r="FK29" s="560"/>
      <c r="FL29" s="560"/>
      <c r="FM29" s="560"/>
      <c r="FN29" s="560"/>
      <c r="FO29" s="560">
        <f>O29+((Sheet1!CS31)*GPMtoMGD)</f>
        <v>57.423568000000003</v>
      </c>
      <c r="FP29" s="560">
        <f>IF(Sheet1!AA31+AQ29&lt;=Calculation!N29,AQ29,Calculation!N29-Sheet1!AA31)</f>
        <v>15.087474077146412</v>
      </c>
      <c r="FQ29" s="560">
        <f>(Sheet1!BP31+Sheet1!BO31)/694.4</f>
        <v>1.7819700460829495</v>
      </c>
      <c r="FR29" s="560"/>
      <c r="FS29" s="560"/>
      <c r="FT29" s="560"/>
      <c r="FU29" s="560"/>
      <c r="FV29" s="695">
        <f t="shared" si="80"/>
        <v>41827</v>
      </c>
      <c r="FW29" s="695">
        <f t="shared" si="81"/>
        <v>41934</v>
      </c>
      <c r="FX29" s="560"/>
      <c r="FY29" s="560"/>
      <c r="FZ29" s="560"/>
      <c r="GA29" s="560"/>
      <c r="GB29" s="560" t="str">
        <f t="shared" si="82"/>
        <v>n</v>
      </c>
      <c r="GC29" s="564">
        <f t="shared" si="83"/>
        <v>41691</v>
      </c>
      <c r="GD29" s="695">
        <f t="shared" si="84"/>
        <v>41807</v>
      </c>
      <c r="GE29" s="560">
        <v>6518.9</v>
      </c>
      <c r="GF29" s="695">
        <f t="shared" si="85"/>
        <v>41808</v>
      </c>
      <c r="GG29" s="560">
        <f t="shared" si="163"/>
        <v>3259</v>
      </c>
      <c r="GH29" s="564">
        <f t="shared" si="87"/>
        <v>41934</v>
      </c>
      <c r="GJ29" s="545">
        <f t="shared" si="88"/>
        <v>0</v>
      </c>
      <c r="GK29" s="560" t="str">
        <f t="shared" si="164"/>
        <v/>
      </c>
      <c r="GL29" s="560">
        <f t="shared" si="89"/>
        <v>0</v>
      </c>
      <c r="GM29" s="560" t="str">
        <f t="shared" si="90"/>
        <v/>
      </c>
      <c r="GN29" s="560">
        <f>IF(GK29="P",Lookup!$M$12,IF(GK29="PP",Lookup!$M$13,IF(GK29="PPP",Lookup!$M$14,IF(GK29="T",Lookup!$M$15,IF(GK29="TP",Lookup!$M$16,IF(GK29="TPP",Lookup!$M$17,IF(GK29="TPPP",Lookup!$M$18,0)))))))*GJ29</f>
        <v>0</v>
      </c>
      <c r="GO29" s="560">
        <f t="shared" si="91"/>
        <v>0</v>
      </c>
      <c r="GP29" s="560">
        <f t="shared" si="165"/>
        <v>0</v>
      </c>
      <c r="GQ29" s="560">
        <f t="shared" si="99"/>
        <v>0</v>
      </c>
      <c r="GR29" s="560"/>
      <c r="GS29" s="560">
        <f t="shared" si="92"/>
        <v>0</v>
      </c>
      <c r="GT29" s="560" t="str">
        <f t="shared" si="93"/>
        <v/>
      </c>
      <c r="GU29" s="560">
        <f>IF(GK29="P",Lookup!$N$12,IF(GK29="PP",Lookup!$N$13,IF(GK29="PPP",Lookup!$N$14,IF(GK29="T",Lookup!$N$15,IF(GK29="TP",Lookup!$N$16,IF(GK29="TPP",Lookup!$N$17,IF(GK29="TPPP",Lookup!$N$18,0)))))))*GJ29</f>
        <v>0</v>
      </c>
      <c r="GV29" s="560">
        <f t="shared" si="57"/>
        <v>0</v>
      </c>
      <c r="GW29" s="560">
        <f t="shared" si="166"/>
        <v>0</v>
      </c>
      <c r="GX29" s="560">
        <f t="shared" si="100"/>
        <v>0</v>
      </c>
      <c r="GY29" s="560"/>
      <c r="GZ29" s="560">
        <f t="shared" si="94"/>
        <v>0</v>
      </c>
      <c r="HA29" s="560" t="str">
        <f t="shared" si="95"/>
        <v/>
      </c>
      <c r="HB29" s="560">
        <f>IF(GK29="P",Lookup!$N$12,IF(GK29="PP",Lookup!$N$13,IF(GK29="PPP",Lookup!$N$14,IF(GK29="T",Lookup!$N$15,IF(GK29="TP",Lookup!$N$16,IF(GK29="TPP",Lookup!$N$17,IF(GK29="TPPP",Lookup!$N$18,0)))))))*GJ29</f>
        <v>0</v>
      </c>
      <c r="HC29" s="545">
        <f t="shared" si="167"/>
        <v>0</v>
      </c>
      <c r="HD29" s="560">
        <f t="shared" si="168"/>
        <v>0</v>
      </c>
      <c r="HE29" s="560">
        <f t="shared" si="101"/>
        <v>0</v>
      </c>
      <c r="HF29" s="560"/>
      <c r="HG29" s="560">
        <f t="shared" si="96"/>
        <v>0</v>
      </c>
      <c r="HH29" s="560" t="str">
        <f t="shared" si="97"/>
        <v/>
      </c>
      <c r="HI29" s="560">
        <f>IF(GK29="P",Lookup!$N$12,IF(GK29="PP",Lookup!$N$13,IF(GK29="PPP",Lookup!$N$14,IF(GK29="T",Lookup!$N$15,IF(GK29="TP",Lookup!$N$16,IF(GK29="TPP",Lookup!$N$17,IF(GK29="TPPP",Lookup!$N$18,0)))))))*GJ29</f>
        <v>0</v>
      </c>
      <c r="HJ29" s="545">
        <f t="shared" si="169"/>
        <v>0</v>
      </c>
      <c r="HK29" s="560">
        <f t="shared" si="170"/>
        <v>0</v>
      </c>
      <c r="HL29" s="560">
        <f t="shared" si="102"/>
        <v>0</v>
      </c>
      <c r="HM29" s="560"/>
    </row>
    <row r="30" spans="1:221">
      <c r="A30" s="580" t="s">
        <v>3</v>
      </c>
      <c r="B30" s="556">
        <v>41658</v>
      </c>
      <c r="C30" s="561">
        <v>0</v>
      </c>
      <c r="D30" s="529">
        <f t="shared" si="103"/>
        <v>300</v>
      </c>
      <c r="E30" s="529">
        <f t="shared" si="104"/>
        <v>250</v>
      </c>
      <c r="F30" s="529">
        <v>250</v>
      </c>
      <c r="G30" s="560">
        <f>DR30+Sheet1!CZ32</f>
        <v>1342.9198184566405</v>
      </c>
      <c r="H30" s="914">
        <f t="shared" si="2"/>
        <v>601.10017065037243</v>
      </c>
      <c r="I30" s="559">
        <f>MAX(Sheet1!Z32-AT30+(Sheet1!DA32-E30)*CFStoMGD,0)</f>
        <v>1129.434</v>
      </c>
      <c r="J30" s="562">
        <f>IF(AND(B30&gt;=Calculation!GC30,B30&lt;=Calculation!GD30),IF(Sheet1!DB32&gt;=Calculation!D30,64.64,0),MAX(Sheet1!Z32-AT30+(Sheet1!DB32-D30)*CFStoMGD,0))</f>
        <v>696.346</v>
      </c>
      <c r="K30" s="904">
        <f t="shared" si="105"/>
        <v>64.64</v>
      </c>
      <c r="L30" s="560">
        <f>Sheet1!AA32+Sheet1!AB32-Sheet1!L32+(Sheet1!DA32-F30)*CFStoMGD</f>
        <v>1105.3440000000001</v>
      </c>
      <c r="M30" s="560">
        <f t="shared" si="106"/>
        <v>885.42463806337992</v>
      </c>
      <c r="N30" s="910">
        <f>IF(Sheet1!DA32&gt;=F30,MIN(73,MIN(MAX(L30,0),MAX(M30,0))),0)</f>
        <v>73</v>
      </c>
      <c r="O30" s="563">
        <f>Sheet1!AA32+Sheet1!AB32</f>
        <v>43.58</v>
      </c>
      <c r="P30" s="563">
        <f t="shared" si="107"/>
        <v>67.418260000000004</v>
      </c>
      <c r="Q30" s="898">
        <f t="shared" si="63"/>
        <v>0</v>
      </c>
      <c r="R30" s="829">
        <f t="shared" si="108"/>
        <v>8.3531371700562538</v>
      </c>
      <c r="S30" s="898">
        <f t="shared" si="65"/>
        <v>43.58</v>
      </c>
      <c r="T30" s="898">
        <f t="shared" si="66"/>
        <v>0</v>
      </c>
      <c r="U30" s="898">
        <f t="shared" si="6"/>
        <v>0</v>
      </c>
      <c r="V30" s="898"/>
      <c r="W30" s="898">
        <f t="shared" si="67"/>
        <v>56.286862829943743</v>
      </c>
      <c r="X30" s="898">
        <f t="shared" si="68"/>
        <v>43.58</v>
      </c>
      <c r="Y30" s="898" t="str">
        <f t="shared" si="69"/>
        <v/>
      </c>
      <c r="Z30" s="898">
        <f t="shared" si="70"/>
        <v>43.58</v>
      </c>
      <c r="AA30" s="898">
        <f t="shared" si="71"/>
        <v>43.58</v>
      </c>
      <c r="AB30" s="898" t="str">
        <f t="shared" si="72"/>
        <v/>
      </c>
      <c r="AC30" s="563">
        <f>Sheet1!Y32*MGDtoCFS</f>
        <v>30.321200000000001</v>
      </c>
      <c r="AD30" s="563">
        <f>Sheet1!Z32*MGDtoCFS</f>
        <v>37.267229999999998</v>
      </c>
      <c r="AE30" s="563">
        <f>Sheet1!AA32*MGDtoCFS</f>
        <v>30.135559999999998</v>
      </c>
      <c r="AF30" s="563">
        <f>Sheet1!AB32*MGDtoCFS</f>
        <v>37.282699999999998</v>
      </c>
      <c r="AG30" s="563">
        <f>Sheet1!L32*MGDtoCFS</f>
        <v>67.418259999999989</v>
      </c>
      <c r="AH30" s="545">
        <f t="shared" si="109"/>
        <v>0</v>
      </c>
      <c r="AI30" s="560">
        <f t="shared" si="110"/>
        <v>0</v>
      </c>
      <c r="AJ30" s="560">
        <f t="shared" si="111"/>
        <v>0</v>
      </c>
      <c r="AK30" s="560">
        <f t="shared" si="112"/>
        <v>0</v>
      </c>
      <c r="AL30" s="560">
        <f>(VLOOKUP(Sheet1!DC32,hhdcap_wcm,4)-(((VLOOKUP(Sheet1!DC32,hhdcap_wcm,3)-Sheet1!DC32)/(VLOOKUP(Sheet1!DC32,hhdcap_wcm,3)-VLOOKUP(Sheet1!DC32,hhdcap_wcm,1)))*(VLOOKUP(Sheet1!DC32,hhdcap_wcm,4)-VLOOKUP(Sheet1!DC32,hhdcap_wcm,2))))</f>
        <v>1271.0000000033697</v>
      </c>
      <c r="AM30" s="560">
        <f t="shared" si="113"/>
        <v>-252.00000000048203</v>
      </c>
      <c r="AN30" s="560">
        <f t="shared" si="114"/>
        <v>0</v>
      </c>
      <c r="AO30" s="560">
        <f t="shared" si="115"/>
        <v>0</v>
      </c>
      <c r="AP30" s="560">
        <f>Sheet1!BA32+Sheet1!BB32+Sheet1!BN32+CD30</f>
        <v>15.1</v>
      </c>
      <c r="AQ30" s="560">
        <f>Sheet1!BN32+(DO30*Sheet1!BN32)</f>
        <v>15.746862829943748</v>
      </c>
      <c r="AR30" s="560">
        <f>Sheet1!BA32+CD30</f>
        <v>0</v>
      </c>
      <c r="AS30" s="560">
        <f>Sheet1!BA32+Sheet1!BB32+CD30</f>
        <v>0</v>
      </c>
      <c r="AT30" s="698">
        <f>0</f>
        <v>0</v>
      </c>
      <c r="AU30" s="560">
        <f>IF(EB30&lt;K30,0,MAX(Sheet1!AA32+AQ30-15/36*K30-N30,Sheet1!EH32,0))</f>
        <v>0</v>
      </c>
      <c r="AV30" s="560">
        <f>IF(OR(B30&gt;=GD30,B30&lt;GC30),0,15/36*K30-MAX(0,64.6-(137.6-(Sheet1!AA32+Sheet1!AB32))))</f>
        <v>0</v>
      </c>
      <c r="AW30" s="698">
        <f>Sheet1!DB32-110</f>
        <v>1230</v>
      </c>
      <c r="AX30" s="698">
        <f>Sheet1!DA32-265</f>
        <v>1695</v>
      </c>
      <c r="AY30" s="698">
        <f t="shared" si="116"/>
        <v>73</v>
      </c>
      <c r="AZ30" s="698">
        <v>0</v>
      </c>
      <c r="BA30" s="698">
        <f t="shared" si="117"/>
        <v>0</v>
      </c>
      <c r="BB30" s="560">
        <f t="shared" si="118"/>
        <v>0</v>
      </c>
      <c r="BC30" s="560"/>
      <c r="BD30" s="560">
        <f ca="1">IF(B30&gt;Summary!$A$1,#N/A,BB30*MGtoAF)</f>
        <v>0</v>
      </c>
      <c r="BE30" s="560">
        <f>Sheet1!BG32+Sheet1!BH32+Sheet1!BI32-BM30</f>
        <v>0</v>
      </c>
      <c r="BF30" s="560">
        <f t="shared" si="119"/>
        <v>0</v>
      </c>
      <c r="BG30" s="560">
        <f>IF(Sheet1!EP32="FM",BM30,0)</f>
        <v>0</v>
      </c>
      <c r="BH30" s="560">
        <f t="shared" si="120"/>
        <v>0</v>
      </c>
      <c r="BI30" s="560">
        <f>IF(Sheet1!EP32="OTHER",BM30,0)</f>
        <v>0</v>
      </c>
      <c r="BJ30" s="560">
        <f t="shared" si="121"/>
        <v>0</v>
      </c>
      <c r="BK30" s="560">
        <f t="shared" si="122"/>
        <v>0</v>
      </c>
      <c r="BL30" s="560">
        <f t="shared" si="123"/>
        <v>0</v>
      </c>
      <c r="BM30" s="560">
        <f>IF(OR(Sheet1!EP32="FM", Sheet1!EP32="OTHER"),SUM(Sheet1!BG32:'Sheet1'!BI32),0)</f>
        <v>0</v>
      </c>
      <c r="BN30" s="545">
        <f>IF(AND($B30&gt;=$FV30,$B30&lt;=$FW30),MAX(BF30,Sheet1!EI32,0),MAX(BF30-(7/36)*$K30,0))</f>
        <v>0</v>
      </c>
      <c r="BO30" s="560">
        <f t="shared" si="124"/>
        <v>0</v>
      </c>
      <c r="BP30" s="545">
        <f t="shared" si="125"/>
        <v>0</v>
      </c>
      <c r="BQ30" s="545">
        <f>IF(AND($O30&gt;0,Sheet1!EM32=1),(1-($O30-Sheet1!$L32)/$O30)*BL30,0)</f>
        <v>0</v>
      </c>
      <c r="BR30" s="545">
        <f>IF(AND(Sheet1!$L32=0,Sheet1!$L31=0, Calculation!BK30&lt;Sheet1!$EI32-0.1,Sheet1!$EI32=Sheet1!$EI31,Sheet1!$EI32=Sheet1!$EI33),Sheet1!$EI32,BL30-BQ30)</f>
        <v>0</v>
      </c>
      <c r="BS30" s="560"/>
      <c r="BT30" s="560"/>
      <c r="BU30" s="560">
        <f t="shared" si="126"/>
        <v>0</v>
      </c>
      <c r="BV30" s="560"/>
      <c r="BW30" s="560">
        <f ca="1">IF(B30&gt;Summary!$A$1,#N/A,BU30*MGtoAF)</f>
        <v>0</v>
      </c>
      <c r="BX30" s="560">
        <f>Sheet1!BC32+Sheet1!BD32+Sheet1!BE32+Sheet1!BF32-CG30-CH30</f>
        <v>2.5</v>
      </c>
      <c r="BY30" s="560">
        <f t="shared" si="127"/>
        <v>2.6070964950237996</v>
      </c>
      <c r="BZ30" s="560">
        <f>IF(Sheet1!EQ32="FM",CH30,0)</f>
        <v>0</v>
      </c>
      <c r="CA30" s="560">
        <f t="shared" si="128"/>
        <v>0</v>
      </c>
      <c r="CB30" s="560">
        <f>IF(Sheet1!EQ32="OTHER",CH30,0)</f>
        <v>0</v>
      </c>
      <c r="CC30" s="560">
        <f t="shared" si="129"/>
        <v>0</v>
      </c>
      <c r="CD30" s="560">
        <f t="shared" si="130"/>
        <v>0</v>
      </c>
      <c r="CE30" s="560">
        <f t="shared" si="131"/>
        <v>2.5</v>
      </c>
      <c r="CF30" s="560">
        <f t="shared" si="132"/>
        <v>2.6070964950237996</v>
      </c>
      <c r="CG30" s="560">
        <f>IF(Sheet1!EQ32="CWA",SUM(Sheet1!BC32:'Sheet1'!BF32),0)</f>
        <v>0</v>
      </c>
      <c r="CH30" s="560">
        <f>IF(OR(Sheet1!EQ32="FM", Sheet1!EQ32="OTHER"),SUM(Sheet1!BC32:'Sheet1'!BF32),0)</f>
        <v>0</v>
      </c>
      <c r="CI30" s="545">
        <f>IF(AND($B30&gt;=$FV30,$B30&lt;=$FW30),MAX(CF30,Sheet1!EJ32,0),MAX(CF30-(7/36)*$K30,0))</f>
        <v>0</v>
      </c>
      <c r="CJ30" s="560">
        <f t="shared" si="133"/>
        <v>0</v>
      </c>
      <c r="CK30" s="545">
        <f t="shared" si="134"/>
        <v>2.6070964950237996</v>
      </c>
      <c r="CL30" s="545">
        <f>IF(AND($O30&gt;0,Sheet1!EN32=1),(1-($O30-Sheet1!$L32)/$O30)*CF30,0)</f>
        <v>0</v>
      </c>
      <c r="CM30" s="545">
        <f>IF(AND(Sheet1!$L32=0,Sheet1!$L31=0, Calculation!CE30&lt;Sheet1!EJ32-0.1,Sheet1!EJ32=Sheet1!EJ31,Sheet1!EJ32=Sheet1!EJ33),Sheet1!EJ32,CF30-CL30)</f>
        <v>2.6070964950237996</v>
      </c>
      <c r="CN30" s="545"/>
      <c r="CO30" s="560"/>
      <c r="CP30" s="560">
        <f t="shared" si="135"/>
        <v>0</v>
      </c>
      <c r="CQ30" s="560"/>
      <c r="CR30" s="560">
        <f ca="1">IF(B30&gt;Summary!$A$1,#N/A,CP30*MGtoAF)</f>
        <v>0</v>
      </c>
      <c r="CS30" s="560">
        <f>Sheet1!BK32+Sheet1!BL32+Sheet1!BM32-Sheet1!ER32-DA30</f>
        <v>5.51</v>
      </c>
      <c r="CT30" s="560">
        <f t="shared" si="136"/>
        <v>5.7460406750324537</v>
      </c>
      <c r="CU30" s="560">
        <f>IF(Sheet1!ER32="FM",DA30,0)</f>
        <v>0</v>
      </c>
      <c r="CV30" s="560">
        <f t="shared" si="137"/>
        <v>0</v>
      </c>
      <c r="CW30" s="560">
        <f>IF(Sheet1!ER32="OTHER",DA30,0)</f>
        <v>0</v>
      </c>
      <c r="CX30" s="560">
        <f t="shared" si="138"/>
        <v>0</v>
      </c>
      <c r="CY30" s="560">
        <f t="shared" si="139"/>
        <v>5.51</v>
      </c>
      <c r="CZ30" s="560">
        <f t="shared" si="140"/>
        <v>5.7460406750324537</v>
      </c>
      <c r="DA30" s="560">
        <f>IF(OR(Sheet1!ER32="FM", Sheet1!ER32="OTHER"),SUM(Sheet1!BK32:'Sheet1'!BM32),0)</f>
        <v>0</v>
      </c>
      <c r="DB30" s="545">
        <f>IF(AND($B30&gt;=$FV30,$B30&lt;=$FW30),MAX($CT30,Sheet1!EK32,0),MAX($CT30-(7/36)*$K30,0))</f>
        <v>0</v>
      </c>
      <c r="DC30" s="560">
        <f t="shared" si="141"/>
        <v>0</v>
      </c>
      <c r="DD30" s="545">
        <f t="shared" si="142"/>
        <v>5.7460406750324537</v>
      </c>
      <c r="DE30" s="545">
        <f>IF(AND($O30&gt;0,Sheet1!EO32=1),(1-($O30-Sheet1!$L32)/$O30)*CZ30,0)</f>
        <v>0</v>
      </c>
      <c r="DF30" s="545">
        <f>IF(AND(Sheet1!$L32=0,Sheet1!$L31=0, Calculation!CY30&lt;Sheet1!$EK32-0.1,Sheet1!$EK32=Sheet1!$EK31,Sheet1!$EK32=Sheet1!$EK33),Sheet1!$EK32,CZ30-DE30)</f>
        <v>5.7460406750324537</v>
      </c>
      <c r="DG30" s="545"/>
      <c r="DH30" s="560">
        <f t="shared" si="143"/>
        <v>8.01</v>
      </c>
      <c r="DI30" s="560">
        <f t="shared" si="144"/>
        <v>0</v>
      </c>
      <c r="DJ30" s="698">
        <f t="shared" si="145"/>
        <v>8.3531371700562538</v>
      </c>
      <c r="DK30" s="560">
        <f ca="1">IF(B30&gt;Summary!$A$1,#N/A,DI30*MGtoAF)</f>
        <v>0</v>
      </c>
      <c r="DL30" s="698">
        <f t="shared" si="146"/>
        <v>8.01</v>
      </c>
      <c r="DM30" s="560">
        <f t="shared" si="147"/>
        <v>23.11</v>
      </c>
      <c r="DN30" s="560">
        <f>Sheet1!AB32-DM30</f>
        <v>0.99000000000000199</v>
      </c>
      <c r="DO30" s="823">
        <f t="shared" si="148"/>
        <v>4.2838598009519772E-2</v>
      </c>
      <c r="DP30" s="560">
        <f>(VLOOKUP(Sheet1!DC32,hhdcap_wcm,4)-(((VLOOKUP(Sheet1!DC32,hhdcap_wcm,3)-Sheet1!DC32)/(VLOOKUP(Sheet1!DC32,hhdcap_wcm,3)-VLOOKUP(Sheet1!DC32,hhdcap_wcm,1)))*(VLOOKUP(Sheet1!DC32,hhdcap_wcm,4)-VLOOKUP(Sheet1!DC32,hhdcap_wcm,2))))</f>
        <v>1271.0000000033697</v>
      </c>
      <c r="DQ30" s="560">
        <f t="shared" si="149"/>
        <v>-252.00000000048203</v>
      </c>
      <c r="DR30" s="560">
        <f t="shared" si="150"/>
        <v>-127.08018154335956</v>
      </c>
      <c r="DS30" s="560">
        <f>Sheet1!EA32*AFtoMG</f>
        <v>0</v>
      </c>
      <c r="DT30" s="560">
        <f>Sheet1!EB32*AFtoMG</f>
        <v>0</v>
      </c>
      <c r="DU30" s="560">
        <f>Sheet1!EC32*AFtoMG</f>
        <v>0</v>
      </c>
      <c r="DV30" s="560">
        <f>Sheet1!ED32*AFtoMG</f>
        <v>0</v>
      </c>
      <c r="DW30" s="560">
        <f t="shared" si="151"/>
        <v>0</v>
      </c>
      <c r="DX30" s="560">
        <f t="shared" si="152"/>
        <v>0</v>
      </c>
      <c r="DY30" s="560">
        <f t="shared" si="153"/>
        <v>0</v>
      </c>
      <c r="DZ30" s="560">
        <f t="shared" si="154"/>
        <v>0</v>
      </c>
      <c r="EA30" s="560"/>
      <c r="EB30" s="545">
        <f>IF(OR(B30&lt;FV30,B30&gt;FW30),(MIN(BF30+BY30+CT30+MAX(Sheet1!AA32+AQ30-73,0),K30)),0)</f>
        <v>8.3531371700562538</v>
      </c>
      <c r="EC30" s="560"/>
      <c r="ED30" s="560">
        <f t="shared" si="155"/>
        <v>8.3531371700562538</v>
      </c>
      <c r="EE30" s="560"/>
      <c r="EF30" s="560">
        <f>Sheet1!EH32+Sheet1!EI32+Sheet1!EJ32+Sheet1!EK32</f>
        <v>8.01</v>
      </c>
      <c r="EG30" s="560"/>
      <c r="EH30" s="545">
        <f t="shared" si="156"/>
        <v>0</v>
      </c>
      <c r="EI30" s="560">
        <f>IF(Sheet1!ET32=1,SUM('Calculations II'!AT30:BA30)+'Calculations II'!BC30+Sheet1!BV32+'Calculations II'!BE30+AP30,SUM('Calculations II'!AT30:BA30)+'Calculations II'!BC30+Sheet1!BV32+'Calculations II'!BE30+AP30)</f>
        <v>48.270208000000004</v>
      </c>
      <c r="EJ30" s="560">
        <f>Sheet1!AA32+Sheet1!AB32+'Calculations II'!BC30</f>
        <v>57.278143999999998</v>
      </c>
      <c r="EK30" s="560"/>
      <c r="EL30" s="560"/>
      <c r="EM30" s="560">
        <f t="shared" si="157"/>
        <v>41658</v>
      </c>
      <c r="EN30" s="560">
        <f t="shared" si="158"/>
        <v>0</v>
      </c>
      <c r="EO30" s="560">
        <f t="shared" si="159"/>
        <v>0</v>
      </c>
      <c r="EP30" s="560">
        <v>0</v>
      </c>
      <c r="EQ30" s="560">
        <v>0</v>
      </c>
      <c r="ER30" s="560">
        <v>0</v>
      </c>
      <c r="ES30" s="545">
        <f t="shared" si="77"/>
        <v>-1.3845914311668202</v>
      </c>
      <c r="ET30" s="560">
        <f>-(VLOOKUP(Sheet1!BQ32,Lookup!$O$4:$Q$262,2)-VLOOKUP(Sheet1!BQ31,Lookup!$O$4:$Q$262,2))/1000000</f>
        <v>-0.69229571558341008</v>
      </c>
      <c r="EU30" s="560">
        <f>-(VLOOKUP(Sheet1!BR32,Lookup!$O$4:$Q$262,3)-VLOOKUP(Sheet1!BR31,Lookup!$O$4:$Q$262,3))/1000000</f>
        <v>-0.69229571558341008</v>
      </c>
      <c r="EV30" s="560"/>
      <c r="EW30" s="560"/>
      <c r="EX30" s="560"/>
      <c r="EY30" s="560"/>
      <c r="EZ30" s="560"/>
      <c r="FA30" s="560"/>
      <c r="FB30" s="560"/>
      <c r="FC30" s="560"/>
      <c r="FD30" s="594" t="e">
        <f t="shared" si="160"/>
        <v>#N/A</v>
      </c>
      <c r="FE30" s="594" t="e">
        <f t="shared" si="161"/>
        <v>#N/A</v>
      </c>
      <c r="FF30" s="595" t="e">
        <f t="shared" si="162"/>
        <v>#N/A</v>
      </c>
      <c r="FG30" s="596" t="s">
        <v>692</v>
      </c>
      <c r="FH30" s="596" t="s">
        <v>692</v>
      </c>
      <c r="FI30" s="594" t="e">
        <v>#N/A</v>
      </c>
      <c r="FJ30" s="594" t="e">
        <v>#N/A</v>
      </c>
      <c r="FK30" s="560"/>
      <c r="FL30" s="560"/>
      <c r="FM30" s="560"/>
      <c r="FN30" s="560"/>
      <c r="FO30" s="560">
        <f>O30+((Sheet1!CS32)*GPMtoMGD)</f>
        <v>57.278143999999998</v>
      </c>
      <c r="FP30" s="560">
        <f>IF(Sheet1!AA32+AQ30&lt;=Calculation!N30,AQ30,Calculation!N30-Sheet1!AA32)</f>
        <v>15.746862829943748</v>
      </c>
      <c r="FQ30" s="560">
        <f>(Sheet1!BP32+Sheet1!BO32)/694.4</f>
        <v>1.6268721198156684</v>
      </c>
      <c r="FR30" s="560"/>
      <c r="FS30" s="560"/>
      <c r="FT30" s="560"/>
      <c r="FU30" s="560"/>
      <c r="FV30" s="695">
        <f t="shared" si="80"/>
        <v>41827</v>
      </c>
      <c r="FW30" s="695">
        <f t="shared" si="81"/>
        <v>41934</v>
      </c>
      <c r="FX30" s="560"/>
      <c r="FY30" s="560"/>
      <c r="FZ30" s="560"/>
      <c r="GA30" s="560"/>
      <c r="GB30" s="560" t="str">
        <f t="shared" si="82"/>
        <v>n</v>
      </c>
      <c r="GC30" s="564">
        <f t="shared" si="83"/>
        <v>41691</v>
      </c>
      <c r="GD30" s="695">
        <f t="shared" si="84"/>
        <v>41807</v>
      </c>
      <c r="GE30" s="560">
        <v>6518.9</v>
      </c>
      <c r="GF30" s="695">
        <f t="shared" si="85"/>
        <v>41808</v>
      </c>
      <c r="GG30" s="560">
        <f t="shared" si="163"/>
        <v>3259</v>
      </c>
      <c r="GH30" s="564">
        <f t="shared" si="87"/>
        <v>41934</v>
      </c>
      <c r="GJ30" s="545">
        <f t="shared" si="88"/>
        <v>0</v>
      </c>
      <c r="GK30" s="560" t="str">
        <f t="shared" si="164"/>
        <v/>
      </c>
      <c r="GL30" s="560">
        <f t="shared" si="89"/>
        <v>0</v>
      </c>
      <c r="GM30" s="560" t="str">
        <f t="shared" si="90"/>
        <v/>
      </c>
      <c r="GN30" s="560">
        <f>IF(GK30="P",Lookup!$M$12,IF(GK30="PP",Lookup!$M$13,IF(GK30="PPP",Lookup!$M$14,IF(GK30="T",Lookup!$M$15,IF(GK30="TP",Lookup!$M$16,IF(GK30="TPP",Lookup!$M$17,IF(GK30="TPPP",Lookup!$M$18,0)))))))*GJ30</f>
        <v>0</v>
      </c>
      <c r="GO30" s="560">
        <f t="shared" si="91"/>
        <v>0</v>
      </c>
      <c r="GP30" s="560">
        <f t="shared" si="165"/>
        <v>0</v>
      </c>
      <c r="GQ30" s="560">
        <f t="shared" si="99"/>
        <v>0</v>
      </c>
      <c r="GR30" s="560"/>
      <c r="GS30" s="560">
        <f t="shared" si="92"/>
        <v>0</v>
      </c>
      <c r="GT30" s="560" t="str">
        <f t="shared" si="93"/>
        <v/>
      </c>
      <c r="GU30" s="560">
        <f>IF(GK30="P",Lookup!$N$12,IF(GK30="PP",Lookup!$N$13,IF(GK30="PPP",Lookup!$N$14,IF(GK30="T",Lookup!$N$15,IF(GK30="TP",Lookup!$N$16,IF(GK30="TPP",Lookup!$N$17,IF(GK30="TPPP",Lookup!$N$18,0)))))))*GJ30</f>
        <v>0</v>
      </c>
      <c r="GV30" s="560">
        <f t="shared" si="57"/>
        <v>0</v>
      </c>
      <c r="GW30" s="560">
        <f t="shared" si="166"/>
        <v>0</v>
      </c>
      <c r="GX30" s="560">
        <f t="shared" si="100"/>
        <v>0</v>
      </c>
      <c r="GY30" s="560"/>
      <c r="GZ30" s="560">
        <f t="shared" si="94"/>
        <v>0</v>
      </c>
      <c r="HA30" s="560" t="str">
        <f t="shared" si="95"/>
        <v/>
      </c>
      <c r="HB30" s="560">
        <f>IF(GK30="P",Lookup!$N$12,IF(GK30="PP",Lookup!$N$13,IF(GK30="PPP",Lookup!$N$14,IF(GK30="T",Lookup!$N$15,IF(GK30="TP",Lookup!$N$16,IF(GK30="TPP",Lookup!$N$17,IF(GK30="TPPP",Lookup!$N$18,0)))))))*GJ30</f>
        <v>0</v>
      </c>
      <c r="HC30" s="545">
        <f t="shared" si="167"/>
        <v>0</v>
      </c>
      <c r="HD30" s="560">
        <f t="shared" si="168"/>
        <v>0</v>
      </c>
      <c r="HE30" s="560">
        <f t="shared" si="101"/>
        <v>0</v>
      </c>
      <c r="HF30" s="560"/>
      <c r="HG30" s="560">
        <f t="shared" si="96"/>
        <v>0</v>
      </c>
      <c r="HH30" s="560" t="str">
        <f t="shared" si="97"/>
        <v/>
      </c>
      <c r="HI30" s="560">
        <f>IF(GK30="P",Lookup!$N$12,IF(GK30="PP",Lookup!$N$13,IF(GK30="PPP",Lookup!$N$14,IF(GK30="T",Lookup!$N$15,IF(GK30="TP",Lookup!$N$16,IF(GK30="TPP",Lookup!$N$17,IF(GK30="TPPP",Lookup!$N$18,0)))))))*GJ30</f>
        <v>0</v>
      </c>
      <c r="HJ30" s="545">
        <f t="shared" si="169"/>
        <v>0</v>
      </c>
      <c r="HK30" s="560">
        <f t="shared" si="170"/>
        <v>0</v>
      </c>
      <c r="HL30" s="560">
        <f t="shared" si="102"/>
        <v>0</v>
      </c>
      <c r="HM30" s="560"/>
    </row>
    <row r="31" spans="1:221">
      <c r="A31" s="580" t="s">
        <v>4</v>
      </c>
      <c r="B31" s="556">
        <v>41659</v>
      </c>
      <c r="C31" s="561">
        <v>0</v>
      </c>
      <c r="D31" s="529">
        <f t="shared" si="103"/>
        <v>300</v>
      </c>
      <c r="E31" s="529">
        <f t="shared" si="104"/>
        <v>250</v>
      </c>
      <c r="F31" s="529">
        <v>250</v>
      </c>
      <c r="G31" s="560">
        <f>DR31+Sheet1!CZ33</f>
        <v>1107.0549672209438</v>
      </c>
      <c r="H31" s="914">
        <f t="shared" si="2"/>
        <v>448.63713081161808</v>
      </c>
      <c r="I31" s="559">
        <f>MAX(Sheet1!Z33-AT31+(Sheet1!DA33-E31)*CFStoMGD,0)</f>
        <v>1058.3399999999999</v>
      </c>
      <c r="J31" s="562">
        <f>IF(AND(B31&gt;=Calculation!GC31,B31&lt;=Calculation!GD31),IF(Sheet1!DB33&gt;=Calculation!D31,64.64,0),MAX(Sheet1!Z33-AT31+(Sheet1!DB33-D31)*CFStoMGD,0))</f>
        <v>605.86</v>
      </c>
      <c r="K31" s="904">
        <f t="shared" si="105"/>
        <v>64.64</v>
      </c>
      <c r="L31" s="560">
        <f>Sheet1!AA33+Sheet1!AB33-Sheet1!L33+(Sheet1!DA33-F31)*CFStoMGD</f>
        <v>1034.24</v>
      </c>
      <c r="M31" s="560">
        <f t="shared" si="106"/>
        <v>729.9123374278505</v>
      </c>
      <c r="N31" s="910">
        <f>IF(Sheet1!DA33&gt;=F31,MIN(73,MIN(MAX(L31,0),MAX(M31,0))),0)</f>
        <v>73</v>
      </c>
      <c r="O31" s="563">
        <f>Sheet1!AA33+Sheet1!AB33</f>
        <v>43.620000000000005</v>
      </c>
      <c r="P31" s="563">
        <f t="shared" si="107"/>
        <v>67.480140000000006</v>
      </c>
      <c r="Q31" s="898">
        <f t="shared" si="63"/>
        <v>0</v>
      </c>
      <c r="R31" s="829">
        <f t="shared" si="108"/>
        <v>8.0133773740710161</v>
      </c>
      <c r="S31" s="898">
        <f t="shared" si="65"/>
        <v>43.620000000000005</v>
      </c>
      <c r="T31" s="898">
        <f t="shared" si="66"/>
        <v>0</v>
      </c>
      <c r="U31" s="898">
        <f t="shared" si="6"/>
        <v>0</v>
      </c>
      <c r="V31" s="898"/>
      <c r="W31" s="898">
        <f t="shared" si="67"/>
        <v>56.626622625928988</v>
      </c>
      <c r="X31" s="898">
        <f t="shared" si="68"/>
        <v>43.620000000000005</v>
      </c>
      <c r="Y31" s="898" t="str">
        <f t="shared" si="69"/>
        <v/>
      </c>
      <c r="Z31" s="898">
        <f t="shared" si="70"/>
        <v>43.620000000000005</v>
      </c>
      <c r="AA31" s="898">
        <f t="shared" si="71"/>
        <v>43.620000000000005</v>
      </c>
      <c r="AB31" s="898" t="str">
        <f t="shared" si="72"/>
        <v/>
      </c>
      <c r="AC31" s="563">
        <f>Sheet1!Y33*MGDtoCFS</f>
        <v>30.135559999999998</v>
      </c>
      <c r="AD31" s="563">
        <f>Sheet1!Z33*MGDtoCFS</f>
        <v>37.282699999999998</v>
      </c>
      <c r="AE31" s="563">
        <f>Sheet1!AA33*MGDtoCFS</f>
        <v>30.042740000000002</v>
      </c>
      <c r="AF31" s="563">
        <f>Sheet1!AB33*MGDtoCFS</f>
        <v>37.437399999999997</v>
      </c>
      <c r="AG31" s="563">
        <f>Sheet1!L33*MGDtoCFS</f>
        <v>67.480140000000006</v>
      </c>
      <c r="AH31" s="545">
        <f t="shared" si="109"/>
        <v>0</v>
      </c>
      <c r="AI31" s="560">
        <f t="shared" si="110"/>
        <v>0</v>
      </c>
      <c r="AJ31" s="560">
        <f t="shared" si="111"/>
        <v>0</v>
      </c>
      <c r="AK31" s="560">
        <f t="shared" si="112"/>
        <v>0</v>
      </c>
      <c r="AL31" s="560">
        <f>(VLOOKUP(Sheet1!DC33,hhdcap_wcm,4)-(((VLOOKUP(Sheet1!DC33,hhdcap_wcm,3)-Sheet1!DC33)/(VLOOKUP(Sheet1!DC33,hhdcap_wcm,3)-VLOOKUP(Sheet1!DC33,hhdcap_wcm,1)))*(VLOOKUP(Sheet1!DC33,hhdcap_wcm,4)-VLOOKUP(Sheet1!DC33,hhdcap_wcm,2))))</f>
        <v>828.90000000250109</v>
      </c>
      <c r="AM31" s="560">
        <f t="shared" si="113"/>
        <v>-442.10000000086859</v>
      </c>
      <c r="AN31" s="560">
        <f t="shared" si="114"/>
        <v>0</v>
      </c>
      <c r="AO31" s="560">
        <f t="shared" si="115"/>
        <v>0</v>
      </c>
      <c r="AP31" s="560">
        <f>Sheet1!BA33+Sheet1!BB33+Sheet1!BN33+CD31</f>
        <v>16.2</v>
      </c>
      <c r="AQ31" s="560">
        <f>Sheet1!BN33+(DO31*Sheet1!BN33)</f>
        <v>15.187448389760528</v>
      </c>
      <c r="AR31" s="560">
        <f>Sheet1!BA33+CD31</f>
        <v>0</v>
      </c>
      <c r="AS31" s="560">
        <f>Sheet1!BA33+Sheet1!BB33+CD31</f>
        <v>1</v>
      </c>
      <c r="AT31" s="698">
        <f>0</f>
        <v>0</v>
      </c>
      <c r="AU31" s="560">
        <f>IF(EB31&lt;K31,0,MAX(Sheet1!AA33+AQ31-15/36*K31-N31,Sheet1!EH33,0))</f>
        <v>0</v>
      </c>
      <c r="AV31" s="560">
        <f>IF(OR(B31&gt;=GD31,B31&lt;GC31),0,15/36*K31-MAX(0,64.6-(137.6-(Sheet1!AA33+Sheet1!AB33))))</f>
        <v>0</v>
      </c>
      <c r="AW31" s="698">
        <f>Sheet1!DB33-110</f>
        <v>1090</v>
      </c>
      <c r="AX31" s="698">
        <f>Sheet1!DA33-265</f>
        <v>1585</v>
      </c>
      <c r="AY31" s="698">
        <f t="shared" si="116"/>
        <v>73</v>
      </c>
      <c r="AZ31" s="698">
        <v>0</v>
      </c>
      <c r="BA31" s="698">
        <f t="shared" si="117"/>
        <v>0</v>
      </c>
      <c r="BB31" s="560">
        <f t="shared" si="118"/>
        <v>0</v>
      </c>
      <c r="BC31" s="560"/>
      <c r="BD31" s="560">
        <f ca="1">IF(B31&gt;Summary!$A$1,#N/A,BB31*MGtoAF)</f>
        <v>0</v>
      </c>
      <c r="BE31" s="560">
        <f>Sheet1!BG33+Sheet1!BH33+Sheet1!BI33-BM31</f>
        <v>0</v>
      </c>
      <c r="BF31" s="560">
        <f t="shared" si="119"/>
        <v>0</v>
      </c>
      <c r="BG31" s="560">
        <f>IF(Sheet1!EP33="FM",BM31,0)</f>
        <v>0</v>
      </c>
      <c r="BH31" s="560">
        <f t="shared" si="120"/>
        <v>0</v>
      </c>
      <c r="BI31" s="560">
        <f>IF(Sheet1!EP33="OTHER",BM31,0)</f>
        <v>0</v>
      </c>
      <c r="BJ31" s="560">
        <f t="shared" si="121"/>
        <v>0</v>
      </c>
      <c r="BK31" s="560">
        <f t="shared" si="122"/>
        <v>0</v>
      </c>
      <c r="BL31" s="560">
        <f t="shared" si="123"/>
        <v>0</v>
      </c>
      <c r="BM31" s="560">
        <f>IF(OR(Sheet1!EP33="FM", Sheet1!EP33="OTHER"),SUM(Sheet1!BG33:'Sheet1'!BI33),0)</f>
        <v>0</v>
      </c>
      <c r="BN31" s="545">
        <f>IF(AND($B31&gt;=$FV31,$B31&lt;=$FW31),MAX(BF31,Sheet1!EI33,0),MAX(BF31-(7/36)*$K31,0))</f>
        <v>0</v>
      </c>
      <c r="BO31" s="560">
        <f t="shared" si="124"/>
        <v>0</v>
      </c>
      <c r="BP31" s="545">
        <f t="shared" si="125"/>
        <v>0</v>
      </c>
      <c r="BQ31" s="545">
        <f>IF(AND($O31&gt;0,Sheet1!EM33=1),(1-($O31-Sheet1!$L33)/$O31)*BL31,0)</f>
        <v>0</v>
      </c>
      <c r="BR31" s="545">
        <f>IF(AND(Sheet1!$L33=0,Sheet1!$L32=0, Calculation!BK31&lt;Sheet1!$EI33-0.1,Sheet1!$EI33=Sheet1!$EI32,Sheet1!$EI33=Sheet1!$EI34),Sheet1!$EI33,BL31-BQ31)</f>
        <v>0</v>
      </c>
      <c r="BS31" s="560"/>
      <c r="BT31" s="560"/>
      <c r="BU31" s="560">
        <f t="shared" si="126"/>
        <v>0</v>
      </c>
      <c r="BV31" s="560"/>
      <c r="BW31" s="560">
        <f ca="1">IF(B31&gt;Summary!$A$1,#N/A,BU31*MGtoAF)</f>
        <v>0</v>
      </c>
      <c r="BX31" s="560">
        <f>Sheet1!BC33+Sheet1!BD33+Sheet1!BE33+Sheet1!BF33-CG31-CH31</f>
        <v>2.5</v>
      </c>
      <c r="BY31" s="560">
        <f t="shared" si="127"/>
        <v>2.4979355904211396</v>
      </c>
      <c r="BZ31" s="560">
        <f>IF(Sheet1!EQ33="FM",CH31,0)</f>
        <v>0</v>
      </c>
      <c r="CA31" s="560">
        <f t="shared" si="128"/>
        <v>0</v>
      </c>
      <c r="CB31" s="560">
        <f>IF(Sheet1!EQ33="OTHER",CH31,0)</f>
        <v>0</v>
      </c>
      <c r="CC31" s="560">
        <f t="shared" si="129"/>
        <v>0</v>
      </c>
      <c r="CD31" s="560">
        <f t="shared" si="130"/>
        <v>0</v>
      </c>
      <c r="CE31" s="560">
        <f t="shared" si="131"/>
        <v>2.5</v>
      </c>
      <c r="CF31" s="560">
        <f t="shared" si="132"/>
        <v>2.4979355904211396</v>
      </c>
      <c r="CG31" s="560">
        <f>IF(Sheet1!EQ33="CWA",SUM(Sheet1!BC33:'Sheet1'!BF33),0)</f>
        <v>0</v>
      </c>
      <c r="CH31" s="560">
        <f>IF(OR(Sheet1!EQ33="FM", Sheet1!EQ33="OTHER"),SUM(Sheet1!BC33:'Sheet1'!BF33),0)</f>
        <v>0</v>
      </c>
      <c r="CI31" s="545">
        <f>IF(AND($B31&gt;=$FV31,$B31&lt;=$FW31),MAX(CF31,Sheet1!EJ33,0),MAX(CF31-(7/36)*$K31,0))</f>
        <v>0</v>
      </c>
      <c r="CJ31" s="560">
        <f t="shared" si="133"/>
        <v>0</v>
      </c>
      <c r="CK31" s="545">
        <f t="shared" si="134"/>
        <v>2.4979355904211396</v>
      </c>
      <c r="CL31" s="545">
        <f>IF(AND($O31&gt;0,Sheet1!EN33=1),(1-($O31-Sheet1!$L33)/$O31)*CF31,0)</f>
        <v>0</v>
      </c>
      <c r="CM31" s="545">
        <f>IF(AND(Sheet1!$L33=0,Sheet1!$L32=0, Calculation!CE31&lt;Sheet1!EJ33-0.1,Sheet1!EJ33=Sheet1!EJ32,Sheet1!EJ33=Sheet1!EJ34),Sheet1!EJ33,CF31-CL31)</f>
        <v>2.4979355904211396</v>
      </c>
      <c r="CN31" s="545"/>
      <c r="CO31" s="560"/>
      <c r="CP31" s="560">
        <f t="shared" si="135"/>
        <v>0</v>
      </c>
      <c r="CQ31" s="560"/>
      <c r="CR31" s="560">
        <f ca="1">IF(B31&gt;Summary!$A$1,#N/A,CP31*MGtoAF)</f>
        <v>0</v>
      </c>
      <c r="CS31" s="560">
        <f>Sheet1!BK33+Sheet1!BL33+Sheet1!BM33-Sheet1!ER33-DA31</f>
        <v>5.52</v>
      </c>
      <c r="CT31" s="560">
        <f t="shared" si="136"/>
        <v>5.5154417836498757</v>
      </c>
      <c r="CU31" s="560">
        <f>IF(Sheet1!ER33="FM",DA31,0)</f>
        <v>0</v>
      </c>
      <c r="CV31" s="560">
        <f t="shared" si="137"/>
        <v>0</v>
      </c>
      <c r="CW31" s="560">
        <f>IF(Sheet1!ER33="OTHER",DA31,0)</f>
        <v>0</v>
      </c>
      <c r="CX31" s="560">
        <f t="shared" si="138"/>
        <v>0</v>
      </c>
      <c r="CY31" s="560">
        <f t="shared" si="139"/>
        <v>5.52</v>
      </c>
      <c r="CZ31" s="560">
        <f t="shared" si="140"/>
        <v>5.5154417836498757</v>
      </c>
      <c r="DA31" s="560">
        <f>IF(OR(Sheet1!ER33="FM", Sheet1!ER33="OTHER"),SUM(Sheet1!BK33:'Sheet1'!BM33),0)</f>
        <v>0</v>
      </c>
      <c r="DB31" s="545">
        <f>IF(AND($B31&gt;=$FV31,$B31&lt;=$FW31),MAX($CT31,Sheet1!EK33,0),MAX($CT31-(7/36)*$K31,0))</f>
        <v>0</v>
      </c>
      <c r="DC31" s="560">
        <f t="shared" si="141"/>
        <v>0</v>
      </c>
      <c r="DD31" s="545">
        <f t="shared" si="142"/>
        <v>5.5154417836498757</v>
      </c>
      <c r="DE31" s="545">
        <f>IF(AND($O31&gt;0,Sheet1!EO33=1),(1-($O31-Sheet1!$L33)/$O31)*CZ31,0)</f>
        <v>0</v>
      </c>
      <c r="DF31" s="545">
        <f>IF(AND(Sheet1!$L33=0,Sheet1!$L32=0, Calculation!CY31&lt;Sheet1!$EK33-0.1,Sheet1!$EK33=Sheet1!$EK32,Sheet1!$EK33=Sheet1!$EK34),Sheet1!$EK33,CZ31-DE31)</f>
        <v>5.5154417836498757</v>
      </c>
      <c r="DG31" s="545"/>
      <c r="DH31" s="560">
        <f t="shared" si="143"/>
        <v>8.02</v>
      </c>
      <c r="DI31" s="560">
        <f t="shared" si="144"/>
        <v>0</v>
      </c>
      <c r="DJ31" s="698">
        <f t="shared" si="145"/>
        <v>8.0133773740710161</v>
      </c>
      <c r="DK31" s="560">
        <f ca="1">IF(B31&gt;Summary!$A$1,#N/A,DI31*MGtoAF)</f>
        <v>0</v>
      </c>
      <c r="DL31" s="698">
        <f t="shared" si="146"/>
        <v>8.02</v>
      </c>
      <c r="DM31" s="560">
        <f t="shared" si="147"/>
        <v>24.22</v>
      </c>
      <c r="DN31" s="560">
        <f>Sheet1!AB33-DM31</f>
        <v>-1.9999999999999574E-2</v>
      </c>
      <c r="DO31" s="823">
        <f t="shared" si="148"/>
        <v>-8.2576383154416076E-4</v>
      </c>
      <c r="DP31" s="560">
        <f>(VLOOKUP(Sheet1!DC33,hhdcap_wcm,4)-(((VLOOKUP(Sheet1!DC33,hhdcap_wcm,3)-Sheet1!DC33)/(VLOOKUP(Sheet1!DC33,hhdcap_wcm,3)-VLOOKUP(Sheet1!DC33,hhdcap_wcm,1)))*(VLOOKUP(Sheet1!DC33,hhdcap_wcm,4)-VLOOKUP(Sheet1!DC33,hhdcap_wcm,2))))</f>
        <v>828.90000000250109</v>
      </c>
      <c r="DQ31" s="560">
        <f t="shared" si="149"/>
        <v>-442.10000000086859</v>
      </c>
      <c r="DR31" s="560">
        <f t="shared" si="150"/>
        <v>-222.94503277905625</v>
      </c>
      <c r="DS31" s="560">
        <f>Sheet1!EA33*AFtoMG</f>
        <v>0</v>
      </c>
      <c r="DT31" s="560">
        <f>Sheet1!EB33*AFtoMG</f>
        <v>0</v>
      </c>
      <c r="DU31" s="560">
        <f>Sheet1!EC33*AFtoMG</f>
        <v>0</v>
      </c>
      <c r="DV31" s="560">
        <f>Sheet1!ED33*AFtoMG</f>
        <v>0</v>
      </c>
      <c r="DW31" s="560">
        <f t="shared" si="151"/>
        <v>0</v>
      </c>
      <c r="DX31" s="560">
        <f t="shared" si="152"/>
        <v>0</v>
      </c>
      <c r="DY31" s="560">
        <f t="shared" si="153"/>
        <v>0</v>
      </c>
      <c r="DZ31" s="560">
        <f t="shared" si="154"/>
        <v>0</v>
      </c>
      <c r="EA31" s="560"/>
      <c r="EB31" s="545">
        <f>IF(OR(B31&lt;FV31,B31&gt;FW31),(MIN(BF31+BY31+CT31+MAX(Sheet1!AA33+AQ31-73,0),K31)),0)</f>
        <v>8.0133773740710161</v>
      </c>
      <c r="EC31" s="560"/>
      <c r="ED31" s="560">
        <f t="shared" si="155"/>
        <v>8.0133773740710161</v>
      </c>
      <c r="EE31" s="560"/>
      <c r="EF31" s="560">
        <f>Sheet1!EH33+Sheet1!EI33+Sheet1!EJ33+Sheet1!EK33</f>
        <v>8.02</v>
      </c>
      <c r="EG31" s="560"/>
      <c r="EH31" s="545">
        <f t="shared" si="156"/>
        <v>0</v>
      </c>
      <c r="EI31" s="560">
        <f>IF(Sheet1!ET33=1,SUM('Calculations II'!AT31:BA31)+'Calculations II'!BC31+Sheet1!BV33+'Calculations II'!BE31+AP31,SUM('Calculations II'!AT31:BA31)+'Calculations II'!BC31+Sheet1!BV33+'Calculations II'!BE31+AP31)</f>
        <v>51.307952</v>
      </c>
      <c r="EJ31" s="560">
        <f>Sheet1!AA33+Sheet1!AB33+'Calculations II'!BC31</f>
        <v>57.302592000000004</v>
      </c>
      <c r="EK31" s="560"/>
      <c r="EL31" s="560"/>
      <c r="EM31" s="560">
        <f t="shared" si="157"/>
        <v>41659</v>
      </c>
      <c r="EN31" s="560">
        <f t="shared" si="158"/>
        <v>0</v>
      </c>
      <c r="EO31" s="560">
        <f t="shared" si="159"/>
        <v>0</v>
      </c>
      <c r="EP31" s="560">
        <v>0</v>
      </c>
      <c r="EQ31" s="560">
        <v>0</v>
      </c>
      <c r="ER31" s="560">
        <v>0</v>
      </c>
      <c r="ES31" s="545">
        <f t="shared" si="77"/>
        <v>-0.83090864934188124</v>
      </c>
      <c r="ET31" s="560">
        <f>-(VLOOKUP(Sheet1!BQ33,Lookup!$O$4:$Q$262,2)-VLOOKUP(Sheet1!BQ32,Lookup!$O$4:$Q$262,2))/1000000</f>
        <v>-0.41545432467094062</v>
      </c>
      <c r="EU31" s="560">
        <f>-(VLOOKUP(Sheet1!BR33,Lookup!$O$4:$Q$262,3)-VLOOKUP(Sheet1!BR32,Lookup!$O$4:$Q$262,3))/1000000</f>
        <v>-0.41545432467094062</v>
      </c>
      <c r="EV31" s="560"/>
      <c r="EW31" s="560"/>
      <c r="EX31" s="560"/>
      <c r="EY31" s="560"/>
      <c r="EZ31" s="560"/>
      <c r="FA31" s="560"/>
      <c r="FB31" s="560"/>
      <c r="FC31" s="560"/>
      <c r="FD31" s="594" t="e">
        <f t="shared" si="160"/>
        <v>#N/A</v>
      </c>
      <c r="FE31" s="594" t="e">
        <f t="shared" si="161"/>
        <v>#N/A</v>
      </c>
      <c r="FF31" s="595" t="e">
        <f t="shared" si="162"/>
        <v>#N/A</v>
      </c>
      <c r="FG31" s="596" t="s">
        <v>692</v>
      </c>
      <c r="FH31" s="596" t="s">
        <v>692</v>
      </c>
      <c r="FI31" s="594" t="e">
        <v>#N/A</v>
      </c>
      <c r="FJ31" s="594" t="e">
        <v>#N/A</v>
      </c>
      <c r="FK31" s="560"/>
      <c r="FL31" s="560"/>
      <c r="FM31" s="560"/>
      <c r="FN31" s="560"/>
      <c r="FO31" s="560">
        <f>O31+((Sheet1!CS33)*GPMtoMGD)</f>
        <v>57.302592000000004</v>
      </c>
      <c r="FP31" s="560">
        <f>IF(Sheet1!AA33+AQ31&lt;=Calculation!N31,AQ31,Calculation!N31-Sheet1!AA33)</f>
        <v>15.187448389760528</v>
      </c>
      <c r="FQ31" s="560">
        <f>(Sheet1!BP33+Sheet1!BO33)/694.4</f>
        <v>1.5567396313364055</v>
      </c>
      <c r="FR31" s="560"/>
      <c r="FS31" s="560"/>
      <c r="FT31" s="560"/>
      <c r="FU31" s="560"/>
      <c r="FV31" s="695">
        <f t="shared" si="80"/>
        <v>41827</v>
      </c>
      <c r="FW31" s="695">
        <f t="shared" si="81"/>
        <v>41934</v>
      </c>
      <c r="FX31" s="560"/>
      <c r="FY31" s="560"/>
      <c r="FZ31" s="560"/>
      <c r="GA31" s="560"/>
      <c r="GB31" s="560" t="str">
        <f t="shared" si="82"/>
        <v>n</v>
      </c>
      <c r="GC31" s="564">
        <f t="shared" si="83"/>
        <v>41691</v>
      </c>
      <c r="GD31" s="695">
        <f t="shared" si="84"/>
        <v>41807</v>
      </c>
      <c r="GE31" s="560">
        <v>6518.9</v>
      </c>
      <c r="GF31" s="695">
        <f t="shared" si="85"/>
        <v>41808</v>
      </c>
      <c r="GG31" s="560">
        <f t="shared" si="163"/>
        <v>3259</v>
      </c>
      <c r="GH31" s="564">
        <f t="shared" si="87"/>
        <v>41934</v>
      </c>
      <c r="GJ31" s="545">
        <f t="shared" si="88"/>
        <v>0</v>
      </c>
      <c r="GK31" s="560" t="str">
        <f t="shared" si="164"/>
        <v/>
      </c>
      <c r="GL31" s="560">
        <f t="shared" si="89"/>
        <v>0</v>
      </c>
      <c r="GM31" s="560" t="str">
        <f t="shared" si="90"/>
        <v/>
      </c>
      <c r="GN31" s="560">
        <f>IF(GK31="P",Lookup!$M$12,IF(GK31="PP",Lookup!$M$13,IF(GK31="PPP",Lookup!$M$14,IF(GK31="T",Lookup!$M$15,IF(GK31="TP",Lookup!$M$16,IF(GK31="TPP",Lookup!$M$17,IF(GK31="TPPP",Lookup!$M$18,0)))))))*GJ31</f>
        <v>0</v>
      </c>
      <c r="GO31" s="560">
        <f t="shared" si="91"/>
        <v>0</v>
      </c>
      <c r="GP31" s="560">
        <f t="shared" si="165"/>
        <v>0</v>
      </c>
      <c r="GQ31" s="560">
        <f t="shared" si="99"/>
        <v>0</v>
      </c>
      <c r="GR31" s="560"/>
      <c r="GS31" s="560">
        <f t="shared" si="92"/>
        <v>0</v>
      </c>
      <c r="GT31" s="560" t="str">
        <f t="shared" si="93"/>
        <v/>
      </c>
      <c r="GU31" s="560">
        <f>IF(GK31="P",Lookup!$N$12,IF(GK31="PP",Lookup!$N$13,IF(GK31="PPP",Lookup!$N$14,IF(GK31="T",Lookup!$N$15,IF(GK31="TP",Lookup!$N$16,IF(GK31="TPP",Lookup!$N$17,IF(GK31="TPPP",Lookup!$N$18,0)))))))*GJ31</f>
        <v>0</v>
      </c>
      <c r="GV31" s="560">
        <f t="shared" si="57"/>
        <v>0</v>
      </c>
      <c r="GW31" s="560">
        <f t="shared" si="166"/>
        <v>0</v>
      </c>
      <c r="GX31" s="560">
        <f t="shared" si="100"/>
        <v>0</v>
      </c>
      <c r="GY31" s="560"/>
      <c r="GZ31" s="560">
        <f t="shared" si="94"/>
        <v>0</v>
      </c>
      <c r="HA31" s="560" t="str">
        <f t="shared" si="95"/>
        <v/>
      </c>
      <c r="HB31" s="560">
        <f>IF(GK31="P",Lookup!$N$12,IF(GK31="PP",Lookup!$N$13,IF(GK31="PPP",Lookup!$N$14,IF(GK31="T",Lookup!$N$15,IF(GK31="TP",Lookup!$N$16,IF(GK31="TPP",Lookup!$N$17,IF(GK31="TPPP",Lookup!$N$18,0)))))))*GJ31</f>
        <v>0</v>
      </c>
      <c r="HC31" s="545">
        <f t="shared" si="167"/>
        <v>0</v>
      </c>
      <c r="HD31" s="560">
        <f t="shared" si="168"/>
        <v>0</v>
      </c>
      <c r="HE31" s="560">
        <f t="shared" si="101"/>
        <v>0</v>
      </c>
      <c r="HF31" s="560"/>
      <c r="HG31" s="560">
        <f t="shared" si="96"/>
        <v>0</v>
      </c>
      <c r="HH31" s="560" t="str">
        <f t="shared" si="97"/>
        <v/>
      </c>
      <c r="HI31" s="560">
        <f>IF(GK31="P",Lookup!$N$12,IF(GK31="PP",Lookup!$N$13,IF(GK31="PPP",Lookup!$N$14,IF(GK31="T",Lookup!$N$15,IF(GK31="TP",Lookup!$N$16,IF(GK31="TPP",Lookup!$N$17,IF(GK31="TPPP",Lookup!$N$18,0)))))))*GJ31</f>
        <v>0</v>
      </c>
      <c r="HJ31" s="545">
        <f t="shared" si="169"/>
        <v>0</v>
      </c>
      <c r="HK31" s="560">
        <f t="shared" si="170"/>
        <v>0</v>
      </c>
      <c r="HL31" s="560">
        <f t="shared" si="102"/>
        <v>0</v>
      </c>
      <c r="HM31" s="560"/>
    </row>
    <row r="32" spans="1:221">
      <c r="A32" s="580" t="s">
        <v>5</v>
      </c>
      <c r="B32" s="556">
        <v>41660</v>
      </c>
      <c r="C32" s="561">
        <v>0</v>
      </c>
      <c r="D32" s="529">
        <f t="shared" si="103"/>
        <v>300</v>
      </c>
      <c r="E32" s="529">
        <f t="shared" si="104"/>
        <v>250</v>
      </c>
      <c r="F32" s="529">
        <v>250</v>
      </c>
      <c r="G32" s="560">
        <f>DR32+Sheet1!CZ34</f>
        <v>995.83459404934445</v>
      </c>
      <c r="H32" s="914">
        <f t="shared" si="2"/>
        <v>376.74428159349623</v>
      </c>
      <c r="I32" s="559">
        <f>MAX(Sheet1!Z34-AT32+(Sheet1!DA34-E32)*CFStoMGD,0)</f>
        <v>845.12800000000004</v>
      </c>
      <c r="J32" s="562">
        <f>IF(AND(B32&gt;=Calculation!GC32,B32&lt;=Calculation!GD32),IF(Sheet1!DB34&gt;=Calculation!D32,64.64,0),MAX(Sheet1!Z34-AT32+(Sheet1!DB34-D32)*CFStoMGD,0))</f>
        <v>496.07199999999995</v>
      </c>
      <c r="K32" s="904">
        <f t="shared" si="105"/>
        <v>64.64</v>
      </c>
      <c r="L32" s="560">
        <f>Sheet1!AA34+Sheet1!AB34-Sheet1!L34+(Sheet1!DA34-F32)*CFStoMGD</f>
        <v>820.928</v>
      </c>
      <c r="M32" s="560">
        <f t="shared" si="106"/>
        <v>656.58163122536621</v>
      </c>
      <c r="N32" s="910">
        <f>IF(Sheet1!DA34&gt;=F32,MIN(73,MIN(MAX(L32,0),MAX(M32,0))),0)</f>
        <v>73</v>
      </c>
      <c r="O32" s="563">
        <f>Sheet1!AA34+Sheet1!AB34</f>
        <v>39.9</v>
      </c>
      <c r="P32" s="563">
        <f t="shared" si="107"/>
        <v>61.725299999999997</v>
      </c>
      <c r="Q32" s="898">
        <f t="shared" si="63"/>
        <v>0</v>
      </c>
      <c r="R32" s="829">
        <f t="shared" si="108"/>
        <v>7.2301525224872893</v>
      </c>
      <c r="S32" s="898">
        <f t="shared" si="65"/>
        <v>39.9</v>
      </c>
      <c r="T32" s="898">
        <f t="shared" si="66"/>
        <v>0</v>
      </c>
      <c r="U32" s="898">
        <f t="shared" si="6"/>
        <v>0</v>
      </c>
      <c r="V32" s="898"/>
      <c r="W32" s="898">
        <f t="shared" si="67"/>
        <v>57.409847477512713</v>
      </c>
      <c r="X32" s="898">
        <f t="shared" si="68"/>
        <v>39.9</v>
      </c>
      <c r="Y32" s="898" t="str">
        <f t="shared" si="69"/>
        <v/>
      </c>
      <c r="Z32" s="898">
        <f t="shared" si="70"/>
        <v>39.9</v>
      </c>
      <c r="AA32" s="898">
        <f t="shared" si="71"/>
        <v>39.9</v>
      </c>
      <c r="AB32" s="898" t="str">
        <f t="shared" si="72"/>
        <v/>
      </c>
      <c r="AC32" s="563">
        <f>Sheet1!Y34*MGDtoCFS</f>
        <v>30.042740000000002</v>
      </c>
      <c r="AD32" s="563">
        <f>Sheet1!Z34*MGDtoCFS</f>
        <v>37.437399999999997</v>
      </c>
      <c r="AE32" s="563">
        <f>Sheet1!AA34*MGDtoCFS</f>
        <v>30.166499999999999</v>
      </c>
      <c r="AF32" s="563">
        <f>Sheet1!AB34*MGDtoCFS</f>
        <v>31.558799999999998</v>
      </c>
      <c r="AG32" s="563">
        <f>Sheet1!L34*MGDtoCFS</f>
        <v>61.725299999999997</v>
      </c>
      <c r="AH32" s="545">
        <f t="shared" si="109"/>
        <v>0</v>
      </c>
      <c r="AI32" s="560">
        <f t="shared" si="110"/>
        <v>0</v>
      </c>
      <c r="AJ32" s="560">
        <f t="shared" si="111"/>
        <v>0</v>
      </c>
      <c r="AK32" s="560">
        <f t="shared" si="112"/>
        <v>0</v>
      </c>
      <c r="AL32" s="560">
        <f>(VLOOKUP(Sheet1!DC34,hhdcap_wcm,4)-(((VLOOKUP(Sheet1!DC34,hhdcap_wcm,3)-Sheet1!DC34)/(VLOOKUP(Sheet1!DC34,hhdcap_wcm,3)-VLOOKUP(Sheet1!DC34,hhdcap_wcm,1)))*(VLOOKUP(Sheet1!DC34,hhdcap_wcm,4)-VLOOKUP(Sheet1!DC34,hhdcap_wcm,2))))</f>
        <v>662.00000000235104</v>
      </c>
      <c r="AM32" s="560">
        <f t="shared" si="113"/>
        <v>-166.90000000015004</v>
      </c>
      <c r="AN32" s="560">
        <f t="shared" si="114"/>
        <v>0</v>
      </c>
      <c r="AO32" s="560">
        <f t="shared" si="115"/>
        <v>0</v>
      </c>
      <c r="AP32" s="560">
        <f>Sheet1!BA34+Sheet1!BB34+Sheet1!BN34+CD32</f>
        <v>13.206</v>
      </c>
      <c r="AQ32" s="560">
        <f>Sheet1!BN34+(DO32*Sheet1!BN34)</f>
        <v>12.166601486116541</v>
      </c>
      <c r="AR32" s="560">
        <f>Sheet1!BA34+CD32</f>
        <v>0</v>
      </c>
      <c r="AS32" s="560">
        <f>Sheet1!BA34+Sheet1!BB34+CD32</f>
        <v>1.006</v>
      </c>
      <c r="AT32" s="698">
        <f>0</f>
        <v>0</v>
      </c>
      <c r="AU32" s="560">
        <f>IF(EB32&lt;K32,0,MAX(Sheet1!AA34+AQ32-15/36*K32-N32,Sheet1!EH34,0))</f>
        <v>0</v>
      </c>
      <c r="AV32" s="560">
        <f>IF(OR(B32&gt;=GD32,B32&lt;GC32),0,15/36*K32-MAX(0,64.6-(137.6-(Sheet1!AA34+Sheet1!AB34))))</f>
        <v>0</v>
      </c>
      <c r="AW32" s="698">
        <f>Sheet1!DB34-110</f>
        <v>920</v>
      </c>
      <c r="AX32" s="698">
        <f>Sheet1!DA34-265</f>
        <v>1255</v>
      </c>
      <c r="AY32" s="698">
        <f t="shared" si="116"/>
        <v>73</v>
      </c>
      <c r="AZ32" s="698">
        <v>0</v>
      </c>
      <c r="BA32" s="698">
        <f t="shared" si="117"/>
        <v>0</v>
      </c>
      <c r="BB32" s="560">
        <f t="shared" si="118"/>
        <v>0</v>
      </c>
      <c r="BC32" s="560"/>
      <c r="BD32" s="560">
        <f ca="1">IF(B32&gt;Summary!$A$1,#N/A,BB32*MGtoAF)</f>
        <v>0</v>
      </c>
      <c r="BE32" s="560">
        <f>Sheet1!BG34+Sheet1!BH34+Sheet1!BI34-BM32</f>
        <v>0</v>
      </c>
      <c r="BF32" s="560">
        <f t="shared" si="119"/>
        <v>0</v>
      </c>
      <c r="BG32" s="560">
        <f>IF(Sheet1!EP34="FM",BM32,0)</f>
        <v>0</v>
      </c>
      <c r="BH32" s="560">
        <f t="shared" si="120"/>
        <v>0</v>
      </c>
      <c r="BI32" s="560">
        <f>IF(Sheet1!EP34="OTHER",BM32,0)</f>
        <v>0</v>
      </c>
      <c r="BJ32" s="560">
        <f t="shared" si="121"/>
        <v>0</v>
      </c>
      <c r="BK32" s="560">
        <f t="shared" si="122"/>
        <v>0</v>
      </c>
      <c r="BL32" s="560">
        <f t="shared" si="123"/>
        <v>0</v>
      </c>
      <c r="BM32" s="560">
        <f>IF(OR(Sheet1!EP34="FM", Sheet1!EP34="OTHER"),SUM(Sheet1!BG34:'Sheet1'!BI34),0)</f>
        <v>0</v>
      </c>
      <c r="BN32" s="545">
        <f>IF(AND($B32&gt;=$FV32,$B32&lt;=$FW32),MAX(BF32,Sheet1!EI34,0),MAX(BF32-(7/36)*$K32,0))</f>
        <v>0</v>
      </c>
      <c r="BO32" s="560">
        <f t="shared" si="124"/>
        <v>0</v>
      </c>
      <c r="BP32" s="545">
        <f t="shared" si="125"/>
        <v>0</v>
      </c>
      <c r="BQ32" s="545">
        <f>IF(AND($O32&gt;0,Sheet1!EM34=1),(1-($O32-Sheet1!$L34)/$O32)*BL32,0)</f>
        <v>0</v>
      </c>
      <c r="BR32" s="545">
        <f>IF(AND(Sheet1!$L34=0,Sheet1!$L33=0, Calculation!BK32&lt;Sheet1!$EI34-0.1,Sheet1!$EI34=Sheet1!$EI33,Sheet1!$EI34=Sheet1!$EI35),Sheet1!$EI34,BL32-BQ32)</f>
        <v>0</v>
      </c>
      <c r="BS32" s="560"/>
      <c r="BT32" s="560"/>
      <c r="BU32" s="560">
        <f t="shared" si="126"/>
        <v>0</v>
      </c>
      <c r="BV32" s="560"/>
      <c r="BW32" s="560">
        <f ca="1">IF(B32&gt;Summary!$A$1,#N/A,BU32*MGtoAF)</f>
        <v>0</v>
      </c>
      <c r="BX32" s="560">
        <f>Sheet1!BC34+Sheet1!BD34+Sheet1!BE34+Sheet1!BF34-CG32-CH32</f>
        <v>2.5</v>
      </c>
      <c r="BY32" s="560">
        <f t="shared" si="127"/>
        <v>2.4931560422369965</v>
      </c>
      <c r="BZ32" s="560">
        <f>IF(Sheet1!EQ34="FM",CH32,0)</f>
        <v>0</v>
      </c>
      <c r="CA32" s="560">
        <f t="shared" si="128"/>
        <v>0</v>
      </c>
      <c r="CB32" s="560">
        <f>IF(Sheet1!EQ34="OTHER",CH32,0)</f>
        <v>0</v>
      </c>
      <c r="CC32" s="560">
        <f t="shared" si="129"/>
        <v>0</v>
      </c>
      <c r="CD32" s="560">
        <f t="shared" si="130"/>
        <v>0</v>
      </c>
      <c r="CE32" s="560">
        <f t="shared" si="131"/>
        <v>2.5</v>
      </c>
      <c r="CF32" s="560">
        <f t="shared" si="132"/>
        <v>2.4931560422369965</v>
      </c>
      <c r="CG32" s="560">
        <f>IF(Sheet1!EQ34="CWA",SUM(Sheet1!BC34:'Sheet1'!BF34),0)</f>
        <v>0</v>
      </c>
      <c r="CH32" s="560">
        <f>IF(OR(Sheet1!EQ34="FM", Sheet1!EQ34="OTHER"),SUM(Sheet1!BC34:'Sheet1'!BF34),0)</f>
        <v>0</v>
      </c>
      <c r="CI32" s="545">
        <f>IF(AND($B32&gt;=$FV32,$B32&lt;=$FW32),MAX(CF32,Sheet1!EJ34,0),MAX(CF32-(7/36)*$K32,0))</f>
        <v>0</v>
      </c>
      <c r="CJ32" s="560">
        <f t="shared" si="133"/>
        <v>0</v>
      </c>
      <c r="CK32" s="545">
        <f t="shared" si="134"/>
        <v>2.4931560422369965</v>
      </c>
      <c r="CL32" s="545">
        <f>IF(AND($O32&gt;0,Sheet1!EN34=1),(1-($O32-Sheet1!$L34)/$O32)*CF32,0)</f>
        <v>0</v>
      </c>
      <c r="CM32" s="545">
        <f>IF(AND(Sheet1!$L34=0,Sheet1!$L33=0, Calculation!CE32&lt;Sheet1!EJ34-0.1,Sheet1!EJ34=Sheet1!EJ33,Sheet1!EJ34=Sheet1!EJ35),Sheet1!EJ34,CF32-CL32)</f>
        <v>2.4931560422369965</v>
      </c>
      <c r="CN32" s="545"/>
      <c r="CO32" s="560"/>
      <c r="CP32" s="560">
        <f t="shared" si="135"/>
        <v>0</v>
      </c>
      <c r="CQ32" s="560"/>
      <c r="CR32" s="560">
        <f ca="1">IF(B32&gt;Summary!$A$1,#N/A,CP32*MGtoAF)</f>
        <v>0</v>
      </c>
      <c r="CS32" s="560">
        <f>Sheet1!BK34+Sheet1!BL34+Sheet1!BM34-Sheet1!ER34-DA32</f>
        <v>4.75</v>
      </c>
      <c r="CT32" s="560">
        <f t="shared" si="136"/>
        <v>4.7369964802502933</v>
      </c>
      <c r="CU32" s="560">
        <f>IF(Sheet1!ER34="FM",DA32,0)</f>
        <v>0</v>
      </c>
      <c r="CV32" s="560">
        <f t="shared" si="137"/>
        <v>0</v>
      </c>
      <c r="CW32" s="560">
        <f>IF(Sheet1!ER34="OTHER",DA32,0)</f>
        <v>0</v>
      </c>
      <c r="CX32" s="560">
        <f t="shared" si="138"/>
        <v>0</v>
      </c>
      <c r="CY32" s="560">
        <f t="shared" si="139"/>
        <v>4.75</v>
      </c>
      <c r="CZ32" s="560">
        <f t="shared" si="140"/>
        <v>4.7369964802502933</v>
      </c>
      <c r="DA32" s="560">
        <f>IF(OR(Sheet1!ER34="FM", Sheet1!ER34="OTHER"),SUM(Sheet1!BK34:'Sheet1'!BM34),0)</f>
        <v>0</v>
      </c>
      <c r="DB32" s="545">
        <f>IF(AND($B32&gt;=$FV32,$B32&lt;=$FW32),MAX($CT32,Sheet1!EK34,0),MAX($CT32-(7/36)*$K32,0))</f>
        <v>0</v>
      </c>
      <c r="DC32" s="560">
        <f t="shared" si="141"/>
        <v>0</v>
      </c>
      <c r="DD32" s="545">
        <f t="shared" si="142"/>
        <v>4.7369964802502933</v>
      </c>
      <c r="DE32" s="545">
        <f>IF(AND($O32&gt;0,Sheet1!EO34=1),(1-($O32-Sheet1!$L34)/$O32)*CZ32,0)</f>
        <v>0</v>
      </c>
      <c r="DF32" s="545">
        <f>IF(AND(Sheet1!$L34=0,Sheet1!$L33=0, Calculation!CY32&lt;Sheet1!$EK34-0.1,Sheet1!$EK34=Sheet1!$EK33,Sheet1!$EK34=Sheet1!$EK35),Sheet1!$EK34,CZ32-DE32)</f>
        <v>4.7369964802502933</v>
      </c>
      <c r="DG32" s="545"/>
      <c r="DH32" s="560">
        <f t="shared" si="143"/>
        <v>7.25</v>
      </c>
      <c r="DI32" s="560">
        <f t="shared" si="144"/>
        <v>0</v>
      </c>
      <c r="DJ32" s="698">
        <f t="shared" si="145"/>
        <v>7.2301525224872893</v>
      </c>
      <c r="DK32" s="560">
        <f ca="1">IF(B32&gt;Summary!$A$1,#N/A,DI32*MGtoAF)</f>
        <v>0</v>
      </c>
      <c r="DL32" s="698">
        <f t="shared" si="146"/>
        <v>7.25</v>
      </c>
      <c r="DM32" s="560">
        <f t="shared" si="147"/>
        <v>20.456</v>
      </c>
      <c r="DN32" s="560">
        <f>Sheet1!AB34-DM32</f>
        <v>-5.6000000000000938E-2</v>
      </c>
      <c r="DO32" s="823">
        <f t="shared" si="148"/>
        <v>-2.7375831052014539E-3</v>
      </c>
      <c r="DP32" s="560">
        <f>(VLOOKUP(Sheet1!DC34,hhdcap_wcm,4)-(((VLOOKUP(Sheet1!DC34,hhdcap_wcm,3)-Sheet1!DC34)/(VLOOKUP(Sheet1!DC34,hhdcap_wcm,3)-VLOOKUP(Sheet1!DC34,hhdcap_wcm,1)))*(VLOOKUP(Sheet1!DC34,hhdcap_wcm,4)-VLOOKUP(Sheet1!DC34,hhdcap_wcm,2))))</f>
        <v>662.00000000235104</v>
      </c>
      <c r="DQ32" s="560">
        <f t="shared" si="149"/>
        <v>-166.90000000015004</v>
      </c>
      <c r="DR32" s="560">
        <f t="shared" si="150"/>
        <v>-84.165405950655583</v>
      </c>
      <c r="DS32" s="560">
        <f>Sheet1!EA34*AFtoMG</f>
        <v>0</v>
      </c>
      <c r="DT32" s="560">
        <f>Sheet1!EB34*AFtoMG</f>
        <v>0</v>
      </c>
      <c r="DU32" s="560">
        <f>Sheet1!EC34*AFtoMG</f>
        <v>0</v>
      </c>
      <c r="DV32" s="560">
        <f>Sheet1!ED34*AFtoMG</f>
        <v>0</v>
      </c>
      <c r="DW32" s="560">
        <f t="shared" si="151"/>
        <v>0</v>
      </c>
      <c r="DX32" s="560">
        <f t="shared" si="152"/>
        <v>0</v>
      </c>
      <c r="DY32" s="560">
        <f t="shared" si="153"/>
        <v>0</v>
      </c>
      <c r="DZ32" s="560">
        <f t="shared" si="154"/>
        <v>0</v>
      </c>
      <c r="EA32" s="560"/>
      <c r="EB32" s="545">
        <f>IF(OR(B32&lt;FV32,B32&gt;FW32),(MIN(BF32+BY32+CT32+MAX(Sheet1!AA34+AQ32-73,0),K32)),0)</f>
        <v>7.2301525224872893</v>
      </c>
      <c r="EC32" s="560"/>
      <c r="ED32" s="560">
        <f t="shared" si="155"/>
        <v>7.2301525224872893</v>
      </c>
      <c r="EE32" s="560"/>
      <c r="EF32" s="560">
        <f>Sheet1!EH34+Sheet1!EI34+Sheet1!EJ34+Sheet1!EK34</f>
        <v>7.25</v>
      </c>
      <c r="EG32" s="560"/>
      <c r="EH32" s="545">
        <f t="shared" si="156"/>
        <v>0</v>
      </c>
      <c r="EI32" s="560">
        <f>IF(Sheet1!ET34=1,SUM('Calculations II'!AT32:BA32)+'Calculations II'!BC32+Sheet1!BV34+'Calculations II'!BE32+AP32,SUM('Calculations II'!AT32:BA32)+'Calculations II'!BC32+Sheet1!BV34+'Calculations II'!BE32+AP32)</f>
        <v>49.711824000000007</v>
      </c>
      <c r="EJ32" s="560">
        <f>Sheet1!AA34+Sheet1!AB34+'Calculations II'!BC32</f>
        <v>56.018352</v>
      </c>
      <c r="EK32" s="560"/>
      <c r="EL32" s="560"/>
      <c r="EM32" s="560">
        <f t="shared" si="157"/>
        <v>41660</v>
      </c>
      <c r="EN32" s="560">
        <f t="shared" si="158"/>
        <v>0</v>
      </c>
      <c r="EO32" s="560">
        <f t="shared" si="159"/>
        <v>0</v>
      </c>
      <c r="EP32" s="560">
        <v>0</v>
      </c>
      <c r="EQ32" s="560">
        <v>0</v>
      </c>
      <c r="ER32" s="560">
        <v>0</v>
      </c>
      <c r="ES32" s="545">
        <f t="shared" si="77"/>
        <v>-0.4156273577657677</v>
      </c>
      <c r="ET32" s="560">
        <f>-(VLOOKUP(Sheet1!BQ34,Lookup!$O$4:$Q$262,2)-VLOOKUP(Sheet1!BQ33,Lookup!$O$4:$Q$262,2))/1000000</f>
        <v>-0.83108168243670832</v>
      </c>
      <c r="EU32" s="560">
        <f>-(VLOOKUP(Sheet1!BR34,Lookup!$O$4:$Q$262,3)-VLOOKUP(Sheet1!BR33,Lookup!$O$4:$Q$262,3))/1000000</f>
        <v>0.41545432467094062</v>
      </c>
      <c r="EV32" s="560"/>
      <c r="EW32" s="560"/>
      <c r="EX32" s="560"/>
      <c r="EY32" s="560"/>
      <c r="EZ32" s="560"/>
      <c r="FA32" s="560"/>
      <c r="FB32" s="560"/>
      <c r="FC32" s="560"/>
      <c r="FD32" s="594" t="e">
        <f t="shared" si="160"/>
        <v>#N/A</v>
      </c>
      <c r="FE32" s="594" t="e">
        <f t="shared" si="161"/>
        <v>#N/A</v>
      </c>
      <c r="FF32" s="595" t="e">
        <f t="shared" si="162"/>
        <v>#N/A</v>
      </c>
      <c r="FG32" s="596" t="s">
        <v>692</v>
      </c>
      <c r="FH32" s="596" t="s">
        <v>692</v>
      </c>
      <c r="FI32" s="594" t="e">
        <v>#N/A</v>
      </c>
      <c r="FJ32" s="594" t="e">
        <v>#N/A</v>
      </c>
      <c r="FK32" s="560"/>
      <c r="FL32" s="560"/>
      <c r="FM32" s="560"/>
      <c r="FN32" s="560"/>
      <c r="FO32" s="560">
        <f>O32+((Sheet1!CS34)*GPMtoMGD)</f>
        <v>56.018352</v>
      </c>
      <c r="FP32" s="560">
        <f>IF(Sheet1!AA34+AQ32&lt;=Calculation!N32,AQ32,Calculation!N32-Sheet1!AA34)</f>
        <v>12.166601486116541</v>
      </c>
      <c r="FQ32" s="560">
        <f>(Sheet1!BP34+Sheet1!BO34)/694.4</f>
        <v>1.4327476958525345</v>
      </c>
      <c r="FR32" s="560"/>
      <c r="FS32" s="560"/>
      <c r="FT32" s="560"/>
      <c r="FU32" s="560"/>
      <c r="FV32" s="695">
        <f t="shared" si="80"/>
        <v>41827</v>
      </c>
      <c r="FW32" s="695">
        <f t="shared" si="81"/>
        <v>41934</v>
      </c>
      <c r="FX32" s="560"/>
      <c r="FY32" s="560"/>
      <c r="FZ32" s="560"/>
      <c r="GA32" s="560"/>
      <c r="GB32" s="560" t="str">
        <f t="shared" si="82"/>
        <v>n</v>
      </c>
      <c r="GC32" s="564">
        <f t="shared" si="83"/>
        <v>41691</v>
      </c>
      <c r="GD32" s="695">
        <f t="shared" si="84"/>
        <v>41807</v>
      </c>
      <c r="GE32" s="560">
        <v>6518.9</v>
      </c>
      <c r="GF32" s="695">
        <f t="shared" si="85"/>
        <v>41808</v>
      </c>
      <c r="GG32" s="560">
        <f t="shared" si="163"/>
        <v>3259</v>
      </c>
      <c r="GH32" s="564">
        <f t="shared" si="87"/>
        <v>41934</v>
      </c>
      <c r="GJ32" s="545">
        <f t="shared" si="88"/>
        <v>0</v>
      </c>
      <c r="GK32" s="560" t="str">
        <f t="shared" si="164"/>
        <v/>
      </c>
      <c r="GL32" s="560">
        <f t="shared" si="89"/>
        <v>0</v>
      </c>
      <c r="GM32" s="560" t="str">
        <f t="shared" si="90"/>
        <v/>
      </c>
      <c r="GN32" s="560">
        <f>IF(GK32="P",Lookup!$M$12,IF(GK32="PP",Lookup!$M$13,IF(GK32="PPP",Lookup!$M$14,IF(GK32="T",Lookup!$M$15,IF(GK32="TP",Lookup!$M$16,IF(GK32="TPP",Lookup!$M$17,IF(GK32="TPPP",Lookup!$M$18,0)))))))*GJ32</f>
        <v>0</v>
      </c>
      <c r="GO32" s="560">
        <f t="shared" si="91"/>
        <v>0</v>
      </c>
      <c r="GP32" s="560">
        <f t="shared" si="165"/>
        <v>0</v>
      </c>
      <c r="GQ32" s="560">
        <f t="shared" si="99"/>
        <v>0</v>
      </c>
      <c r="GR32" s="560"/>
      <c r="GS32" s="560">
        <f t="shared" si="92"/>
        <v>0</v>
      </c>
      <c r="GT32" s="560" t="str">
        <f t="shared" si="93"/>
        <v/>
      </c>
      <c r="GU32" s="560">
        <f>IF(GK32="P",Lookup!$N$12,IF(GK32="PP",Lookup!$N$13,IF(GK32="PPP",Lookup!$N$14,IF(GK32="T",Lookup!$N$15,IF(GK32="TP",Lookup!$N$16,IF(GK32="TPP",Lookup!$N$17,IF(GK32="TPPP",Lookup!$N$18,0)))))))*GJ32</f>
        <v>0</v>
      </c>
      <c r="GV32" s="560">
        <f t="shared" si="57"/>
        <v>0</v>
      </c>
      <c r="GW32" s="560">
        <f t="shared" si="166"/>
        <v>0</v>
      </c>
      <c r="GX32" s="560">
        <f t="shared" si="100"/>
        <v>0</v>
      </c>
      <c r="GY32" s="560"/>
      <c r="GZ32" s="560">
        <f t="shared" si="94"/>
        <v>0</v>
      </c>
      <c r="HA32" s="560" t="str">
        <f t="shared" si="95"/>
        <v/>
      </c>
      <c r="HB32" s="560">
        <f>IF(GK32="P",Lookup!$N$12,IF(GK32="PP",Lookup!$N$13,IF(GK32="PPP",Lookup!$N$14,IF(GK32="T",Lookup!$N$15,IF(GK32="TP",Lookup!$N$16,IF(GK32="TPP",Lookup!$N$17,IF(GK32="TPPP",Lookup!$N$18,0)))))))*GJ32</f>
        <v>0</v>
      </c>
      <c r="HC32" s="545">
        <f t="shared" si="167"/>
        <v>0</v>
      </c>
      <c r="HD32" s="560">
        <f t="shared" si="168"/>
        <v>0</v>
      </c>
      <c r="HE32" s="560">
        <f t="shared" si="101"/>
        <v>0</v>
      </c>
      <c r="HF32" s="560"/>
      <c r="HG32" s="560">
        <f t="shared" si="96"/>
        <v>0</v>
      </c>
      <c r="HH32" s="560" t="str">
        <f t="shared" si="97"/>
        <v/>
      </c>
      <c r="HI32" s="560">
        <f>IF(GK32="P",Lookup!$N$12,IF(GK32="PP",Lookup!$N$13,IF(GK32="PPP",Lookup!$N$14,IF(GK32="T",Lookup!$N$15,IF(GK32="TP",Lookup!$N$16,IF(GK32="TPP",Lookup!$N$17,IF(GK32="TPPP",Lookup!$N$18,0)))))))*GJ32</f>
        <v>0</v>
      </c>
      <c r="HJ32" s="545">
        <f t="shared" si="169"/>
        <v>0</v>
      </c>
      <c r="HK32" s="560">
        <f t="shared" si="170"/>
        <v>0</v>
      </c>
      <c r="HL32" s="560">
        <f t="shared" si="102"/>
        <v>0</v>
      </c>
      <c r="HM32" s="560"/>
    </row>
    <row r="33" spans="1:221">
      <c r="A33" s="580" t="s">
        <v>6</v>
      </c>
      <c r="B33" s="556">
        <v>41661</v>
      </c>
      <c r="C33" s="561">
        <v>0</v>
      </c>
      <c r="D33" s="529">
        <f t="shared" si="103"/>
        <v>300</v>
      </c>
      <c r="E33" s="529">
        <f t="shared" si="104"/>
        <v>250</v>
      </c>
      <c r="F33" s="529">
        <v>250</v>
      </c>
      <c r="G33" s="560">
        <f>DR33+Sheet1!CZ35</f>
        <v>906.54715078164395</v>
      </c>
      <c r="H33" s="914">
        <f t="shared" si="2"/>
        <v>319.02887826525466</v>
      </c>
      <c r="I33" s="559">
        <f>MAX(Sheet1!Z35-AT33+(Sheet1!DA35-E33)*CFStoMGD,0)</f>
        <v>789.61599999999999</v>
      </c>
      <c r="J33" s="562">
        <f>IF(AND(B33&gt;=Calculation!GC33,B33&lt;=Calculation!GD33),IF(Sheet1!DB35&gt;=Calculation!D33,64.64,0),MAX(Sheet1!Z35-AT33+(Sheet1!DB35-D33)*CFStoMGD,0))</f>
        <v>425.04639999999995</v>
      </c>
      <c r="K33" s="904">
        <f t="shared" si="105"/>
        <v>64.64</v>
      </c>
      <c r="L33" s="560">
        <f>Sheet1!AA35+Sheet1!AB35-Sheet1!L35+(Sheet1!DA35-F33)*CFStoMGD</f>
        <v>769.21600000000001</v>
      </c>
      <c r="M33" s="560">
        <f t="shared" si="106"/>
        <v>597.71191983055974</v>
      </c>
      <c r="N33" s="910">
        <f>IF(Sheet1!DA35&gt;=F33,MIN(73,MIN(MAX(L33,0),MAX(M33,0))),0)</f>
        <v>73</v>
      </c>
      <c r="O33" s="563">
        <f>Sheet1!AA35+Sheet1!AB35</f>
        <v>33.700000000000003</v>
      </c>
      <c r="P33" s="563">
        <f t="shared" si="107"/>
        <v>52.133899999999997</v>
      </c>
      <c r="Q33" s="898">
        <f t="shared" si="63"/>
        <v>0</v>
      </c>
      <c r="R33" s="829">
        <f t="shared" si="108"/>
        <v>6.0780156879372491</v>
      </c>
      <c r="S33" s="898">
        <f t="shared" si="65"/>
        <v>33.700000000000003</v>
      </c>
      <c r="T33" s="898">
        <f t="shared" si="66"/>
        <v>0</v>
      </c>
      <c r="U33" s="898">
        <f t="shared" si="6"/>
        <v>0</v>
      </c>
      <c r="V33" s="898"/>
      <c r="W33" s="898">
        <f t="shared" si="67"/>
        <v>58.561984312062748</v>
      </c>
      <c r="X33" s="898">
        <f t="shared" si="68"/>
        <v>33.700000000000003</v>
      </c>
      <c r="Y33" s="898" t="str">
        <f t="shared" si="69"/>
        <v/>
      </c>
      <c r="Z33" s="898">
        <f t="shared" si="70"/>
        <v>33.700000000000003</v>
      </c>
      <c r="AA33" s="898">
        <f t="shared" si="71"/>
        <v>33.700000000000003</v>
      </c>
      <c r="AB33" s="898" t="str">
        <f t="shared" si="72"/>
        <v/>
      </c>
      <c r="AC33" s="563">
        <f>Sheet1!Y35*MGDtoCFS</f>
        <v>30.166499999999999</v>
      </c>
      <c r="AD33" s="563">
        <f>Sheet1!Z35*MGDtoCFS</f>
        <v>31.558799999999998</v>
      </c>
      <c r="AE33" s="563">
        <f>Sheet1!AA35*MGDtoCFS</f>
        <v>30.321200000000001</v>
      </c>
      <c r="AF33" s="563">
        <f>Sheet1!AB35*MGDtoCFS</f>
        <v>21.8127</v>
      </c>
      <c r="AG33" s="563">
        <f>Sheet1!L35*MGDtoCFS</f>
        <v>52.133900000000004</v>
      </c>
      <c r="AH33" s="545">
        <f t="shared" si="109"/>
        <v>0</v>
      </c>
      <c r="AI33" s="560">
        <f t="shared" si="110"/>
        <v>0</v>
      </c>
      <c r="AJ33" s="560">
        <f t="shared" si="111"/>
        <v>0</v>
      </c>
      <c r="AK33" s="560">
        <f t="shared" si="112"/>
        <v>0</v>
      </c>
      <c r="AL33" s="560">
        <f>(VLOOKUP(Sheet1!DC35,hhdcap_wcm,4)-(((VLOOKUP(Sheet1!DC35,hhdcap_wcm,3)-Sheet1!DC35)/(VLOOKUP(Sheet1!DC35,hhdcap_wcm,3)-VLOOKUP(Sheet1!DC35,hhdcap_wcm,1)))*(VLOOKUP(Sheet1!DC35,hhdcap_wcm,4)-VLOOKUP(Sheet1!DC35,hhdcap_wcm,2))))</f>
        <v>673.00000000235104</v>
      </c>
      <c r="AM33" s="560">
        <f t="shared" si="113"/>
        <v>11</v>
      </c>
      <c r="AN33" s="560">
        <f t="shared" si="114"/>
        <v>0</v>
      </c>
      <c r="AO33" s="560">
        <f t="shared" si="115"/>
        <v>0</v>
      </c>
      <c r="AP33" s="560">
        <f>Sheet1!BA35+Sheet1!BB35+Sheet1!BN35+CD33</f>
        <v>8.0510000000000002</v>
      </c>
      <c r="AQ33" s="560">
        <f>Sheet1!BN35+(DO33*Sheet1!BN35)</f>
        <v>7.0744117023531903</v>
      </c>
      <c r="AR33" s="560">
        <f>Sheet1!BA35+CD33</f>
        <v>0</v>
      </c>
      <c r="AS33" s="560">
        <f>Sheet1!BA35+Sheet1!BB35+CD33</f>
        <v>0.95099999999999996</v>
      </c>
      <c r="AT33" s="698">
        <f>0</f>
        <v>0</v>
      </c>
      <c r="AU33" s="560">
        <f>IF(EB33&lt;K33,0,MAX(Sheet1!AA35+AQ33-15/36*K33-N33,Sheet1!EH35,0))</f>
        <v>0</v>
      </c>
      <c r="AV33" s="560">
        <f>IF(OR(B33&gt;=GD33,B33&lt;GC33),0,15/36*K33-MAX(0,64.6-(137.6-(Sheet1!AA35+Sheet1!AB35))))</f>
        <v>0</v>
      </c>
      <c r="AW33" s="698">
        <f>Sheet1!DB35-110</f>
        <v>816</v>
      </c>
      <c r="AX33" s="698">
        <f>Sheet1!DA35-265</f>
        <v>1175</v>
      </c>
      <c r="AY33" s="698">
        <f t="shared" si="116"/>
        <v>73</v>
      </c>
      <c r="AZ33" s="698">
        <v>0</v>
      </c>
      <c r="BA33" s="698">
        <f t="shared" si="117"/>
        <v>0</v>
      </c>
      <c r="BB33" s="560">
        <f t="shared" si="118"/>
        <v>0</v>
      </c>
      <c r="BC33" s="560"/>
      <c r="BD33" s="560">
        <f ca="1">IF(B33&gt;Summary!$A$1,#N/A,BB33*MGtoAF)</f>
        <v>0</v>
      </c>
      <c r="BE33" s="560">
        <f>Sheet1!BG35+Sheet1!BH35+Sheet1!BI35-BM33</f>
        <v>0</v>
      </c>
      <c r="BF33" s="560">
        <f t="shared" si="119"/>
        <v>0</v>
      </c>
      <c r="BG33" s="560">
        <f>IF(Sheet1!EP35="FM",BM33,0)</f>
        <v>0</v>
      </c>
      <c r="BH33" s="560">
        <f t="shared" si="120"/>
        <v>0</v>
      </c>
      <c r="BI33" s="560">
        <f>IF(Sheet1!EP35="OTHER",BM33,0)</f>
        <v>0</v>
      </c>
      <c r="BJ33" s="560">
        <f t="shared" si="121"/>
        <v>0</v>
      </c>
      <c r="BK33" s="560">
        <f t="shared" si="122"/>
        <v>0</v>
      </c>
      <c r="BL33" s="560">
        <f t="shared" si="123"/>
        <v>0</v>
      </c>
      <c r="BM33" s="560">
        <f>IF(OR(Sheet1!EP35="FM", Sheet1!EP35="OTHER"),SUM(Sheet1!BG35:'Sheet1'!BI35),0)</f>
        <v>0</v>
      </c>
      <c r="BN33" s="545">
        <f>IF(AND($B33&gt;=$FV33,$B33&lt;=$FW33),MAX(BF33,Sheet1!EI35,0),MAX(BF33-(7/36)*$K33,0))</f>
        <v>0</v>
      </c>
      <c r="BO33" s="560">
        <f t="shared" si="124"/>
        <v>0</v>
      </c>
      <c r="BP33" s="545">
        <f t="shared" si="125"/>
        <v>0</v>
      </c>
      <c r="BQ33" s="545">
        <f>IF(AND($O33&gt;0,Sheet1!EM35=1),(1-($O33-Sheet1!$L35)/$O33)*BL33,0)</f>
        <v>0</v>
      </c>
      <c r="BR33" s="545">
        <f>IF(AND(Sheet1!$L35=0,Sheet1!$L34=0, Calculation!BK33&lt;Sheet1!$EI35-0.1,Sheet1!$EI35=Sheet1!$EI34,Sheet1!$EI35=Sheet1!$EI36),Sheet1!$EI35,BL33-BQ33)</f>
        <v>0</v>
      </c>
      <c r="BS33" s="560"/>
      <c r="BT33" s="560"/>
      <c r="BU33" s="560">
        <f t="shared" si="126"/>
        <v>0</v>
      </c>
      <c r="BV33" s="560"/>
      <c r="BW33" s="560">
        <f ca="1">IF(B33&gt;Summary!$A$1,#N/A,BU33*MGtoAF)</f>
        <v>0</v>
      </c>
      <c r="BX33" s="560">
        <f>Sheet1!BC35+Sheet1!BD35+Sheet1!BE35+Sheet1!BF35-CG33-CH33</f>
        <v>2.5</v>
      </c>
      <c r="BY33" s="560">
        <f t="shared" si="127"/>
        <v>2.490990036039856</v>
      </c>
      <c r="BZ33" s="560">
        <f>IF(Sheet1!EQ35="FM",CH33,0)</f>
        <v>0</v>
      </c>
      <c r="CA33" s="560">
        <f t="shared" si="128"/>
        <v>0</v>
      </c>
      <c r="CB33" s="560">
        <f>IF(Sheet1!EQ35="OTHER",CH33,0)</f>
        <v>0</v>
      </c>
      <c r="CC33" s="560">
        <f t="shared" si="129"/>
        <v>0</v>
      </c>
      <c r="CD33" s="560">
        <f t="shared" si="130"/>
        <v>0</v>
      </c>
      <c r="CE33" s="560">
        <f t="shared" si="131"/>
        <v>2.5</v>
      </c>
      <c r="CF33" s="560">
        <f t="shared" si="132"/>
        <v>2.490990036039856</v>
      </c>
      <c r="CG33" s="560">
        <f>IF(Sheet1!EQ35="CWA",SUM(Sheet1!BC35:'Sheet1'!BF35),0)</f>
        <v>0</v>
      </c>
      <c r="CH33" s="560">
        <f>IF(OR(Sheet1!EQ35="FM", Sheet1!EQ35="OTHER"),SUM(Sheet1!BC35:'Sheet1'!BF35),0)</f>
        <v>0</v>
      </c>
      <c r="CI33" s="545">
        <f>IF(AND($B33&gt;=$FV33,$B33&lt;=$FW33),MAX(CF33,Sheet1!EJ35,0),MAX(CF33-(7/36)*$K33,0))</f>
        <v>0</v>
      </c>
      <c r="CJ33" s="560">
        <f t="shared" si="133"/>
        <v>0</v>
      </c>
      <c r="CK33" s="545">
        <f t="shared" si="134"/>
        <v>2.490990036039856</v>
      </c>
      <c r="CL33" s="545">
        <f>IF(AND($O33&gt;0,Sheet1!EN35=1),(1-($O33-Sheet1!$L35)/$O33)*CF33,0)</f>
        <v>0</v>
      </c>
      <c r="CM33" s="545">
        <f>IF(AND(Sheet1!$L35=0,Sheet1!$L34=0, Calculation!CE33&lt;Sheet1!EJ35-0.1,Sheet1!EJ35=Sheet1!EJ34,Sheet1!EJ35=Sheet1!EJ36),Sheet1!EJ35,CF33-CL33)</f>
        <v>2.490990036039856</v>
      </c>
      <c r="CN33" s="545"/>
      <c r="CO33" s="560"/>
      <c r="CP33" s="560">
        <f t="shared" si="135"/>
        <v>0</v>
      </c>
      <c r="CQ33" s="560"/>
      <c r="CR33" s="560">
        <f ca="1">IF(B33&gt;Summary!$A$1,#N/A,CP33*MGtoAF)</f>
        <v>0</v>
      </c>
      <c r="CS33" s="560">
        <f>Sheet1!BK35+Sheet1!BL35+Sheet1!BM35-Sheet1!ER35-DA33</f>
        <v>3.6</v>
      </c>
      <c r="CT33" s="560">
        <f t="shared" si="136"/>
        <v>3.5870256518973926</v>
      </c>
      <c r="CU33" s="560">
        <f>IF(Sheet1!ER35="FM",DA33,0)</f>
        <v>0</v>
      </c>
      <c r="CV33" s="560">
        <f t="shared" si="137"/>
        <v>0</v>
      </c>
      <c r="CW33" s="560">
        <f>IF(Sheet1!ER35="OTHER",DA33,0)</f>
        <v>0</v>
      </c>
      <c r="CX33" s="560">
        <f t="shared" si="138"/>
        <v>0</v>
      </c>
      <c r="CY33" s="560">
        <f t="shared" si="139"/>
        <v>3.6</v>
      </c>
      <c r="CZ33" s="560">
        <f t="shared" si="140"/>
        <v>3.5870256518973926</v>
      </c>
      <c r="DA33" s="560">
        <f>IF(OR(Sheet1!ER35="FM", Sheet1!ER35="OTHER"),SUM(Sheet1!BK35:'Sheet1'!BM35),0)</f>
        <v>0</v>
      </c>
      <c r="DB33" s="545">
        <f>IF(AND($B33&gt;=$FV33,$B33&lt;=$FW33),MAX($CT33,Sheet1!EK35,0),MAX($CT33-(7/36)*$K33,0))</f>
        <v>0</v>
      </c>
      <c r="DC33" s="560">
        <f t="shared" si="141"/>
        <v>0</v>
      </c>
      <c r="DD33" s="545">
        <f t="shared" si="142"/>
        <v>3.5870256518973926</v>
      </c>
      <c r="DE33" s="545">
        <f>IF(AND($O33&gt;0,Sheet1!EO35=1),(1-($O33-Sheet1!$L35)/$O33)*CZ33,0)</f>
        <v>0</v>
      </c>
      <c r="DF33" s="545">
        <f>IF(AND(Sheet1!$L35=0,Sheet1!$L34=0, Calculation!CY33&lt;Sheet1!$EK35-0.1,Sheet1!$EK35=Sheet1!$EK34,Sheet1!$EK35=Sheet1!$EK36),Sheet1!$EK35,CZ33-DE33)</f>
        <v>3.5870256518973926</v>
      </c>
      <c r="DG33" s="545"/>
      <c r="DH33" s="560">
        <f t="shared" si="143"/>
        <v>6.1</v>
      </c>
      <c r="DI33" s="560">
        <f t="shared" si="144"/>
        <v>0</v>
      </c>
      <c r="DJ33" s="698">
        <f t="shared" si="145"/>
        <v>6.0780156879372491</v>
      </c>
      <c r="DK33" s="560">
        <f ca="1">IF(B33&gt;Summary!$A$1,#N/A,DI33*MGtoAF)</f>
        <v>0</v>
      </c>
      <c r="DL33" s="698">
        <f t="shared" si="146"/>
        <v>6.1</v>
      </c>
      <c r="DM33" s="560">
        <f t="shared" si="147"/>
        <v>14.151</v>
      </c>
      <c r="DN33" s="560">
        <f>Sheet1!AB35-DM33</f>
        <v>-5.1000000000000156E-2</v>
      </c>
      <c r="DO33" s="823">
        <f t="shared" si="148"/>
        <v>-3.6039855840576747E-3</v>
      </c>
      <c r="DP33" s="560">
        <f>(VLOOKUP(Sheet1!DC35,hhdcap_wcm,4)-(((VLOOKUP(Sheet1!DC35,hhdcap_wcm,3)-Sheet1!DC35)/(VLOOKUP(Sheet1!DC35,hhdcap_wcm,3)-VLOOKUP(Sheet1!DC35,hhdcap_wcm,1)))*(VLOOKUP(Sheet1!DC35,hhdcap_wcm,4)-VLOOKUP(Sheet1!DC35,hhdcap_wcm,2))))</f>
        <v>673.00000000235104</v>
      </c>
      <c r="DQ33" s="560">
        <f t="shared" si="149"/>
        <v>11</v>
      </c>
      <c r="DR33" s="560">
        <f t="shared" si="150"/>
        <v>5.5471507816439729</v>
      </c>
      <c r="DS33" s="560">
        <f>Sheet1!EA35*AFtoMG</f>
        <v>0</v>
      </c>
      <c r="DT33" s="560">
        <f>Sheet1!EB35*AFtoMG</f>
        <v>0</v>
      </c>
      <c r="DU33" s="560">
        <f>Sheet1!EC35*AFtoMG</f>
        <v>0</v>
      </c>
      <c r="DV33" s="560">
        <f>Sheet1!ED35*AFtoMG</f>
        <v>0</v>
      </c>
      <c r="DW33" s="560">
        <f t="shared" si="151"/>
        <v>0</v>
      </c>
      <c r="DX33" s="560">
        <f t="shared" si="152"/>
        <v>0</v>
      </c>
      <c r="DY33" s="560">
        <f t="shared" si="153"/>
        <v>0</v>
      </c>
      <c r="DZ33" s="560">
        <f t="shared" si="154"/>
        <v>0</v>
      </c>
      <c r="EA33" s="560"/>
      <c r="EB33" s="545">
        <f>IF(OR(B33&lt;FV33,B33&gt;FW33),(MIN(BF33+BY33+CT33+MAX(Sheet1!AA35+AQ33-73,0),K33)),0)</f>
        <v>6.0780156879372491</v>
      </c>
      <c r="EC33" s="560"/>
      <c r="ED33" s="560">
        <f t="shared" si="155"/>
        <v>6.0780156879372491</v>
      </c>
      <c r="EE33" s="560"/>
      <c r="EF33" s="560">
        <f>Sheet1!EH35+Sheet1!EI35+Sheet1!EJ35+Sheet1!EK35</f>
        <v>6.1</v>
      </c>
      <c r="EG33" s="560"/>
      <c r="EH33" s="545">
        <f t="shared" si="156"/>
        <v>0</v>
      </c>
      <c r="EI33" s="560">
        <f>IF(Sheet1!ET35=1,SUM('Calculations II'!AT33:BA33)+'Calculations II'!BC33+Sheet1!BV35+'Calculations II'!BE33+AP33,SUM('Calculations II'!AT33:BA33)+'Calculations II'!BC33+Sheet1!BV35+'Calculations II'!BE33+AP33)</f>
        <v>47.526320000000005</v>
      </c>
      <c r="EJ33" s="560">
        <f>Sheet1!AA35+Sheet1!AB35+'Calculations II'!BC33</f>
        <v>56.063920000000003</v>
      </c>
      <c r="EK33" s="560"/>
      <c r="EL33" s="560"/>
      <c r="EM33" s="560">
        <f t="shared" si="157"/>
        <v>41661</v>
      </c>
      <c r="EN33" s="560">
        <f t="shared" si="158"/>
        <v>0</v>
      </c>
      <c r="EO33" s="560">
        <f t="shared" si="159"/>
        <v>0</v>
      </c>
      <c r="EP33" s="560">
        <v>0</v>
      </c>
      <c r="EQ33" s="560">
        <v>0</v>
      </c>
      <c r="ER33" s="560">
        <v>0</v>
      </c>
      <c r="ES33" s="545">
        <f t="shared" si="77"/>
        <v>-6.9290780530213114</v>
      </c>
      <c r="ET33" s="560">
        <f>-(VLOOKUP(Sheet1!BQ35,Lookup!$O$4:$Q$262,2)-VLOOKUP(Sheet1!BQ34,Lookup!$O$4:$Q$262,2))/1000000</f>
        <v>-2.9106031550371423</v>
      </c>
      <c r="EU33" s="560">
        <f>-(VLOOKUP(Sheet1!BR35,Lookup!$O$4:$Q$262,3)-VLOOKUP(Sheet1!BR34,Lookup!$O$4:$Q$262,3))/1000000</f>
        <v>-4.0184748979841691</v>
      </c>
      <c r="EV33" s="560"/>
      <c r="EW33" s="560"/>
      <c r="EX33" s="560"/>
      <c r="EY33" s="560"/>
      <c r="EZ33" s="560"/>
      <c r="FA33" s="560"/>
      <c r="FB33" s="560"/>
      <c r="FC33" s="560"/>
      <c r="FD33" s="594" t="e">
        <f t="shared" si="160"/>
        <v>#N/A</v>
      </c>
      <c r="FE33" s="594" t="e">
        <f t="shared" si="161"/>
        <v>#N/A</v>
      </c>
      <c r="FF33" s="595" t="e">
        <f t="shared" si="162"/>
        <v>#N/A</v>
      </c>
      <c r="FG33" s="596" t="s">
        <v>692</v>
      </c>
      <c r="FH33" s="596" t="s">
        <v>692</v>
      </c>
      <c r="FI33" s="594" t="e">
        <v>#N/A</v>
      </c>
      <c r="FJ33" s="594" t="e">
        <v>#N/A</v>
      </c>
      <c r="FK33" s="560"/>
      <c r="FL33" s="560"/>
      <c r="FM33" s="560"/>
      <c r="FN33" s="560"/>
      <c r="FO33" s="560">
        <f>O33+((Sheet1!CS35)*GPMtoMGD)</f>
        <v>56.063920000000003</v>
      </c>
      <c r="FP33" s="560">
        <f>IF(Sheet1!AA35+AQ33&lt;=Calculation!N33,AQ33,Calculation!N33-Sheet1!AA35)</f>
        <v>7.0744117023531903</v>
      </c>
      <c r="FQ33" s="560">
        <f>(Sheet1!BP35+Sheet1!BO35)/694.4</f>
        <v>1.3220046082949308</v>
      </c>
      <c r="FR33" s="560"/>
      <c r="FS33" s="560"/>
      <c r="FT33" s="560"/>
      <c r="FU33" s="560"/>
      <c r="FV33" s="695">
        <f t="shared" si="80"/>
        <v>41827</v>
      </c>
      <c r="FW33" s="695">
        <f t="shared" si="81"/>
        <v>41934</v>
      </c>
      <c r="FX33" s="560"/>
      <c r="FY33" s="560"/>
      <c r="FZ33" s="560"/>
      <c r="GA33" s="560"/>
      <c r="GB33" s="560" t="str">
        <f t="shared" si="82"/>
        <v>n</v>
      </c>
      <c r="GC33" s="564">
        <f t="shared" si="83"/>
        <v>41691</v>
      </c>
      <c r="GD33" s="695">
        <f t="shared" si="84"/>
        <v>41807</v>
      </c>
      <c r="GE33" s="560">
        <v>6518.9</v>
      </c>
      <c r="GF33" s="695">
        <f t="shared" si="85"/>
        <v>41808</v>
      </c>
      <c r="GG33" s="560">
        <f t="shared" si="163"/>
        <v>3259</v>
      </c>
      <c r="GH33" s="564">
        <f t="shared" si="87"/>
        <v>41934</v>
      </c>
      <c r="GJ33" s="545">
        <f t="shared" si="88"/>
        <v>0</v>
      </c>
      <c r="GK33" s="560" t="str">
        <f t="shared" si="164"/>
        <v/>
      </c>
      <c r="GL33" s="560">
        <f t="shared" si="89"/>
        <v>0</v>
      </c>
      <c r="GM33" s="560" t="str">
        <f t="shared" si="90"/>
        <v/>
      </c>
      <c r="GN33" s="560">
        <f>IF(GK33="P",Lookup!$M$12,IF(GK33="PP",Lookup!$M$13,IF(GK33="PPP",Lookup!$M$14,IF(GK33="T",Lookup!$M$15,IF(GK33="TP",Lookup!$M$16,IF(GK33="TPP",Lookup!$M$17,IF(GK33="TPPP",Lookup!$M$18,0)))))))*GJ33</f>
        <v>0</v>
      </c>
      <c r="GO33" s="560">
        <f t="shared" si="91"/>
        <v>0</v>
      </c>
      <c r="GP33" s="560">
        <f t="shared" si="165"/>
        <v>0</v>
      </c>
      <c r="GQ33" s="560">
        <f t="shared" si="99"/>
        <v>0</v>
      </c>
      <c r="GR33" s="560"/>
      <c r="GS33" s="560">
        <f t="shared" si="92"/>
        <v>0</v>
      </c>
      <c r="GT33" s="560" t="str">
        <f t="shared" si="93"/>
        <v/>
      </c>
      <c r="GU33" s="560">
        <f>IF(GK33="P",Lookup!$N$12,IF(GK33="PP",Lookup!$N$13,IF(GK33="PPP",Lookup!$N$14,IF(GK33="T",Lookup!$N$15,IF(GK33="TP",Lookup!$N$16,IF(GK33="TPP",Lookup!$N$17,IF(GK33="TPPP",Lookup!$N$18,0)))))))*GJ33</f>
        <v>0</v>
      </c>
      <c r="GV33" s="560">
        <f t="shared" si="57"/>
        <v>0</v>
      </c>
      <c r="GW33" s="560">
        <f t="shared" si="166"/>
        <v>0</v>
      </c>
      <c r="GX33" s="560">
        <f t="shared" si="100"/>
        <v>0</v>
      </c>
      <c r="GY33" s="560"/>
      <c r="GZ33" s="560">
        <f t="shared" si="94"/>
        <v>0</v>
      </c>
      <c r="HA33" s="560" t="str">
        <f t="shared" si="95"/>
        <v/>
      </c>
      <c r="HB33" s="560">
        <f>IF(GK33="P",Lookup!$N$12,IF(GK33="PP",Lookup!$N$13,IF(GK33="PPP",Lookup!$N$14,IF(GK33="T",Lookup!$N$15,IF(GK33="TP",Lookup!$N$16,IF(GK33="TPP",Lookup!$N$17,IF(GK33="TPPP",Lookup!$N$18,0)))))))*GJ33</f>
        <v>0</v>
      </c>
      <c r="HC33" s="545">
        <f t="shared" si="167"/>
        <v>0</v>
      </c>
      <c r="HD33" s="560">
        <f t="shared" si="168"/>
        <v>0</v>
      </c>
      <c r="HE33" s="560">
        <f t="shared" si="101"/>
        <v>0</v>
      </c>
      <c r="HF33" s="560"/>
      <c r="HG33" s="560">
        <f t="shared" si="96"/>
        <v>0</v>
      </c>
      <c r="HH33" s="560" t="str">
        <f t="shared" si="97"/>
        <v/>
      </c>
      <c r="HI33" s="560">
        <f>IF(GK33="P",Lookup!$N$12,IF(GK33="PP",Lookup!$N$13,IF(GK33="PPP",Lookup!$N$14,IF(GK33="T",Lookup!$N$15,IF(GK33="TP",Lookup!$N$16,IF(GK33="TPP",Lookup!$N$17,IF(GK33="TPPP",Lookup!$N$18,0)))))))*GJ33</f>
        <v>0</v>
      </c>
      <c r="HJ33" s="545">
        <f t="shared" si="169"/>
        <v>0</v>
      </c>
      <c r="HK33" s="560">
        <f t="shared" si="170"/>
        <v>0</v>
      </c>
      <c r="HL33" s="560">
        <f t="shared" si="102"/>
        <v>0</v>
      </c>
      <c r="HM33" s="560"/>
    </row>
    <row r="34" spans="1:221">
      <c r="A34" s="580" t="s">
        <v>7</v>
      </c>
      <c r="B34" s="556">
        <v>41662</v>
      </c>
      <c r="C34" s="561">
        <v>0</v>
      </c>
      <c r="D34" s="529">
        <f t="shared" si="103"/>
        <v>300</v>
      </c>
      <c r="E34" s="529">
        <f t="shared" si="104"/>
        <v>250</v>
      </c>
      <c r="F34" s="529">
        <v>250</v>
      </c>
      <c r="G34" s="560">
        <f>DR34+Sheet1!CZ36</f>
        <v>817.23146747366025</v>
      </c>
      <c r="H34" s="914">
        <f t="shared" si="2"/>
        <v>261.295220574974</v>
      </c>
      <c r="I34" s="559">
        <f>MAX(Sheet1!Z36-AT34+(Sheet1!DA36-E34)*CFStoMGD,0)</f>
        <v>705.74800000000005</v>
      </c>
      <c r="J34" s="562">
        <f>IF(AND(B34&gt;=Calculation!GC34,B34&lt;=Calculation!GD34),IF(Sheet1!DB36&gt;=Calculation!D34,64.64,0),MAX(Sheet1!Z36-AT34+(Sheet1!DB36-D34)*CFStoMGD,0))</f>
        <v>352.81360000000001</v>
      </c>
      <c r="K34" s="904">
        <f t="shared" si="105"/>
        <v>64.64</v>
      </c>
      <c r="L34" s="560">
        <f>Sheet1!AA36+Sheet1!AB36-Sheet1!L36+(Sheet1!DA36-F34)*CFStoMGD</f>
        <v>691.64800000000002</v>
      </c>
      <c r="M34" s="560">
        <f t="shared" si="106"/>
        <v>538.82358898647351</v>
      </c>
      <c r="N34" s="910">
        <f>IF(Sheet1!DA36&gt;=F34,MIN(73,MIN(MAX(L34,0),MAX(M34,0))),0)</f>
        <v>73</v>
      </c>
      <c r="O34" s="563">
        <f>Sheet1!AA36+Sheet1!AB36</f>
        <v>33.700000000000003</v>
      </c>
      <c r="P34" s="563">
        <f t="shared" si="107"/>
        <v>52.133899999999997</v>
      </c>
      <c r="Q34" s="898">
        <f t="shared" si="63"/>
        <v>0</v>
      </c>
      <c r="R34" s="829">
        <f t="shared" si="108"/>
        <v>6.1347647972877519</v>
      </c>
      <c r="S34" s="898">
        <f t="shared" si="65"/>
        <v>33.700000000000003</v>
      </c>
      <c r="T34" s="898">
        <f t="shared" si="66"/>
        <v>0</v>
      </c>
      <c r="U34" s="898">
        <f t="shared" si="6"/>
        <v>0</v>
      </c>
      <c r="V34" s="898"/>
      <c r="W34" s="898">
        <f t="shared" si="67"/>
        <v>58.50523520271225</v>
      </c>
      <c r="X34" s="898">
        <f t="shared" si="68"/>
        <v>33.700000000000003</v>
      </c>
      <c r="Y34" s="898" t="str">
        <f t="shared" si="69"/>
        <v/>
      </c>
      <c r="Z34" s="898">
        <f t="shared" si="70"/>
        <v>33.700000000000003</v>
      </c>
      <c r="AA34" s="898">
        <f t="shared" si="71"/>
        <v>33.700000000000003</v>
      </c>
      <c r="AB34" s="898" t="str">
        <f t="shared" si="72"/>
        <v/>
      </c>
      <c r="AC34" s="563">
        <f>Sheet1!Y36*MGDtoCFS</f>
        <v>30.321200000000001</v>
      </c>
      <c r="AD34" s="563">
        <f>Sheet1!Z36*MGDtoCFS</f>
        <v>21.8127</v>
      </c>
      <c r="AE34" s="563">
        <f>Sheet1!AA36*MGDtoCFS</f>
        <v>30.321200000000001</v>
      </c>
      <c r="AF34" s="563">
        <f>Sheet1!AB36*MGDtoCFS</f>
        <v>21.8127</v>
      </c>
      <c r="AG34" s="563">
        <f>Sheet1!L36*MGDtoCFS</f>
        <v>52.133900000000004</v>
      </c>
      <c r="AH34" s="545">
        <f t="shared" si="109"/>
        <v>0</v>
      </c>
      <c r="AI34" s="560">
        <f t="shared" si="110"/>
        <v>0</v>
      </c>
      <c r="AJ34" s="560">
        <f t="shared" si="111"/>
        <v>0</v>
      </c>
      <c r="AK34" s="560">
        <f t="shared" si="112"/>
        <v>0</v>
      </c>
      <c r="AL34" s="560">
        <f>(VLOOKUP(Sheet1!DC36,hhdcap_wcm,4)-(((VLOOKUP(Sheet1!DC36,hhdcap_wcm,3)-Sheet1!DC36)/(VLOOKUP(Sheet1!DC36,hhdcap_wcm,3)-VLOOKUP(Sheet1!DC36,hhdcap_wcm,1)))*(VLOOKUP(Sheet1!DC36,hhdcap_wcm,4)-VLOOKUP(Sheet1!DC36,hhdcap_wcm,2))))</f>
        <v>727.00000000261934</v>
      </c>
      <c r="AM34" s="560">
        <f t="shared" si="113"/>
        <v>54.000000000268301</v>
      </c>
      <c r="AN34" s="560">
        <f t="shared" si="114"/>
        <v>0</v>
      </c>
      <c r="AO34" s="560">
        <f t="shared" si="115"/>
        <v>0</v>
      </c>
      <c r="AP34" s="560">
        <f>Sheet1!BA36+Sheet1!BB36+Sheet1!BN36+CD34</f>
        <v>7.9980000000000002</v>
      </c>
      <c r="AQ34" s="560">
        <f>Sheet1!BN36+(DO34*Sheet1!BN36)</f>
        <v>6.9713236332815365</v>
      </c>
      <c r="AR34" s="560">
        <f>Sheet1!BA36+CD34</f>
        <v>0</v>
      </c>
      <c r="AS34" s="560">
        <f>Sheet1!BA36+Sheet1!BB36+CD34</f>
        <v>0.998</v>
      </c>
      <c r="AT34" s="698">
        <f>0</f>
        <v>0</v>
      </c>
      <c r="AU34" s="560">
        <f>IF(EB34&lt;K34,0,MAX(Sheet1!AA36+AQ34-15/36*K34-N34,Sheet1!EH36,0))</f>
        <v>0</v>
      </c>
      <c r="AV34" s="560">
        <f>IF(OR(B34&gt;=GD34,B34&lt;GC34),0,15/36*K34-MAX(0,64.6-(137.6-(Sheet1!AA36+Sheet1!AB36))))</f>
        <v>0</v>
      </c>
      <c r="AW34" s="698">
        <f>Sheet1!DB36-110</f>
        <v>714</v>
      </c>
      <c r="AX34" s="698">
        <f>Sheet1!DA36-265</f>
        <v>1055</v>
      </c>
      <c r="AY34" s="698">
        <f t="shared" si="116"/>
        <v>73</v>
      </c>
      <c r="AZ34" s="698">
        <v>0</v>
      </c>
      <c r="BA34" s="698">
        <f t="shared" si="117"/>
        <v>0</v>
      </c>
      <c r="BB34" s="560">
        <f t="shared" si="118"/>
        <v>0</v>
      </c>
      <c r="BC34" s="560"/>
      <c r="BD34" s="560">
        <f ca="1">IF(B34&gt;Summary!$A$1,#N/A,BB34*MGtoAF)</f>
        <v>0</v>
      </c>
      <c r="BE34" s="560">
        <f>Sheet1!BG36+Sheet1!BH36+Sheet1!BI36-BM34</f>
        <v>0</v>
      </c>
      <c r="BF34" s="560">
        <f t="shared" si="119"/>
        <v>0</v>
      </c>
      <c r="BG34" s="560">
        <f>IF(Sheet1!EP36="FM",BM34,0)</f>
        <v>0</v>
      </c>
      <c r="BH34" s="560">
        <f t="shared" si="120"/>
        <v>0</v>
      </c>
      <c r="BI34" s="560">
        <f>IF(Sheet1!EP36="OTHER",BM34,0)</f>
        <v>0</v>
      </c>
      <c r="BJ34" s="560">
        <f t="shared" si="121"/>
        <v>0</v>
      </c>
      <c r="BK34" s="560">
        <f t="shared" si="122"/>
        <v>0</v>
      </c>
      <c r="BL34" s="560">
        <f t="shared" si="123"/>
        <v>0</v>
      </c>
      <c r="BM34" s="560">
        <f>IF(OR(Sheet1!EP36="FM", Sheet1!EP36="OTHER"),SUM(Sheet1!BG36:'Sheet1'!BI36),0)</f>
        <v>0</v>
      </c>
      <c r="BN34" s="545">
        <f>IF(AND($B34&gt;=$FV34,$B34&lt;=$FW34),MAX(BF34,Sheet1!EI36,0),MAX(BF34-(7/36)*$K34,0))</f>
        <v>0</v>
      </c>
      <c r="BO34" s="560">
        <f t="shared" si="124"/>
        <v>0</v>
      </c>
      <c r="BP34" s="545">
        <f t="shared" si="125"/>
        <v>0</v>
      </c>
      <c r="BQ34" s="545">
        <f>IF(AND($O34&gt;0,Sheet1!EM36=1),(1-($O34-Sheet1!$L36)/$O34)*BL34,0)</f>
        <v>0</v>
      </c>
      <c r="BR34" s="545">
        <f>IF(AND(Sheet1!$L36=0,Sheet1!$L35=0, Calculation!BK34&lt;Sheet1!$EI36-0.1,Sheet1!$EI36=Sheet1!$EI35,Sheet1!$EI36=Sheet1!$EI37),Sheet1!$EI36,BL34-BQ34)</f>
        <v>0</v>
      </c>
      <c r="BS34" s="560"/>
      <c r="BT34" s="560"/>
      <c r="BU34" s="560">
        <f t="shared" si="126"/>
        <v>0</v>
      </c>
      <c r="BV34" s="560"/>
      <c r="BW34" s="560">
        <f ca="1">IF(B34&gt;Summary!$A$1,#N/A,BU34*MGtoAF)</f>
        <v>0</v>
      </c>
      <c r="BX34" s="560">
        <f>Sheet1!BC36+Sheet1!BD36+Sheet1!BE36+Sheet1!BF36-CG34-CH34</f>
        <v>2.5</v>
      </c>
      <c r="BY34" s="560">
        <f t="shared" si="127"/>
        <v>2.4897584404576913</v>
      </c>
      <c r="BZ34" s="560">
        <f>IF(Sheet1!EQ36="FM",CH34,0)</f>
        <v>0</v>
      </c>
      <c r="CA34" s="560">
        <f t="shared" si="128"/>
        <v>0</v>
      </c>
      <c r="CB34" s="560">
        <f>IF(Sheet1!EQ36="OTHER",CH34,0)</f>
        <v>0</v>
      </c>
      <c r="CC34" s="560">
        <f t="shared" si="129"/>
        <v>0</v>
      </c>
      <c r="CD34" s="560">
        <f t="shared" si="130"/>
        <v>0</v>
      </c>
      <c r="CE34" s="560">
        <f t="shared" si="131"/>
        <v>2.5</v>
      </c>
      <c r="CF34" s="560">
        <f t="shared" si="132"/>
        <v>2.4897584404576913</v>
      </c>
      <c r="CG34" s="560">
        <f>IF(Sheet1!EQ36="CWA",SUM(Sheet1!BC36:'Sheet1'!BF36),0)</f>
        <v>0</v>
      </c>
      <c r="CH34" s="560">
        <f>IF(OR(Sheet1!EQ36="FM", Sheet1!EQ36="OTHER"),SUM(Sheet1!BC36:'Sheet1'!BF36),0)</f>
        <v>0</v>
      </c>
      <c r="CI34" s="545">
        <f>IF(AND($B34&gt;=$FV34,$B34&lt;=$FW34),MAX(CF34,Sheet1!EJ36,0),MAX(CF34-(7/36)*$K34,0))</f>
        <v>0</v>
      </c>
      <c r="CJ34" s="560">
        <f t="shared" si="133"/>
        <v>0</v>
      </c>
      <c r="CK34" s="545">
        <f t="shared" si="134"/>
        <v>2.4897584404576913</v>
      </c>
      <c r="CL34" s="545">
        <f>IF(AND($O34&gt;0,Sheet1!EN36=1),(1-($O34-Sheet1!$L36)/$O34)*CF34,0)</f>
        <v>0</v>
      </c>
      <c r="CM34" s="545">
        <f>IF(AND(Sheet1!$L36=0,Sheet1!$L35=0, Calculation!CE34&lt;Sheet1!EJ36-0.1,Sheet1!EJ36=Sheet1!EJ35,Sheet1!EJ36=Sheet1!EJ37),Sheet1!EJ36,CF34-CL34)</f>
        <v>2.4897584404576913</v>
      </c>
      <c r="CN34" s="545"/>
      <c r="CO34" s="560"/>
      <c r="CP34" s="560">
        <f t="shared" si="135"/>
        <v>0</v>
      </c>
      <c r="CQ34" s="560"/>
      <c r="CR34" s="560">
        <f ca="1">IF(B34&gt;Summary!$A$1,#N/A,CP34*MGtoAF)</f>
        <v>0</v>
      </c>
      <c r="CS34" s="560">
        <f>Sheet1!BK36+Sheet1!BL36+Sheet1!BM36-Sheet1!ER36-DA34</f>
        <v>3.66</v>
      </c>
      <c r="CT34" s="560">
        <f t="shared" si="136"/>
        <v>3.6450063568300606</v>
      </c>
      <c r="CU34" s="560">
        <f>IF(Sheet1!ER36="FM",DA34,0)</f>
        <v>0</v>
      </c>
      <c r="CV34" s="560">
        <f t="shared" si="137"/>
        <v>0</v>
      </c>
      <c r="CW34" s="560">
        <f>IF(Sheet1!ER36="OTHER",DA34,0)</f>
        <v>0</v>
      </c>
      <c r="CX34" s="560">
        <f t="shared" si="138"/>
        <v>0</v>
      </c>
      <c r="CY34" s="560">
        <f t="shared" si="139"/>
        <v>3.66</v>
      </c>
      <c r="CZ34" s="560">
        <f t="shared" si="140"/>
        <v>3.6450063568300606</v>
      </c>
      <c r="DA34" s="560">
        <f>IF(OR(Sheet1!ER36="FM", Sheet1!ER36="OTHER"),SUM(Sheet1!BK36:'Sheet1'!BM36),0)</f>
        <v>0</v>
      </c>
      <c r="DB34" s="545">
        <f>IF(AND($B34&gt;=$FV34,$B34&lt;=$FW34),MAX($CT34,Sheet1!EK36,0),MAX($CT34-(7/36)*$K34,0))</f>
        <v>0</v>
      </c>
      <c r="DC34" s="560">
        <f t="shared" si="141"/>
        <v>0</v>
      </c>
      <c r="DD34" s="545">
        <f t="shared" si="142"/>
        <v>3.6450063568300606</v>
      </c>
      <c r="DE34" s="545">
        <f>IF(AND($O34&gt;0,Sheet1!EO36=1),(1-($O34-Sheet1!$L36)/$O34)*CZ34,0)</f>
        <v>0</v>
      </c>
      <c r="DF34" s="545">
        <f>IF(AND(Sheet1!$L36=0,Sheet1!$L35=0, Calculation!CY34&lt;Sheet1!$EK36-0.1,Sheet1!$EK36=Sheet1!$EK35,Sheet1!$EK36=Sheet1!$EK37),Sheet1!$EK36,CZ34-DE34)</f>
        <v>3.6450063568300606</v>
      </c>
      <c r="DG34" s="545"/>
      <c r="DH34" s="560">
        <f t="shared" si="143"/>
        <v>6.16</v>
      </c>
      <c r="DI34" s="560">
        <f t="shared" si="144"/>
        <v>0</v>
      </c>
      <c r="DJ34" s="698">
        <f t="shared" si="145"/>
        <v>6.1347647972877519</v>
      </c>
      <c r="DK34" s="560">
        <f ca="1">IF(B34&gt;Summary!$A$1,#N/A,DI34*MGtoAF)</f>
        <v>0</v>
      </c>
      <c r="DL34" s="698">
        <f t="shared" si="146"/>
        <v>6.16</v>
      </c>
      <c r="DM34" s="560">
        <f t="shared" si="147"/>
        <v>14.158000000000001</v>
      </c>
      <c r="DN34" s="560">
        <f>Sheet1!AB36-DM34</f>
        <v>-5.8000000000001606E-2</v>
      </c>
      <c r="DO34" s="823">
        <f t="shared" si="148"/>
        <v>-4.0966238169234072E-3</v>
      </c>
      <c r="DP34" s="560">
        <f>(VLOOKUP(Sheet1!DC36,hhdcap_wcm,4)-(((VLOOKUP(Sheet1!DC36,hhdcap_wcm,3)-Sheet1!DC36)/(VLOOKUP(Sheet1!DC36,hhdcap_wcm,3)-VLOOKUP(Sheet1!DC36,hhdcap_wcm,1)))*(VLOOKUP(Sheet1!DC36,hhdcap_wcm,4)-VLOOKUP(Sheet1!DC36,hhdcap_wcm,2))))</f>
        <v>727.00000000261934</v>
      </c>
      <c r="DQ34" s="560">
        <f t="shared" si="149"/>
        <v>54.000000000268301</v>
      </c>
      <c r="DR34" s="560">
        <f t="shared" si="150"/>
        <v>27.23146747366026</v>
      </c>
      <c r="DS34" s="560">
        <f>Sheet1!EA36*AFtoMG</f>
        <v>0</v>
      </c>
      <c r="DT34" s="560">
        <f>Sheet1!EB36*AFtoMG</f>
        <v>0</v>
      </c>
      <c r="DU34" s="560">
        <f>Sheet1!EC36*AFtoMG</f>
        <v>0</v>
      </c>
      <c r="DV34" s="560">
        <f>Sheet1!ED36*AFtoMG</f>
        <v>0</v>
      </c>
      <c r="DW34" s="560">
        <f t="shared" si="151"/>
        <v>0</v>
      </c>
      <c r="DX34" s="560">
        <f t="shared" si="152"/>
        <v>0</v>
      </c>
      <c r="DY34" s="560">
        <f t="shared" si="153"/>
        <v>0</v>
      </c>
      <c r="DZ34" s="560">
        <f t="shared" si="154"/>
        <v>0</v>
      </c>
      <c r="EA34" s="560"/>
      <c r="EB34" s="545">
        <f>IF(OR(B34&lt;FV34,B34&gt;FW34),(MIN(BF34+BY34+CT34+MAX(Sheet1!AA36+AQ34-73,0),K34)),0)</f>
        <v>6.1347647972877519</v>
      </c>
      <c r="EC34" s="560"/>
      <c r="ED34" s="560">
        <f t="shared" si="155"/>
        <v>6.1347647972877519</v>
      </c>
      <c r="EE34" s="560"/>
      <c r="EF34" s="560">
        <f>Sheet1!EH36+Sheet1!EI36+Sheet1!EJ36+Sheet1!EK36</f>
        <v>6.16</v>
      </c>
      <c r="EG34" s="560"/>
      <c r="EH34" s="545">
        <f t="shared" si="156"/>
        <v>0</v>
      </c>
      <c r="EI34" s="560">
        <f>IF(Sheet1!ET36=1,SUM('Calculations II'!AT34:BA34)+'Calculations II'!BC34+Sheet1!BV36+'Calculations II'!BE34+AP34,SUM('Calculations II'!AT34:BA34)+'Calculations II'!BC34+Sheet1!BV36+'Calculations II'!BE34+AP34)</f>
        <v>47.617280000000001</v>
      </c>
      <c r="EJ34" s="560">
        <f>Sheet1!AA36+Sheet1!AB36+'Calculations II'!BC34</f>
        <v>53.237920000000003</v>
      </c>
      <c r="EK34" s="560"/>
      <c r="EL34" s="560"/>
      <c r="EM34" s="560">
        <f t="shared" si="157"/>
        <v>41662</v>
      </c>
      <c r="EN34" s="560">
        <f t="shared" si="158"/>
        <v>0</v>
      </c>
      <c r="EO34" s="560">
        <f t="shared" si="159"/>
        <v>0</v>
      </c>
      <c r="EP34" s="560">
        <v>0</v>
      </c>
      <c r="EQ34" s="560">
        <v>0</v>
      </c>
      <c r="ER34" s="560">
        <v>0</v>
      </c>
      <c r="ES34" s="545">
        <f t="shared" si="77"/>
        <v>-2.4964761955935582</v>
      </c>
      <c r="ET34" s="560">
        <f>-(VLOOKUP(Sheet1!BQ36,Lookup!$O$4:$Q$262,2)-VLOOKUP(Sheet1!BQ35,Lookup!$O$4:$Q$262,2))/1000000</f>
        <v>-1.2482669565989188</v>
      </c>
      <c r="EU34" s="560">
        <f>-(VLOOKUP(Sheet1!BR36,Lookup!$O$4:$Q$262,3)-VLOOKUP(Sheet1!BR35,Lookup!$O$4:$Q$262,3))/1000000</f>
        <v>-1.2482092389946393</v>
      </c>
      <c r="EV34" s="560"/>
      <c r="EW34" s="560"/>
      <c r="EX34" s="560"/>
      <c r="EY34" s="560"/>
      <c r="EZ34" s="560"/>
      <c r="FA34" s="560"/>
      <c r="FB34" s="560"/>
      <c r="FC34" s="560"/>
      <c r="FD34" s="594" t="e">
        <f t="shared" si="160"/>
        <v>#N/A</v>
      </c>
      <c r="FE34" s="594" t="e">
        <f t="shared" si="161"/>
        <v>#N/A</v>
      </c>
      <c r="FF34" s="595" t="e">
        <f t="shared" si="162"/>
        <v>#N/A</v>
      </c>
      <c r="FG34" s="596" t="s">
        <v>692</v>
      </c>
      <c r="FH34" s="596" t="s">
        <v>692</v>
      </c>
      <c r="FI34" s="594" t="e">
        <v>#N/A</v>
      </c>
      <c r="FJ34" s="594" t="e">
        <v>#N/A</v>
      </c>
      <c r="FK34" s="560"/>
      <c r="FL34" s="560"/>
      <c r="FM34" s="560"/>
      <c r="FN34" s="560"/>
      <c r="FO34" s="560">
        <f>O34+((Sheet1!CS36)*GPMtoMGD)</f>
        <v>53.237920000000003</v>
      </c>
      <c r="FP34" s="560">
        <f>IF(Sheet1!AA36+AQ34&lt;=Calculation!N34,AQ34,Calculation!N34-Sheet1!AA36)</f>
        <v>6.9713236332815365</v>
      </c>
      <c r="FQ34" s="560">
        <f>(Sheet1!BP36+Sheet1!BO36)/694.4</f>
        <v>1.3382776497695852</v>
      </c>
      <c r="FR34" s="560"/>
      <c r="FS34" s="560"/>
      <c r="FT34" s="560"/>
      <c r="FU34" s="560"/>
      <c r="FV34" s="695">
        <f t="shared" si="80"/>
        <v>41827</v>
      </c>
      <c r="FW34" s="695">
        <f t="shared" si="81"/>
        <v>41934</v>
      </c>
      <c r="FX34" s="560"/>
      <c r="FY34" s="560"/>
      <c r="FZ34" s="560"/>
      <c r="GA34" s="560"/>
      <c r="GB34" s="560" t="str">
        <f t="shared" si="82"/>
        <v>n</v>
      </c>
      <c r="GC34" s="564">
        <f t="shared" si="83"/>
        <v>41691</v>
      </c>
      <c r="GD34" s="695">
        <f t="shared" si="84"/>
        <v>41807</v>
      </c>
      <c r="GE34" s="560">
        <v>6518.9</v>
      </c>
      <c r="GF34" s="695">
        <f t="shared" si="85"/>
        <v>41808</v>
      </c>
      <c r="GG34" s="560">
        <f t="shared" si="163"/>
        <v>3259</v>
      </c>
      <c r="GH34" s="564">
        <f t="shared" si="87"/>
        <v>41934</v>
      </c>
      <c r="GJ34" s="545">
        <f t="shared" si="88"/>
        <v>0</v>
      </c>
      <c r="GK34" s="560" t="str">
        <f t="shared" si="164"/>
        <v/>
      </c>
      <c r="GL34" s="560">
        <f t="shared" si="89"/>
        <v>0</v>
      </c>
      <c r="GM34" s="560" t="str">
        <f t="shared" si="90"/>
        <v/>
      </c>
      <c r="GN34" s="560">
        <f>IF(GK34="P",Lookup!$M$12,IF(GK34="PP",Lookup!$M$13,IF(GK34="PPP",Lookup!$M$14,IF(GK34="T",Lookup!$M$15,IF(GK34="TP",Lookup!$M$16,IF(GK34="TPP",Lookup!$M$17,IF(GK34="TPPP",Lookup!$M$18,0)))))))*GJ34</f>
        <v>0</v>
      </c>
      <c r="GO34" s="560">
        <f t="shared" si="91"/>
        <v>0</v>
      </c>
      <c r="GP34" s="560">
        <f t="shared" si="165"/>
        <v>0</v>
      </c>
      <c r="GQ34" s="560">
        <f t="shared" si="99"/>
        <v>0</v>
      </c>
      <c r="GR34" s="560"/>
      <c r="GS34" s="560">
        <f t="shared" si="92"/>
        <v>0</v>
      </c>
      <c r="GT34" s="560" t="str">
        <f t="shared" si="93"/>
        <v/>
      </c>
      <c r="GU34" s="560">
        <f>IF(GK34="P",Lookup!$N$12,IF(GK34="PP",Lookup!$N$13,IF(GK34="PPP",Lookup!$N$14,IF(GK34="T",Lookup!$N$15,IF(GK34="TP",Lookup!$N$16,IF(GK34="TPP",Lookup!$N$17,IF(GK34="TPPP",Lookup!$N$18,0)))))))*GJ34</f>
        <v>0</v>
      </c>
      <c r="GV34" s="560">
        <f t="shared" si="57"/>
        <v>0</v>
      </c>
      <c r="GW34" s="560">
        <f t="shared" si="166"/>
        <v>0</v>
      </c>
      <c r="GX34" s="560">
        <f t="shared" si="100"/>
        <v>0</v>
      </c>
      <c r="GY34" s="560"/>
      <c r="GZ34" s="560">
        <f t="shared" si="94"/>
        <v>0</v>
      </c>
      <c r="HA34" s="560" t="str">
        <f t="shared" si="95"/>
        <v/>
      </c>
      <c r="HB34" s="560">
        <f>IF(GK34="P",Lookup!$N$12,IF(GK34="PP",Lookup!$N$13,IF(GK34="PPP",Lookup!$N$14,IF(GK34="T",Lookup!$N$15,IF(GK34="TP",Lookup!$N$16,IF(GK34="TPP",Lookup!$N$17,IF(GK34="TPPP",Lookup!$N$18,0)))))))*GJ34</f>
        <v>0</v>
      </c>
      <c r="HC34" s="545">
        <f t="shared" si="167"/>
        <v>0</v>
      </c>
      <c r="HD34" s="560">
        <f t="shared" si="168"/>
        <v>0</v>
      </c>
      <c r="HE34" s="560">
        <f t="shared" si="101"/>
        <v>0</v>
      </c>
      <c r="HF34" s="560"/>
      <c r="HG34" s="560">
        <f t="shared" si="96"/>
        <v>0</v>
      </c>
      <c r="HH34" s="560" t="str">
        <f t="shared" si="97"/>
        <v/>
      </c>
      <c r="HI34" s="560">
        <f>IF(GK34="P",Lookup!$N$12,IF(GK34="PP",Lookup!$N$13,IF(GK34="PPP",Lookup!$N$14,IF(GK34="T",Lookup!$N$15,IF(GK34="TP",Lookup!$N$16,IF(GK34="TPP",Lookup!$N$17,IF(GK34="TPPP",Lookup!$N$18,0)))))))*GJ34</f>
        <v>0</v>
      </c>
      <c r="HJ34" s="545">
        <f t="shared" si="169"/>
        <v>0</v>
      </c>
      <c r="HK34" s="560">
        <f t="shared" si="170"/>
        <v>0</v>
      </c>
      <c r="HL34" s="560">
        <f t="shared" si="102"/>
        <v>0</v>
      </c>
      <c r="HM34" s="560"/>
    </row>
    <row r="35" spans="1:221">
      <c r="A35" s="580" t="s">
        <v>8</v>
      </c>
      <c r="B35" s="556">
        <v>41663</v>
      </c>
      <c r="C35" s="561">
        <v>0</v>
      </c>
      <c r="D35" s="529">
        <f t="shared" si="103"/>
        <v>300</v>
      </c>
      <c r="E35" s="529">
        <f t="shared" si="104"/>
        <v>250</v>
      </c>
      <c r="F35" s="529">
        <v>250</v>
      </c>
      <c r="G35" s="560">
        <f>DR35+Sheet1!CZ37</f>
        <v>762.99293998996927</v>
      </c>
      <c r="H35" s="914">
        <f t="shared" si="2"/>
        <v>226.23543640951613</v>
      </c>
      <c r="I35" s="559">
        <f>MAX(Sheet1!Z37-AT35+(Sheet1!DA37-E35)*CFStoMGD,0)</f>
        <v>634.64400000000001</v>
      </c>
      <c r="J35" s="562">
        <f>IF(AND(B35&gt;=Calculation!GC35,B35&lt;=Calculation!GD35),IF(Sheet1!DB37&gt;=Calculation!D35,64.64,0),MAX(Sheet1!Z37-AT35+(Sheet1!DB37-D35)*CFStoMGD,0))</f>
        <v>304.98</v>
      </c>
      <c r="K35" s="904">
        <f t="shared" si="105"/>
        <v>64.64</v>
      </c>
      <c r="L35" s="560">
        <f>Sheet1!AA37+Sheet1!AB37-Sheet1!L37+(Sheet1!DA37-F35)*CFStoMGD</f>
        <v>620.54399999999998</v>
      </c>
      <c r="M35" s="560">
        <f t="shared" si="106"/>
        <v>503.06260913770649</v>
      </c>
      <c r="N35" s="910">
        <f>IF(Sheet1!DA37&gt;=F35,MIN(73,MIN(MAX(L35,0),MAX(M35,0))),0)</f>
        <v>73</v>
      </c>
      <c r="O35" s="563">
        <f>Sheet1!AA37+Sheet1!AB37</f>
        <v>33.739999999999995</v>
      </c>
      <c r="P35" s="563">
        <f t="shared" si="107"/>
        <v>52.195779999999999</v>
      </c>
      <c r="Q35" s="898">
        <f t="shared" si="63"/>
        <v>0</v>
      </c>
      <c r="R35" s="829">
        <f t="shared" si="108"/>
        <v>6.2608634111818819</v>
      </c>
      <c r="S35" s="898">
        <f t="shared" si="65"/>
        <v>33.739999999999995</v>
      </c>
      <c r="T35" s="898">
        <f t="shared" si="66"/>
        <v>0</v>
      </c>
      <c r="U35" s="898">
        <f t="shared" si="6"/>
        <v>0</v>
      </c>
      <c r="V35" s="898"/>
      <c r="W35" s="898">
        <f t="shared" si="67"/>
        <v>58.37913658881812</v>
      </c>
      <c r="X35" s="898">
        <f t="shared" si="68"/>
        <v>33.739999999999995</v>
      </c>
      <c r="Y35" s="898" t="str">
        <f t="shared" si="69"/>
        <v/>
      </c>
      <c r="Z35" s="898">
        <f t="shared" si="70"/>
        <v>33.739999999999995</v>
      </c>
      <c r="AA35" s="898">
        <f t="shared" si="71"/>
        <v>33.739999999999995</v>
      </c>
      <c r="AB35" s="898" t="str">
        <f t="shared" si="72"/>
        <v/>
      </c>
      <c r="AC35" s="563">
        <f>Sheet1!Y37*MGDtoCFS</f>
        <v>30.321200000000001</v>
      </c>
      <c r="AD35" s="563">
        <f>Sheet1!Z37*MGDtoCFS</f>
        <v>21.8127</v>
      </c>
      <c r="AE35" s="563">
        <f>Sheet1!AA37*MGDtoCFS</f>
        <v>30.228379999999998</v>
      </c>
      <c r="AF35" s="563">
        <f>Sheet1!AB37*MGDtoCFS</f>
        <v>21.967399999999998</v>
      </c>
      <c r="AG35" s="563">
        <f>Sheet1!L37*MGDtoCFS</f>
        <v>52.195779999999992</v>
      </c>
      <c r="AH35" s="545">
        <f t="shared" si="109"/>
        <v>0</v>
      </c>
      <c r="AI35" s="560">
        <f t="shared" si="110"/>
        <v>0</v>
      </c>
      <c r="AJ35" s="560">
        <f t="shared" si="111"/>
        <v>0</v>
      </c>
      <c r="AK35" s="560">
        <f t="shared" si="112"/>
        <v>0</v>
      </c>
      <c r="AL35" s="560">
        <f>(VLOOKUP(Sheet1!DC37,hhdcap_wcm,4)-(((VLOOKUP(Sheet1!DC37,hhdcap_wcm,3)-Sheet1!DC37)/(VLOOKUP(Sheet1!DC37,hhdcap_wcm,3)-VLOOKUP(Sheet1!DC37,hhdcap_wcm,1)))*(VLOOKUP(Sheet1!DC37,hhdcap_wcm,4)-VLOOKUP(Sheet1!DC37,hhdcap_wcm,2))))</f>
        <v>842.00000000272848</v>
      </c>
      <c r="AM35" s="560">
        <f t="shared" si="113"/>
        <v>115.00000000010914</v>
      </c>
      <c r="AN35" s="560">
        <f t="shared" si="114"/>
        <v>0</v>
      </c>
      <c r="AO35" s="560">
        <f t="shared" si="115"/>
        <v>0</v>
      </c>
      <c r="AP35" s="560">
        <f>Sheet1!BA37+Sheet1!BB37+Sheet1!BN37+CD35</f>
        <v>7.9</v>
      </c>
      <c r="AQ35" s="560">
        <f>Sheet1!BN37+(DO35*Sheet1!BN37)</f>
        <v>6.9341825902335454</v>
      </c>
      <c r="AR35" s="560">
        <f>Sheet1!BA37+CD35</f>
        <v>0</v>
      </c>
      <c r="AS35" s="560">
        <f>Sheet1!BA37+Sheet1!BB37+CD35</f>
        <v>1</v>
      </c>
      <c r="AT35" s="698">
        <f>0</f>
        <v>0</v>
      </c>
      <c r="AU35" s="560">
        <f>IF(EB35&lt;K35,0,MAX(Sheet1!AA37+AQ35-15/36*K35-N35,Sheet1!EH37,0))</f>
        <v>0</v>
      </c>
      <c r="AV35" s="560">
        <f>IF(OR(B35&gt;=GD35,B35&lt;GC35),0,15/36*K35-MAX(0,64.6-(137.6-(Sheet1!AA37+Sheet1!AB37))))</f>
        <v>0</v>
      </c>
      <c r="AW35" s="698">
        <f>Sheet1!DB37-110</f>
        <v>640</v>
      </c>
      <c r="AX35" s="698">
        <f>Sheet1!DA37-265</f>
        <v>945</v>
      </c>
      <c r="AY35" s="698">
        <f t="shared" si="116"/>
        <v>73</v>
      </c>
      <c r="AZ35" s="698">
        <v>0</v>
      </c>
      <c r="BA35" s="698">
        <f t="shared" si="117"/>
        <v>0</v>
      </c>
      <c r="BB35" s="560">
        <f t="shared" si="118"/>
        <v>0</v>
      </c>
      <c r="BC35" s="560"/>
      <c r="BD35" s="560">
        <f ca="1">IF(B35&gt;Summary!$A$1,#N/A,BB35*MGtoAF)</f>
        <v>0</v>
      </c>
      <c r="BE35" s="560">
        <f>Sheet1!BG37+Sheet1!BH37+Sheet1!BI37-BM35</f>
        <v>0</v>
      </c>
      <c r="BF35" s="560">
        <f t="shared" si="119"/>
        <v>0</v>
      </c>
      <c r="BG35" s="560">
        <f>IF(Sheet1!EP37="FM",BM35,0)</f>
        <v>0</v>
      </c>
      <c r="BH35" s="560">
        <f t="shared" si="120"/>
        <v>0</v>
      </c>
      <c r="BI35" s="560">
        <f>IF(Sheet1!EP37="OTHER",BM35,0)</f>
        <v>0</v>
      </c>
      <c r="BJ35" s="560">
        <f t="shared" si="121"/>
        <v>0</v>
      </c>
      <c r="BK35" s="560">
        <f t="shared" si="122"/>
        <v>0</v>
      </c>
      <c r="BL35" s="560">
        <f t="shared" si="123"/>
        <v>0</v>
      </c>
      <c r="BM35" s="560">
        <f>IF(OR(Sheet1!EP37="FM", Sheet1!EP37="OTHER"),SUM(Sheet1!BG37:'Sheet1'!BI37),0)</f>
        <v>0</v>
      </c>
      <c r="BN35" s="545">
        <f>IF(AND($B35&gt;=$FV35,$B35&lt;=$FW35),MAX(BF35,Sheet1!EI37,0),MAX(BF35-(7/36)*$K35,0))</f>
        <v>0</v>
      </c>
      <c r="BO35" s="560">
        <f t="shared" si="124"/>
        <v>0</v>
      </c>
      <c r="BP35" s="545">
        <f t="shared" si="125"/>
        <v>0</v>
      </c>
      <c r="BQ35" s="545">
        <f>IF(AND($O35&gt;0,Sheet1!EM37=1),(1-($O35-Sheet1!$L37)/$O35)*BL35,0)</f>
        <v>0</v>
      </c>
      <c r="BR35" s="545">
        <f>IF(AND(Sheet1!$L37=0,Sheet1!$L36=0, Calculation!BK35&lt;Sheet1!$EI37-0.1,Sheet1!$EI37=Sheet1!$EI36,Sheet1!$EI37=Sheet1!$EI38),Sheet1!$EI37,BL35-BQ35)</f>
        <v>0</v>
      </c>
      <c r="BS35" s="560"/>
      <c r="BT35" s="560"/>
      <c r="BU35" s="560">
        <f t="shared" si="126"/>
        <v>0</v>
      </c>
      <c r="BV35" s="560"/>
      <c r="BW35" s="560">
        <f ca="1">IF(B35&gt;Summary!$A$1,#N/A,BU35*MGtoAF)</f>
        <v>0</v>
      </c>
      <c r="BX35" s="560">
        <f>Sheet1!BC37+Sheet1!BD37+Sheet1!BE37+Sheet1!BF37-CG35-CH35</f>
        <v>2.5</v>
      </c>
      <c r="BY35" s="560">
        <f t="shared" si="127"/>
        <v>2.5123849964614293</v>
      </c>
      <c r="BZ35" s="560">
        <f>IF(Sheet1!EQ37="FM",CH35,0)</f>
        <v>0</v>
      </c>
      <c r="CA35" s="560">
        <f t="shared" si="128"/>
        <v>0</v>
      </c>
      <c r="CB35" s="560">
        <f>IF(Sheet1!EQ37="OTHER",CH35,0)</f>
        <v>0</v>
      </c>
      <c r="CC35" s="560">
        <f t="shared" si="129"/>
        <v>0</v>
      </c>
      <c r="CD35" s="560">
        <f t="shared" si="130"/>
        <v>0</v>
      </c>
      <c r="CE35" s="560">
        <f t="shared" si="131"/>
        <v>2.5</v>
      </c>
      <c r="CF35" s="560">
        <f t="shared" si="132"/>
        <v>2.5123849964614293</v>
      </c>
      <c r="CG35" s="560">
        <f>IF(Sheet1!EQ37="CWA",SUM(Sheet1!BC37:'Sheet1'!BF37),0)</f>
        <v>0</v>
      </c>
      <c r="CH35" s="560">
        <f>IF(OR(Sheet1!EQ37="FM", Sheet1!EQ37="OTHER"),SUM(Sheet1!BC37:'Sheet1'!BF37),0)</f>
        <v>0</v>
      </c>
      <c r="CI35" s="545">
        <f>IF(AND($B35&gt;=$FV35,$B35&lt;=$FW35),MAX(CF35,Sheet1!EJ37,0),MAX(CF35-(7/36)*$K35,0))</f>
        <v>0</v>
      </c>
      <c r="CJ35" s="560">
        <f t="shared" si="133"/>
        <v>0</v>
      </c>
      <c r="CK35" s="545">
        <f t="shared" si="134"/>
        <v>2.5123849964614293</v>
      </c>
      <c r="CL35" s="545">
        <f>IF(AND($O35&gt;0,Sheet1!EN37=1),(1-($O35-Sheet1!$L37)/$O35)*CF35,0)</f>
        <v>0</v>
      </c>
      <c r="CM35" s="545">
        <f>IF(AND(Sheet1!$L37=0,Sheet1!$L36=0, Calculation!CE35&lt;Sheet1!EJ37-0.1,Sheet1!EJ37=Sheet1!EJ36,Sheet1!EJ37=Sheet1!EJ38),Sheet1!EJ37,CF35-CL35)</f>
        <v>2.5123849964614293</v>
      </c>
      <c r="CN35" s="545"/>
      <c r="CO35" s="560"/>
      <c r="CP35" s="560">
        <f t="shared" si="135"/>
        <v>0</v>
      </c>
      <c r="CQ35" s="560"/>
      <c r="CR35" s="560">
        <f ca="1">IF(B35&gt;Summary!$A$1,#N/A,CP35*MGtoAF)</f>
        <v>0</v>
      </c>
      <c r="CS35" s="560">
        <f>Sheet1!BK37+Sheet1!BL37+Sheet1!BM37-Sheet1!ER37-DA35</f>
        <v>3.73</v>
      </c>
      <c r="CT35" s="560">
        <f t="shared" si="136"/>
        <v>3.7484784147204526</v>
      </c>
      <c r="CU35" s="560">
        <f>IF(Sheet1!ER37="FM",DA35,0)</f>
        <v>0</v>
      </c>
      <c r="CV35" s="560">
        <f t="shared" si="137"/>
        <v>0</v>
      </c>
      <c r="CW35" s="560">
        <f>IF(Sheet1!ER37="OTHER",DA35,0)</f>
        <v>0</v>
      </c>
      <c r="CX35" s="560">
        <f t="shared" si="138"/>
        <v>0</v>
      </c>
      <c r="CY35" s="560">
        <f t="shared" si="139"/>
        <v>3.73</v>
      </c>
      <c r="CZ35" s="560">
        <f t="shared" si="140"/>
        <v>3.7484784147204526</v>
      </c>
      <c r="DA35" s="560">
        <f>IF(OR(Sheet1!ER37="FM", Sheet1!ER37="OTHER"),SUM(Sheet1!BK37:'Sheet1'!BM37),0)</f>
        <v>0</v>
      </c>
      <c r="DB35" s="545">
        <f>IF(AND($B35&gt;=$FV35,$B35&lt;=$FW35),MAX($CT35,Sheet1!EK37,0),MAX($CT35-(7/36)*$K35,0))</f>
        <v>0</v>
      </c>
      <c r="DC35" s="560">
        <f t="shared" si="141"/>
        <v>0</v>
      </c>
      <c r="DD35" s="545">
        <f t="shared" si="142"/>
        <v>3.7484784147204526</v>
      </c>
      <c r="DE35" s="545">
        <f>IF(AND($O35&gt;0,Sheet1!EO37=1),(1-($O35-Sheet1!$L37)/$O35)*CZ35,0)</f>
        <v>0</v>
      </c>
      <c r="DF35" s="545">
        <f>IF(AND(Sheet1!$L37=0,Sheet1!$L36=0, Calculation!CY35&lt;Sheet1!$EK37-0.1,Sheet1!$EK37=Sheet1!$EK36,Sheet1!$EK37=Sheet1!$EK38),Sheet1!$EK37,CZ35-DE35)</f>
        <v>3.7484784147204526</v>
      </c>
      <c r="DG35" s="545"/>
      <c r="DH35" s="560">
        <f t="shared" si="143"/>
        <v>6.23</v>
      </c>
      <c r="DI35" s="560">
        <f t="shared" si="144"/>
        <v>0</v>
      </c>
      <c r="DJ35" s="698">
        <f t="shared" si="145"/>
        <v>6.2608634111818819</v>
      </c>
      <c r="DK35" s="560">
        <f ca="1">IF(B35&gt;Summary!$A$1,#N/A,DI35*MGtoAF)</f>
        <v>0</v>
      </c>
      <c r="DL35" s="698">
        <f t="shared" si="146"/>
        <v>6.23</v>
      </c>
      <c r="DM35" s="560">
        <f t="shared" si="147"/>
        <v>14.13</v>
      </c>
      <c r="DN35" s="560">
        <f>Sheet1!AB37-DM35</f>
        <v>6.9999999999998508E-2</v>
      </c>
      <c r="DO35" s="823">
        <f t="shared" si="148"/>
        <v>4.9539985845717272E-3</v>
      </c>
      <c r="DP35" s="560">
        <f>(VLOOKUP(Sheet1!DC37,hhdcap_wcm,4)-(((VLOOKUP(Sheet1!DC37,hhdcap_wcm,3)-Sheet1!DC37)/(VLOOKUP(Sheet1!DC37,hhdcap_wcm,3)-VLOOKUP(Sheet1!DC37,hhdcap_wcm,1)))*(VLOOKUP(Sheet1!DC37,hhdcap_wcm,4)-VLOOKUP(Sheet1!DC37,hhdcap_wcm,2))))</f>
        <v>842.00000000272848</v>
      </c>
      <c r="DQ35" s="560">
        <f t="shared" si="149"/>
        <v>115.00000000010914</v>
      </c>
      <c r="DR35" s="560">
        <f t="shared" si="150"/>
        <v>57.992939989969301</v>
      </c>
      <c r="DS35" s="560">
        <f>Sheet1!EA37*AFtoMG</f>
        <v>0</v>
      </c>
      <c r="DT35" s="560">
        <f>Sheet1!EB37*AFtoMG</f>
        <v>0</v>
      </c>
      <c r="DU35" s="560">
        <f>Sheet1!EC37*AFtoMG</f>
        <v>0</v>
      </c>
      <c r="DV35" s="560">
        <f>Sheet1!ED37*AFtoMG</f>
        <v>0</v>
      </c>
      <c r="DW35" s="560">
        <f t="shared" si="151"/>
        <v>0</v>
      </c>
      <c r="DX35" s="560">
        <f t="shared" si="152"/>
        <v>0</v>
      </c>
      <c r="DY35" s="560">
        <f t="shared" si="153"/>
        <v>0</v>
      </c>
      <c r="DZ35" s="560">
        <f t="shared" si="154"/>
        <v>0</v>
      </c>
      <c r="EA35" s="560"/>
      <c r="EB35" s="545">
        <f>IF(OR(B35&lt;FV35,B35&gt;FW35),(MIN(BF35+BY35+CT35+MAX(Sheet1!AA37+AQ35-73,0),K35)),0)</f>
        <v>6.2608634111818819</v>
      </c>
      <c r="EC35" s="560"/>
      <c r="ED35" s="560">
        <f t="shared" si="155"/>
        <v>6.2608634111818819</v>
      </c>
      <c r="EE35" s="560"/>
      <c r="EF35" s="560">
        <f>Sheet1!EH37+Sheet1!EI37+Sheet1!EJ37+Sheet1!EK37</f>
        <v>6.23</v>
      </c>
      <c r="EG35" s="560"/>
      <c r="EH35" s="545">
        <f t="shared" si="156"/>
        <v>0</v>
      </c>
      <c r="EI35" s="560">
        <f>IF(Sheet1!ET37=1,SUM('Calculations II'!AT35:BA35)+'Calculations II'!BC35+Sheet1!BV37+'Calculations II'!BE35+AP35,SUM('Calculations II'!AT35:BA35)+'Calculations II'!BC35+Sheet1!BV37+'Calculations II'!BE35+AP35)</f>
        <v>47.837120000000006</v>
      </c>
      <c r="EJ35" s="560">
        <f>Sheet1!AA37+Sheet1!AB37+'Calculations II'!BC35</f>
        <v>49.116175999999996</v>
      </c>
      <c r="EK35" s="560"/>
      <c r="EL35" s="560"/>
      <c r="EM35" s="560">
        <f t="shared" si="157"/>
        <v>41663</v>
      </c>
      <c r="EN35" s="560">
        <f t="shared" si="158"/>
        <v>0</v>
      </c>
      <c r="EO35" s="560">
        <f t="shared" si="159"/>
        <v>0</v>
      </c>
      <c r="EP35" s="560">
        <v>0</v>
      </c>
      <c r="EQ35" s="560">
        <v>0</v>
      </c>
      <c r="ER35" s="560">
        <v>0</v>
      </c>
      <c r="ES35" s="545">
        <f t="shared" si="77"/>
        <v>2.9124561634191162</v>
      </c>
      <c r="ET35" s="560">
        <f>-(VLOOKUP(Sheet1!BQ37,Lookup!$O$4:$Q$262,2)-VLOOKUP(Sheet1!BQ36,Lookup!$O$4:$Q$262,2))/1000000</f>
        <v>1.5255890725920089</v>
      </c>
      <c r="EU35" s="560">
        <f>-(VLOOKUP(Sheet1!BR37,Lookup!$O$4:$Q$262,3)-VLOOKUP(Sheet1!BR36,Lookup!$O$4:$Q$262,3))/1000000</f>
        <v>1.3868670908271075</v>
      </c>
      <c r="EV35" s="560"/>
      <c r="EW35" s="560"/>
      <c r="EX35" s="560"/>
      <c r="EY35" s="560"/>
      <c r="EZ35" s="560"/>
      <c r="FA35" s="560"/>
      <c r="FB35" s="560"/>
      <c r="FC35" s="560"/>
      <c r="FD35" s="594" t="e">
        <f t="shared" si="160"/>
        <v>#N/A</v>
      </c>
      <c r="FE35" s="594" t="e">
        <f t="shared" si="161"/>
        <v>#N/A</v>
      </c>
      <c r="FF35" s="595" t="e">
        <f t="shared" si="162"/>
        <v>#N/A</v>
      </c>
      <c r="FG35" s="596" t="s">
        <v>692</v>
      </c>
      <c r="FH35" s="596" t="s">
        <v>692</v>
      </c>
      <c r="FI35" s="594" t="e">
        <v>#N/A</v>
      </c>
      <c r="FJ35" s="594" t="e">
        <v>#N/A</v>
      </c>
      <c r="FK35" s="560"/>
      <c r="FL35" s="560"/>
      <c r="FM35" s="560"/>
      <c r="FN35" s="560"/>
      <c r="FO35" s="560">
        <f>O35+((Sheet1!CS37)*GPMtoMGD)</f>
        <v>49.116175999999996</v>
      </c>
      <c r="FP35" s="560">
        <f>IF(Sheet1!AA37+AQ35&lt;=Calculation!N35,AQ35,Calculation!N35-Sheet1!AA37)</f>
        <v>6.9341825902335454</v>
      </c>
      <c r="FQ35" s="560">
        <f>(Sheet1!BP37+Sheet1!BO37)/694.4</f>
        <v>1.4338997695852536</v>
      </c>
      <c r="FR35" s="560"/>
      <c r="FS35" s="560"/>
      <c r="FT35" s="560"/>
      <c r="FU35" s="560"/>
      <c r="FV35" s="695">
        <f t="shared" si="80"/>
        <v>41827</v>
      </c>
      <c r="FW35" s="695">
        <f t="shared" si="81"/>
        <v>41934</v>
      </c>
      <c r="FX35" s="560"/>
      <c r="FY35" s="560"/>
      <c r="FZ35" s="560"/>
      <c r="GA35" s="560"/>
      <c r="GB35" s="560" t="str">
        <f t="shared" si="82"/>
        <v>n</v>
      </c>
      <c r="GC35" s="564">
        <f t="shared" si="83"/>
        <v>41691</v>
      </c>
      <c r="GD35" s="695">
        <f t="shared" si="84"/>
        <v>41807</v>
      </c>
      <c r="GE35" s="560">
        <v>6518.9</v>
      </c>
      <c r="GF35" s="695">
        <f t="shared" si="85"/>
        <v>41808</v>
      </c>
      <c r="GG35" s="560">
        <f t="shared" si="163"/>
        <v>3259</v>
      </c>
      <c r="GH35" s="564">
        <f t="shared" si="87"/>
        <v>41934</v>
      </c>
      <c r="GJ35" s="545">
        <f t="shared" si="88"/>
        <v>0</v>
      </c>
      <c r="GK35" s="560" t="str">
        <f t="shared" si="164"/>
        <v/>
      </c>
      <c r="GL35" s="560">
        <f t="shared" si="89"/>
        <v>0</v>
      </c>
      <c r="GM35" s="560" t="str">
        <f t="shared" si="90"/>
        <v/>
      </c>
      <c r="GN35" s="560">
        <f>IF(GK35="P",Lookup!$M$12,IF(GK35="PP",Lookup!$M$13,IF(GK35="PPP",Lookup!$M$14,IF(GK35="T",Lookup!$M$15,IF(GK35="TP",Lookup!$M$16,IF(GK35="TPP",Lookup!$M$17,IF(GK35="TPPP",Lookup!$M$18,0)))))))*GJ35</f>
        <v>0</v>
      </c>
      <c r="GO35" s="560">
        <f t="shared" si="91"/>
        <v>0</v>
      </c>
      <c r="GP35" s="560">
        <f t="shared" si="165"/>
        <v>0</v>
      </c>
      <c r="GQ35" s="560">
        <f t="shared" si="99"/>
        <v>0</v>
      </c>
      <c r="GR35" s="560"/>
      <c r="GS35" s="560">
        <f t="shared" si="92"/>
        <v>0</v>
      </c>
      <c r="GT35" s="560" t="str">
        <f t="shared" si="93"/>
        <v/>
      </c>
      <c r="GU35" s="560">
        <f>IF(GK35="P",Lookup!$N$12,IF(GK35="PP",Lookup!$N$13,IF(GK35="PPP",Lookup!$N$14,IF(GK35="T",Lookup!$N$15,IF(GK35="TP",Lookup!$N$16,IF(GK35="TPP",Lookup!$N$17,IF(GK35="TPPP",Lookup!$N$18,0)))))))*GJ35</f>
        <v>0</v>
      </c>
      <c r="GV35" s="560">
        <f t="shared" si="57"/>
        <v>0</v>
      </c>
      <c r="GW35" s="560">
        <f t="shared" si="166"/>
        <v>0</v>
      </c>
      <c r="GX35" s="560">
        <f t="shared" si="100"/>
        <v>0</v>
      </c>
      <c r="GY35" s="560"/>
      <c r="GZ35" s="560">
        <f t="shared" si="94"/>
        <v>0</v>
      </c>
      <c r="HA35" s="560" t="str">
        <f t="shared" si="95"/>
        <v/>
      </c>
      <c r="HB35" s="560">
        <f>IF(GK35="P",Lookup!$N$12,IF(GK35="PP",Lookup!$N$13,IF(GK35="PPP",Lookup!$N$14,IF(GK35="T",Lookup!$N$15,IF(GK35="TP",Lookup!$N$16,IF(GK35="TPP",Lookup!$N$17,IF(GK35="TPPP",Lookup!$N$18,0)))))))*GJ35</f>
        <v>0</v>
      </c>
      <c r="HC35" s="545">
        <f t="shared" si="167"/>
        <v>0</v>
      </c>
      <c r="HD35" s="560">
        <f t="shared" si="168"/>
        <v>0</v>
      </c>
      <c r="HE35" s="560">
        <f t="shared" si="101"/>
        <v>0</v>
      </c>
      <c r="HF35" s="560"/>
      <c r="HG35" s="560">
        <f t="shared" si="96"/>
        <v>0</v>
      </c>
      <c r="HH35" s="560" t="str">
        <f t="shared" si="97"/>
        <v/>
      </c>
      <c r="HI35" s="560">
        <f>IF(GK35="P",Lookup!$N$12,IF(GK35="PP",Lookup!$N$13,IF(GK35="PPP",Lookup!$N$14,IF(GK35="T",Lookup!$N$15,IF(GK35="TP",Lookup!$N$16,IF(GK35="TPP",Lookup!$N$17,IF(GK35="TPPP",Lookup!$N$18,0)))))))*GJ35</f>
        <v>0</v>
      </c>
      <c r="HJ35" s="545">
        <f t="shared" si="169"/>
        <v>0</v>
      </c>
      <c r="HK35" s="560">
        <f t="shared" si="170"/>
        <v>0</v>
      </c>
      <c r="HL35" s="560">
        <f t="shared" si="102"/>
        <v>0</v>
      </c>
      <c r="HM35" s="560"/>
    </row>
    <row r="36" spans="1:221">
      <c r="A36" s="580" t="s">
        <v>9</v>
      </c>
      <c r="B36" s="556">
        <v>41664</v>
      </c>
      <c r="C36" s="561">
        <v>0</v>
      </c>
      <c r="D36" s="529">
        <f t="shared" si="103"/>
        <v>300</v>
      </c>
      <c r="E36" s="529">
        <f t="shared" si="104"/>
        <v>250</v>
      </c>
      <c r="F36" s="529">
        <v>250</v>
      </c>
      <c r="G36" s="560">
        <f>DR36+Sheet1!CZ38</f>
        <v>739.2571860817219</v>
      </c>
      <c r="H36" s="914">
        <f t="shared" si="2"/>
        <v>210.89264508322503</v>
      </c>
      <c r="I36" s="559">
        <f>MAX(Sheet1!Z38-AT36+(Sheet1!DA38-E36)*CFStoMGD,0)</f>
        <v>621.81600000000003</v>
      </c>
      <c r="J36" s="562">
        <f>IF(AND(B36&gt;=Calculation!GC36,B36&lt;=Calculation!GD36),IF(Sheet1!DB38&gt;=Calculation!D36,64.64,0),MAX(Sheet1!Z38-AT36+(Sheet1!DB38-D36)*CFStoMGD,0))</f>
        <v>305.08</v>
      </c>
      <c r="K36" s="904">
        <f t="shared" si="105"/>
        <v>64.64</v>
      </c>
      <c r="L36" s="560">
        <f>Sheet1!AA38+Sheet1!AB38-Sheet1!L38+(Sheet1!DA38-F36)*CFStoMGD</f>
        <v>607.61599999999999</v>
      </c>
      <c r="M36" s="560">
        <f t="shared" si="106"/>
        <v>487.41296198488953</v>
      </c>
      <c r="N36" s="910">
        <f>IF(Sheet1!DA38&gt;=F36,MIN(73,MIN(MAX(L36,0),MAX(M36,0))),0)</f>
        <v>73</v>
      </c>
      <c r="O36" s="563">
        <f>Sheet1!AA38+Sheet1!AB38</f>
        <v>33.68</v>
      </c>
      <c r="P36" s="563">
        <f t="shared" si="107"/>
        <v>52.102959999999996</v>
      </c>
      <c r="Q36" s="898">
        <f t="shared" si="63"/>
        <v>0</v>
      </c>
      <c r="R36" s="829">
        <f t="shared" si="108"/>
        <v>6.216772823779193</v>
      </c>
      <c r="S36" s="898">
        <f t="shared" si="65"/>
        <v>33.68</v>
      </c>
      <c r="T36" s="898">
        <f t="shared" si="66"/>
        <v>0</v>
      </c>
      <c r="U36" s="898">
        <f t="shared" si="6"/>
        <v>0</v>
      </c>
      <c r="V36" s="898"/>
      <c r="W36" s="898">
        <f t="shared" si="67"/>
        <v>58.423227176220806</v>
      </c>
      <c r="X36" s="898">
        <f t="shared" si="68"/>
        <v>33.68</v>
      </c>
      <c r="Y36" s="898" t="str">
        <f t="shared" si="69"/>
        <v/>
      </c>
      <c r="Z36" s="898">
        <f t="shared" si="70"/>
        <v>33.68</v>
      </c>
      <c r="AA36" s="898">
        <f t="shared" si="71"/>
        <v>33.68</v>
      </c>
      <c r="AB36" s="898" t="str">
        <f t="shared" si="72"/>
        <v/>
      </c>
      <c r="AC36" s="563">
        <f>Sheet1!Y38*MGDtoCFS</f>
        <v>30.228379999999998</v>
      </c>
      <c r="AD36" s="563">
        <f>Sheet1!Z38*MGDtoCFS</f>
        <v>21.967399999999998</v>
      </c>
      <c r="AE36" s="563">
        <f>Sheet1!AA38*MGDtoCFS</f>
        <v>30.290259999999996</v>
      </c>
      <c r="AF36" s="563">
        <f>Sheet1!AB38*MGDtoCFS</f>
        <v>21.8127</v>
      </c>
      <c r="AG36" s="563">
        <f>Sheet1!L38*MGDtoCFS</f>
        <v>52.102959999999996</v>
      </c>
      <c r="AH36" s="545">
        <f t="shared" si="109"/>
        <v>0</v>
      </c>
      <c r="AI36" s="560">
        <f t="shared" si="110"/>
        <v>0</v>
      </c>
      <c r="AJ36" s="560">
        <f t="shared" si="111"/>
        <v>0</v>
      </c>
      <c r="AK36" s="560">
        <f t="shared" si="112"/>
        <v>0</v>
      </c>
      <c r="AL36" s="560">
        <f>(VLOOKUP(Sheet1!DC38,hhdcap_wcm,4)-(((VLOOKUP(Sheet1!DC38,hhdcap_wcm,3)-Sheet1!DC38)/(VLOOKUP(Sheet1!DC38,hhdcap_wcm,3)-VLOOKUP(Sheet1!DC38,hhdcap_wcm,1)))*(VLOOKUP(Sheet1!DC38,hhdcap_wcm,4)-VLOOKUP(Sheet1!DC38,hhdcap_wcm,2))))</f>
        <v>902.00000000278305</v>
      </c>
      <c r="AM36" s="560">
        <f t="shared" si="113"/>
        <v>60.00000000005457</v>
      </c>
      <c r="AN36" s="560">
        <f t="shared" si="114"/>
        <v>0</v>
      </c>
      <c r="AO36" s="560">
        <f t="shared" si="115"/>
        <v>0</v>
      </c>
      <c r="AP36" s="560">
        <f>Sheet1!BA38+Sheet1!BB38+Sheet1!BN38+CD36</f>
        <v>7.9</v>
      </c>
      <c r="AQ36" s="560">
        <f>Sheet1!BN38+(DO36*Sheet1!BN38)</f>
        <v>6.8853503184713372</v>
      </c>
      <c r="AR36" s="560">
        <f>Sheet1!BA38+CD36</f>
        <v>0</v>
      </c>
      <c r="AS36" s="560">
        <f>Sheet1!BA38+Sheet1!BB38+CD36</f>
        <v>1</v>
      </c>
      <c r="AT36" s="698">
        <f>0</f>
        <v>0</v>
      </c>
      <c r="AU36" s="560">
        <f>IF(EB36&lt;K36,0,MAX(Sheet1!AA38+AQ36-15/36*K36-N36,Sheet1!EH38,0))</f>
        <v>0</v>
      </c>
      <c r="AV36" s="560">
        <f>IF(OR(B36&gt;=GD36,B36&lt;GC36),0,15/36*K36-MAX(0,64.6-(137.6-(Sheet1!AA38+Sheet1!AB38))))</f>
        <v>0</v>
      </c>
      <c r="AW36" s="698">
        <f>Sheet1!DB38-110</f>
        <v>640</v>
      </c>
      <c r="AX36" s="698">
        <f>Sheet1!DA38-265</f>
        <v>925</v>
      </c>
      <c r="AY36" s="698">
        <f t="shared" si="116"/>
        <v>73</v>
      </c>
      <c r="AZ36" s="698">
        <v>0</v>
      </c>
      <c r="BA36" s="698">
        <f t="shared" si="117"/>
        <v>0</v>
      </c>
      <c r="BB36" s="560">
        <f t="shared" si="118"/>
        <v>0</v>
      </c>
      <c r="BC36" s="560"/>
      <c r="BD36" s="560">
        <f ca="1">IF(B36&gt;Summary!$A$1,#N/A,BB36*MGtoAF)</f>
        <v>0</v>
      </c>
      <c r="BE36" s="560">
        <f>Sheet1!BG38+Sheet1!BH38+Sheet1!BI38-BM36</f>
        <v>0</v>
      </c>
      <c r="BF36" s="560">
        <f t="shared" si="119"/>
        <v>0</v>
      </c>
      <c r="BG36" s="560">
        <f>IF(Sheet1!EP38="FM",BM36,0)</f>
        <v>0</v>
      </c>
      <c r="BH36" s="560">
        <f t="shared" si="120"/>
        <v>0</v>
      </c>
      <c r="BI36" s="560">
        <f>IF(Sheet1!EP38="OTHER",BM36,0)</f>
        <v>0</v>
      </c>
      <c r="BJ36" s="560">
        <f t="shared" si="121"/>
        <v>0</v>
      </c>
      <c r="BK36" s="560">
        <f t="shared" si="122"/>
        <v>0</v>
      </c>
      <c r="BL36" s="560">
        <f t="shared" si="123"/>
        <v>0</v>
      </c>
      <c r="BM36" s="560">
        <f>IF(OR(Sheet1!EP38="FM", Sheet1!EP38="OTHER"),SUM(Sheet1!BG38:'Sheet1'!BI38),0)</f>
        <v>0</v>
      </c>
      <c r="BN36" s="545">
        <f>IF(AND($B36&gt;=$FV36,$B36&lt;=$FW36),MAX(BF36,Sheet1!EI38,0),MAX(BF36-(7/36)*$K36,0))</f>
        <v>0</v>
      </c>
      <c r="BO36" s="560">
        <f t="shared" si="124"/>
        <v>0</v>
      </c>
      <c r="BP36" s="545">
        <f t="shared" si="125"/>
        <v>0</v>
      </c>
      <c r="BQ36" s="545">
        <f>IF(AND($O36&gt;0,Sheet1!EM38=1),(1-($O36-Sheet1!$L38)/$O36)*BL36,0)</f>
        <v>0</v>
      </c>
      <c r="BR36" s="545">
        <f>IF(AND(Sheet1!$L38=0,Sheet1!$L37=0, Calculation!BK36&lt;Sheet1!$EI38-0.1,Sheet1!$EI38=Sheet1!$EI37,Sheet1!$EI38=Sheet1!$EI39),Sheet1!$EI38,BL36-BQ36)</f>
        <v>0</v>
      </c>
      <c r="BS36" s="560"/>
      <c r="BT36" s="560"/>
      <c r="BU36" s="560">
        <f t="shared" si="126"/>
        <v>0</v>
      </c>
      <c r="BV36" s="560"/>
      <c r="BW36" s="560">
        <f ca="1">IF(B36&gt;Summary!$A$1,#N/A,BU36*MGtoAF)</f>
        <v>0</v>
      </c>
      <c r="BX36" s="560">
        <f>Sheet1!BC38+Sheet1!BD38+Sheet1!BE38+Sheet1!BF38-CG36-CH36</f>
        <v>2.5</v>
      </c>
      <c r="BY36" s="560">
        <f t="shared" si="127"/>
        <v>2.4946921443736727</v>
      </c>
      <c r="BZ36" s="560">
        <f>IF(Sheet1!EQ38="FM",CH36,0)</f>
        <v>0</v>
      </c>
      <c r="CA36" s="560">
        <f t="shared" si="128"/>
        <v>0</v>
      </c>
      <c r="CB36" s="560">
        <f>IF(Sheet1!EQ38="OTHER",CH36,0)</f>
        <v>0</v>
      </c>
      <c r="CC36" s="560">
        <f t="shared" si="129"/>
        <v>0</v>
      </c>
      <c r="CD36" s="560">
        <f t="shared" si="130"/>
        <v>0</v>
      </c>
      <c r="CE36" s="560">
        <f t="shared" si="131"/>
        <v>2.5</v>
      </c>
      <c r="CF36" s="560">
        <f t="shared" si="132"/>
        <v>2.4946921443736727</v>
      </c>
      <c r="CG36" s="560">
        <f>IF(Sheet1!EQ38="CWA",SUM(Sheet1!BC38:'Sheet1'!BF38),0)</f>
        <v>0</v>
      </c>
      <c r="CH36" s="560">
        <f>IF(OR(Sheet1!EQ38="FM", Sheet1!EQ38="OTHER"),SUM(Sheet1!BC38:'Sheet1'!BF38),0)</f>
        <v>0</v>
      </c>
      <c r="CI36" s="545">
        <f>IF(AND($B36&gt;=$FV36,$B36&lt;=$FW36),MAX(CF36,Sheet1!EJ38,0),MAX(CF36-(7/36)*$K36,0))</f>
        <v>0</v>
      </c>
      <c r="CJ36" s="560">
        <f t="shared" si="133"/>
        <v>0</v>
      </c>
      <c r="CK36" s="545">
        <f t="shared" si="134"/>
        <v>2.4946921443736727</v>
      </c>
      <c r="CL36" s="545">
        <f>IF(AND($O36&gt;0,Sheet1!EN38=1),(1-($O36-Sheet1!$L38)/$O36)*CF36,0)</f>
        <v>0</v>
      </c>
      <c r="CM36" s="545">
        <f>IF(AND(Sheet1!$L38=0,Sheet1!$L37=0, Calculation!CE36&lt;Sheet1!EJ38-0.1,Sheet1!EJ38=Sheet1!EJ37,Sheet1!EJ38=Sheet1!EJ39),Sheet1!EJ38,CF36-CL36)</f>
        <v>2.4946921443736727</v>
      </c>
      <c r="CN36" s="545"/>
      <c r="CO36" s="560"/>
      <c r="CP36" s="560">
        <f t="shared" si="135"/>
        <v>0</v>
      </c>
      <c r="CQ36" s="560"/>
      <c r="CR36" s="560">
        <f ca="1">IF(B36&gt;Summary!$A$1,#N/A,CP36*MGtoAF)</f>
        <v>0</v>
      </c>
      <c r="CS36" s="560">
        <f>Sheet1!BK38+Sheet1!BL38+Sheet1!BM38-Sheet1!ER38-DA36</f>
        <v>3.73</v>
      </c>
      <c r="CT36" s="560">
        <f t="shared" si="136"/>
        <v>3.7220806794055199</v>
      </c>
      <c r="CU36" s="560">
        <f>IF(Sheet1!ER38="FM",DA36,0)</f>
        <v>0</v>
      </c>
      <c r="CV36" s="560">
        <f t="shared" si="137"/>
        <v>0</v>
      </c>
      <c r="CW36" s="560">
        <f>IF(Sheet1!ER38="OTHER",DA36,0)</f>
        <v>0</v>
      </c>
      <c r="CX36" s="560">
        <f t="shared" si="138"/>
        <v>0</v>
      </c>
      <c r="CY36" s="560">
        <f t="shared" si="139"/>
        <v>3.73</v>
      </c>
      <c r="CZ36" s="560">
        <f t="shared" si="140"/>
        <v>3.7220806794055199</v>
      </c>
      <c r="DA36" s="560">
        <f>IF(OR(Sheet1!ER38="FM", Sheet1!ER38="OTHER"),SUM(Sheet1!BK38:'Sheet1'!BM38),0)</f>
        <v>0</v>
      </c>
      <c r="DB36" s="545">
        <f>IF(AND($B36&gt;=$FV36,$B36&lt;=$FW36),MAX($CT36,Sheet1!EK38,0),MAX($CT36-(7/36)*$K36,0))</f>
        <v>0</v>
      </c>
      <c r="DC36" s="560">
        <f t="shared" si="141"/>
        <v>0</v>
      </c>
      <c r="DD36" s="545">
        <f t="shared" si="142"/>
        <v>3.7220806794055199</v>
      </c>
      <c r="DE36" s="545">
        <f>IF(AND($O36&gt;0,Sheet1!EO38=1),(1-($O36-Sheet1!$L38)/$O36)*CZ36,0)</f>
        <v>0</v>
      </c>
      <c r="DF36" s="545">
        <f>IF(AND(Sheet1!$L38=0,Sheet1!$L37=0, Calculation!CY36&lt;Sheet1!$EK38-0.1,Sheet1!$EK38=Sheet1!$EK37,Sheet1!$EK38=Sheet1!$EK39),Sheet1!$EK38,CZ36-DE36)</f>
        <v>3.7220806794055199</v>
      </c>
      <c r="DG36" s="545"/>
      <c r="DH36" s="560">
        <f t="shared" si="143"/>
        <v>6.23</v>
      </c>
      <c r="DI36" s="560">
        <f t="shared" si="144"/>
        <v>0</v>
      </c>
      <c r="DJ36" s="698">
        <f t="shared" si="145"/>
        <v>6.216772823779193</v>
      </c>
      <c r="DK36" s="560">
        <f ca="1">IF(B36&gt;Summary!$A$1,#N/A,DI36*MGtoAF)</f>
        <v>0</v>
      </c>
      <c r="DL36" s="698">
        <f t="shared" si="146"/>
        <v>6.23</v>
      </c>
      <c r="DM36" s="560">
        <f t="shared" si="147"/>
        <v>14.13</v>
      </c>
      <c r="DN36" s="560">
        <f>Sheet1!AB38-DM36</f>
        <v>-3.0000000000001137E-2</v>
      </c>
      <c r="DO36" s="823">
        <f t="shared" si="148"/>
        <v>-2.1231422505308658E-3</v>
      </c>
      <c r="DP36" s="560">
        <f>(VLOOKUP(Sheet1!DC38,hhdcap_wcm,4)-(((VLOOKUP(Sheet1!DC38,hhdcap_wcm,3)-Sheet1!DC38)/(VLOOKUP(Sheet1!DC38,hhdcap_wcm,3)-VLOOKUP(Sheet1!DC38,hhdcap_wcm,1)))*(VLOOKUP(Sheet1!DC38,hhdcap_wcm,4)-VLOOKUP(Sheet1!DC38,hhdcap_wcm,2))))</f>
        <v>902.00000000278305</v>
      </c>
      <c r="DQ36" s="560">
        <f t="shared" si="149"/>
        <v>60.00000000005457</v>
      </c>
      <c r="DR36" s="560">
        <f t="shared" si="150"/>
        <v>30.257186081721915</v>
      </c>
      <c r="DS36" s="560">
        <f>Sheet1!EA38*AFtoMG</f>
        <v>0</v>
      </c>
      <c r="DT36" s="560">
        <f>Sheet1!EB38*AFtoMG</f>
        <v>0</v>
      </c>
      <c r="DU36" s="560">
        <f>Sheet1!EC38*AFtoMG</f>
        <v>0</v>
      </c>
      <c r="DV36" s="560">
        <f>Sheet1!ED38*AFtoMG</f>
        <v>0</v>
      </c>
      <c r="DW36" s="560">
        <f t="shared" si="151"/>
        <v>0</v>
      </c>
      <c r="DX36" s="560">
        <f t="shared" si="152"/>
        <v>0</v>
      </c>
      <c r="DY36" s="560">
        <f t="shared" si="153"/>
        <v>0</v>
      </c>
      <c r="DZ36" s="560">
        <f t="shared" si="154"/>
        <v>0</v>
      </c>
      <c r="EA36" s="560"/>
      <c r="EB36" s="545">
        <f>IF(OR(B36&lt;FV36,B36&gt;FW36),(MIN(BF36+BY36+CT36+MAX(Sheet1!AA38+AQ36-73,0),K36)),0)</f>
        <v>6.216772823779193</v>
      </c>
      <c r="EC36" s="560"/>
      <c r="ED36" s="560">
        <f t="shared" si="155"/>
        <v>6.216772823779193</v>
      </c>
      <c r="EE36" s="560"/>
      <c r="EF36" s="560">
        <f>Sheet1!EH38+Sheet1!EI38+Sheet1!EJ38+Sheet1!EK38</f>
        <v>6.23</v>
      </c>
      <c r="EG36" s="560"/>
      <c r="EH36" s="545">
        <f t="shared" si="156"/>
        <v>0</v>
      </c>
      <c r="EI36" s="560">
        <f>IF(Sheet1!ET38=1,SUM('Calculations II'!AT36:BA36)+'Calculations II'!BC36+Sheet1!BV38+'Calculations II'!BE36+AP36,SUM('Calculations II'!AT36:BA36)+'Calculations II'!BC36+Sheet1!BV38+'Calculations II'!BE36+AP36)</f>
        <v>48.426528000000005</v>
      </c>
      <c r="EJ36" s="560">
        <f>Sheet1!AA38+Sheet1!AB38+'Calculations II'!BC36</f>
        <v>47.468144000000002</v>
      </c>
      <c r="EK36" s="560"/>
      <c r="EL36" s="560"/>
      <c r="EM36" s="560">
        <f t="shared" si="157"/>
        <v>41664</v>
      </c>
      <c r="EN36" s="560">
        <f t="shared" si="158"/>
        <v>0</v>
      </c>
      <c r="EO36" s="560">
        <f t="shared" si="159"/>
        <v>0</v>
      </c>
      <c r="EP36" s="560">
        <v>0</v>
      </c>
      <c r="EQ36" s="560">
        <v>0</v>
      </c>
      <c r="ER36" s="560">
        <v>0</v>
      </c>
      <c r="ES36" s="545">
        <f t="shared" si="77"/>
        <v>4.1581967972281646</v>
      </c>
      <c r="ET36" s="560">
        <f>-(VLOOKUP(Sheet1!BQ38,Lookup!$O$4:$Q$262,2)-VLOOKUP(Sheet1!BQ37,Lookup!$O$4:$Q$262,2))/1000000</f>
        <v>2.0790983986140823</v>
      </c>
      <c r="EU36" s="560">
        <f>-(VLOOKUP(Sheet1!BR38,Lookup!$O$4:$Q$262,3)-VLOOKUP(Sheet1!BR37,Lookup!$O$4:$Q$262,3))/1000000</f>
        <v>2.0790983986140823</v>
      </c>
      <c r="EV36" s="560"/>
      <c r="EW36" s="560"/>
      <c r="EX36" s="560"/>
      <c r="EY36" s="560"/>
      <c r="EZ36" s="560"/>
      <c r="FA36" s="560"/>
      <c r="FB36" s="560"/>
      <c r="FC36" s="560"/>
      <c r="FD36" s="594" t="e">
        <f t="shared" si="160"/>
        <v>#N/A</v>
      </c>
      <c r="FE36" s="594" t="e">
        <f t="shared" si="161"/>
        <v>#N/A</v>
      </c>
      <c r="FF36" s="595" t="e">
        <f t="shared" si="162"/>
        <v>#N/A</v>
      </c>
      <c r="FG36" s="596" t="s">
        <v>692</v>
      </c>
      <c r="FH36" s="596" t="s">
        <v>692</v>
      </c>
      <c r="FI36" s="594" t="e">
        <v>#N/A</v>
      </c>
      <c r="FJ36" s="594" t="e">
        <v>#N/A</v>
      </c>
      <c r="FK36" s="560"/>
      <c r="FL36" s="560"/>
      <c r="FM36" s="560"/>
      <c r="FN36" s="560"/>
      <c r="FO36" s="560">
        <f>O36+((Sheet1!CS38)*GPMtoMGD)</f>
        <v>47.468144000000002</v>
      </c>
      <c r="FP36" s="560">
        <f>IF(Sheet1!AA38+AQ36&lt;=Calculation!N36,AQ36,Calculation!N36-Sheet1!AA38)</f>
        <v>6.8853503184713372</v>
      </c>
      <c r="FQ36" s="560">
        <f>(Sheet1!BP38+Sheet1!BO38)/694.4</f>
        <v>1.7968029953917053</v>
      </c>
      <c r="FR36" s="560"/>
      <c r="FS36" s="560"/>
      <c r="FT36" s="560"/>
      <c r="FU36" s="560"/>
      <c r="FV36" s="695">
        <f t="shared" si="80"/>
        <v>41827</v>
      </c>
      <c r="FW36" s="695">
        <f t="shared" si="81"/>
        <v>41934</v>
      </c>
      <c r="FX36" s="560"/>
      <c r="FY36" s="560"/>
      <c r="FZ36" s="560"/>
      <c r="GA36" s="560"/>
      <c r="GB36" s="560" t="str">
        <f t="shared" si="82"/>
        <v>n</v>
      </c>
      <c r="GC36" s="564">
        <f t="shared" si="83"/>
        <v>41691</v>
      </c>
      <c r="GD36" s="695">
        <f t="shared" si="84"/>
        <v>41807</v>
      </c>
      <c r="GE36" s="560">
        <v>6518.9</v>
      </c>
      <c r="GF36" s="695">
        <f t="shared" si="85"/>
        <v>41808</v>
      </c>
      <c r="GG36" s="560">
        <f t="shared" si="163"/>
        <v>3259</v>
      </c>
      <c r="GH36" s="564">
        <f t="shared" si="87"/>
        <v>41934</v>
      </c>
      <c r="GJ36" s="545">
        <f t="shared" si="88"/>
        <v>0</v>
      </c>
      <c r="GK36" s="560" t="str">
        <f t="shared" si="164"/>
        <v/>
      </c>
      <c r="GL36" s="560">
        <f t="shared" si="89"/>
        <v>0</v>
      </c>
      <c r="GM36" s="560" t="str">
        <f t="shared" si="90"/>
        <v/>
      </c>
      <c r="GN36" s="560">
        <f>IF(GK36="P",Lookup!$M$12,IF(GK36="PP",Lookup!$M$13,IF(GK36="PPP",Lookup!$M$14,IF(GK36="T",Lookup!$M$15,IF(GK36="TP",Lookup!$M$16,IF(GK36="TPP",Lookup!$M$17,IF(GK36="TPPP",Lookup!$M$18,0)))))))*GJ36</f>
        <v>0</v>
      </c>
      <c r="GO36" s="560">
        <f t="shared" si="91"/>
        <v>0</v>
      </c>
      <c r="GP36" s="560">
        <f t="shared" si="165"/>
        <v>0</v>
      </c>
      <c r="GQ36" s="560">
        <f t="shared" si="99"/>
        <v>0</v>
      </c>
      <c r="GR36" s="560"/>
      <c r="GS36" s="560">
        <f t="shared" si="92"/>
        <v>0</v>
      </c>
      <c r="GT36" s="560" t="str">
        <f t="shared" si="93"/>
        <v/>
      </c>
      <c r="GU36" s="560">
        <f>IF(GK36="P",Lookup!$N$12,IF(GK36="PP",Lookup!$N$13,IF(GK36="PPP",Lookup!$N$14,IF(GK36="T",Lookup!$N$15,IF(GK36="TP",Lookup!$N$16,IF(GK36="TPP",Lookup!$N$17,IF(GK36="TPPP",Lookup!$N$18,0)))))))*GJ36</f>
        <v>0</v>
      </c>
      <c r="GV36" s="560">
        <f t="shared" si="57"/>
        <v>0</v>
      </c>
      <c r="GW36" s="560">
        <f t="shared" si="166"/>
        <v>0</v>
      </c>
      <c r="GX36" s="560">
        <f t="shared" si="100"/>
        <v>0</v>
      </c>
      <c r="GY36" s="560"/>
      <c r="GZ36" s="560">
        <f t="shared" si="94"/>
        <v>0</v>
      </c>
      <c r="HA36" s="560" t="str">
        <f t="shared" si="95"/>
        <v/>
      </c>
      <c r="HB36" s="560">
        <f>IF(GK36="P",Lookup!$N$12,IF(GK36="PP",Lookup!$N$13,IF(GK36="PPP",Lookup!$N$14,IF(GK36="T",Lookup!$N$15,IF(GK36="TP",Lookup!$N$16,IF(GK36="TPP",Lookup!$N$17,IF(GK36="TPPP",Lookup!$N$18,0)))))))*GJ36</f>
        <v>0</v>
      </c>
      <c r="HC36" s="545">
        <f t="shared" si="167"/>
        <v>0</v>
      </c>
      <c r="HD36" s="560">
        <f t="shared" si="168"/>
        <v>0</v>
      </c>
      <c r="HE36" s="560">
        <f t="shared" si="101"/>
        <v>0</v>
      </c>
      <c r="HF36" s="560"/>
      <c r="HG36" s="560">
        <f t="shared" si="96"/>
        <v>0</v>
      </c>
      <c r="HH36" s="560" t="str">
        <f t="shared" si="97"/>
        <v/>
      </c>
      <c r="HI36" s="560">
        <f>IF(GK36="P",Lookup!$N$12,IF(GK36="PP",Lookup!$N$13,IF(GK36="PPP",Lookup!$N$14,IF(GK36="T",Lookup!$N$15,IF(GK36="TP",Lookup!$N$16,IF(GK36="TPP",Lookup!$N$17,IF(GK36="TPPP",Lookup!$N$18,0)))))))*GJ36</f>
        <v>0</v>
      </c>
      <c r="HJ36" s="545">
        <f t="shared" si="169"/>
        <v>0</v>
      </c>
      <c r="HK36" s="560">
        <f t="shared" si="170"/>
        <v>0</v>
      </c>
      <c r="HL36" s="560">
        <f t="shared" si="102"/>
        <v>0</v>
      </c>
      <c r="HM36" s="560"/>
    </row>
    <row r="37" spans="1:221">
      <c r="A37" s="580" t="s">
        <v>3</v>
      </c>
      <c r="B37" s="556">
        <v>41665</v>
      </c>
      <c r="C37" s="561">
        <v>0</v>
      </c>
      <c r="D37" s="529">
        <f t="shared" si="103"/>
        <v>300</v>
      </c>
      <c r="E37" s="529">
        <f t="shared" si="104"/>
        <v>250</v>
      </c>
      <c r="F37" s="529">
        <v>250</v>
      </c>
      <c r="G37" s="560">
        <f>DR37+Sheet1!CZ39</f>
        <v>686.84568835096957</v>
      </c>
      <c r="H37" s="914">
        <f t="shared" si="2"/>
        <v>177.01385295006673</v>
      </c>
      <c r="I37" s="559">
        <f>MAX(Sheet1!Z39-AT37+(Sheet1!DA39-E37)*CFStoMGD,0)</f>
        <v>608.78800000000001</v>
      </c>
      <c r="J37" s="562">
        <f>IF(AND(B37&gt;=Calculation!GC37,B37&lt;=Calculation!GD37),IF(Sheet1!DB39&gt;=Calculation!D37,64.64,0),MAX(Sheet1!Z39-AT37+(Sheet1!DB39-D37)*CFStoMGD,0))</f>
        <v>303.04079999999999</v>
      </c>
      <c r="K37" s="904">
        <f t="shared" si="105"/>
        <v>64.64</v>
      </c>
      <c r="L37" s="560">
        <f>Sheet1!AA39+Sheet1!AB39-Sheet1!L39+(Sheet1!DA39-F37)*CFStoMGD</f>
        <v>594.68799999999999</v>
      </c>
      <c r="M37" s="560">
        <f t="shared" si="106"/>
        <v>452.85659400906809</v>
      </c>
      <c r="N37" s="910">
        <f>IF(Sheet1!DA39&gt;=F37,MIN(73,MIN(MAX(L37,0),MAX(M37,0))),0)</f>
        <v>73</v>
      </c>
      <c r="O37" s="563">
        <f>Sheet1!AA39+Sheet1!AB39</f>
        <v>33.78</v>
      </c>
      <c r="P37" s="563">
        <f t="shared" si="107"/>
        <v>52.257660000000001</v>
      </c>
      <c r="Q37" s="898">
        <f t="shared" si="63"/>
        <v>0</v>
      </c>
      <c r="R37" s="829">
        <f t="shared" si="108"/>
        <v>6.2125097400297511</v>
      </c>
      <c r="S37" s="898">
        <f t="shared" si="65"/>
        <v>33.78</v>
      </c>
      <c r="T37" s="898">
        <f t="shared" si="66"/>
        <v>0</v>
      </c>
      <c r="U37" s="898">
        <f t="shared" si="6"/>
        <v>0</v>
      </c>
      <c r="V37" s="898"/>
      <c r="W37" s="898">
        <f t="shared" si="67"/>
        <v>58.427490259970249</v>
      </c>
      <c r="X37" s="898">
        <f t="shared" si="68"/>
        <v>33.78</v>
      </c>
      <c r="Y37" s="898" t="str">
        <f t="shared" si="69"/>
        <v/>
      </c>
      <c r="Z37" s="898">
        <f t="shared" si="70"/>
        <v>33.78</v>
      </c>
      <c r="AA37" s="898">
        <f t="shared" si="71"/>
        <v>33.78</v>
      </c>
      <c r="AB37" s="898" t="str">
        <f t="shared" si="72"/>
        <v/>
      </c>
      <c r="AC37" s="563">
        <f>Sheet1!Y39*MGDtoCFS</f>
        <v>30.290259999999996</v>
      </c>
      <c r="AD37" s="563">
        <f>Sheet1!Z39*MGDtoCFS</f>
        <v>21.8127</v>
      </c>
      <c r="AE37" s="563">
        <f>Sheet1!AA39*MGDtoCFS</f>
        <v>30.444959999999998</v>
      </c>
      <c r="AF37" s="563">
        <f>Sheet1!AB39*MGDtoCFS</f>
        <v>21.8127</v>
      </c>
      <c r="AG37" s="563">
        <f>Sheet1!L39*MGDtoCFS</f>
        <v>52.257660000000001</v>
      </c>
      <c r="AH37" s="545">
        <f t="shared" si="109"/>
        <v>0</v>
      </c>
      <c r="AI37" s="560">
        <f t="shared" si="110"/>
        <v>0</v>
      </c>
      <c r="AJ37" s="560">
        <f t="shared" si="111"/>
        <v>0</v>
      </c>
      <c r="AK37" s="560">
        <f t="shared" si="112"/>
        <v>0</v>
      </c>
      <c r="AL37" s="560">
        <f>(VLOOKUP(Sheet1!DC39,hhdcap_wcm,4)-(((VLOOKUP(Sheet1!DC39,hhdcap_wcm,3)-Sheet1!DC39)/(VLOOKUP(Sheet1!DC39,hhdcap_wcm,3)-VLOOKUP(Sheet1!DC39,hhdcap_wcm,1)))*(VLOOKUP(Sheet1!DC39,hhdcap_wcm,4)-VLOOKUP(Sheet1!DC39,hhdcap_wcm,2))))</f>
        <v>866.00000000275577</v>
      </c>
      <c r="AM37" s="560">
        <f t="shared" si="113"/>
        <v>-36.000000000027285</v>
      </c>
      <c r="AN37" s="560">
        <f t="shared" si="114"/>
        <v>0</v>
      </c>
      <c r="AO37" s="560">
        <f t="shared" si="115"/>
        <v>0</v>
      </c>
      <c r="AP37" s="560">
        <f>Sheet1!BA39+Sheet1!BB39+Sheet1!BN39+CD37</f>
        <v>7.8970000000000002</v>
      </c>
      <c r="AQ37" s="560">
        <f>Sheet1!BN39+(DO37*Sheet1!BN39)</f>
        <v>6.8916908691648366</v>
      </c>
      <c r="AR37" s="560">
        <f>Sheet1!BA39+CD37</f>
        <v>0</v>
      </c>
      <c r="AS37" s="560">
        <f>Sheet1!BA39+Sheet1!BB39+CD37</f>
        <v>0.997</v>
      </c>
      <c r="AT37" s="698">
        <f>0</f>
        <v>0</v>
      </c>
      <c r="AU37" s="560">
        <f>IF(EB37&lt;K37,0,MAX(Sheet1!AA39+AQ37-15/36*K37-N37,Sheet1!EH39,0))</f>
        <v>0</v>
      </c>
      <c r="AV37" s="560">
        <f>IF(OR(B37&gt;=GD37,B37&lt;GC37),0,15/36*K37-MAX(0,64.6-(137.6-(Sheet1!AA39+Sheet1!AB39))))</f>
        <v>0</v>
      </c>
      <c r="AW37" s="698">
        <f>Sheet1!DB39-110</f>
        <v>637</v>
      </c>
      <c r="AX37" s="698">
        <f>Sheet1!DA39-265</f>
        <v>905</v>
      </c>
      <c r="AY37" s="698">
        <f t="shared" si="116"/>
        <v>73</v>
      </c>
      <c r="AZ37" s="698">
        <v>0</v>
      </c>
      <c r="BA37" s="698">
        <f t="shared" si="117"/>
        <v>0</v>
      </c>
      <c r="BB37" s="560">
        <f t="shared" si="118"/>
        <v>0</v>
      </c>
      <c r="BC37" s="560"/>
      <c r="BD37" s="560">
        <f ca="1">IF(B37&gt;Summary!$A$1,#N/A,BB37*MGtoAF)</f>
        <v>0</v>
      </c>
      <c r="BE37" s="560">
        <f>Sheet1!BG39+Sheet1!BH39+Sheet1!BI39-BM37</f>
        <v>0</v>
      </c>
      <c r="BF37" s="560">
        <f t="shared" si="119"/>
        <v>0</v>
      </c>
      <c r="BG37" s="560">
        <f>IF(Sheet1!EP39="FM",BM37,0)</f>
        <v>0</v>
      </c>
      <c r="BH37" s="560">
        <f t="shared" si="120"/>
        <v>0</v>
      </c>
      <c r="BI37" s="560">
        <f>IF(Sheet1!EP39="OTHER",BM37,0)</f>
        <v>0</v>
      </c>
      <c r="BJ37" s="560">
        <f t="shared" si="121"/>
        <v>0</v>
      </c>
      <c r="BK37" s="560">
        <f t="shared" si="122"/>
        <v>0</v>
      </c>
      <c r="BL37" s="560">
        <f t="shared" si="123"/>
        <v>0</v>
      </c>
      <c r="BM37" s="560">
        <f>IF(OR(Sheet1!EP39="FM", Sheet1!EP39="OTHER"),SUM(Sheet1!BG39:'Sheet1'!BI39),0)</f>
        <v>0</v>
      </c>
      <c r="BN37" s="545">
        <f>IF(AND($B37&gt;=$FV37,$B37&lt;=$FW37),MAX(BF37,Sheet1!EI39,0),MAX(BF37-(7/36)*$K37,0))</f>
        <v>0</v>
      </c>
      <c r="BO37" s="560">
        <f t="shared" si="124"/>
        <v>0</v>
      </c>
      <c r="BP37" s="545">
        <f t="shared" si="125"/>
        <v>0</v>
      </c>
      <c r="BQ37" s="545">
        <f>IF(AND($O37&gt;0,Sheet1!EM39=1),(1-($O37-Sheet1!$L39)/$O37)*BL37,0)</f>
        <v>0</v>
      </c>
      <c r="BR37" s="545">
        <f>IF(AND(Sheet1!$L39=0,Sheet1!$L38=0, Calculation!BK37&lt;Sheet1!$EI39-0.1,Sheet1!$EI39=Sheet1!$EI38,Sheet1!$EI39=Sheet1!$EI40),Sheet1!$EI39,BL37-BQ37)</f>
        <v>0</v>
      </c>
      <c r="BS37" s="560"/>
      <c r="BT37" s="560"/>
      <c r="BU37" s="560">
        <f t="shared" si="126"/>
        <v>0</v>
      </c>
      <c r="BV37" s="560"/>
      <c r="BW37" s="560">
        <f ca="1">IF(B37&gt;Summary!$A$1,#N/A,BU37*MGtoAF)</f>
        <v>0</v>
      </c>
      <c r="BX37" s="560">
        <f>Sheet1!BC39+Sheet1!BD39+Sheet1!BE39+Sheet1!BF39-CG37-CH37</f>
        <v>2.5</v>
      </c>
      <c r="BY37" s="560">
        <f t="shared" si="127"/>
        <v>2.4969894453495782</v>
      </c>
      <c r="BZ37" s="560">
        <f>IF(Sheet1!EQ39="FM",CH37,0)</f>
        <v>0</v>
      </c>
      <c r="CA37" s="560">
        <f t="shared" si="128"/>
        <v>0</v>
      </c>
      <c r="CB37" s="560">
        <f>IF(Sheet1!EQ39="OTHER",CH37,0)</f>
        <v>0</v>
      </c>
      <c r="CC37" s="560">
        <f t="shared" si="129"/>
        <v>0</v>
      </c>
      <c r="CD37" s="560">
        <f t="shared" si="130"/>
        <v>0</v>
      </c>
      <c r="CE37" s="560">
        <f t="shared" si="131"/>
        <v>2.5</v>
      </c>
      <c r="CF37" s="560">
        <f t="shared" si="132"/>
        <v>2.4969894453495782</v>
      </c>
      <c r="CG37" s="560">
        <f>IF(Sheet1!EQ39="CWA",SUM(Sheet1!BC39:'Sheet1'!BF39),0)</f>
        <v>0</v>
      </c>
      <c r="CH37" s="560">
        <f>IF(OR(Sheet1!EQ39="FM", Sheet1!EQ39="OTHER"),SUM(Sheet1!BC39:'Sheet1'!BF39),0)</f>
        <v>0</v>
      </c>
      <c r="CI37" s="545">
        <f>IF(AND($B37&gt;=$FV37,$B37&lt;=$FW37),MAX(CF37,Sheet1!EJ39,0),MAX(CF37-(7/36)*$K37,0))</f>
        <v>0</v>
      </c>
      <c r="CJ37" s="560">
        <f t="shared" si="133"/>
        <v>0</v>
      </c>
      <c r="CK37" s="545">
        <f t="shared" si="134"/>
        <v>2.4969894453495782</v>
      </c>
      <c r="CL37" s="545">
        <f>IF(AND($O37&gt;0,Sheet1!EN39=1),(1-($O37-Sheet1!$L39)/$O37)*CF37,0)</f>
        <v>0</v>
      </c>
      <c r="CM37" s="545">
        <f>IF(AND(Sheet1!$L39=0,Sheet1!$L38=0, Calculation!CE37&lt;Sheet1!EJ39-0.1,Sheet1!EJ39=Sheet1!EJ38,Sheet1!EJ39=Sheet1!EJ40),Sheet1!EJ39,CF37-CL37)</f>
        <v>2.4969894453495782</v>
      </c>
      <c r="CN37" s="545"/>
      <c r="CO37" s="560"/>
      <c r="CP37" s="560">
        <f t="shared" si="135"/>
        <v>0</v>
      </c>
      <c r="CQ37" s="560"/>
      <c r="CR37" s="560">
        <f ca="1">IF(B37&gt;Summary!$A$1,#N/A,CP37*MGtoAF)</f>
        <v>0</v>
      </c>
      <c r="CS37" s="560">
        <f>Sheet1!BK39+Sheet1!BL39+Sheet1!BM39-Sheet1!ER39-DA37</f>
        <v>3.72</v>
      </c>
      <c r="CT37" s="560">
        <f t="shared" si="136"/>
        <v>3.7155202946801729</v>
      </c>
      <c r="CU37" s="560">
        <f>IF(Sheet1!ER39="FM",DA37,0)</f>
        <v>0</v>
      </c>
      <c r="CV37" s="560">
        <f t="shared" si="137"/>
        <v>0</v>
      </c>
      <c r="CW37" s="560">
        <f>IF(Sheet1!ER39="OTHER",DA37,0)</f>
        <v>0</v>
      </c>
      <c r="CX37" s="560">
        <f t="shared" si="138"/>
        <v>0</v>
      </c>
      <c r="CY37" s="560">
        <f t="shared" si="139"/>
        <v>3.72</v>
      </c>
      <c r="CZ37" s="560">
        <f t="shared" si="140"/>
        <v>3.7155202946801729</v>
      </c>
      <c r="DA37" s="560">
        <f>IF(OR(Sheet1!ER39="FM", Sheet1!ER39="OTHER"),SUM(Sheet1!BK39:'Sheet1'!BM39),0)</f>
        <v>0</v>
      </c>
      <c r="DB37" s="545">
        <f>IF(AND($B37&gt;=$FV37,$B37&lt;=$FW37),MAX($CT37,Sheet1!EK39,0),MAX($CT37-(7/36)*$K37,0))</f>
        <v>0</v>
      </c>
      <c r="DC37" s="560">
        <f t="shared" si="141"/>
        <v>0</v>
      </c>
      <c r="DD37" s="545">
        <f t="shared" si="142"/>
        <v>3.7155202946801729</v>
      </c>
      <c r="DE37" s="545">
        <f>IF(AND($O37&gt;0,Sheet1!EO39=1),(1-($O37-Sheet1!$L39)/$O37)*CZ37,0)</f>
        <v>0</v>
      </c>
      <c r="DF37" s="545">
        <f>IF(AND(Sheet1!$L39=0,Sheet1!$L38=0, Calculation!CY37&lt;Sheet1!$EK39-0.1,Sheet1!$EK39=Sheet1!$EK38,Sheet1!$EK39=Sheet1!$EK40),Sheet1!$EK39,CZ37-DE37)</f>
        <v>3.7155202946801729</v>
      </c>
      <c r="DG37" s="545"/>
      <c r="DH37" s="560">
        <f t="shared" si="143"/>
        <v>6.2200000000000006</v>
      </c>
      <c r="DI37" s="560">
        <f t="shared" si="144"/>
        <v>0</v>
      </c>
      <c r="DJ37" s="698">
        <f t="shared" si="145"/>
        <v>6.2125097400297511</v>
      </c>
      <c r="DK37" s="560">
        <f ca="1">IF(B37&gt;Summary!$A$1,#N/A,DI37*MGtoAF)</f>
        <v>0</v>
      </c>
      <c r="DL37" s="698">
        <f t="shared" si="146"/>
        <v>6.2200000000000006</v>
      </c>
      <c r="DM37" s="560">
        <f t="shared" si="147"/>
        <v>14.117000000000001</v>
      </c>
      <c r="DN37" s="560">
        <f>Sheet1!AB39-DM37</f>
        <v>-1.7000000000001236E-2</v>
      </c>
      <c r="DO37" s="823">
        <f t="shared" si="148"/>
        <v>-1.2042218601686786E-3</v>
      </c>
      <c r="DP37" s="560">
        <f>(VLOOKUP(Sheet1!DC39,hhdcap_wcm,4)-(((VLOOKUP(Sheet1!DC39,hhdcap_wcm,3)-Sheet1!DC39)/(VLOOKUP(Sheet1!DC39,hhdcap_wcm,3)-VLOOKUP(Sheet1!DC39,hhdcap_wcm,1)))*(VLOOKUP(Sheet1!DC39,hhdcap_wcm,4)-VLOOKUP(Sheet1!DC39,hhdcap_wcm,2))))</f>
        <v>866.00000000275577</v>
      </c>
      <c r="DQ37" s="560">
        <f t="shared" si="149"/>
        <v>-36.000000000027285</v>
      </c>
      <c r="DR37" s="560">
        <f t="shared" si="150"/>
        <v>-18.154311649030397</v>
      </c>
      <c r="DS37" s="560">
        <f>Sheet1!EA39*AFtoMG</f>
        <v>0</v>
      </c>
      <c r="DT37" s="560">
        <f>Sheet1!EB39*AFtoMG</f>
        <v>0</v>
      </c>
      <c r="DU37" s="560">
        <f>Sheet1!EC39*AFtoMG</f>
        <v>0</v>
      </c>
      <c r="DV37" s="560">
        <f>Sheet1!ED39*AFtoMG</f>
        <v>0</v>
      </c>
      <c r="DW37" s="560">
        <f t="shared" si="151"/>
        <v>0</v>
      </c>
      <c r="DX37" s="560">
        <f t="shared" si="152"/>
        <v>0</v>
      </c>
      <c r="DY37" s="560">
        <f t="shared" si="153"/>
        <v>0</v>
      </c>
      <c r="DZ37" s="560">
        <f t="shared" si="154"/>
        <v>0</v>
      </c>
      <c r="EA37" s="560"/>
      <c r="EB37" s="545">
        <f>IF(OR(B37&lt;FV37,B37&gt;FW37),(MIN(BF37+BY37+CT37+MAX(Sheet1!AA39+AQ37-73,0),K37)),0)</f>
        <v>6.2125097400297511</v>
      </c>
      <c r="EC37" s="560"/>
      <c r="ED37" s="560">
        <f t="shared" si="155"/>
        <v>6.2125097400297511</v>
      </c>
      <c r="EE37" s="560"/>
      <c r="EF37" s="560">
        <f>Sheet1!EH39+Sheet1!EI39+Sheet1!EJ39+Sheet1!EK39</f>
        <v>6.2200000000000006</v>
      </c>
      <c r="EG37" s="560"/>
      <c r="EH37" s="545">
        <f t="shared" si="156"/>
        <v>0</v>
      </c>
      <c r="EI37" s="560">
        <f>IF(Sheet1!ET39=1,SUM('Calculations II'!AT37:BA37)+'Calculations II'!BC37+Sheet1!BV39+'Calculations II'!BE37+AP37,SUM('Calculations II'!AT37:BA37)+'Calculations II'!BC37+Sheet1!BV39+'Calculations II'!BE37+AP37)</f>
        <v>48.472591999999999</v>
      </c>
      <c r="EJ37" s="560">
        <f>Sheet1!AA39+Sheet1!AB39+'Calculations II'!BC37</f>
        <v>47.427168000000002</v>
      </c>
      <c r="EK37" s="560"/>
      <c r="EL37" s="560"/>
      <c r="EM37" s="560">
        <f t="shared" si="157"/>
        <v>41665</v>
      </c>
      <c r="EN37" s="560">
        <f t="shared" si="158"/>
        <v>0</v>
      </c>
      <c r="EO37" s="560">
        <f t="shared" si="159"/>
        <v>0</v>
      </c>
      <c r="EP37" s="560">
        <v>0</v>
      </c>
      <c r="EQ37" s="560">
        <v>0</v>
      </c>
      <c r="ER37" s="560">
        <v>0</v>
      </c>
      <c r="ES37" s="545">
        <f t="shared" si="77"/>
        <v>4.5706833350325304</v>
      </c>
      <c r="ET37" s="560">
        <f>-(VLOOKUP(Sheet1!BQ39,Lookup!$O$4:$Q$262,2)-VLOOKUP(Sheet1!BQ38,Lookup!$O$4:$Q$262,2))/1000000</f>
        <v>2.2161152998310962</v>
      </c>
      <c r="EU37" s="560">
        <f>-(VLOOKUP(Sheet1!BR39,Lookup!$O$4:$Q$262,3)-VLOOKUP(Sheet1!BR38,Lookup!$O$4:$Q$262,3))/1000000</f>
        <v>2.3545680352014342</v>
      </c>
      <c r="EV37" s="560"/>
      <c r="EW37" s="560"/>
      <c r="EX37" s="560"/>
      <c r="EY37" s="560"/>
      <c r="EZ37" s="560"/>
      <c r="FA37" s="560"/>
      <c r="FB37" s="560"/>
      <c r="FC37" s="560"/>
      <c r="FD37" s="594" t="e">
        <f t="shared" si="160"/>
        <v>#N/A</v>
      </c>
      <c r="FE37" s="594" t="e">
        <f t="shared" si="161"/>
        <v>#N/A</v>
      </c>
      <c r="FF37" s="595" t="e">
        <f t="shared" si="162"/>
        <v>#N/A</v>
      </c>
      <c r="FG37" s="596" t="s">
        <v>692</v>
      </c>
      <c r="FH37" s="596" t="s">
        <v>692</v>
      </c>
      <c r="FI37" s="594" t="e">
        <v>#N/A</v>
      </c>
      <c r="FJ37" s="594" t="e">
        <v>#N/A</v>
      </c>
      <c r="FK37" s="560"/>
      <c r="FL37" s="560"/>
      <c r="FM37" s="560"/>
      <c r="FN37" s="560"/>
      <c r="FO37" s="560">
        <f>O37+((Sheet1!CS39)*GPMtoMGD)</f>
        <v>47.427168000000002</v>
      </c>
      <c r="FP37" s="560">
        <f>IF(Sheet1!AA39+AQ37&lt;=Calculation!N37,AQ37,Calculation!N37-Sheet1!AA39)</f>
        <v>6.8916908691648366</v>
      </c>
      <c r="FQ37" s="560">
        <f>(Sheet1!BP39+Sheet1!BO39)/694.4</f>
        <v>1.8162442396313365</v>
      </c>
      <c r="FR37" s="560"/>
      <c r="FS37" s="560"/>
      <c r="FT37" s="560"/>
      <c r="FU37" s="560"/>
      <c r="FV37" s="695">
        <f t="shared" si="80"/>
        <v>41827</v>
      </c>
      <c r="FW37" s="695">
        <f t="shared" si="81"/>
        <v>41934</v>
      </c>
      <c r="FX37" s="560"/>
      <c r="FY37" s="560"/>
      <c r="FZ37" s="560"/>
      <c r="GA37" s="560"/>
      <c r="GB37" s="560" t="str">
        <f t="shared" si="82"/>
        <v>n</v>
      </c>
      <c r="GC37" s="564">
        <f t="shared" si="83"/>
        <v>41691</v>
      </c>
      <c r="GD37" s="695">
        <f t="shared" si="84"/>
        <v>41807</v>
      </c>
      <c r="GE37" s="560">
        <v>6518.9</v>
      </c>
      <c r="GF37" s="695">
        <f t="shared" si="85"/>
        <v>41808</v>
      </c>
      <c r="GG37" s="560">
        <f t="shared" si="163"/>
        <v>3259</v>
      </c>
      <c r="GH37" s="564">
        <f t="shared" si="87"/>
        <v>41934</v>
      </c>
      <c r="GJ37" s="545">
        <f t="shared" si="88"/>
        <v>0</v>
      </c>
      <c r="GK37" s="560" t="str">
        <f t="shared" si="164"/>
        <v/>
      </c>
      <c r="GL37" s="560">
        <f t="shared" si="89"/>
        <v>0</v>
      </c>
      <c r="GM37" s="560" t="str">
        <f t="shared" si="90"/>
        <v/>
      </c>
      <c r="GN37" s="560">
        <f>IF(GK37="P",Lookup!$M$12,IF(GK37="PP",Lookup!$M$13,IF(GK37="PPP",Lookup!$M$14,IF(GK37="T",Lookup!$M$15,IF(GK37="TP",Lookup!$M$16,IF(GK37="TPP",Lookup!$M$17,IF(GK37="TPPP",Lookup!$M$18,0)))))))*GJ37</f>
        <v>0</v>
      </c>
      <c r="GO37" s="560">
        <f t="shared" si="91"/>
        <v>0</v>
      </c>
      <c r="GP37" s="560">
        <f t="shared" si="165"/>
        <v>0</v>
      </c>
      <c r="GQ37" s="560">
        <f t="shared" si="99"/>
        <v>0</v>
      </c>
      <c r="GR37" s="560"/>
      <c r="GS37" s="560">
        <f t="shared" si="92"/>
        <v>0</v>
      </c>
      <c r="GT37" s="560" t="str">
        <f t="shared" si="93"/>
        <v/>
      </c>
      <c r="GU37" s="560">
        <f>IF(GK37="P",Lookup!$N$12,IF(GK37="PP",Lookup!$N$13,IF(GK37="PPP",Lookup!$N$14,IF(GK37="T",Lookup!$N$15,IF(GK37="TP",Lookup!$N$16,IF(GK37="TPP",Lookup!$N$17,IF(GK37="TPPP",Lookup!$N$18,0)))))))*GJ37</f>
        <v>0</v>
      </c>
      <c r="GV37" s="560">
        <f t="shared" si="57"/>
        <v>0</v>
      </c>
      <c r="GW37" s="560">
        <f t="shared" si="166"/>
        <v>0</v>
      </c>
      <c r="GX37" s="560">
        <f t="shared" si="100"/>
        <v>0</v>
      </c>
      <c r="GY37" s="560"/>
      <c r="GZ37" s="560">
        <f t="shared" si="94"/>
        <v>0</v>
      </c>
      <c r="HA37" s="560" t="str">
        <f t="shared" si="95"/>
        <v/>
      </c>
      <c r="HB37" s="560">
        <f>IF(GK37="P",Lookup!$N$12,IF(GK37="PP",Lookup!$N$13,IF(GK37="PPP",Lookup!$N$14,IF(GK37="T",Lookup!$N$15,IF(GK37="TP",Lookup!$N$16,IF(GK37="TPP",Lookup!$N$17,IF(GK37="TPPP",Lookup!$N$18,0)))))))*GJ37</f>
        <v>0</v>
      </c>
      <c r="HC37" s="545">
        <f t="shared" si="167"/>
        <v>0</v>
      </c>
      <c r="HD37" s="560">
        <f t="shared" si="168"/>
        <v>0</v>
      </c>
      <c r="HE37" s="560">
        <f t="shared" si="101"/>
        <v>0</v>
      </c>
      <c r="HF37" s="560"/>
      <c r="HG37" s="560">
        <f t="shared" si="96"/>
        <v>0</v>
      </c>
      <c r="HH37" s="560" t="str">
        <f t="shared" si="97"/>
        <v/>
      </c>
      <c r="HI37" s="560">
        <f>IF(GK37="P",Lookup!$N$12,IF(GK37="PP",Lookup!$N$13,IF(GK37="PPP",Lookup!$N$14,IF(GK37="T",Lookup!$N$15,IF(GK37="TP",Lookup!$N$16,IF(GK37="TPP",Lookup!$N$17,IF(GK37="TPPP",Lookup!$N$18,0)))))))*GJ37</f>
        <v>0</v>
      </c>
      <c r="HJ37" s="545">
        <f t="shared" si="169"/>
        <v>0</v>
      </c>
      <c r="HK37" s="560">
        <f t="shared" si="170"/>
        <v>0</v>
      </c>
      <c r="HL37" s="560">
        <f t="shared" si="102"/>
        <v>0</v>
      </c>
      <c r="HM37" s="560"/>
    </row>
    <row r="38" spans="1:221">
      <c r="A38" s="580" t="s">
        <v>4</v>
      </c>
      <c r="B38" s="556">
        <v>41666</v>
      </c>
      <c r="C38" s="561">
        <v>0</v>
      </c>
      <c r="D38" s="529">
        <f t="shared" si="103"/>
        <v>300</v>
      </c>
      <c r="E38" s="529">
        <f t="shared" si="104"/>
        <v>250</v>
      </c>
      <c r="F38" s="529">
        <v>250</v>
      </c>
      <c r="G38" s="560">
        <f>DR38+Sheet1!CZ40</f>
        <v>626.46394351987806</v>
      </c>
      <c r="H38" s="914">
        <f t="shared" si="2"/>
        <v>137.98309309124917</v>
      </c>
      <c r="I38" s="559">
        <f>MAX(Sheet1!Z40-AT38+(Sheet1!DA40-E38)*CFStoMGD,0)</f>
        <v>576.46799999999996</v>
      </c>
      <c r="J38" s="562">
        <f>IF(AND(B38&gt;=Calculation!GC38,B38&lt;=Calculation!GD38),IF(Sheet1!DB40&gt;=Calculation!D38,64.64,0),MAX(Sheet1!Z40-AT38+(Sheet1!DB40-D38)*CFStoMGD,0))</f>
        <v>281.06319999999999</v>
      </c>
      <c r="K38" s="904">
        <f t="shared" si="105"/>
        <v>64.64</v>
      </c>
      <c r="L38" s="560">
        <f>Sheet1!AA40+Sheet1!AB40-Sheet1!L40+(Sheet1!DA40-F38)*CFStoMGD</f>
        <v>562.36799999999994</v>
      </c>
      <c r="M38" s="560">
        <f t="shared" si="106"/>
        <v>413.0452189530742</v>
      </c>
      <c r="N38" s="910">
        <f>IF(Sheet1!DA40&gt;=F38,MIN(73,MIN(MAX(L38,0),MAX(M38,0))),0)</f>
        <v>73</v>
      </c>
      <c r="O38" s="563">
        <f>Sheet1!AA40+Sheet1!AB40</f>
        <v>33.700000000000003</v>
      </c>
      <c r="P38" s="563">
        <f t="shared" si="107"/>
        <v>52.133899999999997</v>
      </c>
      <c r="Q38" s="898">
        <f t="shared" si="63"/>
        <v>0</v>
      </c>
      <c r="R38" s="829">
        <f t="shared" si="108"/>
        <v>6.2525838878663453</v>
      </c>
      <c r="S38" s="898">
        <f t="shared" si="65"/>
        <v>33.700000000000003</v>
      </c>
      <c r="T38" s="898">
        <f t="shared" si="66"/>
        <v>0</v>
      </c>
      <c r="U38" s="898">
        <f t="shared" si="6"/>
        <v>0</v>
      </c>
      <c r="V38" s="898"/>
      <c r="W38" s="898">
        <f t="shared" si="67"/>
        <v>58.387416112133657</v>
      </c>
      <c r="X38" s="898">
        <f t="shared" si="68"/>
        <v>33.700000000000003</v>
      </c>
      <c r="Y38" s="898" t="str">
        <f t="shared" si="69"/>
        <v/>
      </c>
      <c r="Z38" s="898">
        <f t="shared" si="70"/>
        <v>33.700000000000003</v>
      </c>
      <c r="AA38" s="898">
        <f t="shared" si="71"/>
        <v>33.700000000000003</v>
      </c>
      <c r="AB38" s="898" t="str">
        <f t="shared" si="72"/>
        <v/>
      </c>
      <c r="AC38" s="563">
        <f>Sheet1!Y40*MGDtoCFS</f>
        <v>30.444959999999998</v>
      </c>
      <c r="AD38" s="563">
        <f>Sheet1!Z40*MGDtoCFS</f>
        <v>21.8127</v>
      </c>
      <c r="AE38" s="563">
        <f>Sheet1!AA40*MGDtoCFS</f>
        <v>30.166499999999999</v>
      </c>
      <c r="AF38" s="563">
        <f>Sheet1!AB40*MGDtoCFS</f>
        <v>21.967399999999998</v>
      </c>
      <c r="AG38" s="563">
        <f>Sheet1!L40*MGDtoCFS</f>
        <v>52.133900000000004</v>
      </c>
      <c r="AH38" s="545">
        <f t="shared" si="109"/>
        <v>0</v>
      </c>
      <c r="AI38" s="560">
        <f t="shared" si="110"/>
        <v>0</v>
      </c>
      <c r="AJ38" s="560">
        <f t="shared" si="111"/>
        <v>0</v>
      </c>
      <c r="AK38" s="560">
        <f t="shared" si="112"/>
        <v>0</v>
      </c>
      <c r="AL38" s="560">
        <f>(VLOOKUP(Sheet1!DC40,hhdcap_wcm,4)-(((VLOOKUP(Sheet1!DC40,hhdcap_wcm,3)-Sheet1!DC40)/(VLOOKUP(Sheet1!DC40,hhdcap_wcm,3)-VLOOKUP(Sheet1!DC40,hhdcap_wcm,1)))*(VLOOKUP(Sheet1!DC40,hhdcap_wcm,4)-VLOOKUP(Sheet1!DC40,hhdcap_wcm,2))))</f>
        <v>787.60000000267394</v>
      </c>
      <c r="AM38" s="560">
        <f t="shared" si="113"/>
        <v>-78.400000000081832</v>
      </c>
      <c r="AN38" s="560">
        <f t="shared" si="114"/>
        <v>0</v>
      </c>
      <c r="AO38" s="560">
        <f t="shared" si="115"/>
        <v>0</v>
      </c>
      <c r="AP38" s="560">
        <f>Sheet1!BA40+Sheet1!BB40+Sheet1!BN40+CD38</f>
        <v>7.9060000000000006</v>
      </c>
      <c r="AQ38" s="560">
        <f>Sheet1!BN40+(DO38*Sheet1!BN40)</f>
        <v>6.9361461135494826</v>
      </c>
      <c r="AR38" s="560">
        <f>Sheet1!BA40+CD38</f>
        <v>0</v>
      </c>
      <c r="AS38" s="560">
        <f>Sheet1!BA40+Sheet1!BB40+CD38</f>
        <v>1.006</v>
      </c>
      <c r="AT38" s="698">
        <f>0</f>
        <v>0</v>
      </c>
      <c r="AU38" s="560">
        <f>IF(EB38&lt;K38,0,MAX(Sheet1!AA40+AQ38-15/36*K38-N38,Sheet1!EH40,0))</f>
        <v>0</v>
      </c>
      <c r="AV38" s="560">
        <f>IF(OR(B38&gt;=GD38,B38&lt;GC38),0,15/36*K38-MAX(0,64.6-(137.6-(Sheet1!AA40+Sheet1!AB40))))</f>
        <v>0</v>
      </c>
      <c r="AW38" s="698">
        <f>Sheet1!DB40-110</f>
        <v>603</v>
      </c>
      <c r="AX38" s="698">
        <f>Sheet1!DA40-265</f>
        <v>855</v>
      </c>
      <c r="AY38" s="698">
        <f t="shared" si="116"/>
        <v>73</v>
      </c>
      <c r="AZ38" s="698">
        <v>0</v>
      </c>
      <c r="BA38" s="698">
        <f t="shared" si="117"/>
        <v>0</v>
      </c>
      <c r="BB38" s="560">
        <f t="shared" si="118"/>
        <v>0</v>
      </c>
      <c r="BC38" s="560"/>
      <c r="BD38" s="560">
        <f ca="1">IF(B38&gt;Summary!$A$1,#N/A,BB38*MGtoAF)</f>
        <v>0</v>
      </c>
      <c r="BE38" s="560">
        <f>Sheet1!BG40+Sheet1!BH40+Sheet1!BI40-BM38</f>
        <v>0</v>
      </c>
      <c r="BF38" s="560">
        <f t="shared" si="119"/>
        <v>0</v>
      </c>
      <c r="BG38" s="560">
        <f>IF(Sheet1!EP40="FM",BM38,0)</f>
        <v>0</v>
      </c>
      <c r="BH38" s="560">
        <f t="shared" si="120"/>
        <v>0</v>
      </c>
      <c r="BI38" s="560">
        <f>IF(Sheet1!EP40="OTHER",BM38,0)</f>
        <v>0</v>
      </c>
      <c r="BJ38" s="560">
        <f t="shared" si="121"/>
        <v>0</v>
      </c>
      <c r="BK38" s="560">
        <f t="shared" si="122"/>
        <v>0</v>
      </c>
      <c r="BL38" s="560">
        <f t="shared" si="123"/>
        <v>0</v>
      </c>
      <c r="BM38" s="560">
        <f>IF(OR(Sheet1!EP40="FM", Sheet1!EP40="OTHER"),SUM(Sheet1!BG40:'Sheet1'!BI40),0)</f>
        <v>0</v>
      </c>
      <c r="BN38" s="545">
        <f>IF(AND($B38&gt;=$FV38,$B38&lt;=$FW38),MAX(BF38,Sheet1!EI40,0),MAX(BF38-(7/36)*$K38,0))</f>
        <v>0</v>
      </c>
      <c r="BO38" s="560">
        <f t="shared" si="124"/>
        <v>0</v>
      </c>
      <c r="BP38" s="545">
        <f t="shared" si="125"/>
        <v>0</v>
      </c>
      <c r="BQ38" s="545">
        <f>IF(AND($O38&gt;0,Sheet1!EM40=1),(1-($O38-Sheet1!$L40)/$O38)*BL38,0)</f>
        <v>0</v>
      </c>
      <c r="BR38" s="545">
        <f>IF(AND(Sheet1!$L40=0,Sheet1!$L39=0, Calculation!BK38&lt;Sheet1!$EI40-0.1,Sheet1!$EI40=Sheet1!$EI39,Sheet1!$EI40=Sheet1!$EI41),Sheet1!$EI40,BL38-BQ38)</f>
        <v>0</v>
      </c>
      <c r="BS38" s="560"/>
      <c r="BT38" s="560"/>
      <c r="BU38" s="560">
        <f t="shared" si="126"/>
        <v>0</v>
      </c>
      <c r="BV38" s="560"/>
      <c r="BW38" s="560">
        <f ca="1">IF(B38&gt;Summary!$A$1,#N/A,BU38*MGtoAF)</f>
        <v>0</v>
      </c>
      <c r="BX38" s="560">
        <f>Sheet1!BC40+Sheet1!BD40+Sheet1!BE40+Sheet1!BF40-CG38-CH38</f>
        <v>2.5</v>
      </c>
      <c r="BY38" s="560">
        <f t="shared" si="127"/>
        <v>2.5130964179527111</v>
      </c>
      <c r="BZ38" s="560">
        <f>IF(Sheet1!EQ40="FM",CH38,0)</f>
        <v>0</v>
      </c>
      <c r="CA38" s="560">
        <f t="shared" si="128"/>
        <v>0</v>
      </c>
      <c r="CB38" s="560">
        <f>IF(Sheet1!EQ40="OTHER",CH38,0)</f>
        <v>0</v>
      </c>
      <c r="CC38" s="560">
        <f t="shared" si="129"/>
        <v>0</v>
      </c>
      <c r="CD38" s="560">
        <f t="shared" si="130"/>
        <v>0</v>
      </c>
      <c r="CE38" s="560">
        <f t="shared" si="131"/>
        <v>2.5</v>
      </c>
      <c r="CF38" s="560">
        <f t="shared" si="132"/>
        <v>2.5130964179527111</v>
      </c>
      <c r="CG38" s="560">
        <f>IF(Sheet1!EQ40="CWA",SUM(Sheet1!BC40:'Sheet1'!BF40),0)</f>
        <v>0</v>
      </c>
      <c r="CH38" s="560">
        <f>IF(OR(Sheet1!EQ40="FM", Sheet1!EQ40="OTHER"),SUM(Sheet1!BC40:'Sheet1'!BF40),0)</f>
        <v>0</v>
      </c>
      <c r="CI38" s="545">
        <f>IF(AND($B38&gt;=$FV38,$B38&lt;=$FW38),MAX(CF38,Sheet1!EJ40,0),MAX(CF38-(7/36)*$K38,0))</f>
        <v>0</v>
      </c>
      <c r="CJ38" s="560">
        <f t="shared" si="133"/>
        <v>0</v>
      </c>
      <c r="CK38" s="545">
        <f t="shared" si="134"/>
        <v>2.5130964179527111</v>
      </c>
      <c r="CL38" s="545">
        <f>IF(AND($O38&gt;0,Sheet1!EN40=1),(1-($O38-Sheet1!$L40)/$O38)*CF38,0)</f>
        <v>0</v>
      </c>
      <c r="CM38" s="545">
        <f>IF(AND(Sheet1!$L40=0,Sheet1!$L39=0, Calculation!CE38&lt;Sheet1!EJ40-0.1,Sheet1!EJ40=Sheet1!EJ39,Sheet1!EJ40=Sheet1!EJ41),Sheet1!EJ40,CF38-CL38)</f>
        <v>2.5130964179527111</v>
      </c>
      <c r="CN38" s="545"/>
      <c r="CO38" s="560"/>
      <c r="CP38" s="560">
        <f t="shared" si="135"/>
        <v>0</v>
      </c>
      <c r="CQ38" s="560"/>
      <c r="CR38" s="560">
        <f ca="1">IF(B38&gt;Summary!$A$1,#N/A,CP38*MGtoAF)</f>
        <v>0</v>
      </c>
      <c r="CS38" s="560">
        <f>Sheet1!BK40+Sheet1!BL40+Sheet1!BM40-Sheet1!ER40-DA38</f>
        <v>3.7199999999999998</v>
      </c>
      <c r="CT38" s="560">
        <f t="shared" si="136"/>
        <v>3.7394874699136338</v>
      </c>
      <c r="CU38" s="560">
        <f>IF(Sheet1!ER40="FM",DA38,0)</f>
        <v>0</v>
      </c>
      <c r="CV38" s="560">
        <f t="shared" si="137"/>
        <v>0</v>
      </c>
      <c r="CW38" s="560">
        <f>IF(Sheet1!ER40="OTHER",DA38,0)</f>
        <v>0</v>
      </c>
      <c r="CX38" s="560">
        <f t="shared" si="138"/>
        <v>0</v>
      </c>
      <c r="CY38" s="560">
        <f t="shared" si="139"/>
        <v>3.7199999999999998</v>
      </c>
      <c r="CZ38" s="560">
        <f t="shared" si="140"/>
        <v>3.7394874699136338</v>
      </c>
      <c r="DA38" s="560">
        <f>IF(OR(Sheet1!ER40="FM", Sheet1!ER40="OTHER"),SUM(Sheet1!BK40:'Sheet1'!BM40),0)</f>
        <v>0</v>
      </c>
      <c r="DB38" s="545">
        <f>IF(AND($B38&gt;=$FV38,$B38&lt;=$FW38),MAX($CT38,Sheet1!EK40,0),MAX($CT38-(7/36)*$K38,0))</f>
        <v>0</v>
      </c>
      <c r="DC38" s="560">
        <f t="shared" si="141"/>
        <v>0</v>
      </c>
      <c r="DD38" s="545">
        <f t="shared" si="142"/>
        <v>3.7394874699136338</v>
      </c>
      <c r="DE38" s="545">
        <f>IF(AND($O38&gt;0,Sheet1!EO40=1),(1-($O38-Sheet1!$L40)/$O38)*CZ38,0)</f>
        <v>0</v>
      </c>
      <c r="DF38" s="545">
        <f>IF(AND(Sheet1!$L40=0,Sheet1!$L39=0, Calculation!CY38&lt;Sheet1!$EK40-0.1,Sheet1!$EK40=Sheet1!$EK39,Sheet1!$EK40=Sheet1!$EK41),Sheet1!$EK40,CZ38-DE38)</f>
        <v>3.7394874699136338</v>
      </c>
      <c r="DG38" s="545"/>
      <c r="DH38" s="560">
        <f t="shared" si="143"/>
        <v>6.22</v>
      </c>
      <c r="DI38" s="560">
        <f t="shared" si="144"/>
        <v>0</v>
      </c>
      <c r="DJ38" s="698">
        <f t="shared" si="145"/>
        <v>6.2525838878663453</v>
      </c>
      <c r="DK38" s="560">
        <f ca="1">IF(B38&gt;Summary!$A$1,#N/A,DI38*MGtoAF)</f>
        <v>0</v>
      </c>
      <c r="DL38" s="698">
        <f t="shared" si="146"/>
        <v>6.22</v>
      </c>
      <c r="DM38" s="560">
        <f t="shared" si="147"/>
        <v>14.126000000000001</v>
      </c>
      <c r="DN38" s="560">
        <f>Sheet1!AB40-DM38</f>
        <v>7.3999999999998067E-2</v>
      </c>
      <c r="DO38" s="823">
        <f t="shared" si="148"/>
        <v>5.2385671810843875E-3</v>
      </c>
      <c r="DP38" s="560">
        <f>(VLOOKUP(Sheet1!DC40,hhdcap_wcm,4)-(((VLOOKUP(Sheet1!DC40,hhdcap_wcm,3)-Sheet1!DC40)/(VLOOKUP(Sheet1!DC40,hhdcap_wcm,3)-VLOOKUP(Sheet1!DC40,hhdcap_wcm,1)))*(VLOOKUP(Sheet1!DC40,hhdcap_wcm,4)-VLOOKUP(Sheet1!DC40,hhdcap_wcm,2))))</f>
        <v>787.60000000267394</v>
      </c>
      <c r="DQ38" s="560">
        <f t="shared" si="149"/>
        <v>-78.400000000081832</v>
      </c>
      <c r="DR38" s="560">
        <f t="shared" si="150"/>
        <v>-39.53605648012195</v>
      </c>
      <c r="DS38" s="560">
        <f>Sheet1!EA40*AFtoMG</f>
        <v>0</v>
      </c>
      <c r="DT38" s="560">
        <f>Sheet1!EB40*AFtoMG</f>
        <v>0</v>
      </c>
      <c r="DU38" s="560">
        <f>Sheet1!EC40*AFtoMG</f>
        <v>0</v>
      </c>
      <c r="DV38" s="560">
        <f>Sheet1!ED40*AFtoMG</f>
        <v>0</v>
      </c>
      <c r="DW38" s="560">
        <f t="shared" si="151"/>
        <v>0</v>
      </c>
      <c r="DX38" s="560">
        <f t="shared" si="152"/>
        <v>0</v>
      </c>
      <c r="DY38" s="560">
        <f t="shared" si="153"/>
        <v>0</v>
      </c>
      <c r="DZ38" s="560">
        <f t="shared" si="154"/>
        <v>0</v>
      </c>
      <c r="EA38" s="560"/>
      <c r="EB38" s="545">
        <f>IF(OR(B38&lt;FV38,B38&gt;FW38),(MIN(BF38+BY38+CT38+MAX(Sheet1!AA40+AQ38-73,0),K38)),0)</f>
        <v>6.2525838878663453</v>
      </c>
      <c r="EC38" s="560"/>
      <c r="ED38" s="560">
        <f t="shared" si="155"/>
        <v>6.2525838878663453</v>
      </c>
      <c r="EE38" s="560"/>
      <c r="EF38" s="560">
        <f>Sheet1!EH40+Sheet1!EI40+Sheet1!EJ40+Sheet1!EK40</f>
        <v>6.22</v>
      </c>
      <c r="EG38" s="560"/>
      <c r="EH38" s="545">
        <f t="shared" si="156"/>
        <v>0</v>
      </c>
      <c r="EI38" s="560">
        <f>IF(Sheet1!ET40=1,SUM('Calculations II'!AT38:BA38)+'Calculations II'!BC38+Sheet1!BV40+'Calculations II'!BE38+AP38,SUM('Calculations II'!AT38:BA38)+'Calculations II'!BC38+Sheet1!BV40+'Calculations II'!BE38+AP38)</f>
        <v>52.895871999999997</v>
      </c>
      <c r="EJ38" s="560">
        <f>Sheet1!AA40+Sheet1!AB40+'Calculations II'!BC38</f>
        <v>53.381056000000001</v>
      </c>
      <c r="EK38" s="560"/>
      <c r="EL38" s="560"/>
      <c r="EM38" s="560">
        <f t="shared" si="157"/>
        <v>41666</v>
      </c>
      <c r="EN38" s="560">
        <f t="shared" si="158"/>
        <v>0</v>
      </c>
      <c r="EO38" s="560">
        <f t="shared" si="159"/>
        <v>0</v>
      </c>
      <c r="EP38" s="560">
        <v>0</v>
      </c>
      <c r="EQ38" s="560">
        <v>0</v>
      </c>
      <c r="ER38" s="560">
        <v>0</v>
      </c>
      <c r="ES38" s="545">
        <f t="shared" si="77"/>
        <v>3.045184933510773</v>
      </c>
      <c r="ET38" s="560">
        <f>-(VLOOKUP(Sheet1!BQ40,Lookup!$O$4:$Q$262,2)-VLOOKUP(Sheet1!BQ39,Lookup!$O$4:$Q$262,2))/1000000</f>
        <v>1.5226277036699616</v>
      </c>
      <c r="EU38" s="560">
        <f>-(VLOOKUP(Sheet1!BR40,Lookup!$O$4:$Q$262,3)-VLOOKUP(Sheet1!BR39,Lookup!$O$4:$Q$262,3))/1000000</f>
        <v>1.5225572298408114</v>
      </c>
      <c r="EV38" s="560"/>
      <c r="EW38" s="560"/>
      <c r="EX38" s="560"/>
      <c r="EY38" s="560"/>
      <c r="EZ38" s="560"/>
      <c r="FA38" s="560"/>
      <c r="FB38" s="560"/>
      <c r="FC38" s="560"/>
      <c r="FD38" s="594" t="e">
        <f t="shared" si="160"/>
        <v>#N/A</v>
      </c>
      <c r="FE38" s="594" t="e">
        <f t="shared" si="161"/>
        <v>#N/A</v>
      </c>
      <c r="FF38" s="595" t="e">
        <f t="shared" si="162"/>
        <v>#N/A</v>
      </c>
      <c r="FG38" s="596" t="s">
        <v>692</v>
      </c>
      <c r="FH38" s="596" t="s">
        <v>692</v>
      </c>
      <c r="FI38" s="594" t="e">
        <v>#N/A</v>
      </c>
      <c r="FJ38" s="594" t="e">
        <v>#N/A</v>
      </c>
      <c r="FK38" s="560"/>
      <c r="FL38" s="560"/>
      <c r="FM38" s="560"/>
      <c r="FN38" s="560"/>
      <c r="FO38" s="560">
        <f>O38+((Sheet1!CS40)*GPMtoMGD)</f>
        <v>53.381056000000001</v>
      </c>
      <c r="FP38" s="560">
        <f>IF(Sheet1!AA40+AQ38&lt;=Calculation!N38,AQ38,Calculation!N38-Sheet1!AA40)</f>
        <v>6.9361461135494826</v>
      </c>
      <c r="FQ38" s="560">
        <f>(Sheet1!BP40+Sheet1!BO40)/694.4</f>
        <v>1.5841013824884793</v>
      </c>
      <c r="FR38" s="560"/>
      <c r="FS38" s="560"/>
      <c r="FT38" s="560"/>
      <c r="FU38" s="560"/>
      <c r="FV38" s="695">
        <f t="shared" si="80"/>
        <v>41827</v>
      </c>
      <c r="FW38" s="695">
        <f t="shared" si="81"/>
        <v>41934</v>
      </c>
      <c r="FX38" s="560"/>
      <c r="FY38" s="560"/>
      <c r="FZ38" s="560"/>
      <c r="GA38" s="560"/>
      <c r="GB38" s="560" t="str">
        <f t="shared" si="82"/>
        <v>n</v>
      </c>
      <c r="GC38" s="564">
        <f t="shared" si="83"/>
        <v>41691</v>
      </c>
      <c r="GD38" s="695">
        <f t="shared" si="84"/>
        <v>41807</v>
      </c>
      <c r="GE38" s="560">
        <v>6518.9</v>
      </c>
      <c r="GF38" s="695">
        <f t="shared" si="85"/>
        <v>41808</v>
      </c>
      <c r="GG38" s="560">
        <f t="shared" si="163"/>
        <v>3259</v>
      </c>
      <c r="GH38" s="564">
        <f t="shared" si="87"/>
        <v>41934</v>
      </c>
      <c r="GJ38" s="545">
        <f t="shared" si="88"/>
        <v>0</v>
      </c>
      <c r="GK38" s="560" t="str">
        <f t="shared" si="164"/>
        <v/>
      </c>
      <c r="GL38" s="560">
        <f t="shared" si="89"/>
        <v>0</v>
      </c>
      <c r="GM38" s="560" t="str">
        <f t="shared" si="90"/>
        <v/>
      </c>
      <c r="GN38" s="560">
        <f>IF(GK38="P",Lookup!$M$12,IF(GK38="PP",Lookup!$M$13,IF(GK38="PPP",Lookup!$M$14,IF(GK38="T",Lookup!$M$15,IF(GK38="TP",Lookup!$M$16,IF(GK38="TPP",Lookup!$M$17,IF(GK38="TPPP",Lookup!$M$18,0)))))))*GJ38</f>
        <v>0</v>
      </c>
      <c r="GO38" s="560">
        <f t="shared" si="91"/>
        <v>0</v>
      </c>
      <c r="GP38" s="560">
        <f t="shared" si="165"/>
        <v>0</v>
      </c>
      <c r="GQ38" s="560">
        <f t="shared" si="99"/>
        <v>0</v>
      </c>
      <c r="GR38" s="560"/>
      <c r="GS38" s="560">
        <f t="shared" si="92"/>
        <v>0</v>
      </c>
      <c r="GT38" s="560" t="str">
        <f t="shared" si="93"/>
        <v/>
      </c>
      <c r="GU38" s="560">
        <f>IF(GK38="P",Lookup!$N$12,IF(GK38="PP",Lookup!$N$13,IF(GK38="PPP",Lookup!$N$14,IF(GK38="T",Lookup!$N$15,IF(GK38="TP",Lookup!$N$16,IF(GK38="TPP",Lookup!$N$17,IF(GK38="TPPP",Lookup!$N$18,0)))))))*GJ38</f>
        <v>0</v>
      </c>
      <c r="GV38" s="560">
        <f t="shared" si="57"/>
        <v>0</v>
      </c>
      <c r="GW38" s="560">
        <f t="shared" si="166"/>
        <v>0</v>
      </c>
      <c r="GX38" s="560">
        <f t="shared" si="100"/>
        <v>0</v>
      </c>
      <c r="GY38" s="560"/>
      <c r="GZ38" s="560">
        <f t="shared" si="94"/>
        <v>0</v>
      </c>
      <c r="HA38" s="560" t="str">
        <f t="shared" si="95"/>
        <v/>
      </c>
      <c r="HB38" s="560">
        <f>IF(GK38="P",Lookup!$N$12,IF(GK38="PP",Lookup!$N$13,IF(GK38="PPP",Lookup!$N$14,IF(GK38="T",Lookup!$N$15,IF(GK38="TP",Lookup!$N$16,IF(GK38="TPP",Lookup!$N$17,IF(GK38="TPPP",Lookup!$N$18,0)))))))*GJ38</f>
        <v>0</v>
      </c>
      <c r="HC38" s="545">
        <f t="shared" si="167"/>
        <v>0</v>
      </c>
      <c r="HD38" s="560">
        <f t="shared" si="168"/>
        <v>0</v>
      </c>
      <c r="HE38" s="560">
        <f t="shared" si="101"/>
        <v>0</v>
      </c>
      <c r="HF38" s="560"/>
      <c r="HG38" s="560">
        <f t="shared" si="96"/>
        <v>0</v>
      </c>
      <c r="HH38" s="560" t="str">
        <f t="shared" si="97"/>
        <v/>
      </c>
      <c r="HI38" s="560">
        <f>IF(GK38="P",Lookup!$N$12,IF(GK38="PP",Lookup!$N$13,IF(GK38="PPP",Lookup!$N$14,IF(GK38="T",Lookup!$N$15,IF(GK38="TP",Lookup!$N$16,IF(GK38="TPP",Lookup!$N$17,IF(GK38="TPPP",Lookup!$N$18,0)))))))*GJ38</f>
        <v>0</v>
      </c>
      <c r="HJ38" s="545">
        <f t="shared" si="169"/>
        <v>0</v>
      </c>
      <c r="HK38" s="560">
        <f t="shared" si="170"/>
        <v>0</v>
      </c>
      <c r="HL38" s="560">
        <f t="shared" si="102"/>
        <v>0</v>
      </c>
      <c r="HM38" s="560"/>
    </row>
    <row r="39" spans="1:221">
      <c r="A39" s="580" t="s">
        <v>5</v>
      </c>
      <c r="B39" s="556">
        <v>41667</v>
      </c>
      <c r="C39" s="561">
        <v>0</v>
      </c>
      <c r="D39" s="529">
        <f t="shared" si="103"/>
        <v>300</v>
      </c>
      <c r="E39" s="529">
        <f t="shared" si="104"/>
        <v>250</v>
      </c>
      <c r="F39" s="529">
        <v>250</v>
      </c>
      <c r="G39" s="560">
        <f>DR39+Sheet1!CZ41</f>
        <v>586.85426122035938</v>
      </c>
      <c r="H39" s="914">
        <f t="shared" si="2"/>
        <v>112.3793944528403</v>
      </c>
      <c r="I39" s="559">
        <f>MAX(Sheet1!Z41-AT39+(Sheet1!DA41-E39)*CFStoMGD,0)</f>
        <v>557.17600000000004</v>
      </c>
      <c r="J39" s="562">
        <f>IF(AND(B39&gt;=Calculation!GC39,B39&lt;=Calculation!GD39),IF(Sheet1!DB41&gt;=Calculation!D39,64.64,0),MAX(Sheet1!Z41-AT39+(Sheet1!DB41-D39)*CFStoMGD,0))</f>
        <v>248.84319999999997</v>
      </c>
      <c r="K39" s="904">
        <f t="shared" si="105"/>
        <v>64.64</v>
      </c>
      <c r="L39" s="560">
        <f>Sheet1!AA41+Sheet1!AB41-Sheet1!L41+(Sheet1!DA41-F39)*CFStoMGD</f>
        <v>542.976</v>
      </c>
      <c r="M39" s="560">
        <f t="shared" si="106"/>
        <v>386.92944634189712</v>
      </c>
      <c r="N39" s="910">
        <f>IF(Sheet1!DA41&gt;=F39,MIN(73,MIN(MAX(L39,0),MAX(M39,0))),0)</f>
        <v>73</v>
      </c>
      <c r="O39" s="563">
        <f>Sheet1!AA41+Sheet1!AB41</f>
        <v>33.6</v>
      </c>
      <c r="P39" s="563">
        <f t="shared" si="107"/>
        <v>51.979199999999999</v>
      </c>
      <c r="Q39" s="898">
        <f t="shared" si="63"/>
        <v>0</v>
      </c>
      <c r="R39" s="829">
        <f t="shared" si="108"/>
        <v>6.1117055424780657</v>
      </c>
      <c r="S39" s="898">
        <f t="shared" si="65"/>
        <v>33.6</v>
      </c>
      <c r="T39" s="898">
        <f t="shared" si="66"/>
        <v>0</v>
      </c>
      <c r="U39" s="898">
        <f t="shared" si="6"/>
        <v>0</v>
      </c>
      <c r="V39" s="898"/>
      <c r="W39" s="898">
        <f t="shared" si="67"/>
        <v>58.528294457521937</v>
      </c>
      <c r="X39" s="898">
        <f t="shared" si="68"/>
        <v>33.6</v>
      </c>
      <c r="Y39" s="898" t="str">
        <f t="shared" si="69"/>
        <v/>
      </c>
      <c r="Z39" s="898">
        <f t="shared" si="70"/>
        <v>33.6</v>
      </c>
      <c r="AA39" s="898">
        <f t="shared" si="71"/>
        <v>33.6</v>
      </c>
      <c r="AB39" s="898" t="str">
        <f t="shared" si="72"/>
        <v/>
      </c>
      <c r="AC39" s="563">
        <f>Sheet1!Y41*MGDtoCFS</f>
        <v>30.166499999999999</v>
      </c>
      <c r="AD39" s="563">
        <f>Sheet1!Z41*MGDtoCFS</f>
        <v>21.967399999999998</v>
      </c>
      <c r="AE39" s="563">
        <f>Sheet1!AA41*MGDtoCFS</f>
        <v>30.321200000000001</v>
      </c>
      <c r="AF39" s="563">
        <f>Sheet1!AB41*MGDtoCFS</f>
        <v>21.657999999999998</v>
      </c>
      <c r="AG39" s="563">
        <f>Sheet1!L41*MGDtoCFS</f>
        <v>51.979199999999999</v>
      </c>
      <c r="AH39" s="545">
        <f t="shared" si="109"/>
        <v>0</v>
      </c>
      <c r="AI39" s="560">
        <f t="shared" si="110"/>
        <v>0</v>
      </c>
      <c r="AJ39" s="560">
        <f t="shared" si="111"/>
        <v>0</v>
      </c>
      <c r="AK39" s="560">
        <f t="shared" si="112"/>
        <v>0</v>
      </c>
      <c r="AL39" s="560">
        <f>(VLOOKUP(Sheet1!DC41,hhdcap_wcm,4)-(((VLOOKUP(Sheet1!DC41,hhdcap_wcm,3)-Sheet1!DC41)/(VLOOKUP(Sheet1!DC41,hhdcap_wcm,3)-VLOOKUP(Sheet1!DC41,hhdcap_wcm,1)))*(VLOOKUP(Sheet1!DC41,hhdcap_wcm,4)-VLOOKUP(Sheet1!DC41,hhdcap_wcm,2))))</f>
        <v>753.60000000264665</v>
      </c>
      <c r="AM39" s="560">
        <f t="shared" si="113"/>
        <v>-34.000000000027285</v>
      </c>
      <c r="AN39" s="560">
        <f t="shared" si="114"/>
        <v>0</v>
      </c>
      <c r="AO39" s="560">
        <f t="shared" si="115"/>
        <v>0</v>
      </c>
      <c r="AP39" s="560">
        <f>Sheet1!BA41+Sheet1!BB41+Sheet1!BN41+CD39</f>
        <v>7.899</v>
      </c>
      <c r="AQ39" s="560">
        <f>Sheet1!BN41+(DO39*Sheet1!BN41)</f>
        <v>6.8906484057350745</v>
      </c>
      <c r="AR39" s="560">
        <f>Sheet1!BA41+CD39</f>
        <v>0</v>
      </c>
      <c r="AS39" s="560">
        <f>Sheet1!BA41+Sheet1!BB41+CD39</f>
        <v>0.999</v>
      </c>
      <c r="AT39" s="698">
        <f>0</f>
        <v>0</v>
      </c>
      <c r="AU39" s="560">
        <f>IF(EB39&lt;K39,0,MAX(Sheet1!AA41+AQ39-15/36*K39-N39,Sheet1!EH41,0))</f>
        <v>0</v>
      </c>
      <c r="AV39" s="560">
        <f>IF(OR(B39&gt;=GD39,B39&lt;GC39),0,15/36*K39-MAX(0,64.6-(137.6-(Sheet1!AA41+Sheet1!AB41))))</f>
        <v>0</v>
      </c>
      <c r="AW39" s="698">
        <f>Sheet1!DB41-110</f>
        <v>553</v>
      </c>
      <c r="AX39" s="698">
        <f>Sheet1!DA41-265</f>
        <v>825</v>
      </c>
      <c r="AY39" s="698">
        <f t="shared" si="116"/>
        <v>73</v>
      </c>
      <c r="AZ39" s="698">
        <v>0</v>
      </c>
      <c r="BA39" s="698">
        <f t="shared" si="117"/>
        <v>0</v>
      </c>
      <c r="BB39" s="560">
        <f t="shared" si="118"/>
        <v>0</v>
      </c>
      <c r="BC39" s="560"/>
      <c r="BD39" s="560">
        <f ca="1">IF(B39&gt;Summary!$A$1,#N/A,BB39*MGtoAF)</f>
        <v>0</v>
      </c>
      <c r="BE39" s="560">
        <f>Sheet1!BG41+Sheet1!BH41+Sheet1!BI41-BM39</f>
        <v>0</v>
      </c>
      <c r="BF39" s="560">
        <f t="shared" si="119"/>
        <v>0</v>
      </c>
      <c r="BG39" s="560">
        <f>IF(Sheet1!EP41="FM",BM39,0)</f>
        <v>0</v>
      </c>
      <c r="BH39" s="560">
        <f t="shared" si="120"/>
        <v>0</v>
      </c>
      <c r="BI39" s="560">
        <f>IF(Sheet1!EP41="OTHER",BM39,0)</f>
        <v>0</v>
      </c>
      <c r="BJ39" s="560">
        <f t="shared" si="121"/>
        <v>0</v>
      </c>
      <c r="BK39" s="560">
        <f t="shared" si="122"/>
        <v>0</v>
      </c>
      <c r="BL39" s="560">
        <f t="shared" si="123"/>
        <v>0</v>
      </c>
      <c r="BM39" s="560">
        <f>IF(OR(Sheet1!EP41="FM", Sheet1!EP41="OTHER"),SUM(Sheet1!BG41:'Sheet1'!BI41),0)</f>
        <v>0</v>
      </c>
      <c r="BN39" s="545">
        <f>IF(AND($B39&gt;=$FV39,$B39&lt;=$FW39),MAX(BF39,Sheet1!EI41,0),MAX(BF39-(7/36)*$K39,0))</f>
        <v>0</v>
      </c>
      <c r="BO39" s="560">
        <f t="shared" si="124"/>
        <v>0</v>
      </c>
      <c r="BP39" s="545">
        <f t="shared" si="125"/>
        <v>0</v>
      </c>
      <c r="BQ39" s="545">
        <f>IF(AND($O39&gt;0,Sheet1!EM41=1),(1-($O39-Sheet1!$L41)/$O39)*BL39,0)</f>
        <v>0</v>
      </c>
      <c r="BR39" s="545">
        <f>IF(AND(Sheet1!$L41=0,Sheet1!$L40=0, Calculation!BK39&lt;Sheet1!$EI41-0.1,Sheet1!$EI41=Sheet1!$EI40,Sheet1!$EI41=Sheet1!$EI42),Sheet1!$EI41,BL39-BQ39)</f>
        <v>0</v>
      </c>
      <c r="BS39" s="560"/>
      <c r="BT39" s="560"/>
      <c r="BU39" s="560">
        <f t="shared" si="126"/>
        <v>0</v>
      </c>
      <c r="BV39" s="560"/>
      <c r="BW39" s="560">
        <f ca="1">IF(B39&gt;Summary!$A$1,#N/A,BU39*MGtoAF)</f>
        <v>0</v>
      </c>
      <c r="BX39" s="560">
        <f>Sheet1!BC41+Sheet1!BD41+Sheet1!BE41+Sheet1!BF41-CG39-CH39</f>
        <v>2.5</v>
      </c>
      <c r="BY39" s="560">
        <f t="shared" si="127"/>
        <v>2.4966117412083602</v>
      </c>
      <c r="BZ39" s="560">
        <f>IF(Sheet1!EQ41="FM",CH39,0)</f>
        <v>0</v>
      </c>
      <c r="CA39" s="560">
        <f t="shared" si="128"/>
        <v>0</v>
      </c>
      <c r="CB39" s="560">
        <f>IF(Sheet1!EQ41="OTHER",CH39,0)</f>
        <v>0</v>
      </c>
      <c r="CC39" s="560">
        <f t="shared" si="129"/>
        <v>0</v>
      </c>
      <c r="CD39" s="560">
        <f t="shared" si="130"/>
        <v>0</v>
      </c>
      <c r="CE39" s="560">
        <f t="shared" si="131"/>
        <v>2.5</v>
      </c>
      <c r="CF39" s="560">
        <f t="shared" si="132"/>
        <v>2.4966117412083602</v>
      </c>
      <c r="CG39" s="560">
        <f>IF(Sheet1!EQ41="CWA",SUM(Sheet1!BC41:'Sheet1'!BF41),0)</f>
        <v>0</v>
      </c>
      <c r="CH39" s="560">
        <f>IF(OR(Sheet1!EQ41="FM", Sheet1!EQ41="OTHER"),SUM(Sheet1!BC41:'Sheet1'!BF41),0)</f>
        <v>0</v>
      </c>
      <c r="CI39" s="545">
        <f>IF(AND($B39&gt;=$FV39,$B39&lt;=$FW39),MAX(CF39,Sheet1!EJ41,0),MAX(CF39-(7/36)*$K39,0))</f>
        <v>0</v>
      </c>
      <c r="CJ39" s="560">
        <f t="shared" si="133"/>
        <v>0</v>
      </c>
      <c r="CK39" s="545">
        <f t="shared" si="134"/>
        <v>2.4966117412083602</v>
      </c>
      <c r="CL39" s="545">
        <f>IF(AND($O39&gt;0,Sheet1!EN41=1),(1-($O39-Sheet1!$L41)/$O39)*CF39,0)</f>
        <v>0</v>
      </c>
      <c r="CM39" s="545">
        <f>IF(AND(Sheet1!$L41=0,Sheet1!$L40=0, Calculation!CE39&lt;Sheet1!EJ41-0.1,Sheet1!EJ41=Sheet1!EJ40,Sheet1!EJ41=Sheet1!EJ42),Sheet1!EJ41,CF39-CL39)</f>
        <v>2.4966117412083602</v>
      </c>
      <c r="CN39" s="545"/>
      <c r="CO39" s="560"/>
      <c r="CP39" s="560">
        <f t="shared" si="135"/>
        <v>0</v>
      </c>
      <c r="CQ39" s="560"/>
      <c r="CR39" s="560">
        <f ca="1">IF(B39&gt;Summary!$A$1,#N/A,CP39*MGtoAF)</f>
        <v>0</v>
      </c>
      <c r="CS39" s="560">
        <f>Sheet1!BK41+Sheet1!BL41+Sheet1!BM41-Sheet1!ER41-DA39</f>
        <v>3.62</v>
      </c>
      <c r="CT39" s="560">
        <f t="shared" si="136"/>
        <v>3.6150938012697056</v>
      </c>
      <c r="CU39" s="560">
        <f>IF(Sheet1!ER41="FM",DA39,0)</f>
        <v>0</v>
      </c>
      <c r="CV39" s="560">
        <f t="shared" si="137"/>
        <v>0</v>
      </c>
      <c r="CW39" s="560">
        <f>IF(Sheet1!ER41="OTHER",DA39,0)</f>
        <v>0</v>
      </c>
      <c r="CX39" s="560">
        <f t="shared" si="138"/>
        <v>0</v>
      </c>
      <c r="CY39" s="560">
        <f t="shared" si="139"/>
        <v>3.62</v>
      </c>
      <c r="CZ39" s="560">
        <f t="shared" si="140"/>
        <v>3.6150938012697056</v>
      </c>
      <c r="DA39" s="560">
        <f>IF(OR(Sheet1!ER41="FM", Sheet1!ER41="OTHER"),SUM(Sheet1!BK41:'Sheet1'!BM41),0)</f>
        <v>0</v>
      </c>
      <c r="DB39" s="545">
        <f>IF(AND($B39&gt;=$FV39,$B39&lt;=$FW39),MAX($CT39,Sheet1!EK41,0),MAX($CT39-(7/36)*$K39,0))</f>
        <v>0</v>
      </c>
      <c r="DC39" s="560">
        <f t="shared" si="141"/>
        <v>0</v>
      </c>
      <c r="DD39" s="545">
        <f t="shared" si="142"/>
        <v>3.6150938012697056</v>
      </c>
      <c r="DE39" s="545">
        <f>IF(AND($O39&gt;0,Sheet1!EO41=1),(1-($O39-Sheet1!$L41)/$O39)*CZ39,0)</f>
        <v>0</v>
      </c>
      <c r="DF39" s="545">
        <f>IF(AND(Sheet1!$L41=0,Sheet1!$L40=0, Calculation!CY39&lt;Sheet1!$EK41-0.1,Sheet1!$EK41=Sheet1!$EK40,Sheet1!$EK41=Sheet1!$EK42),Sheet1!$EK41,CZ39-DE39)</f>
        <v>3.6150938012697056</v>
      </c>
      <c r="DG39" s="545"/>
      <c r="DH39" s="560">
        <f t="shared" si="143"/>
        <v>6.12</v>
      </c>
      <c r="DI39" s="560">
        <f t="shared" si="144"/>
        <v>0</v>
      </c>
      <c r="DJ39" s="698">
        <f t="shared" si="145"/>
        <v>6.1117055424780657</v>
      </c>
      <c r="DK39" s="560">
        <f ca="1">IF(B39&gt;Summary!$A$1,#N/A,DI39*MGtoAF)</f>
        <v>0</v>
      </c>
      <c r="DL39" s="698">
        <f t="shared" si="146"/>
        <v>6.12</v>
      </c>
      <c r="DM39" s="560">
        <f t="shared" si="147"/>
        <v>14.019</v>
      </c>
      <c r="DN39" s="560">
        <f>Sheet1!AB41-DM39</f>
        <v>-1.9000000000000128E-2</v>
      </c>
      <c r="DO39" s="823">
        <f t="shared" si="148"/>
        <v>-1.355303516655976E-3</v>
      </c>
      <c r="DP39" s="560">
        <f>(VLOOKUP(Sheet1!DC41,hhdcap_wcm,4)-(((VLOOKUP(Sheet1!DC41,hhdcap_wcm,3)-Sheet1!DC41)/(VLOOKUP(Sheet1!DC41,hhdcap_wcm,3)-VLOOKUP(Sheet1!DC41,hhdcap_wcm,1)))*(VLOOKUP(Sheet1!DC41,hhdcap_wcm,4)-VLOOKUP(Sheet1!DC41,hhdcap_wcm,2))))</f>
        <v>753.60000000264665</v>
      </c>
      <c r="DQ39" s="560">
        <f t="shared" si="149"/>
        <v>-34.000000000027285</v>
      </c>
      <c r="DR39" s="560">
        <f t="shared" si="150"/>
        <v>-17.145738779640585</v>
      </c>
      <c r="DS39" s="560">
        <f>Sheet1!EA41*AFtoMG</f>
        <v>0</v>
      </c>
      <c r="DT39" s="560">
        <f>Sheet1!EB41*AFtoMG</f>
        <v>0</v>
      </c>
      <c r="DU39" s="560">
        <f>Sheet1!EC41*AFtoMG</f>
        <v>0</v>
      </c>
      <c r="DV39" s="560">
        <f>Sheet1!ED41*AFtoMG</f>
        <v>0</v>
      </c>
      <c r="DW39" s="560">
        <f t="shared" si="151"/>
        <v>0</v>
      </c>
      <c r="DX39" s="560">
        <f t="shared" si="152"/>
        <v>0</v>
      </c>
      <c r="DY39" s="560">
        <f t="shared" si="153"/>
        <v>0</v>
      </c>
      <c r="DZ39" s="560">
        <f t="shared" si="154"/>
        <v>0</v>
      </c>
      <c r="EA39" s="560"/>
      <c r="EB39" s="545">
        <f>IF(OR(B39&lt;FV39,B39&gt;FW39),(MIN(BF39+BY39+CT39+MAX(Sheet1!AA41+AQ39-73,0),K39)),0)</f>
        <v>6.1117055424780657</v>
      </c>
      <c r="EC39" s="560"/>
      <c r="ED39" s="560">
        <f t="shared" si="155"/>
        <v>6.1117055424780657</v>
      </c>
      <c r="EE39" s="560"/>
      <c r="EF39" s="560">
        <f>Sheet1!EH41+Sheet1!EI41+Sheet1!EJ41+Sheet1!EK41</f>
        <v>6.12</v>
      </c>
      <c r="EG39" s="560"/>
      <c r="EH39" s="545">
        <f t="shared" si="156"/>
        <v>0</v>
      </c>
      <c r="EI39" s="560">
        <f>IF(Sheet1!ET41=1,SUM('Calculations II'!AT39:BA39)+'Calculations II'!BC39+Sheet1!BV41+'Calculations II'!BE39+AP39,SUM('Calculations II'!AT39:BA39)+'Calculations II'!BC39+Sheet1!BV41+'Calculations II'!BE39+AP39)</f>
        <v>45.627024000000006</v>
      </c>
      <c r="EJ39" s="560">
        <f>Sheet1!AA41+Sheet1!AB41+'Calculations II'!BC39</f>
        <v>56.399376000000004</v>
      </c>
      <c r="EK39" s="560"/>
      <c r="EL39" s="560"/>
      <c r="EM39" s="560">
        <f t="shared" si="157"/>
        <v>41667</v>
      </c>
      <c r="EN39" s="560">
        <f t="shared" si="158"/>
        <v>0</v>
      </c>
      <c r="EO39" s="560">
        <f t="shared" si="159"/>
        <v>0</v>
      </c>
      <c r="EP39" s="560">
        <v>0</v>
      </c>
      <c r="EQ39" s="560">
        <v>0</v>
      </c>
      <c r="ER39" s="560">
        <v>0</v>
      </c>
      <c r="ES39" s="545">
        <f t="shared" si="77"/>
        <v>-7.0616599894423633</v>
      </c>
      <c r="ET39" s="560">
        <f>-(VLOOKUP(Sheet1!BQ41,Lookup!$O$4:$Q$262,2)-VLOOKUP(Sheet1!BQ40,Lookup!$O$4:$Q$262,2))/1000000</f>
        <v>-3.4616388639505877</v>
      </c>
      <c r="EU39" s="560">
        <f>-(VLOOKUP(Sheet1!BR41,Lookup!$O$4:$Q$262,3)-VLOOKUP(Sheet1!BR40,Lookup!$O$4:$Q$262,3))/1000000</f>
        <v>-3.6000211254917756</v>
      </c>
      <c r="EV39" s="560"/>
      <c r="EW39" s="560"/>
      <c r="EX39" s="560"/>
      <c r="EY39" s="560"/>
      <c r="EZ39" s="560"/>
      <c r="FA39" s="560"/>
      <c r="FB39" s="560"/>
      <c r="FC39" s="560"/>
      <c r="FD39" s="594" t="e">
        <f t="shared" si="160"/>
        <v>#N/A</v>
      </c>
      <c r="FE39" s="594" t="e">
        <f t="shared" si="161"/>
        <v>#N/A</v>
      </c>
      <c r="FF39" s="595" t="e">
        <f t="shared" si="162"/>
        <v>#N/A</v>
      </c>
      <c r="FG39" s="596" t="s">
        <v>692</v>
      </c>
      <c r="FH39" s="596" t="s">
        <v>692</v>
      </c>
      <c r="FI39" s="594" t="e">
        <v>#N/A</v>
      </c>
      <c r="FJ39" s="594" t="e">
        <v>#N/A</v>
      </c>
      <c r="FK39" s="560"/>
      <c r="FL39" s="560"/>
      <c r="FM39" s="560"/>
      <c r="FN39" s="560"/>
      <c r="FO39" s="560">
        <f>O39+((Sheet1!CS41)*GPMtoMGD)</f>
        <v>56.399376000000004</v>
      </c>
      <c r="FP39" s="560">
        <f>IF(Sheet1!AA41+AQ39&lt;=Calculation!N39,AQ39,Calculation!N39-Sheet1!AA41)</f>
        <v>6.8906484057350745</v>
      </c>
      <c r="FQ39" s="560">
        <f>(Sheet1!BP41+Sheet1!BO41)/694.4</f>
        <v>1.4686059907834101</v>
      </c>
      <c r="FR39" s="560"/>
      <c r="FS39" s="560"/>
      <c r="FT39" s="560"/>
      <c r="FU39" s="560"/>
      <c r="FV39" s="695">
        <f t="shared" si="80"/>
        <v>41827</v>
      </c>
      <c r="FW39" s="695">
        <f t="shared" si="81"/>
        <v>41934</v>
      </c>
      <c r="FX39" s="560"/>
      <c r="FY39" s="560"/>
      <c r="FZ39" s="560"/>
      <c r="GA39" s="560"/>
      <c r="GB39" s="560" t="str">
        <f t="shared" si="82"/>
        <v>n</v>
      </c>
      <c r="GC39" s="564">
        <f t="shared" si="83"/>
        <v>41691</v>
      </c>
      <c r="GD39" s="695">
        <f t="shared" si="84"/>
        <v>41807</v>
      </c>
      <c r="GE39" s="560">
        <v>6518.9</v>
      </c>
      <c r="GF39" s="695">
        <f t="shared" si="85"/>
        <v>41808</v>
      </c>
      <c r="GG39" s="560">
        <f t="shared" si="163"/>
        <v>3259</v>
      </c>
      <c r="GH39" s="564">
        <f t="shared" si="87"/>
        <v>41934</v>
      </c>
      <c r="GJ39" s="545">
        <f t="shared" si="88"/>
        <v>0</v>
      </c>
      <c r="GK39" s="560" t="str">
        <f t="shared" si="164"/>
        <v/>
      </c>
      <c r="GL39" s="560">
        <f t="shared" si="89"/>
        <v>0</v>
      </c>
      <c r="GM39" s="560" t="str">
        <f t="shared" si="90"/>
        <v/>
      </c>
      <c r="GN39" s="560">
        <f>IF(GK39="P",Lookup!$M$12,IF(GK39="PP",Lookup!$M$13,IF(GK39="PPP",Lookup!$M$14,IF(GK39="T",Lookup!$M$15,IF(GK39="TP",Lookup!$M$16,IF(GK39="TPP",Lookup!$M$17,IF(GK39="TPPP",Lookup!$M$18,0)))))))*GJ39</f>
        <v>0</v>
      </c>
      <c r="GO39" s="560">
        <f t="shared" si="91"/>
        <v>0</v>
      </c>
      <c r="GP39" s="560">
        <f t="shared" si="165"/>
        <v>0</v>
      </c>
      <c r="GQ39" s="560">
        <f t="shared" si="99"/>
        <v>0</v>
      </c>
      <c r="GR39" s="560"/>
      <c r="GS39" s="560">
        <f t="shared" si="92"/>
        <v>0</v>
      </c>
      <c r="GT39" s="560" t="str">
        <f t="shared" si="93"/>
        <v/>
      </c>
      <c r="GU39" s="560">
        <f>IF(GK39="P",Lookup!$N$12,IF(GK39="PP",Lookup!$N$13,IF(GK39="PPP",Lookup!$N$14,IF(GK39="T",Lookup!$N$15,IF(GK39="TP",Lookup!$N$16,IF(GK39="TPP",Lookup!$N$17,IF(GK39="TPPP",Lookup!$N$18,0)))))))*GJ39</f>
        <v>0</v>
      </c>
      <c r="GV39" s="560">
        <f t="shared" si="57"/>
        <v>0</v>
      </c>
      <c r="GW39" s="560">
        <f t="shared" si="166"/>
        <v>0</v>
      </c>
      <c r="GX39" s="560">
        <f t="shared" si="100"/>
        <v>0</v>
      </c>
      <c r="GY39" s="560"/>
      <c r="GZ39" s="560">
        <f t="shared" si="94"/>
        <v>0</v>
      </c>
      <c r="HA39" s="560" t="str">
        <f t="shared" si="95"/>
        <v/>
      </c>
      <c r="HB39" s="560">
        <f>IF(GK39="P",Lookup!$N$12,IF(GK39="PP",Lookup!$N$13,IF(GK39="PPP",Lookup!$N$14,IF(GK39="T",Lookup!$N$15,IF(GK39="TP",Lookup!$N$16,IF(GK39="TPP",Lookup!$N$17,IF(GK39="TPPP",Lookup!$N$18,0)))))))*GJ39</f>
        <v>0</v>
      </c>
      <c r="HC39" s="545">
        <f t="shared" si="167"/>
        <v>0</v>
      </c>
      <c r="HD39" s="560">
        <f t="shared" si="168"/>
        <v>0</v>
      </c>
      <c r="HE39" s="560">
        <f t="shared" si="101"/>
        <v>0</v>
      </c>
      <c r="HF39" s="560"/>
      <c r="HG39" s="560">
        <f t="shared" si="96"/>
        <v>0</v>
      </c>
      <c r="HH39" s="560" t="str">
        <f t="shared" si="97"/>
        <v/>
      </c>
      <c r="HI39" s="560">
        <f>IF(GK39="P",Lookup!$N$12,IF(GK39="PP",Lookup!$N$13,IF(GK39="PPP",Lookup!$N$14,IF(GK39="T",Lookup!$N$15,IF(GK39="TP",Lookup!$N$16,IF(GK39="TPP",Lookup!$N$17,IF(GK39="TPPP",Lookup!$N$18,0)))))))*GJ39</f>
        <v>0</v>
      </c>
      <c r="HJ39" s="545">
        <f t="shared" si="169"/>
        <v>0</v>
      </c>
      <c r="HK39" s="560">
        <f t="shared" si="170"/>
        <v>0</v>
      </c>
      <c r="HL39" s="560">
        <f t="shared" si="102"/>
        <v>0</v>
      </c>
      <c r="HM39" s="560"/>
    </row>
    <row r="40" spans="1:221">
      <c r="A40" s="580" t="s">
        <v>6</v>
      </c>
      <c r="B40" s="556">
        <v>41668</v>
      </c>
      <c r="C40" s="561">
        <v>0</v>
      </c>
      <c r="D40" s="529">
        <f t="shared" si="103"/>
        <v>300</v>
      </c>
      <c r="E40" s="529">
        <f t="shared" si="104"/>
        <v>250</v>
      </c>
      <c r="F40" s="529">
        <v>250</v>
      </c>
      <c r="G40" s="560">
        <f>DR40+Sheet1!CZ42</f>
        <v>1201.2002017146976</v>
      </c>
      <c r="H40" s="914">
        <f t="shared" si="2"/>
        <v>509.49261038838051</v>
      </c>
      <c r="I40" s="559">
        <f>MAX(Sheet1!Z42-AT40+(Sheet1!DA42-E40)*CFStoMGD,0)</f>
        <v>1151.664</v>
      </c>
      <c r="J40" s="562">
        <f>IF(AND(B40&gt;=Calculation!GC40,B40&lt;=Calculation!GD40),IF(Sheet1!DB42&gt;=Calculation!D40,64.64,0),MAX(Sheet1!Z42-AT40+(Sheet1!DB42-D40)*CFStoMGD,0))</f>
        <v>563.43999999999994</v>
      </c>
      <c r="K40" s="904">
        <f t="shared" si="105"/>
        <v>64.64</v>
      </c>
      <c r="L40" s="560">
        <f>Sheet1!AA42+Sheet1!AB42-Sheet1!L42+(Sheet1!DA42-F40)*CFStoMGD</f>
        <v>1137.664</v>
      </c>
      <c r="M40" s="560">
        <f t="shared" si="106"/>
        <v>791.98492659614817</v>
      </c>
      <c r="N40" s="910">
        <f>IF(Sheet1!DA42&gt;=F40,MIN(73,MIN(MAX(L40,0),MAX(M40,0))),0)</f>
        <v>73</v>
      </c>
      <c r="O40" s="563">
        <f>Sheet1!AA42+Sheet1!AB42</f>
        <v>33.700000000000003</v>
      </c>
      <c r="P40" s="563">
        <f t="shared" si="107"/>
        <v>52.133899999999997</v>
      </c>
      <c r="Q40" s="898">
        <f t="shared" si="63"/>
        <v>0</v>
      </c>
      <c r="R40" s="829">
        <f t="shared" si="108"/>
        <v>6.0904407555809961</v>
      </c>
      <c r="S40" s="898">
        <f t="shared" si="65"/>
        <v>33.700000000000003</v>
      </c>
      <c r="T40" s="898">
        <f t="shared" si="66"/>
        <v>0</v>
      </c>
      <c r="U40" s="898">
        <f t="shared" si="6"/>
        <v>0</v>
      </c>
      <c r="V40" s="898"/>
      <c r="W40" s="898">
        <f t="shared" si="67"/>
        <v>58.549559244419001</v>
      </c>
      <c r="X40" s="898">
        <f t="shared" si="68"/>
        <v>33.700000000000003</v>
      </c>
      <c r="Y40" s="898" t="str">
        <f t="shared" si="69"/>
        <v/>
      </c>
      <c r="Z40" s="898">
        <f t="shared" si="70"/>
        <v>33.700000000000003</v>
      </c>
      <c r="AA40" s="898">
        <f t="shared" si="71"/>
        <v>33.700000000000003</v>
      </c>
      <c r="AB40" s="898" t="str">
        <f t="shared" si="72"/>
        <v/>
      </c>
      <c r="AC40" s="563">
        <f>Sheet1!Y42*MGDtoCFS</f>
        <v>30.321200000000001</v>
      </c>
      <c r="AD40" s="563">
        <f>Sheet1!Z42*MGDtoCFS</f>
        <v>21.657999999999998</v>
      </c>
      <c r="AE40" s="563">
        <f>Sheet1!AA42*MGDtoCFS</f>
        <v>30.475899999999996</v>
      </c>
      <c r="AF40" s="563">
        <f>Sheet1!AB42*MGDtoCFS</f>
        <v>21.657999999999998</v>
      </c>
      <c r="AG40" s="563">
        <f>Sheet1!L42*MGDtoCFS</f>
        <v>52.133900000000004</v>
      </c>
      <c r="AH40" s="545">
        <f t="shared" si="109"/>
        <v>0</v>
      </c>
      <c r="AI40" s="560">
        <f t="shared" si="110"/>
        <v>0</v>
      </c>
      <c r="AJ40" s="560">
        <f t="shared" si="111"/>
        <v>0</v>
      </c>
      <c r="AK40" s="560">
        <f t="shared" si="112"/>
        <v>0</v>
      </c>
      <c r="AL40" s="560">
        <f>(VLOOKUP(Sheet1!DC42,hhdcap_wcm,4)-(((VLOOKUP(Sheet1!DC42,hhdcap_wcm,3)-Sheet1!DC42)/(VLOOKUP(Sheet1!DC42,hhdcap_wcm,3)-VLOOKUP(Sheet1!DC42,hhdcap_wcm,1)))*(VLOOKUP(Sheet1!DC42,hhdcap_wcm,4)-VLOOKUP(Sheet1!DC42,hhdcap_wcm,2))))</f>
        <v>1033.6000000028921</v>
      </c>
      <c r="AM40" s="560">
        <f t="shared" si="113"/>
        <v>280.00000000024545</v>
      </c>
      <c r="AN40" s="560">
        <f t="shared" si="114"/>
        <v>0</v>
      </c>
      <c r="AO40" s="560">
        <f t="shared" si="115"/>
        <v>0</v>
      </c>
      <c r="AP40" s="560">
        <f>Sheet1!BA42+Sheet1!BB42+Sheet1!BN42+CD40</f>
        <v>7.8960000000000008</v>
      </c>
      <c r="AQ40" s="560">
        <f>Sheet1!BN42+(DO40*Sheet1!BN42)</f>
        <v>6.9118488838008014</v>
      </c>
      <c r="AR40" s="560">
        <f>Sheet1!BA42+CD40</f>
        <v>0</v>
      </c>
      <c r="AS40" s="560">
        <f>Sheet1!BA42+Sheet1!BB42+CD40</f>
        <v>0.996</v>
      </c>
      <c r="AT40" s="698">
        <f>0</f>
        <v>0</v>
      </c>
      <c r="AU40" s="560">
        <f>IF(EB40&lt;K40,0,MAX(Sheet1!AA42+AQ40-15/36*K40-N40,Sheet1!EH42,0))</f>
        <v>0</v>
      </c>
      <c r="AV40" s="560">
        <f>IF(OR(B40&gt;=GD40,B40&lt;GC40),0,15/36*K40-MAX(0,64.6-(137.6-(Sheet1!AA42+Sheet1!AB42))))</f>
        <v>0</v>
      </c>
      <c r="AW40" s="698">
        <f>Sheet1!DB42-110</f>
        <v>1040</v>
      </c>
      <c r="AX40" s="698">
        <f>Sheet1!DA42-265</f>
        <v>1745</v>
      </c>
      <c r="AY40" s="698">
        <f t="shared" si="116"/>
        <v>73</v>
      </c>
      <c r="AZ40" s="698">
        <v>0</v>
      </c>
      <c r="BA40" s="698">
        <f t="shared" si="117"/>
        <v>0</v>
      </c>
      <c r="BB40" s="560">
        <f t="shared" si="118"/>
        <v>0</v>
      </c>
      <c r="BC40" s="560"/>
      <c r="BD40" s="560">
        <f ca="1">IF(B40&gt;Summary!$A$1,#N/A,BB40*MGtoAF)</f>
        <v>0</v>
      </c>
      <c r="BE40" s="560">
        <f>Sheet1!BG42+Sheet1!BH42+Sheet1!BI42-BM40</f>
        <v>0</v>
      </c>
      <c r="BF40" s="560">
        <f t="shared" si="119"/>
        <v>0</v>
      </c>
      <c r="BG40" s="560">
        <f>IF(Sheet1!EP42="FM",BM40,0)</f>
        <v>0</v>
      </c>
      <c r="BH40" s="560">
        <f t="shared" si="120"/>
        <v>0</v>
      </c>
      <c r="BI40" s="560">
        <f>IF(Sheet1!EP42="OTHER",BM40,0)</f>
        <v>0</v>
      </c>
      <c r="BJ40" s="560">
        <f t="shared" si="121"/>
        <v>0</v>
      </c>
      <c r="BK40" s="560">
        <f t="shared" si="122"/>
        <v>0</v>
      </c>
      <c r="BL40" s="560">
        <f t="shared" si="123"/>
        <v>0</v>
      </c>
      <c r="BM40" s="560">
        <f>IF(OR(Sheet1!EP42="FM", Sheet1!EP42="OTHER"),SUM(Sheet1!BG42:'Sheet1'!BI42),0)</f>
        <v>0</v>
      </c>
      <c r="BN40" s="545">
        <f>IF(AND($B40&gt;=$FV40,$B40&lt;=$FW40),MAX(BF40,Sheet1!EI42,0),MAX(BF40-(7/36)*$K40,0))</f>
        <v>0</v>
      </c>
      <c r="BO40" s="560">
        <f t="shared" si="124"/>
        <v>0</v>
      </c>
      <c r="BP40" s="545">
        <f t="shared" si="125"/>
        <v>0</v>
      </c>
      <c r="BQ40" s="545">
        <f>IF(AND($O40&gt;0,Sheet1!EM42=1),(1-($O40-Sheet1!$L42)/$O40)*BL40,0)</f>
        <v>0</v>
      </c>
      <c r="BR40" s="545">
        <f>IF(AND(Sheet1!$L42=0,Sheet1!$L41=0, Calculation!BK40&lt;Sheet1!$EI42-0.1,Sheet1!$EI42=Sheet1!$EI41,Sheet1!$EI42=Sheet1!$EI43),Sheet1!$EI42,BL40-BQ40)</f>
        <v>0</v>
      </c>
      <c r="BS40" s="560"/>
      <c r="BT40" s="560"/>
      <c r="BU40" s="560">
        <f t="shared" si="126"/>
        <v>0</v>
      </c>
      <c r="BV40" s="560"/>
      <c r="BW40" s="560">
        <f ca="1">IF(B40&gt;Summary!$A$1,#N/A,BU40*MGtoAF)</f>
        <v>0</v>
      </c>
      <c r="BX40" s="560">
        <f>Sheet1!BC42+Sheet1!BD42+Sheet1!BE42+Sheet1!BF42-CG40-CH40</f>
        <v>2.5</v>
      </c>
      <c r="BY40" s="560">
        <f t="shared" si="127"/>
        <v>2.50429307384087</v>
      </c>
      <c r="BZ40" s="560">
        <f>IF(Sheet1!EQ42="FM",CH40,0)</f>
        <v>0</v>
      </c>
      <c r="CA40" s="560">
        <f t="shared" si="128"/>
        <v>0</v>
      </c>
      <c r="CB40" s="560">
        <f>IF(Sheet1!EQ42="OTHER",CH40,0)</f>
        <v>0</v>
      </c>
      <c r="CC40" s="560">
        <f t="shared" si="129"/>
        <v>0</v>
      </c>
      <c r="CD40" s="560">
        <f t="shared" si="130"/>
        <v>0</v>
      </c>
      <c r="CE40" s="560">
        <f t="shared" si="131"/>
        <v>2.5</v>
      </c>
      <c r="CF40" s="560">
        <f t="shared" si="132"/>
        <v>2.50429307384087</v>
      </c>
      <c r="CG40" s="560">
        <f>IF(Sheet1!EQ42="CWA",SUM(Sheet1!BC42:'Sheet1'!BF42),0)</f>
        <v>0</v>
      </c>
      <c r="CH40" s="560">
        <f>IF(OR(Sheet1!EQ42="FM", Sheet1!EQ42="OTHER"),SUM(Sheet1!BC42:'Sheet1'!BF42),0)</f>
        <v>0</v>
      </c>
      <c r="CI40" s="545">
        <f>IF(AND($B40&gt;=$FV40,$B40&lt;=$FW40),MAX(CF40,Sheet1!EJ42,0),MAX(CF40-(7/36)*$K40,0))</f>
        <v>0</v>
      </c>
      <c r="CJ40" s="560">
        <f t="shared" si="133"/>
        <v>0</v>
      </c>
      <c r="CK40" s="545">
        <f t="shared" si="134"/>
        <v>2.50429307384087</v>
      </c>
      <c r="CL40" s="545">
        <f>IF(AND($O40&gt;0,Sheet1!EN42=1),(1-($O40-Sheet1!$L42)/$O40)*CF40,0)</f>
        <v>0</v>
      </c>
      <c r="CM40" s="545">
        <f>IF(AND(Sheet1!$L42=0,Sheet1!$L41=0, Calculation!CE40&lt;Sheet1!EJ42-0.1,Sheet1!EJ42=Sheet1!EJ41,Sheet1!EJ42=Sheet1!EJ43),Sheet1!EJ42,CF40-CL40)</f>
        <v>2.50429307384087</v>
      </c>
      <c r="CN40" s="545"/>
      <c r="CO40" s="560"/>
      <c r="CP40" s="560">
        <f t="shared" si="135"/>
        <v>0</v>
      </c>
      <c r="CQ40" s="560"/>
      <c r="CR40" s="560">
        <f ca="1">IF(B40&gt;Summary!$A$1,#N/A,CP40*MGtoAF)</f>
        <v>0</v>
      </c>
      <c r="CS40" s="560">
        <f>Sheet1!BK42+Sheet1!BL42+Sheet1!BM42-Sheet1!ER42-DA40</f>
        <v>3.58</v>
      </c>
      <c r="CT40" s="560">
        <f t="shared" si="136"/>
        <v>3.5861476817401257</v>
      </c>
      <c r="CU40" s="560">
        <f>IF(Sheet1!ER42="FM",DA40,0)</f>
        <v>0</v>
      </c>
      <c r="CV40" s="560">
        <f t="shared" si="137"/>
        <v>0</v>
      </c>
      <c r="CW40" s="560">
        <f>IF(Sheet1!ER42="OTHER",DA40,0)</f>
        <v>0</v>
      </c>
      <c r="CX40" s="560">
        <f t="shared" si="138"/>
        <v>0</v>
      </c>
      <c r="CY40" s="560">
        <f t="shared" si="139"/>
        <v>3.58</v>
      </c>
      <c r="CZ40" s="560">
        <f t="shared" si="140"/>
        <v>3.5861476817401257</v>
      </c>
      <c r="DA40" s="560">
        <f>IF(OR(Sheet1!ER42="FM", Sheet1!ER42="OTHER"),SUM(Sheet1!BK42:'Sheet1'!BM42),0)</f>
        <v>0</v>
      </c>
      <c r="DB40" s="545">
        <f>IF(AND($B40&gt;=$FV40,$B40&lt;=$FW40),MAX($CT40,Sheet1!EK42,0),MAX($CT40-(7/36)*$K40,0))</f>
        <v>0</v>
      </c>
      <c r="DC40" s="560">
        <f t="shared" si="141"/>
        <v>0</v>
      </c>
      <c r="DD40" s="545">
        <f t="shared" si="142"/>
        <v>3.5861476817401257</v>
      </c>
      <c r="DE40" s="545">
        <f>IF(AND($O40&gt;0,Sheet1!EO42=1),(1-($O40-Sheet1!$L42)/$O40)*CZ40,0)</f>
        <v>0</v>
      </c>
      <c r="DF40" s="545">
        <f>IF(AND(Sheet1!$L42=0,Sheet1!$L41=0, Calculation!CY40&lt;Sheet1!$EK42-0.1,Sheet1!$EK42=Sheet1!$EK41,Sheet1!$EK42=Sheet1!$EK43),Sheet1!$EK42,CZ40-DE40)</f>
        <v>3.5861476817401257</v>
      </c>
      <c r="DG40" s="545"/>
      <c r="DH40" s="560">
        <f t="shared" si="143"/>
        <v>6.08</v>
      </c>
      <c r="DI40" s="560">
        <f t="shared" si="144"/>
        <v>0</v>
      </c>
      <c r="DJ40" s="698">
        <f t="shared" si="145"/>
        <v>6.0904407555809961</v>
      </c>
      <c r="DK40" s="560">
        <f ca="1">IF(B40&gt;Summary!$A$1,#N/A,DI40*MGtoAF)</f>
        <v>0</v>
      </c>
      <c r="DL40" s="698">
        <f t="shared" si="146"/>
        <v>6.08</v>
      </c>
      <c r="DM40" s="560">
        <f t="shared" si="147"/>
        <v>13.976000000000001</v>
      </c>
      <c r="DN40" s="560">
        <f>Sheet1!AB42-DM40</f>
        <v>2.3999999999999133E-2</v>
      </c>
      <c r="DO40" s="823">
        <f t="shared" si="148"/>
        <v>1.717229536347963E-3</v>
      </c>
      <c r="DP40" s="560">
        <f>(VLOOKUP(Sheet1!DC42,hhdcap_wcm,4)-(((VLOOKUP(Sheet1!DC42,hhdcap_wcm,3)-Sheet1!DC42)/(VLOOKUP(Sheet1!DC42,hhdcap_wcm,3)-VLOOKUP(Sheet1!DC42,hhdcap_wcm,1)))*(VLOOKUP(Sheet1!DC42,hhdcap_wcm,4)-VLOOKUP(Sheet1!DC42,hhdcap_wcm,2))))</f>
        <v>1033.6000000028921</v>
      </c>
      <c r="DQ40" s="560">
        <f t="shared" si="149"/>
        <v>280.00000000024545</v>
      </c>
      <c r="DR40" s="560">
        <f t="shared" si="150"/>
        <v>141.20020171469764</v>
      </c>
      <c r="DS40" s="560">
        <f>Sheet1!EA42*AFtoMG</f>
        <v>0</v>
      </c>
      <c r="DT40" s="560">
        <f>Sheet1!EB42*AFtoMG</f>
        <v>0</v>
      </c>
      <c r="DU40" s="560">
        <f>Sheet1!EC42*AFtoMG</f>
        <v>0</v>
      </c>
      <c r="DV40" s="560">
        <f>Sheet1!ED42*AFtoMG</f>
        <v>0</v>
      </c>
      <c r="DW40" s="560">
        <f t="shared" si="151"/>
        <v>0</v>
      </c>
      <c r="DX40" s="560">
        <f t="shared" si="152"/>
        <v>0</v>
      </c>
      <c r="DY40" s="560">
        <f t="shared" si="153"/>
        <v>0</v>
      </c>
      <c r="DZ40" s="560">
        <f t="shared" si="154"/>
        <v>0</v>
      </c>
      <c r="EA40" s="560"/>
      <c r="EB40" s="545">
        <f>IF(OR(B40&lt;FV40,B40&gt;FW40),(MIN(BF40+BY40+CT40+MAX(Sheet1!AA42+AQ40-73,0),K40)),0)</f>
        <v>6.0904407555809961</v>
      </c>
      <c r="EC40" s="560"/>
      <c r="ED40" s="560">
        <f t="shared" si="155"/>
        <v>6.0904407555809961</v>
      </c>
      <c r="EE40" s="560"/>
      <c r="EF40" s="560">
        <f>Sheet1!EH42+Sheet1!EI42+Sheet1!EJ42+Sheet1!EK42</f>
        <v>6.08</v>
      </c>
      <c r="EG40" s="560"/>
      <c r="EH40" s="545">
        <f t="shared" si="156"/>
        <v>0</v>
      </c>
      <c r="EI40" s="560">
        <f>IF(Sheet1!ET42=1,SUM('Calculations II'!AT40:BA40)+'Calculations II'!BC40+Sheet1!BV42+'Calculations II'!BE40+AP40,SUM('Calculations II'!AT40:BA40)+'Calculations II'!BC40+Sheet1!BV42+'Calculations II'!BE40+AP40)</f>
        <v>46.987568000000003</v>
      </c>
      <c r="EJ40" s="560">
        <f>Sheet1!AA42+Sheet1!AB42+'Calculations II'!BC40</f>
        <v>47.648992000000007</v>
      </c>
      <c r="EK40" s="560"/>
      <c r="EL40" s="560"/>
      <c r="EM40" s="560">
        <f t="shared" si="157"/>
        <v>41668</v>
      </c>
      <c r="EN40" s="560">
        <f t="shared" si="158"/>
        <v>0</v>
      </c>
      <c r="EO40" s="560">
        <f t="shared" si="159"/>
        <v>0</v>
      </c>
      <c r="EP40" s="560">
        <v>0</v>
      </c>
      <c r="EQ40" s="560">
        <v>0</v>
      </c>
      <c r="ER40" s="560">
        <v>0</v>
      </c>
      <c r="ES40" s="545">
        <f t="shared" si="77"/>
        <v>2.2163203666324169</v>
      </c>
      <c r="ET40" s="560">
        <f>-(VLOOKUP(Sheet1!BQ42,Lookup!$O$4:$Q$262,2)-VLOOKUP(Sheet1!BQ41,Lookup!$O$4:$Q$262,2))/1000000</f>
        <v>1.1081601833162085</v>
      </c>
      <c r="EU40" s="560">
        <f>-(VLOOKUP(Sheet1!BR42,Lookup!$O$4:$Q$262,3)-VLOOKUP(Sheet1!BR41,Lookup!$O$4:$Q$262,3))/1000000</f>
        <v>1.1081601833162085</v>
      </c>
      <c r="EV40" s="560"/>
      <c r="EW40" s="560"/>
      <c r="EX40" s="560"/>
      <c r="EY40" s="560"/>
      <c r="EZ40" s="560"/>
      <c r="FA40" s="560"/>
      <c r="FB40" s="560"/>
      <c r="FC40" s="560"/>
      <c r="FD40" s="594" t="e">
        <f t="shared" si="160"/>
        <v>#N/A</v>
      </c>
      <c r="FE40" s="594" t="e">
        <f t="shared" si="161"/>
        <v>#N/A</v>
      </c>
      <c r="FF40" s="595" t="e">
        <f t="shared" si="162"/>
        <v>#N/A</v>
      </c>
      <c r="FG40" s="596" t="s">
        <v>692</v>
      </c>
      <c r="FH40" s="596" t="s">
        <v>692</v>
      </c>
      <c r="FI40" s="594" t="e">
        <v>#N/A</v>
      </c>
      <c r="FJ40" s="594" t="e">
        <v>#N/A</v>
      </c>
      <c r="FK40" s="560"/>
      <c r="FL40" s="560"/>
      <c r="FM40" s="560"/>
      <c r="FN40" s="560"/>
      <c r="FO40" s="560">
        <f>O40+((Sheet1!CS42)*GPMtoMGD)</f>
        <v>47.648992000000007</v>
      </c>
      <c r="FP40" s="560">
        <f>IF(Sheet1!AA42+AQ40&lt;=Calculation!N40,AQ40,Calculation!N40-Sheet1!AA42)</f>
        <v>6.9118488838008014</v>
      </c>
      <c r="FQ40" s="560">
        <f>(Sheet1!BP42+Sheet1!BO42)/694.4</f>
        <v>1.4684619815668203</v>
      </c>
      <c r="FR40" s="560"/>
      <c r="FS40" s="560"/>
      <c r="FT40" s="560"/>
      <c r="FU40" s="560"/>
      <c r="FV40" s="695">
        <f t="shared" si="80"/>
        <v>41827</v>
      </c>
      <c r="FW40" s="695">
        <f t="shared" si="81"/>
        <v>41934</v>
      </c>
      <c r="FX40" s="560"/>
      <c r="FY40" s="560"/>
      <c r="FZ40" s="560"/>
      <c r="GA40" s="560"/>
      <c r="GB40" s="560" t="str">
        <f t="shared" si="82"/>
        <v>n</v>
      </c>
      <c r="GC40" s="564">
        <f t="shared" si="83"/>
        <v>41691</v>
      </c>
      <c r="GD40" s="695">
        <f t="shared" si="84"/>
        <v>41807</v>
      </c>
      <c r="GE40" s="560">
        <v>6518.9</v>
      </c>
      <c r="GF40" s="695">
        <f t="shared" si="85"/>
        <v>41808</v>
      </c>
      <c r="GG40" s="560">
        <f t="shared" si="163"/>
        <v>3259</v>
      </c>
      <c r="GH40" s="564">
        <f t="shared" si="87"/>
        <v>41934</v>
      </c>
      <c r="GJ40" s="545">
        <f t="shared" si="88"/>
        <v>0</v>
      </c>
      <c r="GK40" s="560" t="str">
        <f t="shared" si="164"/>
        <v/>
      </c>
      <c r="GL40" s="560">
        <f t="shared" si="89"/>
        <v>0</v>
      </c>
      <c r="GM40" s="560" t="str">
        <f t="shared" si="90"/>
        <v/>
      </c>
      <c r="GN40" s="560">
        <f>IF(GK40="P",Lookup!$M$12,IF(GK40="PP",Lookup!$M$13,IF(GK40="PPP",Lookup!$M$14,IF(GK40="T",Lookup!$M$15,IF(GK40="TP",Lookup!$M$16,IF(GK40="TPP",Lookup!$M$17,IF(GK40="TPPP",Lookup!$M$18,0)))))))*GJ40</f>
        <v>0</v>
      </c>
      <c r="GO40" s="560">
        <f t="shared" si="91"/>
        <v>0</v>
      </c>
      <c r="GP40" s="560">
        <f t="shared" si="165"/>
        <v>0</v>
      </c>
      <c r="GQ40" s="560">
        <f t="shared" si="99"/>
        <v>0</v>
      </c>
      <c r="GR40" s="560"/>
      <c r="GS40" s="560">
        <f t="shared" si="92"/>
        <v>0</v>
      </c>
      <c r="GT40" s="560" t="str">
        <f t="shared" si="93"/>
        <v/>
      </c>
      <c r="GU40" s="560">
        <f>IF(GK40="P",Lookup!$N$12,IF(GK40="PP",Lookup!$N$13,IF(GK40="PPP",Lookup!$N$14,IF(GK40="T",Lookup!$N$15,IF(GK40="TP",Lookup!$N$16,IF(GK40="TPP",Lookup!$N$17,IF(GK40="TPPP",Lookup!$N$18,0)))))))*GJ40</f>
        <v>0</v>
      </c>
      <c r="GV40" s="560">
        <f t="shared" si="57"/>
        <v>0</v>
      </c>
      <c r="GW40" s="560">
        <f t="shared" si="166"/>
        <v>0</v>
      </c>
      <c r="GX40" s="560">
        <f t="shared" si="100"/>
        <v>0</v>
      </c>
      <c r="GY40" s="560"/>
      <c r="GZ40" s="560">
        <f t="shared" si="94"/>
        <v>0</v>
      </c>
      <c r="HA40" s="560" t="str">
        <f t="shared" si="95"/>
        <v/>
      </c>
      <c r="HB40" s="560">
        <f>IF(GK40="P",Lookup!$N$12,IF(GK40="PP",Lookup!$N$13,IF(GK40="PPP",Lookup!$N$14,IF(GK40="T",Lookup!$N$15,IF(GK40="TP",Lookup!$N$16,IF(GK40="TPP",Lookup!$N$17,IF(GK40="TPPP",Lookup!$N$18,0)))))))*GJ40</f>
        <v>0</v>
      </c>
      <c r="HC40" s="545">
        <f t="shared" si="167"/>
        <v>0</v>
      </c>
      <c r="HD40" s="560">
        <f t="shared" si="168"/>
        <v>0</v>
      </c>
      <c r="HE40" s="560">
        <f t="shared" si="101"/>
        <v>0</v>
      </c>
      <c r="HF40" s="560"/>
      <c r="HG40" s="560">
        <f t="shared" si="96"/>
        <v>0</v>
      </c>
      <c r="HH40" s="560" t="str">
        <f t="shared" si="97"/>
        <v/>
      </c>
      <c r="HI40" s="560">
        <f>IF(GK40="P",Lookup!$N$12,IF(GK40="PP",Lookup!$N$13,IF(GK40="PPP",Lookup!$N$14,IF(GK40="T",Lookup!$N$15,IF(GK40="TP",Lookup!$N$16,IF(GK40="TPP",Lookup!$N$17,IF(GK40="TPPP",Lookup!$N$18,0)))))))*GJ40</f>
        <v>0</v>
      </c>
      <c r="HJ40" s="545">
        <f t="shared" si="169"/>
        <v>0</v>
      </c>
      <c r="HK40" s="560">
        <f t="shared" si="170"/>
        <v>0</v>
      </c>
      <c r="HL40" s="560">
        <f t="shared" si="102"/>
        <v>0</v>
      </c>
      <c r="HM40" s="560"/>
    </row>
    <row r="41" spans="1:221">
      <c r="A41" s="580" t="s">
        <v>7</v>
      </c>
      <c r="B41" s="556">
        <v>41669</v>
      </c>
      <c r="C41" s="561">
        <v>0</v>
      </c>
      <c r="D41" s="529">
        <f t="shared" si="103"/>
        <v>300</v>
      </c>
      <c r="E41" s="529">
        <f t="shared" si="104"/>
        <v>250</v>
      </c>
      <c r="F41" s="529">
        <v>250</v>
      </c>
      <c r="G41" s="560">
        <f>DR41+Sheet1!CZ43</f>
        <v>1317.5995965712077</v>
      </c>
      <c r="H41" s="914">
        <f t="shared" si="2"/>
        <v>584.73317922362867</v>
      </c>
      <c r="I41" s="559">
        <f>MAX(Sheet1!Z43-AT41+(Sheet1!DA43-E41)*CFStoMGD,0)</f>
        <v>1190.4479999999999</v>
      </c>
      <c r="J41" s="562">
        <f>IF(AND(B41&gt;=Calculation!GC41,B41&lt;=Calculation!GD41),IF(Sheet1!DB43&gt;=Calculation!D41,64.64,0),MAX(Sheet1!Z43-AT41+(Sheet1!DB43-D41)*CFStoMGD,0))</f>
        <v>621.61599999999999</v>
      </c>
      <c r="K41" s="904">
        <f t="shared" si="105"/>
        <v>64.64</v>
      </c>
      <c r="L41" s="560">
        <f>Sheet1!AA43+Sheet1!AB43-Sheet1!L43+(Sheet1!DA43-F41)*CFStoMGD</f>
        <v>1176.4479999999999</v>
      </c>
      <c r="M41" s="560">
        <f t="shared" si="106"/>
        <v>868.73030680810132</v>
      </c>
      <c r="N41" s="910">
        <f>IF(Sheet1!DA43&gt;=F41,MIN(73,MIN(MAX(L41,0),MAX(M41,0))),0)</f>
        <v>73</v>
      </c>
      <c r="O41" s="563">
        <f>Sheet1!AA43+Sheet1!AB43</f>
        <v>36.950000000000003</v>
      </c>
      <c r="P41" s="563">
        <f t="shared" si="107"/>
        <v>57.161649999999995</v>
      </c>
      <c r="Q41" s="898">
        <f t="shared" si="63"/>
        <v>0</v>
      </c>
      <c r="R41" s="829">
        <f t="shared" si="108"/>
        <v>6.1735788863109047</v>
      </c>
      <c r="S41" s="898">
        <f t="shared" si="65"/>
        <v>36.950000000000003</v>
      </c>
      <c r="T41" s="898">
        <f t="shared" si="66"/>
        <v>0</v>
      </c>
      <c r="U41" s="898">
        <f t="shared" si="6"/>
        <v>0</v>
      </c>
      <c r="V41" s="898"/>
      <c r="W41" s="898">
        <f t="shared" si="67"/>
        <v>58.466421113689094</v>
      </c>
      <c r="X41" s="898">
        <f t="shared" si="68"/>
        <v>36.950000000000003</v>
      </c>
      <c r="Y41" s="898" t="str">
        <f t="shared" si="69"/>
        <v/>
      </c>
      <c r="Z41" s="898">
        <f t="shared" si="70"/>
        <v>36.950000000000003</v>
      </c>
      <c r="AA41" s="898">
        <f t="shared" si="71"/>
        <v>36.950000000000003</v>
      </c>
      <c r="AB41" s="898" t="str">
        <f t="shared" si="72"/>
        <v/>
      </c>
      <c r="AC41" s="563">
        <f>Sheet1!Y43*MGDtoCFS</f>
        <v>30.475899999999996</v>
      </c>
      <c r="AD41" s="563">
        <f>Sheet1!Z43*MGDtoCFS</f>
        <v>21.657999999999998</v>
      </c>
      <c r="AE41" s="563">
        <f>Sheet1!AA43*MGDtoCFS</f>
        <v>30.475899999999996</v>
      </c>
      <c r="AF41" s="563">
        <f>Sheet1!AB43*MGDtoCFS</f>
        <v>26.685749999999999</v>
      </c>
      <c r="AG41" s="563">
        <f>Sheet1!L43*MGDtoCFS</f>
        <v>57.161650000000002</v>
      </c>
      <c r="AH41" s="545">
        <f t="shared" si="109"/>
        <v>0</v>
      </c>
      <c r="AI41" s="560">
        <f t="shared" si="110"/>
        <v>0</v>
      </c>
      <c r="AJ41" s="560">
        <f t="shared" si="111"/>
        <v>0</v>
      </c>
      <c r="AK41" s="560">
        <f t="shared" si="112"/>
        <v>0</v>
      </c>
      <c r="AL41" s="560">
        <f>(VLOOKUP(Sheet1!DC43,hhdcap_wcm,4)-(((VLOOKUP(Sheet1!DC43,hhdcap_wcm,3)-Sheet1!DC43)/(VLOOKUP(Sheet1!DC43,hhdcap_wcm,3)-VLOOKUP(Sheet1!DC43,hhdcap_wcm,1)))*(VLOOKUP(Sheet1!DC43,hhdcap_wcm,4)-VLOOKUP(Sheet1!DC43,hhdcap_wcm,2))))</f>
        <v>1266.800000003597</v>
      </c>
      <c r="AM41" s="560">
        <f t="shared" si="113"/>
        <v>233.2000000007049</v>
      </c>
      <c r="AN41" s="560">
        <f t="shared" si="114"/>
        <v>0</v>
      </c>
      <c r="AO41" s="560">
        <f t="shared" si="115"/>
        <v>0</v>
      </c>
      <c r="AP41" s="560">
        <f>Sheet1!BA43+Sheet1!BB43+Sheet1!BN43+CD41</f>
        <v>11.07</v>
      </c>
      <c r="AQ41" s="560">
        <f>Sheet1!BN43+(DO41*Sheet1!BN43)</f>
        <v>10.105858468677493</v>
      </c>
      <c r="AR41" s="560">
        <f>Sheet1!BA43+CD41</f>
        <v>0</v>
      </c>
      <c r="AS41" s="560">
        <f>Sheet1!BA43+Sheet1!BB43+CD41</f>
        <v>0.97</v>
      </c>
      <c r="AT41" s="698">
        <f>0</f>
        <v>0</v>
      </c>
      <c r="AU41" s="560">
        <f>IF(EB41&lt;K41,0,MAX(Sheet1!AA43+AQ41-15/36*K41-N41,Sheet1!EH43,0))</f>
        <v>0</v>
      </c>
      <c r="AV41" s="560">
        <f>IF(OR(B41&gt;=GD41,B41&lt;GC41),0,15/36*K41-MAX(0,64.6-(137.6-(Sheet1!AA43+Sheet1!AB43))))</f>
        <v>0</v>
      </c>
      <c r="AW41" s="698">
        <f>Sheet1!DB43-110</f>
        <v>1130</v>
      </c>
      <c r="AX41" s="698">
        <f>Sheet1!DA43-265</f>
        <v>1805</v>
      </c>
      <c r="AY41" s="698">
        <f t="shared" si="116"/>
        <v>73</v>
      </c>
      <c r="AZ41" s="698">
        <v>0</v>
      </c>
      <c r="BA41" s="698">
        <f t="shared" si="117"/>
        <v>0</v>
      </c>
      <c r="BB41" s="560">
        <f t="shared" si="118"/>
        <v>0</v>
      </c>
      <c r="BC41" s="560"/>
      <c r="BD41" s="560">
        <f ca="1">IF(B41&gt;Summary!$A$1,#N/A,BB41*MGtoAF)</f>
        <v>0</v>
      </c>
      <c r="BE41" s="560">
        <f>Sheet1!BG43+Sheet1!BH43+Sheet1!BI43-BM41</f>
        <v>0</v>
      </c>
      <c r="BF41" s="560">
        <f t="shared" si="119"/>
        <v>0</v>
      </c>
      <c r="BG41" s="560">
        <f>IF(Sheet1!EP43="FM",BM41,0)</f>
        <v>0</v>
      </c>
      <c r="BH41" s="560">
        <f t="shared" si="120"/>
        <v>0</v>
      </c>
      <c r="BI41" s="560">
        <f>IF(Sheet1!EP43="OTHER",BM41,0)</f>
        <v>0</v>
      </c>
      <c r="BJ41" s="560">
        <f t="shared" si="121"/>
        <v>0</v>
      </c>
      <c r="BK41" s="560">
        <f t="shared" si="122"/>
        <v>0</v>
      </c>
      <c r="BL41" s="560">
        <f t="shared" si="123"/>
        <v>0</v>
      </c>
      <c r="BM41" s="560">
        <f>IF(OR(Sheet1!EP43="FM", Sheet1!EP43="OTHER"),SUM(Sheet1!BG43:'Sheet1'!BI43),0)</f>
        <v>0</v>
      </c>
      <c r="BN41" s="545">
        <f>IF(AND($B41&gt;=$FV41,$B41&lt;=$FW41),MAX(BF41,Sheet1!EI43,0),MAX(BF41-(7/36)*$K41,0))</f>
        <v>0</v>
      </c>
      <c r="BO41" s="560">
        <f t="shared" si="124"/>
        <v>0</v>
      </c>
      <c r="BP41" s="545">
        <f t="shared" si="125"/>
        <v>0</v>
      </c>
      <c r="BQ41" s="545">
        <f>IF(AND($O41&gt;0,Sheet1!EM43=1),(1-($O41-Sheet1!$L43)/$O41)*BL41,0)</f>
        <v>0</v>
      </c>
      <c r="BR41" s="545">
        <f>IF(AND(Sheet1!$L43=0,Sheet1!$L42=0, Calculation!BK41&lt;Sheet1!$EI43-0.1,Sheet1!$EI43=Sheet1!$EI42,Sheet1!$EI43=Sheet1!$EI44),Sheet1!$EI43,BL41-BQ41)</f>
        <v>0</v>
      </c>
      <c r="BS41" s="560"/>
      <c r="BT41" s="560"/>
      <c r="BU41" s="560">
        <f t="shared" si="126"/>
        <v>0</v>
      </c>
      <c r="BV41" s="560"/>
      <c r="BW41" s="560">
        <f ca="1">IF(B41&gt;Summary!$A$1,#N/A,BU41*MGtoAF)</f>
        <v>0</v>
      </c>
      <c r="BX41" s="560">
        <f>Sheet1!BC43+Sheet1!BD43+Sheet1!BE43+Sheet1!BF43-CG41-CH41</f>
        <v>2.5</v>
      </c>
      <c r="BY41" s="560">
        <f t="shared" si="127"/>
        <v>2.5014501160092806</v>
      </c>
      <c r="BZ41" s="560">
        <f>IF(Sheet1!EQ43="FM",CH41,0)</f>
        <v>0</v>
      </c>
      <c r="CA41" s="560">
        <f t="shared" si="128"/>
        <v>0</v>
      </c>
      <c r="CB41" s="560">
        <f>IF(Sheet1!EQ43="OTHER",CH41,0)</f>
        <v>0</v>
      </c>
      <c r="CC41" s="560">
        <f t="shared" si="129"/>
        <v>0</v>
      </c>
      <c r="CD41" s="560">
        <f t="shared" si="130"/>
        <v>0</v>
      </c>
      <c r="CE41" s="560">
        <f t="shared" si="131"/>
        <v>2.5</v>
      </c>
      <c r="CF41" s="560">
        <f t="shared" si="132"/>
        <v>2.5014501160092806</v>
      </c>
      <c r="CG41" s="560">
        <f>IF(Sheet1!EQ43="CWA",SUM(Sheet1!BC43:'Sheet1'!BF43),0)</f>
        <v>0</v>
      </c>
      <c r="CH41" s="560">
        <f>IF(OR(Sheet1!EQ43="FM", Sheet1!EQ43="OTHER"),SUM(Sheet1!BC43:'Sheet1'!BF43),0)</f>
        <v>0</v>
      </c>
      <c r="CI41" s="545">
        <f>IF(AND($B41&gt;=$FV41,$B41&lt;=$FW41),MAX(CF41,Sheet1!EJ43,0),MAX(CF41-(7/36)*$K41,0))</f>
        <v>0</v>
      </c>
      <c r="CJ41" s="560">
        <f t="shared" si="133"/>
        <v>0</v>
      </c>
      <c r="CK41" s="545">
        <f t="shared" si="134"/>
        <v>2.5014501160092806</v>
      </c>
      <c r="CL41" s="545">
        <f>IF(AND($O41&gt;0,Sheet1!EN43=1),(1-($O41-Sheet1!$L43)/$O41)*CF41,0)</f>
        <v>0</v>
      </c>
      <c r="CM41" s="545">
        <f>IF(AND(Sheet1!$L43=0,Sheet1!$L42=0, Calculation!CE41&lt;Sheet1!EJ43-0.1,Sheet1!EJ43=Sheet1!EJ42,Sheet1!EJ43=Sheet1!EJ44),Sheet1!EJ43,CF41-CL41)</f>
        <v>2.5014501160092806</v>
      </c>
      <c r="CN41" s="545"/>
      <c r="CO41" s="560"/>
      <c r="CP41" s="560">
        <f t="shared" si="135"/>
        <v>0</v>
      </c>
      <c r="CQ41" s="560"/>
      <c r="CR41" s="560">
        <f ca="1">IF(B41&gt;Summary!$A$1,#N/A,CP41*MGtoAF)</f>
        <v>0</v>
      </c>
      <c r="CS41" s="560">
        <f>Sheet1!BK43+Sheet1!BL43+Sheet1!BM43-Sheet1!ER43-DA41</f>
        <v>3.67</v>
      </c>
      <c r="CT41" s="560">
        <f t="shared" si="136"/>
        <v>3.6721287703016237</v>
      </c>
      <c r="CU41" s="560">
        <f>IF(Sheet1!ER43="FM",DA41,0)</f>
        <v>0</v>
      </c>
      <c r="CV41" s="560">
        <f t="shared" si="137"/>
        <v>0</v>
      </c>
      <c r="CW41" s="560">
        <f>IF(Sheet1!ER43="OTHER",DA41,0)</f>
        <v>0</v>
      </c>
      <c r="CX41" s="560">
        <f t="shared" si="138"/>
        <v>0</v>
      </c>
      <c r="CY41" s="560">
        <f t="shared" si="139"/>
        <v>3.67</v>
      </c>
      <c r="CZ41" s="560">
        <f t="shared" si="140"/>
        <v>3.6721287703016237</v>
      </c>
      <c r="DA41" s="560">
        <f>IF(OR(Sheet1!ER43="FM", Sheet1!ER43="OTHER"),SUM(Sheet1!BK43:'Sheet1'!BM43),0)</f>
        <v>0</v>
      </c>
      <c r="DB41" s="545">
        <f>IF(AND($B41&gt;=$FV41,$B41&lt;=$FW41),MAX($CT41,Sheet1!EK43,0),MAX($CT41-(7/36)*$K41,0))</f>
        <v>0</v>
      </c>
      <c r="DC41" s="560">
        <f t="shared" si="141"/>
        <v>0</v>
      </c>
      <c r="DD41" s="545">
        <f t="shared" si="142"/>
        <v>3.6721287703016237</v>
      </c>
      <c r="DE41" s="545">
        <f>IF(AND($O41&gt;0,Sheet1!EO43=1),(1-($O41-Sheet1!$L43)/$O41)*CZ41,0)</f>
        <v>0</v>
      </c>
      <c r="DF41" s="545">
        <f>IF(AND(Sheet1!$L43=0,Sheet1!$L42=0, Calculation!CY41&lt;Sheet1!$EK43-0.1,Sheet1!$EK43=Sheet1!$EK42,Sheet1!$EK43=Sheet1!$EK44),Sheet1!$EK43,CZ41-DE41)</f>
        <v>3.6721287703016237</v>
      </c>
      <c r="DG41" s="545"/>
      <c r="DH41" s="560">
        <f t="shared" si="143"/>
        <v>6.17</v>
      </c>
      <c r="DI41" s="560">
        <f t="shared" si="144"/>
        <v>0</v>
      </c>
      <c r="DJ41" s="698">
        <f t="shared" si="145"/>
        <v>6.1735788863109047</v>
      </c>
      <c r="DK41" s="560">
        <f ca="1">IF(B41&gt;Summary!$A$1,#N/A,DI41*MGtoAF)</f>
        <v>0</v>
      </c>
      <c r="DL41" s="698">
        <f t="shared" si="146"/>
        <v>6.17</v>
      </c>
      <c r="DM41" s="560">
        <f t="shared" si="147"/>
        <v>17.240000000000002</v>
      </c>
      <c r="DN41" s="560">
        <f>Sheet1!AB43-DM41</f>
        <v>9.9999999999980105E-3</v>
      </c>
      <c r="DO41" s="823">
        <f t="shared" si="148"/>
        <v>5.8004640371218149E-4</v>
      </c>
      <c r="DP41" s="560">
        <f>(VLOOKUP(Sheet1!DC43,hhdcap_wcm,4)-(((VLOOKUP(Sheet1!DC43,hhdcap_wcm,3)-Sheet1!DC43)/(VLOOKUP(Sheet1!DC43,hhdcap_wcm,3)-VLOOKUP(Sheet1!DC43,hhdcap_wcm,1)))*(VLOOKUP(Sheet1!DC43,hhdcap_wcm,4)-VLOOKUP(Sheet1!DC43,hhdcap_wcm,2))))</f>
        <v>1266.800000003597</v>
      </c>
      <c r="DQ41" s="560">
        <f t="shared" si="149"/>
        <v>233.2000000007049</v>
      </c>
      <c r="DR41" s="560">
        <f t="shared" si="150"/>
        <v>117.5995965712077</v>
      </c>
      <c r="DS41" s="560">
        <f>Sheet1!EA43*AFtoMG</f>
        <v>0</v>
      </c>
      <c r="DT41" s="560">
        <f>Sheet1!EB43*AFtoMG</f>
        <v>0</v>
      </c>
      <c r="DU41" s="560">
        <f>Sheet1!EC43*AFtoMG</f>
        <v>0</v>
      </c>
      <c r="DV41" s="560">
        <f>Sheet1!ED43*AFtoMG</f>
        <v>0</v>
      </c>
      <c r="DW41" s="560">
        <f t="shared" si="151"/>
        <v>0</v>
      </c>
      <c r="DX41" s="560">
        <f t="shared" si="152"/>
        <v>0</v>
      </c>
      <c r="DY41" s="560">
        <f t="shared" si="153"/>
        <v>0</v>
      </c>
      <c r="DZ41" s="560">
        <f t="shared" si="154"/>
        <v>0</v>
      </c>
      <c r="EA41" s="560"/>
      <c r="EB41" s="545">
        <f>IF(OR(B41&lt;FV41,B41&gt;FW41),(MIN(BF41+BY41+CT41+MAX(Sheet1!AA43+AQ41-73,0),K41)),0)</f>
        <v>6.1735788863109047</v>
      </c>
      <c r="EC41" s="560"/>
      <c r="ED41" s="560">
        <f t="shared" si="155"/>
        <v>6.1735788863109047</v>
      </c>
      <c r="EE41" s="560"/>
      <c r="EF41" s="560">
        <f>Sheet1!EH43+Sheet1!EI43+Sheet1!EJ43+Sheet1!EK43</f>
        <v>6.17</v>
      </c>
      <c r="EG41" s="560"/>
      <c r="EH41" s="545">
        <f t="shared" si="156"/>
        <v>0</v>
      </c>
      <c r="EI41" s="560">
        <f>IF(Sheet1!ET43=1,SUM('Calculations II'!AT41:BA41)+'Calculations II'!BC41+Sheet1!BV43+'Calculations II'!BE41+AP41,SUM('Calculations II'!AT41:BA41)+'Calculations II'!BC41+Sheet1!BV43+'Calculations II'!BE41+AP41)</f>
        <v>45.223935999999995</v>
      </c>
      <c r="EJ41" s="560">
        <f>Sheet1!AA43+Sheet1!AB43+'Calculations II'!BC41</f>
        <v>49.187696000000003</v>
      </c>
      <c r="EK41" s="560"/>
      <c r="EL41" s="560"/>
      <c r="EM41" s="560">
        <f t="shared" si="157"/>
        <v>41669</v>
      </c>
      <c r="EN41" s="560">
        <f t="shared" si="158"/>
        <v>0</v>
      </c>
      <c r="EO41" s="560">
        <f t="shared" si="159"/>
        <v>0</v>
      </c>
      <c r="EP41" s="560">
        <v>0</v>
      </c>
      <c r="EQ41" s="560">
        <v>0</v>
      </c>
      <c r="ER41" s="560">
        <v>0</v>
      </c>
      <c r="ES41" s="545">
        <f t="shared" si="77"/>
        <v>-0.27699518332786111</v>
      </c>
      <c r="ET41" s="560">
        <f>-(VLOOKUP(Sheet1!BQ43,Lookup!$O$4:$Q$262,2)-VLOOKUP(Sheet1!BQ42,Lookup!$O$4:$Q$262,2))/1000000</f>
        <v>-0.13849759166393055</v>
      </c>
      <c r="EU41" s="560">
        <f>-(VLOOKUP(Sheet1!BR43,Lookup!$O$4:$Q$262,3)-VLOOKUP(Sheet1!BR42,Lookup!$O$4:$Q$262,3))/1000000</f>
        <v>-0.13849759166393055</v>
      </c>
      <c r="EV41" s="560"/>
      <c r="EW41" s="560"/>
      <c r="EX41" s="560"/>
      <c r="EY41" s="560"/>
      <c r="EZ41" s="560"/>
      <c r="FA41" s="560"/>
      <c r="FB41" s="560"/>
      <c r="FC41" s="560"/>
      <c r="FD41" s="594" t="e">
        <f t="shared" si="160"/>
        <v>#N/A</v>
      </c>
      <c r="FE41" s="594" t="e">
        <f t="shared" si="161"/>
        <v>#N/A</v>
      </c>
      <c r="FF41" s="595" t="e">
        <f t="shared" si="162"/>
        <v>#N/A</v>
      </c>
      <c r="FG41" s="596" t="s">
        <v>692</v>
      </c>
      <c r="FH41" s="596" t="s">
        <v>692</v>
      </c>
      <c r="FI41" s="594" t="e">
        <v>#N/A</v>
      </c>
      <c r="FJ41" s="594" t="e">
        <v>#N/A</v>
      </c>
      <c r="FK41" s="560"/>
      <c r="FL41" s="560"/>
      <c r="FM41" s="560"/>
      <c r="FN41" s="560"/>
      <c r="FO41" s="560">
        <f>O41+((Sheet1!CS43)*GPMtoMGD)</f>
        <v>49.187696000000003</v>
      </c>
      <c r="FP41" s="560">
        <f>IF(Sheet1!AA43+AQ41&lt;=Calculation!N41,AQ41,Calculation!N41-Sheet1!AA43)</f>
        <v>10.105858468677493</v>
      </c>
      <c r="FQ41" s="560">
        <f>(Sheet1!BP43+Sheet1!BO43)/694.4</f>
        <v>1.4684619815668203</v>
      </c>
      <c r="FR41" s="560"/>
      <c r="FS41" s="560"/>
      <c r="FT41" s="560"/>
      <c r="FU41" s="560"/>
      <c r="FV41" s="695">
        <f t="shared" si="80"/>
        <v>41827</v>
      </c>
      <c r="FW41" s="695">
        <f t="shared" si="81"/>
        <v>41934</v>
      </c>
      <c r="FX41" s="560"/>
      <c r="FY41" s="560"/>
      <c r="FZ41" s="560"/>
      <c r="GA41" s="560"/>
      <c r="GB41" s="560" t="str">
        <f t="shared" si="82"/>
        <v>n</v>
      </c>
      <c r="GC41" s="564">
        <f t="shared" si="83"/>
        <v>41691</v>
      </c>
      <c r="GD41" s="695">
        <f t="shared" si="84"/>
        <v>41807</v>
      </c>
      <c r="GE41" s="560">
        <v>6518.9</v>
      </c>
      <c r="GF41" s="695">
        <f t="shared" si="85"/>
        <v>41808</v>
      </c>
      <c r="GG41" s="560">
        <f t="shared" si="163"/>
        <v>3259</v>
      </c>
      <c r="GH41" s="564">
        <f t="shared" si="87"/>
        <v>41934</v>
      </c>
      <c r="GJ41" s="545">
        <f t="shared" si="88"/>
        <v>0</v>
      </c>
      <c r="GK41" s="560" t="str">
        <f t="shared" si="164"/>
        <v/>
      </c>
      <c r="GL41" s="560">
        <f t="shared" si="89"/>
        <v>0</v>
      </c>
      <c r="GM41" s="560" t="str">
        <f t="shared" si="90"/>
        <v/>
      </c>
      <c r="GN41" s="560">
        <f>IF(GK41="P",Lookup!$M$12,IF(GK41="PP",Lookup!$M$13,IF(GK41="PPP",Lookup!$M$14,IF(GK41="T",Lookup!$M$15,IF(GK41="TP",Lookup!$M$16,IF(GK41="TPP",Lookup!$M$17,IF(GK41="TPPP",Lookup!$M$18,0)))))))*GJ41</f>
        <v>0</v>
      </c>
      <c r="GO41" s="560">
        <f t="shared" si="91"/>
        <v>0</v>
      </c>
      <c r="GP41" s="560">
        <f t="shared" si="165"/>
        <v>0</v>
      </c>
      <c r="GQ41" s="560">
        <f t="shared" si="99"/>
        <v>0</v>
      </c>
      <c r="GR41" s="560"/>
      <c r="GS41" s="560">
        <f t="shared" si="92"/>
        <v>0</v>
      </c>
      <c r="GT41" s="560" t="str">
        <f t="shared" si="93"/>
        <v/>
      </c>
      <c r="GU41" s="560">
        <f>IF(GK41="P",Lookup!$N$12,IF(GK41="PP",Lookup!$N$13,IF(GK41="PPP",Lookup!$N$14,IF(GK41="T",Lookup!$N$15,IF(GK41="TP",Lookup!$N$16,IF(GK41="TPP",Lookup!$N$17,IF(GK41="TPPP",Lookup!$N$18,0)))))))*GJ41</f>
        <v>0</v>
      </c>
      <c r="GV41" s="560">
        <f t="shared" si="57"/>
        <v>0</v>
      </c>
      <c r="GW41" s="560">
        <f t="shared" si="166"/>
        <v>0</v>
      </c>
      <c r="GX41" s="560">
        <f t="shared" si="100"/>
        <v>0</v>
      </c>
      <c r="GY41" s="560"/>
      <c r="GZ41" s="560">
        <f t="shared" si="94"/>
        <v>0</v>
      </c>
      <c r="HA41" s="560" t="str">
        <f t="shared" si="95"/>
        <v/>
      </c>
      <c r="HB41" s="560">
        <f>IF(GK41="P",Lookup!$N$12,IF(GK41="PP",Lookup!$N$13,IF(GK41="PPP",Lookup!$N$14,IF(GK41="T",Lookup!$N$15,IF(GK41="TP",Lookup!$N$16,IF(GK41="TPP",Lookup!$N$17,IF(GK41="TPPP",Lookup!$N$18,0)))))))*GJ41</f>
        <v>0</v>
      </c>
      <c r="HC41" s="545">
        <f t="shared" si="167"/>
        <v>0</v>
      </c>
      <c r="HD41" s="560">
        <f t="shared" si="168"/>
        <v>0</v>
      </c>
      <c r="HE41" s="560">
        <f t="shared" si="101"/>
        <v>0</v>
      </c>
      <c r="HF41" s="560"/>
      <c r="HG41" s="560">
        <f t="shared" si="96"/>
        <v>0</v>
      </c>
      <c r="HH41" s="560" t="str">
        <f t="shared" si="97"/>
        <v/>
      </c>
      <c r="HI41" s="560">
        <f>IF(GK41="P",Lookup!$N$12,IF(GK41="PP",Lookup!$N$13,IF(GK41="PPP",Lookup!$N$14,IF(GK41="T",Lookup!$N$15,IF(GK41="TP",Lookup!$N$16,IF(GK41="TPP",Lookup!$N$17,IF(GK41="TPPP",Lookup!$N$18,0)))))))*GJ41</f>
        <v>0</v>
      </c>
      <c r="HJ41" s="545">
        <f t="shared" si="169"/>
        <v>0</v>
      </c>
      <c r="HK41" s="560">
        <f t="shared" si="170"/>
        <v>0</v>
      </c>
      <c r="HL41" s="560">
        <f t="shared" si="102"/>
        <v>0</v>
      </c>
      <c r="HM41" s="560"/>
    </row>
    <row r="42" spans="1:221">
      <c r="A42" s="580" t="s">
        <v>8</v>
      </c>
      <c r="B42" s="556">
        <v>41670</v>
      </c>
      <c r="C42" s="561">
        <v>0</v>
      </c>
      <c r="D42" s="529">
        <f t="shared" si="103"/>
        <v>300</v>
      </c>
      <c r="E42" s="529">
        <f t="shared" si="104"/>
        <v>250</v>
      </c>
      <c r="F42" s="529">
        <v>250</v>
      </c>
      <c r="G42" s="560">
        <f>DR42+Sheet1!CZ44</f>
        <v>1006.0252143217829</v>
      </c>
      <c r="H42" s="914">
        <f t="shared" si="2"/>
        <v>383.33149853760045</v>
      </c>
      <c r="I42" s="559">
        <f>MAX(Sheet1!Z44-AT42+(Sheet1!DA44-E42)*CFStoMGD,0)</f>
        <v>973.92199999999991</v>
      </c>
      <c r="J42" s="562">
        <f>IF(AND(B42&gt;=Calculation!GC42,B42&lt;=Calculation!GD42),IF(Sheet1!DB44&gt;=Calculation!D42,64.64,0),MAX(Sheet1!Z44-AT42+(Sheet1!DB44-D42)*CFStoMGD,0))</f>
        <v>469.72999999999996</v>
      </c>
      <c r="K42" s="904">
        <f t="shared" si="105"/>
        <v>64.64</v>
      </c>
      <c r="L42" s="560">
        <f>Sheet1!AA44+Sheet1!AB44-Sheet1!L44+(Sheet1!DA44-F42)*CFStoMGD</f>
        <v>956.67199999999991</v>
      </c>
      <c r="M42" s="560">
        <f t="shared" si="106"/>
        <v>663.30059250835245</v>
      </c>
      <c r="N42" s="910">
        <f>IF(Sheet1!DA44&gt;=F42,MIN(73,MIN(MAX(L42,0),MAX(M42,0))),0)</f>
        <v>73</v>
      </c>
      <c r="O42" s="563">
        <f>Sheet1!AA44+Sheet1!AB44</f>
        <v>37.25</v>
      </c>
      <c r="P42" s="563">
        <f t="shared" si="107"/>
        <v>57.625749999999996</v>
      </c>
      <c r="Q42" s="898">
        <f t="shared" si="63"/>
        <v>0</v>
      </c>
      <c r="R42" s="829">
        <f t="shared" si="108"/>
        <v>6.5562853907134766</v>
      </c>
      <c r="S42" s="898">
        <f t="shared" si="65"/>
        <v>37.25</v>
      </c>
      <c r="T42" s="898">
        <f t="shared" si="66"/>
        <v>0</v>
      </c>
      <c r="U42" s="898">
        <f t="shared" si="6"/>
        <v>0</v>
      </c>
      <c r="V42" s="898"/>
      <c r="W42" s="898">
        <f t="shared" si="67"/>
        <v>58.083714609286524</v>
      </c>
      <c r="X42" s="898">
        <f t="shared" si="68"/>
        <v>37.25</v>
      </c>
      <c r="Y42" s="898" t="str">
        <f t="shared" si="69"/>
        <v/>
      </c>
      <c r="Z42" s="898">
        <f t="shared" si="70"/>
        <v>37.25</v>
      </c>
      <c r="AA42" s="898">
        <f t="shared" si="71"/>
        <v>37.25</v>
      </c>
      <c r="AB42" s="898" t="str">
        <f t="shared" si="72"/>
        <v/>
      </c>
      <c r="AC42" s="563">
        <f>Sheet1!Y44*MGDtoCFS</f>
        <v>30.475899999999996</v>
      </c>
      <c r="AD42" s="563">
        <f>Sheet1!Z44*MGDtoCFS</f>
        <v>26.685749999999999</v>
      </c>
      <c r="AE42" s="563">
        <f>Sheet1!AA44*MGDtoCFS</f>
        <v>30.321200000000001</v>
      </c>
      <c r="AF42" s="563">
        <f>Sheet1!AB44*MGDtoCFS</f>
        <v>27.304549999999995</v>
      </c>
      <c r="AG42" s="563">
        <f>Sheet1!L44*MGDtoCFS</f>
        <v>57.625749999999996</v>
      </c>
      <c r="AH42" s="545">
        <f t="shared" si="109"/>
        <v>0</v>
      </c>
      <c r="AI42" s="560">
        <f t="shared" si="110"/>
        <v>0</v>
      </c>
      <c r="AJ42" s="560">
        <f t="shared" si="111"/>
        <v>0</v>
      </c>
      <c r="AK42" s="560">
        <f t="shared" si="112"/>
        <v>0</v>
      </c>
      <c r="AL42" s="560">
        <f>(VLOOKUP(Sheet1!DC44,hhdcap_wcm,4)-(((VLOOKUP(Sheet1!DC44,hhdcap_wcm,3)-Sheet1!DC44)/(VLOOKUP(Sheet1!DC44,hhdcap_wcm,3)-VLOOKUP(Sheet1!DC44,hhdcap_wcm,1)))*(VLOOKUP(Sheet1!DC44,hhdcap_wcm,4)-VLOOKUP(Sheet1!DC44,hhdcap_wcm,2))))</f>
        <v>1366.0000000036925</v>
      </c>
      <c r="AM42" s="560">
        <f t="shared" si="113"/>
        <v>99.200000000095542</v>
      </c>
      <c r="AN42" s="560">
        <f t="shared" si="114"/>
        <v>0</v>
      </c>
      <c r="AO42" s="560">
        <f t="shared" si="115"/>
        <v>0</v>
      </c>
      <c r="AP42" s="560">
        <f>Sheet1!BA44+Sheet1!BB44+Sheet1!BN44+CD42</f>
        <v>11.1</v>
      </c>
      <c r="AQ42" s="560">
        <f>Sheet1!BN44+(DO42*Sheet1!BN44)</f>
        <v>10.094280860702151</v>
      </c>
      <c r="AR42" s="560">
        <f>Sheet1!BA44+CD42</f>
        <v>0</v>
      </c>
      <c r="AS42" s="560">
        <f>Sheet1!BA44+Sheet1!BB44+CD42</f>
        <v>1</v>
      </c>
      <c r="AT42" s="698">
        <f>0</f>
        <v>0</v>
      </c>
      <c r="AU42" s="560">
        <f>IF(EB42&lt;K42,0,MAX(Sheet1!AA44+AQ42-15/36*K42-N42,Sheet1!EH44,0))</f>
        <v>0</v>
      </c>
      <c r="AV42" s="560">
        <f>IF(OR(B42&gt;=GD42,B42&lt;GC42),0,15/36*K42-MAX(0,64.6-(137.6-(Sheet1!AA44+Sheet1!AB44))))</f>
        <v>0</v>
      </c>
      <c r="AW42" s="698">
        <f>Sheet1!DB44-110</f>
        <v>890</v>
      </c>
      <c r="AX42" s="698">
        <f>Sheet1!DA44-265</f>
        <v>1465</v>
      </c>
      <c r="AY42" s="698">
        <f t="shared" si="116"/>
        <v>73</v>
      </c>
      <c r="AZ42" s="698">
        <v>0</v>
      </c>
      <c r="BA42" s="698">
        <f t="shared" si="117"/>
        <v>0</v>
      </c>
      <c r="BB42" s="560">
        <f t="shared" si="118"/>
        <v>0</v>
      </c>
      <c r="BC42" s="560"/>
      <c r="BD42" s="560">
        <f ca="1">IF(B42&gt;Summary!$A$1,#N/A,BB42*MGtoAF)</f>
        <v>0</v>
      </c>
      <c r="BE42" s="560">
        <f>Sheet1!BG44+Sheet1!BH44+Sheet1!BI44-BM42</f>
        <v>0</v>
      </c>
      <c r="BF42" s="560">
        <f t="shared" si="119"/>
        <v>0</v>
      </c>
      <c r="BG42" s="560">
        <f>IF(Sheet1!EP44="FM",BM42,0)</f>
        <v>0</v>
      </c>
      <c r="BH42" s="560">
        <f t="shared" si="120"/>
        <v>0</v>
      </c>
      <c r="BI42" s="560">
        <f>IF(Sheet1!EP44="OTHER",BM42,0)</f>
        <v>0</v>
      </c>
      <c r="BJ42" s="560">
        <f t="shared" si="121"/>
        <v>0</v>
      </c>
      <c r="BK42" s="560">
        <f t="shared" si="122"/>
        <v>0</v>
      </c>
      <c r="BL42" s="560">
        <f t="shared" si="123"/>
        <v>0</v>
      </c>
      <c r="BM42" s="560">
        <f>IF(OR(Sheet1!EP44="FM", Sheet1!EP44="OTHER"),SUM(Sheet1!BG44:'Sheet1'!BI44),0)</f>
        <v>0</v>
      </c>
      <c r="BN42" s="545">
        <f>IF(AND($B42&gt;=$FV42,$B42&lt;=$FW42),MAX(BF42,Sheet1!EI44,0),MAX(BF42-(7/36)*$K42,0))</f>
        <v>0</v>
      </c>
      <c r="BO42" s="560">
        <f t="shared" si="124"/>
        <v>0</v>
      </c>
      <c r="BP42" s="545">
        <f t="shared" si="125"/>
        <v>0</v>
      </c>
      <c r="BQ42" s="545">
        <f>IF(AND($O42&gt;0,Sheet1!EM44=1),(1-($O42-Sheet1!$L44)/$O42)*BL42,0)</f>
        <v>0</v>
      </c>
      <c r="BR42" s="545">
        <f>IF(AND(Sheet1!$L44=0,Sheet1!$L43=0, Calculation!BK42&lt;Sheet1!$EI44-0.1,Sheet1!$EI44=Sheet1!$EI43,Sheet1!$EI44=Sheet1!$EI45),Sheet1!$EI44,BL42-BQ42)</f>
        <v>0</v>
      </c>
      <c r="BS42" s="560"/>
      <c r="BT42" s="560"/>
      <c r="BU42" s="560">
        <f t="shared" si="126"/>
        <v>0</v>
      </c>
      <c r="BV42" s="560"/>
      <c r="BW42" s="560">
        <f ca="1">IF(B42&gt;Summary!$A$1,#N/A,BU42*MGtoAF)</f>
        <v>0</v>
      </c>
      <c r="BX42" s="560">
        <f>Sheet1!BC44+Sheet1!BD44+Sheet1!BE44+Sheet1!BF44-CG42-CH42</f>
        <v>2.5</v>
      </c>
      <c r="BY42" s="560">
        <f t="shared" si="127"/>
        <v>2.4985843714609284</v>
      </c>
      <c r="BZ42" s="560">
        <f>IF(Sheet1!EQ44="FM",CH42,0)</f>
        <v>0</v>
      </c>
      <c r="CA42" s="560">
        <f t="shared" si="128"/>
        <v>0</v>
      </c>
      <c r="CB42" s="560">
        <f>IF(Sheet1!EQ44="OTHER",CH42,0)</f>
        <v>0</v>
      </c>
      <c r="CC42" s="560">
        <f t="shared" si="129"/>
        <v>0</v>
      </c>
      <c r="CD42" s="560">
        <f t="shared" si="130"/>
        <v>0</v>
      </c>
      <c r="CE42" s="560">
        <f t="shared" si="131"/>
        <v>2.5</v>
      </c>
      <c r="CF42" s="560">
        <f t="shared" si="132"/>
        <v>2.4985843714609284</v>
      </c>
      <c r="CG42" s="560">
        <f>IF(Sheet1!EQ44="CWA",SUM(Sheet1!BC44:'Sheet1'!BF44),0)</f>
        <v>0</v>
      </c>
      <c r="CH42" s="560">
        <f>IF(OR(Sheet1!EQ44="FM", Sheet1!EQ44="OTHER"),SUM(Sheet1!BC44:'Sheet1'!BF44),0)</f>
        <v>0</v>
      </c>
      <c r="CI42" s="545">
        <f>IF(AND($B42&gt;=$FV42,$B42&lt;=$FW42),MAX(CF42,Sheet1!EJ44,0),MAX(CF42-(7/36)*$K42,0))</f>
        <v>0</v>
      </c>
      <c r="CJ42" s="560">
        <f t="shared" si="133"/>
        <v>0</v>
      </c>
      <c r="CK42" s="545">
        <f t="shared" si="134"/>
        <v>2.4985843714609284</v>
      </c>
      <c r="CL42" s="545">
        <f>IF(AND($O42&gt;0,Sheet1!EN44=1),(1-($O42-Sheet1!$L44)/$O42)*CF42,0)</f>
        <v>0</v>
      </c>
      <c r="CM42" s="545">
        <f>IF(AND(Sheet1!$L44=0,Sheet1!$L43=0, Calculation!CE42&lt;Sheet1!EJ44-0.1,Sheet1!EJ44=Sheet1!EJ43,Sheet1!EJ44=Sheet1!EJ45),Sheet1!EJ44,CF42-CL42)</f>
        <v>2.4985843714609284</v>
      </c>
      <c r="CN42" s="545"/>
      <c r="CO42" s="560"/>
      <c r="CP42" s="560">
        <f t="shared" si="135"/>
        <v>0</v>
      </c>
      <c r="CQ42" s="560"/>
      <c r="CR42" s="560">
        <f ca="1">IF(B42&gt;Summary!$A$1,#N/A,CP42*MGtoAF)</f>
        <v>0</v>
      </c>
      <c r="CS42" s="560">
        <f>Sheet1!BK44+Sheet1!BL44+Sheet1!BM44-Sheet1!ER44-DA42</f>
        <v>4.0600000000000005</v>
      </c>
      <c r="CT42" s="560">
        <f t="shared" si="136"/>
        <v>4.0577010192525487</v>
      </c>
      <c r="CU42" s="560">
        <f>IF(Sheet1!ER44="FM",DA42,0)</f>
        <v>0</v>
      </c>
      <c r="CV42" s="560">
        <f t="shared" si="137"/>
        <v>0</v>
      </c>
      <c r="CW42" s="560">
        <f>IF(Sheet1!ER44="OTHER",DA42,0)</f>
        <v>0</v>
      </c>
      <c r="CX42" s="560">
        <f t="shared" si="138"/>
        <v>0</v>
      </c>
      <c r="CY42" s="560">
        <f t="shared" si="139"/>
        <v>4.0600000000000005</v>
      </c>
      <c r="CZ42" s="560">
        <f t="shared" si="140"/>
        <v>4.0577010192525487</v>
      </c>
      <c r="DA42" s="560">
        <f>IF(OR(Sheet1!ER44="FM", Sheet1!ER44="OTHER"),SUM(Sheet1!BK44:'Sheet1'!BM44),0)</f>
        <v>0</v>
      </c>
      <c r="DB42" s="545">
        <f>IF(AND($B42&gt;=$FV42,$B42&lt;=$FW42),MAX($CT42,Sheet1!EK44,0),MAX($CT42-(7/36)*$K42,0))</f>
        <v>0</v>
      </c>
      <c r="DC42" s="560">
        <f t="shared" si="141"/>
        <v>0</v>
      </c>
      <c r="DD42" s="545">
        <f t="shared" si="142"/>
        <v>4.0577010192525487</v>
      </c>
      <c r="DE42" s="545">
        <f>IF(AND($O42&gt;0,Sheet1!EO44=1),(1-($O42-Sheet1!$L44)/$O42)*CZ42,0)</f>
        <v>0</v>
      </c>
      <c r="DF42" s="545">
        <f>IF(AND(Sheet1!$L44=0,Sheet1!$L43=0, Calculation!CY42&lt;Sheet1!$EK44-0.1,Sheet1!$EK44=Sheet1!$EK43,Sheet1!$EK44=Sheet1!$EK45),Sheet1!$EK44,CZ42-DE42)</f>
        <v>4.0577010192525487</v>
      </c>
      <c r="DG42" s="545"/>
      <c r="DH42" s="560">
        <f t="shared" si="143"/>
        <v>6.5600000000000005</v>
      </c>
      <c r="DI42" s="560">
        <f t="shared" si="144"/>
        <v>0</v>
      </c>
      <c r="DJ42" s="698">
        <f t="shared" si="145"/>
        <v>6.5562853907134766</v>
      </c>
      <c r="DK42" s="560">
        <f ca="1">IF(B42&gt;Summary!$A$1,#N/A,DI42*MGtoAF)</f>
        <v>0</v>
      </c>
      <c r="DL42" s="698">
        <f t="shared" si="146"/>
        <v>6.5600000000000005</v>
      </c>
      <c r="DM42" s="560">
        <f t="shared" si="147"/>
        <v>17.66</v>
      </c>
      <c r="DN42" s="560">
        <f>Sheet1!AB44-DM42</f>
        <v>-1.0000000000001563E-2</v>
      </c>
      <c r="DO42" s="823">
        <f t="shared" si="148"/>
        <v>-5.6625141562862758E-4</v>
      </c>
      <c r="DP42" s="560">
        <f>(VLOOKUP(Sheet1!DC44,hhdcap_wcm,4)-(((VLOOKUP(Sheet1!DC44,hhdcap_wcm,3)-Sheet1!DC44)/(VLOOKUP(Sheet1!DC44,hhdcap_wcm,3)-VLOOKUP(Sheet1!DC44,hhdcap_wcm,1)))*(VLOOKUP(Sheet1!DC44,hhdcap_wcm,4)-VLOOKUP(Sheet1!DC44,hhdcap_wcm,2))))</f>
        <v>1366.0000000036925</v>
      </c>
      <c r="DQ42" s="560">
        <f t="shared" si="149"/>
        <v>99.200000000095542</v>
      </c>
      <c r="DR42" s="560">
        <f t="shared" si="150"/>
        <v>50.025214321782919</v>
      </c>
      <c r="DS42" s="560">
        <f>Sheet1!EA44*AFtoMG</f>
        <v>0</v>
      </c>
      <c r="DT42" s="560">
        <f>Sheet1!EB44*AFtoMG</f>
        <v>0</v>
      </c>
      <c r="DU42" s="560">
        <f>Sheet1!EC44*AFtoMG</f>
        <v>0</v>
      </c>
      <c r="DV42" s="560">
        <f>Sheet1!ED44*AFtoMG</f>
        <v>0</v>
      </c>
      <c r="DW42" s="560">
        <f t="shared" si="151"/>
        <v>0</v>
      </c>
      <c r="DX42" s="560">
        <f t="shared" si="152"/>
        <v>0</v>
      </c>
      <c r="DY42" s="560">
        <f t="shared" si="153"/>
        <v>0</v>
      </c>
      <c r="DZ42" s="560">
        <f t="shared" si="154"/>
        <v>0</v>
      </c>
      <c r="EA42" s="560"/>
      <c r="EB42" s="545">
        <f>IF(OR(B42&lt;FV42,B42&gt;FW42),(MIN(BF42+BY42+CT42+MAX(Sheet1!AA44+AQ42-73,0),K42)),0)</f>
        <v>6.5562853907134766</v>
      </c>
      <c r="EC42" s="560"/>
      <c r="ED42" s="560">
        <f t="shared" si="155"/>
        <v>6.5562853907134766</v>
      </c>
      <c r="EE42" s="560"/>
      <c r="EF42" s="560">
        <f>Sheet1!EH44+Sheet1!EI44+Sheet1!EJ44+Sheet1!EK44</f>
        <v>6.5600000000000005</v>
      </c>
      <c r="EG42" s="560"/>
      <c r="EH42" s="545">
        <f t="shared" si="156"/>
        <v>0</v>
      </c>
      <c r="EI42" s="560">
        <f>IF(Sheet1!ET44=1,SUM('Calculations II'!AT42:BA42)+'Calculations II'!BC42+Sheet1!BV44+'Calculations II'!BE42+AP42,SUM('Calculations II'!AT42:BA42)+'Calculations II'!BC42+Sheet1!BV44+'Calculations II'!BE42+AP42)</f>
        <v>45.770512000000004</v>
      </c>
      <c r="EJ42" s="560">
        <f>Sheet1!AA44+Sheet1!AB44+'Calculations II'!BC42</f>
        <v>50.699888000000001</v>
      </c>
      <c r="EK42" s="560"/>
      <c r="EL42" s="560"/>
      <c r="EM42" s="560">
        <f t="shared" si="157"/>
        <v>41670</v>
      </c>
      <c r="EN42" s="560">
        <f t="shared" si="158"/>
        <v>0</v>
      </c>
      <c r="EO42" s="560">
        <f t="shared" si="159"/>
        <v>0</v>
      </c>
      <c r="EP42" s="560">
        <v>0</v>
      </c>
      <c r="EQ42" s="560">
        <v>0</v>
      </c>
      <c r="ER42" s="560">
        <v>0</v>
      </c>
      <c r="ES42" s="545">
        <f t="shared" si="77"/>
        <v>-0.96958568184698746</v>
      </c>
      <c r="ET42" s="560">
        <f>-(VLOOKUP(Sheet1!BQ44,Lookup!$O$4:$Q$262,2)-VLOOKUP(Sheet1!BQ43,Lookup!$O$4:$Q$262,2))/1000000</f>
        <v>-0.55405445446514334</v>
      </c>
      <c r="EU42" s="560">
        <f>-(VLOOKUP(Sheet1!BR44,Lookup!$O$4:$Q$262,3)-VLOOKUP(Sheet1!BR43,Lookup!$O$4:$Q$262,3))/1000000</f>
        <v>-0.41553122738184406</v>
      </c>
      <c r="EV42" s="560"/>
      <c r="EW42" s="560"/>
      <c r="EX42" s="560"/>
      <c r="EY42" s="560"/>
      <c r="EZ42" s="560"/>
      <c r="FA42" s="560"/>
      <c r="FB42" s="560"/>
      <c r="FC42" s="560"/>
      <c r="FD42" s="594" t="e">
        <f t="shared" si="160"/>
        <v>#N/A</v>
      </c>
      <c r="FE42" s="594" t="e">
        <f t="shared" si="161"/>
        <v>#N/A</v>
      </c>
      <c r="FF42" s="595" t="e">
        <f t="shared" si="162"/>
        <v>#N/A</v>
      </c>
      <c r="FG42" s="596" t="s">
        <v>692</v>
      </c>
      <c r="FH42" s="596" t="s">
        <v>692</v>
      </c>
      <c r="FI42" s="594" t="e">
        <v>#N/A</v>
      </c>
      <c r="FJ42" s="594" t="e">
        <v>#N/A</v>
      </c>
      <c r="FK42" s="560"/>
      <c r="FL42" s="560"/>
      <c r="FM42" s="560"/>
      <c r="FN42" s="560"/>
      <c r="FO42" s="560">
        <f>O42+((Sheet1!CS44)*GPMtoMGD)</f>
        <v>50.699888000000001</v>
      </c>
      <c r="FP42" s="560">
        <f>IF(Sheet1!AA44+AQ42&lt;=Calculation!N42,AQ42,Calculation!N42-Sheet1!AA44)</f>
        <v>10.094280860702151</v>
      </c>
      <c r="FQ42" s="560">
        <f>(Sheet1!BP44+Sheet1!BO44)/694.4</f>
        <v>1.425115207373272</v>
      </c>
      <c r="FR42" s="560"/>
      <c r="FS42" s="560"/>
      <c r="FT42" s="560"/>
      <c r="FU42" s="560"/>
      <c r="FV42" s="695">
        <f t="shared" si="80"/>
        <v>41827</v>
      </c>
      <c r="FW42" s="695">
        <f t="shared" si="81"/>
        <v>41934</v>
      </c>
      <c r="FX42" s="560"/>
      <c r="FY42" s="560"/>
      <c r="FZ42" s="560"/>
      <c r="GA42" s="560"/>
      <c r="GB42" s="560" t="str">
        <f t="shared" si="82"/>
        <v>n</v>
      </c>
      <c r="GC42" s="564">
        <f t="shared" si="83"/>
        <v>41691</v>
      </c>
      <c r="GD42" s="695">
        <f t="shared" si="84"/>
        <v>41807</v>
      </c>
      <c r="GE42" s="560">
        <v>6518.9</v>
      </c>
      <c r="GF42" s="695">
        <f t="shared" si="85"/>
        <v>41808</v>
      </c>
      <c r="GG42" s="560">
        <f t="shared" si="163"/>
        <v>3259</v>
      </c>
      <c r="GH42" s="564">
        <f t="shared" si="87"/>
        <v>41934</v>
      </c>
      <c r="GJ42" s="545">
        <f t="shared" si="88"/>
        <v>0</v>
      </c>
      <c r="GK42" s="560" t="str">
        <f t="shared" si="164"/>
        <v/>
      </c>
      <c r="GL42" s="560">
        <f t="shared" si="89"/>
        <v>0</v>
      </c>
      <c r="GM42" s="560" t="str">
        <f t="shared" si="90"/>
        <v/>
      </c>
      <c r="GN42" s="560">
        <f>IF(GK42="P",Lookup!$M$12,IF(GK42="PP",Lookup!$M$13,IF(GK42="PPP",Lookup!$M$14,IF(GK42="T",Lookup!$M$15,IF(GK42="TP",Lookup!$M$16,IF(GK42="TPP",Lookup!$M$17,IF(GK42="TPPP",Lookup!$M$18,0)))))))*GJ42</f>
        <v>0</v>
      </c>
      <c r="GO42" s="560">
        <f t="shared" si="91"/>
        <v>0</v>
      </c>
      <c r="GP42" s="560">
        <f t="shared" si="165"/>
        <v>0</v>
      </c>
      <c r="GQ42" s="560">
        <f t="shared" si="99"/>
        <v>0</v>
      </c>
      <c r="GR42" s="560"/>
      <c r="GS42" s="560">
        <f t="shared" si="92"/>
        <v>0</v>
      </c>
      <c r="GT42" s="560" t="str">
        <f t="shared" si="93"/>
        <v/>
      </c>
      <c r="GU42" s="560">
        <f>IF(GK42="P",Lookup!$N$12,IF(GK42="PP",Lookup!$N$13,IF(GK42="PPP",Lookup!$N$14,IF(GK42="T",Lookup!$N$15,IF(GK42="TP",Lookup!$N$16,IF(GK42="TPP",Lookup!$N$17,IF(GK42="TPPP",Lookup!$N$18,0)))))))*GJ42</f>
        <v>0</v>
      </c>
      <c r="GV42" s="560">
        <f t="shared" si="57"/>
        <v>0</v>
      </c>
      <c r="GW42" s="560">
        <f t="shared" si="166"/>
        <v>0</v>
      </c>
      <c r="GX42" s="560">
        <f t="shared" si="100"/>
        <v>0</v>
      </c>
      <c r="GY42" s="560"/>
      <c r="GZ42" s="560">
        <f t="shared" si="94"/>
        <v>0</v>
      </c>
      <c r="HA42" s="560" t="str">
        <f t="shared" si="95"/>
        <v/>
      </c>
      <c r="HB42" s="560">
        <f>IF(GK42="P",Lookup!$N$12,IF(GK42="PP",Lookup!$N$13,IF(GK42="PPP",Lookup!$N$14,IF(GK42="T",Lookup!$N$15,IF(GK42="TP",Lookup!$N$16,IF(GK42="TPP",Lookup!$N$17,IF(GK42="TPPP",Lookup!$N$18,0)))))))*GJ42</f>
        <v>0</v>
      </c>
      <c r="HC42" s="545">
        <f t="shared" si="167"/>
        <v>0</v>
      </c>
      <c r="HD42" s="560">
        <f t="shared" si="168"/>
        <v>0</v>
      </c>
      <c r="HE42" s="560">
        <f t="shared" si="101"/>
        <v>0</v>
      </c>
      <c r="HF42" s="560"/>
      <c r="HG42" s="560">
        <f t="shared" si="96"/>
        <v>0</v>
      </c>
      <c r="HH42" s="560" t="str">
        <f t="shared" si="97"/>
        <v/>
      </c>
      <c r="HI42" s="560">
        <f>IF(GK42="P",Lookup!$N$12,IF(GK42="PP",Lookup!$N$13,IF(GK42="PPP",Lookup!$N$14,IF(GK42="T",Lookup!$N$15,IF(GK42="TP",Lookup!$N$16,IF(GK42="TPP",Lookup!$N$17,IF(GK42="TPPP",Lookup!$N$18,0)))))))*GJ42</f>
        <v>0</v>
      </c>
      <c r="HJ42" s="545">
        <f t="shared" si="169"/>
        <v>0</v>
      </c>
      <c r="HK42" s="560">
        <f t="shared" si="170"/>
        <v>0</v>
      </c>
      <c r="HL42" s="560">
        <f t="shared" si="102"/>
        <v>0</v>
      </c>
      <c r="HM42" s="560"/>
    </row>
    <row r="43" spans="1:221">
      <c r="A43" s="580" t="s">
        <v>9</v>
      </c>
      <c r="B43" s="556">
        <v>41671</v>
      </c>
      <c r="C43" s="561">
        <v>0</v>
      </c>
      <c r="D43" s="529">
        <f t="shared" si="103"/>
        <v>300</v>
      </c>
      <c r="E43" s="529">
        <f t="shared" si="104"/>
        <v>250</v>
      </c>
      <c r="F43" s="529">
        <v>250</v>
      </c>
      <c r="G43" s="560">
        <f>DR43+Sheet1!CZ45</f>
        <v>996.80433686337051</v>
      </c>
      <c r="H43" s="914">
        <f t="shared" si="2"/>
        <v>377.37112334848268</v>
      </c>
      <c r="I43" s="559">
        <f>MAX(Sheet1!Z45-AT43+(Sheet1!DA45-E43)*CFStoMGD,0)</f>
        <v>929.07399999999996</v>
      </c>
      <c r="J43" s="562">
        <f>IF(AND(B43&gt;=Calculation!GC43,B43&lt;=Calculation!GD43),IF(Sheet1!DB45&gt;=Calculation!D43,64.64,0),MAX(Sheet1!Z45-AT43+(Sheet1!DB45-D43)*CFStoMGD,0))</f>
        <v>467.54439999999994</v>
      </c>
      <c r="K43" s="904">
        <f t="shared" ref="K43:K106" si="171">MAX(MIN(H43:J43,64.64),0)</f>
        <v>64.64</v>
      </c>
      <c r="L43" s="560">
        <f>Sheet1!AA45+Sheet1!AB45-Sheet1!L45+(Sheet1!DA45-F43)*CFStoMGD</f>
        <v>911.42399999999998</v>
      </c>
      <c r="M43" s="560">
        <f t="shared" ref="M43:M106" si="172">1.02*CFStoMGD*G43</f>
        <v>657.22100981545236</v>
      </c>
      <c r="N43" s="910">
        <f>IF(Sheet1!DA45&gt;=F43,MIN(73,MIN(MAX(L43,0),MAX(M43,0))),0)</f>
        <v>73</v>
      </c>
      <c r="O43" s="563">
        <f>Sheet1!AA45+Sheet1!AB45</f>
        <v>33.799999999999997</v>
      </c>
      <c r="P43" s="563">
        <f t="shared" ref="P43:P106" si="173">AE43+AF43</f>
        <v>52.288599999999995</v>
      </c>
      <c r="Q43" s="898">
        <f t="shared" si="63"/>
        <v>0</v>
      </c>
      <c r="R43" s="829">
        <f t="shared" ref="R43:R106" si="174">IF(AND(B43&gt;=GF43,B43&lt;=GH43),MAX(EB43,EF43),EB43)</f>
        <v>6.2498929336188436</v>
      </c>
      <c r="S43" s="898">
        <f t="shared" si="65"/>
        <v>33.799999999999997</v>
      </c>
      <c r="T43" s="898">
        <f t="shared" si="66"/>
        <v>0</v>
      </c>
      <c r="U43" s="898">
        <f t="shared" si="6"/>
        <v>0</v>
      </c>
      <c r="V43" s="898"/>
      <c r="W43" s="898">
        <f t="shared" si="67"/>
        <v>58.390107066381155</v>
      </c>
      <c r="X43" s="898">
        <f t="shared" si="68"/>
        <v>33.799999999999997</v>
      </c>
      <c r="Y43" s="898" t="str">
        <f t="shared" si="69"/>
        <v/>
      </c>
      <c r="Z43" s="898">
        <f t="shared" si="70"/>
        <v>33.799999999999997</v>
      </c>
      <c r="AA43" s="898">
        <f t="shared" si="71"/>
        <v>33.799999999999997</v>
      </c>
      <c r="AB43" s="898" t="str">
        <f t="shared" si="72"/>
        <v/>
      </c>
      <c r="AC43" s="563">
        <f>Sheet1!Y45*MGDtoCFS</f>
        <v>30.321200000000001</v>
      </c>
      <c r="AD43" s="563">
        <f>Sheet1!Z45*MGDtoCFS</f>
        <v>27.304549999999995</v>
      </c>
      <c r="AE43" s="563">
        <f>Sheet1!AA45*MGDtoCFS</f>
        <v>30.475899999999996</v>
      </c>
      <c r="AF43" s="563">
        <f>Sheet1!AB45*MGDtoCFS</f>
        <v>21.8127</v>
      </c>
      <c r="AG43" s="563">
        <f>Sheet1!L45*MGDtoCFS</f>
        <v>52.288599999999995</v>
      </c>
      <c r="AH43" s="545">
        <f t="shared" ref="AH43:AH106" si="175">AU43+BN43+CI43+DB43</f>
        <v>0</v>
      </c>
      <c r="AI43" s="560">
        <f t="shared" ref="AI43:AI106" si="176">AH43*MGDtoCFS</f>
        <v>0</v>
      </c>
      <c r="AJ43" s="560">
        <f t="shared" ref="AJ43:AJ106" si="177">IF(B43&gt;=GC43,IF(B43&lt;=GD43,K43-EB43,0),0)</f>
        <v>0</v>
      </c>
      <c r="AK43" s="560">
        <f t="shared" ref="AK43:AK106" si="178">AJ43*MGDtoCFS</f>
        <v>0</v>
      </c>
      <c r="AL43" s="560">
        <f>(VLOOKUP(Sheet1!DC45,hhdcap_wcm,4)-(((VLOOKUP(Sheet1!DC45,hhdcap_wcm,3)-Sheet1!DC45)/(VLOOKUP(Sheet1!DC45,hhdcap_wcm,3)-VLOOKUP(Sheet1!DC45,hhdcap_wcm,1)))*(VLOOKUP(Sheet1!DC45,hhdcap_wcm,4)-VLOOKUP(Sheet1!DC45,hhdcap_wcm,2))))</f>
        <v>1437.0000000037562</v>
      </c>
      <c r="AM43" s="560">
        <f t="shared" ref="AM43:AM106" si="179">AL43-AL42</f>
        <v>71.000000000063665</v>
      </c>
      <c r="AN43" s="560">
        <f t="shared" ref="AN43:AN106" si="180">(IF(AND(B43&gt;=GC43,B43&lt;GF43),MIN(BB43+BU43+CP43+DI43,GE43),IF(B43=GF43,GG43,IF(AND(B43&gt;GF43,B43&lt;GH43),BB43+BU43+CP43+DI43,IF(B43&gt;=GH43,0,0)))))</f>
        <v>0</v>
      </c>
      <c r="AO43" s="560">
        <f t="shared" ref="AO43:AO106" si="181">AN43*MGtoAF</f>
        <v>0</v>
      </c>
      <c r="AP43" s="560">
        <f>Sheet1!BA45+Sheet1!BB45+Sheet1!BN45+CD43</f>
        <v>7.8</v>
      </c>
      <c r="AQ43" s="560">
        <f>Sheet1!BN45+(DO43*Sheet1!BN45)</f>
        <v>6.8436830835117766</v>
      </c>
      <c r="AR43" s="560">
        <f>Sheet1!BA45+CD43</f>
        <v>0</v>
      </c>
      <c r="AS43" s="560">
        <f>Sheet1!BA45+Sheet1!BB45+CD43</f>
        <v>1</v>
      </c>
      <c r="AT43" s="698">
        <f>0</f>
        <v>0</v>
      </c>
      <c r="AU43" s="560">
        <f>IF(EB43&lt;K43,0,MAX(Sheet1!AA45+AQ43-15/36*K43-N43,Sheet1!EH45,0))</f>
        <v>0</v>
      </c>
      <c r="AV43" s="560">
        <f>IF(OR(B43&gt;=GD43,B43&lt;GC43),0,15/36*K43-MAX(0,64.6-(137.6-(Sheet1!AA45+Sheet1!AB45))))</f>
        <v>0</v>
      </c>
      <c r="AW43" s="698">
        <f>Sheet1!DB45-110</f>
        <v>886</v>
      </c>
      <c r="AX43" s="698">
        <f>Sheet1!DA45-265</f>
        <v>1395</v>
      </c>
      <c r="AY43" s="698">
        <f t="shared" ref="AY43:AY106" si="182">N43-Q43</f>
        <v>73</v>
      </c>
      <c r="AZ43" s="698">
        <v>0</v>
      </c>
      <c r="BA43" s="698">
        <f t="shared" ref="BA43:BA106" si="183">IF(AZ43&lt;=0,0,AZ43/1.547)</f>
        <v>0</v>
      </c>
      <c r="BB43" s="560">
        <f t="shared" ref="BB43:BB106" si="184">GO43+GQ43</f>
        <v>0</v>
      </c>
      <c r="BC43" s="560"/>
      <c r="BD43" s="560">
        <f ca="1">IF(B43&gt;Summary!$A$1,#N/A,BB43*MGtoAF)</f>
        <v>0</v>
      </c>
      <c r="BE43" s="560">
        <f>Sheet1!BG45+Sheet1!BH45+Sheet1!BI45-BM43</f>
        <v>0</v>
      </c>
      <c r="BF43" s="560">
        <f t="shared" ref="BF43:BF106" si="185">BE43+(DO43*BE43)</f>
        <v>0</v>
      </c>
      <c r="BG43" s="560">
        <f>IF(Sheet1!EP45="FM",BM43,0)</f>
        <v>0</v>
      </c>
      <c r="BH43" s="560">
        <f t="shared" ref="BH43:BH106" si="186">BG43+(DO43*BG43)</f>
        <v>0</v>
      </c>
      <c r="BI43" s="560">
        <f>IF(Sheet1!EP45="OTHER",BM43,0)</f>
        <v>0</v>
      </c>
      <c r="BJ43" s="560">
        <f t="shared" ref="BJ43:BJ106" si="187">BI43+(DO43*BI43)</f>
        <v>0</v>
      </c>
      <c r="BK43" s="560">
        <f t="shared" ref="BK43:BK106" si="188">MAX(BE43,BG43,BI43)</f>
        <v>0</v>
      </c>
      <c r="BL43" s="560">
        <f t="shared" ref="BL43:BL106" si="189">MAX(BF43,BH43,BJ43)</f>
        <v>0</v>
      </c>
      <c r="BM43" s="560">
        <f>IF(OR(Sheet1!EP45="FM", Sheet1!EP45="OTHER"),SUM(Sheet1!BG45:'Sheet1'!BI45),0)</f>
        <v>0</v>
      </c>
      <c r="BN43" s="545">
        <f>IF(AND($B43&gt;=$FV43,$B43&lt;=$FW43),MAX(BF43,Sheet1!EI45,0),MAX(BF43-(7/36)*$K43,0))</f>
        <v>0</v>
      </c>
      <c r="BO43" s="560">
        <f t="shared" ref="BO43:BO106" si="190">IF(B43&gt;=GC43,IF(B43&lt;=GD43,(7/36)*K43-BF43,0),0)</f>
        <v>0</v>
      </c>
      <c r="BP43" s="545">
        <f t="shared" ref="BP43:BP106" si="191">MAX(BL43-BN43,0)</f>
        <v>0</v>
      </c>
      <c r="BQ43" s="545">
        <f>IF(AND($O43&gt;0,Sheet1!EM45=1),(1-($O43-Sheet1!$L45)/$O43)*BL43,0)</f>
        <v>0</v>
      </c>
      <c r="BR43" s="545">
        <f>IF(AND(Sheet1!$L45=0,Sheet1!$L44=0, Calculation!BK43&lt;Sheet1!$EI45-0.1,Sheet1!$EI45=Sheet1!$EI44,Sheet1!$EI45=Sheet1!$EI46),Sheet1!$EI45,BL43-BQ43)</f>
        <v>0</v>
      </c>
      <c r="BS43" s="560"/>
      <c r="BT43" s="560"/>
      <c r="BU43" s="560">
        <f t="shared" ref="BU43:BU106" si="192">GV43+GX43</f>
        <v>0</v>
      </c>
      <c r="BV43" s="560"/>
      <c r="BW43" s="560">
        <f ca="1">IF(B43&gt;Summary!$A$1,#N/A,BU43*MGtoAF)</f>
        <v>0</v>
      </c>
      <c r="BX43" s="560">
        <f>Sheet1!BC45+Sheet1!BD45+Sheet1!BE45+Sheet1!BF45-CG43-CH43</f>
        <v>2.4900000000000002</v>
      </c>
      <c r="BY43" s="560">
        <f t="shared" ref="BY43:BY106" si="193">BX43+(DO43*BX43)</f>
        <v>2.5059957173447538</v>
      </c>
      <c r="BZ43" s="560">
        <f>IF(Sheet1!EQ45="FM",CH43,0)</f>
        <v>0</v>
      </c>
      <c r="CA43" s="560">
        <f t="shared" ref="CA43:CA106" si="194">BZ43+(DO43*BZ43)</f>
        <v>0</v>
      </c>
      <c r="CB43" s="560">
        <f>IF(Sheet1!EQ45="OTHER",CH43,0)</f>
        <v>0</v>
      </c>
      <c r="CC43" s="560">
        <f t="shared" ref="CC43:CC106" si="195">CB43+(DO43*CB43)</f>
        <v>0</v>
      </c>
      <c r="CD43" s="560">
        <f t="shared" ref="CD43:CD106" si="196">CG43</f>
        <v>0</v>
      </c>
      <c r="CE43" s="560">
        <f t="shared" ref="CE43:CE106" si="197">MAX(BX43,BZ43,CB43)</f>
        <v>2.4900000000000002</v>
      </c>
      <c r="CF43" s="560">
        <f t="shared" ref="CF43:CF106" si="198">MAX(BY43,CA43, CC43)</f>
        <v>2.5059957173447538</v>
      </c>
      <c r="CG43" s="560">
        <f>IF(Sheet1!EQ45="CWA",SUM(Sheet1!BC45:'Sheet1'!BF45),0)</f>
        <v>0</v>
      </c>
      <c r="CH43" s="560">
        <f>IF(OR(Sheet1!EQ45="FM", Sheet1!EQ45="OTHER"),SUM(Sheet1!BC45:'Sheet1'!BF45),0)</f>
        <v>0</v>
      </c>
      <c r="CI43" s="545">
        <f>IF(AND($B43&gt;=$FV43,$B43&lt;=$FW43),MAX(CF43,Sheet1!EJ45,0),MAX(CF43-(7/36)*$K43,0))</f>
        <v>0</v>
      </c>
      <c r="CJ43" s="560">
        <f t="shared" ref="CJ43:CJ106" si="199">IF(B43&gt;=GC43,IF(B43&lt;=GD43,(7/36)*K43-BY43,0),0)</f>
        <v>0</v>
      </c>
      <c r="CK43" s="545">
        <f t="shared" ref="CK43:CK106" si="200">MAX(CF43-CI43,0)</f>
        <v>2.5059957173447538</v>
      </c>
      <c r="CL43" s="545">
        <f>IF(AND($O43&gt;0,Sheet1!EN45=1),(1-($O43-Sheet1!$L45)/$O43)*CF43,0)</f>
        <v>0</v>
      </c>
      <c r="CM43" s="545">
        <f>IF(AND(Sheet1!$L45=0,Sheet1!$L44=0, Calculation!CE43&lt;Sheet1!EJ45-0.1,Sheet1!EJ45=Sheet1!EJ44,Sheet1!EJ45=Sheet1!EJ46),Sheet1!EJ45,CF43-CL43)</f>
        <v>2.5059957173447538</v>
      </c>
      <c r="CN43" s="545"/>
      <c r="CO43" s="560"/>
      <c r="CP43" s="560">
        <f t="shared" ref="CP43:CP106" si="201">HC43+HE43</f>
        <v>0</v>
      </c>
      <c r="CQ43" s="560"/>
      <c r="CR43" s="560">
        <f ca="1">IF(B43&gt;Summary!$A$1,#N/A,CP43*MGtoAF)</f>
        <v>0</v>
      </c>
      <c r="CS43" s="560">
        <f>Sheet1!BK45+Sheet1!BL45+Sheet1!BM45-Sheet1!ER45-DA43</f>
        <v>3.72</v>
      </c>
      <c r="CT43" s="560">
        <f t="shared" ref="CT43:CT106" si="202">CS43+(DO43*CS43)</f>
        <v>3.7438972162740898</v>
      </c>
      <c r="CU43" s="560">
        <f>IF(Sheet1!ER45="FM",DA43,0)</f>
        <v>0</v>
      </c>
      <c r="CV43" s="560">
        <f t="shared" ref="CV43:CV106" si="203">CU43+(DO43*CU43)</f>
        <v>0</v>
      </c>
      <c r="CW43" s="560">
        <f>IF(Sheet1!ER45="OTHER",DA43,0)</f>
        <v>0</v>
      </c>
      <c r="CX43" s="560">
        <f t="shared" ref="CX43:CX106" si="204">CW43+(DO43*CW43)</f>
        <v>0</v>
      </c>
      <c r="CY43" s="560">
        <f t="shared" ref="CY43:CY106" si="205">MAX(CS43,CU43)</f>
        <v>3.72</v>
      </c>
      <c r="CZ43" s="560">
        <f t="shared" ref="CZ43:CZ106" si="206">MAX(CT43,CV43)</f>
        <v>3.7438972162740898</v>
      </c>
      <c r="DA43" s="560">
        <f>IF(OR(Sheet1!ER45="FM", Sheet1!ER45="OTHER"),SUM(Sheet1!BK45:'Sheet1'!BM45),0)</f>
        <v>0</v>
      </c>
      <c r="DB43" s="545">
        <f>IF(AND($B43&gt;=$FV43,$B43&lt;=$FW43),MAX($CT43,Sheet1!EK45,0),MAX($CT43-(7/36)*$K43,0))</f>
        <v>0</v>
      </c>
      <c r="DC43" s="560">
        <f t="shared" ref="DC43:DC106" si="207">IF(B43&gt;=GC43,IF(B43&lt;=GD43,(7/36)*K43-CT43,0),0)</f>
        <v>0</v>
      </c>
      <c r="DD43" s="545">
        <f t="shared" ref="DD43:DD106" si="208">MAX(CZ43-DB43,0)</f>
        <v>3.7438972162740898</v>
      </c>
      <c r="DE43" s="545">
        <f>IF(AND($O43&gt;0,Sheet1!EO45=1),(1-($O43-Sheet1!$L45)/$O43)*CZ43,0)</f>
        <v>0</v>
      </c>
      <c r="DF43" s="545">
        <f>IF(AND(Sheet1!$L45=0,Sheet1!$L44=0, Calculation!CY43&lt;Sheet1!$EK45-0.1,Sheet1!$EK45=Sheet1!$EK44,Sheet1!$EK45=Sheet1!$EK46),Sheet1!$EK45,CZ43-DE43)</f>
        <v>3.7438972162740898</v>
      </c>
      <c r="DG43" s="545"/>
      <c r="DH43" s="560">
        <f t="shared" ref="DH43:DH106" si="209">BK43+CE43+CY43</f>
        <v>6.2100000000000009</v>
      </c>
      <c r="DI43" s="560">
        <f t="shared" ref="DI43:DI106" si="210">HJ43+HL43</f>
        <v>0</v>
      </c>
      <c r="DJ43" s="698">
        <f t="shared" ref="DJ43:DJ106" si="211">BL43+CF43+CZ43</f>
        <v>6.2498929336188436</v>
      </c>
      <c r="DK43" s="560">
        <f ca="1">IF(B43&gt;Summary!$A$1,#N/A,DI43*MGtoAF)</f>
        <v>0</v>
      </c>
      <c r="DL43" s="698">
        <f t="shared" ref="DL43:DL106" si="212">CY43+CE43+BK43</f>
        <v>6.2100000000000009</v>
      </c>
      <c r="DM43" s="560">
        <f t="shared" ref="DM43:DM106" si="213">DL43+AP43</f>
        <v>14.010000000000002</v>
      </c>
      <c r="DN43" s="560">
        <f>Sheet1!AB45-DM43</f>
        <v>8.9999999999998082E-2</v>
      </c>
      <c r="DO43" s="823">
        <f t="shared" ref="DO43:DO106" si="214">IF(DM43=0,0,DN43/DM43)</f>
        <v>6.423982869378877E-3</v>
      </c>
      <c r="DP43" s="560">
        <f>(VLOOKUP(Sheet1!DC45,hhdcap_wcm,4)-(((VLOOKUP(Sheet1!DC45,hhdcap_wcm,3)-Sheet1!DC45)/(VLOOKUP(Sheet1!DC45,hhdcap_wcm,3)-VLOOKUP(Sheet1!DC45,hhdcap_wcm,1)))*(VLOOKUP(Sheet1!DC45,hhdcap_wcm,4)-VLOOKUP(Sheet1!DC45,hhdcap_wcm,2))))</f>
        <v>1437.0000000037562</v>
      </c>
      <c r="DQ43" s="560">
        <f t="shared" ref="DQ43:DQ106" si="215">DP43-DP42</f>
        <v>71.000000000063665</v>
      </c>
      <c r="DR43" s="560">
        <f t="shared" ref="DR43:DR106" si="216">DQ43*AFtoCFS</f>
        <v>35.804336863370473</v>
      </c>
      <c r="DS43" s="560">
        <f>Sheet1!EA45*AFtoMG</f>
        <v>0</v>
      </c>
      <c r="DT43" s="560">
        <f>Sheet1!EB45*AFtoMG</f>
        <v>0</v>
      </c>
      <c r="DU43" s="560">
        <f>Sheet1!EC45*AFtoMG</f>
        <v>0</v>
      </c>
      <c r="DV43" s="560">
        <f>Sheet1!ED45*AFtoMG</f>
        <v>0</v>
      </c>
      <c r="DW43" s="560">
        <f t="shared" ref="DW43:DW106" si="217">SUM(DS43:DV43)</f>
        <v>0</v>
      </c>
      <c r="DX43" s="560">
        <f t="shared" ref="DX43:DX106" si="218">DW43*MGtoAF</f>
        <v>0</v>
      </c>
      <c r="DY43" s="560">
        <f t="shared" ref="DY43:DY106" si="219">AN43</f>
        <v>0</v>
      </c>
      <c r="DZ43" s="560">
        <f t="shared" ref="DZ43:DZ106" si="220">DY43*MGtoAF</f>
        <v>0</v>
      </c>
      <c r="EA43" s="560"/>
      <c r="EB43" s="545">
        <f>IF(OR(B43&lt;FV43,B43&gt;FW43),(MIN(BF43+BY43+CT43+MAX(Sheet1!AA45+AQ43-73,0),K43)),0)</f>
        <v>6.2498929336188436</v>
      </c>
      <c r="EC43" s="560"/>
      <c r="ED43" s="560">
        <f t="shared" ref="ED43:ED106" si="221">CT43+BF43+BY43</f>
        <v>6.2498929336188436</v>
      </c>
      <c r="EE43" s="560"/>
      <c r="EF43" s="560">
        <f>Sheet1!EH45+Sheet1!EI45+Sheet1!EJ45+Sheet1!EK45</f>
        <v>6.2200000000000006</v>
      </c>
      <c r="EG43" s="560"/>
      <c r="EH43" s="545">
        <f t="shared" ref="EH43:EH106" si="222">EB43-BP43-CK43-DD43</f>
        <v>0</v>
      </c>
      <c r="EI43" s="560">
        <f>IF(Sheet1!ET45=1,SUM('Calculations II'!AT43:BA43)+'Calculations II'!BC43+Sheet1!BV45+'Calculations II'!BE43+AP43,SUM('Calculations II'!AT43:BA43)+'Calculations II'!BC43+Sheet1!BV45+'Calculations II'!BE43+AP43)</f>
        <v>43.627136</v>
      </c>
      <c r="EJ43" s="560">
        <f>Sheet1!AA45+Sheet1!AB45+'Calculations II'!BC43</f>
        <v>50.409247999999998</v>
      </c>
      <c r="EK43" s="560"/>
      <c r="EL43" s="560"/>
      <c r="EM43" s="560">
        <f t="shared" ref="EM43:EM106" si="223">B43</f>
        <v>41671</v>
      </c>
      <c r="EN43" s="560">
        <f t="shared" ref="EN43:EN106" si="224">AJ43-AH43</f>
        <v>0</v>
      </c>
      <c r="EO43" s="560">
        <f t="shared" ref="EO43:EO106" si="225">AK43-AI43</f>
        <v>0</v>
      </c>
      <c r="EP43" s="560">
        <v>0</v>
      </c>
      <c r="EQ43" s="560">
        <v>0</v>
      </c>
      <c r="ER43" s="560">
        <v>0</v>
      </c>
      <c r="ES43" s="545">
        <f t="shared" si="77"/>
        <v>-3.4640806006213092</v>
      </c>
      <c r="ET43" s="560">
        <f>-(VLOOKUP(Sheet1!BQ45,Lookup!$O$4:$Q$262,2)-VLOOKUP(Sheet1!BQ44,Lookup!$O$4:$Q$262,2))/1000000</f>
        <v>-1.6627786867690049</v>
      </c>
      <c r="EU43" s="560">
        <f>-(VLOOKUP(Sheet1!BR45,Lookup!$O$4:$Q$262,3)-VLOOKUP(Sheet1!BR44,Lookup!$O$4:$Q$262,3))/1000000</f>
        <v>-1.8013019138523043</v>
      </c>
      <c r="EV43" s="560"/>
      <c r="EW43" s="560"/>
      <c r="EX43" s="560"/>
      <c r="EY43" s="560"/>
      <c r="EZ43" s="560"/>
      <c r="FA43" s="560"/>
      <c r="FB43" s="560"/>
      <c r="FC43" s="560"/>
      <c r="FD43" s="594" t="e">
        <f t="shared" ref="FD43:FD106" si="226">VLOOKUP(FJ42,hhdelev_wcm,4) -(((VLOOKUP(FJ42,hhdelev_wcm,3)-FJ42)/(VLOOKUP(FJ42,hhdelev_wcm,3)-VLOOKUP(FJ42,hhdelev_wcm,1)))*(VLOOKUP(FJ42,hhdelev_wcm,4)-VLOOKUP(FJ42,hhdelev_wcm,2)))</f>
        <v>#N/A</v>
      </c>
      <c r="FE43" s="594" t="e">
        <f t="shared" ref="FE43:FE106" si="227">MAX((FE42-FI43*1.983),0)</f>
        <v>#N/A</v>
      </c>
      <c r="FF43" s="595" t="e">
        <f t="shared" ref="FF43:FF106" si="228">IF(DP43-AO43-FE43-1220&lt;0,0,DP43-AO43-FE43-1220)</f>
        <v>#N/A</v>
      </c>
      <c r="FG43" s="596" t="s">
        <v>692</v>
      </c>
      <c r="FH43" s="596" t="s">
        <v>692</v>
      </c>
      <c r="FI43" s="594" t="e">
        <v>#N/A</v>
      </c>
      <c r="FJ43" s="594" t="e">
        <v>#N/A</v>
      </c>
      <c r="FK43" s="560"/>
      <c r="FL43" s="560"/>
      <c r="FM43" s="560"/>
      <c r="FN43" s="560"/>
      <c r="FO43" s="560">
        <f>O43+((Sheet1!CS45)*GPMtoMGD)</f>
        <v>50.409247999999998</v>
      </c>
      <c r="FP43" s="560">
        <f>IF(Sheet1!AA45+AQ43&lt;=Calculation!N43,AQ43,Calculation!N43-Sheet1!AA45)</f>
        <v>6.8436830835117766</v>
      </c>
      <c r="FQ43" s="560">
        <f>(Sheet1!BP45+Sheet1!BO45)/694.4</f>
        <v>1.5017281105990783</v>
      </c>
      <c r="FR43" s="560"/>
      <c r="FS43" s="560"/>
      <c r="FT43" s="560"/>
      <c r="FU43" s="560"/>
      <c r="FV43" s="695">
        <f t="shared" si="80"/>
        <v>41827</v>
      </c>
      <c r="FW43" s="695">
        <f t="shared" si="81"/>
        <v>41934</v>
      </c>
      <c r="FX43" s="560"/>
      <c r="FY43" s="560"/>
      <c r="FZ43" s="560"/>
      <c r="GA43" s="560"/>
      <c r="GB43" s="560" t="str">
        <f t="shared" si="82"/>
        <v>n</v>
      </c>
      <c r="GC43" s="564">
        <f t="shared" si="83"/>
        <v>41691</v>
      </c>
      <c r="GD43" s="695">
        <f t="shared" si="84"/>
        <v>41807</v>
      </c>
      <c r="GE43" s="560">
        <v>6518.9</v>
      </c>
      <c r="GF43" s="695">
        <f t="shared" si="85"/>
        <v>41808</v>
      </c>
      <c r="GG43" s="560">
        <f t="shared" si="163"/>
        <v>3259</v>
      </c>
      <c r="GH43" s="564">
        <f t="shared" si="87"/>
        <v>41934</v>
      </c>
      <c r="GJ43" s="545">
        <f t="shared" si="88"/>
        <v>0</v>
      </c>
      <c r="GK43" s="560" t="str">
        <f t="shared" ref="GK43:GK106" si="229">CONCATENATE(GM43,HA43,GT43,HH43)</f>
        <v/>
      </c>
      <c r="GL43" s="560">
        <f t="shared" si="89"/>
        <v>0</v>
      </c>
      <c r="GM43" s="560" t="str">
        <f t="shared" si="90"/>
        <v/>
      </c>
      <c r="GN43" s="560">
        <f>IF(GK43="P",Lookup!$M$12,IF(GK43="PP",Lookup!$M$13,IF(GK43="PPP",Lookup!$M$14,IF(GK43="T",Lookup!$M$15,IF(GK43="TP",Lookup!$M$16,IF(GK43="TPP",Lookup!$M$17,IF(GK43="TPPP",Lookup!$M$18,0)))))))*GJ43</f>
        <v>0</v>
      </c>
      <c r="GO43" s="560">
        <f t="shared" si="91"/>
        <v>0</v>
      </c>
      <c r="GP43" s="560">
        <f t="shared" ref="GP43:GP106" si="230">GQ43*MGtoAF</f>
        <v>0</v>
      </c>
      <c r="GQ43" s="560">
        <f t="shared" si="99"/>
        <v>0</v>
      </c>
      <c r="GR43" s="560"/>
      <c r="GS43" s="560">
        <f t="shared" si="92"/>
        <v>0</v>
      </c>
      <c r="GT43" s="560" t="str">
        <f t="shared" si="93"/>
        <v/>
      </c>
      <c r="GU43" s="560">
        <f>IF(GK43="P",Lookup!$N$12,IF(GK43="PP",Lookup!$N$13,IF(GK43="PPP",Lookup!$N$14,IF(GK43="T",Lookup!$N$15,IF(GK43="TP",Lookup!$N$16,IF(GK43="TPP",Lookup!$N$17,IF(GK43="TPPP",Lookup!$N$18,0)))))))*GJ43</f>
        <v>0</v>
      </c>
      <c r="GV43" s="560">
        <f t="shared" si="57"/>
        <v>0</v>
      </c>
      <c r="GW43" s="560">
        <f t="shared" ref="GW43:GW106" si="231">GX43*MGtoAF</f>
        <v>0</v>
      </c>
      <c r="GX43" s="560">
        <f t="shared" si="100"/>
        <v>0</v>
      </c>
      <c r="GY43" s="560"/>
      <c r="GZ43" s="560">
        <f t="shared" si="94"/>
        <v>0</v>
      </c>
      <c r="HA43" s="560" t="str">
        <f t="shared" si="95"/>
        <v/>
      </c>
      <c r="HB43" s="560">
        <f>IF(GK43="P",Lookup!$N$12,IF(GK43="PP",Lookup!$N$13,IF(GK43="PPP",Lookup!$N$14,IF(GK43="T",Lookup!$N$15,IF(GK43="TP",Lookup!$N$16,IF(GK43="TPP",Lookup!$N$17,IF(GK43="TPPP",Lookup!$N$18,0)))))))*GJ43</f>
        <v>0</v>
      </c>
      <c r="HC43" s="545">
        <f t="shared" ref="HC43:HC106" si="232">IF(HA43="P",MIN(HB43,7/36*GE43-HE43),0)</f>
        <v>0</v>
      </c>
      <c r="HD43" s="560">
        <f t="shared" ref="HD43:HD106" si="233">HE43*MGtoAF</f>
        <v>0</v>
      </c>
      <c r="HE43" s="560">
        <f t="shared" si="101"/>
        <v>0</v>
      </c>
      <c r="HF43" s="560"/>
      <c r="HG43" s="560">
        <f t="shared" si="96"/>
        <v>0</v>
      </c>
      <c r="HH43" s="560" t="str">
        <f t="shared" si="97"/>
        <v/>
      </c>
      <c r="HI43" s="560">
        <f>IF(GK43="P",Lookup!$N$12,IF(GK43="PP",Lookup!$N$13,IF(GK43="PPP",Lookup!$N$14,IF(GK43="T",Lookup!$N$15,IF(GK43="TP",Lookup!$N$16,IF(GK43="TPP",Lookup!$N$17,IF(GK43="TPPP",Lookup!$N$18,0)))))))*GJ43</f>
        <v>0</v>
      </c>
      <c r="HJ43" s="545">
        <f t="shared" ref="HJ43:HJ106" si="234">IF(HH43="P",MIN(HI43,7/36*GE43-HL43),0)</f>
        <v>0</v>
      </c>
      <c r="HK43" s="560">
        <f t="shared" ref="HK43:HK106" si="235">HL43*MGtoAF</f>
        <v>0</v>
      </c>
      <c r="HL43" s="560">
        <f t="shared" si="102"/>
        <v>0</v>
      </c>
      <c r="HM43" s="560"/>
    </row>
    <row r="44" spans="1:221">
      <c r="A44" s="580" t="s">
        <v>3</v>
      </c>
      <c r="B44" s="556">
        <v>41672</v>
      </c>
      <c r="C44" s="561">
        <v>0</v>
      </c>
      <c r="D44" s="529">
        <f t="shared" si="103"/>
        <v>300</v>
      </c>
      <c r="E44" s="529">
        <f t="shared" si="104"/>
        <v>250</v>
      </c>
      <c r="F44" s="529">
        <v>250</v>
      </c>
      <c r="G44" s="560">
        <f>DR44+Sheet1!CZ46</f>
        <v>884.8376197678482</v>
      </c>
      <c r="H44" s="914">
        <f t="shared" si="2"/>
        <v>304.99583741793708</v>
      </c>
      <c r="I44" s="559">
        <f>MAX(Sheet1!Z46-AT44+(Sheet1!DA46-E44)*CFStoMGD,0)</f>
        <v>873.81200000000001</v>
      </c>
      <c r="J44" s="562">
        <f>IF(AND(B44&gt;=Calculation!GC44,B44&lt;=Calculation!GD44),IF(Sheet1!DB46&gt;=Calculation!D44,64.64,0),MAX(Sheet1!Z46-AT44+(Sheet1!DB46-D44)*CFStoMGD,0))</f>
        <v>452.35919999999999</v>
      </c>
      <c r="K44" s="904">
        <f t="shared" si="171"/>
        <v>64.64</v>
      </c>
      <c r="L44" s="560">
        <f>Sheet1!AA46+Sheet1!AB46-Sheet1!L46+(Sheet1!DA46-F44)*CFStoMGD</f>
        <v>859.71199999999999</v>
      </c>
      <c r="M44" s="560">
        <f t="shared" si="172"/>
        <v>583.39821816629581</v>
      </c>
      <c r="N44" s="910">
        <f>IF(Sheet1!DA46&gt;=F44,MIN(73,MIN(MAX(L44,0),MAX(M44,0))),0)</f>
        <v>73</v>
      </c>
      <c r="O44" s="563">
        <f>Sheet1!AA46+Sheet1!AB46</f>
        <v>33.86</v>
      </c>
      <c r="P44" s="563">
        <f t="shared" si="173"/>
        <v>52.381419999999991</v>
      </c>
      <c r="Q44" s="898">
        <f t="shared" si="63"/>
        <v>0</v>
      </c>
      <c r="R44" s="829">
        <f t="shared" si="174"/>
        <v>6.245437168141593</v>
      </c>
      <c r="S44" s="898">
        <f t="shared" si="65"/>
        <v>33.86</v>
      </c>
      <c r="T44" s="898">
        <f t="shared" si="66"/>
        <v>0</v>
      </c>
      <c r="U44" s="898">
        <f t="shared" si="6"/>
        <v>0</v>
      </c>
      <c r="V44" s="898"/>
      <c r="W44" s="898">
        <f t="shared" si="67"/>
        <v>58.394562831858408</v>
      </c>
      <c r="X44" s="898">
        <f t="shared" si="68"/>
        <v>33.86</v>
      </c>
      <c r="Y44" s="898" t="str">
        <f t="shared" si="69"/>
        <v/>
      </c>
      <c r="Z44" s="898">
        <f t="shared" si="70"/>
        <v>33.86</v>
      </c>
      <c r="AA44" s="898">
        <f t="shared" si="71"/>
        <v>33.86</v>
      </c>
      <c r="AB44" s="898" t="str">
        <f t="shared" si="72"/>
        <v/>
      </c>
      <c r="AC44" s="563">
        <f>Sheet1!Y46*MGDtoCFS</f>
        <v>30.475899999999996</v>
      </c>
      <c r="AD44" s="563">
        <f>Sheet1!Z46*MGDtoCFS</f>
        <v>21.8127</v>
      </c>
      <c r="AE44" s="563">
        <f>Sheet1!AA46*MGDtoCFS</f>
        <v>30.475899999999996</v>
      </c>
      <c r="AF44" s="563">
        <f>Sheet1!AB46*MGDtoCFS</f>
        <v>21.905519999999999</v>
      </c>
      <c r="AG44" s="563">
        <f>Sheet1!L46*MGDtoCFS</f>
        <v>52.381419999999999</v>
      </c>
      <c r="AH44" s="545">
        <f t="shared" si="175"/>
        <v>0</v>
      </c>
      <c r="AI44" s="560">
        <f t="shared" si="176"/>
        <v>0</v>
      </c>
      <c r="AJ44" s="560">
        <f t="shared" si="177"/>
        <v>0</v>
      </c>
      <c r="AK44" s="560">
        <f t="shared" si="178"/>
        <v>0</v>
      </c>
      <c r="AL44" s="560">
        <f>(VLOOKUP(Sheet1!DC46,hhdcap_wcm,4)-(((VLOOKUP(Sheet1!DC46,hhdcap_wcm,3)-Sheet1!DC46)/(VLOOKUP(Sheet1!DC46,hhdcap_wcm,3)-VLOOKUP(Sheet1!DC46,hhdcap_wcm,1)))*(VLOOKUP(Sheet1!DC46,hhdcap_wcm,4)-VLOOKUP(Sheet1!DC46,hhdcap_wcm,2))))</f>
        <v>1305.8000000033992</v>
      </c>
      <c r="AM44" s="560">
        <f t="shared" si="179"/>
        <v>-131.20000000035702</v>
      </c>
      <c r="AN44" s="560">
        <f t="shared" si="180"/>
        <v>0</v>
      </c>
      <c r="AO44" s="560">
        <f t="shared" si="181"/>
        <v>0</v>
      </c>
      <c r="AP44" s="560">
        <f>Sheet1!BA46+Sheet1!BB46+Sheet1!BN46+CD44</f>
        <v>7.8950000000000005</v>
      </c>
      <c r="AQ44" s="560">
        <f>Sheet1!BN46+(DO44*Sheet1!BN46)</f>
        <v>6.9170973451327438</v>
      </c>
      <c r="AR44" s="560">
        <f>Sheet1!BA46+CD44</f>
        <v>0</v>
      </c>
      <c r="AS44" s="560">
        <f>Sheet1!BA46+Sheet1!BB46+CD44</f>
        <v>0.995</v>
      </c>
      <c r="AT44" s="698">
        <f>0</f>
        <v>0</v>
      </c>
      <c r="AU44" s="560">
        <f>IF(EB44&lt;K44,0,MAX(Sheet1!AA46+AQ44-15/36*K44-N44,Sheet1!EH46,0))</f>
        <v>0</v>
      </c>
      <c r="AV44" s="560">
        <f>IF(OR(B44&gt;=GD44,B44&lt;GC44),0,15/36*K44-MAX(0,64.6-(137.6-(Sheet1!AA46+Sheet1!AB46))))</f>
        <v>0</v>
      </c>
      <c r="AW44" s="698">
        <f>Sheet1!DB46-110</f>
        <v>868</v>
      </c>
      <c r="AX44" s="698">
        <f>Sheet1!DA46-265</f>
        <v>1315</v>
      </c>
      <c r="AY44" s="698">
        <f t="shared" si="182"/>
        <v>73</v>
      </c>
      <c r="AZ44" s="698">
        <v>0</v>
      </c>
      <c r="BA44" s="698">
        <f t="shared" si="183"/>
        <v>0</v>
      </c>
      <c r="BB44" s="560">
        <f t="shared" si="184"/>
        <v>0</v>
      </c>
      <c r="BC44" s="560"/>
      <c r="BD44" s="560">
        <f ca="1">IF(B44&gt;Summary!$A$1,#N/A,BB44*MGtoAF)</f>
        <v>0</v>
      </c>
      <c r="BE44" s="560">
        <f>Sheet1!BG46+Sheet1!BH46+Sheet1!BI46-BM44</f>
        <v>0</v>
      </c>
      <c r="BF44" s="560">
        <f t="shared" si="185"/>
        <v>0</v>
      </c>
      <c r="BG44" s="560">
        <f>IF(Sheet1!EP46="FM",BM44,0)</f>
        <v>0</v>
      </c>
      <c r="BH44" s="560">
        <f t="shared" si="186"/>
        <v>0</v>
      </c>
      <c r="BI44" s="560">
        <f>IF(Sheet1!EP46="OTHER",BM44,0)</f>
        <v>0</v>
      </c>
      <c r="BJ44" s="560">
        <f t="shared" si="187"/>
        <v>0</v>
      </c>
      <c r="BK44" s="560">
        <f t="shared" si="188"/>
        <v>0</v>
      </c>
      <c r="BL44" s="560">
        <f t="shared" si="189"/>
        <v>0</v>
      </c>
      <c r="BM44" s="560">
        <f>IF(OR(Sheet1!EP46="FM", Sheet1!EP46="OTHER"),SUM(Sheet1!BG46:'Sheet1'!BI46),0)</f>
        <v>0</v>
      </c>
      <c r="BN44" s="545">
        <f>IF(AND($B44&gt;=$FV44,$B44&lt;=$FW44),MAX(BF44,Sheet1!EI46,0),MAX(BF44-(7/36)*$K44,0))</f>
        <v>0</v>
      </c>
      <c r="BO44" s="560">
        <f t="shared" si="190"/>
        <v>0</v>
      </c>
      <c r="BP44" s="545">
        <f t="shared" si="191"/>
        <v>0</v>
      </c>
      <c r="BQ44" s="545">
        <f>IF(AND($O44&gt;0,Sheet1!EM46=1),(1-($O44-Sheet1!$L46)/$O44)*BL44,0)</f>
        <v>0</v>
      </c>
      <c r="BR44" s="545">
        <f>IF(AND(Sheet1!$L46=0,Sheet1!$L45=0, Calculation!BK44&lt;Sheet1!$EI46-0.1,Sheet1!$EI46=Sheet1!$EI45,Sheet1!$EI46=Sheet1!$EI47),Sheet1!$EI46,BL44-BQ44)</f>
        <v>0</v>
      </c>
      <c r="BS44" s="560"/>
      <c r="BT44" s="560"/>
      <c r="BU44" s="560">
        <f t="shared" si="192"/>
        <v>0</v>
      </c>
      <c r="BV44" s="560"/>
      <c r="BW44" s="560">
        <f ca="1">IF(B44&gt;Summary!$A$1,#N/A,BU44*MGtoAF)</f>
        <v>0</v>
      </c>
      <c r="BX44" s="560">
        <f>Sheet1!BC46+Sheet1!BD46+Sheet1!BE46+Sheet1!BF46-CG44-CH44</f>
        <v>2.5</v>
      </c>
      <c r="BY44" s="560">
        <f t="shared" si="193"/>
        <v>2.5061946902654868</v>
      </c>
      <c r="BZ44" s="560">
        <f>IF(Sheet1!EQ46="FM",CH44,0)</f>
        <v>0</v>
      </c>
      <c r="CA44" s="560">
        <f t="shared" si="194"/>
        <v>0</v>
      </c>
      <c r="CB44" s="560">
        <f>IF(Sheet1!EQ46="OTHER",CH44,0)</f>
        <v>0</v>
      </c>
      <c r="CC44" s="560">
        <f t="shared" si="195"/>
        <v>0</v>
      </c>
      <c r="CD44" s="560">
        <f t="shared" si="196"/>
        <v>0</v>
      </c>
      <c r="CE44" s="560">
        <f t="shared" si="197"/>
        <v>2.5</v>
      </c>
      <c r="CF44" s="560">
        <f t="shared" si="198"/>
        <v>2.5061946902654868</v>
      </c>
      <c r="CG44" s="560">
        <f>IF(Sheet1!EQ46="CWA",SUM(Sheet1!BC46:'Sheet1'!BF46),0)</f>
        <v>0</v>
      </c>
      <c r="CH44" s="560">
        <f>IF(OR(Sheet1!EQ46="FM", Sheet1!EQ46="OTHER"),SUM(Sheet1!BC46:'Sheet1'!BF46),0)</f>
        <v>0</v>
      </c>
      <c r="CI44" s="545">
        <f>IF(AND($B44&gt;=$FV44,$B44&lt;=$FW44),MAX(CF44,Sheet1!EJ46,0),MAX(CF44-(7/36)*$K44,0))</f>
        <v>0</v>
      </c>
      <c r="CJ44" s="560">
        <f t="shared" si="199"/>
        <v>0</v>
      </c>
      <c r="CK44" s="545">
        <f t="shared" si="200"/>
        <v>2.5061946902654868</v>
      </c>
      <c r="CL44" s="545">
        <f>IF(AND($O44&gt;0,Sheet1!EN46=1),(1-($O44-Sheet1!$L46)/$O44)*CF44,0)</f>
        <v>0</v>
      </c>
      <c r="CM44" s="545">
        <f>IF(AND(Sheet1!$L46=0,Sheet1!$L45=0, Calculation!CE44&lt;Sheet1!EJ46-0.1,Sheet1!EJ46=Sheet1!EJ45,Sheet1!EJ46=Sheet1!EJ47),Sheet1!EJ46,CF44-CL44)</f>
        <v>2.5061946902654868</v>
      </c>
      <c r="CN44" s="545"/>
      <c r="CO44" s="560"/>
      <c r="CP44" s="560">
        <f t="shared" si="201"/>
        <v>0</v>
      </c>
      <c r="CQ44" s="560"/>
      <c r="CR44" s="560">
        <f ca="1">IF(B44&gt;Summary!$A$1,#N/A,CP44*MGtoAF)</f>
        <v>0</v>
      </c>
      <c r="CS44" s="560">
        <f>Sheet1!BK46+Sheet1!BL46+Sheet1!BM46-Sheet1!ER46-DA44</f>
        <v>3.73</v>
      </c>
      <c r="CT44" s="560">
        <f t="shared" si="202"/>
        <v>3.7392424778761062</v>
      </c>
      <c r="CU44" s="560">
        <f>IF(Sheet1!ER46="FM",DA44,0)</f>
        <v>0</v>
      </c>
      <c r="CV44" s="560">
        <f t="shared" si="203"/>
        <v>0</v>
      </c>
      <c r="CW44" s="560">
        <f>IF(Sheet1!ER46="OTHER",DA44,0)</f>
        <v>0</v>
      </c>
      <c r="CX44" s="560">
        <f t="shared" si="204"/>
        <v>0</v>
      </c>
      <c r="CY44" s="560">
        <f t="shared" si="205"/>
        <v>3.73</v>
      </c>
      <c r="CZ44" s="560">
        <f t="shared" si="206"/>
        <v>3.7392424778761062</v>
      </c>
      <c r="DA44" s="560">
        <f>IF(OR(Sheet1!ER46="FM", Sheet1!ER46="OTHER"),SUM(Sheet1!BK46:'Sheet1'!BM46),0)</f>
        <v>0</v>
      </c>
      <c r="DB44" s="545">
        <f>IF(AND($B44&gt;=$FV44,$B44&lt;=$FW44),MAX($CT44,Sheet1!EK46,0),MAX($CT44-(7/36)*$K44,0))</f>
        <v>0</v>
      </c>
      <c r="DC44" s="560">
        <f t="shared" si="207"/>
        <v>0</v>
      </c>
      <c r="DD44" s="545">
        <f t="shared" si="208"/>
        <v>3.7392424778761062</v>
      </c>
      <c r="DE44" s="545">
        <f>IF(AND($O44&gt;0,Sheet1!EO46=1),(1-($O44-Sheet1!$L46)/$O44)*CZ44,0)</f>
        <v>0</v>
      </c>
      <c r="DF44" s="545">
        <f>IF(AND(Sheet1!$L46=0,Sheet1!$L45=0, Calculation!CY44&lt;Sheet1!$EK46-0.1,Sheet1!$EK46=Sheet1!$EK45,Sheet1!$EK46=Sheet1!$EK47),Sheet1!$EK46,CZ44-DE44)</f>
        <v>3.7392424778761062</v>
      </c>
      <c r="DG44" s="545"/>
      <c r="DH44" s="560">
        <f t="shared" si="209"/>
        <v>6.23</v>
      </c>
      <c r="DI44" s="560">
        <f t="shared" si="210"/>
        <v>0</v>
      </c>
      <c r="DJ44" s="698">
        <f t="shared" si="211"/>
        <v>6.245437168141593</v>
      </c>
      <c r="DK44" s="560">
        <f ca="1">IF(B44&gt;Summary!$A$1,#N/A,DI44*MGtoAF)</f>
        <v>0</v>
      </c>
      <c r="DL44" s="698">
        <f t="shared" si="212"/>
        <v>6.23</v>
      </c>
      <c r="DM44" s="560">
        <f t="shared" si="213"/>
        <v>14.125</v>
      </c>
      <c r="DN44" s="560">
        <f>Sheet1!AB46-DM44</f>
        <v>3.5000000000000142E-2</v>
      </c>
      <c r="DO44" s="823">
        <f t="shared" si="214"/>
        <v>2.4778761061947001E-3</v>
      </c>
      <c r="DP44" s="560">
        <f>(VLOOKUP(Sheet1!DC46,hhdcap_wcm,4)-(((VLOOKUP(Sheet1!DC46,hhdcap_wcm,3)-Sheet1!DC46)/(VLOOKUP(Sheet1!DC46,hhdcap_wcm,3)-VLOOKUP(Sheet1!DC46,hhdcap_wcm,1)))*(VLOOKUP(Sheet1!DC46,hhdcap_wcm,4)-VLOOKUP(Sheet1!DC46,hhdcap_wcm,2))))</f>
        <v>1305.8000000033992</v>
      </c>
      <c r="DQ44" s="560">
        <f t="shared" si="215"/>
        <v>-131.20000000035702</v>
      </c>
      <c r="DR44" s="560">
        <f t="shared" si="216"/>
        <v>-66.16238023215179</v>
      </c>
      <c r="DS44" s="560">
        <f>Sheet1!EA46*AFtoMG</f>
        <v>0</v>
      </c>
      <c r="DT44" s="560">
        <f>Sheet1!EB46*AFtoMG</f>
        <v>0</v>
      </c>
      <c r="DU44" s="560">
        <f>Sheet1!EC46*AFtoMG</f>
        <v>0</v>
      </c>
      <c r="DV44" s="560">
        <f>Sheet1!ED46*AFtoMG</f>
        <v>0</v>
      </c>
      <c r="DW44" s="560">
        <f t="shared" si="217"/>
        <v>0</v>
      </c>
      <c r="DX44" s="560">
        <f t="shared" si="218"/>
        <v>0</v>
      </c>
      <c r="DY44" s="560">
        <f t="shared" si="219"/>
        <v>0</v>
      </c>
      <c r="DZ44" s="560">
        <f t="shared" si="220"/>
        <v>0</v>
      </c>
      <c r="EA44" s="560"/>
      <c r="EB44" s="545">
        <f>IF(OR(B44&lt;FV44,B44&gt;FW44),(MIN(BF44+BY44+CT44+MAX(Sheet1!AA46+AQ44-73,0),K44)),0)</f>
        <v>6.245437168141593</v>
      </c>
      <c r="EC44" s="560"/>
      <c r="ED44" s="560">
        <f t="shared" si="221"/>
        <v>6.245437168141593</v>
      </c>
      <c r="EE44" s="560"/>
      <c r="EF44" s="560">
        <f>Sheet1!EH46+Sheet1!EI46+Sheet1!EJ46+Sheet1!EK46</f>
        <v>6.23</v>
      </c>
      <c r="EG44" s="560"/>
      <c r="EH44" s="545">
        <f t="shared" si="222"/>
        <v>0</v>
      </c>
      <c r="EI44" s="560">
        <f>IF(Sheet1!ET46=1,SUM('Calculations II'!AT44:BA44)+'Calculations II'!BC44+Sheet1!BV46+'Calculations II'!BE44+AP44,SUM('Calculations II'!AT44:BA44)+'Calculations II'!BC44+Sheet1!BV46+'Calculations II'!BE44+AP44)</f>
        <v>47.522672000000007</v>
      </c>
      <c r="EJ44" s="560">
        <f>Sheet1!AA46+Sheet1!AB46+'Calculations II'!BC44</f>
        <v>49.832335999999998</v>
      </c>
      <c r="EK44" s="560"/>
      <c r="EL44" s="560"/>
      <c r="EM44" s="560">
        <f t="shared" si="223"/>
        <v>41672</v>
      </c>
      <c r="EN44" s="560">
        <f t="shared" si="224"/>
        <v>0</v>
      </c>
      <c r="EO44" s="560">
        <f t="shared" si="225"/>
        <v>0</v>
      </c>
      <c r="EP44" s="560">
        <v>0</v>
      </c>
      <c r="EQ44" s="560">
        <v>0</v>
      </c>
      <c r="ER44" s="560">
        <v>0</v>
      </c>
      <c r="ES44" s="545">
        <f t="shared" si="77"/>
        <v>1.3858732612551301</v>
      </c>
      <c r="ET44" s="560">
        <f>-(VLOOKUP(Sheet1!BQ46,Lookup!$O$4:$Q$262,2)-VLOOKUP(Sheet1!BQ45,Lookup!$O$4:$Q$262,2))/1000000</f>
        <v>0.69293663062756505</v>
      </c>
      <c r="EU44" s="560">
        <f>-(VLOOKUP(Sheet1!BR46,Lookup!$O$4:$Q$262,3)-VLOOKUP(Sheet1!BR45,Lookup!$O$4:$Q$262,3))/1000000</f>
        <v>0.69293663062756505</v>
      </c>
      <c r="EV44" s="560"/>
      <c r="EW44" s="560"/>
      <c r="EX44" s="560"/>
      <c r="EY44" s="560"/>
      <c r="EZ44" s="560"/>
      <c r="FA44" s="560"/>
      <c r="FB44" s="560"/>
      <c r="FC44" s="560"/>
      <c r="FD44" s="594" t="e">
        <f t="shared" si="226"/>
        <v>#N/A</v>
      </c>
      <c r="FE44" s="594" t="e">
        <f t="shared" si="227"/>
        <v>#N/A</v>
      </c>
      <c r="FF44" s="595" t="e">
        <f t="shared" si="228"/>
        <v>#N/A</v>
      </c>
      <c r="FG44" s="596" t="s">
        <v>692</v>
      </c>
      <c r="FH44" s="596" t="s">
        <v>692</v>
      </c>
      <c r="FI44" s="594" t="e">
        <v>#N/A</v>
      </c>
      <c r="FJ44" s="594" t="e">
        <v>#N/A</v>
      </c>
      <c r="FK44" s="560"/>
      <c r="FL44" s="560"/>
      <c r="FM44" s="560"/>
      <c r="FN44" s="560"/>
      <c r="FO44" s="560">
        <f>O44+((Sheet1!CS46)*GPMtoMGD)</f>
        <v>49.832335999999998</v>
      </c>
      <c r="FP44" s="560">
        <f>IF(Sheet1!AA46+AQ44&lt;=Calculation!N44,AQ44,Calculation!N44-Sheet1!AA46)</f>
        <v>6.9170973451327438</v>
      </c>
      <c r="FQ44" s="560">
        <f>(Sheet1!BP46+Sheet1!BO46)/694.4</f>
        <v>1.5734447004608294</v>
      </c>
      <c r="FR44" s="560"/>
      <c r="FS44" s="560"/>
      <c r="FT44" s="560"/>
      <c r="FU44" s="560"/>
      <c r="FV44" s="695">
        <f t="shared" si="80"/>
        <v>41827</v>
      </c>
      <c r="FW44" s="695">
        <f t="shared" si="81"/>
        <v>41934</v>
      </c>
      <c r="FX44" s="560"/>
      <c r="FY44" s="560"/>
      <c r="FZ44" s="560"/>
      <c r="GA44" s="560"/>
      <c r="GB44" s="560" t="str">
        <f t="shared" si="82"/>
        <v>n</v>
      </c>
      <c r="GC44" s="564">
        <f t="shared" si="83"/>
        <v>41691</v>
      </c>
      <c r="GD44" s="695">
        <f t="shared" si="84"/>
        <v>41807</v>
      </c>
      <c r="GE44" s="560">
        <v>6518.9</v>
      </c>
      <c r="GF44" s="695">
        <f t="shared" si="85"/>
        <v>41808</v>
      </c>
      <c r="GG44" s="560">
        <f t="shared" si="163"/>
        <v>3259</v>
      </c>
      <c r="GH44" s="564">
        <f t="shared" si="87"/>
        <v>41934</v>
      </c>
      <c r="GJ44" s="545">
        <f t="shared" si="88"/>
        <v>0</v>
      </c>
      <c r="GK44" s="560" t="str">
        <f t="shared" si="229"/>
        <v/>
      </c>
      <c r="GL44" s="560">
        <f t="shared" si="89"/>
        <v>0</v>
      </c>
      <c r="GM44" s="560" t="str">
        <f t="shared" si="90"/>
        <v/>
      </c>
      <c r="GN44" s="560">
        <f>IF(GK44="P",Lookup!$M$12,IF(GK44="PP",Lookup!$M$13,IF(GK44="PPP",Lookup!$M$14,IF(GK44="T",Lookup!$M$15,IF(GK44="TP",Lookup!$M$16,IF(GK44="TPP",Lookup!$M$17,IF(GK44="TPPP",Lookup!$M$18,0)))))))*GJ44</f>
        <v>0</v>
      </c>
      <c r="GO44" s="560">
        <f t="shared" si="91"/>
        <v>0</v>
      </c>
      <c r="GP44" s="560">
        <f t="shared" si="230"/>
        <v>0</v>
      </c>
      <c r="GQ44" s="560">
        <f t="shared" si="99"/>
        <v>0</v>
      </c>
      <c r="GR44" s="560"/>
      <c r="GS44" s="560">
        <f t="shared" si="92"/>
        <v>0</v>
      </c>
      <c r="GT44" s="560" t="str">
        <f t="shared" si="93"/>
        <v/>
      </c>
      <c r="GU44" s="560">
        <f>IF(GK44="P",Lookup!$N$12,IF(GK44="PP",Lookup!$N$13,IF(GK44="PPP",Lookup!$N$14,IF(GK44="T",Lookup!$N$15,IF(GK44="TP",Lookup!$N$16,IF(GK44="TPP",Lookup!$N$17,IF(GK44="TPPP",Lookup!$N$18,0)))))))*GJ44</f>
        <v>0</v>
      </c>
      <c r="GV44" s="560">
        <f t="shared" si="57"/>
        <v>0</v>
      </c>
      <c r="GW44" s="560">
        <f t="shared" si="231"/>
        <v>0</v>
      </c>
      <c r="GX44" s="560">
        <f t="shared" si="100"/>
        <v>0</v>
      </c>
      <c r="GY44" s="560"/>
      <c r="GZ44" s="560">
        <f t="shared" si="94"/>
        <v>0</v>
      </c>
      <c r="HA44" s="560" t="str">
        <f t="shared" si="95"/>
        <v/>
      </c>
      <c r="HB44" s="560">
        <f>IF(GK44="P",Lookup!$N$12,IF(GK44="PP",Lookup!$N$13,IF(GK44="PPP",Lookup!$N$14,IF(GK44="T",Lookup!$N$15,IF(GK44="TP",Lookup!$N$16,IF(GK44="TPP",Lookup!$N$17,IF(GK44="TPPP",Lookup!$N$18,0)))))))*GJ44</f>
        <v>0</v>
      </c>
      <c r="HC44" s="545">
        <f t="shared" si="232"/>
        <v>0</v>
      </c>
      <c r="HD44" s="560">
        <f t="shared" si="233"/>
        <v>0</v>
      </c>
      <c r="HE44" s="560">
        <f t="shared" si="101"/>
        <v>0</v>
      </c>
      <c r="HF44" s="560"/>
      <c r="HG44" s="560">
        <f t="shared" si="96"/>
        <v>0</v>
      </c>
      <c r="HH44" s="560" t="str">
        <f t="shared" si="97"/>
        <v/>
      </c>
      <c r="HI44" s="560">
        <f>IF(GK44="P",Lookup!$N$12,IF(GK44="PP",Lookup!$N$13,IF(GK44="PPP",Lookup!$N$14,IF(GK44="T",Lookup!$N$15,IF(GK44="TP",Lookup!$N$16,IF(GK44="TPP",Lookup!$N$17,IF(GK44="TPPP",Lookup!$N$18,0)))))))*GJ44</f>
        <v>0</v>
      </c>
      <c r="HJ44" s="545">
        <f t="shared" si="234"/>
        <v>0</v>
      </c>
      <c r="HK44" s="560">
        <f t="shared" si="235"/>
        <v>0</v>
      </c>
      <c r="HL44" s="560">
        <f t="shared" si="102"/>
        <v>0</v>
      </c>
      <c r="HM44" s="560"/>
    </row>
    <row r="45" spans="1:221">
      <c r="A45" s="580" t="s">
        <v>4</v>
      </c>
      <c r="B45" s="556">
        <v>41673</v>
      </c>
      <c r="C45" s="561">
        <v>0</v>
      </c>
      <c r="D45" s="529">
        <f t="shared" si="103"/>
        <v>300</v>
      </c>
      <c r="E45" s="529">
        <f t="shared" si="104"/>
        <v>250</v>
      </c>
      <c r="F45" s="529">
        <v>250</v>
      </c>
      <c r="G45" s="560">
        <f>DR45+Sheet1!CZ47</f>
        <v>794.53252647491854</v>
      </c>
      <c r="H45" s="914">
        <f t="shared" si="2"/>
        <v>246.62262511338733</v>
      </c>
      <c r="I45" s="559">
        <f>MAX(Sheet1!Z47-AT45+(Sheet1!DA47-E45)*CFStoMGD,0)</f>
        <v>841.55199999999991</v>
      </c>
      <c r="J45" s="562">
        <f>IF(AND(B45&gt;=Calculation!GC45,B45&lt;=Calculation!GD45),IF(Sheet1!DB47&gt;=Calculation!D45,64.64,0),MAX(Sheet1!Z47-AT45+(Sheet1!DB47-D45)*CFStoMGD,0))</f>
        <v>435.61279999999999</v>
      </c>
      <c r="K45" s="904">
        <f t="shared" si="171"/>
        <v>64.64</v>
      </c>
      <c r="L45" s="560">
        <f>Sheet1!AA47+Sheet1!AB47-Sheet1!L47+(Sheet1!DA47-F45)*CFStoMGD</f>
        <v>827.39199999999994</v>
      </c>
      <c r="M45" s="560">
        <f t="shared" si="172"/>
        <v>523.85754161565512</v>
      </c>
      <c r="N45" s="910">
        <f>IF(Sheet1!DA47&gt;=F45,MIN(73,MIN(MAX(L45,0),MAX(M45,0))),0)</f>
        <v>73</v>
      </c>
      <c r="O45" s="563">
        <f>Sheet1!AA47+Sheet1!AB47</f>
        <v>33.840000000000003</v>
      </c>
      <c r="P45" s="563">
        <f t="shared" si="173"/>
        <v>52.35047999999999</v>
      </c>
      <c r="Q45" s="898">
        <f t="shared" si="63"/>
        <v>0</v>
      </c>
      <c r="R45" s="829">
        <f t="shared" si="174"/>
        <v>6.2357329935584342</v>
      </c>
      <c r="S45" s="898">
        <f t="shared" si="65"/>
        <v>33.840000000000003</v>
      </c>
      <c r="T45" s="898">
        <f t="shared" si="66"/>
        <v>0</v>
      </c>
      <c r="U45" s="898">
        <f t="shared" si="6"/>
        <v>0</v>
      </c>
      <c r="V45" s="898"/>
      <c r="W45" s="898">
        <f t="shared" si="67"/>
        <v>58.404267006441565</v>
      </c>
      <c r="X45" s="898">
        <f t="shared" si="68"/>
        <v>33.840000000000003</v>
      </c>
      <c r="Y45" s="898" t="str">
        <f t="shared" si="69"/>
        <v/>
      </c>
      <c r="Z45" s="898">
        <f t="shared" si="70"/>
        <v>33.840000000000003</v>
      </c>
      <c r="AA45" s="898">
        <f t="shared" si="71"/>
        <v>33.840000000000003</v>
      </c>
      <c r="AB45" s="898" t="str">
        <f t="shared" si="72"/>
        <v/>
      </c>
      <c r="AC45" s="563">
        <f>Sheet1!Y47*MGDtoCFS</f>
        <v>30.475899999999996</v>
      </c>
      <c r="AD45" s="563">
        <f>Sheet1!Z47*MGDtoCFS</f>
        <v>21.905519999999999</v>
      </c>
      <c r="AE45" s="563">
        <f>Sheet1!AA47*MGDtoCFS</f>
        <v>30.475899999999996</v>
      </c>
      <c r="AF45" s="563">
        <f>Sheet1!AB47*MGDtoCFS</f>
        <v>21.874579999999998</v>
      </c>
      <c r="AG45" s="563">
        <f>Sheet1!L47*MGDtoCFS</f>
        <v>52.350480000000005</v>
      </c>
      <c r="AH45" s="545">
        <f t="shared" si="175"/>
        <v>0</v>
      </c>
      <c r="AI45" s="560">
        <f t="shared" si="176"/>
        <v>0</v>
      </c>
      <c r="AJ45" s="560">
        <f t="shared" si="177"/>
        <v>0</v>
      </c>
      <c r="AK45" s="560">
        <f t="shared" si="178"/>
        <v>0</v>
      </c>
      <c r="AL45" s="560">
        <f>(VLOOKUP(Sheet1!DC47,hhdcap_wcm,4)-(((VLOOKUP(Sheet1!DC47,hhdcap_wcm,3)-Sheet1!DC47)/(VLOOKUP(Sheet1!DC47,hhdcap_wcm,3)-VLOOKUP(Sheet1!DC47,hhdcap_wcm,1)))*(VLOOKUP(Sheet1!DC47,hhdcap_wcm,4)-VLOOKUP(Sheet1!DC47,hhdcap_wcm,2))))</f>
        <v>1045.1000000031627</v>
      </c>
      <c r="AM45" s="560">
        <f t="shared" si="179"/>
        <v>-260.70000000023651</v>
      </c>
      <c r="AN45" s="560">
        <f t="shared" si="180"/>
        <v>0</v>
      </c>
      <c r="AO45" s="560">
        <f t="shared" si="181"/>
        <v>0</v>
      </c>
      <c r="AP45" s="560">
        <f>Sheet1!BA47+Sheet1!BB47+Sheet1!BN47+CD45</f>
        <v>7.8970000000000002</v>
      </c>
      <c r="AQ45" s="560">
        <f>Sheet1!BN47+(DO45*Sheet1!BN47)</f>
        <v>6.9063495434274795</v>
      </c>
      <c r="AR45" s="560">
        <f>Sheet1!BA47+CD45</f>
        <v>0</v>
      </c>
      <c r="AS45" s="560">
        <f>Sheet1!BA47+Sheet1!BB47+CD45</f>
        <v>0.997</v>
      </c>
      <c r="AT45" s="698">
        <f>0</f>
        <v>0</v>
      </c>
      <c r="AU45" s="560">
        <f>IF(EB45&lt;K45,0,MAX(Sheet1!AA47+AQ45-15/36*K45-N45,Sheet1!EH47,0))</f>
        <v>0</v>
      </c>
      <c r="AV45" s="560">
        <f>IF(OR(B45&gt;=GD45,B45&lt;GC45),0,15/36*K45-MAX(0,64.6-(137.6-(Sheet1!AA47+Sheet1!AB47))))</f>
        <v>0</v>
      </c>
      <c r="AW45" s="698">
        <f>Sheet1!DB47-110</f>
        <v>842</v>
      </c>
      <c r="AX45" s="698">
        <f>Sheet1!DA47-265</f>
        <v>1265</v>
      </c>
      <c r="AY45" s="698">
        <f t="shared" si="182"/>
        <v>73</v>
      </c>
      <c r="AZ45" s="698">
        <v>0</v>
      </c>
      <c r="BA45" s="698">
        <f t="shared" si="183"/>
        <v>0</v>
      </c>
      <c r="BB45" s="560">
        <f t="shared" si="184"/>
        <v>0</v>
      </c>
      <c r="BC45" s="560"/>
      <c r="BD45" s="560">
        <f ca="1">IF(B45&gt;Summary!$A$1,#N/A,BB45*MGtoAF)</f>
        <v>0</v>
      </c>
      <c r="BE45" s="560">
        <f>Sheet1!BG47+Sheet1!BH47+Sheet1!BI47-BM45</f>
        <v>0</v>
      </c>
      <c r="BF45" s="560">
        <f t="shared" si="185"/>
        <v>0</v>
      </c>
      <c r="BG45" s="560">
        <f>IF(Sheet1!EP47="FM",BM45,0)</f>
        <v>0</v>
      </c>
      <c r="BH45" s="560">
        <f t="shared" si="186"/>
        <v>0</v>
      </c>
      <c r="BI45" s="560">
        <f>IF(Sheet1!EP47="OTHER",BM45,0)</f>
        <v>0</v>
      </c>
      <c r="BJ45" s="560">
        <f t="shared" si="187"/>
        <v>0</v>
      </c>
      <c r="BK45" s="560">
        <f t="shared" si="188"/>
        <v>0</v>
      </c>
      <c r="BL45" s="560">
        <f t="shared" si="189"/>
        <v>0</v>
      </c>
      <c r="BM45" s="560">
        <f>IF(OR(Sheet1!EP47="FM", Sheet1!EP47="OTHER"),SUM(Sheet1!BG47:'Sheet1'!BI47),0)</f>
        <v>0</v>
      </c>
      <c r="BN45" s="545">
        <f>IF(AND($B45&gt;=$FV45,$B45&lt;=$FW45),MAX(BF45,Sheet1!EI47,0),MAX(BF45-(7/36)*$K45,0))</f>
        <v>0</v>
      </c>
      <c r="BO45" s="560">
        <f t="shared" si="190"/>
        <v>0</v>
      </c>
      <c r="BP45" s="545">
        <f t="shared" si="191"/>
        <v>0</v>
      </c>
      <c r="BQ45" s="545">
        <f>IF(AND($O45&gt;0,Sheet1!EM47=1),(1-($O45-Sheet1!$L47)/$O45)*BL45,0)</f>
        <v>0</v>
      </c>
      <c r="BR45" s="545">
        <f>IF(AND(Sheet1!$L47=0,Sheet1!$L46=0, Calculation!BK45&lt;Sheet1!$EI47-0.1,Sheet1!$EI47=Sheet1!$EI46,Sheet1!$EI47=Sheet1!$EI48),Sheet1!$EI47,BL45-BQ45)</f>
        <v>0</v>
      </c>
      <c r="BS45" s="560"/>
      <c r="BT45" s="560"/>
      <c r="BU45" s="560">
        <f t="shared" si="192"/>
        <v>0</v>
      </c>
      <c r="BV45" s="560"/>
      <c r="BW45" s="560">
        <f ca="1">IF(B45&gt;Summary!$A$1,#N/A,BU45*MGtoAF)</f>
        <v>0</v>
      </c>
      <c r="BX45" s="560">
        <f>Sheet1!BC47+Sheet1!BD47+Sheet1!BE47+Sheet1!BF47-CG45-CH45</f>
        <v>2.5</v>
      </c>
      <c r="BY45" s="560">
        <f t="shared" si="193"/>
        <v>2.5023005592128547</v>
      </c>
      <c r="BZ45" s="560">
        <f>IF(Sheet1!EQ47="FM",CH45,0)</f>
        <v>0</v>
      </c>
      <c r="CA45" s="560">
        <f t="shared" si="194"/>
        <v>0</v>
      </c>
      <c r="CB45" s="560">
        <f>IF(Sheet1!EQ47="OTHER",CH45,0)</f>
        <v>0</v>
      </c>
      <c r="CC45" s="560">
        <f t="shared" si="195"/>
        <v>0</v>
      </c>
      <c r="CD45" s="560">
        <f t="shared" si="196"/>
        <v>0</v>
      </c>
      <c r="CE45" s="560">
        <f t="shared" si="197"/>
        <v>2.5</v>
      </c>
      <c r="CF45" s="560">
        <f t="shared" si="198"/>
        <v>2.5023005592128547</v>
      </c>
      <c r="CG45" s="560">
        <f>IF(Sheet1!EQ47="CWA",SUM(Sheet1!BC47:'Sheet1'!BF47),0)</f>
        <v>0</v>
      </c>
      <c r="CH45" s="560">
        <f>IF(OR(Sheet1!EQ47="FM", Sheet1!EQ47="OTHER"),SUM(Sheet1!BC47:'Sheet1'!BF47),0)</f>
        <v>0</v>
      </c>
      <c r="CI45" s="545">
        <f>IF(AND($B45&gt;=$FV45,$B45&lt;=$FW45),MAX(CF45,Sheet1!EJ47,0),MAX(CF45-(7/36)*$K45,0))</f>
        <v>0</v>
      </c>
      <c r="CJ45" s="560">
        <f t="shared" si="199"/>
        <v>0</v>
      </c>
      <c r="CK45" s="545">
        <f t="shared" si="200"/>
        <v>2.5023005592128547</v>
      </c>
      <c r="CL45" s="545">
        <f>IF(AND($O45&gt;0,Sheet1!EN47=1),(1-($O45-Sheet1!$L47)/$O45)*CF45,0)</f>
        <v>0</v>
      </c>
      <c r="CM45" s="545">
        <f>IF(AND(Sheet1!$L47=0,Sheet1!$L46=0, Calculation!CE45&lt;Sheet1!EJ47-0.1,Sheet1!EJ47=Sheet1!EJ46,Sheet1!EJ47=Sheet1!EJ48),Sheet1!EJ47,CF45-CL45)</f>
        <v>2.5023005592128547</v>
      </c>
      <c r="CN45" s="545"/>
      <c r="CO45" s="560"/>
      <c r="CP45" s="560">
        <f t="shared" si="201"/>
        <v>0</v>
      </c>
      <c r="CQ45" s="560"/>
      <c r="CR45" s="560">
        <f ca="1">IF(B45&gt;Summary!$A$1,#N/A,CP45*MGtoAF)</f>
        <v>0</v>
      </c>
      <c r="CS45" s="560">
        <f>Sheet1!BK47+Sheet1!BL47+Sheet1!BM47-Sheet1!ER47-DA45</f>
        <v>3.73</v>
      </c>
      <c r="CT45" s="560">
        <f t="shared" si="202"/>
        <v>3.7334324343455791</v>
      </c>
      <c r="CU45" s="560">
        <f>IF(Sheet1!ER47="FM",DA45,0)</f>
        <v>0</v>
      </c>
      <c r="CV45" s="560">
        <f t="shared" si="203"/>
        <v>0</v>
      </c>
      <c r="CW45" s="560">
        <f>IF(Sheet1!ER47="OTHER",DA45,0)</f>
        <v>0</v>
      </c>
      <c r="CX45" s="560">
        <f t="shared" si="204"/>
        <v>0</v>
      </c>
      <c r="CY45" s="560">
        <f t="shared" si="205"/>
        <v>3.73</v>
      </c>
      <c r="CZ45" s="560">
        <f t="shared" si="206"/>
        <v>3.7334324343455791</v>
      </c>
      <c r="DA45" s="560">
        <f>IF(OR(Sheet1!ER47="FM", Sheet1!ER47="OTHER"),SUM(Sheet1!BK47:'Sheet1'!BM47),0)</f>
        <v>0</v>
      </c>
      <c r="DB45" s="545">
        <f>IF(AND($B45&gt;=$FV45,$B45&lt;=$FW45),MAX($CT45,Sheet1!EK47,0),MAX($CT45-(7/36)*$K45,0))</f>
        <v>0</v>
      </c>
      <c r="DC45" s="560">
        <f t="shared" si="207"/>
        <v>0</v>
      </c>
      <c r="DD45" s="545">
        <f t="shared" si="208"/>
        <v>3.7334324343455791</v>
      </c>
      <c r="DE45" s="545">
        <f>IF(AND($O45&gt;0,Sheet1!EO47=1),(1-($O45-Sheet1!$L47)/$O45)*CZ45,0)</f>
        <v>0</v>
      </c>
      <c r="DF45" s="545">
        <f>IF(AND(Sheet1!$L47=0,Sheet1!$L46=0, Calculation!CY45&lt;Sheet1!$EK47-0.1,Sheet1!$EK47=Sheet1!$EK46,Sheet1!$EK47=Sheet1!$EK48),Sheet1!$EK47,CZ45-DE45)</f>
        <v>3.7334324343455791</v>
      </c>
      <c r="DG45" s="545"/>
      <c r="DH45" s="560">
        <f t="shared" si="209"/>
        <v>6.23</v>
      </c>
      <c r="DI45" s="560">
        <f t="shared" si="210"/>
        <v>0</v>
      </c>
      <c r="DJ45" s="698">
        <f t="shared" si="211"/>
        <v>6.2357329935584342</v>
      </c>
      <c r="DK45" s="560">
        <f ca="1">IF(B45&gt;Summary!$A$1,#N/A,DI45*MGtoAF)</f>
        <v>0</v>
      </c>
      <c r="DL45" s="698">
        <f t="shared" si="212"/>
        <v>6.23</v>
      </c>
      <c r="DM45" s="560">
        <f t="shared" si="213"/>
        <v>14.127000000000001</v>
      </c>
      <c r="DN45" s="560">
        <f>Sheet1!AB47-DM45</f>
        <v>1.2999999999999901E-2</v>
      </c>
      <c r="DO45" s="823">
        <f t="shared" si="214"/>
        <v>9.2022368514191972E-4</v>
      </c>
      <c r="DP45" s="560">
        <f>(VLOOKUP(Sheet1!DC47,hhdcap_wcm,4)-(((VLOOKUP(Sheet1!DC47,hhdcap_wcm,3)-Sheet1!DC47)/(VLOOKUP(Sheet1!DC47,hhdcap_wcm,3)-VLOOKUP(Sheet1!DC47,hhdcap_wcm,1)))*(VLOOKUP(Sheet1!DC47,hhdcap_wcm,4)-VLOOKUP(Sheet1!DC47,hhdcap_wcm,2))))</f>
        <v>1045.1000000031627</v>
      </c>
      <c r="DQ45" s="560">
        <f t="shared" si="215"/>
        <v>-260.70000000023651</v>
      </c>
      <c r="DR45" s="560">
        <f t="shared" si="216"/>
        <v>-131.46747352508143</v>
      </c>
      <c r="DS45" s="560">
        <f>Sheet1!EA47*AFtoMG</f>
        <v>0</v>
      </c>
      <c r="DT45" s="560">
        <f>Sheet1!EB47*AFtoMG</f>
        <v>0</v>
      </c>
      <c r="DU45" s="560">
        <f>Sheet1!EC47*AFtoMG</f>
        <v>0</v>
      </c>
      <c r="DV45" s="560">
        <f>Sheet1!ED47*AFtoMG</f>
        <v>0</v>
      </c>
      <c r="DW45" s="560">
        <f t="shared" si="217"/>
        <v>0</v>
      </c>
      <c r="DX45" s="560">
        <f t="shared" si="218"/>
        <v>0</v>
      </c>
      <c r="DY45" s="560">
        <f t="shared" si="219"/>
        <v>0</v>
      </c>
      <c r="DZ45" s="560">
        <f t="shared" si="220"/>
        <v>0</v>
      </c>
      <c r="EA45" s="560"/>
      <c r="EB45" s="545">
        <f>IF(OR(B45&lt;FV45,B45&gt;FW45),(MIN(BF45+BY45+CT45+MAX(Sheet1!AA47+AQ45-73,0),K45)),0)</f>
        <v>6.2357329935584342</v>
      </c>
      <c r="EC45" s="560"/>
      <c r="ED45" s="560">
        <f t="shared" si="221"/>
        <v>6.2357329935584342</v>
      </c>
      <c r="EE45" s="560"/>
      <c r="EF45" s="560">
        <f>Sheet1!EH47+Sheet1!EI47+Sheet1!EJ47+Sheet1!EK47</f>
        <v>6.23</v>
      </c>
      <c r="EG45" s="560"/>
      <c r="EH45" s="545">
        <f t="shared" si="222"/>
        <v>0</v>
      </c>
      <c r="EI45" s="560">
        <f>IF(Sheet1!ET47=1,SUM('Calculations II'!AT45:BA45)+'Calculations II'!BC45+Sheet1!BV47+'Calculations II'!BE45+AP45,SUM('Calculations II'!AT45:BA45)+'Calculations II'!BC45+Sheet1!BV47+'Calculations II'!BE45+AP45)</f>
        <v>47.239647999999995</v>
      </c>
      <c r="EJ45" s="560">
        <f>Sheet1!AA47+Sheet1!AB47+'Calculations II'!BC45</f>
        <v>49.394592000000003</v>
      </c>
      <c r="EK45" s="560"/>
      <c r="EL45" s="560"/>
      <c r="EM45" s="560">
        <f t="shared" si="223"/>
        <v>41673</v>
      </c>
      <c r="EN45" s="560">
        <f t="shared" si="224"/>
        <v>0</v>
      </c>
      <c r="EO45" s="560">
        <f t="shared" si="225"/>
        <v>0</v>
      </c>
      <c r="EP45" s="560">
        <v>0</v>
      </c>
      <c r="EQ45" s="560">
        <v>0</v>
      </c>
      <c r="ER45" s="560">
        <v>0</v>
      </c>
      <c r="ES45" s="545">
        <f t="shared" si="77"/>
        <v>1.3855527483080625</v>
      </c>
      <c r="ET45" s="560">
        <f>-(VLOOKUP(Sheet1!BQ47,Lookup!$O$4:$Q$262,2)-VLOOKUP(Sheet1!BQ46,Lookup!$O$4:$Q$262,2))/1000000</f>
        <v>0.69277637415403126</v>
      </c>
      <c r="EU45" s="560">
        <f>-(VLOOKUP(Sheet1!BR47,Lookup!$O$4:$Q$262,3)-VLOOKUP(Sheet1!BR46,Lookup!$O$4:$Q$262,3))/1000000</f>
        <v>0.69277637415403126</v>
      </c>
      <c r="EV45" s="560"/>
      <c r="EW45" s="560"/>
      <c r="EX45" s="560"/>
      <c r="EY45" s="560"/>
      <c r="EZ45" s="560"/>
      <c r="FA45" s="560"/>
      <c r="FB45" s="560"/>
      <c r="FC45" s="560"/>
      <c r="FD45" s="594" t="e">
        <f t="shared" si="226"/>
        <v>#N/A</v>
      </c>
      <c r="FE45" s="594" t="e">
        <f t="shared" si="227"/>
        <v>#N/A</v>
      </c>
      <c r="FF45" s="595" t="e">
        <f t="shared" si="228"/>
        <v>#N/A</v>
      </c>
      <c r="FG45" s="596" t="s">
        <v>692</v>
      </c>
      <c r="FH45" s="596" t="s">
        <v>692</v>
      </c>
      <c r="FI45" s="594" t="e">
        <v>#N/A</v>
      </c>
      <c r="FJ45" s="594" t="e">
        <v>#N/A</v>
      </c>
      <c r="FK45" s="560"/>
      <c r="FL45" s="560"/>
      <c r="FM45" s="560"/>
      <c r="FN45" s="560"/>
      <c r="FO45" s="560">
        <f>O45+((Sheet1!CS47)*GPMtoMGD)</f>
        <v>49.394592000000003</v>
      </c>
      <c r="FP45" s="560">
        <f>IF(Sheet1!AA47+AQ45&lt;=Calculation!N45,AQ45,Calculation!N45-Sheet1!AA47)</f>
        <v>6.9063495434274795</v>
      </c>
      <c r="FQ45" s="560">
        <f>(Sheet1!BP47+Sheet1!BO47)/694.4</f>
        <v>1.4975518433179724</v>
      </c>
      <c r="FR45" s="560"/>
      <c r="FS45" s="560"/>
      <c r="FT45" s="560"/>
      <c r="FU45" s="560"/>
      <c r="FV45" s="695">
        <f t="shared" si="80"/>
        <v>41827</v>
      </c>
      <c r="FW45" s="695">
        <f t="shared" si="81"/>
        <v>41934</v>
      </c>
      <c r="FX45" s="560"/>
      <c r="FY45" s="560"/>
      <c r="FZ45" s="560"/>
      <c r="GA45" s="560"/>
      <c r="GB45" s="560" t="str">
        <f t="shared" si="82"/>
        <v>n</v>
      </c>
      <c r="GC45" s="564">
        <f t="shared" si="83"/>
        <v>41691</v>
      </c>
      <c r="GD45" s="695">
        <f t="shared" si="84"/>
        <v>41807</v>
      </c>
      <c r="GE45" s="560">
        <v>6518.9</v>
      </c>
      <c r="GF45" s="695">
        <f t="shared" si="85"/>
        <v>41808</v>
      </c>
      <c r="GG45" s="560">
        <f t="shared" si="163"/>
        <v>3259</v>
      </c>
      <c r="GH45" s="564">
        <f t="shared" si="87"/>
        <v>41934</v>
      </c>
      <c r="GJ45" s="545">
        <f t="shared" si="88"/>
        <v>0</v>
      </c>
      <c r="GK45" s="560" t="str">
        <f t="shared" si="229"/>
        <v/>
      </c>
      <c r="GL45" s="560">
        <f t="shared" si="89"/>
        <v>0</v>
      </c>
      <c r="GM45" s="560" t="str">
        <f t="shared" si="90"/>
        <v/>
      </c>
      <c r="GN45" s="560">
        <f>IF(GK45="P",Lookup!$M$12,IF(GK45="PP",Lookup!$M$13,IF(GK45="PPP",Lookup!$M$14,IF(GK45="T",Lookup!$M$15,IF(GK45="TP",Lookup!$M$16,IF(GK45="TPP",Lookup!$M$17,IF(GK45="TPPP",Lookup!$M$18,0)))))))*GJ45</f>
        <v>0</v>
      </c>
      <c r="GO45" s="560">
        <f t="shared" si="91"/>
        <v>0</v>
      </c>
      <c r="GP45" s="560">
        <f t="shared" si="230"/>
        <v>0</v>
      </c>
      <c r="GQ45" s="560">
        <f t="shared" si="99"/>
        <v>0</v>
      </c>
      <c r="GR45" s="560"/>
      <c r="GS45" s="560">
        <f t="shared" si="92"/>
        <v>0</v>
      </c>
      <c r="GT45" s="560" t="str">
        <f t="shared" si="93"/>
        <v/>
      </c>
      <c r="GU45" s="560">
        <f>IF(GK45="P",Lookup!$N$12,IF(GK45="PP",Lookup!$N$13,IF(GK45="PPP",Lookup!$N$14,IF(GK45="T",Lookup!$N$15,IF(GK45="TP",Lookup!$N$16,IF(GK45="TPP",Lookup!$N$17,IF(GK45="TPPP",Lookup!$N$18,0)))))))*GJ45</f>
        <v>0</v>
      </c>
      <c r="GV45" s="560">
        <f t="shared" si="57"/>
        <v>0</v>
      </c>
      <c r="GW45" s="560">
        <f t="shared" si="231"/>
        <v>0</v>
      </c>
      <c r="GX45" s="560">
        <f t="shared" si="100"/>
        <v>0</v>
      </c>
      <c r="GY45" s="560"/>
      <c r="GZ45" s="560">
        <f t="shared" si="94"/>
        <v>0</v>
      </c>
      <c r="HA45" s="560" t="str">
        <f t="shared" si="95"/>
        <v/>
      </c>
      <c r="HB45" s="560">
        <f>IF(GK45="P",Lookup!$N$12,IF(GK45="PP",Lookup!$N$13,IF(GK45="PPP",Lookup!$N$14,IF(GK45="T",Lookup!$N$15,IF(GK45="TP",Lookup!$N$16,IF(GK45="TPP",Lookup!$N$17,IF(GK45="TPPP",Lookup!$N$18,0)))))))*GJ45</f>
        <v>0</v>
      </c>
      <c r="HC45" s="545">
        <f t="shared" si="232"/>
        <v>0</v>
      </c>
      <c r="HD45" s="560">
        <f t="shared" si="233"/>
        <v>0</v>
      </c>
      <c r="HE45" s="560">
        <f t="shared" si="101"/>
        <v>0</v>
      </c>
      <c r="HF45" s="560"/>
      <c r="HG45" s="560">
        <f t="shared" si="96"/>
        <v>0</v>
      </c>
      <c r="HH45" s="560" t="str">
        <f t="shared" si="97"/>
        <v/>
      </c>
      <c r="HI45" s="560">
        <f>IF(GK45="P",Lookup!$N$12,IF(GK45="PP",Lookup!$N$13,IF(GK45="PPP",Lookup!$N$14,IF(GK45="T",Lookup!$N$15,IF(GK45="TP",Lookup!$N$16,IF(GK45="TPP",Lookup!$N$17,IF(GK45="TPPP",Lookup!$N$18,0)))))))*GJ45</f>
        <v>0</v>
      </c>
      <c r="HJ45" s="545">
        <f t="shared" si="234"/>
        <v>0</v>
      </c>
      <c r="HK45" s="560">
        <f t="shared" si="235"/>
        <v>0</v>
      </c>
      <c r="HL45" s="560">
        <f t="shared" si="102"/>
        <v>0</v>
      </c>
      <c r="HM45" s="560"/>
    </row>
    <row r="46" spans="1:221">
      <c r="A46" s="580" t="s">
        <v>5</v>
      </c>
      <c r="B46" s="556">
        <v>41674</v>
      </c>
      <c r="C46" s="561">
        <v>0</v>
      </c>
      <c r="D46" s="529">
        <f t="shared" si="103"/>
        <v>300</v>
      </c>
      <c r="E46" s="529">
        <f t="shared" si="104"/>
        <v>250</v>
      </c>
      <c r="F46" s="529">
        <v>250</v>
      </c>
      <c r="G46" s="560">
        <f>DR46+Sheet1!CZ48</f>
        <v>676.15582450797456</v>
      </c>
      <c r="H46" s="914">
        <f t="shared" si="2"/>
        <v>170.10392496195476</v>
      </c>
      <c r="I46" s="559">
        <f>MAX(Sheet1!Z48-AT46+(Sheet1!DA48-E46)*CFStoMGD,0)</f>
        <v>731.64400000000001</v>
      </c>
      <c r="J46" s="562">
        <f>IF(AND(B46&gt;=Calculation!GC46,B46&lt;=Calculation!GD46),IF(Sheet1!DB48&gt;=Calculation!D46,64.64,0),MAX(Sheet1!Z48-AT46+(Sheet1!DB48-D46)*CFStoMGD,0))</f>
        <v>355.43919999999997</v>
      </c>
      <c r="K46" s="904">
        <f t="shared" si="171"/>
        <v>64.64</v>
      </c>
      <c r="L46" s="560">
        <f>Sheet1!AA48+Sheet1!AB48-Sheet1!L48+(Sheet1!DA48-F46)*CFStoMGD</f>
        <v>717.50400000000002</v>
      </c>
      <c r="M46" s="560">
        <f t="shared" si="172"/>
        <v>445.80846746119386</v>
      </c>
      <c r="N46" s="910">
        <f>IF(Sheet1!DA48&gt;=F46,MIN(73,MIN(MAX(L46,0),MAX(M46,0))),0)</f>
        <v>73</v>
      </c>
      <c r="O46" s="563">
        <f>Sheet1!AA48+Sheet1!AB48</f>
        <v>33.799999999999997</v>
      </c>
      <c r="P46" s="563">
        <f t="shared" si="173"/>
        <v>52.288599999999995</v>
      </c>
      <c r="Q46" s="898">
        <f t="shared" si="63"/>
        <v>0</v>
      </c>
      <c r="R46" s="829">
        <f t="shared" si="174"/>
        <v>6.1130631907055824</v>
      </c>
      <c r="S46" s="898">
        <f t="shared" si="65"/>
        <v>33.799999999999997</v>
      </c>
      <c r="T46" s="898">
        <f t="shared" si="66"/>
        <v>0</v>
      </c>
      <c r="U46" s="898">
        <f t="shared" si="6"/>
        <v>0</v>
      </c>
      <c r="V46" s="898"/>
      <c r="W46" s="898">
        <f t="shared" si="67"/>
        <v>58.526936809294419</v>
      </c>
      <c r="X46" s="898">
        <f t="shared" si="68"/>
        <v>33.799999999999997</v>
      </c>
      <c r="Y46" s="898" t="str">
        <f t="shared" si="69"/>
        <v/>
      </c>
      <c r="Z46" s="898">
        <f t="shared" si="70"/>
        <v>33.799999999999997</v>
      </c>
      <c r="AA46" s="898">
        <f t="shared" si="71"/>
        <v>33.799999999999997</v>
      </c>
      <c r="AB46" s="898" t="str">
        <f t="shared" si="72"/>
        <v/>
      </c>
      <c r="AC46" s="563">
        <f>Sheet1!Y48*MGDtoCFS</f>
        <v>30.475899999999996</v>
      </c>
      <c r="AD46" s="563">
        <f>Sheet1!Z48*MGDtoCFS</f>
        <v>21.874579999999998</v>
      </c>
      <c r="AE46" s="563">
        <f>Sheet1!AA48*MGDtoCFS</f>
        <v>30.475899999999996</v>
      </c>
      <c r="AF46" s="563">
        <f>Sheet1!AB48*MGDtoCFS</f>
        <v>21.8127</v>
      </c>
      <c r="AG46" s="563">
        <f>Sheet1!L48*MGDtoCFS</f>
        <v>52.288599999999995</v>
      </c>
      <c r="AH46" s="545">
        <f t="shared" si="175"/>
        <v>0</v>
      </c>
      <c r="AI46" s="560">
        <f t="shared" si="176"/>
        <v>0</v>
      </c>
      <c r="AJ46" s="560">
        <f t="shared" si="177"/>
        <v>0</v>
      </c>
      <c r="AK46" s="560">
        <f t="shared" si="178"/>
        <v>0</v>
      </c>
      <c r="AL46" s="560">
        <f>(VLOOKUP(Sheet1!DC48,hhdcap_wcm,4)-(((VLOOKUP(Sheet1!DC48,hhdcap_wcm,3)-Sheet1!DC48)/(VLOOKUP(Sheet1!DC48,hhdcap_wcm,3)-VLOOKUP(Sheet1!DC48,hhdcap_wcm,1)))*(VLOOKUP(Sheet1!DC48,hhdcap_wcm,4)-VLOOKUP(Sheet1!DC48,hhdcap_wcm,2))))</f>
        <v>801.5000000024761</v>
      </c>
      <c r="AM46" s="560">
        <f t="shared" si="179"/>
        <v>-243.60000000068658</v>
      </c>
      <c r="AN46" s="560">
        <f t="shared" si="180"/>
        <v>0</v>
      </c>
      <c r="AO46" s="560">
        <f t="shared" si="181"/>
        <v>0</v>
      </c>
      <c r="AP46" s="560">
        <f>Sheet1!BA48+Sheet1!BB48+Sheet1!BN48+CD46</f>
        <v>7.9960000000000004</v>
      </c>
      <c r="AQ46" s="560">
        <f>Sheet1!BN48+(DO46*Sheet1!BN48)</f>
        <v>6.9920657410031168</v>
      </c>
      <c r="AR46" s="560">
        <f>Sheet1!BA48+CD46</f>
        <v>0</v>
      </c>
      <c r="AS46" s="560">
        <f>Sheet1!BA48+Sheet1!BB48+CD46</f>
        <v>0.996</v>
      </c>
      <c r="AT46" s="698">
        <f>0</f>
        <v>0</v>
      </c>
      <c r="AU46" s="560">
        <f>IF(EB46&lt;K46,0,MAX(Sheet1!AA48+AQ46-15/36*K46-N46,Sheet1!EH48,0))</f>
        <v>0</v>
      </c>
      <c r="AV46" s="560">
        <f>IF(OR(B46&gt;=GD46,B46&lt;GC46),0,15/36*K46-MAX(0,64.6-(137.6-(Sheet1!AA48+Sheet1!AB48))))</f>
        <v>0</v>
      </c>
      <c r="AW46" s="698">
        <f>Sheet1!DB48-110</f>
        <v>718</v>
      </c>
      <c r="AX46" s="698">
        <f>Sheet1!DA48-265</f>
        <v>1095</v>
      </c>
      <c r="AY46" s="698">
        <f t="shared" si="182"/>
        <v>73</v>
      </c>
      <c r="AZ46" s="698">
        <v>0</v>
      </c>
      <c r="BA46" s="698">
        <f t="shared" si="183"/>
        <v>0</v>
      </c>
      <c r="BB46" s="560">
        <f t="shared" si="184"/>
        <v>0</v>
      </c>
      <c r="BC46" s="560"/>
      <c r="BD46" s="560">
        <f ca="1">IF(B46&gt;Summary!$A$1,#N/A,BB46*MGtoAF)</f>
        <v>0</v>
      </c>
      <c r="BE46" s="560">
        <f>Sheet1!BG48+Sheet1!BH48+Sheet1!BI48-BM46</f>
        <v>0</v>
      </c>
      <c r="BF46" s="560">
        <f t="shared" si="185"/>
        <v>0</v>
      </c>
      <c r="BG46" s="560">
        <f>IF(Sheet1!EP48="FM",BM46,0)</f>
        <v>0</v>
      </c>
      <c r="BH46" s="560">
        <f t="shared" si="186"/>
        <v>0</v>
      </c>
      <c r="BI46" s="560">
        <f>IF(Sheet1!EP48="OTHER",BM46,0)</f>
        <v>0</v>
      </c>
      <c r="BJ46" s="560">
        <f t="shared" si="187"/>
        <v>0</v>
      </c>
      <c r="BK46" s="560">
        <f t="shared" si="188"/>
        <v>0</v>
      </c>
      <c r="BL46" s="560">
        <f t="shared" si="189"/>
        <v>0</v>
      </c>
      <c r="BM46" s="560">
        <f>IF(OR(Sheet1!EP48="FM", Sheet1!EP48="OTHER"),SUM(Sheet1!BG48:'Sheet1'!BI48),0)</f>
        <v>0</v>
      </c>
      <c r="BN46" s="545">
        <f>IF(AND($B46&gt;=$FV46,$B46&lt;=$FW46),MAX(BF46,Sheet1!EI48,0),MAX(BF46-(7/36)*$K46,0))</f>
        <v>0</v>
      </c>
      <c r="BO46" s="560">
        <f t="shared" si="190"/>
        <v>0</v>
      </c>
      <c r="BP46" s="545">
        <f t="shared" si="191"/>
        <v>0</v>
      </c>
      <c r="BQ46" s="545">
        <f>IF(AND($O46&gt;0,Sheet1!EM48=1),(1-($O46-Sheet1!$L48)/$O46)*BL46,0)</f>
        <v>0</v>
      </c>
      <c r="BR46" s="545">
        <f>IF(AND(Sheet1!$L48=0,Sheet1!$L47=0, Calculation!BK46&lt;Sheet1!$EI48-0.1,Sheet1!$EI48=Sheet1!$EI47,Sheet1!$EI48=Sheet1!$EI49),Sheet1!$EI48,BL46-BQ46)</f>
        <v>0</v>
      </c>
      <c r="BS46" s="560"/>
      <c r="BT46" s="560"/>
      <c r="BU46" s="560">
        <f t="shared" si="192"/>
        <v>0</v>
      </c>
      <c r="BV46" s="560"/>
      <c r="BW46" s="560">
        <f ca="1">IF(B46&gt;Summary!$A$1,#N/A,BU46*MGtoAF)</f>
        <v>0</v>
      </c>
      <c r="BX46" s="560">
        <f>Sheet1!BC48+Sheet1!BD48+Sheet1!BE48+Sheet1!BF48-CG46-CH46</f>
        <v>2.5</v>
      </c>
      <c r="BY46" s="560">
        <f t="shared" si="193"/>
        <v>2.4971663360725418</v>
      </c>
      <c r="BZ46" s="560">
        <f>IF(Sheet1!EQ48="FM",CH46,0)</f>
        <v>0</v>
      </c>
      <c r="CA46" s="560">
        <f t="shared" si="194"/>
        <v>0</v>
      </c>
      <c r="CB46" s="560">
        <f>IF(Sheet1!EQ48="OTHER",CH46,0)</f>
        <v>0</v>
      </c>
      <c r="CC46" s="560">
        <f t="shared" si="195"/>
        <v>0</v>
      </c>
      <c r="CD46" s="560">
        <f t="shared" si="196"/>
        <v>0</v>
      </c>
      <c r="CE46" s="560">
        <f t="shared" si="197"/>
        <v>2.5</v>
      </c>
      <c r="CF46" s="560">
        <f t="shared" si="198"/>
        <v>2.4971663360725418</v>
      </c>
      <c r="CG46" s="560">
        <f>IF(Sheet1!EQ48="CWA",SUM(Sheet1!BC48:'Sheet1'!BF48),0)</f>
        <v>0</v>
      </c>
      <c r="CH46" s="560">
        <f>IF(OR(Sheet1!EQ48="FM", Sheet1!EQ48="OTHER"),SUM(Sheet1!BC48:'Sheet1'!BF48),0)</f>
        <v>0</v>
      </c>
      <c r="CI46" s="545">
        <f>IF(AND($B46&gt;=$FV46,$B46&lt;=$FW46),MAX(CF46,Sheet1!EJ48,0),MAX(CF46-(7/36)*$K46,0))</f>
        <v>0</v>
      </c>
      <c r="CJ46" s="560">
        <f t="shared" si="199"/>
        <v>0</v>
      </c>
      <c r="CK46" s="545">
        <f t="shared" si="200"/>
        <v>2.4971663360725418</v>
      </c>
      <c r="CL46" s="545">
        <f>IF(AND($O46&gt;0,Sheet1!EN48=1),(1-($O46-Sheet1!$L48)/$O46)*CF46,0)</f>
        <v>0</v>
      </c>
      <c r="CM46" s="545">
        <f>IF(AND(Sheet1!$L48=0,Sheet1!$L47=0, Calculation!CE46&lt;Sheet1!EJ48-0.1,Sheet1!EJ48=Sheet1!EJ47,Sheet1!EJ48=Sheet1!EJ49),Sheet1!EJ48,CF46-CL46)</f>
        <v>2.4971663360725418</v>
      </c>
      <c r="CN46" s="545"/>
      <c r="CO46" s="560"/>
      <c r="CP46" s="560">
        <f t="shared" si="201"/>
        <v>0</v>
      </c>
      <c r="CQ46" s="560"/>
      <c r="CR46" s="560">
        <f ca="1">IF(B46&gt;Summary!$A$1,#N/A,CP46*MGtoAF)</f>
        <v>0</v>
      </c>
      <c r="CS46" s="560">
        <f>Sheet1!BK48+Sheet1!BL48+Sheet1!BM48-Sheet1!ER48-DA46</f>
        <v>3.62</v>
      </c>
      <c r="CT46" s="560">
        <f t="shared" si="202"/>
        <v>3.6158968546330406</v>
      </c>
      <c r="CU46" s="560">
        <f>IF(Sheet1!ER48="FM",DA46,0)</f>
        <v>0</v>
      </c>
      <c r="CV46" s="560">
        <f t="shared" si="203"/>
        <v>0</v>
      </c>
      <c r="CW46" s="560">
        <f>IF(Sheet1!ER48="OTHER",DA46,0)</f>
        <v>0</v>
      </c>
      <c r="CX46" s="560">
        <f t="shared" si="204"/>
        <v>0</v>
      </c>
      <c r="CY46" s="560">
        <f t="shared" si="205"/>
        <v>3.62</v>
      </c>
      <c r="CZ46" s="560">
        <f t="shared" si="206"/>
        <v>3.6158968546330406</v>
      </c>
      <c r="DA46" s="560">
        <f>IF(OR(Sheet1!ER48="FM", Sheet1!ER48="OTHER"),SUM(Sheet1!BK48:'Sheet1'!BM48),0)</f>
        <v>0</v>
      </c>
      <c r="DB46" s="545">
        <f>IF(AND($B46&gt;=$FV46,$B46&lt;=$FW46),MAX($CT46,Sheet1!EK48,0),MAX($CT46-(7/36)*$K46,0))</f>
        <v>0</v>
      </c>
      <c r="DC46" s="560">
        <f t="shared" si="207"/>
        <v>0</v>
      </c>
      <c r="DD46" s="545">
        <f t="shared" si="208"/>
        <v>3.6158968546330406</v>
      </c>
      <c r="DE46" s="545">
        <f>IF(AND($O46&gt;0,Sheet1!EO48=1),(1-($O46-Sheet1!$L48)/$O46)*CZ46,0)</f>
        <v>0</v>
      </c>
      <c r="DF46" s="545">
        <f>IF(AND(Sheet1!$L48=0,Sheet1!$L47=0, Calculation!CY46&lt;Sheet1!$EK48-0.1,Sheet1!$EK48=Sheet1!$EK47,Sheet1!$EK48=Sheet1!$EK49),Sheet1!$EK48,CZ46-DE46)</f>
        <v>3.6158968546330406</v>
      </c>
      <c r="DG46" s="545"/>
      <c r="DH46" s="560">
        <f t="shared" si="209"/>
        <v>6.12</v>
      </c>
      <c r="DI46" s="560">
        <f t="shared" si="210"/>
        <v>0</v>
      </c>
      <c r="DJ46" s="698">
        <f t="shared" si="211"/>
        <v>6.1130631907055824</v>
      </c>
      <c r="DK46" s="560">
        <f ca="1">IF(B46&gt;Summary!$A$1,#N/A,DI46*MGtoAF)</f>
        <v>0</v>
      </c>
      <c r="DL46" s="698">
        <f t="shared" si="212"/>
        <v>6.12</v>
      </c>
      <c r="DM46" s="560">
        <f t="shared" si="213"/>
        <v>14.116</v>
      </c>
      <c r="DN46" s="560">
        <f>Sheet1!AB48-DM46</f>
        <v>-1.6000000000000014E-2</v>
      </c>
      <c r="DO46" s="823">
        <f t="shared" si="214"/>
        <v>-1.1334655709832825E-3</v>
      </c>
      <c r="DP46" s="560">
        <f>(VLOOKUP(Sheet1!DC48,hhdcap_wcm,4)-(((VLOOKUP(Sheet1!DC48,hhdcap_wcm,3)-Sheet1!DC48)/(VLOOKUP(Sheet1!DC48,hhdcap_wcm,3)-VLOOKUP(Sheet1!DC48,hhdcap_wcm,1)))*(VLOOKUP(Sheet1!DC48,hhdcap_wcm,4)-VLOOKUP(Sheet1!DC48,hhdcap_wcm,2))))</f>
        <v>801.5000000024761</v>
      </c>
      <c r="DQ46" s="560">
        <f t="shared" si="215"/>
        <v>-243.60000000068658</v>
      </c>
      <c r="DR46" s="560">
        <f t="shared" si="216"/>
        <v>-122.84417549202549</v>
      </c>
      <c r="DS46" s="560">
        <f>Sheet1!EA48*AFtoMG</f>
        <v>0</v>
      </c>
      <c r="DT46" s="560">
        <f>Sheet1!EB48*AFtoMG</f>
        <v>0</v>
      </c>
      <c r="DU46" s="560">
        <f>Sheet1!EC48*AFtoMG</f>
        <v>0</v>
      </c>
      <c r="DV46" s="560">
        <f>Sheet1!ED48*AFtoMG</f>
        <v>0</v>
      </c>
      <c r="DW46" s="560">
        <f t="shared" si="217"/>
        <v>0</v>
      </c>
      <c r="DX46" s="560">
        <f t="shared" si="218"/>
        <v>0</v>
      </c>
      <c r="DY46" s="560">
        <f t="shared" si="219"/>
        <v>0</v>
      </c>
      <c r="DZ46" s="560">
        <f t="shared" si="220"/>
        <v>0</v>
      </c>
      <c r="EA46" s="560"/>
      <c r="EB46" s="545">
        <f>IF(OR(B46&lt;FV46,B46&gt;FW46),(MIN(BF46+BY46+CT46+MAX(Sheet1!AA48+AQ46-73,0),K46)),0)</f>
        <v>6.1130631907055824</v>
      </c>
      <c r="EC46" s="560"/>
      <c r="ED46" s="560">
        <f t="shared" si="221"/>
        <v>6.1130631907055824</v>
      </c>
      <c r="EE46" s="560"/>
      <c r="EF46" s="560">
        <f>Sheet1!EH48+Sheet1!EI48+Sheet1!EJ48+Sheet1!EK48</f>
        <v>6.12</v>
      </c>
      <c r="EG46" s="560"/>
      <c r="EH46" s="545">
        <f t="shared" si="222"/>
        <v>0</v>
      </c>
      <c r="EI46" s="560">
        <f>IF(Sheet1!ET48=1,SUM('Calculations II'!AT46:BA46)+'Calculations II'!BC46+Sheet1!BV48+'Calculations II'!BE46+AP46,SUM('Calculations II'!AT46:BA46)+'Calculations II'!BC46+Sheet1!BV48+'Calculations II'!BE46+AP46)</f>
        <v>47.636256000000003</v>
      </c>
      <c r="EJ46" s="560">
        <f>Sheet1!AA48+Sheet1!AB48+'Calculations II'!BC46</f>
        <v>49.294832</v>
      </c>
      <c r="EK46" s="560"/>
      <c r="EL46" s="560"/>
      <c r="EM46" s="560">
        <f t="shared" si="223"/>
        <v>41674</v>
      </c>
      <c r="EN46" s="560">
        <f t="shared" si="224"/>
        <v>0</v>
      </c>
      <c r="EO46" s="560">
        <f t="shared" si="225"/>
        <v>0</v>
      </c>
      <c r="EP46" s="560">
        <v>0</v>
      </c>
      <c r="EQ46" s="560">
        <v>0</v>
      </c>
      <c r="ER46" s="560">
        <v>0</v>
      </c>
      <c r="ES46" s="545">
        <f t="shared" si="77"/>
        <v>1.6622402729051038</v>
      </c>
      <c r="ET46" s="560">
        <f>-(VLOOKUP(Sheet1!BQ48,Lookup!$O$4:$Q$262,2)-VLOOKUP(Sheet1!BQ47,Lookup!$O$4:$Q$262,2))/1000000</f>
        <v>0.83112013645255189</v>
      </c>
      <c r="EU46" s="560">
        <f>-(VLOOKUP(Sheet1!BR48,Lookup!$O$4:$Q$262,3)-VLOOKUP(Sheet1!BR47,Lookup!$O$4:$Q$262,3))/1000000</f>
        <v>0.83112013645255189</v>
      </c>
      <c r="EV46" s="560"/>
      <c r="EW46" s="560"/>
      <c r="EX46" s="560"/>
      <c r="EY46" s="560"/>
      <c r="EZ46" s="560"/>
      <c r="FA46" s="560"/>
      <c r="FB46" s="560"/>
      <c r="FC46" s="560"/>
      <c r="FD46" s="594" t="e">
        <f t="shared" si="226"/>
        <v>#N/A</v>
      </c>
      <c r="FE46" s="594" t="e">
        <f t="shared" si="227"/>
        <v>#N/A</v>
      </c>
      <c r="FF46" s="595" t="e">
        <f t="shared" si="228"/>
        <v>#N/A</v>
      </c>
      <c r="FG46" s="596" t="s">
        <v>692</v>
      </c>
      <c r="FH46" s="596" t="s">
        <v>692</v>
      </c>
      <c r="FI46" s="594" t="e">
        <v>#N/A</v>
      </c>
      <c r="FJ46" s="594" t="e">
        <v>#N/A</v>
      </c>
      <c r="FK46" s="560"/>
      <c r="FL46" s="560"/>
      <c r="FM46" s="560"/>
      <c r="FN46" s="560"/>
      <c r="FO46" s="560">
        <f>O46+((Sheet1!CS48)*GPMtoMGD)</f>
        <v>49.294832</v>
      </c>
      <c r="FP46" s="560">
        <f>IF(Sheet1!AA48+AQ46&lt;=Calculation!N46,AQ46,Calculation!N46-Sheet1!AA48)</f>
        <v>6.9920657410031168</v>
      </c>
      <c r="FQ46" s="560">
        <f>(Sheet1!BP48+Sheet1!BO48)/694.4</f>
        <v>1.5815092165898619</v>
      </c>
      <c r="FR46" s="560"/>
      <c r="FS46" s="560"/>
      <c r="FT46" s="560"/>
      <c r="FU46" s="560"/>
      <c r="FV46" s="695">
        <f t="shared" si="80"/>
        <v>41827</v>
      </c>
      <c r="FW46" s="695">
        <f t="shared" si="81"/>
        <v>41934</v>
      </c>
      <c r="FX46" s="560"/>
      <c r="FY46" s="560"/>
      <c r="FZ46" s="560"/>
      <c r="GA46" s="560"/>
      <c r="GB46" s="560" t="str">
        <f t="shared" si="82"/>
        <v>n</v>
      </c>
      <c r="GC46" s="564">
        <f t="shared" si="83"/>
        <v>41691</v>
      </c>
      <c r="GD46" s="695">
        <f t="shared" si="84"/>
        <v>41807</v>
      </c>
      <c r="GE46" s="560">
        <v>6518.9</v>
      </c>
      <c r="GF46" s="695">
        <f t="shared" si="85"/>
        <v>41808</v>
      </c>
      <c r="GG46" s="560">
        <f t="shared" si="163"/>
        <v>3259</v>
      </c>
      <c r="GH46" s="564">
        <f t="shared" si="87"/>
        <v>41934</v>
      </c>
      <c r="GJ46" s="545">
        <f t="shared" si="88"/>
        <v>0</v>
      </c>
      <c r="GK46" s="560" t="str">
        <f t="shared" si="229"/>
        <v/>
      </c>
      <c r="GL46" s="560">
        <f t="shared" si="89"/>
        <v>0</v>
      </c>
      <c r="GM46" s="560" t="str">
        <f t="shared" si="90"/>
        <v/>
      </c>
      <c r="GN46" s="560">
        <f>IF(GK46="P",Lookup!$M$12,IF(GK46="PP",Lookup!$M$13,IF(GK46="PPP",Lookup!$M$14,IF(GK46="T",Lookup!$M$15,IF(GK46="TP",Lookup!$M$16,IF(GK46="TPP",Lookup!$M$17,IF(GK46="TPPP",Lookup!$M$18,0)))))))*GJ46</f>
        <v>0</v>
      </c>
      <c r="GO46" s="560">
        <f t="shared" si="91"/>
        <v>0</v>
      </c>
      <c r="GP46" s="560">
        <f t="shared" si="230"/>
        <v>0</v>
      </c>
      <c r="GQ46" s="560">
        <f t="shared" si="99"/>
        <v>0</v>
      </c>
      <c r="GR46" s="560"/>
      <c r="GS46" s="560">
        <f t="shared" si="92"/>
        <v>0</v>
      </c>
      <c r="GT46" s="560" t="str">
        <f t="shared" si="93"/>
        <v/>
      </c>
      <c r="GU46" s="560">
        <f>IF(GK46="P",Lookup!$N$12,IF(GK46="PP",Lookup!$N$13,IF(GK46="PPP",Lookup!$N$14,IF(GK46="T",Lookup!$N$15,IF(GK46="TP",Lookup!$N$16,IF(GK46="TPP",Lookup!$N$17,IF(GK46="TPPP",Lookup!$N$18,0)))))))*GJ46</f>
        <v>0</v>
      </c>
      <c r="GV46" s="560">
        <f t="shared" si="57"/>
        <v>0</v>
      </c>
      <c r="GW46" s="560">
        <f t="shared" si="231"/>
        <v>0</v>
      </c>
      <c r="GX46" s="560">
        <f t="shared" si="100"/>
        <v>0</v>
      </c>
      <c r="GY46" s="560"/>
      <c r="GZ46" s="560">
        <f t="shared" si="94"/>
        <v>0</v>
      </c>
      <c r="HA46" s="560" t="str">
        <f t="shared" si="95"/>
        <v/>
      </c>
      <c r="HB46" s="560">
        <f>IF(GK46="P",Lookup!$N$12,IF(GK46="PP",Lookup!$N$13,IF(GK46="PPP",Lookup!$N$14,IF(GK46="T",Lookup!$N$15,IF(GK46="TP",Lookup!$N$16,IF(GK46="TPP",Lookup!$N$17,IF(GK46="TPPP",Lookup!$N$18,0)))))))*GJ46</f>
        <v>0</v>
      </c>
      <c r="HC46" s="545">
        <f t="shared" si="232"/>
        <v>0</v>
      </c>
      <c r="HD46" s="560">
        <f t="shared" si="233"/>
        <v>0</v>
      </c>
      <c r="HE46" s="560">
        <f t="shared" si="101"/>
        <v>0</v>
      </c>
      <c r="HF46" s="560"/>
      <c r="HG46" s="560">
        <f t="shared" si="96"/>
        <v>0</v>
      </c>
      <c r="HH46" s="560" t="str">
        <f t="shared" si="97"/>
        <v/>
      </c>
      <c r="HI46" s="560">
        <f>IF(GK46="P",Lookup!$N$12,IF(GK46="PP",Lookup!$N$13,IF(GK46="PPP",Lookup!$N$14,IF(GK46="T",Lookup!$N$15,IF(GK46="TP",Lookup!$N$16,IF(GK46="TPP",Lookup!$N$17,IF(GK46="TPPP",Lookup!$N$18,0)))))))*GJ46</f>
        <v>0</v>
      </c>
      <c r="HJ46" s="545">
        <f t="shared" si="234"/>
        <v>0</v>
      </c>
      <c r="HK46" s="560">
        <f t="shared" si="235"/>
        <v>0</v>
      </c>
      <c r="HL46" s="560">
        <f t="shared" si="102"/>
        <v>0</v>
      </c>
      <c r="HM46" s="560"/>
    </row>
    <row r="47" spans="1:221">
      <c r="A47" s="580" t="s">
        <v>6</v>
      </c>
      <c r="B47" s="556">
        <v>41675</v>
      </c>
      <c r="C47" s="561">
        <v>0</v>
      </c>
      <c r="D47" s="529">
        <f t="shared" si="103"/>
        <v>300</v>
      </c>
      <c r="E47" s="529">
        <f t="shared" si="104"/>
        <v>250</v>
      </c>
      <c r="F47" s="529">
        <v>250</v>
      </c>
      <c r="G47" s="560">
        <f>DR47+Sheet1!CZ49</f>
        <v>505.74634392328539</v>
      </c>
      <c r="H47" s="914">
        <f t="shared" si="2"/>
        <v>59.951236712011678</v>
      </c>
      <c r="I47" s="559">
        <f>MAX(Sheet1!Z49-AT47+(Sheet1!DA49-E47)*CFStoMGD,0)</f>
        <v>563.54</v>
      </c>
      <c r="J47" s="562">
        <f>IF(AND(B47&gt;=Calculation!GC47,B47&lt;=Calculation!GD47),IF(Sheet1!DB49&gt;=Calculation!D47,64.64,0),MAX(Sheet1!Z49-AT47+(Sheet1!DB49-D47)*CFStoMGD,0))</f>
        <v>260.3784</v>
      </c>
      <c r="K47" s="904">
        <f t="shared" si="171"/>
        <v>59.951236712011678</v>
      </c>
      <c r="L47" s="560">
        <f>Sheet1!AA49+Sheet1!AB49-Sheet1!L49+(Sheet1!DA49-F47)*CFStoMGD</f>
        <v>549.43999999999994</v>
      </c>
      <c r="M47" s="560">
        <f t="shared" si="172"/>
        <v>333.45272544625192</v>
      </c>
      <c r="N47" s="910">
        <f>IF(Sheet1!DA49&gt;=F47,MIN(73,MIN(MAX(L47,0),MAX(M47,0))),0)</f>
        <v>73</v>
      </c>
      <c r="O47" s="563">
        <f>Sheet1!AA49+Sheet1!AB49</f>
        <v>33.85</v>
      </c>
      <c r="P47" s="563">
        <f t="shared" si="173"/>
        <v>52.365949999999998</v>
      </c>
      <c r="Q47" s="898">
        <f t="shared" si="63"/>
        <v>0</v>
      </c>
      <c r="R47" s="829">
        <f t="shared" si="174"/>
        <v>6.0711082910321492</v>
      </c>
      <c r="S47" s="898">
        <f t="shared" si="65"/>
        <v>33.85</v>
      </c>
      <c r="T47" s="898">
        <f t="shared" si="66"/>
        <v>0</v>
      </c>
      <c r="U47" s="898">
        <f t="shared" si="6"/>
        <v>0</v>
      </c>
      <c r="V47" s="898"/>
      <c r="W47" s="898">
        <f t="shared" si="67"/>
        <v>53.880128420979531</v>
      </c>
      <c r="X47" s="898">
        <f t="shared" si="68"/>
        <v>33.85</v>
      </c>
      <c r="Y47" s="898" t="str">
        <f t="shared" si="69"/>
        <v/>
      </c>
      <c r="Z47" s="898">
        <f t="shared" si="70"/>
        <v>33.85</v>
      </c>
      <c r="AA47" s="898">
        <f t="shared" si="71"/>
        <v>33.85</v>
      </c>
      <c r="AB47" s="898" t="str">
        <f t="shared" si="72"/>
        <v/>
      </c>
      <c r="AC47" s="563">
        <f>Sheet1!Y49*MGDtoCFS</f>
        <v>30.475899999999996</v>
      </c>
      <c r="AD47" s="563">
        <f>Sheet1!Z49*MGDtoCFS</f>
        <v>21.8127</v>
      </c>
      <c r="AE47" s="563">
        <f>Sheet1!AA49*MGDtoCFS</f>
        <v>30.49137</v>
      </c>
      <c r="AF47" s="563">
        <f>Sheet1!AB49*MGDtoCFS</f>
        <v>21.874579999999998</v>
      </c>
      <c r="AG47" s="563">
        <f>Sheet1!L49*MGDtoCFS</f>
        <v>52.365949999999998</v>
      </c>
      <c r="AH47" s="545">
        <f t="shared" si="175"/>
        <v>0</v>
      </c>
      <c r="AI47" s="560">
        <f t="shared" si="176"/>
        <v>0</v>
      </c>
      <c r="AJ47" s="560">
        <f t="shared" si="177"/>
        <v>0</v>
      </c>
      <c r="AK47" s="560">
        <f t="shared" si="178"/>
        <v>0</v>
      </c>
      <c r="AL47" s="560">
        <f>(VLOOKUP(Sheet1!DC49,hhdcap_wcm,4)-(((VLOOKUP(Sheet1!DC49,hhdcap_wcm,3)-Sheet1!DC49)/(VLOOKUP(Sheet1!DC49,hhdcap_wcm,3)-VLOOKUP(Sheet1!DC49,hhdcap_wcm,1)))*(VLOOKUP(Sheet1!DC49,hhdcap_wcm,4)-VLOOKUP(Sheet1!DC49,hhdcap_wcm,2))))</f>
        <v>684.00000000235104</v>
      </c>
      <c r="AM47" s="560">
        <f t="shared" si="179"/>
        <v>-117.50000000012506</v>
      </c>
      <c r="AN47" s="560">
        <f t="shared" si="180"/>
        <v>0</v>
      </c>
      <c r="AO47" s="560">
        <f t="shared" si="181"/>
        <v>0</v>
      </c>
      <c r="AP47" s="560">
        <f>Sheet1!BA49+Sheet1!BB49+Sheet1!BN49+CD47</f>
        <v>8.0939999999999994</v>
      </c>
      <c r="AQ47" s="560">
        <f>Sheet1!BN49+(DO47*Sheet1!BN49)</f>
        <v>7.0779751833051332</v>
      </c>
      <c r="AR47" s="560">
        <f>Sheet1!BA49+CD47</f>
        <v>0</v>
      </c>
      <c r="AS47" s="560">
        <f>Sheet1!BA49+Sheet1!BB49+CD47</f>
        <v>0.99399999999999999</v>
      </c>
      <c r="AT47" s="698">
        <f>0</f>
        <v>0</v>
      </c>
      <c r="AU47" s="560">
        <f>IF(EB47&lt;K47,0,MAX(Sheet1!AA49+AQ47-15/36*K47-N47,Sheet1!EH49,0))</f>
        <v>0</v>
      </c>
      <c r="AV47" s="560">
        <f>IF(OR(B47&gt;=GD47,B47&lt;GC47),0,15/36*K47-MAX(0,64.6-(137.6-(Sheet1!AA49+Sheet1!AB49))))</f>
        <v>0</v>
      </c>
      <c r="AW47" s="698">
        <f>Sheet1!DB49-110</f>
        <v>571</v>
      </c>
      <c r="AX47" s="698">
        <f>Sheet1!DA49-265</f>
        <v>835</v>
      </c>
      <c r="AY47" s="698">
        <f t="shared" si="182"/>
        <v>73</v>
      </c>
      <c r="AZ47" s="698">
        <v>0</v>
      </c>
      <c r="BA47" s="698">
        <f t="shared" si="183"/>
        <v>0</v>
      </c>
      <c r="BB47" s="560">
        <f t="shared" si="184"/>
        <v>0</v>
      </c>
      <c r="BC47" s="560"/>
      <c r="BD47" s="560">
        <f ca="1">IF(B47&gt;Summary!$A$1,#N/A,BB47*MGtoAF)</f>
        <v>0</v>
      </c>
      <c r="BE47" s="560">
        <f>Sheet1!BG49+Sheet1!BH49+Sheet1!BI49-BM47</f>
        <v>0</v>
      </c>
      <c r="BF47" s="560">
        <f t="shared" si="185"/>
        <v>0</v>
      </c>
      <c r="BG47" s="560">
        <f>IF(Sheet1!EP49="FM",BM47,0)</f>
        <v>0</v>
      </c>
      <c r="BH47" s="560">
        <f t="shared" si="186"/>
        <v>0</v>
      </c>
      <c r="BI47" s="560">
        <f>IF(Sheet1!EP49="OTHER",BM47,0)</f>
        <v>0</v>
      </c>
      <c r="BJ47" s="560">
        <f t="shared" si="187"/>
        <v>0</v>
      </c>
      <c r="BK47" s="560">
        <f t="shared" si="188"/>
        <v>0</v>
      </c>
      <c r="BL47" s="560">
        <f t="shared" si="189"/>
        <v>0</v>
      </c>
      <c r="BM47" s="560">
        <f>IF(OR(Sheet1!EP49="FM", Sheet1!EP49="OTHER"),SUM(Sheet1!BG49:'Sheet1'!BI49),0)</f>
        <v>0</v>
      </c>
      <c r="BN47" s="545">
        <f>IF(AND($B47&gt;=$FV47,$B47&lt;=$FW47),MAX(BF47,Sheet1!EI49,0),MAX(BF47-(7/36)*$K47,0))</f>
        <v>0</v>
      </c>
      <c r="BO47" s="560">
        <f t="shared" si="190"/>
        <v>0</v>
      </c>
      <c r="BP47" s="545">
        <f t="shared" si="191"/>
        <v>0</v>
      </c>
      <c r="BQ47" s="545">
        <f>IF(AND($O47&gt;0,Sheet1!EM49=1),(1-($O47-Sheet1!$L49)/$O47)*BL47,0)</f>
        <v>0</v>
      </c>
      <c r="BR47" s="545">
        <f>IF(AND(Sheet1!$L49=0,Sheet1!$L48=0, Calculation!BK47&lt;Sheet1!$EI49-0.1,Sheet1!$EI49=Sheet1!$EI48,Sheet1!$EI49=Sheet1!$EI50),Sheet1!$EI49,BL47-BQ47)</f>
        <v>0</v>
      </c>
      <c r="BS47" s="560"/>
      <c r="BT47" s="560"/>
      <c r="BU47" s="560">
        <f t="shared" si="192"/>
        <v>0</v>
      </c>
      <c r="BV47" s="560"/>
      <c r="BW47" s="560">
        <f ca="1">IF(B47&gt;Summary!$A$1,#N/A,BU47*MGtoAF)</f>
        <v>0</v>
      </c>
      <c r="BX47" s="560">
        <f>Sheet1!BC49+Sheet1!BD49+Sheet1!BE49+Sheet1!BF49-CG47-CH47</f>
        <v>2.5</v>
      </c>
      <c r="BY47" s="560">
        <f t="shared" si="193"/>
        <v>2.4922447828539203</v>
      </c>
      <c r="BZ47" s="560">
        <f>IF(Sheet1!EQ49="FM",CH47,0)</f>
        <v>0</v>
      </c>
      <c r="CA47" s="560">
        <f t="shared" si="194"/>
        <v>0</v>
      </c>
      <c r="CB47" s="560">
        <f>IF(Sheet1!EQ49="OTHER",CH47,0)</f>
        <v>0</v>
      </c>
      <c r="CC47" s="560">
        <f t="shared" si="195"/>
        <v>0</v>
      </c>
      <c r="CD47" s="560">
        <f t="shared" si="196"/>
        <v>0</v>
      </c>
      <c r="CE47" s="560">
        <f t="shared" si="197"/>
        <v>2.5</v>
      </c>
      <c r="CF47" s="560">
        <f t="shared" si="198"/>
        <v>2.4922447828539203</v>
      </c>
      <c r="CG47" s="560">
        <f>IF(Sheet1!EQ49="CWA",SUM(Sheet1!BC49:'Sheet1'!BF49),0)</f>
        <v>0</v>
      </c>
      <c r="CH47" s="560">
        <f>IF(OR(Sheet1!EQ49="FM", Sheet1!EQ49="OTHER"),SUM(Sheet1!BC49:'Sheet1'!BF49),0)</f>
        <v>0</v>
      </c>
      <c r="CI47" s="545">
        <f>IF(AND($B47&gt;=$FV47,$B47&lt;=$FW47),MAX(CF47,Sheet1!EJ49,0),MAX(CF47-(7/36)*$K47,0))</f>
        <v>0</v>
      </c>
      <c r="CJ47" s="560">
        <f t="shared" si="199"/>
        <v>0</v>
      </c>
      <c r="CK47" s="545">
        <f t="shared" si="200"/>
        <v>2.4922447828539203</v>
      </c>
      <c r="CL47" s="545">
        <f>IF(AND($O47&gt;0,Sheet1!EN49=1),(1-($O47-Sheet1!$L49)/$O47)*CF47,0)</f>
        <v>0</v>
      </c>
      <c r="CM47" s="545">
        <f>IF(AND(Sheet1!$L49=0,Sheet1!$L48=0, Calculation!CE47&lt;Sheet1!EJ49-0.1,Sheet1!EJ49=Sheet1!EJ48,Sheet1!EJ49=Sheet1!EJ50),Sheet1!EJ49,CF47-CL47)</f>
        <v>2.4922447828539203</v>
      </c>
      <c r="CN47" s="545"/>
      <c r="CO47" s="560"/>
      <c r="CP47" s="560">
        <f t="shared" si="201"/>
        <v>0</v>
      </c>
      <c r="CQ47" s="560"/>
      <c r="CR47" s="560">
        <f ca="1">IF(B47&gt;Summary!$A$1,#N/A,CP47*MGtoAF)</f>
        <v>0</v>
      </c>
      <c r="CS47" s="560">
        <f>Sheet1!BK49+Sheet1!BL49+Sheet1!BM49-Sheet1!ER49-DA47</f>
        <v>3.59</v>
      </c>
      <c r="CT47" s="560">
        <f t="shared" si="202"/>
        <v>3.578863508178229</v>
      </c>
      <c r="CU47" s="560">
        <f>IF(Sheet1!ER49="FM",DA47,0)</f>
        <v>0</v>
      </c>
      <c r="CV47" s="560">
        <f t="shared" si="203"/>
        <v>0</v>
      </c>
      <c r="CW47" s="560">
        <f>IF(Sheet1!ER49="OTHER",DA47,0)</f>
        <v>0</v>
      </c>
      <c r="CX47" s="560">
        <f t="shared" si="204"/>
        <v>0</v>
      </c>
      <c r="CY47" s="560">
        <f t="shared" si="205"/>
        <v>3.59</v>
      </c>
      <c r="CZ47" s="560">
        <f t="shared" si="206"/>
        <v>3.578863508178229</v>
      </c>
      <c r="DA47" s="560">
        <f>IF(OR(Sheet1!ER49="FM", Sheet1!ER49="OTHER"),SUM(Sheet1!BK49:'Sheet1'!BM49),0)</f>
        <v>0</v>
      </c>
      <c r="DB47" s="545">
        <f>IF(AND($B47&gt;=$FV47,$B47&lt;=$FW47),MAX($CT47,Sheet1!EK49,0),MAX($CT47-(7/36)*$K47,0))</f>
        <v>0</v>
      </c>
      <c r="DC47" s="560">
        <f t="shared" si="207"/>
        <v>0</v>
      </c>
      <c r="DD47" s="545">
        <f t="shared" si="208"/>
        <v>3.578863508178229</v>
      </c>
      <c r="DE47" s="545">
        <f>IF(AND($O47&gt;0,Sheet1!EO49=1),(1-($O47-Sheet1!$L49)/$O47)*CZ47,0)</f>
        <v>0</v>
      </c>
      <c r="DF47" s="545">
        <f>IF(AND(Sheet1!$L49=0,Sheet1!$L48=0, Calculation!CY47&lt;Sheet1!$EK49-0.1,Sheet1!$EK49=Sheet1!$EK48,Sheet1!$EK49=Sheet1!$EK50),Sheet1!$EK49,CZ47-DE47)</f>
        <v>3.578863508178229</v>
      </c>
      <c r="DG47" s="545"/>
      <c r="DH47" s="560">
        <f t="shared" si="209"/>
        <v>6.09</v>
      </c>
      <c r="DI47" s="560">
        <f t="shared" si="210"/>
        <v>0</v>
      </c>
      <c r="DJ47" s="698">
        <f t="shared" si="211"/>
        <v>6.0711082910321492</v>
      </c>
      <c r="DK47" s="560">
        <f ca="1">IF(B47&gt;Summary!$A$1,#N/A,DI47*MGtoAF)</f>
        <v>0</v>
      </c>
      <c r="DL47" s="698">
        <f t="shared" si="212"/>
        <v>6.09</v>
      </c>
      <c r="DM47" s="560">
        <f t="shared" si="213"/>
        <v>14.183999999999999</v>
      </c>
      <c r="DN47" s="560">
        <f>Sheet1!AB49-DM47</f>
        <v>-4.3999999999998707E-2</v>
      </c>
      <c r="DO47" s="823">
        <f t="shared" si="214"/>
        <v>-3.1020868584319449E-3</v>
      </c>
      <c r="DP47" s="560">
        <f>(VLOOKUP(Sheet1!DC49,hhdcap_wcm,4)-(((VLOOKUP(Sheet1!DC49,hhdcap_wcm,3)-Sheet1!DC49)/(VLOOKUP(Sheet1!DC49,hhdcap_wcm,3)-VLOOKUP(Sheet1!DC49,hhdcap_wcm,1)))*(VLOOKUP(Sheet1!DC49,hhdcap_wcm,4)-VLOOKUP(Sheet1!DC49,hhdcap_wcm,2))))</f>
        <v>684.00000000235104</v>
      </c>
      <c r="DQ47" s="560">
        <f t="shared" si="215"/>
        <v>-117.50000000012506</v>
      </c>
      <c r="DR47" s="560">
        <f t="shared" si="216"/>
        <v>-59.253656076714591</v>
      </c>
      <c r="DS47" s="560">
        <f>Sheet1!EA49*AFtoMG</f>
        <v>0</v>
      </c>
      <c r="DT47" s="560">
        <f>Sheet1!EB49*AFtoMG</f>
        <v>0</v>
      </c>
      <c r="DU47" s="560">
        <f>Sheet1!EC49*AFtoMG</f>
        <v>0</v>
      </c>
      <c r="DV47" s="560">
        <f>Sheet1!ED49*AFtoMG</f>
        <v>0</v>
      </c>
      <c r="DW47" s="560">
        <f t="shared" si="217"/>
        <v>0</v>
      </c>
      <c r="DX47" s="560">
        <f t="shared" si="218"/>
        <v>0</v>
      </c>
      <c r="DY47" s="560">
        <f t="shared" si="219"/>
        <v>0</v>
      </c>
      <c r="DZ47" s="560">
        <f t="shared" si="220"/>
        <v>0</v>
      </c>
      <c r="EA47" s="560"/>
      <c r="EB47" s="545">
        <f>IF(OR(B47&lt;FV47,B47&gt;FW47),(MIN(BF47+BY47+CT47+MAX(Sheet1!AA49+AQ47-73,0),K47)),0)</f>
        <v>6.0711082910321492</v>
      </c>
      <c r="EC47" s="560"/>
      <c r="ED47" s="560">
        <f t="shared" si="221"/>
        <v>6.0711082910321492</v>
      </c>
      <c r="EE47" s="560"/>
      <c r="EF47" s="560">
        <f>Sheet1!EH49+Sheet1!EI49+Sheet1!EJ49+Sheet1!EK49</f>
        <v>6.09</v>
      </c>
      <c r="EG47" s="560"/>
      <c r="EH47" s="545">
        <f t="shared" si="222"/>
        <v>0</v>
      </c>
      <c r="EI47" s="560">
        <f>IF(Sheet1!ET49=1,SUM('Calculations II'!AT47:BA47)+'Calculations II'!BC47+Sheet1!BV49+'Calculations II'!BE47+AP47,SUM('Calculations II'!AT47:BA47)+'Calculations II'!BC47+Sheet1!BV49+'Calculations II'!BE47+AP47)</f>
        <v>47.506335999999997</v>
      </c>
      <c r="EJ47" s="560">
        <f>Sheet1!AA49+Sheet1!AB49+'Calculations II'!BC47</f>
        <v>49.367728</v>
      </c>
      <c r="EK47" s="560"/>
      <c r="EL47" s="560"/>
      <c r="EM47" s="560">
        <f t="shared" si="223"/>
        <v>41675</v>
      </c>
      <c r="EN47" s="560">
        <f t="shared" si="224"/>
        <v>0</v>
      </c>
      <c r="EO47" s="560">
        <f t="shared" si="225"/>
        <v>0</v>
      </c>
      <c r="EP47" s="560">
        <v>0</v>
      </c>
      <c r="EQ47" s="560">
        <v>0</v>
      </c>
      <c r="ER47" s="560">
        <v>0</v>
      </c>
      <c r="ES47" s="545">
        <f t="shared" si="77"/>
        <v>1.3848477498884797</v>
      </c>
      <c r="ET47" s="560">
        <f>-(VLOOKUP(Sheet1!BQ49,Lookup!$O$4:$Q$262,2)-VLOOKUP(Sheet1!BQ48,Lookup!$O$4:$Q$262,2))/1000000</f>
        <v>0.69242387494423985</v>
      </c>
      <c r="EU47" s="560">
        <f>-(VLOOKUP(Sheet1!BR49,Lookup!$O$4:$Q$262,3)-VLOOKUP(Sheet1!BR48,Lookup!$O$4:$Q$262,3))/1000000</f>
        <v>0.69242387494423985</v>
      </c>
      <c r="EV47" s="560"/>
      <c r="EW47" s="560"/>
      <c r="EX47" s="560"/>
      <c r="EY47" s="560"/>
      <c r="EZ47" s="560"/>
      <c r="FA47" s="560"/>
      <c r="FB47" s="560"/>
      <c r="FC47" s="560"/>
      <c r="FD47" s="594" t="e">
        <f t="shared" si="226"/>
        <v>#N/A</v>
      </c>
      <c r="FE47" s="594" t="e">
        <f t="shared" si="227"/>
        <v>#N/A</v>
      </c>
      <c r="FF47" s="595" t="e">
        <f t="shared" si="228"/>
        <v>#N/A</v>
      </c>
      <c r="FG47" s="596" t="s">
        <v>692</v>
      </c>
      <c r="FH47" s="596" t="s">
        <v>692</v>
      </c>
      <c r="FI47" s="594" t="e">
        <v>#N/A</v>
      </c>
      <c r="FJ47" s="594" t="e">
        <v>#N/A</v>
      </c>
      <c r="FK47" s="560"/>
      <c r="FL47" s="560"/>
      <c r="FM47" s="560"/>
      <c r="FN47" s="560"/>
      <c r="FO47" s="560">
        <f>O47+((Sheet1!CS49)*GPMtoMGD)</f>
        <v>49.367728</v>
      </c>
      <c r="FP47" s="560">
        <f>IF(Sheet1!AA49+AQ47&lt;=Calculation!N47,AQ47,Calculation!N47-Sheet1!AA49)</f>
        <v>7.0779751833051332</v>
      </c>
      <c r="FQ47" s="560">
        <f>(Sheet1!BP49+Sheet1!BO49)/694.4</f>
        <v>1.4059619815668203</v>
      </c>
      <c r="FR47" s="560"/>
      <c r="FS47" s="560"/>
      <c r="FT47" s="560"/>
      <c r="FU47" s="560"/>
      <c r="FV47" s="695">
        <f t="shared" si="80"/>
        <v>41827</v>
      </c>
      <c r="FW47" s="695">
        <f t="shared" si="81"/>
        <v>41934</v>
      </c>
      <c r="FX47" s="560"/>
      <c r="FY47" s="560"/>
      <c r="FZ47" s="560"/>
      <c r="GA47" s="560"/>
      <c r="GB47" s="560" t="str">
        <f t="shared" si="82"/>
        <v>n</v>
      </c>
      <c r="GC47" s="564">
        <f t="shared" si="83"/>
        <v>41691</v>
      </c>
      <c r="GD47" s="695">
        <f t="shared" si="84"/>
        <v>41807</v>
      </c>
      <c r="GE47" s="560">
        <v>6518.9</v>
      </c>
      <c r="GF47" s="695">
        <f t="shared" si="85"/>
        <v>41808</v>
      </c>
      <c r="GG47" s="560">
        <f t="shared" si="163"/>
        <v>3259</v>
      </c>
      <c r="GH47" s="564">
        <f t="shared" si="87"/>
        <v>41934</v>
      </c>
      <c r="GJ47" s="545">
        <f t="shared" si="88"/>
        <v>0</v>
      </c>
      <c r="GK47" s="560" t="str">
        <f t="shared" si="229"/>
        <v/>
      </c>
      <c r="GL47" s="560">
        <f t="shared" si="89"/>
        <v>0</v>
      </c>
      <c r="GM47" s="560" t="str">
        <f t="shared" si="90"/>
        <v/>
      </c>
      <c r="GN47" s="560">
        <f>IF(GK47="P",Lookup!$M$12,IF(GK47="PP",Lookup!$M$13,IF(GK47="PPP",Lookup!$M$14,IF(GK47="T",Lookup!$M$15,IF(GK47="TP",Lookup!$M$16,IF(GK47="TPP",Lookup!$M$17,IF(GK47="TPPP",Lookup!$M$18,0)))))))*GJ47</f>
        <v>0</v>
      </c>
      <c r="GO47" s="560">
        <f t="shared" si="91"/>
        <v>0</v>
      </c>
      <c r="GP47" s="560">
        <f t="shared" si="230"/>
        <v>0</v>
      </c>
      <c r="GQ47" s="560">
        <f t="shared" si="99"/>
        <v>0</v>
      </c>
      <c r="GR47" s="560"/>
      <c r="GS47" s="560">
        <f t="shared" si="92"/>
        <v>0</v>
      </c>
      <c r="GT47" s="560" t="str">
        <f t="shared" si="93"/>
        <v/>
      </c>
      <c r="GU47" s="560">
        <f>IF(GK47="P",Lookup!$N$12,IF(GK47="PP",Lookup!$N$13,IF(GK47="PPP",Lookup!$N$14,IF(GK47="T",Lookup!$N$15,IF(GK47="TP",Lookup!$N$16,IF(GK47="TPP",Lookup!$N$17,IF(GK47="TPPP",Lookup!$N$18,0)))))))*GJ47</f>
        <v>0</v>
      </c>
      <c r="GV47" s="560">
        <f t="shared" si="57"/>
        <v>0</v>
      </c>
      <c r="GW47" s="560">
        <f t="shared" si="231"/>
        <v>0</v>
      </c>
      <c r="GX47" s="560">
        <f t="shared" si="100"/>
        <v>0</v>
      </c>
      <c r="GY47" s="560"/>
      <c r="GZ47" s="560">
        <f t="shared" si="94"/>
        <v>0</v>
      </c>
      <c r="HA47" s="560" t="str">
        <f t="shared" si="95"/>
        <v/>
      </c>
      <c r="HB47" s="560">
        <f>IF(GK47="P",Lookup!$N$12,IF(GK47="PP",Lookup!$N$13,IF(GK47="PPP",Lookup!$N$14,IF(GK47="T",Lookup!$N$15,IF(GK47="TP",Lookup!$N$16,IF(GK47="TPP",Lookup!$N$17,IF(GK47="TPPP",Lookup!$N$18,0)))))))*GJ47</f>
        <v>0</v>
      </c>
      <c r="HC47" s="545">
        <f t="shared" si="232"/>
        <v>0</v>
      </c>
      <c r="HD47" s="560">
        <f t="shared" si="233"/>
        <v>0</v>
      </c>
      <c r="HE47" s="560">
        <f t="shared" si="101"/>
        <v>0</v>
      </c>
      <c r="HF47" s="560"/>
      <c r="HG47" s="560">
        <f t="shared" si="96"/>
        <v>0</v>
      </c>
      <c r="HH47" s="560" t="str">
        <f t="shared" si="97"/>
        <v/>
      </c>
      <c r="HI47" s="560">
        <f>IF(GK47="P",Lookup!$N$12,IF(GK47="PP",Lookup!$N$13,IF(GK47="PPP",Lookup!$N$14,IF(GK47="T",Lookup!$N$15,IF(GK47="TP",Lookup!$N$16,IF(GK47="TPP",Lookup!$N$17,IF(GK47="TPPP",Lookup!$N$18,0)))))))*GJ47</f>
        <v>0</v>
      </c>
      <c r="HJ47" s="545">
        <f t="shared" si="234"/>
        <v>0</v>
      </c>
      <c r="HK47" s="560">
        <f t="shared" si="235"/>
        <v>0</v>
      </c>
      <c r="HL47" s="560">
        <f t="shared" si="102"/>
        <v>0</v>
      </c>
      <c r="HM47" s="560"/>
    </row>
    <row r="48" spans="1:221">
      <c r="A48" s="580" t="s">
        <v>7</v>
      </c>
      <c r="B48" s="556">
        <v>41676</v>
      </c>
      <c r="C48" s="561">
        <v>0</v>
      </c>
      <c r="D48" s="529">
        <f t="shared" si="103"/>
        <v>300</v>
      </c>
      <c r="E48" s="529">
        <f t="shared" si="104"/>
        <v>250</v>
      </c>
      <c r="F48" s="529">
        <v>250</v>
      </c>
      <c r="G48" s="560">
        <f>DR48+Sheet1!CZ50</f>
        <v>531.38527483631105</v>
      </c>
      <c r="H48" s="914">
        <f t="shared" si="2"/>
        <v>76.524241654191457</v>
      </c>
      <c r="I48" s="559">
        <f>MAX(Sheet1!Z50-AT48+(Sheet1!DA50-E48)*CFStoMGD,0)</f>
        <v>478.25519999999995</v>
      </c>
      <c r="J48" s="562">
        <f>IF(AND(B48&gt;=Calculation!GC48,B48&lt;=Calculation!GD48),IF(Sheet1!DB50&gt;=Calculation!D48,64.64,0),MAX(Sheet1!Z50-AT48+(Sheet1!DB50-D48)*CFStoMGD,0))</f>
        <v>217.1096</v>
      </c>
      <c r="K48" s="904">
        <f t="shared" si="171"/>
        <v>64.64</v>
      </c>
      <c r="L48" s="560">
        <f>Sheet1!AA50+Sheet1!AB50-Sheet1!L50+(Sheet1!DA50-F48)*CFStoMGD</f>
        <v>464.11519999999996</v>
      </c>
      <c r="M48" s="560">
        <f t="shared" si="172"/>
        <v>350.35719048727532</v>
      </c>
      <c r="N48" s="910">
        <f>IF(Sheet1!DA50&gt;=F48,MIN(73,MIN(MAX(L48,0),MAX(M48,0))),0)</f>
        <v>73</v>
      </c>
      <c r="O48" s="563">
        <f>Sheet1!AA50+Sheet1!AB50</f>
        <v>33.85</v>
      </c>
      <c r="P48" s="563">
        <f t="shared" si="173"/>
        <v>52.365949999999998</v>
      </c>
      <c r="Q48" s="898">
        <f t="shared" si="63"/>
        <v>0</v>
      </c>
      <c r="R48" s="829">
        <f t="shared" si="174"/>
        <v>6.0980367321089304</v>
      </c>
      <c r="S48" s="898">
        <f t="shared" si="65"/>
        <v>33.85</v>
      </c>
      <c r="T48" s="898">
        <f t="shared" si="66"/>
        <v>0</v>
      </c>
      <c r="U48" s="898">
        <f t="shared" si="6"/>
        <v>0</v>
      </c>
      <c r="V48" s="898"/>
      <c r="W48" s="898">
        <f t="shared" si="67"/>
        <v>58.54196326789107</v>
      </c>
      <c r="X48" s="898">
        <f t="shared" si="68"/>
        <v>33.85</v>
      </c>
      <c r="Y48" s="898" t="str">
        <f t="shared" si="69"/>
        <v/>
      </c>
      <c r="Z48" s="898">
        <f t="shared" si="70"/>
        <v>33.85</v>
      </c>
      <c r="AA48" s="898">
        <f t="shared" si="71"/>
        <v>33.85</v>
      </c>
      <c r="AB48" s="898" t="str">
        <f t="shared" si="72"/>
        <v/>
      </c>
      <c r="AC48" s="563">
        <f>Sheet1!Y50*MGDtoCFS</f>
        <v>30.49137</v>
      </c>
      <c r="AD48" s="563">
        <f>Sheet1!Z50*MGDtoCFS</f>
        <v>21.874579999999998</v>
      </c>
      <c r="AE48" s="563">
        <f>Sheet1!AA50*MGDtoCFS</f>
        <v>30.460430000000002</v>
      </c>
      <c r="AF48" s="563">
        <f>Sheet1!AB50*MGDtoCFS</f>
        <v>21.905519999999999</v>
      </c>
      <c r="AG48" s="563">
        <f>Sheet1!L50*MGDtoCFS</f>
        <v>52.365949999999998</v>
      </c>
      <c r="AH48" s="545">
        <f t="shared" si="175"/>
        <v>0</v>
      </c>
      <c r="AI48" s="560">
        <f t="shared" si="176"/>
        <v>0</v>
      </c>
      <c r="AJ48" s="560">
        <f t="shared" si="177"/>
        <v>0</v>
      </c>
      <c r="AK48" s="560">
        <f t="shared" si="178"/>
        <v>0</v>
      </c>
      <c r="AL48" s="560">
        <f>(VLOOKUP(Sheet1!DC50,hhdcap_wcm,4)-(((VLOOKUP(Sheet1!DC50,hhdcap_wcm,3)-Sheet1!DC50)/(VLOOKUP(Sheet1!DC50,hhdcap_wcm,3)-VLOOKUP(Sheet1!DC50,hhdcap_wcm,1)))*(VLOOKUP(Sheet1!DC50,hhdcap_wcm,4)-VLOOKUP(Sheet1!DC50,hhdcap_wcm,2))))</f>
        <v>867.20000000275581</v>
      </c>
      <c r="AM48" s="560">
        <f t="shared" si="179"/>
        <v>183.20000000040477</v>
      </c>
      <c r="AN48" s="560">
        <f t="shared" si="180"/>
        <v>0</v>
      </c>
      <c r="AO48" s="560">
        <f t="shared" si="181"/>
        <v>0</v>
      </c>
      <c r="AP48" s="560">
        <f>Sheet1!BA50+Sheet1!BB50+Sheet1!BN50+CD48</f>
        <v>8.0909999999999993</v>
      </c>
      <c r="AQ48" s="560">
        <f>Sheet1!BN50+(DO48*Sheet1!BN50)</f>
        <v>7.0745197382309479</v>
      </c>
      <c r="AR48" s="560">
        <f>Sheet1!BA50+CD48</f>
        <v>0</v>
      </c>
      <c r="AS48" s="560">
        <f>Sheet1!BA50+Sheet1!BB50+CD48</f>
        <v>0.99099999999999999</v>
      </c>
      <c r="AT48" s="698">
        <f>0</f>
        <v>0</v>
      </c>
      <c r="AU48" s="560">
        <f>IF(EB48&lt;K48,0,MAX(Sheet1!AA50+AQ48-15/36*K48-N48,Sheet1!EH50,0))</f>
        <v>0</v>
      </c>
      <c r="AV48" s="560">
        <f>IF(OR(B48&gt;=GD48,B48&lt;GC48),0,15/36*K48-MAX(0,64.6-(137.6-(Sheet1!AA50+Sheet1!AB50))))</f>
        <v>0</v>
      </c>
      <c r="AW48" s="698">
        <f>Sheet1!DB50-110</f>
        <v>504</v>
      </c>
      <c r="AX48" s="698">
        <f>Sheet1!DA50-265</f>
        <v>703</v>
      </c>
      <c r="AY48" s="698">
        <f t="shared" si="182"/>
        <v>73</v>
      </c>
      <c r="AZ48" s="698">
        <v>0</v>
      </c>
      <c r="BA48" s="698">
        <f t="shared" si="183"/>
        <v>0</v>
      </c>
      <c r="BB48" s="560">
        <f t="shared" si="184"/>
        <v>0</v>
      </c>
      <c r="BC48" s="560"/>
      <c r="BD48" s="560">
        <f ca="1">IF(B48&gt;Summary!$A$1,#N/A,BB48*MGtoAF)</f>
        <v>0</v>
      </c>
      <c r="BE48" s="560">
        <f>Sheet1!BG50+Sheet1!BH50+Sheet1!BI50-BM48</f>
        <v>0</v>
      </c>
      <c r="BF48" s="560">
        <f t="shared" si="185"/>
        <v>0</v>
      </c>
      <c r="BG48" s="560">
        <f>IF(Sheet1!EP50="FM",BM48,0)</f>
        <v>0</v>
      </c>
      <c r="BH48" s="560">
        <f t="shared" si="186"/>
        <v>0</v>
      </c>
      <c r="BI48" s="560">
        <f>IF(Sheet1!EP50="OTHER",BM48,0)</f>
        <v>0</v>
      </c>
      <c r="BJ48" s="560">
        <f t="shared" si="187"/>
        <v>0</v>
      </c>
      <c r="BK48" s="560">
        <f t="shared" si="188"/>
        <v>0</v>
      </c>
      <c r="BL48" s="560">
        <f t="shared" si="189"/>
        <v>0</v>
      </c>
      <c r="BM48" s="560">
        <f>IF(OR(Sheet1!EP50="FM", Sheet1!EP50="OTHER"),SUM(Sheet1!BG50:'Sheet1'!BI50),0)</f>
        <v>0</v>
      </c>
      <c r="BN48" s="545">
        <f>IF(AND($B48&gt;=$FV48,$B48&lt;=$FW48),MAX(BF48,Sheet1!EI50,0),MAX(BF48-(7/36)*$K48,0))</f>
        <v>0</v>
      </c>
      <c r="BO48" s="560">
        <f t="shared" si="190"/>
        <v>0</v>
      </c>
      <c r="BP48" s="545">
        <f t="shared" si="191"/>
        <v>0</v>
      </c>
      <c r="BQ48" s="545">
        <f>IF(AND($O48&gt;0,Sheet1!EM50=1),(1-($O48-Sheet1!$L50)/$O48)*BL48,0)</f>
        <v>0</v>
      </c>
      <c r="BR48" s="545">
        <f>IF(AND(Sheet1!$L50=0,Sheet1!$L49=0, Calculation!BK48&lt;Sheet1!$EI50-0.1,Sheet1!$EI50=Sheet1!$EI49,Sheet1!$EI50=Sheet1!$EI51),Sheet1!$EI50,BL48-BQ48)</f>
        <v>0</v>
      </c>
      <c r="BS48" s="560"/>
      <c r="BT48" s="560"/>
      <c r="BU48" s="560">
        <f t="shared" si="192"/>
        <v>0</v>
      </c>
      <c r="BV48" s="560"/>
      <c r="BW48" s="560">
        <f ca="1">IF(B48&gt;Summary!$A$1,#N/A,BU48*MGtoAF)</f>
        <v>0</v>
      </c>
      <c r="BX48" s="560">
        <f>Sheet1!BC50+Sheet1!BD50+Sheet1!BE50+Sheet1!BF50-CG48-CH48</f>
        <v>2.5</v>
      </c>
      <c r="BY48" s="560">
        <f t="shared" si="193"/>
        <v>2.4910280768418835</v>
      </c>
      <c r="BZ48" s="560">
        <f>IF(Sheet1!EQ50="FM",CH48,0)</f>
        <v>0</v>
      </c>
      <c r="CA48" s="560">
        <f t="shared" si="194"/>
        <v>0</v>
      </c>
      <c r="CB48" s="560">
        <f>IF(Sheet1!EQ50="OTHER",CH48,0)</f>
        <v>0</v>
      </c>
      <c r="CC48" s="560">
        <f t="shared" si="195"/>
        <v>0</v>
      </c>
      <c r="CD48" s="560">
        <f t="shared" si="196"/>
        <v>0</v>
      </c>
      <c r="CE48" s="560">
        <f t="shared" si="197"/>
        <v>2.5</v>
      </c>
      <c r="CF48" s="560">
        <f t="shared" si="198"/>
        <v>2.4910280768418835</v>
      </c>
      <c r="CG48" s="560">
        <f>IF(Sheet1!EQ50="CWA",SUM(Sheet1!BC50:'Sheet1'!BF50),0)</f>
        <v>0</v>
      </c>
      <c r="CH48" s="560">
        <f>IF(OR(Sheet1!EQ50="FM", Sheet1!EQ50="OTHER"),SUM(Sheet1!BC50:'Sheet1'!BF50),0)</f>
        <v>0</v>
      </c>
      <c r="CI48" s="545">
        <f>IF(AND($B48&gt;=$FV48,$B48&lt;=$FW48),MAX(CF48,Sheet1!EJ50,0),MAX(CF48-(7/36)*$K48,0))</f>
        <v>0</v>
      </c>
      <c r="CJ48" s="560">
        <f t="shared" si="199"/>
        <v>0</v>
      </c>
      <c r="CK48" s="545">
        <f t="shared" si="200"/>
        <v>2.4910280768418835</v>
      </c>
      <c r="CL48" s="545">
        <f>IF(AND($O48&gt;0,Sheet1!EN50=1),(1-($O48-Sheet1!$L50)/$O48)*CF48,0)</f>
        <v>0</v>
      </c>
      <c r="CM48" s="545">
        <f>IF(AND(Sheet1!$L50=0,Sheet1!$L49=0, Calculation!CE48&lt;Sheet1!EJ50-0.1,Sheet1!EJ50=Sheet1!EJ49,Sheet1!EJ50=Sheet1!EJ51),Sheet1!EJ50,CF48-CL48)</f>
        <v>2.4910280768418835</v>
      </c>
      <c r="CN48" s="545"/>
      <c r="CO48" s="560"/>
      <c r="CP48" s="560">
        <f t="shared" si="201"/>
        <v>0</v>
      </c>
      <c r="CQ48" s="560"/>
      <c r="CR48" s="560">
        <f ca="1">IF(B48&gt;Summary!$A$1,#N/A,CP48*MGtoAF)</f>
        <v>0</v>
      </c>
      <c r="CS48" s="560">
        <f>Sheet1!BK50+Sheet1!BL50+Sheet1!BM50-Sheet1!ER50-DA48</f>
        <v>3.62</v>
      </c>
      <c r="CT48" s="560">
        <f t="shared" si="202"/>
        <v>3.6070086552670473</v>
      </c>
      <c r="CU48" s="560">
        <f>IF(Sheet1!ER50="FM",DA48,0)</f>
        <v>0</v>
      </c>
      <c r="CV48" s="560">
        <f t="shared" si="203"/>
        <v>0</v>
      </c>
      <c r="CW48" s="560">
        <f>IF(Sheet1!ER50="OTHER",DA48,0)</f>
        <v>0</v>
      </c>
      <c r="CX48" s="560">
        <f t="shared" si="204"/>
        <v>0</v>
      </c>
      <c r="CY48" s="560">
        <f t="shared" si="205"/>
        <v>3.62</v>
      </c>
      <c r="CZ48" s="560">
        <f t="shared" si="206"/>
        <v>3.6070086552670473</v>
      </c>
      <c r="DA48" s="560">
        <f>IF(OR(Sheet1!ER50="FM", Sheet1!ER50="OTHER"),SUM(Sheet1!BK50:'Sheet1'!BM50),0)</f>
        <v>0</v>
      </c>
      <c r="DB48" s="545">
        <f>IF(AND($B48&gt;=$FV48,$B48&lt;=$FW48),MAX($CT48,Sheet1!EK50,0),MAX($CT48-(7/36)*$K48,0))</f>
        <v>0</v>
      </c>
      <c r="DC48" s="560">
        <f t="shared" si="207"/>
        <v>0</v>
      </c>
      <c r="DD48" s="545">
        <f t="shared" si="208"/>
        <v>3.6070086552670473</v>
      </c>
      <c r="DE48" s="545">
        <f>IF(AND($O48&gt;0,Sheet1!EO50=1),(1-($O48-Sheet1!$L50)/$O48)*CZ48,0)</f>
        <v>0</v>
      </c>
      <c r="DF48" s="545">
        <f>IF(AND(Sheet1!$L50=0,Sheet1!$L49=0, Calculation!CY48&lt;Sheet1!$EK50-0.1,Sheet1!$EK50=Sheet1!$EK49,Sheet1!$EK50=Sheet1!$EK51),Sheet1!$EK50,CZ48-DE48)</f>
        <v>3.6070086552670473</v>
      </c>
      <c r="DG48" s="545"/>
      <c r="DH48" s="560">
        <f t="shared" si="209"/>
        <v>6.12</v>
      </c>
      <c r="DI48" s="560">
        <f t="shared" si="210"/>
        <v>0</v>
      </c>
      <c r="DJ48" s="698">
        <f t="shared" si="211"/>
        <v>6.0980367321089304</v>
      </c>
      <c r="DK48" s="560">
        <f ca="1">IF(B48&gt;Summary!$A$1,#N/A,DI48*MGtoAF)</f>
        <v>0</v>
      </c>
      <c r="DL48" s="698">
        <f t="shared" si="212"/>
        <v>6.12</v>
      </c>
      <c r="DM48" s="560">
        <f t="shared" si="213"/>
        <v>14.210999999999999</v>
      </c>
      <c r="DN48" s="560">
        <f>Sheet1!AB50-DM48</f>
        <v>-5.099999999999838E-2</v>
      </c>
      <c r="DO48" s="823">
        <f t="shared" si="214"/>
        <v>-3.588769263246667E-3</v>
      </c>
      <c r="DP48" s="560">
        <f>(VLOOKUP(Sheet1!DC50,hhdcap_wcm,4)-(((VLOOKUP(Sheet1!DC50,hhdcap_wcm,3)-Sheet1!DC50)/(VLOOKUP(Sheet1!DC50,hhdcap_wcm,3)-VLOOKUP(Sheet1!DC50,hhdcap_wcm,1)))*(VLOOKUP(Sheet1!DC50,hhdcap_wcm,4)-VLOOKUP(Sheet1!DC50,hhdcap_wcm,2))))</f>
        <v>867.20000000275581</v>
      </c>
      <c r="DQ48" s="560">
        <f t="shared" si="215"/>
        <v>183.20000000040477</v>
      </c>
      <c r="DR48" s="560">
        <f t="shared" si="216"/>
        <v>92.385274836311012</v>
      </c>
      <c r="DS48" s="560">
        <f>Sheet1!EA50*AFtoMG</f>
        <v>0</v>
      </c>
      <c r="DT48" s="560">
        <f>Sheet1!EB50*AFtoMG</f>
        <v>0</v>
      </c>
      <c r="DU48" s="560">
        <f>Sheet1!EC50*AFtoMG</f>
        <v>0</v>
      </c>
      <c r="DV48" s="560">
        <f>Sheet1!ED50*AFtoMG</f>
        <v>0</v>
      </c>
      <c r="DW48" s="560">
        <f t="shared" si="217"/>
        <v>0</v>
      </c>
      <c r="DX48" s="560">
        <f t="shared" si="218"/>
        <v>0</v>
      </c>
      <c r="DY48" s="560">
        <f t="shared" si="219"/>
        <v>0</v>
      </c>
      <c r="DZ48" s="560">
        <f t="shared" si="220"/>
        <v>0</v>
      </c>
      <c r="EA48" s="560"/>
      <c r="EB48" s="545">
        <f>IF(OR(B48&lt;FV48,B48&gt;FW48),(MIN(BF48+BY48+CT48+MAX(Sheet1!AA50+AQ48-73,0),K48)),0)</f>
        <v>6.0980367321089304</v>
      </c>
      <c r="EC48" s="560"/>
      <c r="ED48" s="560">
        <f t="shared" si="221"/>
        <v>6.0980367321089304</v>
      </c>
      <c r="EE48" s="560"/>
      <c r="EF48" s="560">
        <f>Sheet1!EH50+Sheet1!EI50+Sheet1!EJ50+Sheet1!EK50</f>
        <v>6.12</v>
      </c>
      <c r="EG48" s="560"/>
      <c r="EH48" s="545">
        <f t="shared" si="222"/>
        <v>0</v>
      </c>
      <c r="EI48" s="560">
        <f>IF(Sheet1!ET50=1,SUM('Calculations II'!AT48:BA48)+'Calculations II'!BC48+Sheet1!BV50+'Calculations II'!BE48+AP48,SUM('Calculations II'!AT48:BA48)+'Calculations II'!BC48+Sheet1!BV50+'Calculations II'!BE48+AP48)</f>
        <v>46.303776000000006</v>
      </c>
      <c r="EJ48" s="560">
        <f>Sheet1!AA50+Sheet1!AB50+'Calculations II'!BC48</f>
        <v>49.119039999999998</v>
      </c>
      <c r="EK48" s="560"/>
      <c r="EL48" s="560"/>
      <c r="EM48" s="560">
        <f t="shared" si="223"/>
        <v>41676</v>
      </c>
      <c r="EN48" s="560">
        <f t="shared" si="224"/>
        <v>0</v>
      </c>
      <c r="EO48" s="560">
        <f t="shared" si="225"/>
        <v>0</v>
      </c>
      <c r="EP48" s="560">
        <v>0</v>
      </c>
      <c r="EQ48" s="560">
        <v>0</v>
      </c>
      <c r="ER48" s="560">
        <v>0</v>
      </c>
      <c r="ES48" s="545">
        <f t="shared" si="77"/>
        <v>0.55384938736821709</v>
      </c>
      <c r="ET48" s="560">
        <f>-(VLOOKUP(Sheet1!BQ50,Lookup!$O$4:$Q$262,2)-VLOOKUP(Sheet1!BQ49,Lookup!$O$4:$Q$262,2))/1000000</f>
        <v>0.27692469368410855</v>
      </c>
      <c r="EU48" s="560">
        <f>-(VLOOKUP(Sheet1!BR50,Lookup!$O$4:$Q$262,3)-VLOOKUP(Sheet1!BR49,Lookup!$O$4:$Q$262,3))/1000000</f>
        <v>0.27692469368410855</v>
      </c>
      <c r="EV48" s="560"/>
      <c r="EW48" s="560"/>
      <c r="EX48" s="560"/>
      <c r="EY48" s="560"/>
      <c r="EZ48" s="560"/>
      <c r="FA48" s="560"/>
      <c r="FB48" s="560"/>
      <c r="FC48" s="560"/>
      <c r="FD48" s="594" t="e">
        <f t="shared" si="226"/>
        <v>#N/A</v>
      </c>
      <c r="FE48" s="594" t="e">
        <f t="shared" si="227"/>
        <v>#N/A</v>
      </c>
      <c r="FF48" s="595" t="e">
        <f t="shared" si="228"/>
        <v>#N/A</v>
      </c>
      <c r="FG48" s="596" t="s">
        <v>692</v>
      </c>
      <c r="FH48" s="596" t="s">
        <v>692</v>
      </c>
      <c r="FI48" s="594" t="e">
        <v>#N/A</v>
      </c>
      <c r="FJ48" s="594" t="e">
        <v>#N/A</v>
      </c>
      <c r="FK48" s="560"/>
      <c r="FL48" s="560"/>
      <c r="FM48" s="560"/>
      <c r="FN48" s="560"/>
      <c r="FO48" s="560">
        <f>O48+((Sheet1!CS50)*GPMtoMGD)</f>
        <v>49.119039999999998</v>
      </c>
      <c r="FP48" s="560">
        <f>IF(Sheet1!AA50+AQ48&lt;=Calculation!N48,AQ48,Calculation!N48-Sheet1!AA50)</f>
        <v>7.0745197382309479</v>
      </c>
      <c r="FQ48" s="560">
        <f>(Sheet1!BP50+Sheet1!BO50)/694.4</f>
        <v>1.4688940092165899</v>
      </c>
      <c r="FR48" s="560"/>
      <c r="FS48" s="560"/>
      <c r="FT48" s="560"/>
      <c r="FU48" s="560"/>
      <c r="FV48" s="695">
        <f t="shared" si="80"/>
        <v>41827</v>
      </c>
      <c r="FW48" s="695">
        <f t="shared" si="81"/>
        <v>41934</v>
      </c>
      <c r="FX48" s="560"/>
      <c r="FY48" s="560"/>
      <c r="FZ48" s="560"/>
      <c r="GA48" s="560"/>
      <c r="GB48" s="560" t="str">
        <f t="shared" si="82"/>
        <v>n</v>
      </c>
      <c r="GC48" s="564">
        <f t="shared" si="83"/>
        <v>41691</v>
      </c>
      <c r="GD48" s="695">
        <f t="shared" si="84"/>
        <v>41807</v>
      </c>
      <c r="GE48" s="560">
        <v>6518.9</v>
      </c>
      <c r="GF48" s="695">
        <f t="shared" si="85"/>
        <v>41808</v>
      </c>
      <c r="GG48" s="560">
        <f t="shared" si="163"/>
        <v>3259</v>
      </c>
      <c r="GH48" s="564">
        <f t="shared" si="87"/>
        <v>41934</v>
      </c>
      <c r="GJ48" s="545">
        <f t="shared" si="88"/>
        <v>0</v>
      </c>
      <c r="GK48" s="560" t="str">
        <f t="shared" si="229"/>
        <v/>
      </c>
      <c r="GL48" s="560">
        <f t="shared" si="89"/>
        <v>0</v>
      </c>
      <c r="GM48" s="560" t="str">
        <f t="shared" si="90"/>
        <v/>
      </c>
      <c r="GN48" s="560">
        <f>IF(GK48="P",Lookup!$M$12,IF(GK48="PP",Lookup!$M$13,IF(GK48="PPP",Lookup!$M$14,IF(GK48="T",Lookup!$M$15,IF(GK48="TP",Lookup!$M$16,IF(GK48="TPP",Lookup!$M$17,IF(GK48="TPPP",Lookup!$M$18,0)))))))*GJ48</f>
        <v>0</v>
      </c>
      <c r="GO48" s="560">
        <f t="shared" si="91"/>
        <v>0</v>
      </c>
      <c r="GP48" s="560">
        <f t="shared" si="230"/>
        <v>0</v>
      </c>
      <c r="GQ48" s="560">
        <f t="shared" si="99"/>
        <v>0</v>
      </c>
      <c r="GR48" s="560"/>
      <c r="GS48" s="560">
        <f t="shared" si="92"/>
        <v>0</v>
      </c>
      <c r="GT48" s="560" t="str">
        <f t="shared" si="93"/>
        <v/>
      </c>
      <c r="GU48" s="560">
        <f>IF(GK48="P",Lookup!$N$12,IF(GK48="PP",Lookup!$N$13,IF(GK48="PPP",Lookup!$N$14,IF(GK48="T",Lookup!$N$15,IF(GK48="TP",Lookup!$N$16,IF(GK48="TPP",Lookup!$N$17,IF(GK48="TPPP",Lookup!$N$18,0)))))))*GJ48</f>
        <v>0</v>
      </c>
      <c r="GV48" s="560">
        <f t="shared" si="57"/>
        <v>0</v>
      </c>
      <c r="GW48" s="560">
        <f t="shared" si="231"/>
        <v>0</v>
      </c>
      <c r="GX48" s="560">
        <f t="shared" si="100"/>
        <v>0</v>
      </c>
      <c r="GY48" s="560"/>
      <c r="GZ48" s="560">
        <f t="shared" si="94"/>
        <v>0</v>
      </c>
      <c r="HA48" s="560" t="str">
        <f t="shared" si="95"/>
        <v/>
      </c>
      <c r="HB48" s="560">
        <f>IF(GK48="P",Lookup!$N$12,IF(GK48="PP",Lookup!$N$13,IF(GK48="PPP",Lookup!$N$14,IF(GK48="T",Lookup!$N$15,IF(GK48="TP",Lookup!$N$16,IF(GK48="TPP",Lookup!$N$17,IF(GK48="TPPP",Lookup!$N$18,0)))))))*GJ48</f>
        <v>0</v>
      </c>
      <c r="HC48" s="545">
        <f t="shared" si="232"/>
        <v>0</v>
      </c>
      <c r="HD48" s="560">
        <f t="shared" si="233"/>
        <v>0</v>
      </c>
      <c r="HE48" s="560">
        <f t="shared" si="101"/>
        <v>0</v>
      </c>
      <c r="HF48" s="560"/>
      <c r="HG48" s="560">
        <f t="shared" si="96"/>
        <v>0</v>
      </c>
      <c r="HH48" s="560" t="str">
        <f t="shared" si="97"/>
        <v/>
      </c>
      <c r="HI48" s="560">
        <f>IF(GK48="P",Lookup!$N$12,IF(GK48="PP",Lookup!$N$13,IF(GK48="PPP",Lookup!$N$14,IF(GK48="T",Lookup!$N$15,IF(GK48="TP",Lookup!$N$16,IF(GK48="TPP",Lookup!$N$17,IF(GK48="TPPP",Lookup!$N$18,0)))))))*GJ48</f>
        <v>0</v>
      </c>
      <c r="HJ48" s="545">
        <f t="shared" si="234"/>
        <v>0</v>
      </c>
      <c r="HK48" s="560">
        <f t="shared" si="235"/>
        <v>0</v>
      </c>
      <c r="HL48" s="560">
        <f t="shared" si="102"/>
        <v>0</v>
      </c>
      <c r="HM48" s="560"/>
    </row>
    <row r="49" spans="1:221">
      <c r="A49" s="580" t="s">
        <v>8</v>
      </c>
      <c r="B49" s="556">
        <v>41677</v>
      </c>
      <c r="C49" s="561">
        <v>0</v>
      </c>
      <c r="D49" s="529">
        <f t="shared" si="103"/>
        <v>300</v>
      </c>
      <c r="E49" s="529">
        <f t="shared" si="104"/>
        <v>250</v>
      </c>
      <c r="F49" s="529">
        <v>250</v>
      </c>
      <c r="G49" s="560">
        <f>DR49+Sheet1!CZ51</f>
        <v>675.33787191146575</v>
      </c>
      <c r="H49" s="914">
        <f t="shared" si="2"/>
        <v>169.57520040357144</v>
      </c>
      <c r="I49" s="559">
        <f>MAX(Sheet1!Z51-AT49+(Sheet1!DA51-E49)*CFStoMGD,0)</f>
        <v>524.81600000000003</v>
      </c>
      <c r="J49" s="562">
        <f>IF(AND(B49&gt;=Calculation!GC49,B49&lt;=Calculation!GD49),IF(Sheet1!DB51&gt;=Calculation!D49,64.64,0),MAX(Sheet1!Z51-AT49+(Sheet1!DB51-D49)*CFStoMGD,0))</f>
        <v>217.12959999999998</v>
      </c>
      <c r="K49" s="904">
        <f t="shared" si="171"/>
        <v>64.64</v>
      </c>
      <c r="L49" s="560">
        <f>Sheet1!AA51+Sheet1!AB51-Sheet1!L51+(Sheet1!DA51-F49)*CFStoMGD</f>
        <v>510.65600000000001</v>
      </c>
      <c r="M49" s="560">
        <f t="shared" si="172"/>
        <v>445.26916841164291</v>
      </c>
      <c r="N49" s="910">
        <f>IF(Sheet1!DA51&gt;=F49,MIN(73,MIN(MAX(L49,0),MAX(M49,0))),0)</f>
        <v>73</v>
      </c>
      <c r="O49" s="563">
        <f>Sheet1!AA51+Sheet1!AB51</f>
        <v>33.840000000000003</v>
      </c>
      <c r="P49" s="563">
        <f t="shared" si="173"/>
        <v>52.35047999999999</v>
      </c>
      <c r="Q49" s="898">
        <f t="shared" si="63"/>
        <v>0</v>
      </c>
      <c r="R49" s="829">
        <f t="shared" si="174"/>
        <v>6.0685412262156451</v>
      </c>
      <c r="S49" s="898">
        <f t="shared" si="65"/>
        <v>33.840000000000003</v>
      </c>
      <c r="T49" s="898">
        <f t="shared" si="66"/>
        <v>0</v>
      </c>
      <c r="U49" s="898">
        <f t="shared" si="6"/>
        <v>0</v>
      </c>
      <c r="V49" s="898"/>
      <c r="W49" s="898">
        <f t="shared" si="67"/>
        <v>58.571458773784357</v>
      </c>
      <c r="X49" s="898">
        <f t="shared" si="68"/>
        <v>33.840000000000003</v>
      </c>
      <c r="Y49" s="898" t="str">
        <f t="shared" si="69"/>
        <v/>
      </c>
      <c r="Z49" s="898">
        <f t="shared" si="70"/>
        <v>33.840000000000003</v>
      </c>
      <c r="AA49" s="898">
        <f t="shared" si="71"/>
        <v>33.840000000000003</v>
      </c>
      <c r="AB49" s="898" t="str">
        <f t="shared" si="72"/>
        <v/>
      </c>
      <c r="AC49" s="563">
        <f>Sheet1!Y51*MGDtoCFS</f>
        <v>30.460430000000002</v>
      </c>
      <c r="AD49" s="563">
        <f>Sheet1!Z51*MGDtoCFS</f>
        <v>21.905519999999999</v>
      </c>
      <c r="AE49" s="563">
        <f>Sheet1!AA51*MGDtoCFS</f>
        <v>30.475899999999996</v>
      </c>
      <c r="AF49" s="563">
        <f>Sheet1!AB51*MGDtoCFS</f>
        <v>21.874579999999998</v>
      </c>
      <c r="AG49" s="563">
        <f>Sheet1!L51*MGDtoCFS</f>
        <v>52.350480000000005</v>
      </c>
      <c r="AH49" s="545">
        <f t="shared" si="175"/>
        <v>0</v>
      </c>
      <c r="AI49" s="560">
        <f t="shared" si="176"/>
        <v>0</v>
      </c>
      <c r="AJ49" s="560">
        <f t="shared" si="177"/>
        <v>0</v>
      </c>
      <c r="AK49" s="560">
        <f t="shared" si="178"/>
        <v>0</v>
      </c>
      <c r="AL49" s="560">
        <f>(VLOOKUP(Sheet1!DC51,hhdcap_wcm,4)-(((VLOOKUP(Sheet1!DC51,hhdcap_wcm,3)-Sheet1!DC51)/(VLOOKUP(Sheet1!DC51,hhdcap_wcm,3)-VLOOKUP(Sheet1!DC51,hhdcap_wcm,1)))*(VLOOKUP(Sheet1!DC51,hhdcap_wcm,4)-VLOOKUP(Sheet1!DC51,hhdcap_wcm,2))))</f>
        <v>1086.0000000031923</v>
      </c>
      <c r="AM49" s="560">
        <f t="shared" si="179"/>
        <v>218.80000000043651</v>
      </c>
      <c r="AN49" s="560">
        <f t="shared" si="180"/>
        <v>0</v>
      </c>
      <c r="AO49" s="560">
        <f t="shared" si="181"/>
        <v>0</v>
      </c>
      <c r="AP49" s="560">
        <f>Sheet1!BA51+Sheet1!BB51+Sheet1!BN51+CD49</f>
        <v>8.1</v>
      </c>
      <c r="AQ49" s="560">
        <f>Sheet1!BN51+(DO49*Sheet1!BN51)</f>
        <v>7.074982381959126</v>
      </c>
      <c r="AR49" s="560">
        <f>Sheet1!BA51+CD49</f>
        <v>0</v>
      </c>
      <c r="AS49" s="560">
        <f>Sheet1!BA51+Sheet1!BB51+CD49</f>
        <v>1</v>
      </c>
      <c r="AT49" s="698">
        <f>0</f>
        <v>0</v>
      </c>
      <c r="AU49" s="560">
        <f>IF(EB49&lt;K49,0,MAX(Sheet1!AA51+AQ49-15/36*K49-N49,Sheet1!EH51,0))</f>
        <v>0</v>
      </c>
      <c r="AV49" s="560">
        <f>IF(OR(B49&gt;=GD49,B49&lt;GC49),0,15/36*K49-MAX(0,64.6-(137.6-(Sheet1!AA51+Sheet1!AB51))))</f>
        <v>0</v>
      </c>
      <c r="AW49" s="698">
        <f>Sheet1!DB51-110</f>
        <v>504</v>
      </c>
      <c r="AX49" s="698">
        <f>Sheet1!DA51-265</f>
        <v>775</v>
      </c>
      <c r="AY49" s="698">
        <f t="shared" si="182"/>
        <v>73</v>
      </c>
      <c r="AZ49" s="698">
        <v>0</v>
      </c>
      <c r="BA49" s="698">
        <f t="shared" si="183"/>
        <v>0</v>
      </c>
      <c r="BB49" s="560">
        <f t="shared" si="184"/>
        <v>0</v>
      </c>
      <c r="BC49" s="560"/>
      <c r="BD49" s="560">
        <f ca="1">IF(B49&gt;Summary!$A$1,#N/A,BB49*MGtoAF)</f>
        <v>0</v>
      </c>
      <c r="BE49" s="560">
        <f>Sheet1!BG51+Sheet1!BH51+Sheet1!BI51-BM49</f>
        <v>0</v>
      </c>
      <c r="BF49" s="560">
        <f t="shared" si="185"/>
        <v>0</v>
      </c>
      <c r="BG49" s="560">
        <f>IF(Sheet1!EP51="FM",BM49,0)</f>
        <v>0</v>
      </c>
      <c r="BH49" s="560">
        <f t="shared" si="186"/>
        <v>0</v>
      </c>
      <c r="BI49" s="560">
        <f>IF(Sheet1!EP51="OTHER",BM49,0)</f>
        <v>0</v>
      </c>
      <c r="BJ49" s="560">
        <f t="shared" si="187"/>
        <v>0</v>
      </c>
      <c r="BK49" s="560">
        <f t="shared" si="188"/>
        <v>0</v>
      </c>
      <c r="BL49" s="560">
        <f t="shared" si="189"/>
        <v>0</v>
      </c>
      <c r="BM49" s="560">
        <f>IF(OR(Sheet1!EP51="FM", Sheet1!EP51="OTHER"),SUM(Sheet1!BG51:'Sheet1'!BI51),0)</f>
        <v>0</v>
      </c>
      <c r="BN49" s="545">
        <f>IF(AND($B49&gt;=$FV49,$B49&lt;=$FW49),MAX(BF49,Sheet1!EI51,0),MAX(BF49-(7/36)*$K49,0))</f>
        <v>0</v>
      </c>
      <c r="BO49" s="560">
        <f t="shared" si="190"/>
        <v>0</v>
      </c>
      <c r="BP49" s="545">
        <f t="shared" si="191"/>
        <v>0</v>
      </c>
      <c r="BQ49" s="545">
        <f>IF(AND($O49&gt;0,Sheet1!EM51=1),(1-($O49-Sheet1!$L51)/$O49)*BL49,0)</f>
        <v>0</v>
      </c>
      <c r="BR49" s="545">
        <f>IF(AND(Sheet1!$L51=0,Sheet1!$L50=0, Calculation!BK49&lt;Sheet1!$EI51-0.1,Sheet1!$EI51=Sheet1!$EI50,Sheet1!$EI51=Sheet1!$EI52),Sheet1!$EI51,BL49-BQ49)</f>
        <v>0</v>
      </c>
      <c r="BS49" s="560"/>
      <c r="BT49" s="560"/>
      <c r="BU49" s="560">
        <f t="shared" si="192"/>
        <v>0</v>
      </c>
      <c r="BV49" s="560"/>
      <c r="BW49" s="560">
        <f ca="1">IF(B49&gt;Summary!$A$1,#N/A,BU49*MGtoAF)</f>
        <v>0</v>
      </c>
      <c r="BX49" s="560">
        <f>Sheet1!BC51+Sheet1!BD51+Sheet1!BE51+Sheet1!BF51-CG49-CH49</f>
        <v>2.5099999999999998</v>
      </c>
      <c r="BY49" s="560">
        <f t="shared" si="193"/>
        <v>2.5011557434813247</v>
      </c>
      <c r="BZ49" s="560">
        <f>IF(Sheet1!EQ51="FM",CH49,0)</f>
        <v>0</v>
      </c>
      <c r="CA49" s="560">
        <f t="shared" si="194"/>
        <v>0</v>
      </c>
      <c r="CB49" s="560">
        <f>IF(Sheet1!EQ51="OTHER",CH49,0)</f>
        <v>0</v>
      </c>
      <c r="CC49" s="560">
        <f t="shared" si="195"/>
        <v>0</v>
      </c>
      <c r="CD49" s="560">
        <f t="shared" si="196"/>
        <v>0</v>
      </c>
      <c r="CE49" s="560">
        <f t="shared" si="197"/>
        <v>2.5099999999999998</v>
      </c>
      <c r="CF49" s="560">
        <f t="shared" si="198"/>
        <v>2.5011557434813247</v>
      </c>
      <c r="CG49" s="560">
        <f>IF(Sheet1!EQ51="CWA",SUM(Sheet1!BC51:'Sheet1'!BF51),0)</f>
        <v>0</v>
      </c>
      <c r="CH49" s="560">
        <f>IF(OR(Sheet1!EQ51="FM", Sheet1!EQ51="OTHER"),SUM(Sheet1!BC51:'Sheet1'!BF51),0)</f>
        <v>0</v>
      </c>
      <c r="CI49" s="545">
        <f>IF(AND($B49&gt;=$FV49,$B49&lt;=$FW49),MAX(CF49,Sheet1!EJ51,0),MAX(CF49-(7/36)*$K49,0))</f>
        <v>0</v>
      </c>
      <c r="CJ49" s="560">
        <f t="shared" si="199"/>
        <v>0</v>
      </c>
      <c r="CK49" s="545">
        <f t="shared" si="200"/>
        <v>2.5011557434813247</v>
      </c>
      <c r="CL49" s="545">
        <f>IF(AND($O49&gt;0,Sheet1!EN51=1),(1-($O49-Sheet1!$L51)/$O49)*CF49,0)</f>
        <v>0</v>
      </c>
      <c r="CM49" s="545">
        <f>IF(AND(Sheet1!$L51=0,Sheet1!$L50=0, Calculation!CE49&lt;Sheet1!EJ51-0.1,Sheet1!EJ51=Sheet1!EJ50,Sheet1!EJ51=Sheet1!EJ52),Sheet1!EJ51,CF49-CL49)</f>
        <v>2.5011557434813247</v>
      </c>
      <c r="CN49" s="545"/>
      <c r="CO49" s="560"/>
      <c r="CP49" s="560">
        <f t="shared" si="201"/>
        <v>0</v>
      </c>
      <c r="CQ49" s="560"/>
      <c r="CR49" s="560">
        <f ca="1">IF(B49&gt;Summary!$A$1,#N/A,CP49*MGtoAF)</f>
        <v>0</v>
      </c>
      <c r="CS49" s="560">
        <f>Sheet1!BK51+Sheet1!BL51+Sheet1!BM51-Sheet1!ER51-DA49</f>
        <v>3.58</v>
      </c>
      <c r="CT49" s="560">
        <f t="shared" si="202"/>
        <v>3.5673854827343203</v>
      </c>
      <c r="CU49" s="560">
        <f>IF(Sheet1!ER51="FM",DA49,0)</f>
        <v>0</v>
      </c>
      <c r="CV49" s="560">
        <f t="shared" si="203"/>
        <v>0</v>
      </c>
      <c r="CW49" s="560">
        <f>IF(Sheet1!ER51="OTHER",DA49,0)</f>
        <v>0</v>
      </c>
      <c r="CX49" s="560">
        <f t="shared" si="204"/>
        <v>0</v>
      </c>
      <c r="CY49" s="560">
        <f t="shared" si="205"/>
        <v>3.58</v>
      </c>
      <c r="CZ49" s="560">
        <f t="shared" si="206"/>
        <v>3.5673854827343203</v>
      </c>
      <c r="DA49" s="560">
        <f>IF(OR(Sheet1!ER51="FM", Sheet1!ER51="OTHER"),SUM(Sheet1!BK51:'Sheet1'!BM51),0)</f>
        <v>0</v>
      </c>
      <c r="DB49" s="545">
        <f>IF(AND($B49&gt;=$FV49,$B49&lt;=$FW49),MAX($CT49,Sheet1!EK51,0),MAX($CT49-(7/36)*$K49,0))</f>
        <v>0</v>
      </c>
      <c r="DC49" s="560">
        <f t="shared" si="207"/>
        <v>0</v>
      </c>
      <c r="DD49" s="545">
        <f t="shared" si="208"/>
        <v>3.5673854827343203</v>
      </c>
      <c r="DE49" s="545">
        <f>IF(AND($O49&gt;0,Sheet1!EO51=1),(1-($O49-Sheet1!$L51)/$O49)*CZ49,0)</f>
        <v>0</v>
      </c>
      <c r="DF49" s="545">
        <f>IF(AND(Sheet1!$L51=0,Sheet1!$L50=0, Calculation!CY49&lt;Sheet1!$EK51-0.1,Sheet1!$EK51=Sheet1!$EK50,Sheet1!$EK51=Sheet1!$EK52),Sheet1!$EK51,CZ49-DE49)</f>
        <v>3.5673854827343203</v>
      </c>
      <c r="DG49" s="545"/>
      <c r="DH49" s="560">
        <f t="shared" si="209"/>
        <v>6.09</v>
      </c>
      <c r="DI49" s="560">
        <f t="shared" si="210"/>
        <v>0</v>
      </c>
      <c r="DJ49" s="698">
        <f t="shared" si="211"/>
        <v>6.0685412262156451</v>
      </c>
      <c r="DK49" s="560">
        <f ca="1">IF(B49&gt;Summary!$A$1,#N/A,DI49*MGtoAF)</f>
        <v>0</v>
      </c>
      <c r="DL49" s="698">
        <f t="shared" si="212"/>
        <v>6.09</v>
      </c>
      <c r="DM49" s="560">
        <f t="shared" si="213"/>
        <v>14.19</v>
      </c>
      <c r="DN49" s="560">
        <f>Sheet1!AB51-DM49</f>
        <v>-4.9999999999998934E-2</v>
      </c>
      <c r="DO49" s="823">
        <f t="shared" si="214"/>
        <v>-3.5236081747708906E-3</v>
      </c>
      <c r="DP49" s="560">
        <f>(VLOOKUP(Sheet1!DC51,hhdcap_wcm,4)-(((VLOOKUP(Sheet1!DC51,hhdcap_wcm,3)-Sheet1!DC51)/(VLOOKUP(Sheet1!DC51,hhdcap_wcm,3)-VLOOKUP(Sheet1!DC51,hhdcap_wcm,1)))*(VLOOKUP(Sheet1!DC51,hhdcap_wcm,4)-VLOOKUP(Sheet1!DC51,hhdcap_wcm,2))))</f>
        <v>1086.0000000031923</v>
      </c>
      <c r="DQ49" s="560">
        <f t="shared" si="215"/>
        <v>218.80000000043651</v>
      </c>
      <c r="DR49" s="560">
        <f t="shared" si="216"/>
        <v>110.3378719114657</v>
      </c>
      <c r="DS49" s="560">
        <f>Sheet1!EA51*AFtoMG</f>
        <v>0</v>
      </c>
      <c r="DT49" s="560">
        <f>Sheet1!EB51*AFtoMG</f>
        <v>0</v>
      </c>
      <c r="DU49" s="560">
        <f>Sheet1!EC51*AFtoMG</f>
        <v>0</v>
      </c>
      <c r="DV49" s="560">
        <f>Sheet1!ED51*AFtoMG</f>
        <v>0</v>
      </c>
      <c r="DW49" s="560">
        <f t="shared" si="217"/>
        <v>0</v>
      </c>
      <c r="DX49" s="560">
        <f t="shared" si="218"/>
        <v>0</v>
      </c>
      <c r="DY49" s="560">
        <f t="shared" si="219"/>
        <v>0</v>
      </c>
      <c r="DZ49" s="560">
        <f t="shared" si="220"/>
        <v>0</v>
      </c>
      <c r="EA49" s="560"/>
      <c r="EB49" s="545">
        <f>IF(OR(B49&lt;FV49,B49&gt;FW49),(MIN(BF49+BY49+CT49+MAX(Sheet1!AA51+AQ49-73,0),K49)),0)</f>
        <v>6.0685412262156451</v>
      </c>
      <c r="EC49" s="560"/>
      <c r="ED49" s="560">
        <f t="shared" si="221"/>
        <v>6.0685412262156451</v>
      </c>
      <c r="EE49" s="560"/>
      <c r="EF49" s="560">
        <f>Sheet1!EH51+Sheet1!EI51+Sheet1!EJ51+Sheet1!EK51</f>
        <v>6.08</v>
      </c>
      <c r="EG49" s="560"/>
      <c r="EH49" s="545">
        <f t="shared" si="222"/>
        <v>0</v>
      </c>
      <c r="EI49" s="560">
        <f>IF(Sheet1!ET51=1,SUM('Calculations II'!AT49:BA49)+'Calculations II'!BC49+Sheet1!BV51+'Calculations II'!BE49+AP49,SUM('Calculations II'!AT49:BA49)+'Calculations II'!BC49+Sheet1!BV51+'Calculations II'!BE49+AP49)</f>
        <v>49.384528000000003</v>
      </c>
      <c r="EJ49" s="560">
        <f>Sheet1!AA51+Sheet1!AB51+'Calculations II'!BC49</f>
        <v>49.183776000000002</v>
      </c>
      <c r="EK49" s="560"/>
      <c r="EL49" s="560"/>
      <c r="EM49" s="560">
        <f t="shared" si="223"/>
        <v>41677</v>
      </c>
      <c r="EN49" s="560">
        <f t="shared" si="224"/>
        <v>0</v>
      </c>
      <c r="EO49" s="560">
        <f t="shared" si="225"/>
        <v>0</v>
      </c>
      <c r="EP49" s="560">
        <v>0</v>
      </c>
      <c r="EQ49" s="560">
        <v>0</v>
      </c>
      <c r="ER49" s="560">
        <v>0</v>
      </c>
      <c r="ES49" s="545">
        <f t="shared" si="77"/>
        <v>3.3220199304222988</v>
      </c>
      <c r="ET49" s="560">
        <f>-(VLOOKUP(Sheet1!BQ51,Lookup!$O$4:$Q$262,2)-VLOOKUP(Sheet1!BQ50,Lookup!$O$4:$Q$262,2))/1000000</f>
        <v>1.6610099652111494</v>
      </c>
      <c r="EU49" s="560">
        <f>-(VLOOKUP(Sheet1!BR51,Lookup!$O$4:$Q$262,3)-VLOOKUP(Sheet1!BR50,Lookup!$O$4:$Q$262,3))/1000000</f>
        <v>1.6610099652111494</v>
      </c>
      <c r="EV49" s="560"/>
      <c r="EW49" s="560"/>
      <c r="EX49" s="560"/>
      <c r="EY49" s="560"/>
      <c r="EZ49" s="560"/>
      <c r="FA49" s="560"/>
      <c r="FB49" s="560"/>
      <c r="FC49" s="560"/>
      <c r="FD49" s="594" t="e">
        <f t="shared" si="226"/>
        <v>#N/A</v>
      </c>
      <c r="FE49" s="594" t="e">
        <f t="shared" si="227"/>
        <v>#N/A</v>
      </c>
      <c r="FF49" s="595" t="e">
        <f t="shared" si="228"/>
        <v>#N/A</v>
      </c>
      <c r="FG49" s="596" t="s">
        <v>692</v>
      </c>
      <c r="FH49" s="596" t="s">
        <v>692</v>
      </c>
      <c r="FI49" s="594" t="e">
        <v>#N/A</v>
      </c>
      <c r="FJ49" s="594" t="e">
        <v>#N/A</v>
      </c>
      <c r="FK49" s="560"/>
      <c r="FL49" s="560"/>
      <c r="FM49" s="560"/>
      <c r="FN49" s="560"/>
      <c r="FO49" s="560">
        <f>O49+((Sheet1!CS51)*GPMtoMGD)</f>
        <v>49.183776000000002</v>
      </c>
      <c r="FP49" s="560">
        <f>IF(Sheet1!AA51+AQ49&lt;=Calculation!N49,AQ49,Calculation!N49-Sheet1!AA51)</f>
        <v>7.074982381959126</v>
      </c>
      <c r="FQ49" s="560">
        <f>(Sheet1!BP51+Sheet1!BO51)/694.4</f>
        <v>1.535282258064516</v>
      </c>
      <c r="FR49" s="560"/>
      <c r="FS49" s="560"/>
      <c r="FT49" s="560"/>
      <c r="FU49" s="560"/>
      <c r="FV49" s="695">
        <f t="shared" si="80"/>
        <v>41827</v>
      </c>
      <c r="FW49" s="695">
        <f t="shared" si="81"/>
        <v>41934</v>
      </c>
      <c r="FX49" s="560"/>
      <c r="FY49" s="560"/>
      <c r="FZ49" s="560"/>
      <c r="GA49" s="560"/>
      <c r="GB49" s="560" t="str">
        <f t="shared" si="82"/>
        <v>n</v>
      </c>
      <c r="GC49" s="564">
        <f t="shared" si="83"/>
        <v>41691</v>
      </c>
      <c r="GD49" s="695">
        <f t="shared" si="84"/>
        <v>41807</v>
      </c>
      <c r="GE49" s="560">
        <v>6518.9</v>
      </c>
      <c r="GF49" s="695">
        <f t="shared" si="85"/>
        <v>41808</v>
      </c>
      <c r="GG49" s="560">
        <f t="shared" si="163"/>
        <v>3259</v>
      </c>
      <c r="GH49" s="564">
        <f t="shared" si="87"/>
        <v>41934</v>
      </c>
      <c r="GJ49" s="545">
        <f t="shared" si="88"/>
        <v>0</v>
      </c>
      <c r="GK49" s="560" t="str">
        <f t="shared" si="229"/>
        <v/>
      </c>
      <c r="GL49" s="560">
        <f t="shared" si="89"/>
        <v>0</v>
      </c>
      <c r="GM49" s="560" t="str">
        <f t="shared" si="90"/>
        <v/>
      </c>
      <c r="GN49" s="560">
        <f>IF(GK49="P",Lookup!$M$12,IF(GK49="PP",Lookup!$M$13,IF(GK49="PPP",Lookup!$M$14,IF(GK49="T",Lookup!$M$15,IF(GK49="TP",Lookup!$M$16,IF(GK49="TPP",Lookup!$M$17,IF(GK49="TPPP",Lookup!$M$18,0)))))))*GJ49</f>
        <v>0</v>
      </c>
      <c r="GO49" s="560">
        <f t="shared" si="91"/>
        <v>0</v>
      </c>
      <c r="GP49" s="560">
        <f t="shared" si="230"/>
        <v>0</v>
      </c>
      <c r="GQ49" s="560">
        <f t="shared" si="99"/>
        <v>0</v>
      </c>
      <c r="GR49" s="560"/>
      <c r="GS49" s="560">
        <f t="shared" si="92"/>
        <v>0</v>
      </c>
      <c r="GT49" s="560" t="str">
        <f t="shared" si="93"/>
        <v/>
      </c>
      <c r="GU49" s="560">
        <f>IF(GK49="P",Lookup!$N$12,IF(GK49="PP",Lookup!$N$13,IF(GK49="PPP",Lookup!$N$14,IF(GK49="T",Lookup!$N$15,IF(GK49="TP",Lookup!$N$16,IF(GK49="TPP",Lookup!$N$17,IF(GK49="TPPP",Lookup!$N$18,0)))))))*GJ49</f>
        <v>0</v>
      </c>
      <c r="GV49" s="560">
        <f t="shared" si="57"/>
        <v>0</v>
      </c>
      <c r="GW49" s="560">
        <f t="shared" si="231"/>
        <v>0</v>
      </c>
      <c r="GX49" s="560">
        <f t="shared" si="100"/>
        <v>0</v>
      </c>
      <c r="GY49" s="560"/>
      <c r="GZ49" s="560">
        <f t="shared" si="94"/>
        <v>0</v>
      </c>
      <c r="HA49" s="560" t="str">
        <f t="shared" si="95"/>
        <v/>
      </c>
      <c r="HB49" s="560">
        <f>IF(GK49="P",Lookup!$N$12,IF(GK49="PP",Lookup!$N$13,IF(GK49="PPP",Lookup!$N$14,IF(GK49="T",Lookup!$N$15,IF(GK49="TP",Lookup!$N$16,IF(GK49="TPP",Lookup!$N$17,IF(GK49="TPPP",Lookup!$N$18,0)))))))*GJ49</f>
        <v>0</v>
      </c>
      <c r="HC49" s="545">
        <f t="shared" si="232"/>
        <v>0</v>
      </c>
      <c r="HD49" s="560">
        <f t="shared" si="233"/>
        <v>0</v>
      </c>
      <c r="HE49" s="560">
        <f t="shared" si="101"/>
        <v>0</v>
      </c>
      <c r="HF49" s="560"/>
      <c r="HG49" s="560">
        <f t="shared" si="96"/>
        <v>0</v>
      </c>
      <c r="HH49" s="560" t="str">
        <f t="shared" si="97"/>
        <v/>
      </c>
      <c r="HI49" s="560">
        <f>IF(GK49="P",Lookup!$N$12,IF(GK49="PP",Lookup!$N$13,IF(GK49="PPP",Lookup!$N$14,IF(GK49="T",Lookup!$N$15,IF(GK49="TP",Lookup!$N$16,IF(GK49="TPP",Lookup!$N$17,IF(GK49="TPPP",Lookup!$N$18,0)))))))*GJ49</f>
        <v>0</v>
      </c>
      <c r="HJ49" s="545">
        <f t="shared" si="234"/>
        <v>0</v>
      </c>
      <c r="HK49" s="560">
        <f t="shared" si="235"/>
        <v>0</v>
      </c>
      <c r="HL49" s="560">
        <f t="shared" si="102"/>
        <v>0</v>
      </c>
      <c r="HM49" s="560"/>
    </row>
    <row r="50" spans="1:221">
      <c r="A50" s="580" t="s">
        <v>9</v>
      </c>
      <c r="B50" s="556">
        <v>41678</v>
      </c>
      <c r="C50" s="561">
        <v>0</v>
      </c>
      <c r="D50" s="529">
        <f t="shared" si="103"/>
        <v>300</v>
      </c>
      <c r="E50" s="529">
        <f t="shared" si="104"/>
        <v>250</v>
      </c>
      <c r="F50" s="529">
        <v>250</v>
      </c>
      <c r="G50" s="560">
        <f>DR50+Sheet1!CZ52</f>
        <v>582.11144730208252</v>
      </c>
      <c r="H50" s="914">
        <f t="shared" si="2"/>
        <v>109.31363953606613</v>
      </c>
      <c r="I50" s="559">
        <f>MAX(Sheet1!Z52-AT50+(Sheet1!DA52-E50)*CFStoMGD,0)</f>
        <v>524.79600000000005</v>
      </c>
      <c r="J50" s="562">
        <f>IF(AND(B50&gt;=Calculation!GC50,B50&lt;=Calculation!GD50),IF(Sheet1!DB52&gt;=Calculation!D50,64.64,0),MAX(Sheet1!Z52-AT50+(Sheet1!DB52-D50)*CFStoMGD,0))</f>
        <v>217.1096</v>
      </c>
      <c r="K50" s="904">
        <f t="shared" si="171"/>
        <v>64.64</v>
      </c>
      <c r="L50" s="560">
        <f>Sheet1!AA52+Sheet1!AB52-Sheet1!L52+(Sheet1!DA52-F50)*CFStoMGD</f>
        <v>510.65600000000001</v>
      </c>
      <c r="M50" s="560">
        <f t="shared" si="172"/>
        <v>383.80237632678751</v>
      </c>
      <c r="N50" s="910">
        <f>IF(Sheet1!DA52&gt;=F50,MIN(73,MIN(MAX(L50,0),MAX(M50,0))),0)</f>
        <v>73</v>
      </c>
      <c r="O50" s="563">
        <f>Sheet1!AA52+Sheet1!AB52</f>
        <v>33.86</v>
      </c>
      <c r="P50" s="563">
        <f t="shared" si="173"/>
        <v>52.381419999999991</v>
      </c>
      <c r="Q50" s="898">
        <f t="shared" si="63"/>
        <v>0</v>
      </c>
      <c r="R50" s="829">
        <f t="shared" si="174"/>
        <v>6.16</v>
      </c>
      <c r="S50" s="898">
        <f t="shared" si="65"/>
        <v>33.86</v>
      </c>
      <c r="T50" s="898">
        <f t="shared" si="66"/>
        <v>0</v>
      </c>
      <c r="U50" s="898">
        <f t="shared" si="6"/>
        <v>0</v>
      </c>
      <c r="V50" s="898"/>
      <c r="W50" s="898">
        <f t="shared" si="67"/>
        <v>58.480000000000004</v>
      </c>
      <c r="X50" s="898">
        <f t="shared" si="68"/>
        <v>33.86</v>
      </c>
      <c r="Y50" s="898" t="str">
        <f t="shared" si="69"/>
        <v/>
      </c>
      <c r="Z50" s="898">
        <f t="shared" si="70"/>
        <v>33.86</v>
      </c>
      <c r="AA50" s="898">
        <f t="shared" si="71"/>
        <v>33.86</v>
      </c>
      <c r="AB50" s="898" t="str">
        <f t="shared" si="72"/>
        <v/>
      </c>
      <c r="AC50" s="563">
        <f>Sheet1!Y52*MGDtoCFS</f>
        <v>30.475899999999996</v>
      </c>
      <c r="AD50" s="563">
        <f>Sheet1!Z52*MGDtoCFS</f>
        <v>21.874579999999998</v>
      </c>
      <c r="AE50" s="563">
        <f>Sheet1!AA52*MGDtoCFS</f>
        <v>30.475899999999996</v>
      </c>
      <c r="AF50" s="563">
        <f>Sheet1!AB52*MGDtoCFS</f>
        <v>21.905519999999999</v>
      </c>
      <c r="AG50" s="563">
        <f>Sheet1!L52*MGDtoCFS</f>
        <v>52.381419999999999</v>
      </c>
      <c r="AH50" s="545">
        <f t="shared" si="175"/>
        <v>0</v>
      </c>
      <c r="AI50" s="560">
        <f t="shared" si="176"/>
        <v>0</v>
      </c>
      <c r="AJ50" s="560">
        <f t="shared" si="177"/>
        <v>0</v>
      </c>
      <c r="AK50" s="560">
        <f t="shared" si="178"/>
        <v>0</v>
      </c>
      <c r="AL50" s="560">
        <f>(VLOOKUP(Sheet1!DC52,hhdcap_wcm,4)-(((VLOOKUP(Sheet1!DC52,hhdcap_wcm,3)-Sheet1!DC52)/(VLOOKUP(Sheet1!DC52,hhdcap_wcm,3)-VLOOKUP(Sheet1!DC52,hhdcap_wcm,1)))*(VLOOKUP(Sheet1!DC52,hhdcap_wcm,4)-VLOOKUP(Sheet1!DC52,hhdcap_wcm,2))))</f>
        <v>1112.0000000032219</v>
      </c>
      <c r="AM50" s="560">
        <f t="shared" si="179"/>
        <v>26.000000000029559</v>
      </c>
      <c r="AN50" s="560">
        <f t="shared" si="180"/>
        <v>0</v>
      </c>
      <c r="AO50" s="560">
        <f t="shared" si="181"/>
        <v>0</v>
      </c>
      <c r="AP50" s="560">
        <f>Sheet1!BA52+Sheet1!BB52+Sheet1!BN52+CD50</f>
        <v>8</v>
      </c>
      <c r="AQ50" s="560">
        <f>Sheet1!BN52+(DO50*Sheet1!BN52)</f>
        <v>7</v>
      </c>
      <c r="AR50" s="560">
        <f>Sheet1!BA52+CD50</f>
        <v>0</v>
      </c>
      <c r="AS50" s="560">
        <f>Sheet1!BA52+Sheet1!BB52+CD50</f>
        <v>1</v>
      </c>
      <c r="AT50" s="698">
        <f>0</f>
        <v>0</v>
      </c>
      <c r="AU50" s="560">
        <f>IF(EB50&lt;K50,0,MAX(Sheet1!AA52+AQ50-15/36*K50-N50,Sheet1!EH52,0))</f>
        <v>0</v>
      </c>
      <c r="AV50" s="560">
        <f>IF(OR(B50&gt;=GD50,B50&lt;GC50),0,15/36*K50-MAX(0,64.6-(137.6-(Sheet1!AA52+Sheet1!AB52))))</f>
        <v>0</v>
      </c>
      <c r="AW50" s="698">
        <f>Sheet1!DB52-110</f>
        <v>504</v>
      </c>
      <c r="AX50" s="698">
        <f>Sheet1!DA52-265</f>
        <v>775</v>
      </c>
      <c r="AY50" s="698">
        <f t="shared" si="182"/>
        <v>73</v>
      </c>
      <c r="AZ50" s="698">
        <v>0</v>
      </c>
      <c r="BA50" s="698">
        <f t="shared" si="183"/>
        <v>0</v>
      </c>
      <c r="BB50" s="560">
        <f t="shared" si="184"/>
        <v>0</v>
      </c>
      <c r="BC50" s="560"/>
      <c r="BD50" s="560">
        <f ca="1">IF(B50&gt;Summary!$A$1,#N/A,BB50*MGtoAF)</f>
        <v>0</v>
      </c>
      <c r="BE50" s="560">
        <f>Sheet1!BG52+Sheet1!BH52+Sheet1!BI52-BM50</f>
        <v>0</v>
      </c>
      <c r="BF50" s="560">
        <f t="shared" si="185"/>
        <v>0</v>
      </c>
      <c r="BG50" s="560">
        <f>IF(Sheet1!EP52="FM",BM50,0)</f>
        <v>0</v>
      </c>
      <c r="BH50" s="560">
        <f t="shared" si="186"/>
        <v>0</v>
      </c>
      <c r="BI50" s="560">
        <f>IF(Sheet1!EP52="OTHER",BM50,0)</f>
        <v>0</v>
      </c>
      <c r="BJ50" s="560">
        <f t="shared" si="187"/>
        <v>0</v>
      </c>
      <c r="BK50" s="560">
        <f t="shared" si="188"/>
        <v>0</v>
      </c>
      <c r="BL50" s="560">
        <f t="shared" si="189"/>
        <v>0</v>
      </c>
      <c r="BM50" s="560">
        <f>IF(OR(Sheet1!EP52="FM", Sheet1!EP52="OTHER"),SUM(Sheet1!BG52:'Sheet1'!BI52),0)</f>
        <v>0</v>
      </c>
      <c r="BN50" s="545">
        <f>IF(AND($B50&gt;=$FV50,$B50&lt;=$FW50),MAX(BF50,Sheet1!EI52,0),MAX(BF50-(7/36)*$K50,0))</f>
        <v>0</v>
      </c>
      <c r="BO50" s="560">
        <f t="shared" si="190"/>
        <v>0</v>
      </c>
      <c r="BP50" s="545">
        <f t="shared" si="191"/>
        <v>0</v>
      </c>
      <c r="BQ50" s="545">
        <f>IF(AND($O50&gt;0,Sheet1!EM52=1),(1-($O50-Sheet1!$L52)/$O50)*BL50,0)</f>
        <v>0</v>
      </c>
      <c r="BR50" s="545">
        <f>IF(AND(Sheet1!$L52=0,Sheet1!$L51=0, Calculation!BK50&lt;Sheet1!$EI52-0.1,Sheet1!$EI52=Sheet1!$EI51,Sheet1!$EI52=Sheet1!$EI53),Sheet1!$EI52,BL50-BQ50)</f>
        <v>0</v>
      </c>
      <c r="BS50" s="560"/>
      <c r="BT50" s="560"/>
      <c r="BU50" s="560">
        <f t="shared" si="192"/>
        <v>0</v>
      </c>
      <c r="BV50" s="560"/>
      <c r="BW50" s="560">
        <f ca="1">IF(B50&gt;Summary!$A$1,#N/A,BU50*MGtoAF)</f>
        <v>0</v>
      </c>
      <c r="BX50" s="560">
        <f>Sheet1!BC52+Sheet1!BD52+Sheet1!BE52+Sheet1!BF52-CG50-CH50</f>
        <v>2.5</v>
      </c>
      <c r="BY50" s="560">
        <f t="shared" si="193"/>
        <v>2.5</v>
      </c>
      <c r="BZ50" s="560">
        <f>IF(Sheet1!EQ52="FM",CH50,0)</f>
        <v>0</v>
      </c>
      <c r="CA50" s="560">
        <f t="shared" si="194"/>
        <v>0</v>
      </c>
      <c r="CB50" s="560">
        <f>IF(Sheet1!EQ52="OTHER",CH50,0)</f>
        <v>0</v>
      </c>
      <c r="CC50" s="560">
        <f t="shared" si="195"/>
        <v>0</v>
      </c>
      <c r="CD50" s="560">
        <f t="shared" si="196"/>
        <v>0</v>
      </c>
      <c r="CE50" s="560">
        <f t="shared" si="197"/>
        <v>2.5</v>
      </c>
      <c r="CF50" s="560">
        <f t="shared" si="198"/>
        <v>2.5</v>
      </c>
      <c r="CG50" s="560">
        <f>IF(Sheet1!EQ52="CWA",SUM(Sheet1!BC52:'Sheet1'!BF52),0)</f>
        <v>0</v>
      </c>
      <c r="CH50" s="560">
        <f>IF(OR(Sheet1!EQ52="FM", Sheet1!EQ52="OTHER"),SUM(Sheet1!BC52:'Sheet1'!BF52),0)</f>
        <v>0</v>
      </c>
      <c r="CI50" s="545">
        <f>IF(AND($B50&gt;=$FV50,$B50&lt;=$FW50),MAX(CF50,Sheet1!EJ52,0),MAX(CF50-(7/36)*$K50,0))</f>
        <v>0</v>
      </c>
      <c r="CJ50" s="560">
        <f t="shared" si="199"/>
        <v>0</v>
      </c>
      <c r="CK50" s="545">
        <f t="shared" si="200"/>
        <v>2.5</v>
      </c>
      <c r="CL50" s="545">
        <f>IF(AND($O50&gt;0,Sheet1!EN52=1),(1-($O50-Sheet1!$L52)/$O50)*CF50,0)</f>
        <v>0</v>
      </c>
      <c r="CM50" s="545">
        <f>IF(AND(Sheet1!$L52=0,Sheet1!$L51=0, Calculation!CE50&lt;Sheet1!EJ52-0.1,Sheet1!EJ52=Sheet1!EJ51,Sheet1!EJ52=Sheet1!EJ53),Sheet1!EJ52,CF50-CL50)</f>
        <v>2.5</v>
      </c>
      <c r="CN50" s="545"/>
      <c r="CO50" s="560"/>
      <c r="CP50" s="560">
        <f t="shared" si="201"/>
        <v>0</v>
      </c>
      <c r="CQ50" s="560"/>
      <c r="CR50" s="560">
        <f ca="1">IF(B50&gt;Summary!$A$1,#N/A,CP50*MGtoAF)</f>
        <v>0</v>
      </c>
      <c r="CS50" s="560">
        <f>Sheet1!BK52+Sheet1!BL52+Sheet1!BM52-Sheet1!ER52-DA50</f>
        <v>3.66</v>
      </c>
      <c r="CT50" s="560">
        <f t="shared" si="202"/>
        <v>3.66</v>
      </c>
      <c r="CU50" s="560">
        <f>IF(Sheet1!ER52="FM",DA50,0)</f>
        <v>0</v>
      </c>
      <c r="CV50" s="560">
        <f t="shared" si="203"/>
        <v>0</v>
      </c>
      <c r="CW50" s="560">
        <f>IF(Sheet1!ER52="OTHER",DA50,0)</f>
        <v>0</v>
      </c>
      <c r="CX50" s="560">
        <f t="shared" si="204"/>
        <v>0</v>
      </c>
      <c r="CY50" s="560">
        <f t="shared" si="205"/>
        <v>3.66</v>
      </c>
      <c r="CZ50" s="560">
        <f t="shared" si="206"/>
        <v>3.66</v>
      </c>
      <c r="DA50" s="560">
        <f>IF(OR(Sheet1!ER52="FM", Sheet1!ER52="OTHER"),SUM(Sheet1!BK52:'Sheet1'!BM52),0)</f>
        <v>0</v>
      </c>
      <c r="DB50" s="545">
        <f>IF(AND($B50&gt;=$FV50,$B50&lt;=$FW50),MAX($CT50,Sheet1!EK52,0),MAX($CT50-(7/36)*$K50,0))</f>
        <v>0</v>
      </c>
      <c r="DC50" s="560">
        <f t="shared" si="207"/>
        <v>0</v>
      </c>
      <c r="DD50" s="545">
        <f t="shared" si="208"/>
        <v>3.66</v>
      </c>
      <c r="DE50" s="545">
        <f>IF(AND($O50&gt;0,Sheet1!EO52=1),(1-($O50-Sheet1!$L52)/$O50)*CZ50,0)</f>
        <v>0</v>
      </c>
      <c r="DF50" s="545">
        <f>IF(AND(Sheet1!$L52=0,Sheet1!$L51=0, Calculation!CY50&lt;Sheet1!$EK52-0.1,Sheet1!$EK52=Sheet1!$EK51,Sheet1!$EK52=Sheet1!$EK53),Sheet1!$EK52,CZ50-DE50)</f>
        <v>3.66</v>
      </c>
      <c r="DG50" s="545"/>
      <c r="DH50" s="560">
        <f t="shared" si="209"/>
        <v>6.16</v>
      </c>
      <c r="DI50" s="560">
        <f t="shared" si="210"/>
        <v>0</v>
      </c>
      <c r="DJ50" s="698">
        <f t="shared" si="211"/>
        <v>6.16</v>
      </c>
      <c r="DK50" s="560">
        <f ca="1">IF(B50&gt;Summary!$A$1,#N/A,DI50*MGtoAF)</f>
        <v>0</v>
      </c>
      <c r="DL50" s="698">
        <f t="shared" si="212"/>
        <v>6.16</v>
      </c>
      <c r="DM50" s="560">
        <f t="shared" si="213"/>
        <v>14.16</v>
      </c>
      <c r="DN50" s="560">
        <f>Sheet1!AB52-DM50</f>
        <v>0</v>
      </c>
      <c r="DO50" s="823">
        <f t="shared" si="214"/>
        <v>0</v>
      </c>
      <c r="DP50" s="560">
        <f>(VLOOKUP(Sheet1!DC52,hhdcap_wcm,4)-(((VLOOKUP(Sheet1!DC52,hhdcap_wcm,3)-Sheet1!DC52)/(VLOOKUP(Sheet1!DC52,hhdcap_wcm,3)-VLOOKUP(Sheet1!DC52,hhdcap_wcm,1)))*(VLOOKUP(Sheet1!DC52,hhdcap_wcm,4)-VLOOKUP(Sheet1!DC52,hhdcap_wcm,2))))</f>
        <v>1112.0000000032219</v>
      </c>
      <c r="DQ50" s="560">
        <f t="shared" si="215"/>
        <v>26.000000000029559</v>
      </c>
      <c r="DR50" s="560">
        <f t="shared" si="216"/>
        <v>13.111447302082478</v>
      </c>
      <c r="DS50" s="560">
        <f>Sheet1!EA52*AFtoMG</f>
        <v>0</v>
      </c>
      <c r="DT50" s="560">
        <f>Sheet1!EB52*AFtoMG</f>
        <v>0</v>
      </c>
      <c r="DU50" s="560">
        <f>Sheet1!EC52*AFtoMG</f>
        <v>0</v>
      </c>
      <c r="DV50" s="560">
        <f>Sheet1!ED52*AFtoMG</f>
        <v>0</v>
      </c>
      <c r="DW50" s="560">
        <f t="shared" si="217"/>
        <v>0</v>
      </c>
      <c r="DX50" s="560">
        <f t="shared" si="218"/>
        <v>0</v>
      </c>
      <c r="DY50" s="560">
        <f t="shared" si="219"/>
        <v>0</v>
      </c>
      <c r="DZ50" s="560">
        <f t="shared" si="220"/>
        <v>0</v>
      </c>
      <c r="EA50" s="560"/>
      <c r="EB50" s="545">
        <f>IF(OR(B50&lt;FV50,B50&gt;FW50),(MIN(BF50+BY50+CT50+MAX(Sheet1!AA52+AQ50-73,0),K50)),0)</f>
        <v>6.16</v>
      </c>
      <c r="EC50" s="560"/>
      <c r="ED50" s="560">
        <f t="shared" si="221"/>
        <v>6.16</v>
      </c>
      <c r="EE50" s="560"/>
      <c r="EF50" s="560">
        <f>Sheet1!EH52+Sheet1!EI52+Sheet1!EJ52+Sheet1!EK52</f>
        <v>6.16</v>
      </c>
      <c r="EG50" s="560"/>
      <c r="EH50" s="545">
        <f t="shared" si="222"/>
        <v>0</v>
      </c>
      <c r="EI50" s="560">
        <f>IF(Sheet1!ET52=1,SUM('Calculations II'!AT50:BA50)+'Calculations II'!BC50+Sheet1!BV52+'Calculations II'!BE50+AP50,SUM('Calculations II'!AT50:BA50)+'Calculations II'!BC50+Sheet1!BV52+'Calculations II'!BE50+AP50)</f>
        <v>48.750320000000002</v>
      </c>
      <c r="EJ50" s="560">
        <f>Sheet1!AA52+Sheet1!AB52+'Calculations II'!BC50</f>
        <v>50.719808</v>
      </c>
      <c r="EK50" s="560"/>
      <c r="EL50" s="560"/>
      <c r="EM50" s="560">
        <f t="shared" si="223"/>
        <v>41678</v>
      </c>
      <c r="EN50" s="560">
        <f t="shared" si="224"/>
        <v>0</v>
      </c>
      <c r="EO50" s="560">
        <f t="shared" si="225"/>
        <v>0</v>
      </c>
      <c r="EP50" s="560">
        <v>0</v>
      </c>
      <c r="EQ50" s="560">
        <v>0</v>
      </c>
      <c r="ER50" s="560">
        <v>0</v>
      </c>
      <c r="ES50" s="545">
        <f t="shared" si="77"/>
        <v>1.3836304465756193</v>
      </c>
      <c r="ET50" s="560">
        <f>-(VLOOKUP(Sheet1!BQ52,Lookup!$O$4:$Q$262,2)-VLOOKUP(Sheet1!BQ51,Lookup!$O$4:$Q$262,2))/1000000</f>
        <v>0.69181522328780964</v>
      </c>
      <c r="EU50" s="560">
        <f>-(VLOOKUP(Sheet1!BR52,Lookup!$O$4:$Q$262,3)-VLOOKUP(Sheet1!BR51,Lookup!$O$4:$Q$262,3))/1000000</f>
        <v>0.69181522328780964</v>
      </c>
      <c r="EV50" s="560"/>
      <c r="EW50" s="560"/>
      <c r="EX50" s="560"/>
      <c r="EY50" s="560"/>
      <c r="EZ50" s="560"/>
      <c r="FA50" s="560"/>
      <c r="FB50" s="560"/>
      <c r="FC50" s="560"/>
      <c r="FD50" s="594" t="e">
        <f t="shared" si="226"/>
        <v>#N/A</v>
      </c>
      <c r="FE50" s="594" t="e">
        <f t="shared" si="227"/>
        <v>#N/A</v>
      </c>
      <c r="FF50" s="595" t="e">
        <f t="shared" si="228"/>
        <v>#N/A</v>
      </c>
      <c r="FG50" s="596" t="s">
        <v>692</v>
      </c>
      <c r="FH50" s="596" t="s">
        <v>692</v>
      </c>
      <c r="FI50" s="594" t="e">
        <v>#N/A</v>
      </c>
      <c r="FJ50" s="594" t="e">
        <v>#N/A</v>
      </c>
      <c r="FK50" s="560"/>
      <c r="FL50" s="560"/>
      <c r="FM50" s="560"/>
      <c r="FN50" s="560"/>
      <c r="FO50" s="560">
        <f>O50+((Sheet1!CS52)*GPMtoMGD)</f>
        <v>50.719808</v>
      </c>
      <c r="FP50" s="560">
        <f>IF(Sheet1!AA52+AQ50&lt;=Calculation!N50,AQ50,Calculation!N50-Sheet1!AA52)</f>
        <v>7</v>
      </c>
      <c r="FQ50" s="560">
        <f>(Sheet1!BP52+Sheet1!BO52)/694.4</f>
        <v>1.5799251152073732</v>
      </c>
      <c r="FR50" s="560"/>
      <c r="FS50" s="560"/>
      <c r="FT50" s="560"/>
      <c r="FU50" s="560"/>
      <c r="FV50" s="695">
        <f t="shared" si="80"/>
        <v>41827</v>
      </c>
      <c r="FW50" s="695">
        <f t="shared" si="81"/>
        <v>41934</v>
      </c>
      <c r="FX50" s="560"/>
      <c r="FY50" s="560"/>
      <c r="FZ50" s="560"/>
      <c r="GA50" s="560"/>
      <c r="GB50" s="560" t="str">
        <f t="shared" si="82"/>
        <v>n</v>
      </c>
      <c r="GC50" s="564">
        <f t="shared" si="83"/>
        <v>41691</v>
      </c>
      <c r="GD50" s="695">
        <f t="shared" si="84"/>
        <v>41807</v>
      </c>
      <c r="GE50" s="560">
        <v>6518.9</v>
      </c>
      <c r="GF50" s="695">
        <f t="shared" si="85"/>
        <v>41808</v>
      </c>
      <c r="GG50" s="560">
        <f t="shared" si="163"/>
        <v>3259</v>
      </c>
      <c r="GH50" s="564">
        <f t="shared" si="87"/>
        <v>41934</v>
      </c>
      <c r="GJ50" s="545">
        <f t="shared" si="88"/>
        <v>0</v>
      </c>
      <c r="GK50" s="560" t="str">
        <f t="shared" si="229"/>
        <v/>
      </c>
      <c r="GL50" s="560">
        <f t="shared" si="89"/>
        <v>0</v>
      </c>
      <c r="GM50" s="560" t="str">
        <f t="shared" si="90"/>
        <v/>
      </c>
      <c r="GN50" s="560">
        <f>IF(GK50="P",Lookup!$M$12,IF(GK50="PP",Lookup!$M$13,IF(GK50="PPP",Lookup!$M$14,IF(GK50="T",Lookup!$M$15,IF(GK50="TP",Lookup!$M$16,IF(GK50="TPP",Lookup!$M$17,IF(GK50="TPPP",Lookup!$M$18,0)))))))*GJ50</f>
        <v>0</v>
      </c>
      <c r="GO50" s="560">
        <f t="shared" si="91"/>
        <v>0</v>
      </c>
      <c r="GP50" s="560">
        <f t="shared" si="230"/>
        <v>0</v>
      </c>
      <c r="GQ50" s="560">
        <f t="shared" si="99"/>
        <v>0</v>
      </c>
      <c r="GR50" s="560"/>
      <c r="GS50" s="560">
        <f t="shared" si="92"/>
        <v>0</v>
      </c>
      <c r="GT50" s="560" t="str">
        <f t="shared" si="93"/>
        <v/>
      </c>
      <c r="GU50" s="560">
        <f>IF(GK50="P",Lookup!$N$12,IF(GK50="PP",Lookup!$N$13,IF(GK50="PPP",Lookup!$N$14,IF(GK50="T",Lookup!$N$15,IF(GK50="TP",Lookup!$N$16,IF(GK50="TPP",Lookup!$N$17,IF(GK50="TPPP",Lookup!$N$18,0)))))))*GJ50</f>
        <v>0</v>
      </c>
      <c r="GV50" s="560">
        <f t="shared" si="57"/>
        <v>0</v>
      </c>
      <c r="GW50" s="560">
        <f t="shared" si="231"/>
        <v>0</v>
      </c>
      <c r="GX50" s="560">
        <f t="shared" si="100"/>
        <v>0</v>
      </c>
      <c r="GY50" s="560"/>
      <c r="GZ50" s="560">
        <f t="shared" si="94"/>
        <v>0</v>
      </c>
      <c r="HA50" s="560" t="str">
        <f t="shared" si="95"/>
        <v/>
      </c>
      <c r="HB50" s="560">
        <f>IF(GK50="P",Lookup!$N$12,IF(GK50="PP",Lookup!$N$13,IF(GK50="PPP",Lookup!$N$14,IF(GK50="T",Lookup!$N$15,IF(GK50="TP",Lookup!$N$16,IF(GK50="TPP",Lookup!$N$17,IF(GK50="TPPP",Lookup!$N$18,0)))))))*GJ50</f>
        <v>0</v>
      </c>
      <c r="HC50" s="545">
        <f t="shared" si="232"/>
        <v>0</v>
      </c>
      <c r="HD50" s="560">
        <f t="shared" si="233"/>
        <v>0</v>
      </c>
      <c r="HE50" s="560">
        <f t="shared" si="101"/>
        <v>0</v>
      </c>
      <c r="HF50" s="560"/>
      <c r="HG50" s="560">
        <f t="shared" si="96"/>
        <v>0</v>
      </c>
      <c r="HH50" s="560" t="str">
        <f t="shared" si="97"/>
        <v/>
      </c>
      <c r="HI50" s="560">
        <f>IF(GK50="P",Lookup!$N$12,IF(GK50="PP",Lookup!$N$13,IF(GK50="PPP",Lookup!$N$14,IF(GK50="T",Lookup!$N$15,IF(GK50="TP",Lookup!$N$16,IF(GK50="TPP",Lookup!$N$17,IF(GK50="TPPP",Lookup!$N$18,0)))))))*GJ50</f>
        <v>0</v>
      </c>
      <c r="HJ50" s="545">
        <f t="shared" si="234"/>
        <v>0</v>
      </c>
      <c r="HK50" s="560">
        <f t="shared" si="235"/>
        <v>0</v>
      </c>
      <c r="HL50" s="560">
        <f t="shared" si="102"/>
        <v>0</v>
      </c>
      <c r="HM50" s="560"/>
    </row>
    <row r="51" spans="1:221">
      <c r="A51" s="580" t="s">
        <v>3</v>
      </c>
      <c r="B51" s="556">
        <v>41679</v>
      </c>
      <c r="C51" s="561">
        <v>0</v>
      </c>
      <c r="D51" s="529">
        <f t="shared" si="103"/>
        <v>300</v>
      </c>
      <c r="E51" s="529">
        <f t="shared" si="104"/>
        <v>250</v>
      </c>
      <c r="F51" s="529">
        <v>250</v>
      </c>
      <c r="G51" s="560">
        <f>DR51+Sheet1!CZ53</f>
        <v>545.83711548145482</v>
      </c>
      <c r="H51" s="914">
        <f t="shared" si="2"/>
        <v>85.865911447212383</v>
      </c>
      <c r="I51" s="559">
        <f>MAX(Sheet1!Z53-AT51+(Sheet1!DA53-E51)*CFStoMGD,0)</f>
        <v>518.35199999999998</v>
      </c>
      <c r="J51" s="562">
        <f>IF(AND(B51&gt;=Calculation!GC51,B51&lt;=Calculation!GD51),IF(Sheet1!DB53&gt;=Calculation!D51,64.64,0),MAX(Sheet1!Z53-AT51+(Sheet1!DB53-D51)*CFStoMGD,0))</f>
        <v>215.19039999999998</v>
      </c>
      <c r="K51" s="904">
        <f t="shared" si="171"/>
        <v>64.64</v>
      </c>
      <c r="L51" s="560">
        <f>Sheet1!AA53+Sheet1!AB53-Sheet1!L53+(Sheet1!DA53-F51)*CFStoMGD</f>
        <v>504.19200000000001</v>
      </c>
      <c r="M51" s="560">
        <f t="shared" si="172"/>
        <v>359.88569367615668</v>
      </c>
      <c r="N51" s="910">
        <f>IF(Sheet1!DA53&gt;=F51,MIN(73,MIN(MAX(L51,0),MAX(M51,0))),0)</f>
        <v>73</v>
      </c>
      <c r="O51" s="563">
        <f>Sheet1!AA53+Sheet1!AB53</f>
        <v>33.799999999999997</v>
      </c>
      <c r="P51" s="563">
        <f t="shared" si="173"/>
        <v>52.288599999999995</v>
      </c>
      <c r="Q51" s="898">
        <f t="shared" si="63"/>
        <v>0</v>
      </c>
      <c r="R51" s="829">
        <f t="shared" si="174"/>
        <v>6.2198541386390982</v>
      </c>
      <c r="S51" s="898">
        <f t="shared" si="65"/>
        <v>33.799999999999997</v>
      </c>
      <c r="T51" s="898">
        <f t="shared" si="66"/>
        <v>0</v>
      </c>
      <c r="U51" s="898">
        <f t="shared" si="6"/>
        <v>0</v>
      </c>
      <c r="V51" s="898"/>
      <c r="W51" s="898">
        <f t="shared" si="67"/>
        <v>58.420145861360901</v>
      </c>
      <c r="X51" s="898">
        <f t="shared" si="68"/>
        <v>33.799999999999997</v>
      </c>
      <c r="Y51" s="898" t="str">
        <f t="shared" si="69"/>
        <v/>
      </c>
      <c r="Z51" s="898">
        <f t="shared" si="70"/>
        <v>33.799999999999997</v>
      </c>
      <c r="AA51" s="898">
        <f t="shared" si="71"/>
        <v>33.799999999999997</v>
      </c>
      <c r="AB51" s="898" t="str">
        <f t="shared" si="72"/>
        <v/>
      </c>
      <c r="AC51" s="563">
        <f>Sheet1!Y53*MGDtoCFS</f>
        <v>30.475899999999996</v>
      </c>
      <c r="AD51" s="563">
        <f>Sheet1!Z53*MGDtoCFS</f>
        <v>21.905519999999999</v>
      </c>
      <c r="AE51" s="563">
        <f>Sheet1!AA53*MGDtoCFS</f>
        <v>30.475899999999996</v>
      </c>
      <c r="AF51" s="563">
        <f>Sheet1!AB53*MGDtoCFS</f>
        <v>21.8127</v>
      </c>
      <c r="AG51" s="563">
        <f>Sheet1!L53*MGDtoCFS</f>
        <v>52.288599999999995</v>
      </c>
      <c r="AH51" s="545">
        <f t="shared" si="175"/>
        <v>0</v>
      </c>
      <c r="AI51" s="560">
        <f t="shared" si="176"/>
        <v>0</v>
      </c>
      <c r="AJ51" s="560">
        <f t="shared" si="177"/>
        <v>0</v>
      </c>
      <c r="AK51" s="560">
        <f t="shared" si="178"/>
        <v>0</v>
      </c>
      <c r="AL51" s="560">
        <f>(VLOOKUP(Sheet1!DC53,hhdcap_wcm,4)-(((VLOOKUP(Sheet1!DC53,hhdcap_wcm,3)-Sheet1!DC53)/(VLOOKUP(Sheet1!DC53,hhdcap_wcm,3)-VLOOKUP(Sheet1!DC53,hhdcap_wcm,1)))*(VLOOKUP(Sheet1!DC53,hhdcap_wcm,4)-VLOOKUP(Sheet1!DC53,hhdcap_wcm,2))))</f>
        <v>1074.0000000029468</v>
      </c>
      <c r="AM51" s="560">
        <f t="shared" si="179"/>
        <v>-38.000000000275122</v>
      </c>
      <c r="AN51" s="560">
        <f t="shared" si="180"/>
        <v>0</v>
      </c>
      <c r="AO51" s="560">
        <f t="shared" si="181"/>
        <v>0</v>
      </c>
      <c r="AP51" s="560">
        <f>Sheet1!BA53+Sheet1!BB53+Sheet1!BN53+CD51</f>
        <v>7.8930000000000007</v>
      </c>
      <c r="AQ51" s="560">
        <f>Sheet1!BN53+(DO51*Sheet1!BN53)</f>
        <v>6.888763010691779</v>
      </c>
      <c r="AR51" s="560">
        <f>Sheet1!BA53+CD51</f>
        <v>0</v>
      </c>
      <c r="AS51" s="560">
        <f>Sheet1!BA53+Sheet1!BB53+CD51</f>
        <v>0.99299999999999999</v>
      </c>
      <c r="AT51" s="698">
        <f>0</f>
        <v>0</v>
      </c>
      <c r="AU51" s="560">
        <f>IF(EB51&lt;K51,0,MAX(Sheet1!AA53+AQ51-15/36*K51-N51,Sheet1!EH53,0))</f>
        <v>0</v>
      </c>
      <c r="AV51" s="560">
        <f>IF(OR(B51&gt;=GD51,B51&lt;GC51),0,15/36*K51-MAX(0,64.6-(137.6-(Sheet1!AA53+Sheet1!AB53))))</f>
        <v>0</v>
      </c>
      <c r="AW51" s="698">
        <f>Sheet1!DB53-110</f>
        <v>501</v>
      </c>
      <c r="AX51" s="698">
        <f>Sheet1!DA53-265</f>
        <v>765</v>
      </c>
      <c r="AY51" s="698">
        <f t="shared" si="182"/>
        <v>73</v>
      </c>
      <c r="AZ51" s="698">
        <v>0</v>
      </c>
      <c r="BA51" s="698">
        <f t="shared" si="183"/>
        <v>0</v>
      </c>
      <c r="BB51" s="560">
        <f t="shared" si="184"/>
        <v>0</v>
      </c>
      <c r="BC51" s="560"/>
      <c r="BD51" s="560">
        <f ca="1">IF(B51&gt;Summary!$A$1,#N/A,BB51*MGtoAF)</f>
        <v>0</v>
      </c>
      <c r="BE51" s="560">
        <f>Sheet1!BG53+Sheet1!BH53+Sheet1!BI53-BM51</f>
        <v>0</v>
      </c>
      <c r="BF51" s="560">
        <f t="shared" si="185"/>
        <v>0</v>
      </c>
      <c r="BG51" s="560">
        <f>IF(Sheet1!EP53="FM",BM51,0)</f>
        <v>0</v>
      </c>
      <c r="BH51" s="560">
        <f t="shared" si="186"/>
        <v>0</v>
      </c>
      <c r="BI51" s="560">
        <f>IF(Sheet1!EP53="OTHER",BM51,0)</f>
        <v>0</v>
      </c>
      <c r="BJ51" s="560">
        <f t="shared" si="187"/>
        <v>0</v>
      </c>
      <c r="BK51" s="560">
        <f t="shared" si="188"/>
        <v>0</v>
      </c>
      <c r="BL51" s="560">
        <f t="shared" si="189"/>
        <v>0</v>
      </c>
      <c r="BM51" s="560">
        <f>IF(OR(Sheet1!EP53="FM", Sheet1!EP53="OTHER"),SUM(Sheet1!BG53:'Sheet1'!BI53),0)</f>
        <v>0</v>
      </c>
      <c r="BN51" s="545">
        <f>IF(AND($B51&gt;=$FV51,$B51&lt;=$FW51),MAX(BF51,Sheet1!EI53,0),MAX(BF51-(7/36)*$K51,0))</f>
        <v>0</v>
      </c>
      <c r="BO51" s="560">
        <f t="shared" si="190"/>
        <v>0</v>
      </c>
      <c r="BP51" s="545">
        <f t="shared" si="191"/>
        <v>0</v>
      </c>
      <c r="BQ51" s="545">
        <f>IF(AND($O51&gt;0,Sheet1!EM53=1),(1-($O51-Sheet1!$L53)/$O51)*BL51,0)</f>
        <v>0</v>
      </c>
      <c r="BR51" s="545">
        <f>IF(AND(Sheet1!$L53=0,Sheet1!$L52=0, Calculation!BK51&lt;Sheet1!$EI53-0.1,Sheet1!$EI53=Sheet1!$EI52,Sheet1!$EI53=Sheet1!$EI54),Sheet1!$EI53,BL51-BQ51)</f>
        <v>0</v>
      </c>
      <c r="BS51" s="560"/>
      <c r="BT51" s="560"/>
      <c r="BU51" s="560">
        <f t="shared" si="192"/>
        <v>0</v>
      </c>
      <c r="BV51" s="560"/>
      <c r="BW51" s="560">
        <f ca="1">IF(B51&gt;Summary!$A$1,#N/A,BU51*MGtoAF)</f>
        <v>0</v>
      </c>
      <c r="BX51" s="560">
        <f>Sheet1!BC53+Sheet1!BD53+Sheet1!BE53+Sheet1!BF53-CG51-CH51</f>
        <v>2.5</v>
      </c>
      <c r="BY51" s="560">
        <f t="shared" si="193"/>
        <v>2.4959286270622387</v>
      </c>
      <c r="BZ51" s="560">
        <f>IF(Sheet1!EQ53="FM",CH51,0)</f>
        <v>0</v>
      </c>
      <c r="CA51" s="560">
        <f t="shared" si="194"/>
        <v>0</v>
      </c>
      <c r="CB51" s="560">
        <f>IF(Sheet1!EQ53="OTHER",CH51,0)</f>
        <v>0</v>
      </c>
      <c r="CC51" s="560">
        <f t="shared" si="195"/>
        <v>0</v>
      </c>
      <c r="CD51" s="560">
        <f t="shared" si="196"/>
        <v>0</v>
      </c>
      <c r="CE51" s="560">
        <f t="shared" si="197"/>
        <v>2.5</v>
      </c>
      <c r="CF51" s="560">
        <f t="shared" si="198"/>
        <v>2.4959286270622387</v>
      </c>
      <c r="CG51" s="560">
        <f>IF(Sheet1!EQ53="CWA",SUM(Sheet1!BC53:'Sheet1'!BF53),0)</f>
        <v>0</v>
      </c>
      <c r="CH51" s="560">
        <f>IF(OR(Sheet1!EQ53="FM", Sheet1!EQ53="OTHER"),SUM(Sheet1!BC53:'Sheet1'!BF53),0)</f>
        <v>0</v>
      </c>
      <c r="CI51" s="545">
        <f>IF(AND($B51&gt;=$FV51,$B51&lt;=$FW51),MAX(CF51,Sheet1!EJ53,0),MAX(CF51-(7/36)*$K51,0))</f>
        <v>0</v>
      </c>
      <c r="CJ51" s="560">
        <f t="shared" si="199"/>
        <v>0</v>
      </c>
      <c r="CK51" s="545">
        <f t="shared" si="200"/>
        <v>2.4959286270622387</v>
      </c>
      <c r="CL51" s="545">
        <f>IF(AND($O51&gt;0,Sheet1!EN53=1),(1-($O51-Sheet1!$L53)/$O51)*CF51,0)</f>
        <v>0</v>
      </c>
      <c r="CM51" s="545">
        <f>IF(AND(Sheet1!$L53=0,Sheet1!$L52=0, Calculation!CE51&lt;Sheet1!EJ53-0.1,Sheet1!EJ53=Sheet1!EJ52,Sheet1!EJ53=Sheet1!EJ54),Sheet1!EJ53,CF51-CL51)</f>
        <v>2.4959286270622387</v>
      </c>
      <c r="CN51" s="545"/>
      <c r="CO51" s="560"/>
      <c r="CP51" s="560">
        <f t="shared" si="201"/>
        <v>0</v>
      </c>
      <c r="CQ51" s="560"/>
      <c r="CR51" s="560">
        <f ca="1">IF(B51&gt;Summary!$A$1,#N/A,CP51*MGtoAF)</f>
        <v>0</v>
      </c>
      <c r="CS51" s="560">
        <f>Sheet1!BK53+Sheet1!BL53+Sheet1!BM53-Sheet1!ER53-DA51</f>
        <v>3.73</v>
      </c>
      <c r="CT51" s="560">
        <f t="shared" si="202"/>
        <v>3.7239255115768599</v>
      </c>
      <c r="CU51" s="560">
        <f>IF(Sheet1!ER53="FM",DA51,0)</f>
        <v>0</v>
      </c>
      <c r="CV51" s="560">
        <f t="shared" si="203"/>
        <v>0</v>
      </c>
      <c r="CW51" s="560">
        <f>IF(Sheet1!ER53="OTHER",DA51,0)</f>
        <v>0</v>
      </c>
      <c r="CX51" s="560">
        <f t="shared" si="204"/>
        <v>0</v>
      </c>
      <c r="CY51" s="560">
        <f t="shared" si="205"/>
        <v>3.73</v>
      </c>
      <c r="CZ51" s="560">
        <f t="shared" si="206"/>
        <v>3.7239255115768599</v>
      </c>
      <c r="DA51" s="560">
        <f>IF(OR(Sheet1!ER53="FM", Sheet1!ER53="OTHER"),SUM(Sheet1!BK53:'Sheet1'!BM53),0)</f>
        <v>0</v>
      </c>
      <c r="DB51" s="545">
        <f>IF(AND($B51&gt;=$FV51,$B51&lt;=$FW51),MAX($CT51,Sheet1!EK53,0),MAX($CT51-(7/36)*$K51,0))</f>
        <v>0</v>
      </c>
      <c r="DC51" s="560">
        <f t="shared" si="207"/>
        <v>0</v>
      </c>
      <c r="DD51" s="545">
        <f t="shared" si="208"/>
        <v>3.7239255115768599</v>
      </c>
      <c r="DE51" s="545">
        <f>IF(AND($O51&gt;0,Sheet1!EO53=1),(1-($O51-Sheet1!$L53)/$O51)*CZ51,0)</f>
        <v>0</v>
      </c>
      <c r="DF51" s="545">
        <f>IF(AND(Sheet1!$L53=0,Sheet1!$L52=0, Calculation!CY51&lt;Sheet1!$EK53-0.1,Sheet1!$EK53=Sheet1!$EK52,Sheet1!$EK53=Sheet1!$EK54),Sheet1!$EK53,CZ51-DE51)</f>
        <v>3.7239255115768599</v>
      </c>
      <c r="DG51" s="545"/>
      <c r="DH51" s="560">
        <f t="shared" si="209"/>
        <v>6.23</v>
      </c>
      <c r="DI51" s="560">
        <f t="shared" si="210"/>
        <v>0</v>
      </c>
      <c r="DJ51" s="698">
        <f t="shared" si="211"/>
        <v>6.2198541386390982</v>
      </c>
      <c r="DK51" s="560">
        <f ca="1">IF(B51&gt;Summary!$A$1,#N/A,DI51*MGtoAF)</f>
        <v>0</v>
      </c>
      <c r="DL51" s="698">
        <f t="shared" si="212"/>
        <v>6.23</v>
      </c>
      <c r="DM51" s="560">
        <f t="shared" si="213"/>
        <v>14.123000000000001</v>
      </c>
      <c r="DN51" s="560">
        <f>Sheet1!AB53-DM51</f>
        <v>-2.3000000000001464E-2</v>
      </c>
      <c r="DO51" s="823">
        <f t="shared" si="214"/>
        <v>-1.628549175104543E-3</v>
      </c>
      <c r="DP51" s="560">
        <f>(VLOOKUP(Sheet1!DC53,hhdcap_wcm,4)-(((VLOOKUP(Sheet1!DC53,hhdcap_wcm,3)-Sheet1!DC53)/(VLOOKUP(Sheet1!DC53,hhdcap_wcm,3)-VLOOKUP(Sheet1!DC53,hhdcap_wcm,1)))*(VLOOKUP(Sheet1!DC53,hhdcap_wcm,4)-VLOOKUP(Sheet1!DC53,hhdcap_wcm,2))))</f>
        <v>1074.0000000029468</v>
      </c>
      <c r="DQ51" s="560">
        <f t="shared" si="215"/>
        <v>-38.000000000275122</v>
      </c>
      <c r="DR51" s="560">
        <f t="shared" si="216"/>
        <v>-19.162884518545194</v>
      </c>
      <c r="DS51" s="560">
        <f>Sheet1!EA53*AFtoMG</f>
        <v>0</v>
      </c>
      <c r="DT51" s="560">
        <f>Sheet1!EB53*AFtoMG</f>
        <v>0</v>
      </c>
      <c r="DU51" s="560">
        <f>Sheet1!EC53*AFtoMG</f>
        <v>0</v>
      </c>
      <c r="DV51" s="560">
        <f>Sheet1!ED53*AFtoMG</f>
        <v>0</v>
      </c>
      <c r="DW51" s="560">
        <f t="shared" si="217"/>
        <v>0</v>
      </c>
      <c r="DX51" s="560">
        <f t="shared" si="218"/>
        <v>0</v>
      </c>
      <c r="DY51" s="560">
        <f t="shared" si="219"/>
        <v>0</v>
      </c>
      <c r="DZ51" s="560">
        <f t="shared" si="220"/>
        <v>0</v>
      </c>
      <c r="EA51" s="560"/>
      <c r="EB51" s="545">
        <f>IF(OR(B51&lt;FV51,B51&gt;FW51),(MIN(BF51+BY51+CT51+MAX(Sheet1!AA53+AQ51-73,0),K51)),0)</f>
        <v>6.2198541386390982</v>
      </c>
      <c r="EC51" s="560"/>
      <c r="ED51" s="560">
        <f t="shared" si="221"/>
        <v>6.2198541386390982</v>
      </c>
      <c r="EE51" s="560"/>
      <c r="EF51" s="560">
        <f>Sheet1!EH53+Sheet1!EI53+Sheet1!EJ53+Sheet1!EK53</f>
        <v>6.23</v>
      </c>
      <c r="EG51" s="560"/>
      <c r="EH51" s="545">
        <f t="shared" si="222"/>
        <v>0</v>
      </c>
      <c r="EI51" s="560">
        <f>IF(Sheet1!ET53=1,SUM('Calculations II'!AT51:BA51)+'Calculations II'!BC51+Sheet1!BV53+'Calculations II'!BE51+AP51,SUM('Calculations II'!AT51:BA51)+'Calculations II'!BC51+Sheet1!BV53+'Calculations II'!BE51+AP51)</f>
        <v>49.134256000000008</v>
      </c>
      <c r="EJ51" s="560">
        <f>Sheet1!AA53+Sheet1!AB53+'Calculations II'!BC51</f>
        <v>52.401488000000001</v>
      </c>
      <c r="EK51" s="560"/>
      <c r="EL51" s="560"/>
      <c r="EM51" s="560">
        <f t="shared" si="223"/>
        <v>41679</v>
      </c>
      <c r="EN51" s="560">
        <f t="shared" si="224"/>
        <v>0</v>
      </c>
      <c r="EO51" s="560">
        <f t="shared" si="225"/>
        <v>0</v>
      </c>
      <c r="EP51" s="560">
        <v>0</v>
      </c>
      <c r="EQ51" s="560">
        <v>0</v>
      </c>
      <c r="ER51" s="560">
        <v>0</v>
      </c>
      <c r="ES51" s="545">
        <f t="shared" si="77"/>
        <v>0</v>
      </c>
      <c r="ET51" s="560">
        <f>-(VLOOKUP(Sheet1!BQ53,Lookup!$O$4:$Q$262,2)-VLOOKUP(Sheet1!BQ52,Lookup!$O$4:$Q$262,2))/1000000</f>
        <v>0</v>
      </c>
      <c r="EU51" s="560">
        <f>-(VLOOKUP(Sheet1!BR53,Lookup!$O$4:$Q$262,3)-VLOOKUP(Sheet1!BR52,Lookup!$O$4:$Q$262,3))/1000000</f>
        <v>0</v>
      </c>
      <c r="EV51" s="560"/>
      <c r="EW51" s="560"/>
      <c r="EX51" s="560"/>
      <c r="EY51" s="560"/>
      <c r="EZ51" s="560"/>
      <c r="FA51" s="560"/>
      <c r="FB51" s="560"/>
      <c r="FC51" s="560"/>
      <c r="FD51" s="594" t="e">
        <f t="shared" si="226"/>
        <v>#N/A</v>
      </c>
      <c r="FE51" s="594" t="e">
        <f t="shared" si="227"/>
        <v>#N/A</v>
      </c>
      <c r="FF51" s="595" t="e">
        <f t="shared" si="228"/>
        <v>#N/A</v>
      </c>
      <c r="FG51" s="596" t="s">
        <v>692</v>
      </c>
      <c r="FH51" s="596" t="s">
        <v>692</v>
      </c>
      <c r="FI51" s="594" t="e">
        <v>#N/A</v>
      </c>
      <c r="FJ51" s="594" t="e">
        <v>#N/A</v>
      </c>
      <c r="FK51" s="560"/>
      <c r="FL51" s="560"/>
      <c r="FM51" s="560"/>
      <c r="FN51" s="560"/>
      <c r="FO51" s="560">
        <f>O51+((Sheet1!CS53)*GPMtoMGD)</f>
        <v>52.401488000000001</v>
      </c>
      <c r="FP51" s="560">
        <f>IF(Sheet1!AA53+AQ51&lt;=Calculation!N51,AQ51,Calculation!N51-Sheet1!AA53)</f>
        <v>6.888763010691779</v>
      </c>
      <c r="FQ51" s="560">
        <f>(Sheet1!BP53+Sheet1!BO53)/694.4</f>
        <v>1.7245103686635945</v>
      </c>
      <c r="FR51" s="560"/>
      <c r="FS51" s="560"/>
      <c r="FT51" s="560"/>
      <c r="FU51" s="560"/>
      <c r="FV51" s="695">
        <f t="shared" si="80"/>
        <v>41827</v>
      </c>
      <c r="FW51" s="695">
        <f t="shared" si="81"/>
        <v>41934</v>
      </c>
      <c r="FX51" s="560"/>
      <c r="FY51" s="560"/>
      <c r="FZ51" s="560"/>
      <c r="GA51" s="560"/>
      <c r="GB51" s="560" t="str">
        <f t="shared" si="82"/>
        <v>n</v>
      </c>
      <c r="GC51" s="564">
        <f t="shared" si="83"/>
        <v>41691</v>
      </c>
      <c r="GD51" s="695">
        <f t="shared" si="84"/>
        <v>41807</v>
      </c>
      <c r="GE51" s="560">
        <v>6518.9</v>
      </c>
      <c r="GF51" s="695">
        <f t="shared" si="85"/>
        <v>41808</v>
      </c>
      <c r="GG51" s="560">
        <f t="shared" si="163"/>
        <v>3259</v>
      </c>
      <c r="GH51" s="564">
        <f t="shared" si="87"/>
        <v>41934</v>
      </c>
      <c r="GJ51" s="545">
        <f t="shared" si="88"/>
        <v>0</v>
      </c>
      <c r="GK51" s="560" t="str">
        <f t="shared" si="229"/>
        <v/>
      </c>
      <c r="GL51" s="560">
        <f t="shared" si="89"/>
        <v>0</v>
      </c>
      <c r="GM51" s="560" t="str">
        <f t="shared" si="90"/>
        <v/>
      </c>
      <c r="GN51" s="560">
        <f>IF(GK51="P",Lookup!$M$12,IF(GK51="PP",Lookup!$M$13,IF(GK51="PPP",Lookup!$M$14,IF(GK51="T",Lookup!$M$15,IF(GK51="TP",Lookup!$M$16,IF(GK51="TPP",Lookup!$M$17,IF(GK51="TPPP",Lookup!$M$18,0)))))))*GJ51</f>
        <v>0</v>
      </c>
      <c r="GO51" s="560">
        <f t="shared" si="91"/>
        <v>0</v>
      </c>
      <c r="GP51" s="560">
        <f t="shared" si="230"/>
        <v>0</v>
      </c>
      <c r="GQ51" s="560">
        <f t="shared" si="99"/>
        <v>0</v>
      </c>
      <c r="GR51" s="560"/>
      <c r="GS51" s="560">
        <f t="shared" si="92"/>
        <v>0</v>
      </c>
      <c r="GT51" s="560" t="str">
        <f t="shared" si="93"/>
        <v/>
      </c>
      <c r="GU51" s="560">
        <f>IF(GK51="P",Lookup!$N$12,IF(GK51="PP",Lookup!$N$13,IF(GK51="PPP",Lookup!$N$14,IF(GK51="T",Lookup!$N$15,IF(GK51="TP",Lookup!$N$16,IF(GK51="TPP",Lookup!$N$17,IF(GK51="TPPP",Lookup!$N$18,0)))))))*GJ51</f>
        <v>0</v>
      </c>
      <c r="GV51" s="560">
        <f t="shared" si="57"/>
        <v>0</v>
      </c>
      <c r="GW51" s="560">
        <f t="shared" si="231"/>
        <v>0</v>
      </c>
      <c r="GX51" s="560">
        <f t="shared" si="100"/>
        <v>0</v>
      </c>
      <c r="GY51" s="560"/>
      <c r="GZ51" s="560">
        <f t="shared" si="94"/>
        <v>0</v>
      </c>
      <c r="HA51" s="560" t="str">
        <f t="shared" si="95"/>
        <v/>
      </c>
      <c r="HB51" s="560">
        <f>IF(GK51="P",Lookup!$N$12,IF(GK51="PP",Lookup!$N$13,IF(GK51="PPP",Lookup!$N$14,IF(GK51="T",Lookup!$N$15,IF(GK51="TP",Lookup!$N$16,IF(GK51="TPP",Lookup!$N$17,IF(GK51="TPPP",Lookup!$N$18,0)))))))*GJ51</f>
        <v>0</v>
      </c>
      <c r="HC51" s="545">
        <f t="shared" si="232"/>
        <v>0</v>
      </c>
      <c r="HD51" s="560">
        <f t="shared" si="233"/>
        <v>0</v>
      </c>
      <c r="HE51" s="560">
        <f t="shared" si="101"/>
        <v>0</v>
      </c>
      <c r="HF51" s="560"/>
      <c r="HG51" s="560">
        <f t="shared" si="96"/>
        <v>0</v>
      </c>
      <c r="HH51" s="560" t="str">
        <f t="shared" si="97"/>
        <v/>
      </c>
      <c r="HI51" s="560">
        <f>IF(GK51="P",Lookup!$N$12,IF(GK51="PP",Lookup!$N$13,IF(GK51="PPP",Lookup!$N$14,IF(GK51="T",Lookup!$N$15,IF(GK51="TP",Lookup!$N$16,IF(GK51="TPP",Lookup!$N$17,IF(GK51="TPPP",Lookup!$N$18,0)))))))*GJ51</f>
        <v>0</v>
      </c>
      <c r="HJ51" s="545">
        <f t="shared" si="234"/>
        <v>0</v>
      </c>
      <c r="HK51" s="560">
        <f t="shared" si="235"/>
        <v>0</v>
      </c>
      <c r="HL51" s="560">
        <f t="shared" si="102"/>
        <v>0</v>
      </c>
      <c r="HM51" s="560"/>
    </row>
    <row r="52" spans="1:221">
      <c r="A52" s="580" t="s">
        <v>4</v>
      </c>
      <c r="B52" s="556">
        <v>41680</v>
      </c>
      <c r="C52" s="561">
        <v>0</v>
      </c>
      <c r="D52" s="529">
        <f t="shared" si="103"/>
        <v>300</v>
      </c>
      <c r="E52" s="529">
        <f t="shared" si="104"/>
        <v>250</v>
      </c>
      <c r="F52" s="529">
        <v>250</v>
      </c>
      <c r="G52" s="560">
        <f>DR52+Sheet1!CZ54</f>
        <v>604.36560766496689</v>
      </c>
      <c r="H52" s="914">
        <f t="shared" si="2"/>
        <v>123.69872879463459</v>
      </c>
      <c r="I52" s="559">
        <f>MAX(Sheet1!Z54-AT52+(Sheet1!DA54-E52)*CFStoMGD,0)</f>
        <v>679.89200000000005</v>
      </c>
      <c r="J52" s="562">
        <f>IF(AND(B52&gt;=Calculation!GC52,B52&lt;=Calculation!GD52),IF(Sheet1!DB54&gt;=Calculation!D52,64.64,0),MAX(Sheet1!Z54-AT52+(Sheet1!DB54-D52)*CFStoMGD,0))</f>
        <v>288.17360000000002</v>
      </c>
      <c r="K52" s="904">
        <f t="shared" si="171"/>
        <v>64.64</v>
      </c>
      <c r="L52" s="560">
        <f>Sheet1!AA54+Sheet1!AB54-Sheet1!L54+(Sheet1!DA54-F52)*CFStoMGD</f>
        <v>665.79200000000003</v>
      </c>
      <c r="M52" s="560">
        <f t="shared" si="172"/>
        <v>398.47516737052729</v>
      </c>
      <c r="N52" s="910">
        <f>IF(Sheet1!DA54&gt;=F52,MIN(73,MIN(MAX(L52,0),MAX(M52,0))),0)</f>
        <v>73</v>
      </c>
      <c r="O52" s="563">
        <f>Sheet1!AA54+Sheet1!AB54</f>
        <v>33.9</v>
      </c>
      <c r="P52" s="563">
        <f t="shared" si="173"/>
        <v>52.443300000000001</v>
      </c>
      <c r="Q52" s="898">
        <f t="shared" si="63"/>
        <v>0</v>
      </c>
      <c r="R52" s="829">
        <f t="shared" si="174"/>
        <v>6.2051590957409104</v>
      </c>
      <c r="S52" s="898">
        <f t="shared" si="65"/>
        <v>33.9</v>
      </c>
      <c r="T52" s="898">
        <f t="shared" si="66"/>
        <v>0</v>
      </c>
      <c r="U52" s="898">
        <f t="shared" si="6"/>
        <v>0</v>
      </c>
      <c r="V52" s="898"/>
      <c r="W52" s="898">
        <f t="shared" si="67"/>
        <v>58.43484090425909</v>
      </c>
      <c r="X52" s="898">
        <f t="shared" si="68"/>
        <v>33.9</v>
      </c>
      <c r="Y52" s="898" t="str">
        <f t="shared" si="69"/>
        <v/>
      </c>
      <c r="Z52" s="898">
        <f t="shared" si="70"/>
        <v>33.9</v>
      </c>
      <c r="AA52" s="898">
        <f t="shared" si="71"/>
        <v>33.9</v>
      </c>
      <c r="AB52" s="898" t="str">
        <f t="shared" si="72"/>
        <v/>
      </c>
      <c r="AC52" s="563">
        <f>Sheet1!Y54*MGDtoCFS</f>
        <v>30.475899999999996</v>
      </c>
      <c r="AD52" s="563">
        <f>Sheet1!Z54*MGDtoCFS</f>
        <v>21.8127</v>
      </c>
      <c r="AE52" s="563">
        <f>Sheet1!AA54*MGDtoCFS</f>
        <v>30.630600000000001</v>
      </c>
      <c r="AF52" s="563">
        <f>Sheet1!AB54*MGDtoCFS</f>
        <v>21.8127</v>
      </c>
      <c r="AG52" s="563">
        <f>Sheet1!L54*MGDtoCFS</f>
        <v>52.443299999999994</v>
      </c>
      <c r="AH52" s="545">
        <f t="shared" si="175"/>
        <v>0</v>
      </c>
      <c r="AI52" s="560">
        <f t="shared" si="176"/>
        <v>0</v>
      </c>
      <c r="AJ52" s="560">
        <f t="shared" si="177"/>
        <v>0</v>
      </c>
      <c r="AK52" s="560">
        <f t="shared" si="178"/>
        <v>0</v>
      </c>
      <c r="AL52" s="560">
        <f>(VLOOKUP(Sheet1!DC54,hhdcap_wcm,4)-(((VLOOKUP(Sheet1!DC54,hhdcap_wcm,3)-Sheet1!DC54)/(VLOOKUP(Sheet1!DC54,hhdcap_wcm,3)-VLOOKUP(Sheet1!DC54,hhdcap_wcm,1)))*(VLOOKUP(Sheet1!DC54,hhdcap_wcm,4)-VLOOKUP(Sheet1!DC54,hhdcap_wcm,2))))</f>
        <v>926.00000000257614</v>
      </c>
      <c r="AM52" s="560">
        <f t="shared" si="179"/>
        <v>-148.00000000037062</v>
      </c>
      <c r="AN52" s="560">
        <f t="shared" si="180"/>
        <v>0</v>
      </c>
      <c r="AO52" s="560">
        <f t="shared" si="181"/>
        <v>0</v>
      </c>
      <c r="AP52" s="560">
        <f>Sheet1!BA54+Sheet1!BB54+Sheet1!BN54+CD52</f>
        <v>7.9009999999999998</v>
      </c>
      <c r="AQ52" s="560">
        <f>Sheet1!BN54+(DO52*Sheet1!BN54)</f>
        <v>6.8946212174899015</v>
      </c>
      <c r="AR52" s="560">
        <f>Sheet1!BA54+CD52</f>
        <v>0</v>
      </c>
      <c r="AS52" s="560">
        <f>Sheet1!BA54+Sheet1!BB54+CD52</f>
        <v>1.0009999999999999</v>
      </c>
      <c r="AT52" s="698">
        <f>0</f>
        <v>0</v>
      </c>
      <c r="AU52" s="560">
        <f>IF(EB52&lt;K52,0,MAX(Sheet1!AA54+AQ52-15/36*K52-N52,Sheet1!EH54,0))</f>
        <v>0</v>
      </c>
      <c r="AV52" s="560">
        <f>IF(OR(B52&gt;=GD52,B52&lt;GC52),0,15/36*K52-MAX(0,64.6-(137.6-(Sheet1!AA54+Sheet1!AB54))))</f>
        <v>0</v>
      </c>
      <c r="AW52" s="698">
        <f>Sheet1!DB54-110</f>
        <v>614</v>
      </c>
      <c r="AX52" s="698">
        <f>Sheet1!DA54-265</f>
        <v>1015</v>
      </c>
      <c r="AY52" s="698">
        <f t="shared" si="182"/>
        <v>73</v>
      </c>
      <c r="AZ52" s="698">
        <v>0</v>
      </c>
      <c r="BA52" s="698">
        <f t="shared" si="183"/>
        <v>0</v>
      </c>
      <c r="BB52" s="560">
        <f t="shared" si="184"/>
        <v>0</v>
      </c>
      <c r="BC52" s="560"/>
      <c r="BD52" s="560">
        <f ca="1">IF(B52&gt;Summary!$A$1,#N/A,BB52*MGtoAF)</f>
        <v>0</v>
      </c>
      <c r="BE52" s="560">
        <f>Sheet1!BG54+Sheet1!BH54+Sheet1!BI54-BM52</f>
        <v>0</v>
      </c>
      <c r="BF52" s="560">
        <f t="shared" si="185"/>
        <v>0</v>
      </c>
      <c r="BG52" s="560">
        <f>IF(Sheet1!EP54="FM",BM52,0)</f>
        <v>0</v>
      </c>
      <c r="BH52" s="560">
        <f t="shared" si="186"/>
        <v>0</v>
      </c>
      <c r="BI52" s="560">
        <f>IF(Sheet1!EP54="OTHER",BM52,0)</f>
        <v>0</v>
      </c>
      <c r="BJ52" s="560">
        <f t="shared" si="187"/>
        <v>0</v>
      </c>
      <c r="BK52" s="560">
        <f t="shared" si="188"/>
        <v>0</v>
      </c>
      <c r="BL52" s="560">
        <f t="shared" si="189"/>
        <v>0</v>
      </c>
      <c r="BM52" s="560">
        <f>IF(OR(Sheet1!EP54="FM", Sheet1!EP54="OTHER"),SUM(Sheet1!BG54:'Sheet1'!BI54),0)</f>
        <v>0</v>
      </c>
      <c r="BN52" s="545">
        <f>IF(AND($B52&gt;=$FV52,$B52&lt;=$FW52),MAX(BF52,Sheet1!EI54,0),MAX(BF52-(7/36)*$K52,0))</f>
        <v>0</v>
      </c>
      <c r="BO52" s="560">
        <f t="shared" si="190"/>
        <v>0</v>
      </c>
      <c r="BP52" s="545">
        <f t="shared" si="191"/>
        <v>0</v>
      </c>
      <c r="BQ52" s="545">
        <f>IF(AND($O52&gt;0,Sheet1!EM54=1),(1-($O52-Sheet1!$L54)/$O52)*BL52,0)</f>
        <v>0</v>
      </c>
      <c r="BR52" s="545">
        <f>IF(AND(Sheet1!$L54=0,Sheet1!$L53=0, Calculation!BK52&lt;Sheet1!$EI54-0.1,Sheet1!$EI54=Sheet1!$EI53,Sheet1!$EI54=Sheet1!$EI55),Sheet1!$EI54,BL52-BQ52)</f>
        <v>0</v>
      </c>
      <c r="BS52" s="560"/>
      <c r="BT52" s="560"/>
      <c r="BU52" s="560">
        <f t="shared" si="192"/>
        <v>0</v>
      </c>
      <c r="BV52" s="560"/>
      <c r="BW52" s="560">
        <f ca="1">IF(B52&gt;Summary!$A$1,#N/A,BU52*MGtoAF)</f>
        <v>0</v>
      </c>
      <c r="BX52" s="560">
        <f>Sheet1!BC54+Sheet1!BD54+Sheet1!BE54+Sheet1!BF54-CG52-CH52</f>
        <v>2.5</v>
      </c>
      <c r="BY52" s="560">
        <f t="shared" si="193"/>
        <v>2.4980511657572104</v>
      </c>
      <c r="BZ52" s="560">
        <f>IF(Sheet1!EQ54="FM",CH52,0)</f>
        <v>0</v>
      </c>
      <c r="CA52" s="560">
        <f t="shared" si="194"/>
        <v>0</v>
      </c>
      <c r="CB52" s="560">
        <f>IF(Sheet1!EQ54="OTHER",CH52,0)</f>
        <v>0</v>
      </c>
      <c r="CC52" s="560">
        <f t="shared" si="195"/>
        <v>0</v>
      </c>
      <c r="CD52" s="560">
        <f t="shared" si="196"/>
        <v>0</v>
      </c>
      <c r="CE52" s="560">
        <f t="shared" si="197"/>
        <v>2.5</v>
      </c>
      <c r="CF52" s="560">
        <f t="shared" si="198"/>
        <v>2.4980511657572104</v>
      </c>
      <c r="CG52" s="560">
        <f>IF(Sheet1!EQ54="CWA",SUM(Sheet1!BC54:'Sheet1'!BF54),0)</f>
        <v>0</v>
      </c>
      <c r="CH52" s="560">
        <f>IF(OR(Sheet1!EQ54="FM", Sheet1!EQ54="OTHER"),SUM(Sheet1!BC54:'Sheet1'!BF54),0)</f>
        <v>0</v>
      </c>
      <c r="CI52" s="545">
        <f>IF(AND($B52&gt;=$FV52,$B52&lt;=$FW52),MAX(CF52,Sheet1!EJ54,0),MAX(CF52-(7/36)*$K52,0))</f>
        <v>0</v>
      </c>
      <c r="CJ52" s="560">
        <f t="shared" si="199"/>
        <v>0</v>
      </c>
      <c r="CK52" s="545">
        <f t="shared" si="200"/>
        <v>2.4980511657572104</v>
      </c>
      <c r="CL52" s="545">
        <f>IF(AND($O52&gt;0,Sheet1!EN54=1),(1-($O52-Sheet1!$L54)/$O52)*CF52,0)</f>
        <v>0</v>
      </c>
      <c r="CM52" s="545">
        <f>IF(AND(Sheet1!$L54=0,Sheet1!$L53=0, Calculation!CE52&lt;Sheet1!EJ54-0.1,Sheet1!EJ54=Sheet1!EJ53,Sheet1!EJ54=Sheet1!EJ55),Sheet1!EJ54,CF52-CL52)</f>
        <v>2.4980511657572104</v>
      </c>
      <c r="CN52" s="545"/>
      <c r="CO52" s="560"/>
      <c r="CP52" s="560">
        <f t="shared" si="201"/>
        <v>0</v>
      </c>
      <c r="CQ52" s="560"/>
      <c r="CR52" s="560">
        <f ca="1">IF(B52&gt;Summary!$A$1,#N/A,CP52*MGtoAF)</f>
        <v>0</v>
      </c>
      <c r="CS52" s="560">
        <f>Sheet1!BK54+Sheet1!BL54+Sheet1!BM54-Sheet1!ER54-DA52</f>
        <v>3.71</v>
      </c>
      <c r="CT52" s="560">
        <f t="shared" si="202"/>
        <v>3.7071079299837004</v>
      </c>
      <c r="CU52" s="560">
        <f>IF(Sheet1!ER54="FM",DA52,0)</f>
        <v>0</v>
      </c>
      <c r="CV52" s="560">
        <f t="shared" si="203"/>
        <v>0</v>
      </c>
      <c r="CW52" s="560">
        <f>IF(Sheet1!ER54="OTHER",DA52,0)</f>
        <v>0</v>
      </c>
      <c r="CX52" s="560">
        <f t="shared" si="204"/>
        <v>0</v>
      </c>
      <c r="CY52" s="560">
        <f t="shared" si="205"/>
        <v>3.71</v>
      </c>
      <c r="CZ52" s="560">
        <f t="shared" si="206"/>
        <v>3.7071079299837004</v>
      </c>
      <c r="DA52" s="560">
        <f>IF(OR(Sheet1!ER54="FM", Sheet1!ER54="OTHER"),SUM(Sheet1!BK54:'Sheet1'!BM54),0)</f>
        <v>0</v>
      </c>
      <c r="DB52" s="545">
        <f>IF(AND($B52&gt;=$FV52,$B52&lt;=$FW52),MAX($CT52,Sheet1!EK54,0),MAX($CT52-(7/36)*$K52,0))</f>
        <v>0</v>
      </c>
      <c r="DC52" s="560">
        <f t="shared" si="207"/>
        <v>0</v>
      </c>
      <c r="DD52" s="545">
        <f t="shared" si="208"/>
        <v>3.7071079299837004</v>
      </c>
      <c r="DE52" s="545">
        <f>IF(AND($O52&gt;0,Sheet1!EO54=1),(1-($O52-Sheet1!$L54)/$O52)*CZ52,0)</f>
        <v>0</v>
      </c>
      <c r="DF52" s="545">
        <f>IF(AND(Sheet1!$L54=0,Sheet1!$L53=0, Calculation!CY52&lt;Sheet1!$EK54-0.1,Sheet1!$EK54=Sheet1!$EK53,Sheet1!$EK54=Sheet1!$EK55),Sheet1!$EK54,CZ52-DE52)</f>
        <v>3.7071079299837004</v>
      </c>
      <c r="DG52" s="545"/>
      <c r="DH52" s="560">
        <f t="shared" si="209"/>
        <v>6.21</v>
      </c>
      <c r="DI52" s="560">
        <f t="shared" si="210"/>
        <v>0</v>
      </c>
      <c r="DJ52" s="698">
        <f t="shared" si="211"/>
        <v>6.2051590957409104</v>
      </c>
      <c r="DK52" s="560">
        <f ca="1">IF(B52&gt;Summary!$A$1,#N/A,DI52*MGtoAF)</f>
        <v>0</v>
      </c>
      <c r="DL52" s="698">
        <f t="shared" si="212"/>
        <v>6.21</v>
      </c>
      <c r="DM52" s="560">
        <f t="shared" si="213"/>
        <v>14.111000000000001</v>
      </c>
      <c r="DN52" s="560">
        <f>Sheet1!AB54-DM52</f>
        <v>-1.1000000000001009E-2</v>
      </c>
      <c r="DO52" s="823">
        <f t="shared" si="214"/>
        <v>-7.7953369711579673E-4</v>
      </c>
      <c r="DP52" s="560">
        <f>(VLOOKUP(Sheet1!DC54,hhdcap_wcm,4)-(((VLOOKUP(Sheet1!DC54,hhdcap_wcm,3)-Sheet1!DC54)/(VLOOKUP(Sheet1!DC54,hhdcap_wcm,3)-VLOOKUP(Sheet1!DC54,hhdcap_wcm,1)))*(VLOOKUP(Sheet1!DC54,hhdcap_wcm,4)-VLOOKUP(Sheet1!DC54,hhdcap_wcm,2))))</f>
        <v>926.00000000257614</v>
      </c>
      <c r="DQ52" s="560">
        <f t="shared" si="215"/>
        <v>-148.00000000037062</v>
      </c>
      <c r="DR52" s="560">
        <f t="shared" si="216"/>
        <v>-74.634392335033084</v>
      </c>
      <c r="DS52" s="560">
        <f>Sheet1!EA54*AFtoMG</f>
        <v>0</v>
      </c>
      <c r="DT52" s="560">
        <f>Sheet1!EB54*AFtoMG</f>
        <v>0</v>
      </c>
      <c r="DU52" s="560">
        <f>Sheet1!EC54*AFtoMG</f>
        <v>0</v>
      </c>
      <c r="DV52" s="560">
        <f>Sheet1!ED54*AFtoMG</f>
        <v>0</v>
      </c>
      <c r="DW52" s="560">
        <f t="shared" si="217"/>
        <v>0</v>
      </c>
      <c r="DX52" s="560">
        <f t="shared" si="218"/>
        <v>0</v>
      </c>
      <c r="DY52" s="560">
        <f t="shared" si="219"/>
        <v>0</v>
      </c>
      <c r="DZ52" s="560">
        <f t="shared" si="220"/>
        <v>0</v>
      </c>
      <c r="EA52" s="560"/>
      <c r="EB52" s="545">
        <f>IF(OR(B52&lt;FV52,B52&gt;FW52),(MIN(BF52+BY52+CT52+MAX(Sheet1!AA54+AQ52-73,0),K52)),0)</f>
        <v>6.2051590957409104</v>
      </c>
      <c r="EC52" s="560"/>
      <c r="ED52" s="560">
        <f t="shared" si="221"/>
        <v>6.2051590957409104</v>
      </c>
      <c r="EE52" s="560"/>
      <c r="EF52" s="560">
        <f>Sheet1!EH54+Sheet1!EI54+Sheet1!EJ54+Sheet1!EK54</f>
        <v>6.21</v>
      </c>
      <c r="EG52" s="560"/>
      <c r="EH52" s="545">
        <f t="shared" si="222"/>
        <v>0</v>
      </c>
      <c r="EI52" s="560">
        <f>IF(Sheet1!ET54=1,SUM('Calculations II'!AT52:BA52)+'Calculations II'!BC52+Sheet1!BV54+'Calculations II'!BE52+AP52,SUM('Calculations II'!AT52:BA52)+'Calculations II'!BC52+Sheet1!BV54+'Calculations II'!BE52+AP52)</f>
        <v>48.420575999999997</v>
      </c>
      <c r="EJ52" s="560">
        <f>Sheet1!AA54+Sheet1!AB54+'Calculations II'!BC52</f>
        <v>54.673296000000001</v>
      </c>
      <c r="EK52" s="560"/>
      <c r="EL52" s="560"/>
      <c r="EM52" s="560">
        <f t="shared" si="223"/>
        <v>41680</v>
      </c>
      <c r="EN52" s="560">
        <f t="shared" si="224"/>
        <v>0</v>
      </c>
      <c r="EO52" s="560">
        <f t="shared" si="225"/>
        <v>0</v>
      </c>
      <c r="EP52" s="560">
        <v>0</v>
      </c>
      <c r="EQ52" s="560">
        <v>0</v>
      </c>
      <c r="ER52" s="560">
        <v>0</v>
      </c>
      <c r="ES52" s="545">
        <f t="shared" si="77"/>
        <v>-2.4907654117604121</v>
      </c>
      <c r="ET52" s="560">
        <f>-(VLOOKUP(Sheet1!BQ54,Lookup!$O$4:$Q$262,2)-VLOOKUP(Sheet1!BQ53,Lookup!$O$4:$Q$262,2))/1000000</f>
        <v>-1.2453827058802061</v>
      </c>
      <c r="EU52" s="560">
        <f>-(VLOOKUP(Sheet1!BR54,Lookup!$O$4:$Q$262,3)-VLOOKUP(Sheet1!BR53,Lookup!$O$4:$Q$262,3))/1000000</f>
        <v>-1.2453827058802061</v>
      </c>
      <c r="EV52" s="560"/>
      <c r="EW52" s="560"/>
      <c r="EX52" s="560"/>
      <c r="EY52" s="560"/>
      <c r="EZ52" s="560"/>
      <c r="FA52" s="560"/>
      <c r="FB52" s="560"/>
      <c r="FC52" s="560"/>
      <c r="FD52" s="594" t="e">
        <f t="shared" si="226"/>
        <v>#N/A</v>
      </c>
      <c r="FE52" s="594" t="e">
        <f t="shared" si="227"/>
        <v>#N/A</v>
      </c>
      <c r="FF52" s="595" t="e">
        <f t="shared" si="228"/>
        <v>#N/A</v>
      </c>
      <c r="FG52" s="596" t="s">
        <v>692</v>
      </c>
      <c r="FH52" s="596" t="s">
        <v>692</v>
      </c>
      <c r="FI52" s="594" t="e">
        <v>#N/A</v>
      </c>
      <c r="FJ52" s="594" t="e">
        <v>#N/A</v>
      </c>
      <c r="FK52" s="560"/>
      <c r="FL52" s="560"/>
      <c r="FM52" s="560"/>
      <c r="FN52" s="560"/>
      <c r="FO52" s="560">
        <f>O52+((Sheet1!CS54)*GPMtoMGD)</f>
        <v>54.673296000000001</v>
      </c>
      <c r="FP52" s="560">
        <f>IF(Sheet1!AA54+AQ52&lt;=Calculation!N52,AQ52,Calculation!N52-Sheet1!AA54)</f>
        <v>6.8946212174899015</v>
      </c>
      <c r="FQ52" s="560">
        <f>(Sheet1!BP54+Sheet1!BO54)/694.4</f>
        <v>1.4961117511520738</v>
      </c>
      <c r="FR52" s="560"/>
      <c r="FS52" s="560"/>
      <c r="FT52" s="560"/>
      <c r="FU52" s="560"/>
      <c r="FV52" s="695">
        <f t="shared" si="80"/>
        <v>41827</v>
      </c>
      <c r="FW52" s="695">
        <f t="shared" si="81"/>
        <v>41934</v>
      </c>
      <c r="FX52" s="560"/>
      <c r="FY52" s="560"/>
      <c r="FZ52" s="560"/>
      <c r="GA52" s="560"/>
      <c r="GB52" s="560" t="str">
        <f t="shared" si="82"/>
        <v>n</v>
      </c>
      <c r="GC52" s="564">
        <f t="shared" si="83"/>
        <v>41691</v>
      </c>
      <c r="GD52" s="695">
        <f t="shared" si="84"/>
        <v>41807</v>
      </c>
      <c r="GE52" s="560">
        <v>6518.9</v>
      </c>
      <c r="GF52" s="695">
        <f t="shared" si="85"/>
        <v>41808</v>
      </c>
      <c r="GG52" s="560">
        <f t="shared" si="163"/>
        <v>3259</v>
      </c>
      <c r="GH52" s="564">
        <f t="shared" si="87"/>
        <v>41934</v>
      </c>
      <c r="GJ52" s="545">
        <f t="shared" si="88"/>
        <v>0</v>
      </c>
      <c r="GK52" s="560" t="str">
        <f t="shared" si="229"/>
        <v/>
      </c>
      <c r="GL52" s="560">
        <f t="shared" si="89"/>
        <v>0</v>
      </c>
      <c r="GM52" s="560" t="str">
        <f t="shared" si="90"/>
        <v/>
      </c>
      <c r="GN52" s="560">
        <f>IF(GK52="P",Lookup!$M$12,IF(GK52="PP",Lookup!$M$13,IF(GK52="PPP",Lookup!$M$14,IF(GK52="T",Lookup!$M$15,IF(GK52="TP",Lookup!$M$16,IF(GK52="TPP",Lookup!$M$17,IF(GK52="TPPP",Lookup!$M$18,0)))))))*GJ52</f>
        <v>0</v>
      </c>
      <c r="GO52" s="560">
        <f t="shared" si="91"/>
        <v>0</v>
      </c>
      <c r="GP52" s="560">
        <f t="shared" si="230"/>
        <v>0</v>
      </c>
      <c r="GQ52" s="560">
        <f t="shared" si="99"/>
        <v>0</v>
      </c>
      <c r="GR52" s="560"/>
      <c r="GS52" s="560">
        <f t="shared" si="92"/>
        <v>0</v>
      </c>
      <c r="GT52" s="560" t="str">
        <f t="shared" si="93"/>
        <v/>
      </c>
      <c r="GU52" s="560">
        <f>IF(GK52="P",Lookup!$N$12,IF(GK52="PP",Lookup!$N$13,IF(GK52="PPP",Lookup!$N$14,IF(GK52="T",Lookup!$N$15,IF(GK52="TP",Lookup!$N$16,IF(GK52="TPP",Lookup!$N$17,IF(GK52="TPPP",Lookup!$N$18,0)))))))*GJ52</f>
        <v>0</v>
      </c>
      <c r="GV52" s="560">
        <f t="shared" si="57"/>
        <v>0</v>
      </c>
      <c r="GW52" s="560">
        <f t="shared" si="231"/>
        <v>0</v>
      </c>
      <c r="GX52" s="560">
        <f t="shared" si="100"/>
        <v>0</v>
      </c>
      <c r="GY52" s="560"/>
      <c r="GZ52" s="560">
        <f t="shared" si="94"/>
        <v>0</v>
      </c>
      <c r="HA52" s="560" t="str">
        <f t="shared" si="95"/>
        <v/>
      </c>
      <c r="HB52" s="560">
        <f>IF(GK52="P",Lookup!$N$12,IF(GK52="PP",Lookup!$N$13,IF(GK52="PPP",Lookup!$N$14,IF(GK52="T",Lookup!$N$15,IF(GK52="TP",Lookup!$N$16,IF(GK52="TPP",Lookup!$N$17,IF(GK52="TPPP",Lookup!$N$18,0)))))))*GJ52</f>
        <v>0</v>
      </c>
      <c r="HC52" s="545">
        <f t="shared" si="232"/>
        <v>0</v>
      </c>
      <c r="HD52" s="560">
        <f t="shared" si="233"/>
        <v>0</v>
      </c>
      <c r="HE52" s="560">
        <f t="shared" si="101"/>
        <v>0</v>
      </c>
      <c r="HF52" s="560"/>
      <c r="HG52" s="560">
        <f t="shared" si="96"/>
        <v>0</v>
      </c>
      <c r="HH52" s="560" t="str">
        <f t="shared" si="97"/>
        <v/>
      </c>
      <c r="HI52" s="560">
        <f>IF(GK52="P",Lookup!$N$12,IF(GK52="PP",Lookup!$N$13,IF(GK52="PPP",Lookup!$N$14,IF(GK52="T",Lookup!$N$15,IF(GK52="TP",Lookup!$N$16,IF(GK52="TPP",Lookup!$N$17,IF(GK52="TPPP",Lookup!$N$18,0)))))))*GJ52</f>
        <v>0</v>
      </c>
      <c r="HJ52" s="545">
        <f t="shared" si="234"/>
        <v>0</v>
      </c>
      <c r="HK52" s="560">
        <f t="shared" si="235"/>
        <v>0</v>
      </c>
      <c r="HL52" s="560">
        <f t="shared" si="102"/>
        <v>0</v>
      </c>
      <c r="HM52" s="560"/>
    </row>
    <row r="53" spans="1:221">
      <c r="A53" s="580" t="s">
        <v>5</v>
      </c>
      <c r="B53" s="556">
        <v>41681</v>
      </c>
      <c r="C53" s="561">
        <v>0</v>
      </c>
      <c r="D53" s="529">
        <f t="shared" si="103"/>
        <v>300</v>
      </c>
      <c r="E53" s="529">
        <f t="shared" si="104"/>
        <v>250</v>
      </c>
      <c r="F53" s="529">
        <v>250</v>
      </c>
      <c r="G53" s="560">
        <f>DR53+Sheet1!CZ55</f>
        <v>767.96116994477961</v>
      </c>
      <c r="H53" s="914">
        <f t="shared" si="2"/>
        <v>229.44690025230554</v>
      </c>
      <c r="I53" s="559">
        <f>MAX(Sheet1!Z55-AT53+(Sheet1!DA55-E53)*CFStoMGD,0)</f>
        <v>757.46</v>
      </c>
      <c r="J53" s="562">
        <f>IF(AND(B53&gt;=Calculation!GC53,B53&lt;=Calculation!GD53),IF(Sheet1!DB55&gt;=Calculation!D53,64.64,0),MAX(Sheet1!Z55-AT53+(Sheet1!DB55-D53)*CFStoMGD,0))</f>
        <v>342.47120000000001</v>
      </c>
      <c r="K53" s="904">
        <f t="shared" si="171"/>
        <v>64.64</v>
      </c>
      <c r="L53" s="560">
        <f>Sheet1!AA55+Sheet1!AB55-Sheet1!L55+(Sheet1!DA55-F53)*CFStoMGD</f>
        <v>743.36</v>
      </c>
      <c r="M53" s="560">
        <f t="shared" si="172"/>
        <v>506.3383022573517</v>
      </c>
      <c r="N53" s="910">
        <f>IF(Sheet1!DA55&gt;=F53,MIN(73,MIN(MAX(L53,0),MAX(M53,0))),0)</f>
        <v>73</v>
      </c>
      <c r="O53" s="563">
        <f>Sheet1!AA55+Sheet1!AB55</f>
        <v>33.880000000000003</v>
      </c>
      <c r="P53" s="563">
        <f t="shared" si="173"/>
        <v>52.41236</v>
      </c>
      <c r="Q53" s="898">
        <f t="shared" si="63"/>
        <v>0</v>
      </c>
      <c r="R53" s="829">
        <f t="shared" si="174"/>
        <v>6.2111898016997165</v>
      </c>
      <c r="S53" s="898">
        <f t="shared" si="65"/>
        <v>33.880000000000003</v>
      </c>
      <c r="T53" s="898">
        <f t="shared" si="66"/>
        <v>0</v>
      </c>
      <c r="U53" s="898">
        <f t="shared" si="6"/>
        <v>0</v>
      </c>
      <c r="V53" s="898"/>
      <c r="W53" s="898">
        <f t="shared" si="67"/>
        <v>58.428810198300283</v>
      </c>
      <c r="X53" s="898">
        <f t="shared" si="68"/>
        <v>33.880000000000003</v>
      </c>
      <c r="Y53" s="898" t="str">
        <f t="shared" si="69"/>
        <v/>
      </c>
      <c r="Z53" s="898">
        <f t="shared" si="70"/>
        <v>33.880000000000003</v>
      </c>
      <c r="AA53" s="898">
        <f t="shared" si="71"/>
        <v>33.880000000000003</v>
      </c>
      <c r="AB53" s="898" t="str">
        <f t="shared" si="72"/>
        <v/>
      </c>
      <c r="AC53" s="563">
        <f>Sheet1!Y55*MGDtoCFS</f>
        <v>30.630600000000001</v>
      </c>
      <c r="AD53" s="563">
        <f>Sheet1!Z55*MGDtoCFS</f>
        <v>21.8127</v>
      </c>
      <c r="AE53" s="563">
        <f>Sheet1!AA55*MGDtoCFS</f>
        <v>30.59966</v>
      </c>
      <c r="AF53" s="563">
        <f>Sheet1!AB55*MGDtoCFS</f>
        <v>21.8127</v>
      </c>
      <c r="AG53" s="563">
        <f>Sheet1!L55*MGDtoCFS</f>
        <v>52.41236</v>
      </c>
      <c r="AH53" s="545">
        <f t="shared" si="175"/>
        <v>0</v>
      </c>
      <c r="AI53" s="560">
        <f t="shared" si="176"/>
        <v>0</v>
      </c>
      <c r="AJ53" s="560">
        <f t="shared" si="177"/>
        <v>0</v>
      </c>
      <c r="AK53" s="560">
        <f t="shared" si="178"/>
        <v>0</v>
      </c>
      <c r="AL53" s="560">
        <f>(VLOOKUP(Sheet1!DC55,hhdcap_wcm,4)-(((VLOOKUP(Sheet1!DC55,hhdcap_wcm,3)-Sheet1!DC55)/(VLOOKUP(Sheet1!DC55,hhdcap_wcm,3)-VLOOKUP(Sheet1!DC55,hhdcap_wcm,1)))*(VLOOKUP(Sheet1!DC55,hhdcap_wcm,4)-VLOOKUP(Sheet1!DC55,hhdcap_wcm,2))))</f>
        <v>963.60000000307411</v>
      </c>
      <c r="AM53" s="560">
        <f t="shared" si="179"/>
        <v>37.600000000497971</v>
      </c>
      <c r="AN53" s="560">
        <f t="shared" si="180"/>
        <v>0</v>
      </c>
      <c r="AO53" s="560">
        <f t="shared" si="181"/>
        <v>0</v>
      </c>
      <c r="AP53" s="560">
        <f>Sheet1!BA55+Sheet1!BB55+Sheet1!BN55+CD53</f>
        <v>7.9</v>
      </c>
      <c r="AQ53" s="560">
        <f>Sheet1!BN55+(DO53*Sheet1!BN55)</f>
        <v>6.8902266288951841</v>
      </c>
      <c r="AR53" s="560">
        <f>Sheet1!BA55+CD53</f>
        <v>0</v>
      </c>
      <c r="AS53" s="560">
        <f>Sheet1!BA55+Sheet1!BB55+CD53</f>
        <v>1</v>
      </c>
      <c r="AT53" s="698">
        <f>0</f>
        <v>0</v>
      </c>
      <c r="AU53" s="560">
        <f>IF(EB53&lt;K53,0,MAX(Sheet1!AA55+AQ53-15/36*K53-N53,Sheet1!EH55,0))</f>
        <v>0</v>
      </c>
      <c r="AV53" s="560">
        <f>IF(OR(B53&gt;=GD53,B53&lt;GC53),0,15/36*K53-MAX(0,64.6-(137.6-(Sheet1!AA55+Sheet1!AB55))))</f>
        <v>0</v>
      </c>
      <c r="AW53" s="698">
        <f>Sheet1!DB55-110</f>
        <v>698</v>
      </c>
      <c r="AX53" s="698">
        <f>Sheet1!DA55-265</f>
        <v>1135</v>
      </c>
      <c r="AY53" s="698">
        <f t="shared" si="182"/>
        <v>73</v>
      </c>
      <c r="AZ53" s="698">
        <v>0</v>
      </c>
      <c r="BA53" s="698">
        <f t="shared" si="183"/>
        <v>0</v>
      </c>
      <c r="BB53" s="560">
        <f t="shared" si="184"/>
        <v>0</v>
      </c>
      <c r="BC53" s="560"/>
      <c r="BD53" s="560">
        <f ca="1">IF(B53&gt;Summary!$A$1,#N/A,BB53*MGtoAF)</f>
        <v>0</v>
      </c>
      <c r="BE53" s="560">
        <f>Sheet1!BG55+Sheet1!BH55+Sheet1!BI55-BM53</f>
        <v>0</v>
      </c>
      <c r="BF53" s="560">
        <f t="shared" si="185"/>
        <v>0</v>
      </c>
      <c r="BG53" s="560">
        <f>IF(Sheet1!EP55="FM",BM53,0)</f>
        <v>0</v>
      </c>
      <c r="BH53" s="560">
        <f t="shared" si="186"/>
        <v>0</v>
      </c>
      <c r="BI53" s="560">
        <f>IF(Sheet1!EP55="OTHER",BM53,0)</f>
        <v>0</v>
      </c>
      <c r="BJ53" s="560">
        <f t="shared" si="187"/>
        <v>0</v>
      </c>
      <c r="BK53" s="560">
        <f t="shared" si="188"/>
        <v>0</v>
      </c>
      <c r="BL53" s="560">
        <f t="shared" si="189"/>
        <v>0</v>
      </c>
      <c r="BM53" s="560">
        <f>IF(OR(Sheet1!EP55="FM", Sheet1!EP55="OTHER"),SUM(Sheet1!BG55:'Sheet1'!BI55),0)</f>
        <v>0</v>
      </c>
      <c r="BN53" s="545">
        <f>IF(AND($B53&gt;=$FV53,$B53&lt;=$FW53),MAX(BF53,Sheet1!EI55,0),MAX(BF53-(7/36)*$K53,0))</f>
        <v>0</v>
      </c>
      <c r="BO53" s="560">
        <f t="shared" si="190"/>
        <v>0</v>
      </c>
      <c r="BP53" s="545">
        <f t="shared" si="191"/>
        <v>0</v>
      </c>
      <c r="BQ53" s="545">
        <f>IF(AND($O53&gt;0,Sheet1!EM55=1),(1-($O53-Sheet1!$L55)/$O53)*BL53,0)</f>
        <v>0</v>
      </c>
      <c r="BR53" s="545">
        <f>IF(AND(Sheet1!$L55=0,Sheet1!$L54=0, Calculation!BK53&lt;Sheet1!$EI55-0.1,Sheet1!$EI55=Sheet1!$EI54,Sheet1!$EI55=Sheet1!$EI56),Sheet1!$EI55,BL53-BQ53)</f>
        <v>0</v>
      </c>
      <c r="BS53" s="560"/>
      <c r="BT53" s="560"/>
      <c r="BU53" s="560">
        <f t="shared" si="192"/>
        <v>0</v>
      </c>
      <c r="BV53" s="560"/>
      <c r="BW53" s="560">
        <f ca="1">IF(B53&gt;Summary!$A$1,#N/A,BU53*MGtoAF)</f>
        <v>0</v>
      </c>
      <c r="BX53" s="560">
        <f>Sheet1!BC55+Sheet1!BD55+Sheet1!BE55+Sheet1!BF55-CG53-CH53</f>
        <v>2.5</v>
      </c>
      <c r="BY53" s="560">
        <f t="shared" si="193"/>
        <v>2.4964589235127477</v>
      </c>
      <c r="BZ53" s="560">
        <f>IF(Sheet1!EQ55="FM",CH53,0)</f>
        <v>0</v>
      </c>
      <c r="CA53" s="560">
        <f t="shared" si="194"/>
        <v>0</v>
      </c>
      <c r="CB53" s="560">
        <f>IF(Sheet1!EQ55="OTHER",CH53,0)</f>
        <v>0</v>
      </c>
      <c r="CC53" s="560">
        <f t="shared" si="195"/>
        <v>0</v>
      </c>
      <c r="CD53" s="560">
        <f t="shared" si="196"/>
        <v>0</v>
      </c>
      <c r="CE53" s="560">
        <f t="shared" si="197"/>
        <v>2.5</v>
      </c>
      <c r="CF53" s="560">
        <f t="shared" si="198"/>
        <v>2.4964589235127477</v>
      </c>
      <c r="CG53" s="560">
        <f>IF(Sheet1!EQ55="CWA",SUM(Sheet1!BC55:'Sheet1'!BF55),0)</f>
        <v>0</v>
      </c>
      <c r="CH53" s="560">
        <f>IF(OR(Sheet1!EQ55="FM", Sheet1!EQ55="OTHER"),SUM(Sheet1!BC55:'Sheet1'!BF55),0)</f>
        <v>0</v>
      </c>
      <c r="CI53" s="545">
        <f>IF(AND($B53&gt;=$FV53,$B53&lt;=$FW53),MAX(CF53,Sheet1!EJ55,0),MAX(CF53-(7/36)*$K53,0))</f>
        <v>0</v>
      </c>
      <c r="CJ53" s="560">
        <f t="shared" si="199"/>
        <v>0</v>
      </c>
      <c r="CK53" s="545">
        <f t="shared" si="200"/>
        <v>2.4964589235127477</v>
      </c>
      <c r="CL53" s="545">
        <f>IF(AND($O53&gt;0,Sheet1!EN55=1),(1-($O53-Sheet1!$L55)/$O53)*CF53,0)</f>
        <v>0</v>
      </c>
      <c r="CM53" s="545">
        <f>IF(AND(Sheet1!$L55=0,Sheet1!$L54=0, Calculation!CE53&lt;Sheet1!EJ55-0.1,Sheet1!EJ55=Sheet1!EJ54,Sheet1!EJ55=Sheet1!EJ56),Sheet1!EJ55,CF53-CL53)</f>
        <v>2.4964589235127477</v>
      </c>
      <c r="CN53" s="545"/>
      <c r="CO53" s="560"/>
      <c r="CP53" s="560">
        <f t="shared" si="201"/>
        <v>0</v>
      </c>
      <c r="CQ53" s="560"/>
      <c r="CR53" s="560">
        <f ca="1">IF(B53&gt;Summary!$A$1,#N/A,CP53*MGtoAF)</f>
        <v>0</v>
      </c>
      <c r="CS53" s="560">
        <f>Sheet1!BK55+Sheet1!BL55+Sheet1!BM55-Sheet1!ER55-DA53</f>
        <v>3.72</v>
      </c>
      <c r="CT53" s="560">
        <f t="shared" si="202"/>
        <v>3.7147308781869688</v>
      </c>
      <c r="CU53" s="560">
        <f>IF(Sheet1!ER55="FM",DA53,0)</f>
        <v>0</v>
      </c>
      <c r="CV53" s="560">
        <f t="shared" si="203"/>
        <v>0</v>
      </c>
      <c r="CW53" s="560">
        <f>IF(Sheet1!ER55="OTHER",DA53,0)</f>
        <v>0</v>
      </c>
      <c r="CX53" s="560">
        <f t="shared" si="204"/>
        <v>0</v>
      </c>
      <c r="CY53" s="560">
        <f t="shared" si="205"/>
        <v>3.72</v>
      </c>
      <c r="CZ53" s="560">
        <f t="shared" si="206"/>
        <v>3.7147308781869688</v>
      </c>
      <c r="DA53" s="560">
        <f>IF(OR(Sheet1!ER55="FM", Sheet1!ER55="OTHER"),SUM(Sheet1!BK55:'Sheet1'!BM55),0)</f>
        <v>0</v>
      </c>
      <c r="DB53" s="545">
        <f>IF(AND($B53&gt;=$FV53,$B53&lt;=$FW53),MAX($CT53,Sheet1!EK55,0),MAX($CT53-(7/36)*$K53,0))</f>
        <v>0</v>
      </c>
      <c r="DC53" s="560">
        <f t="shared" si="207"/>
        <v>0</v>
      </c>
      <c r="DD53" s="545">
        <f t="shared" si="208"/>
        <v>3.7147308781869688</v>
      </c>
      <c r="DE53" s="545">
        <f>IF(AND($O53&gt;0,Sheet1!EO55=1),(1-($O53-Sheet1!$L55)/$O53)*CZ53,0)</f>
        <v>0</v>
      </c>
      <c r="DF53" s="545">
        <f>IF(AND(Sheet1!$L55=0,Sheet1!$L54=0, Calculation!CY53&lt;Sheet1!$EK55-0.1,Sheet1!$EK55=Sheet1!$EK54,Sheet1!$EK55=Sheet1!$EK56),Sheet1!$EK55,CZ53-DE53)</f>
        <v>3.7147308781869688</v>
      </c>
      <c r="DG53" s="545"/>
      <c r="DH53" s="560">
        <f t="shared" si="209"/>
        <v>6.2200000000000006</v>
      </c>
      <c r="DI53" s="560">
        <f t="shared" si="210"/>
        <v>0</v>
      </c>
      <c r="DJ53" s="698">
        <f t="shared" si="211"/>
        <v>6.2111898016997165</v>
      </c>
      <c r="DK53" s="560">
        <f ca="1">IF(B53&gt;Summary!$A$1,#N/A,DI53*MGtoAF)</f>
        <v>0</v>
      </c>
      <c r="DL53" s="698">
        <f t="shared" si="212"/>
        <v>6.2200000000000006</v>
      </c>
      <c r="DM53" s="560">
        <f t="shared" si="213"/>
        <v>14.120000000000001</v>
      </c>
      <c r="DN53" s="560">
        <f>Sheet1!AB55-DM53</f>
        <v>-2.000000000000135E-2</v>
      </c>
      <c r="DO53" s="823">
        <f t="shared" si="214"/>
        <v>-1.4164305949009453E-3</v>
      </c>
      <c r="DP53" s="560">
        <f>(VLOOKUP(Sheet1!DC55,hhdcap_wcm,4)-(((VLOOKUP(Sheet1!DC55,hhdcap_wcm,3)-Sheet1!DC55)/(VLOOKUP(Sheet1!DC55,hhdcap_wcm,3)-VLOOKUP(Sheet1!DC55,hhdcap_wcm,1)))*(VLOOKUP(Sheet1!DC55,hhdcap_wcm,4)-VLOOKUP(Sheet1!DC55,hhdcap_wcm,2))))</f>
        <v>963.60000000307411</v>
      </c>
      <c r="DQ53" s="560">
        <f t="shared" si="215"/>
        <v>37.600000000497971</v>
      </c>
      <c r="DR53" s="560">
        <f t="shared" si="216"/>
        <v>18.961169944779609</v>
      </c>
      <c r="DS53" s="560">
        <f>Sheet1!EA55*AFtoMG</f>
        <v>0</v>
      </c>
      <c r="DT53" s="560">
        <f>Sheet1!EB55*AFtoMG</f>
        <v>0</v>
      </c>
      <c r="DU53" s="560">
        <f>Sheet1!EC55*AFtoMG</f>
        <v>0</v>
      </c>
      <c r="DV53" s="560">
        <f>Sheet1!ED55*AFtoMG</f>
        <v>0</v>
      </c>
      <c r="DW53" s="560">
        <f t="shared" si="217"/>
        <v>0</v>
      </c>
      <c r="DX53" s="560">
        <f t="shared" si="218"/>
        <v>0</v>
      </c>
      <c r="DY53" s="560">
        <f t="shared" si="219"/>
        <v>0</v>
      </c>
      <c r="DZ53" s="560">
        <f t="shared" si="220"/>
        <v>0</v>
      </c>
      <c r="EA53" s="560"/>
      <c r="EB53" s="545">
        <f>IF(OR(B53&lt;FV53,B53&gt;FW53),(MIN(BF53+BY53+CT53+MAX(Sheet1!AA55+AQ53-73,0),K53)),0)</f>
        <v>6.2111898016997165</v>
      </c>
      <c r="EC53" s="560"/>
      <c r="ED53" s="560">
        <f t="shared" si="221"/>
        <v>6.2111898016997165</v>
      </c>
      <c r="EE53" s="560"/>
      <c r="EF53" s="560">
        <f>Sheet1!EH55+Sheet1!EI55+Sheet1!EJ55+Sheet1!EK55</f>
        <v>6.2200000000000006</v>
      </c>
      <c r="EG53" s="560"/>
      <c r="EH53" s="545">
        <f t="shared" si="222"/>
        <v>0</v>
      </c>
      <c r="EI53" s="560">
        <f>IF(Sheet1!ET55=1,SUM('Calculations II'!AT53:BA53)+'Calculations II'!BC53+Sheet1!BV55+'Calculations II'!BE53+AP53,SUM('Calculations II'!AT53:BA53)+'Calculations II'!BC53+Sheet1!BV55+'Calculations II'!BE53+AP53)</f>
        <v>48.296655999999999</v>
      </c>
      <c r="EJ53" s="560">
        <f>Sheet1!AA55+Sheet1!AB55+'Calculations II'!BC53</f>
        <v>52.744864000000007</v>
      </c>
      <c r="EK53" s="560"/>
      <c r="EL53" s="560"/>
      <c r="EM53" s="560">
        <f t="shared" si="223"/>
        <v>41681</v>
      </c>
      <c r="EN53" s="560">
        <f t="shared" si="224"/>
        <v>0</v>
      </c>
      <c r="EO53" s="560">
        <f t="shared" si="225"/>
        <v>0</v>
      </c>
      <c r="EP53" s="560">
        <v>0</v>
      </c>
      <c r="EQ53" s="560">
        <v>0</v>
      </c>
      <c r="ER53" s="560">
        <v>0</v>
      </c>
      <c r="ES53" s="545">
        <f t="shared" si="77"/>
        <v>-1.5226469180409796</v>
      </c>
      <c r="ET53" s="560">
        <f>-(VLOOKUP(Sheet1!BQ55,Lookup!$O$4:$Q$262,2)-VLOOKUP(Sheet1!BQ54,Lookup!$O$4:$Q$262,2))/1000000</f>
        <v>-0.83054341932881992</v>
      </c>
      <c r="EU53" s="560">
        <f>-(VLOOKUP(Sheet1!BR55,Lookup!$O$4:$Q$262,3)-VLOOKUP(Sheet1!BR54,Lookup!$O$4:$Q$262,3))/1000000</f>
        <v>-0.6921034987121597</v>
      </c>
      <c r="EV53" s="560"/>
      <c r="EW53" s="560"/>
      <c r="EX53" s="560"/>
      <c r="EY53" s="560"/>
      <c r="EZ53" s="560"/>
      <c r="FA53" s="560"/>
      <c r="FB53" s="560"/>
      <c r="FC53" s="560"/>
      <c r="FD53" s="594" t="e">
        <f t="shared" si="226"/>
        <v>#N/A</v>
      </c>
      <c r="FE53" s="594" t="e">
        <f t="shared" si="227"/>
        <v>#N/A</v>
      </c>
      <c r="FF53" s="595" t="e">
        <f t="shared" si="228"/>
        <v>#N/A</v>
      </c>
      <c r="FG53" s="596" t="s">
        <v>692</v>
      </c>
      <c r="FH53" s="596" t="s">
        <v>692</v>
      </c>
      <c r="FI53" s="594" t="e">
        <v>#N/A</v>
      </c>
      <c r="FJ53" s="594" t="e">
        <v>#N/A</v>
      </c>
      <c r="FK53" s="560"/>
      <c r="FL53" s="560"/>
      <c r="FM53" s="560"/>
      <c r="FN53" s="560"/>
      <c r="FO53" s="560">
        <f>O53+((Sheet1!CS55)*GPMtoMGD)</f>
        <v>52.744864000000007</v>
      </c>
      <c r="FP53" s="560">
        <f>IF(Sheet1!AA55+AQ53&lt;=Calculation!N53,AQ53,Calculation!N53-Sheet1!AA55)</f>
        <v>6.8902266288951841</v>
      </c>
      <c r="FQ53" s="560">
        <f>(Sheet1!BP55+Sheet1!BO55)/694.4</f>
        <v>1.1893721198156681</v>
      </c>
      <c r="FR53" s="560"/>
      <c r="FS53" s="560"/>
      <c r="FT53" s="560"/>
      <c r="FU53" s="560"/>
      <c r="FV53" s="695">
        <f t="shared" si="80"/>
        <v>41827</v>
      </c>
      <c r="FW53" s="695">
        <f t="shared" si="81"/>
        <v>41934</v>
      </c>
      <c r="FX53" s="560"/>
      <c r="FY53" s="560"/>
      <c r="FZ53" s="560"/>
      <c r="GA53" s="560"/>
      <c r="GB53" s="560" t="str">
        <f t="shared" si="82"/>
        <v>n</v>
      </c>
      <c r="GC53" s="564">
        <f t="shared" si="83"/>
        <v>41691</v>
      </c>
      <c r="GD53" s="695">
        <f t="shared" si="84"/>
        <v>41807</v>
      </c>
      <c r="GE53" s="560">
        <v>6518.9</v>
      </c>
      <c r="GF53" s="695">
        <f t="shared" si="85"/>
        <v>41808</v>
      </c>
      <c r="GG53" s="560">
        <f t="shared" si="163"/>
        <v>3259</v>
      </c>
      <c r="GH53" s="564">
        <f t="shared" si="87"/>
        <v>41934</v>
      </c>
      <c r="GJ53" s="545">
        <f t="shared" si="88"/>
        <v>0</v>
      </c>
      <c r="GK53" s="560" t="str">
        <f t="shared" si="229"/>
        <v/>
      </c>
      <c r="GL53" s="560">
        <f t="shared" si="89"/>
        <v>0</v>
      </c>
      <c r="GM53" s="560" t="str">
        <f t="shared" si="90"/>
        <v/>
      </c>
      <c r="GN53" s="560">
        <f>IF(GK53="P",Lookup!$M$12,IF(GK53="PP",Lookup!$M$13,IF(GK53="PPP",Lookup!$M$14,IF(GK53="T",Lookup!$M$15,IF(GK53="TP",Lookup!$M$16,IF(GK53="TPP",Lookup!$M$17,IF(GK53="TPPP",Lookup!$M$18,0)))))))*GJ53</f>
        <v>0</v>
      </c>
      <c r="GO53" s="560">
        <f t="shared" si="91"/>
        <v>0</v>
      </c>
      <c r="GP53" s="560">
        <f t="shared" si="230"/>
        <v>0</v>
      </c>
      <c r="GQ53" s="560">
        <f t="shared" si="99"/>
        <v>0</v>
      </c>
      <c r="GR53" s="560"/>
      <c r="GS53" s="560">
        <f t="shared" si="92"/>
        <v>0</v>
      </c>
      <c r="GT53" s="560" t="str">
        <f t="shared" si="93"/>
        <v/>
      </c>
      <c r="GU53" s="560">
        <f>IF(GK53="P",Lookup!$N$12,IF(GK53="PP",Lookup!$N$13,IF(GK53="PPP",Lookup!$N$14,IF(GK53="T",Lookup!$N$15,IF(GK53="TP",Lookup!$N$16,IF(GK53="TPP",Lookup!$N$17,IF(GK53="TPPP",Lookup!$N$18,0)))))))*GJ53</f>
        <v>0</v>
      </c>
      <c r="GV53" s="560">
        <f t="shared" si="57"/>
        <v>0</v>
      </c>
      <c r="GW53" s="560">
        <f t="shared" si="231"/>
        <v>0</v>
      </c>
      <c r="GX53" s="560">
        <f t="shared" si="100"/>
        <v>0</v>
      </c>
      <c r="GY53" s="560"/>
      <c r="GZ53" s="560">
        <f t="shared" si="94"/>
        <v>0</v>
      </c>
      <c r="HA53" s="560" t="str">
        <f t="shared" si="95"/>
        <v/>
      </c>
      <c r="HB53" s="560">
        <f>IF(GK53="P",Lookup!$N$12,IF(GK53="PP",Lookup!$N$13,IF(GK53="PPP",Lookup!$N$14,IF(GK53="T",Lookup!$N$15,IF(GK53="TP",Lookup!$N$16,IF(GK53="TPP",Lookup!$N$17,IF(GK53="TPPP",Lookup!$N$18,0)))))))*GJ53</f>
        <v>0</v>
      </c>
      <c r="HC53" s="545">
        <f t="shared" si="232"/>
        <v>0</v>
      </c>
      <c r="HD53" s="560">
        <f t="shared" si="233"/>
        <v>0</v>
      </c>
      <c r="HE53" s="560">
        <f t="shared" si="101"/>
        <v>0</v>
      </c>
      <c r="HF53" s="560"/>
      <c r="HG53" s="560">
        <f t="shared" si="96"/>
        <v>0</v>
      </c>
      <c r="HH53" s="560" t="str">
        <f t="shared" si="97"/>
        <v/>
      </c>
      <c r="HI53" s="560">
        <f>IF(GK53="P",Lookup!$N$12,IF(GK53="PP",Lookup!$N$13,IF(GK53="PPP",Lookup!$N$14,IF(GK53="T",Lookup!$N$15,IF(GK53="TP",Lookup!$N$16,IF(GK53="TPP",Lookup!$N$17,IF(GK53="TPPP",Lookup!$N$18,0)))))))*GJ53</f>
        <v>0</v>
      </c>
      <c r="HJ53" s="545">
        <f t="shared" si="234"/>
        <v>0</v>
      </c>
      <c r="HK53" s="560">
        <f t="shared" si="235"/>
        <v>0</v>
      </c>
      <c r="HL53" s="560">
        <f t="shared" si="102"/>
        <v>0</v>
      </c>
      <c r="HM53" s="560"/>
    </row>
    <row r="54" spans="1:221">
      <c r="A54" s="580" t="s">
        <v>6</v>
      </c>
      <c r="B54" s="556">
        <v>41682</v>
      </c>
      <c r="C54" s="561">
        <v>0</v>
      </c>
      <c r="D54" s="529">
        <f t="shared" si="103"/>
        <v>300</v>
      </c>
      <c r="E54" s="529">
        <f t="shared" si="104"/>
        <v>250</v>
      </c>
      <c r="F54" s="529">
        <v>250</v>
      </c>
      <c r="G54" s="560">
        <f>DR54+Sheet1!CZ56</f>
        <v>1577.9576399397492</v>
      </c>
      <c r="H54" s="914">
        <f t="shared" si="2"/>
        <v>753.02861845705388</v>
      </c>
      <c r="I54" s="559">
        <f>MAX(Sheet1!Z56-AT54+(Sheet1!DA56-E54)*CFStoMGD,0)</f>
        <v>1209.9399999999998</v>
      </c>
      <c r="J54" s="562">
        <f>IF(AND(B54&gt;=Calculation!GC54,B54&lt;=Calculation!GD54),IF(Sheet1!DB56&gt;=Calculation!D54,64.64,0),MAX(Sheet1!Z56-AT54+(Sheet1!DB56-D54)*CFStoMGD,0))</f>
        <v>763.92399999999998</v>
      </c>
      <c r="K54" s="904">
        <f t="shared" si="171"/>
        <v>64.64</v>
      </c>
      <c r="L54" s="560">
        <f>Sheet1!AA56+Sheet1!AB56-Sheet1!L56+(Sheet1!DA56-F54)*CFStoMGD</f>
        <v>1195.8399999999999</v>
      </c>
      <c r="M54" s="560">
        <f t="shared" si="172"/>
        <v>1040.391654826195</v>
      </c>
      <c r="N54" s="910">
        <f>IF(Sheet1!DA56&gt;=F54,MIN(73,MIN(MAX(L54,0),MAX(M54,0))),0)</f>
        <v>73</v>
      </c>
      <c r="O54" s="563">
        <f>Sheet1!AA56+Sheet1!AB56</f>
        <v>33.42</v>
      </c>
      <c r="P54" s="563">
        <f t="shared" si="173"/>
        <v>51.700739999999996</v>
      </c>
      <c r="Q54" s="898">
        <f t="shared" si="63"/>
        <v>0</v>
      </c>
      <c r="R54" s="829">
        <f t="shared" si="174"/>
        <v>6.2490309310972219</v>
      </c>
      <c r="S54" s="898">
        <f t="shared" si="65"/>
        <v>33.42</v>
      </c>
      <c r="T54" s="898">
        <f t="shared" si="66"/>
        <v>0</v>
      </c>
      <c r="U54" s="898">
        <f t="shared" si="6"/>
        <v>0</v>
      </c>
      <c r="V54" s="898"/>
      <c r="W54" s="898">
        <f t="shared" si="67"/>
        <v>58.390969068902777</v>
      </c>
      <c r="X54" s="898">
        <f t="shared" si="68"/>
        <v>33.42</v>
      </c>
      <c r="Y54" s="898" t="str">
        <f t="shared" si="69"/>
        <v/>
      </c>
      <c r="Z54" s="898">
        <f t="shared" si="70"/>
        <v>33.42</v>
      </c>
      <c r="AA54" s="898">
        <f t="shared" si="71"/>
        <v>33.42</v>
      </c>
      <c r="AB54" s="898" t="str">
        <f t="shared" si="72"/>
        <v/>
      </c>
      <c r="AC54" s="563">
        <f>Sheet1!Y56*MGDtoCFS</f>
        <v>30.59966</v>
      </c>
      <c r="AD54" s="563">
        <f>Sheet1!Z56*MGDtoCFS</f>
        <v>21.8127</v>
      </c>
      <c r="AE54" s="563">
        <f>Sheet1!AA56*MGDtoCFS</f>
        <v>32.053839999999994</v>
      </c>
      <c r="AF54" s="563">
        <f>Sheet1!AB56*MGDtoCFS</f>
        <v>19.646899999999999</v>
      </c>
      <c r="AG54" s="563">
        <f>Sheet1!L56*MGDtoCFS</f>
        <v>51.700740000000003</v>
      </c>
      <c r="AH54" s="545">
        <f t="shared" si="175"/>
        <v>0</v>
      </c>
      <c r="AI54" s="560">
        <f t="shared" si="176"/>
        <v>0</v>
      </c>
      <c r="AJ54" s="560">
        <f t="shared" si="177"/>
        <v>0</v>
      </c>
      <c r="AK54" s="560">
        <f t="shared" si="178"/>
        <v>0</v>
      </c>
      <c r="AL54" s="560">
        <f>(VLOOKUP(Sheet1!DC56,hhdcap_wcm,4)-(((VLOOKUP(Sheet1!DC56,hhdcap_wcm,3)-Sheet1!DC56)/(VLOOKUP(Sheet1!DC56,hhdcap_wcm,3)-VLOOKUP(Sheet1!DC56,hhdcap_wcm,1)))*(VLOOKUP(Sheet1!DC56,hhdcap_wcm,4)-VLOOKUP(Sheet1!DC56,hhdcap_wcm,2))))</f>
        <v>1257.0000000035971</v>
      </c>
      <c r="AM54" s="560">
        <f t="shared" si="179"/>
        <v>293.40000000052294</v>
      </c>
      <c r="AN54" s="560">
        <f t="shared" si="180"/>
        <v>0</v>
      </c>
      <c r="AO54" s="560">
        <f t="shared" si="181"/>
        <v>0</v>
      </c>
      <c r="AP54" s="560">
        <f>Sheet1!BA56+Sheet1!BB56+Sheet1!BN56+CD54</f>
        <v>6.4210000000000003</v>
      </c>
      <c r="AQ54" s="560">
        <f>Sheet1!BN56+(DO54*Sheet1!BN56)</f>
        <v>5.5256704374653891</v>
      </c>
      <c r="AR54" s="560">
        <f>Sheet1!BA56+CD54</f>
        <v>0</v>
      </c>
      <c r="AS54" s="560">
        <f>Sheet1!BA56+Sheet1!BB56+CD54</f>
        <v>0.92100000000000004</v>
      </c>
      <c r="AT54" s="698">
        <f>0</f>
        <v>0</v>
      </c>
      <c r="AU54" s="560">
        <f>IF(EB54&lt;K54,0,MAX(Sheet1!AA56+AQ54-15/36*K54-N54,Sheet1!EH56,0))</f>
        <v>0</v>
      </c>
      <c r="AV54" s="560">
        <f>IF(OR(B54&gt;=GD54,B54&lt;GC54),0,15/36*K54-MAX(0,64.6-(137.6-(Sheet1!AA56+Sheet1!AB56))))</f>
        <v>0</v>
      </c>
      <c r="AW54" s="698">
        <f>Sheet1!DB56-110</f>
        <v>1350</v>
      </c>
      <c r="AX54" s="698">
        <f>Sheet1!DA56-265</f>
        <v>1835</v>
      </c>
      <c r="AY54" s="698">
        <f t="shared" si="182"/>
        <v>73</v>
      </c>
      <c r="AZ54" s="698">
        <v>0</v>
      </c>
      <c r="BA54" s="698">
        <f t="shared" si="183"/>
        <v>0</v>
      </c>
      <c r="BB54" s="560">
        <f t="shared" si="184"/>
        <v>0</v>
      </c>
      <c r="BC54" s="560"/>
      <c r="BD54" s="560">
        <f ca="1">IF(B54&gt;Summary!$A$1,#N/A,BB54*MGtoAF)</f>
        <v>0</v>
      </c>
      <c r="BE54" s="560">
        <f>Sheet1!BG56+Sheet1!BH56+Sheet1!BI56-BM54</f>
        <v>0</v>
      </c>
      <c r="BF54" s="560">
        <f t="shared" si="185"/>
        <v>0</v>
      </c>
      <c r="BG54" s="560">
        <f>IF(Sheet1!EP56="FM",BM54,0)</f>
        <v>0</v>
      </c>
      <c r="BH54" s="560">
        <f t="shared" si="186"/>
        <v>0</v>
      </c>
      <c r="BI54" s="560">
        <f>IF(Sheet1!EP56="OTHER",BM54,0)</f>
        <v>0</v>
      </c>
      <c r="BJ54" s="560">
        <f t="shared" si="187"/>
        <v>0</v>
      </c>
      <c r="BK54" s="560">
        <f t="shared" si="188"/>
        <v>0</v>
      </c>
      <c r="BL54" s="560">
        <f t="shared" si="189"/>
        <v>0</v>
      </c>
      <c r="BM54" s="560">
        <f>IF(OR(Sheet1!EP56="FM", Sheet1!EP56="OTHER"),SUM(Sheet1!BG56:'Sheet1'!BI56),0)</f>
        <v>0</v>
      </c>
      <c r="BN54" s="545">
        <f>IF(AND($B54&gt;=$FV54,$B54&lt;=$FW54),MAX(BF54,Sheet1!EI56,0),MAX(BF54-(7/36)*$K54,0))</f>
        <v>0</v>
      </c>
      <c r="BO54" s="560">
        <f t="shared" si="190"/>
        <v>0</v>
      </c>
      <c r="BP54" s="545">
        <f t="shared" si="191"/>
        <v>0</v>
      </c>
      <c r="BQ54" s="545">
        <f>IF(AND($O54&gt;0,Sheet1!EM56=1),(1-($O54-Sheet1!$L56)/$O54)*BL54,0)</f>
        <v>0</v>
      </c>
      <c r="BR54" s="545">
        <f>IF(AND(Sheet1!$L56=0,Sheet1!$L55=0, Calculation!BK54&lt;Sheet1!$EI56-0.1,Sheet1!$EI56=Sheet1!$EI55,Sheet1!$EI56=Sheet1!$EI57),Sheet1!$EI56,BL54-BQ54)</f>
        <v>0</v>
      </c>
      <c r="BS54" s="560"/>
      <c r="BT54" s="560"/>
      <c r="BU54" s="560">
        <f t="shared" si="192"/>
        <v>0</v>
      </c>
      <c r="BV54" s="560"/>
      <c r="BW54" s="560">
        <f ca="1">IF(B54&gt;Summary!$A$1,#N/A,BU54*MGtoAF)</f>
        <v>0</v>
      </c>
      <c r="BX54" s="560">
        <f>Sheet1!BC56+Sheet1!BD56+Sheet1!BE56+Sheet1!BF56-CG54-CH54</f>
        <v>2.5</v>
      </c>
      <c r="BY54" s="560">
        <f t="shared" si="193"/>
        <v>2.511668380666086</v>
      </c>
      <c r="BZ54" s="560">
        <f>IF(Sheet1!EQ56="FM",CH54,0)</f>
        <v>0</v>
      </c>
      <c r="CA54" s="560">
        <f t="shared" si="194"/>
        <v>0</v>
      </c>
      <c r="CB54" s="560">
        <f>IF(Sheet1!EQ56="OTHER",CH54,0)</f>
        <v>0</v>
      </c>
      <c r="CC54" s="560">
        <f t="shared" si="195"/>
        <v>0</v>
      </c>
      <c r="CD54" s="560">
        <f t="shared" si="196"/>
        <v>0</v>
      </c>
      <c r="CE54" s="560">
        <f t="shared" si="197"/>
        <v>2.5</v>
      </c>
      <c r="CF54" s="560">
        <f t="shared" si="198"/>
        <v>2.511668380666086</v>
      </c>
      <c r="CG54" s="560">
        <f>IF(Sheet1!EQ56="CWA",SUM(Sheet1!BC56:'Sheet1'!BF56),0)</f>
        <v>0</v>
      </c>
      <c r="CH54" s="560">
        <f>IF(OR(Sheet1!EQ56="FM", Sheet1!EQ56="OTHER"),SUM(Sheet1!BC56:'Sheet1'!BF56),0)</f>
        <v>0</v>
      </c>
      <c r="CI54" s="545">
        <f>IF(AND($B54&gt;=$FV54,$B54&lt;=$FW54),MAX(CF54,Sheet1!EJ56,0),MAX(CF54-(7/36)*$K54,0))</f>
        <v>0</v>
      </c>
      <c r="CJ54" s="560">
        <f t="shared" si="199"/>
        <v>0</v>
      </c>
      <c r="CK54" s="545">
        <f t="shared" si="200"/>
        <v>2.511668380666086</v>
      </c>
      <c r="CL54" s="545">
        <f>IF(AND($O54&gt;0,Sheet1!EN56=1),(1-($O54-Sheet1!$L56)/$O54)*CF54,0)</f>
        <v>0</v>
      </c>
      <c r="CM54" s="545">
        <f>IF(AND(Sheet1!$L56=0,Sheet1!$L55=0, Calculation!CE54&lt;Sheet1!EJ56-0.1,Sheet1!EJ56=Sheet1!EJ55,Sheet1!EJ56=Sheet1!EJ57),Sheet1!EJ56,CF54-CL54)</f>
        <v>2.511668380666086</v>
      </c>
      <c r="CN54" s="545"/>
      <c r="CO54" s="560"/>
      <c r="CP54" s="560">
        <f t="shared" si="201"/>
        <v>0</v>
      </c>
      <c r="CQ54" s="560"/>
      <c r="CR54" s="560">
        <f ca="1">IF(B54&gt;Summary!$A$1,#N/A,CP54*MGtoAF)</f>
        <v>0</v>
      </c>
      <c r="CS54" s="560">
        <f>Sheet1!BK56+Sheet1!BL56+Sheet1!BM56-Sheet1!ER56-DA54</f>
        <v>3.72</v>
      </c>
      <c r="CT54" s="560">
        <f t="shared" si="202"/>
        <v>3.7373625504311363</v>
      </c>
      <c r="CU54" s="560">
        <f>IF(Sheet1!ER56="FM",DA54,0)</f>
        <v>0</v>
      </c>
      <c r="CV54" s="560">
        <f t="shared" si="203"/>
        <v>0</v>
      </c>
      <c r="CW54" s="560">
        <f>IF(Sheet1!ER56="OTHER",DA54,0)</f>
        <v>0</v>
      </c>
      <c r="CX54" s="560">
        <f t="shared" si="204"/>
        <v>0</v>
      </c>
      <c r="CY54" s="560">
        <f t="shared" si="205"/>
        <v>3.72</v>
      </c>
      <c r="CZ54" s="560">
        <f t="shared" si="206"/>
        <v>3.7373625504311363</v>
      </c>
      <c r="DA54" s="560">
        <f>IF(OR(Sheet1!ER56="FM", Sheet1!ER56="OTHER"),SUM(Sheet1!BK56:'Sheet1'!BM56),0)</f>
        <v>0</v>
      </c>
      <c r="DB54" s="545">
        <f>IF(AND($B54&gt;=$FV54,$B54&lt;=$FW54),MAX($CT54,Sheet1!EK56,0),MAX($CT54-(7/36)*$K54,0))</f>
        <v>0</v>
      </c>
      <c r="DC54" s="560">
        <f t="shared" si="207"/>
        <v>0</v>
      </c>
      <c r="DD54" s="545">
        <f t="shared" si="208"/>
        <v>3.7373625504311363</v>
      </c>
      <c r="DE54" s="545">
        <f>IF(AND($O54&gt;0,Sheet1!EO56=1),(1-($O54-Sheet1!$L56)/$O54)*CZ54,0)</f>
        <v>0</v>
      </c>
      <c r="DF54" s="545">
        <f>IF(AND(Sheet1!$L56=0,Sheet1!$L55=0, Calculation!CY54&lt;Sheet1!$EK56-0.1,Sheet1!$EK56=Sheet1!$EK55,Sheet1!$EK56=Sheet1!$EK57),Sheet1!$EK56,CZ54-DE54)</f>
        <v>3.7373625504311363</v>
      </c>
      <c r="DG54" s="545"/>
      <c r="DH54" s="560">
        <f t="shared" si="209"/>
        <v>6.2200000000000006</v>
      </c>
      <c r="DI54" s="560">
        <f t="shared" si="210"/>
        <v>0</v>
      </c>
      <c r="DJ54" s="698">
        <f t="shared" si="211"/>
        <v>6.2490309310972219</v>
      </c>
      <c r="DK54" s="560">
        <f ca="1">IF(B54&gt;Summary!$A$1,#N/A,DI54*MGtoAF)</f>
        <v>0</v>
      </c>
      <c r="DL54" s="698">
        <f t="shared" si="212"/>
        <v>6.2200000000000006</v>
      </c>
      <c r="DM54" s="560">
        <f t="shared" si="213"/>
        <v>12.641000000000002</v>
      </c>
      <c r="DN54" s="560">
        <f>Sheet1!AB56-DM54</f>
        <v>5.8999999999997499E-2</v>
      </c>
      <c r="DO54" s="823">
        <f t="shared" si="214"/>
        <v>4.6673522664344193E-3</v>
      </c>
      <c r="DP54" s="560">
        <f>(VLOOKUP(Sheet1!DC56,hhdcap_wcm,4)-(((VLOOKUP(Sheet1!DC56,hhdcap_wcm,3)-Sheet1!DC56)/(VLOOKUP(Sheet1!DC56,hhdcap_wcm,3)-VLOOKUP(Sheet1!DC56,hhdcap_wcm,1)))*(VLOOKUP(Sheet1!DC56,hhdcap_wcm,4)-VLOOKUP(Sheet1!DC56,hhdcap_wcm,2))))</f>
        <v>1257.0000000035971</v>
      </c>
      <c r="DQ54" s="560">
        <f t="shared" si="215"/>
        <v>293.40000000052294</v>
      </c>
      <c r="DR54" s="560">
        <f t="shared" si="216"/>
        <v>147.95763993974933</v>
      </c>
      <c r="DS54" s="560">
        <f>Sheet1!EA56*AFtoMG</f>
        <v>0</v>
      </c>
      <c r="DT54" s="560">
        <f>Sheet1!EB56*AFtoMG</f>
        <v>0</v>
      </c>
      <c r="DU54" s="560">
        <f>Sheet1!EC56*AFtoMG</f>
        <v>0</v>
      </c>
      <c r="DV54" s="560">
        <f>Sheet1!ED56*AFtoMG</f>
        <v>0</v>
      </c>
      <c r="DW54" s="560">
        <f t="shared" si="217"/>
        <v>0</v>
      </c>
      <c r="DX54" s="560">
        <f t="shared" si="218"/>
        <v>0</v>
      </c>
      <c r="DY54" s="560">
        <f t="shared" si="219"/>
        <v>0</v>
      </c>
      <c r="DZ54" s="560">
        <f t="shared" si="220"/>
        <v>0</v>
      </c>
      <c r="EA54" s="560"/>
      <c r="EB54" s="545">
        <f>IF(OR(B54&lt;FV54,B54&gt;FW54),(MIN(BF54+BY54+CT54+MAX(Sheet1!AA56+AQ54-73,0),K54)),0)</f>
        <v>6.2490309310972219</v>
      </c>
      <c r="EC54" s="560"/>
      <c r="ED54" s="560">
        <f t="shared" si="221"/>
        <v>6.2490309310972219</v>
      </c>
      <c r="EE54" s="560"/>
      <c r="EF54" s="560">
        <f>Sheet1!EH56+Sheet1!EI56+Sheet1!EJ56+Sheet1!EK56</f>
        <v>6.2200000000000006</v>
      </c>
      <c r="EG54" s="560"/>
      <c r="EH54" s="545">
        <f t="shared" si="222"/>
        <v>0</v>
      </c>
      <c r="EI54" s="560">
        <f>IF(Sheet1!ET56=1,SUM('Calculations II'!AT54:BA54)+'Calculations II'!BC54+Sheet1!BV56+'Calculations II'!BE54+AP54,SUM('Calculations II'!AT54:BA54)+'Calculations II'!BC54+Sheet1!BV56+'Calculations II'!BE54+AP54)</f>
        <v>42.608255999999997</v>
      </c>
      <c r="EJ54" s="560">
        <f>Sheet1!AA56+Sheet1!AB56+'Calculations II'!BC54</f>
        <v>53.648831999999999</v>
      </c>
      <c r="EK54" s="560"/>
      <c r="EL54" s="560"/>
      <c r="EM54" s="560">
        <f t="shared" si="223"/>
        <v>41682</v>
      </c>
      <c r="EN54" s="560">
        <f t="shared" si="224"/>
        <v>0</v>
      </c>
      <c r="EO54" s="560">
        <f t="shared" si="225"/>
        <v>0</v>
      </c>
      <c r="EP54" s="560">
        <v>0</v>
      </c>
      <c r="EQ54" s="560">
        <v>0</v>
      </c>
      <c r="ER54" s="560">
        <v>0</v>
      </c>
      <c r="ES54" s="545">
        <f t="shared" si="77"/>
        <v>-7.2032080254496567</v>
      </c>
      <c r="ET54" s="560">
        <f>-(VLOOKUP(Sheet1!BQ56,Lookup!$O$4:$Q$262,2)-VLOOKUP(Sheet1!BQ55,Lookup!$O$4:$Q$262,2))/1000000</f>
        <v>-3.6016873316805662</v>
      </c>
      <c r="EU54" s="560">
        <f>-(VLOOKUP(Sheet1!BR56,Lookup!$O$4:$Q$262,3)-VLOOKUP(Sheet1!BR55,Lookup!$O$4:$Q$262,3))/1000000</f>
        <v>-3.60152069376909</v>
      </c>
      <c r="EV54" s="560"/>
      <c r="EW54" s="560"/>
      <c r="EX54" s="560"/>
      <c r="EY54" s="560"/>
      <c r="EZ54" s="560"/>
      <c r="FA54" s="560"/>
      <c r="FB54" s="560"/>
      <c r="FC54" s="560"/>
      <c r="FD54" s="594" t="e">
        <f t="shared" si="226"/>
        <v>#N/A</v>
      </c>
      <c r="FE54" s="594" t="e">
        <f t="shared" si="227"/>
        <v>#N/A</v>
      </c>
      <c r="FF54" s="595" t="e">
        <f t="shared" si="228"/>
        <v>#N/A</v>
      </c>
      <c r="FG54" s="596" t="s">
        <v>692</v>
      </c>
      <c r="FH54" s="596" t="s">
        <v>692</v>
      </c>
      <c r="FI54" s="594" t="e">
        <v>#N/A</v>
      </c>
      <c r="FJ54" s="594" t="e">
        <v>#N/A</v>
      </c>
      <c r="FK54" s="560"/>
      <c r="FL54" s="560"/>
      <c r="FM54" s="560"/>
      <c r="FN54" s="560"/>
      <c r="FO54" s="560">
        <f>O54+((Sheet1!CS56)*GPMtoMGD)</f>
        <v>53.648831999999999</v>
      </c>
      <c r="FP54" s="560">
        <f>IF(Sheet1!AA56+AQ54&lt;=Calculation!N54,AQ54,Calculation!N54-Sheet1!AA56)</f>
        <v>5.5256704374653891</v>
      </c>
      <c r="FQ54" s="560">
        <f>(Sheet1!BP56+Sheet1!BO56)/694.4</f>
        <v>1.5758928571428572</v>
      </c>
      <c r="FR54" s="560"/>
      <c r="FS54" s="560"/>
      <c r="FT54" s="560"/>
      <c r="FU54" s="560"/>
      <c r="FV54" s="695">
        <f t="shared" si="80"/>
        <v>41827</v>
      </c>
      <c r="FW54" s="695">
        <f t="shared" si="81"/>
        <v>41934</v>
      </c>
      <c r="FX54" s="560"/>
      <c r="FY54" s="560"/>
      <c r="FZ54" s="560"/>
      <c r="GA54" s="560"/>
      <c r="GB54" s="560" t="str">
        <f t="shared" si="82"/>
        <v>n</v>
      </c>
      <c r="GC54" s="564">
        <f t="shared" si="83"/>
        <v>41691</v>
      </c>
      <c r="GD54" s="695">
        <f t="shared" si="84"/>
        <v>41807</v>
      </c>
      <c r="GE54" s="560">
        <v>6518.9</v>
      </c>
      <c r="GF54" s="695">
        <f t="shared" si="85"/>
        <v>41808</v>
      </c>
      <c r="GG54" s="560">
        <f t="shared" si="163"/>
        <v>3259</v>
      </c>
      <c r="GH54" s="564">
        <f t="shared" si="87"/>
        <v>41934</v>
      </c>
      <c r="GJ54" s="545">
        <f t="shared" si="88"/>
        <v>0</v>
      </c>
      <c r="GK54" s="560" t="str">
        <f t="shared" si="229"/>
        <v/>
      </c>
      <c r="GL54" s="560">
        <f t="shared" si="89"/>
        <v>0</v>
      </c>
      <c r="GM54" s="560" t="str">
        <f t="shared" si="90"/>
        <v/>
      </c>
      <c r="GN54" s="560">
        <f>IF(GK54="P",Lookup!$M$12,IF(GK54="PP",Lookup!$M$13,IF(GK54="PPP",Lookup!$M$14,IF(GK54="T",Lookup!$M$15,IF(GK54="TP",Lookup!$M$16,IF(GK54="TPP",Lookup!$M$17,IF(GK54="TPPP",Lookup!$M$18,0)))))))*GJ54</f>
        <v>0</v>
      </c>
      <c r="GO54" s="560">
        <f t="shared" si="91"/>
        <v>0</v>
      </c>
      <c r="GP54" s="560">
        <f t="shared" si="230"/>
        <v>0</v>
      </c>
      <c r="GQ54" s="560">
        <f t="shared" si="99"/>
        <v>0</v>
      </c>
      <c r="GR54" s="560"/>
      <c r="GS54" s="560">
        <f t="shared" si="92"/>
        <v>0</v>
      </c>
      <c r="GT54" s="560" t="str">
        <f t="shared" si="93"/>
        <v/>
      </c>
      <c r="GU54" s="560">
        <f>IF(GK54="P",Lookup!$N$12,IF(GK54="PP",Lookup!$N$13,IF(GK54="PPP",Lookup!$N$14,IF(GK54="T",Lookup!$N$15,IF(GK54="TP",Lookup!$N$16,IF(GK54="TPP",Lookup!$N$17,IF(GK54="TPPP",Lookup!$N$18,0)))))))*GJ54</f>
        <v>0</v>
      </c>
      <c r="GV54" s="560">
        <f t="shared" si="57"/>
        <v>0</v>
      </c>
      <c r="GW54" s="560">
        <f t="shared" si="231"/>
        <v>0</v>
      </c>
      <c r="GX54" s="560">
        <f t="shared" si="100"/>
        <v>0</v>
      </c>
      <c r="GY54" s="560"/>
      <c r="GZ54" s="560">
        <f t="shared" si="94"/>
        <v>0</v>
      </c>
      <c r="HA54" s="560" t="str">
        <f t="shared" si="95"/>
        <v/>
      </c>
      <c r="HB54" s="560">
        <f>IF(GK54="P",Lookup!$N$12,IF(GK54="PP",Lookup!$N$13,IF(GK54="PPP",Lookup!$N$14,IF(GK54="T",Lookup!$N$15,IF(GK54="TP",Lookup!$N$16,IF(GK54="TPP",Lookup!$N$17,IF(GK54="TPPP",Lookup!$N$18,0)))))))*GJ54</f>
        <v>0</v>
      </c>
      <c r="HC54" s="545">
        <f t="shared" si="232"/>
        <v>0</v>
      </c>
      <c r="HD54" s="560">
        <f t="shared" si="233"/>
        <v>0</v>
      </c>
      <c r="HE54" s="560">
        <f t="shared" si="101"/>
        <v>0</v>
      </c>
      <c r="HF54" s="560"/>
      <c r="HG54" s="560">
        <f t="shared" si="96"/>
        <v>0</v>
      </c>
      <c r="HH54" s="560" t="str">
        <f t="shared" si="97"/>
        <v/>
      </c>
      <c r="HI54" s="560">
        <f>IF(GK54="P",Lookup!$N$12,IF(GK54="PP",Lookup!$N$13,IF(GK54="PPP",Lookup!$N$14,IF(GK54="T",Lookup!$N$15,IF(GK54="TP",Lookup!$N$16,IF(GK54="TPP",Lookup!$N$17,IF(GK54="TPPP",Lookup!$N$18,0)))))))*GJ54</f>
        <v>0</v>
      </c>
      <c r="HJ54" s="545">
        <f t="shared" si="234"/>
        <v>0</v>
      </c>
      <c r="HK54" s="560">
        <f t="shared" si="235"/>
        <v>0</v>
      </c>
      <c r="HL54" s="560">
        <f t="shared" si="102"/>
        <v>0</v>
      </c>
      <c r="HM54" s="560"/>
    </row>
    <row r="55" spans="1:221">
      <c r="A55" s="580" t="s">
        <v>7</v>
      </c>
      <c r="B55" s="556">
        <v>41683</v>
      </c>
      <c r="C55" s="561">
        <v>0</v>
      </c>
      <c r="D55" s="529">
        <f t="shared" si="103"/>
        <v>300</v>
      </c>
      <c r="E55" s="529">
        <f t="shared" si="104"/>
        <v>250</v>
      </c>
      <c r="F55" s="529">
        <v>250</v>
      </c>
      <c r="G55" s="560">
        <f>DR55+Sheet1!CZ57</f>
        <v>1921.3313161874798</v>
      </c>
      <c r="H55" s="914">
        <f t="shared" si="2"/>
        <v>974.98536278358688</v>
      </c>
      <c r="I55" s="559">
        <f>MAX(Sheet1!Z57-AT55+(Sheet1!DA57-E55)*CFStoMGD,0)</f>
        <v>1538.204</v>
      </c>
      <c r="J55" s="562">
        <f>IF(AND(B55&gt;=Calculation!GC55,B55&lt;=Calculation!GD55),IF(Sheet1!DB57&gt;=Calculation!D55,64.64,0),MAX(Sheet1!Z57-AT55+(Sheet1!DB57-D55)*CFStoMGD,0))</f>
        <v>1053.404</v>
      </c>
      <c r="K55" s="904">
        <f t="shared" si="171"/>
        <v>64.64</v>
      </c>
      <c r="L55" s="560">
        <f>Sheet1!AA57+Sheet1!AB57-Sheet1!L57+(Sheet1!DA57-F55)*CFStoMGD</f>
        <v>1525.5039999999999</v>
      </c>
      <c r="M55" s="560">
        <f t="shared" si="172"/>
        <v>1266.7875340392588</v>
      </c>
      <c r="N55" s="910">
        <f>IF(Sheet1!DA57&gt;=F55,MIN(73,MIN(MAX(L55,0),MAX(M55,0))),0)</f>
        <v>73</v>
      </c>
      <c r="O55" s="563">
        <f>Sheet1!AA57+Sheet1!AB57</f>
        <v>31.7</v>
      </c>
      <c r="P55" s="563">
        <f t="shared" si="173"/>
        <v>49.039899999999996</v>
      </c>
      <c r="Q55" s="898">
        <f t="shared" si="63"/>
        <v>0</v>
      </c>
      <c r="R55" s="829">
        <f t="shared" si="174"/>
        <v>6.2050480769230774</v>
      </c>
      <c r="S55" s="898">
        <f t="shared" si="65"/>
        <v>31.7</v>
      </c>
      <c r="T55" s="898">
        <f t="shared" si="66"/>
        <v>0</v>
      </c>
      <c r="U55" s="898">
        <f t="shared" si="6"/>
        <v>0</v>
      </c>
      <c r="V55" s="898"/>
      <c r="W55" s="898">
        <f t="shared" si="67"/>
        <v>58.434951923076923</v>
      </c>
      <c r="X55" s="898">
        <f t="shared" si="68"/>
        <v>31.7</v>
      </c>
      <c r="Y55" s="898" t="str">
        <f t="shared" si="69"/>
        <v/>
      </c>
      <c r="Z55" s="898">
        <f t="shared" si="70"/>
        <v>31.7</v>
      </c>
      <c r="AA55" s="898">
        <f t="shared" si="71"/>
        <v>31.7</v>
      </c>
      <c r="AB55" s="898" t="str">
        <f t="shared" si="72"/>
        <v/>
      </c>
      <c r="AC55" s="563">
        <f>Sheet1!Y57*MGDtoCFS</f>
        <v>32.053839999999994</v>
      </c>
      <c r="AD55" s="563">
        <f>Sheet1!Z57*MGDtoCFS</f>
        <v>19.646899999999999</v>
      </c>
      <c r="AE55" s="563">
        <f>Sheet1!AA57*MGDtoCFS</f>
        <v>36.199799999999996</v>
      </c>
      <c r="AF55" s="563">
        <f>Sheet1!AB57*MGDtoCFS</f>
        <v>12.840100000000001</v>
      </c>
      <c r="AG55" s="563">
        <f>Sheet1!L57*MGDtoCFS</f>
        <v>49.039899999999996</v>
      </c>
      <c r="AH55" s="545">
        <f t="shared" si="175"/>
        <v>0</v>
      </c>
      <c r="AI55" s="560">
        <f t="shared" si="176"/>
        <v>0</v>
      </c>
      <c r="AJ55" s="560">
        <f t="shared" si="177"/>
        <v>0</v>
      </c>
      <c r="AK55" s="560">
        <f t="shared" si="178"/>
        <v>0</v>
      </c>
      <c r="AL55" s="560">
        <f>(VLOOKUP(Sheet1!DC57,hhdcap_wcm,4)-(((VLOOKUP(Sheet1!DC57,hhdcap_wcm,3)-Sheet1!DC57)/(VLOOKUP(Sheet1!DC57,hhdcap_wcm,3)-VLOOKUP(Sheet1!DC57,hhdcap_wcm,1)))*(VLOOKUP(Sheet1!DC57,hhdcap_wcm,4)-VLOOKUP(Sheet1!DC57,hhdcap_wcm,2))))</f>
        <v>1299.3000000033696</v>
      </c>
      <c r="AM55" s="560">
        <f t="shared" si="179"/>
        <v>42.299999999772581</v>
      </c>
      <c r="AN55" s="560">
        <f t="shared" si="180"/>
        <v>0</v>
      </c>
      <c r="AO55" s="560">
        <f t="shared" si="181"/>
        <v>0</v>
      </c>
      <c r="AP55" s="560">
        <f>Sheet1!BA57+Sheet1!BB57+Sheet1!BN57+CD55</f>
        <v>2.1</v>
      </c>
      <c r="AQ55" s="560">
        <f>Sheet1!BN57+(DO55*Sheet1!BN57)</f>
        <v>1.0973557692307694</v>
      </c>
      <c r="AR55" s="560">
        <f>Sheet1!BA57+CD55</f>
        <v>0</v>
      </c>
      <c r="AS55" s="560">
        <f>Sheet1!BA57+Sheet1!BB57+CD55</f>
        <v>1</v>
      </c>
      <c r="AT55" s="698">
        <f>0</f>
        <v>0</v>
      </c>
      <c r="AU55" s="560">
        <f>IF(EB55&lt;K55,0,MAX(Sheet1!AA57+AQ55-15/36*K55-N55,Sheet1!EH57,0))</f>
        <v>0</v>
      </c>
      <c r="AV55" s="560">
        <f>IF(OR(B55&gt;=GD55,B55&lt;GC55),0,15/36*K55-MAX(0,64.6-(137.6-(Sheet1!AA57+Sheet1!AB57))))</f>
        <v>0</v>
      </c>
      <c r="AW55" s="698">
        <f>Sheet1!DB57-110</f>
        <v>1800</v>
      </c>
      <c r="AX55" s="698">
        <f>Sheet1!DA57-265</f>
        <v>2345</v>
      </c>
      <c r="AY55" s="698">
        <f t="shared" si="182"/>
        <v>73</v>
      </c>
      <c r="AZ55" s="698">
        <v>0</v>
      </c>
      <c r="BA55" s="698">
        <f t="shared" si="183"/>
        <v>0</v>
      </c>
      <c r="BB55" s="560">
        <f t="shared" si="184"/>
        <v>0</v>
      </c>
      <c r="BC55" s="560"/>
      <c r="BD55" s="560">
        <f ca="1">IF(B55&gt;Summary!$A$1,#N/A,BB55*MGtoAF)</f>
        <v>0</v>
      </c>
      <c r="BE55" s="560">
        <f>Sheet1!BG57+Sheet1!BH57+Sheet1!BI57-BM55</f>
        <v>0</v>
      </c>
      <c r="BF55" s="560">
        <f t="shared" si="185"/>
        <v>0</v>
      </c>
      <c r="BG55" s="560">
        <f>IF(Sheet1!EP57="FM",BM55,0)</f>
        <v>0</v>
      </c>
      <c r="BH55" s="560">
        <f t="shared" si="186"/>
        <v>0</v>
      </c>
      <c r="BI55" s="560">
        <f>IF(Sheet1!EP57="OTHER",BM55,0)</f>
        <v>0</v>
      </c>
      <c r="BJ55" s="560">
        <f t="shared" si="187"/>
        <v>0</v>
      </c>
      <c r="BK55" s="560">
        <f t="shared" si="188"/>
        <v>0</v>
      </c>
      <c r="BL55" s="560">
        <f t="shared" si="189"/>
        <v>0</v>
      </c>
      <c r="BM55" s="560">
        <f>IF(OR(Sheet1!EP57="FM", Sheet1!EP57="OTHER"),SUM(Sheet1!BG57:'Sheet1'!BI57),0)</f>
        <v>0</v>
      </c>
      <c r="BN55" s="545">
        <f>IF(AND($B55&gt;=$FV55,$B55&lt;=$FW55),MAX(BF55,Sheet1!EI57,0),MAX(BF55-(7/36)*$K55,0))</f>
        <v>0</v>
      </c>
      <c r="BO55" s="560">
        <f t="shared" si="190"/>
        <v>0</v>
      </c>
      <c r="BP55" s="545">
        <f t="shared" si="191"/>
        <v>0</v>
      </c>
      <c r="BQ55" s="545">
        <f>IF(AND($O55&gt;0,Sheet1!EM57=1),(1-($O55-Sheet1!$L57)/$O55)*BL55,0)</f>
        <v>0</v>
      </c>
      <c r="BR55" s="545">
        <f>IF(AND(Sheet1!$L57=0,Sheet1!$L56=0, Calculation!BK55&lt;Sheet1!$EI57-0.1,Sheet1!$EI57=Sheet1!$EI56,Sheet1!$EI57=Sheet1!$EI58),Sheet1!$EI57,BL55-BQ55)</f>
        <v>0</v>
      </c>
      <c r="BS55" s="560"/>
      <c r="BT55" s="560"/>
      <c r="BU55" s="560">
        <f t="shared" si="192"/>
        <v>0</v>
      </c>
      <c r="BV55" s="560"/>
      <c r="BW55" s="560">
        <f ca="1">IF(B55&gt;Summary!$A$1,#N/A,BU55*MGtoAF)</f>
        <v>0</v>
      </c>
      <c r="BX55" s="560">
        <f>Sheet1!BC57+Sheet1!BD57+Sheet1!BE57+Sheet1!BF57-CG55-CH55</f>
        <v>2.5</v>
      </c>
      <c r="BY55" s="560">
        <f t="shared" si="193"/>
        <v>2.4939903846153846</v>
      </c>
      <c r="BZ55" s="560">
        <f>IF(Sheet1!EQ57="FM",CH55,0)</f>
        <v>0</v>
      </c>
      <c r="CA55" s="560">
        <f t="shared" si="194"/>
        <v>0</v>
      </c>
      <c r="CB55" s="560">
        <f>IF(Sheet1!EQ57="OTHER",CH55,0)</f>
        <v>0</v>
      </c>
      <c r="CC55" s="560">
        <f t="shared" si="195"/>
        <v>0</v>
      </c>
      <c r="CD55" s="560">
        <f t="shared" si="196"/>
        <v>0</v>
      </c>
      <c r="CE55" s="560">
        <f t="shared" si="197"/>
        <v>2.5</v>
      </c>
      <c r="CF55" s="560">
        <f t="shared" si="198"/>
        <v>2.4939903846153846</v>
      </c>
      <c r="CG55" s="560">
        <f>IF(Sheet1!EQ57="CWA",SUM(Sheet1!BC57:'Sheet1'!BF57),0)</f>
        <v>0</v>
      </c>
      <c r="CH55" s="560">
        <f>IF(OR(Sheet1!EQ57="FM", Sheet1!EQ57="OTHER"),SUM(Sheet1!BC57:'Sheet1'!BF57),0)</f>
        <v>0</v>
      </c>
      <c r="CI55" s="545">
        <f>IF(AND($B55&gt;=$FV55,$B55&lt;=$FW55),MAX(CF55,Sheet1!EJ57,0),MAX(CF55-(7/36)*$K55,0))</f>
        <v>0</v>
      </c>
      <c r="CJ55" s="560">
        <f t="shared" si="199"/>
        <v>0</v>
      </c>
      <c r="CK55" s="545">
        <f t="shared" si="200"/>
        <v>2.4939903846153846</v>
      </c>
      <c r="CL55" s="545">
        <f>IF(AND($O55&gt;0,Sheet1!EN57=1),(1-($O55-Sheet1!$L57)/$O55)*CF55,0)</f>
        <v>0</v>
      </c>
      <c r="CM55" s="545">
        <f>IF(AND(Sheet1!$L57=0,Sheet1!$L56=0, Calculation!CE55&lt;Sheet1!EJ57-0.1,Sheet1!EJ57=Sheet1!EJ56,Sheet1!EJ57=Sheet1!EJ58),Sheet1!EJ57,CF55-CL55)</f>
        <v>2.4939903846153846</v>
      </c>
      <c r="CN55" s="545"/>
      <c r="CO55" s="560"/>
      <c r="CP55" s="560">
        <f t="shared" si="201"/>
        <v>0</v>
      </c>
      <c r="CQ55" s="560"/>
      <c r="CR55" s="560">
        <f ca="1">IF(B55&gt;Summary!$A$1,#N/A,CP55*MGtoAF)</f>
        <v>0</v>
      </c>
      <c r="CS55" s="560">
        <f>Sheet1!BK57+Sheet1!BL57+Sheet1!BM57-Sheet1!ER57-DA55</f>
        <v>3.72</v>
      </c>
      <c r="CT55" s="560">
        <f t="shared" si="202"/>
        <v>3.7110576923076928</v>
      </c>
      <c r="CU55" s="560">
        <f>IF(Sheet1!ER57="FM",DA55,0)</f>
        <v>0</v>
      </c>
      <c r="CV55" s="560">
        <f t="shared" si="203"/>
        <v>0</v>
      </c>
      <c r="CW55" s="560">
        <f>IF(Sheet1!ER57="OTHER",DA55,0)</f>
        <v>0</v>
      </c>
      <c r="CX55" s="560">
        <f t="shared" si="204"/>
        <v>0</v>
      </c>
      <c r="CY55" s="560">
        <f t="shared" si="205"/>
        <v>3.72</v>
      </c>
      <c r="CZ55" s="560">
        <f t="shared" si="206"/>
        <v>3.7110576923076928</v>
      </c>
      <c r="DA55" s="560">
        <f>IF(OR(Sheet1!ER57="FM", Sheet1!ER57="OTHER"),SUM(Sheet1!BK57:'Sheet1'!BM57),0)</f>
        <v>0</v>
      </c>
      <c r="DB55" s="545">
        <f>IF(AND($B55&gt;=$FV55,$B55&lt;=$FW55),MAX($CT55,Sheet1!EK57,0),MAX($CT55-(7/36)*$K55,0))</f>
        <v>0</v>
      </c>
      <c r="DC55" s="560">
        <f t="shared" si="207"/>
        <v>0</v>
      </c>
      <c r="DD55" s="545">
        <f t="shared" si="208"/>
        <v>3.7110576923076928</v>
      </c>
      <c r="DE55" s="545">
        <f>IF(AND($O55&gt;0,Sheet1!EO57=1),(1-($O55-Sheet1!$L57)/$O55)*CZ55,0)</f>
        <v>0</v>
      </c>
      <c r="DF55" s="545">
        <f>IF(AND(Sheet1!$L57=0,Sheet1!$L56=0, Calculation!CY55&lt;Sheet1!$EK57-0.1,Sheet1!$EK57=Sheet1!$EK56,Sheet1!$EK57=Sheet1!$EK58),Sheet1!$EK57,CZ55-DE55)</f>
        <v>3.7110576923076928</v>
      </c>
      <c r="DG55" s="545"/>
      <c r="DH55" s="560">
        <f t="shared" si="209"/>
        <v>6.2200000000000006</v>
      </c>
      <c r="DI55" s="560">
        <f t="shared" si="210"/>
        <v>0</v>
      </c>
      <c r="DJ55" s="698">
        <f t="shared" si="211"/>
        <v>6.2050480769230774</v>
      </c>
      <c r="DK55" s="560">
        <f ca="1">IF(B55&gt;Summary!$A$1,#N/A,DI55*MGtoAF)</f>
        <v>0</v>
      </c>
      <c r="DL55" s="698">
        <f t="shared" si="212"/>
        <v>6.2200000000000006</v>
      </c>
      <c r="DM55" s="560">
        <f t="shared" si="213"/>
        <v>8.32</v>
      </c>
      <c r="DN55" s="560">
        <f>Sheet1!AB57-DM55</f>
        <v>-1.9999999999999574E-2</v>
      </c>
      <c r="DO55" s="823">
        <f t="shared" si="214"/>
        <v>-2.4038461538461024E-3</v>
      </c>
      <c r="DP55" s="560">
        <f>(VLOOKUP(Sheet1!DC57,hhdcap_wcm,4)-(((VLOOKUP(Sheet1!DC57,hhdcap_wcm,3)-Sheet1!DC57)/(VLOOKUP(Sheet1!DC57,hhdcap_wcm,3)-VLOOKUP(Sheet1!DC57,hhdcap_wcm,1)))*(VLOOKUP(Sheet1!DC57,hhdcap_wcm,4)-VLOOKUP(Sheet1!DC57,hhdcap_wcm,2))))</f>
        <v>1299.3000000033696</v>
      </c>
      <c r="DQ55" s="560">
        <f t="shared" si="215"/>
        <v>42.299999999772581</v>
      </c>
      <c r="DR55" s="560">
        <f t="shared" si="216"/>
        <v>21.331316187479867</v>
      </c>
      <c r="DS55" s="560">
        <f>Sheet1!EA57*AFtoMG</f>
        <v>0</v>
      </c>
      <c r="DT55" s="560">
        <f>Sheet1!EB57*AFtoMG</f>
        <v>0</v>
      </c>
      <c r="DU55" s="560">
        <f>Sheet1!EC57*AFtoMG</f>
        <v>0</v>
      </c>
      <c r="DV55" s="560">
        <f>Sheet1!ED57*AFtoMG</f>
        <v>0</v>
      </c>
      <c r="DW55" s="560">
        <f t="shared" si="217"/>
        <v>0</v>
      </c>
      <c r="DX55" s="560">
        <f t="shared" si="218"/>
        <v>0</v>
      </c>
      <c r="DY55" s="560">
        <f t="shared" si="219"/>
        <v>0</v>
      </c>
      <c r="DZ55" s="560">
        <f t="shared" si="220"/>
        <v>0</v>
      </c>
      <c r="EA55" s="560"/>
      <c r="EB55" s="545">
        <f>IF(OR(B55&lt;FV55,B55&gt;FW55),(MIN(BF55+BY55+CT55+MAX(Sheet1!AA57+AQ55-73,0),K55)),0)</f>
        <v>6.2050480769230774</v>
      </c>
      <c r="EC55" s="560"/>
      <c r="ED55" s="560">
        <f t="shared" si="221"/>
        <v>6.2050480769230774</v>
      </c>
      <c r="EE55" s="560"/>
      <c r="EF55" s="560">
        <f>Sheet1!EH57+Sheet1!EI57+Sheet1!EJ57+Sheet1!EK57</f>
        <v>6.2200000000000006</v>
      </c>
      <c r="EG55" s="560"/>
      <c r="EH55" s="545">
        <f t="shared" si="222"/>
        <v>0</v>
      </c>
      <c r="EI55" s="560">
        <f>IF(Sheet1!ET57=1,SUM('Calculations II'!AT55:BA55)+'Calculations II'!BC55+Sheet1!BV57+'Calculations II'!BE55+AP55,SUM('Calculations II'!AT55:BA55)+'Calculations II'!BC55+Sheet1!BV57+'Calculations II'!BE55+AP55)</f>
        <v>45.232256</v>
      </c>
      <c r="EJ55" s="560">
        <f>Sheet1!AA57+Sheet1!AB57+'Calculations II'!BC55</f>
        <v>49.286720000000003</v>
      </c>
      <c r="EK55" s="560"/>
      <c r="EL55" s="560"/>
      <c r="EM55" s="560">
        <f t="shared" si="223"/>
        <v>41683</v>
      </c>
      <c r="EN55" s="560">
        <f t="shared" si="224"/>
        <v>0</v>
      </c>
      <c r="EO55" s="560">
        <f t="shared" si="225"/>
        <v>0</v>
      </c>
      <c r="EP55" s="560">
        <v>0</v>
      </c>
      <c r="EQ55" s="560">
        <v>0</v>
      </c>
      <c r="ER55" s="560">
        <v>0</v>
      </c>
      <c r="ES55" s="545">
        <f t="shared" si="77"/>
        <v>0.41580685358853264</v>
      </c>
      <c r="ET55" s="560">
        <f>-(VLOOKUP(Sheet1!BQ57,Lookup!$O$4:$Q$262,2)-VLOOKUP(Sheet1!BQ56,Lookup!$O$4:$Q$262,2))/1000000</f>
        <v>0.27720670605833458</v>
      </c>
      <c r="EU55" s="560">
        <f>-(VLOOKUP(Sheet1!BR57,Lookup!$O$4:$Q$262,3)-VLOOKUP(Sheet1!BR56,Lookup!$O$4:$Q$262,3))/1000000</f>
        <v>0.13860014753019809</v>
      </c>
      <c r="EV55" s="560"/>
      <c r="EW55" s="560"/>
      <c r="EX55" s="560"/>
      <c r="EY55" s="560"/>
      <c r="EZ55" s="560"/>
      <c r="FA55" s="560"/>
      <c r="FB55" s="560"/>
      <c r="FC55" s="560"/>
      <c r="FD55" s="594" t="e">
        <f t="shared" si="226"/>
        <v>#N/A</v>
      </c>
      <c r="FE55" s="594" t="e">
        <f t="shared" si="227"/>
        <v>#N/A</v>
      </c>
      <c r="FF55" s="595" t="e">
        <f t="shared" si="228"/>
        <v>#N/A</v>
      </c>
      <c r="FG55" s="596" t="s">
        <v>692</v>
      </c>
      <c r="FH55" s="596" t="s">
        <v>692</v>
      </c>
      <c r="FI55" s="594" t="e">
        <v>#N/A</v>
      </c>
      <c r="FJ55" s="594" t="e">
        <v>#N/A</v>
      </c>
      <c r="FK55" s="560"/>
      <c r="FL55" s="560"/>
      <c r="FM55" s="560"/>
      <c r="FN55" s="560"/>
      <c r="FO55" s="560">
        <f>O55+((Sheet1!CS57)*GPMtoMGD)</f>
        <v>49.286720000000003</v>
      </c>
      <c r="FP55" s="560">
        <f>IF(Sheet1!AA57+AQ55&lt;=Calculation!N55,AQ55,Calculation!N55-Sheet1!AA57)</f>
        <v>1.0973557692307694</v>
      </c>
      <c r="FQ55" s="560">
        <f>(Sheet1!BP57+Sheet1!BO57)/694.4</f>
        <v>1.5038882488479262</v>
      </c>
      <c r="FR55" s="560"/>
      <c r="FS55" s="560"/>
      <c r="FT55" s="560"/>
      <c r="FU55" s="560"/>
      <c r="FV55" s="695">
        <f t="shared" si="80"/>
        <v>41827</v>
      </c>
      <c r="FW55" s="695">
        <f t="shared" si="81"/>
        <v>41934</v>
      </c>
      <c r="FX55" s="560"/>
      <c r="FY55" s="560"/>
      <c r="FZ55" s="560"/>
      <c r="GA55" s="560"/>
      <c r="GB55" s="560" t="str">
        <f t="shared" si="82"/>
        <v>n</v>
      </c>
      <c r="GC55" s="564">
        <f t="shared" si="83"/>
        <v>41691</v>
      </c>
      <c r="GD55" s="695">
        <f t="shared" si="84"/>
        <v>41807</v>
      </c>
      <c r="GE55" s="560">
        <v>6518.9</v>
      </c>
      <c r="GF55" s="695">
        <f t="shared" si="85"/>
        <v>41808</v>
      </c>
      <c r="GG55" s="560">
        <f t="shared" si="163"/>
        <v>3259</v>
      </c>
      <c r="GH55" s="564">
        <f t="shared" si="87"/>
        <v>41934</v>
      </c>
      <c r="GJ55" s="545">
        <f t="shared" si="88"/>
        <v>0</v>
      </c>
      <c r="GK55" s="560" t="str">
        <f t="shared" si="229"/>
        <v/>
      </c>
      <c r="GL55" s="560">
        <f t="shared" si="89"/>
        <v>0</v>
      </c>
      <c r="GM55" s="560" t="str">
        <f t="shared" si="90"/>
        <v/>
      </c>
      <c r="GN55" s="560">
        <f>IF(GK55="P",Lookup!$M$12,IF(GK55="PP",Lookup!$M$13,IF(GK55="PPP",Lookup!$M$14,IF(GK55="T",Lookup!$M$15,IF(GK55="TP",Lookup!$M$16,IF(GK55="TPP",Lookup!$M$17,IF(GK55="TPPP",Lookup!$M$18,0)))))))*GJ55</f>
        <v>0</v>
      </c>
      <c r="GO55" s="560">
        <f t="shared" si="91"/>
        <v>0</v>
      </c>
      <c r="GP55" s="560">
        <f t="shared" si="230"/>
        <v>0</v>
      </c>
      <c r="GQ55" s="560">
        <f t="shared" si="99"/>
        <v>0</v>
      </c>
      <c r="GR55" s="560"/>
      <c r="GS55" s="560">
        <f t="shared" si="92"/>
        <v>0</v>
      </c>
      <c r="GT55" s="560" t="str">
        <f t="shared" si="93"/>
        <v/>
      </c>
      <c r="GU55" s="560">
        <f>IF(GK55="P",Lookup!$N$12,IF(GK55="PP",Lookup!$N$13,IF(GK55="PPP",Lookup!$N$14,IF(GK55="T",Lookup!$N$15,IF(GK55="TP",Lookup!$N$16,IF(GK55="TPP",Lookup!$N$17,IF(GK55="TPPP",Lookup!$N$18,0)))))))*GJ55</f>
        <v>0</v>
      </c>
      <c r="GV55" s="560">
        <f t="shared" si="57"/>
        <v>0</v>
      </c>
      <c r="GW55" s="560">
        <f t="shared" si="231"/>
        <v>0</v>
      </c>
      <c r="GX55" s="560">
        <f t="shared" si="100"/>
        <v>0</v>
      </c>
      <c r="GY55" s="560"/>
      <c r="GZ55" s="560">
        <f t="shared" si="94"/>
        <v>0</v>
      </c>
      <c r="HA55" s="560" t="str">
        <f t="shared" si="95"/>
        <v/>
      </c>
      <c r="HB55" s="560">
        <f>IF(GK55="P",Lookup!$N$12,IF(GK55="PP",Lookup!$N$13,IF(GK55="PPP",Lookup!$N$14,IF(GK55="T",Lookup!$N$15,IF(GK55="TP",Lookup!$N$16,IF(GK55="TPP",Lookup!$N$17,IF(GK55="TPPP",Lookup!$N$18,0)))))))*GJ55</f>
        <v>0</v>
      </c>
      <c r="HC55" s="545">
        <f t="shared" si="232"/>
        <v>0</v>
      </c>
      <c r="HD55" s="560">
        <f t="shared" si="233"/>
        <v>0</v>
      </c>
      <c r="HE55" s="560">
        <f t="shared" si="101"/>
        <v>0</v>
      </c>
      <c r="HF55" s="560"/>
      <c r="HG55" s="560">
        <f t="shared" si="96"/>
        <v>0</v>
      </c>
      <c r="HH55" s="560" t="str">
        <f t="shared" si="97"/>
        <v/>
      </c>
      <c r="HI55" s="560">
        <f>IF(GK55="P",Lookup!$N$12,IF(GK55="PP",Lookup!$N$13,IF(GK55="PPP",Lookup!$N$14,IF(GK55="T",Lookup!$N$15,IF(GK55="TP",Lookup!$N$16,IF(GK55="TPP",Lookup!$N$17,IF(GK55="TPPP",Lookup!$N$18,0)))))))*GJ55</f>
        <v>0</v>
      </c>
      <c r="HJ55" s="545">
        <f t="shared" si="234"/>
        <v>0</v>
      </c>
      <c r="HK55" s="560">
        <f t="shared" si="235"/>
        <v>0</v>
      </c>
      <c r="HL55" s="560">
        <f t="shared" si="102"/>
        <v>0</v>
      </c>
      <c r="HM55" s="560"/>
    </row>
    <row r="56" spans="1:221">
      <c r="A56" s="580" t="s">
        <v>8</v>
      </c>
      <c r="B56" s="556">
        <v>41684</v>
      </c>
      <c r="C56" s="561">
        <v>0</v>
      </c>
      <c r="D56" s="529">
        <f t="shared" si="103"/>
        <v>300</v>
      </c>
      <c r="E56" s="529">
        <f t="shared" si="104"/>
        <v>250</v>
      </c>
      <c r="F56" s="529">
        <v>250</v>
      </c>
      <c r="G56" s="560">
        <f>DR56+Sheet1!CZ58</f>
        <v>1682.0070600099516</v>
      </c>
      <c r="H56" s="914">
        <f t="shared" si="2"/>
        <v>820.28616359043269</v>
      </c>
      <c r="I56" s="559">
        <f>MAX(Sheet1!Z58-AT56+(Sheet1!DA58-E56)*CFStoMGD,0)</f>
        <v>1527.34</v>
      </c>
      <c r="J56" s="562">
        <f>IF(AND(B56&gt;=Calculation!GC56,B56&lt;=Calculation!GD56),IF(Sheet1!DB58&gt;=Calculation!D56,64.64,0),MAX(Sheet1!Z58-AT56+(Sheet1!DB58-D56)*CFStoMGD,0))</f>
        <v>1003.756</v>
      </c>
      <c r="K56" s="904">
        <f t="shared" si="171"/>
        <v>64.64</v>
      </c>
      <c r="L56" s="560">
        <f>Sheet1!AA58+Sheet1!AB58-Sheet1!L58+(Sheet1!DA58-F56)*CFStoMGD</f>
        <v>1519.04</v>
      </c>
      <c r="M56" s="560">
        <f t="shared" si="172"/>
        <v>1108.9943508622414</v>
      </c>
      <c r="N56" s="910">
        <f>IF(Sheet1!DA58&gt;=F56,MIN(73,MIN(MAX(L56,0),MAX(M56,0))),0)</f>
        <v>73</v>
      </c>
      <c r="O56" s="563">
        <f>Sheet1!AA58+Sheet1!AB58</f>
        <v>32.299999999999997</v>
      </c>
      <c r="P56" s="563">
        <f t="shared" si="173"/>
        <v>49.9681</v>
      </c>
      <c r="Q56" s="898">
        <f t="shared" si="63"/>
        <v>0</v>
      </c>
      <c r="R56" s="829">
        <f t="shared" si="174"/>
        <v>6.2085910652920955</v>
      </c>
      <c r="S56" s="898">
        <f t="shared" si="65"/>
        <v>32.299999999999997</v>
      </c>
      <c r="T56" s="898">
        <f t="shared" si="66"/>
        <v>0</v>
      </c>
      <c r="U56" s="898">
        <f t="shared" si="6"/>
        <v>0</v>
      </c>
      <c r="V56" s="898"/>
      <c r="W56" s="898">
        <f t="shared" si="67"/>
        <v>58.431408934707903</v>
      </c>
      <c r="X56" s="898">
        <f t="shared" si="68"/>
        <v>32.299999999999997</v>
      </c>
      <c r="Y56" s="898" t="str">
        <f t="shared" si="69"/>
        <v/>
      </c>
      <c r="Z56" s="898">
        <f t="shared" si="70"/>
        <v>32.299999999999997</v>
      </c>
      <c r="AA56" s="898">
        <f t="shared" si="71"/>
        <v>32.299999999999997</v>
      </c>
      <c r="AB56" s="898" t="str">
        <f t="shared" si="72"/>
        <v/>
      </c>
      <c r="AC56" s="563">
        <f>Sheet1!Y58*MGDtoCFS</f>
        <v>36.199799999999996</v>
      </c>
      <c r="AD56" s="563">
        <f>Sheet1!Z58*MGDtoCFS</f>
        <v>12.840100000000001</v>
      </c>
      <c r="AE56" s="563">
        <f>Sheet1!AA58*MGDtoCFS</f>
        <v>36.5092</v>
      </c>
      <c r="AF56" s="563">
        <f>Sheet1!AB58*MGDtoCFS</f>
        <v>13.458899999999998</v>
      </c>
      <c r="AG56" s="563">
        <f>Sheet1!L58*MGDtoCFS</f>
        <v>49.968099999999993</v>
      </c>
      <c r="AH56" s="545">
        <f t="shared" si="175"/>
        <v>0</v>
      </c>
      <c r="AI56" s="560">
        <f t="shared" si="176"/>
        <v>0</v>
      </c>
      <c r="AJ56" s="560">
        <f t="shared" si="177"/>
        <v>0</v>
      </c>
      <c r="AK56" s="560">
        <f t="shared" si="178"/>
        <v>0</v>
      </c>
      <c r="AL56" s="560">
        <f>(VLOOKUP(Sheet1!DC58,hhdcap_wcm,4)-(((VLOOKUP(Sheet1!DC58,hhdcap_wcm,3)-Sheet1!DC58)/(VLOOKUP(Sheet1!DC58,hhdcap_wcm,3)-VLOOKUP(Sheet1!DC58,hhdcap_wcm,1)))*(VLOOKUP(Sheet1!DC58,hhdcap_wcm,4)-VLOOKUP(Sheet1!DC58,hhdcap_wcm,2))))</f>
        <v>986.00000000310365</v>
      </c>
      <c r="AM56" s="560">
        <f t="shared" si="179"/>
        <v>-313.30000000026598</v>
      </c>
      <c r="AN56" s="560">
        <f t="shared" si="180"/>
        <v>0</v>
      </c>
      <c r="AO56" s="560">
        <f t="shared" si="181"/>
        <v>0</v>
      </c>
      <c r="AP56" s="560">
        <f>Sheet1!BA58+Sheet1!BB58+Sheet1!BN58+CD56</f>
        <v>2.5</v>
      </c>
      <c r="AQ56" s="560">
        <f>Sheet1!BN58+(DO56*Sheet1!BN58)</f>
        <v>1.4948453608247421</v>
      </c>
      <c r="AR56" s="560">
        <f>Sheet1!BA58+CD56</f>
        <v>0</v>
      </c>
      <c r="AS56" s="560">
        <f>Sheet1!BA58+Sheet1!BB58+CD56</f>
        <v>1</v>
      </c>
      <c r="AT56" s="698">
        <f>0</f>
        <v>0</v>
      </c>
      <c r="AU56" s="560">
        <f>IF(EB56&lt;K56,0,MAX(Sheet1!AA58+AQ56-15/36*K56-N56,Sheet1!EH58,0))</f>
        <v>0</v>
      </c>
      <c r="AV56" s="560">
        <f>IF(OR(B56&gt;=GD56,B56&lt;GC56),0,15/36*K56-MAX(0,64.6-(137.6-(Sheet1!AA58+Sheet1!AB58))))</f>
        <v>0</v>
      </c>
      <c r="AW56" s="698">
        <f>Sheet1!DB58-110</f>
        <v>1730</v>
      </c>
      <c r="AX56" s="698">
        <f>Sheet1!DA58-265</f>
        <v>2335</v>
      </c>
      <c r="AY56" s="698">
        <f t="shared" si="182"/>
        <v>73</v>
      </c>
      <c r="AZ56" s="698">
        <v>0</v>
      </c>
      <c r="BA56" s="698">
        <f t="shared" si="183"/>
        <v>0</v>
      </c>
      <c r="BB56" s="560">
        <f t="shared" si="184"/>
        <v>0</v>
      </c>
      <c r="BC56" s="560"/>
      <c r="BD56" s="560">
        <f ca="1">IF(B56&gt;Summary!$A$1,#N/A,BB56*MGtoAF)</f>
        <v>0</v>
      </c>
      <c r="BE56" s="560">
        <f>Sheet1!BG58+Sheet1!BH58+Sheet1!BI58-BM56</f>
        <v>0</v>
      </c>
      <c r="BF56" s="560">
        <f t="shared" si="185"/>
        <v>0</v>
      </c>
      <c r="BG56" s="560">
        <f>IF(Sheet1!EP58="FM",BM56,0)</f>
        <v>0</v>
      </c>
      <c r="BH56" s="560">
        <f t="shared" si="186"/>
        <v>0</v>
      </c>
      <c r="BI56" s="560">
        <f>IF(Sheet1!EP58="OTHER",BM56,0)</f>
        <v>0</v>
      </c>
      <c r="BJ56" s="560">
        <f t="shared" si="187"/>
        <v>0</v>
      </c>
      <c r="BK56" s="560">
        <f t="shared" si="188"/>
        <v>0</v>
      </c>
      <c r="BL56" s="560">
        <f t="shared" si="189"/>
        <v>0</v>
      </c>
      <c r="BM56" s="560">
        <f>IF(OR(Sheet1!EP58="FM", Sheet1!EP58="OTHER"),SUM(Sheet1!BG58:'Sheet1'!BI58),0)</f>
        <v>0</v>
      </c>
      <c r="BN56" s="545">
        <f>IF(AND($B56&gt;=$FV56,$B56&lt;=$FW56),MAX(BF56,Sheet1!EI58,0),MAX(BF56-(7/36)*$K56,0))</f>
        <v>0</v>
      </c>
      <c r="BO56" s="560">
        <f t="shared" si="190"/>
        <v>0</v>
      </c>
      <c r="BP56" s="545">
        <f t="shared" si="191"/>
        <v>0</v>
      </c>
      <c r="BQ56" s="545">
        <f>IF(AND($O56&gt;0,Sheet1!EM58=1),(1-($O56-Sheet1!$L58)/$O56)*BL56,0)</f>
        <v>0</v>
      </c>
      <c r="BR56" s="545">
        <f>IF(AND(Sheet1!$L58=0,Sheet1!$L57=0, Calculation!BK56&lt;Sheet1!$EI58-0.1,Sheet1!$EI58=Sheet1!$EI57,Sheet1!$EI58=Sheet1!$EI59),Sheet1!$EI58,BL56-BQ56)</f>
        <v>0</v>
      </c>
      <c r="BS56" s="560"/>
      <c r="BT56" s="560"/>
      <c r="BU56" s="560">
        <f t="shared" si="192"/>
        <v>0</v>
      </c>
      <c r="BV56" s="560"/>
      <c r="BW56" s="560">
        <f ca="1">IF(B56&gt;Summary!$A$1,#N/A,BU56*MGtoAF)</f>
        <v>0</v>
      </c>
      <c r="BX56" s="560">
        <f>Sheet1!BC58+Sheet1!BD58+Sheet1!BE58+Sheet1!BF58-CG56-CH56</f>
        <v>2.5</v>
      </c>
      <c r="BY56" s="560">
        <f t="shared" si="193"/>
        <v>2.4914089347079034</v>
      </c>
      <c r="BZ56" s="560">
        <f>IF(Sheet1!EQ58="FM",CH56,0)</f>
        <v>0</v>
      </c>
      <c r="CA56" s="560">
        <f t="shared" si="194"/>
        <v>0</v>
      </c>
      <c r="CB56" s="560">
        <f>IF(Sheet1!EQ58="OTHER",CH56,0)</f>
        <v>0</v>
      </c>
      <c r="CC56" s="560">
        <f t="shared" si="195"/>
        <v>0</v>
      </c>
      <c r="CD56" s="560">
        <f t="shared" si="196"/>
        <v>0</v>
      </c>
      <c r="CE56" s="560">
        <f t="shared" si="197"/>
        <v>2.5</v>
      </c>
      <c r="CF56" s="560">
        <f t="shared" si="198"/>
        <v>2.4914089347079034</v>
      </c>
      <c r="CG56" s="560">
        <f>IF(Sheet1!EQ58="CWA",SUM(Sheet1!BC58:'Sheet1'!BF58),0)</f>
        <v>0</v>
      </c>
      <c r="CH56" s="560">
        <f>IF(OR(Sheet1!EQ58="FM", Sheet1!EQ58="OTHER"),SUM(Sheet1!BC58:'Sheet1'!BF58),0)</f>
        <v>0</v>
      </c>
      <c r="CI56" s="545">
        <f>IF(AND($B56&gt;=$FV56,$B56&lt;=$FW56),MAX(CF56,Sheet1!EJ58,0),MAX(CF56-(7/36)*$K56,0))</f>
        <v>0</v>
      </c>
      <c r="CJ56" s="560">
        <f t="shared" si="199"/>
        <v>0</v>
      </c>
      <c r="CK56" s="545">
        <f t="shared" si="200"/>
        <v>2.4914089347079034</v>
      </c>
      <c r="CL56" s="545">
        <f>IF(AND($O56&gt;0,Sheet1!EN58=1),(1-($O56-Sheet1!$L58)/$O56)*CF56,0)</f>
        <v>0</v>
      </c>
      <c r="CM56" s="545">
        <f>IF(AND(Sheet1!$L58=0,Sheet1!$L57=0, Calculation!CE56&lt;Sheet1!EJ58-0.1,Sheet1!EJ58=Sheet1!EJ57,Sheet1!EJ58=Sheet1!EJ59),Sheet1!EJ58,CF56-CL56)</f>
        <v>2.4914089347079034</v>
      </c>
      <c r="CN56" s="545"/>
      <c r="CO56" s="560"/>
      <c r="CP56" s="560">
        <f t="shared" si="201"/>
        <v>0</v>
      </c>
      <c r="CQ56" s="560"/>
      <c r="CR56" s="560">
        <f ca="1">IF(B56&gt;Summary!$A$1,#N/A,CP56*MGtoAF)</f>
        <v>0</v>
      </c>
      <c r="CS56" s="560">
        <f>Sheet1!BK58+Sheet1!BL58+Sheet1!BM58-Sheet1!ER58-DA56</f>
        <v>3.73</v>
      </c>
      <c r="CT56" s="560">
        <f t="shared" si="202"/>
        <v>3.7171821305841921</v>
      </c>
      <c r="CU56" s="560">
        <f>IF(Sheet1!ER58="FM",DA56,0)</f>
        <v>0</v>
      </c>
      <c r="CV56" s="560">
        <f t="shared" si="203"/>
        <v>0</v>
      </c>
      <c r="CW56" s="560">
        <f>IF(Sheet1!ER58="OTHER",DA56,0)</f>
        <v>0</v>
      </c>
      <c r="CX56" s="560">
        <f t="shared" si="204"/>
        <v>0</v>
      </c>
      <c r="CY56" s="560">
        <f t="shared" si="205"/>
        <v>3.73</v>
      </c>
      <c r="CZ56" s="560">
        <f t="shared" si="206"/>
        <v>3.7171821305841921</v>
      </c>
      <c r="DA56" s="560">
        <f>IF(OR(Sheet1!ER58="FM", Sheet1!ER58="OTHER"),SUM(Sheet1!BK58:'Sheet1'!BM58),0)</f>
        <v>0</v>
      </c>
      <c r="DB56" s="545">
        <f>IF(AND($B56&gt;=$FV56,$B56&lt;=$FW56),MAX($CT56,Sheet1!EK58,0),MAX($CT56-(7/36)*$K56,0))</f>
        <v>0</v>
      </c>
      <c r="DC56" s="560">
        <f t="shared" si="207"/>
        <v>0</v>
      </c>
      <c r="DD56" s="545">
        <f t="shared" si="208"/>
        <v>3.7171821305841921</v>
      </c>
      <c r="DE56" s="545">
        <f>IF(AND($O56&gt;0,Sheet1!EO58=1),(1-($O56-Sheet1!$L58)/$O56)*CZ56,0)</f>
        <v>0</v>
      </c>
      <c r="DF56" s="545">
        <f>IF(AND(Sheet1!$L58=0,Sheet1!$L57=0, Calculation!CY56&lt;Sheet1!$EK58-0.1,Sheet1!$EK58=Sheet1!$EK57,Sheet1!$EK58=Sheet1!$EK59),Sheet1!$EK58,CZ56-DE56)</f>
        <v>3.7171821305841921</v>
      </c>
      <c r="DG56" s="545"/>
      <c r="DH56" s="560">
        <f t="shared" si="209"/>
        <v>6.23</v>
      </c>
      <c r="DI56" s="560">
        <f t="shared" si="210"/>
        <v>0</v>
      </c>
      <c r="DJ56" s="698">
        <f t="shared" si="211"/>
        <v>6.2085910652920955</v>
      </c>
      <c r="DK56" s="560">
        <f ca="1">IF(B56&gt;Summary!$A$1,#N/A,DI56*MGtoAF)</f>
        <v>0</v>
      </c>
      <c r="DL56" s="698">
        <f t="shared" si="212"/>
        <v>6.23</v>
      </c>
      <c r="DM56" s="560">
        <f t="shared" si="213"/>
        <v>8.73</v>
      </c>
      <c r="DN56" s="560">
        <f>Sheet1!AB58-DM56</f>
        <v>-3.0000000000001137E-2</v>
      </c>
      <c r="DO56" s="823">
        <f t="shared" si="214"/>
        <v>-3.436426116838618E-3</v>
      </c>
      <c r="DP56" s="560">
        <f>(VLOOKUP(Sheet1!DC58,hhdcap_wcm,4)-(((VLOOKUP(Sheet1!DC58,hhdcap_wcm,3)-Sheet1!DC58)/(VLOOKUP(Sheet1!DC58,hhdcap_wcm,3)-VLOOKUP(Sheet1!DC58,hhdcap_wcm,1)))*(VLOOKUP(Sheet1!DC58,hhdcap_wcm,4)-VLOOKUP(Sheet1!DC58,hhdcap_wcm,2))))</f>
        <v>986.00000000310365</v>
      </c>
      <c r="DQ56" s="560">
        <f t="shared" si="215"/>
        <v>-313.30000000026598</v>
      </c>
      <c r="DR56" s="560">
        <f t="shared" si="216"/>
        <v>-157.99293999004837</v>
      </c>
      <c r="DS56" s="560">
        <f>Sheet1!EA58*AFtoMG</f>
        <v>0</v>
      </c>
      <c r="DT56" s="560">
        <f>Sheet1!EB58*AFtoMG</f>
        <v>0</v>
      </c>
      <c r="DU56" s="560">
        <f>Sheet1!EC58*AFtoMG</f>
        <v>0</v>
      </c>
      <c r="DV56" s="560">
        <f>Sheet1!ED58*AFtoMG</f>
        <v>0</v>
      </c>
      <c r="DW56" s="560">
        <f t="shared" si="217"/>
        <v>0</v>
      </c>
      <c r="DX56" s="560">
        <f t="shared" si="218"/>
        <v>0</v>
      </c>
      <c r="DY56" s="560">
        <f t="shared" si="219"/>
        <v>0</v>
      </c>
      <c r="DZ56" s="560">
        <f t="shared" si="220"/>
        <v>0</v>
      </c>
      <c r="EA56" s="560"/>
      <c r="EB56" s="545">
        <f>IF(OR(B56&lt;FV56,B56&gt;FW56),(MIN(BF56+BY56+CT56+MAX(Sheet1!AA58+AQ56-73,0),K56)),0)</f>
        <v>6.2085910652920955</v>
      </c>
      <c r="EC56" s="560"/>
      <c r="ED56" s="560">
        <f t="shared" si="221"/>
        <v>6.2085910652920955</v>
      </c>
      <c r="EE56" s="560"/>
      <c r="EF56" s="560">
        <f>Sheet1!EH58+Sheet1!EI58+Sheet1!EJ58+Sheet1!EK58</f>
        <v>6.23</v>
      </c>
      <c r="EG56" s="560"/>
      <c r="EH56" s="545">
        <f t="shared" si="222"/>
        <v>0</v>
      </c>
      <c r="EI56" s="560">
        <f>IF(Sheet1!ET58=1,SUM('Calculations II'!AT56:BA56)+'Calculations II'!BC56+Sheet1!BV58+'Calculations II'!BE56+AP56,SUM('Calculations II'!AT56:BA56)+'Calculations II'!BC56+Sheet1!BV58+'Calculations II'!BE56+AP56)</f>
        <v>46.406576000000001</v>
      </c>
      <c r="EJ56" s="560">
        <f>Sheet1!AA58+Sheet1!AB58+'Calculations II'!BC56</f>
        <v>47.549455999999999</v>
      </c>
      <c r="EK56" s="560"/>
      <c r="EL56" s="560"/>
      <c r="EM56" s="560">
        <f t="shared" si="223"/>
        <v>41684</v>
      </c>
      <c r="EN56" s="560">
        <f t="shared" si="224"/>
        <v>0</v>
      </c>
      <c r="EO56" s="560">
        <f t="shared" si="225"/>
        <v>0</v>
      </c>
      <c r="EP56" s="560">
        <v>0</v>
      </c>
      <c r="EQ56" s="560">
        <v>0</v>
      </c>
      <c r="ER56" s="560">
        <v>0</v>
      </c>
      <c r="ES56" s="545">
        <f t="shared" si="77"/>
        <v>-0.27720670605833458</v>
      </c>
      <c r="ET56" s="560">
        <f>-(VLOOKUP(Sheet1!BQ58,Lookup!$O$4:$Q$262,2)-VLOOKUP(Sheet1!BQ57,Lookup!$O$4:$Q$262,2))/1000000</f>
        <v>-0.27720670605833458</v>
      </c>
      <c r="EU56" s="560">
        <f>-(VLOOKUP(Sheet1!BR58,Lookup!$O$4:$Q$262,3)-VLOOKUP(Sheet1!BR57,Lookup!$O$4:$Q$262,3))/1000000</f>
        <v>0</v>
      </c>
      <c r="EV56" s="560"/>
      <c r="EW56" s="560"/>
      <c r="EX56" s="560"/>
      <c r="EY56" s="560"/>
      <c r="EZ56" s="560"/>
      <c r="FA56" s="560"/>
      <c r="FB56" s="560"/>
      <c r="FC56" s="560"/>
      <c r="FD56" s="594" t="e">
        <f t="shared" si="226"/>
        <v>#N/A</v>
      </c>
      <c r="FE56" s="594" t="e">
        <f t="shared" si="227"/>
        <v>#N/A</v>
      </c>
      <c r="FF56" s="595" t="e">
        <f t="shared" si="228"/>
        <v>#N/A</v>
      </c>
      <c r="FG56" s="596" t="s">
        <v>692</v>
      </c>
      <c r="FH56" s="596" t="s">
        <v>692</v>
      </c>
      <c r="FI56" s="594" t="e">
        <v>#N/A</v>
      </c>
      <c r="FJ56" s="594" t="e">
        <v>#N/A</v>
      </c>
      <c r="FK56" s="560"/>
      <c r="FL56" s="560"/>
      <c r="FM56" s="560"/>
      <c r="FN56" s="560"/>
      <c r="FO56" s="560">
        <f>O56+((Sheet1!CS58)*GPMtoMGD)</f>
        <v>47.549455999999999</v>
      </c>
      <c r="FP56" s="560">
        <f>IF(Sheet1!AA58+AQ56&lt;=Calculation!N56,AQ56,Calculation!N56-Sheet1!AA58)</f>
        <v>1.4948453608247421</v>
      </c>
      <c r="FQ56" s="560">
        <f>(Sheet1!BP58+Sheet1!BO58)/694.4</f>
        <v>1.3724078341013826</v>
      </c>
      <c r="FR56" s="560"/>
      <c r="FS56" s="560"/>
      <c r="FT56" s="560"/>
      <c r="FU56" s="560"/>
      <c r="FV56" s="695">
        <f t="shared" si="80"/>
        <v>41827</v>
      </c>
      <c r="FW56" s="695">
        <f t="shared" si="81"/>
        <v>41934</v>
      </c>
      <c r="FX56" s="560"/>
      <c r="FY56" s="560"/>
      <c r="FZ56" s="560"/>
      <c r="GA56" s="560"/>
      <c r="GB56" s="560" t="str">
        <f t="shared" si="82"/>
        <v>n</v>
      </c>
      <c r="GC56" s="564">
        <f t="shared" si="83"/>
        <v>41691</v>
      </c>
      <c r="GD56" s="695">
        <f t="shared" si="84"/>
        <v>41807</v>
      </c>
      <c r="GE56" s="560">
        <v>6518.9</v>
      </c>
      <c r="GF56" s="695">
        <f t="shared" si="85"/>
        <v>41808</v>
      </c>
      <c r="GG56" s="560">
        <f t="shared" si="163"/>
        <v>3259</v>
      </c>
      <c r="GH56" s="564">
        <f t="shared" si="87"/>
        <v>41934</v>
      </c>
      <c r="GJ56" s="545">
        <f t="shared" si="88"/>
        <v>0</v>
      </c>
      <c r="GK56" s="560" t="str">
        <f t="shared" si="229"/>
        <v/>
      </c>
      <c r="GL56" s="560">
        <f t="shared" si="89"/>
        <v>0</v>
      </c>
      <c r="GM56" s="560" t="str">
        <f t="shared" si="90"/>
        <v/>
      </c>
      <c r="GN56" s="560">
        <f>IF(GK56="P",Lookup!$M$12,IF(GK56="PP",Lookup!$M$13,IF(GK56="PPP",Lookup!$M$14,IF(GK56="T",Lookup!$M$15,IF(GK56="TP",Lookup!$M$16,IF(GK56="TPP",Lookup!$M$17,IF(GK56="TPPP",Lookup!$M$18,0)))))))*GJ56</f>
        <v>0</v>
      </c>
      <c r="GO56" s="560">
        <f t="shared" si="91"/>
        <v>0</v>
      </c>
      <c r="GP56" s="560">
        <f t="shared" si="230"/>
        <v>0</v>
      </c>
      <c r="GQ56" s="560">
        <f t="shared" si="99"/>
        <v>0</v>
      </c>
      <c r="GR56" s="560"/>
      <c r="GS56" s="560">
        <f t="shared" si="92"/>
        <v>0</v>
      </c>
      <c r="GT56" s="560" t="str">
        <f t="shared" si="93"/>
        <v/>
      </c>
      <c r="GU56" s="560">
        <f>IF(GK56="P",Lookup!$N$12,IF(GK56="PP",Lookup!$N$13,IF(GK56="PPP",Lookup!$N$14,IF(GK56="T",Lookup!$N$15,IF(GK56="TP",Lookup!$N$16,IF(GK56="TPP",Lookup!$N$17,IF(GK56="TPPP",Lookup!$N$18,0)))))))*GJ56</f>
        <v>0</v>
      </c>
      <c r="GV56" s="560">
        <f t="shared" si="57"/>
        <v>0</v>
      </c>
      <c r="GW56" s="560">
        <f t="shared" si="231"/>
        <v>0</v>
      </c>
      <c r="GX56" s="560">
        <f t="shared" si="100"/>
        <v>0</v>
      </c>
      <c r="GY56" s="560"/>
      <c r="GZ56" s="560">
        <f t="shared" si="94"/>
        <v>0</v>
      </c>
      <c r="HA56" s="560" t="str">
        <f t="shared" si="95"/>
        <v/>
      </c>
      <c r="HB56" s="560">
        <f>IF(GK56="P",Lookup!$N$12,IF(GK56="PP",Lookup!$N$13,IF(GK56="PPP",Lookup!$N$14,IF(GK56="T",Lookup!$N$15,IF(GK56="TP",Lookup!$N$16,IF(GK56="TPP",Lookup!$N$17,IF(GK56="TPPP",Lookup!$N$18,0)))))))*GJ56</f>
        <v>0</v>
      </c>
      <c r="HC56" s="545">
        <f t="shared" si="232"/>
        <v>0</v>
      </c>
      <c r="HD56" s="560">
        <f t="shared" si="233"/>
        <v>0</v>
      </c>
      <c r="HE56" s="560">
        <f t="shared" si="101"/>
        <v>0</v>
      </c>
      <c r="HF56" s="560"/>
      <c r="HG56" s="560">
        <f t="shared" si="96"/>
        <v>0</v>
      </c>
      <c r="HH56" s="560" t="str">
        <f t="shared" si="97"/>
        <v/>
      </c>
      <c r="HI56" s="560">
        <f>IF(GK56="P",Lookup!$N$12,IF(GK56="PP",Lookup!$N$13,IF(GK56="PPP",Lookup!$N$14,IF(GK56="T",Lookup!$N$15,IF(GK56="TP",Lookup!$N$16,IF(GK56="TPP",Lookup!$N$17,IF(GK56="TPPP",Lookup!$N$18,0)))))))*GJ56</f>
        <v>0</v>
      </c>
      <c r="HJ56" s="545">
        <f t="shared" si="234"/>
        <v>0</v>
      </c>
      <c r="HK56" s="560">
        <f t="shared" si="235"/>
        <v>0</v>
      </c>
      <c r="HL56" s="560">
        <f t="shared" si="102"/>
        <v>0</v>
      </c>
      <c r="HM56" s="560"/>
    </row>
    <row r="57" spans="1:221">
      <c r="A57" s="580" t="s">
        <v>9</v>
      </c>
      <c r="B57" s="556">
        <v>41685</v>
      </c>
      <c r="C57" s="561">
        <v>0</v>
      </c>
      <c r="D57" s="529">
        <f t="shared" si="103"/>
        <v>300</v>
      </c>
      <c r="E57" s="529">
        <f t="shared" si="104"/>
        <v>250</v>
      </c>
      <c r="F57" s="529">
        <v>250</v>
      </c>
      <c r="G57" s="560">
        <f>DR57+Sheet1!CZ59</f>
        <v>1497.8214826021479</v>
      </c>
      <c r="H57" s="914">
        <f t="shared" si="2"/>
        <v>701.22860635402833</v>
      </c>
      <c r="I57" s="559">
        <f>MAX(Sheet1!Z59-AT57+(Sheet1!DA59-E57)*CFStoMGD,0)</f>
        <v>1340.2840000000001</v>
      </c>
      <c r="J57" s="562">
        <f>IF(AND(B57&gt;=Calculation!GC57,B57&lt;=Calculation!GD57),IF(Sheet1!DB59&gt;=Calculation!D57,64.64,0),MAX(Sheet1!Z59-AT57+(Sheet1!DB59-D57)*CFStoMGD,0))</f>
        <v>777.91600000000005</v>
      </c>
      <c r="K57" s="904">
        <f t="shared" si="171"/>
        <v>64.64</v>
      </c>
      <c r="L57" s="560">
        <f>Sheet1!AA59+Sheet1!AB59-Sheet1!L59+(Sheet1!DA59-F57)*CFStoMGD</f>
        <v>1331.5840000000001</v>
      </c>
      <c r="M57" s="560">
        <f t="shared" si="172"/>
        <v>987.55564248110898</v>
      </c>
      <c r="N57" s="910">
        <f>IF(Sheet1!DA59&gt;=F57,MIN(73,MIN(MAX(L57,0),MAX(M57,0))),0)</f>
        <v>73</v>
      </c>
      <c r="O57" s="563">
        <f>Sheet1!AA59+Sheet1!AB59</f>
        <v>33.659999999999997</v>
      </c>
      <c r="P57" s="563">
        <f t="shared" si="173"/>
        <v>52.072019999999995</v>
      </c>
      <c r="Q57" s="898">
        <f t="shared" si="63"/>
        <v>0</v>
      </c>
      <c r="R57" s="829">
        <f t="shared" si="174"/>
        <v>6.2450806451612912</v>
      </c>
      <c r="S57" s="898">
        <f t="shared" si="65"/>
        <v>33.659999999999997</v>
      </c>
      <c r="T57" s="898">
        <f t="shared" si="66"/>
        <v>0</v>
      </c>
      <c r="U57" s="898">
        <f t="shared" si="6"/>
        <v>0</v>
      </c>
      <c r="V57" s="898"/>
      <c r="W57" s="898">
        <f t="shared" si="67"/>
        <v>58.394919354838706</v>
      </c>
      <c r="X57" s="898">
        <f t="shared" si="68"/>
        <v>33.659999999999997</v>
      </c>
      <c r="Y57" s="898" t="str">
        <f t="shared" si="69"/>
        <v/>
      </c>
      <c r="Z57" s="898">
        <f t="shared" si="70"/>
        <v>33.659999999999997</v>
      </c>
      <c r="AA57" s="898">
        <f t="shared" si="71"/>
        <v>33.659999999999997</v>
      </c>
      <c r="AB57" s="898" t="str">
        <f t="shared" si="72"/>
        <v/>
      </c>
      <c r="AC57" s="563">
        <f>Sheet1!Y59*MGDtoCFS</f>
        <v>36.5092</v>
      </c>
      <c r="AD57" s="563">
        <f>Sheet1!Z59*MGDtoCFS</f>
        <v>13.458899999999998</v>
      </c>
      <c r="AE57" s="563">
        <f>Sheet1!AA59*MGDtoCFS</f>
        <v>36.663899999999998</v>
      </c>
      <c r="AF57" s="563">
        <f>Sheet1!AB59*MGDtoCFS</f>
        <v>15.40812</v>
      </c>
      <c r="AG57" s="563">
        <f>Sheet1!L59*MGDtoCFS</f>
        <v>52.072019999999995</v>
      </c>
      <c r="AH57" s="545">
        <f t="shared" si="175"/>
        <v>0</v>
      </c>
      <c r="AI57" s="560">
        <f t="shared" si="176"/>
        <v>0</v>
      </c>
      <c r="AJ57" s="560">
        <f t="shared" si="177"/>
        <v>0</v>
      </c>
      <c r="AK57" s="560">
        <f t="shared" si="178"/>
        <v>0</v>
      </c>
      <c r="AL57" s="560">
        <f>(VLOOKUP(Sheet1!DC59,hhdcap_wcm,4)-(((VLOOKUP(Sheet1!DC59,hhdcap_wcm,3)-Sheet1!DC59)/(VLOOKUP(Sheet1!DC59,hhdcap_wcm,3)-VLOOKUP(Sheet1!DC59,hhdcap_wcm,1)))*(VLOOKUP(Sheet1!DC59,hhdcap_wcm,4)-VLOOKUP(Sheet1!DC59,hhdcap_wcm,2))))</f>
        <v>1061.0000000031628</v>
      </c>
      <c r="AM57" s="560">
        <f t="shared" si="179"/>
        <v>75.000000000059117</v>
      </c>
      <c r="AN57" s="560">
        <f t="shared" si="180"/>
        <v>0</v>
      </c>
      <c r="AO57" s="560">
        <f t="shared" si="181"/>
        <v>0</v>
      </c>
      <c r="AP57" s="560">
        <f>Sheet1!BA59+Sheet1!BB59+Sheet1!BN59+CD57</f>
        <v>3.7</v>
      </c>
      <c r="AQ57" s="560">
        <f>Sheet1!BN59+(DO57*Sheet1!BN59)</f>
        <v>2.710887096774194</v>
      </c>
      <c r="AR57" s="560">
        <f>Sheet1!BA59+CD57</f>
        <v>0</v>
      </c>
      <c r="AS57" s="560">
        <f>Sheet1!BA59+Sheet1!BB59+CD57</f>
        <v>1</v>
      </c>
      <c r="AT57" s="698">
        <f>0</f>
        <v>0</v>
      </c>
      <c r="AU57" s="560">
        <f>IF(EB57&lt;K57,0,MAX(Sheet1!AA59+AQ57-15/36*K57-N57,Sheet1!EH59,0))</f>
        <v>0</v>
      </c>
      <c r="AV57" s="560">
        <f>IF(OR(B57&gt;=GD57,B57&lt;GC57),0,15/36*K57-MAX(0,64.6-(137.6-(Sheet1!AA59+Sheet1!AB59))))</f>
        <v>0</v>
      </c>
      <c r="AW57" s="698">
        <f>Sheet1!DB59-110</f>
        <v>1380</v>
      </c>
      <c r="AX57" s="698">
        <f>Sheet1!DA59-265</f>
        <v>2045</v>
      </c>
      <c r="AY57" s="698">
        <f t="shared" si="182"/>
        <v>73</v>
      </c>
      <c r="AZ57" s="698">
        <v>0</v>
      </c>
      <c r="BA57" s="698">
        <f t="shared" si="183"/>
        <v>0</v>
      </c>
      <c r="BB57" s="560">
        <f t="shared" si="184"/>
        <v>0</v>
      </c>
      <c r="BC57" s="560"/>
      <c r="BD57" s="560">
        <f ca="1">IF(B57&gt;Summary!$A$1,#N/A,BB57*MGtoAF)</f>
        <v>0</v>
      </c>
      <c r="BE57" s="560">
        <f>Sheet1!BG59+Sheet1!BH59+Sheet1!BI59-BM57</f>
        <v>0</v>
      </c>
      <c r="BF57" s="560">
        <f t="shared" si="185"/>
        <v>0</v>
      </c>
      <c r="BG57" s="560">
        <f>IF(Sheet1!EP59="FM",BM57,0)</f>
        <v>0</v>
      </c>
      <c r="BH57" s="560">
        <f t="shared" si="186"/>
        <v>0</v>
      </c>
      <c r="BI57" s="560">
        <f>IF(Sheet1!EP59="OTHER",BM57,0)</f>
        <v>0</v>
      </c>
      <c r="BJ57" s="560">
        <f t="shared" si="187"/>
        <v>0</v>
      </c>
      <c r="BK57" s="560">
        <f t="shared" si="188"/>
        <v>0</v>
      </c>
      <c r="BL57" s="560">
        <f t="shared" si="189"/>
        <v>0</v>
      </c>
      <c r="BM57" s="560">
        <f>IF(OR(Sheet1!EP59="FM", Sheet1!EP59="OTHER"),SUM(Sheet1!BG59:'Sheet1'!BI59),0)</f>
        <v>0</v>
      </c>
      <c r="BN57" s="545">
        <f>IF(AND($B57&gt;=$FV57,$B57&lt;=$FW57),MAX(BF57,Sheet1!EI59,0),MAX(BF57-(7/36)*$K57,0))</f>
        <v>0</v>
      </c>
      <c r="BO57" s="560">
        <f t="shared" si="190"/>
        <v>0</v>
      </c>
      <c r="BP57" s="545">
        <f t="shared" si="191"/>
        <v>0</v>
      </c>
      <c r="BQ57" s="545">
        <f>IF(AND($O57&gt;0,Sheet1!EM59=1),(1-($O57-Sheet1!$L59)/$O57)*BL57,0)</f>
        <v>0</v>
      </c>
      <c r="BR57" s="545">
        <f>IF(AND(Sheet1!$L59=0,Sheet1!$L58=0, Calculation!BK57&lt;Sheet1!$EI59-0.1,Sheet1!$EI59=Sheet1!$EI58,Sheet1!$EI59=Sheet1!$EI60),Sheet1!$EI59,BL57-BQ57)</f>
        <v>0</v>
      </c>
      <c r="BS57" s="560"/>
      <c r="BT57" s="560"/>
      <c r="BU57" s="560">
        <f t="shared" si="192"/>
        <v>0</v>
      </c>
      <c r="BV57" s="560"/>
      <c r="BW57" s="560">
        <f ca="1">IF(B57&gt;Summary!$A$1,#N/A,BU57*MGtoAF)</f>
        <v>0</v>
      </c>
      <c r="BX57" s="560">
        <f>Sheet1!BC59+Sheet1!BD59+Sheet1!BE59+Sheet1!BF59-CG57-CH57</f>
        <v>2.5</v>
      </c>
      <c r="BY57" s="560">
        <f t="shared" si="193"/>
        <v>2.5100806451612905</v>
      </c>
      <c r="BZ57" s="560">
        <f>IF(Sheet1!EQ59="FM",CH57,0)</f>
        <v>0</v>
      </c>
      <c r="CA57" s="560">
        <f t="shared" si="194"/>
        <v>0</v>
      </c>
      <c r="CB57" s="560">
        <f>IF(Sheet1!EQ59="OTHER",CH57,0)</f>
        <v>0</v>
      </c>
      <c r="CC57" s="560">
        <f t="shared" si="195"/>
        <v>0</v>
      </c>
      <c r="CD57" s="560">
        <f t="shared" si="196"/>
        <v>0</v>
      </c>
      <c r="CE57" s="560">
        <f t="shared" si="197"/>
        <v>2.5</v>
      </c>
      <c r="CF57" s="560">
        <f t="shared" si="198"/>
        <v>2.5100806451612905</v>
      </c>
      <c r="CG57" s="560">
        <f>IF(Sheet1!EQ59="CWA",SUM(Sheet1!BC59:'Sheet1'!BF59),0)</f>
        <v>0</v>
      </c>
      <c r="CH57" s="560">
        <f>IF(OR(Sheet1!EQ59="FM", Sheet1!EQ59="OTHER"),SUM(Sheet1!BC59:'Sheet1'!BF59),0)</f>
        <v>0</v>
      </c>
      <c r="CI57" s="545">
        <f>IF(AND($B57&gt;=$FV57,$B57&lt;=$FW57),MAX(CF57,Sheet1!EJ59,0),MAX(CF57-(7/36)*$K57,0))</f>
        <v>0</v>
      </c>
      <c r="CJ57" s="560">
        <f t="shared" si="199"/>
        <v>0</v>
      </c>
      <c r="CK57" s="545">
        <f t="shared" si="200"/>
        <v>2.5100806451612905</v>
      </c>
      <c r="CL57" s="545">
        <f>IF(AND($O57&gt;0,Sheet1!EN59=1),(1-($O57-Sheet1!$L59)/$O57)*CF57,0)</f>
        <v>0</v>
      </c>
      <c r="CM57" s="545">
        <f>IF(AND(Sheet1!$L59=0,Sheet1!$L58=0, Calculation!CE57&lt;Sheet1!EJ59-0.1,Sheet1!EJ59=Sheet1!EJ58,Sheet1!EJ59=Sheet1!EJ60),Sheet1!EJ59,CF57-CL57)</f>
        <v>2.5100806451612905</v>
      </c>
      <c r="CN57" s="545"/>
      <c r="CO57" s="560"/>
      <c r="CP57" s="560">
        <f t="shared" si="201"/>
        <v>0</v>
      </c>
      <c r="CQ57" s="560"/>
      <c r="CR57" s="560">
        <f ca="1">IF(B57&gt;Summary!$A$1,#N/A,CP57*MGtoAF)</f>
        <v>0</v>
      </c>
      <c r="CS57" s="560">
        <f>Sheet1!BK59+Sheet1!BL59+Sheet1!BM59-Sheet1!ER59-DA57</f>
        <v>3.7199999999999998</v>
      </c>
      <c r="CT57" s="560">
        <f t="shared" si="202"/>
        <v>3.7350000000000003</v>
      </c>
      <c r="CU57" s="560">
        <f>IF(Sheet1!ER59="FM",DA57,0)</f>
        <v>0</v>
      </c>
      <c r="CV57" s="560">
        <f t="shared" si="203"/>
        <v>0</v>
      </c>
      <c r="CW57" s="560">
        <f>IF(Sheet1!ER59="OTHER",DA57,0)</f>
        <v>0</v>
      </c>
      <c r="CX57" s="560">
        <f t="shared" si="204"/>
        <v>0</v>
      </c>
      <c r="CY57" s="560">
        <f t="shared" si="205"/>
        <v>3.7199999999999998</v>
      </c>
      <c r="CZ57" s="560">
        <f t="shared" si="206"/>
        <v>3.7350000000000003</v>
      </c>
      <c r="DA57" s="560">
        <f>IF(OR(Sheet1!ER59="FM", Sheet1!ER59="OTHER"),SUM(Sheet1!BK59:'Sheet1'!BM59),0)</f>
        <v>0</v>
      </c>
      <c r="DB57" s="545">
        <f>IF(AND($B57&gt;=$FV57,$B57&lt;=$FW57),MAX($CT57,Sheet1!EK59,0),MAX($CT57-(7/36)*$K57,0))</f>
        <v>0</v>
      </c>
      <c r="DC57" s="560">
        <f t="shared" si="207"/>
        <v>0</v>
      </c>
      <c r="DD57" s="545">
        <f t="shared" si="208"/>
        <v>3.7350000000000003</v>
      </c>
      <c r="DE57" s="545">
        <f>IF(AND($O57&gt;0,Sheet1!EO59=1),(1-($O57-Sheet1!$L59)/$O57)*CZ57,0)</f>
        <v>0</v>
      </c>
      <c r="DF57" s="545">
        <f>IF(AND(Sheet1!$L59=0,Sheet1!$L58=0, Calculation!CY57&lt;Sheet1!$EK59-0.1,Sheet1!$EK59=Sheet1!$EK58,Sheet1!$EK59=Sheet1!$EK60),Sheet1!$EK59,CZ57-DE57)</f>
        <v>3.7350000000000003</v>
      </c>
      <c r="DG57" s="545"/>
      <c r="DH57" s="560">
        <f t="shared" si="209"/>
        <v>6.22</v>
      </c>
      <c r="DI57" s="560">
        <f t="shared" si="210"/>
        <v>0</v>
      </c>
      <c r="DJ57" s="698">
        <f t="shared" si="211"/>
        <v>6.2450806451612912</v>
      </c>
      <c r="DK57" s="560">
        <f ca="1">IF(B57&gt;Summary!$A$1,#N/A,DI57*MGtoAF)</f>
        <v>0</v>
      </c>
      <c r="DL57" s="698">
        <f t="shared" si="212"/>
        <v>6.22</v>
      </c>
      <c r="DM57" s="560">
        <f t="shared" si="213"/>
        <v>9.92</v>
      </c>
      <c r="DN57" s="560">
        <f>Sheet1!AB59-DM57</f>
        <v>4.0000000000000924E-2</v>
      </c>
      <c r="DO57" s="823">
        <f t="shared" si="214"/>
        <v>4.0322580645162226E-3</v>
      </c>
      <c r="DP57" s="560">
        <f>(VLOOKUP(Sheet1!DC59,hhdcap_wcm,4)-(((VLOOKUP(Sheet1!DC59,hhdcap_wcm,3)-Sheet1!DC59)/(VLOOKUP(Sheet1!DC59,hhdcap_wcm,3)-VLOOKUP(Sheet1!DC59,hhdcap_wcm,1)))*(VLOOKUP(Sheet1!DC59,hhdcap_wcm,4)-VLOOKUP(Sheet1!DC59,hhdcap_wcm,2))))</f>
        <v>1061.0000000031628</v>
      </c>
      <c r="DQ57" s="560">
        <f t="shared" si="215"/>
        <v>75.000000000059117</v>
      </c>
      <c r="DR57" s="560">
        <f t="shared" si="216"/>
        <v>37.82148260214781</v>
      </c>
      <c r="DS57" s="560">
        <f>Sheet1!EA59*AFtoMG</f>
        <v>0</v>
      </c>
      <c r="DT57" s="560">
        <f>Sheet1!EB59*AFtoMG</f>
        <v>0</v>
      </c>
      <c r="DU57" s="560">
        <f>Sheet1!EC59*AFtoMG</f>
        <v>0</v>
      </c>
      <c r="DV57" s="560">
        <f>Sheet1!ED59*AFtoMG</f>
        <v>0</v>
      </c>
      <c r="DW57" s="560">
        <f t="shared" si="217"/>
        <v>0</v>
      </c>
      <c r="DX57" s="560">
        <f t="shared" si="218"/>
        <v>0</v>
      </c>
      <c r="DY57" s="560">
        <f t="shared" si="219"/>
        <v>0</v>
      </c>
      <c r="DZ57" s="560">
        <f t="shared" si="220"/>
        <v>0</v>
      </c>
      <c r="EA57" s="560"/>
      <c r="EB57" s="545">
        <f>IF(OR(B57&lt;FV57,B57&gt;FW57),(MIN(BF57+BY57+CT57+MAX(Sheet1!AA59+AQ57-73,0),K57)),0)</f>
        <v>6.2450806451612912</v>
      </c>
      <c r="EC57" s="560"/>
      <c r="ED57" s="560">
        <f t="shared" si="221"/>
        <v>6.2450806451612912</v>
      </c>
      <c r="EE57" s="560"/>
      <c r="EF57" s="560">
        <f>Sheet1!EH59+Sheet1!EI59+Sheet1!EJ59+Sheet1!EK59</f>
        <v>6.22</v>
      </c>
      <c r="EG57" s="560"/>
      <c r="EH57" s="545">
        <f t="shared" si="222"/>
        <v>0</v>
      </c>
      <c r="EI57" s="560">
        <f>IF(Sheet1!ET59=1,SUM('Calculations II'!AT57:BA57)+'Calculations II'!BC57+Sheet1!BV59+'Calculations II'!BE57+AP57,SUM('Calculations II'!AT57:BA57)+'Calculations II'!BC57+Sheet1!BV59+'Calculations II'!BE57+AP57)</f>
        <v>45.494688000000004</v>
      </c>
      <c r="EJ57" s="560">
        <f>Sheet1!AA59+Sheet1!AB59+'Calculations II'!BC57</f>
        <v>47.804831999999998</v>
      </c>
      <c r="EK57" s="560"/>
      <c r="EL57" s="560"/>
      <c r="EM57" s="560">
        <f t="shared" si="223"/>
        <v>41685</v>
      </c>
      <c r="EN57" s="560">
        <f t="shared" si="224"/>
        <v>0</v>
      </c>
      <c r="EO57" s="560">
        <f t="shared" si="225"/>
        <v>0</v>
      </c>
      <c r="EP57" s="560">
        <v>0</v>
      </c>
      <c r="EQ57" s="560">
        <v>0</v>
      </c>
      <c r="ER57" s="560">
        <v>0</v>
      </c>
      <c r="ES57" s="545">
        <f t="shared" si="77"/>
        <v>4.710565341028631</v>
      </c>
      <c r="ET57" s="560">
        <f>-(VLOOKUP(Sheet1!BQ59,Lookup!$O$4:$Q$262,2)-VLOOKUP(Sheet1!BQ58,Lookup!$O$4:$Q$262,2))/1000000</f>
        <v>1.9399084723804407</v>
      </c>
      <c r="EU57" s="560">
        <f>-(VLOOKUP(Sheet1!BR59,Lookup!$O$4:$Q$262,3)-VLOOKUP(Sheet1!BR58,Lookup!$O$4:$Q$262,3))/1000000</f>
        <v>2.7706568686481901</v>
      </c>
      <c r="EV57" s="560"/>
      <c r="EW57" s="560"/>
      <c r="EX57" s="560"/>
      <c r="EY57" s="560"/>
      <c r="EZ57" s="560"/>
      <c r="FA57" s="560"/>
      <c r="FB57" s="560"/>
      <c r="FC57" s="560"/>
      <c r="FD57" s="594" t="e">
        <f t="shared" si="226"/>
        <v>#N/A</v>
      </c>
      <c r="FE57" s="594" t="e">
        <f t="shared" si="227"/>
        <v>#N/A</v>
      </c>
      <c r="FF57" s="595" t="e">
        <f t="shared" si="228"/>
        <v>#N/A</v>
      </c>
      <c r="FG57" s="596" t="s">
        <v>692</v>
      </c>
      <c r="FH57" s="596" t="s">
        <v>692</v>
      </c>
      <c r="FI57" s="594" t="e">
        <v>#N/A</v>
      </c>
      <c r="FJ57" s="594" t="e">
        <v>#N/A</v>
      </c>
      <c r="FK57" s="560"/>
      <c r="FL57" s="560"/>
      <c r="FM57" s="560"/>
      <c r="FN57" s="560"/>
      <c r="FO57" s="560">
        <f>O57+((Sheet1!CS59)*GPMtoMGD)</f>
        <v>47.804831999999998</v>
      </c>
      <c r="FP57" s="560">
        <f>IF(Sheet1!AA59+AQ57&lt;=Calculation!N57,AQ57,Calculation!N57-Sheet1!AA59)</f>
        <v>2.710887096774194</v>
      </c>
      <c r="FQ57" s="560">
        <f>(Sheet1!BP59+Sheet1!BO59)/694.4</f>
        <v>1.5724366359447006</v>
      </c>
      <c r="FR57" s="560"/>
      <c r="FS57" s="560"/>
      <c r="FT57" s="560"/>
      <c r="FU57" s="560"/>
      <c r="FV57" s="695">
        <f t="shared" si="80"/>
        <v>41827</v>
      </c>
      <c r="FW57" s="695">
        <f t="shared" si="81"/>
        <v>41934</v>
      </c>
      <c r="FX57" s="560"/>
      <c r="FY57" s="560"/>
      <c r="FZ57" s="560"/>
      <c r="GA57" s="560"/>
      <c r="GB57" s="560" t="str">
        <f t="shared" si="82"/>
        <v>n</v>
      </c>
      <c r="GC57" s="564">
        <f t="shared" si="83"/>
        <v>41691</v>
      </c>
      <c r="GD57" s="695">
        <f t="shared" si="84"/>
        <v>41807</v>
      </c>
      <c r="GE57" s="560">
        <v>6518.9</v>
      </c>
      <c r="GF57" s="695">
        <f t="shared" si="85"/>
        <v>41808</v>
      </c>
      <c r="GG57" s="560">
        <f t="shared" si="163"/>
        <v>3259</v>
      </c>
      <c r="GH57" s="564">
        <f t="shared" si="87"/>
        <v>41934</v>
      </c>
      <c r="GJ57" s="545">
        <f t="shared" si="88"/>
        <v>0</v>
      </c>
      <c r="GK57" s="560" t="str">
        <f t="shared" si="229"/>
        <v/>
      </c>
      <c r="GL57" s="560">
        <f t="shared" si="89"/>
        <v>0</v>
      </c>
      <c r="GM57" s="560" t="str">
        <f t="shared" si="90"/>
        <v/>
      </c>
      <c r="GN57" s="560">
        <f>IF(GK57="P",Lookup!$M$12,IF(GK57="PP",Lookup!$M$13,IF(GK57="PPP",Lookup!$M$14,IF(GK57="T",Lookup!$M$15,IF(GK57="TP",Lookup!$M$16,IF(GK57="TPP",Lookup!$M$17,IF(GK57="TPPP",Lookup!$M$18,0)))))))*GJ57</f>
        <v>0</v>
      </c>
      <c r="GO57" s="560">
        <f t="shared" si="91"/>
        <v>0</v>
      </c>
      <c r="GP57" s="560">
        <f t="shared" si="230"/>
        <v>0</v>
      </c>
      <c r="GQ57" s="560">
        <f t="shared" si="99"/>
        <v>0</v>
      </c>
      <c r="GR57" s="560"/>
      <c r="GS57" s="560">
        <f t="shared" si="92"/>
        <v>0</v>
      </c>
      <c r="GT57" s="560" t="str">
        <f t="shared" si="93"/>
        <v/>
      </c>
      <c r="GU57" s="560">
        <f>IF(GK57="P",Lookup!$N$12,IF(GK57="PP",Lookup!$N$13,IF(GK57="PPP",Lookup!$N$14,IF(GK57="T",Lookup!$N$15,IF(GK57="TP",Lookup!$N$16,IF(GK57="TPP",Lookup!$N$17,IF(GK57="TPPP",Lookup!$N$18,0)))))))*GJ57</f>
        <v>0</v>
      </c>
      <c r="GV57" s="560">
        <f t="shared" si="57"/>
        <v>0</v>
      </c>
      <c r="GW57" s="560">
        <f t="shared" si="231"/>
        <v>0</v>
      </c>
      <c r="GX57" s="560">
        <f t="shared" si="100"/>
        <v>0</v>
      </c>
      <c r="GY57" s="560"/>
      <c r="GZ57" s="560">
        <f t="shared" si="94"/>
        <v>0</v>
      </c>
      <c r="HA57" s="560" t="str">
        <f t="shared" si="95"/>
        <v/>
      </c>
      <c r="HB57" s="560">
        <f>IF(GK57="P",Lookup!$N$12,IF(GK57="PP",Lookup!$N$13,IF(GK57="PPP",Lookup!$N$14,IF(GK57="T",Lookup!$N$15,IF(GK57="TP",Lookup!$N$16,IF(GK57="TPP",Lookup!$N$17,IF(GK57="TPPP",Lookup!$N$18,0)))))))*GJ57</f>
        <v>0</v>
      </c>
      <c r="HC57" s="545">
        <f t="shared" si="232"/>
        <v>0</v>
      </c>
      <c r="HD57" s="560">
        <f t="shared" si="233"/>
        <v>0</v>
      </c>
      <c r="HE57" s="560">
        <f t="shared" si="101"/>
        <v>0</v>
      </c>
      <c r="HF57" s="560"/>
      <c r="HG57" s="560">
        <f t="shared" si="96"/>
        <v>0</v>
      </c>
      <c r="HH57" s="560" t="str">
        <f t="shared" si="97"/>
        <v/>
      </c>
      <c r="HI57" s="560">
        <f>IF(GK57="P",Lookup!$N$12,IF(GK57="PP",Lookup!$N$13,IF(GK57="PPP",Lookup!$N$14,IF(GK57="T",Lookup!$N$15,IF(GK57="TP",Lookup!$N$16,IF(GK57="TPP",Lookup!$N$17,IF(GK57="TPPP",Lookup!$N$18,0)))))))*GJ57</f>
        <v>0</v>
      </c>
      <c r="HJ57" s="545">
        <f t="shared" si="234"/>
        <v>0</v>
      </c>
      <c r="HK57" s="560">
        <f t="shared" si="235"/>
        <v>0</v>
      </c>
      <c r="HL57" s="560">
        <f t="shared" si="102"/>
        <v>0</v>
      </c>
      <c r="HM57" s="560"/>
    </row>
    <row r="58" spans="1:221">
      <c r="A58" s="580" t="s">
        <v>3</v>
      </c>
      <c r="B58" s="556">
        <v>41686</v>
      </c>
      <c r="C58" s="561">
        <v>0</v>
      </c>
      <c r="D58" s="529">
        <f t="shared" si="103"/>
        <v>300</v>
      </c>
      <c r="E58" s="529">
        <f t="shared" si="104"/>
        <v>250</v>
      </c>
      <c r="F58" s="529">
        <v>250</v>
      </c>
      <c r="G58" s="560">
        <f>DR58+Sheet1!CZ60</f>
        <v>1568.1643973779135</v>
      </c>
      <c r="H58" s="914">
        <f t="shared" si="2"/>
        <v>746.69826646508329</v>
      </c>
      <c r="I58" s="559">
        <f>MAX(Sheet1!Z60-AT58+(Sheet1!DA60-E58)*CFStoMGD,0)</f>
        <v>1444.9680000000001</v>
      </c>
      <c r="J58" s="562">
        <f>IF(AND(B58&gt;=Calculation!GC58,B58&lt;=Calculation!GD58),IF(Sheet1!DB60&gt;=Calculation!D58,64.64,0),MAX(Sheet1!Z60-AT58+(Sheet1!DB60-D58)*CFStoMGD,0))</f>
        <v>830.88800000000003</v>
      </c>
      <c r="K58" s="904">
        <f t="shared" si="171"/>
        <v>64.64</v>
      </c>
      <c r="L58" s="560">
        <f>Sheet1!AA60+Sheet1!AB60-Sheet1!L60+(Sheet1!DA60-F58)*CFStoMGD</f>
        <v>1435.008</v>
      </c>
      <c r="M58" s="560">
        <f t="shared" si="172"/>
        <v>1033.9346957943849</v>
      </c>
      <c r="N58" s="910">
        <f>IF(Sheet1!DA60&gt;=F58,MIN(73,MIN(MAX(L58,0),MAX(M58,0))),0)</f>
        <v>73</v>
      </c>
      <c r="O58" s="563">
        <f>Sheet1!AA60+Sheet1!AB60</f>
        <v>33.54</v>
      </c>
      <c r="P58" s="563">
        <f t="shared" si="173"/>
        <v>51.886380000000003</v>
      </c>
      <c r="Q58" s="898">
        <f t="shared" si="63"/>
        <v>0</v>
      </c>
      <c r="R58" s="829">
        <f t="shared" si="174"/>
        <v>6.2325403225806451</v>
      </c>
      <c r="S58" s="898">
        <f t="shared" si="65"/>
        <v>33.54</v>
      </c>
      <c r="T58" s="898">
        <f t="shared" si="66"/>
        <v>0</v>
      </c>
      <c r="U58" s="898">
        <f t="shared" si="6"/>
        <v>0</v>
      </c>
      <c r="V58" s="898"/>
      <c r="W58" s="898">
        <f t="shared" si="67"/>
        <v>58.407459677419354</v>
      </c>
      <c r="X58" s="898">
        <f t="shared" si="68"/>
        <v>33.54</v>
      </c>
      <c r="Y58" s="898" t="str">
        <f t="shared" si="69"/>
        <v/>
      </c>
      <c r="Z58" s="898">
        <f t="shared" si="70"/>
        <v>33.54</v>
      </c>
      <c r="AA58" s="898">
        <f t="shared" si="71"/>
        <v>33.54</v>
      </c>
      <c r="AB58" s="898" t="str">
        <f t="shared" si="72"/>
        <v/>
      </c>
      <c r="AC58" s="563">
        <f>Sheet1!Y60*MGDtoCFS</f>
        <v>36.663899999999998</v>
      </c>
      <c r="AD58" s="563">
        <f>Sheet1!Z60*MGDtoCFS</f>
        <v>15.40812</v>
      </c>
      <c r="AE58" s="563">
        <f>Sheet1!AA60*MGDtoCFS</f>
        <v>36.5092</v>
      </c>
      <c r="AF58" s="563">
        <f>Sheet1!AB60*MGDtoCFS</f>
        <v>15.377179999999999</v>
      </c>
      <c r="AG58" s="563">
        <f>Sheet1!L60*MGDtoCFS</f>
        <v>51.886379999999996</v>
      </c>
      <c r="AH58" s="545">
        <f t="shared" si="175"/>
        <v>0</v>
      </c>
      <c r="AI58" s="560">
        <f t="shared" si="176"/>
        <v>0</v>
      </c>
      <c r="AJ58" s="560">
        <f t="shared" si="177"/>
        <v>0</v>
      </c>
      <c r="AK58" s="560">
        <f t="shared" si="178"/>
        <v>0</v>
      </c>
      <c r="AL58" s="560">
        <f>(VLOOKUP(Sheet1!DC60,hhdcap_wcm,4)-(((VLOOKUP(Sheet1!DC60,hhdcap_wcm,3)-Sheet1!DC60)/(VLOOKUP(Sheet1!DC60,hhdcap_wcm,3)-VLOOKUP(Sheet1!DC60,hhdcap_wcm,1)))*(VLOOKUP(Sheet1!DC60,hhdcap_wcm,4)-VLOOKUP(Sheet1!DC60,hhdcap_wcm,2))))</f>
        <v>1216.0000000035652</v>
      </c>
      <c r="AM58" s="560">
        <f t="shared" si="179"/>
        <v>155.00000000040245</v>
      </c>
      <c r="AN58" s="560">
        <f t="shared" si="180"/>
        <v>0</v>
      </c>
      <c r="AO58" s="560">
        <f t="shared" si="181"/>
        <v>0</v>
      </c>
      <c r="AP58" s="560">
        <f>Sheet1!BA60+Sheet1!BB60+Sheet1!BN60+CD58</f>
        <v>3.7</v>
      </c>
      <c r="AQ58" s="560">
        <f>Sheet1!BN60+(DO58*Sheet1!BN60)</f>
        <v>2.7054435483870969</v>
      </c>
      <c r="AR58" s="560">
        <f>Sheet1!BA60+CD58</f>
        <v>0</v>
      </c>
      <c r="AS58" s="560">
        <f>Sheet1!BA60+Sheet1!BB60+CD58</f>
        <v>1</v>
      </c>
      <c r="AT58" s="698">
        <f>0</f>
        <v>0</v>
      </c>
      <c r="AU58" s="560">
        <f>IF(EB58&lt;K58,0,MAX(Sheet1!AA60+AQ58-15/36*K58-N58,Sheet1!EH60,0))</f>
        <v>0</v>
      </c>
      <c r="AV58" s="560">
        <f>IF(OR(B58&gt;=GD58,B58&lt;GC58),0,15/36*K58-MAX(0,64.6-(137.6-(Sheet1!AA60+Sheet1!AB60))))</f>
        <v>0</v>
      </c>
      <c r="AW58" s="698">
        <f>Sheet1!DB60-110</f>
        <v>1460</v>
      </c>
      <c r="AX58" s="698">
        <f>Sheet1!DA60-265</f>
        <v>2205</v>
      </c>
      <c r="AY58" s="698">
        <f t="shared" si="182"/>
        <v>73</v>
      </c>
      <c r="AZ58" s="698">
        <v>0</v>
      </c>
      <c r="BA58" s="698">
        <f t="shared" si="183"/>
        <v>0</v>
      </c>
      <c r="BB58" s="560">
        <f t="shared" si="184"/>
        <v>0</v>
      </c>
      <c r="BC58" s="560"/>
      <c r="BD58" s="560">
        <f ca="1">IF(B58&gt;Summary!$A$1,#N/A,BB58*MGtoAF)</f>
        <v>0</v>
      </c>
      <c r="BE58" s="560">
        <f>Sheet1!BG60+Sheet1!BH60+Sheet1!BI60-BM58</f>
        <v>0</v>
      </c>
      <c r="BF58" s="560">
        <f t="shared" si="185"/>
        <v>0</v>
      </c>
      <c r="BG58" s="560">
        <f>IF(Sheet1!EP60="FM",BM58,0)</f>
        <v>0</v>
      </c>
      <c r="BH58" s="560">
        <f t="shared" si="186"/>
        <v>0</v>
      </c>
      <c r="BI58" s="560">
        <f>IF(Sheet1!EP60="OTHER",BM58,0)</f>
        <v>0</v>
      </c>
      <c r="BJ58" s="560">
        <f t="shared" si="187"/>
        <v>0</v>
      </c>
      <c r="BK58" s="560">
        <f t="shared" si="188"/>
        <v>0</v>
      </c>
      <c r="BL58" s="560">
        <f t="shared" si="189"/>
        <v>0</v>
      </c>
      <c r="BM58" s="560">
        <f>IF(OR(Sheet1!EP60="FM", Sheet1!EP60="OTHER"),SUM(Sheet1!BG60:'Sheet1'!BI60),0)</f>
        <v>0</v>
      </c>
      <c r="BN58" s="545">
        <f>IF(AND($B58&gt;=$FV58,$B58&lt;=$FW58),MAX(BF58,Sheet1!EI60,0),MAX(BF58-(7/36)*$K58,0))</f>
        <v>0</v>
      </c>
      <c r="BO58" s="560">
        <f t="shared" si="190"/>
        <v>0</v>
      </c>
      <c r="BP58" s="545">
        <f t="shared" si="191"/>
        <v>0</v>
      </c>
      <c r="BQ58" s="545">
        <f>IF(AND($O58&gt;0,Sheet1!EM60=1),(1-($O58-Sheet1!$L60)/$O58)*BL58,0)</f>
        <v>0</v>
      </c>
      <c r="BR58" s="545">
        <f>IF(AND(Sheet1!$L60=0,Sheet1!$L59=0, Calculation!BK58&lt;Sheet1!$EI60-0.1,Sheet1!$EI60=Sheet1!$EI59,Sheet1!$EI60=Sheet1!$EI61),Sheet1!$EI60,BL58-BQ58)</f>
        <v>0</v>
      </c>
      <c r="BS58" s="560"/>
      <c r="BT58" s="560"/>
      <c r="BU58" s="560">
        <f t="shared" si="192"/>
        <v>0</v>
      </c>
      <c r="BV58" s="560"/>
      <c r="BW58" s="560">
        <f ca="1">IF(B58&gt;Summary!$A$1,#N/A,BU58*MGtoAF)</f>
        <v>0</v>
      </c>
      <c r="BX58" s="560">
        <f>Sheet1!BC60+Sheet1!BD60+Sheet1!BE60+Sheet1!BF60-CG58-CH58</f>
        <v>2.5</v>
      </c>
      <c r="BY58" s="560">
        <f t="shared" si="193"/>
        <v>2.505040322580645</v>
      </c>
      <c r="BZ58" s="560">
        <f>IF(Sheet1!EQ60="FM",CH58,0)</f>
        <v>0</v>
      </c>
      <c r="CA58" s="560">
        <f t="shared" si="194"/>
        <v>0</v>
      </c>
      <c r="CB58" s="560">
        <f>IF(Sheet1!EQ60="OTHER",CH58,0)</f>
        <v>0</v>
      </c>
      <c r="CC58" s="560">
        <f t="shared" si="195"/>
        <v>0</v>
      </c>
      <c r="CD58" s="560">
        <f t="shared" si="196"/>
        <v>0</v>
      </c>
      <c r="CE58" s="560">
        <f t="shared" si="197"/>
        <v>2.5</v>
      </c>
      <c r="CF58" s="560">
        <f t="shared" si="198"/>
        <v>2.505040322580645</v>
      </c>
      <c r="CG58" s="560">
        <f>IF(Sheet1!EQ60="CWA",SUM(Sheet1!BC60:'Sheet1'!BF60),0)</f>
        <v>0</v>
      </c>
      <c r="CH58" s="560">
        <f>IF(OR(Sheet1!EQ60="FM", Sheet1!EQ60="OTHER"),SUM(Sheet1!BC60:'Sheet1'!BF60),0)</f>
        <v>0</v>
      </c>
      <c r="CI58" s="545">
        <f>IF(AND($B58&gt;=$FV58,$B58&lt;=$FW58),MAX(CF58,Sheet1!EJ60,0),MAX(CF58-(7/36)*$K58,0))</f>
        <v>0</v>
      </c>
      <c r="CJ58" s="560">
        <f t="shared" si="199"/>
        <v>0</v>
      </c>
      <c r="CK58" s="545">
        <f t="shared" si="200"/>
        <v>2.505040322580645</v>
      </c>
      <c r="CL58" s="545">
        <f>IF(AND($O58&gt;0,Sheet1!EN60=1),(1-($O58-Sheet1!$L60)/$O58)*CF58,0)</f>
        <v>0</v>
      </c>
      <c r="CM58" s="545">
        <f>IF(AND(Sheet1!$L60=0,Sheet1!$L59=0, Calculation!CE58&lt;Sheet1!EJ60-0.1,Sheet1!EJ60=Sheet1!EJ59,Sheet1!EJ60=Sheet1!EJ61),Sheet1!EJ60,CF58-CL58)</f>
        <v>2.505040322580645</v>
      </c>
      <c r="CN58" s="545"/>
      <c r="CO58" s="560"/>
      <c r="CP58" s="560">
        <f t="shared" si="201"/>
        <v>0</v>
      </c>
      <c r="CQ58" s="560"/>
      <c r="CR58" s="560">
        <f ca="1">IF(B58&gt;Summary!$A$1,#N/A,CP58*MGtoAF)</f>
        <v>0</v>
      </c>
      <c r="CS58" s="560">
        <f>Sheet1!BK60+Sheet1!BL60+Sheet1!BM60-Sheet1!ER60-DA58</f>
        <v>3.7199999999999998</v>
      </c>
      <c r="CT58" s="560">
        <f t="shared" si="202"/>
        <v>3.7274999999999996</v>
      </c>
      <c r="CU58" s="560">
        <f>IF(Sheet1!ER60="FM",DA58,0)</f>
        <v>0</v>
      </c>
      <c r="CV58" s="560">
        <f t="shared" si="203"/>
        <v>0</v>
      </c>
      <c r="CW58" s="560">
        <f>IF(Sheet1!ER60="OTHER",DA58,0)</f>
        <v>0</v>
      </c>
      <c r="CX58" s="560">
        <f t="shared" si="204"/>
        <v>0</v>
      </c>
      <c r="CY58" s="560">
        <f t="shared" si="205"/>
        <v>3.7199999999999998</v>
      </c>
      <c r="CZ58" s="560">
        <f t="shared" si="206"/>
        <v>3.7274999999999996</v>
      </c>
      <c r="DA58" s="560">
        <f>IF(OR(Sheet1!ER60="FM", Sheet1!ER60="OTHER"),SUM(Sheet1!BK60:'Sheet1'!BM60),0)</f>
        <v>0</v>
      </c>
      <c r="DB58" s="545">
        <f>IF(AND($B58&gt;=$FV58,$B58&lt;=$FW58),MAX($CT58,Sheet1!EK60,0),MAX($CT58-(7/36)*$K58,0))</f>
        <v>0</v>
      </c>
      <c r="DC58" s="560">
        <f t="shared" si="207"/>
        <v>0</v>
      </c>
      <c r="DD58" s="545">
        <f t="shared" si="208"/>
        <v>3.7274999999999996</v>
      </c>
      <c r="DE58" s="545">
        <f>IF(AND($O58&gt;0,Sheet1!EO60=1),(1-($O58-Sheet1!$L60)/$O58)*CZ58,0)</f>
        <v>0</v>
      </c>
      <c r="DF58" s="545">
        <f>IF(AND(Sheet1!$L60=0,Sheet1!$L59=0, Calculation!CY58&lt;Sheet1!$EK60-0.1,Sheet1!$EK60=Sheet1!$EK59,Sheet1!$EK60=Sheet1!$EK61),Sheet1!$EK60,CZ58-DE58)</f>
        <v>3.7274999999999996</v>
      </c>
      <c r="DG58" s="545"/>
      <c r="DH58" s="560">
        <f t="shared" si="209"/>
        <v>6.22</v>
      </c>
      <c r="DI58" s="560">
        <f t="shared" si="210"/>
        <v>0</v>
      </c>
      <c r="DJ58" s="698">
        <f t="shared" si="211"/>
        <v>6.2325403225806451</v>
      </c>
      <c r="DK58" s="560">
        <f ca="1">IF(B58&gt;Summary!$A$1,#N/A,DI58*MGtoAF)</f>
        <v>0</v>
      </c>
      <c r="DL58" s="698">
        <f t="shared" si="212"/>
        <v>6.22</v>
      </c>
      <c r="DM58" s="560">
        <f t="shared" si="213"/>
        <v>9.92</v>
      </c>
      <c r="DN58" s="560">
        <f>Sheet1!AB60-DM58</f>
        <v>1.9999999999999574E-2</v>
      </c>
      <c r="DO58" s="823">
        <f t="shared" si="214"/>
        <v>2.0161290322580215E-3</v>
      </c>
      <c r="DP58" s="560">
        <f>(VLOOKUP(Sheet1!DC60,hhdcap_wcm,4)-(((VLOOKUP(Sheet1!DC60,hhdcap_wcm,3)-Sheet1!DC60)/(VLOOKUP(Sheet1!DC60,hhdcap_wcm,3)-VLOOKUP(Sheet1!DC60,hhdcap_wcm,1)))*(VLOOKUP(Sheet1!DC60,hhdcap_wcm,4)-VLOOKUP(Sheet1!DC60,hhdcap_wcm,2))))</f>
        <v>1216.0000000035652</v>
      </c>
      <c r="DQ58" s="560">
        <f t="shared" si="215"/>
        <v>155.00000000040245</v>
      </c>
      <c r="DR58" s="560">
        <f t="shared" si="216"/>
        <v>78.164397377913474</v>
      </c>
      <c r="DS58" s="560">
        <f>Sheet1!EA60*AFtoMG</f>
        <v>0</v>
      </c>
      <c r="DT58" s="560">
        <f>Sheet1!EB60*AFtoMG</f>
        <v>0</v>
      </c>
      <c r="DU58" s="560">
        <f>Sheet1!EC60*AFtoMG</f>
        <v>0</v>
      </c>
      <c r="DV58" s="560">
        <f>Sheet1!ED60*AFtoMG</f>
        <v>0</v>
      </c>
      <c r="DW58" s="560">
        <f t="shared" si="217"/>
        <v>0</v>
      </c>
      <c r="DX58" s="560">
        <f t="shared" si="218"/>
        <v>0</v>
      </c>
      <c r="DY58" s="560">
        <f t="shared" si="219"/>
        <v>0</v>
      </c>
      <c r="DZ58" s="560">
        <f t="shared" si="220"/>
        <v>0</v>
      </c>
      <c r="EA58" s="560"/>
      <c r="EB58" s="545">
        <f>IF(OR(B58&lt;FV58,B58&gt;FW58),(MIN(BF58+BY58+CT58+MAX(Sheet1!AA60+AQ58-73,0),K58)),0)</f>
        <v>6.2325403225806451</v>
      </c>
      <c r="EC58" s="560"/>
      <c r="ED58" s="560">
        <f t="shared" si="221"/>
        <v>6.2325403225806451</v>
      </c>
      <c r="EE58" s="560"/>
      <c r="EF58" s="560">
        <f>Sheet1!EH60+Sheet1!EI60+Sheet1!EJ60+Sheet1!EK60</f>
        <v>6.22</v>
      </c>
      <c r="EG58" s="560"/>
      <c r="EH58" s="545">
        <f t="shared" si="222"/>
        <v>0</v>
      </c>
      <c r="EI58" s="560">
        <f>IF(Sheet1!ET60=1,SUM('Calculations II'!AT58:BA58)+'Calculations II'!BC58+Sheet1!BV60+'Calculations II'!BE58+AP58,SUM('Calculations II'!AT58:BA58)+'Calculations II'!BC58+Sheet1!BV60+'Calculations II'!BE58+AP58)</f>
        <v>47.733328000000007</v>
      </c>
      <c r="EJ58" s="560">
        <f>Sheet1!AA60+Sheet1!AB60+'Calculations II'!BC58</f>
        <v>49.489727999999999</v>
      </c>
      <c r="EK58" s="560"/>
      <c r="EL58" s="560"/>
      <c r="EM58" s="560">
        <f t="shared" si="223"/>
        <v>41686</v>
      </c>
      <c r="EN58" s="560">
        <f t="shared" si="224"/>
        <v>0</v>
      </c>
      <c r="EO58" s="560">
        <f t="shared" si="225"/>
        <v>0</v>
      </c>
      <c r="EP58" s="560">
        <v>0</v>
      </c>
      <c r="EQ58" s="560">
        <v>0</v>
      </c>
      <c r="ER58" s="560">
        <v>0</v>
      </c>
      <c r="ES58" s="545">
        <f t="shared" si="77"/>
        <v>0.69252000222436338</v>
      </c>
      <c r="ET58" s="560">
        <f>-(VLOOKUP(Sheet1!BQ60,Lookup!$O$4:$Q$262,2)-VLOOKUP(Sheet1!BQ59,Lookup!$O$4:$Q$262,2))/1000000</f>
        <v>0.69252000222436338</v>
      </c>
      <c r="EU58" s="560">
        <f>-(VLOOKUP(Sheet1!BR60,Lookup!$O$4:$Q$262,3)-VLOOKUP(Sheet1!BR59,Lookup!$O$4:$Q$262,3))/1000000</f>
        <v>0</v>
      </c>
      <c r="EV58" s="560"/>
      <c r="EW58" s="560"/>
      <c r="EX58" s="560"/>
      <c r="EY58" s="560"/>
      <c r="EZ58" s="560"/>
      <c r="FA58" s="560"/>
      <c r="FB58" s="560"/>
      <c r="FC58" s="560"/>
      <c r="FD58" s="594" t="e">
        <f t="shared" si="226"/>
        <v>#N/A</v>
      </c>
      <c r="FE58" s="594" t="e">
        <f t="shared" si="227"/>
        <v>#N/A</v>
      </c>
      <c r="FF58" s="595" t="e">
        <f t="shared" si="228"/>
        <v>#N/A</v>
      </c>
      <c r="FG58" s="596" t="s">
        <v>692</v>
      </c>
      <c r="FH58" s="596" t="s">
        <v>692</v>
      </c>
      <c r="FI58" s="594" t="e">
        <v>#N/A</v>
      </c>
      <c r="FJ58" s="594" t="e">
        <v>#N/A</v>
      </c>
      <c r="FK58" s="560"/>
      <c r="FL58" s="560"/>
      <c r="FM58" s="560"/>
      <c r="FN58" s="560"/>
      <c r="FO58" s="560">
        <f>O58+((Sheet1!CS60)*GPMtoMGD)</f>
        <v>49.489727999999999</v>
      </c>
      <c r="FP58" s="560">
        <f>IF(Sheet1!AA60+AQ58&lt;=Calculation!N58,AQ58,Calculation!N58-Sheet1!AA60)</f>
        <v>2.7054435483870969</v>
      </c>
      <c r="FQ58" s="560">
        <f>(Sheet1!BP60+Sheet1!BO60)/694.4</f>
        <v>1.5182891705069124</v>
      </c>
      <c r="FR58" s="560"/>
      <c r="FS58" s="560"/>
      <c r="FT58" s="560"/>
      <c r="FU58" s="560"/>
      <c r="FV58" s="695">
        <f t="shared" si="80"/>
        <v>41827</v>
      </c>
      <c r="FW58" s="695">
        <f t="shared" si="81"/>
        <v>41934</v>
      </c>
      <c r="FX58" s="560"/>
      <c r="FY58" s="560"/>
      <c r="FZ58" s="560"/>
      <c r="GA58" s="560"/>
      <c r="GB58" s="560" t="str">
        <f t="shared" si="82"/>
        <v>n</v>
      </c>
      <c r="GC58" s="564">
        <f t="shared" si="83"/>
        <v>41691</v>
      </c>
      <c r="GD58" s="695">
        <f t="shared" si="84"/>
        <v>41807</v>
      </c>
      <c r="GE58" s="560">
        <v>6518.9</v>
      </c>
      <c r="GF58" s="695">
        <f t="shared" si="85"/>
        <v>41808</v>
      </c>
      <c r="GG58" s="560">
        <f t="shared" si="163"/>
        <v>3259</v>
      </c>
      <c r="GH58" s="564">
        <f t="shared" si="87"/>
        <v>41934</v>
      </c>
      <c r="GJ58" s="545">
        <f t="shared" si="88"/>
        <v>0</v>
      </c>
      <c r="GK58" s="560" t="str">
        <f t="shared" si="229"/>
        <v/>
      </c>
      <c r="GL58" s="560">
        <f t="shared" si="89"/>
        <v>0</v>
      </c>
      <c r="GM58" s="560" t="str">
        <f t="shared" si="90"/>
        <v/>
      </c>
      <c r="GN58" s="560">
        <f>IF(GK58="P",Lookup!$M$12,IF(GK58="PP",Lookup!$M$13,IF(GK58="PPP",Lookup!$M$14,IF(GK58="T",Lookup!$M$15,IF(GK58="TP",Lookup!$M$16,IF(GK58="TPP",Lookup!$M$17,IF(GK58="TPPP",Lookup!$M$18,0)))))))*GJ58</f>
        <v>0</v>
      </c>
      <c r="GO58" s="560">
        <f t="shared" si="91"/>
        <v>0</v>
      </c>
      <c r="GP58" s="560">
        <f t="shared" si="230"/>
        <v>0</v>
      </c>
      <c r="GQ58" s="560">
        <f t="shared" si="99"/>
        <v>0</v>
      </c>
      <c r="GR58" s="560"/>
      <c r="GS58" s="560">
        <f t="shared" si="92"/>
        <v>0</v>
      </c>
      <c r="GT58" s="560" t="str">
        <f t="shared" si="93"/>
        <v/>
      </c>
      <c r="GU58" s="560">
        <f>IF(GK58="P",Lookup!$N$12,IF(GK58="PP",Lookup!$N$13,IF(GK58="PPP",Lookup!$N$14,IF(GK58="T",Lookup!$N$15,IF(GK58="TP",Lookup!$N$16,IF(GK58="TPP",Lookup!$N$17,IF(GK58="TPPP",Lookup!$N$18,0)))))))*GJ58</f>
        <v>0</v>
      </c>
      <c r="GV58" s="560">
        <f t="shared" si="57"/>
        <v>0</v>
      </c>
      <c r="GW58" s="560">
        <f t="shared" si="231"/>
        <v>0</v>
      </c>
      <c r="GX58" s="560">
        <f t="shared" si="100"/>
        <v>0</v>
      </c>
      <c r="GY58" s="560"/>
      <c r="GZ58" s="560">
        <f t="shared" si="94"/>
        <v>0</v>
      </c>
      <c r="HA58" s="560" t="str">
        <f t="shared" si="95"/>
        <v/>
      </c>
      <c r="HB58" s="560">
        <f>IF(GK58="P",Lookup!$N$12,IF(GK58="PP",Lookup!$N$13,IF(GK58="PPP",Lookup!$N$14,IF(GK58="T",Lookup!$N$15,IF(GK58="TP",Lookup!$N$16,IF(GK58="TPP",Lookup!$N$17,IF(GK58="TPPP",Lookup!$N$18,0)))))))*GJ58</f>
        <v>0</v>
      </c>
      <c r="HC58" s="545">
        <f t="shared" si="232"/>
        <v>0</v>
      </c>
      <c r="HD58" s="560">
        <f t="shared" si="233"/>
        <v>0</v>
      </c>
      <c r="HE58" s="560">
        <f t="shared" si="101"/>
        <v>0</v>
      </c>
      <c r="HF58" s="560"/>
      <c r="HG58" s="560">
        <f t="shared" si="96"/>
        <v>0</v>
      </c>
      <c r="HH58" s="560" t="str">
        <f t="shared" si="97"/>
        <v/>
      </c>
      <c r="HI58" s="560">
        <f>IF(GK58="P",Lookup!$N$12,IF(GK58="PP",Lookup!$N$13,IF(GK58="PPP",Lookup!$N$14,IF(GK58="T",Lookup!$N$15,IF(GK58="TP",Lookup!$N$16,IF(GK58="TPP",Lookup!$N$17,IF(GK58="TPPP",Lookup!$N$18,0)))))))*GJ58</f>
        <v>0</v>
      </c>
      <c r="HJ58" s="545">
        <f t="shared" si="234"/>
        <v>0</v>
      </c>
      <c r="HK58" s="560">
        <f t="shared" si="235"/>
        <v>0</v>
      </c>
      <c r="HL58" s="560">
        <f t="shared" si="102"/>
        <v>0</v>
      </c>
      <c r="HM58" s="560"/>
    </row>
    <row r="59" spans="1:221">
      <c r="A59" s="580" t="s">
        <v>4</v>
      </c>
      <c r="B59" s="556">
        <v>41687</v>
      </c>
      <c r="C59" s="561">
        <v>0</v>
      </c>
      <c r="D59" s="529">
        <f t="shared" si="103"/>
        <v>300</v>
      </c>
      <c r="E59" s="529">
        <f t="shared" si="104"/>
        <v>250</v>
      </c>
      <c r="F59" s="529">
        <v>250</v>
      </c>
      <c r="G59" s="560">
        <f>DR59+Sheet1!CZ61</f>
        <v>1937.3272818962132</v>
      </c>
      <c r="H59" s="914">
        <f t="shared" si="2"/>
        <v>985.32515501771218</v>
      </c>
      <c r="I59" s="559">
        <f>MAX(Sheet1!Z61-AT59+(Sheet1!DA61-E59)*CFStoMGD,0)</f>
        <v>2227.0920000000001</v>
      </c>
      <c r="J59" s="562">
        <f>IF(AND(B59&gt;=Calculation!GC59,B59&lt;=Calculation!GD59),IF(Sheet1!DB61&gt;=Calculation!D59,64.64,0),MAX(Sheet1!Z61-AT59+(Sheet1!DB61-D59)*CFStoMGD,0))</f>
        <v>1070.0360000000001</v>
      </c>
      <c r="K59" s="904">
        <f t="shared" si="171"/>
        <v>64.64</v>
      </c>
      <c r="L59" s="560">
        <f>Sheet1!AA61+Sheet1!AB61-Sheet1!L61+(Sheet1!DA61-F59)*CFStoMGD</f>
        <v>2217.152</v>
      </c>
      <c r="M59" s="560">
        <f t="shared" si="172"/>
        <v>1277.3341221180665</v>
      </c>
      <c r="N59" s="910">
        <f>IF(Sheet1!DA61&gt;=F59,MIN(73,MIN(MAX(L59,0),MAX(M59,0))),0)</f>
        <v>73</v>
      </c>
      <c r="O59" s="563">
        <f>Sheet1!AA61+Sheet1!AB61</f>
        <v>33.61</v>
      </c>
      <c r="P59" s="563">
        <f t="shared" si="173"/>
        <v>51.994669999999999</v>
      </c>
      <c r="Q59" s="898">
        <f t="shared" si="63"/>
        <v>0</v>
      </c>
      <c r="R59" s="829">
        <f t="shared" si="174"/>
        <v>6.2638692757716363</v>
      </c>
      <c r="S59" s="898">
        <f t="shared" si="65"/>
        <v>33.61</v>
      </c>
      <c r="T59" s="898">
        <f t="shared" si="66"/>
        <v>0</v>
      </c>
      <c r="U59" s="898">
        <f t="shared" si="6"/>
        <v>0</v>
      </c>
      <c r="V59" s="898"/>
      <c r="W59" s="898">
        <f t="shared" si="67"/>
        <v>58.376130724228361</v>
      </c>
      <c r="X59" s="898">
        <f t="shared" si="68"/>
        <v>33.61</v>
      </c>
      <c r="Y59" s="898" t="str">
        <f t="shared" si="69"/>
        <v/>
      </c>
      <c r="Z59" s="898">
        <f t="shared" si="70"/>
        <v>33.61</v>
      </c>
      <c r="AA59" s="898">
        <f t="shared" si="71"/>
        <v>33.61</v>
      </c>
      <c r="AB59" s="898" t="str">
        <f t="shared" si="72"/>
        <v/>
      </c>
      <c r="AC59" s="563">
        <f>Sheet1!Y61*MGDtoCFS</f>
        <v>36.5092</v>
      </c>
      <c r="AD59" s="563">
        <f>Sheet1!Z61*MGDtoCFS</f>
        <v>15.377179999999999</v>
      </c>
      <c r="AE59" s="563">
        <f>Sheet1!AA61*MGDtoCFS</f>
        <v>36.52467</v>
      </c>
      <c r="AF59" s="563">
        <f>Sheet1!AB61*MGDtoCFS</f>
        <v>15.469999999999999</v>
      </c>
      <c r="AG59" s="563">
        <f>Sheet1!L61*MGDtoCFS</f>
        <v>51.994669999999999</v>
      </c>
      <c r="AH59" s="545">
        <f t="shared" si="175"/>
        <v>0</v>
      </c>
      <c r="AI59" s="560">
        <f t="shared" si="176"/>
        <v>0</v>
      </c>
      <c r="AJ59" s="560">
        <f t="shared" si="177"/>
        <v>0</v>
      </c>
      <c r="AK59" s="560">
        <f t="shared" si="178"/>
        <v>0</v>
      </c>
      <c r="AL59" s="560">
        <f>(VLOOKUP(Sheet1!DC61,hhdcap_wcm,4)-(((VLOOKUP(Sheet1!DC61,hhdcap_wcm,3)-Sheet1!DC61)/(VLOOKUP(Sheet1!DC61,hhdcap_wcm,3)-VLOOKUP(Sheet1!DC61,hhdcap_wcm,1)))*(VLOOKUP(Sheet1!DC61,hhdcap_wcm,4)-VLOOKUP(Sheet1!DC61,hhdcap_wcm,2))))</f>
        <v>1409.0000000037562</v>
      </c>
      <c r="AM59" s="560">
        <f t="shared" si="179"/>
        <v>193.00000000019099</v>
      </c>
      <c r="AN59" s="560">
        <f t="shared" si="180"/>
        <v>0</v>
      </c>
      <c r="AO59" s="560">
        <f t="shared" si="181"/>
        <v>0</v>
      </c>
      <c r="AP59" s="560">
        <f>Sheet1!BA61+Sheet1!BB61+Sheet1!BN61+CD59</f>
        <v>3.7040000000000002</v>
      </c>
      <c r="AQ59" s="560">
        <f>Sheet1!BN61+(DO59*Sheet1!BN61)</f>
        <v>2.7234214242485377</v>
      </c>
      <c r="AR59" s="560">
        <f>Sheet1!BA61+CD59</f>
        <v>0</v>
      </c>
      <c r="AS59" s="560">
        <f>Sheet1!BA61+Sheet1!BB61+CD59</f>
        <v>1.004</v>
      </c>
      <c r="AT59" s="698">
        <f>0</f>
        <v>0</v>
      </c>
      <c r="AU59" s="560">
        <f>IF(EB59&lt;K59,0,MAX(Sheet1!AA61+AQ59-15/36*K59-N59,Sheet1!EH61,0))</f>
        <v>0</v>
      </c>
      <c r="AV59" s="560">
        <f>IF(OR(B59&gt;=GD59,B59&lt;GC59),0,15/36*K59-MAX(0,64.6-(137.6-(Sheet1!AA61+Sheet1!AB61))))</f>
        <v>0</v>
      </c>
      <c r="AW59" s="698">
        <f>Sheet1!DB61-110</f>
        <v>1830</v>
      </c>
      <c r="AX59" s="698">
        <f>Sheet1!DA61-265</f>
        <v>3415</v>
      </c>
      <c r="AY59" s="698">
        <f t="shared" si="182"/>
        <v>73</v>
      </c>
      <c r="AZ59" s="698">
        <v>0</v>
      </c>
      <c r="BA59" s="698">
        <f t="shared" si="183"/>
        <v>0</v>
      </c>
      <c r="BB59" s="560">
        <f t="shared" si="184"/>
        <v>0</v>
      </c>
      <c r="BC59" s="560"/>
      <c r="BD59" s="560">
        <f ca="1">IF(B59&gt;Summary!$A$1,#N/A,BB59*MGtoAF)</f>
        <v>0</v>
      </c>
      <c r="BE59" s="560">
        <f>Sheet1!BG61+Sheet1!BH61+Sheet1!BI61-BM59</f>
        <v>0</v>
      </c>
      <c r="BF59" s="560">
        <f t="shared" si="185"/>
        <v>0</v>
      </c>
      <c r="BG59" s="560">
        <f>IF(Sheet1!EP61="FM",BM59,0)</f>
        <v>0</v>
      </c>
      <c r="BH59" s="560">
        <f t="shared" si="186"/>
        <v>0</v>
      </c>
      <c r="BI59" s="560">
        <f>IF(Sheet1!EP61="OTHER",BM59,0)</f>
        <v>0</v>
      </c>
      <c r="BJ59" s="560">
        <f t="shared" si="187"/>
        <v>0</v>
      </c>
      <c r="BK59" s="560">
        <f t="shared" si="188"/>
        <v>0</v>
      </c>
      <c r="BL59" s="560">
        <f t="shared" si="189"/>
        <v>0</v>
      </c>
      <c r="BM59" s="560">
        <f>IF(OR(Sheet1!EP61="FM", Sheet1!EP61="OTHER"),SUM(Sheet1!BG61:'Sheet1'!BI61),0)</f>
        <v>0</v>
      </c>
      <c r="BN59" s="545">
        <f>IF(AND($B59&gt;=$FV59,$B59&lt;=$FW59),MAX(BF59,Sheet1!EI61,0),MAX(BF59-(7/36)*$K59,0))</f>
        <v>0</v>
      </c>
      <c r="BO59" s="560">
        <f t="shared" si="190"/>
        <v>0</v>
      </c>
      <c r="BP59" s="545">
        <f t="shared" si="191"/>
        <v>0</v>
      </c>
      <c r="BQ59" s="545">
        <f>IF(AND($O59&gt;0,Sheet1!EM61=1),(1-($O59-Sheet1!$L61)/$O59)*BL59,0)</f>
        <v>0</v>
      </c>
      <c r="BR59" s="545">
        <f>IF(AND(Sheet1!$L61=0,Sheet1!$L60=0, Calculation!BK59&lt;Sheet1!$EI61-0.1,Sheet1!$EI61=Sheet1!$EI60,Sheet1!$EI61=Sheet1!$EI62),Sheet1!$EI61,BL59-BQ59)</f>
        <v>0</v>
      </c>
      <c r="BS59" s="560"/>
      <c r="BT59" s="560"/>
      <c r="BU59" s="560">
        <f t="shared" si="192"/>
        <v>0</v>
      </c>
      <c r="BV59" s="560"/>
      <c r="BW59" s="560">
        <f ca="1">IF(B59&gt;Summary!$A$1,#N/A,BU59*MGtoAF)</f>
        <v>0</v>
      </c>
      <c r="BX59" s="560">
        <f>Sheet1!BC61+Sheet1!BD61+Sheet1!BE61+Sheet1!BF61-CG59-CH59</f>
        <v>2.5</v>
      </c>
      <c r="BY59" s="560">
        <f t="shared" si="193"/>
        <v>2.521686503933831</v>
      </c>
      <c r="BZ59" s="560">
        <f>IF(Sheet1!EQ61="FM",CH59,0)</f>
        <v>0</v>
      </c>
      <c r="CA59" s="560">
        <f t="shared" si="194"/>
        <v>0</v>
      </c>
      <c r="CB59" s="560">
        <f>IF(Sheet1!EQ61="OTHER",CH59,0)</f>
        <v>0</v>
      </c>
      <c r="CC59" s="560">
        <f t="shared" si="195"/>
        <v>0</v>
      </c>
      <c r="CD59" s="560">
        <f t="shared" si="196"/>
        <v>0</v>
      </c>
      <c r="CE59" s="560">
        <f t="shared" si="197"/>
        <v>2.5</v>
      </c>
      <c r="CF59" s="560">
        <f t="shared" si="198"/>
        <v>2.521686503933831</v>
      </c>
      <c r="CG59" s="560">
        <f>IF(Sheet1!EQ61="CWA",SUM(Sheet1!BC61:'Sheet1'!BF61),0)</f>
        <v>0</v>
      </c>
      <c r="CH59" s="560">
        <f>IF(OR(Sheet1!EQ61="FM", Sheet1!EQ61="OTHER"),SUM(Sheet1!BC61:'Sheet1'!BF61),0)</f>
        <v>0</v>
      </c>
      <c r="CI59" s="545">
        <f>IF(AND($B59&gt;=$FV59,$B59&lt;=$FW59),MAX(CF59,Sheet1!EJ61,0),MAX(CF59-(7/36)*$K59,0))</f>
        <v>0</v>
      </c>
      <c r="CJ59" s="560">
        <f t="shared" si="199"/>
        <v>0</v>
      </c>
      <c r="CK59" s="545">
        <f t="shared" si="200"/>
        <v>2.521686503933831</v>
      </c>
      <c r="CL59" s="545">
        <f>IF(AND($O59&gt;0,Sheet1!EN61=1),(1-($O59-Sheet1!$L61)/$O59)*CF59,0)</f>
        <v>0</v>
      </c>
      <c r="CM59" s="545">
        <f>IF(AND(Sheet1!$L61=0,Sheet1!$L60=0, Calculation!CE59&lt;Sheet1!EJ61-0.1,Sheet1!EJ61=Sheet1!EJ60,Sheet1!EJ61=Sheet1!EJ62),Sheet1!EJ61,CF59-CL59)</f>
        <v>2.521686503933831</v>
      </c>
      <c r="CN59" s="545"/>
      <c r="CO59" s="560"/>
      <c r="CP59" s="560">
        <f t="shared" si="201"/>
        <v>0</v>
      </c>
      <c r="CQ59" s="560"/>
      <c r="CR59" s="560">
        <f ca="1">IF(B59&gt;Summary!$A$1,#N/A,CP59*MGtoAF)</f>
        <v>0</v>
      </c>
      <c r="CS59" s="560">
        <f>Sheet1!BK61+Sheet1!BL61+Sheet1!BM61-Sheet1!ER61-DA59</f>
        <v>3.71</v>
      </c>
      <c r="CT59" s="560">
        <f t="shared" si="202"/>
        <v>3.7421827718378053</v>
      </c>
      <c r="CU59" s="560">
        <f>IF(Sheet1!ER61="FM",DA59,0)</f>
        <v>0</v>
      </c>
      <c r="CV59" s="560">
        <f t="shared" si="203"/>
        <v>0</v>
      </c>
      <c r="CW59" s="560">
        <f>IF(Sheet1!ER61="OTHER",DA59,0)</f>
        <v>0</v>
      </c>
      <c r="CX59" s="560">
        <f t="shared" si="204"/>
        <v>0</v>
      </c>
      <c r="CY59" s="560">
        <f t="shared" si="205"/>
        <v>3.71</v>
      </c>
      <c r="CZ59" s="560">
        <f t="shared" si="206"/>
        <v>3.7421827718378053</v>
      </c>
      <c r="DA59" s="560">
        <f>IF(OR(Sheet1!ER61="FM", Sheet1!ER61="OTHER"),SUM(Sheet1!BK61:'Sheet1'!BM61),0)</f>
        <v>0</v>
      </c>
      <c r="DB59" s="545">
        <f>IF(AND($B59&gt;=$FV59,$B59&lt;=$FW59),MAX($CT59,Sheet1!EK61,0),MAX($CT59-(7/36)*$K59,0))</f>
        <v>0</v>
      </c>
      <c r="DC59" s="560">
        <f t="shared" si="207"/>
        <v>0</v>
      </c>
      <c r="DD59" s="545">
        <f t="shared" si="208"/>
        <v>3.7421827718378053</v>
      </c>
      <c r="DE59" s="545">
        <f>IF(AND($O59&gt;0,Sheet1!EO61=1),(1-($O59-Sheet1!$L61)/$O59)*CZ59,0)</f>
        <v>0</v>
      </c>
      <c r="DF59" s="545">
        <f>IF(AND(Sheet1!$L61=0,Sheet1!$L60=0, Calculation!CY59&lt;Sheet1!$EK61-0.1,Sheet1!$EK61=Sheet1!$EK60,Sheet1!$EK61=Sheet1!$EK62),Sheet1!$EK61,CZ59-DE59)</f>
        <v>3.7421827718378053</v>
      </c>
      <c r="DG59" s="545"/>
      <c r="DH59" s="560">
        <f t="shared" si="209"/>
        <v>6.21</v>
      </c>
      <c r="DI59" s="560">
        <f t="shared" si="210"/>
        <v>0</v>
      </c>
      <c r="DJ59" s="698">
        <f t="shared" si="211"/>
        <v>6.2638692757716363</v>
      </c>
      <c r="DK59" s="560">
        <f ca="1">IF(B59&gt;Summary!$A$1,#N/A,DI59*MGtoAF)</f>
        <v>0</v>
      </c>
      <c r="DL59" s="698">
        <f t="shared" si="212"/>
        <v>6.21</v>
      </c>
      <c r="DM59" s="560">
        <f t="shared" si="213"/>
        <v>9.9139999999999997</v>
      </c>
      <c r="DN59" s="560">
        <f>Sheet1!AB61-DM59</f>
        <v>8.6000000000000298E-2</v>
      </c>
      <c r="DO59" s="823">
        <f t="shared" si="214"/>
        <v>8.6746015735324096E-3</v>
      </c>
      <c r="DP59" s="560">
        <f>(VLOOKUP(Sheet1!DC61,hhdcap_wcm,4)-(((VLOOKUP(Sheet1!DC61,hhdcap_wcm,3)-Sheet1!DC61)/(VLOOKUP(Sheet1!DC61,hhdcap_wcm,3)-VLOOKUP(Sheet1!DC61,hhdcap_wcm,1)))*(VLOOKUP(Sheet1!DC61,hhdcap_wcm,4)-VLOOKUP(Sheet1!DC61,hhdcap_wcm,2))))</f>
        <v>1409.0000000037562</v>
      </c>
      <c r="DQ59" s="560">
        <f t="shared" si="215"/>
        <v>193.00000000019099</v>
      </c>
      <c r="DR59" s="560">
        <f t="shared" si="216"/>
        <v>97.327281896213293</v>
      </c>
      <c r="DS59" s="560">
        <f>Sheet1!EA61*AFtoMG</f>
        <v>0</v>
      </c>
      <c r="DT59" s="560">
        <f>Sheet1!EB61*AFtoMG</f>
        <v>0</v>
      </c>
      <c r="DU59" s="560">
        <f>Sheet1!EC61*AFtoMG</f>
        <v>0</v>
      </c>
      <c r="DV59" s="560">
        <f>Sheet1!ED61*AFtoMG</f>
        <v>0</v>
      </c>
      <c r="DW59" s="560">
        <f t="shared" si="217"/>
        <v>0</v>
      </c>
      <c r="DX59" s="560">
        <f t="shared" si="218"/>
        <v>0</v>
      </c>
      <c r="DY59" s="560">
        <f t="shared" si="219"/>
        <v>0</v>
      </c>
      <c r="DZ59" s="560">
        <f t="shared" si="220"/>
        <v>0</v>
      </c>
      <c r="EA59" s="560"/>
      <c r="EB59" s="545">
        <f>IF(OR(B59&lt;FV59,B59&gt;FW59),(MIN(BF59+BY59+CT59+MAX(Sheet1!AA61+AQ59-73,0),K59)),0)</f>
        <v>6.2638692757716363</v>
      </c>
      <c r="EC59" s="560"/>
      <c r="ED59" s="560">
        <f t="shared" si="221"/>
        <v>6.2638692757716363</v>
      </c>
      <c r="EE59" s="560"/>
      <c r="EF59" s="560">
        <f>Sheet1!EH61+Sheet1!EI61+Sheet1!EJ61+Sheet1!EK61</f>
        <v>6.21</v>
      </c>
      <c r="EG59" s="560"/>
      <c r="EH59" s="545">
        <f t="shared" si="222"/>
        <v>0</v>
      </c>
      <c r="EI59" s="560">
        <f>IF(Sheet1!ET61=1,SUM('Calculations II'!AT59:BA59)+'Calculations II'!BC59+Sheet1!BV61+'Calculations II'!BE59+AP59,SUM('Calculations II'!AT59:BA59)+'Calculations II'!BC59+Sheet1!BV61+'Calculations II'!BE59+AP59)</f>
        <v>46.648415999999997</v>
      </c>
      <c r="EJ59" s="560">
        <f>Sheet1!AA61+Sheet1!AB61+'Calculations II'!BC59</f>
        <v>49.365471999999997</v>
      </c>
      <c r="EK59" s="560"/>
      <c r="EL59" s="560"/>
      <c r="EM59" s="560">
        <f t="shared" si="223"/>
        <v>41687</v>
      </c>
      <c r="EN59" s="560">
        <f t="shared" si="224"/>
        <v>0</v>
      </c>
      <c r="EO59" s="560">
        <f t="shared" si="225"/>
        <v>0</v>
      </c>
      <c r="EP59" s="560">
        <v>0</v>
      </c>
      <c r="EQ59" s="560">
        <v>0</v>
      </c>
      <c r="ER59" s="560">
        <v>0</v>
      </c>
      <c r="ES59" s="545">
        <f t="shared" si="77"/>
        <v>-0.41549277513958888</v>
      </c>
      <c r="ET59" s="560">
        <f>-(VLOOKUP(Sheet1!BQ61,Lookup!$O$4:$Q$262,2)-VLOOKUP(Sheet1!BQ60,Lookup!$O$4:$Q$262,2))/1000000</f>
        <v>-0.41549277513958888</v>
      </c>
      <c r="EU59" s="560">
        <f>-(VLOOKUP(Sheet1!BR61,Lookup!$O$4:$Q$262,3)-VLOOKUP(Sheet1!BR60,Lookup!$O$4:$Q$262,3))/1000000</f>
        <v>0</v>
      </c>
      <c r="EV59" s="560"/>
      <c r="EW59" s="560"/>
      <c r="EX59" s="560"/>
      <c r="EY59" s="560"/>
      <c r="EZ59" s="560"/>
      <c r="FA59" s="560"/>
      <c r="FB59" s="560"/>
      <c r="FC59" s="560"/>
      <c r="FD59" s="594" t="e">
        <f t="shared" si="226"/>
        <v>#N/A</v>
      </c>
      <c r="FE59" s="594" t="e">
        <f t="shared" si="227"/>
        <v>#N/A</v>
      </c>
      <c r="FF59" s="595" t="e">
        <f t="shared" si="228"/>
        <v>#N/A</v>
      </c>
      <c r="FG59" s="596" t="s">
        <v>692</v>
      </c>
      <c r="FH59" s="596" t="s">
        <v>692</v>
      </c>
      <c r="FI59" s="594" t="e">
        <v>#N/A</v>
      </c>
      <c r="FJ59" s="594" t="e">
        <v>#N/A</v>
      </c>
      <c r="FK59" s="560"/>
      <c r="FL59" s="560"/>
      <c r="FM59" s="560"/>
      <c r="FN59" s="560"/>
      <c r="FO59" s="560">
        <f>O59+((Sheet1!CS61)*GPMtoMGD)</f>
        <v>49.365471999999997</v>
      </c>
      <c r="FP59" s="560">
        <f>IF(Sheet1!AA61+AQ59&lt;=Calculation!N59,AQ59,Calculation!N59-Sheet1!AA61)</f>
        <v>2.7234214242485377</v>
      </c>
      <c r="FQ59" s="560">
        <f>(Sheet1!BP61+Sheet1!BO61)/694.4</f>
        <v>1.5645161290322582</v>
      </c>
      <c r="FR59" s="560"/>
      <c r="FS59" s="560"/>
      <c r="FT59" s="560"/>
      <c r="FU59" s="560"/>
      <c r="FV59" s="695">
        <f t="shared" si="80"/>
        <v>41827</v>
      </c>
      <c r="FW59" s="695">
        <f t="shared" si="81"/>
        <v>41934</v>
      </c>
      <c r="FX59" s="560"/>
      <c r="FY59" s="560"/>
      <c r="FZ59" s="560"/>
      <c r="GA59" s="560"/>
      <c r="GB59" s="560" t="str">
        <f t="shared" si="82"/>
        <v>n</v>
      </c>
      <c r="GC59" s="564">
        <f t="shared" si="83"/>
        <v>41691</v>
      </c>
      <c r="GD59" s="695">
        <f t="shared" si="84"/>
        <v>41807</v>
      </c>
      <c r="GE59" s="560">
        <v>6518.9</v>
      </c>
      <c r="GF59" s="695">
        <f t="shared" si="85"/>
        <v>41808</v>
      </c>
      <c r="GG59" s="560">
        <f t="shared" si="163"/>
        <v>3259</v>
      </c>
      <c r="GH59" s="564">
        <f t="shared" si="87"/>
        <v>41934</v>
      </c>
      <c r="GJ59" s="545">
        <f t="shared" si="88"/>
        <v>0</v>
      </c>
      <c r="GK59" s="560" t="str">
        <f t="shared" si="229"/>
        <v/>
      </c>
      <c r="GL59" s="560">
        <f t="shared" si="89"/>
        <v>0</v>
      </c>
      <c r="GM59" s="560" t="str">
        <f t="shared" si="90"/>
        <v/>
      </c>
      <c r="GN59" s="560">
        <f>IF(GK59="P",Lookup!$M$12,IF(GK59="PP",Lookup!$M$13,IF(GK59="PPP",Lookup!$M$14,IF(GK59="T",Lookup!$M$15,IF(GK59="TP",Lookup!$M$16,IF(GK59="TPP",Lookup!$M$17,IF(GK59="TPPP",Lookup!$M$18,0)))))))*GJ59</f>
        <v>0</v>
      </c>
      <c r="GO59" s="560">
        <f t="shared" si="91"/>
        <v>0</v>
      </c>
      <c r="GP59" s="560">
        <f t="shared" si="230"/>
        <v>0</v>
      </c>
      <c r="GQ59" s="560">
        <f t="shared" si="99"/>
        <v>0</v>
      </c>
      <c r="GR59" s="560"/>
      <c r="GS59" s="560">
        <f t="shared" si="92"/>
        <v>0</v>
      </c>
      <c r="GT59" s="560" t="str">
        <f t="shared" si="93"/>
        <v/>
      </c>
      <c r="GU59" s="560">
        <f>IF(GK59="P",Lookup!$N$12,IF(GK59="PP",Lookup!$N$13,IF(GK59="PPP",Lookup!$N$14,IF(GK59="T",Lookup!$N$15,IF(GK59="TP",Lookup!$N$16,IF(GK59="TPP",Lookup!$N$17,IF(GK59="TPPP",Lookup!$N$18,0)))))))*GJ59</f>
        <v>0</v>
      </c>
      <c r="GV59" s="560">
        <f t="shared" si="57"/>
        <v>0</v>
      </c>
      <c r="GW59" s="560">
        <f t="shared" si="231"/>
        <v>0</v>
      </c>
      <c r="GX59" s="560">
        <f t="shared" si="100"/>
        <v>0</v>
      </c>
      <c r="GY59" s="560"/>
      <c r="GZ59" s="560">
        <f t="shared" si="94"/>
        <v>0</v>
      </c>
      <c r="HA59" s="560" t="str">
        <f t="shared" si="95"/>
        <v/>
      </c>
      <c r="HB59" s="560">
        <f>IF(GK59="P",Lookup!$N$12,IF(GK59="PP",Lookup!$N$13,IF(GK59="PPP",Lookup!$N$14,IF(GK59="T",Lookup!$N$15,IF(GK59="TP",Lookup!$N$16,IF(GK59="TPP",Lookup!$N$17,IF(GK59="TPPP",Lookup!$N$18,0)))))))*GJ59</f>
        <v>0</v>
      </c>
      <c r="HC59" s="545">
        <f t="shared" si="232"/>
        <v>0</v>
      </c>
      <c r="HD59" s="560">
        <f t="shared" si="233"/>
        <v>0</v>
      </c>
      <c r="HE59" s="560">
        <f t="shared" si="101"/>
        <v>0</v>
      </c>
      <c r="HF59" s="560"/>
      <c r="HG59" s="560">
        <f t="shared" si="96"/>
        <v>0</v>
      </c>
      <c r="HH59" s="560" t="str">
        <f t="shared" si="97"/>
        <v/>
      </c>
      <c r="HI59" s="560">
        <f>IF(GK59="P",Lookup!$N$12,IF(GK59="PP",Lookup!$N$13,IF(GK59="PPP",Lookup!$N$14,IF(GK59="T",Lookup!$N$15,IF(GK59="TP",Lookup!$N$16,IF(GK59="TPP",Lookup!$N$17,IF(GK59="TPPP",Lookup!$N$18,0)))))))*GJ59</f>
        <v>0</v>
      </c>
      <c r="HJ59" s="545">
        <f t="shared" si="234"/>
        <v>0</v>
      </c>
      <c r="HK59" s="560">
        <f t="shared" si="235"/>
        <v>0</v>
      </c>
      <c r="HL59" s="560">
        <f t="shared" si="102"/>
        <v>0</v>
      </c>
      <c r="HM59" s="560"/>
    </row>
    <row r="60" spans="1:221">
      <c r="A60" s="580" t="s">
        <v>5</v>
      </c>
      <c r="B60" s="556">
        <v>41688</v>
      </c>
      <c r="C60" s="561">
        <v>0</v>
      </c>
      <c r="D60" s="529">
        <f t="shared" si="103"/>
        <v>300</v>
      </c>
      <c r="E60" s="529">
        <f t="shared" si="104"/>
        <v>250</v>
      </c>
      <c r="F60" s="529">
        <v>250</v>
      </c>
      <c r="G60" s="560">
        <f>DR60+Sheet1!CZ62</f>
        <v>1950.6001008571218</v>
      </c>
      <c r="H60" s="914">
        <f t="shared" si="2"/>
        <v>993.90470519404346</v>
      </c>
      <c r="I60" s="559">
        <f>MAX(Sheet1!Z62-AT60+(Sheet1!DA62-E60)*CFStoMGD,0)</f>
        <v>2324.1120000000001</v>
      </c>
      <c r="J60" s="562">
        <f>IF(AND(B60&gt;=Calculation!GC60,B60&lt;=Calculation!GD60),IF(Sheet1!DB62&gt;=Calculation!D60,64.64,0),MAX(Sheet1!Z62-AT60+(Sheet1!DB62-D60)*CFStoMGD,0))</f>
        <v>1192.912</v>
      </c>
      <c r="K60" s="904">
        <f t="shared" si="171"/>
        <v>64.64</v>
      </c>
      <c r="L60" s="560">
        <f>Sheet1!AA62+Sheet1!AB62-Sheet1!L62+(Sheet1!DA62-F60)*CFStoMGD</f>
        <v>2314.1120000000001</v>
      </c>
      <c r="M60" s="560">
        <f t="shared" si="172"/>
        <v>1286.0852632979245</v>
      </c>
      <c r="N60" s="910">
        <f>IF(Sheet1!DA62&gt;=F60,MIN(73,MIN(MAX(L60,0),MAX(M60,0))),0)</f>
        <v>73</v>
      </c>
      <c r="O60" s="563">
        <f>Sheet1!AA62+Sheet1!AB62</f>
        <v>33.49</v>
      </c>
      <c r="P60" s="563">
        <f t="shared" si="173"/>
        <v>51.80903</v>
      </c>
      <c r="Q60" s="898">
        <f t="shared" si="63"/>
        <v>0</v>
      </c>
      <c r="R60" s="829">
        <f t="shared" si="174"/>
        <v>6.208085492489162</v>
      </c>
      <c r="S60" s="898">
        <f t="shared" si="65"/>
        <v>33.49</v>
      </c>
      <c r="T60" s="898">
        <f t="shared" si="66"/>
        <v>0</v>
      </c>
      <c r="U60" s="898">
        <f t="shared" si="6"/>
        <v>0</v>
      </c>
      <c r="V60" s="898"/>
      <c r="W60" s="898">
        <f t="shared" si="67"/>
        <v>58.431914507510839</v>
      </c>
      <c r="X60" s="898">
        <f t="shared" si="68"/>
        <v>33.49</v>
      </c>
      <c r="Y60" s="898" t="str">
        <f t="shared" si="69"/>
        <v/>
      </c>
      <c r="Z60" s="898">
        <f t="shared" si="70"/>
        <v>33.49</v>
      </c>
      <c r="AA60" s="898">
        <f t="shared" si="71"/>
        <v>33.49</v>
      </c>
      <c r="AB60" s="898" t="str">
        <f t="shared" si="72"/>
        <v/>
      </c>
      <c r="AC60" s="563">
        <f>Sheet1!Y62*MGDtoCFS</f>
        <v>36.52467</v>
      </c>
      <c r="AD60" s="563">
        <f>Sheet1!Z62*MGDtoCFS</f>
        <v>15.469999999999999</v>
      </c>
      <c r="AE60" s="563">
        <f>Sheet1!AA62*MGDtoCFS</f>
        <v>36.493729999999999</v>
      </c>
      <c r="AF60" s="563">
        <f>Sheet1!AB62*MGDtoCFS</f>
        <v>15.315300000000001</v>
      </c>
      <c r="AG60" s="563">
        <f>Sheet1!L62*MGDtoCFS</f>
        <v>51.80903</v>
      </c>
      <c r="AH60" s="545">
        <f t="shared" si="175"/>
        <v>0</v>
      </c>
      <c r="AI60" s="560">
        <f t="shared" si="176"/>
        <v>0</v>
      </c>
      <c r="AJ60" s="560">
        <f t="shared" si="177"/>
        <v>0</v>
      </c>
      <c r="AK60" s="560">
        <f t="shared" si="178"/>
        <v>0</v>
      </c>
      <c r="AL60" s="560">
        <f>(VLOOKUP(Sheet1!DC62,hhdcap_wcm,4)-(((VLOOKUP(Sheet1!DC62,hhdcap_wcm,3)-Sheet1!DC62)/(VLOOKUP(Sheet1!DC62,hhdcap_wcm,3)-VLOOKUP(Sheet1!DC62,hhdcap_wcm,1)))*(VLOOKUP(Sheet1!DC62,hhdcap_wcm,4)-VLOOKUP(Sheet1!DC62,hhdcap_wcm,2))))</f>
        <v>1350.7000000034288</v>
      </c>
      <c r="AM60" s="560">
        <f t="shared" si="179"/>
        <v>-58.300000000327373</v>
      </c>
      <c r="AN60" s="560">
        <f t="shared" si="180"/>
        <v>0</v>
      </c>
      <c r="AO60" s="560">
        <f t="shared" si="181"/>
        <v>0</v>
      </c>
      <c r="AP60" s="560">
        <f>Sheet1!BA62+Sheet1!BB62+Sheet1!BN62+CD60</f>
        <v>3.6990000000000003</v>
      </c>
      <c r="AQ60" s="560">
        <f>Sheet1!BN62+(DO60*Sheet1!BN62)</f>
        <v>2.6948281076721443</v>
      </c>
      <c r="AR60" s="560">
        <f>Sheet1!BA62+CD60</f>
        <v>0</v>
      </c>
      <c r="AS60" s="560">
        <f>Sheet1!BA62+Sheet1!BB62+CD60</f>
        <v>0.999</v>
      </c>
      <c r="AT60" s="698">
        <f>0</f>
        <v>0</v>
      </c>
      <c r="AU60" s="560">
        <f>IF(EB60&lt;K60,0,MAX(Sheet1!AA62+AQ60-15/36*K60-N60,Sheet1!EH62,0))</f>
        <v>0</v>
      </c>
      <c r="AV60" s="560">
        <f>IF(OR(B60&gt;=GD60,B60&lt;GC60),0,15/36*K60-MAX(0,64.6-(137.6-(Sheet1!AA62+Sheet1!AB62))))</f>
        <v>0</v>
      </c>
      <c r="AW60" s="698">
        <f>Sheet1!DB62-110</f>
        <v>2020</v>
      </c>
      <c r="AX60" s="698">
        <f>Sheet1!DA62-265</f>
        <v>3565</v>
      </c>
      <c r="AY60" s="698">
        <f t="shared" si="182"/>
        <v>73</v>
      </c>
      <c r="AZ60" s="698">
        <v>0</v>
      </c>
      <c r="BA60" s="698">
        <f t="shared" si="183"/>
        <v>0</v>
      </c>
      <c r="BB60" s="560">
        <f t="shared" si="184"/>
        <v>0</v>
      </c>
      <c r="BC60" s="560"/>
      <c r="BD60" s="560">
        <f ca="1">IF(B60&gt;Summary!$A$1,#N/A,BB60*MGtoAF)</f>
        <v>0</v>
      </c>
      <c r="BE60" s="560">
        <f>Sheet1!BG62+Sheet1!BH62+Sheet1!BI62-BM60</f>
        <v>0</v>
      </c>
      <c r="BF60" s="560">
        <f t="shared" si="185"/>
        <v>0</v>
      </c>
      <c r="BG60" s="560">
        <f>IF(Sheet1!EP62="FM",BM60,0)</f>
        <v>0</v>
      </c>
      <c r="BH60" s="560">
        <f t="shared" si="186"/>
        <v>0</v>
      </c>
      <c r="BI60" s="560">
        <f>IF(Sheet1!EP62="OTHER",BM60,0)</f>
        <v>0</v>
      </c>
      <c r="BJ60" s="560">
        <f t="shared" si="187"/>
        <v>0</v>
      </c>
      <c r="BK60" s="560">
        <f t="shared" si="188"/>
        <v>0</v>
      </c>
      <c r="BL60" s="560">
        <f t="shared" si="189"/>
        <v>0</v>
      </c>
      <c r="BM60" s="560">
        <f>IF(OR(Sheet1!EP62="FM", Sheet1!EP62="OTHER"),SUM(Sheet1!BG62:'Sheet1'!BI62),0)</f>
        <v>0</v>
      </c>
      <c r="BN60" s="545">
        <f>IF(AND($B60&gt;=$FV60,$B60&lt;=$FW60),MAX(BF60,Sheet1!EI62,0),MAX(BF60-(7/36)*$K60,0))</f>
        <v>0</v>
      </c>
      <c r="BO60" s="560">
        <f t="shared" si="190"/>
        <v>0</v>
      </c>
      <c r="BP60" s="545">
        <f t="shared" si="191"/>
        <v>0</v>
      </c>
      <c r="BQ60" s="545">
        <f>IF(AND($O60&gt;0,Sheet1!EM62=1),(1-($O60-Sheet1!$L62)/$O60)*BL60,0)</f>
        <v>0</v>
      </c>
      <c r="BR60" s="545">
        <f>IF(AND(Sheet1!$L62=0,Sheet1!$L61=0, Calculation!BK60&lt;Sheet1!$EI62-0.1,Sheet1!$EI62=Sheet1!$EI61,Sheet1!$EI62=Sheet1!$EI63),Sheet1!$EI62,BL60-BQ60)</f>
        <v>0</v>
      </c>
      <c r="BS60" s="560"/>
      <c r="BT60" s="560"/>
      <c r="BU60" s="560">
        <f t="shared" si="192"/>
        <v>0</v>
      </c>
      <c r="BV60" s="560"/>
      <c r="BW60" s="560">
        <f ca="1">IF(B60&gt;Summary!$A$1,#N/A,BU60*MGtoAF)</f>
        <v>0</v>
      </c>
      <c r="BX60" s="560">
        <f>Sheet1!BC62+Sheet1!BD62+Sheet1!BE62+Sheet1!BF62-CG60-CH60</f>
        <v>2.5</v>
      </c>
      <c r="BY60" s="560">
        <f t="shared" si="193"/>
        <v>2.495211210807541</v>
      </c>
      <c r="BZ60" s="560">
        <f>IF(Sheet1!EQ62="FM",CH60,0)</f>
        <v>0</v>
      </c>
      <c r="CA60" s="560">
        <f t="shared" si="194"/>
        <v>0</v>
      </c>
      <c r="CB60" s="560">
        <f>IF(Sheet1!EQ62="OTHER",CH60,0)</f>
        <v>0</v>
      </c>
      <c r="CC60" s="560">
        <f t="shared" si="195"/>
        <v>0</v>
      </c>
      <c r="CD60" s="560">
        <f t="shared" si="196"/>
        <v>0</v>
      </c>
      <c r="CE60" s="560">
        <f t="shared" si="197"/>
        <v>2.5</v>
      </c>
      <c r="CF60" s="560">
        <f t="shared" si="198"/>
        <v>2.495211210807541</v>
      </c>
      <c r="CG60" s="560">
        <f>IF(Sheet1!EQ62="CWA",SUM(Sheet1!BC62:'Sheet1'!BF62),0)</f>
        <v>0</v>
      </c>
      <c r="CH60" s="560">
        <f>IF(OR(Sheet1!EQ62="FM", Sheet1!EQ62="OTHER"),SUM(Sheet1!BC62:'Sheet1'!BF62),0)</f>
        <v>0</v>
      </c>
      <c r="CI60" s="545">
        <f>IF(AND($B60&gt;=$FV60,$B60&lt;=$FW60),MAX(CF60,Sheet1!EJ62,0),MAX(CF60-(7/36)*$K60,0))</f>
        <v>0</v>
      </c>
      <c r="CJ60" s="560">
        <f t="shared" si="199"/>
        <v>0</v>
      </c>
      <c r="CK60" s="545">
        <f t="shared" si="200"/>
        <v>2.495211210807541</v>
      </c>
      <c r="CL60" s="545">
        <f>IF(AND($O60&gt;0,Sheet1!EN62=1),(1-($O60-Sheet1!$L62)/$O60)*CF60,0)</f>
        <v>0</v>
      </c>
      <c r="CM60" s="545">
        <f>IF(AND(Sheet1!$L62=0,Sheet1!$L61=0, Calculation!CE60&lt;Sheet1!EJ62-0.1,Sheet1!EJ62=Sheet1!EJ61,Sheet1!EJ62=Sheet1!EJ63),Sheet1!EJ62,CF60-CL60)</f>
        <v>2.495211210807541</v>
      </c>
      <c r="CN60" s="545"/>
      <c r="CO60" s="560"/>
      <c r="CP60" s="560">
        <f t="shared" si="201"/>
        <v>0</v>
      </c>
      <c r="CQ60" s="560"/>
      <c r="CR60" s="560">
        <f ca="1">IF(B60&gt;Summary!$A$1,#N/A,CP60*MGtoAF)</f>
        <v>0</v>
      </c>
      <c r="CS60" s="560">
        <f>Sheet1!BK62+Sheet1!BL62+Sheet1!BM62-Sheet1!ER62-DA60</f>
        <v>3.7199999999999998</v>
      </c>
      <c r="CT60" s="560">
        <f t="shared" si="202"/>
        <v>3.7128742816816209</v>
      </c>
      <c r="CU60" s="560">
        <f>IF(Sheet1!ER62="FM",DA60,0)</f>
        <v>0</v>
      </c>
      <c r="CV60" s="560">
        <f t="shared" si="203"/>
        <v>0</v>
      </c>
      <c r="CW60" s="560">
        <f>IF(Sheet1!ER62="OTHER",DA60,0)</f>
        <v>0</v>
      </c>
      <c r="CX60" s="560">
        <f t="shared" si="204"/>
        <v>0</v>
      </c>
      <c r="CY60" s="560">
        <f t="shared" si="205"/>
        <v>3.7199999999999998</v>
      </c>
      <c r="CZ60" s="560">
        <f t="shared" si="206"/>
        <v>3.7128742816816209</v>
      </c>
      <c r="DA60" s="560">
        <f>IF(OR(Sheet1!ER62="FM", Sheet1!ER62="OTHER"),SUM(Sheet1!BK62:'Sheet1'!BM62),0)</f>
        <v>0</v>
      </c>
      <c r="DB60" s="545">
        <f>IF(AND($B60&gt;=$FV60,$B60&lt;=$FW60),MAX($CT60,Sheet1!EK62,0),MAX($CT60-(7/36)*$K60,0))</f>
        <v>0</v>
      </c>
      <c r="DC60" s="560">
        <f t="shared" si="207"/>
        <v>0</v>
      </c>
      <c r="DD60" s="545">
        <f t="shared" si="208"/>
        <v>3.7128742816816209</v>
      </c>
      <c r="DE60" s="545">
        <f>IF(AND($O60&gt;0,Sheet1!EO62=1),(1-($O60-Sheet1!$L62)/$O60)*CZ60,0)</f>
        <v>0</v>
      </c>
      <c r="DF60" s="545">
        <f>IF(AND(Sheet1!$L62=0,Sheet1!$L61=0, Calculation!CY60&lt;Sheet1!$EK62-0.1,Sheet1!$EK62=Sheet1!$EK61,Sheet1!$EK62=Sheet1!$EK63),Sheet1!$EK62,CZ60-DE60)</f>
        <v>3.7128742816816209</v>
      </c>
      <c r="DG60" s="545"/>
      <c r="DH60" s="560">
        <f t="shared" si="209"/>
        <v>6.22</v>
      </c>
      <c r="DI60" s="560">
        <f t="shared" si="210"/>
        <v>0</v>
      </c>
      <c r="DJ60" s="698">
        <f t="shared" si="211"/>
        <v>6.208085492489162</v>
      </c>
      <c r="DK60" s="560">
        <f ca="1">IF(B60&gt;Summary!$A$1,#N/A,DI60*MGtoAF)</f>
        <v>0</v>
      </c>
      <c r="DL60" s="698">
        <f t="shared" si="212"/>
        <v>6.22</v>
      </c>
      <c r="DM60" s="560">
        <f t="shared" si="213"/>
        <v>9.9190000000000005</v>
      </c>
      <c r="DN60" s="560">
        <f>Sheet1!AB62-DM60</f>
        <v>-1.9000000000000128E-2</v>
      </c>
      <c r="DO60" s="823">
        <f t="shared" si="214"/>
        <v>-1.9155156769835797E-3</v>
      </c>
      <c r="DP60" s="560">
        <f>(VLOOKUP(Sheet1!DC62,hhdcap_wcm,4)-(((VLOOKUP(Sheet1!DC62,hhdcap_wcm,3)-Sheet1!DC62)/(VLOOKUP(Sheet1!DC62,hhdcap_wcm,3)-VLOOKUP(Sheet1!DC62,hhdcap_wcm,1)))*(VLOOKUP(Sheet1!DC62,hhdcap_wcm,4)-VLOOKUP(Sheet1!DC62,hhdcap_wcm,2))))</f>
        <v>1350.7000000034288</v>
      </c>
      <c r="DQ60" s="560">
        <f t="shared" si="215"/>
        <v>-58.300000000327373</v>
      </c>
      <c r="DR60" s="560">
        <f t="shared" si="216"/>
        <v>-29.399899142878148</v>
      </c>
      <c r="DS60" s="560">
        <f>Sheet1!EA62*AFtoMG</f>
        <v>0</v>
      </c>
      <c r="DT60" s="560">
        <f>Sheet1!EB62*AFtoMG</f>
        <v>0</v>
      </c>
      <c r="DU60" s="560">
        <f>Sheet1!EC62*AFtoMG</f>
        <v>0</v>
      </c>
      <c r="DV60" s="560">
        <f>Sheet1!ED62*AFtoMG</f>
        <v>0</v>
      </c>
      <c r="DW60" s="560">
        <f t="shared" si="217"/>
        <v>0</v>
      </c>
      <c r="DX60" s="560">
        <f t="shared" si="218"/>
        <v>0</v>
      </c>
      <c r="DY60" s="560">
        <f t="shared" si="219"/>
        <v>0</v>
      </c>
      <c r="DZ60" s="560">
        <f t="shared" si="220"/>
        <v>0</v>
      </c>
      <c r="EA60" s="560"/>
      <c r="EB60" s="545">
        <f>IF(OR(B60&lt;FV60,B60&gt;FW60),(MIN(BF60+BY60+CT60+MAX(Sheet1!AA62+AQ60-73,0),K60)),0)</f>
        <v>6.208085492489162</v>
      </c>
      <c r="EC60" s="560"/>
      <c r="ED60" s="560">
        <f t="shared" si="221"/>
        <v>6.208085492489162</v>
      </c>
      <c r="EE60" s="560"/>
      <c r="EF60" s="560">
        <f>Sheet1!EH62+Sheet1!EI62+Sheet1!EJ62+Sheet1!EK62</f>
        <v>6.22</v>
      </c>
      <c r="EG60" s="560"/>
      <c r="EH60" s="545">
        <f t="shared" si="222"/>
        <v>0</v>
      </c>
      <c r="EI60" s="560">
        <f>IF(Sheet1!ET62=1,SUM('Calculations II'!AT60:BA60)+'Calculations II'!BC60+Sheet1!BV62+'Calculations II'!BE60+AP60,SUM('Calculations II'!AT60:BA60)+'Calculations II'!BC60+Sheet1!BV62+'Calculations II'!BE60+AP60)</f>
        <v>45.616591999999997</v>
      </c>
      <c r="EJ60" s="560">
        <f>Sheet1!AA62+Sheet1!AB62+'Calculations II'!BC60</f>
        <v>49.115440000000007</v>
      </c>
      <c r="EK60" s="560"/>
      <c r="EL60" s="560"/>
      <c r="EM60" s="560">
        <f t="shared" si="223"/>
        <v>41688</v>
      </c>
      <c r="EN60" s="560">
        <f t="shared" si="224"/>
        <v>0</v>
      </c>
      <c r="EO60" s="560">
        <f t="shared" si="225"/>
        <v>0</v>
      </c>
      <c r="EP60" s="560">
        <v>0</v>
      </c>
      <c r="EQ60" s="560">
        <v>0</v>
      </c>
      <c r="ER60" s="560">
        <v>0</v>
      </c>
      <c r="ES60" s="545">
        <f t="shared" si="77"/>
        <v>0.96939342595653233</v>
      </c>
      <c r="ET60" s="560">
        <f>-(VLOOKUP(Sheet1!BQ62,Lookup!$O$4:$Q$262,2)-VLOOKUP(Sheet1!BQ61,Lookup!$O$4:$Q$262,2))/1000000</f>
        <v>0.96939342595653233</v>
      </c>
      <c r="EU60" s="560">
        <f>-(VLOOKUP(Sheet1!BR62,Lookup!$O$4:$Q$262,3)-VLOOKUP(Sheet1!BR61,Lookup!$O$4:$Q$262,3))/1000000</f>
        <v>0</v>
      </c>
      <c r="EV60" s="560"/>
      <c r="EW60" s="560"/>
      <c r="EX60" s="560"/>
      <c r="EY60" s="560"/>
      <c r="EZ60" s="560"/>
      <c r="FA60" s="560"/>
      <c r="FB60" s="560"/>
      <c r="FC60" s="560"/>
      <c r="FD60" s="594" t="e">
        <f t="shared" si="226"/>
        <v>#N/A</v>
      </c>
      <c r="FE60" s="594" t="e">
        <f t="shared" si="227"/>
        <v>#N/A</v>
      </c>
      <c r="FF60" s="595" t="e">
        <f t="shared" si="228"/>
        <v>#N/A</v>
      </c>
      <c r="FG60" s="596" t="s">
        <v>692</v>
      </c>
      <c r="FH60" s="596" t="s">
        <v>692</v>
      </c>
      <c r="FI60" s="594" t="e">
        <v>#N/A</v>
      </c>
      <c r="FJ60" s="594" t="e">
        <v>#N/A</v>
      </c>
      <c r="FK60" s="560"/>
      <c r="FL60" s="560"/>
      <c r="FM60" s="560"/>
      <c r="FN60" s="560"/>
      <c r="FO60" s="560">
        <f>O60+((Sheet1!CS62)*GPMtoMGD)</f>
        <v>49.115440000000007</v>
      </c>
      <c r="FP60" s="560">
        <f>IF(Sheet1!AA62+AQ60&lt;=Calculation!N60,AQ60,Calculation!N60-Sheet1!AA62)</f>
        <v>2.6948281076721443</v>
      </c>
      <c r="FQ60" s="560">
        <f>(Sheet1!BP62+Sheet1!BO62)/694.4</f>
        <v>1.3361175115207373</v>
      </c>
      <c r="FR60" s="560"/>
      <c r="FS60" s="560"/>
      <c r="FT60" s="560"/>
      <c r="FU60" s="560"/>
      <c r="FV60" s="695">
        <f t="shared" si="80"/>
        <v>41827</v>
      </c>
      <c r="FW60" s="695">
        <f t="shared" si="81"/>
        <v>41934</v>
      </c>
      <c r="FX60" s="560"/>
      <c r="FY60" s="560"/>
      <c r="FZ60" s="560"/>
      <c r="GA60" s="560"/>
      <c r="GB60" s="560" t="str">
        <f t="shared" si="82"/>
        <v>n</v>
      </c>
      <c r="GC60" s="564">
        <f t="shared" si="83"/>
        <v>41691</v>
      </c>
      <c r="GD60" s="695">
        <f t="shared" si="84"/>
        <v>41807</v>
      </c>
      <c r="GE60" s="560">
        <v>6518.9</v>
      </c>
      <c r="GF60" s="695">
        <f t="shared" si="85"/>
        <v>41808</v>
      </c>
      <c r="GG60" s="560">
        <f t="shared" si="163"/>
        <v>3259</v>
      </c>
      <c r="GH60" s="564">
        <f t="shared" si="87"/>
        <v>41934</v>
      </c>
      <c r="GJ60" s="545">
        <f t="shared" si="88"/>
        <v>0</v>
      </c>
      <c r="GK60" s="560" t="str">
        <f t="shared" si="229"/>
        <v/>
      </c>
      <c r="GL60" s="560">
        <f t="shared" si="89"/>
        <v>0</v>
      </c>
      <c r="GM60" s="560" t="str">
        <f t="shared" si="90"/>
        <v/>
      </c>
      <c r="GN60" s="560">
        <f>IF(GK60="P",Lookup!$M$12,IF(GK60="PP",Lookup!$M$13,IF(GK60="PPP",Lookup!$M$14,IF(GK60="T",Lookup!$M$15,IF(GK60="TP",Lookup!$M$16,IF(GK60="TPP",Lookup!$M$17,IF(GK60="TPPP",Lookup!$M$18,0)))))))*GJ60</f>
        <v>0</v>
      </c>
      <c r="GO60" s="560">
        <f t="shared" si="91"/>
        <v>0</v>
      </c>
      <c r="GP60" s="560">
        <f t="shared" si="230"/>
        <v>0</v>
      </c>
      <c r="GQ60" s="560">
        <f t="shared" si="99"/>
        <v>0</v>
      </c>
      <c r="GR60" s="560"/>
      <c r="GS60" s="560">
        <f t="shared" si="92"/>
        <v>0</v>
      </c>
      <c r="GT60" s="560" t="str">
        <f t="shared" si="93"/>
        <v/>
      </c>
      <c r="GU60" s="560">
        <f>IF(GK60="P",Lookup!$N$12,IF(GK60="PP",Lookup!$N$13,IF(GK60="PPP",Lookup!$N$14,IF(GK60="T",Lookup!$N$15,IF(GK60="TP",Lookup!$N$16,IF(GK60="TPP",Lookup!$N$17,IF(GK60="TPPP",Lookup!$N$18,0)))))))*GJ60</f>
        <v>0</v>
      </c>
      <c r="GV60" s="560">
        <f t="shared" si="57"/>
        <v>0</v>
      </c>
      <c r="GW60" s="560">
        <f t="shared" si="231"/>
        <v>0</v>
      </c>
      <c r="GX60" s="560">
        <f t="shared" si="100"/>
        <v>0</v>
      </c>
      <c r="GY60" s="560"/>
      <c r="GZ60" s="560">
        <f t="shared" si="94"/>
        <v>0</v>
      </c>
      <c r="HA60" s="560" t="str">
        <f t="shared" si="95"/>
        <v/>
      </c>
      <c r="HB60" s="560">
        <f>IF(GK60="P",Lookup!$N$12,IF(GK60="PP",Lookup!$N$13,IF(GK60="PPP",Lookup!$N$14,IF(GK60="T",Lookup!$N$15,IF(GK60="TP",Lookup!$N$16,IF(GK60="TPP",Lookup!$N$17,IF(GK60="TPPP",Lookup!$N$18,0)))))))*GJ60</f>
        <v>0</v>
      </c>
      <c r="HC60" s="545">
        <f t="shared" si="232"/>
        <v>0</v>
      </c>
      <c r="HD60" s="560">
        <f t="shared" si="233"/>
        <v>0</v>
      </c>
      <c r="HE60" s="560">
        <f t="shared" si="101"/>
        <v>0</v>
      </c>
      <c r="HF60" s="560"/>
      <c r="HG60" s="560">
        <f t="shared" si="96"/>
        <v>0</v>
      </c>
      <c r="HH60" s="560" t="str">
        <f t="shared" si="97"/>
        <v/>
      </c>
      <c r="HI60" s="560">
        <f>IF(GK60="P",Lookup!$N$12,IF(GK60="PP",Lookup!$N$13,IF(GK60="PPP",Lookup!$N$14,IF(GK60="T",Lookup!$N$15,IF(GK60="TP",Lookup!$N$16,IF(GK60="TPP",Lookup!$N$17,IF(GK60="TPPP",Lookup!$N$18,0)))))))*GJ60</f>
        <v>0</v>
      </c>
      <c r="HJ60" s="545">
        <f t="shared" si="234"/>
        <v>0</v>
      </c>
      <c r="HK60" s="560">
        <f t="shared" si="235"/>
        <v>0</v>
      </c>
      <c r="HL60" s="560">
        <f t="shared" si="102"/>
        <v>0</v>
      </c>
      <c r="HM60" s="560"/>
    </row>
    <row r="61" spans="1:221">
      <c r="A61" s="580" t="s">
        <v>6</v>
      </c>
      <c r="B61" s="556">
        <v>41689</v>
      </c>
      <c r="C61" s="561">
        <v>0</v>
      </c>
      <c r="D61" s="529">
        <f t="shared" si="103"/>
        <v>300</v>
      </c>
      <c r="E61" s="529">
        <f t="shared" si="104"/>
        <v>250</v>
      </c>
      <c r="F61" s="529">
        <v>250</v>
      </c>
      <c r="G61" s="560">
        <f>DR61+Sheet1!CZ63</f>
        <v>1811.4271306100973</v>
      </c>
      <c r="H61" s="914">
        <f t="shared" si="2"/>
        <v>903.94329722636678</v>
      </c>
      <c r="I61" s="559">
        <f>MAX(Sheet1!Z63-AT61+(Sheet1!DA63-E61)*CFStoMGD,0)</f>
        <v>2084.8440000000001</v>
      </c>
      <c r="J61" s="562">
        <f>IF(AND(B61&gt;=Calculation!GC61,B61&lt;=Calculation!GD61),IF(Sheet1!DB63&gt;=Calculation!D61,64.64,0),MAX(Sheet1!Z63-AT61+(Sheet1!DB63-D61)*CFStoMGD,0))</f>
        <v>1115.2440000000001</v>
      </c>
      <c r="K61" s="904">
        <f t="shared" si="171"/>
        <v>64.64</v>
      </c>
      <c r="L61" s="560">
        <f>Sheet1!AA63+Sheet1!AB63-Sheet1!L63+(Sheet1!DA63-F61)*CFStoMGD</f>
        <v>2074.944</v>
      </c>
      <c r="M61" s="560">
        <f t="shared" si="172"/>
        <v>1194.3246271708942</v>
      </c>
      <c r="N61" s="910">
        <f>IF(Sheet1!DA63&gt;=F61,MIN(73,MIN(MAX(L61,0),MAX(M61,0))),0)</f>
        <v>73</v>
      </c>
      <c r="O61" s="563">
        <f>Sheet1!AA63+Sheet1!AB63</f>
        <v>33.89</v>
      </c>
      <c r="P61" s="563">
        <f t="shared" si="173"/>
        <v>52.427829999999993</v>
      </c>
      <c r="Q61" s="898">
        <f t="shared" si="63"/>
        <v>0</v>
      </c>
      <c r="R61" s="829">
        <f t="shared" si="174"/>
        <v>6.257355156140175</v>
      </c>
      <c r="S61" s="898">
        <f t="shared" si="65"/>
        <v>33.89</v>
      </c>
      <c r="T61" s="898">
        <f t="shared" si="66"/>
        <v>0</v>
      </c>
      <c r="U61" s="898">
        <f t="shared" si="6"/>
        <v>0</v>
      </c>
      <c r="V61" s="898"/>
      <c r="W61" s="898">
        <f t="shared" si="67"/>
        <v>58.382644843859822</v>
      </c>
      <c r="X61" s="898">
        <f t="shared" si="68"/>
        <v>33.89</v>
      </c>
      <c r="Y61" s="898" t="str">
        <f t="shared" si="69"/>
        <v/>
      </c>
      <c r="Z61" s="898">
        <f t="shared" si="70"/>
        <v>33.89</v>
      </c>
      <c r="AA61" s="898">
        <f t="shared" si="71"/>
        <v>33.89</v>
      </c>
      <c r="AB61" s="898" t="str">
        <f t="shared" si="72"/>
        <v/>
      </c>
      <c r="AC61" s="563">
        <f>Sheet1!Y63*MGDtoCFS</f>
        <v>36.493729999999999</v>
      </c>
      <c r="AD61" s="563">
        <f>Sheet1!Z63*MGDtoCFS</f>
        <v>15.315300000000001</v>
      </c>
      <c r="AE61" s="563">
        <f>Sheet1!AA63*MGDtoCFS</f>
        <v>36.803129999999996</v>
      </c>
      <c r="AF61" s="563">
        <f>Sheet1!AB63*MGDtoCFS</f>
        <v>15.624699999999999</v>
      </c>
      <c r="AG61" s="563">
        <f>Sheet1!L63*MGDtoCFS</f>
        <v>52.42783</v>
      </c>
      <c r="AH61" s="545">
        <f t="shared" si="175"/>
        <v>0</v>
      </c>
      <c r="AI61" s="560">
        <f t="shared" si="176"/>
        <v>0</v>
      </c>
      <c r="AJ61" s="560">
        <f t="shared" si="177"/>
        <v>0</v>
      </c>
      <c r="AK61" s="560">
        <f t="shared" si="178"/>
        <v>0</v>
      </c>
      <c r="AL61" s="560">
        <f>(VLOOKUP(Sheet1!DC63,hhdcap_wcm,4)-(((VLOOKUP(Sheet1!DC63,hhdcap_wcm,3)-Sheet1!DC63)/(VLOOKUP(Sheet1!DC63,hhdcap_wcm,3)-VLOOKUP(Sheet1!DC63,hhdcap_wcm,1)))*(VLOOKUP(Sheet1!DC63,hhdcap_wcm,4)-VLOOKUP(Sheet1!DC63,hhdcap_wcm,2))))</f>
        <v>1135.4000000032515</v>
      </c>
      <c r="AM61" s="560">
        <f t="shared" si="179"/>
        <v>-215.30000000017731</v>
      </c>
      <c r="AN61" s="560">
        <f t="shared" si="180"/>
        <v>0</v>
      </c>
      <c r="AO61" s="560">
        <f t="shared" si="181"/>
        <v>0</v>
      </c>
      <c r="AP61" s="560">
        <f>Sheet1!BA63+Sheet1!BB63+Sheet1!BN63+CD61</f>
        <v>3.7889999999999997</v>
      </c>
      <c r="AQ61" s="560">
        <f>Sheet1!BN63+(DO61*Sheet1!BN63)</f>
        <v>2.839642534391003</v>
      </c>
      <c r="AR61" s="560">
        <f>Sheet1!BA63+CD61</f>
        <v>0</v>
      </c>
      <c r="AS61" s="560">
        <f>Sheet1!BA63+Sheet1!BB63+CD61</f>
        <v>0.98899999999999999</v>
      </c>
      <c r="AT61" s="698">
        <f>0</f>
        <v>0</v>
      </c>
      <c r="AU61" s="560">
        <f>IF(EB61&lt;K61,0,MAX(Sheet1!AA63+AQ61-15/36*K61-N61,Sheet1!EH63,0))</f>
        <v>0</v>
      </c>
      <c r="AV61" s="560">
        <f>IF(OR(B61&gt;=GD61,B61&lt;GC61),0,15/36*K61-MAX(0,64.6-(137.6-(Sheet1!AA63+Sheet1!AB63))))</f>
        <v>0</v>
      </c>
      <c r="AW61" s="698">
        <f>Sheet1!DB63-110</f>
        <v>1900</v>
      </c>
      <c r="AX61" s="698">
        <f>Sheet1!DA63-265</f>
        <v>3195</v>
      </c>
      <c r="AY61" s="698">
        <f t="shared" si="182"/>
        <v>73</v>
      </c>
      <c r="AZ61" s="698">
        <v>0</v>
      </c>
      <c r="BA61" s="698">
        <f t="shared" si="183"/>
        <v>0</v>
      </c>
      <c r="BB61" s="560">
        <f t="shared" si="184"/>
        <v>0</v>
      </c>
      <c r="BC61" s="560"/>
      <c r="BD61" s="560">
        <f ca="1">IF(B61&gt;Summary!$A$1,#N/A,BB61*MGtoAF)</f>
        <v>0</v>
      </c>
      <c r="BE61" s="560">
        <f>Sheet1!BG63+Sheet1!BH63+Sheet1!BI63-BM61</f>
        <v>0</v>
      </c>
      <c r="BF61" s="560">
        <f t="shared" si="185"/>
        <v>0</v>
      </c>
      <c r="BG61" s="560">
        <f>IF(Sheet1!EP63="FM",BM61,0)</f>
        <v>0</v>
      </c>
      <c r="BH61" s="560">
        <f t="shared" si="186"/>
        <v>0</v>
      </c>
      <c r="BI61" s="560">
        <f>IF(Sheet1!EP63="OTHER",BM61,0)</f>
        <v>0</v>
      </c>
      <c r="BJ61" s="560">
        <f t="shared" si="187"/>
        <v>0</v>
      </c>
      <c r="BK61" s="560">
        <f t="shared" si="188"/>
        <v>0</v>
      </c>
      <c r="BL61" s="560">
        <f t="shared" si="189"/>
        <v>0</v>
      </c>
      <c r="BM61" s="560">
        <f>IF(OR(Sheet1!EP63="FM", Sheet1!EP63="OTHER"),SUM(Sheet1!BG63:'Sheet1'!BI63),0)</f>
        <v>0</v>
      </c>
      <c r="BN61" s="545">
        <f>IF(AND($B61&gt;=$FV61,$B61&lt;=$FW61),MAX(BF61,Sheet1!EI63,0),MAX(BF61-(7/36)*$K61,0))</f>
        <v>0</v>
      </c>
      <c r="BO61" s="560">
        <f t="shared" si="190"/>
        <v>0</v>
      </c>
      <c r="BP61" s="545">
        <f t="shared" si="191"/>
        <v>0</v>
      </c>
      <c r="BQ61" s="545">
        <f>IF(AND($O61&gt;0,Sheet1!EM63=1),(1-($O61-Sheet1!$L63)/$O61)*BL61,0)</f>
        <v>0</v>
      </c>
      <c r="BR61" s="545">
        <f>IF(AND(Sheet1!$L63=0,Sheet1!$L62=0, Calculation!BK61&lt;Sheet1!$EI63-0.1,Sheet1!$EI63=Sheet1!$EI62,Sheet1!$EI63=Sheet1!$EI64),Sheet1!$EI63,BL61-BQ61)</f>
        <v>0</v>
      </c>
      <c r="BS61" s="560"/>
      <c r="BT61" s="560"/>
      <c r="BU61" s="560">
        <f t="shared" si="192"/>
        <v>0</v>
      </c>
      <c r="BV61" s="560"/>
      <c r="BW61" s="560">
        <f ca="1">IF(B61&gt;Summary!$A$1,#N/A,BU61*MGtoAF)</f>
        <v>0</v>
      </c>
      <c r="BX61" s="560">
        <f>Sheet1!BC63+Sheet1!BD63+Sheet1!BE63+Sheet1!BF63-CG61-CH61</f>
        <v>2.5</v>
      </c>
      <c r="BY61" s="560">
        <f t="shared" si="193"/>
        <v>2.5353951199919669</v>
      </c>
      <c r="BZ61" s="560">
        <f>IF(Sheet1!EQ63="FM",CH61,0)</f>
        <v>0</v>
      </c>
      <c r="CA61" s="560">
        <f t="shared" si="194"/>
        <v>0</v>
      </c>
      <c r="CB61" s="560">
        <f>IF(Sheet1!EQ63="OTHER",CH61,0)</f>
        <v>0</v>
      </c>
      <c r="CC61" s="560">
        <f t="shared" si="195"/>
        <v>0</v>
      </c>
      <c r="CD61" s="560">
        <f t="shared" si="196"/>
        <v>0</v>
      </c>
      <c r="CE61" s="560">
        <f t="shared" si="197"/>
        <v>2.5</v>
      </c>
      <c r="CF61" s="560">
        <f t="shared" si="198"/>
        <v>2.5353951199919669</v>
      </c>
      <c r="CG61" s="560">
        <f>IF(Sheet1!EQ63="CWA",SUM(Sheet1!BC63:'Sheet1'!BF63),0)</f>
        <v>0</v>
      </c>
      <c r="CH61" s="560">
        <f>IF(OR(Sheet1!EQ63="FM", Sheet1!EQ63="OTHER"),SUM(Sheet1!BC63:'Sheet1'!BF63),0)</f>
        <v>0</v>
      </c>
      <c r="CI61" s="545">
        <f>IF(AND($B61&gt;=$FV61,$B61&lt;=$FW61),MAX(CF61,Sheet1!EJ63,0),MAX(CF61-(7/36)*$K61,0))</f>
        <v>0</v>
      </c>
      <c r="CJ61" s="560">
        <f t="shared" si="199"/>
        <v>0</v>
      </c>
      <c r="CK61" s="545">
        <f t="shared" si="200"/>
        <v>2.5353951199919669</v>
      </c>
      <c r="CL61" s="545">
        <f>IF(AND($O61&gt;0,Sheet1!EN63=1),(1-($O61-Sheet1!$L63)/$O61)*CF61,0)</f>
        <v>0</v>
      </c>
      <c r="CM61" s="545">
        <f>IF(AND(Sheet1!$L63=0,Sheet1!$L62=0, Calculation!CE61&lt;Sheet1!EJ63-0.1,Sheet1!EJ63=Sheet1!EJ62,Sheet1!EJ63=Sheet1!EJ64),Sheet1!EJ63,CF61-CL61)</f>
        <v>2.5353951199919669</v>
      </c>
      <c r="CN61" s="545"/>
      <c r="CO61" s="560"/>
      <c r="CP61" s="560">
        <f t="shared" si="201"/>
        <v>0</v>
      </c>
      <c r="CQ61" s="560"/>
      <c r="CR61" s="560">
        <f ca="1">IF(B61&gt;Summary!$A$1,#N/A,CP61*MGtoAF)</f>
        <v>0</v>
      </c>
      <c r="CS61" s="560">
        <f>Sheet1!BK63+Sheet1!BL63+Sheet1!BM63-Sheet1!ER63-DA61</f>
        <v>3.67</v>
      </c>
      <c r="CT61" s="560">
        <f t="shared" si="202"/>
        <v>3.7219600361482077</v>
      </c>
      <c r="CU61" s="560">
        <f>IF(Sheet1!ER63="FM",DA61,0)</f>
        <v>0</v>
      </c>
      <c r="CV61" s="560">
        <f t="shared" si="203"/>
        <v>0</v>
      </c>
      <c r="CW61" s="560">
        <f>IF(Sheet1!ER63="OTHER",DA61,0)</f>
        <v>0</v>
      </c>
      <c r="CX61" s="560">
        <f t="shared" si="204"/>
        <v>0</v>
      </c>
      <c r="CY61" s="560">
        <f t="shared" si="205"/>
        <v>3.67</v>
      </c>
      <c r="CZ61" s="560">
        <f t="shared" si="206"/>
        <v>3.7219600361482077</v>
      </c>
      <c r="DA61" s="560">
        <f>IF(OR(Sheet1!ER63="FM", Sheet1!ER63="OTHER"),SUM(Sheet1!BK63:'Sheet1'!BM63),0)</f>
        <v>0</v>
      </c>
      <c r="DB61" s="545">
        <f>IF(AND($B61&gt;=$FV61,$B61&lt;=$FW61),MAX($CT61,Sheet1!EK63,0),MAX($CT61-(7/36)*$K61,0))</f>
        <v>0</v>
      </c>
      <c r="DC61" s="560">
        <f t="shared" si="207"/>
        <v>0</v>
      </c>
      <c r="DD61" s="545">
        <f t="shared" si="208"/>
        <v>3.7219600361482077</v>
      </c>
      <c r="DE61" s="545">
        <f>IF(AND($O61&gt;0,Sheet1!EO63=1),(1-($O61-Sheet1!$L63)/$O61)*CZ61,0)</f>
        <v>0</v>
      </c>
      <c r="DF61" s="545">
        <f>IF(AND(Sheet1!$L63=0,Sheet1!$L62=0, Calculation!CY61&lt;Sheet1!$EK63-0.1,Sheet1!$EK63=Sheet1!$EK62,Sheet1!$EK63=Sheet1!$EK64),Sheet1!$EK63,CZ61-DE61)</f>
        <v>3.7219600361482077</v>
      </c>
      <c r="DG61" s="545"/>
      <c r="DH61" s="560">
        <f t="shared" si="209"/>
        <v>6.17</v>
      </c>
      <c r="DI61" s="560">
        <f t="shared" si="210"/>
        <v>0</v>
      </c>
      <c r="DJ61" s="698">
        <f t="shared" si="211"/>
        <v>6.257355156140175</v>
      </c>
      <c r="DK61" s="560">
        <f ca="1">IF(B61&gt;Summary!$A$1,#N/A,DI61*MGtoAF)</f>
        <v>0</v>
      </c>
      <c r="DL61" s="698">
        <f t="shared" si="212"/>
        <v>6.17</v>
      </c>
      <c r="DM61" s="560">
        <f t="shared" si="213"/>
        <v>9.9589999999999996</v>
      </c>
      <c r="DN61" s="560">
        <f>Sheet1!AB63-DM61</f>
        <v>0.14100000000000001</v>
      </c>
      <c r="DO61" s="823">
        <f t="shared" si="214"/>
        <v>1.4158047996786828E-2</v>
      </c>
      <c r="DP61" s="560">
        <f>(VLOOKUP(Sheet1!DC63,hhdcap_wcm,4)-(((VLOOKUP(Sheet1!DC63,hhdcap_wcm,3)-Sheet1!DC63)/(VLOOKUP(Sheet1!DC63,hhdcap_wcm,3)-VLOOKUP(Sheet1!DC63,hhdcap_wcm,1)))*(VLOOKUP(Sheet1!DC63,hhdcap_wcm,4)-VLOOKUP(Sheet1!DC63,hhdcap_wcm,2))))</f>
        <v>1135.4000000032515</v>
      </c>
      <c r="DQ61" s="560">
        <f t="shared" si="215"/>
        <v>-215.30000000017731</v>
      </c>
      <c r="DR61" s="560">
        <f t="shared" si="216"/>
        <v>-108.57286938990281</v>
      </c>
      <c r="DS61" s="560">
        <f>Sheet1!EA63*AFtoMG</f>
        <v>0</v>
      </c>
      <c r="DT61" s="560">
        <f>Sheet1!EB63*AFtoMG</f>
        <v>0</v>
      </c>
      <c r="DU61" s="560">
        <f>Sheet1!EC63*AFtoMG</f>
        <v>0</v>
      </c>
      <c r="DV61" s="560">
        <f>Sheet1!ED63*AFtoMG</f>
        <v>0</v>
      </c>
      <c r="DW61" s="560">
        <f t="shared" si="217"/>
        <v>0</v>
      </c>
      <c r="DX61" s="560">
        <f t="shared" si="218"/>
        <v>0</v>
      </c>
      <c r="DY61" s="560">
        <f t="shared" si="219"/>
        <v>0</v>
      </c>
      <c r="DZ61" s="560">
        <f t="shared" si="220"/>
        <v>0</v>
      </c>
      <c r="EA61" s="560"/>
      <c r="EB61" s="545">
        <f>IF(OR(B61&lt;FV61,B61&gt;FW61),(MIN(BF61+BY61+CT61+MAX(Sheet1!AA63+AQ61-73,0),K61)),0)</f>
        <v>6.257355156140175</v>
      </c>
      <c r="EC61" s="560"/>
      <c r="ED61" s="560">
        <f t="shared" si="221"/>
        <v>6.257355156140175</v>
      </c>
      <c r="EE61" s="560"/>
      <c r="EF61" s="560">
        <f>Sheet1!EH63+Sheet1!EI63+Sheet1!EJ63+Sheet1!EK63</f>
        <v>6.17</v>
      </c>
      <c r="EG61" s="560"/>
      <c r="EH61" s="545">
        <f t="shared" si="222"/>
        <v>0</v>
      </c>
      <c r="EI61" s="560">
        <f>IF(Sheet1!ET63=1,SUM('Calculations II'!AT61:BA61)+'Calculations II'!BC61+Sheet1!BV63+'Calculations II'!BE61+AP61,SUM('Calculations II'!AT61:BA61)+'Calculations II'!BC61+Sheet1!BV63+'Calculations II'!BE61+AP61)</f>
        <v>48.097712000000001</v>
      </c>
      <c r="EJ61" s="560">
        <f>Sheet1!AA63+Sheet1!AB63+'Calculations II'!BC61</f>
        <v>49.399231999999998</v>
      </c>
      <c r="EK61" s="560"/>
      <c r="EL61" s="560"/>
      <c r="EM61" s="560">
        <f t="shared" si="223"/>
        <v>41689</v>
      </c>
      <c r="EN61" s="560">
        <f t="shared" si="224"/>
        <v>0</v>
      </c>
      <c r="EO61" s="560">
        <f t="shared" si="225"/>
        <v>0</v>
      </c>
      <c r="EP61" s="560">
        <v>0</v>
      </c>
      <c r="EQ61" s="560">
        <v>0</v>
      </c>
      <c r="ER61" s="560">
        <v>0</v>
      </c>
      <c r="ES61" s="545">
        <f t="shared" si="77"/>
        <v>2.4918609155715554</v>
      </c>
      <c r="ET61" s="560">
        <f>-(VLOOKUP(Sheet1!BQ63,Lookup!$O$4:$Q$262,2)-VLOOKUP(Sheet1!BQ62,Lookup!$O$4:$Q$262,2))/1000000</f>
        <v>1.1074937392686941</v>
      </c>
      <c r="EU61" s="560">
        <f>-(VLOOKUP(Sheet1!BR63,Lookup!$O$4:$Q$262,3)-VLOOKUP(Sheet1!BR62,Lookup!$O$4:$Q$262,3))/1000000</f>
        <v>1.3843671763028613</v>
      </c>
      <c r="EV61" s="560"/>
      <c r="EW61" s="560"/>
      <c r="EX61" s="560"/>
      <c r="EY61" s="560"/>
      <c r="EZ61" s="560"/>
      <c r="FA61" s="560"/>
      <c r="FB61" s="560"/>
      <c r="FC61" s="560"/>
      <c r="FD61" s="594" t="e">
        <f t="shared" si="226"/>
        <v>#N/A</v>
      </c>
      <c r="FE61" s="594" t="e">
        <f t="shared" si="227"/>
        <v>#N/A</v>
      </c>
      <c r="FF61" s="595" t="e">
        <f t="shared" si="228"/>
        <v>#N/A</v>
      </c>
      <c r="FG61" s="596" t="s">
        <v>692</v>
      </c>
      <c r="FH61" s="596" t="s">
        <v>692</v>
      </c>
      <c r="FI61" s="594" t="e">
        <v>#N/A</v>
      </c>
      <c r="FJ61" s="594" t="e">
        <v>#N/A</v>
      </c>
      <c r="FK61" s="560"/>
      <c r="FL61" s="560"/>
      <c r="FM61" s="560"/>
      <c r="FN61" s="560"/>
      <c r="FO61" s="560">
        <f>O61+((Sheet1!CS63)*GPMtoMGD)</f>
        <v>49.399231999999998</v>
      </c>
      <c r="FP61" s="560">
        <f>IF(Sheet1!AA63+AQ61&lt;=Calculation!N61,AQ61,Calculation!N61-Sheet1!AA63)</f>
        <v>2.839642534391003</v>
      </c>
      <c r="FQ61" s="560">
        <f>(Sheet1!BP63+Sheet1!BO63)/694.4</f>
        <v>0.9025057603686637</v>
      </c>
      <c r="FR61" s="560"/>
      <c r="FS61" s="560"/>
      <c r="FT61" s="560"/>
      <c r="FU61" s="560"/>
      <c r="FV61" s="695">
        <f t="shared" si="80"/>
        <v>41827</v>
      </c>
      <c r="FW61" s="695">
        <f t="shared" si="81"/>
        <v>41934</v>
      </c>
      <c r="FX61" s="560"/>
      <c r="FY61" s="560"/>
      <c r="FZ61" s="560"/>
      <c r="GA61" s="560"/>
      <c r="GB61" s="560" t="str">
        <f t="shared" si="82"/>
        <v>n</v>
      </c>
      <c r="GC61" s="564">
        <f t="shared" si="83"/>
        <v>41691</v>
      </c>
      <c r="GD61" s="695">
        <f t="shared" si="84"/>
        <v>41807</v>
      </c>
      <c r="GE61" s="560">
        <v>6518.9</v>
      </c>
      <c r="GF61" s="695">
        <f t="shared" si="85"/>
        <v>41808</v>
      </c>
      <c r="GG61" s="560">
        <f t="shared" si="163"/>
        <v>3259</v>
      </c>
      <c r="GH61" s="564">
        <f t="shared" si="87"/>
        <v>41934</v>
      </c>
      <c r="GJ61" s="545">
        <f t="shared" si="88"/>
        <v>0</v>
      </c>
      <c r="GK61" s="560" t="str">
        <f t="shared" si="229"/>
        <v/>
      </c>
      <c r="GL61" s="560">
        <f t="shared" si="89"/>
        <v>0</v>
      </c>
      <c r="GM61" s="560" t="str">
        <f t="shared" si="90"/>
        <v/>
      </c>
      <c r="GN61" s="560">
        <f>IF(GK61="P",Lookup!$M$12,IF(GK61="PP",Lookup!$M$13,IF(GK61="PPP",Lookup!$M$14,IF(GK61="T",Lookup!$M$15,IF(GK61="TP",Lookup!$M$16,IF(GK61="TPP",Lookup!$M$17,IF(GK61="TPPP",Lookup!$M$18,0)))))))*GJ61</f>
        <v>0</v>
      </c>
      <c r="GO61" s="560">
        <f t="shared" si="91"/>
        <v>0</v>
      </c>
      <c r="GP61" s="560">
        <f t="shared" si="230"/>
        <v>0</v>
      </c>
      <c r="GQ61" s="560">
        <f t="shared" si="99"/>
        <v>0</v>
      </c>
      <c r="GR61" s="560"/>
      <c r="GS61" s="560">
        <f t="shared" si="92"/>
        <v>0</v>
      </c>
      <c r="GT61" s="560" t="str">
        <f t="shared" si="93"/>
        <v/>
      </c>
      <c r="GU61" s="560">
        <f>IF(GK61="P",Lookup!$N$12,IF(GK61="PP",Lookup!$N$13,IF(GK61="PPP",Lookup!$N$14,IF(GK61="T",Lookup!$N$15,IF(GK61="TP",Lookup!$N$16,IF(GK61="TPP",Lookup!$N$17,IF(GK61="TPPP",Lookup!$N$18,0)))))))*GJ61</f>
        <v>0</v>
      </c>
      <c r="GV61" s="560">
        <f t="shared" si="57"/>
        <v>0</v>
      </c>
      <c r="GW61" s="560">
        <f t="shared" si="231"/>
        <v>0</v>
      </c>
      <c r="GX61" s="560">
        <f t="shared" si="100"/>
        <v>0</v>
      </c>
      <c r="GY61" s="560"/>
      <c r="GZ61" s="560">
        <f t="shared" si="94"/>
        <v>0</v>
      </c>
      <c r="HA61" s="560" t="str">
        <f t="shared" si="95"/>
        <v/>
      </c>
      <c r="HB61" s="560">
        <f>IF(GK61="P",Lookup!$N$12,IF(GK61="PP",Lookup!$N$13,IF(GK61="PPP",Lookup!$N$14,IF(GK61="T",Lookup!$N$15,IF(GK61="TP",Lookup!$N$16,IF(GK61="TPP",Lookup!$N$17,IF(GK61="TPPP",Lookup!$N$18,0)))))))*GJ61</f>
        <v>0</v>
      </c>
      <c r="HC61" s="545">
        <f t="shared" si="232"/>
        <v>0</v>
      </c>
      <c r="HD61" s="560">
        <f t="shared" si="233"/>
        <v>0</v>
      </c>
      <c r="HE61" s="560">
        <f t="shared" si="101"/>
        <v>0</v>
      </c>
      <c r="HF61" s="560"/>
      <c r="HG61" s="560">
        <f t="shared" si="96"/>
        <v>0</v>
      </c>
      <c r="HH61" s="560" t="str">
        <f t="shared" si="97"/>
        <v/>
      </c>
      <c r="HI61" s="560">
        <f>IF(GK61="P",Lookup!$N$12,IF(GK61="PP",Lookup!$N$13,IF(GK61="PPP",Lookup!$N$14,IF(GK61="T",Lookup!$N$15,IF(GK61="TP",Lookup!$N$16,IF(GK61="TPP",Lookup!$N$17,IF(GK61="TPPP",Lookup!$N$18,0)))))))*GJ61</f>
        <v>0</v>
      </c>
      <c r="HJ61" s="545">
        <f t="shared" si="234"/>
        <v>0</v>
      </c>
      <c r="HK61" s="560">
        <f t="shared" si="235"/>
        <v>0</v>
      </c>
      <c r="HL61" s="560">
        <f t="shared" si="102"/>
        <v>0</v>
      </c>
      <c r="HM61" s="560"/>
    </row>
    <row r="62" spans="1:221">
      <c r="A62" s="580" t="s">
        <v>7</v>
      </c>
      <c r="B62" s="556">
        <v>41690</v>
      </c>
      <c r="C62" s="561">
        <v>0</v>
      </c>
      <c r="D62" s="529">
        <f t="shared" si="103"/>
        <v>300</v>
      </c>
      <c r="E62" s="529">
        <f t="shared" si="104"/>
        <v>250</v>
      </c>
      <c r="F62" s="529">
        <v>250</v>
      </c>
      <c r="G62" s="560">
        <f>DR62+Sheet1!CZ64</f>
        <v>1396.4145234492744</v>
      </c>
      <c r="H62" s="914">
        <f t="shared" si="2"/>
        <v>635.67914795761089</v>
      </c>
      <c r="I62" s="559">
        <f>MAX(Sheet1!Z64-AT62+(Sheet1!DA64-E62)*CFStoMGD,0)</f>
        <v>1632.5639999999999</v>
      </c>
      <c r="J62" s="562">
        <f>IF(AND(B62&gt;=Calculation!GC62,B62&lt;=Calculation!GD62),IF(Sheet1!DB64&gt;=Calculation!D62,64.64,0),MAX(Sheet1!Z64-AT62+(Sheet1!DB64-D62)*CFStoMGD,0))</f>
        <v>798.70799999999997</v>
      </c>
      <c r="K62" s="904">
        <f t="shared" si="171"/>
        <v>64.64</v>
      </c>
      <c r="L62" s="560">
        <f>Sheet1!AA64+Sheet1!AB64-Sheet1!L64+(Sheet1!DA64-F62)*CFStoMGD</f>
        <v>1622.4639999999999</v>
      </c>
      <c r="M62" s="560">
        <f t="shared" si="172"/>
        <v>920.69519491676317</v>
      </c>
      <c r="N62" s="910">
        <f>IF(Sheet1!DA64&gt;=F62,MIN(73,MIN(MAX(L62,0),MAX(M62,0))),0)</f>
        <v>73</v>
      </c>
      <c r="O62" s="563">
        <f>Sheet1!AA64+Sheet1!AB64</f>
        <v>34.18</v>
      </c>
      <c r="P62" s="563">
        <f t="shared" si="173"/>
        <v>52.876460000000002</v>
      </c>
      <c r="Q62" s="898">
        <f t="shared" si="63"/>
        <v>0</v>
      </c>
      <c r="R62" s="829">
        <f t="shared" si="174"/>
        <v>6.0527472527472526</v>
      </c>
      <c r="S62" s="898">
        <f t="shared" si="65"/>
        <v>34.18</v>
      </c>
      <c r="T62" s="898">
        <f t="shared" si="66"/>
        <v>0</v>
      </c>
      <c r="U62" s="898">
        <f t="shared" si="6"/>
        <v>0</v>
      </c>
      <c r="V62" s="898"/>
      <c r="W62" s="898">
        <f t="shared" si="67"/>
        <v>58.587252747252748</v>
      </c>
      <c r="X62" s="898">
        <f t="shared" si="68"/>
        <v>34.18</v>
      </c>
      <c r="Y62" s="898" t="str">
        <f t="shared" si="69"/>
        <v/>
      </c>
      <c r="Z62" s="898">
        <f t="shared" si="70"/>
        <v>34.18</v>
      </c>
      <c r="AA62" s="898">
        <f t="shared" si="71"/>
        <v>34.18</v>
      </c>
      <c r="AB62" s="898" t="str">
        <f t="shared" si="72"/>
        <v/>
      </c>
      <c r="AC62" s="563">
        <f>Sheet1!Y64*MGDtoCFS</f>
        <v>36.803129999999996</v>
      </c>
      <c r="AD62" s="563">
        <f>Sheet1!Z64*MGDtoCFS</f>
        <v>15.624699999999999</v>
      </c>
      <c r="AE62" s="563">
        <f>Sheet1!AA64*MGDtoCFS</f>
        <v>37.561160000000001</v>
      </c>
      <c r="AF62" s="563">
        <f>Sheet1!AB64*MGDtoCFS</f>
        <v>15.315300000000001</v>
      </c>
      <c r="AG62" s="563">
        <f>Sheet1!L64*MGDtoCFS</f>
        <v>52.876459999999994</v>
      </c>
      <c r="AH62" s="545">
        <f t="shared" si="175"/>
        <v>0</v>
      </c>
      <c r="AI62" s="560">
        <f t="shared" si="176"/>
        <v>0</v>
      </c>
      <c r="AJ62" s="560">
        <f t="shared" si="177"/>
        <v>0</v>
      </c>
      <c r="AK62" s="560">
        <f t="shared" si="178"/>
        <v>0</v>
      </c>
      <c r="AL62" s="560">
        <f>(VLOOKUP(Sheet1!DC64,hhdcap_wcm,4)-(((VLOOKUP(Sheet1!DC64,hhdcap_wcm,3)-Sheet1!DC64)/(VLOOKUP(Sheet1!DC64,hhdcap_wcm,3)-VLOOKUP(Sheet1!DC64,hhdcap_wcm,1)))*(VLOOKUP(Sheet1!DC64,hhdcap_wcm,4)-VLOOKUP(Sheet1!DC64,hhdcap_wcm,2))))</f>
        <v>1068.8000000031627</v>
      </c>
      <c r="AM62" s="560">
        <f t="shared" si="179"/>
        <v>-66.600000000088812</v>
      </c>
      <c r="AN62" s="560">
        <f t="shared" si="180"/>
        <v>0</v>
      </c>
      <c r="AO62" s="560">
        <f t="shared" si="181"/>
        <v>0</v>
      </c>
      <c r="AP62" s="560">
        <f>Sheet1!BA64+Sheet1!BB64+Sheet1!BN64+CD62</f>
        <v>3.8899999999999997</v>
      </c>
      <c r="AQ62" s="560">
        <f>Sheet1!BN64+(DO62*Sheet1!BN64)</f>
        <v>2.8681318681318682</v>
      </c>
      <c r="AR62" s="560">
        <f>Sheet1!BA64+CD62</f>
        <v>0</v>
      </c>
      <c r="AS62" s="560">
        <f>Sheet1!BA64+Sheet1!BB64+CD62</f>
        <v>0.99</v>
      </c>
      <c r="AT62" s="698">
        <f>0</f>
        <v>0</v>
      </c>
      <c r="AU62" s="560">
        <f>IF(EB62&lt;K62,0,MAX(Sheet1!AA64+AQ62-15/36*K62-N62,Sheet1!EH64,0))</f>
        <v>0</v>
      </c>
      <c r="AV62" s="560">
        <f>IF(OR(B62&gt;=GD62,B62&lt;GC62),0,15/36*K62-MAX(0,64.6-(137.6-(Sheet1!AA64+Sheet1!AB64))))</f>
        <v>0</v>
      </c>
      <c r="AW62" s="698">
        <f>Sheet1!DB64-110</f>
        <v>1410</v>
      </c>
      <c r="AX62" s="698">
        <f>Sheet1!DA64-265</f>
        <v>2495</v>
      </c>
      <c r="AY62" s="698">
        <f t="shared" si="182"/>
        <v>73</v>
      </c>
      <c r="AZ62" s="698">
        <v>0</v>
      </c>
      <c r="BA62" s="698">
        <f t="shared" si="183"/>
        <v>0</v>
      </c>
      <c r="BB62" s="560">
        <f t="shared" si="184"/>
        <v>0</v>
      </c>
      <c r="BC62" s="560"/>
      <c r="BD62" s="560">
        <f ca="1">IF(B62&gt;Summary!$A$1,#N/A,BB62*MGtoAF)</f>
        <v>0</v>
      </c>
      <c r="BE62" s="560">
        <f>Sheet1!BG64+Sheet1!BH64+Sheet1!BI64-BM62</f>
        <v>0</v>
      </c>
      <c r="BF62" s="560">
        <f t="shared" si="185"/>
        <v>0</v>
      </c>
      <c r="BG62" s="560">
        <f>IF(Sheet1!EP64="FM",BM62,0)</f>
        <v>0</v>
      </c>
      <c r="BH62" s="560">
        <f t="shared" si="186"/>
        <v>0</v>
      </c>
      <c r="BI62" s="560">
        <f>IF(Sheet1!EP64="OTHER",BM62,0)</f>
        <v>0</v>
      </c>
      <c r="BJ62" s="560">
        <f t="shared" si="187"/>
        <v>0</v>
      </c>
      <c r="BK62" s="560">
        <f t="shared" si="188"/>
        <v>0</v>
      </c>
      <c r="BL62" s="560">
        <f t="shared" si="189"/>
        <v>0</v>
      </c>
      <c r="BM62" s="560">
        <f>IF(OR(Sheet1!EP64="FM", Sheet1!EP64="OTHER"),SUM(Sheet1!BG64:'Sheet1'!BI64),0)</f>
        <v>0</v>
      </c>
      <c r="BN62" s="545">
        <f>IF(AND($B62&gt;=$FV62,$B62&lt;=$FW62),MAX(BF62,Sheet1!EI64,0),MAX(BF62-(7/36)*$K62,0))</f>
        <v>0</v>
      </c>
      <c r="BO62" s="560">
        <f t="shared" si="190"/>
        <v>0</v>
      </c>
      <c r="BP62" s="545">
        <f t="shared" si="191"/>
        <v>0</v>
      </c>
      <c r="BQ62" s="545">
        <f>IF(AND($O62&gt;0,Sheet1!EM64=1),(1-($O62-Sheet1!$L64)/$O62)*BL62,0)</f>
        <v>0</v>
      </c>
      <c r="BR62" s="545">
        <f>IF(AND(Sheet1!$L64=0,Sheet1!$L63=0, Calculation!BK62&lt;Sheet1!$EI64-0.1,Sheet1!$EI64=Sheet1!$EI63,Sheet1!$EI64=Sheet1!$EI65),Sheet1!$EI64,BL62-BQ62)</f>
        <v>0</v>
      </c>
      <c r="BS62" s="560"/>
      <c r="BT62" s="560"/>
      <c r="BU62" s="560">
        <f t="shared" si="192"/>
        <v>0</v>
      </c>
      <c r="BV62" s="560"/>
      <c r="BW62" s="560">
        <f ca="1">IF(B62&gt;Summary!$A$1,#N/A,BU62*MGtoAF)</f>
        <v>0</v>
      </c>
      <c r="BX62" s="560">
        <f>Sheet1!BC64+Sheet1!BD64+Sheet1!BE64+Sheet1!BF64-CG62-CH62</f>
        <v>2.5</v>
      </c>
      <c r="BY62" s="560">
        <f t="shared" si="193"/>
        <v>2.4725274725274726</v>
      </c>
      <c r="BZ62" s="560">
        <f>IF(Sheet1!EQ64="FM",CH62,0)</f>
        <v>0</v>
      </c>
      <c r="CA62" s="560">
        <f t="shared" si="194"/>
        <v>0</v>
      </c>
      <c r="CB62" s="560">
        <f>IF(Sheet1!EQ64="OTHER",CH62,0)</f>
        <v>0</v>
      </c>
      <c r="CC62" s="560">
        <f t="shared" si="195"/>
        <v>0</v>
      </c>
      <c r="CD62" s="560">
        <f t="shared" si="196"/>
        <v>0</v>
      </c>
      <c r="CE62" s="560">
        <f t="shared" si="197"/>
        <v>2.5</v>
      </c>
      <c r="CF62" s="560">
        <f t="shared" si="198"/>
        <v>2.4725274725274726</v>
      </c>
      <c r="CG62" s="560">
        <f>IF(Sheet1!EQ64="CWA",SUM(Sheet1!BC64:'Sheet1'!BF64),0)</f>
        <v>0</v>
      </c>
      <c r="CH62" s="560">
        <f>IF(OR(Sheet1!EQ64="FM", Sheet1!EQ64="OTHER"),SUM(Sheet1!BC64:'Sheet1'!BF64),0)</f>
        <v>0</v>
      </c>
      <c r="CI62" s="545">
        <f>IF(AND($B62&gt;=$FV62,$B62&lt;=$FW62),MAX(CF62,Sheet1!EJ64,0),MAX(CF62-(7/36)*$K62,0))</f>
        <v>0</v>
      </c>
      <c r="CJ62" s="560">
        <f t="shared" si="199"/>
        <v>0</v>
      </c>
      <c r="CK62" s="545">
        <f t="shared" si="200"/>
        <v>2.4725274725274726</v>
      </c>
      <c r="CL62" s="545">
        <f>IF(AND($O62&gt;0,Sheet1!EN64=1),(1-($O62-Sheet1!$L64)/$O62)*CF62,0)</f>
        <v>0</v>
      </c>
      <c r="CM62" s="545">
        <f>IF(AND(Sheet1!$L64=0,Sheet1!$L63=0, Calculation!CE62&lt;Sheet1!EJ64-0.1,Sheet1!EJ64=Sheet1!EJ63,Sheet1!EJ64=Sheet1!EJ65),Sheet1!EJ64,CF62-CL62)</f>
        <v>2.4725274725274726</v>
      </c>
      <c r="CN62" s="545"/>
      <c r="CO62" s="560"/>
      <c r="CP62" s="560">
        <f t="shared" si="201"/>
        <v>0</v>
      </c>
      <c r="CQ62" s="560"/>
      <c r="CR62" s="560">
        <f ca="1">IF(B62&gt;Summary!$A$1,#N/A,CP62*MGtoAF)</f>
        <v>0</v>
      </c>
      <c r="CS62" s="560">
        <f>Sheet1!BK64+Sheet1!BL64+Sheet1!BM64-Sheet1!ER64-DA62</f>
        <v>3.62</v>
      </c>
      <c r="CT62" s="560">
        <f t="shared" si="202"/>
        <v>3.5802197802197804</v>
      </c>
      <c r="CU62" s="560">
        <f>IF(Sheet1!ER64="FM",DA62,0)</f>
        <v>0</v>
      </c>
      <c r="CV62" s="560">
        <f t="shared" si="203"/>
        <v>0</v>
      </c>
      <c r="CW62" s="560">
        <f>IF(Sheet1!ER64="OTHER",DA62,0)</f>
        <v>0</v>
      </c>
      <c r="CX62" s="560">
        <f t="shared" si="204"/>
        <v>0</v>
      </c>
      <c r="CY62" s="560">
        <f t="shared" si="205"/>
        <v>3.62</v>
      </c>
      <c r="CZ62" s="560">
        <f t="shared" si="206"/>
        <v>3.5802197802197804</v>
      </c>
      <c r="DA62" s="560">
        <f>IF(OR(Sheet1!ER64="FM", Sheet1!ER64="OTHER"),SUM(Sheet1!BK64:'Sheet1'!BM64),0)</f>
        <v>0</v>
      </c>
      <c r="DB62" s="545">
        <f>IF(AND($B62&gt;=$FV62,$B62&lt;=$FW62),MAX($CT62,Sheet1!EK64,0),MAX($CT62-(7/36)*$K62,0))</f>
        <v>0</v>
      </c>
      <c r="DC62" s="560">
        <f t="shared" si="207"/>
        <v>0</v>
      </c>
      <c r="DD62" s="545">
        <f t="shared" si="208"/>
        <v>3.5802197802197804</v>
      </c>
      <c r="DE62" s="545">
        <f>IF(AND($O62&gt;0,Sheet1!EO64=1),(1-($O62-Sheet1!$L64)/$O62)*CZ62,0)</f>
        <v>0</v>
      </c>
      <c r="DF62" s="545">
        <f>IF(AND(Sheet1!$L64=0,Sheet1!$L63=0, Calculation!CY62&lt;Sheet1!$EK64-0.1,Sheet1!$EK64=Sheet1!$EK63,Sheet1!$EK64=Sheet1!$EK65),Sheet1!$EK64,CZ62-DE62)</f>
        <v>3.5802197802197804</v>
      </c>
      <c r="DG62" s="545"/>
      <c r="DH62" s="560">
        <f t="shared" si="209"/>
        <v>6.12</v>
      </c>
      <c r="DI62" s="560">
        <f t="shared" si="210"/>
        <v>0</v>
      </c>
      <c r="DJ62" s="698">
        <f t="shared" si="211"/>
        <v>6.0527472527472526</v>
      </c>
      <c r="DK62" s="560">
        <f ca="1">IF(B62&gt;Summary!$A$1,#N/A,DI62*MGtoAF)</f>
        <v>0</v>
      </c>
      <c r="DL62" s="698">
        <f t="shared" si="212"/>
        <v>6.12</v>
      </c>
      <c r="DM62" s="560">
        <f t="shared" si="213"/>
        <v>10.01</v>
      </c>
      <c r="DN62" s="560">
        <f>Sheet1!AB64-DM62</f>
        <v>-0.10999999999999943</v>
      </c>
      <c r="DO62" s="823">
        <f t="shared" si="214"/>
        <v>-1.0989010989010933E-2</v>
      </c>
      <c r="DP62" s="560">
        <f>(VLOOKUP(Sheet1!DC64,hhdcap_wcm,4)-(((VLOOKUP(Sheet1!DC64,hhdcap_wcm,3)-Sheet1!DC64)/(VLOOKUP(Sheet1!DC64,hhdcap_wcm,3)-VLOOKUP(Sheet1!DC64,hhdcap_wcm,1)))*(VLOOKUP(Sheet1!DC64,hhdcap_wcm,4)-VLOOKUP(Sheet1!DC64,hhdcap_wcm,2))))</f>
        <v>1068.8000000031627</v>
      </c>
      <c r="DQ62" s="560">
        <f t="shared" si="215"/>
        <v>-66.600000000088812</v>
      </c>
      <c r="DR62" s="560">
        <f t="shared" si="216"/>
        <v>-33.585476550725566</v>
      </c>
      <c r="DS62" s="560">
        <f>Sheet1!EA64*AFtoMG</f>
        <v>0</v>
      </c>
      <c r="DT62" s="560">
        <f>Sheet1!EB64*AFtoMG</f>
        <v>0</v>
      </c>
      <c r="DU62" s="560">
        <f>Sheet1!EC64*AFtoMG</f>
        <v>0</v>
      </c>
      <c r="DV62" s="560">
        <f>Sheet1!ED64*AFtoMG</f>
        <v>0</v>
      </c>
      <c r="DW62" s="560">
        <f t="shared" si="217"/>
        <v>0</v>
      </c>
      <c r="DX62" s="560">
        <f t="shared" si="218"/>
        <v>0</v>
      </c>
      <c r="DY62" s="560">
        <f t="shared" si="219"/>
        <v>0</v>
      </c>
      <c r="DZ62" s="560">
        <f t="shared" si="220"/>
        <v>0</v>
      </c>
      <c r="EA62" s="560"/>
      <c r="EB62" s="545">
        <f>IF(OR(B62&lt;FV62,B62&gt;FW62),(MIN(BF62+BY62+CT62+MAX(Sheet1!AA64+AQ62-73,0),K62)),0)</f>
        <v>6.0527472527472526</v>
      </c>
      <c r="EC62" s="560"/>
      <c r="ED62" s="560">
        <f t="shared" si="221"/>
        <v>6.0527472527472526</v>
      </c>
      <c r="EE62" s="560"/>
      <c r="EF62" s="560">
        <f>Sheet1!EH64+Sheet1!EI64+Sheet1!EJ64+Sheet1!EK64</f>
        <v>6.12</v>
      </c>
      <c r="EG62" s="560"/>
      <c r="EH62" s="545">
        <f t="shared" si="222"/>
        <v>0</v>
      </c>
      <c r="EI62" s="560">
        <f>IF(Sheet1!ET64=1,SUM('Calculations II'!AT62:BA62)+'Calculations II'!BC62+Sheet1!BV64+'Calculations II'!BE62+AP62,SUM('Calculations II'!AT62:BA62)+'Calculations II'!BC62+Sheet1!BV64+'Calculations II'!BE62+AP62)</f>
        <v>48.598672000000001</v>
      </c>
      <c r="EJ62" s="560">
        <f>Sheet1!AA64+Sheet1!AB64+'Calculations II'!BC62</f>
        <v>49.690240000000003</v>
      </c>
      <c r="EK62" s="560"/>
      <c r="EL62" s="560"/>
      <c r="EM62" s="560">
        <f t="shared" si="223"/>
        <v>41690</v>
      </c>
      <c r="EN62" s="560">
        <f t="shared" si="224"/>
        <v>0</v>
      </c>
      <c r="EO62" s="560">
        <f t="shared" si="225"/>
        <v>0</v>
      </c>
      <c r="EP62" s="560">
        <v>0</v>
      </c>
      <c r="EQ62" s="560">
        <v>0</v>
      </c>
      <c r="ER62" s="560">
        <v>0</v>
      </c>
      <c r="ES62" s="545">
        <f t="shared" si="77"/>
        <v>2.6291732980793565</v>
      </c>
      <c r="ET62" s="560">
        <f>-(VLOOKUP(Sheet1!BQ64,Lookup!$O$4:$Q$262,2)-VLOOKUP(Sheet1!BQ63,Lookup!$O$4:$Q$262,2))/1000000</f>
        <v>1.3837905921991505</v>
      </c>
      <c r="EU62" s="560">
        <f>-(VLOOKUP(Sheet1!BR64,Lookup!$O$4:$Q$262,3)-VLOOKUP(Sheet1!BR63,Lookup!$O$4:$Q$262,3))/1000000</f>
        <v>1.2453827058802061</v>
      </c>
      <c r="EV62" s="560"/>
      <c r="EW62" s="560"/>
      <c r="EX62" s="560"/>
      <c r="EY62" s="560"/>
      <c r="EZ62" s="560"/>
      <c r="FA62" s="560"/>
      <c r="FB62" s="560"/>
      <c r="FC62" s="560"/>
      <c r="FD62" s="594" t="e">
        <f t="shared" si="226"/>
        <v>#N/A</v>
      </c>
      <c r="FE62" s="594" t="e">
        <f t="shared" si="227"/>
        <v>#N/A</v>
      </c>
      <c r="FF62" s="595" t="e">
        <f t="shared" si="228"/>
        <v>#N/A</v>
      </c>
      <c r="FG62" s="596" t="s">
        <v>692</v>
      </c>
      <c r="FH62" s="596" t="s">
        <v>692</v>
      </c>
      <c r="FI62" s="594" t="e">
        <v>#N/A</v>
      </c>
      <c r="FJ62" s="594" t="e">
        <v>#N/A</v>
      </c>
      <c r="FK62" s="560"/>
      <c r="FL62" s="560"/>
      <c r="FM62" s="560"/>
      <c r="FN62" s="560"/>
      <c r="FO62" s="560">
        <f>O62+((Sheet1!CS64)*GPMtoMGD)</f>
        <v>49.690240000000003</v>
      </c>
      <c r="FP62" s="560">
        <f>IF(Sheet1!AA64+AQ62&lt;=Calculation!N62,AQ62,Calculation!N62-Sheet1!AA64)</f>
        <v>2.8681318681318682</v>
      </c>
      <c r="FQ62" s="560">
        <f>(Sheet1!BP64+Sheet1!BO64)/694.4</f>
        <v>1.6216877880184331</v>
      </c>
      <c r="FR62" s="560"/>
      <c r="FS62" s="560"/>
      <c r="FT62" s="560"/>
      <c r="FU62" s="560"/>
      <c r="FV62" s="695">
        <f t="shared" si="80"/>
        <v>41827</v>
      </c>
      <c r="FW62" s="695">
        <f t="shared" si="81"/>
        <v>41934</v>
      </c>
      <c r="FX62" s="560"/>
      <c r="FY62" s="560"/>
      <c r="FZ62" s="560"/>
      <c r="GA62" s="560"/>
      <c r="GB62" s="560" t="str">
        <f t="shared" si="82"/>
        <v>n</v>
      </c>
      <c r="GC62" s="564">
        <f t="shared" si="83"/>
        <v>41691</v>
      </c>
      <c r="GD62" s="695">
        <f t="shared" si="84"/>
        <v>41807</v>
      </c>
      <c r="GE62" s="560">
        <v>6518.9</v>
      </c>
      <c r="GF62" s="695">
        <f t="shared" si="85"/>
        <v>41808</v>
      </c>
      <c r="GG62" s="560">
        <f t="shared" si="163"/>
        <v>3259</v>
      </c>
      <c r="GH62" s="564">
        <f t="shared" si="87"/>
        <v>41934</v>
      </c>
      <c r="GJ62" s="545">
        <f t="shared" si="88"/>
        <v>0</v>
      </c>
      <c r="GK62" s="560" t="str">
        <f t="shared" si="229"/>
        <v/>
      </c>
      <c r="GL62" s="560">
        <f t="shared" si="89"/>
        <v>0</v>
      </c>
      <c r="GM62" s="560" t="str">
        <f t="shared" si="90"/>
        <v/>
      </c>
      <c r="GN62" s="560">
        <f>IF(GK62="P",Lookup!$M$12,IF(GK62="PP",Lookup!$M$13,IF(GK62="PPP",Lookup!$M$14,IF(GK62="T",Lookup!$M$15,IF(GK62="TP",Lookup!$M$16,IF(GK62="TPP",Lookup!$M$17,IF(GK62="TPPP",Lookup!$M$18,0)))))))*GJ62</f>
        <v>0</v>
      </c>
      <c r="GO62" s="560">
        <f t="shared" si="91"/>
        <v>0</v>
      </c>
      <c r="GP62" s="560">
        <f t="shared" si="230"/>
        <v>0</v>
      </c>
      <c r="GQ62" s="560">
        <f t="shared" si="99"/>
        <v>0</v>
      </c>
      <c r="GR62" s="560"/>
      <c r="GS62" s="560">
        <f t="shared" si="92"/>
        <v>0</v>
      </c>
      <c r="GT62" s="560" t="str">
        <f t="shared" si="93"/>
        <v/>
      </c>
      <c r="GU62" s="560">
        <f>IF(GK62="P",Lookup!$N$12,IF(GK62="PP",Lookup!$N$13,IF(GK62="PPP",Lookup!$N$14,IF(GK62="T",Lookup!$N$15,IF(GK62="TP",Lookup!$N$16,IF(GK62="TPP",Lookup!$N$17,IF(GK62="TPPP",Lookup!$N$18,0)))))))*GJ62</f>
        <v>0</v>
      </c>
      <c r="GV62" s="560">
        <f t="shared" si="57"/>
        <v>0</v>
      </c>
      <c r="GW62" s="560">
        <f t="shared" si="231"/>
        <v>0</v>
      </c>
      <c r="GX62" s="560">
        <f t="shared" si="100"/>
        <v>0</v>
      </c>
      <c r="GY62" s="560"/>
      <c r="GZ62" s="560">
        <f t="shared" si="94"/>
        <v>0</v>
      </c>
      <c r="HA62" s="560" t="str">
        <f t="shared" si="95"/>
        <v/>
      </c>
      <c r="HB62" s="560">
        <f>IF(GK62="P",Lookup!$N$12,IF(GK62="PP",Lookup!$N$13,IF(GK62="PPP",Lookup!$N$14,IF(GK62="T",Lookup!$N$15,IF(GK62="TP",Lookup!$N$16,IF(GK62="TPP",Lookup!$N$17,IF(GK62="TPPP",Lookup!$N$18,0)))))))*GJ62</f>
        <v>0</v>
      </c>
      <c r="HC62" s="545">
        <f t="shared" si="232"/>
        <v>0</v>
      </c>
      <c r="HD62" s="560">
        <f t="shared" si="233"/>
        <v>0</v>
      </c>
      <c r="HE62" s="560">
        <f t="shared" si="101"/>
        <v>0</v>
      </c>
      <c r="HF62" s="560"/>
      <c r="HG62" s="560">
        <f t="shared" si="96"/>
        <v>0</v>
      </c>
      <c r="HH62" s="560" t="str">
        <f t="shared" si="97"/>
        <v/>
      </c>
      <c r="HI62" s="560">
        <f>IF(GK62="P",Lookup!$N$12,IF(GK62="PP",Lookup!$N$13,IF(GK62="PPP",Lookup!$N$14,IF(GK62="T",Lookup!$N$15,IF(GK62="TP",Lookup!$N$16,IF(GK62="TPP",Lookup!$N$17,IF(GK62="TPPP",Lookup!$N$18,0)))))))*GJ62</f>
        <v>0</v>
      </c>
      <c r="HJ62" s="545">
        <f t="shared" si="234"/>
        <v>0</v>
      </c>
      <c r="HK62" s="560">
        <f t="shared" si="235"/>
        <v>0</v>
      </c>
      <c r="HL62" s="560">
        <f t="shared" si="102"/>
        <v>0</v>
      </c>
      <c r="HM62" s="560"/>
    </row>
    <row r="63" spans="1:221">
      <c r="A63" s="580" t="s">
        <v>8</v>
      </c>
      <c r="B63" s="556">
        <v>41691</v>
      </c>
      <c r="C63" s="561">
        <v>0</v>
      </c>
      <c r="D63" s="529">
        <f t="shared" si="103"/>
        <v>300</v>
      </c>
      <c r="E63" s="529">
        <f t="shared" si="104"/>
        <v>250</v>
      </c>
      <c r="F63" s="529">
        <v>250</v>
      </c>
      <c r="G63" s="560">
        <f>DR63+Sheet1!CZ65</f>
        <v>1306.1069087246415</v>
      </c>
      <c r="H63" s="914">
        <f t="shared" si="2"/>
        <v>577.30430579960819</v>
      </c>
      <c r="I63" s="559">
        <f>MAX(Sheet1!Z65-AT63+(Sheet1!DA65-E63)*CFStoMGD,0)</f>
        <v>1289.7719999999999</v>
      </c>
      <c r="J63" s="562">
        <f>IF(AND(B63&gt;=Calculation!GC63,B63&lt;=Calculation!GD63),IF(Sheet1!DB65&gt;=Calculation!D63,64.64,0),MAX(Sheet1!Z65-AT63+(Sheet1!DB65-D63)*CFStoMGD,0))</f>
        <v>64.64</v>
      </c>
      <c r="K63" s="904">
        <f t="shared" si="171"/>
        <v>64.64</v>
      </c>
      <c r="L63" s="560">
        <f>Sheet1!AA65+Sheet1!AB65-Sheet1!L65+(Sheet1!DA65-F63)*CFStoMGD</f>
        <v>1279.8719999999998</v>
      </c>
      <c r="M63" s="560">
        <f t="shared" si="172"/>
        <v>861.15285591560041</v>
      </c>
      <c r="N63" s="910">
        <f>IF(Sheet1!DA65&gt;=F63,MIN(73,MIN(MAX(L63,0),MAX(M63,0))),0)</f>
        <v>73</v>
      </c>
      <c r="O63" s="563">
        <f>Sheet1!AA65+Sheet1!AB65</f>
        <v>34.380000000000003</v>
      </c>
      <c r="P63" s="563">
        <f t="shared" si="173"/>
        <v>53.185859999999991</v>
      </c>
      <c r="Q63" s="898">
        <f t="shared" si="63"/>
        <v>28.14</v>
      </c>
      <c r="R63" s="829">
        <f t="shared" si="174"/>
        <v>6.3003481624758217</v>
      </c>
      <c r="S63" s="898">
        <f t="shared" si="65"/>
        <v>6.24</v>
      </c>
      <c r="T63" s="898">
        <f t="shared" si="66"/>
        <v>58.4</v>
      </c>
      <c r="U63" s="898">
        <f t="shared" si="6"/>
        <v>0</v>
      </c>
      <c r="V63" s="898"/>
      <c r="W63" s="898">
        <f t="shared" si="67"/>
        <v>58.33965183752418</v>
      </c>
      <c r="X63" s="898">
        <f t="shared" si="68"/>
        <v>64.64</v>
      </c>
      <c r="Y63" s="898" t="str">
        <f t="shared" si="69"/>
        <v>FALSE</v>
      </c>
      <c r="Z63" s="898">
        <f t="shared" si="70"/>
        <v>34.380000000000003</v>
      </c>
      <c r="AA63" s="898">
        <f t="shared" si="71"/>
        <v>34.380000000000003</v>
      </c>
      <c r="AB63" s="898" t="str">
        <f t="shared" si="72"/>
        <v/>
      </c>
      <c r="AC63" s="563">
        <f>Sheet1!Y65*MGDtoCFS</f>
        <v>37.561160000000001</v>
      </c>
      <c r="AD63" s="563">
        <f>Sheet1!Z65*MGDtoCFS</f>
        <v>15.315300000000001</v>
      </c>
      <c r="AE63" s="563">
        <f>Sheet1!AA65*MGDtoCFS</f>
        <v>37.035179999999997</v>
      </c>
      <c r="AF63" s="563">
        <f>Sheet1!AB65*MGDtoCFS</f>
        <v>16.150679999999998</v>
      </c>
      <c r="AG63" s="563">
        <f>Sheet1!L65*MGDtoCFS</f>
        <v>53.185859999999998</v>
      </c>
      <c r="AH63" s="545">
        <f t="shared" si="175"/>
        <v>0</v>
      </c>
      <c r="AI63" s="560">
        <f t="shared" si="176"/>
        <v>0</v>
      </c>
      <c r="AJ63" s="560">
        <f t="shared" si="177"/>
        <v>58.33965183752418</v>
      </c>
      <c r="AK63" s="560">
        <f t="shared" si="178"/>
        <v>90.251441392649909</v>
      </c>
      <c r="AL63" s="560">
        <f>(VLOOKUP(Sheet1!DC65,hhdcap_wcm,4)-(((VLOOKUP(Sheet1!DC65,hhdcap_wcm,3)-Sheet1!DC65)/(VLOOKUP(Sheet1!DC65,hhdcap_wcm,3)-VLOOKUP(Sheet1!DC65,hhdcap_wcm,1)))*(VLOOKUP(Sheet1!DC65,hhdcap_wcm,4)-VLOOKUP(Sheet1!DC65,hhdcap_wcm,2))))</f>
        <v>1537.0000000041268</v>
      </c>
      <c r="AM63" s="560">
        <f t="shared" si="179"/>
        <v>468.20000000096411</v>
      </c>
      <c r="AN63" s="560">
        <f t="shared" si="180"/>
        <v>58.33965183752418</v>
      </c>
      <c r="AO63" s="560">
        <f t="shared" si="181"/>
        <v>178.9860518375242</v>
      </c>
      <c r="AP63" s="560">
        <f>Sheet1!BA65+Sheet1!BB65+Sheet1!BN65+CD63</f>
        <v>4.0999999999999996</v>
      </c>
      <c r="AQ63" s="560">
        <f>Sheet1!BN65+(DO63*Sheet1!BN65)</f>
        <v>3.1299806576402323</v>
      </c>
      <c r="AR63" s="560">
        <f>Sheet1!BA65+CD63</f>
        <v>0</v>
      </c>
      <c r="AS63" s="560">
        <f>Sheet1!BA65+Sheet1!BB65+CD63</f>
        <v>1</v>
      </c>
      <c r="AT63" s="698">
        <f>0</f>
        <v>0</v>
      </c>
      <c r="AU63" s="560">
        <f>IF(EB63&lt;K63,0,MAX(Sheet1!AA65+AQ63-15/36*K63-N63,Sheet1!EH65,0))</f>
        <v>0</v>
      </c>
      <c r="AV63" s="560">
        <f>IF(OR(B63&gt;=GD63,B63&lt;GC63),0,15/36*K63-MAX(0,64.6-(137.6-(Sheet1!AA65+Sheet1!AB65))))</f>
        <v>26.933333333333334</v>
      </c>
      <c r="AW63" s="698">
        <f>Sheet1!DB65-110</f>
        <v>1010</v>
      </c>
      <c r="AX63" s="698">
        <f>Sheet1!DA65-265</f>
        <v>1965</v>
      </c>
      <c r="AY63" s="698">
        <f t="shared" si="182"/>
        <v>44.86</v>
      </c>
      <c r="AZ63" s="698">
        <v>0</v>
      </c>
      <c r="BA63" s="698">
        <f t="shared" si="183"/>
        <v>0</v>
      </c>
      <c r="BB63" s="560">
        <f t="shared" si="184"/>
        <v>26.933333333333334</v>
      </c>
      <c r="BC63" s="560"/>
      <c r="BD63" s="560">
        <f ca="1">IF(B63&gt;Summary!$A$1,#N/A,BB63*MGtoAF)</f>
        <v>82.631466666666668</v>
      </c>
      <c r="BE63" s="560">
        <f>Sheet1!BG65+Sheet1!BH65+Sheet1!BI65-BM63</f>
        <v>0</v>
      </c>
      <c r="BF63" s="560">
        <f t="shared" si="185"/>
        <v>0</v>
      </c>
      <c r="BG63" s="560">
        <f>IF(Sheet1!EP65="FM",BM63,0)</f>
        <v>0</v>
      </c>
      <c r="BH63" s="560">
        <f t="shared" si="186"/>
        <v>0</v>
      </c>
      <c r="BI63" s="560">
        <f>IF(Sheet1!EP65="OTHER",BM63,0)</f>
        <v>0</v>
      </c>
      <c r="BJ63" s="560">
        <f t="shared" si="187"/>
        <v>0</v>
      </c>
      <c r="BK63" s="560">
        <f t="shared" si="188"/>
        <v>0</v>
      </c>
      <c r="BL63" s="560">
        <f t="shared" si="189"/>
        <v>0</v>
      </c>
      <c r="BM63" s="560">
        <f>IF(OR(Sheet1!EP65="FM", Sheet1!EP65="OTHER"),SUM(Sheet1!BG65:'Sheet1'!BI65),0)</f>
        <v>0</v>
      </c>
      <c r="BN63" s="545">
        <f>IF(AND($B63&gt;=$FV63,$B63&lt;=$FW63),MAX(BF63,Sheet1!EI65,0),MAX(BF63-(7/36)*$K63,0))</f>
        <v>0</v>
      </c>
      <c r="BO63" s="560">
        <f t="shared" si="190"/>
        <v>12.568888888888889</v>
      </c>
      <c r="BP63" s="545">
        <f t="shared" si="191"/>
        <v>0</v>
      </c>
      <c r="BQ63" s="545">
        <f>IF(AND($O63&gt;0,Sheet1!EM65=1),(1-($O63-Sheet1!$L65)/$O63)*BL63,0)</f>
        <v>0</v>
      </c>
      <c r="BR63" s="545">
        <f>IF(AND(Sheet1!$L65=0,Sheet1!$L64=0, Calculation!BK63&lt;Sheet1!$EI65-0.1,Sheet1!$EI65=Sheet1!$EI64,Sheet1!$EI65=Sheet1!$EI66),Sheet1!$EI65,BL63-BQ63)</f>
        <v>0</v>
      </c>
      <c r="BS63" s="560"/>
      <c r="BT63" s="560"/>
      <c r="BU63" s="560">
        <f t="shared" si="192"/>
        <v>12.568888888888889</v>
      </c>
      <c r="BV63" s="560"/>
      <c r="BW63" s="560">
        <f ca="1">IF(B63&gt;Summary!$A$1,#N/A,BU63*MGtoAF)</f>
        <v>38.561351111111115</v>
      </c>
      <c r="BX63" s="560">
        <f>Sheet1!BC65+Sheet1!BD65+Sheet1!BE65+Sheet1!BF65-CG63-CH63</f>
        <v>2.5</v>
      </c>
      <c r="BY63" s="560">
        <f t="shared" si="193"/>
        <v>2.5241779497098644</v>
      </c>
      <c r="BZ63" s="560">
        <f>IF(Sheet1!EQ65="FM",CH63,0)</f>
        <v>0</v>
      </c>
      <c r="CA63" s="560">
        <f t="shared" si="194"/>
        <v>0</v>
      </c>
      <c r="CB63" s="560">
        <f>IF(Sheet1!EQ65="OTHER",CH63,0)</f>
        <v>0</v>
      </c>
      <c r="CC63" s="560">
        <f t="shared" si="195"/>
        <v>0</v>
      </c>
      <c r="CD63" s="560">
        <f t="shared" si="196"/>
        <v>0</v>
      </c>
      <c r="CE63" s="560">
        <f t="shared" si="197"/>
        <v>2.5</v>
      </c>
      <c r="CF63" s="560">
        <f t="shared" si="198"/>
        <v>2.5241779497098644</v>
      </c>
      <c r="CG63" s="560">
        <f>IF(Sheet1!EQ65="CWA",SUM(Sheet1!BC65:'Sheet1'!BF65),0)</f>
        <v>0</v>
      </c>
      <c r="CH63" s="560">
        <f>IF(OR(Sheet1!EQ65="FM", Sheet1!EQ65="OTHER"),SUM(Sheet1!BC65:'Sheet1'!BF65),0)</f>
        <v>0</v>
      </c>
      <c r="CI63" s="545">
        <f>IF(AND($B63&gt;=$FV63,$B63&lt;=$FW63),MAX(CF63,Sheet1!EJ65,0),MAX(CF63-(7/36)*$K63,0))</f>
        <v>0</v>
      </c>
      <c r="CJ63" s="560">
        <f t="shared" si="199"/>
        <v>10.044710939179025</v>
      </c>
      <c r="CK63" s="545">
        <f t="shared" si="200"/>
        <v>2.5241779497098644</v>
      </c>
      <c r="CL63" s="545">
        <f>IF(AND($O63&gt;0,Sheet1!EN65=1),(1-($O63-Sheet1!$L65)/$O63)*CF63,0)</f>
        <v>0</v>
      </c>
      <c r="CM63" s="545">
        <f>IF(AND(Sheet1!$L65=0,Sheet1!$L64=0, Calculation!CE63&lt;Sheet1!EJ65-0.1,Sheet1!EJ65=Sheet1!EJ64,Sheet1!EJ65=Sheet1!EJ66),Sheet1!EJ65,CF63-CL63)</f>
        <v>2.5241779497098644</v>
      </c>
      <c r="CN63" s="545"/>
      <c r="CO63" s="560"/>
      <c r="CP63" s="560">
        <f t="shared" si="201"/>
        <v>10.044710939179025</v>
      </c>
      <c r="CQ63" s="560"/>
      <c r="CR63" s="560">
        <f ca="1">IF(B63&gt;Summary!$A$1,#N/A,CP63*MGtoAF)</f>
        <v>30.817173161401247</v>
      </c>
      <c r="CS63" s="560">
        <f>Sheet1!BK65+Sheet1!BL65+Sheet1!BM65-Sheet1!ER65-DA63</f>
        <v>3.74</v>
      </c>
      <c r="CT63" s="560">
        <f t="shared" si="202"/>
        <v>3.7761702127659573</v>
      </c>
      <c r="CU63" s="560">
        <f>IF(Sheet1!ER65="FM",DA63,0)</f>
        <v>0</v>
      </c>
      <c r="CV63" s="560">
        <f t="shared" si="203"/>
        <v>0</v>
      </c>
      <c r="CW63" s="560">
        <f>IF(Sheet1!ER65="OTHER",DA63,0)</f>
        <v>0</v>
      </c>
      <c r="CX63" s="560">
        <f t="shared" si="204"/>
        <v>0</v>
      </c>
      <c r="CY63" s="560">
        <f t="shared" si="205"/>
        <v>3.74</v>
      </c>
      <c r="CZ63" s="560">
        <f t="shared" si="206"/>
        <v>3.7761702127659573</v>
      </c>
      <c r="DA63" s="560">
        <f>IF(OR(Sheet1!ER65="FM", Sheet1!ER65="OTHER"),SUM(Sheet1!BK65:'Sheet1'!BM65),0)</f>
        <v>0</v>
      </c>
      <c r="DB63" s="545">
        <f>IF(AND($B63&gt;=$FV63,$B63&lt;=$FW63),MAX($CT63,Sheet1!EK65,0),MAX($CT63-(7/36)*$K63,0))</f>
        <v>0</v>
      </c>
      <c r="DC63" s="560">
        <f t="shared" si="207"/>
        <v>8.7927186761229308</v>
      </c>
      <c r="DD63" s="545">
        <f t="shared" si="208"/>
        <v>3.7761702127659573</v>
      </c>
      <c r="DE63" s="545">
        <f>IF(AND($O63&gt;0,Sheet1!EO65=1),(1-($O63-Sheet1!$L65)/$O63)*CZ63,0)</f>
        <v>0</v>
      </c>
      <c r="DF63" s="545">
        <f>IF(AND(Sheet1!$L65=0,Sheet1!$L64=0, Calculation!CY63&lt;Sheet1!$EK65-0.1,Sheet1!$EK65=Sheet1!$EK64,Sheet1!$EK65=Sheet1!$EK66),Sheet1!$EK65,CZ63-DE63)</f>
        <v>3.7761702127659573</v>
      </c>
      <c r="DG63" s="545"/>
      <c r="DH63" s="560">
        <f t="shared" si="209"/>
        <v>6.24</v>
      </c>
      <c r="DI63" s="560">
        <f t="shared" si="210"/>
        <v>8.7927186761229308</v>
      </c>
      <c r="DJ63" s="698">
        <f t="shared" si="211"/>
        <v>6.3003481624758217</v>
      </c>
      <c r="DK63" s="560">
        <f ca="1">IF(B63&gt;Summary!$A$1,#N/A,DI63*MGtoAF)</f>
        <v>26.976060898345153</v>
      </c>
      <c r="DL63" s="698">
        <f t="shared" si="212"/>
        <v>6.24</v>
      </c>
      <c r="DM63" s="560">
        <f t="shared" si="213"/>
        <v>10.34</v>
      </c>
      <c r="DN63" s="560">
        <f>Sheet1!AB65-DM63</f>
        <v>9.9999999999999645E-2</v>
      </c>
      <c r="DO63" s="823">
        <f t="shared" si="214"/>
        <v>9.6711798839458074E-3</v>
      </c>
      <c r="DP63" s="560">
        <f>(VLOOKUP(Sheet1!DC65,hhdcap_wcm,4)-(((VLOOKUP(Sheet1!DC65,hhdcap_wcm,3)-Sheet1!DC65)/(VLOOKUP(Sheet1!DC65,hhdcap_wcm,3)-VLOOKUP(Sheet1!DC65,hhdcap_wcm,1)))*(VLOOKUP(Sheet1!DC65,hhdcap_wcm,4)-VLOOKUP(Sheet1!DC65,hhdcap_wcm,2))))</f>
        <v>1537.0000000041268</v>
      </c>
      <c r="DQ63" s="560">
        <f t="shared" si="215"/>
        <v>468.20000000096411</v>
      </c>
      <c r="DR63" s="560">
        <f t="shared" si="216"/>
        <v>236.10690872464147</v>
      </c>
      <c r="DS63" s="560">
        <f>Sheet1!EA65*AFtoMG</f>
        <v>0</v>
      </c>
      <c r="DT63" s="560">
        <f>Sheet1!EB65*AFtoMG</f>
        <v>0</v>
      </c>
      <c r="DU63" s="560">
        <f>Sheet1!EC65*AFtoMG</f>
        <v>0</v>
      </c>
      <c r="DV63" s="560">
        <f>Sheet1!ED65*AFtoMG</f>
        <v>0</v>
      </c>
      <c r="DW63" s="560">
        <f t="shared" si="217"/>
        <v>0</v>
      </c>
      <c r="DX63" s="560">
        <f t="shared" si="218"/>
        <v>0</v>
      </c>
      <c r="DY63" s="560">
        <f t="shared" si="219"/>
        <v>58.33965183752418</v>
      </c>
      <c r="DZ63" s="560">
        <f t="shared" si="220"/>
        <v>178.9860518375242</v>
      </c>
      <c r="EA63" s="560"/>
      <c r="EB63" s="545">
        <f>IF(OR(B63&lt;FV63,B63&gt;FW63),(MIN(BF63+BY63+CT63+MAX(Sheet1!AA65+AQ63-73,0),K63)),0)</f>
        <v>6.3003481624758217</v>
      </c>
      <c r="EC63" s="560"/>
      <c r="ED63" s="560">
        <f t="shared" si="221"/>
        <v>6.3003481624758217</v>
      </c>
      <c r="EE63" s="560"/>
      <c r="EF63" s="560">
        <f>Sheet1!EH65+Sheet1!EI65+Sheet1!EJ65+Sheet1!EK65</f>
        <v>6.24</v>
      </c>
      <c r="EG63" s="560"/>
      <c r="EH63" s="545">
        <f t="shared" si="222"/>
        <v>0</v>
      </c>
      <c r="EI63" s="560">
        <f>IF(Sheet1!ET65=1,SUM('Calculations II'!AT63:BA63)+'Calculations II'!BC63+Sheet1!BV65+'Calculations II'!BE63+AP63,SUM('Calculations II'!AT63:BA63)+'Calculations II'!BC63+Sheet1!BV65+'Calculations II'!BE63+AP63)</f>
        <v>48.444304000000002</v>
      </c>
      <c r="EJ63" s="560">
        <f>Sheet1!AA65+Sheet1!AB65+'Calculations II'!BC63</f>
        <v>52.835328000000004</v>
      </c>
      <c r="EK63" s="560"/>
      <c r="EL63" s="560"/>
      <c r="EM63" s="560">
        <f t="shared" si="223"/>
        <v>41691</v>
      </c>
      <c r="EN63" s="560">
        <f t="shared" si="224"/>
        <v>58.33965183752418</v>
      </c>
      <c r="EO63" s="560">
        <f t="shared" si="225"/>
        <v>90.251441392649909</v>
      </c>
      <c r="EP63" s="560">
        <v>0</v>
      </c>
      <c r="EQ63" s="560">
        <v>0</v>
      </c>
      <c r="ER63" s="560">
        <v>0</v>
      </c>
      <c r="ES63" s="545">
        <f t="shared" si="77"/>
        <v>-1.937172304685846</v>
      </c>
      <c r="ET63" s="560">
        <f>-(VLOOKUP(Sheet1!BQ65,Lookup!$O$4:$Q$262,2)-VLOOKUP(Sheet1!BQ64,Lookup!$O$4:$Q$262,2))/1000000</f>
        <v>-0.968586152342923</v>
      </c>
      <c r="EU63" s="560">
        <f>-(VLOOKUP(Sheet1!BR65,Lookup!$O$4:$Q$262,3)-VLOOKUP(Sheet1!BR64,Lookup!$O$4:$Q$262,3))/1000000</f>
        <v>-0.968586152342923</v>
      </c>
      <c r="EV63" s="560"/>
      <c r="EW63" s="560"/>
      <c r="EX63" s="560"/>
      <c r="EY63" s="560"/>
      <c r="EZ63" s="560"/>
      <c r="FA63" s="560"/>
      <c r="FB63" s="560"/>
      <c r="FC63" s="560"/>
      <c r="FD63" s="594" t="e">
        <f t="shared" si="226"/>
        <v>#N/A</v>
      </c>
      <c r="FE63" s="594" t="e">
        <f t="shared" si="227"/>
        <v>#N/A</v>
      </c>
      <c r="FF63" s="595" t="e">
        <f t="shared" si="228"/>
        <v>#N/A</v>
      </c>
      <c r="FG63" s="596" t="s">
        <v>692</v>
      </c>
      <c r="FH63" s="596" t="s">
        <v>692</v>
      </c>
      <c r="FI63" s="594" t="e">
        <v>#N/A</v>
      </c>
      <c r="FJ63" s="594" t="e">
        <v>#N/A</v>
      </c>
      <c r="FK63" s="560"/>
      <c r="FL63" s="560"/>
      <c r="FM63" s="560"/>
      <c r="FN63" s="560"/>
      <c r="FO63" s="560">
        <f>O63+((Sheet1!CS65)*GPMtoMGD)</f>
        <v>52.835328000000004</v>
      </c>
      <c r="FP63" s="560">
        <f>IF(Sheet1!AA65+AQ63&lt;=Calculation!N63,AQ63,Calculation!N63-Sheet1!AA65)</f>
        <v>3.1299806576402323</v>
      </c>
      <c r="FQ63" s="560">
        <f>(Sheet1!BP65+Sheet1!BO65)/694.4</f>
        <v>1.6601382488479266</v>
      </c>
      <c r="FR63" s="560"/>
      <c r="FS63" s="560"/>
      <c r="FT63" s="560"/>
      <c r="FU63" s="560"/>
      <c r="FV63" s="695">
        <f t="shared" si="80"/>
        <v>41827</v>
      </c>
      <c r="FW63" s="695">
        <f t="shared" si="81"/>
        <v>41934</v>
      </c>
      <c r="FX63" s="560"/>
      <c r="FY63" s="560"/>
      <c r="FZ63" s="560"/>
      <c r="GA63" s="560"/>
      <c r="GB63" s="560" t="str">
        <f t="shared" si="82"/>
        <v>n</v>
      </c>
      <c r="GC63" s="564">
        <f t="shared" si="83"/>
        <v>41691</v>
      </c>
      <c r="GD63" s="695">
        <f t="shared" si="84"/>
        <v>41807</v>
      </c>
      <c r="GE63" s="560">
        <v>6518.9</v>
      </c>
      <c r="GF63" s="695">
        <f t="shared" si="85"/>
        <v>41808</v>
      </c>
      <c r="GG63" s="560">
        <f t="shared" si="163"/>
        <v>3259</v>
      </c>
      <c r="GH63" s="564">
        <f t="shared" si="87"/>
        <v>41934</v>
      </c>
      <c r="GJ63" s="545">
        <f t="shared" si="88"/>
        <v>0</v>
      </c>
      <c r="GK63" s="560" t="str">
        <f t="shared" si="229"/>
        <v/>
      </c>
      <c r="GL63" s="560">
        <f t="shared" si="89"/>
        <v>0</v>
      </c>
      <c r="GM63" s="560" t="str">
        <f t="shared" si="90"/>
        <v/>
      </c>
      <c r="GN63" s="560">
        <f>IF(GK63="P",Lookup!$M$12,IF(GK63="PP",Lookup!$M$13,IF(GK63="PPP",Lookup!$M$14,IF(GK63="T",Lookup!$M$15,IF(GK63="TP",Lookup!$M$16,IF(GK63="TPP",Lookup!$M$17,IF(GK63="TPPP",Lookup!$M$18,0)))))))*GJ63</f>
        <v>0</v>
      </c>
      <c r="GO63" s="560">
        <f t="shared" si="91"/>
        <v>0</v>
      </c>
      <c r="GP63" s="560">
        <f t="shared" si="230"/>
        <v>82.631466666666668</v>
      </c>
      <c r="GQ63" s="560">
        <f t="shared" si="99"/>
        <v>26.933333333333334</v>
      </c>
      <c r="GR63" s="560"/>
      <c r="GS63" s="560">
        <f t="shared" si="92"/>
        <v>0</v>
      </c>
      <c r="GT63" s="560" t="str">
        <f t="shared" si="93"/>
        <v/>
      </c>
      <c r="GU63" s="560">
        <f>IF(GK63="P",Lookup!$N$12,IF(GK63="PP",Lookup!$N$13,IF(GK63="PPP",Lookup!$N$14,IF(GK63="T",Lookup!$N$15,IF(GK63="TP",Lookup!$N$16,IF(GK63="TPP",Lookup!$N$17,IF(GK63="TPPP",Lookup!$N$18,0)))))))*GJ63</f>
        <v>0</v>
      </c>
      <c r="GV63" s="560">
        <f t="shared" si="57"/>
        <v>0</v>
      </c>
      <c r="GW63" s="560">
        <f t="shared" si="231"/>
        <v>38.561351111111115</v>
      </c>
      <c r="GX63" s="560">
        <f t="shared" si="100"/>
        <v>12.568888888888889</v>
      </c>
      <c r="GY63" s="560"/>
      <c r="GZ63" s="560">
        <f t="shared" si="94"/>
        <v>0</v>
      </c>
      <c r="HA63" s="560" t="str">
        <f t="shared" si="95"/>
        <v/>
      </c>
      <c r="HB63" s="560">
        <f>IF(GK63="P",Lookup!$N$12,IF(GK63="PP",Lookup!$N$13,IF(GK63="PPP",Lookup!$N$14,IF(GK63="T",Lookup!$N$15,IF(GK63="TP",Lookup!$N$16,IF(GK63="TPP",Lookup!$N$17,IF(GK63="TPPP",Lookup!$N$18,0)))))))*GJ63</f>
        <v>0</v>
      </c>
      <c r="HC63" s="545">
        <f t="shared" si="232"/>
        <v>0</v>
      </c>
      <c r="HD63" s="560">
        <f t="shared" si="233"/>
        <v>30.817173161401247</v>
      </c>
      <c r="HE63" s="560">
        <f t="shared" si="101"/>
        <v>10.044710939179025</v>
      </c>
      <c r="HF63" s="560"/>
      <c r="HG63" s="560">
        <f t="shared" si="96"/>
        <v>0</v>
      </c>
      <c r="HH63" s="560" t="str">
        <f t="shared" si="97"/>
        <v/>
      </c>
      <c r="HI63" s="560">
        <f>IF(GK63="P",Lookup!$N$12,IF(GK63="PP",Lookup!$N$13,IF(GK63="PPP",Lookup!$N$14,IF(GK63="T",Lookup!$N$15,IF(GK63="TP",Lookup!$N$16,IF(GK63="TPP",Lookup!$N$17,IF(GK63="TPPP",Lookup!$N$18,0)))))))*GJ63</f>
        <v>0</v>
      </c>
      <c r="HJ63" s="545">
        <f t="shared" si="234"/>
        <v>0</v>
      </c>
      <c r="HK63" s="560">
        <f t="shared" si="235"/>
        <v>26.976060898345153</v>
      </c>
      <c r="HL63" s="560">
        <f t="shared" si="102"/>
        <v>8.7927186761229308</v>
      </c>
      <c r="HM63" s="560"/>
    </row>
    <row r="64" spans="1:221">
      <c r="A64" s="580" t="s">
        <v>9</v>
      </c>
      <c r="B64" s="556">
        <v>41692</v>
      </c>
      <c r="C64" s="561">
        <v>0</v>
      </c>
      <c r="D64" s="529">
        <f t="shared" si="103"/>
        <v>300</v>
      </c>
      <c r="E64" s="529">
        <f t="shared" si="104"/>
        <v>250</v>
      </c>
      <c r="F64" s="529">
        <v>250</v>
      </c>
      <c r="G64" s="560">
        <f>DR64+Sheet1!CZ66</f>
        <v>1277.0045385782162</v>
      </c>
      <c r="H64" s="914">
        <f t="shared" si="2"/>
        <v>558.49253373695888</v>
      </c>
      <c r="I64" s="559">
        <f>MAX(Sheet1!Z66-AT64+(Sheet1!DA66-E64)*CFStoMGD,0)</f>
        <v>1232.136</v>
      </c>
      <c r="J64" s="562">
        <f>IF(AND(B64&gt;=Calculation!GC64,B64&lt;=Calculation!GD64),IF(Sheet1!DB66&gt;=Calculation!D64,64.64,0),MAX(Sheet1!Z66-AT64+(Sheet1!DB66-D64)*CFStoMGD,0))</f>
        <v>64.64</v>
      </c>
      <c r="K64" s="904">
        <f t="shared" si="171"/>
        <v>64.64</v>
      </c>
      <c r="L64" s="560">
        <f>Sheet1!AA66+Sheet1!AB66-Sheet1!L66+(Sheet1!DA66-F64)*CFStoMGD</f>
        <v>1221.6959999999999</v>
      </c>
      <c r="M64" s="560">
        <f t="shared" si="172"/>
        <v>841.9648484116982</v>
      </c>
      <c r="N64" s="910">
        <f>IF(Sheet1!DA66&gt;=F64,MIN(73,MIN(MAX(L64,0),MAX(M64,0))),0)</f>
        <v>73</v>
      </c>
      <c r="O64" s="563">
        <f>Sheet1!AA66+Sheet1!AB66</f>
        <v>33.950000000000003</v>
      </c>
      <c r="P64" s="563">
        <f t="shared" si="173"/>
        <v>52.520649999999996</v>
      </c>
      <c r="Q64" s="898">
        <f t="shared" si="63"/>
        <v>25.89</v>
      </c>
      <c r="R64" s="829">
        <f t="shared" si="174"/>
        <v>7.9982848392036763</v>
      </c>
      <c r="S64" s="898">
        <f t="shared" si="65"/>
        <v>8.06</v>
      </c>
      <c r="T64" s="898">
        <f t="shared" si="66"/>
        <v>56.58</v>
      </c>
      <c r="U64" s="898">
        <f t="shared" si="6"/>
        <v>0</v>
      </c>
      <c r="V64" s="898"/>
      <c r="W64" s="898">
        <f t="shared" si="67"/>
        <v>56.641715160796323</v>
      </c>
      <c r="X64" s="898">
        <f t="shared" si="68"/>
        <v>64.64</v>
      </c>
      <c r="Y64" s="898" t="str">
        <f t="shared" si="69"/>
        <v>FALSE</v>
      </c>
      <c r="Z64" s="898">
        <f t="shared" si="70"/>
        <v>33.950000000000003</v>
      </c>
      <c r="AA64" s="898">
        <f t="shared" si="71"/>
        <v>33.950000000000003</v>
      </c>
      <c r="AB64" s="898" t="str">
        <f t="shared" si="72"/>
        <v/>
      </c>
      <c r="AC64" s="563">
        <f>Sheet1!Y66*MGDtoCFS</f>
        <v>37.035179999999997</v>
      </c>
      <c r="AD64" s="563">
        <f>Sheet1!Z66*MGDtoCFS</f>
        <v>16.150679999999998</v>
      </c>
      <c r="AE64" s="563">
        <f>Sheet1!AA66*MGDtoCFS</f>
        <v>32.471529999999994</v>
      </c>
      <c r="AF64" s="563">
        <f>Sheet1!AB66*MGDtoCFS</f>
        <v>20.049120000000002</v>
      </c>
      <c r="AG64" s="563">
        <f>Sheet1!L66*MGDtoCFS</f>
        <v>52.520650000000003</v>
      </c>
      <c r="AH64" s="545">
        <f t="shared" si="175"/>
        <v>0</v>
      </c>
      <c r="AI64" s="560">
        <f t="shared" si="176"/>
        <v>0</v>
      </c>
      <c r="AJ64" s="560">
        <f t="shared" si="177"/>
        <v>56.641715160796323</v>
      </c>
      <c r="AK64" s="560">
        <f t="shared" si="178"/>
        <v>87.624733353751907</v>
      </c>
      <c r="AL64" s="560">
        <f>(VLOOKUP(Sheet1!DC66,hhdcap_wcm,4)-(((VLOOKUP(Sheet1!DC66,hhdcap_wcm,3)-Sheet1!DC66)/(VLOOKUP(Sheet1!DC66,hhdcap_wcm,3)-VLOOKUP(Sheet1!DC66,hhdcap_wcm,1)))*(VLOOKUP(Sheet1!DC66,hhdcap_wcm,4)-VLOOKUP(Sheet1!DC66,hhdcap_wcm,2))))</f>
        <v>1888.0000000047294</v>
      </c>
      <c r="AM64" s="560">
        <f t="shared" si="179"/>
        <v>351.00000000060254</v>
      </c>
      <c r="AN64" s="560">
        <f t="shared" si="180"/>
        <v>114.98136699832051</v>
      </c>
      <c r="AO64" s="560">
        <f t="shared" si="181"/>
        <v>352.76283395084732</v>
      </c>
      <c r="AP64" s="560">
        <f>Sheet1!BA66+Sheet1!BB66+Sheet1!BN66+CD64</f>
        <v>5</v>
      </c>
      <c r="AQ64" s="560">
        <f>Sheet1!BN66+(DO64*Sheet1!BN66)</f>
        <v>3.96937212863706</v>
      </c>
      <c r="AR64" s="560">
        <f>Sheet1!BA66+CD64</f>
        <v>0</v>
      </c>
      <c r="AS64" s="560">
        <f>Sheet1!BA66+Sheet1!BB66+CD64</f>
        <v>1</v>
      </c>
      <c r="AT64" s="698">
        <f>0</f>
        <v>0</v>
      </c>
      <c r="AU64" s="560">
        <f>IF(EB64&lt;K64,0,MAX(Sheet1!AA66+AQ64-15/36*K64-N64,Sheet1!EH66,0))</f>
        <v>0</v>
      </c>
      <c r="AV64" s="560">
        <f>IF(OR(B64&gt;=GD64,B64&lt;GC64),0,15/36*K64-MAX(0,64.6-(137.6-(Sheet1!AA66+Sheet1!AB66))))</f>
        <v>26.933333333333334</v>
      </c>
      <c r="AW64" s="698">
        <f>Sheet1!DB66-110</f>
        <v>1020</v>
      </c>
      <c r="AX64" s="698">
        <f>Sheet1!DA66-265</f>
        <v>1875</v>
      </c>
      <c r="AY64" s="698">
        <f t="shared" si="182"/>
        <v>47.11</v>
      </c>
      <c r="AZ64" s="698">
        <v>0</v>
      </c>
      <c r="BA64" s="698">
        <f t="shared" si="183"/>
        <v>0</v>
      </c>
      <c r="BB64" s="560">
        <f t="shared" si="184"/>
        <v>53.866666666666667</v>
      </c>
      <c r="BC64" s="560"/>
      <c r="BD64" s="560">
        <f ca="1">IF(B64&gt;Summary!$A$1,#N/A,BB64*MGtoAF)</f>
        <v>165.26293333333334</v>
      </c>
      <c r="BE64" s="560">
        <f>Sheet1!BG66+Sheet1!BH66+Sheet1!BI66-BM64</f>
        <v>0</v>
      </c>
      <c r="BF64" s="560">
        <f t="shared" si="185"/>
        <v>0</v>
      </c>
      <c r="BG64" s="560">
        <f>IF(Sheet1!EP66="FM",BM64,0)</f>
        <v>0</v>
      </c>
      <c r="BH64" s="560">
        <f t="shared" si="186"/>
        <v>0</v>
      </c>
      <c r="BI64" s="560">
        <f>IF(Sheet1!EP66="OTHER",BM64,0)</f>
        <v>0</v>
      </c>
      <c r="BJ64" s="560">
        <f t="shared" si="187"/>
        <v>0</v>
      </c>
      <c r="BK64" s="560">
        <f t="shared" si="188"/>
        <v>0</v>
      </c>
      <c r="BL64" s="560">
        <f t="shared" si="189"/>
        <v>0</v>
      </c>
      <c r="BM64" s="560">
        <f>IF(OR(Sheet1!EP66="FM", Sheet1!EP66="OTHER"),SUM(Sheet1!BG66:'Sheet1'!BI66),0)</f>
        <v>0</v>
      </c>
      <c r="BN64" s="545">
        <f>IF(AND($B64&gt;=$FV64,$B64&lt;=$FW64),MAX(BF64,Sheet1!EI66,0),MAX(BF64-(7/36)*$K64,0))</f>
        <v>0</v>
      </c>
      <c r="BO64" s="560">
        <f t="shared" si="190"/>
        <v>12.568888888888889</v>
      </c>
      <c r="BP64" s="545">
        <f t="shared" si="191"/>
        <v>0</v>
      </c>
      <c r="BQ64" s="545">
        <f>IF(AND($O64&gt;0,Sheet1!EM66=1),(1-($O64-Sheet1!$L66)/$O64)*BL64,0)</f>
        <v>0</v>
      </c>
      <c r="BR64" s="545">
        <f>IF(AND(Sheet1!$L66=0,Sheet1!$L65=0, Calculation!BK64&lt;Sheet1!$EI66-0.1,Sheet1!$EI66=Sheet1!$EI65,Sheet1!$EI66=Sheet1!$EI67),Sheet1!$EI66,BL64-BQ64)</f>
        <v>0</v>
      </c>
      <c r="BS64" s="560"/>
      <c r="BT64" s="560"/>
      <c r="BU64" s="560">
        <f t="shared" si="192"/>
        <v>25.137777777777778</v>
      </c>
      <c r="BV64" s="560"/>
      <c r="BW64" s="560">
        <f ca="1">IF(B64&gt;Summary!$A$1,#N/A,BU64*MGtoAF)</f>
        <v>77.12270222222223</v>
      </c>
      <c r="BX64" s="560">
        <f>Sheet1!BC66+Sheet1!BD66+Sheet1!BE66+Sheet1!BF66-CG64-CH64</f>
        <v>2.5099999999999998</v>
      </c>
      <c r="BY64" s="560">
        <f t="shared" si="193"/>
        <v>2.490781010719755</v>
      </c>
      <c r="BZ64" s="560">
        <f>IF(Sheet1!EQ66="FM",CH64,0)</f>
        <v>0</v>
      </c>
      <c r="CA64" s="560">
        <f t="shared" si="194"/>
        <v>0</v>
      </c>
      <c r="CB64" s="560">
        <f>IF(Sheet1!EQ66="OTHER",CH64,0)</f>
        <v>0</v>
      </c>
      <c r="CC64" s="560">
        <f t="shared" si="195"/>
        <v>0</v>
      </c>
      <c r="CD64" s="560">
        <f t="shared" si="196"/>
        <v>0</v>
      </c>
      <c r="CE64" s="560">
        <f t="shared" si="197"/>
        <v>2.5099999999999998</v>
      </c>
      <c r="CF64" s="560">
        <f t="shared" si="198"/>
        <v>2.490781010719755</v>
      </c>
      <c r="CG64" s="560">
        <f>IF(Sheet1!EQ66="CWA",SUM(Sheet1!BC66:'Sheet1'!BF66),0)</f>
        <v>0</v>
      </c>
      <c r="CH64" s="560">
        <f>IF(OR(Sheet1!EQ66="FM", Sheet1!EQ66="OTHER"),SUM(Sheet1!BC66:'Sheet1'!BF66),0)</f>
        <v>0</v>
      </c>
      <c r="CI64" s="545">
        <f>IF(AND($B64&gt;=$FV64,$B64&lt;=$FW64),MAX(CF64,Sheet1!EJ66,0),MAX(CF64-(7/36)*$K64,0))</f>
        <v>0</v>
      </c>
      <c r="CJ64" s="560">
        <f t="shared" si="199"/>
        <v>10.078107878169135</v>
      </c>
      <c r="CK64" s="545">
        <f t="shared" si="200"/>
        <v>2.490781010719755</v>
      </c>
      <c r="CL64" s="545">
        <f>IF(AND($O64&gt;0,Sheet1!EN66=1),(1-($O64-Sheet1!$L66)/$O64)*CF64,0)</f>
        <v>0</v>
      </c>
      <c r="CM64" s="545">
        <f>IF(AND(Sheet1!$L66=0,Sheet1!$L65=0, Calculation!CE64&lt;Sheet1!EJ66-0.1,Sheet1!EJ66=Sheet1!EJ65,Sheet1!EJ66=Sheet1!EJ67),Sheet1!EJ66,CF64-CL64)</f>
        <v>2.490781010719755</v>
      </c>
      <c r="CN64" s="545"/>
      <c r="CO64" s="560"/>
      <c r="CP64" s="560">
        <f t="shared" si="201"/>
        <v>20.122818817348161</v>
      </c>
      <c r="CQ64" s="560"/>
      <c r="CR64" s="560">
        <f ca="1">IF(B64&gt;Summary!$A$1,#N/A,CP64*MGtoAF)</f>
        <v>61.736808131624159</v>
      </c>
      <c r="CS64" s="560">
        <f>Sheet1!BK66+Sheet1!BL66+Sheet1!BM66-Sheet1!ER66-DA64</f>
        <v>5.5500000000000007</v>
      </c>
      <c r="CT64" s="560">
        <f t="shared" si="202"/>
        <v>5.5075038284839213</v>
      </c>
      <c r="CU64" s="560">
        <f>IF(Sheet1!ER66="FM",DA64,0)</f>
        <v>0</v>
      </c>
      <c r="CV64" s="560">
        <f t="shared" si="203"/>
        <v>0</v>
      </c>
      <c r="CW64" s="560">
        <f>IF(Sheet1!ER66="OTHER",DA64,0)</f>
        <v>0</v>
      </c>
      <c r="CX64" s="560">
        <f t="shared" si="204"/>
        <v>0</v>
      </c>
      <c r="CY64" s="560">
        <f t="shared" si="205"/>
        <v>5.5500000000000007</v>
      </c>
      <c r="CZ64" s="560">
        <f t="shared" si="206"/>
        <v>5.5075038284839213</v>
      </c>
      <c r="DA64" s="560">
        <f>IF(OR(Sheet1!ER66="FM", Sheet1!ER66="OTHER"),SUM(Sheet1!BK66:'Sheet1'!BM66),0)</f>
        <v>0</v>
      </c>
      <c r="DB64" s="545">
        <f>IF(AND($B64&gt;=$FV64,$B64&lt;=$FW64),MAX($CT64,Sheet1!EK66,0),MAX($CT64-(7/36)*$K64,0))</f>
        <v>0</v>
      </c>
      <c r="DC64" s="560">
        <f t="shared" si="207"/>
        <v>7.0613850604049677</v>
      </c>
      <c r="DD64" s="545">
        <f t="shared" si="208"/>
        <v>5.5075038284839213</v>
      </c>
      <c r="DE64" s="545">
        <f>IF(AND($O64&gt;0,Sheet1!EO66=1),(1-($O64-Sheet1!$L66)/$O64)*CZ64,0)</f>
        <v>0</v>
      </c>
      <c r="DF64" s="545">
        <f>IF(AND(Sheet1!$L66=0,Sheet1!$L65=0, Calculation!CY64&lt;Sheet1!$EK66-0.1,Sheet1!$EK66=Sheet1!$EK65,Sheet1!$EK66=Sheet1!$EK67),Sheet1!$EK66,CZ64-DE64)</f>
        <v>5.5075038284839213</v>
      </c>
      <c r="DG64" s="545"/>
      <c r="DH64" s="560">
        <f t="shared" si="209"/>
        <v>8.06</v>
      </c>
      <c r="DI64" s="560">
        <f t="shared" si="210"/>
        <v>15.854103736527899</v>
      </c>
      <c r="DJ64" s="698">
        <f t="shared" si="211"/>
        <v>7.9982848392036763</v>
      </c>
      <c r="DK64" s="560">
        <f ca="1">IF(B64&gt;Summary!$A$1,#N/A,DI64*MGtoAF)</f>
        <v>48.640390263667591</v>
      </c>
      <c r="DL64" s="698">
        <f t="shared" si="212"/>
        <v>8.06</v>
      </c>
      <c r="DM64" s="560">
        <f t="shared" si="213"/>
        <v>13.06</v>
      </c>
      <c r="DN64" s="560">
        <f>Sheet1!AB66-DM64</f>
        <v>-9.9999999999999645E-2</v>
      </c>
      <c r="DO64" s="823">
        <f t="shared" si="214"/>
        <v>-7.6569678407350412E-3</v>
      </c>
      <c r="DP64" s="560">
        <f>(VLOOKUP(Sheet1!DC66,hhdcap_wcm,4)-(((VLOOKUP(Sheet1!DC66,hhdcap_wcm,3)-Sheet1!DC66)/(VLOOKUP(Sheet1!DC66,hhdcap_wcm,3)-VLOOKUP(Sheet1!DC66,hhdcap_wcm,1)))*(VLOOKUP(Sheet1!DC66,hhdcap_wcm,4)-VLOOKUP(Sheet1!DC66,hhdcap_wcm,2))))</f>
        <v>1888.0000000047294</v>
      </c>
      <c r="DQ64" s="560">
        <f t="shared" si="215"/>
        <v>351.00000000060254</v>
      </c>
      <c r="DR64" s="560">
        <f t="shared" si="216"/>
        <v>177.00453857821608</v>
      </c>
      <c r="DS64" s="560">
        <f>Sheet1!EA66*AFtoMG</f>
        <v>0</v>
      </c>
      <c r="DT64" s="560">
        <f>Sheet1!EB66*AFtoMG</f>
        <v>0</v>
      </c>
      <c r="DU64" s="560">
        <f>Sheet1!EC66*AFtoMG</f>
        <v>0</v>
      </c>
      <c r="DV64" s="560">
        <f>Sheet1!ED66*AFtoMG</f>
        <v>0</v>
      </c>
      <c r="DW64" s="560">
        <f t="shared" si="217"/>
        <v>0</v>
      </c>
      <c r="DX64" s="560">
        <f t="shared" si="218"/>
        <v>0</v>
      </c>
      <c r="DY64" s="560">
        <f t="shared" si="219"/>
        <v>114.98136699832051</v>
      </c>
      <c r="DZ64" s="560">
        <f t="shared" si="220"/>
        <v>352.76283395084732</v>
      </c>
      <c r="EA64" s="560"/>
      <c r="EB64" s="545">
        <f>IF(OR(B64&lt;FV64,B64&gt;FW64),(MIN(BF64+BY64+CT64+MAX(Sheet1!AA66+AQ64-73,0),K64)),0)</f>
        <v>7.9982848392036763</v>
      </c>
      <c r="EC64" s="560"/>
      <c r="ED64" s="560">
        <f t="shared" si="221"/>
        <v>7.9982848392036763</v>
      </c>
      <c r="EE64" s="560"/>
      <c r="EF64" s="560">
        <f>Sheet1!EH66+Sheet1!EI66+Sheet1!EJ66+Sheet1!EK66</f>
        <v>8.0500000000000007</v>
      </c>
      <c r="EG64" s="560"/>
      <c r="EH64" s="545">
        <f t="shared" si="222"/>
        <v>0</v>
      </c>
      <c r="EI64" s="560">
        <f>IF(Sheet1!ET66=1,SUM('Calculations II'!AT64:BA64)+'Calculations II'!BC64+Sheet1!BV66+'Calculations II'!BE64+AP64,SUM('Calculations II'!AT64:BA64)+'Calculations II'!BC64+Sheet1!BV66+'Calculations II'!BE64+AP64)</f>
        <v>47.371184</v>
      </c>
      <c r="EJ64" s="560">
        <f>Sheet1!AA66+Sheet1!AB66+'Calculations II'!BC64</f>
        <v>52.338224000000004</v>
      </c>
      <c r="EK64" s="560"/>
      <c r="EL64" s="560"/>
      <c r="EM64" s="560">
        <f t="shared" si="223"/>
        <v>41692</v>
      </c>
      <c r="EN64" s="560">
        <f t="shared" si="224"/>
        <v>56.641715160796323</v>
      </c>
      <c r="EO64" s="560">
        <f t="shared" si="225"/>
        <v>87.624733353751907</v>
      </c>
      <c r="EP64" s="560">
        <v>0</v>
      </c>
      <c r="EQ64" s="560">
        <v>0</v>
      </c>
      <c r="ER64" s="560">
        <v>0</v>
      </c>
      <c r="ES64" s="545">
        <f t="shared" si="77"/>
        <v>0.27677733502785118</v>
      </c>
      <c r="ET64" s="560">
        <f>-(VLOOKUP(Sheet1!BQ66,Lookup!$O$4:$Q$262,2)-VLOOKUP(Sheet1!BQ65,Lookup!$O$4:$Q$262,2))/1000000</f>
        <v>0.13838866751392559</v>
      </c>
      <c r="EU64" s="560">
        <f>-(VLOOKUP(Sheet1!BR66,Lookup!$O$4:$Q$262,3)-VLOOKUP(Sheet1!BR65,Lookup!$O$4:$Q$262,3))/1000000</f>
        <v>0.13838866751392559</v>
      </c>
      <c r="EV64" s="560"/>
      <c r="EW64" s="560"/>
      <c r="EX64" s="560"/>
      <c r="EY64" s="560"/>
      <c r="EZ64" s="560"/>
      <c r="FA64" s="560"/>
      <c r="FB64" s="560"/>
      <c r="FC64" s="560"/>
      <c r="FD64" s="594" t="e">
        <f t="shared" si="226"/>
        <v>#N/A</v>
      </c>
      <c r="FE64" s="594" t="e">
        <f t="shared" si="227"/>
        <v>#N/A</v>
      </c>
      <c r="FF64" s="595" t="e">
        <f t="shared" si="228"/>
        <v>#N/A</v>
      </c>
      <c r="FG64" s="596" t="s">
        <v>692</v>
      </c>
      <c r="FH64" s="596" t="s">
        <v>692</v>
      </c>
      <c r="FI64" s="594" t="e">
        <v>#N/A</v>
      </c>
      <c r="FJ64" s="594" t="e">
        <v>#N/A</v>
      </c>
      <c r="FK64" s="560"/>
      <c r="FL64" s="560"/>
      <c r="FM64" s="560"/>
      <c r="FN64" s="560"/>
      <c r="FO64" s="560">
        <f>O64+((Sheet1!CS66)*GPMtoMGD)</f>
        <v>52.338224000000004</v>
      </c>
      <c r="FP64" s="560">
        <f>IF(Sheet1!AA66+AQ64&lt;=Calculation!N64,AQ64,Calculation!N64-Sheet1!AA66)</f>
        <v>3.96937212863706</v>
      </c>
      <c r="FQ64" s="560">
        <f>(Sheet1!BP66+Sheet1!BO66)/694.4</f>
        <v>1.6948444700460832</v>
      </c>
      <c r="FR64" s="560"/>
      <c r="FS64" s="560"/>
      <c r="FT64" s="560"/>
      <c r="FU64" s="560"/>
      <c r="FV64" s="695">
        <f t="shared" si="80"/>
        <v>41827</v>
      </c>
      <c r="FW64" s="695">
        <f t="shared" si="81"/>
        <v>41934</v>
      </c>
      <c r="FX64" s="560"/>
      <c r="FY64" s="560"/>
      <c r="FZ64" s="560"/>
      <c r="GA64" s="560"/>
      <c r="GB64" s="560" t="str">
        <f t="shared" si="82"/>
        <v>n</v>
      </c>
      <c r="GC64" s="564">
        <f t="shared" si="83"/>
        <v>41691</v>
      </c>
      <c r="GD64" s="695">
        <f t="shared" si="84"/>
        <v>41807</v>
      </c>
      <c r="GE64" s="560">
        <v>6518.9</v>
      </c>
      <c r="GF64" s="695">
        <f t="shared" si="85"/>
        <v>41808</v>
      </c>
      <c r="GG64" s="560">
        <f t="shared" si="163"/>
        <v>3259</v>
      </c>
      <c r="GH64" s="564">
        <f t="shared" si="87"/>
        <v>41934</v>
      </c>
      <c r="GJ64" s="545">
        <f t="shared" si="88"/>
        <v>0</v>
      </c>
      <c r="GK64" s="560" t="str">
        <f t="shared" si="229"/>
        <v/>
      </c>
      <c r="GL64" s="560">
        <f t="shared" si="89"/>
        <v>0</v>
      </c>
      <c r="GM64" s="560" t="str">
        <f t="shared" si="90"/>
        <v/>
      </c>
      <c r="GN64" s="560">
        <f>IF(GK64="P",Lookup!$M$12,IF(GK64="PP",Lookup!$M$13,IF(GK64="PPP",Lookup!$M$14,IF(GK64="T",Lookup!$M$15,IF(GK64="TP",Lookup!$M$16,IF(GK64="TPP",Lookup!$M$17,IF(GK64="TPPP",Lookup!$M$18,0)))))))*GJ64</f>
        <v>0</v>
      </c>
      <c r="GO64" s="560">
        <f t="shared" si="91"/>
        <v>0</v>
      </c>
      <c r="GP64" s="560">
        <f t="shared" si="230"/>
        <v>165.26293333333334</v>
      </c>
      <c r="GQ64" s="560">
        <f t="shared" si="99"/>
        <v>53.866666666666667</v>
      </c>
      <c r="GR64" s="560"/>
      <c r="GS64" s="560">
        <f t="shared" si="92"/>
        <v>0</v>
      </c>
      <c r="GT64" s="560" t="str">
        <f t="shared" si="93"/>
        <v/>
      </c>
      <c r="GU64" s="560">
        <f>IF(GK64="P",Lookup!$N$12,IF(GK64="PP",Lookup!$N$13,IF(GK64="PPP",Lookup!$N$14,IF(GK64="T",Lookup!$N$15,IF(GK64="TP",Lookup!$N$16,IF(GK64="TPP",Lookup!$N$17,IF(GK64="TPPP",Lookup!$N$18,0)))))))*GJ64</f>
        <v>0</v>
      </c>
      <c r="GV64" s="560">
        <f t="shared" si="57"/>
        <v>0</v>
      </c>
      <c r="GW64" s="560">
        <f t="shared" si="231"/>
        <v>77.12270222222223</v>
      </c>
      <c r="GX64" s="560">
        <f t="shared" si="100"/>
        <v>25.137777777777778</v>
      </c>
      <c r="GY64" s="560"/>
      <c r="GZ64" s="560">
        <f t="shared" si="94"/>
        <v>0</v>
      </c>
      <c r="HA64" s="560" t="str">
        <f t="shared" si="95"/>
        <v/>
      </c>
      <c r="HB64" s="560">
        <f>IF(GK64="P",Lookup!$N$12,IF(GK64="PP",Lookup!$N$13,IF(GK64="PPP",Lookup!$N$14,IF(GK64="T",Lookup!$N$15,IF(GK64="TP",Lookup!$N$16,IF(GK64="TPP",Lookup!$N$17,IF(GK64="TPPP",Lookup!$N$18,0)))))))*GJ64</f>
        <v>0</v>
      </c>
      <c r="HC64" s="545">
        <f t="shared" si="232"/>
        <v>0</v>
      </c>
      <c r="HD64" s="560">
        <f t="shared" si="233"/>
        <v>61.736808131624159</v>
      </c>
      <c r="HE64" s="560">
        <f t="shared" si="101"/>
        <v>20.122818817348161</v>
      </c>
      <c r="HF64" s="560"/>
      <c r="HG64" s="560">
        <f t="shared" si="96"/>
        <v>0</v>
      </c>
      <c r="HH64" s="560" t="str">
        <f t="shared" si="97"/>
        <v/>
      </c>
      <c r="HI64" s="560">
        <f>IF(GK64="P",Lookup!$N$12,IF(GK64="PP",Lookup!$N$13,IF(GK64="PPP",Lookup!$N$14,IF(GK64="T",Lookup!$N$15,IF(GK64="TP",Lookup!$N$16,IF(GK64="TPP",Lookup!$N$17,IF(GK64="TPPP",Lookup!$N$18,0)))))))*GJ64</f>
        <v>0</v>
      </c>
      <c r="HJ64" s="545">
        <f t="shared" si="234"/>
        <v>0</v>
      </c>
      <c r="HK64" s="560">
        <f t="shared" si="235"/>
        <v>48.640390263667591</v>
      </c>
      <c r="HL64" s="560">
        <f t="shared" si="102"/>
        <v>15.854103736527899</v>
      </c>
      <c r="HM64" s="560"/>
    </row>
    <row r="65" spans="1:272">
      <c r="A65" s="580" t="s">
        <v>3</v>
      </c>
      <c r="B65" s="556">
        <v>41693</v>
      </c>
      <c r="C65" s="561">
        <v>0</v>
      </c>
      <c r="D65" s="529">
        <f t="shared" si="103"/>
        <v>300</v>
      </c>
      <c r="E65" s="529">
        <f t="shared" si="104"/>
        <v>250</v>
      </c>
      <c r="F65" s="529">
        <v>250</v>
      </c>
      <c r="G65" s="560">
        <f>DR65+Sheet1!CZ67</f>
        <v>1062.26727181048</v>
      </c>
      <c r="H65" s="914">
        <f t="shared" si="2"/>
        <v>419.68636449829427</v>
      </c>
      <c r="I65" s="559">
        <f>MAX(Sheet1!Z67-AT65+(Sheet1!DA67-E65)*CFStoMGD,0)</f>
        <v>1170.0160000000001</v>
      </c>
      <c r="J65" s="562">
        <f>IF(AND(B65&gt;=Calculation!GC65,B65&lt;=Calculation!GD65),IF(Sheet1!DB67&gt;=Calculation!D65,64.64,0),MAX(Sheet1!Z67-AT65+(Sheet1!DB67-D65)*CFStoMGD,0))</f>
        <v>64.64</v>
      </c>
      <c r="K65" s="904">
        <f t="shared" si="171"/>
        <v>64.64</v>
      </c>
      <c r="L65" s="560">
        <f>Sheet1!AA67+Sheet1!AB67-Sheet1!L67+(Sheet1!DA67-F65)*CFStoMGD</f>
        <v>1157.056</v>
      </c>
      <c r="M65" s="560">
        <f t="shared" si="172"/>
        <v>700.38255578826022</v>
      </c>
      <c r="N65" s="910">
        <f>IF(Sheet1!DA67&gt;=F65,MIN(73,MIN(MAX(L65,0),MAX(M65,0))),0)</f>
        <v>73</v>
      </c>
      <c r="O65" s="563">
        <f>Sheet1!AA67+Sheet1!AB67</f>
        <v>34.1</v>
      </c>
      <c r="P65" s="563">
        <f t="shared" si="173"/>
        <v>52.752700000000004</v>
      </c>
      <c r="Q65" s="898">
        <f t="shared" si="63"/>
        <v>26.04</v>
      </c>
      <c r="R65" s="829">
        <f t="shared" si="174"/>
        <v>7.9620060790273559</v>
      </c>
      <c r="S65" s="898">
        <f t="shared" si="65"/>
        <v>8.06</v>
      </c>
      <c r="T65" s="898">
        <f t="shared" si="66"/>
        <v>56.58</v>
      </c>
      <c r="U65" s="898">
        <f t="shared" si="6"/>
        <v>0</v>
      </c>
      <c r="V65" s="898"/>
      <c r="W65" s="898">
        <f t="shared" si="67"/>
        <v>56.677993920972646</v>
      </c>
      <c r="X65" s="898">
        <f t="shared" si="68"/>
        <v>64.64</v>
      </c>
      <c r="Y65" s="898" t="str">
        <f t="shared" si="69"/>
        <v>FALSE</v>
      </c>
      <c r="Z65" s="898">
        <f t="shared" si="70"/>
        <v>34.1</v>
      </c>
      <c r="AA65" s="898">
        <f t="shared" si="71"/>
        <v>34.1</v>
      </c>
      <c r="AB65" s="898" t="str">
        <f t="shared" si="72"/>
        <v/>
      </c>
      <c r="AC65" s="563">
        <f>Sheet1!Y67*MGDtoCFS</f>
        <v>32.471529999999994</v>
      </c>
      <c r="AD65" s="563">
        <f>Sheet1!Z67*MGDtoCFS</f>
        <v>20.049120000000002</v>
      </c>
      <c r="AE65" s="563">
        <f>Sheet1!AA67*MGDtoCFS</f>
        <v>32.6417</v>
      </c>
      <c r="AF65" s="563">
        <f>Sheet1!AB67*MGDtoCFS</f>
        <v>20.111000000000001</v>
      </c>
      <c r="AG65" s="563">
        <f>Sheet1!L67*MGDtoCFS</f>
        <v>52.752699999999997</v>
      </c>
      <c r="AH65" s="545">
        <f t="shared" si="175"/>
        <v>0</v>
      </c>
      <c r="AI65" s="560">
        <f t="shared" si="176"/>
        <v>0</v>
      </c>
      <c r="AJ65" s="560">
        <f t="shared" si="177"/>
        <v>56.677993920972646</v>
      </c>
      <c r="AK65" s="560">
        <f t="shared" si="178"/>
        <v>87.680856595744686</v>
      </c>
      <c r="AL65" s="560">
        <f>(VLOOKUP(Sheet1!DC67,hhdcap_wcm,4)-(((VLOOKUP(Sheet1!DC67,hhdcap_wcm,3)-Sheet1!DC67)/(VLOOKUP(Sheet1!DC67,hhdcap_wcm,3)-VLOOKUP(Sheet1!DC67,hhdcap_wcm,1)))*(VLOOKUP(Sheet1!DC67,hhdcap_wcm,4)-VLOOKUP(Sheet1!DC67,hhdcap_wcm,2))))</f>
        <v>2067.0000000049113</v>
      </c>
      <c r="AM65" s="560">
        <f t="shared" si="179"/>
        <v>179.0000000001819</v>
      </c>
      <c r="AN65" s="560">
        <f t="shared" si="180"/>
        <v>171.65936091929314</v>
      </c>
      <c r="AO65" s="560">
        <f t="shared" si="181"/>
        <v>526.65091930039137</v>
      </c>
      <c r="AP65" s="560">
        <f>Sheet1!BA67+Sheet1!BB67+Sheet1!BN67+CD65</f>
        <v>5.0999999999999996</v>
      </c>
      <c r="AQ65" s="560">
        <f>Sheet1!BN67+(DO65*Sheet1!BN67)</f>
        <v>4.0501519756838906</v>
      </c>
      <c r="AR65" s="560">
        <f>Sheet1!BA67+CD65</f>
        <v>0</v>
      </c>
      <c r="AS65" s="560">
        <f>Sheet1!BA67+Sheet1!BB67+CD65</f>
        <v>1</v>
      </c>
      <c r="AT65" s="698">
        <f>0</f>
        <v>0</v>
      </c>
      <c r="AU65" s="560">
        <f>IF(EB65&lt;K65,0,MAX(Sheet1!AA67+AQ65-15/36*K65-N65,Sheet1!EH67,0))</f>
        <v>0</v>
      </c>
      <c r="AV65" s="560">
        <f>IF(OR(B65&gt;=GD65,B65&lt;GC65),0,15/36*K65-MAX(0,64.6-(137.6-(Sheet1!AA67+Sheet1!AB67))))</f>
        <v>26.933333333333334</v>
      </c>
      <c r="AW65" s="698">
        <f>Sheet1!DB67-110</f>
        <v>900</v>
      </c>
      <c r="AX65" s="698">
        <f>Sheet1!DA67-265</f>
        <v>1775</v>
      </c>
      <c r="AY65" s="698">
        <f t="shared" si="182"/>
        <v>46.96</v>
      </c>
      <c r="AZ65" s="698">
        <v>0</v>
      </c>
      <c r="BA65" s="698">
        <f t="shared" si="183"/>
        <v>0</v>
      </c>
      <c r="BB65" s="560">
        <f t="shared" si="184"/>
        <v>80.8</v>
      </c>
      <c r="BC65" s="560"/>
      <c r="BD65" s="560">
        <f ca="1">IF(B65&gt;Summary!$A$1,#N/A,BB65*MGtoAF)</f>
        <v>247.89439999999999</v>
      </c>
      <c r="BE65" s="560">
        <f>Sheet1!BG67+Sheet1!BH67+Sheet1!BI67-BM65</f>
        <v>0</v>
      </c>
      <c r="BF65" s="560">
        <f t="shared" si="185"/>
        <v>0</v>
      </c>
      <c r="BG65" s="560">
        <f>IF(Sheet1!EP67="FM",BM65,0)</f>
        <v>0</v>
      </c>
      <c r="BH65" s="560">
        <f t="shared" si="186"/>
        <v>0</v>
      </c>
      <c r="BI65" s="560">
        <f>IF(Sheet1!EP67="OTHER",BM65,0)</f>
        <v>0</v>
      </c>
      <c r="BJ65" s="560">
        <f t="shared" si="187"/>
        <v>0</v>
      </c>
      <c r="BK65" s="560">
        <f t="shared" si="188"/>
        <v>0</v>
      </c>
      <c r="BL65" s="560">
        <f t="shared" si="189"/>
        <v>0</v>
      </c>
      <c r="BM65" s="560">
        <f>IF(OR(Sheet1!EP67="FM", Sheet1!EP67="OTHER"),SUM(Sheet1!BG67:'Sheet1'!BI67),0)</f>
        <v>0</v>
      </c>
      <c r="BN65" s="545">
        <f>IF(AND($B65&gt;=$FV65,$B65&lt;=$FW65),MAX(BF65,Sheet1!EI67,0),MAX(BF65-(7/36)*$K65,0))</f>
        <v>0</v>
      </c>
      <c r="BO65" s="560">
        <f t="shared" si="190"/>
        <v>12.568888888888889</v>
      </c>
      <c r="BP65" s="545">
        <f t="shared" si="191"/>
        <v>0</v>
      </c>
      <c r="BQ65" s="545">
        <f>IF(AND($O65&gt;0,Sheet1!EM67=1),(1-($O65-Sheet1!$L67)/$O65)*BL65,0)</f>
        <v>0</v>
      </c>
      <c r="BR65" s="545">
        <f>IF(AND(Sheet1!$L67=0,Sheet1!$L66=0, Calculation!BK65&lt;Sheet1!$EI67-0.1,Sheet1!$EI67=Sheet1!$EI66,Sheet1!$EI67=Sheet1!$EI68),Sheet1!$EI67,BL65-BQ65)</f>
        <v>0</v>
      </c>
      <c r="BS65" s="560"/>
      <c r="BT65" s="560"/>
      <c r="BU65" s="560">
        <f t="shared" si="192"/>
        <v>37.706666666666663</v>
      </c>
      <c r="BV65" s="560"/>
      <c r="BW65" s="560">
        <f ca="1">IF(B65&gt;Summary!$A$1,#N/A,BU65*MGtoAF)</f>
        <v>115.68405333333332</v>
      </c>
      <c r="BX65" s="560">
        <f>Sheet1!BC67+Sheet1!BD67+Sheet1!BE67+Sheet1!BF67-CG65-CH65</f>
        <v>2.5</v>
      </c>
      <c r="BY65" s="560">
        <f t="shared" si="193"/>
        <v>2.4696048632218845</v>
      </c>
      <c r="BZ65" s="560">
        <f>IF(Sheet1!EQ67="FM",CH65,0)</f>
        <v>0</v>
      </c>
      <c r="CA65" s="560">
        <f t="shared" si="194"/>
        <v>0</v>
      </c>
      <c r="CB65" s="560">
        <f>IF(Sheet1!EQ67="OTHER",CH65,0)</f>
        <v>0</v>
      </c>
      <c r="CC65" s="560">
        <f t="shared" si="195"/>
        <v>0</v>
      </c>
      <c r="CD65" s="560">
        <f t="shared" si="196"/>
        <v>0</v>
      </c>
      <c r="CE65" s="560">
        <f t="shared" si="197"/>
        <v>2.5</v>
      </c>
      <c r="CF65" s="560">
        <f t="shared" si="198"/>
        <v>2.4696048632218845</v>
      </c>
      <c r="CG65" s="560">
        <f>IF(Sheet1!EQ67="CWA",SUM(Sheet1!BC67:'Sheet1'!BF67),0)</f>
        <v>0</v>
      </c>
      <c r="CH65" s="560">
        <f>IF(OR(Sheet1!EQ67="FM", Sheet1!EQ67="OTHER"),SUM(Sheet1!BC67:'Sheet1'!BF67),0)</f>
        <v>0</v>
      </c>
      <c r="CI65" s="545">
        <f>IF(AND($B65&gt;=$FV65,$B65&lt;=$FW65),MAX(CF65,Sheet1!EJ67,0),MAX(CF65-(7/36)*$K65,0))</f>
        <v>0</v>
      </c>
      <c r="CJ65" s="560">
        <f t="shared" si="199"/>
        <v>10.099284025667004</v>
      </c>
      <c r="CK65" s="545">
        <f t="shared" si="200"/>
        <v>2.4696048632218845</v>
      </c>
      <c r="CL65" s="545">
        <f>IF(AND($O65&gt;0,Sheet1!EN67=1),(1-($O65-Sheet1!$L67)/$O65)*CF65,0)</f>
        <v>0</v>
      </c>
      <c r="CM65" s="545">
        <f>IF(AND(Sheet1!$L67=0,Sheet1!$L66=0, Calculation!CE65&lt;Sheet1!EJ67-0.1,Sheet1!EJ67=Sheet1!EJ66,Sheet1!EJ67=Sheet1!EJ68),Sheet1!EJ67,CF65-CL65)</f>
        <v>2.4696048632218845</v>
      </c>
      <c r="CN65" s="545"/>
      <c r="CO65" s="560"/>
      <c r="CP65" s="560">
        <f t="shared" si="201"/>
        <v>30.222102843015165</v>
      </c>
      <c r="CQ65" s="560"/>
      <c r="CR65" s="560">
        <f ca="1">IF(B65&gt;Summary!$A$1,#N/A,CP65*MGtoAF)</f>
        <v>92.721411522370531</v>
      </c>
      <c r="CS65" s="560">
        <f>Sheet1!BK67+Sheet1!BL67+Sheet1!BM67-Sheet1!ER67-DA65</f>
        <v>5.5600000000000005</v>
      </c>
      <c r="CT65" s="560">
        <f t="shared" si="202"/>
        <v>5.4924012158054714</v>
      </c>
      <c r="CU65" s="560">
        <f>IF(Sheet1!ER67="FM",DA65,0)</f>
        <v>0</v>
      </c>
      <c r="CV65" s="560">
        <f t="shared" si="203"/>
        <v>0</v>
      </c>
      <c r="CW65" s="560">
        <f>IF(Sheet1!ER67="OTHER",DA65,0)</f>
        <v>0</v>
      </c>
      <c r="CX65" s="560">
        <f t="shared" si="204"/>
        <v>0</v>
      </c>
      <c r="CY65" s="560">
        <f t="shared" si="205"/>
        <v>5.5600000000000005</v>
      </c>
      <c r="CZ65" s="560">
        <f t="shared" si="206"/>
        <v>5.4924012158054714</v>
      </c>
      <c r="DA65" s="560">
        <f>IF(OR(Sheet1!ER67="FM", Sheet1!ER67="OTHER"),SUM(Sheet1!BK67:'Sheet1'!BM67),0)</f>
        <v>0</v>
      </c>
      <c r="DB65" s="545">
        <f>IF(AND($B65&gt;=$FV65,$B65&lt;=$FW65),MAX($CT65,Sheet1!EK67,0),MAX($CT65-(7/36)*$K65,0))</f>
        <v>0</v>
      </c>
      <c r="DC65" s="560">
        <f t="shared" si="207"/>
        <v>7.0764876730834176</v>
      </c>
      <c r="DD65" s="545">
        <f t="shared" si="208"/>
        <v>5.4924012158054714</v>
      </c>
      <c r="DE65" s="545">
        <f>IF(AND($O65&gt;0,Sheet1!EO67=1),(1-($O65-Sheet1!$L67)/$O65)*CZ65,0)</f>
        <v>0</v>
      </c>
      <c r="DF65" s="545">
        <f>IF(AND(Sheet1!$L67=0,Sheet1!$L66=0, Calculation!CY65&lt;Sheet1!$EK67-0.1,Sheet1!$EK67=Sheet1!$EK66,Sheet1!$EK67=Sheet1!$EK68),Sheet1!$EK67,CZ65-DE65)</f>
        <v>5.4924012158054714</v>
      </c>
      <c r="DG65" s="545"/>
      <c r="DH65" s="560">
        <f t="shared" si="209"/>
        <v>8.06</v>
      </c>
      <c r="DI65" s="560">
        <f t="shared" si="210"/>
        <v>22.930591409611317</v>
      </c>
      <c r="DJ65" s="698">
        <f t="shared" si="211"/>
        <v>7.9620060790273559</v>
      </c>
      <c r="DK65" s="560">
        <f ca="1">IF(B65&gt;Summary!$A$1,#N/A,DI65*MGtoAF)</f>
        <v>70.35105444468752</v>
      </c>
      <c r="DL65" s="698">
        <f t="shared" si="212"/>
        <v>8.06</v>
      </c>
      <c r="DM65" s="560">
        <f t="shared" si="213"/>
        <v>13.16</v>
      </c>
      <c r="DN65" s="560">
        <f>Sheet1!AB67-DM65</f>
        <v>-0.16000000000000014</v>
      </c>
      <c r="DO65" s="823">
        <f t="shared" si="214"/>
        <v>-1.2158054711246211E-2</v>
      </c>
      <c r="DP65" s="560">
        <f>(VLOOKUP(Sheet1!DC67,hhdcap_wcm,4)-(((VLOOKUP(Sheet1!DC67,hhdcap_wcm,3)-Sheet1!DC67)/(VLOOKUP(Sheet1!DC67,hhdcap_wcm,3)-VLOOKUP(Sheet1!DC67,hhdcap_wcm,1)))*(VLOOKUP(Sheet1!DC67,hhdcap_wcm,4)-VLOOKUP(Sheet1!DC67,hhdcap_wcm,2))))</f>
        <v>2067.0000000049113</v>
      </c>
      <c r="DQ65" s="560">
        <f t="shared" si="215"/>
        <v>179.0000000001819</v>
      </c>
      <c r="DR65" s="560">
        <f t="shared" si="216"/>
        <v>90.267271810480011</v>
      </c>
      <c r="DS65" s="560">
        <f>Sheet1!EA67*AFtoMG</f>
        <v>0</v>
      </c>
      <c r="DT65" s="560">
        <f>Sheet1!EB67*AFtoMG</f>
        <v>0</v>
      </c>
      <c r="DU65" s="560">
        <f>Sheet1!EC67*AFtoMG</f>
        <v>0</v>
      </c>
      <c r="DV65" s="560">
        <f>Sheet1!ED67*AFtoMG</f>
        <v>0</v>
      </c>
      <c r="DW65" s="560">
        <f t="shared" si="217"/>
        <v>0</v>
      </c>
      <c r="DX65" s="560">
        <f t="shared" si="218"/>
        <v>0</v>
      </c>
      <c r="DY65" s="560">
        <f t="shared" si="219"/>
        <v>171.65936091929314</v>
      </c>
      <c r="DZ65" s="560">
        <f t="shared" si="220"/>
        <v>526.65091930039137</v>
      </c>
      <c r="EA65" s="560"/>
      <c r="EB65" s="545">
        <f>IF(OR(B65&lt;FV65,B65&gt;FW65),(MIN(BF65+BY65+CT65+MAX(Sheet1!AA67+AQ65-73,0),K65)),0)</f>
        <v>7.9620060790273559</v>
      </c>
      <c r="EC65" s="560"/>
      <c r="ED65" s="560">
        <f t="shared" si="221"/>
        <v>7.9620060790273559</v>
      </c>
      <c r="EE65" s="560"/>
      <c r="EF65" s="560">
        <f>Sheet1!EH67+Sheet1!EI67+Sheet1!EJ67+Sheet1!EK67</f>
        <v>8.06</v>
      </c>
      <c r="EG65" s="560"/>
      <c r="EH65" s="545">
        <f t="shared" si="222"/>
        <v>0</v>
      </c>
      <c r="EI65" s="560">
        <f>IF(Sheet1!ET67=1,SUM('Calculations II'!AT65:BA65)+'Calculations II'!BC65+Sheet1!BV67+'Calculations II'!BE65+AP65,SUM('Calculations II'!AT65:BA65)+'Calculations II'!BC65+Sheet1!BV67+'Calculations II'!BE65+AP65)</f>
        <v>47.194752000000008</v>
      </c>
      <c r="EJ65" s="560">
        <f>Sheet1!AA67+Sheet1!AB67+'Calculations II'!BC65</f>
        <v>55.806128000000001</v>
      </c>
      <c r="EK65" s="560"/>
      <c r="EL65" s="560"/>
      <c r="EM65" s="560">
        <f t="shared" si="223"/>
        <v>41693</v>
      </c>
      <c r="EN65" s="560">
        <f t="shared" si="224"/>
        <v>56.677993920972646</v>
      </c>
      <c r="EO65" s="560">
        <f t="shared" si="225"/>
        <v>87.680856595744686</v>
      </c>
      <c r="EP65" s="560">
        <v>0</v>
      </c>
      <c r="EQ65" s="560">
        <v>0</v>
      </c>
      <c r="ER65" s="560">
        <v>0</v>
      </c>
      <c r="ES65" s="545">
        <f t="shared" si="77"/>
        <v>-3.7375767533175086</v>
      </c>
      <c r="ET65" s="560">
        <f>-(VLOOKUP(Sheet1!BQ67,Lookup!$O$4:$Q$262,2)-VLOOKUP(Sheet1!BQ66,Lookup!$O$4:$Q$262,2))/1000000</f>
        <v>-1.9380243559634387</v>
      </c>
      <c r="EU65" s="560">
        <f>-(VLOOKUP(Sheet1!BR67,Lookup!$O$4:$Q$262,3)-VLOOKUP(Sheet1!BR66,Lookup!$O$4:$Q$262,3))/1000000</f>
        <v>-1.7995523973540701</v>
      </c>
      <c r="EV65" s="560"/>
      <c r="EW65" s="560"/>
      <c r="EX65" s="560"/>
      <c r="EY65" s="560"/>
      <c r="EZ65" s="560"/>
      <c r="FA65" s="560"/>
      <c r="FB65" s="560"/>
      <c r="FC65" s="560"/>
      <c r="FD65" s="594" t="e">
        <f t="shared" si="226"/>
        <v>#N/A</v>
      </c>
      <c r="FE65" s="594" t="e">
        <f t="shared" si="227"/>
        <v>#N/A</v>
      </c>
      <c r="FF65" s="595" t="e">
        <f t="shared" si="228"/>
        <v>#N/A</v>
      </c>
      <c r="FG65" s="596" t="s">
        <v>692</v>
      </c>
      <c r="FH65" s="596" t="s">
        <v>692</v>
      </c>
      <c r="FI65" s="594" t="e">
        <v>#N/A</v>
      </c>
      <c r="FJ65" s="594" t="e">
        <v>#N/A</v>
      </c>
      <c r="FK65" s="560"/>
      <c r="FL65" s="560"/>
      <c r="FM65" s="560"/>
      <c r="FN65" s="560"/>
      <c r="FO65" s="560">
        <f>O65+((Sheet1!CS67)*GPMtoMGD)</f>
        <v>55.806128000000001</v>
      </c>
      <c r="FP65" s="560">
        <f>IF(Sheet1!AA67+AQ65&lt;=Calculation!N65,AQ65,Calculation!N65-Sheet1!AA67)</f>
        <v>4.0501519756838906</v>
      </c>
      <c r="FQ65" s="560">
        <f>(Sheet1!BP67+Sheet1!BO67)/694.4</f>
        <v>1.6048387096774195</v>
      </c>
      <c r="FR65" s="560"/>
      <c r="FS65" s="560"/>
      <c r="FT65" s="560"/>
      <c r="FU65" s="560"/>
      <c r="FV65" s="695">
        <f t="shared" si="80"/>
        <v>41827</v>
      </c>
      <c r="FW65" s="695">
        <f t="shared" si="81"/>
        <v>41934</v>
      </c>
      <c r="FX65" s="560"/>
      <c r="FY65" s="560"/>
      <c r="FZ65" s="560"/>
      <c r="GA65" s="560"/>
      <c r="GB65" s="560" t="str">
        <f t="shared" si="82"/>
        <v>n</v>
      </c>
      <c r="GC65" s="564">
        <f t="shared" si="83"/>
        <v>41691</v>
      </c>
      <c r="GD65" s="695">
        <f t="shared" si="84"/>
        <v>41807</v>
      </c>
      <c r="GE65" s="560">
        <v>6518.9</v>
      </c>
      <c r="GF65" s="695">
        <f t="shared" si="85"/>
        <v>41808</v>
      </c>
      <c r="GG65" s="560">
        <f t="shared" si="163"/>
        <v>3259</v>
      </c>
      <c r="GH65" s="564">
        <f t="shared" si="87"/>
        <v>41934</v>
      </c>
      <c r="GJ65" s="545">
        <f t="shared" si="88"/>
        <v>0</v>
      </c>
      <c r="GK65" s="560" t="str">
        <f t="shared" si="229"/>
        <v/>
      </c>
      <c r="GL65" s="560">
        <f t="shared" si="89"/>
        <v>0</v>
      </c>
      <c r="GM65" s="560" t="str">
        <f t="shared" si="90"/>
        <v/>
      </c>
      <c r="GN65" s="560">
        <f>IF(GK65="P",Lookup!$M$12,IF(GK65="PP",Lookup!$M$13,IF(GK65="PPP",Lookup!$M$14,IF(GK65="T",Lookup!$M$15,IF(GK65="TP",Lookup!$M$16,IF(GK65="TPP",Lookup!$M$17,IF(GK65="TPPP",Lookup!$M$18,0)))))))*GJ65</f>
        <v>0</v>
      </c>
      <c r="GO65" s="560">
        <f t="shared" si="91"/>
        <v>0</v>
      </c>
      <c r="GP65" s="560">
        <f t="shared" si="230"/>
        <v>247.89439999999999</v>
      </c>
      <c r="GQ65" s="560">
        <f t="shared" si="99"/>
        <v>80.8</v>
      </c>
      <c r="GR65" s="560"/>
      <c r="GS65" s="560">
        <f t="shared" si="92"/>
        <v>0</v>
      </c>
      <c r="GT65" s="560" t="str">
        <f t="shared" si="93"/>
        <v/>
      </c>
      <c r="GU65" s="560">
        <f>IF(GK65="P",Lookup!$N$12,IF(GK65="PP",Lookup!$N$13,IF(GK65="PPP",Lookup!$N$14,IF(GK65="T",Lookup!$N$15,IF(GK65="TP",Lookup!$N$16,IF(GK65="TPP",Lookup!$N$17,IF(GK65="TPPP",Lookup!$N$18,0)))))))*GJ65</f>
        <v>0</v>
      </c>
      <c r="GV65" s="560">
        <f t="shared" si="57"/>
        <v>0</v>
      </c>
      <c r="GW65" s="560">
        <f t="shared" si="231"/>
        <v>115.68405333333332</v>
      </c>
      <c r="GX65" s="560">
        <f t="shared" si="100"/>
        <v>37.706666666666663</v>
      </c>
      <c r="GY65" s="560"/>
      <c r="GZ65" s="560">
        <f t="shared" si="94"/>
        <v>0</v>
      </c>
      <c r="HA65" s="560" t="str">
        <f t="shared" si="95"/>
        <v/>
      </c>
      <c r="HB65" s="560">
        <f>IF(GK65="P",Lookup!$N$12,IF(GK65="PP",Lookup!$N$13,IF(GK65="PPP",Lookup!$N$14,IF(GK65="T",Lookup!$N$15,IF(GK65="TP",Lookup!$N$16,IF(GK65="TPP",Lookup!$N$17,IF(GK65="TPPP",Lookup!$N$18,0)))))))*GJ65</f>
        <v>0</v>
      </c>
      <c r="HC65" s="545">
        <f t="shared" si="232"/>
        <v>0</v>
      </c>
      <c r="HD65" s="560">
        <f t="shared" si="233"/>
        <v>92.721411522370531</v>
      </c>
      <c r="HE65" s="560">
        <f t="shared" si="101"/>
        <v>30.222102843015165</v>
      </c>
      <c r="HF65" s="560"/>
      <c r="HG65" s="560">
        <f t="shared" si="96"/>
        <v>0</v>
      </c>
      <c r="HH65" s="560" t="str">
        <f t="shared" si="97"/>
        <v/>
      </c>
      <c r="HI65" s="560">
        <f>IF(GK65="P",Lookup!$N$12,IF(GK65="PP",Lookup!$N$13,IF(GK65="PPP",Lookup!$N$14,IF(GK65="T",Lookup!$N$15,IF(GK65="TP",Lookup!$N$16,IF(GK65="TPP",Lookup!$N$17,IF(GK65="TPPP",Lookup!$N$18,0)))))))*GJ65</f>
        <v>0</v>
      </c>
      <c r="HJ65" s="545">
        <f t="shared" si="234"/>
        <v>0</v>
      </c>
      <c r="HK65" s="560">
        <f t="shared" si="235"/>
        <v>70.35105444468752</v>
      </c>
      <c r="HL65" s="560">
        <f t="shared" si="102"/>
        <v>22.930591409611317</v>
      </c>
      <c r="HM65" s="560"/>
    </row>
    <row r="66" spans="1:272">
      <c r="A66" s="580" t="s">
        <v>4</v>
      </c>
      <c r="B66" s="556">
        <v>41694</v>
      </c>
      <c r="C66" s="561">
        <v>0</v>
      </c>
      <c r="D66" s="529">
        <f t="shared" si="103"/>
        <v>300</v>
      </c>
      <c r="E66" s="529">
        <f t="shared" si="104"/>
        <v>250</v>
      </c>
      <c r="F66" s="529">
        <v>250</v>
      </c>
      <c r="G66" s="560">
        <f>DR66+Sheet1!CZ68</f>
        <v>1082.3741805349769</v>
      </c>
      <c r="H66" s="914">
        <f t="shared" si="2"/>
        <v>432.68347029780904</v>
      </c>
      <c r="I66" s="559">
        <f>MAX(Sheet1!Z68-AT66+(Sheet1!DA68-E66)*CFStoMGD,0)</f>
        <v>1208.8399999999999</v>
      </c>
      <c r="J66" s="562">
        <f>IF(AND(B66&gt;=Calculation!GC66,B66&lt;=Calculation!GD66),IF(Sheet1!DB68&gt;=Calculation!D66,64.64,0),MAX(Sheet1!Z68-AT66+(Sheet1!DB68-D66)*CFStoMGD,0))</f>
        <v>64.64</v>
      </c>
      <c r="K66" s="904">
        <f t="shared" si="171"/>
        <v>64.64</v>
      </c>
      <c r="L66" s="560">
        <f>Sheet1!AA68+Sheet1!AB68-Sheet1!L68+(Sheet1!DA68-F66)*CFStoMGD</f>
        <v>1195.8399999999999</v>
      </c>
      <c r="M66" s="560">
        <f t="shared" si="172"/>
        <v>713.63960370376526</v>
      </c>
      <c r="N66" s="910">
        <f>IF(Sheet1!DA68&gt;=F66,MIN(73,MIN(MAX(L66,0),MAX(M66,0))),0)</f>
        <v>73</v>
      </c>
      <c r="O66" s="563">
        <f>Sheet1!AA68+Sheet1!AB68</f>
        <v>38.400000000000006</v>
      </c>
      <c r="P66" s="563">
        <f t="shared" si="173"/>
        <v>59.404799999999994</v>
      </c>
      <c r="Q66" s="898">
        <f t="shared" si="63"/>
        <v>30.480000000000004</v>
      </c>
      <c r="R66" s="829">
        <f t="shared" si="174"/>
        <v>7.9101123595505634</v>
      </c>
      <c r="S66" s="898">
        <f t="shared" si="65"/>
        <v>7.9200000000000008</v>
      </c>
      <c r="T66" s="898">
        <f t="shared" si="66"/>
        <v>56.72</v>
      </c>
      <c r="U66" s="898">
        <f t="shared" si="6"/>
        <v>0</v>
      </c>
      <c r="V66" s="898"/>
      <c r="W66" s="898">
        <f t="shared" si="67"/>
        <v>56.729887640449434</v>
      </c>
      <c r="X66" s="898">
        <f t="shared" si="68"/>
        <v>64.64</v>
      </c>
      <c r="Y66" s="898" t="str">
        <f t="shared" si="69"/>
        <v>FALSE</v>
      </c>
      <c r="Z66" s="898">
        <f t="shared" si="70"/>
        <v>38.400000000000006</v>
      </c>
      <c r="AA66" s="898">
        <f t="shared" si="71"/>
        <v>38.400000000000006</v>
      </c>
      <c r="AB66" s="898" t="str">
        <f t="shared" si="72"/>
        <v/>
      </c>
      <c r="AC66" s="563">
        <f>Sheet1!Y68*MGDtoCFS</f>
        <v>32.6417</v>
      </c>
      <c r="AD66" s="563">
        <f>Sheet1!Z68*MGDtoCFS</f>
        <v>20.111000000000001</v>
      </c>
      <c r="AE66" s="563">
        <f>Sheet1!AA68*MGDtoCFS</f>
        <v>32.177599999999998</v>
      </c>
      <c r="AF66" s="563">
        <f>Sheet1!AB68*MGDtoCFS</f>
        <v>27.2272</v>
      </c>
      <c r="AG66" s="563">
        <f>Sheet1!L68*MGDtoCFS</f>
        <v>59.404800000000009</v>
      </c>
      <c r="AH66" s="545">
        <f t="shared" si="175"/>
        <v>0</v>
      </c>
      <c r="AI66" s="560">
        <f t="shared" si="176"/>
        <v>0</v>
      </c>
      <c r="AJ66" s="560">
        <f t="shared" si="177"/>
        <v>56.729887640449434</v>
      </c>
      <c r="AK66" s="560">
        <f t="shared" si="178"/>
        <v>87.761136179775264</v>
      </c>
      <c r="AL66" s="560">
        <f>(VLOOKUP(Sheet1!DC68,hhdcap_wcm,4)-(((VLOOKUP(Sheet1!DC68,hhdcap_wcm,3)-Sheet1!DC68)/(VLOOKUP(Sheet1!DC68,hhdcap_wcm,3)-VLOOKUP(Sheet1!DC68,hhdcap_wcm,1)))*(VLOOKUP(Sheet1!DC68,hhdcap_wcm,4)-VLOOKUP(Sheet1!DC68,hhdcap_wcm,2))))</f>
        <v>2317.6000000057707</v>
      </c>
      <c r="AM66" s="560">
        <f t="shared" si="179"/>
        <v>250.60000000085938</v>
      </c>
      <c r="AN66" s="560">
        <f t="shared" si="180"/>
        <v>228.38924855974258</v>
      </c>
      <c r="AO66" s="560">
        <f t="shared" si="181"/>
        <v>700.69821458129024</v>
      </c>
      <c r="AP66" s="560">
        <f>Sheet1!BA68+Sheet1!BB68+Sheet1!BN68+CD66</f>
        <v>9.702</v>
      </c>
      <c r="AQ66" s="560">
        <f>Sheet1!BN68+(DO66*Sheet1!BN68)</f>
        <v>8.6891385767790261</v>
      </c>
      <c r="AR66" s="560">
        <f>Sheet1!BA68+CD66</f>
        <v>0</v>
      </c>
      <c r="AS66" s="560">
        <f>Sheet1!BA68+Sheet1!BB68+CD66</f>
        <v>1.002</v>
      </c>
      <c r="AT66" s="698">
        <f>0</f>
        <v>0</v>
      </c>
      <c r="AU66" s="560">
        <f>IF(EB66&lt;K66,0,MAX(Sheet1!AA68+AQ66-15/36*K66-N66,Sheet1!EH68,0))</f>
        <v>0</v>
      </c>
      <c r="AV66" s="560">
        <f>IF(OR(B66&gt;=GD66,B66&lt;GC66),0,15/36*K66-MAX(0,64.6-(137.6-(Sheet1!AA68+Sheet1!AB68))))</f>
        <v>26.933333333333334</v>
      </c>
      <c r="AW66" s="698">
        <f>Sheet1!DB68-110</f>
        <v>900</v>
      </c>
      <c r="AX66" s="698">
        <f>Sheet1!DA68-265</f>
        <v>1835</v>
      </c>
      <c r="AY66" s="698">
        <f t="shared" si="182"/>
        <v>42.519999999999996</v>
      </c>
      <c r="AZ66" s="698">
        <v>0</v>
      </c>
      <c r="BA66" s="698">
        <f t="shared" si="183"/>
        <v>0</v>
      </c>
      <c r="BB66" s="560">
        <f t="shared" si="184"/>
        <v>107.73333333333333</v>
      </c>
      <c r="BC66" s="560"/>
      <c r="BD66" s="560">
        <f ca="1">IF(B66&gt;Summary!$A$1,#N/A,BB66*MGtoAF)</f>
        <v>330.52586666666667</v>
      </c>
      <c r="BE66" s="560">
        <f>Sheet1!BG68+Sheet1!BH68+Sheet1!BI68-BM66</f>
        <v>0</v>
      </c>
      <c r="BF66" s="560">
        <f t="shared" si="185"/>
        <v>0</v>
      </c>
      <c r="BG66" s="560">
        <f>IF(Sheet1!EP68="FM",BM66,0)</f>
        <v>0</v>
      </c>
      <c r="BH66" s="560">
        <f t="shared" si="186"/>
        <v>0</v>
      </c>
      <c r="BI66" s="560">
        <f>IF(Sheet1!EP68="OTHER",BM66,0)</f>
        <v>0</v>
      </c>
      <c r="BJ66" s="560">
        <f t="shared" si="187"/>
        <v>0</v>
      </c>
      <c r="BK66" s="560">
        <f t="shared" si="188"/>
        <v>0</v>
      </c>
      <c r="BL66" s="560">
        <f t="shared" si="189"/>
        <v>0</v>
      </c>
      <c r="BM66" s="560">
        <f>IF(OR(Sheet1!EP68="FM", Sheet1!EP68="OTHER"),SUM(Sheet1!BG68:'Sheet1'!BI68),0)</f>
        <v>0</v>
      </c>
      <c r="BN66" s="545">
        <f>IF(AND($B66&gt;=$FV66,$B66&lt;=$FW66),MAX(BF66,Sheet1!EI68,0),MAX(BF66-(7/36)*$K66,0))</f>
        <v>0</v>
      </c>
      <c r="BO66" s="560">
        <f t="shared" si="190"/>
        <v>12.568888888888889</v>
      </c>
      <c r="BP66" s="545">
        <f t="shared" si="191"/>
        <v>0</v>
      </c>
      <c r="BQ66" s="545">
        <f>IF(AND($O66&gt;0,Sheet1!EM68=1),(1-($O66-Sheet1!$L68)/$O66)*BL66,0)</f>
        <v>0</v>
      </c>
      <c r="BR66" s="545">
        <f>IF(AND(Sheet1!$L68=0,Sheet1!$L67=0, Calculation!BK66&lt;Sheet1!$EI68-0.1,Sheet1!$EI68=Sheet1!$EI67,Sheet1!$EI68=Sheet1!$EI69),Sheet1!$EI68,BL66-BQ66)</f>
        <v>0</v>
      </c>
      <c r="BS66" s="560"/>
      <c r="BT66" s="560"/>
      <c r="BU66" s="560">
        <f t="shared" si="192"/>
        <v>50.275555555555556</v>
      </c>
      <c r="BV66" s="560"/>
      <c r="BW66" s="560">
        <f ca="1">IF(B66&gt;Summary!$A$1,#N/A,BU66*MGtoAF)</f>
        <v>154.24540444444446</v>
      </c>
      <c r="BX66" s="560">
        <f>Sheet1!BC68+Sheet1!BD68+Sheet1!BE68+Sheet1!BF68-CG66-CH66</f>
        <v>2.4900000000000002</v>
      </c>
      <c r="BY66" s="560">
        <f t="shared" si="193"/>
        <v>2.4868913857677906</v>
      </c>
      <c r="BZ66" s="560">
        <f>IF(Sheet1!EQ68="FM",CH66,0)</f>
        <v>0</v>
      </c>
      <c r="CA66" s="560">
        <f t="shared" si="194"/>
        <v>0</v>
      </c>
      <c r="CB66" s="560">
        <f>IF(Sheet1!EQ68="OTHER",CH66,0)</f>
        <v>0</v>
      </c>
      <c r="CC66" s="560">
        <f t="shared" si="195"/>
        <v>0</v>
      </c>
      <c r="CD66" s="560">
        <f t="shared" si="196"/>
        <v>0</v>
      </c>
      <c r="CE66" s="560">
        <f t="shared" si="197"/>
        <v>2.4900000000000002</v>
      </c>
      <c r="CF66" s="560">
        <f t="shared" si="198"/>
        <v>2.4868913857677906</v>
      </c>
      <c r="CG66" s="560">
        <f>IF(Sheet1!EQ68="CWA",SUM(Sheet1!BC68:'Sheet1'!BF68),0)</f>
        <v>0</v>
      </c>
      <c r="CH66" s="560">
        <f>IF(OR(Sheet1!EQ68="FM", Sheet1!EQ68="OTHER"),SUM(Sheet1!BC68:'Sheet1'!BF68),0)</f>
        <v>0</v>
      </c>
      <c r="CI66" s="545">
        <f>IF(AND($B66&gt;=$FV66,$B66&lt;=$FW66),MAX(CF66,Sheet1!EJ68,0),MAX(CF66-(7/36)*$K66,0))</f>
        <v>0</v>
      </c>
      <c r="CJ66" s="560">
        <f t="shared" si="199"/>
        <v>10.081997503121098</v>
      </c>
      <c r="CK66" s="545">
        <f t="shared" si="200"/>
        <v>2.4868913857677906</v>
      </c>
      <c r="CL66" s="545">
        <f>IF(AND($O66&gt;0,Sheet1!EN68=1),(1-($O66-Sheet1!$L68)/$O66)*CF66,0)</f>
        <v>0</v>
      </c>
      <c r="CM66" s="545">
        <f>IF(AND(Sheet1!$L68=0,Sheet1!$L67=0, Calculation!CE66&lt;Sheet1!EJ68-0.1,Sheet1!EJ68=Sheet1!EJ67,Sheet1!EJ68=Sheet1!EJ69),Sheet1!EJ68,CF66-CL66)</f>
        <v>2.4868913857677906</v>
      </c>
      <c r="CN66" s="545"/>
      <c r="CO66" s="560"/>
      <c r="CP66" s="560">
        <f t="shared" si="201"/>
        <v>40.304100346136266</v>
      </c>
      <c r="CQ66" s="560"/>
      <c r="CR66" s="560">
        <f ca="1">IF(B66&gt;Summary!$A$1,#N/A,CP66*MGtoAF)</f>
        <v>123.65297986194606</v>
      </c>
      <c r="CS66" s="560">
        <f>Sheet1!BK68+Sheet1!BL68+Sheet1!BM68-Sheet1!ER68-DA66</f>
        <v>5.4300000000000006</v>
      </c>
      <c r="CT66" s="560">
        <f t="shared" si="202"/>
        <v>5.4232209737827723</v>
      </c>
      <c r="CU66" s="560">
        <f>IF(Sheet1!ER68="FM",DA66,0)</f>
        <v>0</v>
      </c>
      <c r="CV66" s="560">
        <f t="shared" si="203"/>
        <v>0</v>
      </c>
      <c r="CW66" s="560">
        <f>IF(Sheet1!ER68="OTHER",DA66,0)</f>
        <v>0</v>
      </c>
      <c r="CX66" s="560">
        <f t="shared" si="204"/>
        <v>0</v>
      </c>
      <c r="CY66" s="560">
        <f t="shared" si="205"/>
        <v>5.4300000000000006</v>
      </c>
      <c r="CZ66" s="560">
        <f t="shared" si="206"/>
        <v>5.4232209737827723</v>
      </c>
      <c r="DA66" s="560">
        <f>IF(OR(Sheet1!ER68="FM", Sheet1!ER68="OTHER"),SUM(Sheet1!BK68:'Sheet1'!BM68),0)</f>
        <v>0</v>
      </c>
      <c r="DB66" s="545">
        <f>IF(AND($B66&gt;=$FV66,$B66&lt;=$FW66),MAX($CT66,Sheet1!EK68,0),MAX($CT66-(7/36)*$K66,0))</f>
        <v>0</v>
      </c>
      <c r="DC66" s="560">
        <f t="shared" si="207"/>
        <v>7.1456679151061167</v>
      </c>
      <c r="DD66" s="545">
        <f t="shared" si="208"/>
        <v>5.4232209737827723</v>
      </c>
      <c r="DE66" s="545">
        <f>IF(AND($O66&gt;0,Sheet1!EO68=1),(1-($O66-Sheet1!$L68)/$O66)*CZ66,0)</f>
        <v>0</v>
      </c>
      <c r="DF66" s="545">
        <f>IF(AND(Sheet1!$L68=0,Sheet1!$L67=0, Calculation!CY66&lt;Sheet1!$EK68-0.1,Sheet1!$EK68=Sheet1!$EK67,Sheet1!$EK68=Sheet1!$EK69),Sheet1!$EK68,CZ66-DE66)</f>
        <v>5.4232209737827723</v>
      </c>
      <c r="DG66" s="545"/>
      <c r="DH66" s="560">
        <f t="shared" si="209"/>
        <v>7.9200000000000008</v>
      </c>
      <c r="DI66" s="560">
        <f t="shared" si="210"/>
        <v>30.076259324717434</v>
      </c>
      <c r="DJ66" s="698">
        <f t="shared" si="211"/>
        <v>7.9101123595505634</v>
      </c>
      <c r="DK66" s="560">
        <f ca="1">IF(B66&gt;Summary!$A$1,#N/A,DI66*MGtoAF)</f>
        <v>92.273963608233089</v>
      </c>
      <c r="DL66" s="698">
        <f t="shared" si="212"/>
        <v>7.9200000000000008</v>
      </c>
      <c r="DM66" s="560">
        <f t="shared" si="213"/>
        <v>17.622</v>
      </c>
      <c r="DN66" s="560">
        <f>Sheet1!AB68-DM66</f>
        <v>-2.1999999999998465E-2</v>
      </c>
      <c r="DO66" s="823">
        <f t="shared" si="214"/>
        <v>-1.2484394506865545E-3</v>
      </c>
      <c r="DP66" s="560">
        <f>(VLOOKUP(Sheet1!DC68,hhdcap_wcm,4)-(((VLOOKUP(Sheet1!DC68,hhdcap_wcm,3)-Sheet1!DC68)/(VLOOKUP(Sheet1!DC68,hhdcap_wcm,3)-VLOOKUP(Sheet1!DC68,hhdcap_wcm,1)))*(VLOOKUP(Sheet1!DC68,hhdcap_wcm,4)-VLOOKUP(Sheet1!DC68,hhdcap_wcm,2))))</f>
        <v>2317.6000000057707</v>
      </c>
      <c r="DQ66" s="560">
        <f t="shared" si="215"/>
        <v>250.60000000085938</v>
      </c>
      <c r="DR66" s="560">
        <f t="shared" si="216"/>
        <v>126.37418053497697</v>
      </c>
      <c r="DS66" s="560">
        <f>Sheet1!EA68*AFtoMG</f>
        <v>0</v>
      </c>
      <c r="DT66" s="560">
        <f>Sheet1!EB68*AFtoMG</f>
        <v>0</v>
      </c>
      <c r="DU66" s="560">
        <f>Sheet1!EC68*AFtoMG</f>
        <v>0</v>
      </c>
      <c r="DV66" s="560">
        <f>Sheet1!ED68*AFtoMG</f>
        <v>0</v>
      </c>
      <c r="DW66" s="560">
        <f t="shared" si="217"/>
        <v>0</v>
      </c>
      <c r="DX66" s="560">
        <f t="shared" si="218"/>
        <v>0</v>
      </c>
      <c r="DY66" s="560">
        <f t="shared" si="219"/>
        <v>228.38924855974258</v>
      </c>
      <c r="DZ66" s="560">
        <f t="shared" si="220"/>
        <v>700.69821458129024</v>
      </c>
      <c r="EA66" s="560"/>
      <c r="EB66" s="545">
        <f>IF(OR(B66&lt;FV66,B66&gt;FW66),(MIN(BF66+BY66+CT66+MAX(Sheet1!AA68+AQ66-73,0),K66)),0)</f>
        <v>7.9101123595505634</v>
      </c>
      <c r="EC66" s="560"/>
      <c r="ED66" s="560">
        <f t="shared" si="221"/>
        <v>7.9101123595505634</v>
      </c>
      <c r="EE66" s="560"/>
      <c r="EF66" s="560">
        <f>Sheet1!EH68+Sheet1!EI68+Sheet1!EJ68+Sheet1!EK68</f>
        <v>7.9300000000000006</v>
      </c>
      <c r="EG66" s="560"/>
      <c r="EH66" s="545">
        <f t="shared" si="222"/>
        <v>0</v>
      </c>
      <c r="EI66" s="560">
        <f>IF(Sheet1!ET68=1,SUM('Calculations II'!AT66:BA66)+'Calculations II'!BC66+Sheet1!BV68+'Calculations II'!BE66+AP66,SUM('Calculations II'!AT66:BA66)+'Calculations II'!BC66+Sheet1!BV68+'Calculations II'!BE66+AP66)</f>
        <v>44.893712000000001</v>
      </c>
      <c r="EJ66" s="560">
        <f>Sheet1!AA68+Sheet1!AB68+'Calculations II'!BC66</f>
        <v>54.974832000000006</v>
      </c>
      <c r="EK66" s="560"/>
      <c r="EL66" s="560"/>
      <c r="EM66" s="560">
        <f t="shared" si="223"/>
        <v>41694</v>
      </c>
      <c r="EN66" s="560">
        <f t="shared" si="224"/>
        <v>56.729887640449434</v>
      </c>
      <c r="EO66" s="560">
        <f t="shared" si="225"/>
        <v>87.761136179775264</v>
      </c>
      <c r="EP66" s="560">
        <v>0</v>
      </c>
      <c r="EQ66" s="560">
        <v>0</v>
      </c>
      <c r="ER66" s="560">
        <v>0</v>
      </c>
      <c r="ES66" s="545">
        <f t="shared" si="77"/>
        <v>-4.571317822525133</v>
      </c>
      <c r="ET66" s="560">
        <f>-(VLOOKUP(Sheet1!BQ68,Lookup!$O$4:$Q$262,2)-VLOOKUP(Sheet1!BQ67,Lookup!$O$4:$Q$262,2))/1000000</f>
        <v>-2.2164229319578821</v>
      </c>
      <c r="EU66" s="560">
        <f>-(VLOOKUP(Sheet1!BR68,Lookup!$O$4:$Q$262,3)-VLOOKUP(Sheet1!BR67,Lookup!$O$4:$Q$262,3))/1000000</f>
        <v>-2.3548948905672504</v>
      </c>
      <c r="EV66" s="560"/>
      <c r="EW66" s="560"/>
      <c r="EX66" s="560"/>
      <c r="EY66" s="560"/>
      <c r="EZ66" s="560"/>
      <c r="FA66" s="560"/>
      <c r="FB66" s="560"/>
      <c r="FC66" s="560"/>
      <c r="FD66" s="594" t="e">
        <f t="shared" si="226"/>
        <v>#N/A</v>
      </c>
      <c r="FE66" s="594" t="e">
        <f t="shared" si="227"/>
        <v>#N/A</v>
      </c>
      <c r="FF66" s="595" t="e">
        <f t="shared" si="228"/>
        <v>#N/A</v>
      </c>
      <c r="FG66" s="596" t="s">
        <v>692</v>
      </c>
      <c r="FH66" s="596" t="s">
        <v>692</v>
      </c>
      <c r="FI66" s="594" t="e">
        <v>#N/A</v>
      </c>
      <c r="FJ66" s="594" t="e">
        <v>#N/A</v>
      </c>
      <c r="FK66" s="560"/>
      <c r="FL66" s="560"/>
      <c r="FM66" s="560"/>
      <c r="FN66" s="560"/>
      <c r="FO66" s="560">
        <f>O66+((Sheet1!CS68)*GPMtoMGD)</f>
        <v>54.974832000000006</v>
      </c>
      <c r="FP66" s="560">
        <f>IF(Sheet1!AA68+AQ66&lt;=Calculation!N66,AQ66,Calculation!N66-Sheet1!AA68)</f>
        <v>8.6891385767790261</v>
      </c>
      <c r="FQ66" s="560">
        <f>(Sheet1!BP68+Sheet1!BO68)/694.4</f>
        <v>1.4635656682027649</v>
      </c>
      <c r="FR66" s="560"/>
      <c r="FS66" s="560"/>
      <c r="FT66" s="560"/>
      <c r="FU66" s="560"/>
      <c r="FV66" s="695">
        <f t="shared" si="80"/>
        <v>41827</v>
      </c>
      <c r="FW66" s="695">
        <f t="shared" si="81"/>
        <v>41934</v>
      </c>
      <c r="FX66" s="560"/>
      <c r="FY66" s="560"/>
      <c r="FZ66" s="560"/>
      <c r="GA66" s="560"/>
      <c r="GB66" s="560" t="str">
        <f t="shared" si="82"/>
        <v>n</v>
      </c>
      <c r="GC66" s="564">
        <f t="shared" si="83"/>
        <v>41691</v>
      </c>
      <c r="GD66" s="695">
        <f t="shared" si="84"/>
        <v>41807</v>
      </c>
      <c r="GE66" s="560">
        <v>6518.9</v>
      </c>
      <c r="GF66" s="695">
        <f t="shared" si="85"/>
        <v>41808</v>
      </c>
      <c r="GG66" s="560">
        <f t="shared" si="163"/>
        <v>3259</v>
      </c>
      <c r="GH66" s="564">
        <f t="shared" si="87"/>
        <v>41934</v>
      </c>
      <c r="GJ66" s="545">
        <f t="shared" si="88"/>
        <v>0</v>
      </c>
      <c r="GK66" s="560" t="str">
        <f t="shared" si="229"/>
        <v/>
      </c>
      <c r="GL66" s="560">
        <f t="shared" si="89"/>
        <v>0</v>
      </c>
      <c r="GM66" s="560" t="str">
        <f t="shared" si="90"/>
        <v/>
      </c>
      <c r="GN66" s="560">
        <f>IF(GK66="P",Lookup!$M$12,IF(GK66="PP",Lookup!$M$13,IF(GK66="PPP",Lookup!$M$14,IF(GK66="T",Lookup!$M$15,IF(GK66="TP",Lookup!$M$16,IF(GK66="TPP",Lookup!$M$17,IF(GK66="TPPP",Lookup!$M$18,0)))))))*GJ66</f>
        <v>0</v>
      </c>
      <c r="GO66" s="560">
        <f t="shared" si="91"/>
        <v>0</v>
      </c>
      <c r="GP66" s="560">
        <f t="shared" si="230"/>
        <v>330.52586666666667</v>
      </c>
      <c r="GQ66" s="560">
        <f t="shared" si="99"/>
        <v>107.73333333333333</v>
      </c>
      <c r="GR66" s="560"/>
      <c r="GS66" s="560">
        <f t="shared" si="92"/>
        <v>0</v>
      </c>
      <c r="GT66" s="560" t="str">
        <f t="shared" si="93"/>
        <v/>
      </c>
      <c r="GU66" s="560">
        <f>IF(GK66="P",Lookup!$N$12,IF(GK66="PP",Lookup!$N$13,IF(GK66="PPP",Lookup!$N$14,IF(GK66="T",Lookup!$N$15,IF(GK66="TP",Lookup!$N$16,IF(GK66="TPP",Lookup!$N$17,IF(GK66="TPPP",Lookup!$N$18,0)))))))*GJ66</f>
        <v>0</v>
      </c>
      <c r="GV66" s="560">
        <f t="shared" si="57"/>
        <v>0</v>
      </c>
      <c r="GW66" s="560">
        <f t="shared" si="231"/>
        <v>154.24540444444446</v>
      </c>
      <c r="GX66" s="560">
        <f t="shared" si="100"/>
        <v>50.275555555555556</v>
      </c>
      <c r="GY66" s="560"/>
      <c r="GZ66" s="560">
        <f t="shared" si="94"/>
        <v>0</v>
      </c>
      <c r="HA66" s="560" t="str">
        <f t="shared" si="95"/>
        <v/>
      </c>
      <c r="HB66" s="560">
        <f>IF(GK66="P",Lookup!$N$12,IF(GK66="PP",Lookup!$N$13,IF(GK66="PPP",Lookup!$N$14,IF(GK66="T",Lookup!$N$15,IF(GK66="TP",Lookup!$N$16,IF(GK66="TPP",Lookup!$N$17,IF(GK66="TPPP",Lookup!$N$18,0)))))))*GJ66</f>
        <v>0</v>
      </c>
      <c r="HC66" s="545">
        <f t="shared" si="232"/>
        <v>0</v>
      </c>
      <c r="HD66" s="560">
        <f t="shared" si="233"/>
        <v>123.65297986194606</v>
      </c>
      <c r="HE66" s="560">
        <f t="shared" si="101"/>
        <v>40.304100346136266</v>
      </c>
      <c r="HF66" s="560"/>
      <c r="HG66" s="560">
        <f t="shared" si="96"/>
        <v>0</v>
      </c>
      <c r="HH66" s="560" t="str">
        <f t="shared" si="97"/>
        <v/>
      </c>
      <c r="HI66" s="560">
        <f>IF(GK66="P",Lookup!$N$12,IF(GK66="PP",Lookup!$N$13,IF(GK66="PPP",Lookup!$N$14,IF(GK66="T",Lookup!$N$15,IF(GK66="TP",Lookup!$N$16,IF(GK66="TPP",Lookup!$N$17,IF(GK66="TPPP",Lookup!$N$18,0)))))))*GJ66</f>
        <v>0</v>
      </c>
      <c r="HJ66" s="545">
        <f t="shared" si="234"/>
        <v>0</v>
      </c>
      <c r="HK66" s="560">
        <f t="shared" si="235"/>
        <v>92.273963608233089</v>
      </c>
      <c r="HL66" s="560">
        <f t="shared" si="102"/>
        <v>30.076259324717434</v>
      </c>
      <c r="HM66" s="560"/>
    </row>
    <row r="67" spans="1:272">
      <c r="A67" s="580" t="s">
        <v>5</v>
      </c>
      <c r="B67" s="556">
        <v>41695</v>
      </c>
      <c r="C67" s="561">
        <v>0</v>
      </c>
      <c r="D67" s="529">
        <f t="shared" si="103"/>
        <v>300</v>
      </c>
      <c r="E67" s="529">
        <f t="shared" si="104"/>
        <v>250</v>
      </c>
      <c r="F67" s="529">
        <v>250</v>
      </c>
      <c r="G67" s="560">
        <f>DR67+Sheet1!CZ69</f>
        <v>990.30307614754406</v>
      </c>
      <c r="H67" s="914">
        <f t="shared" si="2"/>
        <v>373.16870842177246</v>
      </c>
      <c r="I67" s="559">
        <f>MAX(Sheet1!Z69-AT67+(Sheet1!DA69-E67)*CFStoMGD,0)</f>
        <v>1110.0159999999998</v>
      </c>
      <c r="J67" s="562">
        <f>IF(AND(B67&gt;=Calculation!GC67,B67&lt;=Calculation!GD67),IF(Sheet1!DB69&gt;=Calculation!D67,64.64,0),MAX(Sheet1!Z69-AT67+(Sheet1!DB69-D67)*CFStoMGD,0))</f>
        <v>64.64</v>
      </c>
      <c r="K67" s="904">
        <f t="shared" si="171"/>
        <v>64.64</v>
      </c>
      <c r="L67" s="560">
        <f>Sheet1!AA69+Sheet1!AB69-Sheet1!L69+(Sheet1!DA69-F67)*CFStoMGD</f>
        <v>1092.4159999999999</v>
      </c>
      <c r="M67" s="560">
        <f t="shared" si="172"/>
        <v>652.9345465902079</v>
      </c>
      <c r="N67" s="910">
        <f>IF(Sheet1!DA69&gt;=F67,MIN(73,MIN(MAX(L67,0),MAX(M67,0))),0)</f>
        <v>73</v>
      </c>
      <c r="O67" s="563">
        <f>Sheet1!AA69+Sheet1!AB69</f>
        <v>44</v>
      </c>
      <c r="P67" s="563">
        <f t="shared" si="173"/>
        <v>68.067999999999998</v>
      </c>
      <c r="Q67" s="898">
        <f t="shared" si="63"/>
        <v>35.99</v>
      </c>
      <c r="R67" s="829">
        <f t="shared" si="174"/>
        <v>8.0075734625870947</v>
      </c>
      <c r="S67" s="898">
        <f t="shared" si="65"/>
        <v>8.01</v>
      </c>
      <c r="T67" s="898">
        <f t="shared" si="66"/>
        <v>56.63</v>
      </c>
      <c r="U67" s="898">
        <f t="shared" si="6"/>
        <v>0</v>
      </c>
      <c r="V67" s="898"/>
      <c r="W67" s="898">
        <f t="shared" si="67"/>
        <v>56.632426537412904</v>
      </c>
      <c r="X67" s="898">
        <f t="shared" si="68"/>
        <v>64.64</v>
      </c>
      <c r="Y67" s="898" t="str">
        <f t="shared" si="69"/>
        <v>FALSE</v>
      </c>
      <c r="Z67" s="898">
        <f t="shared" si="70"/>
        <v>44</v>
      </c>
      <c r="AA67" s="898">
        <f t="shared" si="71"/>
        <v>44</v>
      </c>
      <c r="AB67" s="898" t="str">
        <f t="shared" si="72"/>
        <v/>
      </c>
      <c r="AC67" s="563">
        <f>Sheet1!Y69*MGDtoCFS</f>
        <v>32.177599999999998</v>
      </c>
      <c r="AD67" s="563">
        <f>Sheet1!Z69*MGDtoCFS</f>
        <v>27.2272</v>
      </c>
      <c r="AE67" s="563">
        <f>Sheet1!AA69*MGDtoCFS</f>
        <v>32.332299999999996</v>
      </c>
      <c r="AF67" s="563">
        <f>Sheet1!AB69*MGDtoCFS</f>
        <v>35.735700000000001</v>
      </c>
      <c r="AG67" s="563">
        <f>Sheet1!L69*MGDtoCFS</f>
        <v>68.067999999999998</v>
      </c>
      <c r="AH67" s="545">
        <f t="shared" si="175"/>
        <v>0</v>
      </c>
      <c r="AI67" s="560">
        <f t="shared" si="176"/>
        <v>0</v>
      </c>
      <c r="AJ67" s="560">
        <f t="shared" si="177"/>
        <v>56.632426537412904</v>
      </c>
      <c r="AK67" s="560">
        <f t="shared" si="178"/>
        <v>87.610363853377763</v>
      </c>
      <c r="AL67" s="560">
        <f>(VLOOKUP(Sheet1!DC69,hhdcap_wcm,4)-(((VLOOKUP(Sheet1!DC69,hhdcap_wcm,3)-Sheet1!DC69)/(VLOOKUP(Sheet1!DC69,hhdcap_wcm,3)-VLOOKUP(Sheet1!DC69,hhdcap_wcm,1)))*(VLOOKUP(Sheet1!DC69,hhdcap_wcm,4)-VLOOKUP(Sheet1!DC69,hhdcap_wcm,2))))</f>
        <v>2621.6000000063505</v>
      </c>
      <c r="AM67" s="560">
        <f t="shared" si="179"/>
        <v>304.0000000005798</v>
      </c>
      <c r="AN67" s="560">
        <f t="shared" si="180"/>
        <v>285.02167509715548</v>
      </c>
      <c r="AO67" s="560">
        <f t="shared" si="181"/>
        <v>874.44649919807307</v>
      </c>
      <c r="AP67" s="560">
        <f>Sheet1!BA69+Sheet1!BB69+Sheet1!BN69+CD67</f>
        <v>15.097</v>
      </c>
      <c r="AQ67" s="560">
        <f>Sheet1!BN69+(DO67*Sheet1!BN69)</f>
        <v>14.095728567100879</v>
      </c>
      <c r="AR67" s="560">
        <f>Sheet1!BA69+CD67</f>
        <v>0</v>
      </c>
      <c r="AS67" s="560">
        <f>Sheet1!BA69+Sheet1!BB69+CD67</f>
        <v>0.997</v>
      </c>
      <c r="AT67" s="698">
        <f>0</f>
        <v>0</v>
      </c>
      <c r="AU67" s="560">
        <f>IF(EB67&lt;K67,0,MAX(Sheet1!AA69+AQ67-15/36*K67-N67,Sheet1!EH69,0))</f>
        <v>0</v>
      </c>
      <c r="AV67" s="560">
        <f>IF(OR(B67&gt;=GD67,B67&lt;GC67),0,15/36*K67-MAX(0,64.6-(137.6-(Sheet1!AA69+Sheet1!AB69))))</f>
        <v>26.933333333333334</v>
      </c>
      <c r="AW67" s="698">
        <f>Sheet1!DB69-110</f>
        <v>787</v>
      </c>
      <c r="AX67" s="698">
        <f>Sheet1!DA69-265</f>
        <v>1675</v>
      </c>
      <c r="AY67" s="698">
        <f t="shared" si="182"/>
        <v>37.01</v>
      </c>
      <c r="AZ67" s="698">
        <v>0</v>
      </c>
      <c r="BA67" s="698">
        <f t="shared" si="183"/>
        <v>0</v>
      </c>
      <c r="BB67" s="560">
        <f t="shared" si="184"/>
        <v>134.66666666666666</v>
      </c>
      <c r="BC67" s="560"/>
      <c r="BD67" s="560">
        <f ca="1">IF(B67&gt;Summary!$A$1,#N/A,BB67*MGtoAF)</f>
        <v>413.15733333333333</v>
      </c>
      <c r="BE67" s="560">
        <f>Sheet1!BG69+Sheet1!BH69+Sheet1!BI69-BM67</f>
        <v>0</v>
      </c>
      <c r="BF67" s="560">
        <f t="shared" si="185"/>
        <v>0</v>
      </c>
      <c r="BG67" s="560">
        <f>IF(Sheet1!EP69="FM",BM67,0)</f>
        <v>0</v>
      </c>
      <c r="BH67" s="560">
        <f t="shared" si="186"/>
        <v>0</v>
      </c>
      <c r="BI67" s="560">
        <f>IF(Sheet1!EP69="OTHER",BM67,0)</f>
        <v>0</v>
      </c>
      <c r="BJ67" s="560">
        <f t="shared" si="187"/>
        <v>0</v>
      </c>
      <c r="BK67" s="560">
        <f t="shared" si="188"/>
        <v>0</v>
      </c>
      <c r="BL67" s="560">
        <f t="shared" si="189"/>
        <v>0</v>
      </c>
      <c r="BM67" s="560">
        <f>IF(OR(Sheet1!EP69="FM", Sheet1!EP69="OTHER"),SUM(Sheet1!BG69:'Sheet1'!BI69),0)</f>
        <v>0</v>
      </c>
      <c r="BN67" s="545">
        <f>IF(AND($B67&gt;=$FV67,$B67&lt;=$FW67),MAX(BF67,Sheet1!EI69,0),MAX(BF67-(7/36)*$K67,0))</f>
        <v>0</v>
      </c>
      <c r="BO67" s="560">
        <f t="shared" si="190"/>
        <v>12.568888888888889</v>
      </c>
      <c r="BP67" s="545">
        <f t="shared" si="191"/>
        <v>0</v>
      </c>
      <c r="BQ67" s="545">
        <f>IF(AND($O67&gt;0,Sheet1!EM69=1),(1-($O67-Sheet1!$L69)/$O67)*BL67,0)</f>
        <v>0</v>
      </c>
      <c r="BR67" s="545">
        <f>IF(AND(Sheet1!$L69=0,Sheet1!$L68=0, Calculation!BK67&lt;Sheet1!$EI69-0.1,Sheet1!$EI69=Sheet1!$EI68,Sheet1!$EI69=Sheet1!$EI70),Sheet1!$EI69,BL67-BQ67)</f>
        <v>0</v>
      </c>
      <c r="BS67" s="560"/>
      <c r="BT67" s="560"/>
      <c r="BU67" s="560">
        <f t="shared" si="192"/>
        <v>62.844444444444449</v>
      </c>
      <c r="BV67" s="560"/>
      <c r="BW67" s="560">
        <f ca="1">IF(B67&gt;Summary!$A$1,#N/A,BU67*MGtoAF)</f>
        <v>192.80675555555558</v>
      </c>
      <c r="BX67" s="560">
        <f>Sheet1!BC69+Sheet1!BD69+Sheet1!BE69+Sheet1!BF69-CG67-CH67</f>
        <v>2.5</v>
      </c>
      <c r="BY67" s="560">
        <f t="shared" si="193"/>
        <v>2.4992426537412906</v>
      </c>
      <c r="BZ67" s="560">
        <f>IF(Sheet1!EQ69="FM",CH67,0)</f>
        <v>0</v>
      </c>
      <c r="CA67" s="560">
        <f t="shared" si="194"/>
        <v>0</v>
      </c>
      <c r="CB67" s="560">
        <f>IF(Sheet1!EQ69="OTHER",CH67,0)</f>
        <v>0</v>
      </c>
      <c r="CC67" s="560">
        <f t="shared" si="195"/>
        <v>0</v>
      </c>
      <c r="CD67" s="560">
        <f t="shared" si="196"/>
        <v>0</v>
      </c>
      <c r="CE67" s="560">
        <f t="shared" si="197"/>
        <v>2.5</v>
      </c>
      <c r="CF67" s="560">
        <f t="shared" si="198"/>
        <v>2.4992426537412906</v>
      </c>
      <c r="CG67" s="560">
        <f>IF(Sheet1!EQ69="CWA",SUM(Sheet1!BC69:'Sheet1'!BF69),0)</f>
        <v>0</v>
      </c>
      <c r="CH67" s="560">
        <f>IF(OR(Sheet1!EQ69="FM", Sheet1!EQ69="OTHER"),SUM(Sheet1!BC69:'Sheet1'!BF69),0)</f>
        <v>0</v>
      </c>
      <c r="CI67" s="545">
        <f>IF(AND($B67&gt;=$FV67,$B67&lt;=$FW67),MAX(CF67,Sheet1!EJ69,0),MAX(CF67-(7/36)*$K67,0))</f>
        <v>0</v>
      </c>
      <c r="CJ67" s="560">
        <f t="shared" si="199"/>
        <v>10.069646235147598</v>
      </c>
      <c r="CK67" s="545">
        <f t="shared" si="200"/>
        <v>2.4992426537412906</v>
      </c>
      <c r="CL67" s="545">
        <f>IF(AND($O67&gt;0,Sheet1!EN69=1),(1-($O67-Sheet1!$L69)/$O67)*CF67,0)</f>
        <v>0</v>
      </c>
      <c r="CM67" s="545">
        <f>IF(AND(Sheet1!$L69=0,Sheet1!$L68=0, Calculation!CE67&lt;Sheet1!EJ69-0.1,Sheet1!EJ69=Sheet1!EJ68,Sheet1!EJ69=Sheet1!EJ70),Sheet1!EJ69,CF67-CL67)</f>
        <v>2.4992426537412906</v>
      </c>
      <c r="CN67" s="545"/>
      <c r="CO67" s="560"/>
      <c r="CP67" s="560">
        <f t="shared" si="201"/>
        <v>50.373746581283868</v>
      </c>
      <c r="CQ67" s="560"/>
      <c r="CR67" s="560">
        <f ca="1">IF(B67&gt;Summary!$A$1,#N/A,CP67*MGtoAF)</f>
        <v>154.5466545113789</v>
      </c>
      <c r="CS67" s="560">
        <f>Sheet1!BK69+Sheet1!BL69+Sheet1!BM69-Sheet1!ER69-DA67</f>
        <v>5.51</v>
      </c>
      <c r="CT67" s="560">
        <f t="shared" si="202"/>
        <v>5.5083308088458045</v>
      </c>
      <c r="CU67" s="560">
        <f>IF(Sheet1!ER69="FM",DA67,0)</f>
        <v>0</v>
      </c>
      <c r="CV67" s="560">
        <f t="shared" si="203"/>
        <v>0</v>
      </c>
      <c r="CW67" s="560">
        <f>IF(Sheet1!ER69="OTHER",DA67,0)</f>
        <v>0</v>
      </c>
      <c r="CX67" s="560">
        <f t="shared" si="204"/>
        <v>0</v>
      </c>
      <c r="CY67" s="560">
        <f t="shared" si="205"/>
        <v>5.51</v>
      </c>
      <c r="CZ67" s="560">
        <f t="shared" si="206"/>
        <v>5.5083308088458045</v>
      </c>
      <c r="DA67" s="560">
        <f>IF(OR(Sheet1!ER69="FM", Sheet1!ER69="OTHER"),SUM(Sheet1!BK69:'Sheet1'!BM69),0)</f>
        <v>0</v>
      </c>
      <c r="DB67" s="545">
        <f>IF(AND($B67&gt;=$FV67,$B67&lt;=$FW67),MAX($CT67,Sheet1!EK69,0),MAX($CT67-(7/36)*$K67,0))</f>
        <v>0</v>
      </c>
      <c r="DC67" s="560">
        <f t="shared" si="207"/>
        <v>7.0605580800430845</v>
      </c>
      <c r="DD67" s="545">
        <f t="shared" si="208"/>
        <v>5.5083308088458045</v>
      </c>
      <c r="DE67" s="545">
        <f>IF(AND($O67&gt;0,Sheet1!EO69=1),(1-($O67-Sheet1!$L69)/$O67)*CZ67,0)</f>
        <v>0</v>
      </c>
      <c r="DF67" s="545">
        <f>IF(AND(Sheet1!$L69=0,Sheet1!$L68=0, Calculation!CY67&lt;Sheet1!$EK69-0.1,Sheet1!$EK69=Sheet1!$EK68,Sheet1!$EK69=Sheet1!$EK70),Sheet1!$EK69,CZ67-DE67)</f>
        <v>5.5083308088458045</v>
      </c>
      <c r="DG67" s="545"/>
      <c r="DH67" s="560">
        <f t="shared" si="209"/>
        <v>8.01</v>
      </c>
      <c r="DI67" s="560">
        <f t="shared" si="210"/>
        <v>37.136817404760521</v>
      </c>
      <c r="DJ67" s="698">
        <f t="shared" si="211"/>
        <v>8.0075734625870947</v>
      </c>
      <c r="DK67" s="560">
        <f ca="1">IF(B67&gt;Summary!$A$1,#N/A,DI67*MGtoAF)</f>
        <v>113.93575579780529</v>
      </c>
      <c r="DL67" s="698">
        <f t="shared" si="212"/>
        <v>8.01</v>
      </c>
      <c r="DM67" s="560">
        <f t="shared" si="213"/>
        <v>23.106999999999999</v>
      </c>
      <c r="DN67" s="560">
        <f>Sheet1!AB69-DM67</f>
        <v>-6.9999999999978968E-3</v>
      </c>
      <c r="DO67" s="823">
        <f t="shared" si="214"/>
        <v>-3.0293850348370177E-4</v>
      </c>
      <c r="DP67" s="560">
        <f>(VLOOKUP(Sheet1!DC69,hhdcap_wcm,4)-(((VLOOKUP(Sheet1!DC69,hhdcap_wcm,3)-Sheet1!DC69)/(VLOOKUP(Sheet1!DC69,hhdcap_wcm,3)-VLOOKUP(Sheet1!DC69,hhdcap_wcm,1)))*(VLOOKUP(Sheet1!DC69,hhdcap_wcm,4)-VLOOKUP(Sheet1!DC69,hhdcap_wcm,2))))</f>
        <v>2621.6000000063505</v>
      </c>
      <c r="DQ67" s="560">
        <f t="shared" si="215"/>
        <v>304.0000000005798</v>
      </c>
      <c r="DR67" s="560">
        <f t="shared" si="216"/>
        <v>153.303076147544</v>
      </c>
      <c r="DS67" s="560">
        <f>Sheet1!EA69*AFtoMG</f>
        <v>0</v>
      </c>
      <c r="DT67" s="560">
        <f>Sheet1!EB69*AFtoMG</f>
        <v>0</v>
      </c>
      <c r="DU67" s="560">
        <f>Sheet1!EC69*AFtoMG</f>
        <v>0</v>
      </c>
      <c r="DV67" s="560">
        <f>Sheet1!ED69*AFtoMG</f>
        <v>0</v>
      </c>
      <c r="DW67" s="560">
        <f t="shared" si="217"/>
        <v>0</v>
      </c>
      <c r="DX67" s="560">
        <f t="shared" si="218"/>
        <v>0</v>
      </c>
      <c r="DY67" s="560">
        <f t="shared" si="219"/>
        <v>285.02167509715548</v>
      </c>
      <c r="DZ67" s="560">
        <f t="shared" si="220"/>
        <v>874.44649919807307</v>
      </c>
      <c r="EA67" s="560"/>
      <c r="EB67" s="545">
        <f>IF(OR(B67&lt;FV67,B67&gt;FW67),(MIN(BF67+BY67+CT67+MAX(Sheet1!AA69+AQ67-73,0),K67)),0)</f>
        <v>8.0075734625870947</v>
      </c>
      <c r="EC67" s="560"/>
      <c r="ED67" s="560">
        <f t="shared" si="221"/>
        <v>8.0075734625870947</v>
      </c>
      <c r="EE67" s="560"/>
      <c r="EF67" s="560">
        <f>Sheet1!EH69+Sheet1!EI69+Sheet1!EJ69+Sheet1!EK69</f>
        <v>8.01</v>
      </c>
      <c r="EG67" s="560"/>
      <c r="EH67" s="545">
        <f t="shared" si="222"/>
        <v>0</v>
      </c>
      <c r="EI67" s="560">
        <f>IF(Sheet1!ET69=1,SUM('Calculations II'!AT67:BA67)+'Calculations II'!BC67+Sheet1!BV69+'Calculations II'!BE67+AP67,SUM('Calculations II'!AT67:BA67)+'Calculations II'!BC67+Sheet1!BV69+'Calculations II'!BE67+AP67)</f>
        <v>47.428336000000002</v>
      </c>
      <c r="EJ67" s="560">
        <f>Sheet1!AA69+Sheet1!AB69+'Calculations II'!BC67</f>
        <v>49.423183999999999</v>
      </c>
      <c r="EK67" s="560"/>
      <c r="EL67" s="560"/>
      <c r="EM67" s="560">
        <f t="shared" si="223"/>
        <v>41695</v>
      </c>
      <c r="EN67" s="560">
        <f t="shared" si="224"/>
        <v>56.632426537412904</v>
      </c>
      <c r="EO67" s="560">
        <f t="shared" si="225"/>
        <v>87.610363853377763</v>
      </c>
      <c r="EP67" s="560">
        <v>0</v>
      </c>
      <c r="EQ67" s="560">
        <v>0</v>
      </c>
      <c r="ER67" s="560">
        <v>0</v>
      </c>
      <c r="ES67" s="545">
        <f t="shared" si="77"/>
        <v>3.4634396229099522</v>
      </c>
      <c r="ET67" s="560">
        <f>-(VLOOKUP(Sheet1!BQ69,Lookup!$O$4:$Q$262,2)-VLOOKUP(Sheet1!BQ68,Lookup!$O$4:$Q$262,2))/1000000</f>
        <v>1.6624710156230107</v>
      </c>
      <c r="EU67" s="560">
        <f>-(VLOOKUP(Sheet1!BR69,Lookup!$O$4:$Q$262,3)-VLOOKUP(Sheet1!BR68,Lookup!$O$4:$Q$262,3))/1000000</f>
        <v>1.8009686072869413</v>
      </c>
      <c r="EV67" s="560"/>
      <c r="EW67" s="560"/>
      <c r="EX67" s="560"/>
      <c r="EY67" s="560"/>
      <c r="EZ67" s="560"/>
      <c r="FA67" s="560"/>
      <c r="FB67" s="560"/>
      <c r="FC67" s="560"/>
      <c r="FD67" s="594" t="e">
        <f t="shared" si="226"/>
        <v>#N/A</v>
      </c>
      <c r="FE67" s="594" t="e">
        <f t="shared" si="227"/>
        <v>#N/A</v>
      </c>
      <c r="FF67" s="595" t="e">
        <f t="shared" si="228"/>
        <v>#N/A</v>
      </c>
      <c r="FG67" s="596" t="s">
        <v>692</v>
      </c>
      <c r="FH67" s="596" t="s">
        <v>692</v>
      </c>
      <c r="FI67" s="594" t="e">
        <v>#N/A</v>
      </c>
      <c r="FJ67" s="594" t="e">
        <v>#N/A</v>
      </c>
      <c r="FK67" s="560"/>
      <c r="FL67" s="560"/>
      <c r="FM67" s="560"/>
      <c r="FN67" s="560"/>
      <c r="FO67" s="560">
        <f>O67+((Sheet1!CS69)*GPMtoMGD)</f>
        <v>49.423183999999999</v>
      </c>
      <c r="FP67" s="560">
        <f>IF(Sheet1!AA69+AQ67&lt;=Calculation!N67,AQ67,Calculation!N67-Sheet1!AA69)</f>
        <v>14.095728567100879</v>
      </c>
      <c r="FQ67" s="560">
        <f>(Sheet1!BP69+Sheet1!BO69)/694.4</f>
        <v>1.4860311059907836</v>
      </c>
      <c r="FR67" s="560"/>
      <c r="FS67" s="560"/>
      <c r="FT67" s="560"/>
      <c r="FU67" s="560"/>
      <c r="FV67" s="695">
        <f t="shared" si="80"/>
        <v>41827</v>
      </c>
      <c r="FW67" s="695">
        <f t="shared" si="81"/>
        <v>41934</v>
      </c>
      <c r="FX67" s="560"/>
      <c r="FY67" s="560"/>
      <c r="FZ67" s="560"/>
      <c r="GA67" s="560"/>
      <c r="GB67" s="560" t="str">
        <f t="shared" si="82"/>
        <v>n</v>
      </c>
      <c r="GC67" s="564">
        <f t="shared" si="83"/>
        <v>41691</v>
      </c>
      <c r="GD67" s="695">
        <f t="shared" si="84"/>
        <v>41807</v>
      </c>
      <c r="GE67" s="560">
        <v>6518.9</v>
      </c>
      <c r="GF67" s="695">
        <f t="shared" si="85"/>
        <v>41808</v>
      </c>
      <c r="GG67" s="560">
        <f t="shared" si="163"/>
        <v>3259</v>
      </c>
      <c r="GH67" s="564">
        <f t="shared" si="87"/>
        <v>41934</v>
      </c>
      <c r="GJ67" s="545">
        <f t="shared" si="88"/>
        <v>0</v>
      </c>
      <c r="GK67" s="560" t="str">
        <f t="shared" si="229"/>
        <v/>
      </c>
      <c r="GL67" s="560">
        <f t="shared" si="89"/>
        <v>0</v>
      </c>
      <c r="GM67" s="560" t="str">
        <f t="shared" si="90"/>
        <v/>
      </c>
      <c r="GN67" s="560">
        <f>IF(GK67="P",Lookup!$M$12,IF(GK67="PP",Lookup!$M$13,IF(GK67="PPP",Lookup!$M$14,IF(GK67="T",Lookup!$M$15,IF(GK67="TP",Lookup!$M$16,IF(GK67="TPP",Lookup!$M$17,IF(GK67="TPPP",Lookup!$M$18,0)))))))*GJ67</f>
        <v>0</v>
      </c>
      <c r="GO67" s="560">
        <f t="shared" si="91"/>
        <v>0</v>
      </c>
      <c r="GP67" s="560">
        <f t="shared" si="230"/>
        <v>413.15733333333333</v>
      </c>
      <c r="GQ67" s="560">
        <f t="shared" si="99"/>
        <v>134.66666666666666</v>
      </c>
      <c r="GR67" s="560"/>
      <c r="GS67" s="560">
        <f t="shared" si="92"/>
        <v>0</v>
      </c>
      <c r="GT67" s="560" t="str">
        <f t="shared" si="93"/>
        <v/>
      </c>
      <c r="GU67" s="560">
        <f>IF(GK67="P",Lookup!$N$12,IF(GK67="PP",Lookup!$N$13,IF(GK67="PPP",Lookup!$N$14,IF(GK67="T",Lookup!$N$15,IF(GK67="TP",Lookup!$N$16,IF(GK67="TPP",Lookup!$N$17,IF(GK67="TPPP",Lookup!$N$18,0)))))))*GJ67</f>
        <v>0</v>
      </c>
      <c r="GV67" s="560">
        <f t="shared" si="57"/>
        <v>0</v>
      </c>
      <c r="GW67" s="560">
        <f t="shared" si="231"/>
        <v>192.80675555555558</v>
      </c>
      <c r="GX67" s="560">
        <f t="shared" si="100"/>
        <v>62.844444444444449</v>
      </c>
      <c r="GY67" s="560"/>
      <c r="GZ67" s="560">
        <f t="shared" si="94"/>
        <v>0</v>
      </c>
      <c r="HA67" s="560" t="str">
        <f t="shared" si="95"/>
        <v/>
      </c>
      <c r="HB67" s="560">
        <f>IF(GK67="P",Lookup!$N$12,IF(GK67="PP",Lookup!$N$13,IF(GK67="PPP",Lookup!$N$14,IF(GK67="T",Lookup!$N$15,IF(GK67="TP",Lookup!$N$16,IF(GK67="TPP",Lookup!$N$17,IF(GK67="TPPP",Lookup!$N$18,0)))))))*GJ67</f>
        <v>0</v>
      </c>
      <c r="HC67" s="545">
        <f t="shared" si="232"/>
        <v>0</v>
      </c>
      <c r="HD67" s="560">
        <f t="shared" si="233"/>
        <v>154.5466545113789</v>
      </c>
      <c r="HE67" s="560">
        <f t="shared" si="101"/>
        <v>50.373746581283868</v>
      </c>
      <c r="HF67" s="560"/>
      <c r="HG67" s="560">
        <f t="shared" si="96"/>
        <v>0</v>
      </c>
      <c r="HH67" s="560" t="str">
        <f t="shared" si="97"/>
        <v/>
      </c>
      <c r="HI67" s="560">
        <f>IF(GK67="P",Lookup!$N$12,IF(GK67="PP",Lookup!$N$13,IF(GK67="PPP",Lookup!$N$14,IF(GK67="T",Lookup!$N$15,IF(GK67="TP",Lookup!$N$16,IF(GK67="TPP",Lookup!$N$17,IF(GK67="TPPP",Lookup!$N$18,0)))))))*GJ67</f>
        <v>0</v>
      </c>
      <c r="HJ67" s="545">
        <f t="shared" si="234"/>
        <v>0</v>
      </c>
      <c r="HK67" s="560">
        <f t="shared" si="235"/>
        <v>113.93575579780529</v>
      </c>
      <c r="HL67" s="560">
        <f t="shared" si="102"/>
        <v>37.136817404760521</v>
      </c>
      <c r="HM67" s="560"/>
    </row>
    <row r="68" spans="1:272">
      <c r="A68" s="580" t="s">
        <v>6</v>
      </c>
      <c r="B68" s="556">
        <v>41696</v>
      </c>
      <c r="C68" s="561">
        <v>0</v>
      </c>
      <c r="D68" s="529">
        <f t="shared" si="103"/>
        <v>300</v>
      </c>
      <c r="E68" s="529">
        <f t="shared" si="104"/>
        <v>250</v>
      </c>
      <c r="F68" s="529">
        <v>250</v>
      </c>
      <c r="G68" s="560">
        <f>DR68+Sheet1!CZ70</f>
        <v>925.18759455398981</v>
      </c>
      <c r="H68" s="914">
        <f t="shared" si="2"/>
        <v>331.07806111969899</v>
      </c>
      <c r="I68" s="559">
        <f>MAX(Sheet1!Z70-AT68+(Sheet1!DA70-E68)*CFStoMGD,0)</f>
        <v>996.96399999999994</v>
      </c>
      <c r="J68" s="562">
        <f>IF(AND(B68&gt;=Calculation!GC68,B68&lt;=Calculation!GD68),IF(Sheet1!DB70&gt;=Calculation!D68,64.64,0),MAX(Sheet1!Z70-AT68+(Sheet1!DB70-D68)*CFStoMGD,0))</f>
        <v>64.64</v>
      </c>
      <c r="K68" s="904">
        <f t="shared" si="171"/>
        <v>64.64</v>
      </c>
      <c r="L68" s="560">
        <f>Sheet1!AA70+Sheet1!AB70-Sheet1!L70+(Sheet1!DA70-F68)*CFStoMGD</f>
        <v>976.06399999999996</v>
      </c>
      <c r="M68" s="560">
        <f t="shared" si="172"/>
        <v>610.00208634209298</v>
      </c>
      <c r="N68" s="910">
        <f>IF(Sheet1!DA70&gt;=F68,MIN(73,MIN(MAX(L68,0),MAX(M68,0))),0)</f>
        <v>73</v>
      </c>
      <c r="O68" s="563">
        <f>Sheet1!AA70+Sheet1!AB70</f>
        <v>45.5</v>
      </c>
      <c r="P68" s="563">
        <f t="shared" si="173"/>
        <v>70.388499999999993</v>
      </c>
      <c r="Q68" s="898">
        <f t="shared" si="63"/>
        <v>37.49</v>
      </c>
      <c r="R68" s="829">
        <f t="shared" si="174"/>
        <v>7.9738473868477664</v>
      </c>
      <c r="S68" s="898">
        <f t="shared" si="65"/>
        <v>8.01</v>
      </c>
      <c r="T68" s="898">
        <f t="shared" si="66"/>
        <v>56.63</v>
      </c>
      <c r="U68" s="898">
        <f t="shared" si="6"/>
        <v>0</v>
      </c>
      <c r="V68" s="898"/>
      <c r="W68" s="898">
        <f t="shared" si="67"/>
        <v>56.666152613152235</v>
      </c>
      <c r="X68" s="898">
        <f t="shared" si="68"/>
        <v>64.64</v>
      </c>
      <c r="Y68" s="898" t="str">
        <f t="shared" si="69"/>
        <v>FALSE</v>
      </c>
      <c r="Z68" s="898">
        <f t="shared" si="70"/>
        <v>45.5</v>
      </c>
      <c r="AA68" s="898">
        <f t="shared" si="71"/>
        <v>45.5</v>
      </c>
      <c r="AB68" s="898" t="str">
        <f t="shared" si="72"/>
        <v/>
      </c>
      <c r="AC68" s="563">
        <f>Sheet1!Y70*MGDtoCFS</f>
        <v>35.735700000000001</v>
      </c>
      <c r="AD68" s="563">
        <f>Sheet1!Z70*MGDtoCFS</f>
        <v>32.332299999999996</v>
      </c>
      <c r="AE68" s="563">
        <f>Sheet1!AA70*MGDtoCFS</f>
        <v>33.879299999999994</v>
      </c>
      <c r="AF68" s="563">
        <f>Sheet1!AB70*MGDtoCFS</f>
        <v>36.5092</v>
      </c>
      <c r="AG68" s="563">
        <f>Sheet1!L70*MGDtoCFS</f>
        <v>70.388499999999993</v>
      </c>
      <c r="AH68" s="545">
        <f t="shared" si="175"/>
        <v>0</v>
      </c>
      <c r="AI68" s="560">
        <f t="shared" si="176"/>
        <v>0</v>
      </c>
      <c r="AJ68" s="560">
        <f t="shared" si="177"/>
        <v>56.666152613152235</v>
      </c>
      <c r="AK68" s="560">
        <f t="shared" si="178"/>
        <v>87.662538092546498</v>
      </c>
      <c r="AL68" s="560">
        <f>(VLOOKUP(Sheet1!DC70,hhdcap_wcm,4)-(((VLOOKUP(Sheet1!DC70,hhdcap_wcm,3)-Sheet1!DC70)/(VLOOKUP(Sheet1!DC70,hhdcap_wcm,3)-VLOOKUP(Sheet1!DC70,hhdcap_wcm,1)))*(VLOOKUP(Sheet1!DC70,hhdcap_wcm,4)-VLOOKUP(Sheet1!DC70,hhdcap_wcm,2))))</f>
        <v>2852.0000000069122</v>
      </c>
      <c r="AM68" s="560">
        <f t="shared" si="179"/>
        <v>230.4000000005617</v>
      </c>
      <c r="AN68" s="560">
        <f t="shared" si="180"/>
        <v>341.68782771030772</v>
      </c>
      <c r="AO68" s="560">
        <f t="shared" si="181"/>
        <v>1048.298255415224</v>
      </c>
      <c r="AP68" s="560">
        <f>Sheet1!BA70+Sheet1!BB70+Sheet1!BN70+CD68</f>
        <v>15.696999999999999</v>
      </c>
      <c r="AQ68" s="560">
        <f>Sheet1!BN70+(DO68*Sheet1!BN70)</f>
        <v>14.633652507698148</v>
      </c>
      <c r="AR68" s="560">
        <f>Sheet1!BA70+CD68</f>
        <v>0</v>
      </c>
      <c r="AS68" s="560">
        <f>Sheet1!BA70+Sheet1!BB70+CD68</f>
        <v>0.997</v>
      </c>
      <c r="AT68" s="698">
        <f>0</f>
        <v>0</v>
      </c>
      <c r="AU68" s="560">
        <f>IF(EB68&lt;K68,0,MAX(Sheet1!AA70+AQ68-15/36*K68-N68,Sheet1!EH70,0))</f>
        <v>0</v>
      </c>
      <c r="AV68" s="560">
        <f>IF(OR(B68&gt;=GD68,B68&lt;GC68),0,15/36*K68-MAX(0,64.6-(137.6-(Sheet1!AA70+Sheet1!AB70))))</f>
        <v>26.933333333333334</v>
      </c>
      <c r="AW68" s="698">
        <f>Sheet1!DB70-110</f>
        <v>750</v>
      </c>
      <c r="AX68" s="698">
        <f>Sheet1!DA70-265</f>
        <v>1495</v>
      </c>
      <c r="AY68" s="698">
        <f t="shared" si="182"/>
        <v>35.51</v>
      </c>
      <c r="AZ68" s="698">
        <v>0</v>
      </c>
      <c r="BA68" s="698">
        <f t="shared" si="183"/>
        <v>0</v>
      </c>
      <c r="BB68" s="560">
        <f t="shared" si="184"/>
        <v>161.6</v>
      </c>
      <c r="BC68" s="560"/>
      <c r="BD68" s="560">
        <f ca="1">IF(B68&gt;Summary!$A$1,#N/A,BB68*MGtoAF)</f>
        <v>495.78879999999998</v>
      </c>
      <c r="BE68" s="560">
        <f>Sheet1!BG70+Sheet1!BH70+Sheet1!BI70-BM68</f>
        <v>0</v>
      </c>
      <c r="BF68" s="560">
        <f t="shared" si="185"/>
        <v>0</v>
      </c>
      <c r="BG68" s="560">
        <f>IF(Sheet1!EP70="FM",BM68,0)</f>
        <v>0</v>
      </c>
      <c r="BH68" s="560">
        <f t="shared" si="186"/>
        <v>0</v>
      </c>
      <c r="BI68" s="560">
        <f>IF(Sheet1!EP70="OTHER",BM68,0)</f>
        <v>0</v>
      </c>
      <c r="BJ68" s="560">
        <f t="shared" si="187"/>
        <v>0</v>
      </c>
      <c r="BK68" s="560">
        <f t="shared" si="188"/>
        <v>0</v>
      </c>
      <c r="BL68" s="560">
        <f t="shared" si="189"/>
        <v>0</v>
      </c>
      <c r="BM68" s="560">
        <f>IF(OR(Sheet1!EP70="FM", Sheet1!EP70="OTHER"),SUM(Sheet1!BG70:'Sheet1'!BI70),0)</f>
        <v>0</v>
      </c>
      <c r="BN68" s="545">
        <f>IF(AND($B68&gt;=$FV68,$B68&lt;=$FW68),MAX(BF68,Sheet1!EI70,0),MAX(BF68-(7/36)*$K68,0))</f>
        <v>0</v>
      </c>
      <c r="BO68" s="560">
        <f t="shared" si="190"/>
        <v>12.568888888888889</v>
      </c>
      <c r="BP68" s="545">
        <f t="shared" si="191"/>
        <v>0</v>
      </c>
      <c r="BQ68" s="545">
        <f>IF(AND($O68&gt;0,Sheet1!EM70=1),(1-($O68-Sheet1!$L70)/$O68)*BL68,0)</f>
        <v>0</v>
      </c>
      <c r="BR68" s="545">
        <f>IF(AND(Sheet1!$L70=0,Sheet1!$L69=0, Calculation!BK68&lt;Sheet1!$EI70-0.1,Sheet1!$EI70=Sheet1!$EI69,Sheet1!$EI70=Sheet1!$EI71),Sheet1!$EI70,BL68-BQ68)</f>
        <v>0</v>
      </c>
      <c r="BS68" s="560"/>
      <c r="BT68" s="560"/>
      <c r="BU68" s="560">
        <f t="shared" si="192"/>
        <v>75.413333333333341</v>
      </c>
      <c r="BV68" s="560"/>
      <c r="BW68" s="560">
        <f ca="1">IF(B68&gt;Summary!$A$1,#N/A,BU68*MGtoAF)</f>
        <v>231.3681066666667</v>
      </c>
      <c r="BX68" s="560">
        <f>Sheet1!BC70+Sheet1!BD70+Sheet1!BE70+Sheet1!BF70-CG68-CH68</f>
        <v>2.5</v>
      </c>
      <c r="BY68" s="560">
        <f t="shared" si="193"/>
        <v>2.4887164128738348</v>
      </c>
      <c r="BZ68" s="560">
        <f>IF(Sheet1!EQ70="FM",CH68,0)</f>
        <v>0</v>
      </c>
      <c r="CA68" s="560">
        <f t="shared" si="194"/>
        <v>0</v>
      </c>
      <c r="CB68" s="560">
        <f>IF(Sheet1!EQ70="OTHER",CH68,0)</f>
        <v>0</v>
      </c>
      <c r="CC68" s="560">
        <f t="shared" si="195"/>
        <v>0</v>
      </c>
      <c r="CD68" s="560">
        <f t="shared" si="196"/>
        <v>0</v>
      </c>
      <c r="CE68" s="560">
        <f t="shared" si="197"/>
        <v>2.5</v>
      </c>
      <c r="CF68" s="560">
        <f t="shared" si="198"/>
        <v>2.4887164128738348</v>
      </c>
      <c r="CG68" s="560">
        <f>IF(Sheet1!EQ70="CWA",SUM(Sheet1!BC70:'Sheet1'!BF70),0)</f>
        <v>0</v>
      </c>
      <c r="CH68" s="560">
        <f>IF(OR(Sheet1!EQ70="FM", Sheet1!EQ70="OTHER"),SUM(Sheet1!BC70:'Sheet1'!BF70),0)</f>
        <v>0</v>
      </c>
      <c r="CI68" s="545">
        <f>IF(AND($B68&gt;=$FV68,$B68&lt;=$FW68),MAX(CF68,Sheet1!EJ70,0),MAX(CF68-(7/36)*$K68,0))</f>
        <v>0</v>
      </c>
      <c r="CJ68" s="560">
        <f t="shared" si="199"/>
        <v>10.080172476015054</v>
      </c>
      <c r="CK68" s="545">
        <f t="shared" si="200"/>
        <v>2.4887164128738348</v>
      </c>
      <c r="CL68" s="545">
        <f>IF(AND($O68&gt;0,Sheet1!EN70=1),(1-($O68-Sheet1!$L70)/$O68)*CF68,0)</f>
        <v>0</v>
      </c>
      <c r="CM68" s="545">
        <f>IF(AND(Sheet1!$L70=0,Sheet1!$L69=0, Calculation!CE68&lt;Sheet1!EJ70-0.1,Sheet1!EJ70=Sheet1!EJ69,Sheet1!EJ70=Sheet1!EJ71),Sheet1!EJ70,CF68-CL68)</f>
        <v>2.4887164128738348</v>
      </c>
      <c r="CN68" s="545"/>
      <c r="CO68" s="560"/>
      <c r="CP68" s="560">
        <f t="shared" si="201"/>
        <v>60.453919057298918</v>
      </c>
      <c r="CQ68" s="560"/>
      <c r="CR68" s="560">
        <f ca="1">IF(B68&gt;Summary!$A$1,#N/A,CP68*MGtoAF)</f>
        <v>185.47262366779307</v>
      </c>
      <c r="CS68" s="560">
        <f>Sheet1!BK70+Sheet1!BL70+Sheet1!BM70-Sheet1!ER70-DA68</f>
        <v>5.51</v>
      </c>
      <c r="CT68" s="560">
        <f t="shared" si="202"/>
        <v>5.4851309739739316</v>
      </c>
      <c r="CU68" s="560">
        <f>IF(Sheet1!ER70="FM",DA68,0)</f>
        <v>0</v>
      </c>
      <c r="CV68" s="560">
        <f t="shared" si="203"/>
        <v>0</v>
      </c>
      <c r="CW68" s="560">
        <f>IF(Sheet1!ER70="OTHER",DA68,0)</f>
        <v>0</v>
      </c>
      <c r="CX68" s="560">
        <f t="shared" si="204"/>
        <v>0</v>
      </c>
      <c r="CY68" s="560">
        <f t="shared" si="205"/>
        <v>5.51</v>
      </c>
      <c r="CZ68" s="560">
        <f t="shared" si="206"/>
        <v>5.4851309739739316</v>
      </c>
      <c r="DA68" s="560">
        <f>IF(OR(Sheet1!ER70="FM", Sheet1!ER70="OTHER"),SUM(Sheet1!BK70:'Sheet1'!BM70),0)</f>
        <v>0</v>
      </c>
      <c r="DB68" s="545">
        <f>IF(AND($B68&gt;=$FV68,$B68&lt;=$FW68),MAX($CT68,Sheet1!EK70,0),MAX($CT68-(7/36)*$K68,0))</f>
        <v>0</v>
      </c>
      <c r="DC68" s="560">
        <f t="shared" si="207"/>
        <v>7.0837579149149574</v>
      </c>
      <c r="DD68" s="545">
        <f t="shared" si="208"/>
        <v>5.4851309739739316</v>
      </c>
      <c r="DE68" s="545">
        <f>IF(AND($O68&gt;0,Sheet1!EO70=1),(1-($O68-Sheet1!$L70)/$O68)*CZ68,0)</f>
        <v>0</v>
      </c>
      <c r="DF68" s="545">
        <f>IF(AND(Sheet1!$L70=0,Sheet1!$L69=0, Calculation!CY68&lt;Sheet1!$EK70-0.1,Sheet1!$EK70=Sheet1!$EK69,Sheet1!$EK70=Sheet1!$EK71),Sheet1!$EK70,CZ68-DE68)</f>
        <v>5.4851309739739316</v>
      </c>
      <c r="DG68" s="545"/>
      <c r="DH68" s="560">
        <f t="shared" si="209"/>
        <v>8.01</v>
      </c>
      <c r="DI68" s="560">
        <f t="shared" si="210"/>
        <v>44.220575319675476</v>
      </c>
      <c r="DJ68" s="698">
        <f t="shared" si="211"/>
        <v>7.9738473868477664</v>
      </c>
      <c r="DK68" s="560">
        <f ca="1">IF(B68&gt;Summary!$A$1,#N/A,DI68*MGtoAF)</f>
        <v>135.66872508076437</v>
      </c>
      <c r="DL68" s="698">
        <f t="shared" si="212"/>
        <v>8.01</v>
      </c>
      <c r="DM68" s="560">
        <f t="shared" si="213"/>
        <v>23.707000000000001</v>
      </c>
      <c r="DN68" s="560">
        <f>Sheet1!AB70-DM68</f>
        <v>-0.10699999999999932</v>
      </c>
      <c r="DO68" s="823">
        <f t="shared" si="214"/>
        <v>-4.513434850466078E-3</v>
      </c>
      <c r="DP68" s="560">
        <f>(VLOOKUP(Sheet1!DC70,hhdcap_wcm,4)-(((VLOOKUP(Sheet1!DC70,hhdcap_wcm,3)-Sheet1!DC70)/(VLOOKUP(Sheet1!DC70,hhdcap_wcm,3)-VLOOKUP(Sheet1!DC70,hhdcap_wcm,1)))*(VLOOKUP(Sheet1!DC70,hhdcap_wcm,4)-VLOOKUP(Sheet1!DC70,hhdcap_wcm,2))))</f>
        <v>2852.0000000069122</v>
      </c>
      <c r="DQ68" s="560">
        <f t="shared" si="215"/>
        <v>230.4000000005617</v>
      </c>
      <c r="DR68" s="560">
        <f t="shared" si="216"/>
        <v>116.18759455398975</v>
      </c>
      <c r="DS68" s="560">
        <f>Sheet1!EA70*AFtoMG</f>
        <v>0</v>
      </c>
      <c r="DT68" s="560">
        <f>Sheet1!EB70*AFtoMG</f>
        <v>0</v>
      </c>
      <c r="DU68" s="560">
        <f>Sheet1!EC70*AFtoMG</f>
        <v>0</v>
      </c>
      <c r="DV68" s="560">
        <f>Sheet1!ED70*AFtoMG</f>
        <v>0</v>
      </c>
      <c r="DW68" s="560">
        <f t="shared" si="217"/>
        <v>0</v>
      </c>
      <c r="DX68" s="560">
        <f t="shared" si="218"/>
        <v>0</v>
      </c>
      <c r="DY68" s="560">
        <f t="shared" si="219"/>
        <v>341.68782771030772</v>
      </c>
      <c r="DZ68" s="560">
        <f t="shared" si="220"/>
        <v>1048.298255415224</v>
      </c>
      <c r="EA68" s="560"/>
      <c r="EB68" s="545">
        <f>IF(OR(B68&lt;FV68,B68&gt;FW68),(MIN(BF68+BY68+CT68+MAX(Sheet1!AA70+AQ68-73,0),K68)),0)</f>
        <v>7.9738473868477664</v>
      </c>
      <c r="EC68" s="560"/>
      <c r="ED68" s="560">
        <f t="shared" si="221"/>
        <v>7.9738473868477664</v>
      </c>
      <c r="EE68" s="560"/>
      <c r="EF68" s="560">
        <f>Sheet1!EH70+Sheet1!EI70+Sheet1!EJ70+Sheet1!EK70</f>
        <v>8.01</v>
      </c>
      <c r="EG68" s="560"/>
      <c r="EH68" s="545">
        <f t="shared" si="222"/>
        <v>0</v>
      </c>
      <c r="EI68" s="560">
        <f>IF(Sheet1!ET70=1,SUM('Calculations II'!AT68:BA68)+'Calculations II'!BC68+Sheet1!BV70+'Calculations II'!BE68+AP68,SUM('Calculations II'!AT68:BA68)+'Calculations II'!BC68+Sheet1!BV70+'Calculations II'!BE68+AP68)</f>
        <v>50.475583999999998</v>
      </c>
      <c r="EJ68" s="560">
        <f>Sheet1!AA70+Sheet1!AB70+'Calculations II'!BC68</f>
        <v>52.723759999999999</v>
      </c>
      <c r="EK68" s="560"/>
      <c r="EL68" s="560"/>
      <c r="EM68" s="560">
        <f t="shared" si="223"/>
        <v>41696</v>
      </c>
      <c r="EN68" s="560">
        <f t="shared" si="224"/>
        <v>56.666152613152235</v>
      </c>
      <c r="EO68" s="560">
        <f t="shared" si="225"/>
        <v>87.662538092546498</v>
      </c>
      <c r="EP68" s="560">
        <v>0</v>
      </c>
      <c r="EQ68" s="560">
        <v>0</v>
      </c>
      <c r="ER68" s="560">
        <v>0</v>
      </c>
      <c r="ES68" s="545">
        <f t="shared" si="77"/>
        <v>2.6308775134059523</v>
      </c>
      <c r="ET68" s="560">
        <f>-(VLOOKUP(Sheet1!BQ70,Lookup!$O$4:$Q$262,2)-VLOOKUP(Sheet1!BQ69,Lookup!$O$4:$Q$262,2))/1000000</f>
        <v>1.3846875525349416</v>
      </c>
      <c r="EU68" s="560">
        <f>-(VLOOKUP(Sheet1!BR70,Lookup!$O$4:$Q$262,3)-VLOOKUP(Sheet1!BR69,Lookup!$O$4:$Q$262,3))/1000000</f>
        <v>1.246189960871011</v>
      </c>
      <c r="EV68" s="560"/>
      <c r="EW68" s="560"/>
      <c r="EX68" s="560"/>
      <c r="EY68" s="560"/>
      <c r="EZ68" s="560"/>
      <c r="FA68" s="560"/>
      <c r="FB68" s="560"/>
      <c r="FC68" s="560"/>
      <c r="FD68" s="594" t="e">
        <f t="shared" si="226"/>
        <v>#N/A</v>
      </c>
      <c r="FE68" s="594" t="e">
        <f t="shared" si="227"/>
        <v>#N/A</v>
      </c>
      <c r="FF68" s="595" t="e">
        <f t="shared" si="228"/>
        <v>#N/A</v>
      </c>
      <c r="FG68" s="596" t="s">
        <v>692</v>
      </c>
      <c r="FH68" s="596" t="s">
        <v>692</v>
      </c>
      <c r="FI68" s="594" t="e">
        <v>#N/A</v>
      </c>
      <c r="FJ68" s="594" t="e">
        <v>#N/A</v>
      </c>
      <c r="FK68" s="560"/>
      <c r="FL68" s="560"/>
      <c r="FM68" s="560"/>
      <c r="FN68" s="560"/>
      <c r="FO68" s="560">
        <f>O68+((Sheet1!CS70)*GPMtoMGD)</f>
        <v>52.723759999999999</v>
      </c>
      <c r="FP68" s="560">
        <f>IF(Sheet1!AA70+AQ68&lt;=Calculation!N68,AQ68,Calculation!N68-Sheet1!AA70)</f>
        <v>14.633652507698148</v>
      </c>
      <c r="FQ68" s="560">
        <f>(Sheet1!BP70+Sheet1!BO70)/694.4</f>
        <v>1.4608294930875576</v>
      </c>
      <c r="FR68" s="560"/>
      <c r="FS68" s="560"/>
      <c r="FT68" s="560"/>
      <c r="FU68" s="560"/>
      <c r="FV68" s="695">
        <f t="shared" si="80"/>
        <v>41827</v>
      </c>
      <c r="FW68" s="695">
        <f t="shared" si="81"/>
        <v>41934</v>
      </c>
      <c r="FX68" s="560"/>
      <c r="FY68" s="560"/>
      <c r="FZ68" s="560"/>
      <c r="GA68" s="560"/>
      <c r="GB68" s="560" t="str">
        <f t="shared" si="82"/>
        <v>n</v>
      </c>
      <c r="GC68" s="564">
        <f t="shared" si="83"/>
        <v>41691</v>
      </c>
      <c r="GD68" s="695">
        <f t="shared" si="84"/>
        <v>41807</v>
      </c>
      <c r="GE68" s="560">
        <v>6518.9</v>
      </c>
      <c r="GF68" s="695">
        <f t="shared" si="85"/>
        <v>41808</v>
      </c>
      <c r="GG68" s="560">
        <f t="shared" si="163"/>
        <v>3259</v>
      </c>
      <c r="GH68" s="564">
        <f t="shared" si="87"/>
        <v>41934</v>
      </c>
      <c r="GJ68" s="545">
        <f t="shared" si="88"/>
        <v>0</v>
      </c>
      <c r="GK68" s="560" t="str">
        <f t="shared" si="229"/>
        <v/>
      </c>
      <c r="GL68" s="560">
        <f t="shared" si="89"/>
        <v>0</v>
      </c>
      <c r="GM68" s="560" t="str">
        <f t="shared" si="90"/>
        <v/>
      </c>
      <c r="GN68" s="560">
        <f>IF(GK68="P",Lookup!$M$12,IF(GK68="PP",Lookup!$M$13,IF(GK68="PPP",Lookup!$M$14,IF(GK68="T",Lookup!$M$15,IF(GK68="TP",Lookup!$M$16,IF(GK68="TPP",Lookup!$M$17,IF(GK68="TPPP",Lookup!$M$18,0)))))))*GJ68</f>
        <v>0</v>
      </c>
      <c r="GO68" s="560">
        <f t="shared" si="91"/>
        <v>0</v>
      </c>
      <c r="GP68" s="560">
        <f t="shared" si="230"/>
        <v>495.78879999999998</v>
      </c>
      <c r="GQ68" s="560">
        <f t="shared" si="99"/>
        <v>161.6</v>
      </c>
      <c r="GR68" s="560"/>
      <c r="GS68" s="560">
        <f t="shared" si="92"/>
        <v>0</v>
      </c>
      <c r="GT68" s="560" t="str">
        <f t="shared" si="93"/>
        <v/>
      </c>
      <c r="GU68" s="560">
        <f>IF(GK68="P",Lookup!$N$12,IF(GK68="PP",Lookup!$N$13,IF(GK68="PPP",Lookup!$N$14,IF(GK68="T",Lookup!$N$15,IF(GK68="TP",Lookup!$N$16,IF(GK68="TPP",Lookup!$N$17,IF(GK68="TPPP",Lookup!$N$18,0)))))))*GJ68</f>
        <v>0</v>
      </c>
      <c r="GV68" s="560">
        <f t="shared" si="57"/>
        <v>0</v>
      </c>
      <c r="GW68" s="560">
        <f t="shared" si="231"/>
        <v>231.3681066666667</v>
      </c>
      <c r="GX68" s="560">
        <f t="shared" si="100"/>
        <v>75.413333333333341</v>
      </c>
      <c r="GY68" s="560"/>
      <c r="GZ68" s="560">
        <f t="shared" si="94"/>
        <v>0</v>
      </c>
      <c r="HA68" s="560" t="str">
        <f t="shared" si="95"/>
        <v/>
      </c>
      <c r="HB68" s="560">
        <f>IF(GK68="P",Lookup!$N$12,IF(GK68="PP",Lookup!$N$13,IF(GK68="PPP",Lookup!$N$14,IF(GK68="T",Lookup!$N$15,IF(GK68="TP",Lookup!$N$16,IF(GK68="TPP",Lookup!$N$17,IF(GK68="TPPP",Lookup!$N$18,0)))))))*GJ68</f>
        <v>0</v>
      </c>
      <c r="HC68" s="545">
        <f t="shared" si="232"/>
        <v>0</v>
      </c>
      <c r="HD68" s="560">
        <f t="shared" si="233"/>
        <v>185.47262366779307</v>
      </c>
      <c r="HE68" s="560">
        <f t="shared" si="101"/>
        <v>60.453919057298918</v>
      </c>
      <c r="HF68" s="560"/>
      <c r="HG68" s="560">
        <f t="shared" si="96"/>
        <v>0</v>
      </c>
      <c r="HH68" s="560" t="str">
        <f t="shared" si="97"/>
        <v/>
      </c>
      <c r="HI68" s="560">
        <f>IF(GK68="P",Lookup!$N$12,IF(GK68="PP",Lookup!$N$13,IF(GK68="PPP",Lookup!$N$14,IF(GK68="T",Lookup!$N$15,IF(GK68="TP",Lookup!$N$16,IF(GK68="TPP",Lookup!$N$17,IF(GK68="TPPP",Lookup!$N$18,0)))))))*GJ68</f>
        <v>0</v>
      </c>
      <c r="HJ68" s="545">
        <f t="shared" si="234"/>
        <v>0</v>
      </c>
      <c r="HK68" s="560">
        <f t="shared" si="235"/>
        <v>135.66872508076437</v>
      </c>
      <c r="HL68" s="560">
        <f t="shared" si="102"/>
        <v>44.220575319675476</v>
      </c>
      <c r="HM68" s="560"/>
    </row>
    <row r="69" spans="1:272">
      <c r="A69" s="580" t="s">
        <v>7</v>
      </c>
      <c r="B69" s="556">
        <v>41697</v>
      </c>
      <c r="C69" s="561">
        <v>0</v>
      </c>
      <c r="D69" s="529">
        <f t="shared" si="103"/>
        <v>300</v>
      </c>
      <c r="E69" s="529">
        <f t="shared" si="104"/>
        <v>250</v>
      </c>
      <c r="F69" s="529">
        <v>250</v>
      </c>
      <c r="G69" s="560">
        <f>DR69+Sheet1!CZ71</f>
        <v>842.46495209303532</v>
      </c>
      <c r="H69" s="914">
        <f t="shared" si="2"/>
        <v>277.606145032938</v>
      </c>
      <c r="I69" s="559">
        <f>MAX(Sheet1!Z71-AT69+(Sheet1!DA71-E69)*CFStoMGD,0)</f>
        <v>947.952</v>
      </c>
      <c r="J69" s="562">
        <f>IF(AND(B69&gt;=Calculation!GC69,B69&lt;=Calculation!GD69),IF(Sheet1!DB71&gt;=Calculation!D69,64.64,0),MAX(Sheet1!Z71-AT69+(Sheet1!DB71-D69)*CFStoMGD,0))</f>
        <v>64.64</v>
      </c>
      <c r="K69" s="904">
        <f t="shared" si="171"/>
        <v>64.64</v>
      </c>
      <c r="L69" s="560">
        <f>Sheet1!AA71+Sheet1!AB71-Sheet1!L71+(Sheet1!DA71-F69)*CFStoMGD</f>
        <v>924.35199999999998</v>
      </c>
      <c r="M69" s="560">
        <f t="shared" si="172"/>
        <v>555.46073193359678</v>
      </c>
      <c r="N69" s="910">
        <f>IF(Sheet1!DA71&gt;=F69,MIN(73,MIN(MAX(L69,0),MAX(M69,0))),0)</f>
        <v>73</v>
      </c>
      <c r="O69" s="563">
        <f>Sheet1!AA71+Sheet1!AB71</f>
        <v>40.299999999999997</v>
      </c>
      <c r="P69" s="563">
        <f t="shared" si="173"/>
        <v>62.344099999999997</v>
      </c>
      <c r="Q69" s="898">
        <f t="shared" si="63"/>
        <v>33.43</v>
      </c>
      <c r="R69" s="829">
        <f t="shared" si="174"/>
        <v>6.7900944684104196</v>
      </c>
      <c r="S69" s="898">
        <f t="shared" si="65"/>
        <v>6.87</v>
      </c>
      <c r="T69" s="898">
        <f t="shared" si="66"/>
        <v>57.77</v>
      </c>
      <c r="U69" s="898">
        <f t="shared" si="6"/>
        <v>0</v>
      </c>
      <c r="V69" s="898"/>
      <c r="W69" s="898">
        <f t="shared" si="67"/>
        <v>57.849905531589584</v>
      </c>
      <c r="X69" s="898">
        <f t="shared" si="68"/>
        <v>64.64</v>
      </c>
      <c r="Y69" s="898" t="str">
        <f t="shared" si="69"/>
        <v>FALSE</v>
      </c>
      <c r="Z69" s="898">
        <f t="shared" si="70"/>
        <v>40.299999999999997</v>
      </c>
      <c r="AA69" s="898">
        <f t="shared" si="71"/>
        <v>40.299999999999997</v>
      </c>
      <c r="AB69" s="898" t="str">
        <f t="shared" si="72"/>
        <v/>
      </c>
      <c r="AC69" s="563">
        <f>Sheet1!Y71*MGDtoCFS</f>
        <v>33.879299999999994</v>
      </c>
      <c r="AD69" s="563">
        <f>Sheet1!Z71*MGDtoCFS</f>
        <v>36.5092</v>
      </c>
      <c r="AE69" s="563">
        <f>Sheet1!AA71*MGDtoCFS</f>
        <v>34.343399999999995</v>
      </c>
      <c r="AF69" s="563">
        <f>Sheet1!AB71*MGDtoCFS</f>
        <v>28.000700000000002</v>
      </c>
      <c r="AG69" s="563">
        <f>Sheet1!L71*MGDtoCFS</f>
        <v>62.34409999999999</v>
      </c>
      <c r="AH69" s="545">
        <f t="shared" si="175"/>
        <v>0</v>
      </c>
      <c r="AI69" s="560">
        <f t="shared" si="176"/>
        <v>0</v>
      </c>
      <c r="AJ69" s="560">
        <f t="shared" si="177"/>
        <v>57.849905531589584</v>
      </c>
      <c r="AK69" s="560">
        <f t="shared" si="178"/>
        <v>89.493803857369087</v>
      </c>
      <c r="AL69" s="560">
        <f>(VLOOKUP(Sheet1!DC71,hhdcap_wcm,4)-(((VLOOKUP(Sheet1!DC71,hhdcap_wcm,3)-Sheet1!DC71)/(VLOOKUP(Sheet1!DC71,hhdcap_wcm,3)-VLOOKUP(Sheet1!DC71,hhdcap_wcm,1)))*(VLOOKUP(Sheet1!DC71,hhdcap_wcm,4)-VLOOKUP(Sheet1!DC71,hhdcap_wcm,2))))</f>
        <v>2983.8000000074012</v>
      </c>
      <c r="AM69" s="560">
        <f t="shared" si="179"/>
        <v>131.80000000048904</v>
      </c>
      <c r="AN69" s="560">
        <f t="shared" si="180"/>
        <v>399.53773324189734</v>
      </c>
      <c r="AO69" s="560">
        <f t="shared" si="181"/>
        <v>1225.7817655861411</v>
      </c>
      <c r="AP69" s="560">
        <f>Sheet1!BA71+Sheet1!BB71+Sheet1!BN71+CD69</f>
        <v>11.443</v>
      </c>
      <c r="AQ69" s="560">
        <f>Sheet1!BN71+(DO69*Sheet1!BN71)</f>
        <v>10.328455195762574</v>
      </c>
      <c r="AR69" s="560">
        <f>Sheet1!BA71+CD69</f>
        <v>0</v>
      </c>
      <c r="AS69" s="560">
        <f>Sheet1!BA71+Sheet1!BB71+CD69</f>
        <v>0.99299999999999999</v>
      </c>
      <c r="AT69" s="698">
        <f>0</f>
        <v>0</v>
      </c>
      <c r="AU69" s="560">
        <f>IF(EB69&lt;K69,0,MAX(Sheet1!AA71+AQ69-15/36*K69-N69,Sheet1!EH71,0))</f>
        <v>0</v>
      </c>
      <c r="AV69" s="560">
        <f>IF(OR(B69&gt;=GD69,B69&lt;GC69),0,15/36*K69-MAX(0,64.6-(137.6-(Sheet1!AA71+Sheet1!AB71))))</f>
        <v>26.933333333333334</v>
      </c>
      <c r="AW69" s="698">
        <f>Sheet1!DB71-110</f>
        <v>718</v>
      </c>
      <c r="AX69" s="698">
        <f>Sheet1!DA71-265</f>
        <v>1415</v>
      </c>
      <c r="AY69" s="698">
        <f t="shared" si="182"/>
        <v>39.57</v>
      </c>
      <c r="AZ69" s="698">
        <v>0</v>
      </c>
      <c r="BA69" s="698">
        <f t="shared" si="183"/>
        <v>0</v>
      </c>
      <c r="BB69" s="560">
        <f t="shared" si="184"/>
        <v>188.53333333333333</v>
      </c>
      <c r="BC69" s="560"/>
      <c r="BD69" s="560">
        <f ca="1">IF(B69&gt;Summary!$A$1,#N/A,BB69*MGtoAF)</f>
        <v>578.42026666666663</v>
      </c>
      <c r="BE69" s="560">
        <f>Sheet1!BG71+Sheet1!BH71+Sheet1!BI71-BM69</f>
        <v>0</v>
      </c>
      <c r="BF69" s="560">
        <f t="shared" si="185"/>
        <v>0</v>
      </c>
      <c r="BG69" s="560">
        <f>IF(Sheet1!EP71="FM",BM69,0)</f>
        <v>0</v>
      </c>
      <c r="BH69" s="560">
        <f t="shared" si="186"/>
        <v>0</v>
      </c>
      <c r="BI69" s="560">
        <f>IF(Sheet1!EP71="OTHER",BM69,0)</f>
        <v>0</v>
      </c>
      <c r="BJ69" s="560">
        <f t="shared" si="187"/>
        <v>0</v>
      </c>
      <c r="BK69" s="560">
        <f t="shared" si="188"/>
        <v>0</v>
      </c>
      <c r="BL69" s="560">
        <f t="shared" si="189"/>
        <v>0</v>
      </c>
      <c r="BM69" s="560">
        <f>IF(OR(Sheet1!EP71="FM", Sheet1!EP71="OTHER"),SUM(Sheet1!BG71:'Sheet1'!BI71),0)</f>
        <v>0</v>
      </c>
      <c r="BN69" s="545">
        <f>IF(AND($B69&gt;=$FV69,$B69&lt;=$FW69),MAX(BF69,Sheet1!EI71,0),MAX(BF69-(7/36)*$K69,0))</f>
        <v>0</v>
      </c>
      <c r="BO69" s="560">
        <f t="shared" si="190"/>
        <v>12.568888888888889</v>
      </c>
      <c r="BP69" s="545">
        <f t="shared" si="191"/>
        <v>0</v>
      </c>
      <c r="BQ69" s="545">
        <f>IF(AND($O69&gt;0,Sheet1!EM71=1),(1-($O69-Sheet1!$L71)/$O69)*BL69,0)</f>
        <v>0</v>
      </c>
      <c r="BR69" s="545">
        <f>IF(AND(Sheet1!$L71=0,Sheet1!$L70=0, Calculation!BK69&lt;Sheet1!$EI71-0.1,Sheet1!$EI71=Sheet1!$EI70,Sheet1!$EI71=Sheet1!$EI72),Sheet1!$EI71,BL69-BQ69)</f>
        <v>0</v>
      </c>
      <c r="BS69" s="560"/>
      <c r="BT69" s="560"/>
      <c r="BU69" s="560">
        <f t="shared" si="192"/>
        <v>87.982222222222234</v>
      </c>
      <c r="BV69" s="560"/>
      <c r="BW69" s="560">
        <f ca="1">IF(B69&gt;Summary!$A$1,#N/A,BU69*MGtoAF)</f>
        <v>269.92945777777783</v>
      </c>
      <c r="BX69" s="560">
        <f>Sheet1!BC71+Sheet1!BD71+Sheet1!BE71+Sheet1!BF71-CG69-CH69</f>
        <v>2.5</v>
      </c>
      <c r="BY69" s="560">
        <f t="shared" si="193"/>
        <v>2.4709222956369796</v>
      </c>
      <c r="BZ69" s="560">
        <f>IF(Sheet1!EQ71="FM",CH69,0)</f>
        <v>0</v>
      </c>
      <c r="CA69" s="560">
        <f t="shared" si="194"/>
        <v>0</v>
      </c>
      <c r="CB69" s="560">
        <f>IF(Sheet1!EQ71="OTHER",CH69,0)</f>
        <v>0</v>
      </c>
      <c r="CC69" s="560">
        <f t="shared" si="195"/>
        <v>0</v>
      </c>
      <c r="CD69" s="560">
        <f t="shared" si="196"/>
        <v>0</v>
      </c>
      <c r="CE69" s="560">
        <f t="shared" si="197"/>
        <v>2.5</v>
      </c>
      <c r="CF69" s="560">
        <f t="shared" si="198"/>
        <v>2.4709222956369796</v>
      </c>
      <c r="CG69" s="560">
        <f>IF(Sheet1!EQ71="CWA",SUM(Sheet1!BC71:'Sheet1'!BF71),0)</f>
        <v>0</v>
      </c>
      <c r="CH69" s="560">
        <f>IF(OR(Sheet1!EQ71="FM", Sheet1!EQ71="OTHER"),SUM(Sheet1!BC71:'Sheet1'!BF71),0)</f>
        <v>0</v>
      </c>
      <c r="CI69" s="545">
        <f>IF(AND($B69&gt;=$FV69,$B69&lt;=$FW69),MAX(CF69,Sheet1!EJ71,0),MAX(CF69-(7/36)*$K69,0))</f>
        <v>0</v>
      </c>
      <c r="CJ69" s="560">
        <f t="shared" si="199"/>
        <v>10.097966593251909</v>
      </c>
      <c r="CK69" s="545">
        <f t="shared" si="200"/>
        <v>2.4709222956369796</v>
      </c>
      <c r="CL69" s="545">
        <f>IF(AND($O69&gt;0,Sheet1!EN71=1),(1-($O69-Sheet1!$L71)/$O69)*CF69,0)</f>
        <v>0</v>
      </c>
      <c r="CM69" s="545">
        <f>IF(AND(Sheet1!$L71=0,Sheet1!$L70=0, Calculation!CE69&lt;Sheet1!EJ71-0.1,Sheet1!EJ71=Sheet1!EJ70,Sheet1!EJ71=Sheet1!EJ72),Sheet1!EJ71,CF69-CL69)</f>
        <v>2.4709222956369796</v>
      </c>
      <c r="CN69" s="545"/>
      <c r="CO69" s="560"/>
      <c r="CP69" s="560">
        <f t="shared" si="201"/>
        <v>70.55188565055083</v>
      </c>
      <c r="CQ69" s="560"/>
      <c r="CR69" s="560">
        <f ca="1">IF(B69&gt;Summary!$A$1,#N/A,CP69*MGtoAF)</f>
        <v>216.45318517588996</v>
      </c>
      <c r="CS69" s="560">
        <f>Sheet1!BK71+Sheet1!BL71+Sheet1!BM71-Sheet1!ER71-DA69</f>
        <v>4.37</v>
      </c>
      <c r="CT69" s="560">
        <f t="shared" si="202"/>
        <v>4.31917217277344</v>
      </c>
      <c r="CU69" s="560">
        <f>IF(Sheet1!ER71="FM",DA69,0)</f>
        <v>0</v>
      </c>
      <c r="CV69" s="560">
        <f t="shared" si="203"/>
        <v>0</v>
      </c>
      <c r="CW69" s="560">
        <f>IF(Sheet1!ER71="OTHER",DA69,0)</f>
        <v>0</v>
      </c>
      <c r="CX69" s="560">
        <f t="shared" si="204"/>
        <v>0</v>
      </c>
      <c r="CY69" s="560">
        <f t="shared" si="205"/>
        <v>4.37</v>
      </c>
      <c r="CZ69" s="560">
        <f t="shared" si="206"/>
        <v>4.31917217277344</v>
      </c>
      <c r="DA69" s="560">
        <f>IF(OR(Sheet1!ER71="FM", Sheet1!ER71="OTHER"),SUM(Sheet1!BK71:'Sheet1'!BM71),0)</f>
        <v>0</v>
      </c>
      <c r="DB69" s="545">
        <f>IF(AND($B69&gt;=$FV69,$B69&lt;=$FW69),MAX($CT69,Sheet1!EK71,0),MAX($CT69-(7/36)*$K69,0))</f>
        <v>0</v>
      </c>
      <c r="DC69" s="560">
        <f t="shared" si="207"/>
        <v>8.249716716115449</v>
      </c>
      <c r="DD69" s="545">
        <f t="shared" si="208"/>
        <v>4.31917217277344</v>
      </c>
      <c r="DE69" s="545">
        <f>IF(AND($O69&gt;0,Sheet1!EO71=1),(1-($O69-Sheet1!$L71)/$O69)*CZ69,0)</f>
        <v>0</v>
      </c>
      <c r="DF69" s="545">
        <f>IF(AND(Sheet1!$L71=0,Sheet1!$L70=0, Calculation!CY69&lt;Sheet1!$EK71-0.1,Sheet1!$EK71=Sheet1!$EK70,Sheet1!$EK71=Sheet1!$EK72),Sheet1!$EK71,CZ69-DE69)</f>
        <v>4.31917217277344</v>
      </c>
      <c r="DG69" s="545"/>
      <c r="DH69" s="560">
        <f t="shared" si="209"/>
        <v>6.87</v>
      </c>
      <c r="DI69" s="560">
        <f t="shared" si="210"/>
        <v>52.470292035790926</v>
      </c>
      <c r="DJ69" s="698">
        <f t="shared" si="211"/>
        <v>6.7900944684104196</v>
      </c>
      <c r="DK69" s="560">
        <f ca="1">IF(B69&gt;Summary!$A$1,#N/A,DI69*MGtoAF)</f>
        <v>160.97885596580656</v>
      </c>
      <c r="DL69" s="698">
        <f t="shared" si="212"/>
        <v>6.87</v>
      </c>
      <c r="DM69" s="560">
        <f t="shared" si="213"/>
        <v>18.312999999999999</v>
      </c>
      <c r="DN69" s="560">
        <f>Sheet1!AB71-DM69</f>
        <v>-0.21299999999999741</v>
      </c>
      <c r="DO69" s="823">
        <f t="shared" si="214"/>
        <v>-1.1631081745208181E-2</v>
      </c>
      <c r="DP69" s="560">
        <f>(VLOOKUP(Sheet1!DC71,hhdcap_wcm,4)-(((VLOOKUP(Sheet1!DC71,hhdcap_wcm,3)-Sheet1!DC71)/(VLOOKUP(Sheet1!DC71,hhdcap_wcm,3)-VLOOKUP(Sheet1!DC71,hhdcap_wcm,1)))*(VLOOKUP(Sheet1!DC71,hhdcap_wcm,4)-VLOOKUP(Sheet1!DC71,hhdcap_wcm,2))))</f>
        <v>2983.8000000074012</v>
      </c>
      <c r="DQ69" s="560">
        <f t="shared" si="215"/>
        <v>131.80000000048904</v>
      </c>
      <c r="DR69" s="560">
        <f t="shared" si="216"/>
        <v>66.464952093035308</v>
      </c>
      <c r="DS69" s="560">
        <f>Sheet1!EA71*AFtoMG</f>
        <v>0</v>
      </c>
      <c r="DT69" s="560">
        <f>Sheet1!EB71*AFtoMG</f>
        <v>0</v>
      </c>
      <c r="DU69" s="560">
        <f>Sheet1!EC71*AFtoMG</f>
        <v>0</v>
      </c>
      <c r="DV69" s="560">
        <f>Sheet1!ED71*AFtoMG</f>
        <v>0</v>
      </c>
      <c r="DW69" s="560">
        <f t="shared" si="217"/>
        <v>0</v>
      </c>
      <c r="DX69" s="560">
        <f t="shared" si="218"/>
        <v>0</v>
      </c>
      <c r="DY69" s="560">
        <f t="shared" si="219"/>
        <v>399.53773324189734</v>
      </c>
      <c r="DZ69" s="560">
        <f t="shared" si="220"/>
        <v>1225.7817655861411</v>
      </c>
      <c r="EA69" s="560"/>
      <c r="EB69" s="545">
        <f>IF(OR(B69&lt;FV69,B69&gt;FW69),(MIN(BF69+BY69+CT69+MAX(Sheet1!AA71+AQ69-73,0),K69)),0)</f>
        <v>6.7900944684104196</v>
      </c>
      <c r="EC69" s="560"/>
      <c r="ED69" s="560">
        <f t="shared" si="221"/>
        <v>6.7900944684104196</v>
      </c>
      <c r="EE69" s="560"/>
      <c r="EF69" s="560">
        <f>Sheet1!EH71+Sheet1!EI71+Sheet1!EJ71+Sheet1!EK71</f>
        <v>6.87</v>
      </c>
      <c r="EG69" s="560"/>
      <c r="EH69" s="545">
        <f t="shared" si="222"/>
        <v>0</v>
      </c>
      <c r="EI69" s="560">
        <f>IF(Sheet1!ET71=1,SUM('Calculations II'!AT69:BA69)+'Calculations II'!BC69+Sheet1!BV71+'Calculations II'!BE69+AP69,SUM('Calculations II'!AT69:BA69)+'Calculations II'!BC69+Sheet1!BV71+'Calculations II'!BE69+AP69)</f>
        <v>45.768127999999997</v>
      </c>
      <c r="EJ69" s="560">
        <f>Sheet1!AA71+Sheet1!AB71+'Calculations II'!BC69</f>
        <v>54.628</v>
      </c>
      <c r="EK69" s="560"/>
      <c r="EL69" s="560"/>
      <c r="EM69" s="560">
        <f t="shared" si="223"/>
        <v>41697</v>
      </c>
      <c r="EN69" s="560">
        <f t="shared" si="224"/>
        <v>57.849905531589584</v>
      </c>
      <c r="EO69" s="560">
        <f t="shared" si="225"/>
        <v>89.493803857369087</v>
      </c>
      <c r="EP69" s="560">
        <v>0</v>
      </c>
      <c r="EQ69" s="560">
        <v>0</v>
      </c>
      <c r="ER69" s="560">
        <v>0</v>
      </c>
      <c r="ES69" s="545">
        <f t="shared" si="77"/>
        <v>0.55372123983137311</v>
      </c>
      <c r="ET69" s="560">
        <f>-(VLOOKUP(Sheet1!BQ71,Lookup!$O$4:$Q$262,2)-VLOOKUP(Sheet1!BQ70,Lookup!$O$4:$Q$262,2))/1000000</f>
        <v>0.27686061991568656</v>
      </c>
      <c r="EU69" s="560">
        <f>-(VLOOKUP(Sheet1!BR71,Lookup!$O$4:$Q$262,3)-VLOOKUP(Sheet1!BR70,Lookup!$O$4:$Q$262,3))/1000000</f>
        <v>0.27686061991568656</v>
      </c>
      <c r="EV69" s="560"/>
      <c r="EW69" s="560"/>
      <c r="EX69" s="560"/>
      <c r="EY69" s="560"/>
      <c r="EZ69" s="560"/>
      <c r="FA69" s="560"/>
      <c r="FB69" s="560"/>
      <c r="FC69" s="560"/>
      <c r="FD69" s="594" t="e">
        <f t="shared" si="226"/>
        <v>#N/A</v>
      </c>
      <c r="FE69" s="594" t="e">
        <f t="shared" si="227"/>
        <v>#N/A</v>
      </c>
      <c r="FF69" s="595" t="e">
        <f t="shared" si="228"/>
        <v>#N/A</v>
      </c>
      <c r="FG69" s="596" t="s">
        <v>692</v>
      </c>
      <c r="FH69" s="596" t="s">
        <v>692</v>
      </c>
      <c r="FI69" s="594" t="e">
        <v>#N/A</v>
      </c>
      <c r="FJ69" s="594" t="e">
        <v>#N/A</v>
      </c>
      <c r="FK69" s="560"/>
      <c r="FL69" s="560"/>
      <c r="FM69" s="560"/>
      <c r="FN69" s="560"/>
      <c r="FO69" s="560">
        <f>O69+((Sheet1!CS71)*GPMtoMGD)</f>
        <v>54.628</v>
      </c>
      <c r="FP69" s="560">
        <f>IF(Sheet1!AA71+AQ69&lt;=Calculation!N69,AQ69,Calculation!N69-Sheet1!AA71)</f>
        <v>10.328455195762574</v>
      </c>
      <c r="FQ69" s="560">
        <f>(Sheet1!BP71+Sheet1!BO71)/694.4</f>
        <v>1.3181307603686636</v>
      </c>
      <c r="FR69" s="560"/>
      <c r="FS69" s="560"/>
      <c r="FT69" s="560"/>
      <c r="FU69" s="560"/>
      <c r="FV69" s="695">
        <f t="shared" si="80"/>
        <v>41827</v>
      </c>
      <c r="FW69" s="695">
        <f t="shared" si="81"/>
        <v>41934</v>
      </c>
      <c r="FX69" s="560"/>
      <c r="FY69" s="560"/>
      <c r="FZ69" s="560"/>
      <c r="GA69" s="560"/>
      <c r="GB69" s="560" t="str">
        <f t="shared" si="82"/>
        <v>n</v>
      </c>
      <c r="GC69" s="564">
        <f t="shared" si="83"/>
        <v>41691</v>
      </c>
      <c r="GD69" s="695">
        <f t="shared" si="84"/>
        <v>41807</v>
      </c>
      <c r="GE69" s="560">
        <v>6518.9</v>
      </c>
      <c r="GF69" s="695">
        <f t="shared" si="85"/>
        <v>41808</v>
      </c>
      <c r="GG69" s="560">
        <f t="shared" si="163"/>
        <v>3259</v>
      </c>
      <c r="GH69" s="564">
        <f t="shared" si="87"/>
        <v>41934</v>
      </c>
      <c r="GJ69" s="545">
        <f t="shared" si="88"/>
        <v>0</v>
      </c>
      <c r="GK69" s="560" t="str">
        <f t="shared" si="229"/>
        <v/>
      </c>
      <c r="GL69" s="560">
        <f t="shared" si="89"/>
        <v>0</v>
      </c>
      <c r="GM69" s="560" t="str">
        <f t="shared" si="90"/>
        <v/>
      </c>
      <c r="GN69" s="560">
        <f>IF(GK69="P",Lookup!$M$12,IF(GK69="PP",Lookup!$M$13,IF(GK69="PPP",Lookup!$M$14,IF(GK69="T",Lookup!$M$15,IF(GK69="TP",Lookup!$M$16,IF(GK69="TPP",Lookup!$M$17,IF(GK69="TPPP",Lookup!$M$18,0)))))))*GJ69</f>
        <v>0</v>
      </c>
      <c r="GO69" s="560">
        <f t="shared" si="91"/>
        <v>0</v>
      </c>
      <c r="GP69" s="560">
        <f t="shared" si="230"/>
        <v>578.42026666666663</v>
      </c>
      <c r="GQ69" s="560">
        <f t="shared" si="99"/>
        <v>188.53333333333333</v>
      </c>
      <c r="GR69" s="560"/>
      <c r="GS69" s="560">
        <f t="shared" si="92"/>
        <v>0</v>
      </c>
      <c r="GT69" s="560" t="str">
        <f t="shared" si="93"/>
        <v/>
      </c>
      <c r="GU69" s="560">
        <f>IF(GK69="P",Lookup!$N$12,IF(GK69="PP",Lookup!$N$13,IF(GK69="PPP",Lookup!$N$14,IF(GK69="T",Lookup!$N$15,IF(GK69="TP",Lookup!$N$16,IF(GK69="TPP",Lookup!$N$17,IF(GK69="TPPP",Lookup!$N$18,0)))))))*GJ69</f>
        <v>0</v>
      </c>
      <c r="GV69" s="560">
        <f t="shared" si="57"/>
        <v>0</v>
      </c>
      <c r="GW69" s="560">
        <f t="shared" si="231"/>
        <v>269.92945777777783</v>
      </c>
      <c r="GX69" s="560">
        <f t="shared" si="100"/>
        <v>87.982222222222234</v>
      </c>
      <c r="GY69" s="560"/>
      <c r="GZ69" s="560">
        <f t="shared" si="94"/>
        <v>0</v>
      </c>
      <c r="HA69" s="560" t="str">
        <f t="shared" si="95"/>
        <v/>
      </c>
      <c r="HB69" s="560">
        <f>IF(GK69="P",Lookup!$N$12,IF(GK69="PP",Lookup!$N$13,IF(GK69="PPP",Lookup!$N$14,IF(GK69="T",Lookup!$N$15,IF(GK69="TP",Lookup!$N$16,IF(GK69="TPP",Lookup!$N$17,IF(GK69="TPPP",Lookup!$N$18,0)))))))*GJ69</f>
        <v>0</v>
      </c>
      <c r="HC69" s="545">
        <f t="shared" si="232"/>
        <v>0</v>
      </c>
      <c r="HD69" s="560">
        <f t="shared" si="233"/>
        <v>216.45318517588996</v>
      </c>
      <c r="HE69" s="560">
        <f t="shared" si="101"/>
        <v>70.55188565055083</v>
      </c>
      <c r="HF69" s="560"/>
      <c r="HG69" s="560">
        <f t="shared" si="96"/>
        <v>0</v>
      </c>
      <c r="HH69" s="560" t="str">
        <f t="shared" si="97"/>
        <v/>
      </c>
      <c r="HI69" s="560">
        <f>IF(GK69="P",Lookup!$N$12,IF(GK69="PP",Lookup!$N$13,IF(GK69="PPP",Lookup!$N$14,IF(GK69="T",Lookup!$N$15,IF(GK69="TP",Lookup!$N$16,IF(GK69="TPP",Lookup!$N$17,IF(GK69="TPPP",Lookup!$N$18,0)))))))*GJ69</f>
        <v>0</v>
      </c>
      <c r="HJ69" s="545">
        <f t="shared" si="234"/>
        <v>0</v>
      </c>
      <c r="HK69" s="560">
        <f t="shared" si="235"/>
        <v>160.97885596580656</v>
      </c>
      <c r="HL69" s="560">
        <f t="shared" si="102"/>
        <v>52.470292035790926</v>
      </c>
      <c r="HM69" s="560"/>
    </row>
    <row r="70" spans="1:272">
      <c r="A70" s="580" t="s">
        <v>8</v>
      </c>
      <c r="B70" s="556">
        <v>41698</v>
      </c>
      <c r="C70" s="561">
        <v>0</v>
      </c>
      <c r="D70" s="529">
        <f t="shared" si="103"/>
        <v>300</v>
      </c>
      <c r="E70" s="529">
        <f t="shared" si="104"/>
        <v>250</v>
      </c>
      <c r="F70" s="529">
        <v>250</v>
      </c>
      <c r="G70" s="560">
        <f>DR70+Sheet1!CZ72</f>
        <v>769.1896116995656</v>
      </c>
      <c r="H70" s="914">
        <f t="shared" si="2"/>
        <v>230.24096500259921</v>
      </c>
      <c r="I70" s="559">
        <f>MAX(Sheet1!Z72-AT70+(Sheet1!DA72-E70)*CFStoMGD,0)</f>
        <v>806.70799999999997</v>
      </c>
      <c r="J70" s="562">
        <f>IF(AND(B70&gt;=Calculation!GC70,B70&lt;=Calculation!GD70),IF(Sheet1!DB72&gt;=Calculation!D70,64.64,0),MAX(Sheet1!Z72-AT70+(Sheet1!DB72-D70)*CFStoMGD,0))</f>
        <v>64.64</v>
      </c>
      <c r="K70" s="904">
        <f t="shared" si="171"/>
        <v>64.64</v>
      </c>
      <c r="L70" s="560">
        <f>Sheet1!AA72+Sheet1!AB72-Sheet1!L72+(Sheet1!DA72-F70)*CFStoMGD</f>
        <v>788.60799999999995</v>
      </c>
      <c r="M70" s="560">
        <f t="shared" si="172"/>
        <v>507.14824830265121</v>
      </c>
      <c r="N70" s="910">
        <f>IF(Sheet1!DA72&gt;=F70,MIN(73,MIN(MAX(L70,0),MAX(M70,0))),0)</f>
        <v>73</v>
      </c>
      <c r="O70" s="563">
        <f>Sheet1!AA72+Sheet1!AB72</f>
        <v>33.799999999999997</v>
      </c>
      <c r="P70" s="563">
        <f t="shared" si="173"/>
        <v>52.288599999999995</v>
      </c>
      <c r="Q70" s="898">
        <f t="shared" si="63"/>
        <v>28.009999999999998</v>
      </c>
      <c r="R70" s="829">
        <f t="shared" si="174"/>
        <v>5.9372436423297792</v>
      </c>
      <c r="S70" s="898">
        <f t="shared" si="65"/>
        <v>5.7900000000000009</v>
      </c>
      <c r="T70" s="898">
        <f t="shared" si="66"/>
        <v>58.85</v>
      </c>
      <c r="U70" s="898">
        <f t="shared" si="6"/>
        <v>0</v>
      </c>
      <c r="V70" s="898"/>
      <c r="W70" s="898">
        <f t="shared" si="67"/>
        <v>58.702756357670225</v>
      </c>
      <c r="X70" s="898">
        <f t="shared" si="68"/>
        <v>64.64</v>
      </c>
      <c r="Y70" s="898" t="str">
        <f t="shared" si="69"/>
        <v>FALSE</v>
      </c>
      <c r="Z70" s="898">
        <f t="shared" si="70"/>
        <v>33.799999999999997</v>
      </c>
      <c r="AA70" s="898">
        <f t="shared" si="71"/>
        <v>33.799999999999997</v>
      </c>
      <c r="AB70" s="898" t="str">
        <f t="shared" si="72"/>
        <v/>
      </c>
      <c r="AC70" s="563">
        <f>Sheet1!Y72*MGDtoCFS</f>
        <v>34.343399999999995</v>
      </c>
      <c r="AD70" s="563">
        <f>Sheet1!Z72*MGDtoCFS</f>
        <v>28.000700000000002</v>
      </c>
      <c r="AE70" s="563">
        <f>Sheet1!AA72*MGDtoCFS</f>
        <v>32.951099999999997</v>
      </c>
      <c r="AF70" s="563">
        <f>Sheet1!AB72*MGDtoCFS</f>
        <v>19.337499999999999</v>
      </c>
      <c r="AG70" s="563">
        <f>Sheet1!L72*MGDtoCFS</f>
        <v>52.288599999999995</v>
      </c>
      <c r="AH70" s="545">
        <f t="shared" si="175"/>
        <v>0</v>
      </c>
      <c r="AI70" s="560">
        <f t="shared" si="176"/>
        <v>0</v>
      </c>
      <c r="AJ70" s="560">
        <f t="shared" si="177"/>
        <v>58.702756357670225</v>
      </c>
      <c r="AK70" s="560">
        <f t="shared" si="178"/>
        <v>90.813164085315833</v>
      </c>
      <c r="AL70" s="560">
        <f>(VLOOKUP(Sheet1!DC72,hhdcap_wcm,4)-(((VLOOKUP(Sheet1!DC72,hhdcap_wcm,3)-Sheet1!DC72)/(VLOOKUP(Sheet1!DC72,hhdcap_wcm,3)-VLOOKUP(Sheet1!DC72,hhdcap_wcm,1)))*(VLOOKUP(Sheet1!DC72,hhdcap_wcm,4)-VLOOKUP(Sheet1!DC72,hhdcap_wcm,2))))</f>
        <v>3238.0000000076398</v>
      </c>
      <c r="AM70" s="560">
        <f t="shared" si="179"/>
        <v>254.20000000023856</v>
      </c>
      <c r="AN70" s="560">
        <f t="shared" si="180"/>
        <v>458.24048959956758</v>
      </c>
      <c r="AO70" s="560">
        <f t="shared" si="181"/>
        <v>1405.8818220914734</v>
      </c>
      <c r="AP70" s="560">
        <f>Sheet1!BA72+Sheet1!BB72+Sheet1!BN72+CD70</f>
        <v>6.4</v>
      </c>
      <c r="AQ70" s="560">
        <f>Sheet1!BN72+(DO70*Sheet1!BN72)</f>
        <v>5.5373256767842491</v>
      </c>
      <c r="AR70" s="560">
        <f>Sheet1!BA72+CD70</f>
        <v>0</v>
      </c>
      <c r="AS70" s="560">
        <f>Sheet1!BA72+Sheet1!BB72+CD70</f>
        <v>1</v>
      </c>
      <c r="AT70" s="698">
        <f>0</f>
        <v>0</v>
      </c>
      <c r="AU70" s="560">
        <f>IF(EB70&lt;K70,0,MAX(Sheet1!AA72+AQ70-15/36*K70-N70,Sheet1!EH72,0))</f>
        <v>0</v>
      </c>
      <c r="AV70" s="560">
        <f>IF(OR(B70&gt;=GD70,B70&lt;GC70),0,15/36*K70-MAX(0,64.6-(137.6-(Sheet1!AA72+Sheet1!AB72))))</f>
        <v>26.933333333333334</v>
      </c>
      <c r="AW70" s="698">
        <f>Sheet1!DB72-110</f>
        <v>596</v>
      </c>
      <c r="AX70" s="698">
        <f>Sheet1!DA72-265</f>
        <v>1205</v>
      </c>
      <c r="AY70" s="698">
        <f t="shared" si="182"/>
        <v>44.99</v>
      </c>
      <c r="AZ70" s="698">
        <v>0</v>
      </c>
      <c r="BA70" s="698">
        <f t="shared" si="183"/>
        <v>0</v>
      </c>
      <c r="BB70" s="560">
        <f t="shared" si="184"/>
        <v>215.46666666666667</v>
      </c>
      <c r="BC70" s="560"/>
      <c r="BD70" s="560">
        <f ca="1">IF(B70&gt;Summary!$A$1,#N/A,BB70*MGtoAF)</f>
        <v>661.05173333333335</v>
      </c>
      <c r="BE70" s="560">
        <f>Sheet1!BG72+Sheet1!BH72+Sheet1!BI72-BM70</f>
        <v>0</v>
      </c>
      <c r="BF70" s="560">
        <f t="shared" si="185"/>
        <v>0</v>
      </c>
      <c r="BG70" s="560">
        <f>IF(Sheet1!EP72="FM",BM70,0)</f>
        <v>0</v>
      </c>
      <c r="BH70" s="560">
        <f t="shared" si="186"/>
        <v>0</v>
      </c>
      <c r="BI70" s="560">
        <f>IF(Sheet1!EP72="OTHER",BM70,0)</f>
        <v>0</v>
      </c>
      <c r="BJ70" s="560">
        <f t="shared" si="187"/>
        <v>0</v>
      </c>
      <c r="BK70" s="560">
        <f t="shared" si="188"/>
        <v>0</v>
      </c>
      <c r="BL70" s="560">
        <f t="shared" si="189"/>
        <v>0</v>
      </c>
      <c r="BM70" s="560">
        <f>IF(OR(Sheet1!EP72="FM", Sheet1!EP72="OTHER"),SUM(Sheet1!BG72:'Sheet1'!BI72),0)</f>
        <v>0</v>
      </c>
      <c r="BN70" s="545">
        <f>IF(AND($B70&gt;=$FV70,$B70&lt;=$FW70),MAX(BF70,Sheet1!EI72,0),MAX(BF70-(7/36)*$K70,0))</f>
        <v>0</v>
      </c>
      <c r="BO70" s="560">
        <f t="shared" si="190"/>
        <v>12.568888888888889</v>
      </c>
      <c r="BP70" s="545">
        <f t="shared" si="191"/>
        <v>0</v>
      </c>
      <c r="BQ70" s="545">
        <f>IF(AND($O70&gt;0,Sheet1!EM72=1),(1-($O70-Sheet1!$L72)/$O70)*BL70,0)</f>
        <v>0</v>
      </c>
      <c r="BR70" s="545">
        <f>IF(AND(Sheet1!$L72=0,Sheet1!$L71=0, Calculation!BK70&lt;Sheet1!$EI72-0.1,Sheet1!$EI72=Sheet1!$EI71,Sheet1!$EI72=Sheet1!$EI73),Sheet1!$EI72,BL70-BQ70)</f>
        <v>0</v>
      </c>
      <c r="BS70" s="560"/>
      <c r="BT70" s="560"/>
      <c r="BU70" s="560">
        <f t="shared" si="192"/>
        <v>100.55111111111113</v>
      </c>
      <c r="BV70" s="560"/>
      <c r="BW70" s="560">
        <f ca="1">IF(B70&gt;Summary!$A$1,#N/A,BU70*MGtoAF)</f>
        <v>308.49080888888892</v>
      </c>
      <c r="BX70" s="560">
        <f>Sheet1!BC72+Sheet1!BD72+Sheet1!BE72+Sheet1!BF72-CG70-CH70</f>
        <v>2.4900000000000002</v>
      </c>
      <c r="BY70" s="560">
        <f t="shared" si="193"/>
        <v>2.5533223954060706</v>
      </c>
      <c r="BZ70" s="560">
        <f>IF(Sheet1!EQ72="FM",CH70,0)</f>
        <v>0</v>
      </c>
      <c r="CA70" s="560">
        <f t="shared" si="194"/>
        <v>0</v>
      </c>
      <c r="CB70" s="560">
        <f>IF(Sheet1!EQ72="OTHER",CH70,0)</f>
        <v>0</v>
      </c>
      <c r="CC70" s="560">
        <f t="shared" si="195"/>
        <v>0</v>
      </c>
      <c r="CD70" s="560">
        <f t="shared" si="196"/>
        <v>0</v>
      </c>
      <c r="CE70" s="560">
        <f t="shared" si="197"/>
        <v>2.4900000000000002</v>
      </c>
      <c r="CF70" s="560">
        <f t="shared" si="198"/>
        <v>2.5533223954060706</v>
      </c>
      <c r="CG70" s="560">
        <f>IF(Sheet1!EQ72="CWA",SUM(Sheet1!BC72:'Sheet1'!BF72),0)</f>
        <v>0</v>
      </c>
      <c r="CH70" s="560">
        <f>IF(OR(Sheet1!EQ72="FM", Sheet1!EQ72="OTHER"),SUM(Sheet1!BC72:'Sheet1'!BF72),0)</f>
        <v>0</v>
      </c>
      <c r="CI70" s="545">
        <f>IF(AND($B70&gt;=$FV70,$B70&lt;=$FW70),MAX(CF70,Sheet1!EJ72,0),MAX(CF70-(7/36)*$K70,0))</f>
        <v>0</v>
      </c>
      <c r="CJ70" s="560">
        <f t="shared" si="199"/>
        <v>10.015566493482819</v>
      </c>
      <c r="CK70" s="545">
        <f t="shared" si="200"/>
        <v>2.5533223954060706</v>
      </c>
      <c r="CL70" s="545">
        <f>IF(AND($O70&gt;0,Sheet1!EN72=1),(1-($O70-Sheet1!$L72)/$O70)*CF70,0)</f>
        <v>0</v>
      </c>
      <c r="CM70" s="545">
        <f>IF(AND(Sheet1!$L72=0,Sheet1!$L71=0, Calculation!CE70&lt;Sheet1!EJ72-0.1,Sheet1!EJ72=Sheet1!EJ71,Sheet1!EJ72=Sheet1!EJ73),Sheet1!EJ72,CF70-CL70)</f>
        <v>2.5533223954060706</v>
      </c>
      <c r="CN70" s="545"/>
      <c r="CO70" s="560"/>
      <c r="CP70" s="560">
        <f t="shared" si="201"/>
        <v>80.567452144033652</v>
      </c>
      <c r="CQ70" s="560"/>
      <c r="CR70" s="560">
        <f ca="1">IF(B70&gt;Summary!$A$1,#N/A,CP70*MGtoAF)</f>
        <v>247.18094317789524</v>
      </c>
      <c r="CS70" s="560">
        <f>Sheet1!BK72+Sheet1!BL72+Sheet1!BM72-Sheet1!ER72-DA70</f>
        <v>3.3000000000000003</v>
      </c>
      <c r="CT70" s="560">
        <f t="shared" si="202"/>
        <v>3.3839212469237081</v>
      </c>
      <c r="CU70" s="560">
        <f>IF(Sheet1!ER72="FM",DA70,0)</f>
        <v>0</v>
      </c>
      <c r="CV70" s="560">
        <f t="shared" si="203"/>
        <v>0</v>
      </c>
      <c r="CW70" s="560">
        <f>IF(Sheet1!ER72="OTHER",DA70,0)</f>
        <v>0</v>
      </c>
      <c r="CX70" s="560">
        <f t="shared" si="204"/>
        <v>0</v>
      </c>
      <c r="CY70" s="560">
        <f t="shared" si="205"/>
        <v>3.3000000000000003</v>
      </c>
      <c r="CZ70" s="560">
        <f t="shared" si="206"/>
        <v>3.3839212469237081</v>
      </c>
      <c r="DA70" s="560">
        <f>IF(OR(Sheet1!ER72="FM", Sheet1!ER72="OTHER"),SUM(Sheet1!BK72:'Sheet1'!BM72),0)</f>
        <v>0</v>
      </c>
      <c r="DB70" s="545">
        <f>IF(AND($B70&gt;=$FV70,$B70&lt;=$FW70),MAX($CT70,Sheet1!EK72,0),MAX($CT70-(7/36)*$K70,0))</f>
        <v>0</v>
      </c>
      <c r="DC70" s="560">
        <f t="shared" si="207"/>
        <v>9.18496764196518</v>
      </c>
      <c r="DD70" s="545">
        <f t="shared" si="208"/>
        <v>3.3839212469237081</v>
      </c>
      <c r="DE70" s="545">
        <f>IF(AND($O70&gt;0,Sheet1!EO72=1),(1-($O70-Sheet1!$L72)/$O70)*CZ70,0)</f>
        <v>0</v>
      </c>
      <c r="DF70" s="545">
        <f>IF(AND(Sheet1!$L72=0,Sheet1!$L71=0, Calculation!CY70&lt;Sheet1!$EK72-0.1,Sheet1!$EK72=Sheet1!$EK71,Sheet1!$EK72=Sheet1!$EK73),Sheet1!$EK72,CZ70-DE70)</f>
        <v>3.3839212469237081</v>
      </c>
      <c r="DG70" s="545"/>
      <c r="DH70" s="560">
        <f t="shared" si="209"/>
        <v>5.7900000000000009</v>
      </c>
      <c r="DI70" s="560">
        <f t="shared" si="210"/>
        <v>61.655259677756106</v>
      </c>
      <c r="DJ70" s="698">
        <f t="shared" si="211"/>
        <v>5.9372436423297792</v>
      </c>
      <c r="DK70" s="560">
        <f ca="1">IF(B70&gt;Summary!$A$1,#N/A,DI70*MGtoAF)</f>
        <v>189.15833669135574</v>
      </c>
      <c r="DL70" s="698">
        <f t="shared" si="212"/>
        <v>5.7900000000000009</v>
      </c>
      <c r="DM70" s="560">
        <f t="shared" si="213"/>
        <v>12.190000000000001</v>
      </c>
      <c r="DN70" s="560">
        <f>Sheet1!AB72-DM70</f>
        <v>0.30999999999999872</v>
      </c>
      <c r="DO70" s="823">
        <f t="shared" si="214"/>
        <v>2.5430680885972001E-2</v>
      </c>
      <c r="DP70" s="560">
        <f>(VLOOKUP(Sheet1!DC72,hhdcap_wcm,4)-(((VLOOKUP(Sheet1!DC72,hhdcap_wcm,3)-Sheet1!DC72)/(VLOOKUP(Sheet1!DC72,hhdcap_wcm,3)-VLOOKUP(Sheet1!DC72,hhdcap_wcm,1)))*(VLOOKUP(Sheet1!DC72,hhdcap_wcm,4)-VLOOKUP(Sheet1!DC72,hhdcap_wcm,2))))</f>
        <v>3238.0000000076398</v>
      </c>
      <c r="DQ70" s="560">
        <f t="shared" si="215"/>
        <v>254.20000000023856</v>
      </c>
      <c r="DR70" s="560">
        <f t="shared" si="216"/>
        <v>128.18961169956557</v>
      </c>
      <c r="DS70" s="560">
        <f>Sheet1!EA72*AFtoMG</f>
        <v>0</v>
      </c>
      <c r="DT70" s="560">
        <f>Sheet1!EB72*AFtoMG</f>
        <v>0</v>
      </c>
      <c r="DU70" s="560">
        <f>Sheet1!EC72*AFtoMG</f>
        <v>0</v>
      </c>
      <c r="DV70" s="560">
        <f>Sheet1!ED72*AFtoMG</f>
        <v>0</v>
      </c>
      <c r="DW70" s="560">
        <f t="shared" si="217"/>
        <v>0</v>
      </c>
      <c r="DX70" s="560">
        <f t="shared" si="218"/>
        <v>0</v>
      </c>
      <c r="DY70" s="560">
        <f t="shared" si="219"/>
        <v>458.24048959956758</v>
      </c>
      <c r="DZ70" s="560">
        <f t="shared" si="220"/>
        <v>1405.8818220914734</v>
      </c>
      <c r="EA70" s="560"/>
      <c r="EB70" s="545">
        <f>IF(OR(B70&lt;FV70,B70&gt;FW70),(MIN(BF70+BY70+CT70+MAX(Sheet1!AA72+AQ70-73,0),K70)),0)</f>
        <v>5.9372436423297792</v>
      </c>
      <c r="EC70" s="560"/>
      <c r="ED70" s="560">
        <f t="shared" si="221"/>
        <v>5.9372436423297792</v>
      </c>
      <c r="EE70" s="560"/>
      <c r="EF70" s="560">
        <f>Sheet1!EH72+Sheet1!EI72+Sheet1!EJ72+Sheet1!EK72</f>
        <v>5.8000000000000007</v>
      </c>
      <c r="EG70" s="560"/>
      <c r="EH70" s="545">
        <f t="shared" si="222"/>
        <v>0</v>
      </c>
      <c r="EI70" s="560">
        <f>IF(Sheet1!ET72=1,SUM('Calculations II'!AT70:BA70)+'Calculations II'!BC70+Sheet1!BV72+'Calculations II'!BE70+AP70,SUM('Calculations II'!AT70:BA70)+'Calculations II'!BC70+Sheet1!BV72+'Calculations II'!BE70+AP70)</f>
        <v>46.750720000000001</v>
      </c>
      <c r="EJ70" s="560">
        <f>Sheet1!AA72+Sheet1!AB72+'Calculations II'!BC70</f>
        <v>55.68656</v>
      </c>
      <c r="EK70" s="560"/>
      <c r="EL70" s="560"/>
      <c r="EM70" s="560">
        <f t="shared" si="223"/>
        <v>41698</v>
      </c>
      <c r="EN70" s="560">
        <f t="shared" si="224"/>
        <v>58.702756357670225</v>
      </c>
      <c r="EO70" s="560">
        <f t="shared" si="225"/>
        <v>90.813164085315833</v>
      </c>
      <c r="EP70" s="560">
        <v>0</v>
      </c>
      <c r="EQ70" s="560">
        <v>0</v>
      </c>
      <c r="ER70" s="560">
        <v>0</v>
      </c>
      <c r="ES70" s="545">
        <f t="shared" si="77"/>
        <v>-6.0937531765994501</v>
      </c>
      <c r="ET70" s="560">
        <f>-(VLOOKUP(Sheet1!BQ72,Lookup!$O$4:$Q$262,2)-VLOOKUP(Sheet1!BQ71,Lookup!$O$4:$Q$262,2))/1000000</f>
        <v>-3.0468765882997251</v>
      </c>
      <c r="EU70" s="560">
        <f>-(VLOOKUP(Sheet1!BR72,Lookup!$O$4:$Q$262,3)-VLOOKUP(Sheet1!BR71,Lookup!$O$4:$Q$262,3))/1000000</f>
        <v>-3.0468765882997251</v>
      </c>
      <c r="EV70" s="560"/>
      <c r="EW70" s="560"/>
      <c r="EX70" s="560"/>
      <c r="EY70" s="560"/>
      <c r="EZ70" s="560"/>
      <c r="FA70" s="560"/>
      <c r="FB70" s="560"/>
      <c r="FC70" s="560"/>
      <c r="FD70" s="594" t="e">
        <f t="shared" si="226"/>
        <v>#N/A</v>
      </c>
      <c r="FE70" s="594" t="e">
        <f t="shared" si="227"/>
        <v>#N/A</v>
      </c>
      <c r="FF70" s="595" t="e">
        <f t="shared" si="228"/>
        <v>#N/A</v>
      </c>
      <c r="FG70" s="596" t="s">
        <v>692</v>
      </c>
      <c r="FH70" s="596" t="s">
        <v>692</v>
      </c>
      <c r="FI70" s="594" t="e">
        <v>#N/A</v>
      </c>
      <c r="FJ70" s="594" t="e">
        <v>#N/A</v>
      </c>
      <c r="FK70" s="560"/>
      <c r="FL70" s="560"/>
      <c r="FM70" s="560"/>
      <c r="FN70" s="560"/>
      <c r="FO70" s="560">
        <f>O70+((Sheet1!CS72)*GPMtoMGD)</f>
        <v>55.68656</v>
      </c>
      <c r="FP70" s="560">
        <f>IF(Sheet1!AA72+AQ70&lt;=Calculation!N70,AQ70,Calculation!N70-Sheet1!AA72)</f>
        <v>5.5373256767842491</v>
      </c>
      <c r="FQ70" s="560">
        <f>(Sheet1!BP72+Sheet1!BO72)/694.4</f>
        <v>1.47911866359447</v>
      </c>
      <c r="FR70" s="560"/>
      <c r="FS70" s="560"/>
      <c r="FT70" s="560"/>
      <c r="FU70" s="560"/>
      <c r="FV70" s="695">
        <f t="shared" si="80"/>
        <v>41827</v>
      </c>
      <c r="FW70" s="695">
        <f t="shared" si="81"/>
        <v>41934</v>
      </c>
      <c r="FX70" s="560"/>
      <c r="FY70" s="560"/>
      <c r="FZ70" s="560"/>
      <c r="GA70" s="560"/>
      <c r="GB70" s="560" t="str">
        <f t="shared" si="82"/>
        <v>n</v>
      </c>
      <c r="GC70" s="564">
        <f t="shared" si="83"/>
        <v>41691</v>
      </c>
      <c r="GD70" s="695">
        <f t="shared" si="84"/>
        <v>41807</v>
      </c>
      <c r="GE70" s="560">
        <v>6518.9</v>
      </c>
      <c r="GF70" s="695">
        <f t="shared" si="85"/>
        <v>41808</v>
      </c>
      <c r="GG70" s="560">
        <f t="shared" si="163"/>
        <v>3259</v>
      </c>
      <c r="GH70" s="564">
        <f t="shared" si="87"/>
        <v>41934</v>
      </c>
      <c r="GJ70" s="545">
        <f t="shared" si="88"/>
        <v>0</v>
      </c>
      <c r="GK70" s="560" t="str">
        <f t="shared" si="229"/>
        <v/>
      </c>
      <c r="GL70" s="560">
        <f t="shared" si="89"/>
        <v>0</v>
      </c>
      <c r="GM70" s="560" t="str">
        <f t="shared" si="90"/>
        <v/>
      </c>
      <c r="GN70" s="560">
        <f>IF(GK70="P",Lookup!$M$12,IF(GK70="PP",Lookup!$M$13,IF(GK70="PPP",Lookup!$M$14,IF(GK70="T",Lookup!$M$15,IF(GK70="TP",Lookup!$M$16,IF(GK70="TPP",Lookup!$M$17,IF(GK70="TPPP",Lookup!$M$18,0)))))))*GJ70</f>
        <v>0</v>
      </c>
      <c r="GO70" s="560">
        <f t="shared" si="91"/>
        <v>0</v>
      </c>
      <c r="GP70" s="560">
        <f t="shared" si="230"/>
        <v>661.05173333333335</v>
      </c>
      <c r="GQ70" s="560">
        <f t="shared" si="99"/>
        <v>215.46666666666667</v>
      </c>
      <c r="GR70" s="560"/>
      <c r="GS70" s="560">
        <f t="shared" si="92"/>
        <v>0</v>
      </c>
      <c r="GT70" s="560" t="str">
        <f t="shared" si="93"/>
        <v/>
      </c>
      <c r="GU70" s="560">
        <f>IF(GK70="P",Lookup!$N$12,IF(GK70="PP",Lookup!$N$13,IF(GK70="PPP",Lookup!$N$14,IF(GK70="T",Lookup!$N$15,IF(GK70="TP",Lookup!$N$16,IF(GK70="TPP",Lookup!$N$17,IF(GK70="TPPP",Lookup!$N$18,0)))))))*GJ70</f>
        <v>0</v>
      </c>
      <c r="GV70" s="560">
        <f t="shared" si="57"/>
        <v>0</v>
      </c>
      <c r="GW70" s="560">
        <f t="shared" si="231"/>
        <v>308.49080888888892</v>
      </c>
      <c r="GX70" s="560">
        <f t="shared" si="100"/>
        <v>100.55111111111113</v>
      </c>
      <c r="GY70" s="560"/>
      <c r="GZ70" s="560">
        <f t="shared" si="94"/>
        <v>0</v>
      </c>
      <c r="HA70" s="560" t="str">
        <f t="shared" si="95"/>
        <v/>
      </c>
      <c r="HB70" s="560">
        <f>IF(GK70="P",Lookup!$N$12,IF(GK70="PP",Lookup!$N$13,IF(GK70="PPP",Lookup!$N$14,IF(GK70="T",Lookup!$N$15,IF(GK70="TP",Lookup!$N$16,IF(GK70="TPP",Lookup!$N$17,IF(GK70="TPPP",Lookup!$N$18,0)))))))*GJ70</f>
        <v>0</v>
      </c>
      <c r="HC70" s="545">
        <f t="shared" si="232"/>
        <v>0</v>
      </c>
      <c r="HD70" s="560">
        <f t="shared" si="233"/>
        <v>247.18094317789524</v>
      </c>
      <c r="HE70" s="560">
        <f t="shared" si="101"/>
        <v>80.567452144033652</v>
      </c>
      <c r="HF70" s="560"/>
      <c r="HG70" s="560">
        <f t="shared" si="96"/>
        <v>0</v>
      </c>
      <c r="HH70" s="560" t="str">
        <f t="shared" si="97"/>
        <v/>
      </c>
      <c r="HI70" s="560">
        <f>IF(GK70="P",Lookup!$N$12,IF(GK70="PP",Lookup!$N$13,IF(GK70="PPP",Lookup!$N$14,IF(GK70="T",Lookup!$N$15,IF(GK70="TP",Lookup!$N$16,IF(GK70="TPP",Lookup!$N$17,IF(GK70="TPPP",Lookup!$N$18,0)))))))*GJ70</f>
        <v>0</v>
      </c>
      <c r="HJ70" s="545">
        <f t="shared" si="234"/>
        <v>0</v>
      </c>
      <c r="HK70" s="560">
        <f t="shared" si="235"/>
        <v>189.15833669135574</v>
      </c>
      <c r="HL70" s="560">
        <f t="shared" si="102"/>
        <v>61.655259677756106</v>
      </c>
      <c r="HM70" s="560"/>
    </row>
    <row r="71" spans="1:272">
      <c r="A71" s="580" t="s">
        <v>9</v>
      </c>
      <c r="B71" s="556">
        <v>41699</v>
      </c>
      <c r="C71" s="561">
        <v>0</v>
      </c>
      <c r="D71" s="529">
        <f t="shared" si="103"/>
        <v>300</v>
      </c>
      <c r="E71" s="529">
        <f t="shared" si="104"/>
        <v>250</v>
      </c>
      <c r="F71" s="529">
        <v>250</v>
      </c>
      <c r="G71" s="560">
        <f>DR71+Sheet1!CZ73</f>
        <v>835.58598083745028</v>
      </c>
      <c r="H71" s="914">
        <f t="shared" si="2"/>
        <v>273.15957801332786</v>
      </c>
      <c r="I71" s="559">
        <f>MAX(Sheet1!Z73-AT71+(Sheet1!DA73-E71)*CFStoMGD,0)</f>
        <v>762.32399999999996</v>
      </c>
      <c r="J71" s="562">
        <f>IF(AND(B71&gt;=Calculation!GC71,B71&lt;=Calculation!GD71),IF(Sheet1!DB73&gt;=Calculation!D71,64.64,0),MAX(Sheet1!Z73-AT71+(Sheet1!DB73-D71)*CFStoMGD,0))</f>
        <v>64.64</v>
      </c>
      <c r="K71" s="904">
        <f t="shared" si="171"/>
        <v>64.64</v>
      </c>
      <c r="L71" s="560">
        <f>Sheet1!AA73+Sheet1!AB73-Sheet1!L73+(Sheet1!DA73-F71)*CFStoMGD</f>
        <v>749.82399999999996</v>
      </c>
      <c r="M71" s="560">
        <f t="shared" si="172"/>
        <v>550.92523357359448</v>
      </c>
      <c r="N71" s="910">
        <f>IF(Sheet1!DA73&gt;=F71,MIN(73,MIN(MAX(L71,0),MAX(M71,0))),0)</f>
        <v>73</v>
      </c>
      <c r="O71" s="563">
        <f>Sheet1!AA73+Sheet1!AB73</f>
        <v>34.090000000000003</v>
      </c>
      <c r="P71" s="563">
        <f t="shared" si="173"/>
        <v>52.737229999999997</v>
      </c>
      <c r="Q71" s="898">
        <f t="shared" si="63"/>
        <v>27.770000000000003</v>
      </c>
      <c r="R71" s="829">
        <f t="shared" si="174"/>
        <v>6.2573780487804873</v>
      </c>
      <c r="S71" s="898">
        <f t="shared" si="65"/>
        <v>6.32</v>
      </c>
      <c r="T71" s="898">
        <f t="shared" si="66"/>
        <v>58.32</v>
      </c>
      <c r="U71" s="898">
        <f t="shared" si="6"/>
        <v>0</v>
      </c>
      <c r="V71" s="898"/>
      <c r="W71" s="898">
        <f t="shared" si="67"/>
        <v>58.382621951219512</v>
      </c>
      <c r="X71" s="898">
        <f t="shared" si="68"/>
        <v>64.64</v>
      </c>
      <c r="Y71" s="898" t="str">
        <f t="shared" si="69"/>
        <v>FALSE</v>
      </c>
      <c r="Z71" s="898">
        <f t="shared" si="70"/>
        <v>34.090000000000003</v>
      </c>
      <c r="AA71" s="898">
        <f t="shared" si="71"/>
        <v>34.090000000000003</v>
      </c>
      <c r="AB71" s="898" t="str">
        <f t="shared" si="72"/>
        <v/>
      </c>
      <c r="AC71" s="563">
        <f>Sheet1!Y73*MGDtoCFS</f>
        <v>32.951099999999997</v>
      </c>
      <c r="AD71" s="563">
        <f>Sheet1!Z73*MGDtoCFS</f>
        <v>19.337499999999999</v>
      </c>
      <c r="AE71" s="563">
        <f>Sheet1!AA73*MGDtoCFS</f>
        <v>32.6417</v>
      </c>
      <c r="AF71" s="563">
        <f>Sheet1!AB73*MGDtoCFS</f>
        <v>20.09553</v>
      </c>
      <c r="AG71" s="563">
        <f>Sheet1!L73*MGDtoCFS</f>
        <v>52.737230000000004</v>
      </c>
      <c r="AH71" s="545">
        <f t="shared" si="175"/>
        <v>0</v>
      </c>
      <c r="AI71" s="560">
        <f t="shared" si="176"/>
        <v>0</v>
      </c>
      <c r="AJ71" s="560">
        <f t="shared" si="177"/>
        <v>58.382621951219512</v>
      </c>
      <c r="AK71" s="560">
        <f t="shared" si="178"/>
        <v>90.317916158536576</v>
      </c>
      <c r="AL71" s="560">
        <f>(VLOOKUP(Sheet1!DC73,hhdcap_wcm,4)-(((VLOOKUP(Sheet1!DC73,hhdcap_wcm,3)-Sheet1!DC73)/(VLOOKUP(Sheet1!DC73,hhdcap_wcm,3)-VLOOKUP(Sheet1!DC73,hhdcap_wcm,1)))*(VLOOKUP(Sheet1!DC73,hhdcap_wcm,4)-VLOOKUP(Sheet1!DC73,hhdcap_wcm,2))))</f>
        <v>3608.0000000083037</v>
      </c>
      <c r="AM71" s="560">
        <f t="shared" si="179"/>
        <v>370.00000000066393</v>
      </c>
      <c r="AN71" s="560">
        <f t="shared" si="180"/>
        <v>516.62311155078703</v>
      </c>
      <c r="AO71" s="560">
        <f t="shared" si="181"/>
        <v>1584.9997062378147</v>
      </c>
      <c r="AP71" s="560">
        <f>Sheet1!BA73+Sheet1!BB73+Sheet1!BN73+CD71</f>
        <v>6.8</v>
      </c>
      <c r="AQ71" s="560">
        <f>Sheet1!BN73+(DO71*Sheet1!BN73)</f>
        <v>5.7425304878048777</v>
      </c>
      <c r="AR71" s="560">
        <f>Sheet1!BA73+CD71</f>
        <v>0</v>
      </c>
      <c r="AS71" s="560">
        <f>Sheet1!BA73+Sheet1!BB73+CD71</f>
        <v>1</v>
      </c>
      <c r="AT71" s="698">
        <f>0</f>
        <v>0</v>
      </c>
      <c r="AU71" s="560">
        <f>IF(EB71&lt;K71,0,MAX(Sheet1!AA73+AQ71-15/36*K71-N71,Sheet1!EH73,0))</f>
        <v>0</v>
      </c>
      <c r="AV71" s="560">
        <f>IF(OR(B71&gt;=GD71,B71&lt;GC71),0,15/36*K71-MAX(0,64.6-(137.6-(Sheet1!AA73+Sheet1!AB73))))</f>
        <v>26.933333333333334</v>
      </c>
      <c r="AW71" s="698">
        <f>Sheet1!DB73-110</f>
        <v>599</v>
      </c>
      <c r="AX71" s="698">
        <f>Sheet1!DA73-265</f>
        <v>1145</v>
      </c>
      <c r="AY71" s="698">
        <f t="shared" si="182"/>
        <v>45.23</v>
      </c>
      <c r="AZ71" s="698">
        <v>0</v>
      </c>
      <c r="BA71" s="698">
        <f t="shared" si="183"/>
        <v>0</v>
      </c>
      <c r="BB71" s="560">
        <f t="shared" si="184"/>
        <v>242.4</v>
      </c>
      <c r="BC71" s="560"/>
      <c r="BD71" s="560">
        <f ca="1">IF(B71&gt;Summary!$A$1,#N/A,BB71*MGtoAF)</f>
        <v>743.68320000000006</v>
      </c>
      <c r="BE71" s="560">
        <f>Sheet1!BG73+Sheet1!BH73+Sheet1!BI73-BM71</f>
        <v>0</v>
      </c>
      <c r="BF71" s="560">
        <f t="shared" si="185"/>
        <v>0</v>
      </c>
      <c r="BG71" s="560">
        <f>IF(Sheet1!EP73="FM",BM71,0)</f>
        <v>0</v>
      </c>
      <c r="BH71" s="560">
        <f t="shared" si="186"/>
        <v>0</v>
      </c>
      <c r="BI71" s="560">
        <f>IF(Sheet1!EP73="OTHER",BM71,0)</f>
        <v>0</v>
      </c>
      <c r="BJ71" s="560">
        <f t="shared" si="187"/>
        <v>0</v>
      </c>
      <c r="BK71" s="560">
        <f t="shared" si="188"/>
        <v>0</v>
      </c>
      <c r="BL71" s="560">
        <f t="shared" si="189"/>
        <v>0</v>
      </c>
      <c r="BM71" s="560">
        <f>IF(OR(Sheet1!EP73="FM", Sheet1!EP73="OTHER"),SUM(Sheet1!BG73:'Sheet1'!BI73),0)</f>
        <v>0</v>
      </c>
      <c r="BN71" s="545">
        <f>IF(AND($B71&gt;=$FV71,$B71&lt;=$FW71),MAX(BF71,Sheet1!EI73,0),MAX(BF71-(7/36)*$K71,0))</f>
        <v>0</v>
      </c>
      <c r="BO71" s="560">
        <f t="shared" si="190"/>
        <v>12.568888888888889</v>
      </c>
      <c r="BP71" s="545">
        <f t="shared" si="191"/>
        <v>0</v>
      </c>
      <c r="BQ71" s="545">
        <f>IF(AND($O71&gt;0,Sheet1!EM73=1),(1-($O71-Sheet1!$L73)/$O71)*BL71,0)</f>
        <v>0</v>
      </c>
      <c r="BR71" s="545">
        <f>IF(AND(Sheet1!$L73=0,Sheet1!$L72=0, Calculation!BK71&lt;Sheet1!$EI73-0.1,Sheet1!$EI73=Sheet1!$EI72,Sheet1!$EI73=Sheet1!$EI74),Sheet1!$EI73,BL71-BQ71)</f>
        <v>0</v>
      </c>
      <c r="BS71" s="560"/>
      <c r="BT71" s="560"/>
      <c r="BU71" s="560">
        <f t="shared" si="192"/>
        <v>113.12000000000002</v>
      </c>
      <c r="BV71" s="560"/>
      <c r="BW71" s="560">
        <f ca="1">IF(B71&gt;Summary!$A$1,#N/A,BU71*MGtoAF)</f>
        <v>347.05216000000007</v>
      </c>
      <c r="BX71" s="560">
        <f>Sheet1!BC73+Sheet1!BD73+Sheet1!BE73+Sheet1!BF73-CG71-CH71</f>
        <v>2.5</v>
      </c>
      <c r="BY71" s="560">
        <f t="shared" si="193"/>
        <v>2.4752286585365852</v>
      </c>
      <c r="BZ71" s="560">
        <f>IF(Sheet1!EQ73="FM",CH71,0)</f>
        <v>0</v>
      </c>
      <c r="CA71" s="560">
        <f t="shared" si="194"/>
        <v>0</v>
      </c>
      <c r="CB71" s="560">
        <f>IF(Sheet1!EQ73="OTHER",CH71,0)</f>
        <v>0</v>
      </c>
      <c r="CC71" s="560">
        <f t="shared" si="195"/>
        <v>0</v>
      </c>
      <c r="CD71" s="560">
        <f t="shared" si="196"/>
        <v>0</v>
      </c>
      <c r="CE71" s="560">
        <f t="shared" si="197"/>
        <v>2.5</v>
      </c>
      <c r="CF71" s="560">
        <f t="shared" si="198"/>
        <v>2.4752286585365852</v>
      </c>
      <c r="CG71" s="560">
        <f>IF(Sheet1!EQ73="CWA",SUM(Sheet1!BC73:'Sheet1'!BF73),0)</f>
        <v>0</v>
      </c>
      <c r="CH71" s="560">
        <f>IF(OR(Sheet1!EQ73="FM", Sheet1!EQ73="OTHER"),SUM(Sheet1!BC73:'Sheet1'!BF73),0)</f>
        <v>0</v>
      </c>
      <c r="CI71" s="545">
        <f>IF(AND($B71&gt;=$FV71,$B71&lt;=$FW71),MAX(CF71,Sheet1!EJ73,0),MAX(CF71-(7/36)*$K71,0))</f>
        <v>0</v>
      </c>
      <c r="CJ71" s="560">
        <f t="shared" si="199"/>
        <v>10.093660230352304</v>
      </c>
      <c r="CK71" s="545">
        <f t="shared" si="200"/>
        <v>2.4752286585365852</v>
      </c>
      <c r="CL71" s="545">
        <f>IF(AND($O71&gt;0,Sheet1!EN73=1),(1-($O71-Sheet1!$L73)/$O71)*CF71,0)</f>
        <v>0</v>
      </c>
      <c r="CM71" s="545">
        <f>IF(AND(Sheet1!$L73=0,Sheet1!$L72=0, Calculation!CE71&lt;Sheet1!EJ73-0.1,Sheet1!EJ73=Sheet1!EJ72,Sheet1!EJ73=Sheet1!EJ74),Sheet1!EJ73,CF71-CL71)</f>
        <v>2.4752286585365852</v>
      </c>
      <c r="CN71" s="545"/>
      <c r="CO71" s="560"/>
      <c r="CP71" s="560">
        <f t="shared" si="201"/>
        <v>90.661112374385951</v>
      </c>
      <c r="CQ71" s="560"/>
      <c r="CR71" s="560">
        <f ca="1">IF(B71&gt;Summary!$A$1,#N/A,CP71*MGtoAF)</f>
        <v>278.14829276461609</v>
      </c>
      <c r="CS71" s="560">
        <f>Sheet1!BK73+Sheet1!BL73+Sheet1!BM73-Sheet1!ER73-DA71</f>
        <v>3.82</v>
      </c>
      <c r="CT71" s="560">
        <f t="shared" si="202"/>
        <v>3.7821493902439021</v>
      </c>
      <c r="CU71" s="560">
        <f>IF(Sheet1!ER73="FM",DA71,0)</f>
        <v>0</v>
      </c>
      <c r="CV71" s="560">
        <f t="shared" si="203"/>
        <v>0</v>
      </c>
      <c r="CW71" s="560">
        <f>IF(Sheet1!ER73="OTHER",DA71,0)</f>
        <v>0</v>
      </c>
      <c r="CX71" s="560">
        <f t="shared" si="204"/>
        <v>0</v>
      </c>
      <c r="CY71" s="560">
        <f t="shared" si="205"/>
        <v>3.82</v>
      </c>
      <c r="CZ71" s="560">
        <f t="shared" si="206"/>
        <v>3.7821493902439021</v>
      </c>
      <c r="DA71" s="560">
        <f>IF(OR(Sheet1!ER73="FM", Sheet1!ER73="OTHER"),SUM(Sheet1!BK73:'Sheet1'!BM73),0)</f>
        <v>0</v>
      </c>
      <c r="DB71" s="545">
        <f>IF(AND($B71&gt;=$FV71,$B71&lt;=$FW71),MAX($CT71,Sheet1!EK73,0),MAX($CT71-(7/36)*$K71,0))</f>
        <v>0</v>
      </c>
      <c r="DC71" s="560">
        <f t="shared" si="207"/>
        <v>8.7867394986449874</v>
      </c>
      <c r="DD71" s="545">
        <f t="shared" si="208"/>
        <v>3.7821493902439021</v>
      </c>
      <c r="DE71" s="545">
        <f>IF(AND($O71&gt;0,Sheet1!EO73=1),(1-($O71-Sheet1!$L73)/$O71)*CZ71,0)</f>
        <v>0</v>
      </c>
      <c r="DF71" s="545">
        <f>IF(AND(Sheet1!$L73=0,Sheet1!$L72=0, Calculation!CY71&lt;Sheet1!$EK73-0.1,Sheet1!$EK73=Sheet1!$EK72,Sheet1!$EK73=Sheet1!$EK74),Sheet1!$EK73,CZ71-DE71)</f>
        <v>3.7821493902439021</v>
      </c>
      <c r="DG71" s="545"/>
      <c r="DH71" s="560">
        <f t="shared" si="209"/>
        <v>6.32</v>
      </c>
      <c r="DI71" s="560">
        <f t="shared" si="210"/>
        <v>70.441999176401097</v>
      </c>
      <c r="DJ71" s="698">
        <f t="shared" si="211"/>
        <v>6.2573780487804873</v>
      </c>
      <c r="DK71" s="560">
        <f ca="1">IF(B71&gt;Summary!$A$1,#N/A,DI71*MGtoAF)</f>
        <v>216.11605347319858</v>
      </c>
      <c r="DL71" s="698">
        <f t="shared" si="212"/>
        <v>6.32</v>
      </c>
      <c r="DM71" s="560">
        <f t="shared" si="213"/>
        <v>13.120000000000001</v>
      </c>
      <c r="DN71" s="560">
        <f>Sheet1!AB73-DM71</f>
        <v>-0.13000000000000078</v>
      </c>
      <c r="DO71" s="823">
        <f t="shared" si="214"/>
        <v>-9.9085365853659128E-3</v>
      </c>
      <c r="DP71" s="560">
        <f>(VLOOKUP(Sheet1!DC73,hhdcap_wcm,4)-(((VLOOKUP(Sheet1!DC73,hhdcap_wcm,3)-Sheet1!DC73)/(VLOOKUP(Sheet1!DC73,hhdcap_wcm,3)-VLOOKUP(Sheet1!DC73,hhdcap_wcm,1)))*(VLOOKUP(Sheet1!DC73,hhdcap_wcm,4)-VLOOKUP(Sheet1!DC73,hhdcap_wcm,2))))</f>
        <v>3608.0000000083037</v>
      </c>
      <c r="DQ71" s="560">
        <f t="shared" si="215"/>
        <v>370.00000000066393</v>
      </c>
      <c r="DR71" s="560">
        <f t="shared" si="216"/>
        <v>186.58598083745028</v>
      </c>
      <c r="DS71" s="560">
        <f>Sheet1!EA73*AFtoMG</f>
        <v>0</v>
      </c>
      <c r="DT71" s="560">
        <f>Sheet1!EB73*AFtoMG</f>
        <v>0</v>
      </c>
      <c r="DU71" s="560">
        <f>Sheet1!EC73*AFtoMG</f>
        <v>0</v>
      </c>
      <c r="DV71" s="560">
        <f>Sheet1!ED73*AFtoMG</f>
        <v>0</v>
      </c>
      <c r="DW71" s="560">
        <f t="shared" si="217"/>
        <v>0</v>
      </c>
      <c r="DX71" s="560">
        <f t="shared" si="218"/>
        <v>0</v>
      </c>
      <c r="DY71" s="560">
        <f t="shared" si="219"/>
        <v>516.62311155078703</v>
      </c>
      <c r="DZ71" s="560">
        <f t="shared" si="220"/>
        <v>1584.9997062378147</v>
      </c>
      <c r="EA71" s="560"/>
      <c r="EB71" s="545">
        <f>IF(OR(B71&lt;FV71,B71&gt;FW71),(MIN(BF71+BY71+CT71+MAX(Sheet1!AA73+AQ71-73,0),K71)),0)</f>
        <v>6.2573780487804873</v>
      </c>
      <c r="EC71" s="560"/>
      <c r="ED71" s="560">
        <f t="shared" si="221"/>
        <v>6.2573780487804873</v>
      </c>
      <c r="EE71" s="560"/>
      <c r="EF71" s="560">
        <f>Sheet1!EH73+Sheet1!EI73+Sheet1!EJ73+Sheet1!EK73</f>
        <v>6.32</v>
      </c>
      <c r="EG71" s="560"/>
      <c r="EH71" s="545">
        <f t="shared" si="222"/>
        <v>0</v>
      </c>
      <c r="EI71" s="560">
        <f>IF(Sheet1!ET73=1,SUM('Calculations II'!AT71:BA71)+'Calculations II'!BC71+Sheet1!BV73+'Calculations II'!BE71+AP71,SUM('Calculations II'!AT71:BA71)+'Calculations II'!BC71+Sheet1!BV73+'Calculations II'!BE71+AP71)</f>
        <v>47.800896000000002</v>
      </c>
      <c r="EJ71" s="560">
        <f>Sheet1!AA73+Sheet1!AB73+'Calculations II'!BC71</f>
        <v>55.585888000000004</v>
      </c>
      <c r="EK71" s="560"/>
      <c r="EL71" s="560"/>
      <c r="EM71" s="560">
        <f t="shared" si="223"/>
        <v>41699</v>
      </c>
      <c r="EN71" s="560">
        <f t="shared" si="224"/>
        <v>58.382621951219512</v>
      </c>
      <c r="EO71" s="560">
        <f t="shared" si="225"/>
        <v>90.317916158536576</v>
      </c>
      <c r="EP71" s="560">
        <v>0</v>
      </c>
      <c r="EQ71" s="560">
        <v>0</v>
      </c>
      <c r="ER71" s="560">
        <v>0</v>
      </c>
      <c r="ES71" s="545">
        <f t="shared" si="77"/>
        <v>-4.4357176599216457</v>
      </c>
      <c r="ET71" s="560">
        <f>-(VLOOKUP(Sheet1!BQ73,Lookup!$O$4:$Q$262,2)-VLOOKUP(Sheet1!BQ72,Lookup!$O$4:$Q$262,2))/1000000</f>
        <v>-2.2178588299608228</v>
      </c>
      <c r="EU71" s="560">
        <f>-(VLOOKUP(Sheet1!BR73,Lookup!$O$4:$Q$262,3)-VLOOKUP(Sheet1!BR72,Lookup!$O$4:$Q$262,3))/1000000</f>
        <v>-2.2178588299608228</v>
      </c>
      <c r="EV71" s="560"/>
      <c r="EW71" s="560"/>
      <c r="EX71" s="560"/>
      <c r="EY71" s="560"/>
      <c r="EZ71" s="560"/>
      <c r="FA71" s="560"/>
      <c r="FB71" s="560"/>
      <c r="FC71" s="560"/>
      <c r="FD71" s="594" t="e">
        <f t="shared" si="226"/>
        <v>#N/A</v>
      </c>
      <c r="FE71" s="594" t="e">
        <f t="shared" si="227"/>
        <v>#N/A</v>
      </c>
      <c r="FF71" s="595" t="e">
        <f t="shared" si="228"/>
        <v>#N/A</v>
      </c>
      <c r="FG71" s="596" t="s">
        <v>692</v>
      </c>
      <c r="FH71" s="596" t="s">
        <v>692</v>
      </c>
      <c r="FI71" s="594" t="e">
        <v>#N/A</v>
      </c>
      <c r="FJ71" s="594" t="e">
        <v>#N/A</v>
      </c>
      <c r="FK71" s="560"/>
      <c r="FL71" s="560"/>
      <c r="FM71" s="560"/>
      <c r="FN71" s="560"/>
      <c r="FO71" s="560">
        <f>O71+((Sheet1!CS73)*GPMtoMGD)</f>
        <v>55.585888000000004</v>
      </c>
      <c r="FP71" s="560">
        <f>IF(Sheet1!AA73+AQ71&lt;=Calculation!N71,AQ71,Calculation!N71-Sheet1!AA73)</f>
        <v>5.7425304878048777</v>
      </c>
      <c r="FQ71" s="560">
        <f>(Sheet1!BP73+Sheet1!BO73)/694.4</f>
        <v>1.465725806451613</v>
      </c>
      <c r="FR71" s="560"/>
      <c r="FS71" s="560"/>
      <c r="FT71" s="560"/>
      <c r="FU71" s="560"/>
      <c r="FV71" s="695">
        <f t="shared" si="80"/>
        <v>41827</v>
      </c>
      <c r="FW71" s="695">
        <f t="shared" si="81"/>
        <v>41934</v>
      </c>
      <c r="FX71" s="560"/>
      <c r="FY71" s="560"/>
      <c r="FZ71" s="560"/>
      <c r="GA71" s="560"/>
      <c r="GB71" s="560" t="str">
        <f t="shared" si="82"/>
        <v>n</v>
      </c>
      <c r="GC71" s="564">
        <f t="shared" si="83"/>
        <v>41691</v>
      </c>
      <c r="GD71" s="695">
        <f t="shared" si="84"/>
        <v>41807</v>
      </c>
      <c r="GE71" s="560">
        <v>6518.9</v>
      </c>
      <c r="GF71" s="695">
        <f t="shared" si="85"/>
        <v>41808</v>
      </c>
      <c r="GG71" s="560">
        <f t="shared" si="163"/>
        <v>3259</v>
      </c>
      <c r="GH71" s="564">
        <f t="shared" si="87"/>
        <v>41934</v>
      </c>
      <c r="GJ71" s="545">
        <f t="shared" si="88"/>
        <v>0</v>
      </c>
      <c r="GK71" s="560" t="str">
        <f t="shared" si="229"/>
        <v/>
      </c>
      <c r="GL71" s="560">
        <f t="shared" si="89"/>
        <v>0</v>
      </c>
      <c r="GM71" s="560" t="str">
        <f t="shared" si="90"/>
        <v/>
      </c>
      <c r="GN71" s="560">
        <f>IF(GK71="P",Lookup!$M$12,IF(GK71="PP",Lookup!$M$13,IF(GK71="PPP",Lookup!$M$14,IF(GK71="T",Lookup!$M$15,IF(GK71="TP",Lookup!$M$16,IF(GK71="TPP",Lookup!$M$17,IF(GK71="TPPP",Lookup!$M$18,0)))))))*GJ71</f>
        <v>0</v>
      </c>
      <c r="GO71" s="560">
        <f t="shared" si="91"/>
        <v>0</v>
      </c>
      <c r="GP71" s="560">
        <f t="shared" si="230"/>
        <v>743.68320000000006</v>
      </c>
      <c r="GQ71" s="560">
        <f t="shared" si="99"/>
        <v>242.4</v>
      </c>
      <c r="GR71" s="560"/>
      <c r="GS71" s="560">
        <f t="shared" si="92"/>
        <v>0</v>
      </c>
      <c r="GT71" s="560" t="str">
        <f t="shared" si="93"/>
        <v/>
      </c>
      <c r="GU71" s="560">
        <f>IF(GK71="P",Lookup!$N$12,IF(GK71="PP",Lookup!$N$13,IF(GK71="PPP",Lookup!$N$14,IF(GK71="T",Lookup!$N$15,IF(GK71="TP",Lookup!$N$16,IF(GK71="TPP",Lookup!$N$17,IF(GK71="TPPP",Lookup!$N$18,0)))))))*GJ71</f>
        <v>0</v>
      </c>
      <c r="GV71" s="560">
        <f t="shared" si="57"/>
        <v>0</v>
      </c>
      <c r="GW71" s="560">
        <f t="shared" si="231"/>
        <v>347.05216000000007</v>
      </c>
      <c r="GX71" s="560">
        <f t="shared" si="100"/>
        <v>113.12000000000002</v>
      </c>
      <c r="GY71" s="560"/>
      <c r="GZ71" s="560">
        <f t="shared" si="94"/>
        <v>0</v>
      </c>
      <c r="HA71" s="560" t="str">
        <f t="shared" si="95"/>
        <v/>
      </c>
      <c r="HB71" s="560">
        <f>IF(GK71="P",Lookup!$N$12,IF(GK71="PP",Lookup!$N$13,IF(GK71="PPP",Lookup!$N$14,IF(GK71="T",Lookup!$N$15,IF(GK71="TP",Lookup!$N$16,IF(GK71="TPP",Lookup!$N$17,IF(GK71="TPPP",Lookup!$N$18,0)))))))*GJ71</f>
        <v>0</v>
      </c>
      <c r="HC71" s="545">
        <f t="shared" si="232"/>
        <v>0</v>
      </c>
      <c r="HD71" s="560">
        <f t="shared" si="233"/>
        <v>278.14829276461609</v>
      </c>
      <c r="HE71" s="560">
        <f t="shared" si="101"/>
        <v>90.661112374385951</v>
      </c>
      <c r="HF71" s="560"/>
      <c r="HG71" s="560">
        <f t="shared" si="96"/>
        <v>0</v>
      </c>
      <c r="HH71" s="560" t="str">
        <f t="shared" si="97"/>
        <v/>
      </c>
      <c r="HI71" s="560">
        <f>IF(GK71="P",Lookup!$N$12,IF(GK71="PP",Lookup!$N$13,IF(GK71="PPP",Lookup!$N$14,IF(GK71="T",Lookup!$N$15,IF(GK71="TP",Lookup!$N$16,IF(GK71="TPP",Lookup!$N$17,IF(GK71="TPPP",Lookup!$N$18,0)))))))*GJ71</f>
        <v>0</v>
      </c>
      <c r="HJ71" s="545">
        <f t="shared" si="234"/>
        <v>0</v>
      </c>
      <c r="HK71" s="560">
        <f t="shared" si="235"/>
        <v>216.11605347319858</v>
      </c>
      <c r="HL71" s="560">
        <f t="shared" si="102"/>
        <v>70.441999176401097</v>
      </c>
      <c r="HM71" s="560"/>
    </row>
    <row r="72" spans="1:272" s="696" customFormat="1">
      <c r="A72" s="580" t="s">
        <v>3</v>
      </c>
      <c r="B72" s="556">
        <v>41700</v>
      </c>
      <c r="C72" s="809">
        <v>0</v>
      </c>
      <c r="D72" s="691">
        <f t="shared" si="103"/>
        <v>300</v>
      </c>
      <c r="E72" s="691">
        <f t="shared" si="104"/>
        <v>250</v>
      </c>
      <c r="F72" s="691">
        <v>250</v>
      </c>
      <c r="G72" s="698">
        <f>DR72+Sheet1!CZ74</f>
        <v>823.40595058047518</v>
      </c>
      <c r="H72" s="914">
        <f t="shared" ref="H72:H135" si="236">MAX((G72-113-D72)*CFStoMGD,0)</f>
        <v>265.28640645521915</v>
      </c>
      <c r="I72" s="559">
        <f>MAX(Sheet1!Z74-AT72+(Sheet1!DA74-E72)*CFStoMGD,0)</f>
        <v>833.91800000000001</v>
      </c>
      <c r="J72" s="562">
        <f>IF(AND(B72&gt;=Calculation!GC72,B72&lt;=Calculation!GD72),IF(Sheet1!DB74&gt;=Calculation!D72,64.64,0),MAX(Sheet1!Z74-AT72+(Sheet1!DB74-D72)*CFStoMGD,0))</f>
        <v>64.64</v>
      </c>
      <c r="K72" s="904">
        <f t="shared" si="171"/>
        <v>64.64</v>
      </c>
      <c r="L72" s="560">
        <f>Sheet1!AA74+Sheet1!AB74-Sheet1!L74+(Sheet1!DA74-F72)*CFStoMGD</f>
        <v>820.928</v>
      </c>
      <c r="M72" s="560">
        <f t="shared" si="172"/>
        <v>542.8945985843236</v>
      </c>
      <c r="N72" s="910">
        <f>IF(Sheet1!DA74&gt;=F72,MIN(73,MIN(MAX(L72,0),MAX(M72,0))),0)</f>
        <v>73</v>
      </c>
      <c r="O72" s="563">
        <f>Sheet1!AA74+Sheet1!AB74</f>
        <v>34.06</v>
      </c>
      <c r="P72" s="563">
        <f t="shared" si="173"/>
        <v>52.690819999999995</v>
      </c>
      <c r="Q72" s="898">
        <f t="shared" si="63"/>
        <v>27.800000000000004</v>
      </c>
      <c r="R72" s="829">
        <f t="shared" si="174"/>
        <v>6.1881010719754981</v>
      </c>
      <c r="S72" s="898">
        <f t="shared" si="65"/>
        <v>6.26</v>
      </c>
      <c r="T72" s="898">
        <f t="shared" si="66"/>
        <v>58.38</v>
      </c>
      <c r="U72" s="898">
        <f t="shared" si="6"/>
        <v>0</v>
      </c>
      <c r="V72" s="898"/>
      <c r="W72" s="898">
        <f t="shared" si="67"/>
        <v>58.451898928024505</v>
      </c>
      <c r="X72" s="898">
        <f t="shared" si="68"/>
        <v>64.64</v>
      </c>
      <c r="Y72" s="898" t="str">
        <f t="shared" si="69"/>
        <v>FALSE</v>
      </c>
      <c r="Z72" s="898">
        <f t="shared" si="70"/>
        <v>34.06</v>
      </c>
      <c r="AA72" s="898">
        <f t="shared" si="71"/>
        <v>34.06</v>
      </c>
      <c r="AB72" s="898" t="str">
        <f t="shared" si="72"/>
        <v/>
      </c>
      <c r="AC72" s="563">
        <f>Sheet1!Y74*MGDtoCFS</f>
        <v>32.6417</v>
      </c>
      <c r="AD72" s="563">
        <f>Sheet1!Z74*MGDtoCFS</f>
        <v>20.09553</v>
      </c>
      <c r="AE72" s="563">
        <f>Sheet1!AA74*MGDtoCFS</f>
        <v>32.719049999999996</v>
      </c>
      <c r="AF72" s="563">
        <f>Sheet1!AB74*MGDtoCFS</f>
        <v>19.971769999999999</v>
      </c>
      <c r="AG72" s="563">
        <f>Sheet1!L74*MGDtoCFS</f>
        <v>52.690820000000002</v>
      </c>
      <c r="AH72" s="545">
        <f t="shared" si="175"/>
        <v>0</v>
      </c>
      <c r="AI72" s="560">
        <f t="shared" si="176"/>
        <v>0</v>
      </c>
      <c r="AJ72" s="560">
        <f t="shared" si="177"/>
        <v>58.451898928024505</v>
      </c>
      <c r="AK72" s="560">
        <f t="shared" si="178"/>
        <v>90.425087641653903</v>
      </c>
      <c r="AL72" s="560">
        <f>(VLOOKUP(Sheet1!DC74,hhdcap_wcm,4)-(((VLOOKUP(Sheet1!DC74,hhdcap_wcm,3)-Sheet1!DC74)/(VLOOKUP(Sheet1!DC74,hhdcap_wcm,3)-VLOOKUP(Sheet1!DC74,hhdcap_wcm,1)))*(VLOOKUP(Sheet1!DC74,hhdcap_wcm,4)-VLOOKUP(Sheet1!DC74,hhdcap_wcm,2))))</f>
        <v>3936.000000009386</v>
      </c>
      <c r="AM72" s="560">
        <f t="shared" si="179"/>
        <v>328.0000000010823</v>
      </c>
      <c r="AN72" s="560">
        <f t="shared" si="180"/>
        <v>575.07501047881158</v>
      </c>
      <c r="AO72" s="560">
        <f t="shared" si="181"/>
        <v>1764.3301321489939</v>
      </c>
      <c r="AP72" s="560">
        <f>Sheet1!BA74+Sheet1!BB74+Sheet1!BN74+CD72</f>
        <v>6.8</v>
      </c>
      <c r="AQ72" s="560">
        <f>Sheet1!BN74+(DO72*Sheet1!BN74)</f>
        <v>5.7333843797856057</v>
      </c>
      <c r="AR72" s="560">
        <f>Sheet1!BA74+CD72</f>
        <v>0</v>
      </c>
      <c r="AS72" s="560">
        <f>Sheet1!BA74+Sheet1!BB74+CD72</f>
        <v>1</v>
      </c>
      <c r="AT72" s="698">
        <f>0</f>
        <v>0</v>
      </c>
      <c r="AU72" s="560">
        <f>IF(EB72&lt;K72,0,MAX(Sheet1!AA74+AQ72-15/36*K72-N72,Sheet1!EH74,0))</f>
        <v>0</v>
      </c>
      <c r="AV72" s="560">
        <f>IF(OR(B72&gt;=GD72,B72&lt;GC72),0,15/36*K72-MAX(0,64.6-(137.6-(Sheet1!AA74+Sheet1!AB74))))</f>
        <v>26.933333333333334</v>
      </c>
      <c r="AW72" s="698">
        <f>Sheet1!DB74-110</f>
        <v>640</v>
      </c>
      <c r="AX72" s="698">
        <f>Sheet1!DA74-265</f>
        <v>1255</v>
      </c>
      <c r="AY72" s="698">
        <f t="shared" si="182"/>
        <v>45.199999999999996</v>
      </c>
      <c r="AZ72" s="698">
        <v>0</v>
      </c>
      <c r="BA72" s="698">
        <f t="shared" si="183"/>
        <v>0</v>
      </c>
      <c r="BB72" s="560">
        <f t="shared" si="184"/>
        <v>269.33333333333331</v>
      </c>
      <c r="BC72" s="560"/>
      <c r="BD72" s="560">
        <f ca="1">IF(B72&gt;Summary!$A$1,#N/A,BB72*MGtoAF)</f>
        <v>826.31466666666665</v>
      </c>
      <c r="BE72" s="560">
        <f>Sheet1!BG74+Sheet1!BH74+Sheet1!BI74-BM72</f>
        <v>0</v>
      </c>
      <c r="BF72" s="560">
        <f t="shared" si="185"/>
        <v>0</v>
      </c>
      <c r="BG72" s="560">
        <f>IF(Sheet1!EP74="FM",BM72,0)</f>
        <v>0</v>
      </c>
      <c r="BH72" s="560">
        <f t="shared" si="186"/>
        <v>0</v>
      </c>
      <c r="BI72" s="560">
        <f>IF(Sheet1!EP74="OTHER",BM72,0)</f>
        <v>0</v>
      </c>
      <c r="BJ72" s="560">
        <f t="shared" si="187"/>
        <v>0</v>
      </c>
      <c r="BK72" s="560">
        <f t="shared" si="188"/>
        <v>0</v>
      </c>
      <c r="BL72" s="560">
        <f t="shared" si="189"/>
        <v>0</v>
      </c>
      <c r="BM72" s="560">
        <f>IF(OR(Sheet1!EP74="FM", Sheet1!EP74="OTHER"),SUM(Sheet1!BG74:'Sheet1'!BI74),0)</f>
        <v>0</v>
      </c>
      <c r="BN72" s="545">
        <f>IF(AND($B72&gt;=$FV72,$B72&lt;=$FW72),MAX(BF72,Sheet1!EI74,0),MAX(BF72-(7/36)*$K72,0))</f>
        <v>0</v>
      </c>
      <c r="BO72" s="560">
        <f t="shared" si="190"/>
        <v>12.568888888888889</v>
      </c>
      <c r="BP72" s="545">
        <f t="shared" si="191"/>
        <v>0</v>
      </c>
      <c r="BQ72" s="545">
        <f>IF(AND($O72&gt;0,Sheet1!EM74=1),(1-($O72-Sheet1!$L74)/$O72)*BL72,0)</f>
        <v>0</v>
      </c>
      <c r="BR72" s="545">
        <f>IF(AND(Sheet1!$L74=0,Sheet1!$L73=0, Calculation!BK72&lt;Sheet1!$EI74-0.1,Sheet1!$EI74=Sheet1!$EI73,Sheet1!$EI74=Sheet1!$EI75),Sheet1!$EI74,BL72-BQ72)</f>
        <v>0</v>
      </c>
      <c r="BS72" s="560"/>
      <c r="BT72" s="560"/>
      <c r="BU72" s="560">
        <f t="shared" si="192"/>
        <v>125.68888888888891</v>
      </c>
      <c r="BV72" s="560"/>
      <c r="BW72" s="560">
        <f ca="1">IF(B72&gt;Summary!$A$1,#N/A,BU72*MGtoAF)</f>
        <v>385.61351111111117</v>
      </c>
      <c r="BX72" s="560">
        <f>Sheet1!BC74+Sheet1!BD74+Sheet1!BE74+Sheet1!BF74-CG72-CH72</f>
        <v>2.5</v>
      </c>
      <c r="BY72" s="560">
        <f t="shared" si="193"/>
        <v>2.4712863705972437</v>
      </c>
      <c r="BZ72" s="560">
        <f>IF(Sheet1!EQ74="FM",CH72,0)</f>
        <v>0</v>
      </c>
      <c r="CA72" s="560">
        <f t="shared" si="194"/>
        <v>0</v>
      </c>
      <c r="CB72" s="560">
        <f>IF(Sheet1!EQ74="OTHER",CH72,0)</f>
        <v>0</v>
      </c>
      <c r="CC72" s="560">
        <f t="shared" si="195"/>
        <v>0</v>
      </c>
      <c r="CD72" s="560">
        <f t="shared" si="196"/>
        <v>0</v>
      </c>
      <c r="CE72" s="560">
        <f t="shared" si="197"/>
        <v>2.5</v>
      </c>
      <c r="CF72" s="560">
        <f t="shared" si="198"/>
        <v>2.4712863705972437</v>
      </c>
      <c r="CG72" s="560">
        <f>IF(Sheet1!EQ74="CWA",SUM(Sheet1!BC74:'Sheet1'!BF74),0)</f>
        <v>0</v>
      </c>
      <c r="CH72" s="560">
        <f>IF(OR(Sheet1!EQ74="FM", Sheet1!EQ74="OTHER"),SUM(Sheet1!BC74:'Sheet1'!BF74),0)</f>
        <v>0</v>
      </c>
      <c r="CI72" s="545">
        <f>IF(AND($B72&gt;=$FV72,$B72&lt;=$FW72),MAX(CF72,Sheet1!EJ74,0),MAX(CF72-(7/36)*$K72,0))</f>
        <v>0</v>
      </c>
      <c r="CJ72" s="560">
        <f t="shared" si="199"/>
        <v>10.097602518291644</v>
      </c>
      <c r="CK72" s="545">
        <f t="shared" si="200"/>
        <v>2.4712863705972437</v>
      </c>
      <c r="CL72" s="545">
        <f>IF(AND($O72&gt;0,Sheet1!EN74=1),(1-($O72-Sheet1!$L74)/$O72)*CF72,0)</f>
        <v>0</v>
      </c>
      <c r="CM72" s="545">
        <f>IF(AND(Sheet1!$L74=0,Sheet1!$L73=0, Calculation!CE72&lt;Sheet1!EJ74-0.1,Sheet1!EJ74=Sheet1!EJ73,Sheet1!EJ74=Sheet1!EJ75),Sheet1!EJ74,CF72-CL72)</f>
        <v>2.4712863705972437</v>
      </c>
      <c r="CN72" s="545"/>
      <c r="CO72" s="560"/>
      <c r="CP72" s="560">
        <f t="shared" si="201"/>
        <v>100.7587148926776</v>
      </c>
      <c r="CQ72" s="560"/>
      <c r="CR72" s="560">
        <f ca="1">IF(B72&gt;Summary!$A$1,#N/A,CP72*MGtoAF)</f>
        <v>309.1277372907349</v>
      </c>
      <c r="CS72" s="560">
        <f>Sheet1!BK74+Sheet1!BL74+Sheet1!BM74-Sheet1!ER74-DA72</f>
        <v>3.76</v>
      </c>
      <c r="CT72" s="560">
        <f t="shared" si="202"/>
        <v>3.7168147013782544</v>
      </c>
      <c r="CU72" s="560">
        <f>IF(Sheet1!ER74="FM",DA72,0)</f>
        <v>0</v>
      </c>
      <c r="CV72" s="560">
        <f t="shared" si="203"/>
        <v>0</v>
      </c>
      <c r="CW72" s="560">
        <f>IF(Sheet1!ER74="OTHER",DA72,0)</f>
        <v>0</v>
      </c>
      <c r="CX72" s="560">
        <f t="shared" si="204"/>
        <v>0</v>
      </c>
      <c r="CY72" s="560">
        <f t="shared" si="205"/>
        <v>3.76</v>
      </c>
      <c r="CZ72" s="560">
        <f t="shared" si="206"/>
        <v>3.7168147013782544</v>
      </c>
      <c r="DA72" s="560">
        <f>IF(OR(Sheet1!ER74="FM", Sheet1!ER74="OTHER"),SUM(Sheet1!BK74:'Sheet1'!BM74),0)</f>
        <v>0</v>
      </c>
      <c r="DB72" s="545">
        <f>IF(AND($B72&gt;=$FV72,$B72&lt;=$FW72),MAX($CT72,Sheet1!EK74,0),MAX($CT72-(7/36)*$K72,0))</f>
        <v>0</v>
      </c>
      <c r="DC72" s="560">
        <f t="shared" si="207"/>
        <v>8.8520741875106346</v>
      </c>
      <c r="DD72" s="545">
        <f t="shared" si="208"/>
        <v>3.7168147013782544</v>
      </c>
      <c r="DE72" s="545">
        <f>IF(AND($O72&gt;0,Sheet1!EO74=1),(1-($O72-Sheet1!$L74)/$O72)*CZ72,0)</f>
        <v>0</v>
      </c>
      <c r="DF72" s="545">
        <f>IF(AND(Sheet1!$L74=0,Sheet1!$L73=0, Calculation!CY72&lt;Sheet1!$EK74-0.1,Sheet1!$EK74=Sheet1!$EK73,Sheet1!$EK74=Sheet1!$EK75),Sheet1!$EK74,CZ72-DE72)</f>
        <v>3.7168147013782544</v>
      </c>
      <c r="DG72" s="545"/>
      <c r="DH72" s="560">
        <f t="shared" si="209"/>
        <v>6.26</v>
      </c>
      <c r="DI72" s="560">
        <f t="shared" si="210"/>
        <v>79.294073363911735</v>
      </c>
      <c r="DJ72" s="698">
        <f t="shared" si="211"/>
        <v>6.1881010719754981</v>
      </c>
      <c r="DK72" s="560">
        <f ca="1">IF(B72&gt;Summary!$A$1,#N/A,DI72*MGtoAF)</f>
        <v>243.27421708048121</v>
      </c>
      <c r="DL72" s="698">
        <f t="shared" si="212"/>
        <v>6.26</v>
      </c>
      <c r="DM72" s="560">
        <f t="shared" si="213"/>
        <v>13.059999999999999</v>
      </c>
      <c r="DN72" s="560">
        <f>Sheet1!AB74-DM72</f>
        <v>-0.14999999999999858</v>
      </c>
      <c r="DO72" s="823">
        <f t="shared" si="214"/>
        <v>-1.1485451761102496E-2</v>
      </c>
      <c r="DP72" s="560">
        <f>(VLOOKUP(Sheet1!DC74,hhdcap_wcm,4)-(((VLOOKUP(Sheet1!DC74,hhdcap_wcm,3)-Sheet1!DC74)/(VLOOKUP(Sheet1!DC74,hhdcap_wcm,3)-VLOOKUP(Sheet1!DC74,hhdcap_wcm,1)))*(VLOOKUP(Sheet1!DC74,hhdcap_wcm,4)-VLOOKUP(Sheet1!DC74,hhdcap_wcm,2))))</f>
        <v>3936.000000009386</v>
      </c>
      <c r="DQ72" s="560">
        <f t="shared" si="215"/>
        <v>328.0000000010823</v>
      </c>
      <c r="DR72" s="560">
        <f t="shared" si="216"/>
        <v>165.40595058047518</v>
      </c>
      <c r="DS72" s="560">
        <f>Sheet1!EA74*AFtoMG</f>
        <v>0</v>
      </c>
      <c r="DT72" s="560">
        <f>Sheet1!EB74*AFtoMG</f>
        <v>0</v>
      </c>
      <c r="DU72" s="560">
        <f>Sheet1!EC74*AFtoMG</f>
        <v>0</v>
      </c>
      <c r="DV72" s="560">
        <f>Sheet1!ED74*AFtoMG</f>
        <v>0</v>
      </c>
      <c r="DW72" s="560">
        <f t="shared" si="217"/>
        <v>0</v>
      </c>
      <c r="DX72" s="560">
        <f t="shared" si="218"/>
        <v>0</v>
      </c>
      <c r="DY72" s="560">
        <f t="shared" si="219"/>
        <v>575.07501047881158</v>
      </c>
      <c r="DZ72" s="560">
        <f t="shared" si="220"/>
        <v>1764.3301321489939</v>
      </c>
      <c r="EA72" s="560"/>
      <c r="EB72" s="545">
        <f>IF(OR(B72&lt;FV72,B72&gt;FW72),(MIN(BF72+BY72+CT72+MAX(Sheet1!AA74+AQ72-73,0),K72)),0)</f>
        <v>6.1881010719754981</v>
      </c>
      <c r="EC72" s="560"/>
      <c r="ED72" s="560">
        <f t="shared" si="221"/>
        <v>6.1881010719754981</v>
      </c>
      <c r="EE72" s="560"/>
      <c r="EF72" s="560">
        <f>Sheet1!EH74+Sheet1!EI74+Sheet1!EJ74+Sheet1!EK74</f>
        <v>6.26</v>
      </c>
      <c r="EG72" s="560"/>
      <c r="EH72" s="545">
        <f t="shared" si="222"/>
        <v>0</v>
      </c>
      <c r="EI72" s="560">
        <f>IF(Sheet1!ET74=1,SUM('Calculations II'!AT72:BA72)+'Calculations II'!BC72+Sheet1!BV74+'Calculations II'!BE72+AP72,SUM('Calculations II'!AT72:BA72)+'Calculations II'!BC72+Sheet1!BV74+'Calculations II'!BE72+AP72)</f>
        <v>49.731664000000002</v>
      </c>
      <c r="EJ72" s="560">
        <f>Sheet1!AA74+Sheet1!AB74+'Calculations II'!BC72</f>
        <v>51.035152000000004</v>
      </c>
      <c r="EK72" s="560"/>
      <c r="EL72" s="560"/>
      <c r="EM72" s="560">
        <f t="shared" si="223"/>
        <v>41700</v>
      </c>
      <c r="EN72" s="560">
        <f t="shared" si="224"/>
        <v>58.451898928024505</v>
      </c>
      <c r="EO72" s="560">
        <f t="shared" si="225"/>
        <v>90.425087641653903</v>
      </c>
      <c r="EP72" s="560">
        <v>0</v>
      </c>
      <c r="EQ72" s="560">
        <v>0</v>
      </c>
      <c r="ER72" s="560">
        <v>0</v>
      </c>
      <c r="ES72" s="545">
        <f t="shared" si="77"/>
        <v>1.6637788059951364</v>
      </c>
      <c r="ET72" s="560">
        <f>-(VLOOKUP(Sheet1!BQ74,Lookup!$O$4:$Q$262,2)-VLOOKUP(Sheet1!BQ73,Lookup!$O$4:$Q$262,2))/1000000</f>
        <v>0.83188940299756819</v>
      </c>
      <c r="EU72" s="560">
        <f>-(VLOOKUP(Sheet1!BR74,Lookup!$O$4:$Q$262,3)-VLOOKUP(Sheet1!BR73,Lookup!$O$4:$Q$262,3))/1000000</f>
        <v>0.83188940299756819</v>
      </c>
      <c r="EV72" s="560"/>
      <c r="EW72" s="560"/>
      <c r="EX72" s="560"/>
      <c r="EY72" s="560"/>
      <c r="EZ72" s="560"/>
      <c r="FA72" s="560"/>
      <c r="FB72" s="560"/>
      <c r="FC72" s="560"/>
      <c r="FD72" s="915" t="e">
        <f t="shared" si="226"/>
        <v>#N/A</v>
      </c>
      <c r="FE72" s="915" t="e">
        <f t="shared" si="227"/>
        <v>#N/A</v>
      </c>
      <c r="FF72" s="595" t="e">
        <f t="shared" si="228"/>
        <v>#N/A</v>
      </c>
      <c r="FG72" s="596" t="s">
        <v>692</v>
      </c>
      <c r="FH72" s="596" t="s">
        <v>692</v>
      </c>
      <c r="FI72" s="915" t="e">
        <v>#N/A</v>
      </c>
      <c r="FJ72" s="915" t="e">
        <v>#N/A</v>
      </c>
      <c r="FK72" s="560"/>
      <c r="FL72" s="560"/>
      <c r="FM72" s="560"/>
      <c r="FN72" s="560"/>
      <c r="FO72" s="560">
        <f>O72+((Sheet1!CS74)*GPMtoMGD)</f>
        <v>51.035152000000004</v>
      </c>
      <c r="FP72" s="560">
        <f>IF(Sheet1!AA74+AQ72&lt;=Calculation!N72,AQ72,Calculation!N72-Sheet1!AA74)</f>
        <v>5.7333843797856057</v>
      </c>
      <c r="FQ72" s="560">
        <f>(Sheet1!BP74+Sheet1!BO74)/694.4</f>
        <v>1.6620103686635943</v>
      </c>
      <c r="FR72" s="560"/>
      <c r="FS72" s="560"/>
      <c r="FT72" s="560"/>
      <c r="FU72" s="560"/>
      <c r="FV72" s="695">
        <f t="shared" si="80"/>
        <v>41827</v>
      </c>
      <c r="FW72" s="695">
        <f t="shared" si="81"/>
        <v>41934</v>
      </c>
      <c r="FX72" s="560"/>
      <c r="FY72" s="560"/>
      <c r="FZ72" s="560"/>
      <c r="GA72" s="560"/>
      <c r="GB72" s="560" t="str">
        <f t="shared" si="82"/>
        <v>n</v>
      </c>
      <c r="GC72" s="564">
        <f t="shared" si="83"/>
        <v>41691</v>
      </c>
      <c r="GD72" s="695">
        <f t="shared" si="84"/>
        <v>41807</v>
      </c>
      <c r="GE72" s="560">
        <v>6518.9</v>
      </c>
      <c r="GF72" s="695">
        <f t="shared" si="85"/>
        <v>41808</v>
      </c>
      <c r="GG72" s="560">
        <f t="shared" si="163"/>
        <v>3259</v>
      </c>
      <c r="GH72" s="564">
        <f t="shared" si="87"/>
        <v>41934</v>
      </c>
      <c r="GI72" s="565"/>
      <c r="GJ72" s="545">
        <f t="shared" si="88"/>
        <v>0</v>
      </c>
      <c r="GK72" s="560" t="str">
        <f t="shared" si="229"/>
        <v/>
      </c>
      <c r="GL72" s="560">
        <f t="shared" si="89"/>
        <v>0</v>
      </c>
      <c r="GM72" s="560" t="str">
        <f t="shared" si="90"/>
        <v/>
      </c>
      <c r="GN72" s="560">
        <f>IF(GK72="P",Lookup!$M$12,IF(GK72="PP",Lookup!$M$13,IF(GK72="PPP",Lookup!$M$14,IF(GK72="T",Lookup!$M$15,IF(GK72="TP",Lookup!$M$16,IF(GK72="TPP",Lookup!$M$17,IF(GK72="TPPP",Lookup!$M$18,0)))))))*GJ72</f>
        <v>0</v>
      </c>
      <c r="GO72" s="560">
        <f t="shared" si="91"/>
        <v>0</v>
      </c>
      <c r="GP72" s="560">
        <f t="shared" si="230"/>
        <v>826.31466666666665</v>
      </c>
      <c r="GQ72" s="560">
        <f t="shared" si="99"/>
        <v>269.33333333333331</v>
      </c>
      <c r="GR72" s="560"/>
      <c r="GS72" s="560">
        <f t="shared" si="92"/>
        <v>0</v>
      </c>
      <c r="GT72" s="560" t="str">
        <f t="shared" si="93"/>
        <v/>
      </c>
      <c r="GU72" s="560">
        <f>IF(GK72="P",Lookup!$N$12,IF(GK72="PP",Lookup!$N$13,IF(GK72="PPP",Lookup!$N$14,IF(GK72="T",Lookup!$N$15,IF(GK72="TP",Lookup!$N$16,IF(GK72="TPP",Lookup!$N$17,IF(GK72="TPPP",Lookup!$N$18,0)))))))*GJ72</f>
        <v>0</v>
      </c>
      <c r="GV72" s="560">
        <f t="shared" si="57"/>
        <v>0</v>
      </c>
      <c r="GW72" s="560">
        <f t="shared" si="231"/>
        <v>385.61351111111117</v>
      </c>
      <c r="GX72" s="560">
        <f t="shared" si="100"/>
        <v>125.68888888888891</v>
      </c>
      <c r="GY72" s="560"/>
      <c r="GZ72" s="560">
        <f t="shared" si="94"/>
        <v>0</v>
      </c>
      <c r="HA72" s="560" t="str">
        <f t="shared" si="95"/>
        <v/>
      </c>
      <c r="HB72" s="560">
        <f>IF(GK72="P",Lookup!$N$12,IF(GK72="PP",Lookup!$N$13,IF(GK72="PPP",Lookup!$N$14,IF(GK72="T",Lookup!$N$15,IF(GK72="TP",Lookup!$N$16,IF(GK72="TPP",Lookup!$N$17,IF(GK72="TPPP",Lookup!$N$18,0)))))))*GJ72</f>
        <v>0</v>
      </c>
      <c r="HC72" s="545">
        <f t="shared" si="232"/>
        <v>0</v>
      </c>
      <c r="HD72" s="560">
        <f t="shared" si="233"/>
        <v>309.1277372907349</v>
      </c>
      <c r="HE72" s="560">
        <f t="shared" si="101"/>
        <v>100.7587148926776</v>
      </c>
      <c r="HF72" s="560"/>
      <c r="HG72" s="560">
        <f t="shared" si="96"/>
        <v>0</v>
      </c>
      <c r="HH72" s="560" t="str">
        <f t="shared" si="97"/>
        <v/>
      </c>
      <c r="HI72" s="560">
        <f>IF(GK72="P",Lookup!$N$12,IF(GK72="PP",Lookup!$N$13,IF(GK72="PPP",Lookup!$N$14,IF(GK72="T",Lookup!$N$15,IF(GK72="TP",Lookup!$N$16,IF(GK72="TPP",Lookup!$N$17,IF(GK72="TPPP",Lookup!$N$18,0)))))))*GJ72</f>
        <v>0</v>
      </c>
      <c r="HJ72" s="545">
        <f t="shared" si="234"/>
        <v>0</v>
      </c>
      <c r="HK72" s="560">
        <f t="shared" si="235"/>
        <v>243.27421708048121</v>
      </c>
      <c r="HL72" s="560">
        <f t="shared" si="102"/>
        <v>79.294073363911735</v>
      </c>
      <c r="HM72" s="560"/>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c r="JI72" s="558"/>
      <c r="JJ72" s="558"/>
      <c r="JK72" s="558"/>
      <c r="JL72" s="558"/>
    </row>
    <row r="73" spans="1:272">
      <c r="A73" s="580" t="s">
        <v>4</v>
      </c>
      <c r="B73" s="556">
        <v>41701</v>
      </c>
      <c r="C73" s="561">
        <v>0</v>
      </c>
      <c r="D73" s="529">
        <f t="shared" si="103"/>
        <v>300</v>
      </c>
      <c r="E73" s="529">
        <f t="shared" si="104"/>
        <v>250</v>
      </c>
      <c r="F73" s="529">
        <v>250</v>
      </c>
      <c r="G73" s="560">
        <f>DR73+Sheet1!CZ75</f>
        <v>1684.4578920830054</v>
      </c>
      <c r="H73" s="914">
        <f t="shared" si="236"/>
        <v>821.87038144245469</v>
      </c>
      <c r="I73" s="559">
        <f>MAX(Sheet1!Z75-AT73+(Sheet1!DA75-E73)*CFStoMGD,0)</f>
        <v>1441.454</v>
      </c>
      <c r="J73" s="562">
        <f>IF(AND(B73&gt;=Calculation!GC73,B73&lt;=Calculation!GD73),IF(Sheet1!DB75&gt;=Calculation!D73,64.64,0),MAX(Sheet1!Z75-AT73+(Sheet1!DB75-D73)*CFStoMGD,0))</f>
        <v>64.64</v>
      </c>
      <c r="K73" s="904">
        <f t="shared" si="171"/>
        <v>64.64</v>
      </c>
      <c r="L73" s="560">
        <f>Sheet1!AA75+Sheet1!AB75-Sheet1!L75+(Sheet1!DA75-F73)*CFStoMGD</f>
        <v>1428.5439999999999</v>
      </c>
      <c r="M73" s="560">
        <f t="shared" si="172"/>
        <v>1110.6102530713038</v>
      </c>
      <c r="N73" s="910">
        <f>IF(Sheet1!DA75&gt;=F73,MIN(73,MIN(MAX(L73,0),MAX(M73,0))),0)</f>
        <v>73</v>
      </c>
      <c r="O73" s="563">
        <f>Sheet1!AA75+Sheet1!AB75</f>
        <v>34.049999999999997</v>
      </c>
      <c r="P73" s="563">
        <f t="shared" si="173"/>
        <v>52.675349999999995</v>
      </c>
      <c r="Q73" s="898">
        <f t="shared" ref="Q73:Q136" si="237">IF(OR(Y73="FALSE",AND(B73&gt;=FV73,B73&lt;=FW73)),O73-S73-U73,0)</f>
        <v>27.629999999999995</v>
      </c>
      <c r="R73" s="829">
        <f t="shared" si="174"/>
        <v>6.3123475609756099</v>
      </c>
      <c r="S73" s="898">
        <f t="shared" ref="S73:S136" si="238">IF(OR(B73&lt;GC73,B73&gt;GH73),MIN(O73,K73),IF(AND(B73&gt;=FV73,B73&lt;=FW73),0,IF(AND(B73&gt;=GC73,B73&lt;=GD73),DL73,IF(AND(B73&gt;GD73,B73&lt;FV73),MIN(K73,O73),0))))</f>
        <v>6.42</v>
      </c>
      <c r="T73" s="898">
        <f t="shared" ref="T73:T136" si="239">IF(OR(B73&lt;GC73,B73&gt;GD73),0, K73-DL73)</f>
        <v>58.22</v>
      </c>
      <c r="U73" s="898">
        <f t="shared" ref="U73:U136" si="240">IF(AND(B73&gt;=FV73,B73&lt;=FW73),MAX(EF73,ED73),0)</f>
        <v>0</v>
      </c>
      <c r="V73" s="898"/>
      <c r="W73" s="898">
        <f t="shared" ref="W73:W136" si="241">MAX(K73-DJ73,0)</f>
        <v>58.327652439024391</v>
      </c>
      <c r="X73" s="898">
        <f t="shared" ref="X73:X136" si="242">S73+T73</f>
        <v>64.64</v>
      </c>
      <c r="Y73" s="898" t="str">
        <f t="shared" ref="Y73:Y136" si="243">IF(OR(O73&gt;K73,AND(B73&gt;=GC73,B73&lt;=GD73),), "FALSE","")</f>
        <v>FALSE</v>
      </c>
      <c r="Z73" s="898">
        <f t="shared" ref="Z73:Z136" si="244">O73</f>
        <v>34.049999999999997</v>
      </c>
      <c r="AA73" s="898">
        <f t="shared" ref="AA73:AA136" si="245">Q73+S73+U73</f>
        <v>34.049999999999997</v>
      </c>
      <c r="AB73" s="898" t="str">
        <f t="shared" ref="AB73:AB136" si="246">IF(OR(Z73-AA73&lt;-0.1,Z73-AA73&gt;0.1),"BAD ENGINEER","")</f>
        <v/>
      </c>
      <c r="AC73" s="563">
        <f>Sheet1!Y75*MGDtoCFS</f>
        <v>32.719049999999996</v>
      </c>
      <c r="AD73" s="563">
        <f>Sheet1!Z75*MGDtoCFS</f>
        <v>19.971769999999999</v>
      </c>
      <c r="AE73" s="563">
        <f>Sheet1!AA75*MGDtoCFS</f>
        <v>32.719049999999996</v>
      </c>
      <c r="AF73" s="563">
        <f>Sheet1!AB75*MGDtoCFS</f>
        <v>19.956299999999999</v>
      </c>
      <c r="AG73" s="563">
        <f>Sheet1!L75*MGDtoCFS</f>
        <v>52.675349999999995</v>
      </c>
      <c r="AH73" s="545">
        <f t="shared" si="175"/>
        <v>0</v>
      </c>
      <c r="AI73" s="560">
        <f t="shared" si="176"/>
        <v>0</v>
      </c>
      <c r="AJ73" s="560">
        <f t="shared" si="177"/>
        <v>58.327652439024391</v>
      </c>
      <c r="AK73" s="560">
        <f t="shared" si="178"/>
        <v>90.232878323170723</v>
      </c>
      <c r="AL73" s="560">
        <f>(VLOOKUP(Sheet1!DC75,hhdcap_wcm,4)-(((VLOOKUP(Sheet1!DC75,hhdcap_wcm,3)-Sheet1!DC75)/(VLOOKUP(Sheet1!DC75,hhdcap_wcm,3)-VLOOKUP(Sheet1!DC75,hhdcap_wcm,1)))*(VLOOKUP(Sheet1!DC75,hhdcap_wcm,4)-VLOOKUP(Sheet1!DC75,hhdcap_wcm,2))))</f>
        <v>4579.4000000099859</v>
      </c>
      <c r="AM73" s="560">
        <f t="shared" si="179"/>
        <v>643.4000000005999</v>
      </c>
      <c r="AN73" s="560">
        <f t="shared" si="180"/>
        <v>633.40266291783598</v>
      </c>
      <c r="AO73" s="560">
        <f t="shared" si="181"/>
        <v>1943.2793698319208</v>
      </c>
      <c r="AP73" s="560">
        <f>Sheet1!BA75+Sheet1!BB75+Sheet1!BN75+CD73</f>
        <v>6.7</v>
      </c>
      <c r="AQ73" s="560">
        <f>Sheet1!BN75+(DO73*Sheet1!BN75)</f>
        <v>5.6044207317073171</v>
      </c>
      <c r="AR73" s="560">
        <f>Sheet1!BA75+CD73</f>
        <v>0</v>
      </c>
      <c r="AS73" s="560">
        <f>Sheet1!BA75+Sheet1!BB75+CD73</f>
        <v>1</v>
      </c>
      <c r="AT73" s="698">
        <f>0</f>
        <v>0</v>
      </c>
      <c r="AU73" s="560">
        <f>IF(EB73&lt;K73,0,MAX(Sheet1!AA75+AQ73-15/36*K73-N73,Sheet1!EH75,0))</f>
        <v>0</v>
      </c>
      <c r="AV73" s="560">
        <f>IF(OR(B73&gt;=GD73,B73&lt;GC73),0,15/36*K73-MAX(0,64.6-(137.6-(Sheet1!AA75+Sheet1!AB75))))</f>
        <v>26.933333333333334</v>
      </c>
      <c r="AW73" s="698">
        <f>Sheet1!DB75-110</f>
        <v>1430</v>
      </c>
      <c r="AX73" s="698">
        <f>Sheet1!DA75-265</f>
        <v>2195</v>
      </c>
      <c r="AY73" s="698">
        <f t="shared" si="182"/>
        <v>45.370000000000005</v>
      </c>
      <c r="AZ73" s="698">
        <v>0</v>
      </c>
      <c r="BA73" s="698">
        <f t="shared" si="183"/>
        <v>0</v>
      </c>
      <c r="BB73" s="560">
        <f t="shared" si="184"/>
        <v>296.26666666666665</v>
      </c>
      <c r="BC73" s="560"/>
      <c r="BD73" s="560">
        <f ca="1">IF(B73&gt;Summary!$A$1,#N/A,BB73*MGtoAF)</f>
        <v>908.94613333333325</v>
      </c>
      <c r="BE73" s="560">
        <f>Sheet1!BG75+Sheet1!BH75+Sheet1!BI75-BM73</f>
        <v>0</v>
      </c>
      <c r="BF73" s="560">
        <f t="shared" si="185"/>
        <v>0</v>
      </c>
      <c r="BG73" s="560">
        <f>IF(Sheet1!EP75="FM",BM73,0)</f>
        <v>0</v>
      </c>
      <c r="BH73" s="560">
        <f t="shared" si="186"/>
        <v>0</v>
      </c>
      <c r="BI73" s="560">
        <f>IF(Sheet1!EP75="OTHER",BM73,0)</f>
        <v>0</v>
      </c>
      <c r="BJ73" s="560">
        <f t="shared" si="187"/>
        <v>0</v>
      </c>
      <c r="BK73" s="560">
        <f t="shared" si="188"/>
        <v>0</v>
      </c>
      <c r="BL73" s="560">
        <f t="shared" si="189"/>
        <v>0</v>
      </c>
      <c r="BM73" s="560">
        <f>IF(OR(Sheet1!EP75="FM", Sheet1!EP75="OTHER"),SUM(Sheet1!BG75:'Sheet1'!BI75),0)</f>
        <v>0</v>
      </c>
      <c r="BN73" s="545">
        <f>IF(AND($B73&gt;=$FV73,$B73&lt;=$FW73),MAX(BF73,Sheet1!EI75,0),MAX(BF73-(7/36)*$K73,0))</f>
        <v>0</v>
      </c>
      <c r="BO73" s="560">
        <f t="shared" si="190"/>
        <v>12.568888888888889</v>
      </c>
      <c r="BP73" s="545">
        <f t="shared" si="191"/>
        <v>0</v>
      </c>
      <c r="BQ73" s="545">
        <f>IF(AND($O73&gt;0,Sheet1!EM75=1),(1-($O73-Sheet1!$L75)/$O73)*BL73,0)</f>
        <v>0</v>
      </c>
      <c r="BR73" s="545">
        <f>IF(AND(Sheet1!$L75=0,Sheet1!$L74=0, Calculation!BK73&lt;Sheet1!$EI75-0.1,Sheet1!$EI75=Sheet1!$EI74,Sheet1!$EI75=Sheet1!$EI76),Sheet1!$EI75,BL73-BQ73)</f>
        <v>0</v>
      </c>
      <c r="BS73" s="560"/>
      <c r="BT73" s="560"/>
      <c r="BU73" s="560">
        <f t="shared" si="192"/>
        <v>138.25777777777779</v>
      </c>
      <c r="BV73" s="560"/>
      <c r="BW73" s="560">
        <f ca="1">IF(B73&gt;Summary!$A$1,#N/A,BU73*MGtoAF)</f>
        <v>424.17486222222226</v>
      </c>
      <c r="BX73" s="560">
        <f>Sheet1!BC75+Sheet1!BD75+Sheet1!BE75+Sheet1!BF75-CG73-CH73</f>
        <v>2.5</v>
      </c>
      <c r="BY73" s="560">
        <f t="shared" si="193"/>
        <v>2.4580792682926829</v>
      </c>
      <c r="BZ73" s="560">
        <f>IF(Sheet1!EQ75="FM",CH73,0)</f>
        <v>0</v>
      </c>
      <c r="CA73" s="560">
        <f t="shared" si="194"/>
        <v>0</v>
      </c>
      <c r="CB73" s="560">
        <f>IF(Sheet1!EQ75="OTHER",CH73,0)</f>
        <v>0</v>
      </c>
      <c r="CC73" s="560">
        <f t="shared" si="195"/>
        <v>0</v>
      </c>
      <c r="CD73" s="560">
        <f t="shared" si="196"/>
        <v>0</v>
      </c>
      <c r="CE73" s="560">
        <f t="shared" si="197"/>
        <v>2.5</v>
      </c>
      <c r="CF73" s="560">
        <f t="shared" si="198"/>
        <v>2.4580792682926829</v>
      </c>
      <c r="CG73" s="560">
        <f>IF(Sheet1!EQ75="CWA",SUM(Sheet1!BC75:'Sheet1'!BF75),0)</f>
        <v>0</v>
      </c>
      <c r="CH73" s="560">
        <f>IF(OR(Sheet1!EQ75="FM", Sheet1!EQ75="OTHER"),SUM(Sheet1!BC75:'Sheet1'!BF75),0)</f>
        <v>0</v>
      </c>
      <c r="CI73" s="545">
        <f>IF(AND($B73&gt;=$FV73,$B73&lt;=$FW73),MAX(CF73,Sheet1!EJ75,0),MAX(CF73-(7/36)*$K73,0))</f>
        <v>0</v>
      </c>
      <c r="CJ73" s="560">
        <f t="shared" si="199"/>
        <v>10.110809620596207</v>
      </c>
      <c r="CK73" s="545">
        <f t="shared" si="200"/>
        <v>2.4580792682926829</v>
      </c>
      <c r="CL73" s="545">
        <f>IF(AND($O73&gt;0,Sheet1!EN75=1),(1-($O73-Sheet1!$L75)/$O73)*CF73,0)</f>
        <v>0</v>
      </c>
      <c r="CM73" s="545">
        <f>IF(AND(Sheet1!$L75=0,Sheet1!$L74=0, Calculation!CE73&lt;Sheet1!EJ75-0.1,Sheet1!EJ75=Sheet1!EJ74,Sheet1!EJ75=Sheet1!EJ76),Sheet1!EJ75,CF73-CL73)</f>
        <v>2.4580792682926829</v>
      </c>
      <c r="CN73" s="545"/>
      <c r="CO73" s="560"/>
      <c r="CP73" s="560">
        <f t="shared" si="201"/>
        <v>110.8695245132738</v>
      </c>
      <c r="CQ73" s="560"/>
      <c r="CR73" s="560">
        <f ca="1">IF(B73&gt;Summary!$A$1,#N/A,CP73*MGtoAF)</f>
        <v>340.14770120672404</v>
      </c>
      <c r="CS73" s="560">
        <f>Sheet1!BK75+Sheet1!BL75+Sheet1!BM75-Sheet1!ER75-DA73</f>
        <v>3.92</v>
      </c>
      <c r="CT73" s="560">
        <f t="shared" si="202"/>
        <v>3.8542682926829266</v>
      </c>
      <c r="CU73" s="560">
        <f>IF(Sheet1!ER75="FM",DA73,0)</f>
        <v>0</v>
      </c>
      <c r="CV73" s="560">
        <f t="shared" si="203"/>
        <v>0</v>
      </c>
      <c r="CW73" s="560">
        <f>IF(Sheet1!ER75="OTHER",DA73,0)</f>
        <v>0</v>
      </c>
      <c r="CX73" s="560">
        <f t="shared" si="204"/>
        <v>0</v>
      </c>
      <c r="CY73" s="560">
        <f t="shared" si="205"/>
        <v>3.92</v>
      </c>
      <c r="CZ73" s="560">
        <f t="shared" si="206"/>
        <v>3.8542682926829266</v>
      </c>
      <c r="DA73" s="560">
        <f>IF(OR(Sheet1!ER75="FM", Sheet1!ER75="OTHER"),SUM(Sheet1!BK75:'Sheet1'!BM75),0)</f>
        <v>0</v>
      </c>
      <c r="DB73" s="545">
        <f>IF(AND($B73&gt;=$FV73,$B73&lt;=$FW73),MAX($CT73,Sheet1!EK75,0),MAX($CT73-(7/36)*$K73,0))</f>
        <v>0</v>
      </c>
      <c r="DC73" s="560">
        <f t="shared" si="207"/>
        <v>8.7146205962059629</v>
      </c>
      <c r="DD73" s="545">
        <f t="shared" si="208"/>
        <v>3.8542682926829266</v>
      </c>
      <c r="DE73" s="545">
        <f>IF(AND($O73&gt;0,Sheet1!EO75=1),(1-($O73-Sheet1!$L75)/$O73)*CZ73,0)</f>
        <v>0</v>
      </c>
      <c r="DF73" s="545">
        <f>IF(AND(Sheet1!$L75=0,Sheet1!$L74=0, Calculation!CY73&lt;Sheet1!$EK75-0.1,Sheet1!$EK75=Sheet1!$EK74,Sheet1!$EK75=Sheet1!$EK76),Sheet1!$EK75,CZ73-DE73)</f>
        <v>3.8542682926829266</v>
      </c>
      <c r="DG73" s="545"/>
      <c r="DH73" s="560">
        <f t="shared" si="209"/>
        <v>6.42</v>
      </c>
      <c r="DI73" s="560">
        <f t="shared" si="210"/>
        <v>88.008693960117697</v>
      </c>
      <c r="DJ73" s="698">
        <f t="shared" si="211"/>
        <v>6.3123475609756099</v>
      </c>
      <c r="DK73" s="560">
        <f ca="1">IF(B73&gt;Summary!$A$1,#N/A,DI73*MGtoAF)</f>
        <v>270.01067306964109</v>
      </c>
      <c r="DL73" s="698">
        <f t="shared" si="212"/>
        <v>6.42</v>
      </c>
      <c r="DM73" s="560">
        <f t="shared" si="213"/>
        <v>13.120000000000001</v>
      </c>
      <c r="DN73" s="560">
        <f>Sheet1!AB75-DM73</f>
        <v>-0.22000000000000064</v>
      </c>
      <c r="DO73" s="823">
        <f t="shared" si="214"/>
        <v>-1.6768292682926875E-2</v>
      </c>
      <c r="DP73" s="560">
        <f>(VLOOKUP(Sheet1!DC75,hhdcap_wcm,4)-(((VLOOKUP(Sheet1!DC75,hhdcap_wcm,3)-Sheet1!DC75)/(VLOOKUP(Sheet1!DC75,hhdcap_wcm,3)-VLOOKUP(Sheet1!DC75,hhdcap_wcm,1)))*(VLOOKUP(Sheet1!DC75,hhdcap_wcm,4)-VLOOKUP(Sheet1!DC75,hhdcap_wcm,2))))</f>
        <v>4579.4000000099859</v>
      </c>
      <c r="DQ73" s="560">
        <f t="shared" si="215"/>
        <v>643.4000000005999</v>
      </c>
      <c r="DR73" s="560">
        <f t="shared" si="216"/>
        <v>324.45789208300545</v>
      </c>
      <c r="DS73" s="560">
        <f>Sheet1!EA75*AFtoMG</f>
        <v>0</v>
      </c>
      <c r="DT73" s="560">
        <f>Sheet1!EB75*AFtoMG</f>
        <v>0</v>
      </c>
      <c r="DU73" s="560">
        <f>Sheet1!EC75*AFtoMG</f>
        <v>0</v>
      </c>
      <c r="DV73" s="560">
        <f>Sheet1!ED75*AFtoMG</f>
        <v>0</v>
      </c>
      <c r="DW73" s="560">
        <f t="shared" si="217"/>
        <v>0</v>
      </c>
      <c r="DX73" s="560">
        <f t="shared" si="218"/>
        <v>0</v>
      </c>
      <c r="DY73" s="560">
        <f t="shared" si="219"/>
        <v>633.40266291783598</v>
      </c>
      <c r="DZ73" s="560">
        <f t="shared" si="220"/>
        <v>1943.2793698319208</v>
      </c>
      <c r="EA73" s="560"/>
      <c r="EB73" s="545">
        <f>IF(OR(B73&lt;FV73,B73&gt;FW73),(MIN(BF73+BY73+CT73+MAX(Sheet1!AA75+AQ73-73,0),K73)),0)</f>
        <v>6.3123475609756099</v>
      </c>
      <c r="EC73" s="560"/>
      <c r="ED73" s="560">
        <f t="shared" si="221"/>
        <v>6.3123475609756099</v>
      </c>
      <c r="EE73" s="560"/>
      <c r="EF73" s="560">
        <f>Sheet1!EH75+Sheet1!EI75+Sheet1!EJ75+Sheet1!EK75</f>
        <v>6.42</v>
      </c>
      <c r="EG73" s="560"/>
      <c r="EH73" s="545">
        <f t="shared" si="222"/>
        <v>0</v>
      </c>
      <c r="EI73" s="560">
        <f>IF(Sheet1!ET75=1,SUM('Calculations II'!AT73:BA73)+'Calculations II'!BC73+Sheet1!BV75+'Calculations II'!BE73+AP73,SUM('Calculations II'!AT73:BA73)+'Calculations II'!BC73+Sheet1!BV75+'Calculations II'!BE73+AP73)</f>
        <v>48.149120000000011</v>
      </c>
      <c r="EJ73" s="560">
        <f>Sheet1!AA75+Sheet1!AB75+'Calculations II'!BC73</f>
        <v>49.405439999999999</v>
      </c>
      <c r="EK73" s="560"/>
      <c r="EL73" s="560"/>
      <c r="EM73" s="560">
        <f t="shared" si="223"/>
        <v>41701</v>
      </c>
      <c r="EN73" s="560">
        <f t="shared" si="224"/>
        <v>58.327652439024391</v>
      </c>
      <c r="EO73" s="560">
        <f t="shared" si="225"/>
        <v>90.232878323170723</v>
      </c>
      <c r="EP73" s="560">
        <v>0</v>
      </c>
      <c r="EQ73" s="560">
        <v>0</v>
      </c>
      <c r="ER73" s="560">
        <v>0</v>
      </c>
      <c r="ES73" s="545">
        <f t="shared" ref="ES73:ES136" si="247">ET73+EU73</f>
        <v>2.2176536543786822</v>
      </c>
      <c r="ET73" s="560">
        <f>-(VLOOKUP(Sheet1!BQ75,Lookup!$O$4:$Q$262,2)-VLOOKUP(Sheet1!BQ74,Lookup!$O$4:$Q$262,2))/1000000</f>
        <v>1.1088268271893411</v>
      </c>
      <c r="EU73" s="560">
        <f>-(VLOOKUP(Sheet1!BR75,Lookup!$O$4:$Q$262,3)-VLOOKUP(Sheet1!BR74,Lookup!$O$4:$Q$262,3))/1000000</f>
        <v>1.1088268271893411</v>
      </c>
      <c r="EV73" s="560"/>
      <c r="EW73" s="560"/>
      <c r="EX73" s="560"/>
      <c r="EY73" s="560"/>
      <c r="EZ73" s="560"/>
      <c r="FA73" s="560"/>
      <c r="FB73" s="560"/>
      <c r="FC73" s="560"/>
      <c r="FD73" s="594" t="e">
        <f t="shared" si="226"/>
        <v>#N/A</v>
      </c>
      <c r="FE73" s="594" t="e">
        <f t="shared" si="227"/>
        <v>#N/A</v>
      </c>
      <c r="FF73" s="595" t="e">
        <f t="shared" si="228"/>
        <v>#N/A</v>
      </c>
      <c r="FG73" s="596" t="s">
        <v>692</v>
      </c>
      <c r="FH73" s="596" t="s">
        <v>692</v>
      </c>
      <c r="FI73" s="594" t="e">
        <v>#N/A</v>
      </c>
      <c r="FJ73" s="594" t="e">
        <v>#N/A</v>
      </c>
      <c r="FK73" s="560"/>
      <c r="FL73" s="560"/>
      <c r="FM73" s="560"/>
      <c r="FN73" s="560"/>
      <c r="FO73" s="560">
        <f>O73+((Sheet1!CS75)*GPMtoMGD)</f>
        <v>49.405439999999999</v>
      </c>
      <c r="FP73" s="560">
        <f>IF(Sheet1!AA75+AQ73&lt;=Calculation!N73,AQ73,Calculation!N73-Sheet1!AA75)</f>
        <v>5.6044207317073171</v>
      </c>
      <c r="FQ73" s="560">
        <f>(Sheet1!BP75+Sheet1!BO75)/694.4</f>
        <v>1.5734447004608298</v>
      </c>
      <c r="FR73" s="560"/>
      <c r="FS73" s="560"/>
      <c r="FT73" s="560"/>
      <c r="FU73" s="560"/>
      <c r="FV73" s="695">
        <f t="shared" ref="FV73:FV136" si="248">$FV$4</f>
        <v>41827</v>
      </c>
      <c r="FW73" s="695">
        <f t="shared" ref="FW73:FW136" si="249">$FW$4</f>
        <v>41934</v>
      </c>
      <c r="FX73" s="560"/>
      <c r="FY73" s="560"/>
      <c r="FZ73" s="560"/>
      <c r="GA73" s="560"/>
      <c r="GB73" s="560" t="str">
        <f t="shared" ref="GB73:GB136" si="250">$GB$4</f>
        <v>n</v>
      </c>
      <c r="GC73" s="564">
        <f t="shared" ref="GC73:GC136" si="251">$GC$4</f>
        <v>41691</v>
      </c>
      <c r="GD73" s="695">
        <f t="shared" ref="GD73:GD136" si="252">$GD$4</f>
        <v>41807</v>
      </c>
      <c r="GE73" s="560">
        <v>6518.9</v>
      </c>
      <c r="GF73" s="695">
        <f t="shared" ref="GF73:GF136" si="253">$GF$4</f>
        <v>41808</v>
      </c>
      <c r="GG73" s="560">
        <f t="shared" si="163"/>
        <v>3259</v>
      </c>
      <c r="GH73" s="564">
        <f t="shared" ref="GH73:GH136" si="254">$GH$4</f>
        <v>41934</v>
      </c>
      <c r="GJ73" s="545">
        <f t="shared" ref="GJ73:GJ136" si="255">IF(AND(B73&gt;=GD73,B73&lt;GF73),AFtoMG*(20000-AO72),GL73+GZ73+GS73+HG73)</f>
        <v>0</v>
      </c>
      <c r="GK73" s="560" t="str">
        <f t="shared" si="229"/>
        <v/>
      </c>
      <c r="GL73" s="560">
        <f t="shared" ref="GL73:GL136" si="256">IF(GP73&gt;=8333.3,AV73,0)</f>
        <v>0</v>
      </c>
      <c r="GM73" s="560" t="str">
        <f t="shared" ref="GM73:GM136" si="257">IF(AND(GP73&lt;8333.3,GJ73&gt;0),"T","")</f>
        <v/>
      </c>
      <c r="GN73" s="560">
        <f>IF(GK73="P",Lookup!$M$12,IF(GK73="PP",Lookup!$M$13,IF(GK73="PPP",Lookup!$M$14,IF(GK73="T",Lookup!$M$15,IF(GK73="TP",Lookup!$M$16,IF(GK73="TPP",Lookup!$M$17,IF(GK73="TPPP",Lookup!$M$18,0)))))))*GJ73</f>
        <v>0</v>
      </c>
      <c r="GO73" s="560">
        <f t="shared" ref="GO73:GO136" si="258">IF(GM73="T", MIN(GN73, 2716.2-$GQ73),0)</f>
        <v>0</v>
      </c>
      <c r="GP73" s="560">
        <f t="shared" si="230"/>
        <v>908.94613333333325</v>
      </c>
      <c r="GQ73" s="560">
        <f t="shared" si="99"/>
        <v>296.26666666666665</v>
      </c>
      <c r="GR73" s="560"/>
      <c r="GS73" s="560">
        <f t="shared" ref="GS73:GS136" si="259">IF(GW73&gt;=3888.8,BO73,0)</f>
        <v>0</v>
      </c>
      <c r="GT73" s="560" t="str">
        <f t="shared" ref="GT73:GT136" si="260">IF(AND(GW73&lt;3888.8,GJ73&gt;0),"P","")</f>
        <v/>
      </c>
      <c r="GU73" s="560">
        <f>IF(GK73="P",Lookup!$N$12,IF(GK73="PP",Lookup!$N$13,IF(GK73="PPP",Lookup!$N$14,IF(GK73="T",Lookup!$N$15,IF(GK73="TP",Lookup!$N$16,IF(GK73="TPP",Lookup!$N$17,IF(GK73="TPPP",Lookup!$N$18,0)))))))*GJ73</f>
        <v>0</v>
      </c>
      <c r="GV73" s="560">
        <f t="shared" ref="GV73:GV136" si="261">IF(GT73="P",MIN(GU73,7/36*GE73-GX73),0)</f>
        <v>0</v>
      </c>
      <c r="GW73" s="560">
        <f t="shared" si="231"/>
        <v>424.17486222222226</v>
      </c>
      <c r="GX73" s="560">
        <f t="shared" si="100"/>
        <v>138.25777777777779</v>
      </c>
      <c r="GY73" s="560"/>
      <c r="GZ73" s="560">
        <f t="shared" ref="GZ73:GZ136" si="262">IF(HD73&gt;=3888.8,CJ73,0)</f>
        <v>0</v>
      </c>
      <c r="HA73" s="560" t="str">
        <f t="shared" ref="HA73:HA136" si="263">IF(AND(HD73&lt;3888.8,GJ73&gt;0),"P","")</f>
        <v/>
      </c>
      <c r="HB73" s="560">
        <f>IF(GK73="P",Lookup!$N$12,IF(GK73="PP",Lookup!$N$13,IF(GK73="PPP",Lookup!$N$14,IF(GK73="T",Lookup!$N$15,IF(GK73="TP",Lookup!$N$16,IF(GK73="TPP",Lookup!$N$17,IF(GK73="TPPP",Lookup!$N$18,0)))))))*GJ73</f>
        <v>0</v>
      </c>
      <c r="HC73" s="545">
        <f t="shared" si="232"/>
        <v>0</v>
      </c>
      <c r="HD73" s="560">
        <f t="shared" si="233"/>
        <v>340.14770120672404</v>
      </c>
      <c r="HE73" s="560">
        <f t="shared" si="101"/>
        <v>110.8695245132738</v>
      </c>
      <c r="HF73" s="560"/>
      <c r="HG73" s="560">
        <f t="shared" ref="HG73:HG136" si="264">IF(HK73&gt;=3888.8,DC73,0)</f>
        <v>0</v>
      </c>
      <c r="HH73" s="560" t="str">
        <f t="shared" ref="HH73:HH136" si="265">IF(AND(HK73&lt;3888.8,GJ73&gt;0),"P","")</f>
        <v/>
      </c>
      <c r="HI73" s="560">
        <f>IF(GK73="P",Lookup!$N$12,IF(GK73="PP",Lookup!$N$13,IF(GK73="PPP",Lookup!$N$14,IF(GK73="T",Lookup!$N$15,IF(GK73="TP",Lookup!$N$16,IF(GK73="TPP",Lookup!$N$17,IF(GK73="TPPP",Lookup!$N$18,0)))))))*GJ73</f>
        <v>0</v>
      </c>
      <c r="HJ73" s="545">
        <f t="shared" si="234"/>
        <v>0</v>
      </c>
      <c r="HK73" s="560">
        <f t="shared" si="235"/>
        <v>270.01067306964109</v>
      </c>
      <c r="HL73" s="560">
        <f t="shared" si="102"/>
        <v>88.008693960117697</v>
      </c>
      <c r="HM73" s="560"/>
    </row>
    <row r="74" spans="1:272">
      <c r="A74" s="580" t="s">
        <v>5</v>
      </c>
      <c r="B74" s="556">
        <v>41702</v>
      </c>
      <c r="C74" s="561">
        <v>0</v>
      </c>
      <c r="D74" s="529">
        <f t="shared" si="103"/>
        <v>300</v>
      </c>
      <c r="E74" s="529">
        <f t="shared" si="104"/>
        <v>250</v>
      </c>
      <c r="F74" s="529">
        <v>250</v>
      </c>
      <c r="G74" s="560">
        <f>DR74+Sheet1!CZ76</f>
        <v>2682.7029752911517</v>
      </c>
      <c r="H74" s="914">
        <f t="shared" si="236"/>
        <v>1467.1360032282005</v>
      </c>
      <c r="I74" s="559">
        <f>MAX(Sheet1!Z76-AT74+(Sheet1!DA76-E74)*CFStoMGD,0)</f>
        <v>3135.0120000000002</v>
      </c>
      <c r="J74" s="562">
        <f>IF(AND(B74&gt;=Calculation!GC74,B74&lt;=Calculation!GD74),IF(Sheet1!DB76&gt;=Calculation!D74,64.64,0),MAX(Sheet1!Z76-AT74+(Sheet1!DB76-D74)*CFStoMGD,0))</f>
        <v>64.64</v>
      </c>
      <c r="K74" s="904">
        <f t="shared" si="171"/>
        <v>64.64</v>
      </c>
      <c r="L74" s="560">
        <f>Sheet1!AA76+Sheet1!AB76-Sheet1!L76+(Sheet1!DA76-F74)*CFStoMGD</f>
        <v>3122.1120000000001</v>
      </c>
      <c r="M74" s="560">
        <f t="shared" si="172"/>
        <v>1768.7811872927646</v>
      </c>
      <c r="N74" s="910">
        <f>IF(Sheet1!DA76&gt;=F74,MIN(73,MIN(MAX(L74,0),MAX(M74,0))),0)</f>
        <v>73</v>
      </c>
      <c r="O74" s="563">
        <f>Sheet1!AA76+Sheet1!AB76</f>
        <v>33.799999999999997</v>
      </c>
      <c r="P74" s="563">
        <f t="shared" si="173"/>
        <v>52.288600000000002</v>
      </c>
      <c r="Q74" s="898">
        <f t="shared" si="237"/>
        <v>27.449999999999996</v>
      </c>
      <c r="R74" s="829">
        <f t="shared" si="174"/>
        <v>6.2905616224648977</v>
      </c>
      <c r="S74" s="898">
        <f t="shared" si="238"/>
        <v>6.35</v>
      </c>
      <c r="T74" s="898">
        <f t="shared" si="239"/>
        <v>58.29</v>
      </c>
      <c r="U74" s="898">
        <f t="shared" si="240"/>
        <v>0</v>
      </c>
      <c r="V74" s="898"/>
      <c r="W74" s="898">
        <f t="shared" si="241"/>
        <v>58.349438377535101</v>
      </c>
      <c r="X74" s="898">
        <f t="shared" si="242"/>
        <v>64.64</v>
      </c>
      <c r="Y74" s="898" t="str">
        <f t="shared" si="243"/>
        <v>FALSE</v>
      </c>
      <c r="Z74" s="898">
        <f t="shared" si="244"/>
        <v>33.799999999999997</v>
      </c>
      <c r="AA74" s="898">
        <f t="shared" si="245"/>
        <v>33.799999999999997</v>
      </c>
      <c r="AB74" s="898" t="str">
        <f t="shared" si="246"/>
        <v/>
      </c>
      <c r="AC74" s="563">
        <f>Sheet1!Y76*MGDtoCFS</f>
        <v>32.719049999999996</v>
      </c>
      <c r="AD74" s="563">
        <f>Sheet1!Z76*MGDtoCFS</f>
        <v>19.956299999999999</v>
      </c>
      <c r="AE74" s="563">
        <f>Sheet1!AA76*MGDtoCFS</f>
        <v>32.6417</v>
      </c>
      <c r="AF74" s="563">
        <f>Sheet1!AB76*MGDtoCFS</f>
        <v>19.646899999999999</v>
      </c>
      <c r="AG74" s="563">
        <f>Sheet1!L76*MGDtoCFS</f>
        <v>52.288599999999995</v>
      </c>
      <c r="AH74" s="545">
        <f t="shared" si="175"/>
        <v>0</v>
      </c>
      <c r="AI74" s="560">
        <f t="shared" si="176"/>
        <v>0</v>
      </c>
      <c r="AJ74" s="560">
        <f t="shared" si="177"/>
        <v>58.349438377535101</v>
      </c>
      <c r="AK74" s="560">
        <f t="shared" si="178"/>
        <v>90.266581170046791</v>
      </c>
      <c r="AL74" s="560">
        <f>(VLOOKUP(Sheet1!DC76,hhdcap_wcm,4)-(((VLOOKUP(Sheet1!DC76,hhdcap_wcm,3)-Sheet1!DC76)/(VLOOKUP(Sheet1!DC76,hhdcap_wcm,3)-VLOOKUP(Sheet1!DC76,hhdcap_wcm,1)))*(VLOOKUP(Sheet1!DC76,hhdcap_wcm,4)-VLOOKUP(Sheet1!DC76,hhdcap_wcm,2))))</f>
        <v>5734.9000000123397</v>
      </c>
      <c r="AM74" s="560">
        <f t="shared" si="179"/>
        <v>1155.5000000023538</v>
      </c>
      <c r="AN74" s="560">
        <f t="shared" si="180"/>
        <v>691.75210129537106</v>
      </c>
      <c r="AO74" s="560">
        <f t="shared" si="181"/>
        <v>2122.2954467741984</v>
      </c>
      <c r="AP74" s="560">
        <f>Sheet1!BA76+Sheet1!BB76+Sheet1!BN76+CD74</f>
        <v>6.47</v>
      </c>
      <c r="AQ74" s="560">
        <f>Sheet1!BN76+(DO74*Sheet1!BN76)</f>
        <v>5.4485179407176281</v>
      </c>
      <c r="AR74" s="560">
        <f>Sheet1!BA76+CD74</f>
        <v>0</v>
      </c>
      <c r="AS74" s="560">
        <f>Sheet1!BA76+Sheet1!BB76+CD74</f>
        <v>0.97</v>
      </c>
      <c r="AT74" s="698">
        <f>0</f>
        <v>0</v>
      </c>
      <c r="AU74" s="560">
        <f>IF(EB74&lt;K74,0,MAX(Sheet1!AA76+AQ74-15/36*K74-N74,Sheet1!EH76,0))</f>
        <v>0</v>
      </c>
      <c r="AV74" s="560">
        <f>IF(OR(B74&gt;=GD74,B74&lt;GC74),0,15/36*K74-MAX(0,64.6-(137.6-(Sheet1!AA76+Sheet1!AB76))))</f>
        <v>26.933333333333334</v>
      </c>
      <c r="AW74" s="698">
        <f>Sheet1!DB76-110</f>
        <v>3420</v>
      </c>
      <c r="AX74" s="698">
        <f>Sheet1!DA76-265</f>
        <v>4815</v>
      </c>
      <c r="AY74" s="698">
        <f t="shared" si="182"/>
        <v>45.550000000000004</v>
      </c>
      <c r="AZ74" s="698">
        <v>0</v>
      </c>
      <c r="BA74" s="698">
        <f t="shared" si="183"/>
        <v>0</v>
      </c>
      <c r="BB74" s="560">
        <f t="shared" si="184"/>
        <v>323.2</v>
      </c>
      <c r="BC74" s="560"/>
      <c r="BD74" s="560">
        <f ca="1">IF(B74&gt;Summary!$A$1,#N/A,BB74*MGtoAF)</f>
        <v>991.57759999999996</v>
      </c>
      <c r="BE74" s="560">
        <f>Sheet1!BG76+Sheet1!BH76+Sheet1!BI76-BM74</f>
        <v>0</v>
      </c>
      <c r="BF74" s="560">
        <f t="shared" si="185"/>
        <v>0</v>
      </c>
      <c r="BG74" s="560">
        <f>IF(Sheet1!EP76="FM",BM74,0)</f>
        <v>0</v>
      </c>
      <c r="BH74" s="560">
        <f t="shared" si="186"/>
        <v>0</v>
      </c>
      <c r="BI74" s="560">
        <f>IF(Sheet1!EP76="OTHER",BM74,0)</f>
        <v>0</v>
      </c>
      <c r="BJ74" s="560">
        <f t="shared" si="187"/>
        <v>0</v>
      </c>
      <c r="BK74" s="560">
        <f t="shared" si="188"/>
        <v>0</v>
      </c>
      <c r="BL74" s="560">
        <f t="shared" si="189"/>
        <v>0</v>
      </c>
      <c r="BM74" s="560">
        <f>IF(OR(Sheet1!EP76="FM", Sheet1!EP76="OTHER"),SUM(Sheet1!BG76:'Sheet1'!BI76),0)</f>
        <v>0</v>
      </c>
      <c r="BN74" s="545">
        <f>IF(AND($B74&gt;=$FV74,$B74&lt;=$FW74),MAX(BF74,Sheet1!EI76,0),MAX(BF74-(7/36)*$K74,0))</f>
        <v>0</v>
      </c>
      <c r="BO74" s="560">
        <f t="shared" si="190"/>
        <v>12.568888888888889</v>
      </c>
      <c r="BP74" s="545">
        <f t="shared" si="191"/>
        <v>0</v>
      </c>
      <c r="BQ74" s="545">
        <f>IF(AND($O74&gt;0,Sheet1!EM76=1),(1-($O74-Sheet1!$L76)/$O74)*BL74,0)</f>
        <v>0</v>
      </c>
      <c r="BR74" s="545">
        <f>IF(AND(Sheet1!$L76=0,Sheet1!$L75=0, Calculation!BK74&lt;Sheet1!$EI76-0.1,Sheet1!$EI76=Sheet1!$EI75,Sheet1!$EI76=Sheet1!$EI77),Sheet1!$EI76,BL74-BQ74)</f>
        <v>0</v>
      </c>
      <c r="BS74" s="560"/>
      <c r="BT74" s="560"/>
      <c r="BU74" s="560">
        <f t="shared" si="192"/>
        <v>150.82666666666668</v>
      </c>
      <c r="BV74" s="560"/>
      <c r="BW74" s="560">
        <f ca="1">IF(B74&gt;Summary!$A$1,#N/A,BU74*MGtoAF)</f>
        <v>462.73621333333341</v>
      </c>
      <c r="BX74" s="560">
        <f>Sheet1!BC76+Sheet1!BD76+Sheet1!BE76+Sheet1!BF76-CG74-CH74</f>
        <v>2.5</v>
      </c>
      <c r="BY74" s="560">
        <f t="shared" si="193"/>
        <v>2.4765990639625581</v>
      </c>
      <c r="BZ74" s="560">
        <f>IF(Sheet1!EQ76="FM",CH74,0)</f>
        <v>0</v>
      </c>
      <c r="CA74" s="560">
        <f t="shared" si="194"/>
        <v>0</v>
      </c>
      <c r="CB74" s="560">
        <f>IF(Sheet1!EQ76="OTHER",CH74,0)</f>
        <v>0</v>
      </c>
      <c r="CC74" s="560">
        <f t="shared" si="195"/>
        <v>0</v>
      </c>
      <c r="CD74" s="560">
        <f t="shared" si="196"/>
        <v>0</v>
      </c>
      <c r="CE74" s="560">
        <f t="shared" si="197"/>
        <v>2.5</v>
      </c>
      <c r="CF74" s="560">
        <f t="shared" si="198"/>
        <v>2.4765990639625581</v>
      </c>
      <c r="CG74" s="560">
        <f>IF(Sheet1!EQ76="CWA",SUM(Sheet1!BC76:'Sheet1'!BF76),0)</f>
        <v>0</v>
      </c>
      <c r="CH74" s="560">
        <f>IF(OR(Sheet1!EQ76="FM", Sheet1!EQ76="OTHER"),SUM(Sheet1!BC76:'Sheet1'!BF76),0)</f>
        <v>0</v>
      </c>
      <c r="CI74" s="545">
        <f>IF(AND($B74&gt;=$FV74,$B74&lt;=$FW74),MAX(CF74,Sheet1!EJ76,0),MAX(CF74-(7/36)*$K74,0))</f>
        <v>0</v>
      </c>
      <c r="CJ74" s="560">
        <f t="shared" si="199"/>
        <v>10.092289824926331</v>
      </c>
      <c r="CK74" s="545">
        <f t="shared" si="200"/>
        <v>2.4765990639625581</v>
      </c>
      <c r="CL74" s="545">
        <f>IF(AND($O74&gt;0,Sheet1!EN76=1),(1-($O74-Sheet1!$L76)/$O74)*CF74,0)</f>
        <v>0</v>
      </c>
      <c r="CM74" s="545">
        <f>IF(AND(Sheet1!$L76=0,Sheet1!$L75=0, Calculation!CE74&lt;Sheet1!EJ76-0.1,Sheet1!EJ76=Sheet1!EJ75,Sheet1!EJ76=Sheet1!EJ77),Sheet1!EJ76,CF74-CL74)</f>
        <v>2.4765990639625581</v>
      </c>
      <c r="CN74" s="545"/>
      <c r="CO74" s="560"/>
      <c r="CP74" s="560">
        <f t="shared" si="201"/>
        <v>120.96181433820013</v>
      </c>
      <c r="CQ74" s="560"/>
      <c r="CR74" s="560">
        <f ca="1">IF(B74&gt;Summary!$A$1,#N/A,CP74*MGtoAF)</f>
        <v>371.11084638959801</v>
      </c>
      <c r="CS74" s="560">
        <f>Sheet1!BK76+Sheet1!BL76+Sheet1!BM76-Sheet1!ER76-DA74</f>
        <v>3.85</v>
      </c>
      <c r="CT74" s="560">
        <f t="shared" si="202"/>
        <v>3.81396255850234</v>
      </c>
      <c r="CU74" s="560">
        <f>IF(Sheet1!ER76="FM",DA74,0)</f>
        <v>0</v>
      </c>
      <c r="CV74" s="560">
        <f t="shared" si="203"/>
        <v>0</v>
      </c>
      <c r="CW74" s="560">
        <f>IF(Sheet1!ER76="OTHER",DA74,0)</f>
        <v>0</v>
      </c>
      <c r="CX74" s="560">
        <f t="shared" si="204"/>
        <v>0</v>
      </c>
      <c r="CY74" s="560">
        <f t="shared" si="205"/>
        <v>3.85</v>
      </c>
      <c r="CZ74" s="560">
        <f t="shared" si="206"/>
        <v>3.81396255850234</v>
      </c>
      <c r="DA74" s="560">
        <f>IF(OR(Sheet1!ER76="FM", Sheet1!ER76="OTHER"),SUM(Sheet1!BK76:'Sheet1'!BM76),0)</f>
        <v>0</v>
      </c>
      <c r="DB74" s="545">
        <f>IF(AND($B74&gt;=$FV74,$B74&lt;=$FW74),MAX($CT74,Sheet1!EK76,0),MAX($CT74-(7/36)*$K74,0))</f>
        <v>0</v>
      </c>
      <c r="DC74" s="560">
        <f t="shared" si="207"/>
        <v>8.7549263303865494</v>
      </c>
      <c r="DD74" s="545">
        <f t="shared" si="208"/>
        <v>3.81396255850234</v>
      </c>
      <c r="DE74" s="545">
        <f>IF(AND($O74&gt;0,Sheet1!EO76=1),(1-($O74-Sheet1!$L76)/$O74)*CZ74,0)</f>
        <v>0</v>
      </c>
      <c r="DF74" s="545">
        <f>IF(AND(Sheet1!$L76=0,Sheet1!$L75=0, Calculation!CY74&lt;Sheet1!$EK76-0.1,Sheet1!$EK76=Sheet1!$EK75,Sheet1!$EK76=Sheet1!$EK77),Sheet1!$EK76,CZ74-DE74)</f>
        <v>3.81396255850234</v>
      </c>
      <c r="DG74" s="545"/>
      <c r="DH74" s="560">
        <f t="shared" si="209"/>
        <v>6.35</v>
      </c>
      <c r="DI74" s="560">
        <f t="shared" si="210"/>
        <v>96.76362029050425</v>
      </c>
      <c r="DJ74" s="698">
        <f t="shared" si="211"/>
        <v>6.2905616224648977</v>
      </c>
      <c r="DK74" s="560">
        <f ca="1">IF(B74&gt;Summary!$A$1,#N/A,DI74*MGtoAF)</f>
        <v>296.87078705126703</v>
      </c>
      <c r="DL74" s="698">
        <f t="shared" si="212"/>
        <v>6.35</v>
      </c>
      <c r="DM74" s="560">
        <f t="shared" si="213"/>
        <v>12.82</v>
      </c>
      <c r="DN74" s="560">
        <f>Sheet1!AB76-DM74</f>
        <v>-0.12000000000000099</v>
      </c>
      <c r="DO74" s="823">
        <f t="shared" si="214"/>
        <v>-9.3603744149766757E-3</v>
      </c>
      <c r="DP74" s="560">
        <f>(VLOOKUP(Sheet1!DC76,hhdcap_wcm,4)-(((VLOOKUP(Sheet1!DC76,hhdcap_wcm,3)-Sheet1!DC76)/(VLOOKUP(Sheet1!DC76,hhdcap_wcm,3)-VLOOKUP(Sheet1!DC76,hhdcap_wcm,1)))*(VLOOKUP(Sheet1!DC76,hhdcap_wcm,4)-VLOOKUP(Sheet1!DC76,hhdcap_wcm,2))))</f>
        <v>5734.9000000123397</v>
      </c>
      <c r="DQ74" s="560">
        <f t="shared" si="215"/>
        <v>1155.5000000023538</v>
      </c>
      <c r="DR74" s="560">
        <f t="shared" si="216"/>
        <v>582.70297529115157</v>
      </c>
      <c r="DS74" s="560">
        <f>Sheet1!EA76*AFtoMG</f>
        <v>0</v>
      </c>
      <c r="DT74" s="560">
        <f>Sheet1!EB76*AFtoMG</f>
        <v>0</v>
      </c>
      <c r="DU74" s="560">
        <f>Sheet1!EC76*AFtoMG</f>
        <v>0</v>
      </c>
      <c r="DV74" s="560">
        <f>Sheet1!ED76*AFtoMG</f>
        <v>0</v>
      </c>
      <c r="DW74" s="560">
        <f t="shared" si="217"/>
        <v>0</v>
      </c>
      <c r="DX74" s="560">
        <f t="shared" si="218"/>
        <v>0</v>
      </c>
      <c r="DY74" s="560">
        <f t="shared" si="219"/>
        <v>691.75210129537106</v>
      </c>
      <c r="DZ74" s="560">
        <f t="shared" si="220"/>
        <v>2122.2954467741984</v>
      </c>
      <c r="EA74" s="560"/>
      <c r="EB74" s="545">
        <f>IF(OR(B74&lt;FV74,B74&gt;FW74),(MIN(BF74+BY74+CT74+MAX(Sheet1!AA76+AQ74-73,0),K74)),0)</f>
        <v>6.2905616224648977</v>
      </c>
      <c r="EC74" s="560"/>
      <c r="ED74" s="560">
        <f t="shared" si="221"/>
        <v>6.2905616224648977</v>
      </c>
      <c r="EE74" s="560"/>
      <c r="EF74" s="560">
        <f>Sheet1!EH76+Sheet1!EI76+Sheet1!EJ76+Sheet1!EK76</f>
        <v>6.35</v>
      </c>
      <c r="EG74" s="560"/>
      <c r="EH74" s="545">
        <f t="shared" si="222"/>
        <v>0</v>
      </c>
      <c r="EI74" s="560">
        <f>IF(Sheet1!ET76=1,SUM('Calculations II'!AT74:BA74)+'Calculations II'!BC74+Sheet1!BV76+'Calculations II'!BE74+AP74,SUM('Calculations II'!AT74:BA74)+'Calculations II'!BC74+Sheet1!BV76+'Calculations II'!BE74+AP74)</f>
        <v>47.469423999999997</v>
      </c>
      <c r="EJ74" s="560">
        <f>Sheet1!AA76+Sheet1!AB76+'Calculations II'!BC74</f>
        <v>49.167392</v>
      </c>
      <c r="EK74" s="560"/>
      <c r="EL74" s="560"/>
      <c r="EM74" s="560">
        <f t="shared" si="223"/>
        <v>41702</v>
      </c>
      <c r="EN74" s="560">
        <f t="shared" si="224"/>
        <v>58.349438377535101</v>
      </c>
      <c r="EO74" s="560">
        <f t="shared" si="225"/>
        <v>90.266581170046791</v>
      </c>
      <c r="EP74" s="560">
        <v>0</v>
      </c>
      <c r="EQ74" s="560">
        <v>0</v>
      </c>
      <c r="ER74" s="560">
        <v>0</v>
      </c>
      <c r="ES74" s="545">
        <f t="shared" si="247"/>
        <v>1.8012378040206918</v>
      </c>
      <c r="ET74" s="560">
        <f>-(VLOOKUP(Sheet1!BQ76,Lookup!$O$4:$Q$262,2)-VLOOKUP(Sheet1!BQ75,Lookup!$O$4:$Q$262,2))/1000000</f>
        <v>0.8313508791704588</v>
      </c>
      <c r="EU74" s="560">
        <f>-(VLOOKUP(Sheet1!BR76,Lookup!$O$4:$Q$262,3)-VLOOKUP(Sheet1!BR75,Lookup!$O$4:$Q$262,3))/1000000</f>
        <v>0.96988692485023287</v>
      </c>
      <c r="EV74" s="560"/>
      <c r="EW74" s="560"/>
      <c r="EX74" s="560"/>
      <c r="EY74" s="560"/>
      <c r="EZ74" s="560"/>
      <c r="FA74" s="560"/>
      <c r="FB74" s="560"/>
      <c r="FC74" s="560"/>
      <c r="FD74" s="594" t="e">
        <f t="shared" si="226"/>
        <v>#N/A</v>
      </c>
      <c r="FE74" s="594" t="e">
        <f t="shared" si="227"/>
        <v>#N/A</v>
      </c>
      <c r="FF74" s="595" t="e">
        <f t="shared" si="228"/>
        <v>#N/A</v>
      </c>
      <c r="FG74" s="596" t="s">
        <v>692</v>
      </c>
      <c r="FH74" s="596" t="s">
        <v>692</v>
      </c>
      <c r="FI74" s="594" t="e">
        <v>#N/A</v>
      </c>
      <c r="FJ74" s="594" t="e">
        <v>#N/A</v>
      </c>
      <c r="FK74" s="560"/>
      <c r="FL74" s="560"/>
      <c r="FM74" s="560"/>
      <c r="FN74" s="560"/>
      <c r="FO74" s="560">
        <f>O74+((Sheet1!CS76)*GPMtoMGD)</f>
        <v>49.167392</v>
      </c>
      <c r="FP74" s="560">
        <f>IF(Sheet1!AA76+AQ74&lt;=Calculation!N74,AQ74,Calculation!N74-Sheet1!AA76)</f>
        <v>5.4485179407176281</v>
      </c>
      <c r="FQ74" s="560">
        <f>(Sheet1!BP76+Sheet1!BO76)/694.4</f>
        <v>1.380328341013825</v>
      </c>
      <c r="FR74" s="560"/>
      <c r="FS74" s="560"/>
      <c r="FT74" s="560"/>
      <c r="FU74" s="560"/>
      <c r="FV74" s="695">
        <f t="shared" si="248"/>
        <v>41827</v>
      </c>
      <c r="FW74" s="695">
        <f t="shared" si="249"/>
        <v>41934</v>
      </c>
      <c r="FX74" s="560"/>
      <c r="FY74" s="560"/>
      <c r="FZ74" s="560"/>
      <c r="GA74" s="560"/>
      <c r="GB74" s="560" t="str">
        <f t="shared" si="250"/>
        <v>n</v>
      </c>
      <c r="GC74" s="564">
        <f t="shared" si="251"/>
        <v>41691</v>
      </c>
      <c r="GD74" s="695">
        <f t="shared" si="252"/>
        <v>41807</v>
      </c>
      <c r="GE74" s="560">
        <v>6518.9</v>
      </c>
      <c r="GF74" s="695">
        <f t="shared" si="253"/>
        <v>41808</v>
      </c>
      <c r="GG74" s="560">
        <f t="shared" si="163"/>
        <v>3259</v>
      </c>
      <c r="GH74" s="564">
        <f t="shared" si="254"/>
        <v>41934</v>
      </c>
      <c r="GJ74" s="545">
        <f t="shared" si="255"/>
        <v>0</v>
      </c>
      <c r="GK74" s="560" t="str">
        <f t="shared" si="229"/>
        <v/>
      </c>
      <c r="GL74" s="560">
        <f t="shared" si="256"/>
        <v>0</v>
      </c>
      <c r="GM74" s="560" t="str">
        <f t="shared" si="257"/>
        <v/>
      </c>
      <c r="GN74" s="560">
        <f>IF(GK74="P",Lookup!$M$12,IF(GK74="PP",Lookup!$M$13,IF(GK74="PPP",Lookup!$M$14,IF(GK74="T",Lookup!$M$15,IF(GK74="TP",Lookup!$M$16,IF(GK74="TPP",Lookup!$M$17,IF(GK74="TPPP",Lookup!$M$18,0)))))))*GJ74</f>
        <v>0</v>
      </c>
      <c r="GO74" s="560">
        <f t="shared" si="258"/>
        <v>0</v>
      </c>
      <c r="GP74" s="560">
        <f t="shared" si="230"/>
        <v>991.57759999999996</v>
      </c>
      <c r="GQ74" s="560">
        <f t="shared" ref="GQ74:GQ137" si="266">(IF(AND(GB73="Y",B74=GD74),2716.2,(IF(AND(B74&lt;GF74,B74&gt;=GC74),MIN(BB73+AV74-AU74,15/36*GE74),IF(B74=GF74,15/36*GG74,IF(AND(B74&gt;GF74,B74&lt;GH74),MIN(BB73+AV74-AU74,15/36*GG74),IF(B74&gt;=GH74,0,0)))))))+DS74</f>
        <v>323.2</v>
      </c>
      <c r="GR74" s="560"/>
      <c r="GS74" s="560">
        <f t="shared" si="259"/>
        <v>0</v>
      </c>
      <c r="GT74" s="560" t="str">
        <f t="shared" si="260"/>
        <v/>
      </c>
      <c r="GU74" s="560">
        <f>IF(GK74="P",Lookup!$N$12,IF(GK74="PP",Lookup!$N$13,IF(GK74="PPP",Lookup!$N$14,IF(GK74="T",Lookup!$N$15,IF(GK74="TP",Lookup!$N$16,IF(GK74="TPP",Lookup!$N$17,IF(GK74="TPPP",Lookup!$N$18,0)))))))*GJ74</f>
        <v>0</v>
      </c>
      <c r="GV74" s="560">
        <f t="shared" si="261"/>
        <v>0</v>
      </c>
      <c r="GW74" s="560">
        <f t="shared" si="231"/>
        <v>462.73621333333341</v>
      </c>
      <c r="GX74" s="560">
        <f t="shared" ref="GX74:GX137" si="267">(IF(AND(GB74="Y",B74=GD74),1267.5,(IF(AND(B74&lt;GF74,B74&gt;=GC74),MIN(BU73+BO74-BN74,7/36*GE74),IF(B74=GF74,7/36*GG74,IF(AND(B74&gt;GF74,B74&lt;GH74),MIN(BU73+BO74-BN74,7/36*GG74),IF(B74&gt;=GH74,0,0)))))))+DT74</f>
        <v>150.82666666666668</v>
      </c>
      <c r="GY74" s="560"/>
      <c r="GZ74" s="560">
        <f t="shared" si="262"/>
        <v>0</v>
      </c>
      <c r="HA74" s="560" t="str">
        <f t="shared" si="263"/>
        <v/>
      </c>
      <c r="HB74" s="560">
        <f>IF(GK74="P",Lookup!$N$12,IF(GK74="PP",Lookup!$N$13,IF(GK74="PPP",Lookup!$N$14,IF(GK74="T",Lookup!$N$15,IF(GK74="TP",Lookup!$N$16,IF(GK74="TPP",Lookup!$N$17,IF(GK74="TPPP",Lookup!$N$18,0)))))))*GJ74</f>
        <v>0</v>
      </c>
      <c r="HC74" s="545">
        <f t="shared" si="232"/>
        <v>0</v>
      </c>
      <c r="HD74" s="560">
        <f t="shared" si="233"/>
        <v>371.11084638959801</v>
      </c>
      <c r="HE74" s="560">
        <f t="shared" ref="HE74:HE137" si="268">(IF(AND(GB74="Y",B74=GD74),1267.5,IF(AND(B74&lt;GF74,B74&gt;=GC74),MIN(CP73+CJ74-CI74,7/36*GE74),IF(B74=GF74,7/36*GG74,IF(AND(B74&gt;GF74,B74&lt;GH74),MIN(CP73+CJ74-CI74,7/36*GG74),IF(B74&gt;=GH74,0,0))))))+DU74</f>
        <v>120.96181433820013</v>
      </c>
      <c r="HF74" s="560"/>
      <c r="HG74" s="560">
        <f t="shared" si="264"/>
        <v>0</v>
      </c>
      <c r="HH74" s="560" t="str">
        <f t="shared" si="265"/>
        <v/>
      </c>
      <c r="HI74" s="560">
        <f>IF(GK74="P",Lookup!$N$12,IF(GK74="PP",Lookup!$N$13,IF(GK74="PPP",Lookup!$N$14,IF(GK74="T",Lookup!$N$15,IF(GK74="TP",Lookup!$N$16,IF(GK74="TPP",Lookup!$N$17,IF(GK74="TPPP",Lookup!$N$18,0)))))))*GJ74</f>
        <v>0</v>
      </c>
      <c r="HJ74" s="545">
        <f t="shared" si="234"/>
        <v>0</v>
      </c>
      <c r="HK74" s="560">
        <f t="shared" si="235"/>
        <v>296.87078705126703</v>
      </c>
      <c r="HL74" s="560">
        <f t="shared" ref="HL74:HL137" si="269">(IF(AND(GB74="Y",B74=GD74),1267.5,(IF(AND(B74&lt;GF74,B74&gt;=GC74),MIN(DI73+DC74-DB74,7/36*GE74),IF(B74=GF74,7/36*GG74,IF(AND(B74&gt;GF74,B74&lt;GH74),MIN(DI73+DC74-DB74,7/36*GG74),IF(B74&gt;=GH74,0,0)))))))+DV74</f>
        <v>96.76362029050425</v>
      </c>
      <c r="HM74" s="560"/>
    </row>
    <row r="75" spans="1:272">
      <c r="A75" s="580" t="s">
        <v>6</v>
      </c>
      <c r="B75" s="556">
        <v>41703</v>
      </c>
      <c r="C75" s="561">
        <v>0</v>
      </c>
      <c r="D75" s="529">
        <f t="shared" si="103"/>
        <v>300</v>
      </c>
      <c r="E75" s="529">
        <f t="shared" si="104"/>
        <v>250</v>
      </c>
      <c r="F75" s="529">
        <v>250</v>
      </c>
      <c r="G75" s="560">
        <f>DR75+Sheet1!CZ77</f>
        <v>4124.8461926383115</v>
      </c>
      <c r="H75" s="914">
        <f t="shared" si="236"/>
        <v>2399.3373789214047</v>
      </c>
      <c r="I75" s="559">
        <f>MAX(Sheet1!Z77-AT75+(Sheet1!DA77-E75)*CFStoMGD,0)</f>
        <v>4589.2119999999995</v>
      </c>
      <c r="J75" s="562">
        <f>IF(AND(B75&gt;=Calculation!GC75,B75&lt;=Calculation!GD75),IF(Sheet1!DB77&gt;=Calculation!D75,64.64,0),MAX(Sheet1!Z77-AT75+(Sheet1!DB77-D75)*CFStoMGD,0))</f>
        <v>64.64</v>
      </c>
      <c r="K75" s="904">
        <f t="shared" si="171"/>
        <v>64.64</v>
      </c>
      <c r="L75" s="560">
        <f>Sheet1!AA77+Sheet1!AB77-Sheet1!L77+(Sheet1!DA77-F75)*CFStoMGD</f>
        <v>4576.5119999999997</v>
      </c>
      <c r="M75" s="560">
        <f t="shared" si="172"/>
        <v>2719.6265904998327</v>
      </c>
      <c r="N75" s="910">
        <f>IF(Sheet1!DA77&gt;=F75,MIN(73,MIN(MAX(L75,0),MAX(M75,0))),0)</f>
        <v>73</v>
      </c>
      <c r="O75" s="563">
        <f>Sheet1!AA77+Sheet1!AB77</f>
        <v>36.83</v>
      </c>
      <c r="P75" s="563">
        <f t="shared" si="173"/>
        <v>56.976010000000002</v>
      </c>
      <c r="Q75" s="898">
        <f t="shared" si="237"/>
        <v>30.15</v>
      </c>
      <c r="R75" s="829">
        <f t="shared" si="174"/>
        <v>6.6333163913595952</v>
      </c>
      <c r="S75" s="898">
        <f t="shared" si="238"/>
        <v>6.6800000000000006</v>
      </c>
      <c r="T75" s="898">
        <f t="shared" si="239"/>
        <v>57.96</v>
      </c>
      <c r="U75" s="898">
        <f t="shared" si="240"/>
        <v>0</v>
      </c>
      <c r="V75" s="898"/>
      <c r="W75" s="898">
        <f t="shared" si="241"/>
        <v>58.006683608640408</v>
      </c>
      <c r="X75" s="898">
        <f t="shared" si="242"/>
        <v>64.64</v>
      </c>
      <c r="Y75" s="898" t="str">
        <f t="shared" si="243"/>
        <v>FALSE</v>
      </c>
      <c r="Z75" s="898">
        <f t="shared" si="244"/>
        <v>36.83</v>
      </c>
      <c r="AA75" s="898">
        <f t="shared" si="245"/>
        <v>36.83</v>
      </c>
      <c r="AB75" s="898" t="str">
        <f t="shared" si="246"/>
        <v/>
      </c>
      <c r="AC75" s="563">
        <f>Sheet1!Y77*MGDtoCFS</f>
        <v>32.6417</v>
      </c>
      <c r="AD75" s="563">
        <f>Sheet1!Z77*MGDtoCFS</f>
        <v>19.646899999999999</v>
      </c>
      <c r="AE75" s="563">
        <f>Sheet1!AA77*MGDtoCFS</f>
        <v>32.796399999999998</v>
      </c>
      <c r="AF75" s="563">
        <f>Sheet1!AB77*MGDtoCFS</f>
        <v>24.17961</v>
      </c>
      <c r="AG75" s="563">
        <f>Sheet1!L77*MGDtoCFS</f>
        <v>56.976009999999995</v>
      </c>
      <c r="AH75" s="545">
        <f t="shared" si="175"/>
        <v>0</v>
      </c>
      <c r="AI75" s="560">
        <f t="shared" si="176"/>
        <v>0</v>
      </c>
      <c r="AJ75" s="560">
        <f t="shared" si="177"/>
        <v>58.006683608640408</v>
      </c>
      <c r="AK75" s="560">
        <f t="shared" si="178"/>
        <v>89.736339542566711</v>
      </c>
      <c r="AL75" s="560">
        <f>(VLOOKUP(Sheet1!DC77,hhdcap_wcm,4)-(((VLOOKUP(Sheet1!DC77,hhdcap_wcm,3)-Sheet1!DC77)/(VLOOKUP(Sheet1!DC77,hhdcap_wcm,3)-VLOOKUP(Sheet1!DC77,hhdcap_wcm,1)))*(VLOOKUP(Sheet1!DC77,hhdcap_wcm,4)-VLOOKUP(Sheet1!DC77,hhdcap_wcm,2))))</f>
        <v>6597.2000000141106</v>
      </c>
      <c r="AM75" s="560">
        <f t="shared" si="179"/>
        <v>862.30000000177097</v>
      </c>
      <c r="AN75" s="560">
        <f t="shared" si="180"/>
        <v>749.75878490401146</v>
      </c>
      <c r="AO75" s="560">
        <f t="shared" si="181"/>
        <v>2300.2599520855074</v>
      </c>
      <c r="AP75" s="560">
        <f>Sheet1!BA77+Sheet1!BB77+Sheet1!BN77+CD75</f>
        <v>9.0599999999999987</v>
      </c>
      <c r="AQ75" s="560">
        <f>Sheet1!BN77+(DO75*Sheet1!BN77)</f>
        <v>8.0433926302414243</v>
      </c>
      <c r="AR75" s="560">
        <f>Sheet1!BA77+CD75</f>
        <v>0</v>
      </c>
      <c r="AS75" s="560">
        <f>Sheet1!BA77+Sheet1!BB77+CD75</f>
        <v>0.96</v>
      </c>
      <c r="AT75" s="698">
        <f>0</f>
        <v>0</v>
      </c>
      <c r="AU75" s="560">
        <f>IF(EB75&lt;K75,0,MAX(Sheet1!AA77+AQ75-15/36*K75-N75,Sheet1!EH77,0))</f>
        <v>0</v>
      </c>
      <c r="AV75" s="560">
        <f>IF(OR(B75&gt;=GD75,B75&lt;GC75),0,15/36*K75-MAX(0,64.6-(137.6-(Sheet1!AA77+Sheet1!AB77))))</f>
        <v>26.933333333333334</v>
      </c>
      <c r="AW75" s="698">
        <f>Sheet1!DB77-110</f>
        <v>4980</v>
      </c>
      <c r="AX75" s="698">
        <f>Sheet1!DA77-265</f>
        <v>7065</v>
      </c>
      <c r="AY75" s="698">
        <f t="shared" si="182"/>
        <v>42.85</v>
      </c>
      <c r="AZ75" s="698">
        <v>0</v>
      </c>
      <c r="BA75" s="698">
        <f t="shared" si="183"/>
        <v>0</v>
      </c>
      <c r="BB75" s="560">
        <f t="shared" si="184"/>
        <v>350.13333333333333</v>
      </c>
      <c r="BC75" s="560"/>
      <c r="BD75" s="560">
        <f ca="1">IF(B75&gt;Summary!$A$1,#N/A,BB75*MGtoAF)</f>
        <v>1074.2090666666666</v>
      </c>
      <c r="BE75" s="560">
        <f>Sheet1!BG77+Sheet1!BH77+Sheet1!BI77-BM75</f>
        <v>0</v>
      </c>
      <c r="BF75" s="560">
        <f t="shared" si="185"/>
        <v>0</v>
      </c>
      <c r="BG75" s="560">
        <f>IF(Sheet1!EP77="FM",BM75,0)</f>
        <v>0</v>
      </c>
      <c r="BH75" s="560">
        <f t="shared" si="186"/>
        <v>0</v>
      </c>
      <c r="BI75" s="560">
        <f>IF(Sheet1!EP77="OTHER",BM75,0)</f>
        <v>0</v>
      </c>
      <c r="BJ75" s="560">
        <f t="shared" si="187"/>
        <v>0</v>
      </c>
      <c r="BK75" s="560">
        <f t="shared" si="188"/>
        <v>0</v>
      </c>
      <c r="BL75" s="560">
        <f t="shared" si="189"/>
        <v>0</v>
      </c>
      <c r="BM75" s="560">
        <f>IF(OR(Sheet1!EP77="FM", Sheet1!EP77="OTHER"),SUM(Sheet1!BG77:'Sheet1'!BI77),0)</f>
        <v>0</v>
      </c>
      <c r="BN75" s="545">
        <f>IF(AND($B75&gt;=$FV75,$B75&lt;=$FW75),MAX(BF75,Sheet1!EI77,0),MAX(BF75-(7/36)*$K75,0))</f>
        <v>0</v>
      </c>
      <c r="BO75" s="560">
        <f t="shared" si="190"/>
        <v>12.568888888888889</v>
      </c>
      <c r="BP75" s="545">
        <f t="shared" si="191"/>
        <v>0</v>
      </c>
      <c r="BQ75" s="545">
        <f>IF(AND($O75&gt;0,Sheet1!EM77=1),(1-($O75-Sheet1!$L77)/$O75)*BL75,0)</f>
        <v>0</v>
      </c>
      <c r="BR75" s="545">
        <f>IF(AND(Sheet1!$L77=0,Sheet1!$L76=0, Calculation!BK75&lt;Sheet1!$EI77-0.1,Sheet1!$EI77=Sheet1!$EI76,Sheet1!$EI77=Sheet1!$EI78),Sheet1!$EI77,BL75-BQ75)</f>
        <v>0</v>
      </c>
      <c r="BS75" s="560"/>
      <c r="BT75" s="560"/>
      <c r="BU75" s="560">
        <f t="shared" si="192"/>
        <v>163.39555555555557</v>
      </c>
      <c r="BV75" s="560"/>
      <c r="BW75" s="560">
        <f ca="1">IF(B75&gt;Summary!$A$1,#N/A,BU75*MGtoAF)</f>
        <v>501.2975644444445</v>
      </c>
      <c r="BX75" s="560">
        <f>Sheet1!BC77+Sheet1!BD77+Sheet1!BE77+Sheet1!BF77-CG75-CH75</f>
        <v>2.4900000000000002</v>
      </c>
      <c r="BY75" s="560">
        <f t="shared" si="193"/>
        <v>2.4725984752223642</v>
      </c>
      <c r="BZ75" s="560">
        <f>IF(Sheet1!EQ77="FM",CH75,0)</f>
        <v>0</v>
      </c>
      <c r="CA75" s="560">
        <f t="shared" si="194"/>
        <v>0</v>
      </c>
      <c r="CB75" s="560">
        <f>IF(Sheet1!EQ77="OTHER",CH75,0)</f>
        <v>0</v>
      </c>
      <c r="CC75" s="560">
        <f t="shared" si="195"/>
        <v>0</v>
      </c>
      <c r="CD75" s="560">
        <f t="shared" si="196"/>
        <v>0</v>
      </c>
      <c r="CE75" s="560">
        <f t="shared" si="197"/>
        <v>2.4900000000000002</v>
      </c>
      <c r="CF75" s="560">
        <f t="shared" si="198"/>
        <v>2.4725984752223642</v>
      </c>
      <c r="CG75" s="560">
        <f>IF(Sheet1!EQ77="CWA",SUM(Sheet1!BC77:'Sheet1'!BF77),0)</f>
        <v>0</v>
      </c>
      <c r="CH75" s="560">
        <f>IF(OR(Sheet1!EQ77="FM", Sheet1!EQ77="OTHER"),SUM(Sheet1!BC77:'Sheet1'!BF77),0)</f>
        <v>0</v>
      </c>
      <c r="CI75" s="545">
        <f>IF(AND($B75&gt;=$FV75,$B75&lt;=$FW75),MAX(CF75,Sheet1!EJ77,0),MAX(CF75-(7/36)*$K75,0))</f>
        <v>0</v>
      </c>
      <c r="CJ75" s="560">
        <f t="shared" si="199"/>
        <v>10.096290413666525</v>
      </c>
      <c r="CK75" s="545">
        <f t="shared" si="200"/>
        <v>2.4725984752223642</v>
      </c>
      <c r="CL75" s="545">
        <f>IF(AND($O75&gt;0,Sheet1!EN77=1),(1-($O75-Sheet1!$L77)/$O75)*CF75,0)</f>
        <v>0</v>
      </c>
      <c r="CM75" s="545">
        <f>IF(AND(Sheet1!$L77=0,Sheet1!$L76=0, Calculation!CE75&lt;Sheet1!EJ77-0.1,Sheet1!EJ77=Sheet1!EJ76,Sheet1!EJ77=Sheet1!EJ78),Sheet1!EJ77,CF75-CL75)</f>
        <v>2.4725984752223642</v>
      </c>
      <c r="CN75" s="545"/>
      <c r="CO75" s="560"/>
      <c r="CP75" s="560">
        <f t="shared" si="201"/>
        <v>131.05810475186667</v>
      </c>
      <c r="CQ75" s="560"/>
      <c r="CR75" s="560">
        <f ca="1">IF(B75&gt;Summary!$A$1,#N/A,CP75*MGtoAF)</f>
        <v>402.08626537872692</v>
      </c>
      <c r="CS75" s="560">
        <f>Sheet1!BK77+Sheet1!BL77+Sheet1!BM77-Sheet1!ER77-DA75</f>
        <v>4.1900000000000004</v>
      </c>
      <c r="CT75" s="560">
        <f t="shared" si="202"/>
        <v>4.160717916137231</v>
      </c>
      <c r="CU75" s="560">
        <f>IF(Sheet1!ER77="FM",DA75,0)</f>
        <v>0</v>
      </c>
      <c r="CV75" s="560">
        <f t="shared" si="203"/>
        <v>0</v>
      </c>
      <c r="CW75" s="560">
        <f>IF(Sheet1!ER77="OTHER",DA75,0)</f>
        <v>0</v>
      </c>
      <c r="CX75" s="560">
        <f t="shared" si="204"/>
        <v>0</v>
      </c>
      <c r="CY75" s="560">
        <f t="shared" si="205"/>
        <v>4.1900000000000004</v>
      </c>
      <c r="CZ75" s="560">
        <f t="shared" si="206"/>
        <v>4.160717916137231</v>
      </c>
      <c r="DA75" s="560">
        <f>IF(OR(Sheet1!ER77="FM", Sheet1!ER77="OTHER"),SUM(Sheet1!BK77:'Sheet1'!BM77),0)</f>
        <v>0</v>
      </c>
      <c r="DB75" s="545">
        <f>IF(AND($B75&gt;=$FV75,$B75&lt;=$FW75),MAX($CT75,Sheet1!EK77,0),MAX($CT75-(7/36)*$K75,0))</f>
        <v>0</v>
      </c>
      <c r="DC75" s="560">
        <f t="shared" si="207"/>
        <v>8.4081709727516589</v>
      </c>
      <c r="DD75" s="545">
        <f t="shared" si="208"/>
        <v>4.160717916137231</v>
      </c>
      <c r="DE75" s="545">
        <f>IF(AND($O75&gt;0,Sheet1!EO77=1),(1-($O75-Sheet1!$L77)/$O75)*CZ75,0)</f>
        <v>0</v>
      </c>
      <c r="DF75" s="545">
        <f>IF(AND(Sheet1!$L77=0,Sheet1!$L76=0, Calculation!CY75&lt;Sheet1!$EK77-0.1,Sheet1!$EK77=Sheet1!$EK76,Sheet1!$EK77=Sheet1!$EK78),Sheet1!$EK77,CZ75-DE75)</f>
        <v>4.160717916137231</v>
      </c>
      <c r="DG75" s="545"/>
      <c r="DH75" s="560">
        <f t="shared" si="209"/>
        <v>6.6800000000000006</v>
      </c>
      <c r="DI75" s="560">
        <f t="shared" si="210"/>
        <v>105.17179126325591</v>
      </c>
      <c r="DJ75" s="698">
        <f t="shared" si="211"/>
        <v>6.6333163913595952</v>
      </c>
      <c r="DK75" s="560">
        <f ca="1">IF(B75&gt;Summary!$A$1,#N/A,DI75*MGtoAF)</f>
        <v>322.66705559566913</v>
      </c>
      <c r="DL75" s="698">
        <f t="shared" si="212"/>
        <v>6.6800000000000006</v>
      </c>
      <c r="DM75" s="560">
        <f t="shared" si="213"/>
        <v>15.739999999999998</v>
      </c>
      <c r="DN75" s="560">
        <f>Sheet1!AB77-DM75</f>
        <v>-0.10999999999999766</v>
      </c>
      <c r="DO75" s="823">
        <f t="shared" si="214"/>
        <v>-6.9885641677253918E-3</v>
      </c>
      <c r="DP75" s="560">
        <f>(VLOOKUP(Sheet1!DC77,hhdcap_wcm,4)-(((VLOOKUP(Sheet1!DC77,hhdcap_wcm,3)-Sheet1!DC77)/(VLOOKUP(Sheet1!DC77,hhdcap_wcm,3)-VLOOKUP(Sheet1!DC77,hhdcap_wcm,1)))*(VLOOKUP(Sheet1!DC77,hhdcap_wcm,4)-VLOOKUP(Sheet1!DC77,hhdcap_wcm,2))))</f>
        <v>6597.2000000141106</v>
      </c>
      <c r="DQ75" s="560">
        <f t="shared" si="215"/>
        <v>862.30000000177097</v>
      </c>
      <c r="DR75" s="560">
        <f t="shared" si="216"/>
        <v>434.84619263831109</v>
      </c>
      <c r="DS75" s="560">
        <f>Sheet1!EA77*AFtoMG</f>
        <v>0</v>
      </c>
      <c r="DT75" s="560">
        <f>Sheet1!EB77*AFtoMG</f>
        <v>0</v>
      </c>
      <c r="DU75" s="560">
        <f>Sheet1!EC77*AFtoMG</f>
        <v>0</v>
      </c>
      <c r="DV75" s="560">
        <f>Sheet1!ED77*AFtoMG</f>
        <v>0</v>
      </c>
      <c r="DW75" s="560">
        <f t="shared" si="217"/>
        <v>0</v>
      </c>
      <c r="DX75" s="560">
        <f t="shared" si="218"/>
        <v>0</v>
      </c>
      <c r="DY75" s="560">
        <f t="shared" si="219"/>
        <v>749.75878490401146</v>
      </c>
      <c r="DZ75" s="560">
        <f t="shared" si="220"/>
        <v>2300.2599520855074</v>
      </c>
      <c r="EA75" s="560"/>
      <c r="EB75" s="545">
        <f>IF(OR(B75&lt;FV75,B75&gt;FW75),(MIN(BF75+BY75+CT75+MAX(Sheet1!AA77+AQ75-73,0),K75)),0)</f>
        <v>6.6333163913595952</v>
      </c>
      <c r="EC75" s="560"/>
      <c r="ED75" s="560">
        <f t="shared" si="221"/>
        <v>6.6333163913595952</v>
      </c>
      <c r="EE75" s="560"/>
      <c r="EF75" s="560">
        <f>Sheet1!EH77+Sheet1!EI77+Sheet1!EJ77+Sheet1!EK77</f>
        <v>6.6800000000000006</v>
      </c>
      <c r="EG75" s="560"/>
      <c r="EH75" s="545">
        <f t="shared" si="222"/>
        <v>0</v>
      </c>
      <c r="EI75" s="560">
        <f>IF(Sheet1!ET77=1,SUM('Calculations II'!AT75:BA75)+'Calculations II'!BC75+Sheet1!BV77+'Calculations II'!BE75+AP75,SUM('Calculations II'!AT75:BA75)+'Calculations II'!BC75+Sheet1!BV77+'Calculations II'!BE75+AP75)</f>
        <v>47.700544000000008</v>
      </c>
      <c r="EJ75" s="560">
        <f>Sheet1!AA77+Sheet1!AB77+'Calculations II'!BC75</f>
        <v>52.237712000000002</v>
      </c>
      <c r="EK75" s="560"/>
      <c r="EL75" s="560"/>
      <c r="EM75" s="560">
        <f t="shared" si="223"/>
        <v>41703</v>
      </c>
      <c r="EN75" s="560">
        <f t="shared" si="224"/>
        <v>58.006683608640408</v>
      </c>
      <c r="EO75" s="560">
        <f t="shared" si="225"/>
        <v>89.736339542566711</v>
      </c>
      <c r="EP75" s="560">
        <v>0</v>
      </c>
      <c r="EQ75" s="560">
        <v>0</v>
      </c>
      <c r="ER75" s="560">
        <v>0</v>
      </c>
      <c r="ES75" s="545">
        <f t="shared" si="247"/>
        <v>-0.69271868581416085</v>
      </c>
      <c r="ET75" s="560">
        <f>-(VLOOKUP(Sheet1!BQ77,Lookup!$O$4:$Q$262,2)-VLOOKUP(Sheet1!BQ76,Lookup!$O$4:$Q$262,2))/1000000</f>
        <v>-0.27709132006719334</v>
      </c>
      <c r="EU75" s="560">
        <f>-(VLOOKUP(Sheet1!BR77,Lookup!$O$4:$Q$262,3)-VLOOKUP(Sheet1!BR76,Lookup!$O$4:$Q$262,3))/1000000</f>
        <v>-0.41562736574696751</v>
      </c>
      <c r="EV75" s="560"/>
      <c r="EW75" s="560"/>
      <c r="EX75" s="560"/>
      <c r="EY75" s="560"/>
      <c r="EZ75" s="560"/>
      <c r="FA75" s="560"/>
      <c r="FB75" s="560"/>
      <c r="FC75" s="560"/>
      <c r="FD75" s="594" t="e">
        <f t="shared" si="226"/>
        <v>#N/A</v>
      </c>
      <c r="FE75" s="594" t="e">
        <f t="shared" si="227"/>
        <v>#N/A</v>
      </c>
      <c r="FF75" s="595" t="e">
        <f t="shared" si="228"/>
        <v>#N/A</v>
      </c>
      <c r="FG75" s="596" t="s">
        <v>692</v>
      </c>
      <c r="FH75" s="596" t="s">
        <v>692</v>
      </c>
      <c r="FI75" s="594" t="e">
        <v>#N/A</v>
      </c>
      <c r="FJ75" s="594" t="e">
        <v>#N/A</v>
      </c>
      <c r="FK75" s="560"/>
      <c r="FL75" s="560"/>
      <c r="FM75" s="560"/>
      <c r="FN75" s="560"/>
      <c r="FO75" s="560">
        <f>O75+((Sheet1!CS77)*GPMtoMGD)</f>
        <v>52.237712000000002</v>
      </c>
      <c r="FP75" s="560">
        <f>IF(Sheet1!AA77+AQ75&lt;=Calculation!N75,AQ75,Calculation!N75-Sheet1!AA77)</f>
        <v>8.0433926302414243</v>
      </c>
      <c r="FQ75" s="560">
        <f>(Sheet1!BP77+Sheet1!BO77)/694.4</f>
        <v>1.5079205069124424</v>
      </c>
      <c r="FR75" s="560"/>
      <c r="FS75" s="560"/>
      <c r="FT75" s="560"/>
      <c r="FU75" s="560"/>
      <c r="FV75" s="695">
        <f t="shared" si="248"/>
        <v>41827</v>
      </c>
      <c r="FW75" s="695">
        <f t="shared" si="249"/>
        <v>41934</v>
      </c>
      <c r="FX75" s="560"/>
      <c r="FY75" s="560"/>
      <c r="FZ75" s="560"/>
      <c r="GA75" s="560"/>
      <c r="GB75" s="560" t="str">
        <f t="shared" si="250"/>
        <v>n</v>
      </c>
      <c r="GC75" s="564">
        <f t="shared" si="251"/>
        <v>41691</v>
      </c>
      <c r="GD75" s="695">
        <f t="shared" si="252"/>
        <v>41807</v>
      </c>
      <c r="GE75" s="560">
        <v>6518.9</v>
      </c>
      <c r="GF75" s="695">
        <f t="shared" si="253"/>
        <v>41808</v>
      </c>
      <c r="GG75" s="560">
        <f t="shared" si="163"/>
        <v>3259</v>
      </c>
      <c r="GH75" s="564">
        <f t="shared" si="254"/>
        <v>41934</v>
      </c>
      <c r="GJ75" s="545">
        <f t="shared" si="255"/>
        <v>0</v>
      </c>
      <c r="GK75" s="560" t="str">
        <f t="shared" si="229"/>
        <v/>
      </c>
      <c r="GL75" s="560">
        <f t="shared" si="256"/>
        <v>0</v>
      </c>
      <c r="GM75" s="560" t="str">
        <f t="shared" si="257"/>
        <v/>
      </c>
      <c r="GN75" s="560">
        <f>IF(GK75="P",Lookup!$M$12,IF(GK75="PP",Lookup!$M$13,IF(GK75="PPP",Lookup!$M$14,IF(GK75="T",Lookup!$M$15,IF(GK75="TP",Lookup!$M$16,IF(GK75="TPP",Lookup!$M$17,IF(GK75="TPPP",Lookup!$M$18,0)))))))*GJ75</f>
        <v>0</v>
      </c>
      <c r="GO75" s="560">
        <f t="shared" si="258"/>
        <v>0</v>
      </c>
      <c r="GP75" s="560">
        <f t="shared" si="230"/>
        <v>1074.2090666666666</v>
      </c>
      <c r="GQ75" s="560">
        <f t="shared" si="266"/>
        <v>350.13333333333333</v>
      </c>
      <c r="GR75" s="560"/>
      <c r="GS75" s="560">
        <f t="shared" si="259"/>
        <v>0</v>
      </c>
      <c r="GT75" s="560" t="str">
        <f t="shared" si="260"/>
        <v/>
      </c>
      <c r="GU75" s="560">
        <f>IF(GK75="P",Lookup!$N$12,IF(GK75="PP",Lookup!$N$13,IF(GK75="PPP",Lookup!$N$14,IF(GK75="T",Lookup!$N$15,IF(GK75="TP",Lookup!$N$16,IF(GK75="TPP",Lookup!$N$17,IF(GK75="TPPP",Lookup!$N$18,0)))))))*GJ75</f>
        <v>0</v>
      </c>
      <c r="GV75" s="560">
        <f t="shared" si="261"/>
        <v>0</v>
      </c>
      <c r="GW75" s="560">
        <f t="shared" si="231"/>
        <v>501.2975644444445</v>
      </c>
      <c r="GX75" s="560">
        <f t="shared" si="267"/>
        <v>163.39555555555557</v>
      </c>
      <c r="GY75" s="560"/>
      <c r="GZ75" s="560">
        <f t="shared" si="262"/>
        <v>0</v>
      </c>
      <c r="HA75" s="560" t="str">
        <f t="shared" si="263"/>
        <v/>
      </c>
      <c r="HB75" s="560">
        <f>IF(GK75="P",Lookup!$N$12,IF(GK75="PP",Lookup!$N$13,IF(GK75="PPP",Lookup!$N$14,IF(GK75="T",Lookup!$N$15,IF(GK75="TP",Lookup!$N$16,IF(GK75="TPP",Lookup!$N$17,IF(GK75="TPPP",Lookup!$N$18,0)))))))*GJ75</f>
        <v>0</v>
      </c>
      <c r="HC75" s="545">
        <f t="shared" si="232"/>
        <v>0</v>
      </c>
      <c r="HD75" s="560">
        <f t="shared" si="233"/>
        <v>402.08626537872692</v>
      </c>
      <c r="HE75" s="560">
        <f t="shared" si="268"/>
        <v>131.05810475186667</v>
      </c>
      <c r="HF75" s="560"/>
      <c r="HG75" s="560">
        <f t="shared" si="264"/>
        <v>0</v>
      </c>
      <c r="HH75" s="560" t="str">
        <f t="shared" si="265"/>
        <v/>
      </c>
      <c r="HI75" s="560">
        <f>IF(GK75="P",Lookup!$N$12,IF(GK75="PP",Lookup!$N$13,IF(GK75="PPP",Lookup!$N$14,IF(GK75="T",Lookup!$N$15,IF(GK75="TP",Lookup!$N$16,IF(GK75="TPP",Lookup!$N$17,IF(GK75="TPPP",Lookup!$N$18,0)))))))*GJ75</f>
        <v>0</v>
      </c>
      <c r="HJ75" s="545">
        <f t="shared" si="234"/>
        <v>0</v>
      </c>
      <c r="HK75" s="560">
        <f t="shared" si="235"/>
        <v>322.66705559566913</v>
      </c>
      <c r="HL75" s="560">
        <f t="shared" si="269"/>
        <v>105.17179126325591</v>
      </c>
      <c r="HM75" s="560"/>
    </row>
    <row r="76" spans="1:272">
      <c r="A76" s="580" t="s">
        <v>7</v>
      </c>
      <c r="B76" s="556">
        <v>41704</v>
      </c>
      <c r="C76" s="561">
        <v>0</v>
      </c>
      <c r="D76" s="529">
        <f t="shared" si="103"/>
        <v>300</v>
      </c>
      <c r="E76" s="529">
        <f t="shared" si="104"/>
        <v>250</v>
      </c>
      <c r="F76" s="529">
        <v>250</v>
      </c>
      <c r="G76" s="560">
        <f>DR76+Sheet1!CZ78</f>
        <v>4224.6444780645288</v>
      </c>
      <c r="H76" s="914">
        <f t="shared" si="236"/>
        <v>2463.8469906209111</v>
      </c>
      <c r="I76" s="559">
        <f>MAX(Sheet1!Z78-AT76+(Sheet1!DA78-E76)*CFStoMGD,0)</f>
        <v>5038.1580000000004</v>
      </c>
      <c r="J76" s="562">
        <f>IF(AND(B76&gt;=Calculation!GC76,B76&lt;=Calculation!GD76),IF(Sheet1!DB78&gt;=Calculation!D76,64.64,0),MAX(Sheet1!Z78-AT76+(Sheet1!DB78-D76)*CFStoMGD,0))</f>
        <v>64.64</v>
      </c>
      <c r="K76" s="904">
        <f t="shared" si="171"/>
        <v>64.64</v>
      </c>
      <c r="L76" s="560">
        <f>Sheet1!AA78+Sheet1!AB78-Sheet1!L78+(Sheet1!DA78-F76)*CFStoMGD</f>
        <v>5022.5280000000002</v>
      </c>
      <c r="M76" s="560">
        <f t="shared" si="172"/>
        <v>2785.4263944333297</v>
      </c>
      <c r="N76" s="910">
        <f>IF(Sheet1!DA78&gt;=F76,MIN(73,MIN(MAX(L76,0),MAX(M76,0))),0)</f>
        <v>73</v>
      </c>
      <c r="O76" s="563">
        <f>Sheet1!AA78+Sheet1!AB78</f>
        <v>46.4</v>
      </c>
      <c r="P76" s="563">
        <f t="shared" si="173"/>
        <v>71.780799999999999</v>
      </c>
      <c r="Q76" s="898">
        <f t="shared" si="237"/>
        <v>37.879999999999995</v>
      </c>
      <c r="R76" s="829">
        <f t="shared" si="174"/>
        <v>8.4567409144196937</v>
      </c>
      <c r="S76" s="898">
        <f t="shared" si="238"/>
        <v>8.52</v>
      </c>
      <c r="T76" s="898">
        <f t="shared" si="239"/>
        <v>56.120000000000005</v>
      </c>
      <c r="U76" s="898">
        <f t="shared" si="240"/>
        <v>0</v>
      </c>
      <c r="V76" s="898"/>
      <c r="W76" s="898">
        <f t="shared" si="241"/>
        <v>56.183259085580303</v>
      </c>
      <c r="X76" s="898">
        <f t="shared" si="242"/>
        <v>64.64</v>
      </c>
      <c r="Y76" s="898" t="str">
        <f t="shared" si="243"/>
        <v>FALSE</v>
      </c>
      <c r="Z76" s="898">
        <f t="shared" si="244"/>
        <v>46.4</v>
      </c>
      <c r="AA76" s="898">
        <f t="shared" si="245"/>
        <v>46.399999999999991</v>
      </c>
      <c r="AB76" s="898" t="str">
        <f t="shared" si="246"/>
        <v/>
      </c>
      <c r="AC76" s="563">
        <f>Sheet1!Y78*MGDtoCFS</f>
        <v>32.796399999999998</v>
      </c>
      <c r="AD76" s="563">
        <f>Sheet1!Z78*MGDtoCFS</f>
        <v>24.17961</v>
      </c>
      <c r="AE76" s="563">
        <f>Sheet1!AA78*MGDtoCFS</f>
        <v>32.487000000000002</v>
      </c>
      <c r="AF76" s="563">
        <f>Sheet1!AB78*MGDtoCFS</f>
        <v>39.293799999999997</v>
      </c>
      <c r="AG76" s="563">
        <f>Sheet1!L78*MGDtoCFS</f>
        <v>71.780799999999999</v>
      </c>
      <c r="AH76" s="545">
        <f t="shared" si="175"/>
        <v>0</v>
      </c>
      <c r="AI76" s="560">
        <f t="shared" si="176"/>
        <v>0</v>
      </c>
      <c r="AJ76" s="560">
        <f t="shared" si="177"/>
        <v>56.183259085580303</v>
      </c>
      <c r="AK76" s="560">
        <f t="shared" si="178"/>
        <v>86.915501805392722</v>
      </c>
      <c r="AL76" s="560">
        <f>(VLOOKUP(Sheet1!DC78,hhdcap_wcm,4)-(((VLOOKUP(Sheet1!DC78,hhdcap_wcm,3)-Sheet1!DC78)/(VLOOKUP(Sheet1!DC78,hhdcap_wcm,3)-VLOOKUP(Sheet1!DC78,hhdcap_wcm,1)))*(VLOOKUP(Sheet1!DC78,hhdcap_wcm,4)-VLOOKUP(Sheet1!DC78,hhdcap_wcm,2))))</f>
        <v>7657.4000000160704</v>
      </c>
      <c r="AM76" s="560">
        <f t="shared" si="179"/>
        <v>1060.2000000019598</v>
      </c>
      <c r="AN76" s="560">
        <f t="shared" si="180"/>
        <v>805.94204398959187</v>
      </c>
      <c r="AO76" s="560">
        <f t="shared" si="181"/>
        <v>2472.6301909600679</v>
      </c>
      <c r="AP76" s="560">
        <f>Sheet1!BA78+Sheet1!BB78+Sheet1!BN78+CD76</f>
        <v>17.07</v>
      </c>
      <c r="AQ76" s="560">
        <f>Sheet1!BN78+(DO76*Sheet1!BN78)</f>
        <v>15.980461117624072</v>
      </c>
      <c r="AR76" s="560">
        <f>Sheet1!BA78+CD76</f>
        <v>0</v>
      </c>
      <c r="AS76" s="560">
        <f>Sheet1!BA78+Sheet1!BB78+CD76</f>
        <v>0.97</v>
      </c>
      <c r="AT76" s="698">
        <f>0</f>
        <v>0</v>
      </c>
      <c r="AU76" s="560">
        <f>IF(EB76&lt;K76,0,MAX(Sheet1!AA78+AQ76-15/36*K76-N76,Sheet1!EH78,0))</f>
        <v>0</v>
      </c>
      <c r="AV76" s="560">
        <f>IF(OR(B76&gt;=GD76,B76&lt;GC76),0,15/36*K76-MAX(0,64.6-(137.6-(Sheet1!AA78+Sheet1!AB78))))</f>
        <v>26.933333333333334</v>
      </c>
      <c r="AW76" s="698">
        <f>Sheet1!DB78-110</f>
        <v>4870</v>
      </c>
      <c r="AX76" s="698">
        <f>Sheet1!DA78-265</f>
        <v>7755</v>
      </c>
      <c r="AY76" s="698">
        <f t="shared" si="182"/>
        <v>35.120000000000005</v>
      </c>
      <c r="AZ76" s="698">
        <v>0</v>
      </c>
      <c r="BA76" s="698">
        <f t="shared" si="183"/>
        <v>0</v>
      </c>
      <c r="BB76" s="560">
        <f t="shared" si="184"/>
        <v>377.06666666666666</v>
      </c>
      <c r="BC76" s="560"/>
      <c r="BD76" s="560">
        <f ca="1">IF(B76&gt;Summary!$A$1,#N/A,BB76*MGtoAF)</f>
        <v>1156.8405333333333</v>
      </c>
      <c r="BE76" s="560">
        <f>Sheet1!BG78+Sheet1!BH78+Sheet1!BI78-BM76</f>
        <v>0</v>
      </c>
      <c r="BF76" s="560">
        <f t="shared" si="185"/>
        <v>0</v>
      </c>
      <c r="BG76" s="560">
        <f>IF(Sheet1!EP78="FM",BM76,0)</f>
        <v>0</v>
      </c>
      <c r="BH76" s="560">
        <f t="shared" si="186"/>
        <v>0</v>
      </c>
      <c r="BI76" s="560">
        <f>IF(Sheet1!EP78="OTHER",BM76,0)</f>
        <v>0</v>
      </c>
      <c r="BJ76" s="560">
        <f t="shared" si="187"/>
        <v>0</v>
      </c>
      <c r="BK76" s="560">
        <f t="shared" si="188"/>
        <v>0</v>
      </c>
      <c r="BL76" s="560">
        <f t="shared" si="189"/>
        <v>0</v>
      </c>
      <c r="BM76" s="560">
        <f>IF(OR(Sheet1!EP78="FM", Sheet1!EP78="OTHER"),SUM(Sheet1!BG78:'Sheet1'!BI78),0)</f>
        <v>0</v>
      </c>
      <c r="BN76" s="545">
        <f>IF(AND($B76&gt;=$FV76,$B76&lt;=$FW76),MAX(BF76,Sheet1!EI78,0),MAX(BF76-(7/36)*$K76,0))</f>
        <v>0</v>
      </c>
      <c r="BO76" s="560">
        <f t="shared" si="190"/>
        <v>12.568888888888889</v>
      </c>
      <c r="BP76" s="545">
        <f t="shared" si="191"/>
        <v>0</v>
      </c>
      <c r="BQ76" s="545">
        <f>IF(AND($O76&gt;0,Sheet1!EM78=1),(1-($O76-Sheet1!$L78)/$O76)*BL76,0)</f>
        <v>0</v>
      </c>
      <c r="BR76" s="545">
        <f>IF(AND(Sheet1!$L78=0,Sheet1!$L77=0, Calculation!BK76&lt;Sheet1!$EI78-0.1,Sheet1!$EI78=Sheet1!$EI77,Sheet1!$EI78=Sheet1!$EI79),Sheet1!$EI78,BL76-BQ76)</f>
        <v>0</v>
      </c>
      <c r="BS76" s="560"/>
      <c r="BT76" s="560"/>
      <c r="BU76" s="560">
        <f t="shared" si="192"/>
        <v>175.96444444444447</v>
      </c>
      <c r="BV76" s="560"/>
      <c r="BW76" s="560">
        <f ca="1">IF(B76&gt;Summary!$A$1,#N/A,BU76*MGtoAF)</f>
        <v>539.85891555555565</v>
      </c>
      <c r="BX76" s="560">
        <f>Sheet1!BC78+Sheet1!BD78+Sheet1!BE78+Sheet1!BF78-CG76-CH76</f>
        <v>2.5</v>
      </c>
      <c r="BY76" s="560">
        <f t="shared" si="193"/>
        <v>2.4814380617428684</v>
      </c>
      <c r="BZ76" s="560">
        <f>IF(Sheet1!EQ78="FM",CH76,0)</f>
        <v>0</v>
      </c>
      <c r="CA76" s="560">
        <f t="shared" si="194"/>
        <v>0</v>
      </c>
      <c r="CB76" s="560">
        <f>IF(Sheet1!EQ78="OTHER",CH76,0)</f>
        <v>0</v>
      </c>
      <c r="CC76" s="560">
        <f t="shared" si="195"/>
        <v>0</v>
      </c>
      <c r="CD76" s="560">
        <f t="shared" si="196"/>
        <v>0</v>
      </c>
      <c r="CE76" s="560">
        <f t="shared" si="197"/>
        <v>2.5</v>
      </c>
      <c r="CF76" s="560">
        <f t="shared" si="198"/>
        <v>2.4814380617428684</v>
      </c>
      <c r="CG76" s="560">
        <f>IF(Sheet1!EQ78="CWA",SUM(Sheet1!BC78:'Sheet1'!BF78),0)</f>
        <v>0</v>
      </c>
      <c r="CH76" s="560">
        <f>IF(OR(Sheet1!EQ78="FM", Sheet1!EQ78="OTHER"),SUM(Sheet1!BC78:'Sheet1'!BF78),0)</f>
        <v>0</v>
      </c>
      <c r="CI76" s="545">
        <f>IF(AND($B76&gt;=$FV76,$B76&lt;=$FW76),MAX(CF76,Sheet1!EJ78,0),MAX(CF76-(7/36)*$K76,0))</f>
        <v>0</v>
      </c>
      <c r="CJ76" s="560">
        <f t="shared" si="199"/>
        <v>10.087450827146021</v>
      </c>
      <c r="CK76" s="545">
        <f t="shared" si="200"/>
        <v>2.4814380617428684</v>
      </c>
      <c r="CL76" s="545">
        <f>IF(AND($O76&gt;0,Sheet1!EN78=1),(1-($O76-Sheet1!$L78)/$O76)*CF76,0)</f>
        <v>0</v>
      </c>
      <c r="CM76" s="545">
        <f>IF(AND(Sheet1!$L78=0,Sheet1!$L77=0, Calculation!CE76&lt;Sheet1!EJ78-0.1,Sheet1!EJ78=Sheet1!EJ77,Sheet1!EJ78=Sheet1!EJ79),Sheet1!EJ78,CF76-CL76)</f>
        <v>2.4814380617428684</v>
      </c>
      <c r="CN76" s="545"/>
      <c r="CO76" s="560"/>
      <c r="CP76" s="560">
        <f t="shared" si="201"/>
        <v>141.14555557901269</v>
      </c>
      <c r="CQ76" s="560"/>
      <c r="CR76" s="560">
        <f ca="1">IF(B76&gt;Summary!$A$1,#N/A,CP76*MGtoAF)</f>
        <v>433.03456451641097</v>
      </c>
      <c r="CS76" s="560">
        <f>Sheet1!BK78+Sheet1!BL78+Sheet1!BM78-Sheet1!ER78-DA76</f>
        <v>6.02</v>
      </c>
      <c r="CT76" s="560">
        <f t="shared" si="202"/>
        <v>5.9753028526768261</v>
      </c>
      <c r="CU76" s="560">
        <f>IF(Sheet1!ER78="FM",DA76,0)</f>
        <v>0</v>
      </c>
      <c r="CV76" s="560">
        <f t="shared" si="203"/>
        <v>0</v>
      </c>
      <c r="CW76" s="560">
        <f>IF(Sheet1!ER78="OTHER",DA76,0)</f>
        <v>0</v>
      </c>
      <c r="CX76" s="560">
        <f t="shared" si="204"/>
        <v>0</v>
      </c>
      <c r="CY76" s="560">
        <f t="shared" si="205"/>
        <v>6.02</v>
      </c>
      <c r="CZ76" s="560">
        <f t="shared" si="206"/>
        <v>5.9753028526768261</v>
      </c>
      <c r="DA76" s="560">
        <f>IF(OR(Sheet1!ER78="FM", Sheet1!ER78="OTHER"),SUM(Sheet1!BK78:'Sheet1'!BM78),0)</f>
        <v>0</v>
      </c>
      <c r="DB76" s="545">
        <f>IF(AND($B76&gt;=$FV76,$B76&lt;=$FW76),MAX($CT76,Sheet1!EK78,0),MAX($CT76-(7/36)*$K76,0))</f>
        <v>0</v>
      </c>
      <c r="DC76" s="560">
        <f t="shared" si="207"/>
        <v>6.5935860362120629</v>
      </c>
      <c r="DD76" s="545">
        <f t="shared" si="208"/>
        <v>5.9753028526768261</v>
      </c>
      <c r="DE76" s="545">
        <f>IF(AND($O76&gt;0,Sheet1!EO78=1),(1-($O76-Sheet1!$L78)/$O76)*CZ76,0)</f>
        <v>0</v>
      </c>
      <c r="DF76" s="545">
        <f>IF(AND(Sheet1!$L78=0,Sheet1!$L77=0, Calculation!CY76&lt;Sheet1!$EK78-0.1,Sheet1!$EK78=Sheet1!$EK77,Sheet1!$EK78=Sheet1!$EK79),Sheet1!$EK78,CZ76-DE76)</f>
        <v>5.9753028526768261</v>
      </c>
      <c r="DG76" s="545"/>
      <c r="DH76" s="560">
        <f t="shared" si="209"/>
        <v>8.52</v>
      </c>
      <c r="DI76" s="560">
        <f t="shared" si="210"/>
        <v>111.76537729946797</v>
      </c>
      <c r="DJ76" s="698">
        <f t="shared" si="211"/>
        <v>8.4567409144196937</v>
      </c>
      <c r="DK76" s="560">
        <f ca="1">IF(B76&gt;Summary!$A$1,#N/A,DI76*MGtoAF)</f>
        <v>342.89617755476775</v>
      </c>
      <c r="DL76" s="698">
        <f t="shared" si="212"/>
        <v>8.52</v>
      </c>
      <c r="DM76" s="560">
        <f t="shared" si="213"/>
        <v>25.59</v>
      </c>
      <c r="DN76" s="560">
        <f>Sheet1!AB78-DM76</f>
        <v>-0.19000000000000128</v>
      </c>
      <c r="DO76" s="823">
        <f t="shared" si="214"/>
        <v>-7.424775302852727E-3</v>
      </c>
      <c r="DP76" s="560">
        <f>(VLOOKUP(Sheet1!DC78,hhdcap_wcm,4)-(((VLOOKUP(Sheet1!DC78,hhdcap_wcm,3)-Sheet1!DC78)/(VLOOKUP(Sheet1!DC78,hhdcap_wcm,3)-VLOOKUP(Sheet1!DC78,hhdcap_wcm,1)))*(VLOOKUP(Sheet1!DC78,hhdcap_wcm,4)-VLOOKUP(Sheet1!DC78,hhdcap_wcm,2))))</f>
        <v>7657.4000000160704</v>
      </c>
      <c r="DQ76" s="560">
        <f t="shared" si="215"/>
        <v>1060.2000000019598</v>
      </c>
      <c r="DR76" s="560">
        <f t="shared" si="216"/>
        <v>534.64447806452836</v>
      </c>
      <c r="DS76" s="560">
        <f>Sheet1!EA78*AFtoMG</f>
        <v>0</v>
      </c>
      <c r="DT76" s="560">
        <f>Sheet1!EB78*AFtoMG</f>
        <v>0</v>
      </c>
      <c r="DU76" s="560">
        <f>Sheet1!EC78*AFtoMG</f>
        <v>0</v>
      </c>
      <c r="DV76" s="560">
        <f>Sheet1!ED78*AFtoMG</f>
        <v>0</v>
      </c>
      <c r="DW76" s="560">
        <f t="shared" si="217"/>
        <v>0</v>
      </c>
      <c r="DX76" s="560">
        <f t="shared" si="218"/>
        <v>0</v>
      </c>
      <c r="DY76" s="560">
        <f t="shared" si="219"/>
        <v>805.94204398959187</v>
      </c>
      <c r="DZ76" s="560">
        <f t="shared" si="220"/>
        <v>2472.6301909600679</v>
      </c>
      <c r="EA76" s="560"/>
      <c r="EB76" s="545">
        <f>IF(OR(B76&lt;FV76,B76&gt;FW76),(MIN(BF76+BY76+CT76+MAX(Sheet1!AA78+AQ76-73,0),K76)),0)</f>
        <v>8.4567409144196937</v>
      </c>
      <c r="EC76" s="560"/>
      <c r="ED76" s="560">
        <f t="shared" si="221"/>
        <v>8.4567409144196937</v>
      </c>
      <c r="EE76" s="560"/>
      <c r="EF76" s="560">
        <f>Sheet1!EH78+Sheet1!EI78+Sheet1!EJ78+Sheet1!EK78</f>
        <v>8.52</v>
      </c>
      <c r="EG76" s="560"/>
      <c r="EH76" s="545">
        <f t="shared" si="222"/>
        <v>0</v>
      </c>
      <c r="EI76" s="560">
        <f>IF(Sheet1!ET78=1,SUM('Calculations II'!AT76:BA76)+'Calculations II'!BC76+Sheet1!BV78+'Calculations II'!BE76+AP76,SUM('Calculations II'!AT76:BA76)+'Calculations II'!BC76+Sheet1!BV78+'Calculations II'!BE76+AP76)</f>
        <v>46.492272</v>
      </c>
      <c r="EJ76" s="560">
        <f>Sheet1!AA78+Sheet1!AB78+'Calculations II'!BC76</f>
        <v>53.429791999999999</v>
      </c>
      <c r="EK76" s="560"/>
      <c r="EL76" s="560"/>
      <c r="EM76" s="560">
        <f t="shared" si="223"/>
        <v>41704</v>
      </c>
      <c r="EN76" s="560">
        <f t="shared" si="224"/>
        <v>56.183259085580303</v>
      </c>
      <c r="EO76" s="560">
        <f t="shared" si="225"/>
        <v>86.915501805392722</v>
      </c>
      <c r="EP76" s="560">
        <v>0</v>
      </c>
      <c r="EQ76" s="560">
        <v>0</v>
      </c>
      <c r="ER76" s="560">
        <v>0</v>
      </c>
      <c r="ES76" s="545">
        <f t="shared" si="247"/>
        <v>-1.8014493376883602</v>
      </c>
      <c r="ET76" s="560">
        <f>-(VLOOKUP(Sheet1!BQ78,Lookup!$O$4:$Q$262,2)-VLOOKUP(Sheet1!BQ77,Lookup!$O$4:$Q$262,2))/1000000</f>
        <v>-0.97002153718420492</v>
      </c>
      <c r="EU76" s="560">
        <f>-(VLOOKUP(Sheet1!BR78,Lookup!$O$4:$Q$262,3)-VLOOKUP(Sheet1!BR77,Lookup!$O$4:$Q$262,3))/1000000</f>
        <v>-0.83142780050415543</v>
      </c>
      <c r="EV76" s="560"/>
      <c r="EW76" s="560"/>
      <c r="EX76" s="560"/>
      <c r="EY76" s="560"/>
      <c r="EZ76" s="560"/>
      <c r="FA76" s="560"/>
      <c r="FB76" s="560"/>
      <c r="FC76" s="560"/>
      <c r="FD76" s="594" t="e">
        <f t="shared" si="226"/>
        <v>#N/A</v>
      </c>
      <c r="FE76" s="594" t="e">
        <f t="shared" si="227"/>
        <v>#N/A</v>
      </c>
      <c r="FF76" s="595" t="e">
        <f t="shared" si="228"/>
        <v>#N/A</v>
      </c>
      <c r="FG76" s="596" t="s">
        <v>692</v>
      </c>
      <c r="FH76" s="596" t="s">
        <v>692</v>
      </c>
      <c r="FI76" s="594" t="e">
        <v>#N/A</v>
      </c>
      <c r="FJ76" s="594" t="e">
        <v>#N/A</v>
      </c>
      <c r="FK76" s="560"/>
      <c r="FL76" s="560"/>
      <c r="FM76" s="560"/>
      <c r="FN76" s="560"/>
      <c r="FO76" s="560">
        <f>O76+((Sheet1!CS78)*GPMtoMGD)</f>
        <v>53.429791999999999</v>
      </c>
      <c r="FP76" s="560">
        <f>IF(Sheet1!AA78+AQ76&lt;=Calculation!N76,AQ76,Calculation!N76-Sheet1!AA78)</f>
        <v>15.980461117624072</v>
      </c>
      <c r="FQ76" s="560">
        <f>(Sheet1!BP78+Sheet1!BO78)/694.4</f>
        <v>1.4333237327188939</v>
      </c>
      <c r="FR76" s="560"/>
      <c r="FS76" s="560"/>
      <c r="FT76" s="560"/>
      <c r="FU76" s="560"/>
      <c r="FV76" s="695">
        <f t="shared" si="248"/>
        <v>41827</v>
      </c>
      <c r="FW76" s="695">
        <f t="shared" si="249"/>
        <v>41934</v>
      </c>
      <c r="FX76" s="560"/>
      <c r="FY76" s="560"/>
      <c r="FZ76" s="560"/>
      <c r="GA76" s="560"/>
      <c r="GB76" s="560" t="str">
        <f t="shared" si="250"/>
        <v>n</v>
      </c>
      <c r="GC76" s="564">
        <f t="shared" si="251"/>
        <v>41691</v>
      </c>
      <c r="GD76" s="695">
        <f t="shared" si="252"/>
        <v>41807</v>
      </c>
      <c r="GE76" s="560">
        <v>6518.9</v>
      </c>
      <c r="GF76" s="695">
        <f t="shared" si="253"/>
        <v>41808</v>
      </c>
      <c r="GG76" s="560">
        <f t="shared" si="163"/>
        <v>3259</v>
      </c>
      <c r="GH76" s="564">
        <f t="shared" si="254"/>
        <v>41934</v>
      </c>
      <c r="GJ76" s="545">
        <f t="shared" si="255"/>
        <v>0</v>
      </c>
      <c r="GK76" s="560" t="str">
        <f t="shared" si="229"/>
        <v/>
      </c>
      <c r="GL76" s="560">
        <f t="shared" si="256"/>
        <v>0</v>
      </c>
      <c r="GM76" s="560" t="str">
        <f t="shared" si="257"/>
        <v/>
      </c>
      <c r="GN76" s="560">
        <f>IF(GK76="P",Lookup!$M$12,IF(GK76="PP",Lookup!$M$13,IF(GK76="PPP",Lookup!$M$14,IF(GK76="T",Lookup!$M$15,IF(GK76="TP",Lookup!$M$16,IF(GK76="TPP",Lookup!$M$17,IF(GK76="TPPP",Lookup!$M$18,0)))))))*GJ76</f>
        <v>0</v>
      </c>
      <c r="GO76" s="560">
        <f t="shared" si="258"/>
        <v>0</v>
      </c>
      <c r="GP76" s="560">
        <f t="shared" si="230"/>
        <v>1156.8405333333333</v>
      </c>
      <c r="GQ76" s="560">
        <f t="shared" si="266"/>
        <v>377.06666666666666</v>
      </c>
      <c r="GR76" s="560"/>
      <c r="GS76" s="560">
        <f t="shared" si="259"/>
        <v>0</v>
      </c>
      <c r="GT76" s="560" t="str">
        <f t="shared" si="260"/>
        <v/>
      </c>
      <c r="GU76" s="560">
        <f>IF(GK76="P",Lookup!$N$12,IF(GK76="PP",Lookup!$N$13,IF(GK76="PPP",Lookup!$N$14,IF(GK76="T",Lookup!$N$15,IF(GK76="TP",Lookup!$N$16,IF(GK76="TPP",Lookup!$N$17,IF(GK76="TPPP",Lookup!$N$18,0)))))))*GJ76</f>
        <v>0</v>
      </c>
      <c r="GV76" s="560">
        <f t="shared" si="261"/>
        <v>0</v>
      </c>
      <c r="GW76" s="560">
        <f t="shared" si="231"/>
        <v>539.85891555555565</v>
      </c>
      <c r="GX76" s="560">
        <f t="shared" si="267"/>
        <v>175.96444444444447</v>
      </c>
      <c r="GY76" s="560"/>
      <c r="GZ76" s="560">
        <f t="shared" si="262"/>
        <v>0</v>
      </c>
      <c r="HA76" s="560" t="str">
        <f t="shared" si="263"/>
        <v/>
      </c>
      <c r="HB76" s="560">
        <f>IF(GK76="P",Lookup!$N$12,IF(GK76="PP",Lookup!$N$13,IF(GK76="PPP",Lookup!$N$14,IF(GK76="T",Lookup!$N$15,IF(GK76="TP",Lookup!$N$16,IF(GK76="TPP",Lookup!$N$17,IF(GK76="TPPP",Lookup!$N$18,0)))))))*GJ76</f>
        <v>0</v>
      </c>
      <c r="HC76" s="545">
        <f t="shared" si="232"/>
        <v>0</v>
      </c>
      <c r="HD76" s="560">
        <f t="shared" si="233"/>
        <v>433.03456451641097</v>
      </c>
      <c r="HE76" s="560">
        <f t="shared" si="268"/>
        <v>141.14555557901269</v>
      </c>
      <c r="HF76" s="560"/>
      <c r="HG76" s="560">
        <f t="shared" si="264"/>
        <v>0</v>
      </c>
      <c r="HH76" s="560" t="str">
        <f t="shared" si="265"/>
        <v/>
      </c>
      <c r="HI76" s="560">
        <f>IF(GK76="P",Lookup!$N$12,IF(GK76="PP",Lookup!$N$13,IF(GK76="PPP",Lookup!$N$14,IF(GK76="T",Lookup!$N$15,IF(GK76="TP",Lookup!$N$16,IF(GK76="TPP",Lookup!$N$17,IF(GK76="TPPP",Lookup!$N$18,0)))))))*GJ76</f>
        <v>0</v>
      </c>
      <c r="HJ76" s="545">
        <f t="shared" si="234"/>
        <v>0</v>
      </c>
      <c r="HK76" s="560">
        <f t="shared" si="235"/>
        <v>342.89617755476775</v>
      </c>
      <c r="HL76" s="560">
        <f t="shared" si="269"/>
        <v>111.76537729946797</v>
      </c>
      <c r="HM76" s="560"/>
    </row>
    <row r="77" spans="1:272">
      <c r="A77" s="580" t="s">
        <v>8</v>
      </c>
      <c r="B77" s="556">
        <v>41705</v>
      </c>
      <c r="C77" s="561">
        <v>0</v>
      </c>
      <c r="D77" s="529">
        <f t="shared" si="103"/>
        <v>300</v>
      </c>
      <c r="E77" s="529">
        <f t="shared" si="104"/>
        <v>250</v>
      </c>
      <c r="F77" s="529">
        <v>250</v>
      </c>
      <c r="G77" s="560">
        <f>DR77+Sheet1!CZ79</f>
        <v>4104.826021180932</v>
      </c>
      <c r="H77" s="914">
        <f t="shared" si="236"/>
        <v>2386.3963400913544</v>
      </c>
      <c r="I77" s="559">
        <f>MAX(Sheet1!Z79-AT77+(Sheet1!DA79-E77)*CFStoMGD,0)</f>
        <v>3729.2719999999999</v>
      </c>
      <c r="J77" s="562">
        <f>IF(AND(B77&gt;=Calculation!GC77,B77&lt;=Calculation!GD77),IF(Sheet1!DB79&gt;=Calculation!D77,64.64,0),MAX(Sheet1!Z79-AT77+(Sheet1!DB79-D77)*CFStoMGD,0))</f>
        <v>64.64</v>
      </c>
      <c r="K77" s="904">
        <f t="shared" si="171"/>
        <v>64.64</v>
      </c>
      <c r="L77" s="560">
        <f>Sheet1!AA79+Sheet1!AB79-Sheet1!L79+(Sheet1!DA79-F77)*CFStoMGD</f>
        <v>3703.8719999999998</v>
      </c>
      <c r="M77" s="560">
        <f t="shared" si="172"/>
        <v>2706.4267308931817</v>
      </c>
      <c r="N77" s="910">
        <f>IF(Sheet1!DA79&gt;=F77,MIN(73,MIN(MAX(L77,0),MAX(M77,0))),0)</f>
        <v>73</v>
      </c>
      <c r="O77" s="563">
        <f>Sheet1!AA79+Sheet1!AB79</f>
        <v>46.8</v>
      </c>
      <c r="P77" s="563">
        <f t="shared" si="173"/>
        <v>72.399599999999992</v>
      </c>
      <c r="Q77" s="898">
        <f t="shared" si="237"/>
        <v>38.26</v>
      </c>
      <c r="R77" s="829">
        <f t="shared" si="174"/>
        <v>8.5565183752417795</v>
      </c>
      <c r="S77" s="898">
        <f t="shared" si="238"/>
        <v>8.5399999999999991</v>
      </c>
      <c r="T77" s="898">
        <f t="shared" si="239"/>
        <v>56.1</v>
      </c>
      <c r="U77" s="898">
        <f t="shared" si="240"/>
        <v>0</v>
      </c>
      <c r="V77" s="898"/>
      <c r="W77" s="898">
        <f t="shared" si="241"/>
        <v>56.083481624758221</v>
      </c>
      <c r="X77" s="898">
        <f t="shared" si="242"/>
        <v>64.64</v>
      </c>
      <c r="Y77" s="898" t="str">
        <f t="shared" si="243"/>
        <v>FALSE</v>
      </c>
      <c r="Z77" s="898">
        <f t="shared" si="244"/>
        <v>46.8</v>
      </c>
      <c r="AA77" s="898">
        <f t="shared" si="245"/>
        <v>46.8</v>
      </c>
      <c r="AB77" s="898" t="str">
        <f t="shared" si="246"/>
        <v/>
      </c>
      <c r="AC77" s="563">
        <f>Sheet1!Y79*MGDtoCFS</f>
        <v>32.487000000000002</v>
      </c>
      <c r="AD77" s="563">
        <f>Sheet1!Z79*MGDtoCFS</f>
        <v>39.293799999999997</v>
      </c>
      <c r="AE77" s="563">
        <f>Sheet1!AA79*MGDtoCFS</f>
        <v>32.332299999999996</v>
      </c>
      <c r="AF77" s="563">
        <f>Sheet1!AB79*MGDtoCFS</f>
        <v>40.067299999999996</v>
      </c>
      <c r="AG77" s="563">
        <f>Sheet1!L79*MGDtoCFS</f>
        <v>72.399599999999992</v>
      </c>
      <c r="AH77" s="545">
        <f t="shared" si="175"/>
        <v>0</v>
      </c>
      <c r="AI77" s="560">
        <f t="shared" si="176"/>
        <v>0</v>
      </c>
      <c r="AJ77" s="560">
        <f t="shared" si="177"/>
        <v>56.083481624758221</v>
      </c>
      <c r="AK77" s="560">
        <f t="shared" si="178"/>
        <v>86.761146073500967</v>
      </c>
      <c r="AL77" s="560">
        <f>(VLOOKUP(Sheet1!DC79,hhdcap_wcm,4)-(((VLOOKUP(Sheet1!DC79,hhdcap_wcm,3)-Sheet1!DC79)/(VLOOKUP(Sheet1!DC79,hhdcap_wcm,3)-VLOOKUP(Sheet1!DC79,hhdcap_wcm,1)))*(VLOOKUP(Sheet1!DC79,hhdcap_wcm,4)-VLOOKUP(Sheet1!DC79,hhdcap_wcm,2))))</f>
        <v>8480.0000000178588</v>
      </c>
      <c r="AM77" s="560">
        <f t="shared" si="179"/>
        <v>822.60000000178843</v>
      </c>
      <c r="AN77" s="560">
        <f t="shared" si="180"/>
        <v>862.02552561435004</v>
      </c>
      <c r="AO77" s="560">
        <f t="shared" si="181"/>
        <v>2644.6943125848261</v>
      </c>
      <c r="AP77" s="560">
        <f>Sheet1!BA79+Sheet1!BB79+Sheet1!BN79+CD77</f>
        <v>17.310000000000002</v>
      </c>
      <c r="AQ77" s="560">
        <f>Sheet1!BN79+(DO77*Sheet1!BN79)</f>
        <v>16.331528046421663</v>
      </c>
      <c r="AR77" s="560">
        <f>Sheet1!BA79+CD77</f>
        <v>0</v>
      </c>
      <c r="AS77" s="560">
        <f>Sheet1!BA79+Sheet1!BB79+CD77</f>
        <v>1.01</v>
      </c>
      <c r="AT77" s="698">
        <f>0</f>
        <v>0</v>
      </c>
      <c r="AU77" s="560">
        <f>IF(EB77&lt;K77,0,MAX(Sheet1!AA79+AQ77-15/36*K77-N77,Sheet1!EH79,0))</f>
        <v>0</v>
      </c>
      <c r="AV77" s="560">
        <f>IF(OR(B77&gt;=GD77,B77&lt;GC77),0,15/36*K77-MAX(0,64.6-(137.6-(Sheet1!AA79+Sheet1!AB79))))</f>
        <v>26.933333333333334</v>
      </c>
      <c r="AW77" s="698">
        <f>Sheet1!DB79-110</f>
        <v>3810</v>
      </c>
      <c r="AX77" s="698">
        <f>Sheet1!DA79-265</f>
        <v>5715</v>
      </c>
      <c r="AY77" s="698">
        <f t="shared" si="182"/>
        <v>34.74</v>
      </c>
      <c r="AZ77" s="698">
        <v>0</v>
      </c>
      <c r="BA77" s="698">
        <f t="shared" si="183"/>
        <v>0</v>
      </c>
      <c r="BB77" s="560">
        <f t="shared" si="184"/>
        <v>404</v>
      </c>
      <c r="BC77" s="560"/>
      <c r="BD77" s="560">
        <f ca="1">IF(B77&gt;Summary!$A$1,#N/A,BB77*MGtoAF)</f>
        <v>1239.472</v>
      </c>
      <c r="BE77" s="560">
        <f>Sheet1!BG79+Sheet1!BH79+Sheet1!BI79-BM77</f>
        <v>0</v>
      </c>
      <c r="BF77" s="560">
        <f t="shared" si="185"/>
        <v>0</v>
      </c>
      <c r="BG77" s="560">
        <f>IF(Sheet1!EP79="FM",BM77,0)</f>
        <v>0</v>
      </c>
      <c r="BH77" s="560">
        <f t="shared" si="186"/>
        <v>0</v>
      </c>
      <c r="BI77" s="560">
        <f>IF(Sheet1!EP79="OTHER",BM77,0)</f>
        <v>0</v>
      </c>
      <c r="BJ77" s="560">
        <f t="shared" si="187"/>
        <v>0</v>
      </c>
      <c r="BK77" s="560">
        <f t="shared" si="188"/>
        <v>0</v>
      </c>
      <c r="BL77" s="560">
        <f t="shared" si="189"/>
        <v>0</v>
      </c>
      <c r="BM77" s="560">
        <f>IF(OR(Sheet1!EP79="FM", Sheet1!EP79="OTHER"),SUM(Sheet1!BG79:'Sheet1'!BI79),0)</f>
        <v>0</v>
      </c>
      <c r="BN77" s="545">
        <f>IF(AND($B77&gt;=$FV77,$B77&lt;=$FW77),MAX(BF77,Sheet1!EI79,0),MAX(BF77-(7/36)*$K77,0))</f>
        <v>0</v>
      </c>
      <c r="BO77" s="560">
        <f t="shared" si="190"/>
        <v>12.568888888888889</v>
      </c>
      <c r="BP77" s="545">
        <f t="shared" si="191"/>
        <v>0</v>
      </c>
      <c r="BQ77" s="545">
        <f>IF(AND($O77&gt;0,Sheet1!EM79=1),(1-($O77-Sheet1!$L79)/$O77)*BL77,0)</f>
        <v>0</v>
      </c>
      <c r="BR77" s="545">
        <f>IF(AND(Sheet1!$L79=0,Sheet1!$L78=0, Calculation!BK77&lt;Sheet1!$EI79-0.1,Sheet1!$EI79=Sheet1!$EI78,Sheet1!$EI79=Sheet1!$EI80),Sheet1!$EI79,BL77-BQ77)</f>
        <v>0</v>
      </c>
      <c r="BS77" s="560"/>
      <c r="BT77" s="560"/>
      <c r="BU77" s="560">
        <f t="shared" si="192"/>
        <v>188.53333333333336</v>
      </c>
      <c r="BV77" s="560"/>
      <c r="BW77" s="560">
        <f ca="1">IF(B77&gt;Summary!$A$1,#N/A,BU77*MGtoAF)</f>
        <v>578.42026666666675</v>
      </c>
      <c r="BX77" s="560">
        <f>Sheet1!BC79+Sheet1!BD79+Sheet1!BE79+Sheet1!BF79-CG77-CH77</f>
        <v>2.5099999999999998</v>
      </c>
      <c r="BY77" s="560">
        <f t="shared" si="193"/>
        <v>2.5148549323017404</v>
      </c>
      <c r="BZ77" s="560">
        <f>IF(Sheet1!EQ79="FM",CH77,0)</f>
        <v>0</v>
      </c>
      <c r="CA77" s="560">
        <f t="shared" si="194"/>
        <v>0</v>
      </c>
      <c r="CB77" s="560">
        <f>IF(Sheet1!EQ79="OTHER",CH77,0)</f>
        <v>0</v>
      </c>
      <c r="CC77" s="560">
        <f t="shared" si="195"/>
        <v>0</v>
      </c>
      <c r="CD77" s="560">
        <f t="shared" si="196"/>
        <v>0</v>
      </c>
      <c r="CE77" s="560">
        <f t="shared" si="197"/>
        <v>2.5099999999999998</v>
      </c>
      <c r="CF77" s="560">
        <f t="shared" si="198"/>
        <v>2.5148549323017404</v>
      </c>
      <c r="CG77" s="560">
        <f>IF(Sheet1!EQ79="CWA",SUM(Sheet1!BC79:'Sheet1'!BF79),0)</f>
        <v>0</v>
      </c>
      <c r="CH77" s="560">
        <f>IF(OR(Sheet1!EQ79="FM", Sheet1!EQ79="OTHER"),SUM(Sheet1!BC79:'Sheet1'!BF79),0)</f>
        <v>0</v>
      </c>
      <c r="CI77" s="545">
        <f>IF(AND($B77&gt;=$FV77,$B77&lt;=$FW77),MAX(CF77,Sheet1!EJ79,0),MAX(CF77-(7/36)*$K77,0))</f>
        <v>0</v>
      </c>
      <c r="CJ77" s="560">
        <f t="shared" si="199"/>
        <v>10.054033956587148</v>
      </c>
      <c r="CK77" s="545">
        <f t="shared" si="200"/>
        <v>2.5148549323017404</v>
      </c>
      <c r="CL77" s="545">
        <f>IF(AND($O77&gt;0,Sheet1!EN79=1),(1-($O77-Sheet1!$L79)/$O77)*CF77,0)</f>
        <v>0</v>
      </c>
      <c r="CM77" s="545">
        <f>IF(AND(Sheet1!$L79=0,Sheet1!$L78=0, Calculation!CE77&lt;Sheet1!EJ79-0.1,Sheet1!EJ79=Sheet1!EJ78,Sheet1!EJ79=Sheet1!EJ80),Sheet1!EJ79,CF77-CL77)</f>
        <v>2.5148549323017404</v>
      </c>
      <c r="CN77" s="545"/>
      <c r="CO77" s="560"/>
      <c r="CP77" s="560">
        <f t="shared" si="201"/>
        <v>151.19958953559984</v>
      </c>
      <c r="CQ77" s="560"/>
      <c r="CR77" s="560">
        <f ca="1">IF(B77&gt;Summary!$A$1,#N/A,CP77*MGtoAF)</f>
        <v>463.8803406952203</v>
      </c>
      <c r="CS77" s="560">
        <f>Sheet1!BK79+Sheet1!BL79+Sheet1!BM79-Sheet1!ER79-DA77</f>
        <v>6.03</v>
      </c>
      <c r="CT77" s="560">
        <f t="shared" si="202"/>
        <v>6.0416634429400382</v>
      </c>
      <c r="CU77" s="560">
        <f>IF(Sheet1!ER79="FM",DA77,0)</f>
        <v>0</v>
      </c>
      <c r="CV77" s="560">
        <f t="shared" si="203"/>
        <v>0</v>
      </c>
      <c r="CW77" s="560">
        <f>IF(Sheet1!ER79="OTHER",DA77,0)</f>
        <v>0</v>
      </c>
      <c r="CX77" s="560">
        <f t="shared" si="204"/>
        <v>0</v>
      </c>
      <c r="CY77" s="560">
        <f t="shared" si="205"/>
        <v>6.03</v>
      </c>
      <c r="CZ77" s="560">
        <f t="shared" si="206"/>
        <v>6.0416634429400382</v>
      </c>
      <c r="DA77" s="560">
        <f>IF(OR(Sheet1!ER79="FM", Sheet1!ER79="OTHER"),SUM(Sheet1!BK79:'Sheet1'!BM79),0)</f>
        <v>0</v>
      </c>
      <c r="DB77" s="545">
        <f>IF(AND($B77&gt;=$FV77,$B77&lt;=$FW77),MAX($CT77,Sheet1!EK79,0),MAX($CT77-(7/36)*$K77,0))</f>
        <v>0</v>
      </c>
      <c r="DC77" s="560">
        <f t="shared" si="207"/>
        <v>6.5272254459488508</v>
      </c>
      <c r="DD77" s="545">
        <f t="shared" si="208"/>
        <v>6.0416634429400382</v>
      </c>
      <c r="DE77" s="545">
        <f>IF(AND($O77&gt;0,Sheet1!EO79=1),(1-($O77-Sheet1!$L79)/$O77)*CZ77,0)</f>
        <v>0</v>
      </c>
      <c r="DF77" s="545">
        <f>IF(AND(Sheet1!$L79=0,Sheet1!$L78=0, Calculation!CY77&lt;Sheet1!$EK79-0.1,Sheet1!$EK79=Sheet1!$EK78,Sheet1!$EK79=Sheet1!$EK80),Sheet1!$EK79,CZ77-DE77)</f>
        <v>6.0416634429400382</v>
      </c>
      <c r="DG77" s="545"/>
      <c r="DH77" s="560">
        <f t="shared" si="209"/>
        <v>8.5399999999999991</v>
      </c>
      <c r="DI77" s="560">
        <f t="shared" si="210"/>
        <v>118.29260274541681</v>
      </c>
      <c r="DJ77" s="698">
        <f t="shared" si="211"/>
        <v>8.5565183752417795</v>
      </c>
      <c r="DK77" s="560">
        <f ca="1">IF(B77&gt;Summary!$A$1,#N/A,DI77*MGtoAF)</f>
        <v>362.92170522293878</v>
      </c>
      <c r="DL77" s="698">
        <f t="shared" si="212"/>
        <v>8.5399999999999991</v>
      </c>
      <c r="DM77" s="560">
        <f t="shared" si="213"/>
        <v>25.85</v>
      </c>
      <c r="DN77" s="560">
        <f>Sheet1!AB79-DM77</f>
        <v>4.9999999999997158E-2</v>
      </c>
      <c r="DO77" s="823">
        <f t="shared" si="214"/>
        <v>1.9342359767890581E-3</v>
      </c>
      <c r="DP77" s="560">
        <f>(VLOOKUP(Sheet1!DC79,hhdcap_wcm,4)-(((VLOOKUP(Sheet1!DC79,hhdcap_wcm,3)-Sheet1!DC79)/(VLOOKUP(Sheet1!DC79,hhdcap_wcm,3)-VLOOKUP(Sheet1!DC79,hhdcap_wcm,1)))*(VLOOKUP(Sheet1!DC79,hhdcap_wcm,4)-VLOOKUP(Sheet1!DC79,hhdcap_wcm,2))))</f>
        <v>8480.0000000178588</v>
      </c>
      <c r="DQ77" s="560">
        <f t="shared" si="215"/>
        <v>822.60000000178843</v>
      </c>
      <c r="DR77" s="560">
        <f t="shared" si="216"/>
        <v>414.82602118093206</v>
      </c>
      <c r="DS77" s="560">
        <f>Sheet1!EA79*AFtoMG</f>
        <v>0</v>
      </c>
      <c r="DT77" s="560">
        <f>Sheet1!EB79*AFtoMG</f>
        <v>0</v>
      </c>
      <c r="DU77" s="560">
        <f>Sheet1!EC79*AFtoMG</f>
        <v>0</v>
      </c>
      <c r="DV77" s="560">
        <f>Sheet1!ED79*AFtoMG</f>
        <v>0</v>
      </c>
      <c r="DW77" s="560">
        <f t="shared" si="217"/>
        <v>0</v>
      </c>
      <c r="DX77" s="560">
        <f t="shared" si="218"/>
        <v>0</v>
      </c>
      <c r="DY77" s="560">
        <f t="shared" si="219"/>
        <v>862.02552561435004</v>
      </c>
      <c r="DZ77" s="560">
        <f t="shared" si="220"/>
        <v>2644.6943125848261</v>
      </c>
      <c r="EA77" s="560"/>
      <c r="EB77" s="545">
        <f>IF(OR(B77&lt;FV77,B77&gt;FW77),(MIN(BF77+BY77+CT77+MAX(Sheet1!AA79+AQ77-73,0),K77)),0)</f>
        <v>8.5565183752417795</v>
      </c>
      <c r="EC77" s="560"/>
      <c r="ED77" s="560">
        <f t="shared" si="221"/>
        <v>8.5565183752417795</v>
      </c>
      <c r="EE77" s="560"/>
      <c r="EF77" s="560">
        <f>Sheet1!EH79+Sheet1!EI79+Sheet1!EJ79+Sheet1!EK79</f>
        <v>8.5399999999999991</v>
      </c>
      <c r="EG77" s="560"/>
      <c r="EH77" s="545">
        <f t="shared" si="222"/>
        <v>0</v>
      </c>
      <c r="EI77" s="560">
        <f>IF(Sheet1!ET79=1,SUM('Calculations II'!AT77:BA77)+'Calculations II'!BC77+Sheet1!BV79+'Calculations II'!BE77+AP77,SUM('Calculations II'!AT77:BA77)+'Calculations II'!BC77+Sheet1!BV79+'Calculations II'!BE77+AP77)</f>
        <v>50.386656000000002</v>
      </c>
      <c r="EJ77" s="560">
        <f>Sheet1!AA79+Sheet1!AB79+'Calculations II'!BC77</f>
        <v>52.511184</v>
      </c>
      <c r="EK77" s="560"/>
      <c r="EL77" s="560"/>
      <c r="EM77" s="560">
        <f t="shared" si="223"/>
        <v>41705</v>
      </c>
      <c r="EN77" s="560">
        <f t="shared" si="224"/>
        <v>56.083481624758221</v>
      </c>
      <c r="EO77" s="560">
        <f t="shared" si="225"/>
        <v>86.761146073500967</v>
      </c>
      <c r="EP77" s="560">
        <v>0</v>
      </c>
      <c r="EQ77" s="560">
        <v>0</v>
      </c>
      <c r="ER77" s="560">
        <v>0</v>
      </c>
      <c r="ES77" s="545">
        <f t="shared" si="247"/>
        <v>3.4638434319776854</v>
      </c>
      <c r="ET77" s="560">
        <f>-(VLOOKUP(Sheet1!BQ79,Lookup!$O$4:$Q$262,2)-VLOOKUP(Sheet1!BQ78,Lookup!$O$4:$Q$262,2))/1000000</f>
        <v>1.8012185843288675</v>
      </c>
      <c r="EU77" s="560">
        <f>-(VLOOKUP(Sheet1!BR79,Lookup!$O$4:$Q$262,3)-VLOOKUP(Sheet1!BR78,Lookup!$O$4:$Q$262,3))/1000000</f>
        <v>1.6626248476488181</v>
      </c>
      <c r="EV77" s="560"/>
      <c r="EW77" s="560"/>
      <c r="EX77" s="560"/>
      <c r="EY77" s="560"/>
      <c r="EZ77" s="560"/>
      <c r="FA77" s="560"/>
      <c r="FB77" s="560"/>
      <c r="FC77" s="560"/>
      <c r="FD77" s="594" t="e">
        <f t="shared" si="226"/>
        <v>#N/A</v>
      </c>
      <c r="FE77" s="594" t="e">
        <f t="shared" si="227"/>
        <v>#N/A</v>
      </c>
      <c r="FF77" s="595" t="e">
        <f t="shared" si="228"/>
        <v>#N/A</v>
      </c>
      <c r="FG77" s="596" t="s">
        <v>692</v>
      </c>
      <c r="FH77" s="596" t="s">
        <v>692</v>
      </c>
      <c r="FI77" s="594" t="e">
        <v>#N/A</v>
      </c>
      <c r="FJ77" s="594" t="e">
        <v>#N/A</v>
      </c>
      <c r="FK77" s="560"/>
      <c r="FL77" s="560"/>
      <c r="FM77" s="560"/>
      <c r="FN77" s="560"/>
      <c r="FO77" s="560">
        <f>O77+((Sheet1!CS79)*GPMtoMGD)</f>
        <v>52.511184</v>
      </c>
      <c r="FP77" s="560">
        <f>IF(Sheet1!AA79+AQ77&lt;=Calculation!N77,AQ77,Calculation!N77-Sheet1!AA79)</f>
        <v>16.331528046421663</v>
      </c>
      <c r="FQ77" s="560">
        <f>(Sheet1!BP79+Sheet1!BO79)/694.4</f>
        <v>1.4452764976958525</v>
      </c>
      <c r="FR77" s="560"/>
      <c r="FS77" s="560"/>
      <c r="FT77" s="560"/>
      <c r="FU77" s="560"/>
      <c r="FV77" s="695">
        <f t="shared" si="248"/>
        <v>41827</v>
      </c>
      <c r="FW77" s="695">
        <f t="shared" si="249"/>
        <v>41934</v>
      </c>
      <c r="FX77" s="560"/>
      <c r="FY77" s="560"/>
      <c r="FZ77" s="560"/>
      <c r="GA77" s="560"/>
      <c r="GB77" s="560" t="str">
        <f t="shared" si="250"/>
        <v>n</v>
      </c>
      <c r="GC77" s="564">
        <f t="shared" si="251"/>
        <v>41691</v>
      </c>
      <c r="GD77" s="695">
        <f t="shared" si="252"/>
        <v>41807</v>
      </c>
      <c r="GE77" s="560">
        <v>6518.9</v>
      </c>
      <c r="GF77" s="695">
        <f t="shared" si="253"/>
        <v>41808</v>
      </c>
      <c r="GG77" s="560">
        <f t="shared" si="163"/>
        <v>3259</v>
      </c>
      <c r="GH77" s="564">
        <f t="shared" si="254"/>
        <v>41934</v>
      </c>
      <c r="GJ77" s="545">
        <f t="shared" si="255"/>
        <v>0</v>
      </c>
      <c r="GK77" s="560" t="str">
        <f t="shared" si="229"/>
        <v/>
      </c>
      <c r="GL77" s="560">
        <f t="shared" si="256"/>
        <v>0</v>
      </c>
      <c r="GM77" s="560" t="str">
        <f t="shared" si="257"/>
        <v/>
      </c>
      <c r="GN77" s="560">
        <f>IF(GK77="P",Lookup!$M$12,IF(GK77="PP",Lookup!$M$13,IF(GK77="PPP",Lookup!$M$14,IF(GK77="T",Lookup!$M$15,IF(GK77="TP",Lookup!$M$16,IF(GK77="TPP",Lookup!$M$17,IF(GK77="TPPP",Lookup!$M$18,0)))))))*GJ77</f>
        <v>0</v>
      </c>
      <c r="GO77" s="560">
        <f t="shared" si="258"/>
        <v>0</v>
      </c>
      <c r="GP77" s="560">
        <f t="shared" si="230"/>
        <v>1239.472</v>
      </c>
      <c r="GQ77" s="560">
        <f t="shared" si="266"/>
        <v>404</v>
      </c>
      <c r="GR77" s="560"/>
      <c r="GS77" s="560">
        <f t="shared" si="259"/>
        <v>0</v>
      </c>
      <c r="GT77" s="560" t="str">
        <f t="shared" si="260"/>
        <v/>
      </c>
      <c r="GU77" s="560">
        <f>IF(GK77="P",Lookup!$N$12,IF(GK77="PP",Lookup!$N$13,IF(GK77="PPP",Lookup!$N$14,IF(GK77="T",Lookup!$N$15,IF(GK77="TP",Lookup!$N$16,IF(GK77="TPP",Lookup!$N$17,IF(GK77="TPPP",Lookup!$N$18,0)))))))*GJ77</f>
        <v>0</v>
      </c>
      <c r="GV77" s="560">
        <f t="shared" si="261"/>
        <v>0</v>
      </c>
      <c r="GW77" s="560">
        <f t="shared" si="231"/>
        <v>578.42026666666675</v>
      </c>
      <c r="GX77" s="560">
        <f t="shared" si="267"/>
        <v>188.53333333333336</v>
      </c>
      <c r="GY77" s="560"/>
      <c r="GZ77" s="560">
        <f t="shared" si="262"/>
        <v>0</v>
      </c>
      <c r="HA77" s="560" t="str">
        <f t="shared" si="263"/>
        <v/>
      </c>
      <c r="HB77" s="560">
        <f>IF(GK77="P",Lookup!$N$12,IF(GK77="PP",Lookup!$N$13,IF(GK77="PPP",Lookup!$N$14,IF(GK77="T",Lookup!$N$15,IF(GK77="TP",Lookup!$N$16,IF(GK77="TPP",Lookup!$N$17,IF(GK77="TPPP",Lookup!$N$18,0)))))))*GJ77</f>
        <v>0</v>
      </c>
      <c r="HC77" s="545">
        <f t="shared" si="232"/>
        <v>0</v>
      </c>
      <c r="HD77" s="560">
        <f t="shared" si="233"/>
        <v>463.8803406952203</v>
      </c>
      <c r="HE77" s="560">
        <f t="shared" si="268"/>
        <v>151.19958953559984</v>
      </c>
      <c r="HF77" s="560"/>
      <c r="HG77" s="560">
        <f t="shared" si="264"/>
        <v>0</v>
      </c>
      <c r="HH77" s="560" t="str">
        <f t="shared" si="265"/>
        <v/>
      </c>
      <c r="HI77" s="560">
        <f>IF(GK77="P",Lookup!$N$12,IF(GK77="PP",Lookup!$N$13,IF(GK77="PPP",Lookup!$N$14,IF(GK77="T",Lookup!$N$15,IF(GK77="TP",Lookup!$N$16,IF(GK77="TPP",Lookup!$N$17,IF(GK77="TPPP",Lookup!$N$18,0)))))))*GJ77</f>
        <v>0</v>
      </c>
      <c r="HJ77" s="545">
        <f t="shared" si="234"/>
        <v>0</v>
      </c>
      <c r="HK77" s="560">
        <f t="shared" si="235"/>
        <v>362.92170522293878</v>
      </c>
      <c r="HL77" s="560">
        <f t="shared" si="269"/>
        <v>118.29260274541681</v>
      </c>
      <c r="HM77" s="560"/>
    </row>
    <row r="78" spans="1:272">
      <c r="A78" s="580" t="s">
        <v>9</v>
      </c>
      <c r="B78" s="556">
        <v>41706</v>
      </c>
      <c r="C78" s="561">
        <v>0</v>
      </c>
      <c r="D78" s="529">
        <f t="shared" si="103"/>
        <v>300</v>
      </c>
      <c r="E78" s="529">
        <f t="shared" si="104"/>
        <v>250</v>
      </c>
      <c r="F78" s="529">
        <v>250</v>
      </c>
      <c r="G78" s="560">
        <f>DR78+Sheet1!CZ80</f>
        <v>3791.3615733740266</v>
      </c>
      <c r="H78" s="914">
        <f t="shared" si="236"/>
        <v>2183.7729210289708</v>
      </c>
      <c r="I78" s="559">
        <f>MAX(Sheet1!Z80-AT78+(Sheet1!DA80-E78)*CFStoMGD,0)</f>
        <v>3839.66</v>
      </c>
      <c r="J78" s="562">
        <f>IF(AND(B78&gt;=Calculation!GC78,B78&lt;=Calculation!GD78),IF(Sheet1!DB80&gt;=Calculation!D78,64.64,0),MAX(Sheet1!Z80-AT78+(Sheet1!DB80-D78)*CFStoMGD,0))</f>
        <v>64.64</v>
      </c>
      <c r="K78" s="904">
        <f t="shared" si="171"/>
        <v>64.64</v>
      </c>
      <c r="L78" s="560">
        <f>Sheet1!AA80+Sheet1!AB80-Sheet1!L80+(Sheet1!DA80-F78)*CFStoMGD</f>
        <v>3813.7599999999998</v>
      </c>
      <c r="M78" s="560">
        <f t="shared" si="172"/>
        <v>2499.7508434495503</v>
      </c>
      <c r="N78" s="910">
        <f>IF(Sheet1!DA80&gt;=F78,MIN(73,MIN(MAX(L78,0),MAX(M78,0))),0)</f>
        <v>73</v>
      </c>
      <c r="O78" s="563">
        <f>Sheet1!AA80+Sheet1!AB80</f>
        <v>46.8</v>
      </c>
      <c r="P78" s="563">
        <f t="shared" si="173"/>
        <v>72.399599999999992</v>
      </c>
      <c r="Q78" s="898">
        <f t="shared" si="237"/>
        <v>38.269999999999996</v>
      </c>
      <c r="R78" s="829">
        <f t="shared" si="174"/>
        <v>8.5167956656346746</v>
      </c>
      <c r="S78" s="898">
        <f t="shared" si="238"/>
        <v>8.5300000000000011</v>
      </c>
      <c r="T78" s="898">
        <f t="shared" si="239"/>
        <v>56.11</v>
      </c>
      <c r="U78" s="898">
        <f t="shared" si="240"/>
        <v>0</v>
      </c>
      <c r="V78" s="898"/>
      <c r="W78" s="898">
        <f t="shared" si="241"/>
        <v>56.123204334365326</v>
      </c>
      <c r="X78" s="898">
        <f t="shared" si="242"/>
        <v>64.64</v>
      </c>
      <c r="Y78" s="898" t="str">
        <f t="shared" si="243"/>
        <v>FALSE</v>
      </c>
      <c r="Z78" s="898">
        <f t="shared" si="244"/>
        <v>46.8</v>
      </c>
      <c r="AA78" s="898">
        <f t="shared" si="245"/>
        <v>46.8</v>
      </c>
      <c r="AB78" s="898" t="str">
        <f t="shared" si="246"/>
        <v/>
      </c>
      <c r="AC78" s="563">
        <f>Sheet1!Y80*MGDtoCFS</f>
        <v>32.332299999999996</v>
      </c>
      <c r="AD78" s="563">
        <f>Sheet1!Z80*MGDtoCFS</f>
        <v>40.067299999999996</v>
      </c>
      <c r="AE78" s="563">
        <f>Sheet1!AA80*MGDtoCFS</f>
        <v>32.487000000000002</v>
      </c>
      <c r="AF78" s="563">
        <f>Sheet1!AB80*MGDtoCFS</f>
        <v>39.912599999999998</v>
      </c>
      <c r="AG78" s="563">
        <f>Sheet1!L80*MGDtoCFS</f>
        <v>72.399599999999992</v>
      </c>
      <c r="AH78" s="545">
        <f t="shared" si="175"/>
        <v>0</v>
      </c>
      <c r="AI78" s="560">
        <f t="shared" si="176"/>
        <v>0</v>
      </c>
      <c r="AJ78" s="560">
        <f t="shared" si="177"/>
        <v>56.123204334365326</v>
      </c>
      <c r="AK78" s="560">
        <f t="shared" si="178"/>
        <v>86.822597105263156</v>
      </c>
      <c r="AL78" s="560">
        <f>(VLOOKUP(Sheet1!DC80,hhdcap_wcm,4)-(((VLOOKUP(Sheet1!DC80,hhdcap_wcm,3)-Sheet1!DC80)/(VLOOKUP(Sheet1!DC80,hhdcap_wcm,3)-VLOOKUP(Sheet1!DC80,hhdcap_wcm,1)))*(VLOOKUP(Sheet1!DC80,hhdcap_wcm,4)-VLOOKUP(Sheet1!DC80,hhdcap_wcm,2))))</f>
        <v>8681.0000000185537</v>
      </c>
      <c r="AM78" s="560">
        <f t="shared" si="179"/>
        <v>201.00000000069485</v>
      </c>
      <c r="AN78" s="560">
        <f t="shared" si="180"/>
        <v>918.1487299487153</v>
      </c>
      <c r="AO78" s="560">
        <f t="shared" si="181"/>
        <v>2816.8803034826587</v>
      </c>
      <c r="AP78" s="560">
        <f>Sheet1!BA80+Sheet1!BB80+Sheet1!BN80+CD78</f>
        <v>17.310000000000002</v>
      </c>
      <c r="AQ78" s="560">
        <f>Sheet1!BN80+(DO78*Sheet1!BN80)</f>
        <v>16.274767801857585</v>
      </c>
      <c r="AR78" s="560">
        <f>Sheet1!BA80+CD78</f>
        <v>0</v>
      </c>
      <c r="AS78" s="560">
        <f>Sheet1!BA80+Sheet1!BB80+CD78</f>
        <v>1.01</v>
      </c>
      <c r="AT78" s="698">
        <f>0</f>
        <v>0</v>
      </c>
      <c r="AU78" s="560">
        <f>IF(EB78&lt;K78,0,MAX(Sheet1!AA80+AQ78-15/36*K78-N78,Sheet1!EH80,0))</f>
        <v>0</v>
      </c>
      <c r="AV78" s="560">
        <f>IF(OR(B78&gt;=GD78,B78&lt;GC78),0,15/36*K78-MAX(0,64.6-(137.6-(Sheet1!AA80+Sheet1!AB80))))</f>
        <v>26.933333333333334</v>
      </c>
      <c r="AW78" s="698">
        <f>Sheet1!DB80-110</f>
        <v>3920</v>
      </c>
      <c r="AX78" s="698">
        <f>Sheet1!DA80-265</f>
        <v>5885</v>
      </c>
      <c r="AY78" s="698">
        <f t="shared" si="182"/>
        <v>34.730000000000004</v>
      </c>
      <c r="AZ78" s="698">
        <v>0</v>
      </c>
      <c r="BA78" s="698">
        <f t="shared" si="183"/>
        <v>0</v>
      </c>
      <c r="BB78" s="560">
        <f t="shared" si="184"/>
        <v>430.93333333333334</v>
      </c>
      <c r="BC78" s="560"/>
      <c r="BD78" s="560">
        <f ca="1">IF(B78&gt;Summary!$A$1,#N/A,BB78*MGtoAF)</f>
        <v>1322.1034666666667</v>
      </c>
      <c r="BE78" s="560">
        <f>Sheet1!BG80+Sheet1!BH80+Sheet1!BI80-BM78</f>
        <v>0</v>
      </c>
      <c r="BF78" s="560">
        <f t="shared" si="185"/>
        <v>0</v>
      </c>
      <c r="BG78" s="560">
        <f>IF(Sheet1!EP80="FM",BM78,0)</f>
        <v>0</v>
      </c>
      <c r="BH78" s="560">
        <f t="shared" si="186"/>
        <v>0</v>
      </c>
      <c r="BI78" s="560">
        <f>IF(Sheet1!EP80="OTHER",BM78,0)</f>
        <v>0</v>
      </c>
      <c r="BJ78" s="560">
        <f t="shared" si="187"/>
        <v>0</v>
      </c>
      <c r="BK78" s="560">
        <f t="shared" si="188"/>
        <v>0</v>
      </c>
      <c r="BL78" s="560">
        <f t="shared" si="189"/>
        <v>0</v>
      </c>
      <c r="BM78" s="560">
        <f>IF(OR(Sheet1!EP80="FM", Sheet1!EP80="OTHER"),SUM(Sheet1!BG80:'Sheet1'!BI80),0)</f>
        <v>0</v>
      </c>
      <c r="BN78" s="545">
        <f>IF(AND($B78&gt;=$FV78,$B78&lt;=$FW78),MAX(BF78,Sheet1!EI80,0),MAX(BF78-(7/36)*$K78,0))</f>
        <v>0</v>
      </c>
      <c r="BO78" s="560">
        <f t="shared" si="190"/>
        <v>12.568888888888889</v>
      </c>
      <c r="BP78" s="545">
        <f t="shared" si="191"/>
        <v>0</v>
      </c>
      <c r="BQ78" s="545">
        <f>IF(AND($O78&gt;0,Sheet1!EM80=1),(1-($O78-Sheet1!$L80)/$O78)*BL78,0)</f>
        <v>0</v>
      </c>
      <c r="BR78" s="545">
        <f>IF(AND(Sheet1!$L80=0,Sheet1!$L79=0, Calculation!BK78&lt;Sheet1!$EI80-0.1,Sheet1!$EI80=Sheet1!$EI79,Sheet1!$EI80=Sheet1!$EI81),Sheet1!$EI80,BL78-BQ78)</f>
        <v>0</v>
      </c>
      <c r="BS78" s="560"/>
      <c r="BT78" s="560"/>
      <c r="BU78" s="560">
        <f t="shared" si="192"/>
        <v>201.10222222222225</v>
      </c>
      <c r="BV78" s="560"/>
      <c r="BW78" s="560">
        <f ca="1">IF(B78&gt;Summary!$A$1,#N/A,BU78*MGtoAF)</f>
        <v>616.98161777777784</v>
      </c>
      <c r="BX78" s="560">
        <f>Sheet1!BC80+Sheet1!BD80+Sheet1!BE80+Sheet1!BF80-CG78-CH78</f>
        <v>2.4900000000000002</v>
      </c>
      <c r="BY78" s="560">
        <f t="shared" si="193"/>
        <v>2.4861455108359132</v>
      </c>
      <c r="BZ78" s="560">
        <f>IF(Sheet1!EQ80="FM",CH78,0)</f>
        <v>0</v>
      </c>
      <c r="CA78" s="560">
        <f t="shared" si="194"/>
        <v>0</v>
      </c>
      <c r="CB78" s="560">
        <f>IF(Sheet1!EQ80="OTHER",CH78,0)</f>
        <v>0</v>
      </c>
      <c r="CC78" s="560">
        <f t="shared" si="195"/>
        <v>0</v>
      </c>
      <c r="CD78" s="560">
        <f t="shared" si="196"/>
        <v>0</v>
      </c>
      <c r="CE78" s="560">
        <f t="shared" si="197"/>
        <v>2.4900000000000002</v>
      </c>
      <c r="CF78" s="560">
        <f t="shared" si="198"/>
        <v>2.4861455108359132</v>
      </c>
      <c r="CG78" s="560">
        <f>IF(Sheet1!EQ80="CWA",SUM(Sheet1!BC80:'Sheet1'!BF80),0)</f>
        <v>0</v>
      </c>
      <c r="CH78" s="560">
        <f>IF(OR(Sheet1!EQ80="FM", Sheet1!EQ80="OTHER"),SUM(Sheet1!BC80:'Sheet1'!BF80),0)</f>
        <v>0</v>
      </c>
      <c r="CI78" s="545">
        <f>IF(AND($B78&gt;=$FV78,$B78&lt;=$FW78),MAX(CF78,Sheet1!EJ80,0),MAX(CF78-(7/36)*$K78,0))</f>
        <v>0</v>
      </c>
      <c r="CJ78" s="560">
        <f t="shared" si="199"/>
        <v>10.082743378052976</v>
      </c>
      <c r="CK78" s="545">
        <f t="shared" si="200"/>
        <v>2.4861455108359132</v>
      </c>
      <c r="CL78" s="545">
        <f>IF(AND($O78&gt;0,Sheet1!EN80=1),(1-($O78-Sheet1!$L80)/$O78)*CF78,0)</f>
        <v>0</v>
      </c>
      <c r="CM78" s="545">
        <f>IF(AND(Sheet1!$L80=0,Sheet1!$L79=0, Calculation!CE78&lt;Sheet1!EJ80-0.1,Sheet1!EJ80=Sheet1!EJ79,Sheet1!EJ80=Sheet1!EJ81),Sheet1!EJ80,CF78-CL78)</f>
        <v>2.4861455108359132</v>
      </c>
      <c r="CN78" s="545"/>
      <c r="CO78" s="560"/>
      <c r="CP78" s="560">
        <f t="shared" si="201"/>
        <v>161.28233291365282</v>
      </c>
      <c r="CQ78" s="560"/>
      <c r="CR78" s="560">
        <f ca="1">IF(B78&gt;Summary!$A$1,#N/A,CP78*MGtoAF)</f>
        <v>494.81419737908686</v>
      </c>
      <c r="CS78" s="560">
        <f>Sheet1!BK80+Sheet1!BL80+Sheet1!BM80-Sheet1!ER80-DA78</f>
        <v>6.04</v>
      </c>
      <c r="CT78" s="560">
        <f t="shared" si="202"/>
        <v>6.030650154798761</v>
      </c>
      <c r="CU78" s="560">
        <f>IF(Sheet1!ER80="FM",DA78,0)</f>
        <v>0</v>
      </c>
      <c r="CV78" s="560">
        <f t="shared" si="203"/>
        <v>0</v>
      </c>
      <c r="CW78" s="560">
        <f>IF(Sheet1!ER80="OTHER",DA78,0)</f>
        <v>0</v>
      </c>
      <c r="CX78" s="560">
        <f t="shared" si="204"/>
        <v>0</v>
      </c>
      <c r="CY78" s="560">
        <f t="shared" si="205"/>
        <v>6.04</v>
      </c>
      <c r="CZ78" s="560">
        <f t="shared" si="206"/>
        <v>6.030650154798761</v>
      </c>
      <c r="DA78" s="560">
        <f>IF(OR(Sheet1!ER80="FM", Sheet1!ER80="OTHER"),SUM(Sheet1!BK80:'Sheet1'!BM80),0)</f>
        <v>0</v>
      </c>
      <c r="DB78" s="545">
        <f>IF(AND($B78&gt;=$FV78,$B78&lt;=$FW78),MAX($CT78,Sheet1!EK80,0),MAX($CT78-(7/36)*$K78,0))</f>
        <v>0</v>
      </c>
      <c r="DC78" s="560">
        <f t="shared" si="207"/>
        <v>6.538238734090128</v>
      </c>
      <c r="DD78" s="545">
        <f t="shared" si="208"/>
        <v>6.030650154798761</v>
      </c>
      <c r="DE78" s="545">
        <f>IF(AND($O78&gt;0,Sheet1!EO80=1),(1-($O78-Sheet1!$L80)/$O78)*CZ78,0)</f>
        <v>0</v>
      </c>
      <c r="DF78" s="545">
        <f>IF(AND(Sheet1!$L80=0,Sheet1!$L79=0, Calculation!CY78&lt;Sheet1!$EK80-0.1,Sheet1!$EK80=Sheet1!$EK79,Sheet1!$EK80=Sheet1!$EK81),Sheet1!$EK80,CZ78-DE78)</f>
        <v>6.030650154798761</v>
      </c>
      <c r="DG78" s="545"/>
      <c r="DH78" s="560">
        <f t="shared" si="209"/>
        <v>8.5300000000000011</v>
      </c>
      <c r="DI78" s="560">
        <f t="shared" si="210"/>
        <v>124.83084147950694</v>
      </c>
      <c r="DJ78" s="698">
        <f t="shared" si="211"/>
        <v>8.5167956656346746</v>
      </c>
      <c r="DK78" s="560">
        <f ca="1">IF(B78&gt;Summary!$A$1,#N/A,DI78*MGtoAF)</f>
        <v>382.98102165912729</v>
      </c>
      <c r="DL78" s="698">
        <f t="shared" si="212"/>
        <v>8.5300000000000011</v>
      </c>
      <c r="DM78" s="560">
        <f t="shared" si="213"/>
        <v>25.840000000000003</v>
      </c>
      <c r="DN78" s="560">
        <f>Sheet1!AB80-DM78</f>
        <v>-4.00000000000027E-2</v>
      </c>
      <c r="DO78" s="823">
        <f t="shared" si="214"/>
        <v>-1.5479876160991756E-3</v>
      </c>
      <c r="DP78" s="560">
        <f>(VLOOKUP(Sheet1!DC80,hhdcap_wcm,4)-(((VLOOKUP(Sheet1!DC80,hhdcap_wcm,3)-Sheet1!DC80)/(VLOOKUP(Sheet1!DC80,hhdcap_wcm,3)-VLOOKUP(Sheet1!DC80,hhdcap_wcm,1)))*(VLOOKUP(Sheet1!DC80,hhdcap_wcm,4)-VLOOKUP(Sheet1!DC80,hhdcap_wcm,2))))</f>
        <v>8681.0000000185537</v>
      </c>
      <c r="DQ78" s="560">
        <f t="shared" si="215"/>
        <v>201.00000000069485</v>
      </c>
      <c r="DR78" s="560">
        <f t="shared" si="216"/>
        <v>101.36157337402663</v>
      </c>
      <c r="DS78" s="560">
        <f>Sheet1!EA80*AFtoMG</f>
        <v>0</v>
      </c>
      <c r="DT78" s="560">
        <f>Sheet1!EB80*AFtoMG</f>
        <v>0</v>
      </c>
      <c r="DU78" s="560">
        <f>Sheet1!EC80*AFtoMG</f>
        <v>0</v>
      </c>
      <c r="DV78" s="560">
        <f>Sheet1!ED80*AFtoMG</f>
        <v>0</v>
      </c>
      <c r="DW78" s="560">
        <f t="shared" si="217"/>
        <v>0</v>
      </c>
      <c r="DX78" s="560">
        <f t="shared" si="218"/>
        <v>0</v>
      </c>
      <c r="DY78" s="560">
        <f t="shared" si="219"/>
        <v>918.1487299487153</v>
      </c>
      <c r="DZ78" s="560">
        <f t="shared" si="220"/>
        <v>2816.8803034826587</v>
      </c>
      <c r="EA78" s="560"/>
      <c r="EB78" s="545">
        <f>IF(OR(B78&lt;FV78,B78&gt;FW78),(MIN(BF78+BY78+CT78+MAX(Sheet1!AA80+AQ78-73,0),K78)),0)</f>
        <v>8.5167956656346746</v>
      </c>
      <c r="EC78" s="560"/>
      <c r="ED78" s="560">
        <f t="shared" si="221"/>
        <v>8.5167956656346746</v>
      </c>
      <c r="EE78" s="560"/>
      <c r="EF78" s="560">
        <f>Sheet1!EH80+Sheet1!EI80+Sheet1!EJ80+Sheet1!EK80</f>
        <v>8.5300000000000011</v>
      </c>
      <c r="EG78" s="560"/>
      <c r="EH78" s="545">
        <f t="shared" si="222"/>
        <v>0</v>
      </c>
      <c r="EI78" s="560">
        <f>IF(Sheet1!ET80=1,SUM('Calculations II'!AT78:BA78)+'Calculations II'!BC78+Sheet1!BV80+'Calculations II'!BE78+AP78,SUM('Calculations II'!AT78:BA78)+'Calculations II'!BC78+Sheet1!BV80+'Calculations II'!BE78+AP78)</f>
        <v>47.769968000000006</v>
      </c>
      <c r="EJ78" s="560">
        <f>Sheet1!AA80+Sheet1!AB80+'Calculations II'!BC78</f>
        <v>54.523295999999995</v>
      </c>
      <c r="EK78" s="560"/>
      <c r="EL78" s="560"/>
      <c r="EM78" s="560">
        <f t="shared" si="223"/>
        <v>41706</v>
      </c>
      <c r="EN78" s="560">
        <f t="shared" si="224"/>
        <v>56.123204334365326</v>
      </c>
      <c r="EO78" s="560">
        <f t="shared" si="225"/>
        <v>86.822597105263156</v>
      </c>
      <c r="EP78" s="560">
        <v>0</v>
      </c>
      <c r="EQ78" s="560">
        <v>0</v>
      </c>
      <c r="ER78" s="560">
        <v>0</v>
      </c>
      <c r="ES78" s="545">
        <f t="shared" si="247"/>
        <v>-1.3852963645543903</v>
      </c>
      <c r="ET78" s="560">
        <f>-(VLOOKUP(Sheet1!BQ80,Lookup!$O$4:$Q$262,2)-VLOOKUP(Sheet1!BQ79,Lookup!$O$4:$Q$262,2))/1000000</f>
        <v>-0.69264818227719516</v>
      </c>
      <c r="EU78" s="560">
        <f>-(VLOOKUP(Sheet1!BR80,Lookup!$O$4:$Q$262,3)-VLOOKUP(Sheet1!BR79,Lookup!$O$4:$Q$262,3))/1000000</f>
        <v>-0.69264818227719516</v>
      </c>
      <c r="EV78" s="560"/>
      <c r="EW78" s="560"/>
      <c r="EX78" s="560"/>
      <c r="EY78" s="560"/>
      <c r="EZ78" s="560"/>
      <c r="FA78" s="560"/>
      <c r="FB78" s="560"/>
      <c r="FC78" s="560"/>
      <c r="FD78" s="594" t="e">
        <f t="shared" si="226"/>
        <v>#N/A</v>
      </c>
      <c r="FE78" s="594" t="e">
        <f t="shared" si="227"/>
        <v>#N/A</v>
      </c>
      <c r="FF78" s="595" t="e">
        <f t="shared" si="228"/>
        <v>#N/A</v>
      </c>
      <c r="FG78" s="596" t="s">
        <v>692</v>
      </c>
      <c r="FH78" s="596" t="s">
        <v>692</v>
      </c>
      <c r="FI78" s="594" t="e">
        <v>#N/A</v>
      </c>
      <c r="FJ78" s="594" t="e">
        <v>#N/A</v>
      </c>
      <c r="FK78" s="560"/>
      <c r="FL78" s="560"/>
      <c r="FM78" s="560"/>
      <c r="FN78" s="560"/>
      <c r="FO78" s="560">
        <f>O78+((Sheet1!CS80)*GPMtoMGD)</f>
        <v>54.523295999999995</v>
      </c>
      <c r="FP78" s="560">
        <f>IF(Sheet1!AA80+AQ78&lt;=Calculation!N78,AQ78,Calculation!N78-Sheet1!AA80)</f>
        <v>16.274767801857585</v>
      </c>
      <c r="FQ78" s="560">
        <f>(Sheet1!BP80+Sheet1!BO80)/694.4</f>
        <v>1.4906394009216588</v>
      </c>
      <c r="FR78" s="560"/>
      <c r="FS78" s="560"/>
      <c r="FT78" s="560"/>
      <c r="FU78" s="560"/>
      <c r="FV78" s="695">
        <f t="shared" si="248"/>
        <v>41827</v>
      </c>
      <c r="FW78" s="695">
        <f t="shared" si="249"/>
        <v>41934</v>
      </c>
      <c r="FX78" s="560"/>
      <c r="FY78" s="560"/>
      <c r="FZ78" s="560"/>
      <c r="GA78" s="560"/>
      <c r="GB78" s="560" t="str">
        <f t="shared" si="250"/>
        <v>n</v>
      </c>
      <c r="GC78" s="564">
        <f t="shared" si="251"/>
        <v>41691</v>
      </c>
      <c r="GD78" s="695">
        <f t="shared" si="252"/>
        <v>41807</v>
      </c>
      <c r="GE78" s="560">
        <v>6518.9</v>
      </c>
      <c r="GF78" s="695">
        <f t="shared" si="253"/>
        <v>41808</v>
      </c>
      <c r="GG78" s="560">
        <f t="shared" si="163"/>
        <v>3259</v>
      </c>
      <c r="GH78" s="564">
        <f t="shared" si="254"/>
        <v>41934</v>
      </c>
      <c r="GJ78" s="545">
        <f t="shared" si="255"/>
        <v>0</v>
      </c>
      <c r="GK78" s="560" t="str">
        <f t="shared" si="229"/>
        <v/>
      </c>
      <c r="GL78" s="560">
        <f t="shared" si="256"/>
        <v>0</v>
      </c>
      <c r="GM78" s="560" t="str">
        <f t="shared" si="257"/>
        <v/>
      </c>
      <c r="GN78" s="560">
        <f>IF(GK78="P",Lookup!$M$12,IF(GK78="PP",Lookup!$M$13,IF(GK78="PPP",Lookup!$M$14,IF(GK78="T",Lookup!$M$15,IF(GK78="TP",Lookup!$M$16,IF(GK78="TPP",Lookup!$M$17,IF(GK78="TPPP",Lookup!$M$18,0)))))))*GJ78</f>
        <v>0</v>
      </c>
      <c r="GO78" s="560">
        <f t="shared" si="258"/>
        <v>0</v>
      </c>
      <c r="GP78" s="560">
        <f t="shared" si="230"/>
        <v>1322.1034666666667</v>
      </c>
      <c r="GQ78" s="560">
        <f t="shared" si="266"/>
        <v>430.93333333333334</v>
      </c>
      <c r="GR78" s="560"/>
      <c r="GS78" s="560">
        <f t="shared" si="259"/>
        <v>0</v>
      </c>
      <c r="GT78" s="560" t="str">
        <f t="shared" si="260"/>
        <v/>
      </c>
      <c r="GU78" s="560">
        <f>IF(GK78="P",Lookup!$N$12,IF(GK78="PP",Lookup!$N$13,IF(GK78="PPP",Lookup!$N$14,IF(GK78="T",Lookup!$N$15,IF(GK78="TP",Lookup!$N$16,IF(GK78="TPP",Lookup!$N$17,IF(GK78="TPPP",Lookup!$N$18,0)))))))*GJ78</f>
        <v>0</v>
      </c>
      <c r="GV78" s="560">
        <f t="shared" si="261"/>
        <v>0</v>
      </c>
      <c r="GW78" s="560">
        <f t="shared" si="231"/>
        <v>616.98161777777784</v>
      </c>
      <c r="GX78" s="560">
        <f t="shared" si="267"/>
        <v>201.10222222222225</v>
      </c>
      <c r="GY78" s="560"/>
      <c r="GZ78" s="560">
        <f t="shared" si="262"/>
        <v>0</v>
      </c>
      <c r="HA78" s="560" t="str">
        <f t="shared" si="263"/>
        <v/>
      </c>
      <c r="HB78" s="560">
        <f>IF(GK78="P",Lookup!$N$12,IF(GK78="PP",Lookup!$N$13,IF(GK78="PPP",Lookup!$N$14,IF(GK78="T",Lookup!$N$15,IF(GK78="TP",Lookup!$N$16,IF(GK78="TPP",Lookup!$N$17,IF(GK78="TPPP",Lookup!$N$18,0)))))))*GJ78</f>
        <v>0</v>
      </c>
      <c r="HC78" s="545">
        <f t="shared" si="232"/>
        <v>0</v>
      </c>
      <c r="HD78" s="560">
        <f t="shared" si="233"/>
        <v>494.81419737908686</v>
      </c>
      <c r="HE78" s="560">
        <f t="shared" si="268"/>
        <v>161.28233291365282</v>
      </c>
      <c r="HF78" s="560"/>
      <c r="HG78" s="560">
        <f t="shared" si="264"/>
        <v>0</v>
      </c>
      <c r="HH78" s="560" t="str">
        <f t="shared" si="265"/>
        <v/>
      </c>
      <c r="HI78" s="560">
        <f>IF(GK78="P",Lookup!$N$12,IF(GK78="PP",Lookup!$N$13,IF(GK78="PPP",Lookup!$N$14,IF(GK78="T",Lookup!$N$15,IF(GK78="TP",Lookup!$N$16,IF(GK78="TPP",Lookup!$N$17,IF(GK78="TPPP",Lookup!$N$18,0)))))))*GJ78</f>
        <v>0</v>
      </c>
      <c r="HJ78" s="545">
        <f t="shared" si="234"/>
        <v>0</v>
      </c>
      <c r="HK78" s="560">
        <f t="shared" si="235"/>
        <v>382.98102165912729</v>
      </c>
      <c r="HL78" s="560">
        <f t="shared" si="269"/>
        <v>124.83084147950694</v>
      </c>
      <c r="HM78" s="560"/>
    </row>
    <row r="79" spans="1:272">
      <c r="A79" s="580" t="s">
        <v>3</v>
      </c>
      <c r="B79" s="556">
        <v>41707</v>
      </c>
      <c r="C79" s="561">
        <v>0</v>
      </c>
      <c r="D79" s="529">
        <f t="shared" si="103"/>
        <v>300</v>
      </c>
      <c r="E79" s="529">
        <f t="shared" si="104"/>
        <v>250</v>
      </c>
      <c r="F79" s="529">
        <v>250</v>
      </c>
      <c r="G79" s="560">
        <f>DR79+Sheet1!CZ81</f>
        <v>8963.2324760542306</v>
      </c>
      <c r="H79" s="914">
        <f t="shared" si="236"/>
        <v>5526.8702725214544</v>
      </c>
      <c r="I79" s="559">
        <f>MAX(Sheet1!Z81-AT79+(Sheet1!DA81-E79)*CFStoMGD,0)</f>
        <v>5558.9840000000004</v>
      </c>
      <c r="J79" s="562">
        <f>IF(AND(B79&gt;=Calculation!GC79,B79&lt;=Calculation!GD79),IF(Sheet1!DB81&gt;=Calculation!D79,64.64,0),MAX(Sheet1!Z81-AT79+(Sheet1!DB81-D79)*CFStoMGD,0))</f>
        <v>64.64</v>
      </c>
      <c r="K79" s="904">
        <f t="shared" si="171"/>
        <v>64.64</v>
      </c>
      <c r="L79" s="560">
        <f>Sheet1!AA81+Sheet1!AB81-Sheet1!L81+(Sheet1!DA81-F79)*CFStoMGD</f>
        <v>5533.1840000000002</v>
      </c>
      <c r="M79" s="560">
        <f t="shared" si="172"/>
        <v>5909.7101419718838</v>
      </c>
      <c r="N79" s="910">
        <f>IF(Sheet1!DA81&gt;=F79,MIN(73,MIN(MAX(L79,0),MAX(M79,0))),0)</f>
        <v>73</v>
      </c>
      <c r="O79" s="563">
        <f>Sheet1!AA81+Sheet1!AB81</f>
        <v>46.9</v>
      </c>
      <c r="P79" s="563">
        <f t="shared" si="173"/>
        <v>72.554299999999998</v>
      </c>
      <c r="Q79" s="898">
        <f t="shared" si="237"/>
        <v>38.44</v>
      </c>
      <c r="R79" s="829">
        <f t="shared" si="174"/>
        <v>8.5059782608695649</v>
      </c>
      <c r="S79" s="898">
        <f t="shared" si="238"/>
        <v>8.4600000000000009</v>
      </c>
      <c r="T79" s="898">
        <f t="shared" si="239"/>
        <v>56.18</v>
      </c>
      <c r="U79" s="898">
        <f t="shared" si="240"/>
        <v>0</v>
      </c>
      <c r="V79" s="898"/>
      <c r="W79" s="898">
        <f t="shared" si="241"/>
        <v>56.134021739130432</v>
      </c>
      <c r="X79" s="898">
        <f>S79+T79</f>
        <v>64.64</v>
      </c>
      <c r="Y79" s="898" t="str">
        <f t="shared" si="243"/>
        <v>FALSE</v>
      </c>
      <c r="Z79" s="898">
        <f t="shared" si="244"/>
        <v>46.9</v>
      </c>
      <c r="AA79" s="898">
        <f t="shared" si="245"/>
        <v>46.9</v>
      </c>
      <c r="AB79" s="898" t="str">
        <f t="shared" si="246"/>
        <v/>
      </c>
      <c r="AC79" s="563">
        <f>Sheet1!Y81*MGDtoCFS</f>
        <v>32.487000000000002</v>
      </c>
      <c r="AD79" s="563">
        <f>Sheet1!Z81*MGDtoCFS</f>
        <v>39.912599999999998</v>
      </c>
      <c r="AE79" s="563">
        <f>Sheet1!AA81*MGDtoCFS</f>
        <v>32.487000000000002</v>
      </c>
      <c r="AF79" s="563">
        <f>Sheet1!AB81*MGDtoCFS</f>
        <v>40.067299999999996</v>
      </c>
      <c r="AG79" s="563">
        <f>Sheet1!L81*MGDtoCFS</f>
        <v>72.554299999999998</v>
      </c>
      <c r="AH79" s="545">
        <f t="shared" si="175"/>
        <v>0</v>
      </c>
      <c r="AI79" s="560">
        <f t="shared" si="176"/>
        <v>0</v>
      </c>
      <c r="AJ79" s="560">
        <f t="shared" si="177"/>
        <v>56.134021739130432</v>
      </c>
      <c r="AK79" s="560">
        <f t="shared" si="178"/>
        <v>86.839331630434771</v>
      </c>
      <c r="AL79" s="560">
        <f>(VLOOKUP(Sheet1!DC81,hhdcap_wcm,4)-(((VLOOKUP(Sheet1!DC81,hhdcap_wcm,3)-Sheet1!DC81)/(VLOOKUP(Sheet1!DC81,hhdcap_wcm,3)-VLOOKUP(Sheet1!DC81,hhdcap_wcm,1)))*(VLOOKUP(Sheet1!DC81,hhdcap_wcm,4)-VLOOKUP(Sheet1!DC81,hhdcap_wcm,2))))</f>
        <v>14299.300000034093</v>
      </c>
      <c r="AM79" s="560">
        <f t="shared" si="179"/>
        <v>5618.3000000155389</v>
      </c>
      <c r="AN79" s="560">
        <f t="shared" si="180"/>
        <v>974.2827516878458</v>
      </c>
      <c r="AO79" s="560">
        <f t="shared" si="181"/>
        <v>2989.0994821783111</v>
      </c>
      <c r="AP79" s="560">
        <f>Sheet1!BA81+Sheet1!BB81+Sheet1!BN81+CD79</f>
        <v>17.3</v>
      </c>
      <c r="AQ79" s="560">
        <f>Sheet1!BN81+(DO79*Sheet1!BN81)</f>
        <v>16.388586956521738</v>
      </c>
      <c r="AR79" s="560">
        <f>Sheet1!BA81+CD79</f>
        <v>0</v>
      </c>
      <c r="AS79" s="560">
        <f>Sheet1!BA81+Sheet1!BB81+CD79</f>
        <v>1</v>
      </c>
      <c r="AT79" s="698">
        <f>0</f>
        <v>0</v>
      </c>
      <c r="AU79" s="560">
        <f>IF(EB79&lt;K79,0,MAX(Sheet1!AA81+AQ79-15/36*K79-N79,Sheet1!EH81,0))</f>
        <v>0</v>
      </c>
      <c r="AV79" s="560">
        <f>IF(OR(B79&gt;=GD79,B79&lt;GC79),0,15/36*K79-MAX(0,64.6-(137.6-(Sheet1!AA81+Sheet1!AB81))))</f>
        <v>26.933333333333334</v>
      </c>
      <c r="AW79" s="698">
        <f>Sheet1!DB81-110</f>
        <v>5550</v>
      </c>
      <c r="AX79" s="698">
        <f>Sheet1!DA81-265</f>
        <v>8545</v>
      </c>
      <c r="AY79" s="698">
        <f t="shared" si="182"/>
        <v>34.56</v>
      </c>
      <c r="AZ79" s="698">
        <v>0</v>
      </c>
      <c r="BA79" s="698">
        <f t="shared" si="183"/>
        <v>0</v>
      </c>
      <c r="BB79" s="560">
        <f t="shared" si="184"/>
        <v>457.86666666666667</v>
      </c>
      <c r="BC79" s="560"/>
      <c r="BD79" s="560">
        <f ca="1">IF(B79&gt;Summary!$A$1,#N/A,BB79*MGtoAF)</f>
        <v>1404.7349333333334</v>
      </c>
      <c r="BE79" s="560">
        <f>Sheet1!BG81+Sheet1!BH81+Sheet1!BI81-BM79</f>
        <v>0</v>
      </c>
      <c r="BF79" s="560">
        <f t="shared" si="185"/>
        <v>0</v>
      </c>
      <c r="BG79" s="560">
        <f>IF(Sheet1!EP81="FM",BM79,0)</f>
        <v>0</v>
      </c>
      <c r="BH79" s="560">
        <f t="shared" si="186"/>
        <v>0</v>
      </c>
      <c r="BI79" s="560">
        <f>IF(Sheet1!EP81="OTHER",BM79,0)</f>
        <v>0</v>
      </c>
      <c r="BJ79" s="560">
        <f t="shared" si="187"/>
        <v>0</v>
      </c>
      <c r="BK79" s="560">
        <f t="shared" si="188"/>
        <v>0</v>
      </c>
      <c r="BL79" s="560">
        <f t="shared" si="189"/>
        <v>0</v>
      </c>
      <c r="BM79" s="560">
        <f>IF(OR(Sheet1!EP81="FM", Sheet1!EP81="OTHER"),SUM(Sheet1!BG81:'Sheet1'!BI81),0)</f>
        <v>0</v>
      </c>
      <c r="BN79" s="545">
        <f>IF(AND($B79&gt;=$FV79,$B79&lt;=$FW79),MAX(BF79,Sheet1!EI81,0),MAX(BF79-(7/36)*$K79,0))</f>
        <v>0</v>
      </c>
      <c r="BO79" s="560">
        <f t="shared" si="190"/>
        <v>12.568888888888889</v>
      </c>
      <c r="BP79" s="545">
        <f t="shared" si="191"/>
        <v>0</v>
      </c>
      <c r="BQ79" s="545">
        <f>IF(AND($O79&gt;0,Sheet1!EM81=1),(1-($O79-Sheet1!$L81)/$O79)*BL79,0)</f>
        <v>0</v>
      </c>
      <c r="BR79" s="545">
        <f>IF(AND(Sheet1!$L81=0,Sheet1!$L80=0, Calculation!BK79&lt;Sheet1!$EI81-0.1,Sheet1!$EI81=Sheet1!$EI80,Sheet1!$EI81=Sheet1!$EI82),Sheet1!$EI81,BL79-BQ79)</f>
        <v>0</v>
      </c>
      <c r="BS79" s="560"/>
      <c r="BT79" s="560"/>
      <c r="BU79" s="560">
        <f t="shared" si="192"/>
        <v>213.67111111111114</v>
      </c>
      <c r="BV79" s="560"/>
      <c r="BW79" s="560">
        <f ca="1">IF(B79&gt;Summary!$A$1,#N/A,BU79*MGtoAF)</f>
        <v>655.54296888888905</v>
      </c>
      <c r="BX79" s="560">
        <f>Sheet1!BC81+Sheet1!BD81+Sheet1!BE81+Sheet1!BF81-CG79-CH79</f>
        <v>2.3899999999999997</v>
      </c>
      <c r="BY79" s="560">
        <f t="shared" si="193"/>
        <v>2.4029891304347819</v>
      </c>
      <c r="BZ79" s="560">
        <f>IF(Sheet1!EQ81="FM",CH79,0)</f>
        <v>0</v>
      </c>
      <c r="CA79" s="560">
        <f t="shared" si="194"/>
        <v>0</v>
      </c>
      <c r="CB79" s="560">
        <f>IF(Sheet1!EQ81="OTHER",CH79,0)</f>
        <v>0</v>
      </c>
      <c r="CC79" s="560">
        <f t="shared" si="195"/>
        <v>0</v>
      </c>
      <c r="CD79" s="560">
        <f t="shared" si="196"/>
        <v>0</v>
      </c>
      <c r="CE79" s="560">
        <f t="shared" si="197"/>
        <v>2.3899999999999997</v>
      </c>
      <c r="CF79" s="560">
        <f t="shared" si="198"/>
        <v>2.4029891304347819</v>
      </c>
      <c r="CG79" s="560">
        <f>IF(Sheet1!EQ81="CWA",SUM(Sheet1!BC81:'Sheet1'!BF81),0)</f>
        <v>0</v>
      </c>
      <c r="CH79" s="560">
        <f>IF(OR(Sheet1!EQ81="FM", Sheet1!EQ81="OTHER"),SUM(Sheet1!BC81:'Sheet1'!BF81),0)</f>
        <v>0</v>
      </c>
      <c r="CI79" s="545">
        <f>IF(AND($B79&gt;=$FV79,$B79&lt;=$FW79),MAX(CF79,Sheet1!EJ81,0),MAX(CF79-(7/36)*$K79,0))</f>
        <v>0</v>
      </c>
      <c r="CJ79" s="560">
        <f t="shared" si="199"/>
        <v>10.165899758454106</v>
      </c>
      <c r="CK79" s="545">
        <f t="shared" si="200"/>
        <v>2.4029891304347819</v>
      </c>
      <c r="CL79" s="545">
        <f>IF(AND($O79&gt;0,Sheet1!EN81=1),(1-($O79-Sheet1!$L81)/$O79)*CF79,0)</f>
        <v>0</v>
      </c>
      <c r="CM79" s="545">
        <f>IF(AND(Sheet1!$L81=0,Sheet1!$L80=0, Calculation!CE79&lt;Sheet1!EJ81-0.1,Sheet1!EJ81=Sheet1!EJ80,Sheet1!EJ81=Sheet1!EJ82),Sheet1!EJ81,CF79-CL79)</f>
        <v>2.4029891304347819</v>
      </c>
      <c r="CN79" s="545"/>
      <c r="CO79" s="560"/>
      <c r="CP79" s="560">
        <f t="shared" si="201"/>
        <v>171.44823267210694</v>
      </c>
      <c r="CQ79" s="560"/>
      <c r="CR79" s="560">
        <f ca="1">IF(B79&gt;Summary!$A$1,#N/A,CP79*MGtoAF)</f>
        <v>526.00317783802416</v>
      </c>
      <c r="CS79" s="560">
        <f>Sheet1!BK81+Sheet1!BL81+Sheet1!BM81-Sheet1!ER81-DA79</f>
        <v>6.07</v>
      </c>
      <c r="CT79" s="560">
        <f t="shared" si="202"/>
        <v>6.1029891304347821</v>
      </c>
      <c r="CU79" s="560">
        <f>IF(Sheet1!ER81="FM",DA79,0)</f>
        <v>0</v>
      </c>
      <c r="CV79" s="560">
        <f t="shared" si="203"/>
        <v>0</v>
      </c>
      <c r="CW79" s="560">
        <f>IF(Sheet1!ER81="OTHER",DA79,0)</f>
        <v>0</v>
      </c>
      <c r="CX79" s="560">
        <f t="shared" si="204"/>
        <v>0</v>
      </c>
      <c r="CY79" s="560">
        <f t="shared" si="205"/>
        <v>6.07</v>
      </c>
      <c r="CZ79" s="560">
        <f t="shared" si="206"/>
        <v>6.1029891304347821</v>
      </c>
      <c r="DA79" s="560">
        <f>IF(OR(Sheet1!ER81="FM", Sheet1!ER81="OTHER"),SUM(Sheet1!BK81:'Sheet1'!BM81),0)</f>
        <v>0</v>
      </c>
      <c r="DB79" s="545">
        <f>IF(AND($B79&gt;=$FV79,$B79&lt;=$FW79),MAX($CT79,Sheet1!EK81,0),MAX($CT79-(7/36)*$K79,0))</f>
        <v>0</v>
      </c>
      <c r="DC79" s="560">
        <f t="shared" si="207"/>
        <v>6.4658997584541069</v>
      </c>
      <c r="DD79" s="545">
        <f t="shared" si="208"/>
        <v>6.1029891304347821</v>
      </c>
      <c r="DE79" s="545">
        <f>IF(AND($O79&gt;0,Sheet1!EO81=1),(1-($O79-Sheet1!$L81)/$O79)*CZ79,0)</f>
        <v>0</v>
      </c>
      <c r="DF79" s="545">
        <f>IF(AND(Sheet1!$L81=0,Sheet1!$L80=0, Calculation!CY79&lt;Sheet1!$EK81-0.1,Sheet1!$EK81=Sheet1!$EK80,Sheet1!$EK81=Sheet1!$EK82),Sheet1!$EK81,CZ79-DE79)</f>
        <v>6.1029891304347821</v>
      </c>
      <c r="DG79" s="545"/>
      <c r="DH79" s="560">
        <f t="shared" si="209"/>
        <v>8.4600000000000009</v>
      </c>
      <c r="DI79" s="560">
        <f t="shared" si="210"/>
        <v>131.29674123796104</v>
      </c>
      <c r="DJ79" s="698">
        <f t="shared" si="211"/>
        <v>8.5059782608695649</v>
      </c>
      <c r="DK79" s="560">
        <f ca="1">IF(B79&gt;Summary!$A$1,#N/A,DI79*MGtoAF)</f>
        <v>402.81840211806451</v>
      </c>
      <c r="DL79" s="698">
        <f t="shared" si="212"/>
        <v>8.4600000000000009</v>
      </c>
      <c r="DM79" s="560">
        <f t="shared" si="213"/>
        <v>25.76</v>
      </c>
      <c r="DN79" s="560">
        <f>Sheet1!AB81-DM79</f>
        <v>0.13999999999999702</v>
      </c>
      <c r="DO79" s="823">
        <f t="shared" si="214"/>
        <v>5.4347826086955358E-3</v>
      </c>
      <c r="DP79" s="560">
        <f>(VLOOKUP(Sheet1!DC81,hhdcap_wcm,4)-(((VLOOKUP(Sheet1!DC81,hhdcap_wcm,3)-Sheet1!DC81)/(VLOOKUP(Sheet1!DC81,hhdcap_wcm,3)-VLOOKUP(Sheet1!DC81,hhdcap_wcm,1)))*(VLOOKUP(Sheet1!DC81,hhdcap_wcm,4)-VLOOKUP(Sheet1!DC81,hhdcap_wcm,2))))</f>
        <v>14299.300000034093</v>
      </c>
      <c r="DQ79" s="560">
        <f t="shared" si="215"/>
        <v>5618.3000000155389</v>
      </c>
      <c r="DR79" s="560">
        <f t="shared" si="216"/>
        <v>2833.2324760542301</v>
      </c>
      <c r="DS79" s="560">
        <f>Sheet1!EA81*AFtoMG</f>
        <v>0</v>
      </c>
      <c r="DT79" s="560">
        <f>Sheet1!EB81*AFtoMG</f>
        <v>0</v>
      </c>
      <c r="DU79" s="560">
        <f>Sheet1!EC81*AFtoMG</f>
        <v>0</v>
      </c>
      <c r="DV79" s="560">
        <f>Sheet1!ED81*AFtoMG</f>
        <v>0</v>
      </c>
      <c r="DW79" s="560">
        <f t="shared" si="217"/>
        <v>0</v>
      </c>
      <c r="DX79" s="560">
        <f t="shared" si="218"/>
        <v>0</v>
      </c>
      <c r="DY79" s="560">
        <f t="shared" si="219"/>
        <v>974.2827516878458</v>
      </c>
      <c r="DZ79" s="560">
        <f t="shared" si="220"/>
        <v>2989.0994821783111</v>
      </c>
      <c r="EA79" s="560"/>
      <c r="EB79" s="545">
        <f>IF(OR(B79&lt;FV79,B79&gt;FW79),(MIN(BF79+BY79+CT79+MAX(Sheet1!AA81+AQ79-73,0),K79)),0)</f>
        <v>8.5059782608695649</v>
      </c>
      <c r="EC79" s="560"/>
      <c r="ED79" s="560">
        <f t="shared" si="221"/>
        <v>8.5059782608695649</v>
      </c>
      <c r="EE79" s="560"/>
      <c r="EF79" s="560">
        <f>Sheet1!EH81+Sheet1!EI81+Sheet1!EJ81+Sheet1!EK81</f>
        <v>8.4600000000000009</v>
      </c>
      <c r="EG79" s="560"/>
      <c r="EH79" s="545">
        <f t="shared" si="222"/>
        <v>0</v>
      </c>
      <c r="EI79" s="560">
        <f>IF(Sheet1!ET81=1,SUM('Calculations II'!AT79:BA79)+'Calculations II'!BC79+Sheet1!BV81+'Calculations II'!BE79+AP79,SUM('Calculations II'!AT79:BA79)+'Calculations II'!BC79+Sheet1!BV81+'Calculations II'!BE79+AP79)</f>
        <v>48.940432000000001</v>
      </c>
      <c r="EJ79" s="560">
        <f>Sheet1!AA81+Sheet1!AB81+'Calculations II'!BC79</f>
        <v>55.847152000000001</v>
      </c>
      <c r="EK79" s="560"/>
      <c r="EL79" s="560"/>
      <c r="EM79" s="560">
        <f t="shared" si="223"/>
        <v>41707</v>
      </c>
      <c r="EN79" s="560">
        <f t="shared" si="224"/>
        <v>56.134021739130432</v>
      </c>
      <c r="EO79" s="560">
        <f t="shared" si="225"/>
        <v>86.839331630434771</v>
      </c>
      <c r="EP79" s="560">
        <v>0</v>
      </c>
      <c r="EQ79" s="560">
        <v>0</v>
      </c>
      <c r="ER79" s="560">
        <v>0</v>
      </c>
      <c r="ES79" s="545">
        <f t="shared" si="247"/>
        <v>-1.6627786787878125</v>
      </c>
      <c r="ET79" s="560">
        <f>-(VLOOKUP(Sheet1!BQ81,Lookup!$O$4:$Q$262,2)-VLOOKUP(Sheet1!BQ80,Lookup!$O$4:$Q$262,2))/1000000</f>
        <v>-0.83138933939390625</v>
      </c>
      <c r="EU79" s="560">
        <f>-(VLOOKUP(Sheet1!BR81,Lookup!$O$4:$Q$262,3)-VLOOKUP(Sheet1!BR80,Lookup!$O$4:$Q$262,3))/1000000</f>
        <v>-0.83138933939390625</v>
      </c>
      <c r="EV79" s="560"/>
      <c r="EW79" s="560"/>
      <c r="EX79" s="560"/>
      <c r="EY79" s="560"/>
      <c r="EZ79" s="560"/>
      <c r="FA79" s="560"/>
      <c r="FB79" s="560"/>
      <c r="FC79" s="560"/>
      <c r="FD79" s="594" t="e">
        <f t="shared" si="226"/>
        <v>#N/A</v>
      </c>
      <c r="FE79" s="594" t="e">
        <f t="shared" si="227"/>
        <v>#N/A</v>
      </c>
      <c r="FF79" s="595" t="e">
        <f t="shared" si="228"/>
        <v>#N/A</v>
      </c>
      <c r="FG79" s="596" t="s">
        <v>692</v>
      </c>
      <c r="FH79" s="596" t="s">
        <v>692</v>
      </c>
      <c r="FI79" s="594" t="e">
        <v>#N/A</v>
      </c>
      <c r="FJ79" s="594" t="e">
        <v>#N/A</v>
      </c>
      <c r="FK79" s="560"/>
      <c r="FL79" s="560"/>
      <c r="FM79" s="560"/>
      <c r="FN79" s="560"/>
      <c r="FO79" s="560">
        <f>O79+((Sheet1!CS81)*GPMtoMGD)</f>
        <v>55.847152000000001</v>
      </c>
      <c r="FP79" s="560">
        <f>IF(Sheet1!AA81+AQ79&lt;=Calculation!N79,AQ79,Calculation!N79-Sheet1!AA81)</f>
        <v>16.388586956521738</v>
      </c>
      <c r="FQ79" s="560">
        <f>(Sheet1!BP81+Sheet1!BO81)/694.4</f>
        <v>1.6769873271889402</v>
      </c>
      <c r="FR79" s="560"/>
      <c r="FS79" s="560"/>
      <c r="FT79" s="560"/>
      <c r="FU79" s="560"/>
      <c r="FV79" s="695">
        <f t="shared" si="248"/>
        <v>41827</v>
      </c>
      <c r="FW79" s="695">
        <f t="shared" si="249"/>
        <v>41934</v>
      </c>
      <c r="FX79" s="560"/>
      <c r="FY79" s="560"/>
      <c r="FZ79" s="560"/>
      <c r="GA79" s="560"/>
      <c r="GB79" s="560" t="str">
        <f t="shared" si="250"/>
        <v>n</v>
      </c>
      <c r="GC79" s="564">
        <f t="shared" si="251"/>
        <v>41691</v>
      </c>
      <c r="GD79" s="695">
        <f t="shared" si="252"/>
        <v>41807</v>
      </c>
      <c r="GE79" s="560">
        <v>6518.9</v>
      </c>
      <c r="GF79" s="695">
        <f t="shared" si="253"/>
        <v>41808</v>
      </c>
      <c r="GG79" s="560">
        <f t="shared" si="163"/>
        <v>3259</v>
      </c>
      <c r="GH79" s="564">
        <f t="shared" si="254"/>
        <v>41934</v>
      </c>
      <c r="GJ79" s="545">
        <f t="shared" si="255"/>
        <v>0</v>
      </c>
      <c r="GK79" s="560" t="str">
        <f t="shared" si="229"/>
        <v/>
      </c>
      <c r="GL79" s="560">
        <f t="shared" si="256"/>
        <v>0</v>
      </c>
      <c r="GM79" s="560" t="str">
        <f t="shared" si="257"/>
        <v/>
      </c>
      <c r="GN79" s="560">
        <f>IF(GK79="P",Lookup!$M$12,IF(GK79="PP",Lookup!$M$13,IF(GK79="PPP",Lookup!$M$14,IF(GK79="T",Lookup!$M$15,IF(GK79="TP",Lookup!$M$16,IF(GK79="TPP",Lookup!$M$17,IF(GK79="TPPP",Lookup!$M$18,0)))))))*GJ79</f>
        <v>0</v>
      </c>
      <c r="GO79" s="560">
        <f t="shared" si="258"/>
        <v>0</v>
      </c>
      <c r="GP79" s="560">
        <f t="shared" si="230"/>
        <v>1404.7349333333334</v>
      </c>
      <c r="GQ79" s="560">
        <f t="shared" si="266"/>
        <v>457.86666666666667</v>
      </c>
      <c r="GR79" s="560"/>
      <c r="GS79" s="560">
        <f t="shared" si="259"/>
        <v>0</v>
      </c>
      <c r="GT79" s="560" t="str">
        <f t="shared" si="260"/>
        <v/>
      </c>
      <c r="GU79" s="560">
        <f>IF(GK79="P",Lookup!$N$12,IF(GK79="PP",Lookup!$N$13,IF(GK79="PPP",Lookup!$N$14,IF(GK79="T",Lookup!$N$15,IF(GK79="TP",Lookup!$N$16,IF(GK79="TPP",Lookup!$N$17,IF(GK79="TPPP",Lookup!$N$18,0)))))))*GJ79</f>
        <v>0</v>
      </c>
      <c r="GV79" s="560">
        <f t="shared" si="261"/>
        <v>0</v>
      </c>
      <c r="GW79" s="560">
        <f t="shared" si="231"/>
        <v>655.54296888888905</v>
      </c>
      <c r="GX79" s="560">
        <f t="shared" si="267"/>
        <v>213.67111111111114</v>
      </c>
      <c r="GY79" s="560"/>
      <c r="GZ79" s="560">
        <f t="shared" si="262"/>
        <v>0</v>
      </c>
      <c r="HA79" s="560" t="str">
        <f t="shared" si="263"/>
        <v/>
      </c>
      <c r="HB79" s="560">
        <f>IF(GK79="P",Lookup!$N$12,IF(GK79="PP",Lookup!$N$13,IF(GK79="PPP",Lookup!$N$14,IF(GK79="T",Lookup!$N$15,IF(GK79="TP",Lookup!$N$16,IF(GK79="TPP",Lookup!$N$17,IF(GK79="TPPP",Lookup!$N$18,0)))))))*GJ79</f>
        <v>0</v>
      </c>
      <c r="HC79" s="545">
        <f t="shared" si="232"/>
        <v>0</v>
      </c>
      <c r="HD79" s="560">
        <f t="shared" si="233"/>
        <v>526.00317783802416</v>
      </c>
      <c r="HE79" s="560">
        <f t="shared" si="268"/>
        <v>171.44823267210694</v>
      </c>
      <c r="HF79" s="560"/>
      <c r="HG79" s="560">
        <f t="shared" si="264"/>
        <v>0</v>
      </c>
      <c r="HH79" s="560" t="str">
        <f t="shared" si="265"/>
        <v/>
      </c>
      <c r="HI79" s="560">
        <f>IF(GK79="P",Lookup!$N$12,IF(GK79="PP",Lookup!$N$13,IF(GK79="PPP",Lookup!$N$14,IF(GK79="T",Lookup!$N$15,IF(GK79="TP",Lookup!$N$16,IF(GK79="TPP",Lookup!$N$17,IF(GK79="TPPP",Lookup!$N$18,0)))))))*GJ79</f>
        <v>0</v>
      </c>
      <c r="HJ79" s="545">
        <f t="shared" si="234"/>
        <v>0</v>
      </c>
      <c r="HK79" s="560">
        <f t="shared" si="235"/>
        <v>402.81840211806451</v>
      </c>
      <c r="HL79" s="560">
        <f t="shared" si="269"/>
        <v>131.29674123796104</v>
      </c>
      <c r="HM79" s="560"/>
    </row>
    <row r="80" spans="1:272">
      <c r="A80" s="580" t="s">
        <v>4</v>
      </c>
      <c r="B80" s="556">
        <v>41708</v>
      </c>
      <c r="C80" s="561">
        <v>0</v>
      </c>
      <c r="D80" s="529">
        <f t="shared" si="103"/>
        <v>300</v>
      </c>
      <c r="E80" s="529">
        <f t="shared" si="104"/>
        <v>250</v>
      </c>
      <c r="F80" s="529">
        <v>250</v>
      </c>
      <c r="G80" s="560">
        <f>DR80+Sheet1!CZ82</f>
        <v>6154.4780635419429</v>
      </c>
      <c r="H80" s="914">
        <f t="shared" si="236"/>
        <v>3711.2914202735119</v>
      </c>
      <c r="I80" s="559">
        <f>MAX(Sheet1!Z82-AT80+(Sheet1!DA82-E80)*CFStoMGD,0)</f>
        <v>5642.0759999999991</v>
      </c>
      <c r="J80" s="562">
        <f>IF(AND(B80&gt;=Calculation!GC80,B80&lt;=Calculation!GD80),IF(Sheet1!DB82&gt;=Calculation!D80,64.64,0),MAX(Sheet1!Z82-AT80+(Sheet1!DB82-D80)*CFStoMGD,0))</f>
        <v>64.64</v>
      </c>
      <c r="K80" s="904">
        <f t="shared" si="171"/>
        <v>64.64</v>
      </c>
      <c r="L80" s="560">
        <f>Sheet1!AA82+Sheet1!AB82-Sheet1!L82+(Sheet1!DA82-F80)*CFStoMGD</f>
        <v>5617.2159999999994</v>
      </c>
      <c r="M80" s="560">
        <f t="shared" si="172"/>
        <v>4057.8197126789823</v>
      </c>
      <c r="N80" s="910">
        <f>IF(Sheet1!DA82&gt;=F80,MIN(73,MIN(MAX(L80,0),MAX(M80,0))),0)</f>
        <v>73</v>
      </c>
      <c r="O80" s="563">
        <f>Sheet1!AA82+Sheet1!AB82</f>
        <v>47.1</v>
      </c>
      <c r="P80" s="563">
        <f t="shared" si="173"/>
        <v>72.863699999999994</v>
      </c>
      <c r="Q80" s="898">
        <f t="shared" si="237"/>
        <v>38.57</v>
      </c>
      <c r="R80" s="829">
        <f t="shared" si="174"/>
        <v>8.5532063738826274</v>
      </c>
      <c r="S80" s="898">
        <f t="shared" si="238"/>
        <v>8.5300000000000011</v>
      </c>
      <c r="T80" s="898">
        <f t="shared" si="239"/>
        <v>56.11</v>
      </c>
      <c r="U80" s="898">
        <f t="shared" si="240"/>
        <v>0</v>
      </c>
      <c r="V80" s="898"/>
      <c r="W80" s="898">
        <f t="shared" si="241"/>
        <v>56.08679362611737</v>
      </c>
      <c r="X80" s="898">
        <f t="shared" si="242"/>
        <v>64.64</v>
      </c>
      <c r="Y80" s="898" t="str">
        <f t="shared" si="243"/>
        <v>FALSE</v>
      </c>
      <c r="Z80" s="898">
        <f t="shared" si="244"/>
        <v>47.1</v>
      </c>
      <c r="AA80" s="898">
        <f t="shared" si="245"/>
        <v>47.1</v>
      </c>
      <c r="AB80" s="898" t="str">
        <f t="shared" si="246"/>
        <v/>
      </c>
      <c r="AC80" s="563">
        <f>Sheet1!Y82*MGDtoCFS</f>
        <v>31.0947</v>
      </c>
      <c r="AD80" s="563">
        <f>Sheet1!Z82*MGDtoCFS</f>
        <v>38.458419999999997</v>
      </c>
      <c r="AE80" s="563">
        <f>Sheet1!AA82*MGDtoCFS</f>
        <v>32.951099999999997</v>
      </c>
      <c r="AF80" s="563">
        <f>Sheet1!AB82*MGDtoCFS</f>
        <v>39.912599999999998</v>
      </c>
      <c r="AG80" s="563">
        <f>Sheet1!L82*MGDtoCFS</f>
        <v>72.863699999999994</v>
      </c>
      <c r="AH80" s="545">
        <f t="shared" si="175"/>
        <v>0</v>
      </c>
      <c r="AI80" s="560">
        <f t="shared" si="176"/>
        <v>0</v>
      </c>
      <c r="AJ80" s="560">
        <f t="shared" si="177"/>
        <v>56.08679362611737</v>
      </c>
      <c r="AK80" s="560">
        <f t="shared" si="178"/>
        <v>86.766269739603572</v>
      </c>
      <c r="AL80" s="560">
        <f>(VLOOKUP(Sheet1!DC82,hhdcap_wcm,4)-(((VLOOKUP(Sheet1!DC82,hhdcap_wcm,3)-Sheet1!DC82)/(VLOOKUP(Sheet1!DC82,hhdcap_wcm,3)-VLOOKUP(Sheet1!DC82,hhdcap_wcm,1)))*(VLOOKUP(Sheet1!DC82,hhdcap_wcm,4)-VLOOKUP(Sheet1!DC82,hhdcap_wcm,2))))</f>
        <v>15379.000000037766</v>
      </c>
      <c r="AM80" s="560">
        <f t="shared" si="179"/>
        <v>1079.7000000036733</v>
      </c>
      <c r="AN80" s="560">
        <f t="shared" si="180"/>
        <v>1030.3695453139633</v>
      </c>
      <c r="AO80" s="560">
        <f t="shared" si="181"/>
        <v>3161.1737650232394</v>
      </c>
      <c r="AP80" s="560">
        <f>Sheet1!BA82+Sheet1!BB82+Sheet1!BN82+CD80</f>
        <v>17.2</v>
      </c>
      <c r="AQ80" s="560">
        <f>Sheet1!BN82+(DO80*Sheet1!BN82)</f>
        <v>16.244073066459386</v>
      </c>
      <c r="AR80" s="560">
        <f>Sheet1!BA82+CD80</f>
        <v>0</v>
      </c>
      <c r="AS80" s="560">
        <f>Sheet1!BA82+Sheet1!BB82+CD80</f>
        <v>1</v>
      </c>
      <c r="AT80" s="698">
        <f>0</f>
        <v>0</v>
      </c>
      <c r="AU80" s="560">
        <f>IF(EB80&lt;K80,0,MAX(Sheet1!AA82+AQ80-15/36*K80-N80,Sheet1!EH82,0))</f>
        <v>0</v>
      </c>
      <c r="AV80" s="560">
        <f>IF(OR(B80&gt;=GD80,B80&lt;GC80),0,15/36*K80-MAX(0,64.6-(137.6-(Sheet1!AA82+Sheet1!AB82))))</f>
        <v>26.933333333333334</v>
      </c>
      <c r="AW80" s="698">
        <f>Sheet1!DB82-110</f>
        <v>5110</v>
      </c>
      <c r="AX80" s="698">
        <f>Sheet1!DA82-265</f>
        <v>8675</v>
      </c>
      <c r="AY80" s="698">
        <f t="shared" si="182"/>
        <v>34.43</v>
      </c>
      <c r="AZ80" s="698">
        <v>0</v>
      </c>
      <c r="BA80" s="698">
        <f t="shared" si="183"/>
        <v>0</v>
      </c>
      <c r="BB80" s="560">
        <f t="shared" si="184"/>
        <v>484.8</v>
      </c>
      <c r="BC80" s="560"/>
      <c r="BD80" s="560">
        <f ca="1">IF(B80&gt;Summary!$A$1,#N/A,BB80*MGtoAF)</f>
        <v>1487.3664000000001</v>
      </c>
      <c r="BE80" s="560">
        <f>Sheet1!BG82+Sheet1!BH82+Sheet1!BI82-BM80</f>
        <v>0</v>
      </c>
      <c r="BF80" s="560">
        <f t="shared" si="185"/>
        <v>0</v>
      </c>
      <c r="BG80" s="560">
        <f>IF(Sheet1!EP82="FM",BM80,0)</f>
        <v>0</v>
      </c>
      <c r="BH80" s="560">
        <f t="shared" si="186"/>
        <v>0</v>
      </c>
      <c r="BI80" s="560">
        <f>IF(Sheet1!EP82="OTHER",BM80,0)</f>
        <v>0</v>
      </c>
      <c r="BJ80" s="560">
        <f t="shared" si="187"/>
        <v>0</v>
      </c>
      <c r="BK80" s="560">
        <f t="shared" si="188"/>
        <v>0</v>
      </c>
      <c r="BL80" s="560">
        <f t="shared" si="189"/>
        <v>0</v>
      </c>
      <c r="BM80" s="560">
        <f>IF(OR(Sheet1!EP82="FM", Sheet1!EP82="OTHER"),SUM(Sheet1!BG82:'Sheet1'!BI82),0)</f>
        <v>0</v>
      </c>
      <c r="BN80" s="545">
        <f>IF(AND($B80&gt;=$FV80,$B80&lt;=$FW80),MAX(BF80,Sheet1!EI82,0),MAX(BF80-(7/36)*$K80,0))</f>
        <v>0</v>
      </c>
      <c r="BO80" s="560">
        <f t="shared" si="190"/>
        <v>12.568888888888889</v>
      </c>
      <c r="BP80" s="545">
        <f t="shared" si="191"/>
        <v>0</v>
      </c>
      <c r="BQ80" s="545">
        <f>IF(AND($O80&gt;0,Sheet1!EM82=1),(1-($O80-Sheet1!$L82)/$O80)*BL80,0)</f>
        <v>0</v>
      </c>
      <c r="BR80" s="545">
        <f>IF(AND(Sheet1!$L82=0,Sheet1!$L81=0, Calculation!BK80&lt;Sheet1!$EI82-0.1,Sheet1!$EI82=Sheet1!$EI81,Sheet1!$EI82=Sheet1!$EI83),Sheet1!$EI82,BL80-BQ80)</f>
        <v>0</v>
      </c>
      <c r="BS80" s="560"/>
      <c r="BT80" s="560"/>
      <c r="BU80" s="560">
        <f t="shared" si="192"/>
        <v>226.24000000000004</v>
      </c>
      <c r="BV80" s="560"/>
      <c r="BW80" s="560">
        <f ca="1">IF(B80&gt;Summary!$A$1,#N/A,BU80*MGtoAF)</f>
        <v>694.10432000000014</v>
      </c>
      <c r="BX80" s="560">
        <f>Sheet1!BC82+Sheet1!BD82+Sheet1!BE82+Sheet1!BF82-CG80-CH80</f>
        <v>2.5</v>
      </c>
      <c r="BY80" s="560">
        <f t="shared" si="193"/>
        <v>2.5068013991449671</v>
      </c>
      <c r="BZ80" s="560">
        <f>IF(Sheet1!EQ82="FM",CH80,0)</f>
        <v>0</v>
      </c>
      <c r="CA80" s="560">
        <f t="shared" si="194"/>
        <v>0</v>
      </c>
      <c r="CB80" s="560">
        <f>IF(Sheet1!EQ82="OTHER",CH80,0)</f>
        <v>0</v>
      </c>
      <c r="CC80" s="560">
        <f t="shared" si="195"/>
        <v>0</v>
      </c>
      <c r="CD80" s="560">
        <f t="shared" si="196"/>
        <v>0</v>
      </c>
      <c r="CE80" s="560">
        <f t="shared" si="197"/>
        <v>2.5</v>
      </c>
      <c r="CF80" s="560">
        <f t="shared" si="198"/>
        <v>2.5068013991449671</v>
      </c>
      <c r="CG80" s="560">
        <f>IF(Sheet1!EQ82="CWA",SUM(Sheet1!BC82:'Sheet1'!BF82),0)</f>
        <v>0</v>
      </c>
      <c r="CH80" s="560">
        <f>IF(OR(Sheet1!EQ82="FM", Sheet1!EQ82="OTHER"),SUM(Sheet1!BC82:'Sheet1'!BF82),0)</f>
        <v>0</v>
      </c>
      <c r="CI80" s="545">
        <f>IF(AND($B80&gt;=$FV80,$B80&lt;=$FW80),MAX(CF80,Sheet1!EJ82,0),MAX(CF80-(7/36)*$K80,0))</f>
        <v>0</v>
      </c>
      <c r="CJ80" s="560">
        <f t="shared" si="199"/>
        <v>10.062087489743922</v>
      </c>
      <c r="CK80" s="545">
        <f t="shared" si="200"/>
        <v>2.5068013991449671</v>
      </c>
      <c r="CL80" s="545">
        <f>IF(AND($O80&gt;0,Sheet1!EN82=1),(1-($O80-Sheet1!$L82)/$O80)*CF80,0)</f>
        <v>0</v>
      </c>
      <c r="CM80" s="545">
        <f>IF(AND(Sheet1!$L82=0,Sheet1!$L81=0, Calculation!CE80&lt;Sheet1!EJ82-0.1,Sheet1!EJ82=Sheet1!EJ81,Sheet1!EJ82=Sheet1!EJ83),Sheet1!EJ82,CF80-CL80)</f>
        <v>2.5068013991449671</v>
      </c>
      <c r="CN80" s="545"/>
      <c r="CO80" s="560"/>
      <c r="CP80" s="560">
        <f t="shared" si="201"/>
        <v>181.51032016185087</v>
      </c>
      <c r="CQ80" s="560"/>
      <c r="CR80" s="560">
        <f ca="1">IF(B80&gt;Summary!$A$1,#N/A,CP80*MGtoAF)</f>
        <v>556.87366225655853</v>
      </c>
      <c r="CS80" s="560">
        <f>Sheet1!BK82+Sheet1!BL82+Sheet1!BM82-Sheet1!ER82-DA80</f>
        <v>6.03</v>
      </c>
      <c r="CT80" s="560">
        <f t="shared" si="202"/>
        <v>6.0464049747376603</v>
      </c>
      <c r="CU80" s="560">
        <f>IF(Sheet1!ER82="FM",DA80,0)</f>
        <v>0</v>
      </c>
      <c r="CV80" s="560">
        <f t="shared" si="203"/>
        <v>0</v>
      </c>
      <c r="CW80" s="560">
        <f>IF(Sheet1!ER82="OTHER",DA80,0)</f>
        <v>0</v>
      </c>
      <c r="CX80" s="560">
        <f t="shared" si="204"/>
        <v>0</v>
      </c>
      <c r="CY80" s="560">
        <f t="shared" si="205"/>
        <v>6.03</v>
      </c>
      <c r="CZ80" s="560">
        <f t="shared" si="206"/>
        <v>6.0464049747376603</v>
      </c>
      <c r="DA80" s="560">
        <f>IF(OR(Sheet1!ER82="FM", Sheet1!ER82="OTHER"),SUM(Sheet1!BK82:'Sheet1'!BM82),0)</f>
        <v>0</v>
      </c>
      <c r="DB80" s="545">
        <f>IF(AND($B80&gt;=$FV80,$B80&lt;=$FW80),MAX($CT80,Sheet1!EK82,0),MAX($CT80-(7/36)*$K80,0))</f>
        <v>0</v>
      </c>
      <c r="DC80" s="560">
        <f t="shared" si="207"/>
        <v>6.5224839141512287</v>
      </c>
      <c r="DD80" s="545">
        <f t="shared" si="208"/>
        <v>6.0464049747376603</v>
      </c>
      <c r="DE80" s="545">
        <f>IF(AND($O80&gt;0,Sheet1!EO82=1),(1-($O80-Sheet1!$L82)/$O80)*CZ80,0)</f>
        <v>0</v>
      </c>
      <c r="DF80" s="545">
        <f>IF(AND(Sheet1!$L82=0,Sheet1!$L81=0, Calculation!CY80&lt;Sheet1!$EK82-0.1,Sheet1!$EK82=Sheet1!$EK81,Sheet1!$EK82=Sheet1!$EK83),Sheet1!$EK82,CZ80-DE80)</f>
        <v>6.0464049747376603</v>
      </c>
      <c r="DG80" s="545"/>
      <c r="DH80" s="560">
        <f t="shared" si="209"/>
        <v>8.5300000000000011</v>
      </c>
      <c r="DI80" s="560">
        <f t="shared" si="210"/>
        <v>137.81922515211227</v>
      </c>
      <c r="DJ80" s="698">
        <f t="shared" si="211"/>
        <v>8.5532063738826274</v>
      </c>
      <c r="DK80" s="560">
        <f ca="1">IF(B80&gt;Summary!$A$1,#N/A,DI80*MGtoAF)</f>
        <v>422.82938276668045</v>
      </c>
      <c r="DL80" s="698">
        <f t="shared" si="212"/>
        <v>8.5300000000000011</v>
      </c>
      <c r="DM80" s="560">
        <f t="shared" si="213"/>
        <v>25.73</v>
      </c>
      <c r="DN80" s="560">
        <f>Sheet1!AB82-DM80</f>
        <v>7.0000000000000284E-2</v>
      </c>
      <c r="DO80" s="823">
        <f t="shared" si="214"/>
        <v>2.720559657986797E-3</v>
      </c>
      <c r="DP80" s="560">
        <f>(VLOOKUP(Sheet1!DC82,hhdcap_wcm,4)-(((VLOOKUP(Sheet1!DC82,hhdcap_wcm,3)-Sheet1!DC82)/(VLOOKUP(Sheet1!DC82,hhdcap_wcm,3)-VLOOKUP(Sheet1!DC82,hhdcap_wcm,1)))*(VLOOKUP(Sheet1!DC82,hhdcap_wcm,4)-VLOOKUP(Sheet1!DC82,hhdcap_wcm,2))))</f>
        <v>15379.000000037766</v>
      </c>
      <c r="DQ80" s="560">
        <f t="shared" si="215"/>
        <v>1079.7000000036733</v>
      </c>
      <c r="DR80" s="560">
        <f t="shared" si="216"/>
        <v>544.47806354194313</v>
      </c>
      <c r="DS80" s="560">
        <f>Sheet1!EA82*AFtoMG</f>
        <v>0</v>
      </c>
      <c r="DT80" s="560">
        <f>Sheet1!EB82*AFtoMG</f>
        <v>0</v>
      </c>
      <c r="DU80" s="560">
        <f>Sheet1!EC82*AFtoMG</f>
        <v>0</v>
      </c>
      <c r="DV80" s="560">
        <f>Sheet1!ED82*AFtoMG</f>
        <v>0</v>
      </c>
      <c r="DW80" s="560">
        <f t="shared" si="217"/>
        <v>0</v>
      </c>
      <c r="DX80" s="560">
        <f t="shared" si="218"/>
        <v>0</v>
      </c>
      <c r="DY80" s="560">
        <f t="shared" si="219"/>
        <v>1030.3695453139633</v>
      </c>
      <c r="DZ80" s="560">
        <f t="shared" si="220"/>
        <v>3161.1737650232394</v>
      </c>
      <c r="EA80" s="560"/>
      <c r="EB80" s="545">
        <f>IF(OR(B80&lt;FV80,B80&gt;FW80),(MIN(BF80+BY80+CT80+MAX(Sheet1!AA82+AQ80-73,0),K80)),0)</f>
        <v>8.5532063738826274</v>
      </c>
      <c r="EC80" s="560"/>
      <c r="ED80" s="560">
        <f t="shared" si="221"/>
        <v>8.5532063738826274</v>
      </c>
      <c r="EE80" s="560"/>
      <c r="EF80" s="560">
        <f>Sheet1!EH82+Sheet1!EI82+Sheet1!EJ82+Sheet1!EK82</f>
        <v>8.5300000000000011</v>
      </c>
      <c r="EG80" s="560"/>
      <c r="EH80" s="545">
        <f t="shared" si="222"/>
        <v>0</v>
      </c>
      <c r="EI80" s="560">
        <f>IF(Sheet1!ET82=1,SUM('Calculations II'!AT80:BA80)+'Calculations II'!BC80+Sheet1!BV82+'Calculations II'!BE80+AP80,SUM('Calculations II'!AT80:BA80)+'Calculations II'!BC80+Sheet1!BV82+'Calculations II'!BE80+AP80)</f>
        <v>47.748640000000002</v>
      </c>
      <c r="EJ80" s="560">
        <f>Sheet1!AA82+Sheet1!AB82+'Calculations II'!BC80</f>
        <v>52.809888000000001</v>
      </c>
      <c r="EK80" s="560"/>
      <c r="EL80" s="560"/>
      <c r="EM80" s="560">
        <f t="shared" si="223"/>
        <v>41708</v>
      </c>
      <c r="EN80" s="560">
        <f t="shared" si="224"/>
        <v>56.08679362611737</v>
      </c>
      <c r="EO80" s="560">
        <f t="shared" si="225"/>
        <v>86.766269739603572</v>
      </c>
      <c r="EP80" s="560">
        <v>0</v>
      </c>
      <c r="EQ80" s="560">
        <v>0</v>
      </c>
      <c r="ER80" s="560">
        <v>0</v>
      </c>
      <c r="ES80" s="545">
        <f t="shared" si="247"/>
        <v>0.41573633586277442</v>
      </c>
      <c r="ET80" s="560">
        <f>-(VLOOKUP(Sheet1!BQ82,Lookup!$O$4:$Q$262,2)-VLOOKUP(Sheet1!BQ81,Lookup!$O$4:$Q$262,2))/1000000</f>
        <v>0.13858091542317347</v>
      </c>
      <c r="EU80" s="560">
        <f>-(VLOOKUP(Sheet1!BR82,Lookup!$O$4:$Q$262,3)-VLOOKUP(Sheet1!BR81,Lookup!$O$4:$Q$262,3))/1000000</f>
        <v>0.27715542043960095</v>
      </c>
      <c r="EV80" s="560"/>
      <c r="EW80" s="560"/>
      <c r="EX80" s="560"/>
      <c r="EY80" s="560"/>
      <c r="EZ80" s="560"/>
      <c r="FA80" s="560"/>
      <c r="FB80" s="560"/>
      <c r="FC80" s="560"/>
      <c r="FD80" s="594" t="e">
        <f t="shared" si="226"/>
        <v>#N/A</v>
      </c>
      <c r="FE80" s="594" t="e">
        <f t="shared" si="227"/>
        <v>#N/A</v>
      </c>
      <c r="FF80" s="595" t="e">
        <f t="shared" si="228"/>
        <v>#N/A</v>
      </c>
      <c r="FG80" s="596" t="s">
        <v>692</v>
      </c>
      <c r="FH80" s="596" t="s">
        <v>692</v>
      </c>
      <c r="FI80" s="594" t="e">
        <v>#N/A</v>
      </c>
      <c r="FJ80" s="594" t="e">
        <v>#N/A</v>
      </c>
      <c r="FK80" s="560"/>
      <c r="FL80" s="560"/>
      <c r="FM80" s="560"/>
      <c r="FN80" s="560"/>
      <c r="FO80" s="560">
        <f>O80+((Sheet1!CS82)*GPMtoMGD)</f>
        <v>52.809888000000001</v>
      </c>
      <c r="FP80" s="560">
        <f>IF(Sheet1!AA82+AQ80&lt;=Calculation!N80,AQ80,Calculation!N80-Sheet1!AA82)</f>
        <v>16.244073066459386</v>
      </c>
      <c r="FQ80" s="560">
        <f>(Sheet1!BP82+Sheet1!BO82)/694.4</f>
        <v>1.5213133640552998</v>
      </c>
      <c r="FR80" s="560"/>
      <c r="FS80" s="560"/>
      <c r="FT80" s="560"/>
      <c r="FU80" s="560"/>
      <c r="FV80" s="695">
        <f t="shared" si="248"/>
        <v>41827</v>
      </c>
      <c r="FW80" s="695">
        <f t="shared" si="249"/>
        <v>41934</v>
      </c>
      <c r="FX80" s="560"/>
      <c r="FY80" s="560"/>
      <c r="FZ80" s="560"/>
      <c r="GA80" s="560"/>
      <c r="GB80" s="560" t="str">
        <f t="shared" si="250"/>
        <v>n</v>
      </c>
      <c r="GC80" s="564">
        <f t="shared" si="251"/>
        <v>41691</v>
      </c>
      <c r="GD80" s="695">
        <f t="shared" si="252"/>
        <v>41807</v>
      </c>
      <c r="GE80" s="560">
        <v>6518.9</v>
      </c>
      <c r="GF80" s="695">
        <f t="shared" si="253"/>
        <v>41808</v>
      </c>
      <c r="GG80" s="560">
        <f t="shared" si="163"/>
        <v>3259</v>
      </c>
      <c r="GH80" s="564">
        <f t="shared" si="254"/>
        <v>41934</v>
      </c>
      <c r="GJ80" s="545">
        <f t="shared" si="255"/>
        <v>0</v>
      </c>
      <c r="GK80" s="560" t="str">
        <f t="shared" si="229"/>
        <v/>
      </c>
      <c r="GL80" s="560">
        <f t="shared" si="256"/>
        <v>0</v>
      </c>
      <c r="GM80" s="560" t="str">
        <f t="shared" si="257"/>
        <v/>
      </c>
      <c r="GN80" s="560">
        <f>IF(GK80="P",Lookup!$M$12,IF(GK80="PP",Lookup!$M$13,IF(GK80="PPP",Lookup!$M$14,IF(GK80="T",Lookup!$M$15,IF(GK80="TP",Lookup!$M$16,IF(GK80="TPP",Lookup!$M$17,IF(GK80="TPPP",Lookup!$M$18,0)))))))*GJ80</f>
        <v>0</v>
      </c>
      <c r="GO80" s="560">
        <f t="shared" si="258"/>
        <v>0</v>
      </c>
      <c r="GP80" s="560">
        <f t="shared" si="230"/>
        <v>1487.3664000000001</v>
      </c>
      <c r="GQ80" s="560">
        <f t="shared" si="266"/>
        <v>484.8</v>
      </c>
      <c r="GR80" s="560"/>
      <c r="GS80" s="560">
        <f t="shared" si="259"/>
        <v>0</v>
      </c>
      <c r="GT80" s="560" t="str">
        <f t="shared" si="260"/>
        <v/>
      </c>
      <c r="GU80" s="560">
        <f>IF(GK80="P",Lookup!$N$12,IF(GK80="PP",Lookup!$N$13,IF(GK80="PPP",Lookup!$N$14,IF(GK80="T",Lookup!$N$15,IF(GK80="TP",Lookup!$N$16,IF(GK80="TPP",Lookup!$N$17,IF(GK80="TPPP",Lookup!$N$18,0)))))))*GJ80</f>
        <v>0</v>
      </c>
      <c r="GV80" s="560">
        <f t="shared" si="261"/>
        <v>0</v>
      </c>
      <c r="GW80" s="560">
        <f t="shared" si="231"/>
        <v>694.10432000000014</v>
      </c>
      <c r="GX80" s="560">
        <f t="shared" si="267"/>
        <v>226.24000000000004</v>
      </c>
      <c r="GY80" s="560"/>
      <c r="GZ80" s="560">
        <f t="shared" si="262"/>
        <v>0</v>
      </c>
      <c r="HA80" s="560" t="str">
        <f t="shared" si="263"/>
        <v/>
      </c>
      <c r="HB80" s="560">
        <f>IF(GK80="P",Lookup!$N$12,IF(GK80="PP",Lookup!$N$13,IF(GK80="PPP",Lookup!$N$14,IF(GK80="T",Lookup!$N$15,IF(GK80="TP",Lookup!$N$16,IF(GK80="TPP",Lookup!$N$17,IF(GK80="TPPP",Lookup!$N$18,0)))))))*GJ80</f>
        <v>0</v>
      </c>
      <c r="HC80" s="545">
        <f t="shared" si="232"/>
        <v>0</v>
      </c>
      <c r="HD80" s="560">
        <f t="shared" si="233"/>
        <v>556.87366225655853</v>
      </c>
      <c r="HE80" s="560">
        <f t="shared" si="268"/>
        <v>181.51032016185087</v>
      </c>
      <c r="HF80" s="560"/>
      <c r="HG80" s="560">
        <f t="shared" si="264"/>
        <v>0</v>
      </c>
      <c r="HH80" s="560" t="str">
        <f t="shared" si="265"/>
        <v/>
      </c>
      <c r="HI80" s="560">
        <f>IF(GK80="P",Lookup!$N$12,IF(GK80="PP",Lookup!$N$13,IF(GK80="PPP",Lookup!$N$14,IF(GK80="T",Lookup!$N$15,IF(GK80="TP",Lookup!$N$16,IF(GK80="TPP",Lookup!$N$17,IF(GK80="TPPP",Lookup!$N$18,0)))))))*GJ80</f>
        <v>0</v>
      </c>
      <c r="HJ80" s="545">
        <f t="shared" si="234"/>
        <v>0</v>
      </c>
      <c r="HK80" s="560">
        <f t="shared" si="235"/>
        <v>422.82938276668045</v>
      </c>
      <c r="HL80" s="560">
        <f t="shared" si="269"/>
        <v>137.81922515211227</v>
      </c>
      <c r="HM80" s="560"/>
    </row>
    <row r="81" spans="1:221">
      <c r="A81" s="580" t="s">
        <v>5</v>
      </c>
      <c r="B81" s="556">
        <v>41709</v>
      </c>
      <c r="C81" s="561">
        <v>0</v>
      </c>
      <c r="D81" s="529">
        <f t="shared" si="103"/>
        <v>300</v>
      </c>
      <c r="E81" s="529">
        <f t="shared" si="104"/>
        <v>250</v>
      </c>
      <c r="F81" s="529">
        <v>250</v>
      </c>
      <c r="G81" s="560">
        <f>DR81+Sheet1!CZ83</f>
        <v>3950.4740292478959</v>
      </c>
      <c r="H81" s="914">
        <f t="shared" si="236"/>
        <v>2286.62321250584</v>
      </c>
      <c r="I81" s="559">
        <f>MAX(Sheet1!Z83-AT81+(Sheet1!DA83-E81)*CFStoMGD,0)</f>
        <v>4343.8519999999999</v>
      </c>
      <c r="J81" s="562">
        <f>IF(AND(B81&gt;=Calculation!GC81,B81&lt;=Calculation!GD81),IF(Sheet1!DB83&gt;=Calculation!D81,64.64,0),MAX(Sheet1!Z83-AT81+(Sheet1!DB83-D81)*CFStoMGD,0))</f>
        <v>64.64</v>
      </c>
      <c r="K81" s="904">
        <f t="shared" si="171"/>
        <v>64.64</v>
      </c>
      <c r="L81" s="560">
        <f>Sheet1!AA83+Sheet1!AB83-Sheet1!L83+(Sheet1!DA83-F81)*CFStoMGD</f>
        <v>4317.9520000000002</v>
      </c>
      <c r="M81" s="560">
        <f t="shared" si="172"/>
        <v>2604.658140755957</v>
      </c>
      <c r="N81" s="910">
        <f>IF(Sheet1!DA83&gt;=F81,MIN(73,MIN(MAX(L81,0),MAX(M81,0))),0)</f>
        <v>73</v>
      </c>
      <c r="O81" s="563">
        <f>Sheet1!AA83+Sheet1!AB83</f>
        <v>46.9</v>
      </c>
      <c r="P81" s="563">
        <f t="shared" si="173"/>
        <v>72.554299999999984</v>
      </c>
      <c r="Q81" s="898">
        <f t="shared" si="237"/>
        <v>38.36</v>
      </c>
      <c r="R81" s="829">
        <f t="shared" si="174"/>
        <v>8.5266249021143317</v>
      </c>
      <c r="S81" s="898">
        <f t="shared" si="238"/>
        <v>8.5400000000000009</v>
      </c>
      <c r="T81" s="898">
        <f t="shared" si="239"/>
        <v>56.1</v>
      </c>
      <c r="U81" s="898">
        <f t="shared" si="240"/>
        <v>0</v>
      </c>
      <c r="V81" s="898"/>
      <c r="W81" s="898">
        <f t="shared" si="241"/>
        <v>56.113375097885665</v>
      </c>
      <c r="X81" s="898">
        <f t="shared" si="242"/>
        <v>64.64</v>
      </c>
      <c r="Y81" s="898" t="str">
        <f t="shared" si="243"/>
        <v>FALSE</v>
      </c>
      <c r="Z81" s="898">
        <f t="shared" si="244"/>
        <v>46.9</v>
      </c>
      <c r="AA81" s="898">
        <f t="shared" si="245"/>
        <v>46.9</v>
      </c>
      <c r="AB81" s="898" t="str">
        <f t="shared" si="246"/>
        <v/>
      </c>
      <c r="AC81" s="563">
        <f>Sheet1!Y83*MGDtoCFS</f>
        <v>32.487000000000002</v>
      </c>
      <c r="AD81" s="563">
        <f>Sheet1!Z83*MGDtoCFS</f>
        <v>40.067299999999996</v>
      </c>
      <c r="AE81" s="563">
        <f>Sheet1!AA83*MGDtoCFS</f>
        <v>33.105799999999995</v>
      </c>
      <c r="AF81" s="563">
        <f>Sheet1!AB83*MGDtoCFS</f>
        <v>39.448499999999996</v>
      </c>
      <c r="AG81" s="563">
        <f>Sheet1!L83*MGDtoCFS</f>
        <v>72.554299999999998</v>
      </c>
      <c r="AH81" s="545">
        <f t="shared" si="175"/>
        <v>0</v>
      </c>
      <c r="AI81" s="560">
        <f t="shared" si="176"/>
        <v>0</v>
      </c>
      <c r="AJ81" s="560">
        <f t="shared" si="177"/>
        <v>56.113375097885665</v>
      </c>
      <c r="AK81" s="560">
        <f t="shared" si="178"/>
        <v>86.807391276429115</v>
      </c>
      <c r="AL81" s="560">
        <f>(VLOOKUP(Sheet1!DC83,hhdcap_wcm,4)-(((VLOOKUP(Sheet1!DC83,hhdcap_wcm,3)-Sheet1!DC83)/(VLOOKUP(Sheet1!DC83,hhdcap_wcm,3)-VLOOKUP(Sheet1!DC83,hhdcap_wcm,1)))*(VLOOKUP(Sheet1!DC83,hhdcap_wcm,4)-VLOOKUP(Sheet1!DC83,hhdcap_wcm,2))))</f>
        <v>14626.400000036343</v>
      </c>
      <c r="AM81" s="560">
        <f t="shared" si="179"/>
        <v>-752.60000000142281</v>
      </c>
      <c r="AN81" s="560">
        <f t="shared" si="180"/>
        <v>1086.4829204118489</v>
      </c>
      <c r="AO81" s="560">
        <f t="shared" si="181"/>
        <v>3333.3295998235526</v>
      </c>
      <c r="AP81" s="560">
        <f>Sheet1!BA83+Sheet1!BB83+Sheet1!BN83+CD81</f>
        <v>17</v>
      </c>
      <c r="AQ81" s="560">
        <f>Sheet1!BN83+(DO81*Sheet1!BN83)</f>
        <v>15.974941268598277</v>
      </c>
      <c r="AR81" s="560">
        <f>Sheet1!BA83+CD81</f>
        <v>0</v>
      </c>
      <c r="AS81" s="560">
        <f>Sheet1!BA83+Sheet1!BB83+CD81</f>
        <v>1</v>
      </c>
      <c r="AT81" s="698">
        <f>0</f>
        <v>0</v>
      </c>
      <c r="AU81" s="560">
        <f>IF(EB81&lt;K81,0,MAX(Sheet1!AA83+AQ81-15/36*K81-N81,Sheet1!EH83,0))</f>
        <v>0</v>
      </c>
      <c r="AV81" s="560">
        <f>IF(OR(B81&gt;=GD81,B81&lt;GC81),0,15/36*K81-MAX(0,64.6-(137.6-(Sheet1!AA83+Sheet1!AB83))))</f>
        <v>26.933333333333334</v>
      </c>
      <c r="AW81" s="698">
        <f>Sheet1!DB83-110</f>
        <v>4030</v>
      </c>
      <c r="AX81" s="698">
        <f>Sheet1!DA83-265</f>
        <v>6665</v>
      </c>
      <c r="AY81" s="698">
        <f t="shared" si="182"/>
        <v>34.64</v>
      </c>
      <c r="AZ81" s="698">
        <v>0</v>
      </c>
      <c r="BA81" s="698">
        <f t="shared" si="183"/>
        <v>0</v>
      </c>
      <c r="BB81" s="560">
        <f t="shared" si="184"/>
        <v>511.73333333333335</v>
      </c>
      <c r="BC81" s="560"/>
      <c r="BD81" s="560">
        <f ca="1">IF(B81&gt;Summary!$A$1,#N/A,BB81*MGtoAF)</f>
        <v>1569.9978666666668</v>
      </c>
      <c r="BE81" s="560">
        <f>Sheet1!BG83+Sheet1!BH83+Sheet1!BI83-BM81</f>
        <v>0</v>
      </c>
      <c r="BF81" s="560">
        <f t="shared" si="185"/>
        <v>0</v>
      </c>
      <c r="BG81" s="560">
        <f>IF(Sheet1!EP83="FM",BM81,0)</f>
        <v>0</v>
      </c>
      <c r="BH81" s="560">
        <f t="shared" si="186"/>
        <v>0</v>
      </c>
      <c r="BI81" s="560">
        <f>IF(Sheet1!EP83="OTHER",BM81,0)</f>
        <v>0</v>
      </c>
      <c r="BJ81" s="560">
        <f t="shared" si="187"/>
        <v>0</v>
      </c>
      <c r="BK81" s="560">
        <f t="shared" si="188"/>
        <v>0</v>
      </c>
      <c r="BL81" s="560">
        <f t="shared" si="189"/>
        <v>0</v>
      </c>
      <c r="BM81" s="560">
        <f>IF(OR(Sheet1!EP83="FM", Sheet1!EP83="OTHER"),SUM(Sheet1!BG83:'Sheet1'!BI83),0)</f>
        <v>0</v>
      </c>
      <c r="BN81" s="545">
        <f>IF(AND($B81&gt;=$FV81,$B81&lt;=$FW81),MAX(BF81,Sheet1!EI83,0),MAX(BF81-(7/36)*$K81,0))</f>
        <v>0</v>
      </c>
      <c r="BO81" s="560">
        <f t="shared" si="190"/>
        <v>12.568888888888889</v>
      </c>
      <c r="BP81" s="545">
        <f t="shared" si="191"/>
        <v>0</v>
      </c>
      <c r="BQ81" s="545">
        <f>IF(AND($O81&gt;0,Sheet1!EM83=1),(1-($O81-Sheet1!$L83)/$O81)*BL81,0)</f>
        <v>0</v>
      </c>
      <c r="BR81" s="545">
        <f>IF(AND(Sheet1!$L83=0,Sheet1!$L82=0, Calculation!BK81&lt;Sheet1!$EI83-0.1,Sheet1!$EI83=Sheet1!$EI82,Sheet1!$EI83=Sheet1!$EI84),Sheet1!$EI83,BL81-BQ81)</f>
        <v>0</v>
      </c>
      <c r="BS81" s="560"/>
      <c r="BT81" s="560"/>
      <c r="BU81" s="560">
        <f t="shared" si="192"/>
        <v>238.80888888888893</v>
      </c>
      <c r="BV81" s="560"/>
      <c r="BW81" s="560">
        <f ca="1">IF(B81&gt;Summary!$A$1,#N/A,BU81*MGtoAF)</f>
        <v>732.66567111111124</v>
      </c>
      <c r="BX81" s="560">
        <f>Sheet1!BC83+Sheet1!BD83+Sheet1!BE83+Sheet1!BF83-CG81-CH81</f>
        <v>2.4900000000000002</v>
      </c>
      <c r="BY81" s="560">
        <f t="shared" si="193"/>
        <v>2.4861002349256074</v>
      </c>
      <c r="BZ81" s="560">
        <f>IF(Sheet1!EQ83="FM",CH81,0)</f>
        <v>0</v>
      </c>
      <c r="CA81" s="560">
        <f t="shared" si="194"/>
        <v>0</v>
      </c>
      <c r="CB81" s="560">
        <f>IF(Sheet1!EQ83="OTHER",CH81,0)</f>
        <v>0</v>
      </c>
      <c r="CC81" s="560">
        <f t="shared" si="195"/>
        <v>0</v>
      </c>
      <c r="CD81" s="560">
        <f t="shared" si="196"/>
        <v>0</v>
      </c>
      <c r="CE81" s="560">
        <f t="shared" si="197"/>
        <v>2.4900000000000002</v>
      </c>
      <c r="CF81" s="560">
        <f t="shared" si="198"/>
        <v>2.4861002349256074</v>
      </c>
      <c r="CG81" s="560">
        <f>IF(Sheet1!EQ83="CWA",SUM(Sheet1!BC83:'Sheet1'!BF83),0)</f>
        <v>0</v>
      </c>
      <c r="CH81" s="560">
        <f>IF(OR(Sheet1!EQ83="FM", Sheet1!EQ83="OTHER"),SUM(Sheet1!BC83:'Sheet1'!BF83),0)</f>
        <v>0</v>
      </c>
      <c r="CI81" s="545">
        <f>IF(AND($B81&gt;=$FV81,$B81&lt;=$FW81),MAX(CF81,Sheet1!EJ83,0),MAX(CF81-(7/36)*$K81,0))</f>
        <v>0</v>
      </c>
      <c r="CJ81" s="560">
        <f t="shared" si="199"/>
        <v>10.082788653963281</v>
      </c>
      <c r="CK81" s="545">
        <f t="shared" si="200"/>
        <v>2.4861002349256074</v>
      </c>
      <c r="CL81" s="545">
        <f>IF(AND($O81&gt;0,Sheet1!EN83=1),(1-($O81-Sheet1!$L83)/$O81)*CF81,0)</f>
        <v>0</v>
      </c>
      <c r="CM81" s="545">
        <f>IF(AND(Sheet1!$L83=0,Sheet1!$L82=0, Calculation!CE81&lt;Sheet1!EJ83-0.1,Sheet1!EJ83=Sheet1!EJ82,Sheet1!EJ83=Sheet1!EJ84),Sheet1!EJ83,CF81-CL81)</f>
        <v>2.4861002349256074</v>
      </c>
      <c r="CN81" s="545"/>
      <c r="CO81" s="560"/>
      <c r="CP81" s="560">
        <f t="shared" si="201"/>
        <v>191.59310881581416</v>
      </c>
      <c r="CQ81" s="560"/>
      <c r="CR81" s="560">
        <f ca="1">IF(B81&gt;Summary!$A$1,#N/A,CP81*MGtoAF)</f>
        <v>587.80765784691789</v>
      </c>
      <c r="CS81" s="560">
        <f>Sheet1!BK83+Sheet1!BL83+Sheet1!BM83-Sheet1!ER83-DA81</f>
        <v>6.0500000000000007</v>
      </c>
      <c r="CT81" s="560">
        <f t="shared" si="202"/>
        <v>6.0405246671887243</v>
      </c>
      <c r="CU81" s="560">
        <f>IF(Sheet1!ER83="FM",DA81,0)</f>
        <v>0</v>
      </c>
      <c r="CV81" s="560">
        <f t="shared" si="203"/>
        <v>0</v>
      </c>
      <c r="CW81" s="560">
        <f>IF(Sheet1!ER83="OTHER",DA81,0)</f>
        <v>0</v>
      </c>
      <c r="CX81" s="560">
        <f t="shared" si="204"/>
        <v>0</v>
      </c>
      <c r="CY81" s="560">
        <f t="shared" si="205"/>
        <v>6.0500000000000007</v>
      </c>
      <c r="CZ81" s="560">
        <f t="shared" si="206"/>
        <v>6.0405246671887243</v>
      </c>
      <c r="DA81" s="560">
        <f>IF(OR(Sheet1!ER83="FM", Sheet1!ER83="OTHER"),SUM(Sheet1!BK83:'Sheet1'!BM83),0)</f>
        <v>0</v>
      </c>
      <c r="DB81" s="545">
        <f>IF(AND($B81&gt;=$FV81,$B81&lt;=$FW81),MAX($CT81,Sheet1!EK83,0),MAX($CT81-(7/36)*$K81,0))</f>
        <v>0</v>
      </c>
      <c r="DC81" s="560">
        <f t="shared" si="207"/>
        <v>6.5283642217001647</v>
      </c>
      <c r="DD81" s="545">
        <f t="shared" si="208"/>
        <v>6.0405246671887243</v>
      </c>
      <c r="DE81" s="545">
        <f>IF(AND($O81&gt;0,Sheet1!EO83=1),(1-($O81-Sheet1!$L83)/$O81)*CZ81,0)</f>
        <v>0</v>
      </c>
      <c r="DF81" s="545">
        <f>IF(AND(Sheet1!$L83=0,Sheet1!$L82=0, Calculation!CY81&lt;Sheet1!$EK83-0.1,Sheet1!$EK83=Sheet1!$EK82,Sheet1!$EK83=Sheet1!$EK84),Sheet1!$EK83,CZ81-DE81)</f>
        <v>6.0405246671887243</v>
      </c>
      <c r="DG81" s="545"/>
      <c r="DH81" s="560">
        <f t="shared" si="209"/>
        <v>8.5400000000000009</v>
      </c>
      <c r="DI81" s="560">
        <f t="shared" si="210"/>
        <v>144.34758937381244</v>
      </c>
      <c r="DJ81" s="698">
        <f t="shared" si="211"/>
        <v>8.5266249021143317</v>
      </c>
      <c r="DK81" s="560">
        <f ca="1">IF(B81&gt;Summary!$A$1,#N/A,DI81*MGtoAF)</f>
        <v>442.85840419885659</v>
      </c>
      <c r="DL81" s="698">
        <f t="shared" si="212"/>
        <v>8.5400000000000009</v>
      </c>
      <c r="DM81" s="560">
        <f t="shared" si="213"/>
        <v>25.54</v>
      </c>
      <c r="DN81" s="560">
        <f>Sheet1!AB83-DM81</f>
        <v>-3.9999999999999147E-2</v>
      </c>
      <c r="DO81" s="823">
        <f t="shared" si="214"/>
        <v>-1.5661707126076408E-3</v>
      </c>
      <c r="DP81" s="560">
        <f>(VLOOKUP(Sheet1!DC83,hhdcap_wcm,4)-(((VLOOKUP(Sheet1!DC83,hhdcap_wcm,3)-Sheet1!DC83)/(VLOOKUP(Sheet1!DC83,hhdcap_wcm,3)-VLOOKUP(Sheet1!DC83,hhdcap_wcm,1)))*(VLOOKUP(Sheet1!DC83,hhdcap_wcm,4)-VLOOKUP(Sheet1!DC83,hhdcap_wcm,2))))</f>
        <v>14626.400000036343</v>
      </c>
      <c r="DQ81" s="560">
        <f t="shared" si="215"/>
        <v>-752.60000000142281</v>
      </c>
      <c r="DR81" s="560">
        <f t="shared" si="216"/>
        <v>-379.52597075210423</v>
      </c>
      <c r="DS81" s="560">
        <f>Sheet1!EA83*AFtoMG</f>
        <v>0</v>
      </c>
      <c r="DT81" s="560">
        <f>Sheet1!EB83*AFtoMG</f>
        <v>0</v>
      </c>
      <c r="DU81" s="560">
        <f>Sheet1!EC83*AFtoMG</f>
        <v>0</v>
      </c>
      <c r="DV81" s="560">
        <f>Sheet1!ED83*AFtoMG</f>
        <v>0</v>
      </c>
      <c r="DW81" s="560">
        <f t="shared" si="217"/>
        <v>0</v>
      </c>
      <c r="DX81" s="560">
        <f t="shared" si="218"/>
        <v>0</v>
      </c>
      <c r="DY81" s="560">
        <f t="shared" si="219"/>
        <v>1086.4829204118489</v>
      </c>
      <c r="DZ81" s="560">
        <f t="shared" si="220"/>
        <v>3333.3295998235526</v>
      </c>
      <c r="EA81" s="560"/>
      <c r="EB81" s="545">
        <f>IF(OR(B81&lt;FV81,B81&gt;FW81),(MIN(BF81+BY81+CT81+MAX(Sheet1!AA83+AQ81-73,0),K81)),0)</f>
        <v>8.5266249021143317</v>
      </c>
      <c r="EC81" s="560"/>
      <c r="ED81" s="560">
        <f t="shared" si="221"/>
        <v>8.5266249021143317</v>
      </c>
      <c r="EE81" s="560"/>
      <c r="EF81" s="560">
        <f>Sheet1!EH83+Sheet1!EI83+Sheet1!EJ83+Sheet1!EK83</f>
        <v>8.5400000000000009</v>
      </c>
      <c r="EG81" s="560"/>
      <c r="EH81" s="545">
        <f t="shared" si="222"/>
        <v>0</v>
      </c>
      <c r="EI81" s="560">
        <f>IF(Sheet1!ET83=1,SUM('Calculations II'!AT81:BA81)+'Calculations II'!BC81+Sheet1!BV83+'Calculations II'!BE81+AP81,SUM('Calculations II'!AT81:BA81)+'Calculations II'!BC81+Sheet1!BV83+'Calculations II'!BE81+AP81)</f>
        <v>47.741168000000002</v>
      </c>
      <c r="EJ81" s="560">
        <f>Sheet1!AA83+Sheet1!AB83+'Calculations II'!BC81</f>
        <v>52.310223999999998</v>
      </c>
      <c r="EK81" s="560"/>
      <c r="EL81" s="560"/>
      <c r="EM81" s="560">
        <f t="shared" si="223"/>
        <v>41709</v>
      </c>
      <c r="EN81" s="560">
        <f t="shared" si="224"/>
        <v>56.113375097885665</v>
      </c>
      <c r="EO81" s="560">
        <f t="shared" si="225"/>
        <v>86.807391276429115</v>
      </c>
      <c r="EP81" s="560">
        <v>0</v>
      </c>
      <c r="EQ81" s="560">
        <v>0</v>
      </c>
      <c r="ER81" s="560">
        <v>0</v>
      </c>
      <c r="ES81" s="545">
        <f t="shared" si="247"/>
        <v>1.1084934780575708</v>
      </c>
      <c r="ET81" s="560">
        <f>-(VLOOKUP(Sheet1!BQ83,Lookup!$O$4:$Q$262,2)-VLOOKUP(Sheet1!BQ82,Lookup!$O$4:$Q$262,2))/1000000</f>
        <v>0.55425955910326541</v>
      </c>
      <c r="EU81" s="560">
        <f>-(VLOOKUP(Sheet1!BR83,Lookup!$O$4:$Q$262,3)-VLOOKUP(Sheet1!BR82,Lookup!$O$4:$Q$262,3))/1000000</f>
        <v>0.5542339189543054</v>
      </c>
      <c r="EV81" s="560"/>
      <c r="EW81" s="560"/>
      <c r="EX81" s="560"/>
      <c r="EY81" s="560"/>
      <c r="EZ81" s="560"/>
      <c r="FA81" s="560"/>
      <c r="FB81" s="560"/>
      <c r="FC81" s="560"/>
      <c r="FD81" s="594" t="e">
        <f t="shared" si="226"/>
        <v>#N/A</v>
      </c>
      <c r="FE81" s="594" t="e">
        <f t="shared" si="227"/>
        <v>#N/A</v>
      </c>
      <c r="FF81" s="595" t="e">
        <f t="shared" si="228"/>
        <v>#N/A</v>
      </c>
      <c r="FG81" s="596" t="s">
        <v>692</v>
      </c>
      <c r="FH81" s="596" t="s">
        <v>692</v>
      </c>
      <c r="FI81" s="594" t="e">
        <v>#N/A</v>
      </c>
      <c r="FJ81" s="594" t="e">
        <v>#N/A</v>
      </c>
      <c r="FK81" s="560"/>
      <c r="FL81" s="560"/>
      <c r="FM81" s="560"/>
      <c r="FN81" s="560"/>
      <c r="FO81" s="560">
        <f>O81+((Sheet1!CS83)*GPMtoMGD)</f>
        <v>52.310223999999998</v>
      </c>
      <c r="FP81" s="560">
        <f>IF(Sheet1!AA83+AQ81&lt;=Calculation!N81,AQ81,Calculation!N81-Sheet1!AA83)</f>
        <v>15.974941268598277</v>
      </c>
      <c r="FQ81" s="560">
        <f>(Sheet1!BP83+Sheet1!BO83)/694.4</f>
        <v>1.5315380184331797</v>
      </c>
      <c r="FR81" s="560"/>
      <c r="FS81" s="560"/>
      <c r="FT81" s="560"/>
      <c r="FU81" s="560"/>
      <c r="FV81" s="695">
        <f t="shared" si="248"/>
        <v>41827</v>
      </c>
      <c r="FW81" s="695">
        <f t="shared" si="249"/>
        <v>41934</v>
      </c>
      <c r="FX81" s="560"/>
      <c r="FY81" s="560"/>
      <c r="FZ81" s="560"/>
      <c r="GA81" s="560"/>
      <c r="GB81" s="560" t="str">
        <f t="shared" si="250"/>
        <v>n</v>
      </c>
      <c r="GC81" s="564">
        <f t="shared" si="251"/>
        <v>41691</v>
      </c>
      <c r="GD81" s="695">
        <f t="shared" si="252"/>
        <v>41807</v>
      </c>
      <c r="GE81" s="560">
        <v>6518.9</v>
      </c>
      <c r="GF81" s="695">
        <f t="shared" si="253"/>
        <v>41808</v>
      </c>
      <c r="GG81" s="560">
        <f t="shared" si="163"/>
        <v>3259</v>
      </c>
      <c r="GH81" s="564">
        <f t="shared" si="254"/>
        <v>41934</v>
      </c>
      <c r="GJ81" s="545">
        <f t="shared" si="255"/>
        <v>0</v>
      </c>
      <c r="GK81" s="560" t="str">
        <f t="shared" si="229"/>
        <v/>
      </c>
      <c r="GL81" s="560">
        <f t="shared" si="256"/>
        <v>0</v>
      </c>
      <c r="GM81" s="560" t="str">
        <f t="shared" si="257"/>
        <v/>
      </c>
      <c r="GN81" s="560">
        <f>IF(GK81="P",Lookup!$M$12,IF(GK81="PP",Lookup!$M$13,IF(GK81="PPP",Lookup!$M$14,IF(GK81="T",Lookup!$M$15,IF(GK81="TP",Lookup!$M$16,IF(GK81="TPP",Lookup!$M$17,IF(GK81="TPPP",Lookup!$M$18,0)))))))*GJ81</f>
        <v>0</v>
      </c>
      <c r="GO81" s="560">
        <f t="shared" si="258"/>
        <v>0</v>
      </c>
      <c r="GP81" s="560">
        <f t="shared" si="230"/>
        <v>1569.9978666666668</v>
      </c>
      <c r="GQ81" s="560">
        <f t="shared" si="266"/>
        <v>511.73333333333335</v>
      </c>
      <c r="GR81" s="560"/>
      <c r="GS81" s="560">
        <f t="shared" si="259"/>
        <v>0</v>
      </c>
      <c r="GT81" s="560" t="str">
        <f t="shared" si="260"/>
        <v/>
      </c>
      <c r="GU81" s="560">
        <f>IF(GK81="P",Lookup!$N$12,IF(GK81="PP",Lookup!$N$13,IF(GK81="PPP",Lookup!$N$14,IF(GK81="T",Lookup!$N$15,IF(GK81="TP",Lookup!$N$16,IF(GK81="TPP",Lookup!$N$17,IF(GK81="TPPP",Lookup!$N$18,0)))))))*GJ81</f>
        <v>0</v>
      </c>
      <c r="GV81" s="560">
        <f t="shared" si="261"/>
        <v>0</v>
      </c>
      <c r="GW81" s="560">
        <f t="shared" si="231"/>
        <v>732.66567111111124</v>
      </c>
      <c r="GX81" s="560">
        <f t="shared" si="267"/>
        <v>238.80888888888893</v>
      </c>
      <c r="GY81" s="560"/>
      <c r="GZ81" s="560">
        <f t="shared" si="262"/>
        <v>0</v>
      </c>
      <c r="HA81" s="560" t="str">
        <f t="shared" si="263"/>
        <v/>
      </c>
      <c r="HB81" s="560">
        <f>IF(GK81="P",Lookup!$N$12,IF(GK81="PP",Lookup!$N$13,IF(GK81="PPP",Lookup!$N$14,IF(GK81="T",Lookup!$N$15,IF(GK81="TP",Lookup!$N$16,IF(GK81="TPP",Lookup!$N$17,IF(GK81="TPPP",Lookup!$N$18,0)))))))*GJ81</f>
        <v>0</v>
      </c>
      <c r="HC81" s="545">
        <f t="shared" si="232"/>
        <v>0</v>
      </c>
      <c r="HD81" s="560">
        <f t="shared" si="233"/>
        <v>587.80765784691789</v>
      </c>
      <c r="HE81" s="560">
        <f t="shared" si="268"/>
        <v>191.59310881581416</v>
      </c>
      <c r="HF81" s="560"/>
      <c r="HG81" s="560">
        <f t="shared" si="264"/>
        <v>0</v>
      </c>
      <c r="HH81" s="560" t="str">
        <f t="shared" si="265"/>
        <v/>
      </c>
      <c r="HI81" s="560">
        <f>IF(GK81="P",Lookup!$N$12,IF(GK81="PP",Lookup!$N$13,IF(GK81="PPP",Lookup!$N$14,IF(GK81="T",Lookup!$N$15,IF(GK81="TP",Lookup!$N$16,IF(GK81="TPP",Lookup!$N$17,IF(GK81="TPPP",Lookup!$N$18,0)))))))*GJ81</f>
        <v>0</v>
      </c>
      <c r="HJ81" s="545">
        <f t="shared" si="234"/>
        <v>0</v>
      </c>
      <c r="HK81" s="560">
        <f t="shared" si="235"/>
        <v>442.85840419885659</v>
      </c>
      <c r="HL81" s="560">
        <f t="shared" si="269"/>
        <v>144.34758937381244</v>
      </c>
      <c r="HM81" s="560"/>
    </row>
    <row r="82" spans="1:221">
      <c r="A82" s="580" t="s">
        <v>6</v>
      </c>
      <c r="B82" s="556">
        <v>41710</v>
      </c>
      <c r="C82" s="561">
        <v>0</v>
      </c>
      <c r="D82" s="529">
        <f t="shared" ref="D82:D145" si="270">IF(AND(B82&gt;=DATE($A$1,7,15),B82&lt;=DATE($A$1,9,15)),200,300)</f>
        <v>300</v>
      </c>
      <c r="E82" s="529">
        <f t="shared" ref="E82:E145" si="271">IF(AND(B82&gt;=DATE($A$1,7,15),B82&lt;=DATE($A$1,9,15)),400,250)</f>
        <v>250</v>
      </c>
      <c r="F82" s="529">
        <v>250</v>
      </c>
      <c r="G82" s="560">
        <f>DR82+Sheet1!CZ84</f>
        <v>2800.8925869890709</v>
      </c>
      <c r="H82" s="914">
        <f t="shared" si="236"/>
        <v>1543.5337682297354</v>
      </c>
      <c r="I82" s="559">
        <f>MAX(Sheet1!Z84-AT82+(Sheet1!DA84-E82)*CFStoMGD,0)</f>
        <v>2941.0639999999999</v>
      </c>
      <c r="J82" s="562">
        <f>IF(AND(B82&gt;=Calculation!GC82,B82&lt;=Calculation!GD82),IF(Sheet1!DB84&gt;=Calculation!D82,64.64,0),MAX(Sheet1!Z84-AT82+(Sheet1!DB84-D82)*CFStoMGD,0))</f>
        <v>64.64</v>
      </c>
      <c r="K82" s="904">
        <f t="shared" si="171"/>
        <v>64.64</v>
      </c>
      <c r="L82" s="560">
        <f>Sheet1!AA84+Sheet1!AB84-Sheet1!L84+(Sheet1!DA84-F82)*CFStoMGD</f>
        <v>2915.2639999999997</v>
      </c>
      <c r="M82" s="560">
        <f t="shared" si="172"/>
        <v>1846.7069075943302</v>
      </c>
      <c r="N82" s="910">
        <f>IF(Sheet1!DA84&gt;=F82,MIN(73,MIN(MAX(L82,0),MAX(M82,0))),0)</f>
        <v>73</v>
      </c>
      <c r="O82" s="563">
        <f>Sheet1!AA84+Sheet1!AB84</f>
        <v>46.769999999999996</v>
      </c>
      <c r="P82" s="563">
        <f t="shared" si="173"/>
        <v>72.353189999999984</v>
      </c>
      <c r="Q82" s="898">
        <f t="shared" si="237"/>
        <v>38.19</v>
      </c>
      <c r="R82" s="829">
        <f t="shared" si="174"/>
        <v>8.5531665363565281</v>
      </c>
      <c r="S82" s="898">
        <f t="shared" si="238"/>
        <v>8.58</v>
      </c>
      <c r="T82" s="898">
        <f t="shared" si="239"/>
        <v>56.06</v>
      </c>
      <c r="U82" s="898">
        <f t="shared" si="240"/>
        <v>0</v>
      </c>
      <c r="V82" s="898"/>
      <c r="W82" s="898">
        <f t="shared" si="241"/>
        <v>56.086833463643472</v>
      </c>
      <c r="X82" s="898">
        <f t="shared" si="242"/>
        <v>64.64</v>
      </c>
      <c r="Y82" s="898" t="str">
        <f t="shared" si="243"/>
        <v>FALSE</v>
      </c>
      <c r="Z82" s="898">
        <f t="shared" si="244"/>
        <v>46.769999999999996</v>
      </c>
      <c r="AA82" s="898">
        <f t="shared" si="245"/>
        <v>46.769999999999996</v>
      </c>
      <c r="AB82" s="898" t="str">
        <f t="shared" si="246"/>
        <v/>
      </c>
      <c r="AC82" s="563">
        <f>Sheet1!Y84*MGDtoCFS</f>
        <v>32.951099999999997</v>
      </c>
      <c r="AD82" s="563">
        <f>Sheet1!Z84*MGDtoCFS</f>
        <v>39.912599999999998</v>
      </c>
      <c r="AE82" s="563">
        <f>Sheet1!AA84*MGDtoCFS</f>
        <v>32.904689999999995</v>
      </c>
      <c r="AF82" s="563">
        <f>Sheet1!AB84*MGDtoCFS</f>
        <v>39.448499999999996</v>
      </c>
      <c r="AG82" s="563">
        <f>Sheet1!L84*MGDtoCFS</f>
        <v>72.353189999999984</v>
      </c>
      <c r="AH82" s="545">
        <f t="shared" si="175"/>
        <v>0</v>
      </c>
      <c r="AI82" s="560">
        <f t="shared" si="176"/>
        <v>0</v>
      </c>
      <c r="AJ82" s="560">
        <f t="shared" si="177"/>
        <v>56.086833463643472</v>
      </c>
      <c r="AK82" s="560">
        <f t="shared" si="178"/>
        <v>86.766331368256445</v>
      </c>
      <c r="AL82" s="560">
        <f>(VLOOKUP(Sheet1!DC84,hhdcap_wcm,4)-(((VLOOKUP(Sheet1!DC84,hhdcap_wcm,3)-Sheet1!DC84)/(VLOOKUP(Sheet1!DC84,hhdcap_wcm,3)-VLOOKUP(Sheet1!DC84,hhdcap_wcm,1)))*(VLOOKUP(Sheet1!DC84,hhdcap_wcm,4)-VLOOKUP(Sheet1!DC84,hhdcap_wcm,2))))</f>
        <v>14648.00000003567</v>
      </c>
      <c r="AM82" s="560">
        <f t="shared" si="179"/>
        <v>21.599999999327338</v>
      </c>
      <c r="AN82" s="560">
        <f t="shared" si="180"/>
        <v>1142.5697538754923</v>
      </c>
      <c r="AO82" s="560">
        <f t="shared" si="181"/>
        <v>3505.4040048900106</v>
      </c>
      <c r="AP82" s="560">
        <f>Sheet1!BA84+Sheet1!BB84+Sheet1!BN84+CD82</f>
        <v>17</v>
      </c>
      <c r="AQ82" s="560">
        <f>Sheet1!BN84+(DO82*Sheet1!BN84)</f>
        <v>15.949960906958562</v>
      </c>
      <c r="AR82" s="560">
        <f>Sheet1!BA84+CD82</f>
        <v>0</v>
      </c>
      <c r="AS82" s="560">
        <f>Sheet1!BA84+Sheet1!BB84+CD82</f>
        <v>1</v>
      </c>
      <c r="AT82" s="698">
        <f>0</f>
        <v>0</v>
      </c>
      <c r="AU82" s="560">
        <f>IF(EB82&lt;K82,0,MAX(Sheet1!AA84+AQ82-15/36*K82-N82,Sheet1!EH84,0))</f>
        <v>0</v>
      </c>
      <c r="AV82" s="560">
        <f>IF(OR(B82&gt;=GD82,B82&lt;GC82),0,15/36*K82-MAX(0,64.6-(137.6-(Sheet1!AA84+Sheet1!AB84))))</f>
        <v>26.933333333333334</v>
      </c>
      <c r="AW82" s="698">
        <f>Sheet1!DB84-110</f>
        <v>2660</v>
      </c>
      <c r="AX82" s="698">
        <f>Sheet1!DA84-265</f>
        <v>4495</v>
      </c>
      <c r="AY82" s="698">
        <f t="shared" si="182"/>
        <v>34.81</v>
      </c>
      <c r="AZ82" s="698">
        <v>0</v>
      </c>
      <c r="BA82" s="698">
        <f t="shared" si="183"/>
        <v>0</v>
      </c>
      <c r="BB82" s="560">
        <f t="shared" si="184"/>
        <v>538.66666666666663</v>
      </c>
      <c r="BC82" s="560"/>
      <c r="BD82" s="560">
        <f ca="1">IF(B82&gt;Summary!$A$1,#N/A,BB82*MGtoAF)</f>
        <v>1652.6293333333333</v>
      </c>
      <c r="BE82" s="560">
        <f>Sheet1!BG84+Sheet1!BH84+Sheet1!BI84-BM82</f>
        <v>0</v>
      </c>
      <c r="BF82" s="560">
        <f t="shared" si="185"/>
        <v>0</v>
      </c>
      <c r="BG82" s="560">
        <f>IF(Sheet1!EP84="FM",BM82,0)</f>
        <v>0</v>
      </c>
      <c r="BH82" s="560">
        <f t="shared" si="186"/>
        <v>0</v>
      </c>
      <c r="BI82" s="560">
        <f>IF(Sheet1!EP84="OTHER",BM82,0)</f>
        <v>0</v>
      </c>
      <c r="BJ82" s="560">
        <f t="shared" si="187"/>
        <v>0</v>
      </c>
      <c r="BK82" s="560">
        <f t="shared" si="188"/>
        <v>0</v>
      </c>
      <c r="BL82" s="560">
        <f t="shared" si="189"/>
        <v>0</v>
      </c>
      <c r="BM82" s="560">
        <f>IF(OR(Sheet1!EP84="FM", Sheet1!EP84="OTHER"),SUM(Sheet1!BG84:'Sheet1'!BI84),0)</f>
        <v>0</v>
      </c>
      <c r="BN82" s="545">
        <f>IF(AND($B82&gt;=$FV82,$B82&lt;=$FW82),MAX(BF82,Sheet1!EI84,0),MAX(BF82-(7/36)*$K82,0))</f>
        <v>0</v>
      </c>
      <c r="BO82" s="560">
        <f t="shared" si="190"/>
        <v>12.568888888888889</v>
      </c>
      <c r="BP82" s="545">
        <f t="shared" si="191"/>
        <v>0</v>
      </c>
      <c r="BQ82" s="545">
        <f>IF(AND($O82&gt;0,Sheet1!EM84=1),(1-($O82-Sheet1!$L84)/$O82)*BL82,0)</f>
        <v>0</v>
      </c>
      <c r="BR82" s="545">
        <f>IF(AND(Sheet1!$L84=0,Sheet1!$L83=0, Calculation!BK82&lt;Sheet1!$EI84-0.1,Sheet1!$EI84=Sheet1!$EI83,Sheet1!$EI84=Sheet1!$EI85),Sheet1!$EI84,BL82-BQ82)</f>
        <v>0</v>
      </c>
      <c r="BS82" s="560"/>
      <c r="BT82" s="560"/>
      <c r="BU82" s="560">
        <f t="shared" si="192"/>
        <v>251.37777777777782</v>
      </c>
      <c r="BV82" s="560"/>
      <c r="BW82" s="560">
        <f ca="1">IF(B82&gt;Summary!$A$1,#N/A,BU82*MGtoAF)</f>
        <v>771.22702222222233</v>
      </c>
      <c r="BX82" s="560">
        <f>Sheet1!BC84+Sheet1!BD84+Sheet1!BE84+Sheet1!BF84-CG82-CH82</f>
        <v>2.5</v>
      </c>
      <c r="BY82" s="560">
        <f t="shared" si="193"/>
        <v>2.4921813917122755</v>
      </c>
      <c r="BZ82" s="560">
        <f>IF(Sheet1!EQ84="FM",CH82,0)</f>
        <v>0</v>
      </c>
      <c r="CA82" s="560">
        <f t="shared" si="194"/>
        <v>0</v>
      </c>
      <c r="CB82" s="560">
        <f>IF(Sheet1!EQ84="OTHER",CH82,0)</f>
        <v>0</v>
      </c>
      <c r="CC82" s="560">
        <f t="shared" si="195"/>
        <v>0</v>
      </c>
      <c r="CD82" s="560">
        <f t="shared" si="196"/>
        <v>0</v>
      </c>
      <c r="CE82" s="560">
        <f t="shared" si="197"/>
        <v>2.5</v>
      </c>
      <c r="CF82" s="560">
        <f t="shared" si="198"/>
        <v>2.4921813917122755</v>
      </c>
      <c r="CG82" s="560">
        <f>IF(Sheet1!EQ84="CWA",SUM(Sheet1!BC84:'Sheet1'!BF84),0)</f>
        <v>0</v>
      </c>
      <c r="CH82" s="560">
        <f>IF(OR(Sheet1!EQ84="FM", Sheet1!EQ84="OTHER"),SUM(Sheet1!BC84:'Sheet1'!BF84),0)</f>
        <v>0</v>
      </c>
      <c r="CI82" s="545">
        <f>IF(AND($B82&gt;=$FV82,$B82&lt;=$FW82),MAX(CF82,Sheet1!EJ84,0),MAX(CF82-(7/36)*$K82,0))</f>
        <v>0</v>
      </c>
      <c r="CJ82" s="560">
        <f t="shared" si="199"/>
        <v>10.076707497176614</v>
      </c>
      <c r="CK82" s="545">
        <f t="shared" si="200"/>
        <v>2.4921813917122755</v>
      </c>
      <c r="CL82" s="545">
        <f>IF(AND($O82&gt;0,Sheet1!EN84=1),(1-($O82-Sheet1!$L84)/$O82)*CF82,0)</f>
        <v>0</v>
      </c>
      <c r="CM82" s="545">
        <f>IF(AND(Sheet1!$L84=0,Sheet1!$L83=0, Calculation!CE82&lt;Sheet1!EJ84-0.1,Sheet1!EJ84=Sheet1!EJ83,Sheet1!EJ84=Sheet1!EJ85),Sheet1!EJ84,CF82-CL82)</f>
        <v>2.4921813917122755</v>
      </c>
      <c r="CN82" s="545"/>
      <c r="CO82" s="560"/>
      <c r="CP82" s="560">
        <f t="shared" si="201"/>
        <v>201.66981631299078</v>
      </c>
      <c r="CQ82" s="560"/>
      <c r="CR82" s="560">
        <f ca="1">IF(B82&gt;Summary!$A$1,#N/A,CP82*MGtoAF)</f>
        <v>618.72299644825569</v>
      </c>
      <c r="CS82" s="560">
        <f>Sheet1!BK84+Sheet1!BL84+Sheet1!BM84-Sheet1!ER84-DA82</f>
        <v>6.08</v>
      </c>
      <c r="CT82" s="560">
        <f t="shared" si="202"/>
        <v>6.0609851446442535</v>
      </c>
      <c r="CU82" s="560">
        <f>IF(Sheet1!ER84="FM",DA82,0)</f>
        <v>0</v>
      </c>
      <c r="CV82" s="560">
        <f t="shared" si="203"/>
        <v>0</v>
      </c>
      <c r="CW82" s="560">
        <f>IF(Sheet1!ER84="OTHER",DA82,0)</f>
        <v>0</v>
      </c>
      <c r="CX82" s="560">
        <f t="shared" si="204"/>
        <v>0</v>
      </c>
      <c r="CY82" s="560">
        <f t="shared" si="205"/>
        <v>6.08</v>
      </c>
      <c r="CZ82" s="560">
        <f t="shared" si="206"/>
        <v>6.0609851446442535</v>
      </c>
      <c r="DA82" s="560">
        <f>IF(OR(Sheet1!ER84="FM", Sheet1!ER84="OTHER"),SUM(Sheet1!BK84:'Sheet1'!BM84),0)</f>
        <v>0</v>
      </c>
      <c r="DB82" s="545">
        <f>IF(AND($B82&gt;=$FV82,$B82&lt;=$FW82),MAX($CT82,Sheet1!EK84,0),MAX($CT82-(7/36)*$K82,0))</f>
        <v>0</v>
      </c>
      <c r="DC82" s="560">
        <f t="shared" si="207"/>
        <v>6.5079037442446355</v>
      </c>
      <c r="DD82" s="545">
        <f t="shared" si="208"/>
        <v>6.0609851446442535</v>
      </c>
      <c r="DE82" s="545">
        <f>IF(AND($O82&gt;0,Sheet1!EO84=1),(1-($O82-Sheet1!$L84)/$O82)*CZ82,0)</f>
        <v>0</v>
      </c>
      <c r="DF82" s="545">
        <f>IF(AND(Sheet1!$L84=0,Sheet1!$L83=0, Calculation!CY82&lt;Sheet1!$EK84-0.1,Sheet1!$EK84=Sheet1!$EK83,Sheet1!$EK84=Sheet1!$EK85),Sheet1!$EK84,CZ82-DE82)</f>
        <v>6.0609851446442535</v>
      </c>
      <c r="DG82" s="545"/>
      <c r="DH82" s="560">
        <f t="shared" si="209"/>
        <v>8.58</v>
      </c>
      <c r="DI82" s="560">
        <f t="shared" si="210"/>
        <v>150.85549311805707</v>
      </c>
      <c r="DJ82" s="698">
        <f t="shared" si="211"/>
        <v>8.5531665363565281</v>
      </c>
      <c r="DK82" s="560">
        <f ca="1">IF(B82&gt;Summary!$A$1,#N/A,DI82*MGtoAF)</f>
        <v>462.82465288619909</v>
      </c>
      <c r="DL82" s="698">
        <f t="shared" si="212"/>
        <v>8.58</v>
      </c>
      <c r="DM82" s="560">
        <f t="shared" si="213"/>
        <v>25.58</v>
      </c>
      <c r="DN82" s="560">
        <f>Sheet1!AB84-DM82</f>
        <v>-7.9999999999998295E-2</v>
      </c>
      <c r="DO82" s="823">
        <f t="shared" si="214"/>
        <v>-3.1274433150898476E-3</v>
      </c>
      <c r="DP82" s="560">
        <f>(VLOOKUP(Sheet1!DC84,hhdcap_wcm,4)-(((VLOOKUP(Sheet1!DC84,hhdcap_wcm,3)-Sheet1!DC84)/(VLOOKUP(Sheet1!DC84,hhdcap_wcm,3)-VLOOKUP(Sheet1!DC84,hhdcap_wcm,1)))*(VLOOKUP(Sheet1!DC84,hhdcap_wcm,4)-VLOOKUP(Sheet1!DC84,hhdcap_wcm,2))))</f>
        <v>14648.00000003567</v>
      </c>
      <c r="DQ82" s="560">
        <f t="shared" si="215"/>
        <v>21.599999999327338</v>
      </c>
      <c r="DR82" s="560">
        <f t="shared" si="216"/>
        <v>10.892586989070768</v>
      </c>
      <c r="DS82" s="560">
        <f>Sheet1!EA84*AFtoMG</f>
        <v>0</v>
      </c>
      <c r="DT82" s="560">
        <f>Sheet1!EB84*AFtoMG</f>
        <v>0</v>
      </c>
      <c r="DU82" s="560">
        <f>Sheet1!EC84*AFtoMG</f>
        <v>0</v>
      </c>
      <c r="DV82" s="560">
        <f>Sheet1!ED84*AFtoMG</f>
        <v>0</v>
      </c>
      <c r="DW82" s="560">
        <f t="shared" si="217"/>
        <v>0</v>
      </c>
      <c r="DX82" s="560">
        <f t="shared" si="218"/>
        <v>0</v>
      </c>
      <c r="DY82" s="560">
        <f t="shared" si="219"/>
        <v>1142.5697538754923</v>
      </c>
      <c r="DZ82" s="560">
        <f t="shared" si="220"/>
        <v>3505.4040048900106</v>
      </c>
      <c r="EA82" s="560"/>
      <c r="EB82" s="545">
        <f>IF(OR(B82&lt;FV82,B82&gt;FW82),(MIN(BF82+BY82+CT82+MAX(Sheet1!AA84+AQ82-73,0),K82)),0)</f>
        <v>8.5531665363565281</v>
      </c>
      <c r="EC82" s="560"/>
      <c r="ED82" s="560">
        <f t="shared" si="221"/>
        <v>8.5531665363565281</v>
      </c>
      <c r="EE82" s="560"/>
      <c r="EF82" s="560">
        <f>Sheet1!EH84+Sheet1!EI84+Sheet1!EJ84+Sheet1!EK84</f>
        <v>8.58</v>
      </c>
      <c r="EG82" s="560"/>
      <c r="EH82" s="545">
        <f t="shared" si="222"/>
        <v>0</v>
      </c>
      <c r="EI82" s="560">
        <f>IF(Sheet1!ET84=1,SUM('Calculations II'!AT82:BA82)+'Calculations II'!BC82+Sheet1!BV84+'Calculations II'!BE82+AP82,SUM('Calculations II'!AT82:BA82)+'Calculations II'!BC82+Sheet1!BV84+'Calculations II'!BE82+AP82)</f>
        <v>47.365392</v>
      </c>
      <c r="EJ82" s="560">
        <f>Sheet1!AA84+Sheet1!AB84+'Calculations II'!BC82</f>
        <v>52.525391999999997</v>
      </c>
      <c r="EK82" s="560"/>
      <c r="EL82" s="560"/>
      <c r="EM82" s="560">
        <f t="shared" si="223"/>
        <v>41710</v>
      </c>
      <c r="EN82" s="560">
        <f t="shared" si="224"/>
        <v>56.086833463643472</v>
      </c>
      <c r="EO82" s="560">
        <f t="shared" si="225"/>
        <v>86.766331368256445</v>
      </c>
      <c r="EP82" s="560">
        <v>0</v>
      </c>
      <c r="EQ82" s="560">
        <v>0</v>
      </c>
      <c r="ER82" s="560">
        <v>0</v>
      </c>
      <c r="ES82" s="545">
        <f t="shared" si="247"/>
        <v>0.41563377526691925</v>
      </c>
      <c r="ET82" s="560">
        <f>-(VLOOKUP(Sheet1!BQ84,Lookup!$O$4:$Q$262,2)-VLOOKUP(Sheet1!BQ83,Lookup!$O$4:$Q$262,2))/1000000</f>
        <v>0.27709132006719334</v>
      </c>
      <c r="EU82" s="560">
        <f>-(VLOOKUP(Sheet1!BR84,Lookup!$O$4:$Q$262,3)-VLOOKUP(Sheet1!BR83,Lookup!$O$4:$Q$262,3))/1000000</f>
        <v>0.13854245519972594</v>
      </c>
      <c r="EV82" s="560"/>
      <c r="EW82" s="560"/>
      <c r="EX82" s="560"/>
      <c r="EY82" s="560"/>
      <c r="EZ82" s="560"/>
      <c r="FA82" s="560"/>
      <c r="FB82" s="560"/>
      <c r="FC82" s="560"/>
      <c r="FD82" s="594" t="e">
        <f t="shared" si="226"/>
        <v>#N/A</v>
      </c>
      <c r="FE82" s="594" t="e">
        <f t="shared" si="227"/>
        <v>#N/A</v>
      </c>
      <c r="FF82" s="595" t="e">
        <f t="shared" si="228"/>
        <v>#N/A</v>
      </c>
      <c r="FG82" s="596" t="s">
        <v>692</v>
      </c>
      <c r="FH82" s="596" t="s">
        <v>692</v>
      </c>
      <c r="FI82" s="594" t="e">
        <v>#N/A</v>
      </c>
      <c r="FJ82" s="594" t="e">
        <v>#N/A</v>
      </c>
      <c r="FK82" s="560"/>
      <c r="FL82" s="560"/>
      <c r="FM82" s="560"/>
      <c r="FN82" s="560"/>
      <c r="FO82" s="560">
        <f>O82+((Sheet1!CS84)*GPMtoMGD)</f>
        <v>52.525391999999997</v>
      </c>
      <c r="FP82" s="560">
        <f>IF(Sheet1!AA84+AQ82&lt;=Calculation!N82,AQ82,Calculation!N82-Sheet1!AA84)</f>
        <v>15.949960906958562</v>
      </c>
      <c r="FQ82" s="560">
        <f>(Sheet1!BP84+Sheet1!BO84)/694.4</f>
        <v>1.5200172811059909</v>
      </c>
      <c r="FR82" s="560"/>
      <c r="FS82" s="560"/>
      <c r="FT82" s="560"/>
      <c r="FU82" s="560"/>
      <c r="FV82" s="695">
        <f t="shared" si="248"/>
        <v>41827</v>
      </c>
      <c r="FW82" s="695">
        <f t="shared" si="249"/>
        <v>41934</v>
      </c>
      <c r="FX82" s="560"/>
      <c r="FY82" s="560"/>
      <c r="FZ82" s="560"/>
      <c r="GA82" s="560"/>
      <c r="GB82" s="560" t="str">
        <f t="shared" si="250"/>
        <v>n</v>
      </c>
      <c r="GC82" s="564">
        <f t="shared" si="251"/>
        <v>41691</v>
      </c>
      <c r="GD82" s="695">
        <f t="shared" si="252"/>
        <v>41807</v>
      </c>
      <c r="GE82" s="560">
        <v>6518.9</v>
      </c>
      <c r="GF82" s="695">
        <f t="shared" si="253"/>
        <v>41808</v>
      </c>
      <c r="GG82" s="560">
        <f t="shared" ref="GG82:GG145" si="272">GG81</f>
        <v>3259</v>
      </c>
      <c r="GH82" s="564">
        <f t="shared" si="254"/>
        <v>41934</v>
      </c>
      <c r="GJ82" s="545">
        <f t="shared" si="255"/>
        <v>0</v>
      </c>
      <c r="GK82" s="560" t="str">
        <f t="shared" si="229"/>
        <v/>
      </c>
      <c r="GL82" s="560">
        <f t="shared" si="256"/>
        <v>0</v>
      </c>
      <c r="GM82" s="560" t="str">
        <f t="shared" si="257"/>
        <v/>
      </c>
      <c r="GN82" s="560">
        <f>IF(GK82="P",Lookup!$M$12,IF(GK82="PP",Lookup!$M$13,IF(GK82="PPP",Lookup!$M$14,IF(GK82="T",Lookup!$M$15,IF(GK82="TP",Lookup!$M$16,IF(GK82="TPP",Lookup!$M$17,IF(GK82="TPPP",Lookup!$M$18,0)))))))*GJ82</f>
        <v>0</v>
      </c>
      <c r="GO82" s="560">
        <f t="shared" si="258"/>
        <v>0</v>
      </c>
      <c r="GP82" s="560">
        <f t="shared" si="230"/>
        <v>1652.6293333333333</v>
      </c>
      <c r="GQ82" s="560">
        <f t="shared" si="266"/>
        <v>538.66666666666663</v>
      </c>
      <c r="GR82" s="560"/>
      <c r="GS82" s="560">
        <f t="shared" si="259"/>
        <v>0</v>
      </c>
      <c r="GT82" s="560" t="str">
        <f t="shared" si="260"/>
        <v/>
      </c>
      <c r="GU82" s="560">
        <f>IF(GK82="P",Lookup!$N$12,IF(GK82="PP",Lookup!$N$13,IF(GK82="PPP",Lookup!$N$14,IF(GK82="T",Lookup!$N$15,IF(GK82="TP",Lookup!$N$16,IF(GK82="TPP",Lookup!$N$17,IF(GK82="TPPP",Lookup!$N$18,0)))))))*GJ82</f>
        <v>0</v>
      </c>
      <c r="GV82" s="560">
        <f t="shared" si="261"/>
        <v>0</v>
      </c>
      <c r="GW82" s="560">
        <f t="shared" si="231"/>
        <v>771.22702222222233</v>
      </c>
      <c r="GX82" s="560">
        <f t="shared" si="267"/>
        <v>251.37777777777782</v>
      </c>
      <c r="GY82" s="560"/>
      <c r="GZ82" s="560">
        <f t="shared" si="262"/>
        <v>0</v>
      </c>
      <c r="HA82" s="560" t="str">
        <f t="shared" si="263"/>
        <v/>
      </c>
      <c r="HB82" s="560">
        <f>IF(GK82="P",Lookup!$N$12,IF(GK82="PP",Lookup!$N$13,IF(GK82="PPP",Lookup!$N$14,IF(GK82="T",Lookup!$N$15,IF(GK82="TP",Lookup!$N$16,IF(GK82="TPP",Lookup!$N$17,IF(GK82="TPPP",Lookup!$N$18,0)))))))*GJ82</f>
        <v>0</v>
      </c>
      <c r="HC82" s="545">
        <f t="shared" si="232"/>
        <v>0</v>
      </c>
      <c r="HD82" s="560">
        <f t="shared" si="233"/>
        <v>618.72299644825569</v>
      </c>
      <c r="HE82" s="560">
        <f t="shared" si="268"/>
        <v>201.66981631299078</v>
      </c>
      <c r="HF82" s="560"/>
      <c r="HG82" s="560">
        <f t="shared" si="264"/>
        <v>0</v>
      </c>
      <c r="HH82" s="560" t="str">
        <f t="shared" si="265"/>
        <v/>
      </c>
      <c r="HI82" s="560">
        <f>IF(GK82="P",Lookup!$N$12,IF(GK82="PP",Lookup!$N$13,IF(GK82="PPP",Lookup!$N$14,IF(GK82="T",Lookup!$N$15,IF(GK82="TP",Lookup!$N$16,IF(GK82="TPP",Lookup!$N$17,IF(GK82="TPPP",Lookup!$N$18,0)))))))*GJ82</f>
        <v>0</v>
      </c>
      <c r="HJ82" s="545">
        <f t="shared" si="234"/>
        <v>0</v>
      </c>
      <c r="HK82" s="560">
        <f t="shared" si="235"/>
        <v>462.82465288619909</v>
      </c>
      <c r="HL82" s="560">
        <f t="shared" si="269"/>
        <v>150.85549311805707</v>
      </c>
      <c r="HM82" s="560"/>
    </row>
    <row r="83" spans="1:221">
      <c r="A83" s="580" t="s">
        <v>7</v>
      </c>
      <c r="B83" s="556">
        <v>41711</v>
      </c>
      <c r="C83" s="561">
        <v>0</v>
      </c>
      <c r="D83" s="529">
        <f t="shared" si="270"/>
        <v>300</v>
      </c>
      <c r="E83" s="529">
        <f t="shared" si="271"/>
        <v>250</v>
      </c>
      <c r="F83" s="529">
        <v>250</v>
      </c>
      <c r="G83" s="560">
        <f>DR83+Sheet1!CZ85</f>
        <v>1971.8608169435061</v>
      </c>
      <c r="H83" s="914">
        <f t="shared" si="236"/>
        <v>1007.6476320722822</v>
      </c>
      <c r="I83" s="559">
        <f>MAX(Sheet1!Z85-AT83+(Sheet1!DA85-E83)*CFStoMGD,0)</f>
        <v>2320.2199999999998</v>
      </c>
      <c r="J83" s="562">
        <f>IF(AND(B83&gt;=Calculation!GC83,B83&lt;=Calculation!GD83),IF(Sheet1!DB85&gt;=Calculation!D83,64.64,0),MAX(Sheet1!Z85-AT83+(Sheet1!DB85-D83)*CFStoMGD,0))</f>
        <v>64.64</v>
      </c>
      <c r="K83" s="904">
        <f t="shared" si="171"/>
        <v>64.64</v>
      </c>
      <c r="L83" s="560">
        <f>Sheet1!AA85+Sheet1!AB85-Sheet1!L85+(Sheet1!DA85-F83)*CFStoMGD</f>
        <v>2294.7199999999998</v>
      </c>
      <c r="M83" s="560">
        <f t="shared" si="172"/>
        <v>1300.103048713728</v>
      </c>
      <c r="N83" s="910">
        <f>IF(Sheet1!DA85&gt;=F83,MIN(73,MIN(MAX(L83,0),MAX(M83,0))),0)</f>
        <v>73</v>
      </c>
      <c r="O83" s="563">
        <f>Sheet1!AA85+Sheet1!AB85</f>
        <v>46.959999999999994</v>
      </c>
      <c r="P83" s="563">
        <f t="shared" si="173"/>
        <v>72.647120000000001</v>
      </c>
      <c r="Q83" s="898">
        <f t="shared" si="237"/>
        <v>38.379999999999995</v>
      </c>
      <c r="R83" s="829">
        <f t="shared" si="174"/>
        <v>8.5766445052796243</v>
      </c>
      <c r="S83" s="898">
        <f t="shared" si="238"/>
        <v>8.58</v>
      </c>
      <c r="T83" s="898">
        <f t="shared" si="239"/>
        <v>56.06</v>
      </c>
      <c r="U83" s="898">
        <f t="shared" si="240"/>
        <v>0</v>
      </c>
      <c r="V83" s="898"/>
      <c r="W83" s="898">
        <f t="shared" si="241"/>
        <v>56.063355494720376</v>
      </c>
      <c r="X83" s="898">
        <f t="shared" si="242"/>
        <v>64.64</v>
      </c>
      <c r="Y83" s="898" t="str">
        <f t="shared" si="243"/>
        <v>FALSE</v>
      </c>
      <c r="Z83" s="898">
        <f t="shared" si="244"/>
        <v>46.959999999999994</v>
      </c>
      <c r="AA83" s="898">
        <f t="shared" si="245"/>
        <v>46.959999999999994</v>
      </c>
      <c r="AB83" s="898" t="str">
        <f t="shared" si="246"/>
        <v/>
      </c>
      <c r="AC83" s="563">
        <f>Sheet1!Y85*MGDtoCFS</f>
        <v>32.904689999999995</v>
      </c>
      <c r="AD83" s="563">
        <f>Sheet1!Z85*MGDtoCFS</f>
        <v>39.448499999999996</v>
      </c>
      <c r="AE83" s="563">
        <f>Sheet1!AA85*MGDtoCFS</f>
        <v>33.105799999999995</v>
      </c>
      <c r="AF83" s="563">
        <f>Sheet1!AB85*MGDtoCFS</f>
        <v>39.541319999999999</v>
      </c>
      <c r="AG83" s="563">
        <f>Sheet1!L85*MGDtoCFS</f>
        <v>72.647119999999987</v>
      </c>
      <c r="AH83" s="545">
        <f t="shared" si="175"/>
        <v>0</v>
      </c>
      <c r="AI83" s="560">
        <f t="shared" si="176"/>
        <v>0</v>
      </c>
      <c r="AJ83" s="560">
        <f t="shared" si="177"/>
        <v>56.063355494720376</v>
      </c>
      <c r="AK83" s="560">
        <f t="shared" si="178"/>
        <v>86.730010950332414</v>
      </c>
      <c r="AL83" s="560">
        <f>(VLOOKUP(Sheet1!DC85,hhdcap_wcm,4)-(((VLOOKUP(Sheet1!DC85,hhdcap_wcm,3)-Sheet1!DC85)/(VLOOKUP(Sheet1!DC85,hhdcap_wcm,3)-VLOOKUP(Sheet1!DC85,hhdcap_wcm,1)))*(VLOOKUP(Sheet1!DC85,hhdcap_wcm,4)-VLOOKUP(Sheet1!DC85,hhdcap_wcm,2))))</f>
        <v>14195.600000034643</v>
      </c>
      <c r="AM83" s="560">
        <f t="shared" si="179"/>
        <v>-452.40000000102737</v>
      </c>
      <c r="AN83" s="560">
        <f t="shared" si="180"/>
        <v>1198.6331093702127</v>
      </c>
      <c r="AO83" s="560">
        <f t="shared" si="181"/>
        <v>3677.4063795478123</v>
      </c>
      <c r="AP83" s="560">
        <f>Sheet1!BA85+Sheet1!BB85+Sheet1!BN85+CD83</f>
        <v>16.989999999999998</v>
      </c>
      <c r="AQ83" s="560">
        <f>Sheet1!BN85+(DO83*Sheet1!BN85)</f>
        <v>15.99374266718811</v>
      </c>
      <c r="AR83" s="560">
        <f>Sheet1!BA85+CD83</f>
        <v>0</v>
      </c>
      <c r="AS83" s="560">
        <f>Sheet1!BA85+Sheet1!BB85+CD83</f>
        <v>0.99</v>
      </c>
      <c r="AT83" s="698">
        <f>0</f>
        <v>0</v>
      </c>
      <c r="AU83" s="560">
        <f>IF(EB83&lt;K83,0,MAX(Sheet1!AA85+AQ83-15/36*K83-N83,Sheet1!EH85,0))</f>
        <v>0</v>
      </c>
      <c r="AV83" s="560">
        <f>IF(OR(B83&gt;=GD83,B83&lt;GC83),0,15/36*K83-MAX(0,64.6-(137.6-(Sheet1!AA85+Sheet1!AB85))))</f>
        <v>26.933333333333334</v>
      </c>
      <c r="AW83" s="698">
        <f>Sheet1!DB85-110</f>
        <v>2090</v>
      </c>
      <c r="AX83" s="698">
        <f>Sheet1!DA85-265</f>
        <v>3535</v>
      </c>
      <c r="AY83" s="698">
        <f t="shared" si="182"/>
        <v>34.620000000000005</v>
      </c>
      <c r="AZ83" s="698">
        <v>0</v>
      </c>
      <c r="BA83" s="698">
        <f t="shared" si="183"/>
        <v>0</v>
      </c>
      <c r="BB83" s="560">
        <f t="shared" si="184"/>
        <v>565.59999999999991</v>
      </c>
      <c r="BC83" s="560"/>
      <c r="BD83" s="560">
        <f ca="1">IF(B83&gt;Summary!$A$1,#N/A,BB83*MGtoAF)</f>
        <v>1735.2607999999998</v>
      </c>
      <c r="BE83" s="560">
        <f>Sheet1!BG85+Sheet1!BH85+Sheet1!BI85-BM83</f>
        <v>0</v>
      </c>
      <c r="BF83" s="560">
        <f t="shared" si="185"/>
        <v>0</v>
      </c>
      <c r="BG83" s="560">
        <f>IF(Sheet1!EP85="FM",BM83,0)</f>
        <v>0</v>
      </c>
      <c r="BH83" s="560">
        <f t="shared" si="186"/>
        <v>0</v>
      </c>
      <c r="BI83" s="560">
        <f>IF(Sheet1!EP85="OTHER",BM83,0)</f>
        <v>0</v>
      </c>
      <c r="BJ83" s="560">
        <f t="shared" si="187"/>
        <v>0</v>
      </c>
      <c r="BK83" s="560">
        <f t="shared" si="188"/>
        <v>0</v>
      </c>
      <c r="BL83" s="560">
        <f t="shared" si="189"/>
        <v>0</v>
      </c>
      <c r="BM83" s="560">
        <f>IF(OR(Sheet1!EP85="FM", Sheet1!EP85="OTHER"),SUM(Sheet1!BG85:'Sheet1'!BI85),0)</f>
        <v>0</v>
      </c>
      <c r="BN83" s="545">
        <f>IF(AND($B83&gt;=$FV83,$B83&lt;=$FW83),MAX(BF83,Sheet1!EI85,0),MAX(BF83-(7/36)*$K83,0))</f>
        <v>0</v>
      </c>
      <c r="BO83" s="560">
        <f t="shared" si="190"/>
        <v>12.568888888888889</v>
      </c>
      <c r="BP83" s="545">
        <f t="shared" si="191"/>
        <v>0</v>
      </c>
      <c r="BQ83" s="545">
        <f>IF(AND($O83&gt;0,Sheet1!EM85=1),(1-($O83-Sheet1!$L85)/$O83)*BL83,0)</f>
        <v>0</v>
      </c>
      <c r="BR83" s="545">
        <f>IF(AND(Sheet1!$L85=0,Sheet1!$L84=0, Calculation!BK83&lt;Sheet1!$EI85-0.1,Sheet1!$EI85=Sheet1!$EI84,Sheet1!$EI85=Sheet1!$EI86),Sheet1!$EI85,BL83-BQ83)</f>
        <v>0</v>
      </c>
      <c r="BS83" s="560"/>
      <c r="BT83" s="560"/>
      <c r="BU83" s="560">
        <f t="shared" si="192"/>
        <v>263.94666666666672</v>
      </c>
      <c r="BV83" s="560"/>
      <c r="BW83" s="560">
        <f ca="1">IF(B83&gt;Summary!$A$1,#N/A,BU83*MGtoAF)</f>
        <v>809.78837333333354</v>
      </c>
      <c r="BX83" s="560">
        <f>Sheet1!BC85+Sheet1!BD85+Sheet1!BE85+Sheet1!BF85-CG83-CH83</f>
        <v>2.5</v>
      </c>
      <c r="BY83" s="560">
        <f t="shared" si="193"/>
        <v>2.4990222917481422</v>
      </c>
      <c r="BZ83" s="560">
        <f>IF(Sheet1!EQ85="FM",CH83,0)</f>
        <v>0</v>
      </c>
      <c r="CA83" s="560">
        <f t="shared" si="194"/>
        <v>0</v>
      </c>
      <c r="CB83" s="560">
        <f>IF(Sheet1!EQ85="OTHER",CH83,0)</f>
        <v>0</v>
      </c>
      <c r="CC83" s="560">
        <f t="shared" si="195"/>
        <v>0</v>
      </c>
      <c r="CD83" s="560">
        <f t="shared" si="196"/>
        <v>0</v>
      </c>
      <c r="CE83" s="560">
        <f t="shared" si="197"/>
        <v>2.5</v>
      </c>
      <c r="CF83" s="560">
        <f t="shared" si="198"/>
        <v>2.4990222917481422</v>
      </c>
      <c r="CG83" s="560">
        <f>IF(Sheet1!EQ85="CWA",SUM(Sheet1!BC85:'Sheet1'!BF85),0)</f>
        <v>0</v>
      </c>
      <c r="CH83" s="560">
        <f>IF(OR(Sheet1!EQ85="FM", Sheet1!EQ85="OTHER"),SUM(Sheet1!BC85:'Sheet1'!BF85),0)</f>
        <v>0</v>
      </c>
      <c r="CI83" s="545">
        <f>IF(AND($B83&gt;=$FV83,$B83&lt;=$FW83),MAX(CF83,Sheet1!EJ85,0),MAX(CF83-(7/36)*$K83,0))</f>
        <v>0</v>
      </c>
      <c r="CJ83" s="560">
        <f t="shared" si="199"/>
        <v>10.069866597140747</v>
      </c>
      <c r="CK83" s="545">
        <f t="shared" si="200"/>
        <v>2.4990222917481422</v>
      </c>
      <c r="CL83" s="545">
        <f>IF(AND($O83&gt;0,Sheet1!EN85=1),(1-($O83-Sheet1!$L85)/$O83)*CF83,0)</f>
        <v>0</v>
      </c>
      <c r="CM83" s="545">
        <f>IF(AND(Sheet1!$L85=0,Sheet1!$L84=0, Calculation!CE83&lt;Sheet1!EJ85-0.1,Sheet1!EJ85=Sheet1!EJ84,Sheet1!EJ85=Sheet1!EJ86),Sheet1!EJ85,CF83-CL83)</f>
        <v>2.4990222917481422</v>
      </c>
      <c r="CN83" s="545"/>
      <c r="CO83" s="560"/>
      <c r="CP83" s="560">
        <f t="shared" si="201"/>
        <v>211.73968291013153</v>
      </c>
      <c r="CQ83" s="560"/>
      <c r="CR83" s="560">
        <f ca="1">IF(B83&gt;Summary!$A$1,#N/A,CP83*MGtoAF)</f>
        <v>649.61734716828357</v>
      </c>
      <c r="CS83" s="560">
        <f>Sheet1!BK85+Sheet1!BL85+Sheet1!BM85-Sheet1!ER85-DA83</f>
        <v>6.08</v>
      </c>
      <c r="CT83" s="560">
        <f t="shared" si="202"/>
        <v>6.0776222135314821</v>
      </c>
      <c r="CU83" s="560">
        <f>IF(Sheet1!ER85="FM",DA83,0)</f>
        <v>0</v>
      </c>
      <c r="CV83" s="560">
        <f t="shared" si="203"/>
        <v>0</v>
      </c>
      <c r="CW83" s="560">
        <f>IF(Sheet1!ER85="OTHER",DA83,0)</f>
        <v>0</v>
      </c>
      <c r="CX83" s="560">
        <f t="shared" si="204"/>
        <v>0</v>
      </c>
      <c r="CY83" s="560">
        <f t="shared" si="205"/>
        <v>6.08</v>
      </c>
      <c r="CZ83" s="560">
        <f t="shared" si="206"/>
        <v>6.0776222135314821</v>
      </c>
      <c r="DA83" s="560">
        <f>IF(OR(Sheet1!ER85="FM", Sheet1!ER85="OTHER"),SUM(Sheet1!BK85:'Sheet1'!BM85),0)</f>
        <v>0</v>
      </c>
      <c r="DB83" s="545">
        <f>IF(AND($B83&gt;=$FV83,$B83&lt;=$FW83),MAX($CT83,Sheet1!EK85,0),MAX($CT83-(7/36)*$K83,0))</f>
        <v>0</v>
      </c>
      <c r="DC83" s="560">
        <f t="shared" si="207"/>
        <v>6.4912666753574069</v>
      </c>
      <c r="DD83" s="545">
        <f t="shared" si="208"/>
        <v>6.0776222135314821</v>
      </c>
      <c r="DE83" s="545">
        <f>IF(AND($O83&gt;0,Sheet1!EO85=1),(1-($O83-Sheet1!$L85)/$O83)*CZ83,0)</f>
        <v>0</v>
      </c>
      <c r="DF83" s="545">
        <f>IF(AND(Sheet1!$L85=0,Sheet1!$L84=0, Calculation!CY83&lt;Sheet1!$EK85-0.1,Sheet1!$EK85=Sheet1!$EK84,Sheet1!$EK85=Sheet1!$EK86),Sheet1!$EK85,CZ83-DE83)</f>
        <v>6.0776222135314821</v>
      </c>
      <c r="DG83" s="545"/>
      <c r="DH83" s="560">
        <f t="shared" si="209"/>
        <v>8.58</v>
      </c>
      <c r="DI83" s="560">
        <f t="shared" si="210"/>
        <v>157.34675979341446</v>
      </c>
      <c r="DJ83" s="698">
        <f t="shared" si="211"/>
        <v>8.5766445052796243</v>
      </c>
      <c r="DK83" s="560">
        <f ca="1">IF(B83&gt;Summary!$A$1,#N/A,DI83*MGtoAF)</f>
        <v>482.73985904619559</v>
      </c>
      <c r="DL83" s="698">
        <f t="shared" si="212"/>
        <v>8.58</v>
      </c>
      <c r="DM83" s="560">
        <f t="shared" si="213"/>
        <v>25.57</v>
      </c>
      <c r="DN83" s="560">
        <f>Sheet1!AB85-DM83</f>
        <v>-1.0000000000001563E-2</v>
      </c>
      <c r="DO83" s="823">
        <f t="shared" si="214"/>
        <v>-3.910833007431194E-4</v>
      </c>
      <c r="DP83" s="560">
        <f>(VLOOKUP(Sheet1!DC85,hhdcap_wcm,4)-(((VLOOKUP(Sheet1!DC85,hhdcap_wcm,3)-Sheet1!DC85)/(VLOOKUP(Sheet1!DC85,hhdcap_wcm,3)-VLOOKUP(Sheet1!DC85,hhdcap_wcm,1)))*(VLOOKUP(Sheet1!DC85,hhdcap_wcm,4)-VLOOKUP(Sheet1!DC85,hhdcap_wcm,2))))</f>
        <v>14195.600000034643</v>
      </c>
      <c r="DQ83" s="560">
        <f t="shared" si="215"/>
        <v>-452.40000000102737</v>
      </c>
      <c r="DR83" s="560">
        <f t="shared" si="216"/>
        <v>-228.13918305649386</v>
      </c>
      <c r="DS83" s="560">
        <f>Sheet1!EA85*AFtoMG</f>
        <v>0</v>
      </c>
      <c r="DT83" s="560">
        <f>Sheet1!EB85*AFtoMG</f>
        <v>0</v>
      </c>
      <c r="DU83" s="560">
        <f>Sheet1!EC85*AFtoMG</f>
        <v>0</v>
      </c>
      <c r="DV83" s="560">
        <f>Sheet1!ED85*AFtoMG</f>
        <v>0</v>
      </c>
      <c r="DW83" s="560">
        <f t="shared" si="217"/>
        <v>0</v>
      </c>
      <c r="DX83" s="560">
        <f t="shared" si="218"/>
        <v>0</v>
      </c>
      <c r="DY83" s="560">
        <f t="shared" si="219"/>
        <v>1198.6331093702127</v>
      </c>
      <c r="DZ83" s="560">
        <f t="shared" si="220"/>
        <v>3677.4063795478123</v>
      </c>
      <c r="EA83" s="560"/>
      <c r="EB83" s="545">
        <f>IF(OR(B83&lt;FV83,B83&gt;FW83),(MIN(BF83+BY83+CT83+MAX(Sheet1!AA85+AQ83-73,0),K83)),0)</f>
        <v>8.5766445052796243</v>
      </c>
      <c r="EC83" s="560"/>
      <c r="ED83" s="560">
        <f t="shared" si="221"/>
        <v>8.5766445052796243</v>
      </c>
      <c r="EE83" s="560"/>
      <c r="EF83" s="560">
        <f>Sheet1!EH85+Sheet1!EI85+Sheet1!EJ85+Sheet1!EK85</f>
        <v>8.58</v>
      </c>
      <c r="EG83" s="560"/>
      <c r="EH83" s="545">
        <f t="shared" si="222"/>
        <v>0</v>
      </c>
      <c r="EI83" s="560">
        <f>IF(Sheet1!ET85=1,SUM('Calculations II'!AT83:BA83)+'Calculations II'!BC83+Sheet1!BV85+'Calculations II'!BE83+AP83,SUM('Calculations II'!AT83:BA83)+'Calculations II'!BC83+Sheet1!BV85+'Calculations II'!BE83+AP83)</f>
        <v>51.271664000000001</v>
      </c>
      <c r="EJ83" s="560">
        <f>Sheet1!AA85+Sheet1!AB85+'Calculations II'!BC83</f>
        <v>53.791215999999991</v>
      </c>
      <c r="EK83" s="560"/>
      <c r="EL83" s="560"/>
      <c r="EM83" s="560">
        <f t="shared" si="223"/>
        <v>41711</v>
      </c>
      <c r="EN83" s="560">
        <f t="shared" si="224"/>
        <v>56.063355494720376</v>
      </c>
      <c r="EO83" s="560">
        <f t="shared" si="225"/>
        <v>86.730010950332414</v>
      </c>
      <c r="EP83" s="560">
        <v>0</v>
      </c>
      <c r="EQ83" s="560">
        <v>0</v>
      </c>
      <c r="ER83" s="560">
        <v>0</v>
      </c>
      <c r="ES83" s="545">
        <f t="shared" si="247"/>
        <v>2.9086160641842147</v>
      </c>
      <c r="ET83" s="560">
        <f>-(VLOOKUP(Sheet1!BQ85,Lookup!$O$4:$Q$262,2)-VLOOKUP(Sheet1!BQ84,Lookup!$O$4:$Q$262,2))/1000000</f>
        <v>1.3850720527874232</v>
      </c>
      <c r="EU83" s="560">
        <f>-(VLOOKUP(Sheet1!BR85,Lookup!$O$4:$Q$262,3)-VLOOKUP(Sheet1!BR84,Lookup!$O$4:$Q$262,3))/1000000</f>
        <v>1.5235440113967917</v>
      </c>
      <c r="EV83" s="560"/>
      <c r="EW83" s="560"/>
      <c r="EX83" s="560"/>
      <c r="EY83" s="560"/>
      <c r="EZ83" s="560"/>
      <c r="FA83" s="560"/>
      <c r="FB83" s="560"/>
      <c r="FC83" s="560"/>
      <c r="FD83" s="594" t="e">
        <f t="shared" si="226"/>
        <v>#N/A</v>
      </c>
      <c r="FE83" s="594" t="e">
        <f t="shared" si="227"/>
        <v>#N/A</v>
      </c>
      <c r="FF83" s="595" t="e">
        <f t="shared" si="228"/>
        <v>#N/A</v>
      </c>
      <c r="FG83" s="596" t="s">
        <v>692</v>
      </c>
      <c r="FH83" s="596" t="s">
        <v>692</v>
      </c>
      <c r="FI83" s="594" t="e">
        <v>#N/A</v>
      </c>
      <c r="FJ83" s="594" t="e">
        <v>#N/A</v>
      </c>
      <c r="FK83" s="560"/>
      <c r="FL83" s="560"/>
      <c r="FM83" s="560"/>
      <c r="FN83" s="560"/>
      <c r="FO83" s="560">
        <f>O83+((Sheet1!CS85)*GPMtoMGD)</f>
        <v>53.791215999999991</v>
      </c>
      <c r="FP83" s="560">
        <f>IF(Sheet1!AA85+AQ83&lt;=Calculation!N83,AQ83,Calculation!N83-Sheet1!AA85)</f>
        <v>15.99374266718811</v>
      </c>
      <c r="FQ83" s="560">
        <f>(Sheet1!BP85+Sheet1!BO85)/694.4</f>
        <v>1.5136808755760367</v>
      </c>
      <c r="FR83" s="560"/>
      <c r="FS83" s="560"/>
      <c r="FT83" s="560"/>
      <c r="FU83" s="560"/>
      <c r="FV83" s="695">
        <f t="shared" si="248"/>
        <v>41827</v>
      </c>
      <c r="FW83" s="695">
        <f t="shared" si="249"/>
        <v>41934</v>
      </c>
      <c r="FX83" s="560"/>
      <c r="FY83" s="560"/>
      <c r="FZ83" s="560"/>
      <c r="GA83" s="560"/>
      <c r="GB83" s="560" t="str">
        <f t="shared" si="250"/>
        <v>n</v>
      </c>
      <c r="GC83" s="564">
        <f t="shared" si="251"/>
        <v>41691</v>
      </c>
      <c r="GD83" s="695">
        <f t="shared" si="252"/>
        <v>41807</v>
      </c>
      <c r="GE83" s="560">
        <v>6518.9</v>
      </c>
      <c r="GF83" s="695">
        <f t="shared" si="253"/>
        <v>41808</v>
      </c>
      <c r="GG83" s="560">
        <f t="shared" si="272"/>
        <v>3259</v>
      </c>
      <c r="GH83" s="564">
        <f t="shared" si="254"/>
        <v>41934</v>
      </c>
      <c r="GJ83" s="545">
        <f t="shared" si="255"/>
        <v>0</v>
      </c>
      <c r="GK83" s="560" t="str">
        <f t="shared" si="229"/>
        <v/>
      </c>
      <c r="GL83" s="560">
        <f t="shared" si="256"/>
        <v>0</v>
      </c>
      <c r="GM83" s="560" t="str">
        <f t="shared" si="257"/>
        <v/>
      </c>
      <c r="GN83" s="560">
        <f>IF(GK83="P",Lookup!$M$12,IF(GK83="PP",Lookup!$M$13,IF(GK83="PPP",Lookup!$M$14,IF(GK83="T",Lookup!$M$15,IF(GK83="TP",Lookup!$M$16,IF(GK83="TPP",Lookup!$M$17,IF(GK83="TPPP",Lookup!$M$18,0)))))))*GJ83</f>
        <v>0</v>
      </c>
      <c r="GO83" s="560">
        <f t="shared" si="258"/>
        <v>0</v>
      </c>
      <c r="GP83" s="560">
        <f t="shared" si="230"/>
        <v>1735.2607999999998</v>
      </c>
      <c r="GQ83" s="560">
        <f t="shared" si="266"/>
        <v>565.59999999999991</v>
      </c>
      <c r="GR83" s="560"/>
      <c r="GS83" s="560">
        <f t="shared" si="259"/>
        <v>0</v>
      </c>
      <c r="GT83" s="560" t="str">
        <f t="shared" si="260"/>
        <v/>
      </c>
      <c r="GU83" s="560">
        <f>IF(GK83="P",Lookup!$N$12,IF(GK83="PP",Lookup!$N$13,IF(GK83="PPP",Lookup!$N$14,IF(GK83="T",Lookup!$N$15,IF(GK83="TP",Lookup!$N$16,IF(GK83="TPP",Lookup!$N$17,IF(GK83="TPPP",Lookup!$N$18,0)))))))*GJ83</f>
        <v>0</v>
      </c>
      <c r="GV83" s="560">
        <f t="shared" si="261"/>
        <v>0</v>
      </c>
      <c r="GW83" s="560">
        <f t="shared" si="231"/>
        <v>809.78837333333354</v>
      </c>
      <c r="GX83" s="560">
        <f t="shared" si="267"/>
        <v>263.94666666666672</v>
      </c>
      <c r="GY83" s="560"/>
      <c r="GZ83" s="560">
        <f t="shared" si="262"/>
        <v>0</v>
      </c>
      <c r="HA83" s="560" t="str">
        <f t="shared" si="263"/>
        <v/>
      </c>
      <c r="HB83" s="560">
        <f>IF(GK83="P",Lookup!$N$12,IF(GK83="PP",Lookup!$N$13,IF(GK83="PPP",Lookup!$N$14,IF(GK83="T",Lookup!$N$15,IF(GK83="TP",Lookup!$N$16,IF(GK83="TPP",Lookup!$N$17,IF(GK83="TPPP",Lookup!$N$18,0)))))))*GJ83</f>
        <v>0</v>
      </c>
      <c r="HC83" s="545">
        <f t="shared" si="232"/>
        <v>0</v>
      </c>
      <c r="HD83" s="560">
        <f t="shared" si="233"/>
        <v>649.61734716828357</v>
      </c>
      <c r="HE83" s="560">
        <f t="shared" si="268"/>
        <v>211.73968291013153</v>
      </c>
      <c r="HF83" s="560"/>
      <c r="HG83" s="560">
        <f t="shared" si="264"/>
        <v>0</v>
      </c>
      <c r="HH83" s="560" t="str">
        <f t="shared" si="265"/>
        <v/>
      </c>
      <c r="HI83" s="560">
        <f>IF(GK83="P",Lookup!$N$12,IF(GK83="PP",Lookup!$N$13,IF(GK83="PPP",Lookup!$N$14,IF(GK83="T",Lookup!$N$15,IF(GK83="TP",Lookup!$N$16,IF(GK83="TPP",Lookup!$N$17,IF(GK83="TPPP",Lookup!$N$18,0)))))))*GJ83</f>
        <v>0</v>
      </c>
      <c r="HJ83" s="545">
        <f t="shared" si="234"/>
        <v>0</v>
      </c>
      <c r="HK83" s="560">
        <f t="shared" si="235"/>
        <v>482.73985904619559</v>
      </c>
      <c r="HL83" s="560">
        <f t="shared" si="269"/>
        <v>157.34675979341446</v>
      </c>
      <c r="HM83" s="560"/>
    </row>
    <row r="84" spans="1:221">
      <c r="A84" s="580" t="s">
        <v>8</v>
      </c>
      <c r="B84" s="556">
        <v>41712</v>
      </c>
      <c r="C84" s="561">
        <v>0</v>
      </c>
      <c r="D84" s="529">
        <f t="shared" si="270"/>
        <v>300</v>
      </c>
      <c r="E84" s="529">
        <f t="shared" si="271"/>
        <v>250</v>
      </c>
      <c r="F84" s="529">
        <v>250</v>
      </c>
      <c r="G84" s="560">
        <f>DR84+Sheet1!CZ86</f>
        <v>2862.2793746858024</v>
      </c>
      <c r="H84" s="914">
        <f t="shared" si="236"/>
        <v>1583.2141877969027</v>
      </c>
      <c r="I84" s="559">
        <f>MAX(Sheet1!Z86-AT84+(Sheet1!DA86-E84)*CFStoMGD,0)</f>
        <v>2507.7660000000001</v>
      </c>
      <c r="J84" s="562">
        <f>IF(AND(B84&gt;=Calculation!GC84,B84&lt;=Calculation!GD84),IF(Sheet1!DB86&gt;=Calculation!D84,64.64,0),MAX(Sheet1!Z86-AT84+(Sheet1!DB86-D84)*CFStoMGD,0))</f>
        <v>64.64</v>
      </c>
      <c r="K84" s="904">
        <f t="shared" si="171"/>
        <v>64.64</v>
      </c>
      <c r="L84" s="560">
        <f>Sheet1!AA86+Sheet1!AB86-Sheet1!L86+(Sheet1!DA86-F84)*CFStoMGD</f>
        <v>2482.1759999999999</v>
      </c>
      <c r="M84" s="560">
        <f t="shared" si="172"/>
        <v>1887.1809355528408</v>
      </c>
      <c r="N84" s="910">
        <f>IF(Sheet1!DA86&gt;=F84,MIN(73,MIN(MAX(L84,0),MAX(M84,0))),0)</f>
        <v>73</v>
      </c>
      <c r="O84" s="563">
        <f>Sheet1!AA86+Sheet1!AB86</f>
        <v>46.8</v>
      </c>
      <c r="P84" s="563">
        <f t="shared" si="173"/>
        <v>72.399599999999992</v>
      </c>
      <c r="Q84" s="898">
        <f t="shared" si="237"/>
        <v>38.229999999999997</v>
      </c>
      <c r="R84" s="829">
        <f t="shared" si="174"/>
        <v>8.5565779169929534</v>
      </c>
      <c r="S84" s="898">
        <f t="shared" si="238"/>
        <v>8.57</v>
      </c>
      <c r="T84" s="898">
        <f t="shared" si="239"/>
        <v>56.07</v>
      </c>
      <c r="U84" s="898">
        <f t="shared" si="240"/>
        <v>0</v>
      </c>
      <c r="V84" s="898"/>
      <c r="W84" s="898">
        <f t="shared" si="241"/>
        <v>56.083422083007051</v>
      </c>
      <c r="X84" s="898">
        <f t="shared" si="242"/>
        <v>64.64</v>
      </c>
      <c r="Y84" s="898" t="str">
        <f t="shared" si="243"/>
        <v>FALSE</v>
      </c>
      <c r="Z84" s="898">
        <f t="shared" si="244"/>
        <v>46.8</v>
      </c>
      <c r="AA84" s="898">
        <f t="shared" si="245"/>
        <v>46.8</v>
      </c>
      <c r="AB84" s="898" t="str">
        <f t="shared" si="246"/>
        <v/>
      </c>
      <c r="AC84" s="563">
        <f>Sheet1!Y86*MGDtoCFS</f>
        <v>32.997509999999998</v>
      </c>
      <c r="AD84" s="563">
        <f>Sheet1!Z86*MGDtoCFS</f>
        <v>39.587730000000001</v>
      </c>
      <c r="AE84" s="563">
        <f>Sheet1!AA86*MGDtoCFS</f>
        <v>32.951099999999997</v>
      </c>
      <c r="AF84" s="563">
        <f>Sheet1!AB86*MGDtoCFS</f>
        <v>39.448499999999996</v>
      </c>
      <c r="AG84" s="563">
        <f>Sheet1!L86*MGDtoCFS</f>
        <v>72.399599999999992</v>
      </c>
      <c r="AH84" s="545">
        <f t="shared" si="175"/>
        <v>0</v>
      </c>
      <c r="AI84" s="560">
        <f t="shared" si="176"/>
        <v>0</v>
      </c>
      <c r="AJ84" s="560">
        <f t="shared" si="177"/>
        <v>56.083422083007051</v>
      </c>
      <c r="AK84" s="560">
        <f t="shared" si="178"/>
        <v>86.761053962411907</v>
      </c>
      <c r="AL84" s="560">
        <f>(VLOOKUP(Sheet1!DC86,hhdcap_wcm,4)-(((VLOOKUP(Sheet1!DC86,hhdcap_wcm,3)-Sheet1!DC86)/(VLOOKUP(Sheet1!DC86,hhdcap_wcm,3)-VLOOKUP(Sheet1!DC86,hhdcap_wcm,1)))*(VLOOKUP(Sheet1!DC86,hhdcap_wcm,4)-VLOOKUP(Sheet1!DC86,hhdcap_wcm,2))))</f>
        <v>14914.000000036589</v>
      </c>
      <c r="AM84" s="560">
        <f t="shared" si="179"/>
        <v>718.40000000194595</v>
      </c>
      <c r="AN84" s="560">
        <f t="shared" si="180"/>
        <v>1254.7165314532197</v>
      </c>
      <c r="AO84" s="560">
        <f t="shared" si="181"/>
        <v>3849.4703184984778</v>
      </c>
      <c r="AP84" s="560">
        <f>Sheet1!BA86+Sheet1!BB86+Sheet1!BN86+CD84</f>
        <v>16.97</v>
      </c>
      <c r="AQ84" s="560">
        <f>Sheet1!BN86+(DO84*Sheet1!BN86)</f>
        <v>15.974941268598277</v>
      </c>
      <c r="AR84" s="560">
        <f>Sheet1!BA86+CD84</f>
        <v>0</v>
      </c>
      <c r="AS84" s="560">
        <f>Sheet1!BA86+Sheet1!BB86+CD84</f>
        <v>0.97</v>
      </c>
      <c r="AT84" s="698">
        <f>0</f>
        <v>0</v>
      </c>
      <c r="AU84" s="560">
        <f>IF(EB84&lt;K84,0,MAX(Sheet1!AA86+AQ84-15/36*K84-N84,Sheet1!EH86,0))</f>
        <v>0</v>
      </c>
      <c r="AV84" s="560">
        <f>IF(OR(B84&gt;=GD84,B84&lt;GC84),0,15/36*K84-MAX(0,64.6-(137.6-(Sheet1!AA86+Sheet1!AB86))))</f>
        <v>26.933333333333334</v>
      </c>
      <c r="AW84" s="698">
        <f>Sheet1!DB86-110</f>
        <v>2400</v>
      </c>
      <c r="AX84" s="698">
        <f>Sheet1!DA86-265</f>
        <v>3825</v>
      </c>
      <c r="AY84" s="698">
        <f t="shared" si="182"/>
        <v>34.770000000000003</v>
      </c>
      <c r="AZ84" s="698">
        <v>0</v>
      </c>
      <c r="BA84" s="698">
        <f t="shared" si="183"/>
        <v>0</v>
      </c>
      <c r="BB84" s="560">
        <f t="shared" si="184"/>
        <v>592.53333333333319</v>
      </c>
      <c r="BC84" s="560"/>
      <c r="BD84" s="560">
        <f ca="1">IF(B84&gt;Summary!$A$1,#N/A,BB84*MGtoAF)</f>
        <v>1817.8922666666663</v>
      </c>
      <c r="BE84" s="560">
        <f>Sheet1!BG86+Sheet1!BH86+Sheet1!BI86-BM84</f>
        <v>0</v>
      </c>
      <c r="BF84" s="560">
        <f t="shared" si="185"/>
        <v>0</v>
      </c>
      <c r="BG84" s="560">
        <f>IF(Sheet1!EP86="FM",BM84,0)</f>
        <v>0</v>
      </c>
      <c r="BH84" s="560">
        <f t="shared" si="186"/>
        <v>0</v>
      </c>
      <c r="BI84" s="560">
        <f>IF(Sheet1!EP86="OTHER",BM84,0)</f>
        <v>0</v>
      </c>
      <c r="BJ84" s="560">
        <f t="shared" si="187"/>
        <v>0</v>
      </c>
      <c r="BK84" s="560">
        <f t="shared" si="188"/>
        <v>0</v>
      </c>
      <c r="BL84" s="560">
        <f t="shared" si="189"/>
        <v>0</v>
      </c>
      <c r="BM84" s="560">
        <f>IF(OR(Sheet1!EP86="FM", Sheet1!EP86="OTHER"),SUM(Sheet1!BG86:'Sheet1'!BI86),0)</f>
        <v>0</v>
      </c>
      <c r="BN84" s="545">
        <f>IF(AND($B84&gt;=$FV84,$B84&lt;=$FW84),MAX(BF84,Sheet1!EI86,0),MAX(BF84-(7/36)*$K84,0))</f>
        <v>0</v>
      </c>
      <c r="BO84" s="560">
        <f t="shared" si="190"/>
        <v>12.568888888888889</v>
      </c>
      <c r="BP84" s="545">
        <f t="shared" si="191"/>
        <v>0</v>
      </c>
      <c r="BQ84" s="545">
        <f>IF(AND($O84&gt;0,Sheet1!EM86=1),(1-($O84-Sheet1!$L86)/$O84)*BL84,0)</f>
        <v>0</v>
      </c>
      <c r="BR84" s="545">
        <f>IF(AND(Sheet1!$L86=0,Sheet1!$L85=0, Calculation!BK84&lt;Sheet1!$EI86-0.1,Sheet1!$EI86=Sheet1!$EI85,Sheet1!$EI86=Sheet1!$EI87),Sheet1!$EI86,BL84-BQ84)</f>
        <v>0</v>
      </c>
      <c r="BS84" s="560"/>
      <c r="BT84" s="560"/>
      <c r="BU84" s="560">
        <f t="shared" si="192"/>
        <v>276.51555555555558</v>
      </c>
      <c r="BV84" s="560"/>
      <c r="BW84" s="560">
        <f ca="1">IF(B84&gt;Summary!$A$1,#N/A,BU84*MGtoAF)</f>
        <v>848.34972444444452</v>
      </c>
      <c r="BX84" s="560">
        <f>Sheet1!BC86+Sheet1!BD86+Sheet1!BE86+Sheet1!BF86-CG84-CH84</f>
        <v>2.5</v>
      </c>
      <c r="BY84" s="560">
        <f t="shared" si="193"/>
        <v>2.4960845732184809</v>
      </c>
      <c r="BZ84" s="560">
        <f>IF(Sheet1!EQ86="FM",CH84,0)</f>
        <v>0</v>
      </c>
      <c r="CA84" s="560">
        <f t="shared" si="194"/>
        <v>0</v>
      </c>
      <c r="CB84" s="560">
        <f>IF(Sheet1!EQ86="OTHER",CH84,0)</f>
        <v>0</v>
      </c>
      <c r="CC84" s="560">
        <f t="shared" si="195"/>
        <v>0</v>
      </c>
      <c r="CD84" s="560">
        <f t="shared" si="196"/>
        <v>0</v>
      </c>
      <c r="CE84" s="560">
        <f t="shared" si="197"/>
        <v>2.5</v>
      </c>
      <c r="CF84" s="560">
        <f t="shared" si="198"/>
        <v>2.4960845732184809</v>
      </c>
      <c r="CG84" s="560">
        <f>IF(Sheet1!EQ86="CWA",SUM(Sheet1!BC86:'Sheet1'!BF86),0)</f>
        <v>0</v>
      </c>
      <c r="CH84" s="560">
        <f>IF(OR(Sheet1!EQ86="FM", Sheet1!EQ86="OTHER"),SUM(Sheet1!BC86:'Sheet1'!BF86),0)</f>
        <v>0</v>
      </c>
      <c r="CI84" s="545">
        <f>IF(AND($B84&gt;=$FV84,$B84&lt;=$FW84),MAX(CF84,Sheet1!EJ86,0),MAX(CF84-(7/36)*$K84,0))</f>
        <v>0</v>
      </c>
      <c r="CJ84" s="560">
        <f t="shared" si="199"/>
        <v>10.072804315670409</v>
      </c>
      <c r="CK84" s="545">
        <f t="shared" si="200"/>
        <v>2.4960845732184809</v>
      </c>
      <c r="CL84" s="545">
        <f>IF(AND($O84&gt;0,Sheet1!EN86=1),(1-($O84-Sheet1!$L86)/$O84)*CF84,0)</f>
        <v>0</v>
      </c>
      <c r="CM84" s="545">
        <f>IF(AND(Sheet1!$L86=0,Sheet1!$L85=0, Calculation!CE84&lt;Sheet1!EJ86-0.1,Sheet1!EJ86=Sheet1!EJ85,Sheet1!EJ86=Sheet1!EJ87),Sheet1!EJ86,CF84-CL84)</f>
        <v>2.4960845732184809</v>
      </c>
      <c r="CN84" s="545"/>
      <c r="CO84" s="560"/>
      <c r="CP84" s="560">
        <f t="shared" si="201"/>
        <v>221.81248722580193</v>
      </c>
      <c r="CQ84" s="560"/>
      <c r="CR84" s="560">
        <f ca="1">IF(B84&gt;Summary!$A$1,#N/A,CP84*MGtoAF)</f>
        <v>680.52071080876033</v>
      </c>
      <c r="CS84" s="560">
        <f>Sheet1!BK86+Sheet1!BL86+Sheet1!BM86-Sheet1!ER86-DA84</f>
        <v>6.07</v>
      </c>
      <c r="CT84" s="560">
        <f t="shared" si="202"/>
        <v>6.0604933437744721</v>
      </c>
      <c r="CU84" s="560">
        <f>IF(Sheet1!ER86="FM",DA84,0)</f>
        <v>0</v>
      </c>
      <c r="CV84" s="560">
        <f t="shared" si="203"/>
        <v>0</v>
      </c>
      <c r="CW84" s="560">
        <f>IF(Sheet1!ER86="OTHER",DA84,0)</f>
        <v>0</v>
      </c>
      <c r="CX84" s="560">
        <f t="shared" si="204"/>
        <v>0</v>
      </c>
      <c r="CY84" s="560">
        <f t="shared" si="205"/>
        <v>6.07</v>
      </c>
      <c r="CZ84" s="560">
        <f t="shared" si="206"/>
        <v>6.0604933437744721</v>
      </c>
      <c r="DA84" s="560">
        <f>IF(OR(Sheet1!ER86="FM", Sheet1!ER86="OTHER"),SUM(Sheet1!BK86:'Sheet1'!BM86),0)</f>
        <v>0</v>
      </c>
      <c r="DB84" s="545">
        <f>IF(AND($B84&gt;=$FV84,$B84&lt;=$FW84),MAX($CT84,Sheet1!EK86,0),MAX($CT84-(7/36)*$K84,0))</f>
        <v>0</v>
      </c>
      <c r="DC84" s="560">
        <f t="shared" si="207"/>
        <v>6.5083955451144169</v>
      </c>
      <c r="DD84" s="545">
        <f t="shared" si="208"/>
        <v>6.0604933437744721</v>
      </c>
      <c r="DE84" s="545">
        <f>IF(AND($O84&gt;0,Sheet1!EO86=1),(1-($O84-Sheet1!$L86)/$O84)*CZ84,0)</f>
        <v>0</v>
      </c>
      <c r="DF84" s="545">
        <f>IF(AND(Sheet1!$L86=0,Sheet1!$L85=0, Calculation!CY84&lt;Sheet1!$EK86-0.1,Sheet1!$EK86=Sheet1!$EK85,Sheet1!$EK86=Sheet1!$EK87),Sheet1!$EK86,CZ84-DE84)</f>
        <v>6.0604933437744721</v>
      </c>
      <c r="DG84" s="545"/>
      <c r="DH84" s="560">
        <f t="shared" si="209"/>
        <v>8.57</v>
      </c>
      <c r="DI84" s="560">
        <f t="shared" si="210"/>
        <v>163.85515533852887</v>
      </c>
      <c r="DJ84" s="698">
        <f t="shared" si="211"/>
        <v>8.5565779169929534</v>
      </c>
      <c r="DK84" s="560">
        <f ca="1">IF(B84&gt;Summary!$A$1,#N/A,DI84*MGtoAF)</f>
        <v>502.70761657860658</v>
      </c>
      <c r="DL84" s="698">
        <f t="shared" si="212"/>
        <v>8.57</v>
      </c>
      <c r="DM84" s="560">
        <f t="shared" si="213"/>
        <v>25.54</v>
      </c>
      <c r="DN84" s="560">
        <f>Sheet1!AB86-DM84</f>
        <v>-3.9999999999999147E-2</v>
      </c>
      <c r="DO84" s="823">
        <f t="shared" si="214"/>
        <v>-1.5661707126076408E-3</v>
      </c>
      <c r="DP84" s="560">
        <f>(VLOOKUP(Sheet1!DC86,hhdcap_wcm,4)-(((VLOOKUP(Sheet1!DC86,hhdcap_wcm,3)-Sheet1!DC86)/(VLOOKUP(Sheet1!DC86,hhdcap_wcm,3)-VLOOKUP(Sheet1!DC86,hhdcap_wcm,1)))*(VLOOKUP(Sheet1!DC86,hhdcap_wcm,4)-VLOOKUP(Sheet1!DC86,hhdcap_wcm,2))))</f>
        <v>14914.000000036589</v>
      </c>
      <c r="DQ84" s="560">
        <f t="shared" si="215"/>
        <v>718.40000000194595</v>
      </c>
      <c r="DR84" s="560">
        <f t="shared" si="216"/>
        <v>362.27937468580222</v>
      </c>
      <c r="DS84" s="560">
        <f>Sheet1!EA86*AFtoMG</f>
        <v>0</v>
      </c>
      <c r="DT84" s="560">
        <f>Sheet1!EB86*AFtoMG</f>
        <v>0</v>
      </c>
      <c r="DU84" s="560">
        <f>Sheet1!EC86*AFtoMG</f>
        <v>0</v>
      </c>
      <c r="DV84" s="560">
        <f>Sheet1!ED86*AFtoMG</f>
        <v>0</v>
      </c>
      <c r="DW84" s="560">
        <f t="shared" si="217"/>
        <v>0</v>
      </c>
      <c r="DX84" s="560">
        <f t="shared" si="218"/>
        <v>0</v>
      </c>
      <c r="DY84" s="560">
        <f t="shared" si="219"/>
        <v>1254.7165314532197</v>
      </c>
      <c r="DZ84" s="560">
        <f t="shared" si="220"/>
        <v>3849.4703184984778</v>
      </c>
      <c r="EA84" s="560"/>
      <c r="EB84" s="545">
        <f>IF(OR(B84&lt;FV84,B84&gt;FW84),(MIN(BF84+BY84+CT84+MAX(Sheet1!AA86+AQ84-73,0),K84)),0)</f>
        <v>8.5565779169929534</v>
      </c>
      <c r="EC84" s="560"/>
      <c r="ED84" s="560">
        <f t="shared" si="221"/>
        <v>8.5565779169929534</v>
      </c>
      <c r="EE84" s="560"/>
      <c r="EF84" s="560">
        <f>Sheet1!EH86+Sheet1!EI86+Sheet1!EJ86+Sheet1!EK86</f>
        <v>8.57</v>
      </c>
      <c r="EG84" s="560"/>
      <c r="EH84" s="545">
        <f t="shared" si="222"/>
        <v>0</v>
      </c>
      <c r="EI84" s="560">
        <f>IF(Sheet1!ET86=1,SUM('Calculations II'!AT84:BA84)+'Calculations II'!BC84+Sheet1!BV86+'Calculations II'!BE84+AP84,SUM('Calculations II'!AT84:BA84)+'Calculations II'!BC84+Sheet1!BV86+'Calculations II'!BE84+AP84)</f>
        <v>49.328159999999997</v>
      </c>
      <c r="EJ84" s="560">
        <f>Sheet1!AA86+Sheet1!AB86+'Calculations II'!BC84</f>
        <v>54.124127999999999</v>
      </c>
      <c r="EK84" s="560"/>
      <c r="EL84" s="560"/>
      <c r="EM84" s="560">
        <f t="shared" si="223"/>
        <v>41712</v>
      </c>
      <c r="EN84" s="560">
        <f t="shared" si="224"/>
        <v>56.083422083007051</v>
      </c>
      <c r="EO84" s="560">
        <f t="shared" si="225"/>
        <v>86.761053962411907</v>
      </c>
      <c r="EP84" s="560">
        <v>0</v>
      </c>
      <c r="EQ84" s="560">
        <v>0</v>
      </c>
      <c r="ER84" s="560">
        <v>0</v>
      </c>
      <c r="ES84" s="545">
        <f t="shared" si="247"/>
        <v>-0.55391346675302833</v>
      </c>
      <c r="ET84" s="560">
        <f>-(VLOOKUP(Sheet1!BQ86,Lookup!$O$4:$Q$262,2)-VLOOKUP(Sheet1!BQ85,Lookup!$O$4:$Q$262,2))/1000000</f>
        <v>-0.27696314149235191</v>
      </c>
      <c r="EU84" s="560">
        <f>-(VLOOKUP(Sheet1!BR86,Lookup!$O$4:$Q$262,3)-VLOOKUP(Sheet1!BR85,Lookup!$O$4:$Q$262,3))/1000000</f>
        <v>-0.27695032526067642</v>
      </c>
      <c r="EV84" s="560"/>
      <c r="EW84" s="560"/>
      <c r="EX84" s="560"/>
      <c r="EY84" s="560"/>
      <c r="EZ84" s="560"/>
      <c r="FA84" s="560"/>
      <c r="FB84" s="560"/>
      <c r="FC84" s="560"/>
      <c r="FD84" s="594" t="e">
        <f t="shared" si="226"/>
        <v>#N/A</v>
      </c>
      <c r="FE84" s="594" t="e">
        <f t="shared" si="227"/>
        <v>#N/A</v>
      </c>
      <c r="FF84" s="595" t="e">
        <f t="shared" si="228"/>
        <v>#N/A</v>
      </c>
      <c r="FG84" s="596" t="s">
        <v>692</v>
      </c>
      <c r="FH84" s="596" t="s">
        <v>692</v>
      </c>
      <c r="FI84" s="594" t="e">
        <v>#N/A</v>
      </c>
      <c r="FJ84" s="594" t="e">
        <v>#N/A</v>
      </c>
      <c r="FK84" s="560"/>
      <c r="FL84" s="560"/>
      <c r="FM84" s="560"/>
      <c r="FN84" s="560"/>
      <c r="FO84" s="560">
        <f>O84+((Sheet1!CS86)*GPMtoMGD)</f>
        <v>54.124127999999999</v>
      </c>
      <c r="FP84" s="560">
        <f>IF(Sheet1!AA86+AQ84&lt;=Calculation!N84,AQ84,Calculation!N84-Sheet1!AA86)</f>
        <v>15.974941268598277</v>
      </c>
      <c r="FQ84" s="560">
        <f>(Sheet1!BP86+Sheet1!BO86)/694.4</f>
        <v>1.438508064516129</v>
      </c>
      <c r="FR84" s="560"/>
      <c r="FS84" s="560"/>
      <c r="FT84" s="560"/>
      <c r="FU84" s="560"/>
      <c r="FV84" s="695">
        <f t="shared" si="248"/>
        <v>41827</v>
      </c>
      <c r="FW84" s="695">
        <f t="shared" si="249"/>
        <v>41934</v>
      </c>
      <c r="FX84" s="560"/>
      <c r="FY84" s="560"/>
      <c r="FZ84" s="560"/>
      <c r="GA84" s="560"/>
      <c r="GB84" s="560" t="str">
        <f t="shared" si="250"/>
        <v>n</v>
      </c>
      <c r="GC84" s="564">
        <f t="shared" si="251"/>
        <v>41691</v>
      </c>
      <c r="GD84" s="695">
        <f t="shared" si="252"/>
        <v>41807</v>
      </c>
      <c r="GE84" s="560">
        <v>6518.9</v>
      </c>
      <c r="GF84" s="695">
        <f t="shared" si="253"/>
        <v>41808</v>
      </c>
      <c r="GG84" s="560">
        <f t="shared" si="272"/>
        <v>3259</v>
      </c>
      <c r="GH84" s="564">
        <f t="shared" si="254"/>
        <v>41934</v>
      </c>
      <c r="GJ84" s="545">
        <f t="shared" si="255"/>
        <v>0</v>
      </c>
      <c r="GK84" s="560" t="str">
        <f t="shared" si="229"/>
        <v/>
      </c>
      <c r="GL84" s="560">
        <f t="shared" si="256"/>
        <v>0</v>
      </c>
      <c r="GM84" s="560" t="str">
        <f t="shared" si="257"/>
        <v/>
      </c>
      <c r="GN84" s="560">
        <f>IF(GK84="P",Lookup!$M$12,IF(GK84="PP",Lookup!$M$13,IF(GK84="PPP",Lookup!$M$14,IF(GK84="T",Lookup!$M$15,IF(GK84="TP",Lookup!$M$16,IF(GK84="TPP",Lookup!$M$17,IF(GK84="TPPP",Lookup!$M$18,0)))))))*GJ84</f>
        <v>0</v>
      </c>
      <c r="GO84" s="560">
        <f t="shared" si="258"/>
        <v>0</v>
      </c>
      <c r="GP84" s="560">
        <f t="shared" si="230"/>
        <v>1817.8922666666663</v>
      </c>
      <c r="GQ84" s="560">
        <f t="shared" si="266"/>
        <v>592.53333333333319</v>
      </c>
      <c r="GR84" s="560"/>
      <c r="GS84" s="560">
        <f t="shared" si="259"/>
        <v>0</v>
      </c>
      <c r="GT84" s="560" t="str">
        <f t="shared" si="260"/>
        <v/>
      </c>
      <c r="GU84" s="560">
        <f>IF(GK84="P",Lookup!$N$12,IF(GK84="PP",Lookup!$N$13,IF(GK84="PPP",Lookup!$N$14,IF(GK84="T",Lookup!$N$15,IF(GK84="TP",Lookup!$N$16,IF(GK84="TPP",Lookup!$N$17,IF(GK84="TPPP",Lookup!$N$18,0)))))))*GJ84</f>
        <v>0</v>
      </c>
      <c r="GV84" s="560">
        <f t="shared" si="261"/>
        <v>0</v>
      </c>
      <c r="GW84" s="560">
        <f t="shared" si="231"/>
        <v>848.34972444444452</v>
      </c>
      <c r="GX84" s="560">
        <f t="shared" si="267"/>
        <v>276.51555555555558</v>
      </c>
      <c r="GY84" s="560"/>
      <c r="GZ84" s="560">
        <f t="shared" si="262"/>
        <v>0</v>
      </c>
      <c r="HA84" s="560" t="str">
        <f t="shared" si="263"/>
        <v/>
      </c>
      <c r="HB84" s="560">
        <f>IF(GK84="P",Lookup!$N$12,IF(GK84="PP",Lookup!$N$13,IF(GK84="PPP",Lookup!$N$14,IF(GK84="T",Lookup!$N$15,IF(GK84="TP",Lookup!$N$16,IF(GK84="TPP",Lookup!$N$17,IF(GK84="TPPP",Lookup!$N$18,0)))))))*GJ84</f>
        <v>0</v>
      </c>
      <c r="HC84" s="545">
        <f t="shared" si="232"/>
        <v>0</v>
      </c>
      <c r="HD84" s="560">
        <f t="shared" si="233"/>
        <v>680.52071080876033</v>
      </c>
      <c r="HE84" s="560">
        <f t="shared" si="268"/>
        <v>221.81248722580193</v>
      </c>
      <c r="HF84" s="560"/>
      <c r="HG84" s="560">
        <f t="shared" si="264"/>
        <v>0</v>
      </c>
      <c r="HH84" s="560" t="str">
        <f t="shared" si="265"/>
        <v/>
      </c>
      <c r="HI84" s="560">
        <f>IF(GK84="P",Lookup!$N$12,IF(GK84="PP",Lookup!$N$13,IF(GK84="PPP",Lookup!$N$14,IF(GK84="T",Lookup!$N$15,IF(GK84="TP",Lookup!$N$16,IF(GK84="TPP",Lookup!$N$17,IF(GK84="TPPP",Lookup!$N$18,0)))))))*GJ84</f>
        <v>0</v>
      </c>
      <c r="HJ84" s="545">
        <f t="shared" si="234"/>
        <v>0</v>
      </c>
      <c r="HK84" s="560">
        <f t="shared" si="235"/>
        <v>502.70761657860658</v>
      </c>
      <c r="HL84" s="560">
        <f t="shared" si="269"/>
        <v>163.85515533852887</v>
      </c>
      <c r="HM84" s="560"/>
    </row>
    <row r="85" spans="1:221">
      <c r="A85" s="580" t="s">
        <v>9</v>
      </c>
      <c r="B85" s="556">
        <v>41713</v>
      </c>
      <c r="C85" s="561">
        <v>0</v>
      </c>
      <c r="D85" s="529">
        <f t="shared" si="270"/>
        <v>300</v>
      </c>
      <c r="E85" s="529">
        <f t="shared" si="271"/>
        <v>250</v>
      </c>
      <c r="F85" s="529">
        <v>250</v>
      </c>
      <c r="G85" s="560">
        <f>DR85+Sheet1!CZ87</f>
        <v>2865.5219364606291</v>
      </c>
      <c r="H85" s="914">
        <f t="shared" si="236"/>
        <v>1585.3101797281506</v>
      </c>
      <c r="I85" s="559">
        <f>MAX(Sheet1!Z87-AT85+(Sheet1!DA87-E85)*CFStoMGD,0)</f>
        <v>2455.9639999999999</v>
      </c>
      <c r="J85" s="562">
        <f>IF(AND(B85&gt;=Calculation!GC85,B85&lt;=Calculation!GD85),IF(Sheet1!DB87&gt;=Calculation!D85,64.64,0),MAX(Sheet1!Z87-AT85+(Sheet1!DB87-D85)*CFStoMGD,0))</f>
        <v>64.64</v>
      </c>
      <c r="K85" s="904">
        <f t="shared" si="171"/>
        <v>64.64</v>
      </c>
      <c r="L85" s="560">
        <f>Sheet1!AA87+Sheet1!AB87-Sheet1!L87+(Sheet1!DA87-F85)*CFStoMGD</f>
        <v>2430.4639999999999</v>
      </c>
      <c r="M85" s="560">
        <f t="shared" si="172"/>
        <v>1889.3188473227137</v>
      </c>
      <c r="N85" s="910">
        <f>IF(Sheet1!DA87&gt;=F85,MIN(73,MIN(MAX(L85,0),MAX(M85,0))),0)</f>
        <v>73</v>
      </c>
      <c r="O85" s="563">
        <f>Sheet1!AA87+Sheet1!AB87</f>
        <v>46.8</v>
      </c>
      <c r="P85" s="563">
        <f t="shared" si="173"/>
        <v>72.399599999999992</v>
      </c>
      <c r="Q85" s="898">
        <f t="shared" si="237"/>
        <v>38.01</v>
      </c>
      <c r="R85" s="829">
        <f t="shared" si="174"/>
        <v>8.8003533568904597</v>
      </c>
      <c r="S85" s="898">
        <f t="shared" si="238"/>
        <v>8.7899999999999991</v>
      </c>
      <c r="T85" s="898">
        <f t="shared" si="239"/>
        <v>55.85</v>
      </c>
      <c r="U85" s="898">
        <f t="shared" si="240"/>
        <v>0</v>
      </c>
      <c r="V85" s="898"/>
      <c r="W85" s="898">
        <f t="shared" si="241"/>
        <v>55.839646643109539</v>
      </c>
      <c r="X85" s="898">
        <f t="shared" si="242"/>
        <v>64.64</v>
      </c>
      <c r="Y85" s="898" t="str">
        <f t="shared" si="243"/>
        <v>FALSE</v>
      </c>
      <c r="Z85" s="898">
        <f t="shared" si="244"/>
        <v>46.8</v>
      </c>
      <c r="AA85" s="898">
        <f t="shared" si="245"/>
        <v>46.8</v>
      </c>
      <c r="AB85" s="898" t="str">
        <f t="shared" si="246"/>
        <v/>
      </c>
      <c r="AC85" s="563">
        <f>Sheet1!Y87*MGDtoCFS</f>
        <v>32.951099999999997</v>
      </c>
      <c r="AD85" s="563">
        <f>Sheet1!Z87*MGDtoCFS</f>
        <v>39.448499999999996</v>
      </c>
      <c r="AE85" s="563">
        <f>Sheet1!AA87*MGDtoCFS</f>
        <v>32.951099999999997</v>
      </c>
      <c r="AF85" s="563">
        <f>Sheet1!AB87*MGDtoCFS</f>
        <v>39.448499999999996</v>
      </c>
      <c r="AG85" s="563">
        <f>Sheet1!L87*MGDtoCFS</f>
        <v>72.399599999999992</v>
      </c>
      <c r="AH85" s="545">
        <f t="shared" si="175"/>
        <v>0</v>
      </c>
      <c r="AI85" s="560">
        <f t="shared" si="176"/>
        <v>0</v>
      </c>
      <c r="AJ85" s="560">
        <f t="shared" si="177"/>
        <v>55.839646643109539</v>
      </c>
      <c r="AK85" s="560">
        <f t="shared" si="178"/>
        <v>86.383933356890452</v>
      </c>
      <c r="AL85" s="560">
        <f>(VLOOKUP(Sheet1!DC87,hhdcap_wcm,4)-(((VLOOKUP(Sheet1!DC87,hhdcap_wcm,3)-Sheet1!DC87)/(VLOOKUP(Sheet1!DC87,hhdcap_wcm,3)-VLOOKUP(Sheet1!DC87,hhdcap_wcm,1)))*(VLOOKUP(Sheet1!DC87,hhdcap_wcm,4)-VLOOKUP(Sheet1!DC87,hhdcap_wcm,2))))</f>
        <v>15619.000000038017</v>
      </c>
      <c r="AM85" s="560">
        <f t="shared" si="179"/>
        <v>705.00000000142791</v>
      </c>
      <c r="AN85" s="560">
        <f t="shared" si="180"/>
        <v>1310.5561780963289</v>
      </c>
      <c r="AO85" s="560">
        <f t="shared" si="181"/>
        <v>4020.7863543995372</v>
      </c>
      <c r="AP85" s="560">
        <f>Sheet1!BA87+Sheet1!BB87+Sheet1!BN87+CD85</f>
        <v>16.68</v>
      </c>
      <c r="AQ85" s="560">
        <f>Sheet1!BN87+(DO85*Sheet1!BN87)</f>
        <v>15.71849234393404</v>
      </c>
      <c r="AR85" s="560">
        <f>Sheet1!BA87+CD85</f>
        <v>0</v>
      </c>
      <c r="AS85" s="560">
        <f>Sheet1!BA87+Sheet1!BB87+CD85</f>
        <v>0.98</v>
      </c>
      <c r="AT85" s="698">
        <f>0</f>
        <v>0</v>
      </c>
      <c r="AU85" s="560">
        <f>IF(EB85&lt;K85,0,MAX(Sheet1!AA87+AQ85-15/36*K85-N85,Sheet1!EH87,0))</f>
        <v>0</v>
      </c>
      <c r="AV85" s="560">
        <f>IF(OR(B85&gt;=GD85,B85&lt;GC85),0,15/36*K85-MAX(0,64.6-(137.6-(Sheet1!AA87+Sheet1!AB87))))</f>
        <v>26.933333333333334</v>
      </c>
      <c r="AW85" s="698">
        <f>Sheet1!DB87-110</f>
        <v>2390</v>
      </c>
      <c r="AX85" s="698">
        <f>Sheet1!DA87-265</f>
        <v>3745</v>
      </c>
      <c r="AY85" s="698">
        <f t="shared" si="182"/>
        <v>34.99</v>
      </c>
      <c r="AZ85" s="698">
        <v>0</v>
      </c>
      <c r="BA85" s="698">
        <f t="shared" si="183"/>
        <v>0</v>
      </c>
      <c r="BB85" s="560">
        <f t="shared" si="184"/>
        <v>619.46666666666647</v>
      </c>
      <c r="BC85" s="560"/>
      <c r="BD85" s="560">
        <f ca="1">IF(B85&gt;Summary!$A$1,#N/A,BB85*MGtoAF)</f>
        <v>1900.5237333333328</v>
      </c>
      <c r="BE85" s="560">
        <f>Sheet1!BG87+Sheet1!BH87+Sheet1!BI87-BM85</f>
        <v>0</v>
      </c>
      <c r="BF85" s="560">
        <f t="shared" si="185"/>
        <v>0</v>
      </c>
      <c r="BG85" s="560">
        <f>IF(Sheet1!EP87="FM",BM85,0)</f>
        <v>0</v>
      </c>
      <c r="BH85" s="560">
        <f t="shared" si="186"/>
        <v>0</v>
      </c>
      <c r="BI85" s="560">
        <f>IF(Sheet1!EP87="OTHER",BM85,0)</f>
        <v>0</v>
      </c>
      <c r="BJ85" s="560">
        <f t="shared" si="187"/>
        <v>0</v>
      </c>
      <c r="BK85" s="560">
        <f t="shared" si="188"/>
        <v>0</v>
      </c>
      <c r="BL85" s="560">
        <f t="shared" si="189"/>
        <v>0</v>
      </c>
      <c r="BM85" s="560">
        <f>IF(OR(Sheet1!EP87="FM", Sheet1!EP87="OTHER"),SUM(Sheet1!BG87:'Sheet1'!BI87),0)</f>
        <v>0</v>
      </c>
      <c r="BN85" s="545">
        <f>IF(AND($B85&gt;=$FV85,$B85&lt;=$FW85),MAX(BF85,Sheet1!EI87,0),MAX(BF85-(7/36)*$K85,0))</f>
        <v>0</v>
      </c>
      <c r="BO85" s="560">
        <f t="shared" si="190"/>
        <v>12.568888888888889</v>
      </c>
      <c r="BP85" s="545">
        <f t="shared" si="191"/>
        <v>0</v>
      </c>
      <c r="BQ85" s="545">
        <f>IF(AND($O85&gt;0,Sheet1!EM87=1),(1-($O85-Sheet1!$L87)/$O85)*BL85,0)</f>
        <v>0</v>
      </c>
      <c r="BR85" s="545">
        <f>IF(AND(Sheet1!$L87=0,Sheet1!$L86=0, Calculation!BK85&lt;Sheet1!$EI87-0.1,Sheet1!$EI87=Sheet1!$EI86,Sheet1!$EI87=Sheet1!$EI88),Sheet1!$EI87,BL85-BQ85)</f>
        <v>0</v>
      </c>
      <c r="BS85" s="560"/>
      <c r="BT85" s="560"/>
      <c r="BU85" s="560">
        <f t="shared" si="192"/>
        <v>289.08444444444444</v>
      </c>
      <c r="BV85" s="560"/>
      <c r="BW85" s="560">
        <f ca="1">IF(B85&gt;Summary!$A$1,#N/A,BU85*MGtoAF)</f>
        <v>886.91107555555561</v>
      </c>
      <c r="BX85" s="560">
        <f>Sheet1!BC87+Sheet1!BD87+Sheet1!BE87+Sheet1!BF87-CG85-CH85</f>
        <v>2.7</v>
      </c>
      <c r="BY85" s="560">
        <f t="shared" si="193"/>
        <v>2.7031802120141344</v>
      </c>
      <c r="BZ85" s="560">
        <f>IF(Sheet1!EQ87="FM",CH85,0)</f>
        <v>0</v>
      </c>
      <c r="CA85" s="560">
        <f t="shared" si="194"/>
        <v>0</v>
      </c>
      <c r="CB85" s="560">
        <f>IF(Sheet1!EQ87="OTHER",CH85,0)</f>
        <v>0</v>
      </c>
      <c r="CC85" s="560">
        <f t="shared" si="195"/>
        <v>0</v>
      </c>
      <c r="CD85" s="560">
        <f t="shared" si="196"/>
        <v>0</v>
      </c>
      <c r="CE85" s="560">
        <f t="shared" si="197"/>
        <v>2.7</v>
      </c>
      <c r="CF85" s="560">
        <f t="shared" si="198"/>
        <v>2.7031802120141344</v>
      </c>
      <c r="CG85" s="560">
        <f>IF(Sheet1!EQ87="CWA",SUM(Sheet1!BC87:'Sheet1'!BF87),0)</f>
        <v>0</v>
      </c>
      <c r="CH85" s="560">
        <f>IF(OR(Sheet1!EQ87="FM", Sheet1!EQ87="OTHER"),SUM(Sheet1!BC87:'Sheet1'!BF87),0)</f>
        <v>0</v>
      </c>
      <c r="CI85" s="545">
        <f>IF(AND($B85&gt;=$FV85,$B85&lt;=$FW85),MAX(CF85,Sheet1!EJ87,0),MAX(CF85-(7/36)*$K85,0))</f>
        <v>0</v>
      </c>
      <c r="CJ85" s="560">
        <f t="shared" si="199"/>
        <v>9.8657086768747551</v>
      </c>
      <c r="CK85" s="545">
        <f t="shared" si="200"/>
        <v>2.7031802120141344</v>
      </c>
      <c r="CL85" s="545">
        <f>IF(AND($O85&gt;0,Sheet1!EN87=1),(1-($O85-Sheet1!$L87)/$O85)*CF85,0)</f>
        <v>0</v>
      </c>
      <c r="CM85" s="545">
        <f>IF(AND(Sheet1!$L87=0,Sheet1!$L86=0, Calculation!CE85&lt;Sheet1!EJ87-0.1,Sheet1!EJ87=Sheet1!EJ86,Sheet1!EJ87=Sheet1!EJ88),Sheet1!EJ87,CF85-CL85)</f>
        <v>2.7031802120141344</v>
      </c>
      <c r="CN85" s="545"/>
      <c r="CO85" s="560"/>
      <c r="CP85" s="560">
        <f t="shared" si="201"/>
        <v>231.67819590267669</v>
      </c>
      <c r="CQ85" s="560"/>
      <c r="CR85" s="560">
        <f ca="1">IF(B85&gt;Summary!$A$1,#N/A,CP85*MGtoAF)</f>
        <v>710.78870502941209</v>
      </c>
      <c r="CS85" s="560">
        <f>Sheet1!BK87+Sheet1!BL87+Sheet1!BM87-Sheet1!ER87-DA85</f>
        <v>6.09</v>
      </c>
      <c r="CT85" s="560">
        <f t="shared" si="202"/>
        <v>6.0971731448763249</v>
      </c>
      <c r="CU85" s="560">
        <f>IF(Sheet1!ER87="FM",DA85,0)</f>
        <v>0</v>
      </c>
      <c r="CV85" s="560">
        <f t="shared" si="203"/>
        <v>0</v>
      </c>
      <c r="CW85" s="560">
        <f>IF(Sheet1!ER87="OTHER",DA85,0)</f>
        <v>0</v>
      </c>
      <c r="CX85" s="560">
        <f t="shared" si="204"/>
        <v>0</v>
      </c>
      <c r="CY85" s="560">
        <f t="shared" si="205"/>
        <v>6.09</v>
      </c>
      <c r="CZ85" s="560">
        <f t="shared" si="206"/>
        <v>6.0971731448763249</v>
      </c>
      <c r="DA85" s="560">
        <f>IF(OR(Sheet1!ER87="FM", Sheet1!ER87="OTHER"),SUM(Sheet1!BK87:'Sheet1'!BM87),0)</f>
        <v>0</v>
      </c>
      <c r="DB85" s="545">
        <f>IF(AND($B85&gt;=$FV85,$B85&lt;=$FW85),MAX($CT85,Sheet1!EK87,0),MAX($CT85-(7/36)*$K85,0))</f>
        <v>0</v>
      </c>
      <c r="DC85" s="560">
        <f t="shared" si="207"/>
        <v>6.4717157440125641</v>
      </c>
      <c r="DD85" s="545">
        <f t="shared" si="208"/>
        <v>6.0971731448763249</v>
      </c>
      <c r="DE85" s="545">
        <f>IF(AND($O85&gt;0,Sheet1!EO87=1),(1-($O85-Sheet1!$L87)/$O85)*CZ85,0)</f>
        <v>0</v>
      </c>
      <c r="DF85" s="545">
        <f>IF(AND(Sheet1!$L87=0,Sheet1!$L86=0, Calculation!CY85&lt;Sheet1!$EK87-0.1,Sheet1!$EK87=Sheet1!$EK86,Sheet1!$EK87=Sheet1!$EK88),Sheet1!$EK87,CZ85-DE85)</f>
        <v>6.0971731448763249</v>
      </c>
      <c r="DG85" s="545"/>
      <c r="DH85" s="560">
        <f t="shared" si="209"/>
        <v>8.7899999999999991</v>
      </c>
      <c r="DI85" s="560">
        <f t="shared" si="210"/>
        <v>170.32687108254143</v>
      </c>
      <c r="DJ85" s="698">
        <f t="shared" si="211"/>
        <v>8.8003533568904597</v>
      </c>
      <c r="DK85" s="560">
        <f ca="1">IF(B85&gt;Summary!$A$1,#N/A,DI85*MGtoAF)</f>
        <v>522.56284048123712</v>
      </c>
      <c r="DL85" s="698">
        <f t="shared" si="212"/>
        <v>8.7899999999999991</v>
      </c>
      <c r="DM85" s="560">
        <f t="shared" si="213"/>
        <v>25.47</v>
      </c>
      <c r="DN85" s="560">
        <f>Sheet1!AB87-DM85</f>
        <v>3.0000000000001137E-2</v>
      </c>
      <c r="DO85" s="823">
        <f t="shared" si="214"/>
        <v>1.1778563015312578E-3</v>
      </c>
      <c r="DP85" s="560">
        <f>(VLOOKUP(Sheet1!DC87,hhdcap_wcm,4)-(((VLOOKUP(Sheet1!DC87,hhdcap_wcm,3)-Sheet1!DC87)/(VLOOKUP(Sheet1!DC87,hhdcap_wcm,3)-VLOOKUP(Sheet1!DC87,hhdcap_wcm,1)))*(VLOOKUP(Sheet1!DC87,hhdcap_wcm,4)-VLOOKUP(Sheet1!DC87,hhdcap_wcm,2))))</f>
        <v>15619.000000038017</v>
      </c>
      <c r="DQ85" s="560">
        <f t="shared" si="215"/>
        <v>705.00000000142791</v>
      </c>
      <c r="DR85" s="560">
        <f t="shared" si="216"/>
        <v>355.52193646062926</v>
      </c>
      <c r="DS85" s="560">
        <f>Sheet1!EA87*AFtoMG</f>
        <v>0</v>
      </c>
      <c r="DT85" s="560">
        <f>Sheet1!EB87*AFtoMG</f>
        <v>0</v>
      </c>
      <c r="DU85" s="560">
        <f>Sheet1!EC87*AFtoMG</f>
        <v>0</v>
      </c>
      <c r="DV85" s="560">
        <f>Sheet1!ED87*AFtoMG</f>
        <v>0</v>
      </c>
      <c r="DW85" s="560">
        <f t="shared" si="217"/>
        <v>0</v>
      </c>
      <c r="DX85" s="560">
        <f t="shared" si="218"/>
        <v>0</v>
      </c>
      <c r="DY85" s="560">
        <f t="shared" si="219"/>
        <v>1310.5561780963289</v>
      </c>
      <c r="DZ85" s="560">
        <f t="shared" si="220"/>
        <v>4020.7863543995372</v>
      </c>
      <c r="EA85" s="560"/>
      <c r="EB85" s="545">
        <f>IF(OR(B85&lt;FV85,B85&gt;FW85),(MIN(BF85+BY85+CT85+MAX(Sheet1!AA87+AQ85-73,0),K85)),0)</f>
        <v>8.8003533568904597</v>
      </c>
      <c r="EC85" s="560"/>
      <c r="ED85" s="560">
        <f t="shared" si="221"/>
        <v>8.8003533568904597</v>
      </c>
      <c r="EE85" s="560"/>
      <c r="EF85" s="560">
        <f>Sheet1!EH87+Sheet1!EI87+Sheet1!EJ87+Sheet1!EK87</f>
        <v>8.7899999999999991</v>
      </c>
      <c r="EG85" s="560"/>
      <c r="EH85" s="545">
        <f t="shared" si="222"/>
        <v>0</v>
      </c>
      <c r="EI85" s="560">
        <f>IF(Sheet1!ET87=1,SUM('Calculations II'!AT85:BA85)+'Calculations II'!BC85+Sheet1!BV87+'Calculations II'!BE85+AP85,SUM('Calculations II'!AT85:BA85)+'Calculations II'!BC85+Sheet1!BV87+'Calculations II'!BE85+AP85)</f>
        <v>50.827136000000003</v>
      </c>
      <c r="EJ85" s="560">
        <f>Sheet1!AA87+Sheet1!AB87+'Calculations II'!BC85</f>
        <v>53.708112</v>
      </c>
      <c r="EK85" s="560"/>
      <c r="EL85" s="560"/>
      <c r="EM85" s="560">
        <f t="shared" si="223"/>
        <v>41713</v>
      </c>
      <c r="EN85" s="560">
        <f t="shared" si="224"/>
        <v>55.839646643109539</v>
      </c>
      <c r="EO85" s="560">
        <f t="shared" si="225"/>
        <v>86.383933356890452</v>
      </c>
      <c r="EP85" s="560">
        <v>0</v>
      </c>
      <c r="EQ85" s="560">
        <v>0</v>
      </c>
      <c r="ER85" s="560">
        <v>0</v>
      </c>
      <c r="ES85" s="545">
        <f t="shared" si="247"/>
        <v>3.8763178114082182</v>
      </c>
      <c r="ET85" s="560">
        <f>-(VLOOKUP(Sheet1!BQ87,Lookup!$O$4:$Q$262,2)-VLOOKUP(Sheet1!BQ86,Lookup!$O$4:$Q$262,2))/1000000</f>
        <v>1.9382037563073971</v>
      </c>
      <c r="EU85" s="560">
        <f>-(VLOOKUP(Sheet1!BR87,Lookup!$O$4:$Q$262,3)-VLOOKUP(Sheet1!BR86,Lookup!$O$4:$Q$262,3))/1000000</f>
        <v>1.9381140551008209</v>
      </c>
      <c r="EV85" s="560"/>
      <c r="EW85" s="560"/>
      <c r="EX85" s="560"/>
      <c r="EY85" s="560"/>
      <c r="EZ85" s="560"/>
      <c r="FA85" s="560"/>
      <c r="FB85" s="560"/>
      <c r="FC85" s="560"/>
      <c r="FD85" s="594" t="e">
        <f t="shared" si="226"/>
        <v>#N/A</v>
      </c>
      <c r="FE85" s="594" t="e">
        <f t="shared" si="227"/>
        <v>#N/A</v>
      </c>
      <c r="FF85" s="595" t="e">
        <f t="shared" si="228"/>
        <v>#N/A</v>
      </c>
      <c r="FG85" s="596" t="s">
        <v>692</v>
      </c>
      <c r="FH85" s="596" t="s">
        <v>692</v>
      </c>
      <c r="FI85" s="594" t="e">
        <v>#N/A</v>
      </c>
      <c r="FJ85" s="594" t="e">
        <v>#N/A</v>
      </c>
      <c r="FK85" s="560"/>
      <c r="FL85" s="560"/>
      <c r="FM85" s="560"/>
      <c r="FN85" s="560"/>
      <c r="FO85" s="560">
        <f>O85+((Sheet1!CS87)*GPMtoMGD)</f>
        <v>53.708112</v>
      </c>
      <c r="FP85" s="560">
        <f>IF(Sheet1!AA87+AQ85&lt;=Calculation!N85,AQ85,Calculation!N85-Sheet1!AA87)</f>
        <v>15.71849234393404</v>
      </c>
      <c r="FQ85" s="560">
        <f>(Sheet1!BP87+Sheet1!BO87)/694.4</f>
        <v>1.535282258064516</v>
      </c>
      <c r="FR85" s="560"/>
      <c r="FS85" s="560"/>
      <c r="FT85" s="560"/>
      <c r="FU85" s="560"/>
      <c r="FV85" s="695">
        <f t="shared" si="248"/>
        <v>41827</v>
      </c>
      <c r="FW85" s="695">
        <f t="shared" si="249"/>
        <v>41934</v>
      </c>
      <c r="FX85" s="560"/>
      <c r="FY85" s="560"/>
      <c r="FZ85" s="560"/>
      <c r="GA85" s="560"/>
      <c r="GB85" s="560" t="str">
        <f t="shared" si="250"/>
        <v>n</v>
      </c>
      <c r="GC85" s="564">
        <f t="shared" si="251"/>
        <v>41691</v>
      </c>
      <c r="GD85" s="695">
        <f t="shared" si="252"/>
        <v>41807</v>
      </c>
      <c r="GE85" s="560">
        <v>6518.9</v>
      </c>
      <c r="GF85" s="695">
        <f t="shared" si="253"/>
        <v>41808</v>
      </c>
      <c r="GG85" s="560">
        <f t="shared" si="272"/>
        <v>3259</v>
      </c>
      <c r="GH85" s="564">
        <f t="shared" si="254"/>
        <v>41934</v>
      </c>
      <c r="GJ85" s="545">
        <f t="shared" si="255"/>
        <v>0</v>
      </c>
      <c r="GK85" s="560" t="str">
        <f t="shared" si="229"/>
        <v/>
      </c>
      <c r="GL85" s="560">
        <f t="shared" si="256"/>
        <v>0</v>
      </c>
      <c r="GM85" s="560" t="str">
        <f t="shared" si="257"/>
        <v/>
      </c>
      <c r="GN85" s="560">
        <f>IF(GK85="P",Lookup!$M$12,IF(GK85="PP",Lookup!$M$13,IF(GK85="PPP",Lookup!$M$14,IF(GK85="T",Lookup!$M$15,IF(GK85="TP",Lookup!$M$16,IF(GK85="TPP",Lookup!$M$17,IF(GK85="TPPP",Lookup!$M$18,0)))))))*GJ85</f>
        <v>0</v>
      </c>
      <c r="GO85" s="560">
        <f t="shared" si="258"/>
        <v>0</v>
      </c>
      <c r="GP85" s="560">
        <f t="shared" si="230"/>
        <v>1900.5237333333328</v>
      </c>
      <c r="GQ85" s="560">
        <f t="shared" si="266"/>
        <v>619.46666666666647</v>
      </c>
      <c r="GR85" s="560"/>
      <c r="GS85" s="560">
        <f t="shared" si="259"/>
        <v>0</v>
      </c>
      <c r="GT85" s="560" t="str">
        <f t="shared" si="260"/>
        <v/>
      </c>
      <c r="GU85" s="560">
        <f>IF(GK85="P",Lookup!$N$12,IF(GK85="PP",Lookup!$N$13,IF(GK85="PPP",Lookup!$N$14,IF(GK85="T",Lookup!$N$15,IF(GK85="TP",Lookup!$N$16,IF(GK85="TPP",Lookup!$N$17,IF(GK85="TPPP",Lookup!$N$18,0)))))))*GJ85</f>
        <v>0</v>
      </c>
      <c r="GV85" s="560">
        <f t="shared" si="261"/>
        <v>0</v>
      </c>
      <c r="GW85" s="560">
        <f t="shared" si="231"/>
        <v>886.91107555555561</v>
      </c>
      <c r="GX85" s="560">
        <f t="shared" si="267"/>
        <v>289.08444444444444</v>
      </c>
      <c r="GY85" s="560"/>
      <c r="GZ85" s="560">
        <f t="shared" si="262"/>
        <v>0</v>
      </c>
      <c r="HA85" s="560" t="str">
        <f t="shared" si="263"/>
        <v/>
      </c>
      <c r="HB85" s="560">
        <f>IF(GK85="P",Lookup!$N$12,IF(GK85="PP",Lookup!$N$13,IF(GK85="PPP",Lookup!$N$14,IF(GK85="T",Lookup!$N$15,IF(GK85="TP",Lookup!$N$16,IF(GK85="TPP",Lookup!$N$17,IF(GK85="TPPP",Lookup!$N$18,0)))))))*GJ85</f>
        <v>0</v>
      </c>
      <c r="HC85" s="545">
        <f t="shared" si="232"/>
        <v>0</v>
      </c>
      <c r="HD85" s="560">
        <f t="shared" si="233"/>
        <v>710.78870502941209</v>
      </c>
      <c r="HE85" s="560">
        <f t="shared" si="268"/>
        <v>231.67819590267669</v>
      </c>
      <c r="HF85" s="560"/>
      <c r="HG85" s="560">
        <f t="shared" si="264"/>
        <v>0</v>
      </c>
      <c r="HH85" s="560" t="str">
        <f t="shared" si="265"/>
        <v/>
      </c>
      <c r="HI85" s="560">
        <f>IF(GK85="P",Lookup!$N$12,IF(GK85="PP",Lookup!$N$13,IF(GK85="PPP",Lookup!$N$14,IF(GK85="T",Lookup!$N$15,IF(GK85="TP",Lookup!$N$16,IF(GK85="TPP",Lookup!$N$17,IF(GK85="TPPP",Lookup!$N$18,0)))))))*GJ85</f>
        <v>0</v>
      </c>
      <c r="HJ85" s="545">
        <f t="shared" si="234"/>
        <v>0</v>
      </c>
      <c r="HK85" s="560">
        <f t="shared" si="235"/>
        <v>522.56284048123712</v>
      </c>
      <c r="HL85" s="560">
        <f t="shared" si="269"/>
        <v>170.32687108254143</v>
      </c>
      <c r="HM85" s="560"/>
    </row>
    <row r="86" spans="1:221">
      <c r="A86" s="580" t="s">
        <v>3</v>
      </c>
      <c r="B86" s="556">
        <v>41714</v>
      </c>
      <c r="C86" s="561">
        <v>0</v>
      </c>
      <c r="D86" s="529">
        <f t="shared" si="270"/>
        <v>300</v>
      </c>
      <c r="E86" s="529">
        <f t="shared" si="271"/>
        <v>250</v>
      </c>
      <c r="F86" s="529">
        <v>250</v>
      </c>
      <c r="G86" s="560">
        <f>DR86+Sheet1!CZ88</f>
        <v>3059.4704992450811</v>
      </c>
      <c r="H86" s="914">
        <f t="shared" si="236"/>
        <v>1710.6785307120203</v>
      </c>
      <c r="I86" s="559">
        <f>MAX(Sheet1!Z88-AT86+(Sheet1!DA88-E86)*CFStoMGD,0)</f>
        <v>3147.6120000000001</v>
      </c>
      <c r="J86" s="562">
        <f>IF(AND(B86&gt;=Calculation!GC86,B86&lt;=Calculation!GD86),IF(Sheet1!DB88&gt;=Calculation!D86,64.64,0),MAX(Sheet1!Z88-AT86+(Sheet1!DB88-D86)*CFStoMGD,0))</f>
        <v>64.64</v>
      </c>
      <c r="K86" s="904">
        <f t="shared" si="171"/>
        <v>64.64</v>
      </c>
      <c r="L86" s="560">
        <f>Sheet1!AA88+Sheet1!AB88-Sheet1!L88+(Sheet1!DA88-F86)*CFStoMGD</f>
        <v>3122.1120000000001</v>
      </c>
      <c r="M86" s="560">
        <f t="shared" si="172"/>
        <v>2017.194565326261</v>
      </c>
      <c r="N86" s="910">
        <f>IF(Sheet1!DA88&gt;=F86,MIN(73,MIN(MAX(L86,0),MAX(M86,0))),0)</f>
        <v>73</v>
      </c>
      <c r="O86" s="563">
        <f>Sheet1!AA88+Sheet1!AB88</f>
        <v>46.7</v>
      </c>
      <c r="P86" s="563">
        <f t="shared" si="173"/>
        <v>72.244900000000001</v>
      </c>
      <c r="Q86" s="898">
        <f t="shared" si="237"/>
        <v>37.940000000000005</v>
      </c>
      <c r="R86" s="829">
        <f t="shared" si="174"/>
        <v>8.7804992199687977</v>
      </c>
      <c r="S86" s="898">
        <f t="shared" si="238"/>
        <v>8.76</v>
      </c>
      <c r="T86" s="898">
        <f t="shared" si="239"/>
        <v>55.88</v>
      </c>
      <c r="U86" s="898">
        <f t="shared" si="240"/>
        <v>0</v>
      </c>
      <c r="V86" s="898"/>
      <c r="W86" s="898">
        <f t="shared" si="241"/>
        <v>55.859500780031205</v>
      </c>
      <c r="X86" s="898">
        <f t="shared" si="242"/>
        <v>64.64</v>
      </c>
      <c r="Y86" s="898" t="str">
        <f t="shared" si="243"/>
        <v>FALSE</v>
      </c>
      <c r="Z86" s="898">
        <f t="shared" si="244"/>
        <v>46.7</v>
      </c>
      <c r="AA86" s="898">
        <f t="shared" si="245"/>
        <v>46.7</v>
      </c>
      <c r="AB86" s="898" t="str">
        <f t="shared" si="246"/>
        <v/>
      </c>
      <c r="AC86" s="563">
        <f>Sheet1!Y88*MGDtoCFS</f>
        <v>32.951099999999997</v>
      </c>
      <c r="AD86" s="563">
        <f>Sheet1!Z88*MGDtoCFS</f>
        <v>39.448499999999996</v>
      </c>
      <c r="AE86" s="563">
        <f>Sheet1!AA88*MGDtoCFS</f>
        <v>32.487000000000002</v>
      </c>
      <c r="AF86" s="563">
        <f>Sheet1!AB88*MGDtoCFS</f>
        <v>39.757899999999999</v>
      </c>
      <c r="AG86" s="563">
        <f>Sheet1!L88*MGDtoCFS</f>
        <v>72.244900000000001</v>
      </c>
      <c r="AH86" s="545">
        <f t="shared" si="175"/>
        <v>0</v>
      </c>
      <c r="AI86" s="560">
        <f t="shared" si="176"/>
        <v>0</v>
      </c>
      <c r="AJ86" s="560">
        <f t="shared" si="177"/>
        <v>55.859500780031205</v>
      </c>
      <c r="AK86" s="560">
        <f t="shared" si="178"/>
        <v>86.414647706708266</v>
      </c>
      <c r="AL86" s="560">
        <f>(VLOOKUP(Sheet1!DC88,hhdcap_wcm,4)-(((VLOOKUP(Sheet1!DC88,hhdcap_wcm,3)-Sheet1!DC88)/(VLOOKUP(Sheet1!DC88,hhdcap_wcm,3)-VLOOKUP(Sheet1!DC88,hhdcap_wcm,1)))*(VLOOKUP(Sheet1!DC88,hhdcap_wcm,4)-VLOOKUP(Sheet1!DC88,hhdcap_wcm,2))))</f>
        <v>16708.600000041013</v>
      </c>
      <c r="AM86" s="560">
        <f t="shared" si="179"/>
        <v>1089.6000000029962</v>
      </c>
      <c r="AN86" s="560">
        <f t="shared" si="180"/>
        <v>1366.4156788763601</v>
      </c>
      <c r="AO86" s="560">
        <f t="shared" si="181"/>
        <v>4192.1633027926728</v>
      </c>
      <c r="AP86" s="560">
        <f>Sheet1!BA88+Sheet1!BB88+Sheet1!BN88+CD86</f>
        <v>16.88</v>
      </c>
      <c r="AQ86" s="560">
        <f>Sheet1!BN88+(DO86*Sheet1!BN88)</f>
        <v>15.937207488299531</v>
      </c>
      <c r="AR86" s="560">
        <f>Sheet1!BA88+CD86</f>
        <v>0</v>
      </c>
      <c r="AS86" s="560">
        <f>Sheet1!BA88+Sheet1!BB88+CD86</f>
        <v>0.98</v>
      </c>
      <c r="AT86" s="698">
        <f>0</f>
        <v>0</v>
      </c>
      <c r="AU86" s="560">
        <f>IF(EB86&lt;K86,0,MAX(Sheet1!AA88+AQ86-15/36*K86-N86,Sheet1!EH88,0))</f>
        <v>0</v>
      </c>
      <c r="AV86" s="560">
        <f>IF(OR(B86&gt;=GD86,B86&lt;GC86),0,15/36*K86-MAX(0,64.6-(137.6-(Sheet1!AA88+Sheet1!AB88))))</f>
        <v>26.933333333333334</v>
      </c>
      <c r="AW86" s="698">
        <f>Sheet1!DB88-110</f>
        <v>2560</v>
      </c>
      <c r="AX86" s="698">
        <f>Sheet1!DA88-265</f>
        <v>4815</v>
      </c>
      <c r="AY86" s="698">
        <f t="shared" si="182"/>
        <v>35.059999999999995</v>
      </c>
      <c r="AZ86" s="698">
        <v>0</v>
      </c>
      <c r="BA86" s="698">
        <f t="shared" si="183"/>
        <v>0</v>
      </c>
      <c r="BB86" s="560">
        <f t="shared" si="184"/>
        <v>646.39999999999975</v>
      </c>
      <c r="BC86" s="560"/>
      <c r="BD86" s="560">
        <f ca="1">IF(B86&gt;Summary!$A$1,#N/A,BB86*MGtoAF)</f>
        <v>1983.1551999999992</v>
      </c>
      <c r="BE86" s="560">
        <f>Sheet1!BG88+Sheet1!BH88+Sheet1!BI88-BM86</f>
        <v>0</v>
      </c>
      <c r="BF86" s="560">
        <f t="shared" si="185"/>
        <v>0</v>
      </c>
      <c r="BG86" s="560">
        <f>IF(Sheet1!EP88="FM",BM86,0)</f>
        <v>0</v>
      </c>
      <c r="BH86" s="560">
        <f t="shared" si="186"/>
        <v>0</v>
      </c>
      <c r="BI86" s="560">
        <f>IF(Sheet1!EP88="OTHER",BM86,0)</f>
        <v>0</v>
      </c>
      <c r="BJ86" s="560">
        <f t="shared" si="187"/>
        <v>0</v>
      </c>
      <c r="BK86" s="560">
        <f t="shared" si="188"/>
        <v>0</v>
      </c>
      <c r="BL86" s="560">
        <f t="shared" si="189"/>
        <v>0</v>
      </c>
      <c r="BM86" s="560">
        <f>IF(OR(Sheet1!EP88="FM", Sheet1!EP88="OTHER"),SUM(Sheet1!BG88:'Sheet1'!BI88),0)</f>
        <v>0</v>
      </c>
      <c r="BN86" s="545">
        <f>IF(AND($B86&gt;=$FV86,$B86&lt;=$FW86),MAX(BF86,Sheet1!EI88,0),MAX(BF86-(7/36)*$K86,0))</f>
        <v>0</v>
      </c>
      <c r="BO86" s="560">
        <f t="shared" si="190"/>
        <v>12.568888888888889</v>
      </c>
      <c r="BP86" s="545">
        <f t="shared" si="191"/>
        <v>0</v>
      </c>
      <c r="BQ86" s="545">
        <f>IF(AND($O86&gt;0,Sheet1!EM88=1),(1-($O86-Sheet1!$L88)/$O86)*BL86,0)</f>
        <v>0</v>
      </c>
      <c r="BR86" s="545">
        <f>IF(AND(Sheet1!$L88=0,Sheet1!$L87=0, Calculation!BK86&lt;Sheet1!$EI88-0.1,Sheet1!$EI88=Sheet1!$EI87,Sheet1!$EI88=Sheet1!$EI89),Sheet1!$EI88,BL86-BQ86)</f>
        <v>0</v>
      </c>
      <c r="BS86" s="560"/>
      <c r="BT86" s="560"/>
      <c r="BU86" s="560">
        <f t="shared" si="192"/>
        <v>301.65333333333331</v>
      </c>
      <c r="BV86" s="560"/>
      <c r="BW86" s="560">
        <f ca="1">IF(B86&gt;Summary!$A$1,#N/A,BU86*MGtoAF)</f>
        <v>925.47242666666659</v>
      </c>
      <c r="BX86" s="560">
        <f>Sheet1!BC88+Sheet1!BD88+Sheet1!BE88+Sheet1!BF88-CG86-CH86</f>
        <v>2.71</v>
      </c>
      <c r="BY86" s="560">
        <f t="shared" si="193"/>
        <v>2.7163416536661464</v>
      </c>
      <c r="BZ86" s="560">
        <f>IF(Sheet1!EQ88="FM",CH86,0)</f>
        <v>0</v>
      </c>
      <c r="CA86" s="560">
        <f t="shared" si="194"/>
        <v>0</v>
      </c>
      <c r="CB86" s="560">
        <f>IF(Sheet1!EQ88="OTHER",CH86,0)</f>
        <v>0</v>
      </c>
      <c r="CC86" s="560">
        <f t="shared" si="195"/>
        <v>0</v>
      </c>
      <c r="CD86" s="560">
        <f t="shared" si="196"/>
        <v>0</v>
      </c>
      <c r="CE86" s="560">
        <f t="shared" si="197"/>
        <v>2.71</v>
      </c>
      <c r="CF86" s="560">
        <f t="shared" si="198"/>
        <v>2.7163416536661464</v>
      </c>
      <c r="CG86" s="560">
        <f>IF(Sheet1!EQ88="CWA",SUM(Sheet1!BC88:'Sheet1'!BF88),0)</f>
        <v>0</v>
      </c>
      <c r="CH86" s="560">
        <f>IF(OR(Sheet1!EQ88="FM", Sheet1!EQ88="OTHER"),SUM(Sheet1!BC88:'Sheet1'!BF88),0)</f>
        <v>0</v>
      </c>
      <c r="CI86" s="545">
        <f>IF(AND($B86&gt;=$FV86,$B86&lt;=$FW86),MAX(CF86,Sheet1!EJ88,0),MAX(CF86-(7/36)*$K86,0))</f>
        <v>0</v>
      </c>
      <c r="CJ86" s="560">
        <f t="shared" si="199"/>
        <v>9.8525472352227421</v>
      </c>
      <c r="CK86" s="545">
        <f t="shared" si="200"/>
        <v>2.7163416536661464</v>
      </c>
      <c r="CL86" s="545">
        <f>IF(AND($O86&gt;0,Sheet1!EN88=1),(1-($O86-Sheet1!$L88)/$O86)*CF86,0)</f>
        <v>0</v>
      </c>
      <c r="CM86" s="545">
        <f>IF(AND(Sheet1!$L88=0,Sheet1!$L87=0, Calculation!CE86&lt;Sheet1!EJ88-0.1,Sheet1!EJ88=Sheet1!EJ87,Sheet1!EJ88=Sheet1!EJ89),Sheet1!EJ88,CF86-CL86)</f>
        <v>2.7163416536661464</v>
      </c>
      <c r="CN86" s="545"/>
      <c r="CO86" s="560"/>
      <c r="CP86" s="560">
        <f t="shared" si="201"/>
        <v>241.53074313789944</v>
      </c>
      <c r="CQ86" s="560"/>
      <c r="CR86" s="560">
        <f ca="1">IF(B86&gt;Summary!$A$1,#N/A,CP86*MGtoAF)</f>
        <v>741.01631994707543</v>
      </c>
      <c r="CS86" s="560">
        <f>Sheet1!BK88+Sheet1!BL88+Sheet1!BM88-Sheet1!ER88-DA86</f>
        <v>6.05</v>
      </c>
      <c r="CT86" s="560">
        <f t="shared" si="202"/>
        <v>6.0641575663026517</v>
      </c>
      <c r="CU86" s="560">
        <f>IF(Sheet1!ER88="FM",DA86,0)</f>
        <v>0</v>
      </c>
      <c r="CV86" s="560">
        <f t="shared" si="203"/>
        <v>0</v>
      </c>
      <c r="CW86" s="560">
        <f>IF(Sheet1!ER88="OTHER",DA86,0)</f>
        <v>0</v>
      </c>
      <c r="CX86" s="560">
        <f t="shared" si="204"/>
        <v>0</v>
      </c>
      <c r="CY86" s="560">
        <f t="shared" si="205"/>
        <v>6.05</v>
      </c>
      <c r="CZ86" s="560">
        <f t="shared" si="206"/>
        <v>6.0641575663026517</v>
      </c>
      <c r="DA86" s="560">
        <f>IF(OR(Sheet1!ER88="FM", Sheet1!ER88="OTHER"),SUM(Sheet1!BK88:'Sheet1'!BM88),0)</f>
        <v>0</v>
      </c>
      <c r="DB86" s="545">
        <f>IF(AND($B86&gt;=$FV86,$B86&lt;=$FW86),MAX($CT86,Sheet1!EK88,0),MAX($CT86-(7/36)*$K86,0))</f>
        <v>0</v>
      </c>
      <c r="DC86" s="560">
        <f t="shared" si="207"/>
        <v>6.5047313225862373</v>
      </c>
      <c r="DD86" s="545">
        <f t="shared" si="208"/>
        <v>6.0641575663026517</v>
      </c>
      <c r="DE86" s="545">
        <f>IF(AND($O86&gt;0,Sheet1!EO88=1),(1-($O86-Sheet1!$L88)/$O86)*CZ86,0)</f>
        <v>0</v>
      </c>
      <c r="DF86" s="545">
        <f>IF(AND(Sheet1!$L88=0,Sheet1!$L87=0, Calculation!CY86&lt;Sheet1!$EK88-0.1,Sheet1!$EK88=Sheet1!$EK87,Sheet1!$EK88=Sheet1!$EK89),Sheet1!$EK88,CZ86-DE86)</f>
        <v>6.0641575663026517</v>
      </c>
      <c r="DG86" s="545"/>
      <c r="DH86" s="560">
        <f t="shared" si="209"/>
        <v>8.76</v>
      </c>
      <c r="DI86" s="560">
        <f t="shared" si="210"/>
        <v>176.83160240512765</v>
      </c>
      <c r="DJ86" s="698">
        <f t="shared" si="211"/>
        <v>8.7804992199687977</v>
      </c>
      <c r="DK86" s="560">
        <f ca="1">IF(B86&gt;Summary!$A$1,#N/A,DI86*MGtoAF)</f>
        <v>542.51935617893162</v>
      </c>
      <c r="DL86" s="698">
        <f t="shared" si="212"/>
        <v>8.76</v>
      </c>
      <c r="DM86" s="560">
        <f t="shared" si="213"/>
        <v>25.64</v>
      </c>
      <c r="DN86" s="560">
        <f>Sheet1!AB88-DM86</f>
        <v>5.9999999999998721E-2</v>
      </c>
      <c r="DO86" s="823">
        <f t="shared" si="214"/>
        <v>2.3400936037441E-3</v>
      </c>
      <c r="DP86" s="560">
        <f>(VLOOKUP(Sheet1!DC88,hhdcap_wcm,4)-(((VLOOKUP(Sheet1!DC88,hhdcap_wcm,3)-Sheet1!DC88)/(VLOOKUP(Sheet1!DC88,hhdcap_wcm,3)-VLOOKUP(Sheet1!DC88,hhdcap_wcm,1)))*(VLOOKUP(Sheet1!DC88,hhdcap_wcm,4)-VLOOKUP(Sheet1!DC88,hhdcap_wcm,2))))</f>
        <v>16708.600000041013</v>
      </c>
      <c r="DQ86" s="560">
        <f t="shared" si="215"/>
        <v>1089.6000000029962</v>
      </c>
      <c r="DR86" s="560">
        <f t="shared" si="216"/>
        <v>549.47049924508121</v>
      </c>
      <c r="DS86" s="560">
        <f>Sheet1!EA88*AFtoMG</f>
        <v>0</v>
      </c>
      <c r="DT86" s="560">
        <f>Sheet1!EB88*AFtoMG</f>
        <v>0</v>
      </c>
      <c r="DU86" s="560">
        <f>Sheet1!EC88*AFtoMG</f>
        <v>0</v>
      </c>
      <c r="DV86" s="560">
        <f>Sheet1!ED88*AFtoMG</f>
        <v>0</v>
      </c>
      <c r="DW86" s="560">
        <f t="shared" si="217"/>
        <v>0</v>
      </c>
      <c r="DX86" s="560">
        <f t="shared" si="218"/>
        <v>0</v>
      </c>
      <c r="DY86" s="560">
        <f t="shared" si="219"/>
        <v>1366.4156788763601</v>
      </c>
      <c r="DZ86" s="560">
        <f t="shared" si="220"/>
        <v>4192.1633027926728</v>
      </c>
      <c r="EA86" s="560"/>
      <c r="EB86" s="545">
        <f>IF(OR(B86&lt;FV86,B86&gt;FW86),(MIN(BF86+BY86+CT86+MAX(Sheet1!AA88+AQ86-73,0),K86)),0)</f>
        <v>8.7804992199687977</v>
      </c>
      <c r="EC86" s="560"/>
      <c r="ED86" s="560">
        <f t="shared" si="221"/>
        <v>8.7804992199687977</v>
      </c>
      <c r="EE86" s="560"/>
      <c r="EF86" s="560">
        <f>Sheet1!EH88+Sheet1!EI88+Sheet1!EJ88+Sheet1!EK88</f>
        <v>8.76</v>
      </c>
      <c r="EG86" s="560"/>
      <c r="EH86" s="545">
        <f t="shared" si="222"/>
        <v>0</v>
      </c>
      <c r="EI86" s="560">
        <f>IF(Sheet1!ET88=1,SUM('Calculations II'!AT86:BA86)+'Calculations II'!BC86+Sheet1!BV88+'Calculations II'!BE86+AP86,SUM('Calculations II'!AT86:BA86)+'Calculations II'!BC86+Sheet1!BV88+'Calculations II'!BE86+AP86)</f>
        <v>49.938000000000002</v>
      </c>
      <c r="EJ86" s="560">
        <f>Sheet1!AA88+Sheet1!AB88+'Calculations II'!BC86</f>
        <v>53.050544000000002</v>
      </c>
      <c r="EK86" s="560"/>
      <c r="EL86" s="560"/>
      <c r="EM86" s="560">
        <f t="shared" si="223"/>
        <v>41714</v>
      </c>
      <c r="EN86" s="560">
        <f t="shared" si="224"/>
        <v>55.859500780031205</v>
      </c>
      <c r="EO86" s="560">
        <f t="shared" si="225"/>
        <v>86.414647706708266</v>
      </c>
      <c r="EP86" s="560">
        <v>0</v>
      </c>
      <c r="EQ86" s="560">
        <v>0</v>
      </c>
      <c r="ER86" s="560">
        <v>0</v>
      </c>
      <c r="ES86" s="545">
        <f t="shared" si="247"/>
        <v>2.6289298836781754</v>
      </c>
      <c r="ET86" s="560">
        <f>-(VLOOKUP(Sheet1!BQ88,Lookup!$O$4:$Q$262,2)-VLOOKUP(Sheet1!BQ87,Lookup!$O$4:$Q$262,2))/1000000</f>
        <v>1.3836624786563219</v>
      </c>
      <c r="EU86" s="560">
        <f>-(VLOOKUP(Sheet1!BR88,Lookup!$O$4:$Q$262,3)-VLOOKUP(Sheet1!BR87,Lookup!$O$4:$Q$262,3))/1000000</f>
        <v>1.2452674050218537</v>
      </c>
      <c r="EV86" s="560"/>
      <c r="EW86" s="560"/>
      <c r="EX86" s="560"/>
      <c r="EY86" s="560"/>
      <c r="EZ86" s="560"/>
      <c r="FA86" s="560"/>
      <c r="FB86" s="560"/>
      <c r="FC86" s="560"/>
      <c r="FD86" s="594" t="e">
        <f t="shared" si="226"/>
        <v>#N/A</v>
      </c>
      <c r="FE86" s="594" t="e">
        <f t="shared" si="227"/>
        <v>#N/A</v>
      </c>
      <c r="FF86" s="595" t="e">
        <f t="shared" si="228"/>
        <v>#N/A</v>
      </c>
      <c r="FG86" s="596" t="s">
        <v>692</v>
      </c>
      <c r="FH86" s="596" t="s">
        <v>692</v>
      </c>
      <c r="FI86" s="594" t="e">
        <v>#N/A</v>
      </c>
      <c r="FJ86" s="594" t="e">
        <v>#N/A</v>
      </c>
      <c r="FK86" s="560"/>
      <c r="FL86" s="560"/>
      <c r="FM86" s="560"/>
      <c r="FN86" s="560"/>
      <c r="FO86" s="560">
        <f>O86+((Sheet1!CS88)*GPMtoMGD)</f>
        <v>53.050544000000002</v>
      </c>
      <c r="FP86" s="560">
        <f>IF(Sheet1!AA88+AQ86&lt;=Calculation!N86,AQ86,Calculation!N86-Sheet1!AA88)</f>
        <v>15.937207488299531</v>
      </c>
      <c r="FQ86" s="560">
        <f>(Sheet1!BP88+Sheet1!BO88)/694.4</f>
        <v>1.7039170506912444</v>
      </c>
      <c r="FR86" s="560"/>
      <c r="FS86" s="560"/>
      <c r="FT86" s="560"/>
      <c r="FU86" s="560"/>
      <c r="FV86" s="695">
        <f t="shared" si="248"/>
        <v>41827</v>
      </c>
      <c r="FW86" s="695">
        <f t="shared" si="249"/>
        <v>41934</v>
      </c>
      <c r="FX86" s="560"/>
      <c r="FY86" s="560"/>
      <c r="FZ86" s="560"/>
      <c r="GA86" s="560"/>
      <c r="GB86" s="560" t="str">
        <f t="shared" si="250"/>
        <v>n</v>
      </c>
      <c r="GC86" s="564">
        <f t="shared" si="251"/>
        <v>41691</v>
      </c>
      <c r="GD86" s="695">
        <f t="shared" si="252"/>
        <v>41807</v>
      </c>
      <c r="GE86" s="560">
        <v>6518.9</v>
      </c>
      <c r="GF86" s="695">
        <f t="shared" si="253"/>
        <v>41808</v>
      </c>
      <c r="GG86" s="560">
        <f t="shared" si="272"/>
        <v>3259</v>
      </c>
      <c r="GH86" s="564">
        <f t="shared" si="254"/>
        <v>41934</v>
      </c>
      <c r="GJ86" s="545">
        <f t="shared" si="255"/>
        <v>0</v>
      </c>
      <c r="GK86" s="560" t="str">
        <f t="shared" si="229"/>
        <v/>
      </c>
      <c r="GL86" s="560">
        <f t="shared" si="256"/>
        <v>0</v>
      </c>
      <c r="GM86" s="560" t="str">
        <f t="shared" si="257"/>
        <v/>
      </c>
      <c r="GN86" s="560">
        <f>IF(GK86="P",Lookup!$M$12,IF(GK86="PP",Lookup!$M$13,IF(GK86="PPP",Lookup!$M$14,IF(GK86="T",Lookup!$M$15,IF(GK86="TP",Lookup!$M$16,IF(GK86="TPP",Lookup!$M$17,IF(GK86="TPPP",Lookup!$M$18,0)))))))*GJ86</f>
        <v>0</v>
      </c>
      <c r="GO86" s="560">
        <f t="shared" si="258"/>
        <v>0</v>
      </c>
      <c r="GP86" s="560">
        <f t="shared" si="230"/>
        <v>1983.1551999999992</v>
      </c>
      <c r="GQ86" s="560">
        <f t="shared" si="266"/>
        <v>646.39999999999975</v>
      </c>
      <c r="GR86" s="560"/>
      <c r="GS86" s="560">
        <f t="shared" si="259"/>
        <v>0</v>
      </c>
      <c r="GT86" s="560" t="str">
        <f t="shared" si="260"/>
        <v/>
      </c>
      <c r="GU86" s="560">
        <f>IF(GK86="P",Lookup!$N$12,IF(GK86="PP",Lookup!$N$13,IF(GK86="PPP",Lookup!$N$14,IF(GK86="T",Lookup!$N$15,IF(GK86="TP",Lookup!$N$16,IF(GK86="TPP",Lookup!$N$17,IF(GK86="TPPP",Lookup!$N$18,0)))))))*GJ86</f>
        <v>0</v>
      </c>
      <c r="GV86" s="560">
        <f t="shared" si="261"/>
        <v>0</v>
      </c>
      <c r="GW86" s="560">
        <f t="shared" si="231"/>
        <v>925.47242666666659</v>
      </c>
      <c r="GX86" s="560">
        <f t="shared" si="267"/>
        <v>301.65333333333331</v>
      </c>
      <c r="GY86" s="560"/>
      <c r="GZ86" s="560">
        <f t="shared" si="262"/>
        <v>0</v>
      </c>
      <c r="HA86" s="560" t="str">
        <f t="shared" si="263"/>
        <v/>
      </c>
      <c r="HB86" s="560">
        <f>IF(GK86="P",Lookup!$N$12,IF(GK86="PP",Lookup!$N$13,IF(GK86="PPP",Lookup!$N$14,IF(GK86="T",Lookup!$N$15,IF(GK86="TP",Lookup!$N$16,IF(GK86="TPP",Lookup!$N$17,IF(GK86="TPPP",Lookup!$N$18,0)))))))*GJ86</f>
        <v>0</v>
      </c>
      <c r="HC86" s="545">
        <f t="shared" si="232"/>
        <v>0</v>
      </c>
      <c r="HD86" s="560">
        <f t="shared" si="233"/>
        <v>741.01631994707543</v>
      </c>
      <c r="HE86" s="560">
        <f t="shared" si="268"/>
        <v>241.53074313789944</v>
      </c>
      <c r="HF86" s="560"/>
      <c r="HG86" s="560">
        <f t="shared" si="264"/>
        <v>0</v>
      </c>
      <c r="HH86" s="560" t="str">
        <f t="shared" si="265"/>
        <v/>
      </c>
      <c r="HI86" s="560">
        <f>IF(GK86="P",Lookup!$N$12,IF(GK86="PP",Lookup!$N$13,IF(GK86="PPP",Lookup!$N$14,IF(GK86="T",Lookup!$N$15,IF(GK86="TP",Lookup!$N$16,IF(GK86="TPP",Lookup!$N$17,IF(GK86="TPPP",Lookup!$N$18,0)))))))*GJ86</f>
        <v>0</v>
      </c>
      <c r="HJ86" s="545">
        <f t="shared" si="234"/>
        <v>0</v>
      </c>
      <c r="HK86" s="560">
        <f t="shared" si="235"/>
        <v>542.51935617893162</v>
      </c>
      <c r="HL86" s="560">
        <f t="shared" si="269"/>
        <v>176.83160240512765</v>
      </c>
      <c r="HM86" s="560"/>
    </row>
    <row r="87" spans="1:221">
      <c r="A87" s="580" t="s">
        <v>4</v>
      </c>
      <c r="B87" s="556">
        <v>41715</v>
      </c>
      <c r="C87" s="561">
        <v>0</v>
      </c>
      <c r="D87" s="529">
        <f t="shared" si="270"/>
        <v>300</v>
      </c>
      <c r="E87" s="529">
        <f t="shared" si="271"/>
        <v>250</v>
      </c>
      <c r="F87" s="529">
        <v>250</v>
      </c>
      <c r="G87" s="560">
        <f>DR87+Sheet1!CZ89</f>
        <v>3128.6333837635357</v>
      </c>
      <c r="H87" s="914">
        <f t="shared" si="236"/>
        <v>1755.3854192647493</v>
      </c>
      <c r="I87" s="559">
        <f>MAX(Sheet1!Z89-AT87+(Sheet1!DA89-E87)*CFStoMGD,0)</f>
        <v>3076.7079999999996</v>
      </c>
      <c r="J87" s="562">
        <f>IF(AND(B87&gt;=Calculation!GC87,B87&lt;=Calculation!GD87),IF(Sheet1!DB89&gt;=Calculation!D87,64.64,0),MAX(Sheet1!Z89-AT87+(Sheet1!DB89-D87)*CFStoMGD,0))</f>
        <v>64.64</v>
      </c>
      <c r="K87" s="904">
        <f t="shared" si="171"/>
        <v>64.64</v>
      </c>
      <c r="L87" s="560">
        <f>Sheet1!AA89+Sheet1!AB89-Sheet1!L89+(Sheet1!DA89-F87)*CFStoMGD</f>
        <v>3051.0079999999998</v>
      </c>
      <c r="M87" s="560">
        <f t="shared" si="172"/>
        <v>2062.7955916500446</v>
      </c>
      <c r="N87" s="910">
        <f>IF(Sheet1!DA89&gt;=F87,MIN(73,MIN(MAX(L87,0),MAX(M87,0))),0)</f>
        <v>73</v>
      </c>
      <c r="O87" s="563">
        <f>Sheet1!AA89+Sheet1!AB89</f>
        <v>46.900000000000006</v>
      </c>
      <c r="P87" s="563">
        <f t="shared" si="173"/>
        <v>72.554299999999998</v>
      </c>
      <c r="Q87" s="898">
        <f t="shared" si="237"/>
        <v>38.190000000000005</v>
      </c>
      <c r="R87" s="829">
        <f t="shared" si="174"/>
        <v>8.7133384438482189</v>
      </c>
      <c r="S87" s="898">
        <f t="shared" si="238"/>
        <v>8.7100000000000009</v>
      </c>
      <c r="T87" s="898">
        <f t="shared" si="239"/>
        <v>55.93</v>
      </c>
      <c r="U87" s="898">
        <f t="shared" si="240"/>
        <v>0</v>
      </c>
      <c r="V87" s="898"/>
      <c r="W87" s="898">
        <f t="shared" si="241"/>
        <v>55.926661556151785</v>
      </c>
      <c r="X87" s="898">
        <f t="shared" si="242"/>
        <v>64.64</v>
      </c>
      <c r="Y87" s="898" t="str">
        <f t="shared" si="243"/>
        <v>FALSE</v>
      </c>
      <c r="Z87" s="898">
        <f t="shared" si="244"/>
        <v>46.900000000000006</v>
      </c>
      <c r="AA87" s="898">
        <f t="shared" si="245"/>
        <v>46.900000000000006</v>
      </c>
      <c r="AB87" s="898" t="str">
        <f t="shared" si="246"/>
        <v/>
      </c>
      <c r="AC87" s="563">
        <f>Sheet1!Y89*MGDtoCFS</f>
        <v>32.487000000000002</v>
      </c>
      <c r="AD87" s="563">
        <f>Sheet1!Z89*MGDtoCFS</f>
        <v>39.757899999999999</v>
      </c>
      <c r="AE87" s="563">
        <f>Sheet1!AA89*MGDtoCFS</f>
        <v>32.177599999999998</v>
      </c>
      <c r="AF87" s="563">
        <f>Sheet1!AB89*MGDtoCFS</f>
        <v>40.3767</v>
      </c>
      <c r="AG87" s="563">
        <f>Sheet1!L89*MGDtoCFS</f>
        <v>72.554300000000012</v>
      </c>
      <c r="AH87" s="545">
        <f t="shared" si="175"/>
        <v>0</v>
      </c>
      <c r="AI87" s="560">
        <f t="shared" si="176"/>
        <v>0</v>
      </c>
      <c r="AJ87" s="560">
        <f t="shared" si="177"/>
        <v>55.926661556151785</v>
      </c>
      <c r="AK87" s="560">
        <f t="shared" si="178"/>
        <v>86.518545427366803</v>
      </c>
      <c r="AL87" s="560">
        <f>(VLOOKUP(Sheet1!DC89,hhdcap_wcm,4)-(((VLOOKUP(Sheet1!DC89,hhdcap_wcm,3)-Sheet1!DC89)/(VLOOKUP(Sheet1!DC89,hhdcap_wcm,3)-VLOOKUP(Sheet1!DC89,hhdcap_wcm,1)))*(VLOOKUP(Sheet1!DC89,hhdcap_wcm,4)-VLOOKUP(Sheet1!DC89,hhdcap_wcm,2))))</f>
        <v>17637.900000044105</v>
      </c>
      <c r="AM87" s="560">
        <f t="shared" si="179"/>
        <v>929.30000000309155</v>
      </c>
      <c r="AN87" s="560">
        <f t="shared" si="180"/>
        <v>1422.3423404325117</v>
      </c>
      <c r="AO87" s="560">
        <f t="shared" si="181"/>
        <v>4363.7463004469464</v>
      </c>
      <c r="AP87" s="560">
        <f>Sheet1!BA89+Sheet1!BB89+Sheet1!BN89+CD87</f>
        <v>17.38</v>
      </c>
      <c r="AQ87" s="560">
        <f>Sheet1!BN89+(DO87*Sheet1!BN89)</f>
        <v>16.406285933307782</v>
      </c>
      <c r="AR87" s="560">
        <f>Sheet1!BA89+CD87</f>
        <v>0</v>
      </c>
      <c r="AS87" s="560">
        <f>Sheet1!BA89+Sheet1!BB89+CD87</f>
        <v>0.98</v>
      </c>
      <c r="AT87" s="698">
        <f>0</f>
        <v>0</v>
      </c>
      <c r="AU87" s="560">
        <f>IF(EB87&lt;K87,0,MAX(Sheet1!AA89+AQ87-15/36*K87-N87,Sheet1!EH89,0))</f>
        <v>0</v>
      </c>
      <c r="AV87" s="560">
        <f>IF(OR(B87&gt;=GD87,B87&lt;GC87),0,15/36*K87-MAX(0,64.6-(137.6-(Sheet1!AA89+Sheet1!AB89))))</f>
        <v>26.933333333333334</v>
      </c>
      <c r="AW87" s="698">
        <f>Sheet1!DB89-110</f>
        <v>2600</v>
      </c>
      <c r="AX87" s="698">
        <f>Sheet1!DA89-265</f>
        <v>4705</v>
      </c>
      <c r="AY87" s="698">
        <f t="shared" si="182"/>
        <v>34.809999999999995</v>
      </c>
      <c r="AZ87" s="698">
        <v>0</v>
      </c>
      <c r="BA87" s="698">
        <f t="shared" si="183"/>
        <v>0</v>
      </c>
      <c r="BB87" s="560">
        <f t="shared" si="184"/>
        <v>673.33333333333303</v>
      </c>
      <c r="BC87" s="560"/>
      <c r="BD87" s="560">
        <f ca="1">IF(B87&gt;Summary!$A$1,#N/A,BB87*MGtoAF)</f>
        <v>2065.786666666666</v>
      </c>
      <c r="BE87" s="560">
        <f>Sheet1!BG89+Sheet1!BH89+Sheet1!BI89-BM87</f>
        <v>0</v>
      </c>
      <c r="BF87" s="560">
        <f t="shared" si="185"/>
        <v>0</v>
      </c>
      <c r="BG87" s="560">
        <f>IF(Sheet1!EP89="FM",BM87,0)</f>
        <v>0</v>
      </c>
      <c r="BH87" s="560">
        <f t="shared" si="186"/>
        <v>0</v>
      </c>
      <c r="BI87" s="560">
        <f>IF(Sheet1!EP89="OTHER",BM87,0)</f>
        <v>0</v>
      </c>
      <c r="BJ87" s="560">
        <f t="shared" si="187"/>
        <v>0</v>
      </c>
      <c r="BK87" s="560">
        <f t="shared" si="188"/>
        <v>0</v>
      </c>
      <c r="BL87" s="560">
        <f t="shared" si="189"/>
        <v>0</v>
      </c>
      <c r="BM87" s="560">
        <f>IF(OR(Sheet1!EP89="FM", Sheet1!EP89="OTHER"),SUM(Sheet1!BG89:'Sheet1'!BI89),0)</f>
        <v>0</v>
      </c>
      <c r="BN87" s="545">
        <f>IF(AND($B87&gt;=$FV87,$B87&lt;=$FW87),MAX(BF87,Sheet1!EI89,0),MAX(BF87-(7/36)*$K87,0))</f>
        <v>0</v>
      </c>
      <c r="BO87" s="560">
        <f t="shared" si="190"/>
        <v>12.568888888888889</v>
      </c>
      <c r="BP87" s="545">
        <f t="shared" si="191"/>
        <v>0</v>
      </c>
      <c r="BQ87" s="545">
        <f>IF(AND($O87&gt;0,Sheet1!EM89=1),(1-($O87-Sheet1!$L89)/$O87)*BL87,0)</f>
        <v>0</v>
      </c>
      <c r="BR87" s="545">
        <f>IF(AND(Sheet1!$L89=0,Sheet1!$L88=0, Calculation!BK87&lt;Sheet1!$EI89-0.1,Sheet1!$EI89=Sheet1!$EI88,Sheet1!$EI89=Sheet1!$EI90),Sheet1!$EI89,BL87-BQ87)</f>
        <v>0</v>
      </c>
      <c r="BS87" s="560"/>
      <c r="BT87" s="560"/>
      <c r="BU87" s="560">
        <f t="shared" si="192"/>
        <v>314.22222222222217</v>
      </c>
      <c r="BV87" s="560"/>
      <c r="BW87" s="560">
        <f ca="1">IF(B87&gt;Summary!$A$1,#N/A,BU87*MGtoAF)</f>
        <v>964.03377777777769</v>
      </c>
      <c r="BX87" s="560">
        <f>Sheet1!BC89+Sheet1!BD89+Sheet1!BE89+Sheet1!BF89-CG87-CH87</f>
        <v>2.62</v>
      </c>
      <c r="BY87" s="560">
        <f t="shared" si="193"/>
        <v>2.62100421617478</v>
      </c>
      <c r="BZ87" s="560">
        <f>IF(Sheet1!EQ89="FM",CH87,0)</f>
        <v>0</v>
      </c>
      <c r="CA87" s="560">
        <f t="shared" si="194"/>
        <v>0</v>
      </c>
      <c r="CB87" s="560">
        <f>IF(Sheet1!EQ89="OTHER",CH87,0)</f>
        <v>0</v>
      </c>
      <c r="CC87" s="560">
        <f t="shared" si="195"/>
        <v>0</v>
      </c>
      <c r="CD87" s="560">
        <f t="shared" si="196"/>
        <v>0</v>
      </c>
      <c r="CE87" s="560">
        <f t="shared" si="197"/>
        <v>2.62</v>
      </c>
      <c r="CF87" s="560">
        <f t="shared" si="198"/>
        <v>2.62100421617478</v>
      </c>
      <c r="CG87" s="560">
        <f>IF(Sheet1!EQ89="CWA",SUM(Sheet1!BC89:'Sheet1'!BF89),0)</f>
        <v>0</v>
      </c>
      <c r="CH87" s="560">
        <f>IF(OR(Sheet1!EQ89="FM", Sheet1!EQ89="OTHER"),SUM(Sheet1!BC89:'Sheet1'!BF89),0)</f>
        <v>0</v>
      </c>
      <c r="CI87" s="545">
        <f>IF(AND($B87&gt;=$FV87,$B87&lt;=$FW87),MAX(CF87,Sheet1!EJ89,0),MAX(CF87-(7/36)*$K87,0))</f>
        <v>0</v>
      </c>
      <c r="CJ87" s="560">
        <f t="shared" si="199"/>
        <v>9.9478846727141086</v>
      </c>
      <c r="CK87" s="545">
        <f t="shared" si="200"/>
        <v>2.62100421617478</v>
      </c>
      <c r="CL87" s="545">
        <f>IF(AND($O87&gt;0,Sheet1!EN89=1),(1-($O87-Sheet1!$L89)/$O87)*CF87,0)</f>
        <v>0</v>
      </c>
      <c r="CM87" s="545">
        <f>IF(AND(Sheet1!$L89=0,Sheet1!$L88=0, Calculation!CE87&lt;Sheet1!EJ89-0.1,Sheet1!EJ89=Sheet1!EJ88,Sheet1!EJ89=Sheet1!EJ90),Sheet1!EJ89,CF87-CL87)</f>
        <v>2.62100421617478</v>
      </c>
      <c r="CN87" s="545"/>
      <c r="CO87" s="560"/>
      <c r="CP87" s="560">
        <f t="shared" si="201"/>
        <v>251.47862781061355</v>
      </c>
      <c r="CQ87" s="560"/>
      <c r="CR87" s="560">
        <f ca="1">IF(B87&gt;Summary!$A$1,#N/A,CP87*MGtoAF)</f>
        <v>771.53643012296243</v>
      </c>
      <c r="CS87" s="560">
        <f>Sheet1!BK89+Sheet1!BL89+Sheet1!BM89-Sheet1!ER89-DA87</f>
        <v>6.09</v>
      </c>
      <c r="CT87" s="560">
        <f t="shared" si="202"/>
        <v>6.0923342276734385</v>
      </c>
      <c r="CU87" s="560">
        <f>IF(Sheet1!ER89="FM",DA87,0)</f>
        <v>0</v>
      </c>
      <c r="CV87" s="560">
        <f t="shared" si="203"/>
        <v>0</v>
      </c>
      <c r="CW87" s="560">
        <f>IF(Sheet1!ER89="OTHER",DA87,0)</f>
        <v>0</v>
      </c>
      <c r="CX87" s="560">
        <f t="shared" si="204"/>
        <v>0</v>
      </c>
      <c r="CY87" s="560">
        <f t="shared" si="205"/>
        <v>6.09</v>
      </c>
      <c r="CZ87" s="560">
        <f t="shared" si="206"/>
        <v>6.0923342276734385</v>
      </c>
      <c r="DA87" s="560">
        <f>IF(OR(Sheet1!ER89="FM", Sheet1!ER89="OTHER"),SUM(Sheet1!BK89:'Sheet1'!BM89),0)</f>
        <v>0</v>
      </c>
      <c r="DB87" s="545">
        <f>IF(AND($B87&gt;=$FV87,$B87&lt;=$FW87),MAX($CT87,Sheet1!EK89,0),MAX($CT87-(7/36)*$K87,0))</f>
        <v>0</v>
      </c>
      <c r="DC87" s="560">
        <f t="shared" si="207"/>
        <v>6.4765546612154505</v>
      </c>
      <c r="DD87" s="545">
        <f t="shared" si="208"/>
        <v>6.0923342276734385</v>
      </c>
      <c r="DE87" s="545">
        <f>IF(AND($O87&gt;0,Sheet1!EO89=1),(1-($O87-Sheet1!$L89)/$O87)*CZ87,0)</f>
        <v>0</v>
      </c>
      <c r="DF87" s="545">
        <f>IF(AND(Sheet1!$L89=0,Sheet1!$L88=0, Calculation!CY87&lt;Sheet1!$EK89-0.1,Sheet1!$EK89=Sheet1!$EK88,Sheet1!$EK89=Sheet1!$EK90),Sheet1!$EK89,CZ87-DE87)</f>
        <v>6.0923342276734385</v>
      </c>
      <c r="DG87" s="545"/>
      <c r="DH87" s="560">
        <f t="shared" si="209"/>
        <v>8.7100000000000009</v>
      </c>
      <c r="DI87" s="560">
        <f t="shared" si="210"/>
        <v>183.30815706634311</v>
      </c>
      <c r="DJ87" s="698">
        <f t="shared" si="211"/>
        <v>8.7133384438482189</v>
      </c>
      <c r="DK87" s="560">
        <f ca="1">IF(B87&gt;Summary!$A$1,#N/A,DI87*MGtoAF)</f>
        <v>562.38942587954068</v>
      </c>
      <c r="DL87" s="698">
        <f t="shared" si="212"/>
        <v>8.7100000000000009</v>
      </c>
      <c r="DM87" s="560">
        <f t="shared" si="213"/>
        <v>26.09</v>
      </c>
      <c r="DN87" s="560">
        <f>Sheet1!AB89-DM87</f>
        <v>1.0000000000001563E-2</v>
      </c>
      <c r="DO87" s="823">
        <f t="shared" si="214"/>
        <v>3.8328861632815498E-4</v>
      </c>
      <c r="DP87" s="560">
        <f>(VLOOKUP(Sheet1!DC89,hhdcap_wcm,4)-(((VLOOKUP(Sheet1!DC89,hhdcap_wcm,3)-Sheet1!DC89)/(VLOOKUP(Sheet1!DC89,hhdcap_wcm,3)-VLOOKUP(Sheet1!DC89,hhdcap_wcm,1)))*(VLOOKUP(Sheet1!DC89,hhdcap_wcm,4)-VLOOKUP(Sheet1!DC89,hhdcap_wcm,2))))</f>
        <v>17637.900000044105</v>
      </c>
      <c r="DQ87" s="560">
        <f t="shared" si="215"/>
        <v>929.30000000309155</v>
      </c>
      <c r="DR87" s="560">
        <f t="shared" si="216"/>
        <v>468.63338376353579</v>
      </c>
      <c r="DS87" s="560">
        <f>Sheet1!EA89*AFtoMG</f>
        <v>0</v>
      </c>
      <c r="DT87" s="560">
        <f>Sheet1!EB89*AFtoMG</f>
        <v>0</v>
      </c>
      <c r="DU87" s="560">
        <f>Sheet1!EC89*AFtoMG</f>
        <v>0</v>
      </c>
      <c r="DV87" s="560">
        <f>Sheet1!ED89*AFtoMG</f>
        <v>0</v>
      </c>
      <c r="DW87" s="560">
        <f t="shared" si="217"/>
        <v>0</v>
      </c>
      <c r="DX87" s="560">
        <f t="shared" si="218"/>
        <v>0</v>
      </c>
      <c r="DY87" s="560">
        <f t="shared" si="219"/>
        <v>1422.3423404325117</v>
      </c>
      <c r="DZ87" s="560">
        <f t="shared" si="220"/>
        <v>4363.7463004469464</v>
      </c>
      <c r="EA87" s="560"/>
      <c r="EB87" s="545">
        <f>IF(OR(B87&lt;FV87,B87&gt;FW87),(MIN(BF87+BY87+CT87+MAX(Sheet1!AA89+AQ87-73,0),K87)),0)</f>
        <v>8.7133384438482189</v>
      </c>
      <c r="EC87" s="560"/>
      <c r="ED87" s="560">
        <f t="shared" si="221"/>
        <v>8.7133384438482189</v>
      </c>
      <c r="EE87" s="560"/>
      <c r="EF87" s="560">
        <f>Sheet1!EH89+Sheet1!EI89+Sheet1!EJ89+Sheet1!EK89</f>
        <v>8.7100000000000009</v>
      </c>
      <c r="EG87" s="560"/>
      <c r="EH87" s="545">
        <f t="shared" si="222"/>
        <v>0</v>
      </c>
      <c r="EI87" s="560">
        <f>IF(Sheet1!ET89=1,SUM('Calculations II'!AT87:BA87)+'Calculations II'!BC87+Sheet1!BV89+'Calculations II'!BE87+AP87,SUM('Calculations II'!AT87:BA87)+'Calculations II'!BC87+Sheet1!BV89+'Calculations II'!BE87+AP87)</f>
        <v>48.562736000000001</v>
      </c>
      <c r="EJ87" s="560">
        <f>Sheet1!AA89+Sheet1!AB89+'Calculations II'!BC87</f>
        <v>55.29073600000001</v>
      </c>
      <c r="EK87" s="560"/>
      <c r="EL87" s="560"/>
      <c r="EM87" s="560">
        <f t="shared" si="223"/>
        <v>41715</v>
      </c>
      <c r="EN87" s="560">
        <f t="shared" si="224"/>
        <v>55.926661556151785</v>
      </c>
      <c r="EO87" s="560">
        <f t="shared" si="225"/>
        <v>86.518545427366803</v>
      </c>
      <c r="EP87" s="560">
        <v>0</v>
      </c>
      <c r="EQ87" s="560">
        <v>0</v>
      </c>
      <c r="ER87" s="560">
        <v>0</v>
      </c>
      <c r="ES87" s="545">
        <f t="shared" si="247"/>
        <v>-1.2451392959130332</v>
      </c>
      <c r="ET87" s="560">
        <f>-(VLOOKUP(Sheet1!BQ89,Lookup!$O$4:$Q$262,2)-VLOOKUP(Sheet1!BQ88,Lookup!$O$4:$Q$262,2))/1000000</f>
        <v>-0.69175117021139709</v>
      </c>
      <c r="EU87" s="560">
        <f>-(VLOOKUP(Sheet1!BR89,Lookup!$O$4:$Q$262,3)-VLOOKUP(Sheet1!BR88,Lookup!$O$4:$Q$262,3))/1000000</f>
        <v>-0.55338812570163609</v>
      </c>
      <c r="EV87" s="560"/>
      <c r="EW87" s="560"/>
      <c r="EX87" s="560"/>
      <c r="EY87" s="560"/>
      <c r="EZ87" s="560"/>
      <c r="FA87" s="560"/>
      <c r="FB87" s="560"/>
      <c r="FC87" s="560"/>
      <c r="FD87" s="594" t="e">
        <f t="shared" si="226"/>
        <v>#N/A</v>
      </c>
      <c r="FE87" s="594" t="e">
        <f t="shared" si="227"/>
        <v>#N/A</v>
      </c>
      <c r="FF87" s="595" t="e">
        <f t="shared" si="228"/>
        <v>#N/A</v>
      </c>
      <c r="FG87" s="596" t="s">
        <v>692</v>
      </c>
      <c r="FH87" s="596" t="s">
        <v>692</v>
      </c>
      <c r="FI87" s="594" t="e">
        <v>#N/A</v>
      </c>
      <c r="FJ87" s="594" t="e">
        <v>#N/A</v>
      </c>
      <c r="FK87" s="560"/>
      <c r="FL87" s="560"/>
      <c r="FM87" s="560"/>
      <c r="FN87" s="560"/>
      <c r="FO87" s="560">
        <f>O87+((Sheet1!CS89)*GPMtoMGD)</f>
        <v>55.29073600000001</v>
      </c>
      <c r="FP87" s="560">
        <f>IF(Sheet1!AA89+AQ87&lt;=Calculation!N87,AQ87,Calculation!N87-Sheet1!AA89)</f>
        <v>16.406285933307782</v>
      </c>
      <c r="FQ87" s="560">
        <f>(Sheet1!BP89+Sheet1!BO89)/694.4</f>
        <v>1.5216013824884795</v>
      </c>
      <c r="FR87" s="560"/>
      <c r="FS87" s="560"/>
      <c r="FT87" s="560"/>
      <c r="FU87" s="560"/>
      <c r="FV87" s="695">
        <f t="shared" si="248"/>
        <v>41827</v>
      </c>
      <c r="FW87" s="695">
        <f t="shared" si="249"/>
        <v>41934</v>
      </c>
      <c r="FX87" s="560"/>
      <c r="FY87" s="560"/>
      <c r="FZ87" s="560"/>
      <c r="GA87" s="560"/>
      <c r="GB87" s="560" t="str">
        <f t="shared" si="250"/>
        <v>n</v>
      </c>
      <c r="GC87" s="564">
        <f t="shared" si="251"/>
        <v>41691</v>
      </c>
      <c r="GD87" s="695">
        <f t="shared" si="252"/>
        <v>41807</v>
      </c>
      <c r="GE87" s="560">
        <v>6518.9</v>
      </c>
      <c r="GF87" s="695">
        <f t="shared" si="253"/>
        <v>41808</v>
      </c>
      <c r="GG87" s="560">
        <f t="shared" si="272"/>
        <v>3259</v>
      </c>
      <c r="GH87" s="564">
        <f t="shared" si="254"/>
        <v>41934</v>
      </c>
      <c r="GJ87" s="545">
        <f t="shared" si="255"/>
        <v>0</v>
      </c>
      <c r="GK87" s="560" t="str">
        <f t="shared" si="229"/>
        <v/>
      </c>
      <c r="GL87" s="560">
        <f t="shared" si="256"/>
        <v>0</v>
      </c>
      <c r="GM87" s="560" t="str">
        <f t="shared" si="257"/>
        <v/>
      </c>
      <c r="GN87" s="560">
        <f>IF(GK87="P",Lookup!$M$12,IF(GK87="PP",Lookup!$M$13,IF(GK87="PPP",Lookup!$M$14,IF(GK87="T",Lookup!$M$15,IF(GK87="TP",Lookup!$M$16,IF(GK87="TPP",Lookup!$M$17,IF(GK87="TPPP",Lookup!$M$18,0)))))))*GJ87</f>
        <v>0</v>
      </c>
      <c r="GO87" s="560">
        <f t="shared" si="258"/>
        <v>0</v>
      </c>
      <c r="GP87" s="560">
        <f t="shared" si="230"/>
        <v>2065.786666666666</v>
      </c>
      <c r="GQ87" s="560">
        <f t="shared" si="266"/>
        <v>673.33333333333303</v>
      </c>
      <c r="GR87" s="560"/>
      <c r="GS87" s="560">
        <f t="shared" si="259"/>
        <v>0</v>
      </c>
      <c r="GT87" s="560" t="str">
        <f t="shared" si="260"/>
        <v/>
      </c>
      <c r="GU87" s="560">
        <f>IF(GK87="P",Lookup!$N$12,IF(GK87="PP",Lookup!$N$13,IF(GK87="PPP",Lookup!$N$14,IF(GK87="T",Lookup!$N$15,IF(GK87="TP",Lookup!$N$16,IF(GK87="TPP",Lookup!$N$17,IF(GK87="TPPP",Lookup!$N$18,0)))))))*GJ87</f>
        <v>0</v>
      </c>
      <c r="GV87" s="560">
        <f t="shared" si="261"/>
        <v>0</v>
      </c>
      <c r="GW87" s="560">
        <f t="shared" si="231"/>
        <v>964.03377777777769</v>
      </c>
      <c r="GX87" s="560">
        <f t="shared" si="267"/>
        <v>314.22222222222217</v>
      </c>
      <c r="GY87" s="560"/>
      <c r="GZ87" s="560">
        <f t="shared" si="262"/>
        <v>0</v>
      </c>
      <c r="HA87" s="560" t="str">
        <f t="shared" si="263"/>
        <v/>
      </c>
      <c r="HB87" s="560">
        <f>IF(GK87="P",Lookup!$N$12,IF(GK87="PP",Lookup!$N$13,IF(GK87="PPP",Lookup!$N$14,IF(GK87="T",Lookup!$N$15,IF(GK87="TP",Lookup!$N$16,IF(GK87="TPP",Lookup!$N$17,IF(GK87="TPPP",Lookup!$N$18,0)))))))*GJ87</f>
        <v>0</v>
      </c>
      <c r="HC87" s="545">
        <f t="shared" si="232"/>
        <v>0</v>
      </c>
      <c r="HD87" s="560">
        <f t="shared" si="233"/>
        <v>771.53643012296243</v>
      </c>
      <c r="HE87" s="560">
        <f t="shared" si="268"/>
        <v>251.47862781061355</v>
      </c>
      <c r="HF87" s="560"/>
      <c r="HG87" s="560">
        <f t="shared" si="264"/>
        <v>0</v>
      </c>
      <c r="HH87" s="560" t="str">
        <f t="shared" si="265"/>
        <v/>
      </c>
      <c r="HI87" s="560">
        <f>IF(GK87="P",Lookup!$N$12,IF(GK87="PP",Lookup!$N$13,IF(GK87="PPP",Lookup!$N$14,IF(GK87="T",Lookup!$N$15,IF(GK87="TP",Lookup!$N$16,IF(GK87="TPP",Lookup!$N$17,IF(GK87="TPPP",Lookup!$N$18,0)))))))*GJ87</f>
        <v>0</v>
      </c>
      <c r="HJ87" s="545">
        <f t="shared" si="234"/>
        <v>0</v>
      </c>
      <c r="HK87" s="560">
        <f t="shared" si="235"/>
        <v>562.38942587954068</v>
      </c>
      <c r="HL87" s="560">
        <f t="shared" si="269"/>
        <v>183.30815706634311</v>
      </c>
      <c r="HM87" s="560"/>
    </row>
    <row r="88" spans="1:221">
      <c r="A88" s="580" t="s">
        <v>5</v>
      </c>
      <c r="B88" s="556">
        <v>41716</v>
      </c>
      <c r="C88" s="561">
        <v>0</v>
      </c>
      <c r="D88" s="529">
        <f t="shared" si="270"/>
        <v>300</v>
      </c>
      <c r="E88" s="529">
        <f t="shared" si="271"/>
        <v>250</v>
      </c>
      <c r="F88" s="529">
        <v>250</v>
      </c>
      <c r="G88" s="560">
        <f>DR88+Sheet1!CZ90</f>
        <v>2292.763489661832</v>
      </c>
      <c r="H88" s="914">
        <f t="shared" si="236"/>
        <v>1215.079119717408</v>
      </c>
      <c r="I88" s="559">
        <f>MAX(Sheet1!Z90-AT88+(Sheet1!DA90-E88)*CFStoMGD,0)</f>
        <v>2424.3239999999996</v>
      </c>
      <c r="J88" s="562">
        <f>IF(AND(B88&gt;=Calculation!GC88,B88&lt;=Calculation!GD88),IF(Sheet1!DB90&gt;=Calculation!D88,64.64,0),MAX(Sheet1!Z90-AT88+(Sheet1!DB90-D88)*CFStoMGD,0))</f>
        <v>64.64</v>
      </c>
      <c r="K88" s="904">
        <f t="shared" si="171"/>
        <v>64.64</v>
      </c>
      <c r="L88" s="560">
        <f>Sheet1!AA90+Sheet1!AB90-Sheet1!L90+(Sheet1!DA90-F88)*CFStoMGD</f>
        <v>2398.1439999999998</v>
      </c>
      <c r="M88" s="560">
        <f t="shared" si="172"/>
        <v>1511.6831661117565</v>
      </c>
      <c r="N88" s="910">
        <f>IF(Sheet1!DA90&gt;=F88,MIN(73,MIN(MAX(L88,0),MAX(M88,0))),0)</f>
        <v>73</v>
      </c>
      <c r="O88" s="563">
        <f>Sheet1!AA90+Sheet1!AB90</f>
        <v>46.9</v>
      </c>
      <c r="P88" s="563">
        <f t="shared" si="173"/>
        <v>72.554299999999998</v>
      </c>
      <c r="Q88" s="898">
        <f t="shared" si="237"/>
        <v>38.33</v>
      </c>
      <c r="R88" s="829">
        <f t="shared" si="174"/>
        <v>8.5865125240847782</v>
      </c>
      <c r="S88" s="898">
        <f t="shared" si="238"/>
        <v>8.57</v>
      </c>
      <c r="T88" s="898">
        <f t="shared" si="239"/>
        <v>56.07</v>
      </c>
      <c r="U88" s="898">
        <f t="shared" si="240"/>
        <v>0</v>
      </c>
      <c r="V88" s="898"/>
      <c r="W88" s="898">
        <f t="shared" si="241"/>
        <v>56.053487475915219</v>
      </c>
      <c r="X88" s="898">
        <f t="shared" si="242"/>
        <v>64.64</v>
      </c>
      <c r="Y88" s="898" t="str">
        <f t="shared" si="243"/>
        <v>FALSE</v>
      </c>
      <c r="Z88" s="898">
        <f t="shared" si="244"/>
        <v>46.9</v>
      </c>
      <c r="AA88" s="898">
        <f t="shared" si="245"/>
        <v>46.9</v>
      </c>
      <c r="AB88" s="898" t="str">
        <f t="shared" si="246"/>
        <v/>
      </c>
      <c r="AC88" s="563">
        <f>Sheet1!Y90*MGDtoCFS</f>
        <v>32.177599999999998</v>
      </c>
      <c r="AD88" s="563">
        <f>Sheet1!Z90*MGDtoCFS</f>
        <v>40.500459999999997</v>
      </c>
      <c r="AE88" s="563">
        <f>Sheet1!AA90*MGDtoCFS</f>
        <v>32.332299999999996</v>
      </c>
      <c r="AF88" s="563">
        <f>Sheet1!AB90*MGDtoCFS</f>
        <v>40.222000000000001</v>
      </c>
      <c r="AG88" s="563">
        <f>Sheet1!L90*MGDtoCFS</f>
        <v>72.554299999999998</v>
      </c>
      <c r="AH88" s="545">
        <f t="shared" si="175"/>
        <v>0</v>
      </c>
      <c r="AI88" s="560">
        <f t="shared" si="176"/>
        <v>0</v>
      </c>
      <c r="AJ88" s="560">
        <f t="shared" si="177"/>
        <v>56.053487475915219</v>
      </c>
      <c r="AK88" s="560">
        <f t="shared" si="178"/>
        <v>86.714745125240839</v>
      </c>
      <c r="AL88" s="560">
        <f>(VLOOKUP(Sheet1!DC90,hhdcap_wcm,4)-(((VLOOKUP(Sheet1!DC90,hhdcap_wcm,3)-Sheet1!DC90)/(VLOOKUP(Sheet1!DC90,hhdcap_wcm,3)-VLOOKUP(Sheet1!DC90,hhdcap_wcm,1)))*(VLOOKUP(Sheet1!DC90,hhdcap_wcm,4)-VLOOKUP(Sheet1!DC90,hhdcap_wcm,2))))</f>
        <v>17921.000000043518</v>
      </c>
      <c r="AM88" s="560">
        <f t="shared" si="179"/>
        <v>283.09999999941283</v>
      </c>
      <c r="AN88" s="560">
        <f t="shared" si="180"/>
        <v>1478.395827908427</v>
      </c>
      <c r="AO88" s="560">
        <f t="shared" si="181"/>
        <v>4535.7184000230545</v>
      </c>
      <c r="AP88" s="560">
        <f>Sheet1!BA90+Sheet1!BB90+Sheet1!BN90+CD88</f>
        <v>17.38</v>
      </c>
      <c r="AQ88" s="560">
        <f>Sheet1!BN90+(DO88*Sheet1!BN90)</f>
        <v>16.431599229287091</v>
      </c>
      <c r="AR88" s="560">
        <f>Sheet1!BA90+CD88</f>
        <v>0</v>
      </c>
      <c r="AS88" s="560">
        <f>Sheet1!BA90+Sheet1!BB90+CD88</f>
        <v>0.98</v>
      </c>
      <c r="AT88" s="698">
        <f>0</f>
        <v>0</v>
      </c>
      <c r="AU88" s="560">
        <f>IF(EB88&lt;K88,0,MAX(Sheet1!AA90+AQ88-15/36*K88-N88,Sheet1!EH90,0))</f>
        <v>0</v>
      </c>
      <c r="AV88" s="560">
        <f>IF(OR(B88&gt;=GD88,B88&lt;GC88),0,15/36*K88-MAX(0,64.6-(137.6-(Sheet1!AA90+Sheet1!AB90))))</f>
        <v>26.933333333333334</v>
      </c>
      <c r="AW88" s="698">
        <f>Sheet1!DB90-110</f>
        <v>2060</v>
      </c>
      <c r="AX88" s="698">
        <f>Sheet1!DA90-265</f>
        <v>3695</v>
      </c>
      <c r="AY88" s="698">
        <f t="shared" si="182"/>
        <v>34.67</v>
      </c>
      <c r="AZ88" s="698">
        <v>0</v>
      </c>
      <c r="BA88" s="698">
        <f t="shared" si="183"/>
        <v>0</v>
      </c>
      <c r="BB88" s="560">
        <f t="shared" si="184"/>
        <v>700.26666666666631</v>
      </c>
      <c r="BC88" s="560"/>
      <c r="BD88" s="560">
        <f ca="1">IF(B88&gt;Summary!$A$1,#N/A,BB88*MGtoAF)</f>
        <v>2148.4181333333322</v>
      </c>
      <c r="BE88" s="560">
        <f>Sheet1!BG90+Sheet1!BH90+Sheet1!BI90-BM88</f>
        <v>0</v>
      </c>
      <c r="BF88" s="560">
        <f t="shared" si="185"/>
        <v>0</v>
      </c>
      <c r="BG88" s="560">
        <f>IF(Sheet1!EP90="FM",BM88,0)</f>
        <v>0</v>
      </c>
      <c r="BH88" s="560">
        <f t="shared" si="186"/>
        <v>0</v>
      </c>
      <c r="BI88" s="560">
        <f>IF(Sheet1!EP90="OTHER",BM88,0)</f>
        <v>0</v>
      </c>
      <c r="BJ88" s="560">
        <f t="shared" si="187"/>
        <v>0</v>
      </c>
      <c r="BK88" s="560">
        <f t="shared" si="188"/>
        <v>0</v>
      </c>
      <c r="BL88" s="560">
        <f t="shared" si="189"/>
        <v>0</v>
      </c>
      <c r="BM88" s="560">
        <f>IF(OR(Sheet1!EP90="FM", Sheet1!EP90="OTHER"),SUM(Sheet1!BG90:'Sheet1'!BI90),0)</f>
        <v>0</v>
      </c>
      <c r="BN88" s="545">
        <f>IF(AND($B88&gt;=$FV88,$B88&lt;=$FW88),MAX(BF88,Sheet1!EI90,0),MAX(BF88-(7/36)*$K88,0))</f>
        <v>0</v>
      </c>
      <c r="BO88" s="560">
        <f t="shared" si="190"/>
        <v>12.568888888888889</v>
      </c>
      <c r="BP88" s="545">
        <f t="shared" si="191"/>
        <v>0</v>
      </c>
      <c r="BQ88" s="545">
        <f>IF(AND($O88&gt;0,Sheet1!EM90=1),(1-($O88-Sheet1!$L90)/$O88)*BL88,0)</f>
        <v>0</v>
      </c>
      <c r="BR88" s="545">
        <f>IF(AND(Sheet1!$L90=0,Sheet1!$L89=0, Calculation!BK88&lt;Sheet1!$EI90-0.1,Sheet1!$EI90=Sheet1!$EI89,Sheet1!$EI90=Sheet1!$EI91),Sheet1!$EI90,BL88-BQ88)</f>
        <v>0</v>
      </c>
      <c r="BS88" s="560"/>
      <c r="BT88" s="560"/>
      <c r="BU88" s="560">
        <f t="shared" si="192"/>
        <v>326.79111111111104</v>
      </c>
      <c r="BV88" s="560"/>
      <c r="BW88" s="560">
        <f ca="1">IF(B88&gt;Summary!$A$1,#N/A,BU88*MGtoAF)</f>
        <v>1002.5951288888887</v>
      </c>
      <c r="BX88" s="560">
        <f>Sheet1!BC90+Sheet1!BD90+Sheet1!BE90+Sheet1!BF90-CG88-CH88</f>
        <v>2.5</v>
      </c>
      <c r="BY88" s="560">
        <f t="shared" si="193"/>
        <v>2.5048169556840079</v>
      </c>
      <c r="BZ88" s="560">
        <f>IF(Sheet1!EQ90="FM",CH88,0)</f>
        <v>0</v>
      </c>
      <c r="CA88" s="560">
        <f t="shared" si="194"/>
        <v>0</v>
      </c>
      <c r="CB88" s="560">
        <f>IF(Sheet1!EQ90="OTHER",CH88,0)</f>
        <v>0</v>
      </c>
      <c r="CC88" s="560">
        <f t="shared" si="195"/>
        <v>0</v>
      </c>
      <c r="CD88" s="560">
        <f t="shared" si="196"/>
        <v>0</v>
      </c>
      <c r="CE88" s="560">
        <f t="shared" si="197"/>
        <v>2.5</v>
      </c>
      <c r="CF88" s="560">
        <f t="shared" si="198"/>
        <v>2.5048169556840079</v>
      </c>
      <c r="CG88" s="560">
        <f>IF(Sheet1!EQ90="CWA",SUM(Sheet1!BC90:'Sheet1'!BF90),0)</f>
        <v>0</v>
      </c>
      <c r="CH88" s="560">
        <f>IF(OR(Sheet1!EQ90="FM", Sheet1!EQ90="OTHER"),SUM(Sheet1!BC90:'Sheet1'!BF90),0)</f>
        <v>0</v>
      </c>
      <c r="CI88" s="545">
        <f>IF(AND($B88&gt;=$FV88,$B88&lt;=$FW88),MAX(CF88,Sheet1!EJ90,0),MAX(CF88-(7/36)*$K88,0))</f>
        <v>0</v>
      </c>
      <c r="CJ88" s="560">
        <f t="shared" si="199"/>
        <v>10.064071933204881</v>
      </c>
      <c r="CK88" s="545">
        <f t="shared" si="200"/>
        <v>2.5048169556840079</v>
      </c>
      <c r="CL88" s="545">
        <f>IF(AND($O88&gt;0,Sheet1!EN90=1),(1-($O88-Sheet1!$L90)/$O88)*CF88,0)</f>
        <v>0</v>
      </c>
      <c r="CM88" s="545">
        <f>IF(AND(Sheet1!$L90=0,Sheet1!$L89=0, Calculation!CE88&lt;Sheet1!EJ90-0.1,Sheet1!EJ90=Sheet1!EJ89,Sheet1!EJ90=Sheet1!EJ91),Sheet1!EJ90,CF88-CL88)</f>
        <v>2.5048169556840079</v>
      </c>
      <c r="CN88" s="545"/>
      <c r="CO88" s="560"/>
      <c r="CP88" s="560">
        <f t="shared" si="201"/>
        <v>261.54269974381845</v>
      </c>
      <c r="CQ88" s="560"/>
      <c r="CR88" s="560">
        <f ca="1">IF(B88&gt;Summary!$A$1,#N/A,CP88*MGtoAF)</f>
        <v>802.41300281403505</v>
      </c>
      <c r="CS88" s="560">
        <f>Sheet1!BK90+Sheet1!BL90+Sheet1!BM90-Sheet1!ER90-DA88</f>
        <v>6.07</v>
      </c>
      <c r="CT88" s="560">
        <f t="shared" si="202"/>
        <v>6.0816955684007707</v>
      </c>
      <c r="CU88" s="560">
        <f>IF(Sheet1!ER90="FM",DA88,0)</f>
        <v>0</v>
      </c>
      <c r="CV88" s="560">
        <f t="shared" si="203"/>
        <v>0</v>
      </c>
      <c r="CW88" s="560">
        <f>IF(Sheet1!ER90="OTHER",DA88,0)</f>
        <v>0</v>
      </c>
      <c r="CX88" s="560">
        <f t="shared" si="204"/>
        <v>0</v>
      </c>
      <c r="CY88" s="560">
        <f t="shared" si="205"/>
        <v>6.07</v>
      </c>
      <c r="CZ88" s="560">
        <f t="shared" si="206"/>
        <v>6.0816955684007707</v>
      </c>
      <c r="DA88" s="560">
        <f>IF(OR(Sheet1!ER90="FM", Sheet1!ER90="OTHER"),SUM(Sheet1!BK90:'Sheet1'!BM90),0)</f>
        <v>0</v>
      </c>
      <c r="DB88" s="545">
        <f>IF(AND($B88&gt;=$FV88,$B88&lt;=$FW88),MAX($CT88,Sheet1!EK90,0),MAX($CT88-(7/36)*$K88,0))</f>
        <v>0</v>
      </c>
      <c r="DC88" s="560">
        <f t="shared" si="207"/>
        <v>6.4871933204881183</v>
      </c>
      <c r="DD88" s="545">
        <f t="shared" si="208"/>
        <v>6.0816955684007707</v>
      </c>
      <c r="DE88" s="545">
        <f>IF(AND($O88&gt;0,Sheet1!EO90=1),(1-($O88-Sheet1!$L90)/$O88)*CZ88,0)</f>
        <v>0</v>
      </c>
      <c r="DF88" s="545">
        <f>IF(AND(Sheet1!$L90=0,Sheet1!$L89=0, Calculation!CY88&lt;Sheet1!$EK90-0.1,Sheet1!$EK90=Sheet1!$EK89,Sheet1!$EK90=Sheet1!$EK91),Sheet1!$EK90,CZ88-DE88)</f>
        <v>6.0816955684007707</v>
      </c>
      <c r="DG88" s="545"/>
      <c r="DH88" s="560">
        <f t="shared" si="209"/>
        <v>8.57</v>
      </c>
      <c r="DI88" s="560">
        <f t="shared" si="210"/>
        <v>189.79535038683125</v>
      </c>
      <c r="DJ88" s="698">
        <f t="shared" si="211"/>
        <v>8.5865125240847782</v>
      </c>
      <c r="DK88" s="560">
        <f ca="1">IF(B88&gt;Summary!$A$1,#N/A,DI88*MGtoAF)</f>
        <v>582.29213498679826</v>
      </c>
      <c r="DL88" s="698">
        <f t="shared" si="212"/>
        <v>8.57</v>
      </c>
      <c r="DM88" s="560">
        <f t="shared" si="213"/>
        <v>25.95</v>
      </c>
      <c r="DN88" s="560">
        <f>Sheet1!AB90-DM88</f>
        <v>5.0000000000000711E-2</v>
      </c>
      <c r="DO88" s="823">
        <f t="shared" si="214"/>
        <v>1.9267822736031104E-3</v>
      </c>
      <c r="DP88" s="560">
        <f>(VLOOKUP(Sheet1!DC90,hhdcap_wcm,4)-(((VLOOKUP(Sheet1!DC90,hhdcap_wcm,3)-Sheet1!DC90)/(VLOOKUP(Sheet1!DC90,hhdcap_wcm,3)-VLOOKUP(Sheet1!DC90,hhdcap_wcm,1)))*(VLOOKUP(Sheet1!DC90,hhdcap_wcm,4)-VLOOKUP(Sheet1!DC90,hhdcap_wcm,2))))</f>
        <v>17921.000000043518</v>
      </c>
      <c r="DQ88" s="560">
        <f t="shared" si="215"/>
        <v>283.09999999941283</v>
      </c>
      <c r="DR88" s="560">
        <f t="shared" si="216"/>
        <v>142.76348966183195</v>
      </c>
      <c r="DS88" s="560">
        <f>Sheet1!EA90*AFtoMG</f>
        <v>0</v>
      </c>
      <c r="DT88" s="560">
        <f>Sheet1!EB90*AFtoMG</f>
        <v>0</v>
      </c>
      <c r="DU88" s="560">
        <f>Sheet1!EC90*AFtoMG</f>
        <v>0</v>
      </c>
      <c r="DV88" s="560">
        <f>Sheet1!ED90*AFtoMG</f>
        <v>0</v>
      </c>
      <c r="DW88" s="560">
        <f t="shared" si="217"/>
        <v>0</v>
      </c>
      <c r="DX88" s="560">
        <f t="shared" si="218"/>
        <v>0</v>
      </c>
      <c r="DY88" s="560">
        <f t="shared" si="219"/>
        <v>1478.395827908427</v>
      </c>
      <c r="DZ88" s="560">
        <f t="shared" si="220"/>
        <v>4535.7184000230545</v>
      </c>
      <c r="EA88" s="560"/>
      <c r="EB88" s="545">
        <f>IF(OR(B88&lt;FV88,B88&gt;FW88),(MIN(BF88+BY88+CT88+MAX(Sheet1!AA90+AQ88-73,0),K88)),0)</f>
        <v>8.5865125240847782</v>
      </c>
      <c r="EC88" s="560"/>
      <c r="ED88" s="560">
        <f t="shared" si="221"/>
        <v>8.5865125240847782</v>
      </c>
      <c r="EE88" s="560"/>
      <c r="EF88" s="560">
        <f>Sheet1!EH90+Sheet1!EI90+Sheet1!EJ90+Sheet1!EK90</f>
        <v>8.57</v>
      </c>
      <c r="EG88" s="560"/>
      <c r="EH88" s="545">
        <f t="shared" si="222"/>
        <v>0</v>
      </c>
      <c r="EI88" s="560">
        <f>IF(Sheet1!ET90=1,SUM('Calculations II'!AT88:BA88)+'Calculations II'!BC88+Sheet1!BV90+'Calculations II'!BE88+AP88,SUM('Calculations II'!AT88:BA88)+'Calculations II'!BC88+Sheet1!BV90+'Calculations II'!BE88+AP88)</f>
        <v>48.999279999999999</v>
      </c>
      <c r="EJ88" s="560">
        <f>Sheet1!AA90+Sheet1!AB90+'Calculations II'!BC88</f>
        <v>57.319696</v>
      </c>
      <c r="EK88" s="560"/>
      <c r="EL88" s="560"/>
      <c r="EM88" s="560">
        <f t="shared" si="223"/>
        <v>41716</v>
      </c>
      <c r="EN88" s="560">
        <f t="shared" si="224"/>
        <v>56.053487475915219</v>
      </c>
      <c r="EO88" s="560">
        <f t="shared" si="225"/>
        <v>86.714745125240839</v>
      </c>
      <c r="EP88" s="560">
        <v>0</v>
      </c>
      <c r="EQ88" s="560">
        <v>0</v>
      </c>
      <c r="ER88" s="560">
        <v>0</v>
      </c>
      <c r="ES88" s="545">
        <f t="shared" si="247"/>
        <v>-2.767901485252362</v>
      </c>
      <c r="ET88" s="560">
        <f>-(VLOOKUP(Sheet1!BQ90,Lookup!$O$4:$Q$262,2)-VLOOKUP(Sheet1!BQ89,Lookup!$O$4:$Q$262,2))/1000000</f>
        <v>-1.3839827735983878</v>
      </c>
      <c r="EU88" s="560">
        <f>-(VLOOKUP(Sheet1!BR90,Lookup!$O$4:$Q$262,3)-VLOOKUP(Sheet1!BR89,Lookup!$O$4:$Q$262,3))/1000000</f>
        <v>-1.383918711653974</v>
      </c>
      <c r="EV88" s="560"/>
      <c r="EW88" s="560"/>
      <c r="EX88" s="560"/>
      <c r="EY88" s="560"/>
      <c r="EZ88" s="560"/>
      <c r="FA88" s="560"/>
      <c r="FB88" s="560"/>
      <c r="FC88" s="560"/>
      <c r="FD88" s="594" t="e">
        <f t="shared" si="226"/>
        <v>#N/A</v>
      </c>
      <c r="FE88" s="594" t="e">
        <f t="shared" si="227"/>
        <v>#N/A</v>
      </c>
      <c r="FF88" s="595" t="e">
        <f t="shared" si="228"/>
        <v>#N/A</v>
      </c>
      <c r="FG88" s="596" t="s">
        <v>692</v>
      </c>
      <c r="FH88" s="596" t="s">
        <v>692</v>
      </c>
      <c r="FI88" s="594" t="e">
        <v>#N/A</v>
      </c>
      <c r="FJ88" s="594" t="e">
        <v>#N/A</v>
      </c>
      <c r="FK88" s="560"/>
      <c r="FL88" s="560"/>
      <c r="FM88" s="560"/>
      <c r="FN88" s="560"/>
      <c r="FO88" s="560">
        <f>O88+((Sheet1!CS90)*GPMtoMGD)</f>
        <v>57.319696</v>
      </c>
      <c r="FP88" s="560">
        <f>IF(Sheet1!AA90+AQ88&lt;=Calculation!N88,AQ88,Calculation!N88-Sheet1!AA90)</f>
        <v>16.431599229287091</v>
      </c>
      <c r="FQ88" s="560">
        <f>(Sheet1!BP90+Sheet1!BO90)/694.4</f>
        <v>1.4903513824884795</v>
      </c>
      <c r="FR88" s="560"/>
      <c r="FS88" s="560"/>
      <c r="FT88" s="560"/>
      <c r="FU88" s="560"/>
      <c r="FV88" s="695">
        <f t="shared" si="248"/>
        <v>41827</v>
      </c>
      <c r="FW88" s="695">
        <f t="shared" si="249"/>
        <v>41934</v>
      </c>
      <c r="FX88" s="560"/>
      <c r="FY88" s="560"/>
      <c r="FZ88" s="560"/>
      <c r="GA88" s="560"/>
      <c r="GB88" s="560" t="str">
        <f t="shared" si="250"/>
        <v>n</v>
      </c>
      <c r="GC88" s="564">
        <f t="shared" si="251"/>
        <v>41691</v>
      </c>
      <c r="GD88" s="695">
        <f t="shared" si="252"/>
        <v>41807</v>
      </c>
      <c r="GE88" s="560">
        <v>6518.9</v>
      </c>
      <c r="GF88" s="695">
        <f t="shared" si="253"/>
        <v>41808</v>
      </c>
      <c r="GG88" s="560">
        <f t="shared" si="272"/>
        <v>3259</v>
      </c>
      <c r="GH88" s="564">
        <f t="shared" si="254"/>
        <v>41934</v>
      </c>
      <c r="GJ88" s="545">
        <f t="shared" si="255"/>
        <v>0</v>
      </c>
      <c r="GK88" s="560" t="str">
        <f t="shared" si="229"/>
        <v/>
      </c>
      <c r="GL88" s="560">
        <f t="shared" si="256"/>
        <v>0</v>
      </c>
      <c r="GM88" s="560" t="str">
        <f t="shared" si="257"/>
        <v/>
      </c>
      <c r="GN88" s="560">
        <f>IF(GK88="P",Lookup!$M$12,IF(GK88="PP",Lookup!$M$13,IF(GK88="PPP",Lookup!$M$14,IF(GK88="T",Lookup!$M$15,IF(GK88="TP",Lookup!$M$16,IF(GK88="TPP",Lookup!$M$17,IF(GK88="TPPP",Lookup!$M$18,0)))))))*GJ88</f>
        <v>0</v>
      </c>
      <c r="GO88" s="560">
        <f t="shared" si="258"/>
        <v>0</v>
      </c>
      <c r="GP88" s="560">
        <f t="shared" si="230"/>
        <v>2148.4181333333322</v>
      </c>
      <c r="GQ88" s="560">
        <f t="shared" si="266"/>
        <v>700.26666666666631</v>
      </c>
      <c r="GR88" s="560"/>
      <c r="GS88" s="560">
        <f t="shared" si="259"/>
        <v>0</v>
      </c>
      <c r="GT88" s="560" t="str">
        <f t="shared" si="260"/>
        <v/>
      </c>
      <c r="GU88" s="560">
        <f>IF(GK88="P",Lookup!$N$12,IF(GK88="PP",Lookup!$N$13,IF(GK88="PPP",Lookup!$N$14,IF(GK88="T",Lookup!$N$15,IF(GK88="TP",Lookup!$N$16,IF(GK88="TPP",Lookup!$N$17,IF(GK88="TPPP",Lookup!$N$18,0)))))))*GJ88</f>
        <v>0</v>
      </c>
      <c r="GV88" s="560">
        <f t="shared" si="261"/>
        <v>0</v>
      </c>
      <c r="GW88" s="560">
        <f t="shared" si="231"/>
        <v>1002.5951288888887</v>
      </c>
      <c r="GX88" s="560">
        <f t="shared" si="267"/>
        <v>326.79111111111104</v>
      </c>
      <c r="GY88" s="560"/>
      <c r="GZ88" s="560">
        <f t="shared" si="262"/>
        <v>0</v>
      </c>
      <c r="HA88" s="560" t="str">
        <f t="shared" si="263"/>
        <v/>
      </c>
      <c r="HB88" s="560">
        <f>IF(GK88="P",Lookup!$N$12,IF(GK88="PP",Lookup!$N$13,IF(GK88="PPP",Lookup!$N$14,IF(GK88="T",Lookup!$N$15,IF(GK88="TP",Lookup!$N$16,IF(GK88="TPP",Lookup!$N$17,IF(GK88="TPPP",Lookup!$N$18,0)))))))*GJ88</f>
        <v>0</v>
      </c>
      <c r="HC88" s="545">
        <f t="shared" si="232"/>
        <v>0</v>
      </c>
      <c r="HD88" s="560">
        <f t="shared" si="233"/>
        <v>802.41300281403505</v>
      </c>
      <c r="HE88" s="560">
        <f t="shared" si="268"/>
        <v>261.54269974381845</v>
      </c>
      <c r="HF88" s="560"/>
      <c r="HG88" s="560">
        <f t="shared" si="264"/>
        <v>0</v>
      </c>
      <c r="HH88" s="560" t="str">
        <f t="shared" si="265"/>
        <v/>
      </c>
      <c r="HI88" s="560">
        <f>IF(GK88="P",Lookup!$N$12,IF(GK88="PP",Lookup!$N$13,IF(GK88="PPP",Lookup!$N$14,IF(GK88="T",Lookup!$N$15,IF(GK88="TP",Lookup!$N$16,IF(GK88="TPP",Lookup!$N$17,IF(GK88="TPPP",Lookup!$N$18,0)))))))*GJ88</f>
        <v>0</v>
      </c>
      <c r="HJ88" s="545">
        <f t="shared" si="234"/>
        <v>0</v>
      </c>
      <c r="HK88" s="560">
        <f t="shared" si="235"/>
        <v>582.29213498679826</v>
      </c>
      <c r="HL88" s="560">
        <f t="shared" si="269"/>
        <v>189.79535038683125</v>
      </c>
      <c r="HM88" s="560"/>
    </row>
    <row r="89" spans="1:221">
      <c r="A89" s="580" t="s">
        <v>6</v>
      </c>
      <c r="B89" s="556">
        <v>41717</v>
      </c>
      <c r="C89" s="561">
        <v>0</v>
      </c>
      <c r="D89" s="529">
        <f t="shared" si="270"/>
        <v>300</v>
      </c>
      <c r="E89" s="529">
        <f t="shared" si="271"/>
        <v>250</v>
      </c>
      <c r="F89" s="529">
        <v>250</v>
      </c>
      <c r="G89" s="560">
        <f>DR89+Sheet1!CZ91</f>
        <v>2316.3741805356317</v>
      </c>
      <c r="H89" s="914">
        <f t="shared" si="236"/>
        <v>1230.3410702982324</v>
      </c>
      <c r="I89" s="559">
        <f>MAX(Sheet1!Z91-AT89+(Sheet1!DA91-E89)*CFStoMGD,0)</f>
        <v>2255.7799999999997</v>
      </c>
      <c r="J89" s="562">
        <f>IF(AND(B89&gt;=Calculation!GC89,B89&lt;=Calculation!GD89),IF(Sheet1!DB91&gt;=Calculation!D89,64.64,0),MAX(Sheet1!Z91-AT89+(Sheet1!DB91-D89)*CFStoMGD,0))</f>
        <v>64.64</v>
      </c>
      <c r="K89" s="904">
        <f t="shared" si="171"/>
        <v>64.64</v>
      </c>
      <c r="L89" s="560">
        <f>Sheet1!AA91+Sheet1!AB91-Sheet1!L91+(Sheet1!DA91-F89)*CFStoMGD</f>
        <v>2230.08</v>
      </c>
      <c r="M89" s="560">
        <f t="shared" si="172"/>
        <v>1527.2503557041971</v>
      </c>
      <c r="N89" s="910">
        <f>IF(Sheet1!DA91&gt;=F89,MIN(73,MIN(MAX(L89,0),MAX(M89,0))),0)</f>
        <v>73</v>
      </c>
      <c r="O89" s="563">
        <f>Sheet1!AA91+Sheet1!AB91</f>
        <v>46.8</v>
      </c>
      <c r="P89" s="563">
        <f t="shared" si="173"/>
        <v>72.399599999999992</v>
      </c>
      <c r="Q89" s="898">
        <f t="shared" si="237"/>
        <v>38.22</v>
      </c>
      <c r="R89" s="829">
        <f t="shared" si="174"/>
        <v>8.5602455871066763</v>
      </c>
      <c r="S89" s="898">
        <f t="shared" si="238"/>
        <v>8.58</v>
      </c>
      <c r="T89" s="898">
        <f t="shared" si="239"/>
        <v>56.06</v>
      </c>
      <c r="U89" s="898">
        <f t="shared" si="240"/>
        <v>0</v>
      </c>
      <c r="V89" s="898"/>
      <c r="W89" s="898">
        <f t="shared" si="241"/>
        <v>56.079754412893323</v>
      </c>
      <c r="X89" s="898">
        <f t="shared" si="242"/>
        <v>64.64</v>
      </c>
      <c r="Y89" s="898" t="str">
        <f t="shared" si="243"/>
        <v>FALSE</v>
      </c>
      <c r="Z89" s="898">
        <f t="shared" si="244"/>
        <v>46.8</v>
      </c>
      <c r="AA89" s="898">
        <f t="shared" si="245"/>
        <v>46.8</v>
      </c>
      <c r="AB89" s="898" t="str">
        <f t="shared" si="246"/>
        <v/>
      </c>
      <c r="AC89" s="563">
        <f>Sheet1!Y91*MGDtoCFS</f>
        <v>32.0229</v>
      </c>
      <c r="AD89" s="563">
        <f>Sheet1!Z91*MGDtoCFS</f>
        <v>39.757899999999999</v>
      </c>
      <c r="AE89" s="563">
        <f>Sheet1!AA91*MGDtoCFS</f>
        <v>32.177599999999998</v>
      </c>
      <c r="AF89" s="563">
        <f>Sheet1!AB91*MGDtoCFS</f>
        <v>40.222000000000001</v>
      </c>
      <c r="AG89" s="563">
        <f>Sheet1!L91*MGDtoCFS</f>
        <v>72.399599999999992</v>
      </c>
      <c r="AH89" s="545">
        <f t="shared" si="175"/>
        <v>0</v>
      </c>
      <c r="AI89" s="560">
        <f t="shared" si="176"/>
        <v>0</v>
      </c>
      <c r="AJ89" s="560">
        <f t="shared" si="177"/>
        <v>56.079754412893323</v>
      </c>
      <c r="AK89" s="560">
        <f t="shared" si="178"/>
        <v>86.755380076745965</v>
      </c>
      <c r="AL89" s="560">
        <f>(VLOOKUP(Sheet1!DC91,hhdcap_wcm,4)-(((VLOOKUP(Sheet1!DC91,hhdcap_wcm,3)-Sheet1!DC91)/(VLOOKUP(Sheet1!DC91,hhdcap_wcm,3)-VLOOKUP(Sheet1!DC91,hhdcap_wcm,1)))*(VLOOKUP(Sheet1!DC91,hhdcap_wcm,4)-VLOOKUP(Sheet1!DC91,hhdcap_wcm,2))))</f>
        <v>18568.200000045676</v>
      </c>
      <c r="AM89" s="560">
        <f t="shared" si="179"/>
        <v>647.20000000215805</v>
      </c>
      <c r="AN89" s="560">
        <f t="shared" si="180"/>
        <v>1534.4755823213202</v>
      </c>
      <c r="AO89" s="560">
        <f t="shared" si="181"/>
        <v>4707.7710865618101</v>
      </c>
      <c r="AP89" s="560">
        <f>Sheet1!BA91+Sheet1!BB91+Sheet1!BN91+CD89</f>
        <v>17.48</v>
      </c>
      <c r="AQ89" s="560">
        <f>Sheet1!BN91+(DO89*Sheet1!BN91)</f>
        <v>16.462010744435915</v>
      </c>
      <c r="AR89" s="560">
        <f>Sheet1!BA91+CD89</f>
        <v>0</v>
      </c>
      <c r="AS89" s="560">
        <f>Sheet1!BA91+Sheet1!BB91+CD89</f>
        <v>0.98</v>
      </c>
      <c r="AT89" s="698">
        <f>0</f>
        <v>0</v>
      </c>
      <c r="AU89" s="560">
        <f>IF(EB89&lt;K89,0,MAX(Sheet1!AA91+AQ89-15/36*K89-N89,Sheet1!EH91,0))</f>
        <v>0</v>
      </c>
      <c r="AV89" s="560">
        <f>IF(OR(B89&gt;=GD89,B89&lt;GC89),0,15/36*K89-MAX(0,64.6-(137.6-(Sheet1!AA91+Sheet1!AB91))))</f>
        <v>26.933333333333334</v>
      </c>
      <c r="AW89" s="698">
        <f>Sheet1!DB91-110</f>
        <v>1950</v>
      </c>
      <c r="AX89" s="698">
        <f>Sheet1!DA91-265</f>
        <v>3435</v>
      </c>
      <c r="AY89" s="698">
        <f t="shared" si="182"/>
        <v>34.78</v>
      </c>
      <c r="AZ89" s="698">
        <v>0</v>
      </c>
      <c r="BA89" s="698">
        <f t="shared" si="183"/>
        <v>0</v>
      </c>
      <c r="BB89" s="560">
        <f t="shared" si="184"/>
        <v>727.19999999999959</v>
      </c>
      <c r="BC89" s="560"/>
      <c r="BD89" s="560">
        <f ca="1">IF(B89&gt;Summary!$A$1,#N/A,BB89*MGtoAF)</f>
        <v>2231.0495999999989</v>
      </c>
      <c r="BE89" s="560">
        <f>Sheet1!BG91+Sheet1!BH91+Sheet1!BI91-BM89</f>
        <v>0</v>
      </c>
      <c r="BF89" s="560">
        <f t="shared" si="185"/>
        <v>0</v>
      </c>
      <c r="BG89" s="560">
        <f>IF(Sheet1!EP91="FM",BM89,0)</f>
        <v>0</v>
      </c>
      <c r="BH89" s="560">
        <f t="shared" si="186"/>
        <v>0</v>
      </c>
      <c r="BI89" s="560">
        <f>IF(Sheet1!EP91="OTHER",BM89,0)</f>
        <v>0</v>
      </c>
      <c r="BJ89" s="560">
        <f t="shared" si="187"/>
        <v>0</v>
      </c>
      <c r="BK89" s="560">
        <f t="shared" si="188"/>
        <v>0</v>
      </c>
      <c r="BL89" s="560">
        <f t="shared" si="189"/>
        <v>0</v>
      </c>
      <c r="BM89" s="560">
        <f>IF(OR(Sheet1!EP91="FM", Sheet1!EP91="OTHER"),SUM(Sheet1!BG91:'Sheet1'!BI91),0)</f>
        <v>0</v>
      </c>
      <c r="BN89" s="545">
        <f>IF(AND($B89&gt;=$FV89,$B89&lt;=$FW89),MAX(BF89,Sheet1!EI91,0),MAX(BF89-(7/36)*$K89,0))</f>
        <v>0</v>
      </c>
      <c r="BO89" s="560">
        <f t="shared" si="190"/>
        <v>12.568888888888889</v>
      </c>
      <c r="BP89" s="545">
        <f t="shared" si="191"/>
        <v>0</v>
      </c>
      <c r="BQ89" s="545">
        <f>IF(AND($O89&gt;0,Sheet1!EM91=1),(1-($O89-Sheet1!$L91)/$O89)*BL89,0)</f>
        <v>0</v>
      </c>
      <c r="BR89" s="545">
        <f>IF(AND(Sheet1!$L91=0,Sheet1!$L90=0, Calculation!BK89&lt;Sheet1!$EI91-0.1,Sheet1!$EI91=Sheet1!$EI90,Sheet1!$EI91=Sheet1!$EI92),Sheet1!$EI91,BL89-BQ89)</f>
        <v>0</v>
      </c>
      <c r="BS89" s="560"/>
      <c r="BT89" s="560"/>
      <c r="BU89" s="560">
        <f t="shared" si="192"/>
        <v>339.3599999999999</v>
      </c>
      <c r="BV89" s="560"/>
      <c r="BW89" s="560">
        <f ca="1">IF(B89&gt;Summary!$A$1,#N/A,BU89*MGtoAF)</f>
        <v>1041.1564799999996</v>
      </c>
      <c r="BX89" s="560">
        <f>Sheet1!BC91+Sheet1!BD91+Sheet1!BE91+Sheet1!BF91-CG89-CH89</f>
        <v>2.5</v>
      </c>
      <c r="BY89" s="560">
        <f t="shared" si="193"/>
        <v>2.49424405218726</v>
      </c>
      <c r="BZ89" s="560">
        <f>IF(Sheet1!EQ91="FM",CH89,0)</f>
        <v>0</v>
      </c>
      <c r="CA89" s="560">
        <f t="shared" si="194"/>
        <v>0</v>
      </c>
      <c r="CB89" s="560">
        <f>IF(Sheet1!EQ91="OTHER",CH89,0)</f>
        <v>0</v>
      </c>
      <c r="CC89" s="560">
        <f t="shared" si="195"/>
        <v>0</v>
      </c>
      <c r="CD89" s="560">
        <f t="shared" si="196"/>
        <v>0</v>
      </c>
      <c r="CE89" s="560">
        <f t="shared" si="197"/>
        <v>2.5</v>
      </c>
      <c r="CF89" s="560">
        <f t="shared" si="198"/>
        <v>2.49424405218726</v>
      </c>
      <c r="CG89" s="560">
        <f>IF(Sheet1!EQ91="CWA",SUM(Sheet1!BC91:'Sheet1'!BF91),0)</f>
        <v>0</v>
      </c>
      <c r="CH89" s="560">
        <f>IF(OR(Sheet1!EQ91="FM", Sheet1!EQ91="OTHER"),SUM(Sheet1!BC91:'Sheet1'!BF91),0)</f>
        <v>0</v>
      </c>
      <c r="CI89" s="545">
        <f>IF(AND($B89&gt;=$FV89,$B89&lt;=$FW89),MAX(CF89,Sheet1!EJ91,0),MAX(CF89-(7/36)*$K89,0))</f>
        <v>0</v>
      </c>
      <c r="CJ89" s="560">
        <f t="shared" si="199"/>
        <v>10.07464483670163</v>
      </c>
      <c r="CK89" s="545">
        <f t="shared" si="200"/>
        <v>2.49424405218726</v>
      </c>
      <c r="CL89" s="545">
        <f>IF(AND($O89&gt;0,Sheet1!EN91=1),(1-($O89-Sheet1!$L91)/$O89)*CF89,0)</f>
        <v>0</v>
      </c>
      <c r="CM89" s="545">
        <f>IF(AND(Sheet1!$L91=0,Sheet1!$L90=0, Calculation!CE89&lt;Sheet1!EJ91-0.1,Sheet1!EJ91=Sheet1!EJ90,Sheet1!EJ91=Sheet1!EJ92),Sheet1!EJ91,CF89-CL89)</f>
        <v>2.49424405218726</v>
      </c>
      <c r="CN89" s="545"/>
      <c r="CO89" s="560"/>
      <c r="CP89" s="560">
        <f t="shared" si="201"/>
        <v>271.61734458052007</v>
      </c>
      <c r="CQ89" s="560"/>
      <c r="CR89" s="560">
        <f ca="1">IF(B89&gt;Summary!$A$1,#N/A,CP89*MGtoAF)</f>
        <v>833.32201317303554</v>
      </c>
      <c r="CS89" s="560">
        <f>Sheet1!BK91+Sheet1!BL91+Sheet1!BM91-Sheet1!ER91-DA89</f>
        <v>6.08</v>
      </c>
      <c r="CT89" s="560">
        <f t="shared" si="202"/>
        <v>6.0660015349194163</v>
      </c>
      <c r="CU89" s="560">
        <f>IF(Sheet1!ER91="FM",DA89,0)</f>
        <v>0</v>
      </c>
      <c r="CV89" s="560">
        <f t="shared" si="203"/>
        <v>0</v>
      </c>
      <c r="CW89" s="560">
        <f>IF(Sheet1!ER91="OTHER",DA89,0)</f>
        <v>0</v>
      </c>
      <c r="CX89" s="560">
        <f t="shared" si="204"/>
        <v>0</v>
      </c>
      <c r="CY89" s="560">
        <f t="shared" si="205"/>
        <v>6.08</v>
      </c>
      <c r="CZ89" s="560">
        <f t="shared" si="206"/>
        <v>6.0660015349194163</v>
      </c>
      <c r="DA89" s="560">
        <f>IF(OR(Sheet1!ER91="FM", Sheet1!ER91="OTHER"),SUM(Sheet1!BK91:'Sheet1'!BM91),0)</f>
        <v>0</v>
      </c>
      <c r="DB89" s="545">
        <f>IF(AND($B89&gt;=$FV89,$B89&lt;=$FW89),MAX($CT89,Sheet1!EK91,0),MAX($CT89-(7/36)*$K89,0))</f>
        <v>0</v>
      </c>
      <c r="DC89" s="560">
        <f t="shared" si="207"/>
        <v>6.5028873539694727</v>
      </c>
      <c r="DD89" s="545">
        <f t="shared" si="208"/>
        <v>6.0660015349194163</v>
      </c>
      <c r="DE89" s="545">
        <f>IF(AND($O89&gt;0,Sheet1!EO91=1),(1-($O89-Sheet1!$L91)/$O89)*CZ89,0)</f>
        <v>0</v>
      </c>
      <c r="DF89" s="545">
        <f>IF(AND(Sheet1!$L91=0,Sheet1!$L90=0, Calculation!CY89&lt;Sheet1!$EK91-0.1,Sheet1!$EK91=Sheet1!$EK90,Sheet1!$EK91=Sheet1!$EK92),Sheet1!$EK91,CZ89-DE89)</f>
        <v>6.0660015349194163</v>
      </c>
      <c r="DG89" s="545"/>
      <c r="DH89" s="560">
        <f t="shared" si="209"/>
        <v>8.58</v>
      </c>
      <c r="DI89" s="560">
        <f t="shared" si="210"/>
        <v>196.29823774080072</v>
      </c>
      <c r="DJ89" s="698">
        <f t="shared" si="211"/>
        <v>8.5602455871066763</v>
      </c>
      <c r="DK89" s="560">
        <f ca="1">IF(B89&gt;Summary!$A$1,#N/A,DI89*MGtoAF)</f>
        <v>602.24299338877665</v>
      </c>
      <c r="DL89" s="698">
        <f t="shared" si="212"/>
        <v>8.58</v>
      </c>
      <c r="DM89" s="560">
        <f t="shared" si="213"/>
        <v>26.060000000000002</v>
      </c>
      <c r="DN89" s="560">
        <f>Sheet1!AB91-DM89</f>
        <v>-6.0000000000002274E-2</v>
      </c>
      <c r="DO89" s="823">
        <f t="shared" si="214"/>
        <v>-2.3023791250960197E-3</v>
      </c>
      <c r="DP89" s="560">
        <f>(VLOOKUP(Sheet1!DC91,hhdcap_wcm,4)-(((VLOOKUP(Sheet1!DC91,hhdcap_wcm,3)-Sheet1!DC91)/(VLOOKUP(Sheet1!DC91,hhdcap_wcm,3)-VLOOKUP(Sheet1!DC91,hhdcap_wcm,1)))*(VLOOKUP(Sheet1!DC91,hhdcap_wcm,4)-VLOOKUP(Sheet1!DC91,hhdcap_wcm,2))))</f>
        <v>18568.200000045676</v>
      </c>
      <c r="DQ89" s="560">
        <f t="shared" si="215"/>
        <v>647.20000000215805</v>
      </c>
      <c r="DR89" s="560">
        <f t="shared" si="216"/>
        <v>326.37418053563187</v>
      </c>
      <c r="DS89" s="560">
        <f>Sheet1!EA91*AFtoMG</f>
        <v>0</v>
      </c>
      <c r="DT89" s="560">
        <f>Sheet1!EB91*AFtoMG</f>
        <v>0</v>
      </c>
      <c r="DU89" s="560">
        <f>Sheet1!EC91*AFtoMG</f>
        <v>0</v>
      </c>
      <c r="DV89" s="560">
        <f>Sheet1!ED91*AFtoMG</f>
        <v>0</v>
      </c>
      <c r="DW89" s="560">
        <f t="shared" si="217"/>
        <v>0</v>
      </c>
      <c r="DX89" s="560">
        <f t="shared" si="218"/>
        <v>0</v>
      </c>
      <c r="DY89" s="560">
        <f t="shared" si="219"/>
        <v>1534.4755823213202</v>
      </c>
      <c r="DZ89" s="560">
        <f t="shared" si="220"/>
        <v>4707.7710865618101</v>
      </c>
      <c r="EA89" s="560"/>
      <c r="EB89" s="545">
        <f>IF(OR(B89&lt;FV89,B89&gt;FW89),(MIN(BF89+BY89+CT89+MAX(Sheet1!AA91+AQ89-73,0),K89)),0)</f>
        <v>8.5602455871066763</v>
      </c>
      <c r="EC89" s="560"/>
      <c r="ED89" s="560">
        <f t="shared" si="221"/>
        <v>8.5602455871066763</v>
      </c>
      <c r="EE89" s="560"/>
      <c r="EF89" s="560">
        <f>Sheet1!EH91+Sheet1!EI91+Sheet1!EJ91+Sheet1!EK91</f>
        <v>8.58</v>
      </c>
      <c r="EG89" s="560"/>
      <c r="EH89" s="545">
        <f t="shared" si="222"/>
        <v>0</v>
      </c>
      <c r="EI89" s="560">
        <f>IF(Sheet1!ET91=1,SUM('Calculations II'!AT89:BA89)+'Calculations II'!BC89+Sheet1!BV91+'Calculations II'!BE89+AP89,SUM('Calculations II'!AT89:BA89)+'Calculations II'!BC89+Sheet1!BV91+'Calculations II'!BE89+AP89)</f>
        <v>49.718288000000001</v>
      </c>
      <c r="EJ89" s="560">
        <f>Sheet1!AA91+Sheet1!AB91+'Calculations II'!BC89</f>
        <v>57.106079999999999</v>
      </c>
      <c r="EK89" s="560"/>
      <c r="EL89" s="560"/>
      <c r="EM89" s="560">
        <f t="shared" si="223"/>
        <v>41717</v>
      </c>
      <c r="EN89" s="560">
        <f t="shared" si="224"/>
        <v>56.079754412893323</v>
      </c>
      <c r="EO89" s="560">
        <f t="shared" si="225"/>
        <v>86.755380076745965</v>
      </c>
      <c r="EP89" s="560">
        <v>0</v>
      </c>
      <c r="EQ89" s="560">
        <v>0</v>
      </c>
      <c r="ER89" s="560">
        <v>0</v>
      </c>
      <c r="ES89" s="545">
        <f t="shared" si="247"/>
        <v>-2.0767654057773388</v>
      </c>
      <c r="ET89" s="560">
        <f>-(VLOOKUP(Sheet1!BQ91,Lookup!$O$4:$Q$262,2)-VLOOKUP(Sheet1!BQ90,Lookup!$O$4:$Q$262,2))/1000000</f>
        <v>-0.96916914966158196</v>
      </c>
      <c r="EU89" s="560">
        <f>-(VLOOKUP(Sheet1!BR91,Lookup!$O$4:$Q$262,3)-VLOOKUP(Sheet1!BR90,Lookup!$O$4:$Q$262,3))/1000000</f>
        <v>-1.1075962561157568</v>
      </c>
      <c r="EV89" s="560"/>
      <c r="EW89" s="560"/>
      <c r="EX89" s="560"/>
      <c r="EY89" s="560"/>
      <c r="EZ89" s="560"/>
      <c r="FA89" s="560"/>
      <c r="FB89" s="560"/>
      <c r="FC89" s="560"/>
      <c r="FD89" s="594" t="e">
        <f t="shared" si="226"/>
        <v>#N/A</v>
      </c>
      <c r="FE89" s="594" t="e">
        <f t="shared" si="227"/>
        <v>#N/A</v>
      </c>
      <c r="FF89" s="595" t="e">
        <f t="shared" si="228"/>
        <v>#N/A</v>
      </c>
      <c r="FG89" s="596" t="s">
        <v>692</v>
      </c>
      <c r="FH89" s="596" t="s">
        <v>692</v>
      </c>
      <c r="FI89" s="594" t="e">
        <v>#N/A</v>
      </c>
      <c r="FJ89" s="594" t="e">
        <v>#N/A</v>
      </c>
      <c r="FK89" s="560"/>
      <c r="FL89" s="560"/>
      <c r="FM89" s="560"/>
      <c r="FN89" s="560"/>
      <c r="FO89" s="560">
        <f>O89+((Sheet1!CS91)*GPMtoMGD)</f>
        <v>57.106079999999999</v>
      </c>
      <c r="FP89" s="560">
        <f>IF(Sheet1!AA91+AQ89&lt;=Calculation!N89,AQ89,Calculation!N89-Sheet1!AA91)</f>
        <v>16.462010744435915</v>
      </c>
      <c r="FQ89" s="560">
        <f>(Sheet1!BP91+Sheet1!BO91)/694.4</f>
        <v>1.4315956221198158</v>
      </c>
      <c r="FR89" s="560"/>
      <c r="FS89" s="560"/>
      <c r="FT89" s="560"/>
      <c r="FU89" s="560"/>
      <c r="FV89" s="695">
        <f t="shared" si="248"/>
        <v>41827</v>
      </c>
      <c r="FW89" s="695">
        <f t="shared" si="249"/>
        <v>41934</v>
      </c>
      <c r="FX89" s="560"/>
      <c r="FY89" s="560"/>
      <c r="FZ89" s="560"/>
      <c r="GA89" s="560"/>
      <c r="GB89" s="560" t="str">
        <f t="shared" si="250"/>
        <v>n</v>
      </c>
      <c r="GC89" s="564">
        <f t="shared" si="251"/>
        <v>41691</v>
      </c>
      <c r="GD89" s="695">
        <f t="shared" si="252"/>
        <v>41807</v>
      </c>
      <c r="GE89" s="560">
        <v>6518.9</v>
      </c>
      <c r="GF89" s="695">
        <f t="shared" si="253"/>
        <v>41808</v>
      </c>
      <c r="GG89" s="560">
        <f t="shared" si="272"/>
        <v>3259</v>
      </c>
      <c r="GH89" s="564">
        <f t="shared" si="254"/>
        <v>41934</v>
      </c>
      <c r="GJ89" s="545">
        <f t="shared" si="255"/>
        <v>0</v>
      </c>
      <c r="GK89" s="560" t="str">
        <f t="shared" si="229"/>
        <v/>
      </c>
      <c r="GL89" s="560">
        <f t="shared" si="256"/>
        <v>0</v>
      </c>
      <c r="GM89" s="560" t="str">
        <f t="shared" si="257"/>
        <v/>
      </c>
      <c r="GN89" s="560">
        <f>IF(GK89="P",Lookup!$M$12,IF(GK89="PP",Lookup!$M$13,IF(GK89="PPP",Lookup!$M$14,IF(GK89="T",Lookup!$M$15,IF(GK89="TP",Lookup!$M$16,IF(GK89="TPP",Lookup!$M$17,IF(GK89="TPPP",Lookup!$M$18,0)))))))*GJ89</f>
        <v>0</v>
      </c>
      <c r="GO89" s="560">
        <f t="shared" si="258"/>
        <v>0</v>
      </c>
      <c r="GP89" s="560">
        <f t="shared" si="230"/>
        <v>2231.0495999999989</v>
      </c>
      <c r="GQ89" s="560">
        <f t="shared" si="266"/>
        <v>727.19999999999959</v>
      </c>
      <c r="GR89" s="560"/>
      <c r="GS89" s="560">
        <f t="shared" si="259"/>
        <v>0</v>
      </c>
      <c r="GT89" s="560" t="str">
        <f t="shared" si="260"/>
        <v/>
      </c>
      <c r="GU89" s="560">
        <f>IF(GK89="P",Lookup!$N$12,IF(GK89="PP",Lookup!$N$13,IF(GK89="PPP",Lookup!$N$14,IF(GK89="T",Lookup!$N$15,IF(GK89="TP",Lookup!$N$16,IF(GK89="TPP",Lookup!$N$17,IF(GK89="TPPP",Lookup!$N$18,0)))))))*GJ89</f>
        <v>0</v>
      </c>
      <c r="GV89" s="560">
        <f t="shared" si="261"/>
        <v>0</v>
      </c>
      <c r="GW89" s="560">
        <f t="shared" si="231"/>
        <v>1041.1564799999996</v>
      </c>
      <c r="GX89" s="560">
        <f t="shared" si="267"/>
        <v>339.3599999999999</v>
      </c>
      <c r="GY89" s="560"/>
      <c r="GZ89" s="560">
        <f t="shared" si="262"/>
        <v>0</v>
      </c>
      <c r="HA89" s="560" t="str">
        <f t="shared" si="263"/>
        <v/>
      </c>
      <c r="HB89" s="560">
        <f>IF(GK89="P",Lookup!$N$12,IF(GK89="PP",Lookup!$N$13,IF(GK89="PPP",Lookup!$N$14,IF(GK89="T",Lookup!$N$15,IF(GK89="TP",Lookup!$N$16,IF(GK89="TPP",Lookup!$N$17,IF(GK89="TPPP",Lookup!$N$18,0)))))))*GJ89</f>
        <v>0</v>
      </c>
      <c r="HC89" s="545">
        <f t="shared" si="232"/>
        <v>0</v>
      </c>
      <c r="HD89" s="560">
        <f t="shared" si="233"/>
        <v>833.32201317303554</v>
      </c>
      <c r="HE89" s="560">
        <f t="shared" si="268"/>
        <v>271.61734458052007</v>
      </c>
      <c r="HF89" s="560"/>
      <c r="HG89" s="560">
        <f t="shared" si="264"/>
        <v>0</v>
      </c>
      <c r="HH89" s="560" t="str">
        <f t="shared" si="265"/>
        <v/>
      </c>
      <c r="HI89" s="560">
        <f>IF(GK89="P",Lookup!$N$12,IF(GK89="PP",Lookup!$N$13,IF(GK89="PPP",Lookup!$N$14,IF(GK89="T",Lookup!$N$15,IF(GK89="TP",Lookup!$N$16,IF(GK89="TPP",Lookup!$N$17,IF(GK89="TPPP",Lookup!$N$18,0)))))))*GJ89</f>
        <v>0</v>
      </c>
      <c r="HJ89" s="545">
        <f t="shared" si="234"/>
        <v>0</v>
      </c>
      <c r="HK89" s="560">
        <f t="shared" si="235"/>
        <v>602.24299338877665</v>
      </c>
      <c r="HL89" s="560">
        <f t="shared" si="269"/>
        <v>196.29823774080072</v>
      </c>
      <c r="HM89" s="560"/>
    </row>
    <row r="90" spans="1:221">
      <c r="A90" s="580" t="s">
        <v>7</v>
      </c>
      <c r="B90" s="556">
        <v>41718</v>
      </c>
      <c r="C90" s="561">
        <v>0</v>
      </c>
      <c r="D90" s="529">
        <f t="shared" si="270"/>
        <v>300</v>
      </c>
      <c r="E90" s="529">
        <f t="shared" si="271"/>
        <v>250</v>
      </c>
      <c r="F90" s="529">
        <v>250</v>
      </c>
      <c r="G90" s="560">
        <f>DR90+Sheet1!CZ92</f>
        <v>1985.1840645492512</v>
      </c>
      <c r="H90" s="914">
        <f t="shared" si="236"/>
        <v>1016.2597793246359</v>
      </c>
      <c r="I90" s="559">
        <f>MAX(Sheet1!Z92-AT90+(Sheet1!DA92-E90)*CFStoMGD,0)</f>
        <v>1932.8799999999999</v>
      </c>
      <c r="J90" s="562">
        <f>IF(AND(B90&gt;=Calculation!GC90,B90&lt;=Calculation!GD90),IF(Sheet1!DB92&gt;=Calculation!D90,64.64,0),MAX(Sheet1!Z92-AT90+(Sheet1!DB92-D90)*CFStoMGD,0))</f>
        <v>64.64</v>
      </c>
      <c r="K90" s="904">
        <f t="shared" si="171"/>
        <v>64.64</v>
      </c>
      <c r="L90" s="560">
        <f>Sheet1!AA92+Sheet1!AB92-Sheet1!L92+(Sheet1!DA92-F90)*CFStoMGD</f>
        <v>1906.8799999999999</v>
      </c>
      <c r="M90" s="560">
        <f t="shared" si="172"/>
        <v>1308.8874389111288</v>
      </c>
      <c r="N90" s="910">
        <f>IF(Sheet1!DA92&gt;=F90,MIN(73,MIN(MAX(L90,0),MAX(M90,0))),0)</f>
        <v>73</v>
      </c>
      <c r="O90" s="563">
        <f>Sheet1!AA92+Sheet1!AB92</f>
        <v>46.8</v>
      </c>
      <c r="P90" s="563">
        <f t="shared" si="173"/>
        <v>72.399599999999992</v>
      </c>
      <c r="Q90" s="898">
        <f t="shared" si="237"/>
        <v>38.22</v>
      </c>
      <c r="R90" s="829">
        <f t="shared" si="174"/>
        <v>8.5899114362726223</v>
      </c>
      <c r="S90" s="898">
        <f t="shared" si="238"/>
        <v>8.58</v>
      </c>
      <c r="T90" s="898">
        <f t="shared" si="239"/>
        <v>56.06</v>
      </c>
      <c r="U90" s="898">
        <f t="shared" si="240"/>
        <v>0</v>
      </c>
      <c r="V90" s="898"/>
      <c r="W90" s="898">
        <f t="shared" si="241"/>
        <v>56.050088563727378</v>
      </c>
      <c r="X90" s="898">
        <f t="shared" si="242"/>
        <v>64.64</v>
      </c>
      <c r="Y90" s="898" t="str">
        <f t="shared" si="243"/>
        <v>FALSE</v>
      </c>
      <c r="Z90" s="898">
        <f t="shared" si="244"/>
        <v>46.8</v>
      </c>
      <c r="AA90" s="898">
        <f t="shared" si="245"/>
        <v>46.8</v>
      </c>
      <c r="AB90" s="898" t="str">
        <f t="shared" si="246"/>
        <v/>
      </c>
      <c r="AC90" s="563">
        <f>Sheet1!Y92*MGDtoCFS</f>
        <v>32.332299999999996</v>
      </c>
      <c r="AD90" s="563">
        <f>Sheet1!Z92*MGDtoCFS</f>
        <v>40.222000000000001</v>
      </c>
      <c r="AE90" s="563">
        <f>Sheet1!AA92*MGDtoCFS</f>
        <v>32.177599999999998</v>
      </c>
      <c r="AF90" s="563">
        <f>Sheet1!AB92*MGDtoCFS</f>
        <v>40.222000000000001</v>
      </c>
      <c r="AG90" s="563">
        <f>Sheet1!L92*MGDtoCFS</f>
        <v>72.399599999999992</v>
      </c>
      <c r="AH90" s="545">
        <f t="shared" si="175"/>
        <v>0</v>
      </c>
      <c r="AI90" s="560">
        <f t="shared" si="176"/>
        <v>0</v>
      </c>
      <c r="AJ90" s="560">
        <f t="shared" si="177"/>
        <v>56.050088563727378</v>
      </c>
      <c r="AK90" s="560">
        <f t="shared" si="178"/>
        <v>86.709487008086256</v>
      </c>
      <c r="AL90" s="560">
        <f>(VLOOKUP(Sheet1!DC92,hhdcap_wcm,4)-(((VLOOKUP(Sheet1!DC92,hhdcap_wcm,3)-Sheet1!DC92)/(VLOOKUP(Sheet1!DC92,hhdcap_wcm,3)-VLOOKUP(Sheet1!DC92,hhdcap_wcm,1)))*(VLOOKUP(Sheet1!DC92,hhdcap_wcm,4)-VLOOKUP(Sheet1!DC92,hhdcap_wcm,2))))</f>
        <v>19054.40000004684</v>
      </c>
      <c r="AM90" s="560">
        <f t="shared" si="179"/>
        <v>486.20000000116488</v>
      </c>
      <c r="AN90" s="560">
        <f t="shared" si="180"/>
        <v>1590.5256708850475</v>
      </c>
      <c r="AO90" s="560">
        <f t="shared" si="181"/>
        <v>4879.732758275326</v>
      </c>
      <c r="AP90" s="560">
        <f>Sheet1!BA92+Sheet1!BB92+Sheet1!BN92+CD90</f>
        <v>17.389999999999997</v>
      </c>
      <c r="AQ90" s="560">
        <f>Sheet1!BN92+(DO90*Sheet1!BN92)</f>
        <v>16.418944936465152</v>
      </c>
      <c r="AR90" s="560">
        <f>Sheet1!BA92+CD90</f>
        <v>0</v>
      </c>
      <c r="AS90" s="560">
        <f>Sheet1!BA92+Sheet1!BB92+CD90</f>
        <v>0.99</v>
      </c>
      <c r="AT90" s="698">
        <f>0</f>
        <v>0</v>
      </c>
      <c r="AU90" s="560">
        <f>IF(EB90&lt;K90,0,MAX(Sheet1!AA92+AQ90-15/36*K90-N90,Sheet1!EH92,0))</f>
        <v>0</v>
      </c>
      <c r="AV90" s="560">
        <f>IF(OR(B90&gt;=GD90,B90&lt;GC90),0,15/36*K90-MAX(0,64.6-(137.6-(Sheet1!AA92+Sheet1!AB92))))</f>
        <v>26.933333333333334</v>
      </c>
      <c r="AW90" s="698">
        <f>Sheet1!DB92-110</f>
        <v>1690</v>
      </c>
      <c r="AX90" s="698">
        <f>Sheet1!DA92-265</f>
        <v>2935</v>
      </c>
      <c r="AY90" s="698">
        <f t="shared" si="182"/>
        <v>34.78</v>
      </c>
      <c r="AZ90" s="698">
        <v>0</v>
      </c>
      <c r="BA90" s="698">
        <f t="shared" si="183"/>
        <v>0</v>
      </c>
      <c r="BB90" s="560">
        <f t="shared" si="184"/>
        <v>754.13333333333287</v>
      </c>
      <c r="BC90" s="560"/>
      <c r="BD90" s="560">
        <f ca="1">IF(B90&gt;Summary!$A$1,#N/A,BB90*MGtoAF)</f>
        <v>2313.6810666666652</v>
      </c>
      <c r="BE90" s="560">
        <f>Sheet1!BG92+Sheet1!BH92+Sheet1!BI92-BM90</f>
        <v>0</v>
      </c>
      <c r="BF90" s="560">
        <f t="shared" si="185"/>
        <v>0</v>
      </c>
      <c r="BG90" s="560">
        <f>IF(Sheet1!EP92="FM",BM90,0)</f>
        <v>0</v>
      </c>
      <c r="BH90" s="560">
        <f t="shared" si="186"/>
        <v>0</v>
      </c>
      <c r="BI90" s="560">
        <f>IF(Sheet1!EP92="OTHER",BM90,0)</f>
        <v>0</v>
      </c>
      <c r="BJ90" s="560">
        <f t="shared" si="187"/>
        <v>0</v>
      </c>
      <c r="BK90" s="560">
        <f t="shared" si="188"/>
        <v>0</v>
      </c>
      <c r="BL90" s="560">
        <f t="shared" si="189"/>
        <v>0</v>
      </c>
      <c r="BM90" s="560">
        <f>IF(OR(Sheet1!EP92="FM", Sheet1!EP92="OTHER"),SUM(Sheet1!BG92:'Sheet1'!BI92),0)</f>
        <v>0</v>
      </c>
      <c r="BN90" s="545">
        <f>IF(AND($B90&gt;=$FV90,$B90&lt;=$FW90),MAX(BF90,Sheet1!EI92,0),MAX(BF90-(7/36)*$K90,0))</f>
        <v>0</v>
      </c>
      <c r="BO90" s="560">
        <f t="shared" si="190"/>
        <v>12.568888888888889</v>
      </c>
      <c r="BP90" s="545">
        <f t="shared" si="191"/>
        <v>0</v>
      </c>
      <c r="BQ90" s="545">
        <f>IF(AND($O90&gt;0,Sheet1!EM92=1),(1-($O90-Sheet1!$L92)/$O90)*BL90,0)</f>
        <v>0</v>
      </c>
      <c r="BR90" s="545">
        <f>IF(AND(Sheet1!$L92=0,Sheet1!$L91=0, Calculation!BK90&lt;Sheet1!$EI92-0.1,Sheet1!$EI92=Sheet1!$EI91,Sheet1!$EI92=Sheet1!$EI93),Sheet1!$EI92,BL90-BQ90)</f>
        <v>0</v>
      </c>
      <c r="BS90" s="560"/>
      <c r="BT90" s="560"/>
      <c r="BU90" s="560">
        <f t="shared" si="192"/>
        <v>351.92888888888876</v>
      </c>
      <c r="BV90" s="560"/>
      <c r="BW90" s="560">
        <f ca="1">IF(B90&gt;Summary!$A$1,#N/A,BU90*MGtoAF)</f>
        <v>1079.7178311111109</v>
      </c>
      <c r="BX90" s="560">
        <f>Sheet1!BC92+Sheet1!BD92+Sheet1!BE92+Sheet1!BF92-CG90-CH90</f>
        <v>2.5</v>
      </c>
      <c r="BY90" s="560">
        <f t="shared" si="193"/>
        <v>2.502887947631883</v>
      </c>
      <c r="BZ90" s="560">
        <f>IF(Sheet1!EQ92="FM",CH90,0)</f>
        <v>0</v>
      </c>
      <c r="CA90" s="560">
        <f t="shared" si="194"/>
        <v>0</v>
      </c>
      <c r="CB90" s="560">
        <f>IF(Sheet1!EQ92="OTHER",CH90,0)</f>
        <v>0</v>
      </c>
      <c r="CC90" s="560">
        <f t="shared" si="195"/>
        <v>0</v>
      </c>
      <c r="CD90" s="560">
        <f t="shared" si="196"/>
        <v>0</v>
      </c>
      <c r="CE90" s="560">
        <f t="shared" si="197"/>
        <v>2.5</v>
      </c>
      <c r="CF90" s="560">
        <f t="shared" si="198"/>
        <v>2.502887947631883</v>
      </c>
      <c r="CG90" s="560">
        <f>IF(Sheet1!EQ92="CWA",SUM(Sheet1!BC92:'Sheet1'!BF92),0)</f>
        <v>0</v>
      </c>
      <c r="CH90" s="560">
        <f>IF(OR(Sheet1!EQ92="FM", Sheet1!EQ92="OTHER"),SUM(Sheet1!BC92:'Sheet1'!BF92),0)</f>
        <v>0</v>
      </c>
      <c r="CI90" s="545">
        <f>IF(AND($B90&gt;=$FV90,$B90&lt;=$FW90),MAX(CF90,Sheet1!EJ92,0),MAX(CF90-(7/36)*$K90,0))</f>
        <v>0</v>
      </c>
      <c r="CJ90" s="560">
        <f t="shared" si="199"/>
        <v>10.066000941257006</v>
      </c>
      <c r="CK90" s="545">
        <f t="shared" si="200"/>
        <v>2.502887947631883</v>
      </c>
      <c r="CL90" s="545">
        <f>IF(AND($O90&gt;0,Sheet1!EN92=1),(1-($O90-Sheet1!$L92)/$O90)*CF90,0)</f>
        <v>0</v>
      </c>
      <c r="CM90" s="545">
        <f>IF(AND(Sheet1!$L92=0,Sheet1!$L91=0, Calculation!CE90&lt;Sheet1!EJ92-0.1,Sheet1!EJ92=Sheet1!EJ91,Sheet1!EJ92=Sheet1!EJ93),Sheet1!EJ92,CF90-CL90)</f>
        <v>2.502887947631883</v>
      </c>
      <c r="CN90" s="545"/>
      <c r="CO90" s="560"/>
      <c r="CP90" s="560">
        <f t="shared" si="201"/>
        <v>281.68334552177708</v>
      </c>
      <c r="CQ90" s="560"/>
      <c r="CR90" s="560">
        <f ca="1">IF(B90&gt;Summary!$A$1,#N/A,CP90*MGtoAF)</f>
        <v>864.20450406081216</v>
      </c>
      <c r="CS90" s="560">
        <f>Sheet1!BK92+Sheet1!BL92+Sheet1!BM92-Sheet1!ER92-DA90</f>
        <v>6.08</v>
      </c>
      <c r="CT90" s="560">
        <f t="shared" si="202"/>
        <v>6.0870234886407397</v>
      </c>
      <c r="CU90" s="560">
        <f>IF(Sheet1!ER92="FM",DA90,0)</f>
        <v>0</v>
      </c>
      <c r="CV90" s="560">
        <f t="shared" si="203"/>
        <v>0</v>
      </c>
      <c r="CW90" s="560">
        <f>IF(Sheet1!ER92="OTHER",DA90,0)</f>
        <v>0</v>
      </c>
      <c r="CX90" s="560">
        <f t="shared" si="204"/>
        <v>0</v>
      </c>
      <c r="CY90" s="560">
        <f t="shared" si="205"/>
        <v>6.08</v>
      </c>
      <c r="CZ90" s="560">
        <f t="shared" si="206"/>
        <v>6.0870234886407397</v>
      </c>
      <c r="DA90" s="560">
        <f>IF(OR(Sheet1!ER92="FM", Sheet1!ER92="OTHER"),SUM(Sheet1!BK92:'Sheet1'!BM92),0)</f>
        <v>0</v>
      </c>
      <c r="DB90" s="545">
        <f>IF(AND($B90&gt;=$FV90,$B90&lt;=$FW90),MAX($CT90,Sheet1!EK92,0),MAX($CT90-(7/36)*$K90,0))</f>
        <v>0</v>
      </c>
      <c r="DC90" s="560">
        <f t="shared" si="207"/>
        <v>6.4818654002481493</v>
      </c>
      <c r="DD90" s="545">
        <f t="shared" si="208"/>
        <v>6.0870234886407397</v>
      </c>
      <c r="DE90" s="545">
        <f>IF(AND($O90&gt;0,Sheet1!EO92=1),(1-($O90-Sheet1!$L92)/$O90)*CZ90,0)</f>
        <v>0</v>
      </c>
      <c r="DF90" s="545">
        <f>IF(AND(Sheet1!$L92=0,Sheet1!$L91=0, Calculation!CY90&lt;Sheet1!$EK92-0.1,Sheet1!$EK92=Sheet1!$EK91,Sheet1!$EK92=Sheet1!$EK93),Sheet1!$EK92,CZ90-DE90)</f>
        <v>6.0870234886407397</v>
      </c>
      <c r="DG90" s="545"/>
      <c r="DH90" s="560">
        <f t="shared" si="209"/>
        <v>8.58</v>
      </c>
      <c r="DI90" s="560">
        <f t="shared" si="210"/>
        <v>202.78010314104887</v>
      </c>
      <c r="DJ90" s="698">
        <f t="shared" si="211"/>
        <v>8.5899114362726223</v>
      </c>
      <c r="DK90" s="560">
        <f ca="1">IF(B90&gt;Summary!$A$1,#N/A,DI90*MGtoAF)</f>
        <v>622.12935643673791</v>
      </c>
      <c r="DL90" s="698">
        <f t="shared" si="212"/>
        <v>8.58</v>
      </c>
      <c r="DM90" s="560">
        <f t="shared" si="213"/>
        <v>25.97</v>
      </c>
      <c r="DN90" s="560">
        <f>Sheet1!AB92-DM90</f>
        <v>3.0000000000001137E-2</v>
      </c>
      <c r="DO90" s="823">
        <f t="shared" si="214"/>
        <v>1.1551790527532205E-3</v>
      </c>
      <c r="DP90" s="560">
        <f>(VLOOKUP(Sheet1!DC92,hhdcap_wcm,4)-(((VLOOKUP(Sheet1!DC92,hhdcap_wcm,3)-Sheet1!DC92)/(VLOOKUP(Sheet1!DC92,hhdcap_wcm,3)-VLOOKUP(Sheet1!DC92,hhdcap_wcm,1)))*(VLOOKUP(Sheet1!DC92,hhdcap_wcm,4)-VLOOKUP(Sheet1!DC92,hhdcap_wcm,2))))</f>
        <v>19054.40000004684</v>
      </c>
      <c r="DQ90" s="560">
        <f t="shared" si="215"/>
        <v>486.20000000116488</v>
      </c>
      <c r="DR90" s="560">
        <f t="shared" si="216"/>
        <v>245.18406454925105</v>
      </c>
      <c r="DS90" s="560">
        <f>Sheet1!EA92*AFtoMG</f>
        <v>0</v>
      </c>
      <c r="DT90" s="560">
        <f>Sheet1!EB92*AFtoMG</f>
        <v>0</v>
      </c>
      <c r="DU90" s="560">
        <f>Sheet1!EC92*AFtoMG</f>
        <v>0</v>
      </c>
      <c r="DV90" s="560">
        <f>Sheet1!ED92*AFtoMG</f>
        <v>0</v>
      </c>
      <c r="DW90" s="560">
        <f t="shared" si="217"/>
        <v>0</v>
      </c>
      <c r="DX90" s="560">
        <f t="shared" si="218"/>
        <v>0</v>
      </c>
      <c r="DY90" s="560">
        <f t="shared" si="219"/>
        <v>1590.5256708850475</v>
      </c>
      <c r="DZ90" s="560">
        <f t="shared" si="220"/>
        <v>4879.732758275326</v>
      </c>
      <c r="EA90" s="560"/>
      <c r="EB90" s="545">
        <f>IF(OR(B90&lt;FV90,B90&gt;FW90),(MIN(BF90+BY90+CT90+MAX(Sheet1!AA92+AQ90-73,0),K90)),0)</f>
        <v>8.5899114362726223</v>
      </c>
      <c r="EC90" s="560"/>
      <c r="ED90" s="560">
        <f t="shared" si="221"/>
        <v>8.5899114362726223</v>
      </c>
      <c r="EE90" s="560"/>
      <c r="EF90" s="560">
        <f>Sheet1!EH92+Sheet1!EI92+Sheet1!EJ92+Sheet1!EK92</f>
        <v>8.58</v>
      </c>
      <c r="EG90" s="560"/>
      <c r="EH90" s="545">
        <f t="shared" si="222"/>
        <v>0</v>
      </c>
      <c r="EI90" s="560">
        <f>IF(Sheet1!ET92=1,SUM('Calculations II'!AT90:BA90)+'Calculations II'!BC90+Sheet1!BV92+'Calculations II'!BE90+AP90,SUM('Calculations II'!AT90:BA90)+'Calculations II'!BC90+Sheet1!BV92+'Calculations II'!BE90+AP90)</f>
        <v>49.665679999999995</v>
      </c>
      <c r="EJ90" s="560">
        <f>Sheet1!AA92+Sheet1!AB92+'Calculations II'!BC90</f>
        <v>57.045311999999996</v>
      </c>
      <c r="EK90" s="560"/>
      <c r="EL90" s="560"/>
      <c r="EM90" s="560">
        <f t="shared" si="223"/>
        <v>41718</v>
      </c>
      <c r="EN90" s="560">
        <f t="shared" si="224"/>
        <v>56.050088563727378</v>
      </c>
      <c r="EO90" s="560">
        <f t="shared" si="225"/>
        <v>86.709487008086256</v>
      </c>
      <c r="EP90" s="560">
        <v>0</v>
      </c>
      <c r="EQ90" s="560">
        <v>0</v>
      </c>
      <c r="ER90" s="560">
        <v>0</v>
      </c>
      <c r="ES90" s="545">
        <f t="shared" si="247"/>
        <v>-2.216012741600029</v>
      </c>
      <c r="ET90" s="560">
        <f>-(VLOOKUP(Sheet1!BQ92,Lookup!$O$4:$Q$262,2)-VLOOKUP(Sheet1!BQ91,Lookup!$O$4:$Q$262,2))/1000000</f>
        <v>-1.1080063708000145</v>
      </c>
      <c r="EU90" s="560">
        <f>-(VLOOKUP(Sheet1!BR92,Lookup!$O$4:$Q$262,3)-VLOOKUP(Sheet1!BR91,Lookup!$O$4:$Q$262,3))/1000000</f>
        <v>-1.1080063708000145</v>
      </c>
      <c r="EV90" s="560"/>
      <c r="EW90" s="560"/>
      <c r="EX90" s="560"/>
      <c r="EY90" s="560"/>
      <c r="EZ90" s="560"/>
      <c r="FA90" s="560"/>
      <c r="FB90" s="560"/>
      <c r="FC90" s="560"/>
      <c r="FD90" s="594" t="e">
        <f t="shared" si="226"/>
        <v>#N/A</v>
      </c>
      <c r="FE90" s="594" t="e">
        <f t="shared" si="227"/>
        <v>#N/A</v>
      </c>
      <c r="FF90" s="595" t="e">
        <f t="shared" si="228"/>
        <v>#N/A</v>
      </c>
      <c r="FG90" s="596" t="s">
        <v>692</v>
      </c>
      <c r="FH90" s="596" t="s">
        <v>692</v>
      </c>
      <c r="FI90" s="594" t="e">
        <v>#N/A</v>
      </c>
      <c r="FJ90" s="594" t="e">
        <v>#N/A</v>
      </c>
      <c r="FK90" s="560"/>
      <c r="FL90" s="560"/>
      <c r="FM90" s="560"/>
      <c r="FN90" s="560"/>
      <c r="FO90" s="560">
        <f>O90+((Sheet1!CS92)*GPMtoMGD)</f>
        <v>57.045311999999996</v>
      </c>
      <c r="FP90" s="560">
        <f>IF(Sheet1!AA92+AQ90&lt;=Calculation!N90,AQ90,Calculation!N90-Sheet1!AA92)</f>
        <v>16.418944936465152</v>
      </c>
      <c r="FQ90" s="560">
        <f>(Sheet1!BP92+Sheet1!BO92)/694.4</f>
        <v>1.473070276497696</v>
      </c>
      <c r="FR90" s="560"/>
      <c r="FS90" s="560"/>
      <c r="FT90" s="560"/>
      <c r="FU90" s="560"/>
      <c r="FV90" s="695">
        <f t="shared" si="248"/>
        <v>41827</v>
      </c>
      <c r="FW90" s="695">
        <f t="shared" si="249"/>
        <v>41934</v>
      </c>
      <c r="FX90" s="560"/>
      <c r="FY90" s="560"/>
      <c r="FZ90" s="560"/>
      <c r="GA90" s="560"/>
      <c r="GB90" s="560" t="str">
        <f t="shared" si="250"/>
        <v>n</v>
      </c>
      <c r="GC90" s="564">
        <f t="shared" si="251"/>
        <v>41691</v>
      </c>
      <c r="GD90" s="695">
        <f t="shared" si="252"/>
        <v>41807</v>
      </c>
      <c r="GE90" s="560">
        <v>6518.9</v>
      </c>
      <c r="GF90" s="695">
        <f t="shared" si="253"/>
        <v>41808</v>
      </c>
      <c r="GG90" s="560">
        <f t="shared" si="272"/>
        <v>3259</v>
      </c>
      <c r="GH90" s="564">
        <f t="shared" si="254"/>
        <v>41934</v>
      </c>
      <c r="GJ90" s="545">
        <f t="shared" si="255"/>
        <v>0</v>
      </c>
      <c r="GK90" s="560" t="str">
        <f t="shared" si="229"/>
        <v/>
      </c>
      <c r="GL90" s="560">
        <f t="shared" si="256"/>
        <v>0</v>
      </c>
      <c r="GM90" s="560" t="str">
        <f t="shared" si="257"/>
        <v/>
      </c>
      <c r="GN90" s="560">
        <f>IF(GK90="P",Lookup!$M$12,IF(GK90="PP",Lookup!$M$13,IF(GK90="PPP",Lookup!$M$14,IF(GK90="T",Lookup!$M$15,IF(GK90="TP",Lookup!$M$16,IF(GK90="TPP",Lookup!$M$17,IF(GK90="TPPP",Lookup!$M$18,0)))))))*GJ90</f>
        <v>0</v>
      </c>
      <c r="GO90" s="560">
        <f t="shared" si="258"/>
        <v>0</v>
      </c>
      <c r="GP90" s="560">
        <f t="shared" si="230"/>
        <v>2313.6810666666652</v>
      </c>
      <c r="GQ90" s="560">
        <f t="shared" si="266"/>
        <v>754.13333333333287</v>
      </c>
      <c r="GR90" s="560"/>
      <c r="GS90" s="560">
        <f t="shared" si="259"/>
        <v>0</v>
      </c>
      <c r="GT90" s="560" t="str">
        <f t="shared" si="260"/>
        <v/>
      </c>
      <c r="GU90" s="560">
        <f>IF(GK90="P",Lookup!$N$12,IF(GK90="PP",Lookup!$N$13,IF(GK90="PPP",Lookup!$N$14,IF(GK90="T",Lookup!$N$15,IF(GK90="TP",Lookup!$N$16,IF(GK90="TPP",Lookup!$N$17,IF(GK90="TPPP",Lookup!$N$18,0)))))))*GJ90</f>
        <v>0</v>
      </c>
      <c r="GV90" s="560">
        <f t="shared" si="261"/>
        <v>0</v>
      </c>
      <c r="GW90" s="560">
        <f t="shared" si="231"/>
        <v>1079.7178311111109</v>
      </c>
      <c r="GX90" s="560">
        <f t="shared" si="267"/>
        <v>351.92888888888876</v>
      </c>
      <c r="GY90" s="560"/>
      <c r="GZ90" s="560">
        <f t="shared" si="262"/>
        <v>0</v>
      </c>
      <c r="HA90" s="560" t="str">
        <f t="shared" si="263"/>
        <v/>
      </c>
      <c r="HB90" s="560">
        <f>IF(GK90="P",Lookup!$N$12,IF(GK90="PP",Lookup!$N$13,IF(GK90="PPP",Lookup!$N$14,IF(GK90="T",Lookup!$N$15,IF(GK90="TP",Lookup!$N$16,IF(GK90="TPP",Lookup!$N$17,IF(GK90="TPPP",Lookup!$N$18,0)))))))*GJ90</f>
        <v>0</v>
      </c>
      <c r="HC90" s="545">
        <f t="shared" si="232"/>
        <v>0</v>
      </c>
      <c r="HD90" s="560">
        <f t="shared" si="233"/>
        <v>864.20450406081216</v>
      </c>
      <c r="HE90" s="560">
        <f t="shared" si="268"/>
        <v>281.68334552177708</v>
      </c>
      <c r="HF90" s="560"/>
      <c r="HG90" s="560">
        <f t="shared" si="264"/>
        <v>0</v>
      </c>
      <c r="HH90" s="560" t="str">
        <f t="shared" si="265"/>
        <v/>
      </c>
      <c r="HI90" s="560">
        <f>IF(GK90="P",Lookup!$N$12,IF(GK90="PP",Lookup!$N$13,IF(GK90="PPP",Lookup!$N$14,IF(GK90="T",Lookup!$N$15,IF(GK90="TP",Lookup!$N$16,IF(GK90="TPP",Lookup!$N$17,IF(GK90="TPPP",Lookup!$N$18,0)))))))*GJ90</f>
        <v>0</v>
      </c>
      <c r="HJ90" s="545">
        <f t="shared" si="234"/>
        <v>0</v>
      </c>
      <c r="HK90" s="560">
        <f t="shared" si="235"/>
        <v>622.12935643673791</v>
      </c>
      <c r="HL90" s="560">
        <f t="shared" si="269"/>
        <v>202.78010314104887</v>
      </c>
      <c r="HM90" s="560"/>
    </row>
    <row r="91" spans="1:221">
      <c r="A91" s="580" t="s">
        <v>8</v>
      </c>
      <c r="B91" s="556">
        <v>41719</v>
      </c>
      <c r="C91" s="561">
        <v>0</v>
      </c>
      <c r="D91" s="529">
        <f t="shared" si="270"/>
        <v>300</v>
      </c>
      <c r="E91" s="529">
        <f t="shared" si="271"/>
        <v>250</v>
      </c>
      <c r="F91" s="529">
        <v>250</v>
      </c>
      <c r="G91" s="560">
        <f>DR91+Sheet1!CZ93</f>
        <v>1633.7871911255322</v>
      </c>
      <c r="H91" s="914">
        <f t="shared" si="236"/>
        <v>789.11684034354403</v>
      </c>
      <c r="I91" s="559">
        <f>MAX(Sheet1!Z93-AT91+(Sheet1!DA93-E91)*CFStoMGD,0)</f>
        <v>1654.9279999999999</v>
      </c>
      <c r="J91" s="562">
        <f>IF(AND(B91&gt;=Calculation!GC91,B91&lt;=Calculation!GD91),IF(Sheet1!DB93&gt;=Calculation!D91,64.64,0),MAX(Sheet1!Z93-AT91+(Sheet1!DB93-D91)*CFStoMGD,0))</f>
        <v>64.64</v>
      </c>
      <c r="K91" s="904">
        <f t="shared" si="171"/>
        <v>64.64</v>
      </c>
      <c r="L91" s="560">
        <f>Sheet1!AA93+Sheet1!AB93-Sheet1!L93+(Sheet1!DA93-F91)*CFStoMGD</f>
        <v>1628.9279999999999</v>
      </c>
      <c r="M91" s="560">
        <f t="shared" si="172"/>
        <v>1077.2016411504148</v>
      </c>
      <c r="N91" s="910">
        <f>IF(Sheet1!DA93&gt;=F91,MIN(73,MIN(MAX(L91,0),MAX(M91,0))),0)</f>
        <v>73</v>
      </c>
      <c r="O91" s="563">
        <f>Sheet1!AA93+Sheet1!AB93</f>
        <v>46.900000000000006</v>
      </c>
      <c r="P91" s="563">
        <f t="shared" si="173"/>
        <v>72.554299999999998</v>
      </c>
      <c r="Q91" s="898">
        <f t="shared" si="237"/>
        <v>38.38000000000001</v>
      </c>
      <c r="R91" s="829">
        <f t="shared" si="174"/>
        <v>8.5791666666666675</v>
      </c>
      <c r="S91" s="898">
        <f t="shared" si="238"/>
        <v>8.52</v>
      </c>
      <c r="T91" s="898">
        <f t="shared" si="239"/>
        <v>56.120000000000005</v>
      </c>
      <c r="U91" s="898">
        <f t="shared" si="240"/>
        <v>0</v>
      </c>
      <c r="V91" s="898"/>
      <c r="W91" s="898">
        <f t="shared" si="241"/>
        <v>56.060833333333335</v>
      </c>
      <c r="X91" s="898">
        <f t="shared" si="242"/>
        <v>64.64</v>
      </c>
      <c r="Y91" s="898" t="str">
        <f t="shared" si="243"/>
        <v>FALSE</v>
      </c>
      <c r="Z91" s="898">
        <f t="shared" si="244"/>
        <v>46.900000000000006</v>
      </c>
      <c r="AA91" s="898">
        <f t="shared" si="245"/>
        <v>46.900000000000006</v>
      </c>
      <c r="AB91" s="898" t="str">
        <f t="shared" si="246"/>
        <v/>
      </c>
      <c r="AC91" s="563">
        <f>Sheet1!Y93*MGDtoCFS</f>
        <v>32.177599999999998</v>
      </c>
      <c r="AD91" s="563">
        <f>Sheet1!Z93*MGDtoCFS</f>
        <v>40.222000000000001</v>
      </c>
      <c r="AE91" s="563">
        <f>Sheet1!AA93*MGDtoCFS</f>
        <v>32.177599999999998</v>
      </c>
      <c r="AF91" s="563">
        <f>Sheet1!AB93*MGDtoCFS</f>
        <v>40.3767</v>
      </c>
      <c r="AG91" s="563">
        <f>Sheet1!L93*MGDtoCFS</f>
        <v>72.554300000000012</v>
      </c>
      <c r="AH91" s="545">
        <f t="shared" si="175"/>
        <v>0</v>
      </c>
      <c r="AI91" s="560">
        <f t="shared" si="176"/>
        <v>0</v>
      </c>
      <c r="AJ91" s="560">
        <f t="shared" si="177"/>
        <v>56.060833333333335</v>
      </c>
      <c r="AK91" s="560">
        <f t="shared" si="178"/>
        <v>86.72610916666666</v>
      </c>
      <c r="AL91" s="560">
        <f>(VLOOKUP(Sheet1!DC93,hhdcap_wcm,4)-(((VLOOKUP(Sheet1!DC93,hhdcap_wcm,3)-Sheet1!DC93)/(VLOOKUP(Sheet1!DC93,hhdcap_wcm,3)-VLOOKUP(Sheet1!DC93,hhdcap_wcm,1)))*(VLOOKUP(Sheet1!DC93,hhdcap_wcm,4)-VLOOKUP(Sheet1!DC93,hhdcap_wcm,2))))</f>
        <v>19518.000000048771</v>
      </c>
      <c r="AM91" s="560">
        <f t="shared" si="179"/>
        <v>463.60000000193031</v>
      </c>
      <c r="AN91" s="560">
        <f t="shared" si="180"/>
        <v>1646.5865042183809</v>
      </c>
      <c r="AO91" s="560">
        <f t="shared" si="181"/>
        <v>5051.7273949419932</v>
      </c>
      <c r="AP91" s="560">
        <f>Sheet1!BA93+Sheet1!BB93+Sheet1!BN93+CD91</f>
        <v>17.399999999999999</v>
      </c>
      <c r="AQ91" s="560">
        <f>Sheet1!BN93+(DO91*Sheet1!BN93)</f>
        <v>16.513888888888889</v>
      </c>
      <c r="AR91" s="560">
        <f>Sheet1!BA93+CD91</f>
        <v>0</v>
      </c>
      <c r="AS91" s="560">
        <f>Sheet1!BA93+Sheet1!BB93+CD91</f>
        <v>1</v>
      </c>
      <c r="AT91" s="698">
        <f>0</f>
        <v>0</v>
      </c>
      <c r="AU91" s="560">
        <f>IF(EB91&lt;K91,0,MAX(Sheet1!AA93+AQ91-15/36*K91-N91,Sheet1!EH93,0))</f>
        <v>0</v>
      </c>
      <c r="AV91" s="560">
        <f>IF(OR(B91&gt;=GD91,B91&lt;GC91),0,15/36*K91-MAX(0,64.6-(137.6-(Sheet1!AA93+Sheet1!AB93))))</f>
        <v>26.933333333333334</v>
      </c>
      <c r="AW91" s="698">
        <f>Sheet1!DB93-110</f>
        <v>1330</v>
      </c>
      <c r="AX91" s="698">
        <f>Sheet1!DA93-265</f>
        <v>2505</v>
      </c>
      <c r="AY91" s="698">
        <f t="shared" si="182"/>
        <v>34.61999999999999</v>
      </c>
      <c r="AZ91" s="698">
        <v>0</v>
      </c>
      <c r="BA91" s="698">
        <f t="shared" si="183"/>
        <v>0</v>
      </c>
      <c r="BB91" s="560">
        <f t="shared" si="184"/>
        <v>781.06666666666615</v>
      </c>
      <c r="BC91" s="560"/>
      <c r="BD91" s="560">
        <f ca="1">IF(B91&gt;Summary!$A$1,#N/A,BB91*MGtoAF)</f>
        <v>2396.3125333333319</v>
      </c>
      <c r="BE91" s="560">
        <f>Sheet1!BG93+Sheet1!BH93+Sheet1!BI93-BM91</f>
        <v>0</v>
      </c>
      <c r="BF91" s="560">
        <f t="shared" si="185"/>
        <v>0</v>
      </c>
      <c r="BG91" s="560">
        <f>IF(Sheet1!EP93="FM",BM91,0)</f>
        <v>0</v>
      </c>
      <c r="BH91" s="560">
        <f t="shared" si="186"/>
        <v>0</v>
      </c>
      <c r="BI91" s="560">
        <f>IF(Sheet1!EP93="OTHER",BM91,0)</f>
        <v>0</v>
      </c>
      <c r="BJ91" s="560">
        <f t="shared" si="187"/>
        <v>0</v>
      </c>
      <c r="BK91" s="560">
        <f t="shared" si="188"/>
        <v>0</v>
      </c>
      <c r="BL91" s="560">
        <f t="shared" si="189"/>
        <v>0</v>
      </c>
      <c r="BM91" s="560">
        <f>IF(OR(Sheet1!EP93="FM", Sheet1!EP93="OTHER"),SUM(Sheet1!BG93:'Sheet1'!BI93),0)</f>
        <v>0</v>
      </c>
      <c r="BN91" s="545">
        <f>IF(AND($B91&gt;=$FV91,$B91&lt;=$FW91),MAX(BF91,Sheet1!EI93,0),MAX(BF91-(7/36)*$K91,0))</f>
        <v>0</v>
      </c>
      <c r="BO91" s="560">
        <f t="shared" si="190"/>
        <v>12.568888888888889</v>
      </c>
      <c r="BP91" s="545">
        <f t="shared" si="191"/>
        <v>0</v>
      </c>
      <c r="BQ91" s="545">
        <f>IF(AND($O91&gt;0,Sheet1!EM93=1),(1-($O91-Sheet1!$L93)/$O91)*BL91,0)</f>
        <v>0</v>
      </c>
      <c r="BR91" s="545">
        <f>IF(AND(Sheet1!$L93=0,Sheet1!$L92=0, Calculation!BK91&lt;Sheet1!$EI93-0.1,Sheet1!$EI93=Sheet1!$EI92,Sheet1!$EI93=Sheet1!$EI94),Sheet1!$EI93,BL91-BQ91)</f>
        <v>0</v>
      </c>
      <c r="BS91" s="560"/>
      <c r="BT91" s="560"/>
      <c r="BU91" s="560">
        <f t="shared" si="192"/>
        <v>364.49777777777763</v>
      </c>
      <c r="BV91" s="560"/>
      <c r="BW91" s="560">
        <f ca="1">IF(B91&gt;Summary!$A$1,#N/A,BU91*MGtoAF)</f>
        <v>1118.2791822222218</v>
      </c>
      <c r="BX91" s="560">
        <f>Sheet1!BC93+Sheet1!BD93+Sheet1!BE93+Sheet1!BF93-CG91-CH91</f>
        <v>3.13</v>
      </c>
      <c r="BY91" s="560">
        <f t="shared" si="193"/>
        <v>3.1517361111111115</v>
      </c>
      <c r="BZ91" s="560">
        <f>IF(Sheet1!EQ93="FM",CH91,0)</f>
        <v>0</v>
      </c>
      <c r="CA91" s="560">
        <f t="shared" si="194"/>
        <v>0</v>
      </c>
      <c r="CB91" s="560">
        <f>IF(Sheet1!EQ93="OTHER",CH91,0)</f>
        <v>0</v>
      </c>
      <c r="CC91" s="560">
        <f t="shared" si="195"/>
        <v>0</v>
      </c>
      <c r="CD91" s="560">
        <f t="shared" si="196"/>
        <v>0</v>
      </c>
      <c r="CE91" s="560">
        <f t="shared" si="197"/>
        <v>3.13</v>
      </c>
      <c r="CF91" s="560">
        <f t="shared" si="198"/>
        <v>3.1517361111111115</v>
      </c>
      <c r="CG91" s="560">
        <f>IF(Sheet1!EQ93="CWA",SUM(Sheet1!BC93:'Sheet1'!BF93),0)</f>
        <v>0</v>
      </c>
      <c r="CH91" s="560">
        <f>IF(OR(Sheet1!EQ93="FM", Sheet1!EQ93="OTHER"),SUM(Sheet1!BC93:'Sheet1'!BF93),0)</f>
        <v>0</v>
      </c>
      <c r="CI91" s="545">
        <f>IF(AND($B91&gt;=$FV91,$B91&lt;=$FW91),MAX(CF91,Sheet1!EJ93,0),MAX(CF91-(7/36)*$K91,0))</f>
        <v>0</v>
      </c>
      <c r="CJ91" s="560">
        <f t="shared" si="199"/>
        <v>9.4171527777777779</v>
      </c>
      <c r="CK91" s="545">
        <f t="shared" si="200"/>
        <v>3.1517361111111115</v>
      </c>
      <c r="CL91" s="545">
        <f>IF(AND($O91&gt;0,Sheet1!EN93=1),(1-($O91-Sheet1!$L93)/$O91)*CF91,0)</f>
        <v>0</v>
      </c>
      <c r="CM91" s="545">
        <f>IF(AND(Sheet1!$L93=0,Sheet1!$L92=0, Calculation!CE91&lt;Sheet1!EJ93-0.1,Sheet1!EJ93=Sheet1!EJ92,Sheet1!EJ93=Sheet1!EJ94),Sheet1!EJ93,CF91-CL91)</f>
        <v>3.1517361111111115</v>
      </c>
      <c r="CN91" s="545"/>
      <c r="CO91" s="560"/>
      <c r="CP91" s="560">
        <f t="shared" si="201"/>
        <v>291.10049829955489</v>
      </c>
      <c r="CQ91" s="560"/>
      <c r="CR91" s="560">
        <f ca="1">IF(B91&gt;Summary!$A$1,#N/A,CP91*MGtoAF)</f>
        <v>893.09632878303444</v>
      </c>
      <c r="CS91" s="560">
        <f>Sheet1!BK93+Sheet1!BL93+Sheet1!BM93-Sheet1!ER93-DA91</f>
        <v>5.3900000000000006</v>
      </c>
      <c r="CT91" s="560">
        <f t="shared" si="202"/>
        <v>5.4274305555555564</v>
      </c>
      <c r="CU91" s="560">
        <f>IF(Sheet1!ER93="FM",DA91,0)</f>
        <v>0</v>
      </c>
      <c r="CV91" s="560">
        <f t="shared" si="203"/>
        <v>0</v>
      </c>
      <c r="CW91" s="560">
        <f>IF(Sheet1!ER93="OTHER",DA91,0)</f>
        <v>0</v>
      </c>
      <c r="CX91" s="560">
        <f t="shared" si="204"/>
        <v>0</v>
      </c>
      <c r="CY91" s="560">
        <f t="shared" si="205"/>
        <v>5.3900000000000006</v>
      </c>
      <c r="CZ91" s="560">
        <f t="shared" si="206"/>
        <v>5.4274305555555564</v>
      </c>
      <c r="DA91" s="560">
        <f>IF(OR(Sheet1!ER93="FM", Sheet1!ER93="OTHER"),SUM(Sheet1!BK93:'Sheet1'!BM93),0)</f>
        <v>0</v>
      </c>
      <c r="DB91" s="545">
        <f>IF(AND($B91&gt;=$FV91,$B91&lt;=$FW91),MAX($CT91,Sheet1!EK93,0),MAX($CT91-(7/36)*$K91,0))</f>
        <v>0</v>
      </c>
      <c r="DC91" s="560">
        <f t="shared" si="207"/>
        <v>7.1414583333333326</v>
      </c>
      <c r="DD91" s="545">
        <f t="shared" si="208"/>
        <v>5.4274305555555564</v>
      </c>
      <c r="DE91" s="545">
        <f>IF(AND($O91&gt;0,Sheet1!EO93=1),(1-($O91-Sheet1!$L93)/$O91)*CZ91,0)</f>
        <v>0</v>
      </c>
      <c r="DF91" s="545">
        <f>IF(AND(Sheet1!$L93=0,Sheet1!$L92=0, Calculation!CY91&lt;Sheet1!$EK93-0.1,Sheet1!$EK93=Sheet1!$EK92,Sheet1!$EK93=Sheet1!$EK94),Sheet1!$EK93,CZ91-DE91)</f>
        <v>5.4274305555555564</v>
      </c>
      <c r="DG91" s="545"/>
      <c r="DH91" s="560">
        <f t="shared" si="209"/>
        <v>8.52</v>
      </c>
      <c r="DI91" s="560">
        <f t="shared" si="210"/>
        <v>209.9215614743822</v>
      </c>
      <c r="DJ91" s="698">
        <f t="shared" si="211"/>
        <v>8.5791666666666675</v>
      </c>
      <c r="DK91" s="560">
        <f ca="1">IF(B91&gt;Summary!$A$1,#N/A,DI91*MGtoAF)</f>
        <v>644.03935060340461</v>
      </c>
      <c r="DL91" s="698">
        <f t="shared" si="212"/>
        <v>8.52</v>
      </c>
      <c r="DM91" s="560">
        <f t="shared" si="213"/>
        <v>25.919999999999998</v>
      </c>
      <c r="DN91" s="560">
        <f>Sheet1!AB93-DM91</f>
        <v>0.18000000000000327</v>
      </c>
      <c r="DO91" s="823">
        <f t="shared" si="214"/>
        <v>6.9444444444445707E-3</v>
      </c>
      <c r="DP91" s="560">
        <f>(VLOOKUP(Sheet1!DC93,hhdcap_wcm,4)-(((VLOOKUP(Sheet1!DC93,hhdcap_wcm,3)-Sheet1!DC93)/(VLOOKUP(Sheet1!DC93,hhdcap_wcm,3)-VLOOKUP(Sheet1!DC93,hhdcap_wcm,1)))*(VLOOKUP(Sheet1!DC93,hhdcap_wcm,4)-VLOOKUP(Sheet1!DC93,hhdcap_wcm,2))))</f>
        <v>19518.000000048771</v>
      </c>
      <c r="DQ91" s="560">
        <f t="shared" si="215"/>
        <v>463.60000000193031</v>
      </c>
      <c r="DR91" s="560">
        <f t="shared" si="216"/>
        <v>233.78719112553216</v>
      </c>
      <c r="DS91" s="560">
        <f>Sheet1!EA93*AFtoMG</f>
        <v>0</v>
      </c>
      <c r="DT91" s="560">
        <f>Sheet1!EB93*AFtoMG</f>
        <v>0</v>
      </c>
      <c r="DU91" s="560">
        <f>Sheet1!EC93*AFtoMG</f>
        <v>0</v>
      </c>
      <c r="DV91" s="560">
        <f>Sheet1!ED93*AFtoMG</f>
        <v>0</v>
      </c>
      <c r="DW91" s="560">
        <f t="shared" si="217"/>
        <v>0</v>
      </c>
      <c r="DX91" s="560">
        <f t="shared" si="218"/>
        <v>0</v>
      </c>
      <c r="DY91" s="560">
        <f t="shared" si="219"/>
        <v>1646.5865042183809</v>
      </c>
      <c r="DZ91" s="560">
        <f t="shared" si="220"/>
        <v>5051.7273949419932</v>
      </c>
      <c r="EA91" s="560"/>
      <c r="EB91" s="545">
        <f>IF(OR(B91&lt;FV91,B91&gt;FW91),(MIN(BF91+BY91+CT91+MAX(Sheet1!AA93+AQ91-73,0),K91)),0)</f>
        <v>8.5791666666666675</v>
      </c>
      <c r="EC91" s="560"/>
      <c r="ED91" s="560">
        <f t="shared" si="221"/>
        <v>8.5791666666666675</v>
      </c>
      <c r="EE91" s="560"/>
      <c r="EF91" s="560">
        <f>Sheet1!EH93+Sheet1!EI93+Sheet1!EJ93+Sheet1!EK93</f>
        <v>8.52</v>
      </c>
      <c r="EG91" s="560"/>
      <c r="EH91" s="545">
        <f t="shared" si="222"/>
        <v>0</v>
      </c>
      <c r="EI91" s="560">
        <f>IF(Sheet1!ET93=1,SUM('Calculations II'!AT91:BA91)+'Calculations II'!BC91+Sheet1!BV93+'Calculations II'!BE91+AP91,SUM('Calculations II'!AT91:BA91)+'Calculations II'!BC91+Sheet1!BV93+'Calculations II'!BE91+AP91)</f>
        <v>49.362335999999999</v>
      </c>
      <c r="EJ91" s="560">
        <f>Sheet1!AA93+Sheet1!AB93+'Calculations II'!BC91</f>
        <v>57.045376000000005</v>
      </c>
      <c r="EK91" s="560"/>
      <c r="EL91" s="560"/>
      <c r="EM91" s="560">
        <f t="shared" si="223"/>
        <v>41719</v>
      </c>
      <c r="EN91" s="560">
        <f t="shared" si="224"/>
        <v>56.060833333333335</v>
      </c>
      <c r="EO91" s="560">
        <f t="shared" si="225"/>
        <v>86.72610916666666</v>
      </c>
      <c r="EP91" s="560">
        <v>0</v>
      </c>
      <c r="EQ91" s="560">
        <v>0</v>
      </c>
      <c r="ER91" s="560">
        <v>0</v>
      </c>
      <c r="ES91" s="545">
        <f t="shared" si="247"/>
        <v>-2.0782586172993072</v>
      </c>
      <c r="ET91" s="560">
        <f>-(VLOOKUP(Sheet1!BQ93,Lookup!$O$4:$Q$262,2)-VLOOKUP(Sheet1!BQ92,Lookup!$O$4:$Q$262,2))/1000000</f>
        <v>-1.1084165611578674</v>
      </c>
      <c r="EU91" s="560">
        <f>-(VLOOKUP(Sheet1!BR93,Lookup!$O$4:$Q$262,3)-VLOOKUP(Sheet1!BR92,Lookup!$O$4:$Q$262,3))/1000000</f>
        <v>-0.96984205614143981</v>
      </c>
      <c r="EV91" s="560"/>
      <c r="EW91" s="560"/>
      <c r="EX91" s="560"/>
      <c r="EY91" s="560"/>
      <c r="EZ91" s="560"/>
      <c r="FA91" s="560"/>
      <c r="FB91" s="560"/>
      <c r="FC91" s="560"/>
      <c r="FD91" s="594" t="e">
        <f t="shared" si="226"/>
        <v>#N/A</v>
      </c>
      <c r="FE91" s="594" t="e">
        <f t="shared" si="227"/>
        <v>#N/A</v>
      </c>
      <c r="FF91" s="595" t="e">
        <f t="shared" si="228"/>
        <v>#N/A</v>
      </c>
      <c r="FG91" s="596" t="s">
        <v>692</v>
      </c>
      <c r="FH91" s="596" t="s">
        <v>692</v>
      </c>
      <c r="FI91" s="594" t="e">
        <v>#N/A</v>
      </c>
      <c r="FJ91" s="594" t="e">
        <v>#N/A</v>
      </c>
      <c r="FK91" s="560"/>
      <c r="FL91" s="560"/>
      <c r="FM91" s="560"/>
      <c r="FN91" s="560"/>
      <c r="FO91" s="560">
        <f>O91+((Sheet1!CS93)*GPMtoMGD)</f>
        <v>57.045376000000005</v>
      </c>
      <c r="FP91" s="560">
        <f>IF(Sheet1!AA93+AQ91&lt;=Calculation!N91,AQ91,Calculation!N91-Sheet1!AA93)</f>
        <v>16.513888888888889</v>
      </c>
      <c r="FQ91" s="560">
        <f>(Sheet1!BP93+Sheet1!BO93)/694.4</f>
        <v>1.4164746543778803</v>
      </c>
      <c r="FR91" s="560"/>
      <c r="FS91" s="560"/>
      <c r="FT91" s="560"/>
      <c r="FU91" s="560"/>
      <c r="FV91" s="695">
        <f t="shared" si="248"/>
        <v>41827</v>
      </c>
      <c r="FW91" s="695">
        <f t="shared" si="249"/>
        <v>41934</v>
      </c>
      <c r="FX91" s="560"/>
      <c r="FY91" s="560"/>
      <c r="FZ91" s="560"/>
      <c r="GA91" s="560"/>
      <c r="GB91" s="560" t="str">
        <f t="shared" si="250"/>
        <v>n</v>
      </c>
      <c r="GC91" s="564">
        <f t="shared" si="251"/>
        <v>41691</v>
      </c>
      <c r="GD91" s="695">
        <f t="shared" si="252"/>
        <v>41807</v>
      </c>
      <c r="GE91" s="560">
        <v>6518.9</v>
      </c>
      <c r="GF91" s="695">
        <f t="shared" si="253"/>
        <v>41808</v>
      </c>
      <c r="GG91" s="560">
        <f t="shared" si="272"/>
        <v>3259</v>
      </c>
      <c r="GH91" s="564">
        <f t="shared" si="254"/>
        <v>41934</v>
      </c>
      <c r="GJ91" s="545">
        <f t="shared" si="255"/>
        <v>0</v>
      </c>
      <c r="GK91" s="560" t="str">
        <f t="shared" si="229"/>
        <v/>
      </c>
      <c r="GL91" s="560">
        <f t="shared" si="256"/>
        <v>0</v>
      </c>
      <c r="GM91" s="560" t="str">
        <f t="shared" si="257"/>
        <v/>
      </c>
      <c r="GN91" s="560">
        <f>IF(GK91="P",Lookup!$M$12,IF(GK91="PP",Lookup!$M$13,IF(GK91="PPP",Lookup!$M$14,IF(GK91="T",Lookup!$M$15,IF(GK91="TP",Lookup!$M$16,IF(GK91="TPP",Lookup!$M$17,IF(GK91="TPPP",Lookup!$M$18,0)))))))*GJ91</f>
        <v>0</v>
      </c>
      <c r="GO91" s="560">
        <f t="shared" si="258"/>
        <v>0</v>
      </c>
      <c r="GP91" s="560">
        <f t="shared" si="230"/>
        <v>2396.3125333333319</v>
      </c>
      <c r="GQ91" s="560">
        <f t="shared" si="266"/>
        <v>781.06666666666615</v>
      </c>
      <c r="GR91" s="560"/>
      <c r="GS91" s="560">
        <f t="shared" si="259"/>
        <v>0</v>
      </c>
      <c r="GT91" s="560" t="str">
        <f t="shared" si="260"/>
        <v/>
      </c>
      <c r="GU91" s="560">
        <f>IF(GK91="P",Lookup!$N$12,IF(GK91="PP",Lookup!$N$13,IF(GK91="PPP",Lookup!$N$14,IF(GK91="T",Lookup!$N$15,IF(GK91="TP",Lookup!$N$16,IF(GK91="TPP",Lookup!$N$17,IF(GK91="TPPP",Lookup!$N$18,0)))))))*GJ91</f>
        <v>0</v>
      </c>
      <c r="GV91" s="560">
        <f t="shared" si="261"/>
        <v>0</v>
      </c>
      <c r="GW91" s="560">
        <f t="shared" si="231"/>
        <v>1118.2791822222218</v>
      </c>
      <c r="GX91" s="560">
        <f t="shared" si="267"/>
        <v>364.49777777777763</v>
      </c>
      <c r="GY91" s="560"/>
      <c r="GZ91" s="560">
        <f t="shared" si="262"/>
        <v>0</v>
      </c>
      <c r="HA91" s="560" t="str">
        <f t="shared" si="263"/>
        <v/>
      </c>
      <c r="HB91" s="560">
        <f>IF(GK91="P",Lookup!$N$12,IF(GK91="PP",Lookup!$N$13,IF(GK91="PPP",Lookup!$N$14,IF(GK91="T",Lookup!$N$15,IF(GK91="TP",Lookup!$N$16,IF(GK91="TPP",Lookup!$N$17,IF(GK91="TPPP",Lookup!$N$18,0)))))))*GJ91</f>
        <v>0</v>
      </c>
      <c r="HC91" s="545">
        <f t="shared" si="232"/>
        <v>0</v>
      </c>
      <c r="HD91" s="560">
        <f t="shared" si="233"/>
        <v>893.09632878303444</v>
      </c>
      <c r="HE91" s="560">
        <f t="shared" si="268"/>
        <v>291.10049829955489</v>
      </c>
      <c r="HF91" s="560"/>
      <c r="HG91" s="560">
        <f t="shared" si="264"/>
        <v>0</v>
      </c>
      <c r="HH91" s="560" t="str">
        <f t="shared" si="265"/>
        <v/>
      </c>
      <c r="HI91" s="560">
        <f>IF(GK91="P",Lookup!$N$12,IF(GK91="PP",Lookup!$N$13,IF(GK91="PPP",Lookup!$N$14,IF(GK91="T",Lookup!$N$15,IF(GK91="TP",Lookup!$N$16,IF(GK91="TPP",Lookup!$N$17,IF(GK91="TPPP",Lookup!$N$18,0)))))))*GJ91</f>
        <v>0</v>
      </c>
      <c r="HJ91" s="545">
        <f t="shared" si="234"/>
        <v>0</v>
      </c>
      <c r="HK91" s="560">
        <f t="shared" si="235"/>
        <v>644.03935060340461</v>
      </c>
      <c r="HL91" s="560">
        <f t="shared" si="269"/>
        <v>209.9215614743822</v>
      </c>
      <c r="HM91" s="560"/>
    </row>
    <row r="92" spans="1:221">
      <c r="A92" s="580" t="s">
        <v>9</v>
      </c>
      <c r="B92" s="556">
        <v>41720</v>
      </c>
      <c r="C92" s="561">
        <v>0</v>
      </c>
      <c r="D92" s="529">
        <f t="shared" si="270"/>
        <v>300</v>
      </c>
      <c r="E92" s="529">
        <f t="shared" si="271"/>
        <v>250</v>
      </c>
      <c r="F92" s="529">
        <v>250</v>
      </c>
      <c r="G92" s="560">
        <f>DR92+Sheet1!CZ94</f>
        <v>1564.3973777106901</v>
      </c>
      <c r="H92" s="914">
        <f t="shared" si="236"/>
        <v>744.26326495219007</v>
      </c>
      <c r="I92" s="559">
        <f>MAX(Sheet1!Z94-AT92+(Sheet1!DA94-E92)*CFStoMGD,0)</f>
        <v>1577.4599999999998</v>
      </c>
      <c r="J92" s="562">
        <f>IF(AND(B92&gt;=Calculation!GC92,B92&lt;=Calculation!GD92),IF(Sheet1!DB94&gt;=Calculation!D92,64.64,0),MAX(Sheet1!Z94-AT92+(Sheet1!DB94-D92)*CFStoMGD,0))</f>
        <v>64.64</v>
      </c>
      <c r="K92" s="904">
        <f t="shared" si="171"/>
        <v>64.64</v>
      </c>
      <c r="L92" s="560">
        <f>Sheet1!AA94+Sheet1!AB94-Sheet1!L94+(Sheet1!DA94-F92)*CFStoMGD</f>
        <v>1551.36</v>
      </c>
      <c r="M92" s="560">
        <f t="shared" si="172"/>
        <v>1031.4509942512339</v>
      </c>
      <c r="N92" s="910">
        <f>IF(Sheet1!DA94&gt;=F92,MIN(73,MIN(MAX(L92,0),MAX(M92,0))),0)</f>
        <v>73</v>
      </c>
      <c r="O92" s="563">
        <f>Sheet1!AA94+Sheet1!AB94</f>
        <v>46.599999999999994</v>
      </c>
      <c r="P92" s="563">
        <f t="shared" si="173"/>
        <v>72.090199999999996</v>
      </c>
      <c r="Q92" s="898">
        <f t="shared" si="237"/>
        <v>37.929999999999993</v>
      </c>
      <c r="R92" s="829">
        <f t="shared" si="174"/>
        <v>8.6134637514384345</v>
      </c>
      <c r="S92" s="898">
        <f t="shared" si="238"/>
        <v>8.67</v>
      </c>
      <c r="T92" s="898">
        <f t="shared" si="239"/>
        <v>55.97</v>
      </c>
      <c r="U92" s="898">
        <f t="shared" si="240"/>
        <v>0</v>
      </c>
      <c r="V92" s="898"/>
      <c r="W92" s="898">
        <f t="shared" si="241"/>
        <v>56.02653624856157</v>
      </c>
      <c r="X92" s="898">
        <f t="shared" si="242"/>
        <v>64.64</v>
      </c>
      <c r="Y92" s="898" t="str">
        <f t="shared" si="243"/>
        <v>FALSE</v>
      </c>
      <c r="Z92" s="898">
        <f t="shared" si="244"/>
        <v>46.599999999999994</v>
      </c>
      <c r="AA92" s="898">
        <f t="shared" si="245"/>
        <v>46.599999999999994</v>
      </c>
      <c r="AB92" s="898" t="str">
        <f t="shared" si="246"/>
        <v/>
      </c>
      <c r="AC92" s="563">
        <f>Sheet1!Y94*MGDtoCFS</f>
        <v>32.177599999999998</v>
      </c>
      <c r="AD92" s="563">
        <f>Sheet1!Z94*MGDtoCFS</f>
        <v>40.3767</v>
      </c>
      <c r="AE92" s="563">
        <f>Sheet1!AA94*MGDtoCFS</f>
        <v>32.0229</v>
      </c>
      <c r="AF92" s="563">
        <f>Sheet1!AB94*MGDtoCFS</f>
        <v>40.067299999999996</v>
      </c>
      <c r="AG92" s="563">
        <f>Sheet1!L94*MGDtoCFS</f>
        <v>72.090199999999982</v>
      </c>
      <c r="AH92" s="545">
        <f t="shared" si="175"/>
        <v>0</v>
      </c>
      <c r="AI92" s="560">
        <f t="shared" si="176"/>
        <v>0</v>
      </c>
      <c r="AJ92" s="560">
        <f t="shared" si="177"/>
        <v>56.02653624856157</v>
      </c>
      <c r="AK92" s="560">
        <f t="shared" si="178"/>
        <v>86.673051576524742</v>
      </c>
      <c r="AL92" s="560">
        <f>(VLOOKUP(Sheet1!DC94,hhdcap_wcm,4)-(((VLOOKUP(Sheet1!DC94,hhdcap_wcm,3)-Sheet1!DC94)/(VLOOKUP(Sheet1!DC94,hhdcap_wcm,3)-VLOOKUP(Sheet1!DC94,hhdcap_wcm,1)))*(VLOOKUP(Sheet1!DC94,hhdcap_wcm,4)-VLOOKUP(Sheet1!DC94,hhdcap_wcm,2))))</f>
        <v>19844.000000049069</v>
      </c>
      <c r="AM92" s="560">
        <f t="shared" si="179"/>
        <v>326.00000000029831</v>
      </c>
      <c r="AN92" s="560">
        <f t="shared" si="180"/>
        <v>1702.6130404669423</v>
      </c>
      <c r="AO92" s="560">
        <f t="shared" si="181"/>
        <v>5223.6168081525793</v>
      </c>
      <c r="AP92" s="560">
        <f>Sheet1!BA94+Sheet1!BB94+Sheet1!BN94+CD92</f>
        <v>17.399999999999999</v>
      </c>
      <c r="AQ92" s="560">
        <f>Sheet1!BN94+(DO92*Sheet1!BN94)</f>
        <v>16.293057153816644</v>
      </c>
      <c r="AR92" s="560">
        <f>Sheet1!BA94+CD92</f>
        <v>0</v>
      </c>
      <c r="AS92" s="560">
        <f>Sheet1!BA94+Sheet1!BB94+CD92</f>
        <v>1</v>
      </c>
      <c r="AT92" s="698">
        <f>0</f>
        <v>0</v>
      </c>
      <c r="AU92" s="560">
        <f>IF(EB92&lt;K92,0,MAX(Sheet1!AA94+AQ92-15/36*K92-N92,Sheet1!EH94,0))</f>
        <v>0</v>
      </c>
      <c r="AV92" s="560">
        <f>IF(OR(B92&gt;=GD92,B92&lt;GC92),0,15/36*K92-MAX(0,64.6-(137.6-(Sheet1!AA94+Sheet1!AB94))))</f>
        <v>26.933333333333334</v>
      </c>
      <c r="AW92" s="698">
        <f>Sheet1!DB94-110</f>
        <v>1300</v>
      </c>
      <c r="AX92" s="698">
        <f>Sheet1!DA94-265</f>
        <v>2385</v>
      </c>
      <c r="AY92" s="698">
        <f t="shared" si="182"/>
        <v>35.070000000000007</v>
      </c>
      <c r="AZ92" s="698">
        <v>0</v>
      </c>
      <c r="BA92" s="698">
        <f t="shared" si="183"/>
        <v>0</v>
      </c>
      <c r="BB92" s="560">
        <f t="shared" si="184"/>
        <v>807.99999999999943</v>
      </c>
      <c r="BC92" s="560"/>
      <c r="BD92" s="560">
        <f ca="1">IF(B92&gt;Summary!$A$1,#N/A,BB92*MGtoAF)</f>
        <v>2478.9439999999981</v>
      </c>
      <c r="BE92" s="560">
        <f>Sheet1!BG94+Sheet1!BH94+Sheet1!BI94-BM92</f>
        <v>0</v>
      </c>
      <c r="BF92" s="560">
        <f t="shared" si="185"/>
        <v>0</v>
      </c>
      <c r="BG92" s="560">
        <f>IF(Sheet1!EP94="FM",BM92,0)</f>
        <v>0</v>
      </c>
      <c r="BH92" s="560">
        <f t="shared" si="186"/>
        <v>0</v>
      </c>
      <c r="BI92" s="560">
        <f>IF(Sheet1!EP94="OTHER",BM92,0)</f>
        <v>0</v>
      </c>
      <c r="BJ92" s="560">
        <f t="shared" si="187"/>
        <v>0</v>
      </c>
      <c r="BK92" s="560">
        <f t="shared" si="188"/>
        <v>0</v>
      </c>
      <c r="BL92" s="560">
        <f t="shared" si="189"/>
        <v>0</v>
      </c>
      <c r="BM92" s="560">
        <f>IF(OR(Sheet1!EP94="FM", Sheet1!EP94="OTHER"),SUM(Sheet1!BG94:'Sheet1'!BI94),0)</f>
        <v>0</v>
      </c>
      <c r="BN92" s="545">
        <f>IF(AND($B92&gt;=$FV92,$B92&lt;=$FW92),MAX(BF92,Sheet1!EI94,0),MAX(BF92-(7/36)*$K92,0))</f>
        <v>0</v>
      </c>
      <c r="BO92" s="560">
        <f t="shared" si="190"/>
        <v>12.568888888888889</v>
      </c>
      <c r="BP92" s="545">
        <f t="shared" si="191"/>
        <v>0</v>
      </c>
      <c r="BQ92" s="545">
        <f>IF(AND($O92&gt;0,Sheet1!EM94=1),(1-($O92-Sheet1!$L94)/$O92)*BL92,0)</f>
        <v>0</v>
      </c>
      <c r="BR92" s="545">
        <f>IF(AND(Sheet1!$L94=0,Sheet1!$L93=0, Calculation!BK92&lt;Sheet1!$EI94-0.1,Sheet1!$EI94=Sheet1!$EI93,Sheet1!$EI94=Sheet1!$EI95),Sheet1!$EI94,BL92-BQ92)</f>
        <v>0</v>
      </c>
      <c r="BS92" s="560"/>
      <c r="BT92" s="560"/>
      <c r="BU92" s="560">
        <f t="shared" si="192"/>
        <v>377.06666666666649</v>
      </c>
      <c r="BV92" s="560"/>
      <c r="BW92" s="560">
        <f ca="1">IF(B92&gt;Summary!$A$1,#N/A,BU92*MGtoAF)</f>
        <v>1156.8405333333328</v>
      </c>
      <c r="BX92" s="560">
        <f>Sheet1!BC94+Sheet1!BD94+Sheet1!BE94+Sheet1!BF94-CG92-CH92</f>
        <v>3.5</v>
      </c>
      <c r="BY92" s="560">
        <f t="shared" si="193"/>
        <v>3.4771768316072111</v>
      </c>
      <c r="BZ92" s="560">
        <f>IF(Sheet1!EQ94="FM",CH92,0)</f>
        <v>0</v>
      </c>
      <c r="CA92" s="560">
        <f t="shared" si="194"/>
        <v>0</v>
      </c>
      <c r="CB92" s="560">
        <f>IF(Sheet1!EQ94="OTHER",CH92,0)</f>
        <v>0</v>
      </c>
      <c r="CC92" s="560">
        <f t="shared" si="195"/>
        <v>0</v>
      </c>
      <c r="CD92" s="560">
        <f t="shared" si="196"/>
        <v>0</v>
      </c>
      <c r="CE92" s="560">
        <f t="shared" si="197"/>
        <v>3.5</v>
      </c>
      <c r="CF92" s="560">
        <f t="shared" si="198"/>
        <v>3.4771768316072111</v>
      </c>
      <c r="CG92" s="560">
        <f>IF(Sheet1!EQ94="CWA",SUM(Sheet1!BC94:'Sheet1'!BF94),0)</f>
        <v>0</v>
      </c>
      <c r="CH92" s="560">
        <f>IF(OR(Sheet1!EQ94="FM", Sheet1!EQ94="OTHER"),SUM(Sheet1!BC94:'Sheet1'!BF94),0)</f>
        <v>0</v>
      </c>
      <c r="CI92" s="545">
        <f>IF(AND($B92&gt;=$FV92,$B92&lt;=$FW92),MAX(CF92,Sheet1!EJ94,0),MAX(CF92-(7/36)*$K92,0))</f>
        <v>0</v>
      </c>
      <c r="CJ92" s="560">
        <f t="shared" si="199"/>
        <v>9.0917120572816774</v>
      </c>
      <c r="CK92" s="545">
        <f t="shared" si="200"/>
        <v>3.4771768316072111</v>
      </c>
      <c r="CL92" s="545">
        <f>IF(AND($O92&gt;0,Sheet1!EN94=1),(1-($O92-Sheet1!$L94)/$O92)*CF92,0)</f>
        <v>0</v>
      </c>
      <c r="CM92" s="545">
        <f>IF(AND(Sheet1!$L94=0,Sheet1!$L93=0, Calculation!CE92&lt;Sheet1!EJ94-0.1,Sheet1!EJ94=Sheet1!EJ93,Sheet1!EJ94=Sheet1!EJ95),Sheet1!EJ94,CF92-CL92)</f>
        <v>3.4771768316072111</v>
      </c>
      <c r="CN92" s="545"/>
      <c r="CO92" s="560"/>
      <c r="CP92" s="560">
        <f t="shared" si="201"/>
        <v>300.19221035683654</v>
      </c>
      <c r="CQ92" s="560"/>
      <c r="CR92" s="560">
        <f ca="1">IF(B92&gt;Summary!$A$1,#N/A,CP92*MGtoAF)</f>
        <v>920.98970137477454</v>
      </c>
      <c r="CS92" s="560">
        <f>Sheet1!BK94+Sheet1!BL94+Sheet1!BM94-Sheet1!ER94-DA92</f>
        <v>5.17</v>
      </c>
      <c r="CT92" s="560">
        <f t="shared" si="202"/>
        <v>5.1362869198312229</v>
      </c>
      <c r="CU92" s="560">
        <f>IF(Sheet1!ER94="FM",DA92,0)</f>
        <v>0</v>
      </c>
      <c r="CV92" s="560">
        <f t="shared" si="203"/>
        <v>0</v>
      </c>
      <c r="CW92" s="560">
        <f>IF(Sheet1!ER94="OTHER",DA92,0)</f>
        <v>0</v>
      </c>
      <c r="CX92" s="560">
        <f t="shared" si="204"/>
        <v>0</v>
      </c>
      <c r="CY92" s="560">
        <f t="shared" si="205"/>
        <v>5.17</v>
      </c>
      <c r="CZ92" s="560">
        <f t="shared" si="206"/>
        <v>5.1362869198312229</v>
      </c>
      <c r="DA92" s="560">
        <f>IF(OR(Sheet1!ER94="FM", Sheet1!ER94="OTHER"),SUM(Sheet1!BK94:'Sheet1'!BM94),0)</f>
        <v>0</v>
      </c>
      <c r="DB92" s="545">
        <f>IF(AND($B92&gt;=$FV92,$B92&lt;=$FW92),MAX($CT92,Sheet1!EK94,0),MAX($CT92-(7/36)*$K92,0))</f>
        <v>0</v>
      </c>
      <c r="DC92" s="560">
        <f t="shared" si="207"/>
        <v>7.4326019690576661</v>
      </c>
      <c r="DD92" s="545">
        <f t="shared" si="208"/>
        <v>5.1362869198312229</v>
      </c>
      <c r="DE92" s="545">
        <f>IF(AND($O92&gt;0,Sheet1!EO94=1),(1-($O92-Sheet1!$L94)/$O92)*CZ92,0)</f>
        <v>0</v>
      </c>
      <c r="DF92" s="545">
        <f>IF(AND(Sheet1!$L94=0,Sheet1!$L93=0, Calculation!CY92&lt;Sheet1!$EK94-0.1,Sheet1!$EK94=Sheet1!$EK93,Sheet1!$EK94=Sheet1!$EK95),Sheet1!$EK94,CZ92-DE92)</f>
        <v>5.1362869198312229</v>
      </c>
      <c r="DG92" s="545"/>
      <c r="DH92" s="560">
        <f t="shared" si="209"/>
        <v>8.67</v>
      </c>
      <c r="DI92" s="560">
        <f t="shared" si="210"/>
        <v>217.35416344343986</v>
      </c>
      <c r="DJ92" s="698">
        <f t="shared" si="211"/>
        <v>8.6134637514384345</v>
      </c>
      <c r="DK92" s="560">
        <f ca="1">IF(B92&gt;Summary!$A$1,#N/A,DI92*MGtoAF)</f>
        <v>666.84257344447349</v>
      </c>
      <c r="DL92" s="698">
        <f t="shared" si="212"/>
        <v>8.67</v>
      </c>
      <c r="DM92" s="560">
        <f t="shared" si="213"/>
        <v>26.07</v>
      </c>
      <c r="DN92" s="560">
        <f>Sheet1!AB94-DM92</f>
        <v>-0.17000000000000171</v>
      </c>
      <c r="DO92" s="823">
        <f t="shared" si="214"/>
        <v>-6.5209052550825354E-3</v>
      </c>
      <c r="DP92" s="560">
        <f>(VLOOKUP(Sheet1!DC94,hhdcap_wcm,4)-(((VLOOKUP(Sheet1!DC94,hhdcap_wcm,3)-Sheet1!DC94)/(VLOOKUP(Sheet1!DC94,hhdcap_wcm,3)-VLOOKUP(Sheet1!DC94,hhdcap_wcm,1)))*(VLOOKUP(Sheet1!DC94,hhdcap_wcm,4)-VLOOKUP(Sheet1!DC94,hhdcap_wcm,2))))</f>
        <v>19844.000000049069</v>
      </c>
      <c r="DQ92" s="560">
        <f t="shared" si="215"/>
        <v>326.00000000029831</v>
      </c>
      <c r="DR92" s="560">
        <f t="shared" si="216"/>
        <v>164.39737771068999</v>
      </c>
      <c r="DS92" s="560">
        <f>Sheet1!EA94*AFtoMG</f>
        <v>0</v>
      </c>
      <c r="DT92" s="560">
        <f>Sheet1!EB94*AFtoMG</f>
        <v>0</v>
      </c>
      <c r="DU92" s="560">
        <f>Sheet1!EC94*AFtoMG</f>
        <v>0</v>
      </c>
      <c r="DV92" s="560">
        <f>Sheet1!ED94*AFtoMG</f>
        <v>0</v>
      </c>
      <c r="DW92" s="560">
        <f t="shared" si="217"/>
        <v>0</v>
      </c>
      <c r="DX92" s="560">
        <f t="shared" si="218"/>
        <v>0</v>
      </c>
      <c r="DY92" s="560">
        <f t="shared" si="219"/>
        <v>1702.6130404669423</v>
      </c>
      <c r="DZ92" s="560">
        <f t="shared" si="220"/>
        <v>5223.6168081525793</v>
      </c>
      <c r="EA92" s="560"/>
      <c r="EB92" s="545">
        <f>IF(OR(B92&lt;FV92,B92&gt;FW92),(MIN(BF92+BY92+CT92+MAX(Sheet1!AA94+AQ92-73,0),K92)),0)</f>
        <v>8.6134637514384345</v>
      </c>
      <c r="EC92" s="560"/>
      <c r="ED92" s="560">
        <f t="shared" si="221"/>
        <v>8.6134637514384345</v>
      </c>
      <c r="EE92" s="560"/>
      <c r="EF92" s="560">
        <f>Sheet1!EH94+Sheet1!EI94+Sheet1!EJ94+Sheet1!EK94</f>
        <v>8.67</v>
      </c>
      <c r="EG92" s="560"/>
      <c r="EH92" s="545">
        <f t="shared" si="222"/>
        <v>0</v>
      </c>
      <c r="EI92" s="560">
        <f>IF(Sheet1!ET94=1,SUM('Calculations II'!AT92:BA92)+'Calculations II'!BC92+Sheet1!BV94+'Calculations II'!BE92+AP92,SUM('Calculations II'!AT92:BA92)+'Calculations II'!BC92+Sheet1!BV94+'Calculations II'!BE92+AP92)</f>
        <v>49.411648</v>
      </c>
      <c r="EJ92" s="560">
        <f>Sheet1!AA94+Sheet1!AB94+'Calculations II'!BC92</f>
        <v>52.165023999999995</v>
      </c>
      <c r="EK92" s="560"/>
      <c r="EL92" s="560"/>
      <c r="EM92" s="560">
        <f t="shared" si="223"/>
        <v>41720</v>
      </c>
      <c r="EN92" s="560">
        <f t="shared" si="224"/>
        <v>56.02653624856157</v>
      </c>
      <c r="EO92" s="560">
        <f t="shared" si="225"/>
        <v>86.673051576524742</v>
      </c>
      <c r="EP92" s="560">
        <v>0</v>
      </c>
      <c r="EQ92" s="560">
        <v>0</v>
      </c>
      <c r="ER92" s="560">
        <v>0</v>
      </c>
      <c r="ES92" s="545">
        <f t="shared" si="247"/>
        <v>2.3553050714659056</v>
      </c>
      <c r="ET92" s="560">
        <f>-(VLOOKUP(Sheet1!BQ94,Lookup!$O$4:$Q$262,2)-VLOOKUP(Sheet1!BQ93,Lookup!$O$4:$Q$262,2))/1000000</f>
        <v>1.2469397882411666</v>
      </c>
      <c r="EU92" s="560">
        <f>-(VLOOKUP(Sheet1!BR94,Lookup!$O$4:$Q$262,3)-VLOOKUP(Sheet1!BR93,Lookup!$O$4:$Q$262,3))/1000000</f>
        <v>1.108365283224739</v>
      </c>
      <c r="EV92" s="560"/>
      <c r="EW92" s="560"/>
      <c r="EX92" s="560"/>
      <c r="EY92" s="560"/>
      <c r="EZ92" s="560"/>
      <c r="FA92" s="560"/>
      <c r="FB92" s="560"/>
      <c r="FC92" s="560"/>
      <c r="FD92" s="594" t="e">
        <f t="shared" si="226"/>
        <v>#N/A</v>
      </c>
      <c r="FE92" s="594" t="e">
        <f t="shared" si="227"/>
        <v>#N/A</v>
      </c>
      <c r="FF92" s="595" t="e">
        <f t="shared" si="228"/>
        <v>#N/A</v>
      </c>
      <c r="FG92" s="596" t="s">
        <v>692</v>
      </c>
      <c r="FH92" s="596" t="s">
        <v>692</v>
      </c>
      <c r="FI92" s="594" t="e">
        <v>#N/A</v>
      </c>
      <c r="FJ92" s="594" t="e">
        <v>#N/A</v>
      </c>
      <c r="FK92" s="560"/>
      <c r="FL92" s="560"/>
      <c r="FM92" s="560"/>
      <c r="FN92" s="560"/>
      <c r="FO92" s="560">
        <f>O92+((Sheet1!CS94)*GPMtoMGD)</f>
        <v>52.165023999999995</v>
      </c>
      <c r="FP92" s="560">
        <f>IF(Sheet1!AA94+AQ92&lt;=Calculation!N92,AQ92,Calculation!N92-Sheet1!AA94)</f>
        <v>16.293057153816644</v>
      </c>
      <c r="FQ92" s="560">
        <f>(Sheet1!BP94+Sheet1!BO94)/694.4</f>
        <v>1.5509792626728112</v>
      </c>
      <c r="FR92" s="560"/>
      <c r="FS92" s="560"/>
      <c r="FT92" s="560"/>
      <c r="FU92" s="560"/>
      <c r="FV92" s="695">
        <f t="shared" si="248"/>
        <v>41827</v>
      </c>
      <c r="FW92" s="695">
        <f t="shared" si="249"/>
        <v>41934</v>
      </c>
      <c r="FX92" s="560"/>
      <c r="FY92" s="560"/>
      <c r="FZ92" s="560"/>
      <c r="GA92" s="560"/>
      <c r="GB92" s="560" t="str">
        <f t="shared" si="250"/>
        <v>n</v>
      </c>
      <c r="GC92" s="564">
        <f t="shared" si="251"/>
        <v>41691</v>
      </c>
      <c r="GD92" s="695">
        <f t="shared" si="252"/>
        <v>41807</v>
      </c>
      <c r="GE92" s="560">
        <v>6518.9</v>
      </c>
      <c r="GF92" s="695">
        <f t="shared" si="253"/>
        <v>41808</v>
      </c>
      <c r="GG92" s="560">
        <f t="shared" si="272"/>
        <v>3259</v>
      </c>
      <c r="GH92" s="564">
        <f t="shared" si="254"/>
        <v>41934</v>
      </c>
      <c r="GJ92" s="545">
        <f t="shared" si="255"/>
        <v>0</v>
      </c>
      <c r="GK92" s="560" t="str">
        <f t="shared" si="229"/>
        <v/>
      </c>
      <c r="GL92" s="560">
        <f t="shared" si="256"/>
        <v>0</v>
      </c>
      <c r="GM92" s="560" t="str">
        <f t="shared" si="257"/>
        <v/>
      </c>
      <c r="GN92" s="560">
        <f>IF(GK92="P",Lookup!$M$12,IF(GK92="PP",Lookup!$M$13,IF(GK92="PPP",Lookup!$M$14,IF(GK92="T",Lookup!$M$15,IF(GK92="TP",Lookup!$M$16,IF(GK92="TPP",Lookup!$M$17,IF(GK92="TPPP",Lookup!$M$18,0)))))))*GJ92</f>
        <v>0</v>
      </c>
      <c r="GO92" s="560">
        <f t="shared" si="258"/>
        <v>0</v>
      </c>
      <c r="GP92" s="560">
        <f t="shared" si="230"/>
        <v>2478.9439999999981</v>
      </c>
      <c r="GQ92" s="560">
        <f t="shared" si="266"/>
        <v>807.99999999999943</v>
      </c>
      <c r="GR92" s="560"/>
      <c r="GS92" s="560">
        <f t="shared" si="259"/>
        <v>0</v>
      </c>
      <c r="GT92" s="560" t="str">
        <f t="shared" si="260"/>
        <v/>
      </c>
      <c r="GU92" s="560">
        <f>IF(GK92="P",Lookup!$N$12,IF(GK92="PP",Lookup!$N$13,IF(GK92="PPP",Lookup!$N$14,IF(GK92="T",Lookup!$N$15,IF(GK92="TP",Lookup!$N$16,IF(GK92="TPP",Lookup!$N$17,IF(GK92="TPPP",Lookup!$N$18,0)))))))*GJ92</f>
        <v>0</v>
      </c>
      <c r="GV92" s="560">
        <f t="shared" si="261"/>
        <v>0</v>
      </c>
      <c r="GW92" s="560">
        <f t="shared" si="231"/>
        <v>1156.8405333333328</v>
      </c>
      <c r="GX92" s="560">
        <f t="shared" si="267"/>
        <v>377.06666666666649</v>
      </c>
      <c r="GY92" s="560"/>
      <c r="GZ92" s="560">
        <f t="shared" si="262"/>
        <v>0</v>
      </c>
      <c r="HA92" s="560" t="str">
        <f t="shared" si="263"/>
        <v/>
      </c>
      <c r="HB92" s="560">
        <f>IF(GK92="P",Lookup!$N$12,IF(GK92="PP",Lookup!$N$13,IF(GK92="PPP",Lookup!$N$14,IF(GK92="T",Lookup!$N$15,IF(GK92="TP",Lookup!$N$16,IF(GK92="TPP",Lookup!$N$17,IF(GK92="TPPP",Lookup!$N$18,0)))))))*GJ92</f>
        <v>0</v>
      </c>
      <c r="HC92" s="545">
        <f t="shared" si="232"/>
        <v>0</v>
      </c>
      <c r="HD92" s="560">
        <f t="shared" si="233"/>
        <v>920.98970137477454</v>
      </c>
      <c r="HE92" s="560">
        <f t="shared" si="268"/>
        <v>300.19221035683654</v>
      </c>
      <c r="HF92" s="560"/>
      <c r="HG92" s="560">
        <f t="shared" si="264"/>
        <v>0</v>
      </c>
      <c r="HH92" s="560" t="str">
        <f t="shared" si="265"/>
        <v/>
      </c>
      <c r="HI92" s="560">
        <f>IF(GK92="P",Lookup!$N$12,IF(GK92="PP",Lookup!$N$13,IF(GK92="PPP",Lookup!$N$14,IF(GK92="T",Lookup!$N$15,IF(GK92="TP",Lookup!$N$16,IF(GK92="TPP",Lookup!$N$17,IF(GK92="TPPP",Lookup!$N$18,0)))))))*GJ92</f>
        <v>0</v>
      </c>
      <c r="HJ92" s="545">
        <f t="shared" si="234"/>
        <v>0</v>
      </c>
      <c r="HK92" s="560">
        <f t="shared" si="235"/>
        <v>666.84257344447349</v>
      </c>
      <c r="HL92" s="560">
        <f t="shared" si="269"/>
        <v>217.35416344343986</v>
      </c>
      <c r="HM92" s="560"/>
    </row>
    <row r="93" spans="1:221">
      <c r="A93" s="580" t="s">
        <v>3</v>
      </c>
      <c r="B93" s="556">
        <v>41721</v>
      </c>
      <c r="C93" s="561">
        <v>0</v>
      </c>
      <c r="D93" s="529">
        <f t="shared" si="270"/>
        <v>300</v>
      </c>
      <c r="E93" s="529">
        <f t="shared" si="271"/>
        <v>250</v>
      </c>
      <c r="F93" s="529">
        <v>250</v>
      </c>
      <c r="G93" s="560">
        <f>DR93+Sheet1!CZ95</f>
        <v>1386.6868381243582</v>
      </c>
      <c r="H93" s="914">
        <f t="shared" si="236"/>
        <v>629.39117216358511</v>
      </c>
      <c r="I93" s="559">
        <f>MAX(Sheet1!Z95-AT93+(Sheet1!DA95-E93)*CFStoMGD,0)</f>
        <v>1512.6200000000001</v>
      </c>
      <c r="J93" s="562">
        <f>IF(AND(B93&gt;=Calculation!GC93,B93&lt;=Calculation!GD93),IF(Sheet1!DB95&gt;=Calculation!D93,64.64,0),MAX(Sheet1!Z95-AT93+(Sheet1!DB95-D93)*CFStoMGD,0))</f>
        <v>64.64</v>
      </c>
      <c r="K93" s="904">
        <f t="shared" si="171"/>
        <v>64.64</v>
      </c>
      <c r="L93" s="560">
        <f>Sheet1!AA95+Sheet1!AB95-Sheet1!L95+(Sheet1!DA95-F93)*CFStoMGD</f>
        <v>1486.72</v>
      </c>
      <c r="M93" s="560">
        <f t="shared" si="172"/>
        <v>914.28145960685686</v>
      </c>
      <c r="N93" s="910">
        <f>IF(Sheet1!DA95&gt;=F93,MIN(73,MIN(MAX(L93,0),MAX(M93,0))),0)</f>
        <v>73</v>
      </c>
      <c r="O93" s="563">
        <f>Sheet1!AA95+Sheet1!AB95</f>
        <v>46.75</v>
      </c>
      <c r="P93" s="563">
        <f t="shared" si="173"/>
        <v>72.322249999999997</v>
      </c>
      <c r="Q93" s="898">
        <f t="shared" si="237"/>
        <v>38.17</v>
      </c>
      <c r="R93" s="829">
        <f t="shared" si="174"/>
        <v>8.5866050808314096</v>
      </c>
      <c r="S93" s="898">
        <f t="shared" si="238"/>
        <v>8.58</v>
      </c>
      <c r="T93" s="898">
        <f t="shared" si="239"/>
        <v>56.06</v>
      </c>
      <c r="U93" s="898">
        <f t="shared" si="240"/>
        <v>0</v>
      </c>
      <c r="V93" s="898"/>
      <c r="W93" s="898">
        <f t="shared" si="241"/>
        <v>56.053394919168589</v>
      </c>
      <c r="X93" s="898">
        <f t="shared" si="242"/>
        <v>64.64</v>
      </c>
      <c r="Y93" s="898" t="str">
        <f t="shared" si="243"/>
        <v>FALSE</v>
      </c>
      <c r="Z93" s="898">
        <f t="shared" si="244"/>
        <v>46.75</v>
      </c>
      <c r="AA93" s="898">
        <f t="shared" si="245"/>
        <v>46.75</v>
      </c>
      <c r="AB93" s="898" t="str">
        <f t="shared" si="246"/>
        <v/>
      </c>
      <c r="AC93" s="563">
        <f>Sheet1!Y95*MGDtoCFS</f>
        <v>32.0229</v>
      </c>
      <c r="AD93" s="563">
        <f>Sheet1!Z95*MGDtoCFS</f>
        <v>40.067299999999996</v>
      </c>
      <c r="AE93" s="563">
        <f>Sheet1!AA95*MGDtoCFS</f>
        <v>32.100249999999996</v>
      </c>
      <c r="AF93" s="563">
        <f>Sheet1!AB95*MGDtoCFS</f>
        <v>40.222000000000001</v>
      </c>
      <c r="AG93" s="563">
        <f>Sheet1!L95*MGDtoCFS</f>
        <v>72.322249999999997</v>
      </c>
      <c r="AH93" s="545">
        <f t="shared" si="175"/>
        <v>0</v>
      </c>
      <c r="AI93" s="560">
        <f t="shared" si="176"/>
        <v>0</v>
      </c>
      <c r="AJ93" s="560">
        <f t="shared" si="177"/>
        <v>56.053394919168589</v>
      </c>
      <c r="AK93" s="560">
        <f t="shared" si="178"/>
        <v>86.714601939953809</v>
      </c>
      <c r="AL93" s="560">
        <f>(VLOOKUP(Sheet1!DC95,hhdcap_wcm,4)-(((VLOOKUP(Sheet1!DC95,hhdcap_wcm,3)-Sheet1!DC95)/(VLOOKUP(Sheet1!DC95,hhdcap_wcm,3)-VLOOKUP(Sheet1!DC95,hhdcap_wcm,1)))*(VLOOKUP(Sheet1!DC95,hhdcap_wcm,4)-VLOOKUP(Sheet1!DC95,hhdcap_wcm,2))))</f>
        <v>19817.600000049672</v>
      </c>
      <c r="AM93" s="560">
        <f t="shared" si="179"/>
        <v>-26.399999999397551</v>
      </c>
      <c r="AN93" s="560">
        <f t="shared" si="180"/>
        <v>1758.6664353861111</v>
      </c>
      <c r="AO93" s="560">
        <f t="shared" si="181"/>
        <v>5395.5886237645891</v>
      </c>
      <c r="AP93" s="560">
        <f>Sheet1!BA95+Sheet1!BB95+Sheet1!BN95+CD93</f>
        <v>17.399999999999999</v>
      </c>
      <c r="AQ93" s="560">
        <f>Sheet1!BN95+(DO93*Sheet1!BN95)</f>
        <v>16.412625096227867</v>
      </c>
      <c r="AR93" s="560">
        <f>Sheet1!BA95+CD93</f>
        <v>0</v>
      </c>
      <c r="AS93" s="560">
        <f>Sheet1!BA95+Sheet1!BB95+CD93</f>
        <v>1</v>
      </c>
      <c r="AT93" s="698">
        <f>0</f>
        <v>0</v>
      </c>
      <c r="AU93" s="560">
        <f>IF(EB93&lt;K93,0,MAX(Sheet1!AA95+AQ93-15/36*K93-N93,Sheet1!EH95,0))</f>
        <v>0</v>
      </c>
      <c r="AV93" s="560">
        <f>IF(OR(B93&gt;=GD93,B93&lt;GC93),0,15/36*K93-MAX(0,64.6-(137.6-(Sheet1!AA95+Sheet1!AB95))))</f>
        <v>26.933333333333334</v>
      </c>
      <c r="AW93" s="698">
        <f>Sheet1!DB95-110</f>
        <v>1280</v>
      </c>
      <c r="AX93" s="698">
        <f>Sheet1!DA95-265</f>
        <v>2285</v>
      </c>
      <c r="AY93" s="698">
        <f t="shared" si="182"/>
        <v>34.83</v>
      </c>
      <c r="AZ93" s="698">
        <v>0</v>
      </c>
      <c r="BA93" s="698">
        <f t="shared" si="183"/>
        <v>0</v>
      </c>
      <c r="BB93" s="560">
        <f t="shared" si="184"/>
        <v>834.93333333333271</v>
      </c>
      <c r="BC93" s="560"/>
      <c r="BD93" s="560">
        <f ca="1">IF(B93&gt;Summary!$A$1,#N/A,BB93*MGtoAF)</f>
        <v>2561.5754666666649</v>
      </c>
      <c r="BE93" s="560">
        <f>Sheet1!BG95+Sheet1!BH95+Sheet1!BI95-BM93</f>
        <v>0</v>
      </c>
      <c r="BF93" s="560">
        <f t="shared" si="185"/>
        <v>0</v>
      </c>
      <c r="BG93" s="560">
        <f>IF(Sheet1!EP95="FM",BM93,0)</f>
        <v>0</v>
      </c>
      <c r="BH93" s="560">
        <f t="shared" si="186"/>
        <v>0</v>
      </c>
      <c r="BI93" s="560">
        <f>IF(Sheet1!EP95="OTHER",BM93,0)</f>
        <v>0</v>
      </c>
      <c r="BJ93" s="560">
        <f t="shared" si="187"/>
        <v>0</v>
      </c>
      <c r="BK93" s="560">
        <f t="shared" si="188"/>
        <v>0</v>
      </c>
      <c r="BL93" s="560">
        <f t="shared" si="189"/>
        <v>0</v>
      </c>
      <c r="BM93" s="560">
        <f>IF(OR(Sheet1!EP95="FM", Sheet1!EP95="OTHER"),SUM(Sheet1!BG95:'Sheet1'!BI95),0)</f>
        <v>0</v>
      </c>
      <c r="BN93" s="545">
        <f>IF(AND($B93&gt;=$FV93,$B93&lt;=$FW93),MAX(BF93,Sheet1!EI95,0),MAX(BF93-(7/36)*$K93,0))</f>
        <v>0</v>
      </c>
      <c r="BO93" s="560">
        <f t="shared" si="190"/>
        <v>12.568888888888889</v>
      </c>
      <c r="BP93" s="545">
        <f t="shared" si="191"/>
        <v>0</v>
      </c>
      <c r="BQ93" s="545">
        <f>IF(AND($O93&gt;0,Sheet1!EM95=1),(1-($O93-Sheet1!$L95)/$O93)*BL93,0)</f>
        <v>0</v>
      </c>
      <c r="BR93" s="545">
        <f>IF(AND(Sheet1!$L95=0,Sheet1!$L94=0, Calculation!BK93&lt;Sheet1!$EI95-0.1,Sheet1!$EI95=Sheet1!$EI94,Sheet1!$EI95=Sheet1!$EI96),Sheet1!$EI95,BL93-BQ93)</f>
        <v>0</v>
      </c>
      <c r="BS93" s="560"/>
      <c r="BT93" s="560"/>
      <c r="BU93" s="560">
        <f t="shared" si="192"/>
        <v>389.63555555555536</v>
      </c>
      <c r="BV93" s="560"/>
      <c r="BW93" s="560">
        <f ca="1">IF(B93&gt;Summary!$A$1,#N/A,BU93*MGtoAF)</f>
        <v>1195.4018844444438</v>
      </c>
      <c r="BX93" s="560">
        <f>Sheet1!BC95+Sheet1!BD95+Sheet1!BE95+Sheet1!BF95-CG93-CH93</f>
        <v>3.5</v>
      </c>
      <c r="BY93" s="560">
        <f t="shared" si="193"/>
        <v>3.502694380292533</v>
      </c>
      <c r="BZ93" s="560">
        <f>IF(Sheet1!EQ95="FM",CH93,0)</f>
        <v>0</v>
      </c>
      <c r="CA93" s="560">
        <f t="shared" si="194"/>
        <v>0</v>
      </c>
      <c r="CB93" s="560">
        <f>IF(Sheet1!EQ95="OTHER",CH93,0)</f>
        <v>0</v>
      </c>
      <c r="CC93" s="560">
        <f t="shared" si="195"/>
        <v>0</v>
      </c>
      <c r="CD93" s="560">
        <f t="shared" si="196"/>
        <v>0</v>
      </c>
      <c r="CE93" s="560">
        <f t="shared" si="197"/>
        <v>3.5</v>
      </c>
      <c r="CF93" s="560">
        <f t="shared" si="198"/>
        <v>3.502694380292533</v>
      </c>
      <c r="CG93" s="560">
        <f>IF(Sheet1!EQ95="CWA",SUM(Sheet1!BC95:'Sheet1'!BF95),0)</f>
        <v>0</v>
      </c>
      <c r="CH93" s="560">
        <f>IF(OR(Sheet1!EQ95="FM", Sheet1!EQ95="OTHER"),SUM(Sheet1!BC95:'Sheet1'!BF95),0)</f>
        <v>0</v>
      </c>
      <c r="CI93" s="545">
        <f>IF(AND($B93&gt;=$FV93,$B93&lt;=$FW93),MAX(CF93,Sheet1!EJ95,0),MAX(CF93-(7/36)*$K93,0))</f>
        <v>0</v>
      </c>
      <c r="CJ93" s="560">
        <f t="shared" si="199"/>
        <v>9.0661945085963556</v>
      </c>
      <c r="CK93" s="545">
        <f t="shared" si="200"/>
        <v>3.502694380292533</v>
      </c>
      <c r="CL93" s="545">
        <f>IF(AND($O93&gt;0,Sheet1!EN95=1),(1-($O93-Sheet1!$L95)/$O93)*CF93,0)</f>
        <v>0</v>
      </c>
      <c r="CM93" s="545">
        <f>IF(AND(Sheet1!$L95=0,Sheet1!$L94=0, Calculation!CE93&lt;Sheet1!EJ95-0.1,Sheet1!EJ95=Sheet1!EJ94,Sheet1!EJ95=Sheet1!EJ96),Sheet1!EJ95,CF93-CL93)</f>
        <v>3.502694380292533</v>
      </c>
      <c r="CN93" s="545"/>
      <c r="CO93" s="560"/>
      <c r="CP93" s="560">
        <f t="shared" si="201"/>
        <v>309.25840486543291</v>
      </c>
      <c r="CQ93" s="560"/>
      <c r="CR93" s="560">
        <f ca="1">IF(B93&gt;Summary!$A$1,#N/A,CP93*MGtoAF)</f>
        <v>948.80478612714819</v>
      </c>
      <c r="CS93" s="560">
        <f>Sheet1!BK95+Sheet1!BL95+Sheet1!BM95-Sheet1!ER95-DA93</f>
        <v>5.08</v>
      </c>
      <c r="CT93" s="560">
        <f t="shared" si="202"/>
        <v>5.0839107005388771</v>
      </c>
      <c r="CU93" s="560">
        <f>IF(Sheet1!ER95="FM",DA93,0)</f>
        <v>0</v>
      </c>
      <c r="CV93" s="560">
        <f t="shared" si="203"/>
        <v>0</v>
      </c>
      <c r="CW93" s="560">
        <f>IF(Sheet1!ER95="OTHER",DA93,0)</f>
        <v>0</v>
      </c>
      <c r="CX93" s="560">
        <f t="shared" si="204"/>
        <v>0</v>
      </c>
      <c r="CY93" s="560">
        <f t="shared" si="205"/>
        <v>5.08</v>
      </c>
      <c r="CZ93" s="560">
        <f t="shared" si="206"/>
        <v>5.0839107005388771</v>
      </c>
      <c r="DA93" s="560">
        <f>IF(OR(Sheet1!ER95="FM", Sheet1!ER95="OTHER"),SUM(Sheet1!BK95:'Sheet1'!BM95),0)</f>
        <v>0</v>
      </c>
      <c r="DB93" s="545">
        <f>IF(AND($B93&gt;=$FV93,$B93&lt;=$FW93),MAX($CT93,Sheet1!EK95,0),MAX($CT93-(7/36)*$K93,0))</f>
        <v>0</v>
      </c>
      <c r="DC93" s="560">
        <f t="shared" si="207"/>
        <v>7.4849781883500119</v>
      </c>
      <c r="DD93" s="545">
        <f t="shared" si="208"/>
        <v>5.0839107005388771</v>
      </c>
      <c r="DE93" s="545">
        <f>IF(AND($O93&gt;0,Sheet1!EO95=1),(1-($O93-Sheet1!$L95)/$O93)*CZ93,0)</f>
        <v>0</v>
      </c>
      <c r="DF93" s="545">
        <f>IF(AND(Sheet1!$L95=0,Sheet1!$L94=0, Calculation!CY93&lt;Sheet1!$EK95-0.1,Sheet1!$EK95=Sheet1!$EK94,Sheet1!$EK95=Sheet1!$EK96),Sheet1!$EK95,CZ93-DE93)</f>
        <v>5.0839107005388771</v>
      </c>
      <c r="DG93" s="545"/>
      <c r="DH93" s="560">
        <f t="shared" si="209"/>
        <v>8.58</v>
      </c>
      <c r="DI93" s="560">
        <f t="shared" si="210"/>
        <v>224.83914163178986</v>
      </c>
      <c r="DJ93" s="698">
        <f t="shared" si="211"/>
        <v>8.5866050808314096</v>
      </c>
      <c r="DK93" s="560">
        <f ca="1">IF(B93&gt;Summary!$A$1,#N/A,DI93*MGtoAF)</f>
        <v>689.80648652633124</v>
      </c>
      <c r="DL93" s="698">
        <f t="shared" si="212"/>
        <v>8.58</v>
      </c>
      <c r="DM93" s="560">
        <f t="shared" si="213"/>
        <v>25.979999999999997</v>
      </c>
      <c r="DN93" s="560">
        <f>Sheet1!AB95-DM93</f>
        <v>2.0000000000003126E-2</v>
      </c>
      <c r="DO93" s="823">
        <f t="shared" si="214"/>
        <v>7.6982294072375397E-4</v>
      </c>
      <c r="DP93" s="560">
        <f>(VLOOKUP(Sheet1!DC95,hhdcap_wcm,4)-(((VLOOKUP(Sheet1!DC95,hhdcap_wcm,3)-Sheet1!DC95)/(VLOOKUP(Sheet1!DC95,hhdcap_wcm,3)-VLOOKUP(Sheet1!DC95,hhdcap_wcm,1)))*(VLOOKUP(Sheet1!DC95,hhdcap_wcm,4)-VLOOKUP(Sheet1!DC95,hhdcap_wcm,2))))</f>
        <v>19817.600000049672</v>
      </c>
      <c r="DQ93" s="560">
        <f t="shared" si="215"/>
        <v>-26.399999999397551</v>
      </c>
      <c r="DR93" s="560">
        <f t="shared" si="216"/>
        <v>-13.313161875641729</v>
      </c>
      <c r="DS93" s="560">
        <f>Sheet1!EA95*AFtoMG</f>
        <v>0</v>
      </c>
      <c r="DT93" s="560">
        <f>Sheet1!EB95*AFtoMG</f>
        <v>0</v>
      </c>
      <c r="DU93" s="560">
        <f>Sheet1!EC95*AFtoMG</f>
        <v>0</v>
      </c>
      <c r="DV93" s="560">
        <f>Sheet1!ED95*AFtoMG</f>
        <v>0</v>
      </c>
      <c r="DW93" s="560">
        <f t="shared" si="217"/>
        <v>0</v>
      </c>
      <c r="DX93" s="560">
        <f t="shared" si="218"/>
        <v>0</v>
      </c>
      <c r="DY93" s="560">
        <f t="shared" si="219"/>
        <v>1758.6664353861111</v>
      </c>
      <c r="DZ93" s="560">
        <f t="shared" si="220"/>
        <v>5395.5886237645891</v>
      </c>
      <c r="EA93" s="560"/>
      <c r="EB93" s="545">
        <f>IF(OR(B93&lt;FV93,B93&gt;FW93),(MIN(BF93+BY93+CT93+MAX(Sheet1!AA95+AQ93-73,0),K93)),0)</f>
        <v>8.5866050808314096</v>
      </c>
      <c r="EC93" s="560"/>
      <c r="ED93" s="560">
        <f t="shared" si="221"/>
        <v>8.5866050808314096</v>
      </c>
      <c r="EE93" s="560"/>
      <c r="EF93" s="560">
        <f>Sheet1!EH95+Sheet1!EI95+Sheet1!EJ95+Sheet1!EK95</f>
        <v>8.58</v>
      </c>
      <c r="EG93" s="560"/>
      <c r="EH93" s="545">
        <f t="shared" si="222"/>
        <v>0</v>
      </c>
      <c r="EI93" s="560">
        <f>IF(Sheet1!ET95=1,SUM('Calculations II'!AT93:BA93)+'Calculations II'!BC93+Sheet1!BV95+'Calculations II'!BE93+AP93,SUM('Calculations II'!AT93:BA93)+'Calculations II'!BC93+Sheet1!BV95+'Calculations II'!BE93+AP93)</f>
        <v>50.223039999999997</v>
      </c>
      <c r="EJ93" s="560">
        <f>Sheet1!AA95+Sheet1!AB95+'Calculations II'!BC93</f>
        <v>53.732128000000003</v>
      </c>
      <c r="EK93" s="560"/>
      <c r="EL93" s="560"/>
      <c r="EM93" s="560">
        <f t="shared" si="223"/>
        <v>41721</v>
      </c>
      <c r="EN93" s="560">
        <f t="shared" si="224"/>
        <v>56.053394919168589</v>
      </c>
      <c r="EO93" s="560">
        <f t="shared" si="225"/>
        <v>86.714601939953809</v>
      </c>
      <c r="EP93" s="560">
        <v>0</v>
      </c>
      <c r="EQ93" s="560">
        <v>0</v>
      </c>
      <c r="ER93" s="560">
        <v>0</v>
      </c>
      <c r="ES93" s="545">
        <f t="shared" si="247"/>
        <v>2.2159102046521677</v>
      </c>
      <c r="ET93" s="560">
        <f>-(VLOOKUP(Sheet1!BQ95,Lookup!$O$4:$Q$262,2)-VLOOKUP(Sheet1!BQ94,Lookup!$O$4:$Q$262,2))/1000000</f>
        <v>1.1079551023260839</v>
      </c>
      <c r="EU93" s="560">
        <f>-(VLOOKUP(Sheet1!BR95,Lookup!$O$4:$Q$262,3)-VLOOKUP(Sheet1!BR94,Lookup!$O$4:$Q$262,3))/1000000</f>
        <v>1.1079551023260839</v>
      </c>
      <c r="EV93" s="560"/>
      <c r="EW93" s="560"/>
      <c r="EX93" s="560"/>
      <c r="EY93" s="560"/>
      <c r="EZ93" s="560"/>
      <c r="FA93" s="560"/>
      <c r="FB93" s="560"/>
      <c r="FC93" s="560"/>
      <c r="FD93" s="594" t="e">
        <f t="shared" si="226"/>
        <v>#N/A</v>
      </c>
      <c r="FE93" s="594" t="e">
        <f t="shared" si="227"/>
        <v>#N/A</v>
      </c>
      <c r="FF93" s="595" t="e">
        <f t="shared" si="228"/>
        <v>#N/A</v>
      </c>
      <c r="FG93" s="596" t="s">
        <v>692</v>
      </c>
      <c r="FH93" s="596" t="s">
        <v>692</v>
      </c>
      <c r="FI93" s="594" t="e">
        <v>#N/A</v>
      </c>
      <c r="FJ93" s="594" t="e">
        <v>#N/A</v>
      </c>
      <c r="FK93" s="560"/>
      <c r="FL93" s="560"/>
      <c r="FM93" s="560"/>
      <c r="FN93" s="560"/>
      <c r="FO93" s="560">
        <f>O93+((Sheet1!CS95)*GPMtoMGD)</f>
        <v>53.732128000000003</v>
      </c>
      <c r="FP93" s="560">
        <f>IF(Sheet1!AA95+AQ93&lt;=Calculation!N93,AQ93,Calculation!N93-Sheet1!AA95)</f>
        <v>16.412625096227867</v>
      </c>
      <c r="FQ93" s="560">
        <f>(Sheet1!BP95+Sheet1!BO95)/694.4</f>
        <v>1.6945564516129032</v>
      </c>
      <c r="FR93" s="560"/>
      <c r="FS93" s="560"/>
      <c r="FT93" s="560"/>
      <c r="FU93" s="560"/>
      <c r="FV93" s="695">
        <f t="shared" si="248"/>
        <v>41827</v>
      </c>
      <c r="FW93" s="695">
        <f t="shared" si="249"/>
        <v>41934</v>
      </c>
      <c r="FX93" s="560"/>
      <c r="FY93" s="560"/>
      <c r="FZ93" s="560"/>
      <c r="GA93" s="560"/>
      <c r="GB93" s="560" t="str">
        <f t="shared" si="250"/>
        <v>n</v>
      </c>
      <c r="GC93" s="564">
        <f t="shared" si="251"/>
        <v>41691</v>
      </c>
      <c r="GD93" s="695">
        <f t="shared" si="252"/>
        <v>41807</v>
      </c>
      <c r="GE93" s="560">
        <v>6518.9</v>
      </c>
      <c r="GF93" s="695">
        <f t="shared" si="253"/>
        <v>41808</v>
      </c>
      <c r="GG93" s="560">
        <f t="shared" si="272"/>
        <v>3259</v>
      </c>
      <c r="GH93" s="564">
        <f t="shared" si="254"/>
        <v>41934</v>
      </c>
      <c r="GJ93" s="545">
        <f t="shared" si="255"/>
        <v>0</v>
      </c>
      <c r="GK93" s="560" t="str">
        <f t="shared" si="229"/>
        <v/>
      </c>
      <c r="GL93" s="560">
        <f t="shared" si="256"/>
        <v>0</v>
      </c>
      <c r="GM93" s="560" t="str">
        <f t="shared" si="257"/>
        <v/>
      </c>
      <c r="GN93" s="560">
        <f>IF(GK93="P",Lookup!$M$12,IF(GK93="PP",Lookup!$M$13,IF(GK93="PPP",Lookup!$M$14,IF(GK93="T",Lookup!$M$15,IF(GK93="TP",Lookup!$M$16,IF(GK93="TPP",Lookup!$M$17,IF(GK93="TPPP",Lookup!$M$18,0)))))))*GJ93</f>
        <v>0</v>
      </c>
      <c r="GO93" s="560">
        <f t="shared" si="258"/>
        <v>0</v>
      </c>
      <c r="GP93" s="560">
        <f t="shared" si="230"/>
        <v>2561.5754666666649</v>
      </c>
      <c r="GQ93" s="560">
        <f t="shared" si="266"/>
        <v>834.93333333333271</v>
      </c>
      <c r="GR93" s="560"/>
      <c r="GS93" s="560">
        <f t="shared" si="259"/>
        <v>0</v>
      </c>
      <c r="GT93" s="560" t="str">
        <f t="shared" si="260"/>
        <v/>
      </c>
      <c r="GU93" s="560">
        <f>IF(GK93="P",Lookup!$N$12,IF(GK93="PP",Lookup!$N$13,IF(GK93="PPP",Lookup!$N$14,IF(GK93="T",Lookup!$N$15,IF(GK93="TP",Lookup!$N$16,IF(GK93="TPP",Lookup!$N$17,IF(GK93="TPPP",Lookup!$N$18,0)))))))*GJ93</f>
        <v>0</v>
      </c>
      <c r="GV93" s="560">
        <f t="shared" si="261"/>
        <v>0</v>
      </c>
      <c r="GW93" s="560">
        <f t="shared" si="231"/>
        <v>1195.4018844444438</v>
      </c>
      <c r="GX93" s="560">
        <f t="shared" si="267"/>
        <v>389.63555555555536</v>
      </c>
      <c r="GY93" s="560"/>
      <c r="GZ93" s="560">
        <f t="shared" si="262"/>
        <v>0</v>
      </c>
      <c r="HA93" s="560" t="str">
        <f t="shared" si="263"/>
        <v/>
      </c>
      <c r="HB93" s="560">
        <f>IF(GK93="P",Lookup!$N$12,IF(GK93="PP",Lookup!$N$13,IF(GK93="PPP",Lookup!$N$14,IF(GK93="T",Lookup!$N$15,IF(GK93="TP",Lookup!$N$16,IF(GK93="TPP",Lookup!$N$17,IF(GK93="TPPP",Lookup!$N$18,0)))))))*GJ93</f>
        <v>0</v>
      </c>
      <c r="HC93" s="545">
        <f t="shared" si="232"/>
        <v>0</v>
      </c>
      <c r="HD93" s="560">
        <f t="shared" si="233"/>
        <v>948.80478612714819</v>
      </c>
      <c r="HE93" s="560">
        <f t="shared" si="268"/>
        <v>309.25840486543291</v>
      </c>
      <c r="HF93" s="560"/>
      <c r="HG93" s="560">
        <f t="shared" si="264"/>
        <v>0</v>
      </c>
      <c r="HH93" s="560" t="str">
        <f t="shared" si="265"/>
        <v/>
      </c>
      <c r="HI93" s="560">
        <f>IF(GK93="P",Lookup!$N$12,IF(GK93="PP",Lookup!$N$13,IF(GK93="PPP",Lookup!$N$14,IF(GK93="T",Lookup!$N$15,IF(GK93="TP",Lookup!$N$16,IF(GK93="TPP",Lookup!$N$17,IF(GK93="TPPP",Lookup!$N$18,0)))))))*GJ93</f>
        <v>0</v>
      </c>
      <c r="HJ93" s="545">
        <f t="shared" si="234"/>
        <v>0</v>
      </c>
      <c r="HK93" s="560">
        <f t="shared" si="235"/>
        <v>689.80648652633124</v>
      </c>
      <c r="HL93" s="560">
        <f t="shared" si="269"/>
        <v>224.83914163178986</v>
      </c>
      <c r="HM93" s="560"/>
    </row>
    <row r="94" spans="1:221">
      <c r="A94" s="580" t="s">
        <v>4</v>
      </c>
      <c r="B94" s="556">
        <v>41722</v>
      </c>
      <c r="C94" s="561">
        <v>0</v>
      </c>
      <c r="D94" s="529">
        <f t="shared" si="270"/>
        <v>300</v>
      </c>
      <c r="E94" s="529">
        <f t="shared" si="271"/>
        <v>250</v>
      </c>
      <c r="F94" s="529">
        <v>250</v>
      </c>
      <c r="G94" s="560">
        <f>DR94+Sheet1!CZ96</f>
        <v>1083.3282904689875</v>
      </c>
      <c r="H94" s="914">
        <f t="shared" si="236"/>
        <v>433.30020695915346</v>
      </c>
      <c r="I94" s="559">
        <f>MAX(Sheet1!Z96-AT94+(Sheet1!DA96-E94)*CFStoMGD,0)</f>
        <v>1267.088</v>
      </c>
      <c r="J94" s="562">
        <f>IF(AND(B94&gt;=Calculation!GC94,B94&lt;=Calculation!GD94),IF(Sheet1!DB96&gt;=Calculation!D94,64.64,0),MAX(Sheet1!Z96-AT94+(Sheet1!DB96-D94)*CFStoMGD,0))</f>
        <v>64.64</v>
      </c>
      <c r="K94" s="904">
        <f t="shared" si="171"/>
        <v>64.64</v>
      </c>
      <c r="L94" s="560">
        <f>Sheet1!AA96+Sheet1!AB96-Sheet1!L96+(Sheet1!DA96-F94)*CFStoMGD</f>
        <v>1241.088</v>
      </c>
      <c r="M94" s="560">
        <f t="shared" si="172"/>
        <v>714.26867509833664</v>
      </c>
      <c r="N94" s="910">
        <f>IF(Sheet1!DA96&gt;=F94,MIN(73,MIN(MAX(L94,0),MAX(M94,0))),0)</f>
        <v>73</v>
      </c>
      <c r="O94" s="563">
        <f>Sheet1!AA96+Sheet1!AB96</f>
        <v>46.709999999999994</v>
      </c>
      <c r="P94" s="563">
        <f t="shared" si="173"/>
        <v>72.260369999999995</v>
      </c>
      <c r="Q94" s="898">
        <f t="shared" si="237"/>
        <v>38.059999999999995</v>
      </c>
      <c r="R94" s="829">
        <f t="shared" si="174"/>
        <v>8.6566436251920127</v>
      </c>
      <c r="S94" s="898">
        <f t="shared" si="238"/>
        <v>8.65</v>
      </c>
      <c r="T94" s="898">
        <f t="shared" si="239"/>
        <v>55.99</v>
      </c>
      <c r="U94" s="898">
        <f t="shared" si="240"/>
        <v>0</v>
      </c>
      <c r="V94" s="898"/>
      <c r="W94" s="898">
        <f t="shared" si="241"/>
        <v>55.98335637480799</v>
      </c>
      <c r="X94" s="898">
        <f t="shared" si="242"/>
        <v>64.64</v>
      </c>
      <c r="Y94" s="898" t="str">
        <f t="shared" si="243"/>
        <v>FALSE</v>
      </c>
      <c r="Z94" s="898">
        <f t="shared" si="244"/>
        <v>46.709999999999994</v>
      </c>
      <c r="AA94" s="898">
        <f t="shared" si="245"/>
        <v>46.709999999999994</v>
      </c>
      <c r="AB94" s="898" t="str">
        <f t="shared" si="246"/>
        <v/>
      </c>
      <c r="AC94" s="563">
        <f>Sheet1!Y96*MGDtoCFS</f>
        <v>32.177599999999998</v>
      </c>
      <c r="AD94" s="563">
        <f>Sheet1!Z96*MGDtoCFS</f>
        <v>40.222000000000001</v>
      </c>
      <c r="AE94" s="563">
        <f>Sheet1!AA96*MGDtoCFS</f>
        <v>31.945549999999997</v>
      </c>
      <c r="AF94" s="563">
        <f>Sheet1!AB96*MGDtoCFS</f>
        <v>40.314819999999997</v>
      </c>
      <c r="AG94" s="563">
        <f>Sheet1!L96*MGDtoCFS</f>
        <v>72.26036999999998</v>
      </c>
      <c r="AH94" s="545">
        <f t="shared" si="175"/>
        <v>0</v>
      </c>
      <c r="AI94" s="560">
        <f t="shared" si="176"/>
        <v>0</v>
      </c>
      <c r="AJ94" s="560">
        <f t="shared" si="177"/>
        <v>55.98335637480799</v>
      </c>
      <c r="AK94" s="560">
        <f t="shared" si="178"/>
        <v>86.606252311827959</v>
      </c>
      <c r="AL94" s="560">
        <f>(VLOOKUP(Sheet1!DC96,hhdcap_wcm,4)-(((VLOOKUP(Sheet1!DC96,hhdcap_wcm,3)-Sheet1!DC96)/(VLOOKUP(Sheet1!DC96,hhdcap_wcm,3)-VLOOKUP(Sheet1!DC96,hhdcap_wcm,1)))*(VLOOKUP(Sheet1!DC96,hhdcap_wcm,4)-VLOOKUP(Sheet1!DC96,hhdcap_wcm,2))))</f>
        <v>19824.200000049674</v>
      </c>
      <c r="AM94" s="560">
        <f t="shared" si="179"/>
        <v>6.6000000000021828</v>
      </c>
      <c r="AN94" s="560">
        <f t="shared" si="180"/>
        <v>1814.6497917609188</v>
      </c>
      <c r="AO94" s="560">
        <f t="shared" si="181"/>
        <v>5567.345561122499</v>
      </c>
      <c r="AP94" s="560">
        <f>Sheet1!BA96+Sheet1!BB96+Sheet1!BN96+CD94</f>
        <v>17.389999999999997</v>
      </c>
      <c r="AQ94" s="560">
        <f>Sheet1!BN96+(DO94*Sheet1!BN96)</f>
        <v>16.412596006144391</v>
      </c>
      <c r="AR94" s="560">
        <f>Sheet1!BA96+CD94</f>
        <v>0</v>
      </c>
      <c r="AS94" s="560">
        <f>Sheet1!BA96+Sheet1!BB96+CD94</f>
        <v>0.99</v>
      </c>
      <c r="AT94" s="698">
        <f>0</f>
        <v>0</v>
      </c>
      <c r="AU94" s="560">
        <f>IF(EB94&lt;K94,0,MAX(Sheet1!AA96+AQ94-15/36*K94-N94,Sheet1!EH96,0))</f>
        <v>0</v>
      </c>
      <c r="AV94" s="560">
        <f>IF(OR(B94&gt;=GD94,B94&lt;GC94),0,15/36*K94-MAX(0,64.6-(137.6-(Sheet1!AA96+Sheet1!AB96))))</f>
        <v>26.933333333333334</v>
      </c>
      <c r="AW94" s="698">
        <f>Sheet1!DB96-110</f>
        <v>970</v>
      </c>
      <c r="AX94" s="698">
        <f>Sheet1!DA96-265</f>
        <v>1905</v>
      </c>
      <c r="AY94" s="698">
        <f t="shared" si="182"/>
        <v>34.940000000000005</v>
      </c>
      <c r="AZ94" s="698">
        <v>0</v>
      </c>
      <c r="BA94" s="698">
        <f t="shared" si="183"/>
        <v>0</v>
      </c>
      <c r="BB94" s="560">
        <f t="shared" si="184"/>
        <v>861.86666666666599</v>
      </c>
      <c r="BC94" s="560"/>
      <c r="BD94" s="560">
        <f ca="1">IF(B94&gt;Summary!$A$1,#N/A,BB94*MGtoAF)</f>
        <v>2644.2069333333311</v>
      </c>
      <c r="BE94" s="560">
        <f>Sheet1!BG96+Sheet1!BH96+Sheet1!BI96-BM94</f>
        <v>0</v>
      </c>
      <c r="BF94" s="560">
        <f t="shared" si="185"/>
        <v>0</v>
      </c>
      <c r="BG94" s="560">
        <f>IF(Sheet1!EP96="FM",BM94,0)</f>
        <v>0</v>
      </c>
      <c r="BH94" s="560">
        <f t="shared" si="186"/>
        <v>0</v>
      </c>
      <c r="BI94" s="560">
        <f>IF(Sheet1!EP96="OTHER",BM94,0)</f>
        <v>0</v>
      </c>
      <c r="BJ94" s="560">
        <f t="shared" si="187"/>
        <v>0</v>
      </c>
      <c r="BK94" s="560">
        <f t="shared" si="188"/>
        <v>0</v>
      </c>
      <c r="BL94" s="560">
        <f t="shared" si="189"/>
        <v>0</v>
      </c>
      <c r="BM94" s="560">
        <f>IF(OR(Sheet1!EP96="FM", Sheet1!EP96="OTHER"),SUM(Sheet1!BG96:'Sheet1'!BI96),0)</f>
        <v>0</v>
      </c>
      <c r="BN94" s="545">
        <f>IF(AND($B94&gt;=$FV94,$B94&lt;=$FW94),MAX(BF94,Sheet1!EI96,0),MAX(BF94-(7/36)*$K94,0))</f>
        <v>0</v>
      </c>
      <c r="BO94" s="560">
        <f t="shared" si="190"/>
        <v>12.568888888888889</v>
      </c>
      <c r="BP94" s="545">
        <f t="shared" si="191"/>
        <v>0</v>
      </c>
      <c r="BQ94" s="545">
        <f>IF(AND($O94&gt;0,Sheet1!EM96=1),(1-($O94-Sheet1!$L96)/$O94)*BL94,0)</f>
        <v>0</v>
      </c>
      <c r="BR94" s="545">
        <f>IF(AND(Sheet1!$L96=0,Sheet1!$L95=0, Calculation!BK94&lt;Sheet1!$EI96-0.1,Sheet1!$EI96=Sheet1!$EI95,Sheet1!$EI96=Sheet1!$EI97),Sheet1!$EI96,BL94-BQ94)</f>
        <v>0</v>
      </c>
      <c r="BS94" s="560"/>
      <c r="BT94" s="560"/>
      <c r="BU94" s="560">
        <f t="shared" si="192"/>
        <v>402.20444444444422</v>
      </c>
      <c r="BV94" s="560"/>
      <c r="BW94" s="560">
        <f ca="1">IF(B94&gt;Summary!$A$1,#N/A,BU94*MGtoAF)</f>
        <v>1233.963235555555</v>
      </c>
      <c r="BX94" s="560">
        <f>Sheet1!BC96+Sheet1!BD96+Sheet1!BE96+Sheet1!BF96-CG94-CH94</f>
        <v>3.5</v>
      </c>
      <c r="BY94" s="560">
        <f t="shared" si="193"/>
        <v>3.5026881720430105</v>
      </c>
      <c r="BZ94" s="560">
        <f>IF(Sheet1!EQ96="FM",CH94,0)</f>
        <v>0</v>
      </c>
      <c r="CA94" s="560">
        <f t="shared" si="194"/>
        <v>0</v>
      </c>
      <c r="CB94" s="560">
        <f>IF(Sheet1!EQ96="OTHER",CH94,0)</f>
        <v>0</v>
      </c>
      <c r="CC94" s="560">
        <f t="shared" si="195"/>
        <v>0</v>
      </c>
      <c r="CD94" s="560">
        <f t="shared" si="196"/>
        <v>0</v>
      </c>
      <c r="CE94" s="560">
        <f t="shared" si="197"/>
        <v>3.5</v>
      </c>
      <c r="CF94" s="560">
        <f t="shared" si="198"/>
        <v>3.5026881720430105</v>
      </c>
      <c r="CG94" s="560">
        <f>IF(Sheet1!EQ96="CWA",SUM(Sheet1!BC96:'Sheet1'!BF96),0)</f>
        <v>0</v>
      </c>
      <c r="CH94" s="560">
        <f>IF(OR(Sheet1!EQ96="FM", Sheet1!EQ96="OTHER"),SUM(Sheet1!BC96:'Sheet1'!BF96),0)</f>
        <v>0</v>
      </c>
      <c r="CI94" s="545">
        <f>IF(AND($B94&gt;=$FV94,$B94&lt;=$FW94),MAX(CF94,Sheet1!EJ96,0),MAX(CF94-(7/36)*$K94,0))</f>
        <v>0</v>
      </c>
      <c r="CJ94" s="560">
        <f t="shared" si="199"/>
        <v>9.0662007168458789</v>
      </c>
      <c r="CK94" s="545">
        <f t="shared" si="200"/>
        <v>3.5026881720430105</v>
      </c>
      <c r="CL94" s="545">
        <f>IF(AND($O94&gt;0,Sheet1!EN96=1),(1-($O94-Sheet1!$L96)/$O94)*CF94,0)</f>
        <v>0</v>
      </c>
      <c r="CM94" s="545">
        <f>IF(AND(Sheet1!$L96=0,Sheet1!$L95=0, Calculation!CE94&lt;Sheet1!EJ96-0.1,Sheet1!EJ96=Sheet1!EJ95,Sheet1!EJ96=Sheet1!EJ97),Sheet1!EJ96,CF94-CL94)</f>
        <v>3.5026881720430105</v>
      </c>
      <c r="CN94" s="545"/>
      <c r="CO94" s="560"/>
      <c r="CP94" s="560">
        <f t="shared" si="201"/>
        <v>318.32460558227876</v>
      </c>
      <c r="CQ94" s="560"/>
      <c r="CR94" s="560">
        <f ca="1">IF(B94&gt;Summary!$A$1,#N/A,CP94*MGtoAF)</f>
        <v>976.61988992643126</v>
      </c>
      <c r="CS94" s="560">
        <f>Sheet1!BK96+Sheet1!BL96+Sheet1!BM96-Sheet1!ER96-DA94</f>
        <v>5.15</v>
      </c>
      <c r="CT94" s="560">
        <f t="shared" si="202"/>
        <v>5.1539554531490017</v>
      </c>
      <c r="CU94" s="560">
        <f>IF(Sheet1!ER96="FM",DA94,0)</f>
        <v>0</v>
      </c>
      <c r="CV94" s="560">
        <f t="shared" si="203"/>
        <v>0</v>
      </c>
      <c r="CW94" s="560">
        <f>IF(Sheet1!ER96="OTHER",DA94,0)</f>
        <v>0</v>
      </c>
      <c r="CX94" s="560">
        <f t="shared" si="204"/>
        <v>0</v>
      </c>
      <c r="CY94" s="560">
        <f t="shared" si="205"/>
        <v>5.15</v>
      </c>
      <c r="CZ94" s="560">
        <f t="shared" si="206"/>
        <v>5.1539554531490017</v>
      </c>
      <c r="DA94" s="560">
        <f>IF(OR(Sheet1!ER96="FM", Sheet1!ER96="OTHER"),SUM(Sheet1!BK96:'Sheet1'!BM96),0)</f>
        <v>0</v>
      </c>
      <c r="DB94" s="545">
        <f>IF(AND($B94&gt;=$FV94,$B94&lt;=$FW94),MAX($CT94,Sheet1!EK96,0),MAX($CT94-(7/36)*$K94,0))</f>
        <v>0</v>
      </c>
      <c r="DC94" s="560">
        <f t="shared" si="207"/>
        <v>7.4149334357398873</v>
      </c>
      <c r="DD94" s="545">
        <f t="shared" si="208"/>
        <v>5.1539554531490017</v>
      </c>
      <c r="DE94" s="545">
        <f>IF(AND($O94&gt;0,Sheet1!EO96=1),(1-($O94-Sheet1!$L96)/$O94)*CZ94,0)</f>
        <v>0</v>
      </c>
      <c r="DF94" s="545">
        <f>IF(AND(Sheet1!$L96=0,Sheet1!$L95=0, Calculation!CY94&lt;Sheet1!$EK96-0.1,Sheet1!$EK96=Sheet1!$EK95,Sheet1!$EK96=Sheet1!$EK97),Sheet1!$EK96,CZ94-DE94)</f>
        <v>5.1539554531490017</v>
      </c>
      <c r="DG94" s="545"/>
      <c r="DH94" s="560">
        <f t="shared" si="209"/>
        <v>8.65</v>
      </c>
      <c r="DI94" s="560">
        <f t="shared" si="210"/>
        <v>232.25407506752975</v>
      </c>
      <c r="DJ94" s="698">
        <f t="shared" si="211"/>
        <v>8.6566436251920127</v>
      </c>
      <c r="DK94" s="560">
        <f ca="1">IF(B94&gt;Summary!$A$1,#N/A,DI94*MGtoAF)</f>
        <v>712.55550230718131</v>
      </c>
      <c r="DL94" s="698">
        <f t="shared" si="212"/>
        <v>8.65</v>
      </c>
      <c r="DM94" s="560">
        <f t="shared" si="213"/>
        <v>26.04</v>
      </c>
      <c r="DN94" s="560">
        <f>Sheet1!AB96-DM94</f>
        <v>1.9999999999999574E-2</v>
      </c>
      <c r="DO94" s="823">
        <f t="shared" si="214"/>
        <v>7.6804915514591297E-4</v>
      </c>
      <c r="DP94" s="560">
        <f>(VLOOKUP(Sheet1!DC96,hhdcap_wcm,4)-(((VLOOKUP(Sheet1!DC96,hhdcap_wcm,3)-Sheet1!DC96)/(VLOOKUP(Sheet1!DC96,hhdcap_wcm,3)-VLOOKUP(Sheet1!DC96,hhdcap_wcm,1)))*(VLOOKUP(Sheet1!DC96,hhdcap_wcm,4)-VLOOKUP(Sheet1!DC96,hhdcap_wcm,2))))</f>
        <v>19824.200000049674</v>
      </c>
      <c r="DQ94" s="560">
        <f t="shared" si="215"/>
        <v>6.6000000000021828</v>
      </c>
      <c r="DR94" s="560">
        <f t="shared" si="216"/>
        <v>3.3282904689874844</v>
      </c>
      <c r="DS94" s="560">
        <f>Sheet1!EA96*AFtoMG</f>
        <v>0</v>
      </c>
      <c r="DT94" s="560">
        <f>Sheet1!EB96*AFtoMG</f>
        <v>0</v>
      </c>
      <c r="DU94" s="560">
        <f>Sheet1!EC96*AFtoMG</f>
        <v>0</v>
      </c>
      <c r="DV94" s="560">
        <f>Sheet1!ED96*AFtoMG</f>
        <v>0</v>
      </c>
      <c r="DW94" s="560">
        <f t="shared" si="217"/>
        <v>0</v>
      </c>
      <c r="DX94" s="560">
        <f t="shared" si="218"/>
        <v>0</v>
      </c>
      <c r="DY94" s="560">
        <f t="shared" si="219"/>
        <v>1814.6497917609188</v>
      </c>
      <c r="DZ94" s="560">
        <f t="shared" si="220"/>
        <v>5567.345561122499</v>
      </c>
      <c r="EA94" s="560"/>
      <c r="EB94" s="545">
        <f>IF(OR(B94&lt;FV94,B94&gt;FW94),(MIN(BF94+BY94+CT94+MAX(Sheet1!AA96+AQ94-73,0),K94)),0)</f>
        <v>8.6566436251920127</v>
      </c>
      <c r="EC94" s="560"/>
      <c r="ED94" s="560">
        <f t="shared" si="221"/>
        <v>8.6566436251920127</v>
      </c>
      <c r="EE94" s="560"/>
      <c r="EF94" s="560">
        <f>Sheet1!EH96+Sheet1!EI96+Sheet1!EJ96+Sheet1!EK96</f>
        <v>8.65</v>
      </c>
      <c r="EG94" s="560"/>
      <c r="EH94" s="545">
        <f t="shared" si="222"/>
        <v>0</v>
      </c>
      <c r="EI94" s="560">
        <f>IF(Sheet1!ET96=1,SUM('Calculations II'!AT94:BA94)+'Calculations II'!BC94+Sheet1!BV96+'Calculations II'!BE94+AP94,SUM('Calculations II'!AT94:BA94)+'Calculations II'!BC94+Sheet1!BV96+'Calculations II'!BE94+AP94)</f>
        <v>51.206208000000004</v>
      </c>
      <c r="EJ94" s="560">
        <f>Sheet1!AA96+Sheet1!AB96+'Calculations II'!BC94</f>
        <v>55.121327999999991</v>
      </c>
      <c r="EK94" s="560"/>
      <c r="EL94" s="560"/>
      <c r="EM94" s="560">
        <f t="shared" si="223"/>
        <v>41722</v>
      </c>
      <c r="EN94" s="560">
        <f t="shared" si="224"/>
        <v>55.98335637480799</v>
      </c>
      <c r="EO94" s="560">
        <f t="shared" si="225"/>
        <v>86.606252311827959</v>
      </c>
      <c r="EP94" s="560">
        <v>0</v>
      </c>
      <c r="EQ94" s="560">
        <v>0</v>
      </c>
      <c r="ER94" s="560">
        <v>0</v>
      </c>
      <c r="ES94" s="545">
        <f t="shared" si="247"/>
        <v>1.3845273551814035</v>
      </c>
      <c r="ET94" s="560">
        <f>-(VLOOKUP(Sheet1!BQ96,Lookup!$O$4:$Q$262,2)-VLOOKUP(Sheet1!BQ95,Lookup!$O$4:$Q$262,2))/1000000</f>
        <v>0.69226367759070173</v>
      </c>
      <c r="EU94" s="560">
        <f>-(VLOOKUP(Sheet1!BR96,Lookup!$O$4:$Q$262,3)-VLOOKUP(Sheet1!BR95,Lookup!$O$4:$Q$262,3))/1000000</f>
        <v>0.69226367759070173</v>
      </c>
      <c r="EV94" s="560"/>
      <c r="EW94" s="560"/>
      <c r="EX94" s="560"/>
      <c r="EY94" s="560"/>
      <c r="EZ94" s="560"/>
      <c r="FA94" s="560"/>
      <c r="FB94" s="560"/>
      <c r="FC94" s="560"/>
      <c r="FD94" s="594" t="e">
        <f t="shared" si="226"/>
        <v>#N/A</v>
      </c>
      <c r="FE94" s="594" t="e">
        <f t="shared" si="227"/>
        <v>#N/A</v>
      </c>
      <c r="FF94" s="595" t="e">
        <f t="shared" si="228"/>
        <v>#N/A</v>
      </c>
      <c r="FG94" s="596" t="s">
        <v>692</v>
      </c>
      <c r="FH94" s="596" t="s">
        <v>692</v>
      </c>
      <c r="FI94" s="594" t="e">
        <v>#N/A</v>
      </c>
      <c r="FJ94" s="594" t="e">
        <v>#N/A</v>
      </c>
      <c r="FK94" s="560"/>
      <c r="FL94" s="560"/>
      <c r="FM94" s="560"/>
      <c r="FN94" s="560"/>
      <c r="FO94" s="560">
        <f>O94+((Sheet1!CS96)*GPMtoMGD)</f>
        <v>55.121327999999991</v>
      </c>
      <c r="FP94" s="560">
        <f>IF(Sheet1!AA96+AQ94&lt;=Calculation!N94,AQ94,Calculation!N94-Sheet1!AA96)</f>
        <v>16.412596006144391</v>
      </c>
      <c r="FQ94" s="560">
        <f>(Sheet1!BP96+Sheet1!BO96)/694.4</f>
        <v>1.5456509216589862</v>
      </c>
      <c r="FR94" s="560"/>
      <c r="FS94" s="560"/>
      <c r="FT94" s="560"/>
      <c r="FU94" s="560"/>
      <c r="FV94" s="695">
        <f t="shared" si="248"/>
        <v>41827</v>
      </c>
      <c r="FW94" s="695">
        <f t="shared" si="249"/>
        <v>41934</v>
      </c>
      <c r="FX94" s="560"/>
      <c r="FY94" s="560"/>
      <c r="FZ94" s="560"/>
      <c r="GA94" s="560"/>
      <c r="GB94" s="560" t="str">
        <f t="shared" si="250"/>
        <v>n</v>
      </c>
      <c r="GC94" s="564">
        <f t="shared" si="251"/>
        <v>41691</v>
      </c>
      <c r="GD94" s="695">
        <f t="shared" si="252"/>
        <v>41807</v>
      </c>
      <c r="GE94" s="560">
        <v>6518.9</v>
      </c>
      <c r="GF94" s="695">
        <f t="shared" si="253"/>
        <v>41808</v>
      </c>
      <c r="GG94" s="560">
        <f t="shared" si="272"/>
        <v>3259</v>
      </c>
      <c r="GH94" s="564">
        <f t="shared" si="254"/>
        <v>41934</v>
      </c>
      <c r="GJ94" s="545">
        <f t="shared" si="255"/>
        <v>0</v>
      </c>
      <c r="GK94" s="560" t="str">
        <f t="shared" si="229"/>
        <v/>
      </c>
      <c r="GL94" s="560">
        <f t="shared" si="256"/>
        <v>0</v>
      </c>
      <c r="GM94" s="560" t="str">
        <f t="shared" si="257"/>
        <v/>
      </c>
      <c r="GN94" s="560">
        <f>IF(GK94="P",Lookup!$M$12,IF(GK94="PP",Lookup!$M$13,IF(GK94="PPP",Lookup!$M$14,IF(GK94="T",Lookup!$M$15,IF(GK94="TP",Lookup!$M$16,IF(GK94="TPP",Lookup!$M$17,IF(GK94="TPPP",Lookup!$M$18,0)))))))*GJ94</f>
        <v>0</v>
      </c>
      <c r="GO94" s="560">
        <f t="shared" si="258"/>
        <v>0</v>
      </c>
      <c r="GP94" s="560">
        <f t="shared" si="230"/>
        <v>2644.2069333333311</v>
      </c>
      <c r="GQ94" s="560">
        <f t="shared" si="266"/>
        <v>861.86666666666599</v>
      </c>
      <c r="GR94" s="560"/>
      <c r="GS94" s="560">
        <f t="shared" si="259"/>
        <v>0</v>
      </c>
      <c r="GT94" s="560" t="str">
        <f t="shared" si="260"/>
        <v/>
      </c>
      <c r="GU94" s="560">
        <f>IF(GK94="P",Lookup!$N$12,IF(GK94="PP",Lookup!$N$13,IF(GK94="PPP",Lookup!$N$14,IF(GK94="T",Lookup!$N$15,IF(GK94="TP",Lookup!$N$16,IF(GK94="TPP",Lookup!$N$17,IF(GK94="TPPP",Lookup!$N$18,0)))))))*GJ94</f>
        <v>0</v>
      </c>
      <c r="GV94" s="560">
        <f t="shared" si="261"/>
        <v>0</v>
      </c>
      <c r="GW94" s="560">
        <f t="shared" si="231"/>
        <v>1233.963235555555</v>
      </c>
      <c r="GX94" s="560">
        <f t="shared" si="267"/>
        <v>402.20444444444422</v>
      </c>
      <c r="GY94" s="560"/>
      <c r="GZ94" s="560">
        <f t="shared" si="262"/>
        <v>0</v>
      </c>
      <c r="HA94" s="560" t="str">
        <f t="shared" si="263"/>
        <v/>
      </c>
      <c r="HB94" s="560">
        <f>IF(GK94="P",Lookup!$N$12,IF(GK94="PP",Lookup!$N$13,IF(GK94="PPP",Lookup!$N$14,IF(GK94="T",Lookup!$N$15,IF(GK94="TP",Lookup!$N$16,IF(GK94="TPP",Lookup!$N$17,IF(GK94="TPPP",Lookup!$N$18,0)))))))*GJ94</f>
        <v>0</v>
      </c>
      <c r="HC94" s="545">
        <f t="shared" si="232"/>
        <v>0</v>
      </c>
      <c r="HD94" s="560">
        <f t="shared" si="233"/>
        <v>976.61988992643126</v>
      </c>
      <c r="HE94" s="560">
        <f t="shared" si="268"/>
        <v>318.32460558227876</v>
      </c>
      <c r="HF94" s="560"/>
      <c r="HG94" s="560">
        <f t="shared" si="264"/>
        <v>0</v>
      </c>
      <c r="HH94" s="560" t="str">
        <f t="shared" si="265"/>
        <v/>
      </c>
      <c r="HI94" s="560">
        <f>IF(GK94="P",Lookup!$N$12,IF(GK94="PP",Lookup!$N$13,IF(GK94="PPP",Lookup!$N$14,IF(GK94="T",Lookup!$N$15,IF(GK94="TP",Lookup!$N$16,IF(GK94="TPP",Lookup!$N$17,IF(GK94="TPPP",Lookup!$N$18,0)))))))*GJ94</f>
        <v>0</v>
      </c>
      <c r="HJ94" s="545">
        <f t="shared" si="234"/>
        <v>0</v>
      </c>
      <c r="HK94" s="560">
        <f t="shared" si="235"/>
        <v>712.55550230718131</v>
      </c>
      <c r="HL94" s="560">
        <f t="shared" si="269"/>
        <v>232.25407506752975</v>
      </c>
      <c r="HM94" s="560"/>
    </row>
    <row r="95" spans="1:221">
      <c r="A95" s="580" t="s">
        <v>5</v>
      </c>
      <c r="B95" s="556">
        <v>41723</v>
      </c>
      <c r="C95" s="561">
        <v>0</v>
      </c>
      <c r="D95" s="529">
        <f t="shared" si="270"/>
        <v>300</v>
      </c>
      <c r="E95" s="529">
        <f t="shared" si="271"/>
        <v>250</v>
      </c>
      <c r="F95" s="529">
        <v>250</v>
      </c>
      <c r="G95" s="560">
        <f>DR95+Sheet1!CZ97</f>
        <v>1220.6101865865128</v>
      </c>
      <c r="H95" s="914">
        <f t="shared" si="236"/>
        <v>522.03922460952185</v>
      </c>
      <c r="I95" s="559">
        <f>MAX(Sheet1!Z97-AT95+(Sheet1!DA97-E95)*CFStoMGD,0)</f>
        <v>1241.2919999999999</v>
      </c>
      <c r="J95" s="562">
        <f>IF(AND(B95&gt;=Calculation!GC95,B95&lt;=Calculation!GD95),IF(Sheet1!DB97&gt;=Calculation!D95,64.64,0),MAX(Sheet1!Z97-AT95+(Sheet1!DB97-D95)*CFStoMGD,0))</f>
        <v>64.64</v>
      </c>
      <c r="K95" s="904">
        <f t="shared" si="171"/>
        <v>64.64</v>
      </c>
      <c r="L95" s="560">
        <f>Sheet1!AA97+Sheet1!AB97-Sheet1!L97+(Sheet1!DA97-F95)*CFStoMGD</f>
        <v>1215.232</v>
      </c>
      <c r="M95" s="560">
        <f t="shared" si="172"/>
        <v>804.7824731017123</v>
      </c>
      <c r="N95" s="910">
        <f>IF(Sheet1!DA97&gt;=F95,MIN(73,MIN(MAX(L95,0),MAX(M95,0))),0)</f>
        <v>73</v>
      </c>
      <c r="O95" s="563">
        <f>Sheet1!AA97+Sheet1!AB97</f>
        <v>46.54</v>
      </c>
      <c r="P95" s="563">
        <f t="shared" si="173"/>
        <v>71.997379999999993</v>
      </c>
      <c r="Q95" s="898">
        <f t="shared" si="237"/>
        <v>37.869999999999997</v>
      </c>
      <c r="R95" s="829">
        <f t="shared" si="174"/>
        <v>8.660023014959723</v>
      </c>
      <c r="S95" s="898">
        <f t="shared" si="238"/>
        <v>8.67</v>
      </c>
      <c r="T95" s="898">
        <f t="shared" si="239"/>
        <v>55.97</v>
      </c>
      <c r="U95" s="898">
        <f t="shared" si="240"/>
        <v>0</v>
      </c>
      <c r="V95" s="898"/>
      <c r="W95" s="898">
        <f t="shared" si="241"/>
        <v>55.979976985040281</v>
      </c>
      <c r="X95" s="898">
        <f t="shared" si="242"/>
        <v>64.64</v>
      </c>
      <c r="Y95" s="898" t="str">
        <f t="shared" si="243"/>
        <v>FALSE</v>
      </c>
      <c r="Z95" s="898">
        <f t="shared" si="244"/>
        <v>46.54</v>
      </c>
      <c r="AA95" s="898">
        <f t="shared" si="245"/>
        <v>46.54</v>
      </c>
      <c r="AB95" s="898" t="str">
        <f t="shared" si="246"/>
        <v/>
      </c>
      <c r="AC95" s="563">
        <f>Sheet1!Y97*MGDtoCFS</f>
        <v>31.945549999999997</v>
      </c>
      <c r="AD95" s="563">
        <f>Sheet1!Z97*MGDtoCFS</f>
        <v>40.314819999999997</v>
      </c>
      <c r="AE95" s="563">
        <f>Sheet1!AA97*MGDtoCFS</f>
        <v>31.7135</v>
      </c>
      <c r="AF95" s="563">
        <f>Sheet1!AB97*MGDtoCFS</f>
        <v>40.283879999999996</v>
      </c>
      <c r="AG95" s="563">
        <f>Sheet1!L97*MGDtoCFS</f>
        <v>71.997379999999993</v>
      </c>
      <c r="AH95" s="545">
        <f t="shared" si="175"/>
        <v>0</v>
      </c>
      <c r="AI95" s="560">
        <f t="shared" si="176"/>
        <v>0</v>
      </c>
      <c r="AJ95" s="560">
        <f t="shared" si="177"/>
        <v>55.979976985040281</v>
      </c>
      <c r="AK95" s="560">
        <f t="shared" si="178"/>
        <v>86.601024395857308</v>
      </c>
      <c r="AL95" s="560">
        <f>(VLOOKUP(Sheet1!DC97,hhdcap_wcm,4)-(((VLOOKUP(Sheet1!DC97,hhdcap_wcm,3)-Sheet1!DC97)/(VLOOKUP(Sheet1!DC97,hhdcap_wcm,3)-VLOOKUP(Sheet1!DC97,hhdcap_wcm,1)))*(VLOOKUP(Sheet1!DC97,hhdcap_wcm,4)-VLOOKUP(Sheet1!DC97,hhdcap_wcm,2))))</f>
        <v>20083.200000050729</v>
      </c>
      <c r="AM95" s="560">
        <f t="shared" si="179"/>
        <v>259.00000000105501</v>
      </c>
      <c r="AN95" s="560">
        <f t="shared" si="180"/>
        <v>1870.6297687459589</v>
      </c>
      <c r="AO95" s="560">
        <f t="shared" si="181"/>
        <v>5739.0921305126021</v>
      </c>
      <c r="AP95" s="560">
        <f>Sheet1!BA97+Sheet1!BB97+Sheet1!BN97+CD95</f>
        <v>17.399999999999999</v>
      </c>
      <c r="AQ95" s="560">
        <f>Sheet1!BN97+(DO95*Sheet1!BN97)</f>
        <v>16.381127733026464</v>
      </c>
      <c r="AR95" s="560">
        <f>Sheet1!BA97+CD95</f>
        <v>0</v>
      </c>
      <c r="AS95" s="560">
        <f>Sheet1!BA97+Sheet1!BB97+CD95</f>
        <v>1</v>
      </c>
      <c r="AT95" s="698">
        <f>0</f>
        <v>0</v>
      </c>
      <c r="AU95" s="560">
        <f>IF(EB95&lt;K95,0,MAX(Sheet1!AA97+AQ95-15/36*K95-N95,Sheet1!EH97,0))</f>
        <v>0</v>
      </c>
      <c r="AV95" s="560">
        <f>IF(OR(B95&gt;=GD95,B95&lt;GC95),0,15/36*K95-MAX(0,64.6-(137.6-(Sheet1!AA97+Sheet1!AB97))))</f>
        <v>26.933333333333334</v>
      </c>
      <c r="AW95" s="698">
        <f>Sheet1!DB97-110</f>
        <v>970</v>
      </c>
      <c r="AX95" s="698">
        <f>Sheet1!DA97-265</f>
        <v>1865</v>
      </c>
      <c r="AY95" s="698">
        <f t="shared" si="182"/>
        <v>35.130000000000003</v>
      </c>
      <c r="AZ95" s="698">
        <v>0</v>
      </c>
      <c r="BA95" s="698">
        <f t="shared" si="183"/>
        <v>0</v>
      </c>
      <c r="BB95" s="560">
        <f t="shared" si="184"/>
        <v>888.79999999999927</v>
      </c>
      <c r="BC95" s="560"/>
      <c r="BD95" s="560">
        <f ca="1">IF(B95&gt;Summary!$A$1,#N/A,BB95*MGtoAF)</f>
        <v>2726.8383999999978</v>
      </c>
      <c r="BE95" s="560">
        <f>Sheet1!BG97+Sheet1!BH97+Sheet1!BI97-BM95</f>
        <v>0</v>
      </c>
      <c r="BF95" s="560">
        <f t="shared" si="185"/>
        <v>0</v>
      </c>
      <c r="BG95" s="560">
        <f>IF(Sheet1!EP97="FM",BM95,0)</f>
        <v>0</v>
      </c>
      <c r="BH95" s="560">
        <f t="shared" si="186"/>
        <v>0</v>
      </c>
      <c r="BI95" s="560">
        <f>IF(Sheet1!EP97="OTHER",BM95,0)</f>
        <v>0</v>
      </c>
      <c r="BJ95" s="560">
        <f t="shared" si="187"/>
        <v>0</v>
      </c>
      <c r="BK95" s="560">
        <f t="shared" si="188"/>
        <v>0</v>
      </c>
      <c r="BL95" s="560">
        <f t="shared" si="189"/>
        <v>0</v>
      </c>
      <c r="BM95" s="560">
        <f>IF(OR(Sheet1!EP97="FM", Sheet1!EP97="OTHER"),SUM(Sheet1!BG97:'Sheet1'!BI97),0)</f>
        <v>0</v>
      </c>
      <c r="BN95" s="545">
        <f>IF(AND($B95&gt;=$FV95,$B95&lt;=$FW95),MAX(BF95,Sheet1!EI97,0),MAX(BF95-(7/36)*$K95,0))</f>
        <v>0</v>
      </c>
      <c r="BO95" s="560">
        <f t="shared" si="190"/>
        <v>12.568888888888889</v>
      </c>
      <c r="BP95" s="545">
        <f t="shared" si="191"/>
        <v>0</v>
      </c>
      <c r="BQ95" s="545">
        <f>IF(AND($O95&gt;0,Sheet1!EM97=1),(1-($O95-Sheet1!$L97)/$O95)*BL95,0)</f>
        <v>0</v>
      </c>
      <c r="BR95" s="545">
        <f>IF(AND(Sheet1!$L97=0,Sheet1!$L96=0, Calculation!BK95&lt;Sheet1!$EI97-0.1,Sheet1!$EI97=Sheet1!$EI96,Sheet1!$EI97=Sheet1!$EI98),Sheet1!$EI97,BL95-BQ95)</f>
        <v>0</v>
      </c>
      <c r="BS95" s="560"/>
      <c r="BT95" s="560"/>
      <c r="BU95" s="560">
        <f t="shared" si="192"/>
        <v>414.77333333333308</v>
      </c>
      <c r="BV95" s="560"/>
      <c r="BW95" s="560">
        <f ca="1">IF(B95&gt;Summary!$A$1,#N/A,BU95*MGtoAF)</f>
        <v>1272.524586666666</v>
      </c>
      <c r="BX95" s="560">
        <f>Sheet1!BC97+Sheet1!BD97+Sheet1!BE97+Sheet1!BF97-CG95-CH95</f>
        <v>3.5</v>
      </c>
      <c r="BY95" s="560">
        <f t="shared" si="193"/>
        <v>3.4959723820483313</v>
      </c>
      <c r="BZ95" s="560">
        <f>IF(Sheet1!EQ97="FM",CH95,0)</f>
        <v>0</v>
      </c>
      <c r="CA95" s="560">
        <f t="shared" si="194"/>
        <v>0</v>
      </c>
      <c r="CB95" s="560">
        <f>IF(Sheet1!EQ97="OTHER",CH95,0)</f>
        <v>0</v>
      </c>
      <c r="CC95" s="560">
        <f t="shared" si="195"/>
        <v>0</v>
      </c>
      <c r="CD95" s="560">
        <f t="shared" si="196"/>
        <v>0</v>
      </c>
      <c r="CE95" s="560">
        <f t="shared" si="197"/>
        <v>3.5</v>
      </c>
      <c r="CF95" s="560">
        <f t="shared" si="198"/>
        <v>3.4959723820483313</v>
      </c>
      <c r="CG95" s="560">
        <f>IF(Sheet1!EQ97="CWA",SUM(Sheet1!BC97:'Sheet1'!BF97),0)</f>
        <v>0</v>
      </c>
      <c r="CH95" s="560">
        <f>IF(OR(Sheet1!EQ97="FM", Sheet1!EQ97="OTHER"),SUM(Sheet1!BC97:'Sheet1'!BF97),0)</f>
        <v>0</v>
      </c>
      <c r="CI95" s="545">
        <f>IF(AND($B95&gt;=$FV95,$B95&lt;=$FW95),MAX(CF95,Sheet1!EJ97,0),MAX(CF95-(7/36)*$K95,0))</f>
        <v>0</v>
      </c>
      <c r="CJ95" s="560">
        <f t="shared" si="199"/>
        <v>9.0729165068405582</v>
      </c>
      <c r="CK95" s="545">
        <f t="shared" si="200"/>
        <v>3.4959723820483313</v>
      </c>
      <c r="CL95" s="545">
        <f>IF(AND($O95&gt;0,Sheet1!EN97=1),(1-($O95-Sheet1!$L97)/$O95)*CF95,0)</f>
        <v>0</v>
      </c>
      <c r="CM95" s="545">
        <f>IF(AND(Sheet1!$L97=0,Sheet1!$L96=0, Calculation!CE95&lt;Sheet1!EJ97-0.1,Sheet1!EJ97=Sheet1!EJ96,Sheet1!EJ97=Sheet1!EJ98),Sheet1!EJ97,CF95-CL95)</f>
        <v>3.4959723820483313</v>
      </c>
      <c r="CN95" s="545"/>
      <c r="CO95" s="560"/>
      <c r="CP95" s="560">
        <f t="shared" si="201"/>
        <v>327.39752208911932</v>
      </c>
      <c r="CQ95" s="560"/>
      <c r="CR95" s="560">
        <f ca="1">IF(B95&gt;Summary!$A$1,#N/A,CP95*MGtoAF)</f>
        <v>1004.4555977694181</v>
      </c>
      <c r="CS95" s="560">
        <f>Sheet1!BK97+Sheet1!BL97+Sheet1!BM97-Sheet1!ER97-DA95</f>
        <v>5.17</v>
      </c>
      <c r="CT95" s="560">
        <f t="shared" si="202"/>
        <v>5.1640506329113922</v>
      </c>
      <c r="CU95" s="560">
        <f>IF(Sheet1!ER97="FM",DA95,0)</f>
        <v>0</v>
      </c>
      <c r="CV95" s="560">
        <f t="shared" si="203"/>
        <v>0</v>
      </c>
      <c r="CW95" s="560">
        <f>IF(Sheet1!ER97="OTHER",DA95,0)</f>
        <v>0</v>
      </c>
      <c r="CX95" s="560">
        <f t="shared" si="204"/>
        <v>0</v>
      </c>
      <c r="CY95" s="560">
        <f t="shared" si="205"/>
        <v>5.17</v>
      </c>
      <c r="CZ95" s="560">
        <f t="shared" si="206"/>
        <v>5.1640506329113922</v>
      </c>
      <c r="DA95" s="560">
        <f>IF(OR(Sheet1!ER97="FM", Sheet1!ER97="OTHER"),SUM(Sheet1!BK97:'Sheet1'!BM97),0)</f>
        <v>0</v>
      </c>
      <c r="DB95" s="545">
        <f>IF(AND($B95&gt;=$FV95,$B95&lt;=$FW95),MAX($CT95,Sheet1!EK97,0),MAX($CT95-(7/36)*$K95,0))</f>
        <v>0</v>
      </c>
      <c r="DC95" s="560">
        <f t="shared" si="207"/>
        <v>7.4048382559774968</v>
      </c>
      <c r="DD95" s="545">
        <f t="shared" si="208"/>
        <v>5.1640506329113922</v>
      </c>
      <c r="DE95" s="545">
        <f>IF(AND($O95&gt;0,Sheet1!EO97=1),(1-($O95-Sheet1!$L97)/$O95)*CZ95,0)</f>
        <v>0</v>
      </c>
      <c r="DF95" s="545">
        <f>IF(AND(Sheet1!$L97=0,Sheet1!$L96=0, Calculation!CY95&lt;Sheet1!$EK97-0.1,Sheet1!$EK97=Sheet1!$EK96,Sheet1!$EK97=Sheet1!$EK98),Sheet1!$EK97,CZ95-DE95)</f>
        <v>5.1640506329113922</v>
      </c>
      <c r="DG95" s="545"/>
      <c r="DH95" s="560">
        <f t="shared" si="209"/>
        <v>8.67</v>
      </c>
      <c r="DI95" s="560">
        <f t="shared" si="210"/>
        <v>239.65891332350725</v>
      </c>
      <c r="DJ95" s="698">
        <f t="shared" si="211"/>
        <v>8.660023014959723</v>
      </c>
      <c r="DK95" s="560">
        <f ca="1">IF(B95&gt;Summary!$A$1,#N/A,DI95*MGtoAF)</f>
        <v>735.27354607652023</v>
      </c>
      <c r="DL95" s="698">
        <f t="shared" si="212"/>
        <v>8.67</v>
      </c>
      <c r="DM95" s="560">
        <f t="shared" si="213"/>
        <v>26.07</v>
      </c>
      <c r="DN95" s="560">
        <f>Sheet1!AB97-DM95</f>
        <v>-3.0000000000001137E-2</v>
      </c>
      <c r="DO95" s="823">
        <f t="shared" si="214"/>
        <v>-1.1507479861910678E-3</v>
      </c>
      <c r="DP95" s="560">
        <f>(VLOOKUP(Sheet1!DC97,hhdcap_wcm,4)-(((VLOOKUP(Sheet1!DC97,hhdcap_wcm,3)-Sheet1!DC97)/(VLOOKUP(Sheet1!DC97,hhdcap_wcm,3)-VLOOKUP(Sheet1!DC97,hhdcap_wcm,1)))*(VLOOKUP(Sheet1!DC97,hhdcap_wcm,4)-VLOOKUP(Sheet1!DC97,hhdcap_wcm,2))))</f>
        <v>20083.200000050729</v>
      </c>
      <c r="DQ95" s="560">
        <f t="shared" si="215"/>
        <v>259.00000000105501</v>
      </c>
      <c r="DR95" s="560">
        <f t="shared" si="216"/>
        <v>130.61018658651284</v>
      </c>
      <c r="DS95" s="560">
        <f>Sheet1!EA97*AFtoMG</f>
        <v>0</v>
      </c>
      <c r="DT95" s="560">
        <f>Sheet1!EB97*AFtoMG</f>
        <v>0</v>
      </c>
      <c r="DU95" s="560">
        <f>Sheet1!EC97*AFtoMG</f>
        <v>0</v>
      </c>
      <c r="DV95" s="560">
        <f>Sheet1!ED97*AFtoMG</f>
        <v>0</v>
      </c>
      <c r="DW95" s="560">
        <f t="shared" si="217"/>
        <v>0</v>
      </c>
      <c r="DX95" s="560">
        <f t="shared" si="218"/>
        <v>0</v>
      </c>
      <c r="DY95" s="560">
        <f t="shared" si="219"/>
        <v>1870.6297687459589</v>
      </c>
      <c r="DZ95" s="560">
        <f t="shared" si="220"/>
        <v>5739.0921305126021</v>
      </c>
      <c r="EA95" s="560"/>
      <c r="EB95" s="545">
        <f>IF(OR(B95&lt;FV95,B95&gt;FW95),(MIN(BF95+BY95+CT95+MAX(Sheet1!AA97+AQ95-73,0),K95)),0)</f>
        <v>8.660023014959723</v>
      </c>
      <c r="EC95" s="560"/>
      <c r="ED95" s="560">
        <f t="shared" si="221"/>
        <v>8.660023014959723</v>
      </c>
      <c r="EE95" s="560"/>
      <c r="EF95" s="560">
        <f>Sheet1!EH97+Sheet1!EI97+Sheet1!EJ97+Sheet1!EK97</f>
        <v>8.67</v>
      </c>
      <c r="EG95" s="560"/>
      <c r="EH95" s="545">
        <f t="shared" si="222"/>
        <v>0</v>
      </c>
      <c r="EI95" s="560">
        <f>IF(Sheet1!ET97=1,SUM('Calculations II'!AT95:BA95)+'Calculations II'!BC95+Sheet1!BV97+'Calculations II'!BE95+AP95,SUM('Calculations II'!AT95:BA95)+'Calculations II'!BC95+Sheet1!BV97+'Calculations II'!BE95+AP95)</f>
        <v>48.962975999999998</v>
      </c>
      <c r="EJ95" s="560">
        <f>Sheet1!AA97+Sheet1!AB97+'Calculations II'!BC95</f>
        <v>56.243727999999997</v>
      </c>
      <c r="EK95" s="560"/>
      <c r="EL95" s="560"/>
      <c r="EM95" s="560">
        <f t="shared" si="223"/>
        <v>41723</v>
      </c>
      <c r="EN95" s="560">
        <f t="shared" si="224"/>
        <v>55.979976985040281</v>
      </c>
      <c r="EO95" s="560">
        <f t="shared" si="225"/>
        <v>86.601024395857308</v>
      </c>
      <c r="EP95" s="560">
        <v>0</v>
      </c>
      <c r="EQ95" s="560">
        <v>0</v>
      </c>
      <c r="ER95" s="560">
        <v>0</v>
      </c>
      <c r="ES95" s="545">
        <f t="shared" si="247"/>
        <v>-2.0769127805438004</v>
      </c>
      <c r="ET95" s="560">
        <f>-(VLOOKUP(Sheet1!BQ97,Lookup!$O$4:$Q$262,2)-VLOOKUP(Sheet1!BQ96,Lookup!$O$4:$Q$262,2))/1000000</f>
        <v>-1.1076987776924223</v>
      </c>
      <c r="EU95" s="560">
        <f>-(VLOOKUP(Sheet1!BR97,Lookup!$O$4:$Q$262,3)-VLOOKUP(Sheet1!BR96,Lookup!$O$4:$Q$262,3))/1000000</f>
        <v>-0.96921400285137815</v>
      </c>
      <c r="EV95" s="560"/>
      <c r="EW95" s="560"/>
      <c r="EX95" s="560"/>
      <c r="EY95" s="560"/>
      <c r="EZ95" s="560"/>
      <c r="FA95" s="560"/>
      <c r="FB95" s="560"/>
      <c r="FC95" s="560"/>
      <c r="FD95" s="594" t="e">
        <f t="shared" si="226"/>
        <v>#N/A</v>
      </c>
      <c r="FE95" s="594" t="e">
        <f t="shared" si="227"/>
        <v>#N/A</v>
      </c>
      <c r="FF95" s="595" t="e">
        <f t="shared" si="228"/>
        <v>#N/A</v>
      </c>
      <c r="FG95" s="596" t="s">
        <v>692</v>
      </c>
      <c r="FH95" s="596" t="s">
        <v>692</v>
      </c>
      <c r="FI95" s="594" t="e">
        <v>#N/A</v>
      </c>
      <c r="FJ95" s="594" t="e">
        <v>#N/A</v>
      </c>
      <c r="FK95" s="560"/>
      <c r="FL95" s="560"/>
      <c r="FM95" s="560"/>
      <c r="FN95" s="560"/>
      <c r="FO95" s="560">
        <f>O95+((Sheet1!CS97)*GPMtoMGD)</f>
        <v>56.243727999999997</v>
      </c>
      <c r="FP95" s="560">
        <f>IF(Sheet1!AA97+AQ95&lt;=Calculation!N95,AQ95,Calculation!N95-Sheet1!AA97)</f>
        <v>16.381127733026464</v>
      </c>
      <c r="FQ95" s="560">
        <f>(Sheet1!BP97+Sheet1!BO97)/694.4</f>
        <v>1.4792626728110601</v>
      </c>
      <c r="FR95" s="560"/>
      <c r="FS95" s="560"/>
      <c r="FT95" s="560"/>
      <c r="FU95" s="560"/>
      <c r="FV95" s="695">
        <f t="shared" si="248"/>
        <v>41827</v>
      </c>
      <c r="FW95" s="695">
        <f t="shared" si="249"/>
        <v>41934</v>
      </c>
      <c r="FX95" s="560"/>
      <c r="FY95" s="560"/>
      <c r="FZ95" s="560"/>
      <c r="GA95" s="560"/>
      <c r="GB95" s="560" t="str">
        <f t="shared" si="250"/>
        <v>n</v>
      </c>
      <c r="GC95" s="564">
        <f t="shared" si="251"/>
        <v>41691</v>
      </c>
      <c r="GD95" s="695">
        <f t="shared" si="252"/>
        <v>41807</v>
      </c>
      <c r="GE95" s="560">
        <v>6518.9</v>
      </c>
      <c r="GF95" s="695">
        <f t="shared" si="253"/>
        <v>41808</v>
      </c>
      <c r="GG95" s="560">
        <f t="shared" si="272"/>
        <v>3259</v>
      </c>
      <c r="GH95" s="564">
        <f t="shared" si="254"/>
        <v>41934</v>
      </c>
      <c r="GJ95" s="545">
        <f t="shared" si="255"/>
        <v>0</v>
      </c>
      <c r="GK95" s="560" t="str">
        <f t="shared" si="229"/>
        <v/>
      </c>
      <c r="GL95" s="560">
        <f t="shared" si="256"/>
        <v>0</v>
      </c>
      <c r="GM95" s="560" t="str">
        <f t="shared" si="257"/>
        <v/>
      </c>
      <c r="GN95" s="560">
        <f>IF(GK95="P",Lookup!$M$12,IF(GK95="PP",Lookup!$M$13,IF(GK95="PPP",Lookup!$M$14,IF(GK95="T",Lookup!$M$15,IF(GK95="TP",Lookup!$M$16,IF(GK95="TPP",Lookup!$M$17,IF(GK95="TPPP",Lookup!$M$18,0)))))))*GJ95</f>
        <v>0</v>
      </c>
      <c r="GO95" s="560">
        <f t="shared" si="258"/>
        <v>0</v>
      </c>
      <c r="GP95" s="560">
        <f t="shared" si="230"/>
        <v>2726.8383999999978</v>
      </c>
      <c r="GQ95" s="560">
        <f t="shared" si="266"/>
        <v>888.79999999999927</v>
      </c>
      <c r="GR95" s="560"/>
      <c r="GS95" s="560">
        <f t="shared" si="259"/>
        <v>0</v>
      </c>
      <c r="GT95" s="560" t="str">
        <f t="shared" si="260"/>
        <v/>
      </c>
      <c r="GU95" s="560">
        <f>IF(GK95="P",Lookup!$N$12,IF(GK95="PP",Lookup!$N$13,IF(GK95="PPP",Lookup!$N$14,IF(GK95="T",Lookup!$N$15,IF(GK95="TP",Lookup!$N$16,IF(GK95="TPP",Lookup!$N$17,IF(GK95="TPPP",Lookup!$N$18,0)))))))*GJ95</f>
        <v>0</v>
      </c>
      <c r="GV95" s="560">
        <f t="shared" si="261"/>
        <v>0</v>
      </c>
      <c r="GW95" s="560">
        <f t="shared" si="231"/>
        <v>1272.524586666666</v>
      </c>
      <c r="GX95" s="560">
        <f t="shared" si="267"/>
        <v>414.77333333333308</v>
      </c>
      <c r="GY95" s="560"/>
      <c r="GZ95" s="560">
        <f t="shared" si="262"/>
        <v>0</v>
      </c>
      <c r="HA95" s="560" t="str">
        <f t="shared" si="263"/>
        <v/>
      </c>
      <c r="HB95" s="560">
        <f>IF(GK95="P",Lookup!$N$12,IF(GK95="PP",Lookup!$N$13,IF(GK95="PPP",Lookup!$N$14,IF(GK95="T",Lookup!$N$15,IF(GK95="TP",Lookup!$N$16,IF(GK95="TPP",Lookup!$N$17,IF(GK95="TPPP",Lookup!$N$18,0)))))))*GJ95</f>
        <v>0</v>
      </c>
      <c r="HC95" s="545">
        <f t="shared" si="232"/>
        <v>0</v>
      </c>
      <c r="HD95" s="560">
        <f t="shared" si="233"/>
        <v>1004.4555977694181</v>
      </c>
      <c r="HE95" s="560">
        <f t="shared" si="268"/>
        <v>327.39752208911932</v>
      </c>
      <c r="HF95" s="560"/>
      <c r="HG95" s="560">
        <f t="shared" si="264"/>
        <v>0</v>
      </c>
      <c r="HH95" s="560" t="str">
        <f t="shared" si="265"/>
        <v/>
      </c>
      <c r="HI95" s="560">
        <f>IF(GK95="P",Lookup!$N$12,IF(GK95="PP",Lookup!$N$13,IF(GK95="PPP",Lookup!$N$14,IF(GK95="T",Lookup!$N$15,IF(GK95="TP",Lookup!$N$16,IF(GK95="TPP",Lookup!$N$17,IF(GK95="TPPP",Lookup!$N$18,0)))))))*GJ95</f>
        <v>0</v>
      </c>
      <c r="HJ95" s="545">
        <f t="shared" si="234"/>
        <v>0</v>
      </c>
      <c r="HK95" s="560">
        <f t="shared" si="235"/>
        <v>735.27354607652023</v>
      </c>
      <c r="HL95" s="560">
        <f t="shared" si="269"/>
        <v>239.65891332350725</v>
      </c>
      <c r="HM95" s="560"/>
    </row>
    <row r="96" spans="1:221">
      <c r="A96" s="580" t="s">
        <v>6</v>
      </c>
      <c r="B96" s="556">
        <v>41724</v>
      </c>
      <c r="C96" s="561">
        <v>0</v>
      </c>
      <c r="D96" s="529">
        <f t="shared" si="270"/>
        <v>300</v>
      </c>
      <c r="E96" s="529">
        <f t="shared" si="271"/>
        <v>250</v>
      </c>
      <c r="F96" s="529">
        <v>250</v>
      </c>
      <c r="G96" s="560">
        <f>DR96+Sheet1!CZ98</f>
        <v>1208.6636409478288</v>
      </c>
      <c r="H96" s="914">
        <f t="shared" si="236"/>
        <v>514.31697750867647</v>
      </c>
      <c r="I96" s="559">
        <f>MAX(Sheet1!Z98-AT96+(Sheet1!DA98-E96)*CFStoMGD,0)</f>
        <v>1215.4159999999999</v>
      </c>
      <c r="J96" s="562">
        <f>IF(AND(B96&gt;=Calculation!GC96,B96&lt;=Calculation!GD96),IF(Sheet1!DB98&gt;=Calculation!D96,64.64,0),MAX(Sheet1!Z98-AT96+(Sheet1!DB98-D96)*CFStoMGD,0))</f>
        <v>64.64</v>
      </c>
      <c r="K96" s="904">
        <f t="shared" si="171"/>
        <v>64.64</v>
      </c>
      <c r="L96" s="560">
        <f>Sheet1!AA98+Sheet1!AB98-Sheet1!L98+(Sheet1!DA98-F96)*CFStoMGD</f>
        <v>1189.376</v>
      </c>
      <c r="M96" s="560">
        <f t="shared" si="172"/>
        <v>796.90578105885004</v>
      </c>
      <c r="N96" s="910">
        <f>IF(Sheet1!DA98&gt;=F96,MIN(73,MIN(MAX(L96,0),MAX(M96,0))),0)</f>
        <v>73</v>
      </c>
      <c r="O96" s="563">
        <f>Sheet1!AA98+Sheet1!AB98</f>
        <v>46.57</v>
      </c>
      <c r="P96" s="563">
        <f t="shared" si="173"/>
        <v>72.043790000000001</v>
      </c>
      <c r="Q96" s="898">
        <f t="shared" si="237"/>
        <v>37.97</v>
      </c>
      <c r="R96" s="829">
        <f t="shared" si="174"/>
        <v>8.6231627549057333</v>
      </c>
      <c r="S96" s="898">
        <f t="shared" si="238"/>
        <v>8.6</v>
      </c>
      <c r="T96" s="898">
        <f t="shared" si="239"/>
        <v>56.04</v>
      </c>
      <c r="U96" s="898">
        <f t="shared" si="240"/>
        <v>0</v>
      </c>
      <c r="V96" s="898"/>
      <c r="W96" s="898">
        <f t="shared" si="241"/>
        <v>56.016837245094266</v>
      </c>
      <c r="X96" s="898">
        <f t="shared" si="242"/>
        <v>64.64</v>
      </c>
      <c r="Y96" s="898" t="str">
        <f t="shared" si="243"/>
        <v>FALSE</v>
      </c>
      <c r="Z96" s="898">
        <f t="shared" si="244"/>
        <v>46.57</v>
      </c>
      <c r="AA96" s="898">
        <f t="shared" si="245"/>
        <v>46.57</v>
      </c>
      <c r="AB96" s="898" t="str">
        <f t="shared" si="246"/>
        <v/>
      </c>
      <c r="AC96" s="563">
        <f>Sheet1!Y98*MGDtoCFS</f>
        <v>31.7135</v>
      </c>
      <c r="AD96" s="563">
        <f>Sheet1!Z98*MGDtoCFS</f>
        <v>40.283879999999996</v>
      </c>
      <c r="AE96" s="563">
        <f>Sheet1!AA98*MGDtoCFS</f>
        <v>31.72897</v>
      </c>
      <c r="AF96" s="563">
        <f>Sheet1!AB98*MGDtoCFS</f>
        <v>40.314819999999997</v>
      </c>
      <c r="AG96" s="563">
        <f>Sheet1!L98*MGDtoCFS</f>
        <v>72.043790000000001</v>
      </c>
      <c r="AH96" s="545">
        <f t="shared" si="175"/>
        <v>0</v>
      </c>
      <c r="AI96" s="560">
        <f t="shared" si="176"/>
        <v>0</v>
      </c>
      <c r="AJ96" s="560">
        <f t="shared" si="177"/>
        <v>56.016837245094266</v>
      </c>
      <c r="AK96" s="560">
        <f t="shared" si="178"/>
        <v>86.658047218160831</v>
      </c>
      <c r="AL96" s="560">
        <f>(VLOOKUP(Sheet1!DC98,hhdcap_wcm,4)-(((VLOOKUP(Sheet1!DC98,hhdcap_wcm,3)-Sheet1!DC98)/(VLOOKUP(Sheet1!DC98,hhdcap_wcm,3)-VLOOKUP(Sheet1!DC98,hhdcap_wcm,1)))*(VLOOKUP(Sheet1!DC98,hhdcap_wcm,4)-VLOOKUP(Sheet1!DC98,hhdcap_wcm,2))))</f>
        <v>20378.000000050273</v>
      </c>
      <c r="AM96" s="560">
        <f t="shared" si="179"/>
        <v>294.79999999954453</v>
      </c>
      <c r="AN96" s="560">
        <f t="shared" si="180"/>
        <v>1926.6466059910531</v>
      </c>
      <c r="AO96" s="560">
        <f t="shared" si="181"/>
        <v>5910.951787180551</v>
      </c>
      <c r="AP96" s="560">
        <f>Sheet1!BA98+Sheet1!BB98+Sheet1!BN98+CD96</f>
        <v>17.389999999999997</v>
      </c>
      <c r="AQ96" s="560">
        <f>Sheet1!BN98+(DO96*Sheet1!BN98)</f>
        <v>16.444170834936514</v>
      </c>
      <c r="AR96" s="560">
        <f>Sheet1!BA98+CD96</f>
        <v>0</v>
      </c>
      <c r="AS96" s="560">
        <f>Sheet1!BA98+Sheet1!BB98+CD96</f>
        <v>0.99</v>
      </c>
      <c r="AT96" s="698">
        <f>0</f>
        <v>0</v>
      </c>
      <c r="AU96" s="560">
        <f>IF(EB96&lt;K96,0,MAX(Sheet1!AA98+AQ96-15/36*K96-N96,Sheet1!EH98,0))</f>
        <v>0</v>
      </c>
      <c r="AV96" s="560">
        <f>IF(OR(B96&gt;=GD96,B96&lt;GC96),0,15/36*K96-MAX(0,64.6-(137.6-(Sheet1!AA98+Sheet1!AB98))))</f>
        <v>26.933333333333334</v>
      </c>
      <c r="AW96" s="698">
        <f>Sheet1!DB98-110</f>
        <v>960</v>
      </c>
      <c r="AX96" s="698">
        <f>Sheet1!DA98-265</f>
        <v>1825</v>
      </c>
      <c r="AY96" s="698">
        <f t="shared" si="182"/>
        <v>35.03</v>
      </c>
      <c r="AZ96" s="698">
        <v>0</v>
      </c>
      <c r="BA96" s="698">
        <f t="shared" si="183"/>
        <v>0</v>
      </c>
      <c r="BB96" s="560">
        <f t="shared" si="184"/>
        <v>915.73333333333255</v>
      </c>
      <c r="BC96" s="560"/>
      <c r="BD96" s="560">
        <f ca="1">IF(B96&gt;Summary!$A$1,#N/A,BB96*MGtoAF)</f>
        <v>2809.4698666666645</v>
      </c>
      <c r="BE96" s="560">
        <f>Sheet1!BG98+Sheet1!BH98+Sheet1!BI98-BM96</f>
        <v>0</v>
      </c>
      <c r="BF96" s="560">
        <f t="shared" si="185"/>
        <v>0</v>
      </c>
      <c r="BG96" s="560">
        <f>IF(Sheet1!EP98="FM",BM96,0)</f>
        <v>0</v>
      </c>
      <c r="BH96" s="560">
        <f t="shared" si="186"/>
        <v>0</v>
      </c>
      <c r="BI96" s="560">
        <f>IF(Sheet1!EP98="OTHER",BM96,0)</f>
        <v>0</v>
      </c>
      <c r="BJ96" s="560">
        <f t="shared" si="187"/>
        <v>0</v>
      </c>
      <c r="BK96" s="560">
        <f t="shared" si="188"/>
        <v>0</v>
      </c>
      <c r="BL96" s="560">
        <f t="shared" si="189"/>
        <v>0</v>
      </c>
      <c r="BM96" s="560">
        <f>IF(OR(Sheet1!EP98="FM", Sheet1!EP98="OTHER"),SUM(Sheet1!BG98:'Sheet1'!BI98),0)</f>
        <v>0</v>
      </c>
      <c r="BN96" s="545">
        <f>IF(AND($B96&gt;=$FV96,$B96&lt;=$FW96),MAX(BF96,Sheet1!EI98,0),MAX(BF96-(7/36)*$K96,0))</f>
        <v>0</v>
      </c>
      <c r="BO96" s="560">
        <f t="shared" si="190"/>
        <v>12.568888888888889</v>
      </c>
      <c r="BP96" s="545">
        <f t="shared" si="191"/>
        <v>0</v>
      </c>
      <c r="BQ96" s="545">
        <f>IF(AND($O96&gt;0,Sheet1!EM98=1),(1-($O96-Sheet1!$L98)/$O96)*BL96,0)</f>
        <v>0</v>
      </c>
      <c r="BR96" s="545">
        <f>IF(AND(Sheet1!$L98=0,Sheet1!$L97=0, Calculation!BK96&lt;Sheet1!$EI98-0.1,Sheet1!$EI98=Sheet1!$EI97,Sheet1!$EI98=Sheet1!$EI99),Sheet1!$EI98,BL96-BQ96)</f>
        <v>0</v>
      </c>
      <c r="BS96" s="560"/>
      <c r="BT96" s="560"/>
      <c r="BU96" s="560">
        <f t="shared" si="192"/>
        <v>427.34222222222195</v>
      </c>
      <c r="BV96" s="560"/>
      <c r="BW96" s="560">
        <f ca="1">IF(B96&gt;Summary!$A$1,#N/A,BU96*MGtoAF)</f>
        <v>1311.085937777777</v>
      </c>
      <c r="BX96" s="560">
        <f>Sheet1!BC98+Sheet1!BD98+Sheet1!BE98+Sheet1!BF98-CG96-CH96</f>
        <v>3.5</v>
      </c>
      <c r="BY96" s="560">
        <f t="shared" si="193"/>
        <v>3.5094267025779149</v>
      </c>
      <c r="BZ96" s="560">
        <f>IF(Sheet1!EQ98="FM",CH96,0)</f>
        <v>0</v>
      </c>
      <c r="CA96" s="560">
        <f t="shared" si="194"/>
        <v>0</v>
      </c>
      <c r="CB96" s="560">
        <f>IF(Sheet1!EQ98="OTHER",CH96,0)</f>
        <v>0</v>
      </c>
      <c r="CC96" s="560">
        <f t="shared" si="195"/>
        <v>0</v>
      </c>
      <c r="CD96" s="560">
        <f t="shared" si="196"/>
        <v>0</v>
      </c>
      <c r="CE96" s="560">
        <f t="shared" si="197"/>
        <v>3.5</v>
      </c>
      <c r="CF96" s="560">
        <f t="shared" si="198"/>
        <v>3.5094267025779149</v>
      </c>
      <c r="CG96" s="560">
        <f>IF(Sheet1!EQ98="CWA",SUM(Sheet1!BC98:'Sheet1'!BF98),0)</f>
        <v>0</v>
      </c>
      <c r="CH96" s="560">
        <f>IF(OR(Sheet1!EQ98="FM", Sheet1!EQ98="OTHER"),SUM(Sheet1!BC98:'Sheet1'!BF98),0)</f>
        <v>0</v>
      </c>
      <c r="CI96" s="545">
        <f>IF(AND($B96&gt;=$FV96,$B96&lt;=$FW96),MAX(CF96,Sheet1!EJ98,0),MAX(CF96-(7/36)*$K96,0))</f>
        <v>0</v>
      </c>
      <c r="CJ96" s="560">
        <f t="shared" si="199"/>
        <v>9.0594621863109737</v>
      </c>
      <c r="CK96" s="545">
        <f t="shared" si="200"/>
        <v>3.5094267025779149</v>
      </c>
      <c r="CL96" s="545">
        <f>IF(AND($O96&gt;0,Sheet1!EN98=1),(1-($O96-Sheet1!$L98)/$O96)*CF96,0)</f>
        <v>0</v>
      </c>
      <c r="CM96" s="545">
        <f>IF(AND(Sheet1!$L98=0,Sheet1!$L97=0, Calculation!CE96&lt;Sheet1!EJ98-0.1,Sheet1!EJ98=Sheet1!EJ97,Sheet1!EJ98=Sheet1!EJ99),Sheet1!EJ98,CF96-CL96)</f>
        <v>3.5094267025779149</v>
      </c>
      <c r="CN96" s="545"/>
      <c r="CO96" s="560"/>
      <c r="CP96" s="560">
        <f t="shared" si="201"/>
        <v>336.45698427543027</v>
      </c>
      <c r="CQ96" s="560"/>
      <c r="CR96" s="560">
        <f ca="1">IF(B96&gt;Summary!$A$1,#N/A,CP96*MGtoAF)</f>
        <v>1032.25002775702</v>
      </c>
      <c r="CS96" s="560">
        <f>Sheet1!BK98+Sheet1!BL98+Sheet1!BM98-Sheet1!ER98-DA96</f>
        <v>5.0999999999999996</v>
      </c>
      <c r="CT96" s="560">
        <f t="shared" si="202"/>
        <v>5.1137360523278188</v>
      </c>
      <c r="CU96" s="560">
        <f>IF(Sheet1!ER98="FM",DA96,0)</f>
        <v>0</v>
      </c>
      <c r="CV96" s="560">
        <f t="shared" si="203"/>
        <v>0</v>
      </c>
      <c r="CW96" s="560">
        <f>IF(Sheet1!ER98="OTHER",DA96,0)</f>
        <v>0</v>
      </c>
      <c r="CX96" s="560">
        <f t="shared" si="204"/>
        <v>0</v>
      </c>
      <c r="CY96" s="560">
        <f t="shared" si="205"/>
        <v>5.0999999999999996</v>
      </c>
      <c r="CZ96" s="560">
        <f t="shared" si="206"/>
        <v>5.1137360523278188</v>
      </c>
      <c r="DA96" s="560">
        <f>IF(OR(Sheet1!ER98="FM", Sheet1!ER98="OTHER"),SUM(Sheet1!BK98:'Sheet1'!BM98),0)</f>
        <v>0</v>
      </c>
      <c r="DB96" s="545">
        <f>IF(AND($B96&gt;=$FV96,$B96&lt;=$FW96),MAX($CT96,Sheet1!EK98,0),MAX($CT96-(7/36)*$K96,0))</f>
        <v>0</v>
      </c>
      <c r="DC96" s="560">
        <f t="shared" si="207"/>
        <v>7.4551528365610702</v>
      </c>
      <c r="DD96" s="545">
        <f t="shared" si="208"/>
        <v>5.1137360523278188</v>
      </c>
      <c r="DE96" s="545">
        <f>IF(AND($O96&gt;0,Sheet1!EO98=1),(1-($O96-Sheet1!$L98)/$O96)*CZ96,0)</f>
        <v>0</v>
      </c>
      <c r="DF96" s="545">
        <f>IF(AND(Sheet1!$L98=0,Sheet1!$L97=0, Calculation!CY96&lt;Sheet1!$EK98-0.1,Sheet1!$EK98=Sheet1!$EK97,Sheet1!$EK98=Sheet1!$EK99),Sheet1!$EK98,CZ96-DE96)</f>
        <v>5.1137360523278188</v>
      </c>
      <c r="DG96" s="545"/>
      <c r="DH96" s="560">
        <f t="shared" si="209"/>
        <v>8.6</v>
      </c>
      <c r="DI96" s="560">
        <f t="shared" si="210"/>
        <v>247.11406616006832</v>
      </c>
      <c r="DJ96" s="698">
        <f t="shared" si="211"/>
        <v>8.6231627549057333</v>
      </c>
      <c r="DK96" s="560">
        <f ca="1">IF(B96&gt;Summary!$A$1,#N/A,DI96*MGtoAF)</f>
        <v>758.14595497908965</v>
      </c>
      <c r="DL96" s="698">
        <f t="shared" si="212"/>
        <v>8.6</v>
      </c>
      <c r="DM96" s="560">
        <f>DL96+AP96</f>
        <v>25.989999999999995</v>
      </c>
      <c r="DN96" s="560">
        <f>Sheet1!AB98-DM96</f>
        <v>7.0000000000003837E-2</v>
      </c>
      <c r="DO96" s="823">
        <f t="shared" si="214"/>
        <v>2.6933435936900289E-3</v>
      </c>
      <c r="DP96" s="560">
        <f>(VLOOKUP(Sheet1!DC98,hhdcap_wcm,4)-(((VLOOKUP(Sheet1!DC98,hhdcap_wcm,3)-Sheet1!DC98)/(VLOOKUP(Sheet1!DC98,hhdcap_wcm,3)-VLOOKUP(Sheet1!DC98,hhdcap_wcm,1)))*(VLOOKUP(Sheet1!DC98,hhdcap_wcm,4)-VLOOKUP(Sheet1!DC98,hhdcap_wcm,2))))</f>
        <v>20378.000000050273</v>
      </c>
      <c r="DQ96" s="560">
        <f t="shared" si="215"/>
        <v>294.79999999954453</v>
      </c>
      <c r="DR96" s="560">
        <f t="shared" si="216"/>
        <v>148.66364094782878</v>
      </c>
      <c r="DS96" s="560">
        <f>Sheet1!EA98*AFtoMG</f>
        <v>0</v>
      </c>
      <c r="DT96" s="560">
        <f>Sheet1!EB98*AFtoMG</f>
        <v>0</v>
      </c>
      <c r="DU96" s="560">
        <f>Sheet1!EC98*AFtoMG</f>
        <v>0</v>
      </c>
      <c r="DV96" s="560">
        <f>Sheet1!ED98*AFtoMG</f>
        <v>0</v>
      </c>
      <c r="DW96" s="560">
        <f t="shared" si="217"/>
        <v>0</v>
      </c>
      <c r="DX96" s="560">
        <f t="shared" si="218"/>
        <v>0</v>
      </c>
      <c r="DY96" s="560">
        <f t="shared" si="219"/>
        <v>1926.6466059910531</v>
      </c>
      <c r="DZ96" s="560">
        <f t="shared" si="220"/>
        <v>5910.951787180551</v>
      </c>
      <c r="EA96" s="560"/>
      <c r="EB96" s="545">
        <f>IF(OR(B96&lt;FV96,B96&gt;FW96),(MIN(BF96+BY96+CT96+MAX(Sheet1!AA98+AQ96-73,0),K96)),0)</f>
        <v>8.6231627549057333</v>
      </c>
      <c r="EC96" s="560"/>
      <c r="ED96" s="560">
        <f t="shared" si="221"/>
        <v>8.6231627549057333</v>
      </c>
      <c r="EE96" s="560"/>
      <c r="EF96" s="560">
        <f>Sheet1!EH98+Sheet1!EI98+Sheet1!EJ98+Sheet1!EK98</f>
        <v>8.6</v>
      </c>
      <c r="EG96" s="560"/>
      <c r="EH96" s="545">
        <f t="shared" si="222"/>
        <v>0</v>
      </c>
      <c r="EI96" s="560">
        <f>IF(Sheet1!ET98=1,SUM('Calculations II'!AT96:BA96)+'Calculations II'!BC96+Sheet1!BV98+'Calculations II'!BE96+AP96,SUM('Calculations II'!AT96:BA96)+'Calculations II'!BC96+Sheet1!BV98+'Calculations II'!BE96+AP96)</f>
        <v>49.769487999999996</v>
      </c>
      <c r="EJ96" s="560">
        <f>Sheet1!AA98+Sheet1!AB98+'Calculations II'!BC96</f>
        <v>56.077455999999998</v>
      </c>
      <c r="EK96" s="560"/>
      <c r="EL96" s="560"/>
      <c r="EM96" s="560">
        <f t="shared" si="223"/>
        <v>41724</v>
      </c>
      <c r="EN96" s="560">
        <f t="shared" si="224"/>
        <v>56.016837245094266</v>
      </c>
      <c r="EO96" s="560">
        <f t="shared" si="225"/>
        <v>86.658047218160831</v>
      </c>
      <c r="EP96" s="560">
        <v>0</v>
      </c>
      <c r="EQ96" s="560">
        <v>0</v>
      </c>
      <c r="ER96" s="560">
        <v>0</v>
      </c>
      <c r="ES96" s="545">
        <f t="shared" si="247"/>
        <v>-0.96947032512022191</v>
      </c>
      <c r="ET96" s="560">
        <f>-(VLOOKUP(Sheet1!BQ98,Lookup!$O$4:$Q$262,2)-VLOOKUP(Sheet1!BQ97,Lookup!$O$4:$Q$262,2))/1000000</f>
        <v>-0.41549277513958888</v>
      </c>
      <c r="EU96" s="560">
        <f>-(VLOOKUP(Sheet1!BR98,Lookup!$O$4:$Q$262,3)-VLOOKUP(Sheet1!BR97,Lookup!$O$4:$Q$262,3))/1000000</f>
        <v>-0.55397754998063298</v>
      </c>
      <c r="EV96" s="560"/>
      <c r="EW96" s="560"/>
      <c r="EX96" s="560"/>
      <c r="EY96" s="560"/>
      <c r="EZ96" s="560"/>
      <c r="FA96" s="560"/>
      <c r="FB96" s="560"/>
      <c r="FC96" s="560"/>
      <c r="FD96" s="594" t="e">
        <f t="shared" si="226"/>
        <v>#N/A</v>
      </c>
      <c r="FE96" s="594" t="e">
        <f t="shared" si="227"/>
        <v>#N/A</v>
      </c>
      <c r="FF96" s="595" t="e">
        <f t="shared" si="228"/>
        <v>#N/A</v>
      </c>
      <c r="FG96" s="596" t="s">
        <v>692</v>
      </c>
      <c r="FH96" s="596" t="s">
        <v>692</v>
      </c>
      <c r="FI96" s="594" t="e">
        <v>#N/A</v>
      </c>
      <c r="FJ96" s="594" t="e">
        <v>#N/A</v>
      </c>
      <c r="FK96" s="560"/>
      <c r="FL96" s="560"/>
      <c r="FM96" s="560"/>
      <c r="FN96" s="560"/>
      <c r="FO96" s="560">
        <f>O96+((Sheet1!CS98)*GPMtoMGD)</f>
        <v>56.077455999999998</v>
      </c>
      <c r="FP96" s="560">
        <f>IF(Sheet1!AA98+AQ96&lt;=Calculation!N96,AQ96,Calculation!N96-Sheet1!AA98)</f>
        <v>16.444170834936514</v>
      </c>
      <c r="FQ96" s="560">
        <f>(Sheet1!BP98+Sheet1!BO98)/694.4</f>
        <v>1.4727822580645162</v>
      </c>
      <c r="FR96" s="560"/>
      <c r="FS96" s="560"/>
      <c r="FT96" s="560"/>
      <c r="FU96" s="560"/>
      <c r="FV96" s="695">
        <f t="shared" si="248"/>
        <v>41827</v>
      </c>
      <c r="FW96" s="695">
        <f t="shared" si="249"/>
        <v>41934</v>
      </c>
      <c r="FX96" s="560"/>
      <c r="FY96" s="560"/>
      <c r="FZ96" s="560"/>
      <c r="GA96" s="560"/>
      <c r="GB96" s="560" t="str">
        <f t="shared" si="250"/>
        <v>n</v>
      </c>
      <c r="GC96" s="564">
        <f t="shared" si="251"/>
        <v>41691</v>
      </c>
      <c r="GD96" s="695">
        <f t="shared" si="252"/>
        <v>41807</v>
      </c>
      <c r="GE96" s="560">
        <v>6518.9</v>
      </c>
      <c r="GF96" s="695">
        <f t="shared" si="253"/>
        <v>41808</v>
      </c>
      <c r="GG96" s="560">
        <f t="shared" si="272"/>
        <v>3259</v>
      </c>
      <c r="GH96" s="564">
        <f t="shared" si="254"/>
        <v>41934</v>
      </c>
      <c r="GJ96" s="545">
        <f t="shared" si="255"/>
        <v>0</v>
      </c>
      <c r="GK96" s="560" t="str">
        <f t="shared" si="229"/>
        <v/>
      </c>
      <c r="GL96" s="560">
        <f t="shared" si="256"/>
        <v>0</v>
      </c>
      <c r="GM96" s="560" t="str">
        <f t="shared" si="257"/>
        <v/>
      </c>
      <c r="GN96" s="560">
        <f>IF(GK96="P",Lookup!$M$12,IF(GK96="PP",Lookup!$M$13,IF(GK96="PPP",Lookup!$M$14,IF(GK96="T",Lookup!$M$15,IF(GK96="TP",Lookup!$M$16,IF(GK96="TPP",Lookup!$M$17,IF(GK96="TPPP",Lookup!$M$18,0)))))))*GJ96</f>
        <v>0</v>
      </c>
      <c r="GO96" s="560">
        <f t="shared" si="258"/>
        <v>0</v>
      </c>
      <c r="GP96" s="560">
        <f t="shared" si="230"/>
        <v>2809.4698666666645</v>
      </c>
      <c r="GQ96" s="560">
        <f t="shared" si="266"/>
        <v>915.73333333333255</v>
      </c>
      <c r="GR96" s="560"/>
      <c r="GS96" s="560">
        <f t="shared" si="259"/>
        <v>0</v>
      </c>
      <c r="GT96" s="560" t="str">
        <f t="shared" si="260"/>
        <v/>
      </c>
      <c r="GU96" s="560">
        <f>IF(GK96="P",Lookup!$N$12,IF(GK96="PP",Lookup!$N$13,IF(GK96="PPP",Lookup!$N$14,IF(GK96="T",Lookup!$N$15,IF(GK96="TP",Lookup!$N$16,IF(GK96="TPP",Lookup!$N$17,IF(GK96="TPPP",Lookup!$N$18,0)))))))*GJ96</f>
        <v>0</v>
      </c>
      <c r="GV96" s="560">
        <f t="shared" si="261"/>
        <v>0</v>
      </c>
      <c r="GW96" s="560">
        <f t="shared" si="231"/>
        <v>1311.085937777777</v>
      </c>
      <c r="GX96" s="560">
        <f t="shared" si="267"/>
        <v>427.34222222222195</v>
      </c>
      <c r="GY96" s="560"/>
      <c r="GZ96" s="560">
        <f t="shared" si="262"/>
        <v>0</v>
      </c>
      <c r="HA96" s="560" t="str">
        <f t="shared" si="263"/>
        <v/>
      </c>
      <c r="HB96" s="560">
        <f>IF(GK96="P",Lookup!$N$12,IF(GK96="PP",Lookup!$N$13,IF(GK96="PPP",Lookup!$N$14,IF(GK96="T",Lookup!$N$15,IF(GK96="TP",Lookup!$N$16,IF(GK96="TPP",Lookup!$N$17,IF(GK96="TPPP",Lookup!$N$18,0)))))))*GJ96</f>
        <v>0</v>
      </c>
      <c r="HC96" s="545">
        <f t="shared" si="232"/>
        <v>0</v>
      </c>
      <c r="HD96" s="560">
        <f t="shared" si="233"/>
        <v>1032.25002775702</v>
      </c>
      <c r="HE96" s="560">
        <f t="shared" si="268"/>
        <v>336.45698427543027</v>
      </c>
      <c r="HF96" s="560"/>
      <c r="HG96" s="560">
        <f t="shared" si="264"/>
        <v>0</v>
      </c>
      <c r="HH96" s="560" t="str">
        <f t="shared" si="265"/>
        <v/>
      </c>
      <c r="HI96" s="560">
        <f>IF(GK96="P",Lookup!$N$12,IF(GK96="PP",Lookup!$N$13,IF(GK96="PPP",Lookup!$N$14,IF(GK96="T",Lookup!$N$15,IF(GK96="TP",Lookup!$N$16,IF(GK96="TPP",Lookup!$N$17,IF(GK96="TPPP",Lookup!$N$18,0)))))))*GJ96</f>
        <v>0</v>
      </c>
      <c r="HJ96" s="545">
        <f t="shared" si="234"/>
        <v>0</v>
      </c>
      <c r="HK96" s="560">
        <f t="shared" si="235"/>
        <v>758.14595497908965</v>
      </c>
      <c r="HL96" s="560">
        <f t="shared" si="269"/>
        <v>247.11406616006832</v>
      </c>
      <c r="HM96" s="560"/>
    </row>
    <row r="97" spans="1:221">
      <c r="A97" s="580" t="s">
        <v>7</v>
      </c>
      <c r="B97" s="556">
        <v>41725</v>
      </c>
      <c r="C97" s="561">
        <v>0</v>
      </c>
      <c r="D97" s="529">
        <f t="shared" si="270"/>
        <v>300</v>
      </c>
      <c r="E97" s="529">
        <f t="shared" si="271"/>
        <v>250</v>
      </c>
      <c r="F97" s="529">
        <v>250</v>
      </c>
      <c r="G97" s="560">
        <f>DR97+Sheet1!CZ99</f>
        <v>1220.8875441263733</v>
      </c>
      <c r="H97" s="914">
        <f t="shared" si="236"/>
        <v>522.21850852328771</v>
      </c>
      <c r="I97" s="559">
        <f>MAX(Sheet1!Z99-AT97+(Sheet1!DA99-E97)*CFStoMGD,0)</f>
        <v>1188.6199999999999</v>
      </c>
      <c r="J97" s="562">
        <f>IF(AND(B97&gt;=Calculation!GC97,B97&lt;=Calculation!GD97),IF(Sheet1!DB99&gt;=Calculation!D97,64.64,0),MAX(Sheet1!Z99-AT97+(Sheet1!DB99-D97)*CFStoMGD,0))</f>
        <v>64.64</v>
      </c>
      <c r="K97" s="904">
        <f t="shared" si="171"/>
        <v>64.64</v>
      </c>
      <c r="L97" s="560">
        <f>Sheet1!AA99+Sheet1!AB99-Sheet1!L99+(Sheet1!DA99-F97)*CFStoMGD</f>
        <v>1163.52</v>
      </c>
      <c r="M97" s="560">
        <f t="shared" si="172"/>
        <v>804.96534269375354</v>
      </c>
      <c r="N97" s="910">
        <f>IF(Sheet1!DA99&gt;=F97,MIN(73,MIN(MAX(L97,0),MAX(M97,0))),0)</f>
        <v>73</v>
      </c>
      <c r="O97" s="563">
        <f>Sheet1!AA99+Sheet1!AB99</f>
        <v>46.599999999999994</v>
      </c>
      <c r="P97" s="563">
        <f t="shared" si="173"/>
        <v>72.090199999999996</v>
      </c>
      <c r="Q97" s="898">
        <f t="shared" si="237"/>
        <v>37.959999999999994</v>
      </c>
      <c r="R97" s="829">
        <f t="shared" si="174"/>
        <v>8.6466359447004617</v>
      </c>
      <c r="S97" s="898">
        <f t="shared" si="238"/>
        <v>8.64</v>
      </c>
      <c r="T97" s="898">
        <f t="shared" si="239"/>
        <v>56</v>
      </c>
      <c r="U97" s="898">
        <f t="shared" si="240"/>
        <v>0</v>
      </c>
      <c r="V97" s="898"/>
      <c r="W97" s="898">
        <f t="shared" si="241"/>
        <v>55.993364055299537</v>
      </c>
      <c r="X97" s="898">
        <f t="shared" si="242"/>
        <v>64.64</v>
      </c>
      <c r="Y97" s="898" t="str">
        <f t="shared" si="243"/>
        <v>FALSE</v>
      </c>
      <c r="Z97" s="898">
        <f t="shared" si="244"/>
        <v>46.599999999999994</v>
      </c>
      <c r="AA97" s="898">
        <f t="shared" si="245"/>
        <v>46.599999999999994</v>
      </c>
      <c r="AB97" s="898" t="str">
        <f t="shared" si="246"/>
        <v/>
      </c>
      <c r="AC97" s="563">
        <f>Sheet1!Y99*MGDtoCFS</f>
        <v>30.58419</v>
      </c>
      <c r="AD97" s="563">
        <f>Sheet1!Z99*MGDtoCFS</f>
        <v>38.829700000000003</v>
      </c>
      <c r="AE97" s="563">
        <f>Sheet1!AA99*MGDtoCFS</f>
        <v>31.775379999999998</v>
      </c>
      <c r="AF97" s="563">
        <f>Sheet1!AB99*MGDtoCFS</f>
        <v>40.314819999999997</v>
      </c>
      <c r="AG97" s="563">
        <f>Sheet1!L99*MGDtoCFS</f>
        <v>72.090199999999982</v>
      </c>
      <c r="AH97" s="545">
        <f t="shared" si="175"/>
        <v>0</v>
      </c>
      <c r="AI97" s="560">
        <f t="shared" si="176"/>
        <v>0</v>
      </c>
      <c r="AJ97" s="560">
        <f t="shared" si="177"/>
        <v>55.993364055299537</v>
      </c>
      <c r="AK97" s="560">
        <f t="shared" si="178"/>
        <v>86.621734193548377</v>
      </c>
      <c r="AL97" s="560">
        <f>(VLOOKUP(Sheet1!DC99,hhdcap_wcm,4)-(((VLOOKUP(Sheet1!DC99,hhdcap_wcm,3)-Sheet1!DC99)/(VLOOKUP(Sheet1!DC99,hhdcap_wcm,3)-VLOOKUP(Sheet1!DC99,hhdcap_wcm,1)))*(VLOOKUP(Sheet1!DC99,hhdcap_wcm,4)-VLOOKUP(Sheet1!DC99,hhdcap_wcm,2))))</f>
        <v>20736.700000052871</v>
      </c>
      <c r="AM97" s="560">
        <f t="shared" si="179"/>
        <v>358.70000000259824</v>
      </c>
      <c r="AN97" s="560">
        <f t="shared" si="180"/>
        <v>1982.6399700463526</v>
      </c>
      <c r="AO97" s="560">
        <f t="shared" si="181"/>
        <v>6082.7394281022098</v>
      </c>
      <c r="AP97" s="560">
        <f>Sheet1!BA99+Sheet1!BB99+Sheet1!BN99+CD97</f>
        <v>17.399999999999999</v>
      </c>
      <c r="AQ97" s="560">
        <f>Sheet1!BN99+(DO97*Sheet1!BN99)</f>
        <v>16.412596006144391</v>
      </c>
      <c r="AR97" s="560">
        <f>Sheet1!BA99+CD97</f>
        <v>0</v>
      </c>
      <c r="AS97" s="560">
        <f>Sheet1!BA99+Sheet1!BB99+CD97</f>
        <v>1</v>
      </c>
      <c r="AT97" s="698">
        <f>0</f>
        <v>0</v>
      </c>
      <c r="AU97" s="560">
        <f>IF(EB97&lt;K97,0,MAX(Sheet1!AA99+AQ97-15/36*K97-N97,Sheet1!EH99,0))</f>
        <v>0</v>
      </c>
      <c r="AV97" s="560">
        <f>IF(OR(B97&gt;=GD97,B97&lt;GC97),0,15/36*K97-MAX(0,64.6-(137.6-(Sheet1!AA99+Sheet1!AB99))))</f>
        <v>26.933333333333334</v>
      </c>
      <c r="AW97" s="698">
        <f>Sheet1!DB99-110</f>
        <v>950</v>
      </c>
      <c r="AX97" s="698">
        <f>Sheet1!DA99-265</f>
        <v>1785</v>
      </c>
      <c r="AY97" s="698">
        <f t="shared" si="182"/>
        <v>35.040000000000006</v>
      </c>
      <c r="AZ97" s="698">
        <v>0</v>
      </c>
      <c r="BA97" s="698">
        <f t="shared" si="183"/>
        <v>0</v>
      </c>
      <c r="BB97" s="560">
        <f t="shared" si="184"/>
        <v>942.66666666666583</v>
      </c>
      <c r="BC97" s="560"/>
      <c r="BD97" s="560">
        <f ca="1">IF(B97&gt;Summary!$A$1,#N/A,BB97*MGtoAF)</f>
        <v>2892.1013333333308</v>
      </c>
      <c r="BE97" s="560">
        <f>Sheet1!BG99+Sheet1!BH99+Sheet1!BI99-BM97</f>
        <v>0</v>
      </c>
      <c r="BF97" s="560">
        <f t="shared" si="185"/>
        <v>0</v>
      </c>
      <c r="BG97" s="560">
        <f>IF(Sheet1!EP99="FM",BM97,0)</f>
        <v>0</v>
      </c>
      <c r="BH97" s="560">
        <f t="shared" si="186"/>
        <v>0</v>
      </c>
      <c r="BI97" s="560">
        <f>IF(Sheet1!EP99="OTHER",BM97,0)</f>
        <v>0</v>
      </c>
      <c r="BJ97" s="560">
        <f t="shared" si="187"/>
        <v>0</v>
      </c>
      <c r="BK97" s="560">
        <f t="shared" si="188"/>
        <v>0</v>
      </c>
      <c r="BL97" s="560">
        <f t="shared" si="189"/>
        <v>0</v>
      </c>
      <c r="BM97" s="560">
        <f>IF(OR(Sheet1!EP99="FM", Sheet1!EP99="OTHER"),SUM(Sheet1!BG99:'Sheet1'!BI99),0)</f>
        <v>0</v>
      </c>
      <c r="BN97" s="545">
        <f>IF(AND($B97&gt;=$FV97,$B97&lt;=$FW97),MAX(BF97,Sheet1!EI99,0),MAX(BF97-(7/36)*$K97,0))</f>
        <v>0</v>
      </c>
      <c r="BO97" s="560">
        <f t="shared" si="190"/>
        <v>12.568888888888889</v>
      </c>
      <c r="BP97" s="545">
        <f t="shared" si="191"/>
        <v>0</v>
      </c>
      <c r="BQ97" s="545">
        <f>IF(AND($O97&gt;0,Sheet1!EM99=1),(1-($O97-Sheet1!$L99)/$O97)*BL97,0)</f>
        <v>0</v>
      </c>
      <c r="BR97" s="545">
        <f>IF(AND(Sheet1!$L99=0,Sheet1!$L98=0, Calculation!BK97&lt;Sheet1!$EI99-0.1,Sheet1!$EI99=Sheet1!$EI98,Sheet1!$EI99=Sheet1!$EI100),Sheet1!$EI99,BL97-BQ97)</f>
        <v>0</v>
      </c>
      <c r="BS97" s="560"/>
      <c r="BT97" s="560"/>
      <c r="BU97" s="560">
        <f t="shared" si="192"/>
        <v>439.91111111111081</v>
      </c>
      <c r="BV97" s="560"/>
      <c r="BW97" s="560">
        <f ca="1">IF(B97&gt;Summary!$A$1,#N/A,BU97*MGtoAF)</f>
        <v>1349.6472888888879</v>
      </c>
      <c r="BX97" s="560">
        <f>Sheet1!BC99+Sheet1!BD99+Sheet1!BE99+Sheet1!BF99-CG97-CH97</f>
        <v>3.5</v>
      </c>
      <c r="BY97" s="560">
        <f t="shared" si="193"/>
        <v>3.5026881720430105</v>
      </c>
      <c r="BZ97" s="560">
        <f>IF(Sheet1!EQ99="FM",CH97,0)</f>
        <v>0</v>
      </c>
      <c r="CA97" s="560">
        <f t="shared" si="194"/>
        <v>0</v>
      </c>
      <c r="CB97" s="560">
        <f>IF(Sheet1!EQ99="OTHER",CH97,0)</f>
        <v>0</v>
      </c>
      <c r="CC97" s="560">
        <f t="shared" si="195"/>
        <v>0</v>
      </c>
      <c r="CD97" s="560">
        <f t="shared" si="196"/>
        <v>0</v>
      </c>
      <c r="CE97" s="560">
        <f t="shared" si="197"/>
        <v>3.5</v>
      </c>
      <c r="CF97" s="560">
        <f t="shared" si="198"/>
        <v>3.5026881720430105</v>
      </c>
      <c r="CG97" s="560">
        <f>IF(Sheet1!EQ99="CWA",SUM(Sheet1!BC99:'Sheet1'!BF99),0)</f>
        <v>0</v>
      </c>
      <c r="CH97" s="560">
        <f>IF(OR(Sheet1!EQ99="FM", Sheet1!EQ99="OTHER"),SUM(Sheet1!BC99:'Sheet1'!BF99),0)</f>
        <v>0</v>
      </c>
      <c r="CI97" s="545">
        <f>IF(AND($B97&gt;=$FV97,$B97&lt;=$FW97),MAX(CF97,Sheet1!EJ99,0),MAX(CF97-(7/36)*$K97,0))</f>
        <v>0</v>
      </c>
      <c r="CJ97" s="560">
        <f t="shared" si="199"/>
        <v>9.0662007168458789</v>
      </c>
      <c r="CK97" s="545">
        <f t="shared" si="200"/>
        <v>3.5026881720430105</v>
      </c>
      <c r="CL97" s="545">
        <f>IF(AND($O97&gt;0,Sheet1!EN99=1),(1-($O97-Sheet1!$L99)/$O97)*CF97,0)</f>
        <v>0</v>
      </c>
      <c r="CM97" s="545">
        <f>IF(AND(Sheet1!$L99=0,Sheet1!$L98=0, Calculation!CE97&lt;Sheet1!EJ99-0.1,Sheet1!EJ99=Sheet1!EJ98,Sheet1!EJ99=Sheet1!EJ100),Sheet1!EJ99,CF97-CL97)</f>
        <v>3.5026881720430105</v>
      </c>
      <c r="CN97" s="545"/>
      <c r="CO97" s="560"/>
      <c r="CP97" s="560">
        <f t="shared" si="201"/>
        <v>345.52318499227613</v>
      </c>
      <c r="CQ97" s="560"/>
      <c r="CR97" s="560">
        <f ca="1">IF(B97&gt;Summary!$A$1,#N/A,CP97*MGtoAF)</f>
        <v>1060.0651315563032</v>
      </c>
      <c r="CS97" s="560">
        <f>Sheet1!BK99+Sheet1!BL99+Sheet1!BM99-Sheet1!ER99-DA97</f>
        <v>5.1400000000000006</v>
      </c>
      <c r="CT97" s="560">
        <f t="shared" si="202"/>
        <v>5.1439477726574507</v>
      </c>
      <c r="CU97" s="560">
        <f>IF(Sheet1!ER99="FM",DA97,0)</f>
        <v>0</v>
      </c>
      <c r="CV97" s="560">
        <f t="shared" si="203"/>
        <v>0</v>
      </c>
      <c r="CW97" s="560">
        <f>IF(Sheet1!ER99="OTHER",DA97,0)</f>
        <v>0</v>
      </c>
      <c r="CX97" s="560">
        <f t="shared" si="204"/>
        <v>0</v>
      </c>
      <c r="CY97" s="560">
        <f t="shared" si="205"/>
        <v>5.1400000000000006</v>
      </c>
      <c r="CZ97" s="560">
        <f t="shared" si="206"/>
        <v>5.1439477726574507</v>
      </c>
      <c r="DA97" s="560">
        <f>IF(OR(Sheet1!ER99="FM", Sheet1!ER99="OTHER"),SUM(Sheet1!BK99:'Sheet1'!BM99),0)</f>
        <v>0</v>
      </c>
      <c r="DB97" s="545">
        <f>IF(AND($B97&gt;=$FV97,$B97&lt;=$FW97),MAX($CT97,Sheet1!EK99,0),MAX($CT97-(7/36)*$K97,0))</f>
        <v>0</v>
      </c>
      <c r="DC97" s="560">
        <f t="shared" si="207"/>
        <v>7.4249411162314383</v>
      </c>
      <c r="DD97" s="545">
        <f t="shared" si="208"/>
        <v>5.1439477726574507</v>
      </c>
      <c r="DE97" s="545">
        <f>IF(AND($O97&gt;0,Sheet1!EO99=1),(1-($O97-Sheet1!$L99)/$O97)*CZ97,0)</f>
        <v>0</v>
      </c>
      <c r="DF97" s="545">
        <f>IF(AND(Sheet1!$L99=0,Sheet1!$L98=0, Calculation!CY97&lt;Sheet1!$EK99-0.1,Sheet1!$EK99=Sheet1!$EK98,Sheet1!$EK99=Sheet1!$EK100),Sheet1!$EK99,CZ97-DE97)</f>
        <v>5.1439477726574507</v>
      </c>
      <c r="DG97" s="545"/>
      <c r="DH97" s="560">
        <f t="shared" si="209"/>
        <v>8.64</v>
      </c>
      <c r="DI97" s="560">
        <f t="shared" si="210"/>
        <v>254.53900727629977</v>
      </c>
      <c r="DJ97" s="698">
        <f t="shared" si="211"/>
        <v>8.6466359447004617</v>
      </c>
      <c r="DK97" s="560">
        <f ca="1">IF(B97&gt;Summary!$A$1,#N/A,DI97*MGtoAF)</f>
        <v>780.92567432368776</v>
      </c>
      <c r="DL97" s="698">
        <f t="shared" si="212"/>
        <v>8.64</v>
      </c>
      <c r="DM97" s="560">
        <f t="shared" si="213"/>
        <v>26.04</v>
      </c>
      <c r="DN97" s="560">
        <f>Sheet1!AB99-DM97</f>
        <v>1.9999999999999574E-2</v>
      </c>
      <c r="DO97" s="823">
        <f t="shared" si="214"/>
        <v>7.6804915514591297E-4</v>
      </c>
      <c r="DP97" s="560">
        <f>(VLOOKUP(Sheet1!DC99,hhdcap_wcm,4)-(((VLOOKUP(Sheet1!DC99,hhdcap_wcm,3)-Sheet1!DC99)/(VLOOKUP(Sheet1!DC99,hhdcap_wcm,3)-VLOOKUP(Sheet1!DC99,hhdcap_wcm,1)))*(VLOOKUP(Sheet1!DC99,hhdcap_wcm,4)-VLOOKUP(Sheet1!DC99,hhdcap_wcm,2))))</f>
        <v>20736.700000052871</v>
      </c>
      <c r="DQ97" s="560">
        <f t="shared" si="215"/>
        <v>358.70000000259824</v>
      </c>
      <c r="DR97" s="560">
        <f t="shared" si="216"/>
        <v>180.88754412637326</v>
      </c>
      <c r="DS97" s="560">
        <f>Sheet1!EA99*AFtoMG</f>
        <v>0</v>
      </c>
      <c r="DT97" s="560">
        <f>Sheet1!EB99*AFtoMG</f>
        <v>0</v>
      </c>
      <c r="DU97" s="560">
        <f>Sheet1!EC99*AFtoMG</f>
        <v>0</v>
      </c>
      <c r="DV97" s="560">
        <f>Sheet1!ED99*AFtoMG</f>
        <v>0</v>
      </c>
      <c r="DW97" s="560">
        <f t="shared" si="217"/>
        <v>0</v>
      </c>
      <c r="DX97" s="560">
        <f t="shared" si="218"/>
        <v>0</v>
      </c>
      <c r="DY97" s="560">
        <f t="shared" si="219"/>
        <v>1982.6399700463526</v>
      </c>
      <c r="DZ97" s="560">
        <f t="shared" si="220"/>
        <v>6082.7394281022098</v>
      </c>
      <c r="EA97" s="560"/>
      <c r="EB97" s="545">
        <f>IF(OR(B97&lt;FV97,B97&gt;FW97),(MIN(BF97+BY97+CT97+MAX(Sheet1!AA99+AQ97-73,0),K97)),0)</f>
        <v>8.6466359447004617</v>
      </c>
      <c r="EC97" s="560"/>
      <c r="ED97" s="560">
        <f t="shared" si="221"/>
        <v>8.6466359447004617</v>
      </c>
      <c r="EE97" s="560"/>
      <c r="EF97" s="560">
        <f>Sheet1!EH99+Sheet1!EI99+Sheet1!EJ99+Sheet1!EK99</f>
        <v>8.64</v>
      </c>
      <c r="EG97" s="560"/>
      <c r="EH97" s="545">
        <f t="shared" si="222"/>
        <v>0</v>
      </c>
      <c r="EI97" s="560">
        <f>IF(Sheet1!ET99=1,SUM('Calculations II'!AT97:BA97)+'Calculations II'!BC97+Sheet1!BV99+'Calculations II'!BE97+AP97,SUM('Calculations II'!AT97:BA97)+'Calculations II'!BC97+Sheet1!BV99+'Calculations II'!BE97+AP97)</f>
        <v>46.967680000000001</v>
      </c>
      <c r="EJ97" s="560">
        <f>Sheet1!AA99+Sheet1!AB99+'Calculations II'!BC97</f>
        <v>53.955231999999995</v>
      </c>
      <c r="EK97" s="560"/>
      <c r="EL97" s="560"/>
      <c r="EM97" s="560">
        <f t="shared" si="223"/>
        <v>41725</v>
      </c>
      <c r="EN97" s="560">
        <f t="shared" si="224"/>
        <v>55.993364055299537</v>
      </c>
      <c r="EO97" s="560">
        <f t="shared" si="225"/>
        <v>86.621734193548377</v>
      </c>
      <c r="EP97" s="560">
        <v>0</v>
      </c>
      <c r="EQ97" s="560">
        <v>0</v>
      </c>
      <c r="ER97" s="560">
        <v>0</v>
      </c>
      <c r="ES97" s="545">
        <f t="shared" si="247"/>
        <v>-1.5237747275106908</v>
      </c>
      <c r="ET97" s="560">
        <f>-(VLOOKUP(Sheet1!BQ99,Lookup!$O$4:$Q$262,2)-VLOOKUP(Sheet1!BQ98,Lookup!$O$4:$Q$262,2))/1000000</f>
        <v>-0.83115859135520831</v>
      </c>
      <c r="EU97" s="560">
        <f>-(VLOOKUP(Sheet1!BR99,Lookup!$O$4:$Q$262,3)-VLOOKUP(Sheet1!BR98,Lookup!$O$4:$Q$262,3))/1000000</f>
        <v>-0.69261613615548234</v>
      </c>
      <c r="EV97" s="560"/>
      <c r="EW97" s="560"/>
      <c r="EX97" s="560"/>
      <c r="EY97" s="560"/>
      <c r="EZ97" s="560"/>
      <c r="FA97" s="560"/>
      <c r="FB97" s="560"/>
      <c r="FC97" s="560"/>
      <c r="FD97" s="594" t="e">
        <f t="shared" si="226"/>
        <v>#N/A</v>
      </c>
      <c r="FE97" s="594" t="e">
        <f t="shared" si="227"/>
        <v>#N/A</v>
      </c>
      <c r="FF97" s="595" t="e">
        <f t="shared" si="228"/>
        <v>#N/A</v>
      </c>
      <c r="FG97" s="596" t="s">
        <v>692</v>
      </c>
      <c r="FH97" s="596" t="s">
        <v>692</v>
      </c>
      <c r="FI97" s="594" t="e">
        <v>#N/A</v>
      </c>
      <c r="FJ97" s="594" t="e">
        <v>#N/A</v>
      </c>
      <c r="FK97" s="560"/>
      <c r="FL97" s="560"/>
      <c r="FM97" s="560"/>
      <c r="FN97" s="560"/>
      <c r="FO97" s="560">
        <f>O97+((Sheet1!CS99)*GPMtoMGD)</f>
        <v>53.955231999999995</v>
      </c>
      <c r="FP97" s="560">
        <f>IF(Sheet1!AA99+AQ97&lt;=Calculation!N97,AQ97,Calculation!N97-Sheet1!AA99)</f>
        <v>16.412596006144391</v>
      </c>
      <c r="FQ97" s="560">
        <f>(Sheet1!BP99+Sheet1!BO99)/694.4</f>
        <v>1.5224654377880185</v>
      </c>
      <c r="FR97" s="560"/>
      <c r="FS97" s="560"/>
      <c r="FT97" s="560"/>
      <c r="FU97" s="560"/>
      <c r="FV97" s="695">
        <f t="shared" si="248"/>
        <v>41827</v>
      </c>
      <c r="FW97" s="695">
        <f t="shared" si="249"/>
        <v>41934</v>
      </c>
      <c r="FX97" s="560"/>
      <c r="FY97" s="560"/>
      <c r="FZ97" s="560"/>
      <c r="GA97" s="560"/>
      <c r="GB97" s="560" t="str">
        <f t="shared" si="250"/>
        <v>n</v>
      </c>
      <c r="GC97" s="564">
        <f t="shared" si="251"/>
        <v>41691</v>
      </c>
      <c r="GD97" s="695">
        <f t="shared" si="252"/>
        <v>41807</v>
      </c>
      <c r="GE97" s="560">
        <v>6518.9</v>
      </c>
      <c r="GF97" s="695">
        <f t="shared" si="253"/>
        <v>41808</v>
      </c>
      <c r="GG97" s="560">
        <f t="shared" si="272"/>
        <v>3259</v>
      </c>
      <c r="GH97" s="564">
        <f t="shared" si="254"/>
        <v>41934</v>
      </c>
      <c r="GJ97" s="545">
        <f t="shared" si="255"/>
        <v>0</v>
      </c>
      <c r="GK97" s="560" t="str">
        <f t="shared" si="229"/>
        <v/>
      </c>
      <c r="GL97" s="560">
        <f t="shared" si="256"/>
        <v>0</v>
      </c>
      <c r="GM97" s="560" t="str">
        <f t="shared" si="257"/>
        <v/>
      </c>
      <c r="GN97" s="560">
        <f>IF(GK97="P",Lookup!$M$12,IF(GK97="PP",Lookup!$M$13,IF(GK97="PPP",Lookup!$M$14,IF(GK97="T",Lookup!$M$15,IF(GK97="TP",Lookup!$M$16,IF(GK97="TPP",Lookup!$M$17,IF(GK97="TPPP",Lookup!$M$18,0)))))))*GJ97</f>
        <v>0</v>
      </c>
      <c r="GO97" s="560">
        <f t="shared" si="258"/>
        <v>0</v>
      </c>
      <c r="GP97" s="560">
        <f t="shared" si="230"/>
        <v>2892.1013333333308</v>
      </c>
      <c r="GQ97" s="560">
        <f t="shared" si="266"/>
        <v>942.66666666666583</v>
      </c>
      <c r="GR97" s="560"/>
      <c r="GS97" s="560">
        <f t="shared" si="259"/>
        <v>0</v>
      </c>
      <c r="GT97" s="560" t="str">
        <f t="shared" si="260"/>
        <v/>
      </c>
      <c r="GU97" s="560">
        <f>IF(GK97="P",Lookup!$N$12,IF(GK97="PP",Lookup!$N$13,IF(GK97="PPP",Lookup!$N$14,IF(GK97="T",Lookup!$N$15,IF(GK97="TP",Lookup!$N$16,IF(GK97="TPP",Lookup!$N$17,IF(GK97="TPPP",Lookup!$N$18,0)))))))*GJ97</f>
        <v>0</v>
      </c>
      <c r="GV97" s="560">
        <f t="shared" si="261"/>
        <v>0</v>
      </c>
      <c r="GW97" s="560">
        <f t="shared" si="231"/>
        <v>1349.6472888888879</v>
      </c>
      <c r="GX97" s="560">
        <f t="shared" si="267"/>
        <v>439.91111111111081</v>
      </c>
      <c r="GY97" s="560"/>
      <c r="GZ97" s="560">
        <f t="shared" si="262"/>
        <v>0</v>
      </c>
      <c r="HA97" s="560" t="str">
        <f t="shared" si="263"/>
        <v/>
      </c>
      <c r="HB97" s="560">
        <f>IF(GK97="P",Lookup!$N$12,IF(GK97="PP",Lookup!$N$13,IF(GK97="PPP",Lookup!$N$14,IF(GK97="T",Lookup!$N$15,IF(GK97="TP",Lookup!$N$16,IF(GK97="TPP",Lookup!$N$17,IF(GK97="TPPP",Lookup!$N$18,0)))))))*GJ97</f>
        <v>0</v>
      </c>
      <c r="HC97" s="545">
        <f t="shared" si="232"/>
        <v>0</v>
      </c>
      <c r="HD97" s="560">
        <f t="shared" si="233"/>
        <v>1060.0651315563032</v>
      </c>
      <c r="HE97" s="560">
        <f t="shared" si="268"/>
        <v>345.52318499227613</v>
      </c>
      <c r="HF97" s="560"/>
      <c r="HG97" s="560">
        <f t="shared" si="264"/>
        <v>0</v>
      </c>
      <c r="HH97" s="560" t="str">
        <f t="shared" si="265"/>
        <v/>
      </c>
      <c r="HI97" s="560">
        <f>IF(GK97="P",Lookup!$N$12,IF(GK97="PP",Lookup!$N$13,IF(GK97="PPP",Lookup!$N$14,IF(GK97="T",Lookup!$N$15,IF(GK97="TP",Lookup!$N$16,IF(GK97="TPP",Lookup!$N$17,IF(GK97="TPPP",Lookup!$N$18,0)))))))*GJ97</f>
        <v>0</v>
      </c>
      <c r="HJ97" s="545">
        <f t="shared" si="234"/>
        <v>0</v>
      </c>
      <c r="HK97" s="560">
        <f t="shared" si="235"/>
        <v>780.92567432368776</v>
      </c>
      <c r="HL97" s="560">
        <f t="shared" si="269"/>
        <v>254.53900727629977</v>
      </c>
      <c r="HM97" s="560"/>
    </row>
    <row r="98" spans="1:221">
      <c r="A98" s="580" t="s">
        <v>8</v>
      </c>
      <c r="B98" s="556">
        <v>41726</v>
      </c>
      <c r="C98" s="561">
        <v>0</v>
      </c>
      <c r="D98" s="529">
        <f t="shared" si="270"/>
        <v>300</v>
      </c>
      <c r="E98" s="529">
        <f t="shared" si="271"/>
        <v>250</v>
      </c>
      <c r="F98" s="529">
        <v>250</v>
      </c>
      <c r="G98" s="560">
        <f>DR98+Sheet1!CZ100</f>
        <v>1707.4230963193361</v>
      </c>
      <c r="H98" s="914">
        <f t="shared" si="236"/>
        <v>836.71508946081883</v>
      </c>
      <c r="I98" s="559">
        <f>MAX(Sheet1!Z100-AT98+(Sheet1!DA100-E98)*CFStoMGD,0)</f>
        <v>1493.3879999999999</v>
      </c>
      <c r="J98" s="562">
        <f>IF(AND(B98&gt;=Calculation!GC98,B98&lt;=Calculation!GD98),IF(Sheet1!DB100&gt;=Calculation!D98,64.64,0),MAX(Sheet1!Z100-AT98+(Sheet1!DB100-D98)*CFStoMGD,0))</f>
        <v>64.64</v>
      </c>
      <c r="K98" s="904">
        <f t="shared" si="171"/>
        <v>64.64</v>
      </c>
      <c r="L98" s="560">
        <f>Sheet1!AA100+Sheet1!AB100-Sheet1!L100+(Sheet1!DA100-F98)*CFStoMGD</f>
        <v>1467.328</v>
      </c>
      <c r="M98" s="560">
        <f t="shared" si="172"/>
        <v>1125.7518552500353</v>
      </c>
      <c r="N98" s="910">
        <f>IF(Sheet1!DA100&gt;=F98,MIN(73,MIN(MAX(L98,0),MAX(M98,0))),0)</f>
        <v>73</v>
      </c>
      <c r="O98" s="563">
        <f>Sheet1!AA100+Sheet1!AB100</f>
        <v>46.5</v>
      </c>
      <c r="P98" s="563">
        <f t="shared" si="173"/>
        <v>71.93549999999999</v>
      </c>
      <c r="Q98" s="898">
        <f t="shared" si="237"/>
        <v>38.19</v>
      </c>
      <c r="R98" s="829">
        <f t="shared" si="174"/>
        <v>8.3067803177063162</v>
      </c>
      <c r="S98" s="898">
        <f t="shared" si="238"/>
        <v>8.3099999999999987</v>
      </c>
      <c r="T98" s="898">
        <f t="shared" si="239"/>
        <v>56.33</v>
      </c>
      <c r="U98" s="898">
        <f t="shared" si="240"/>
        <v>0</v>
      </c>
      <c r="V98" s="898"/>
      <c r="W98" s="898">
        <f t="shared" si="241"/>
        <v>56.333219682293688</v>
      </c>
      <c r="X98" s="898">
        <f t="shared" si="242"/>
        <v>64.64</v>
      </c>
      <c r="Y98" s="898" t="str">
        <f t="shared" si="243"/>
        <v>FALSE</v>
      </c>
      <c r="Z98" s="898">
        <f t="shared" si="244"/>
        <v>46.5</v>
      </c>
      <c r="AA98" s="898">
        <f t="shared" si="245"/>
        <v>46.5</v>
      </c>
      <c r="AB98" s="898" t="str">
        <f t="shared" si="246"/>
        <v/>
      </c>
      <c r="AC98" s="563">
        <f>Sheet1!Y100*MGDtoCFS</f>
        <v>31.775379999999998</v>
      </c>
      <c r="AD98" s="563">
        <f>Sheet1!Z100*MGDtoCFS</f>
        <v>40.314819999999997</v>
      </c>
      <c r="AE98" s="563">
        <f>Sheet1!AA100*MGDtoCFS</f>
        <v>32.0229</v>
      </c>
      <c r="AF98" s="563">
        <f>Sheet1!AB100*MGDtoCFS</f>
        <v>39.912599999999998</v>
      </c>
      <c r="AG98" s="563">
        <f>Sheet1!L100*MGDtoCFS</f>
        <v>71.93549999999999</v>
      </c>
      <c r="AH98" s="545">
        <f t="shared" si="175"/>
        <v>0</v>
      </c>
      <c r="AI98" s="560">
        <f t="shared" si="176"/>
        <v>0</v>
      </c>
      <c r="AJ98" s="560">
        <f t="shared" si="177"/>
        <v>56.333219682293688</v>
      </c>
      <c r="AK98" s="560">
        <f t="shared" si="178"/>
        <v>87.147490848508326</v>
      </c>
      <c r="AL98" s="560">
        <f>(VLOOKUP(Sheet1!DC100,hhdcap_wcm,4)-(((VLOOKUP(Sheet1!DC100,hhdcap_wcm,3)-Sheet1!DC100)/(VLOOKUP(Sheet1!DC100,hhdcap_wcm,3)-VLOOKUP(Sheet1!DC100,hhdcap_wcm,1)))*(VLOOKUP(Sheet1!DC100,hhdcap_wcm,4)-VLOOKUP(Sheet1!DC100,hhdcap_wcm,2))))</f>
        <v>21267.000000054115</v>
      </c>
      <c r="AM98" s="560">
        <f t="shared" si="179"/>
        <v>530.30000000124346</v>
      </c>
      <c r="AN98" s="560">
        <f t="shared" si="180"/>
        <v>2038.973189728646</v>
      </c>
      <c r="AO98" s="560">
        <f t="shared" si="181"/>
        <v>6255.5697460874862</v>
      </c>
      <c r="AP98" s="560">
        <f>Sheet1!BA100+Sheet1!BB100+Sheet1!BN100+CD98</f>
        <v>17.5</v>
      </c>
      <c r="AQ98" s="560">
        <f>Sheet1!BN100+(DO98*Sheet1!BN100)</f>
        <v>16.493607129019761</v>
      </c>
      <c r="AR98" s="560">
        <f>Sheet1!BA100+CD98</f>
        <v>0</v>
      </c>
      <c r="AS98" s="560">
        <f>Sheet1!BA100+Sheet1!BB100+CD98</f>
        <v>1</v>
      </c>
      <c r="AT98" s="698">
        <f>0</f>
        <v>0</v>
      </c>
      <c r="AU98" s="560">
        <f>IF(EB98&lt;K98,0,MAX(Sheet1!AA100+AQ98-15/36*K98-N98,Sheet1!EH100,0))</f>
        <v>0</v>
      </c>
      <c r="AV98" s="560">
        <f>IF(OR(B98&gt;=GD98,B98&lt;GC98),0,15/36*K98-MAX(0,64.6-(137.6-(Sheet1!AA100+Sheet1!AB100))))</f>
        <v>26.933333333333334</v>
      </c>
      <c r="AW98" s="698">
        <f>Sheet1!DB100-110</f>
        <v>1370</v>
      </c>
      <c r="AX98" s="698">
        <f>Sheet1!DA100-265</f>
        <v>2255</v>
      </c>
      <c r="AY98" s="698">
        <f t="shared" si="182"/>
        <v>34.81</v>
      </c>
      <c r="AZ98" s="698">
        <v>0</v>
      </c>
      <c r="BA98" s="698">
        <f t="shared" si="183"/>
        <v>0</v>
      </c>
      <c r="BB98" s="560">
        <f t="shared" si="184"/>
        <v>969.59999999999911</v>
      </c>
      <c r="BC98" s="560"/>
      <c r="BD98" s="560">
        <f ca="1">IF(B98&gt;Summary!$A$1,#N/A,BB98*MGtoAF)</f>
        <v>2974.7327999999975</v>
      </c>
      <c r="BE98" s="560">
        <f>Sheet1!BG100+Sheet1!BH100+Sheet1!BI100-BM98</f>
        <v>0</v>
      </c>
      <c r="BF98" s="560">
        <f t="shared" si="185"/>
        <v>0</v>
      </c>
      <c r="BG98" s="560">
        <f>IF(Sheet1!EP100="FM",BM98,0)</f>
        <v>0</v>
      </c>
      <c r="BH98" s="560">
        <f t="shared" si="186"/>
        <v>0</v>
      </c>
      <c r="BI98" s="560">
        <f>IF(Sheet1!EP100="OTHER",BM98,0)</f>
        <v>0</v>
      </c>
      <c r="BJ98" s="560">
        <f t="shared" si="187"/>
        <v>0</v>
      </c>
      <c r="BK98" s="560">
        <f t="shared" si="188"/>
        <v>0</v>
      </c>
      <c r="BL98" s="560">
        <f t="shared" si="189"/>
        <v>0</v>
      </c>
      <c r="BM98" s="560">
        <f>IF(OR(Sheet1!EP100="FM", Sheet1!EP100="OTHER"),SUM(Sheet1!BG100:'Sheet1'!BI100),0)</f>
        <v>0</v>
      </c>
      <c r="BN98" s="545">
        <f>IF(AND($B98&gt;=$FV98,$B98&lt;=$FW98),MAX(BF98,Sheet1!EI100,0),MAX(BF98-(7/36)*$K98,0))</f>
        <v>0</v>
      </c>
      <c r="BO98" s="560">
        <f t="shared" si="190"/>
        <v>12.568888888888889</v>
      </c>
      <c r="BP98" s="545">
        <f t="shared" si="191"/>
        <v>0</v>
      </c>
      <c r="BQ98" s="545">
        <f>IF(AND($O98&gt;0,Sheet1!EM100=1),(1-($O98-Sheet1!$L100)/$O98)*BL98,0)</f>
        <v>0</v>
      </c>
      <c r="BR98" s="545">
        <f>IF(AND(Sheet1!$L100=0,Sheet1!$L99=0, Calculation!BK98&lt;Sheet1!$EI100-0.1,Sheet1!$EI100=Sheet1!$EI99,Sheet1!$EI100=Sheet1!$EI101),Sheet1!$EI100,BL98-BQ98)</f>
        <v>0</v>
      </c>
      <c r="BS98" s="560"/>
      <c r="BT98" s="560"/>
      <c r="BU98" s="560">
        <f t="shared" si="192"/>
        <v>452.47999999999968</v>
      </c>
      <c r="BV98" s="560"/>
      <c r="BW98" s="560">
        <f ca="1">IF(B98&gt;Summary!$A$1,#N/A,BU98*MGtoAF)</f>
        <v>1388.2086399999991</v>
      </c>
      <c r="BX98" s="560">
        <f>Sheet1!BC100+Sheet1!BD100+Sheet1!BE100+Sheet1!BF100-CG98-CH98</f>
        <v>2.87</v>
      </c>
      <c r="BY98" s="560">
        <f t="shared" si="193"/>
        <v>2.8688880278961646</v>
      </c>
      <c r="BZ98" s="560">
        <f>IF(Sheet1!EQ100="FM",CH98,0)</f>
        <v>0</v>
      </c>
      <c r="CA98" s="560">
        <f t="shared" si="194"/>
        <v>0</v>
      </c>
      <c r="CB98" s="560">
        <f>IF(Sheet1!EQ100="OTHER",CH98,0)</f>
        <v>0</v>
      </c>
      <c r="CC98" s="560">
        <f t="shared" si="195"/>
        <v>0</v>
      </c>
      <c r="CD98" s="560">
        <f t="shared" si="196"/>
        <v>0</v>
      </c>
      <c r="CE98" s="560">
        <f t="shared" si="197"/>
        <v>2.87</v>
      </c>
      <c r="CF98" s="560">
        <f t="shared" si="198"/>
        <v>2.8688880278961646</v>
      </c>
      <c r="CG98" s="560">
        <f>IF(Sheet1!EQ100="CWA",SUM(Sheet1!BC100:'Sheet1'!BF100),0)</f>
        <v>0</v>
      </c>
      <c r="CH98" s="560">
        <f>IF(OR(Sheet1!EQ100="FM", Sheet1!EQ100="OTHER"),SUM(Sheet1!BC100:'Sheet1'!BF100),0)</f>
        <v>0</v>
      </c>
      <c r="CI98" s="545">
        <f>IF(AND($B98&gt;=$FV98,$B98&lt;=$FW98),MAX(CF98,Sheet1!EJ100,0),MAX(CF98-(7/36)*$K98,0))</f>
        <v>0</v>
      </c>
      <c r="CJ98" s="560">
        <f t="shared" si="199"/>
        <v>9.7000008609927235</v>
      </c>
      <c r="CK98" s="545">
        <f t="shared" si="200"/>
        <v>2.8688880278961646</v>
      </c>
      <c r="CL98" s="545">
        <f>IF(AND($O98&gt;0,Sheet1!EN100=1),(1-($O98-Sheet1!$L100)/$O98)*CF98,0)</f>
        <v>0</v>
      </c>
      <c r="CM98" s="545">
        <f>IF(AND(Sheet1!$L100=0,Sheet1!$L99=0, Calculation!CE98&lt;Sheet1!EJ100-0.1,Sheet1!EJ100=Sheet1!EJ99,Sheet1!EJ100=Sheet1!EJ101),Sheet1!EJ100,CF98-CL98)</f>
        <v>2.8688880278961646</v>
      </c>
      <c r="CN98" s="545"/>
      <c r="CO98" s="560"/>
      <c r="CP98" s="560">
        <f t="shared" si="201"/>
        <v>355.22318585326883</v>
      </c>
      <c r="CQ98" s="560"/>
      <c r="CR98" s="560">
        <f ca="1">IF(B98&gt;Summary!$A$1,#N/A,CP98*MGtoAF)</f>
        <v>1089.8247341978288</v>
      </c>
      <c r="CS98" s="560">
        <f>Sheet1!BK100+Sheet1!BL100+Sheet1!BM100-Sheet1!ER100-DA98</f>
        <v>5.4399999999999995</v>
      </c>
      <c r="CT98" s="560">
        <f t="shared" si="202"/>
        <v>5.4378922898101507</v>
      </c>
      <c r="CU98" s="560">
        <f>IF(Sheet1!ER100="FM",DA98,0)</f>
        <v>0</v>
      </c>
      <c r="CV98" s="560">
        <f t="shared" si="203"/>
        <v>0</v>
      </c>
      <c r="CW98" s="560">
        <f>IF(Sheet1!ER100="OTHER",DA98,0)</f>
        <v>0</v>
      </c>
      <c r="CX98" s="560">
        <f t="shared" si="204"/>
        <v>0</v>
      </c>
      <c r="CY98" s="560">
        <f t="shared" si="205"/>
        <v>5.4399999999999995</v>
      </c>
      <c r="CZ98" s="560">
        <f t="shared" si="206"/>
        <v>5.4378922898101507</v>
      </c>
      <c r="DA98" s="560">
        <f>IF(OR(Sheet1!ER100="FM", Sheet1!ER100="OTHER"),SUM(Sheet1!BK100:'Sheet1'!BM100),0)</f>
        <v>0</v>
      </c>
      <c r="DB98" s="545">
        <f>IF(AND($B98&gt;=$FV98,$B98&lt;=$FW98),MAX($CT98,Sheet1!EK100,0),MAX($CT98-(7/36)*$K98,0))</f>
        <v>0</v>
      </c>
      <c r="DC98" s="560">
        <f t="shared" si="207"/>
        <v>7.1309965990787383</v>
      </c>
      <c r="DD98" s="545">
        <f t="shared" si="208"/>
        <v>5.4378922898101507</v>
      </c>
      <c r="DE98" s="545">
        <f>IF(AND($O98&gt;0,Sheet1!EO100=1),(1-($O98-Sheet1!$L100)/$O98)*CZ98,0)</f>
        <v>0</v>
      </c>
      <c r="DF98" s="545">
        <f>IF(AND(Sheet1!$L100=0,Sheet1!$L99=0, Calculation!CY98&lt;Sheet1!$EK100-0.1,Sheet1!$EK100=Sheet1!$EK99,Sheet1!$EK100=Sheet1!$EK101),Sheet1!$EK100,CZ98-DE98)</f>
        <v>5.4378922898101507</v>
      </c>
      <c r="DG98" s="545"/>
      <c r="DH98" s="560">
        <f t="shared" si="209"/>
        <v>8.3099999999999987</v>
      </c>
      <c r="DI98" s="560">
        <f t="shared" si="210"/>
        <v>261.67000387537848</v>
      </c>
      <c r="DJ98" s="698">
        <f t="shared" si="211"/>
        <v>8.3067803177063162</v>
      </c>
      <c r="DK98" s="560">
        <f ca="1">IF(B98&gt;Summary!$A$1,#N/A,DI98*MGtoAF)</f>
        <v>802.80357188966116</v>
      </c>
      <c r="DL98" s="698">
        <f t="shared" si="212"/>
        <v>8.3099999999999987</v>
      </c>
      <c r="DM98" s="560">
        <f t="shared" si="213"/>
        <v>25.81</v>
      </c>
      <c r="DN98" s="560">
        <f>Sheet1!AB100-DM98</f>
        <v>-9.9999999999980105E-3</v>
      </c>
      <c r="DO98" s="823">
        <f t="shared" si="214"/>
        <v>-3.8744672607508759E-4</v>
      </c>
      <c r="DP98" s="560">
        <f>(VLOOKUP(Sheet1!DC100,hhdcap_wcm,4)-(((VLOOKUP(Sheet1!DC100,hhdcap_wcm,3)-Sheet1!DC100)/(VLOOKUP(Sheet1!DC100,hhdcap_wcm,3)-VLOOKUP(Sheet1!DC100,hhdcap_wcm,1)))*(VLOOKUP(Sheet1!DC100,hhdcap_wcm,4)-VLOOKUP(Sheet1!DC100,hhdcap_wcm,2))))</f>
        <v>21267.000000054115</v>
      </c>
      <c r="DQ98" s="560">
        <f t="shared" si="215"/>
        <v>530.30000000124346</v>
      </c>
      <c r="DR98" s="560">
        <f t="shared" si="216"/>
        <v>267.42309631933603</v>
      </c>
      <c r="DS98" s="560">
        <f>Sheet1!EA100*AFtoMG</f>
        <v>0</v>
      </c>
      <c r="DT98" s="560">
        <f>Sheet1!EB100*AFtoMG</f>
        <v>0</v>
      </c>
      <c r="DU98" s="560">
        <f>Sheet1!EC100*AFtoMG</f>
        <v>0</v>
      </c>
      <c r="DV98" s="560">
        <f>Sheet1!ED100*AFtoMG</f>
        <v>0</v>
      </c>
      <c r="DW98" s="560">
        <f t="shared" si="217"/>
        <v>0</v>
      </c>
      <c r="DX98" s="560">
        <f t="shared" si="218"/>
        <v>0</v>
      </c>
      <c r="DY98" s="560">
        <f t="shared" si="219"/>
        <v>2038.973189728646</v>
      </c>
      <c r="DZ98" s="560">
        <f t="shared" si="220"/>
        <v>6255.5697460874862</v>
      </c>
      <c r="EA98" s="560"/>
      <c r="EB98" s="545">
        <f>IF(OR(B98&lt;FV98,B98&gt;FW98),(MIN(BF98+BY98+CT98+MAX(Sheet1!AA100+AQ98-73,0),K98)),0)</f>
        <v>8.3067803177063162</v>
      </c>
      <c r="EC98" s="560"/>
      <c r="ED98" s="560">
        <f t="shared" si="221"/>
        <v>8.3067803177063162</v>
      </c>
      <c r="EE98" s="560"/>
      <c r="EF98" s="560">
        <f>Sheet1!EH100+Sheet1!EI100+Sheet1!EJ100+Sheet1!EK100</f>
        <v>8.3099999999999987</v>
      </c>
      <c r="EG98" s="560"/>
      <c r="EH98" s="545">
        <f t="shared" si="222"/>
        <v>0</v>
      </c>
      <c r="EI98" s="560">
        <f>IF(Sheet1!ET100=1,SUM('Calculations II'!AT98:BA98)+'Calculations II'!BC98+Sheet1!BV100+'Calculations II'!BE98+AP98,SUM('Calculations II'!AT98:BA98)+'Calculations II'!BC98+Sheet1!BV100+'Calculations II'!BE98+AP98)</f>
        <v>49.480800000000002</v>
      </c>
      <c r="EJ98" s="560">
        <f>Sheet1!AA100+Sheet1!AB100+'Calculations II'!BC98</f>
        <v>52.961855999999997</v>
      </c>
      <c r="EK98" s="560"/>
      <c r="EL98" s="560"/>
      <c r="EM98" s="560">
        <f t="shared" si="223"/>
        <v>41726</v>
      </c>
      <c r="EN98" s="560">
        <f t="shared" si="224"/>
        <v>56.333219682293688</v>
      </c>
      <c r="EO98" s="560">
        <f t="shared" si="225"/>
        <v>87.147490848508326</v>
      </c>
      <c r="EP98" s="560">
        <v>0</v>
      </c>
      <c r="EQ98" s="560">
        <v>0</v>
      </c>
      <c r="ER98" s="560">
        <v>0</v>
      </c>
      <c r="ES98" s="545">
        <f t="shared" si="247"/>
        <v>1.6622787278077602</v>
      </c>
      <c r="ET98" s="560">
        <f>-(VLOOKUP(Sheet1!BQ100,Lookup!$O$4:$Q$262,2)-VLOOKUP(Sheet1!BQ99,Lookup!$O$4:$Q$262,2))/1000000</f>
        <v>0.83115859135520831</v>
      </c>
      <c r="EU98" s="560">
        <f>-(VLOOKUP(Sheet1!BR100,Lookup!$O$4:$Q$262,3)-VLOOKUP(Sheet1!BR99,Lookup!$O$4:$Q$262,3))/1000000</f>
        <v>0.83112013645255189</v>
      </c>
      <c r="EV98" s="560"/>
      <c r="EW98" s="560"/>
      <c r="EX98" s="560"/>
      <c r="EY98" s="560"/>
      <c r="EZ98" s="560"/>
      <c r="FA98" s="560"/>
      <c r="FB98" s="560"/>
      <c r="FC98" s="560"/>
      <c r="FD98" s="594" t="e">
        <f t="shared" si="226"/>
        <v>#N/A</v>
      </c>
      <c r="FE98" s="594" t="e">
        <f t="shared" si="227"/>
        <v>#N/A</v>
      </c>
      <c r="FF98" s="595" t="e">
        <f t="shared" si="228"/>
        <v>#N/A</v>
      </c>
      <c r="FG98" s="596" t="s">
        <v>692</v>
      </c>
      <c r="FH98" s="596" t="s">
        <v>692</v>
      </c>
      <c r="FI98" s="594" t="e">
        <v>#N/A</v>
      </c>
      <c r="FJ98" s="594" t="e">
        <v>#N/A</v>
      </c>
      <c r="FK98" s="560"/>
      <c r="FL98" s="560"/>
      <c r="FM98" s="560"/>
      <c r="FN98" s="560"/>
      <c r="FO98" s="560">
        <f>O98+((Sheet1!CS100)*GPMtoMGD)</f>
        <v>52.961855999999997</v>
      </c>
      <c r="FP98" s="560">
        <f>IF(Sheet1!AA100+AQ98&lt;=Calculation!N98,AQ98,Calculation!N98-Sheet1!AA100)</f>
        <v>16.493607129019761</v>
      </c>
      <c r="FQ98" s="560">
        <f>(Sheet1!BP100+Sheet1!BO100)/694.4</f>
        <v>1.4219470046082949</v>
      </c>
      <c r="FR98" s="560"/>
      <c r="FS98" s="560"/>
      <c r="FT98" s="560"/>
      <c r="FU98" s="560"/>
      <c r="FV98" s="695">
        <f t="shared" si="248"/>
        <v>41827</v>
      </c>
      <c r="FW98" s="695">
        <f t="shared" si="249"/>
        <v>41934</v>
      </c>
      <c r="FX98" s="560"/>
      <c r="FY98" s="560"/>
      <c r="FZ98" s="560"/>
      <c r="GA98" s="560"/>
      <c r="GB98" s="560" t="str">
        <f t="shared" si="250"/>
        <v>n</v>
      </c>
      <c r="GC98" s="564">
        <f t="shared" si="251"/>
        <v>41691</v>
      </c>
      <c r="GD98" s="695">
        <f t="shared" si="252"/>
        <v>41807</v>
      </c>
      <c r="GE98" s="560">
        <v>6518.9</v>
      </c>
      <c r="GF98" s="695">
        <f t="shared" si="253"/>
        <v>41808</v>
      </c>
      <c r="GG98" s="560">
        <f t="shared" si="272"/>
        <v>3259</v>
      </c>
      <c r="GH98" s="564">
        <f t="shared" si="254"/>
        <v>41934</v>
      </c>
      <c r="GJ98" s="545">
        <f t="shared" si="255"/>
        <v>0</v>
      </c>
      <c r="GK98" s="560" t="str">
        <f t="shared" si="229"/>
        <v/>
      </c>
      <c r="GL98" s="560">
        <f t="shared" si="256"/>
        <v>0</v>
      </c>
      <c r="GM98" s="560" t="str">
        <f t="shared" si="257"/>
        <v/>
      </c>
      <c r="GN98" s="560">
        <f>IF(GK98="P",Lookup!$M$12,IF(GK98="PP",Lookup!$M$13,IF(GK98="PPP",Lookup!$M$14,IF(GK98="T",Lookup!$M$15,IF(GK98="TP",Lookup!$M$16,IF(GK98="TPP",Lookup!$M$17,IF(GK98="TPPP",Lookup!$M$18,0)))))))*GJ98</f>
        <v>0</v>
      </c>
      <c r="GO98" s="560">
        <f t="shared" si="258"/>
        <v>0</v>
      </c>
      <c r="GP98" s="560">
        <f t="shared" si="230"/>
        <v>2974.7327999999975</v>
      </c>
      <c r="GQ98" s="560">
        <f t="shared" si="266"/>
        <v>969.59999999999911</v>
      </c>
      <c r="GR98" s="560"/>
      <c r="GS98" s="560">
        <f t="shared" si="259"/>
        <v>0</v>
      </c>
      <c r="GT98" s="560" t="str">
        <f t="shared" si="260"/>
        <v/>
      </c>
      <c r="GU98" s="560">
        <f>IF(GK98="P",Lookup!$N$12,IF(GK98="PP",Lookup!$N$13,IF(GK98="PPP",Lookup!$N$14,IF(GK98="T",Lookup!$N$15,IF(GK98="TP",Lookup!$N$16,IF(GK98="TPP",Lookup!$N$17,IF(GK98="TPPP",Lookup!$N$18,0)))))))*GJ98</f>
        <v>0</v>
      </c>
      <c r="GV98" s="560">
        <f t="shared" si="261"/>
        <v>0</v>
      </c>
      <c r="GW98" s="560">
        <f t="shared" si="231"/>
        <v>1388.2086399999991</v>
      </c>
      <c r="GX98" s="560">
        <f t="shared" si="267"/>
        <v>452.47999999999968</v>
      </c>
      <c r="GY98" s="560"/>
      <c r="GZ98" s="560">
        <f t="shared" si="262"/>
        <v>0</v>
      </c>
      <c r="HA98" s="560" t="str">
        <f t="shared" si="263"/>
        <v/>
      </c>
      <c r="HB98" s="560">
        <f>IF(GK98="P",Lookup!$N$12,IF(GK98="PP",Lookup!$N$13,IF(GK98="PPP",Lookup!$N$14,IF(GK98="T",Lookup!$N$15,IF(GK98="TP",Lookup!$N$16,IF(GK98="TPP",Lookup!$N$17,IF(GK98="TPPP",Lookup!$N$18,0)))))))*GJ98</f>
        <v>0</v>
      </c>
      <c r="HC98" s="545">
        <f t="shared" si="232"/>
        <v>0</v>
      </c>
      <c r="HD98" s="560">
        <f t="shared" si="233"/>
        <v>1089.8247341978288</v>
      </c>
      <c r="HE98" s="560">
        <f t="shared" si="268"/>
        <v>355.22318585326883</v>
      </c>
      <c r="HF98" s="560"/>
      <c r="HG98" s="560">
        <f t="shared" si="264"/>
        <v>0</v>
      </c>
      <c r="HH98" s="560" t="str">
        <f t="shared" si="265"/>
        <v/>
      </c>
      <c r="HI98" s="560">
        <f>IF(GK98="P",Lookup!$N$12,IF(GK98="PP",Lookup!$N$13,IF(GK98="PPP",Lookup!$N$14,IF(GK98="T",Lookup!$N$15,IF(GK98="TP",Lookup!$N$16,IF(GK98="TPP",Lookup!$N$17,IF(GK98="TPPP",Lookup!$N$18,0)))))))*GJ98</f>
        <v>0</v>
      </c>
      <c r="HJ98" s="545">
        <f t="shared" si="234"/>
        <v>0</v>
      </c>
      <c r="HK98" s="560">
        <f t="shared" si="235"/>
        <v>802.80357188966116</v>
      </c>
      <c r="HL98" s="560">
        <f t="shared" si="269"/>
        <v>261.67000387537848</v>
      </c>
      <c r="HM98" s="560"/>
    </row>
    <row r="99" spans="1:221">
      <c r="A99" s="580" t="s">
        <v>9</v>
      </c>
      <c r="B99" s="556">
        <v>41727</v>
      </c>
      <c r="C99" s="561">
        <v>0</v>
      </c>
      <c r="D99" s="529">
        <f t="shared" si="270"/>
        <v>300</v>
      </c>
      <c r="E99" s="529">
        <f t="shared" si="271"/>
        <v>250</v>
      </c>
      <c r="F99" s="529">
        <v>250</v>
      </c>
      <c r="G99" s="560">
        <f>DR99+Sheet1!CZ101</f>
        <v>1724.4175491685621</v>
      </c>
      <c r="H99" s="914">
        <f t="shared" si="236"/>
        <v>847.70030378255854</v>
      </c>
      <c r="I99" s="559">
        <f>MAX(Sheet1!Z101-AT99+(Sheet1!DA101-E99)*CFStoMGD,0)</f>
        <v>1590.088</v>
      </c>
      <c r="J99" s="562">
        <f>IF(AND(B99&gt;=Calculation!GC99,B99&lt;=Calculation!GD99),IF(Sheet1!DB101&gt;=Calculation!D99,64.64,0),MAX(Sheet1!Z101-AT99+(Sheet1!DB101-D99)*CFStoMGD,0))</f>
        <v>64.64</v>
      </c>
      <c r="K99" s="904">
        <f t="shared" si="171"/>
        <v>64.64</v>
      </c>
      <c r="L99" s="560">
        <f>Sheet1!AA101+Sheet1!AB101-Sheet1!L101+(Sheet1!DA101-F99)*CFStoMGD</f>
        <v>1564.288</v>
      </c>
      <c r="M99" s="560">
        <f t="shared" si="172"/>
        <v>1136.9567738582098</v>
      </c>
      <c r="N99" s="910">
        <f>IF(Sheet1!DA101&gt;=F99,MIN(73,MIN(MAX(L99,0),MAX(M99,0))),0)</f>
        <v>73</v>
      </c>
      <c r="O99" s="563">
        <f>Sheet1!AA101+Sheet1!AB101</f>
        <v>46.6</v>
      </c>
      <c r="P99" s="563">
        <f t="shared" si="173"/>
        <v>72.09020000000001</v>
      </c>
      <c r="Q99" s="898">
        <f t="shared" si="237"/>
        <v>38.130000000000003</v>
      </c>
      <c r="R99" s="829">
        <f t="shared" si="174"/>
        <v>8.4501948558067053</v>
      </c>
      <c r="S99" s="898">
        <f t="shared" si="238"/>
        <v>8.4700000000000006</v>
      </c>
      <c r="T99" s="898">
        <f t="shared" si="239"/>
        <v>56.17</v>
      </c>
      <c r="U99" s="898">
        <f t="shared" si="240"/>
        <v>0</v>
      </c>
      <c r="V99" s="898"/>
      <c r="W99" s="898">
        <f t="shared" si="241"/>
        <v>56.189805144193294</v>
      </c>
      <c r="X99" s="898">
        <f t="shared" si="242"/>
        <v>64.64</v>
      </c>
      <c r="Y99" s="898" t="str">
        <f t="shared" si="243"/>
        <v>FALSE</v>
      </c>
      <c r="Z99" s="898">
        <f t="shared" si="244"/>
        <v>46.6</v>
      </c>
      <c r="AA99" s="898">
        <f t="shared" si="245"/>
        <v>46.6</v>
      </c>
      <c r="AB99" s="898" t="str">
        <f t="shared" si="246"/>
        <v/>
      </c>
      <c r="AC99" s="563">
        <f>Sheet1!Y101*MGDtoCFS</f>
        <v>32.0229</v>
      </c>
      <c r="AD99" s="563">
        <f>Sheet1!Z101*MGDtoCFS</f>
        <v>39.912599999999998</v>
      </c>
      <c r="AE99" s="563">
        <f>Sheet1!AA101*MGDtoCFS</f>
        <v>32.487000000000002</v>
      </c>
      <c r="AF99" s="563">
        <f>Sheet1!AB101*MGDtoCFS</f>
        <v>39.603200000000001</v>
      </c>
      <c r="AG99" s="563">
        <f>Sheet1!L101*MGDtoCFS</f>
        <v>72.090199999999996</v>
      </c>
      <c r="AH99" s="545">
        <f t="shared" si="175"/>
        <v>0</v>
      </c>
      <c r="AI99" s="560">
        <f t="shared" si="176"/>
        <v>0</v>
      </c>
      <c r="AJ99" s="560">
        <f t="shared" si="177"/>
        <v>56.189805144193294</v>
      </c>
      <c r="AK99" s="560">
        <f t="shared" si="178"/>
        <v>86.925628558067018</v>
      </c>
      <c r="AL99" s="560">
        <f>(VLOOKUP(Sheet1!DC101,hhdcap_wcm,4)-(((VLOOKUP(Sheet1!DC101,hhdcap_wcm,3)-Sheet1!DC101)/(VLOOKUP(Sheet1!DC101,hhdcap_wcm,3)-VLOOKUP(Sheet1!DC101,hhdcap_wcm,1)))*(VLOOKUP(Sheet1!DC101,hhdcap_wcm,4)-VLOOKUP(Sheet1!DC101,hhdcap_wcm,2))))</f>
        <v>21831.000000055374</v>
      </c>
      <c r="AM99" s="560">
        <f t="shared" si="179"/>
        <v>564.00000000125874</v>
      </c>
      <c r="AN99" s="560">
        <f t="shared" si="180"/>
        <v>2095.1629948728391</v>
      </c>
      <c r="AO99" s="560">
        <f t="shared" si="181"/>
        <v>6427.960068269871</v>
      </c>
      <c r="AP99" s="560">
        <f>Sheet1!BA101+Sheet1!BB101+Sheet1!BN101+CD99</f>
        <v>17.189999999999998</v>
      </c>
      <c r="AQ99" s="560">
        <f>Sheet1!BN101+(DO99*Sheet1!BN101)</f>
        <v>16.162120031176933</v>
      </c>
      <c r="AR99" s="560">
        <f>Sheet1!BA101+CD99</f>
        <v>0</v>
      </c>
      <c r="AS99" s="560">
        <f>Sheet1!BA101+Sheet1!BB101+CD99</f>
        <v>0.99</v>
      </c>
      <c r="AT99" s="698">
        <f>0</f>
        <v>0</v>
      </c>
      <c r="AU99" s="560">
        <f>IF(EB99&lt;K99,0,MAX(Sheet1!AA101+AQ99-15/36*K99-N99,Sheet1!EH101,0))</f>
        <v>0</v>
      </c>
      <c r="AV99" s="560">
        <f>IF(OR(B99&gt;=GD99,B99&lt;GC99),0,15/36*K99-MAX(0,64.6-(137.6-(Sheet1!AA101+Sheet1!AB101))))</f>
        <v>26.933333333333334</v>
      </c>
      <c r="AW99" s="698">
        <f>Sheet1!DB101-110</f>
        <v>1370</v>
      </c>
      <c r="AX99" s="698">
        <f>Sheet1!DA101-265</f>
        <v>2405</v>
      </c>
      <c r="AY99" s="698">
        <f t="shared" si="182"/>
        <v>34.869999999999997</v>
      </c>
      <c r="AZ99" s="698">
        <v>0</v>
      </c>
      <c r="BA99" s="698">
        <f t="shared" si="183"/>
        <v>0</v>
      </c>
      <c r="BB99" s="560">
        <f t="shared" si="184"/>
        <v>996.53333333333239</v>
      </c>
      <c r="BC99" s="560"/>
      <c r="BD99" s="560">
        <f ca="1">IF(B99&gt;Summary!$A$1,#N/A,BB99*MGtoAF)</f>
        <v>3057.3642666666638</v>
      </c>
      <c r="BE99" s="560">
        <f>Sheet1!BG101+Sheet1!BH101+Sheet1!BI101-BM99</f>
        <v>0</v>
      </c>
      <c r="BF99" s="560">
        <f t="shared" si="185"/>
        <v>0</v>
      </c>
      <c r="BG99" s="560">
        <f>IF(Sheet1!EP101="FM",BM99,0)</f>
        <v>0</v>
      </c>
      <c r="BH99" s="560">
        <f t="shared" si="186"/>
        <v>0</v>
      </c>
      <c r="BI99" s="560">
        <f>IF(Sheet1!EP101="OTHER",BM99,0)</f>
        <v>0</v>
      </c>
      <c r="BJ99" s="560">
        <f t="shared" si="187"/>
        <v>0</v>
      </c>
      <c r="BK99" s="560">
        <f t="shared" si="188"/>
        <v>0</v>
      </c>
      <c r="BL99" s="560">
        <f t="shared" si="189"/>
        <v>0</v>
      </c>
      <c r="BM99" s="560">
        <f>IF(OR(Sheet1!EP101="FM", Sheet1!EP101="OTHER"),SUM(Sheet1!BG101:'Sheet1'!BI101),0)</f>
        <v>0</v>
      </c>
      <c r="BN99" s="545">
        <f>IF(AND($B99&gt;=$FV99,$B99&lt;=$FW99),MAX(BF99,Sheet1!EI101,0),MAX(BF99-(7/36)*$K99,0))</f>
        <v>0</v>
      </c>
      <c r="BO99" s="560">
        <f t="shared" si="190"/>
        <v>12.568888888888889</v>
      </c>
      <c r="BP99" s="545">
        <f t="shared" si="191"/>
        <v>0</v>
      </c>
      <c r="BQ99" s="545">
        <f>IF(AND($O99&gt;0,Sheet1!EM101=1),(1-($O99-Sheet1!$L101)/$O99)*BL99,0)</f>
        <v>0</v>
      </c>
      <c r="BR99" s="545">
        <f>IF(AND(Sheet1!$L101=0,Sheet1!$L100=0, Calculation!BK99&lt;Sheet1!$EI101-0.1,Sheet1!$EI101=Sheet1!$EI100,Sheet1!$EI101=Sheet1!$EI102),Sheet1!$EI101,BL99-BQ99)</f>
        <v>0</v>
      </c>
      <c r="BS99" s="560"/>
      <c r="BT99" s="560"/>
      <c r="BU99" s="560">
        <f t="shared" si="192"/>
        <v>465.04888888888854</v>
      </c>
      <c r="BV99" s="560"/>
      <c r="BW99" s="560">
        <f ca="1">IF(B99&gt;Summary!$A$1,#N/A,BU99*MGtoAF)</f>
        <v>1426.7699911111101</v>
      </c>
      <c r="BX99" s="560">
        <f>Sheet1!BC101+Sheet1!BD101+Sheet1!BE101+Sheet1!BF101-CG99-CH99</f>
        <v>2.58</v>
      </c>
      <c r="BY99" s="560">
        <f t="shared" si="193"/>
        <v>2.5739672642244744</v>
      </c>
      <c r="BZ99" s="560">
        <f>IF(Sheet1!EQ101="FM",CH99,0)</f>
        <v>0</v>
      </c>
      <c r="CA99" s="560">
        <f t="shared" si="194"/>
        <v>0</v>
      </c>
      <c r="CB99" s="560">
        <f>IF(Sheet1!EQ101="OTHER",CH99,0)</f>
        <v>0</v>
      </c>
      <c r="CC99" s="560">
        <f t="shared" si="195"/>
        <v>0</v>
      </c>
      <c r="CD99" s="560">
        <f t="shared" si="196"/>
        <v>0</v>
      </c>
      <c r="CE99" s="560">
        <f t="shared" si="197"/>
        <v>2.58</v>
      </c>
      <c r="CF99" s="560">
        <f t="shared" si="198"/>
        <v>2.5739672642244744</v>
      </c>
      <c r="CG99" s="560">
        <f>IF(Sheet1!EQ101="CWA",SUM(Sheet1!BC101:'Sheet1'!BF101),0)</f>
        <v>0</v>
      </c>
      <c r="CH99" s="560">
        <f>IF(OR(Sheet1!EQ101="FM", Sheet1!EQ101="OTHER"),SUM(Sheet1!BC101:'Sheet1'!BF101),0)</f>
        <v>0</v>
      </c>
      <c r="CI99" s="545">
        <f>IF(AND($B99&gt;=$FV99,$B99&lt;=$FW99),MAX(CF99,Sheet1!EJ101,0),MAX(CF99-(7/36)*$K99,0))</f>
        <v>0</v>
      </c>
      <c r="CJ99" s="560">
        <f t="shared" si="199"/>
        <v>9.9949216246644141</v>
      </c>
      <c r="CK99" s="545">
        <f t="shared" si="200"/>
        <v>2.5739672642244744</v>
      </c>
      <c r="CL99" s="545">
        <f>IF(AND($O99&gt;0,Sheet1!EN101=1),(1-($O99-Sheet1!$L101)/$O99)*CF99,0)</f>
        <v>0</v>
      </c>
      <c r="CM99" s="545">
        <f>IF(AND(Sheet1!$L101=0,Sheet1!$L100=0, Calculation!CE99&lt;Sheet1!EJ101-0.1,Sheet1!EJ101=Sheet1!EJ100,Sheet1!EJ101=Sheet1!EJ102),Sheet1!EJ101,CF99-CL99)</f>
        <v>2.5739672642244744</v>
      </c>
      <c r="CN99" s="545"/>
      <c r="CO99" s="560"/>
      <c r="CP99" s="560">
        <f t="shared" si="201"/>
        <v>365.21810747793324</v>
      </c>
      <c r="CQ99" s="560"/>
      <c r="CR99" s="560">
        <f ca="1">IF(B99&gt;Summary!$A$1,#N/A,CP99*MGtoAF)</f>
        <v>1120.4891537422993</v>
      </c>
      <c r="CS99" s="560">
        <f>Sheet1!BK101+Sheet1!BL101+Sheet1!BM101-Sheet1!ER101-DA99</f>
        <v>5.8900000000000006</v>
      </c>
      <c r="CT99" s="560">
        <f t="shared" si="202"/>
        <v>5.8762275915822304</v>
      </c>
      <c r="CU99" s="560">
        <f>IF(Sheet1!ER101="FM",DA99,0)</f>
        <v>0</v>
      </c>
      <c r="CV99" s="560">
        <f t="shared" si="203"/>
        <v>0</v>
      </c>
      <c r="CW99" s="560">
        <f>IF(Sheet1!ER101="OTHER",DA99,0)</f>
        <v>0</v>
      </c>
      <c r="CX99" s="560">
        <f t="shared" si="204"/>
        <v>0</v>
      </c>
      <c r="CY99" s="560">
        <f t="shared" si="205"/>
        <v>5.8900000000000006</v>
      </c>
      <c r="CZ99" s="560">
        <f t="shared" si="206"/>
        <v>5.8762275915822304</v>
      </c>
      <c r="DA99" s="560">
        <f>IF(OR(Sheet1!ER101="FM", Sheet1!ER101="OTHER"),SUM(Sheet1!BK101:'Sheet1'!BM101),0)</f>
        <v>0</v>
      </c>
      <c r="DB99" s="545">
        <f>IF(AND($B99&gt;=$FV99,$B99&lt;=$FW99),MAX($CT99,Sheet1!EK101,0),MAX($CT99-(7/36)*$K99,0))</f>
        <v>0</v>
      </c>
      <c r="DC99" s="560">
        <f t="shared" si="207"/>
        <v>6.6926612973066586</v>
      </c>
      <c r="DD99" s="545">
        <f t="shared" si="208"/>
        <v>5.8762275915822304</v>
      </c>
      <c r="DE99" s="545">
        <f>IF(AND($O99&gt;0,Sheet1!EO101=1),(1-($O99-Sheet1!$L101)/$O99)*CZ99,0)</f>
        <v>0</v>
      </c>
      <c r="DF99" s="545">
        <f>IF(AND(Sheet1!$L101=0,Sheet1!$L100=0, Calculation!CY99&lt;Sheet1!$EK101-0.1,Sheet1!$EK101=Sheet1!$EK100,Sheet1!$EK101=Sheet1!$EK102),Sheet1!$EK101,CZ99-DE99)</f>
        <v>5.8762275915822304</v>
      </c>
      <c r="DG99" s="545"/>
      <c r="DH99" s="560">
        <f t="shared" si="209"/>
        <v>8.4700000000000006</v>
      </c>
      <c r="DI99" s="560">
        <f t="shared" si="210"/>
        <v>268.36266517268513</v>
      </c>
      <c r="DJ99" s="698">
        <f t="shared" si="211"/>
        <v>8.4501948558067053</v>
      </c>
      <c r="DK99" s="560">
        <f ca="1">IF(B99&gt;Summary!$A$1,#N/A,DI99*MGtoAF)</f>
        <v>823.33665674979795</v>
      </c>
      <c r="DL99" s="698">
        <f t="shared" si="212"/>
        <v>8.4700000000000006</v>
      </c>
      <c r="DM99" s="560">
        <f t="shared" si="213"/>
        <v>25.659999999999997</v>
      </c>
      <c r="DN99" s="560">
        <f>Sheet1!AB101-DM99</f>
        <v>-5.9999999999995168E-2</v>
      </c>
      <c r="DO99" s="823">
        <f t="shared" si="214"/>
        <v>-2.3382696804362889E-3</v>
      </c>
      <c r="DP99" s="560">
        <f>(VLOOKUP(Sheet1!DC101,hhdcap_wcm,4)-(((VLOOKUP(Sheet1!DC101,hhdcap_wcm,3)-Sheet1!DC101)/(VLOOKUP(Sheet1!DC101,hhdcap_wcm,3)-VLOOKUP(Sheet1!DC101,hhdcap_wcm,1)))*(VLOOKUP(Sheet1!DC101,hhdcap_wcm,4)-VLOOKUP(Sheet1!DC101,hhdcap_wcm,2))))</f>
        <v>21831.000000055374</v>
      </c>
      <c r="DQ99" s="560">
        <f t="shared" si="215"/>
        <v>564.00000000125874</v>
      </c>
      <c r="DR99" s="560">
        <f t="shared" si="216"/>
        <v>284.41754916856212</v>
      </c>
      <c r="DS99" s="560">
        <f>Sheet1!EA101*AFtoMG</f>
        <v>0</v>
      </c>
      <c r="DT99" s="560">
        <f>Sheet1!EB101*AFtoMG</f>
        <v>0</v>
      </c>
      <c r="DU99" s="560">
        <f>Sheet1!EC101*AFtoMG</f>
        <v>0</v>
      </c>
      <c r="DV99" s="560">
        <f>Sheet1!ED101*AFtoMG</f>
        <v>0</v>
      </c>
      <c r="DW99" s="560">
        <f t="shared" si="217"/>
        <v>0</v>
      </c>
      <c r="DX99" s="560">
        <f t="shared" si="218"/>
        <v>0</v>
      </c>
      <c r="DY99" s="560">
        <f t="shared" si="219"/>
        <v>2095.1629948728391</v>
      </c>
      <c r="DZ99" s="560">
        <f t="shared" si="220"/>
        <v>6427.960068269871</v>
      </c>
      <c r="EA99" s="560"/>
      <c r="EB99" s="545">
        <f>IF(OR(B99&lt;FV99,B99&gt;FW99),(MIN(BF99+BY99+CT99+MAX(Sheet1!AA101+AQ99-73,0),K99)),0)</f>
        <v>8.4501948558067053</v>
      </c>
      <c r="EC99" s="560"/>
      <c r="ED99" s="560">
        <f t="shared" si="221"/>
        <v>8.4501948558067053</v>
      </c>
      <c r="EE99" s="560"/>
      <c r="EF99" s="560">
        <f>Sheet1!EH101+Sheet1!EI101+Sheet1!EJ101+Sheet1!EK101</f>
        <v>8.4700000000000006</v>
      </c>
      <c r="EG99" s="560"/>
      <c r="EH99" s="545">
        <f t="shared" si="222"/>
        <v>0</v>
      </c>
      <c r="EI99" s="560">
        <f>IF(Sheet1!ET101=1,SUM('Calculations II'!AT99:BA99)+'Calculations II'!BC99+Sheet1!BV101+'Calculations II'!BE99+AP99,SUM('Calculations II'!AT99:BA99)+'Calculations II'!BC99+Sheet1!BV101+'Calculations II'!BE99+AP99)</f>
        <v>45.905872000000002</v>
      </c>
      <c r="EJ99" s="560">
        <f>Sheet1!AA101+Sheet1!AB101+'Calculations II'!BC99</f>
        <v>55.765744000000005</v>
      </c>
      <c r="EK99" s="560"/>
      <c r="EL99" s="560"/>
      <c r="EM99" s="560">
        <f t="shared" si="223"/>
        <v>41727</v>
      </c>
      <c r="EN99" s="560">
        <f t="shared" si="224"/>
        <v>56.189805144193294</v>
      </c>
      <c r="EO99" s="560">
        <f t="shared" si="225"/>
        <v>86.925628558067018</v>
      </c>
      <c r="EP99" s="560">
        <v>0</v>
      </c>
      <c r="EQ99" s="560">
        <v>0</v>
      </c>
      <c r="ER99" s="560">
        <v>0</v>
      </c>
      <c r="ES99" s="545">
        <f t="shared" si="247"/>
        <v>-4.5723753992275</v>
      </c>
      <c r="ET99" s="560">
        <f>-(VLOOKUP(Sheet1!BQ101,Lookup!$O$4:$Q$262,2)-VLOOKUP(Sheet1!BQ100,Lookup!$O$4:$Q$262,2))/1000000</f>
        <v>-2.2169356994652154</v>
      </c>
      <c r="EU99" s="560">
        <f>-(VLOOKUP(Sheet1!BR101,Lookup!$O$4:$Q$262,3)-VLOOKUP(Sheet1!BR100,Lookup!$O$4:$Q$262,3))/1000000</f>
        <v>-2.3554396997622846</v>
      </c>
      <c r="EV99" s="560"/>
      <c r="EW99" s="560"/>
      <c r="EX99" s="560"/>
      <c r="EY99" s="560"/>
      <c r="EZ99" s="560"/>
      <c r="FA99" s="560"/>
      <c r="FB99" s="560"/>
      <c r="FC99" s="560"/>
      <c r="FD99" s="594" t="e">
        <f t="shared" si="226"/>
        <v>#N/A</v>
      </c>
      <c r="FE99" s="594" t="e">
        <f t="shared" si="227"/>
        <v>#N/A</v>
      </c>
      <c r="FF99" s="595" t="e">
        <f t="shared" si="228"/>
        <v>#N/A</v>
      </c>
      <c r="FG99" s="596" t="s">
        <v>692</v>
      </c>
      <c r="FH99" s="596" t="s">
        <v>692</v>
      </c>
      <c r="FI99" s="594" t="e">
        <v>#N/A</v>
      </c>
      <c r="FJ99" s="594" t="e">
        <v>#N/A</v>
      </c>
      <c r="FK99" s="560"/>
      <c r="FL99" s="560"/>
      <c r="FM99" s="560"/>
      <c r="FN99" s="560"/>
      <c r="FO99" s="560">
        <f>O99+((Sheet1!CS101)*GPMtoMGD)</f>
        <v>55.765744000000005</v>
      </c>
      <c r="FP99" s="560">
        <f>IF(Sheet1!AA101+AQ99&lt;=Calculation!N99,AQ99,Calculation!N99-Sheet1!AA101)</f>
        <v>16.162120031176933</v>
      </c>
      <c r="FQ99" s="560">
        <f>(Sheet1!BP101+Sheet1!BO101)/694.4</f>
        <v>1.4618375576036866</v>
      </c>
      <c r="FR99" s="560"/>
      <c r="FS99" s="560"/>
      <c r="FT99" s="560"/>
      <c r="FU99" s="560"/>
      <c r="FV99" s="695">
        <f t="shared" si="248"/>
        <v>41827</v>
      </c>
      <c r="FW99" s="695">
        <f t="shared" si="249"/>
        <v>41934</v>
      </c>
      <c r="FX99" s="560"/>
      <c r="FY99" s="560"/>
      <c r="FZ99" s="560"/>
      <c r="GA99" s="560"/>
      <c r="GB99" s="560" t="str">
        <f t="shared" si="250"/>
        <v>n</v>
      </c>
      <c r="GC99" s="564">
        <f t="shared" si="251"/>
        <v>41691</v>
      </c>
      <c r="GD99" s="695">
        <f t="shared" si="252"/>
        <v>41807</v>
      </c>
      <c r="GE99" s="560">
        <v>6518.9</v>
      </c>
      <c r="GF99" s="695">
        <f t="shared" si="253"/>
        <v>41808</v>
      </c>
      <c r="GG99" s="560">
        <f t="shared" si="272"/>
        <v>3259</v>
      </c>
      <c r="GH99" s="564">
        <f t="shared" si="254"/>
        <v>41934</v>
      </c>
      <c r="GJ99" s="545">
        <f t="shared" si="255"/>
        <v>0</v>
      </c>
      <c r="GK99" s="560" t="str">
        <f t="shared" si="229"/>
        <v/>
      </c>
      <c r="GL99" s="560">
        <f t="shared" si="256"/>
        <v>0</v>
      </c>
      <c r="GM99" s="560" t="str">
        <f t="shared" si="257"/>
        <v/>
      </c>
      <c r="GN99" s="560">
        <f>IF(GK99="P",Lookup!$M$12,IF(GK99="PP",Lookup!$M$13,IF(GK99="PPP",Lookup!$M$14,IF(GK99="T",Lookup!$M$15,IF(GK99="TP",Lookup!$M$16,IF(GK99="TPP",Lookup!$M$17,IF(GK99="TPPP",Lookup!$M$18,0)))))))*GJ99</f>
        <v>0</v>
      </c>
      <c r="GO99" s="560">
        <f t="shared" si="258"/>
        <v>0</v>
      </c>
      <c r="GP99" s="560">
        <f t="shared" si="230"/>
        <v>3057.3642666666638</v>
      </c>
      <c r="GQ99" s="560">
        <f t="shared" si="266"/>
        <v>996.53333333333239</v>
      </c>
      <c r="GR99" s="560"/>
      <c r="GS99" s="560">
        <f t="shared" si="259"/>
        <v>0</v>
      </c>
      <c r="GT99" s="560" t="str">
        <f t="shared" si="260"/>
        <v/>
      </c>
      <c r="GU99" s="560">
        <f>IF(GK99="P",Lookup!$N$12,IF(GK99="PP",Lookup!$N$13,IF(GK99="PPP",Lookup!$N$14,IF(GK99="T",Lookup!$N$15,IF(GK99="TP",Lookup!$N$16,IF(GK99="TPP",Lookup!$N$17,IF(GK99="TPPP",Lookup!$N$18,0)))))))*GJ99</f>
        <v>0</v>
      </c>
      <c r="GV99" s="560">
        <f t="shared" si="261"/>
        <v>0</v>
      </c>
      <c r="GW99" s="560">
        <f t="shared" si="231"/>
        <v>1426.7699911111101</v>
      </c>
      <c r="GX99" s="560">
        <f t="shared" si="267"/>
        <v>465.04888888888854</v>
      </c>
      <c r="GY99" s="560"/>
      <c r="GZ99" s="560">
        <f t="shared" si="262"/>
        <v>0</v>
      </c>
      <c r="HA99" s="560" t="str">
        <f t="shared" si="263"/>
        <v/>
      </c>
      <c r="HB99" s="560">
        <f>IF(GK99="P",Lookup!$N$12,IF(GK99="PP",Lookup!$N$13,IF(GK99="PPP",Lookup!$N$14,IF(GK99="T",Lookup!$N$15,IF(GK99="TP",Lookup!$N$16,IF(GK99="TPP",Lookup!$N$17,IF(GK99="TPPP",Lookup!$N$18,0)))))))*GJ99</f>
        <v>0</v>
      </c>
      <c r="HC99" s="545">
        <f t="shared" si="232"/>
        <v>0</v>
      </c>
      <c r="HD99" s="560">
        <f t="shared" si="233"/>
        <v>1120.4891537422993</v>
      </c>
      <c r="HE99" s="560">
        <f t="shared" si="268"/>
        <v>365.21810747793324</v>
      </c>
      <c r="HF99" s="560"/>
      <c r="HG99" s="560">
        <f t="shared" si="264"/>
        <v>0</v>
      </c>
      <c r="HH99" s="560" t="str">
        <f t="shared" si="265"/>
        <v/>
      </c>
      <c r="HI99" s="560">
        <f>IF(GK99="P",Lookup!$N$12,IF(GK99="PP",Lookup!$N$13,IF(GK99="PPP",Lookup!$N$14,IF(GK99="T",Lookup!$N$15,IF(GK99="TP",Lookup!$N$16,IF(GK99="TPP",Lookup!$N$17,IF(GK99="TPPP",Lookup!$N$18,0)))))))*GJ99</f>
        <v>0</v>
      </c>
      <c r="HJ99" s="545">
        <f t="shared" si="234"/>
        <v>0</v>
      </c>
      <c r="HK99" s="560">
        <f t="shared" si="235"/>
        <v>823.33665674979795</v>
      </c>
      <c r="HL99" s="560">
        <f t="shared" si="269"/>
        <v>268.36266517268513</v>
      </c>
      <c r="HM99" s="560"/>
    </row>
    <row r="100" spans="1:221">
      <c r="A100" s="580" t="s">
        <v>3</v>
      </c>
      <c r="B100" s="556">
        <v>41728</v>
      </c>
      <c r="C100" s="561">
        <v>0</v>
      </c>
      <c r="D100" s="529">
        <f t="shared" si="270"/>
        <v>300</v>
      </c>
      <c r="E100" s="529">
        <f t="shared" si="271"/>
        <v>250</v>
      </c>
      <c r="F100" s="529">
        <v>250</v>
      </c>
      <c r="G100" s="560">
        <f>DR100+Sheet1!CZ102</f>
        <v>1656.8431669194501</v>
      </c>
      <c r="H100" s="914">
        <f t="shared" si="236"/>
        <v>804.02022309673259</v>
      </c>
      <c r="I100" s="559">
        <f>MAX(Sheet1!Z102-AT100+(Sheet1!DA102-E100)*CFStoMGD,0)</f>
        <v>1525.2479999999998</v>
      </c>
      <c r="J100" s="562">
        <f>IF(AND(B100&gt;=Calculation!GC100,B100&lt;=Calculation!GD100),IF(Sheet1!DB102&gt;=Calculation!D100,64.64,0),MAX(Sheet1!Z102-AT100+(Sheet1!DB102-D100)*CFStoMGD,0))</f>
        <v>64.64</v>
      </c>
      <c r="K100" s="904">
        <f t="shared" si="171"/>
        <v>64.64</v>
      </c>
      <c r="L100" s="560">
        <f>Sheet1!AA102+Sheet1!AB102-Sheet1!L102+(Sheet1!DA102-F100)*CFStoMGD</f>
        <v>1499.6479999999999</v>
      </c>
      <c r="M100" s="560">
        <f t="shared" si="172"/>
        <v>1092.4030915586673</v>
      </c>
      <c r="N100" s="910">
        <f>IF(Sheet1!DA102&gt;=F100,MIN(73,MIN(MAX(L100,0),MAX(M100,0))),0)</f>
        <v>73</v>
      </c>
      <c r="O100" s="563">
        <f>Sheet1!AA102+Sheet1!AB102</f>
        <v>46.6</v>
      </c>
      <c r="P100" s="563">
        <f t="shared" si="173"/>
        <v>72.09020000000001</v>
      </c>
      <c r="Q100" s="898">
        <f t="shared" si="237"/>
        <v>38.160000000000004</v>
      </c>
      <c r="R100" s="829">
        <f t="shared" si="174"/>
        <v>8.4631414022718356</v>
      </c>
      <c r="S100" s="898">
        <f t="shared" si="238"/>
        <v>8.44</v>
      </c>
      <c r="T100" s="898">
        <f t="shared" si="239"/>
        <v>56.2</v>
      </c>
      <c r="U100" s="898">
        <f t="shared" si="240"/>
        <v>0</v>
      </c>
      <c r="V100" s="898"/>
      <c r="W100" s="898">
        <f t="shared" si="241"/>
        <v>56.176858597728163</v>
      </c>
      <c r="X100" s="898">
        <f t="shared" si="242"/>
        <v>64.64</v>
      </c>
      <c r="Y100" s="898" t="str">
        <f t="shared" si="243"/>
        <v>FALSE</v>
      </c>
      <c r="Z100" s="898">
        <f t="shared" si="244"/>
        <v>46.6</v>
      </c>
      <c r="AA100" s="898">
        <f t="shared" si="245"/>
        <v>46.6</v>
      </c>
      <c r="AB100" s="898" t="str">
        <f t="shared" si="246"/>
        <v/>
      </c>
      <c r="AC100" s="563">
        <f>Sheet1!Y102*MGDtoCFS</f>
        <v>32.487000000000002</v>
      </c>
      <c r="AD100" s="563">
        <f>Sheet1!Z102*MGDtoCFS</f>
        <v>39.603200000000001</v>
      </c>
      <c r="AE100" s="563">
        <f>Sheet1!AA102*MGDtoCFS</f>
        <v>32.487000000000002</v>
      </c>
      <c r="AF100" s="563">
        <f>Sheet1!AB102*MGDtoCFS</f>
        <v>39.603200000000001</v>
      </c>
      <c r="AG100" s="563">
        <f>Sheet1!L102*MGDtoCFS</f>
        <v>72.090199999999996</v>
      </c>
      <c r="AH100" s="545">
        <f t="shared" si="175"/>
        <v>0</v>
      </c>
      <c r="AI100" s="560">
        <f t="shared" si="176"/>
        <v>0</v>
      </c>
      <c r="AJ100" s="560">
        <f t="shared" si="177"/>
        <v>56.176858597728163</v>
      </c>
      <c r="AK100" s="560">
        <f t="shared" si="178"/>
        <v>86.905600250685467</v>
      </c>
      <c r="AL100" s="560">
        <f>(VLOOKUP(Sheet1!DC102,hhdcap_wcm,4)-(((VLOOKUP(Sheet1!DC102,hhdcap_wcm,3)-Sheet1!DC102)/(VLOOKUP(Sheet1!DC102,hhdcap_wcm,3)-VLOOKUP(Sheet1!DC102,hhdcap_wcm,1)))*(VLOOKUP(Sheet1!DC102,hhdcap_wcm,4)-VLOOKUP(Sheet1!DC102,hhdcap_wcm,2))))</f>
        <v>22261.000000056643</v>
      </c>
      <c r="AM100" s="560">
        <f t="shared" si="179"/>
        <v>430.00000000126965</v>
      </c>
      <c r="AN100" s="560">
        <f t="shared" si="180"/>
        <v>2151.3398534705675</v>
      </c>
      <c r="AO100" s="560">
        <f t="shared" si="181"/>
        <v>6600.3106704477013</v>
      </c>
      <c r="AP100" s="560">
        <f>Sheet1!BA102+Sheet1!BB102+Sheet1!BN102+CD100</f>
        <v>17.09</v>
      </c>
      <c r="AQ100" s="560">
        <f>Sheet1!BN102+(DO100*Sheet1!BN102)</f>
        <v>16.144144144144146</v>
      </c>
      <c r="AR100" s="560">
        <f>Sheet1!BA102+CD100</f>
        <v>0</v>
      </c>
      <c r="AS100" s="560">
        <f>Sheet1!BA102+Sheet1!BB102+CD100</f>
        <v>0.99</v>
      </c>
      <c r="AT100" s="698">
        <f>0</f>
        <v>0</v>
      </c>
      <c r="AU100" s="560">
        <f>IF(EB100&lt;K100,0,MAX(Sheet1!AA102+AQ100-15/36*K100-N100,Sheet1!EH102,0))</f>
        <v>0</v>
      </c>
      <c r="AV100" s="560">
        <f>IF(OR(B100&gt;=GD100,B100&lt;GC100),0,15/36*K100-MAX(0,64.6-(137.6-(Sheet1!AA102+Sheet1!AB102))))</f>
        <v>26.933333333333334</v>
      </c>
      <c r="AW100" s="698">
        <f>Sheet1!DB102-110</f>
        <v>1380</v>
      </c>
      <c r="AX100" s="698">
        <f>Sheet1!DA102-265</f>
        <v>2305</v>
      </c>
      <c r="AY100" s="698">
        <f t="shared" si="182"/>
        <v>34.839999999999996</v>
      </c>
      <c r="AZ100" s="698">
        <v>0</v>
      </c>
      <c r="BA100" s="698">
        <f t="shared" si="183"/>
        <v>0</v>
      </c>
      <c r="BB100" s="560">
        <f t="shared" si="184"/>
        <v>1023.4666666666657</v>
      </c>
      <c r="BC100" s="560"/>
      <c r="BD100" s="560">
        <f ca="1">IF(B100&gt;Summary!$A$1,#N/A,BB100*MGtoAF)</f>
        <v>3139.9957333333305</v>
      </c>
      <c r="BE100" s="560">
        <f>Sheet1!BG102+Sheet1!BH102+Sheet1!BI102-BM100</f>
        <v>0</v>
      </c>
      <c r="BF100" s="560">
        <f t="shared" si="185"/>
        <v>0</v>
      </c>
      <c r="BG100" s="560">
        <f>IF(Sheet1!EP102="FM",BM100,0)</f>
        <v>0</v>
      </c>
      <c r="BH100" s="560">
        <f t="shared" si="186"/>
        <v>0</v>
      </c>
      <c r="BI100" s="560">
        <f>IF(Sheet1!EP102="OTHER",BM100,0)</f>
        <v>0</v>
      </c>
      <c r="BJ100" s="560">
        <f t="shared" si="187"/>
        <v>0</v>
      </c>
      <c r="BK100" s="560">
        <f t="shared" si="188"/>
        <v>0</v>
      </c>
      <c r="BL100" s="560">
        <f t="shared" si="189"/>
        <v>0</v>
      </c>
      <c r="BM100" s="560">
        <f>IF(OR(Sheet1!EP102="FM", Sheet1!EP102="OTHER"),SUM(Sheet1!BG102:'Sheet1'!BI102),0)</f>
        <v>0</v>
      </c>
      <c r="BN100" s="545">
        <f>IF(AND($B100&gt;=$FV100,$B100&lt;=$FW100),MAX(BF100,Sheet1!EI102,0),MAX(BF100-(7/36)*$K100,0))</f>
        <v>0</v>
      </c>
      <c r="BO100" s="560">
        <f t="shared" si="190"/>
        <v>12.568888888888889</v>
      </c>
      <c r="BP100" s="545">
        <f t="shared" si="191"/>
        <v>0</v>
      </c>
      <c r="BQ100" s="545">
        <f>IF(AND($O100&gt;0,Sheet1!EM102=1),(1-($O100-Sheet1!$L102)/$O100)*BL100,0)</f>
        <v>0</v>
      </c>
      <c r="BR100" s="545">
        <f>IF(AND(Sheet1!$L102=0,Sheet1!$L101=0, Calculation!BK100&lt;Sheet1!$EI102-0.1,Sheet1!$EI102=Sheet1!$EI101,Sheet1!$EI102=Sheet1!$EI103),Sheet1!$EI102,BL100-BQ100)</f>
        <v>0</v>
      </c>
      <c r="BS100" s="560"/>
      <c r="BT100" s="560"/>
      <c r="BU100" s="560">
        <f t="shared" si="192"/>
        <v>477.61777777777741</v>
      </c>
      <c r="BV100" s="560"/>
      <c r="BW100" s="560">
        <f ca="1">IF(B100&gt;Summary!$A$1,#N/A,BU100*MGtoAF)</f>
        <v>1465.3313422222211</v>
      </c>
      <c r="BX100" s="560">
        <f>Sheet1!BC102+Sheet1!BD102+Sheet1!BE102+Sheet1!BF102-CG100-CH100</f>
        <v>2.5</v>
      </c>
      <c r="BY100" s="560">
        <f t="shared" si="193"/>
        <v>2.5068546807677241</v>
      </c>
      <c r="BZ100" s="560">
        <f>IF(Sheet1!EQ102="FM",CH100,0)</f>
        <v>0</v>
      </c>
      <c r="CA100" s="560">
        <f t="shared" si="194"/>
        <v>0</v>
      </c>
      <c r="CB100" s="560">
        <f>IF(Sheet1!EQ102="OTHER",CH100,0)</f>
        <v>0</v>
      </c>
      <c r="CC100" s="560">
        <f t="shared" si="195"/>
        <v>0</v>
      </c>
      <c r="CD100" s="560">
        <f t="shared" si="196"/>
        <v>0</v>
      </c>
      <c r="CE100" s="560">
        <f t="shared" si="197"/>
        <v>2.5</v>
      </c>
      <c r="CF100" s="560">
        <f t="shared" si="198"/>
        <v>2.5068546807677241</v>
      </c>
      <c r="CG100" s="560">
        <f>IF(Sheet1!EQ102="CWA",SUM(Sheet1!BC102:'Sheet1'!BF102),0)</f>
        <v>0</v>
      </c>
      <c r="CH100" s="560">
        <f>IF(OR(Sheet1!EQ102="FM", Sheet1!EQ102="OTHER"),SUM(Sheet1!BC102:'Sheet1'!BF102),0)</f>
        <v>0</v>
      </c>
      <c r="CI100" s="545">
        <f>IF(AND($B100&gt;=$FV100,$B100&lt;=$FW100),MAX(CF100,Sheet1!EJ102,0),MAX(CF100-(7/36)*$K100,0))</f>
        <v>0</v>
      </c>
      <c r="CJ100" s="560">
        <f t="shared" si="199"/>
        <v>10.062034208121165</v>
      </c>
      <c r="CK100" s="545">
        <f t="shared" si="200"/>
        <v>2.5068546807677241</v>
      </c>
      <c r="CL100" s="545">
        <f>IF(AND($O100&gt;0,Sheet1!EN102=1),(1-($O100-Sheet1!$L102)/$O100)*CF100,0)</f>
        <v>0</v>
      </c>
      <c r="CM100" s="545">
        <f>IF(AND(Sheet1!$L102=0,Sheet1!$L101=0, Calculation!CE100&lt;Sheet1!EJ102-0.1,Sheet1!EJ102=Sheet1!EJ101,Sheet1!EJ102=Sheet1!EJ103),Sheet1!EJ102,CF100-CL100)</f>
        <v>2.5068546807677241</v>
      </c>
      <c r="CN100" s="545"/>
      <c r="CO100" s="560"/>
      <c r="CP100" s="560">
        <f t="shared" si="201"/>
        <v>375.28014168605444</v>
      </c>
      <c r="CQ100" s="560"/>
      <c r="CR100" s="560">
        <f ca="1">IF(B100&gt;Summary!$A$1,#N/A,CP100*MGtoAF)</f>
        <v>1151.359474692815</v>
      </c>
      <c r="CS100" s="560">
        <f>Sheet1!BK102+Sheet1!BL102+Sheet1!BM102-Sheet1!ER102-DA100</f>
        <v>5.9399999999999995</v>
      </c>
      <c r="CT100" s="560">
        <f t="shared" si="202"/>
        <v>5.956286721504112</v>
      </c>
      <c r="CU100" s="560">
        <f>IF(Sheet1!ER102="FM",DA100,0)</f>
        <v>0</v>
      </c>
      <c r="CV100" s="560">
        <f t="shared" si="203"/>
        <v>0</v>
      </c>
      <c r="CW100" s="560">
        <f>IF(Sheet1!ER102="OTHER",DA100,0)</f>
        <v>0</v>
      </c>
      <c r="CX100" s="560">
        <f t="shared" si="204"/>
        <v>0</v>
      </c>
      <c r="CY100" s="560">
        <f t="shared" si="205"/>
        <v>5.9399999999999995</v>
      </c>
      <c r="CZ100" s="560">
        <f t="shared" si="206"/>
        <v>5.956286721504112</v>
      </c>
      <c r="DA100" s="560">
        <f>IF(OR(Sheet1!ER102="FM", Sheet1!ER102="OTHER"),SUM(Sheet1!BK102:'Sheet1'!BM102),0)</f>
        <v>0</v>
      </c>
      <c r="DB100" s="545">
        <f>IF(AND($B100&gt;=$FV100,$B100&lt;=$FW100),MAX($CT100,Sheet1!EK102,0),MAX($CT100-(7/36)*$K100,0))</f>
        <v>0</v>
      </c>
      <c r="DC100" s="560">
        <f t="shared" si="207"/>
        <v>6.612602167384777</v>
      </c>
      <c r="DD100" s="545">
        <f t="shared" si="208"/>
        <v>5.956286721504112</v>
      </c>
      <c r="DE100" s="545">
        <f>IF(AND($O100&gt;0,Sheet1!EO102=1),(1-($O100-Sheet1!$L102)/$O100)*CZ100,0)</f>
        <v>0</v>
      </c>
      <c r="DF100" s="545">
        <f>IF(AND(Sheet1!$L102=0,Sheet1!$L101=0, Calculation!CY100&lt;Sheet1!$EK102-0.1,Sheet1!$EK102=Sheet1!$EK101,Sheet1!$EK102=Sheet1!$EK103),Sheet1!$EK102,CZ100-DE100)</f>
        <v>5.956286721504112</v>
      </c>
      <c r="DG100" s="545"/>
      <c r="DH100" s="560">
        <f t="shared" si="209"/>
        <v>8.44</v>
      </c>
      <c r="DI100" s="560">
        <f t="shared" si="210"/>
        <v>274.97526734006988</v>
      </c>
      <c r="DJ100" s="698">
        <f t="shared" si="211"/>
        <v>8.4631414022718356</v>
      </c>
      <c r="DK100" s="560">
        <f ca="1">IF(B100&gt;Summary!$A$1,#N/A,DI100*MGtoAF)</f>
        <v>843.62412019933436</v>
      </c>
      <c r="DL100" s="698">
        <f t="shared" si="212"/>
        <v>8.44</v>
      </c>
      <c r="DM100" s="560">
        <f t="shared" si="213"/>
        <v>25.53</v>
      </c>
      <c r="DN100" s="560">
        <f>Sheet1!AB102-DM100</f>
        <v>7.0000000000000284E-2</v>
      </c>
      <c r="DO100" s="823">
        <f t="shared" si="214"/>
        <v>2.7418723070897094E-3</v>
      </c>
      <c r="DP100" s="560">
        <f>(VLOOKUP(Sheet1!DC102,hhdcap_wcm,4)-(((VLOOKUP(Sheet1!DC102,hhdcap_wcm,3)-Sheet1!DC102)/(VLOOKUP(Sheet1!DC102,hhdcap_wcm,3)-VLOOKUP(Sheet1!DC102,hhdcap_wcm,1)))*(VLOOKUP(Sheet1!DC102,hhdcap_wcm,4)-VLOOKUP(Sheet1!DC102,hhdcap_wcm,2))))</f>
        <v>22261.000000056643</v>
      </c>
      <c r="DQ100" s="560">
        <f t="shared" si="215"/>
        <v>430.00000000126965</v>
      </c>
      <c r="DR100" s="560">
        <f t="shared" si="216"/>
        <v>216.84316691945011</v>
      </c>
      <c r="DS100" s="560">
        <f>Sheet1!EA102*AFtoMG</f>
        <v>0</v>
      </c>
      <c r="DT100" s="560">
        <f>Sheet1!EB102*AFtoMG</f>
        <v>0</v>
      </c>
      <c r="DU100" s="560">
        <f>Sheet1!EC102*AFtoMG</f>
        <v>0</v>
      </c>
      <c r="DV100" s="560">
        <f>Sheet1!ED102*AFtoMG</f>
        <v>0</v>
      </c>
      <c r="DW100" s="560">
        <f t="shared" si="217"/>
        <v>0</v>
      </c>
      <c r="DX100" s="560">
        <f t="shared" si="218"/>
        <v>0</v>
      </c>
      <c r="DY100" s="560">
        <f t="shared" si="219"/>
        <v>2151.3398534705675</v>
      </c>
      <c r="DZ100" s="560">
        <f t="shared" si="220"/>
        <v>6600.3106704477013</v>
      </c>
      <c r="EA100" s="560"/>
      <c r="EB100" s="545">
        <f>IF(OR(B100&lt;FV100,B100&gt;FW100),(MIN(BF100+BY100+CT100+MAX(Sheet1!AA102+AQ100-73,0),K100)),0)</f>
        <v>8.4631414022718356</v>
      </c>
      <c r="EC100" s="560"/>
      <c r="ED100" s="560">
        <f t="shared" si="221"/>
        <v>8.4631414022718356</v>
      </c>
      <c r="EE100" s="560"/>
      <c r="EF100" s="560">
        <f>Sheet1!EH102+Sheet1!EI102+Sheet1!EJ102+Sheet1!EK102</f>
        <v>8.44</v>
      </c>
      <c r="EG100" s="560"/>
      <c r="EH100" s="545">
        <f t="shared" si="222"/>
        <v>0</v>
      </c>
      <c r="EI100" s="560">
        <f>IF(Sheet1!ET102=1,SUM('Calculations II'!AT100:BA100)+'Calculations II'!BC100+Sheet1!BV102+'Calculations II'!BE100+AP100,SUM('Calculations II'!AT100:BA100)+'Calculations II'!BC100+Sheet1!BV102+'Calculations II'!BE100+AP100)</f>
        <v>47.278511999999999</v>
      </c>
      <c r="EJ100" s="560">
        <f>Sheet1!AA102+Sheet1!AB102+'Calculations II'!BC100</f>
        <v>55.915216000000001</v>
      </c>
      <c r="EK100" s="560"/>
      <c r="EL100" s="560"/>
      <c r="EM100" s="560">
        <f t="shared" si="223"/>
        <v>41728</v>
      </c>
      <c r="EN100" s="560">
        <f t="shared" si="224"/>
        <v>56.176858597728163</v>
      </c>
      <c r="EO100" s="560">
        <f t="shared" si="225"/>
        <v>86.905600250685467</v>
      </c>
      <c r="EP100" s="560">
        <v>0</v>
      </c>
      <c r="EQ100" s="560">
        <v>0</v>
      </c>
      <c r="ER100" s="560">
        <v>0</v>
      </c>
      <c r="ES100" s="545">
        <f t="shared" si="247"/>
        <v>-3.7436337858733424</v>
      </c>
      <c r="ET100" s="560">
        <f>-(VLOOKUP(Sheet1!BQ102,Lookup!$O$4:$Q$262,2)-VLOOKUP(Sheet1!BQ101,Lookup!$O$4:$Q$262,2))/1000000</f>
        <v>-1.9411650569458343</v>
      </c>
      <c r="EU100" s="560">
        <f>-(VLOOKUP(Sheet1!BR102,Lookup!$O$4:$Q$262,3)-VLOOKUP(Sheet1!BR101,Lookup!$O$4:$Q$262,3))/1000000</f>
        <v>-1.8024687289275081</v>
      </c>
      <c r="EV100" s="560"/>
      <c r="EW100" s="560"/>
      <c r="EX100" s="560"/>
      <c r="EY100" s="560"/>
      <c r="EZ100" s="560"/>
      <c r="FA100" s="560"/>
      <c r="FB100" s="560"/>
      <c r="FC100" s="560"/>
      <c r="FD100" s="594" t="e">
        <f t="shared" si="226"/>
        <v>#N/A</v>
      </c>
      <c r="FE100" s="594" t="e">
        <f t="shared" si="227"/>
        <v>#N/A</v>
      </c>
      <c r="FF100" s="595" t="e">
        <f t="shared" si="228"/>
        <v>#N/A</v>
      </c>
      <c r="FG100" s="596" t="s">
        <v>692</v>
      </c>
      <c r="FH100" s="596" t="s">
        <v>692</v>
      </c>
      <c r="FI100" s="594" t="e">
        <v>#N/A</v>
      </c>
      <c r="FJ100" s="594" t="e">
        <v>#N/A</v>
      </c>
      <c r="FK100" s="560"/>
      <c r="FL100" s="560"/>
      <c r="FM100" s="560"/>
      <c r="FN100" s="560"/>
      <c r="FO100" s="560">
        <f>O100+((Sheet1!CS102)*GPMtoMGD)</f>
        <v>55.915216000000001</v>
      </c>
      <c r="FP100" s="560">
        <f>IF(Sheet1!AA102+AQ100&lt;=Calculation!N100,AQ100,Calculation!N100-Sheet1!AA102)</f>
        <v>16.144144144144146</v>
      </c>
      <c r="FQ100" s="560">
        <f>(Sheet1!BP102+Sheet1!BO102)/694.4</f>
        <v>1.5411866359447006</v>
      </c>
      <c r="FR100" s="560"/>
      <c r="FS100" s="560"/>
      <c r="FT100" s="560"/>
      <c r="FU100" s="560"/>
      <c r="FV100" s="695">
        <f t="shared" si="248"/>
        <v>41827</v>
      </c>
      <c r="FW100" s="695">
        <f t="shared" si="249"/>
        <v>41934</v>
      </c>
      <c r="FX100" s="560"/>
      <c r="FY100" s="560"/>
      <c r="FZ100" s="560"/>
      <c r="GA100" s="560"/>
      <c r="GB100" s="560" t="str">
        <f t="shared" si="250"/>
        <v>n</v>
      </c>
      <c r="GC100" s="564">
        <f t="shared" si="251"/>
        <v>41691</v>
      </c>
      <c r="GD100" s="695">
        <f t="shared" si="252"/>
        <v>41807</v>
      </c>
      <c r="GE100" s="560">
        <v>6518.9</v>
      </c>
      <c r="GF100" s="695">
        <f t="shared" si="253"/>
        <v>41808</v>
      </c>
      <c r="GG100" s="560">
        <f t="shared" si="272"/>
        <v>3259</v>
      </c>
      <c r="GH100" s="564">
        <f t="shared" si="254"/>
        <v>41934</v>
      </c>
      <c r="GJ100" s="545">
        <f t="shared" si="255"/>
        <v>0</v>
      </c>
      <c r="GK100" s="560" t="str">
        <f t="shared" si="229"/>
        <v/>
      </c>
      <c r="GL100" s="560">
        <f t="shared" si="256"/>
        <v>0</v>
      </c>
      <c r="GM100" s="560" t="str">
        <f t="shared" si="257"/>
        <v/>
      </c>
      <c r="GN100" s="560">
        <f>IF(GK100="P",Lookup!$M$12,IF(GK100="PP",Lookup!$M$13,IF(GK100="PPP",Lookup!$M$14,IF(GK100="T",Lookup!$M$15,IF(GK100="TP",Lookup!$M$16,IF(GK100="TPP",Lookup!$M$17,IF(GK100="TPPP",Lookup!$M$18,0)))))))*GJ100</f>
        <v>0</v>
      </c>
      <c r="GO100" s="560">
        <f t="shared" si="258"/>
        <v>0</v>
      </c>
      <c r="GP100" s="560">
        <f t="shared" si="230"/>
        <v>3139.9957333333305</v>
      </c>
      <c r="GQ100" s="560">
        <f t="shared" si="266"/>
        <v>1023.4666666666657</v>
      </c>
      <c r="GR100" s="560"/>
      <c r="GS100" s="560">
        <f t="shared" si="259"/>
        <v>0</v>
      </c>
      <c r="GT100" s="560" t="str">
        <f t="shared" si="260"/>
        <v/>
      </c>
      <c r="GU100" s="560">
        <f>IF(GK100="P",Lookup!$N$12,IF(GK100="PP",Lookup!$N$13,IF(GK100="PPP",Lookup!$N$14,IF(GK100="T",Lookup!$N$15,IF(GK100="TP",Lookup!$N$16,IF(GK100="TPP",Lookup!$N$17,IF(GK100="TPPP",Lookup!$N$18,0)))))))*GJ100</f>
        <v>0</v>
      </c>
      <c r="GV100" s="560">
        <f t="shared" si="261"/>
        <v>0</v>
      </c>
      <c r="GW100" s="560">
        <f t="shared" si="231"/>
        <v>1465.3313422222211</v>
      </c>
      <c r="GX100" s="560">
        <f t="shared" si="267"/>
        <v>477.61777777777741</v>
      </c>
      <c r="GY100" s="560"/>
      <c r="GZ100" s="560">
        <f t="shared" si="262"/>
        <v>0</v>
      </c>
      <c r="HA100" s="560" t="str">
        <f t="shared" si="263"/>
        <v/>
      </c>
      <c r="HB100" s="560">
        <f>IF(GK100="P",Lookup!$N$12,IF(GK100="PP",Lookup!$N$13,IF(GK100="PPP",Lookup!$N$14,IF(GK100="T",Lookup!$N$15,IF(GK100="TP",Lookup!$N$16,IF(GK100="TPP",Lookup!$N$17,IF(GK100="TPPP",Lookup!$N$18,0)))))))*GJ100</f>
        <v>0</v>
      </c>
      <c r="HC100" s="545">
        <f t="shared" si="232"/>
        <v>0</v>
      </c>
      <c r="HD100" s="560">
        <f t="shared" si="233"/>
        <v>1151.359474692815</v>
      </c>
      <c r="HE100" s="560">
        <f t="shared" si="268"/>
        <v>375.28014168605444</v>
      </c>
      <c r="HF100" s="560"/>
      <c r="HG100" s="560">
        <f t="shared" si="264"/>
        <v>0</v>
      </c>
      <c r="HH100" s="560" t="str">
        <f t="shared" si="265"/>
        <v/>
      </c>
      <c r="HI100" s="560">
        <f>IF(GK100="P",Lookup!$N$12,IF(GK100="PP",Lookup!$N$13,IF(GK100="PPP",Lookup!$N$14,IF(GK100="T",Lookup!$N$15,IF(GK100="TP",Lookup!$N$16,IF(GK100="TPP",Lookup!$N$17,IF(GK100="TPPP",Lookup!$N$18,0)))))))*GJ100</f>
        <v>0</v>
      </c>
      <c r="HJ100" s="545">
        <f t="shared" si="234"/>
        <v>0</v>
      </c>
      <c r="HK100" s="560">
        <f t="shared" si="235"/>
        <v>843.62412019933436</v>
      </c>
      <c r="HL100" s="560">
        <f t="shared" si="269"/>
        <v>274.97526734006988</v>
      </c>
      <c r="HM100" s="560"/>
    </row>
    <row r="101" spans="1:221">
      <c r="A101" s="580" t="s">
        <v>4</v>
      </c>
      <c r="B101" s="556">
        <v>41729</v>
      </c>
      <c r="C101" s="561">
        <v>0</v>
      </c>
      <c r="D101" s="529">
        <f t="shared" si="270"/>
        <v>300</v>
      </c>
      <c r="E101" s="529">
        <f t="shared" si="271"/>
        <v>250</v>
      </c>
      <c r="F101" s="529">
        <v>250</v>
      </c>
      <c r="G101" s="560">
        <f>DR101+Sheet1!CZ103</f>
        <v>1451.664145234575</v>
      </c>
      <c r="H101" s="914">
        <f t="shared" si="236"/>
        <v>671.39250347962923</v>
      </c>
      <c r="I101" s="559">
        <f>MAX(Sheet1!Z103-AT101+(Sheet1!DA103-E101)*CFStoMGD,0)</f>
        <v>1402.4319999999998</v>
      </c>
      <c r="J101" s="562">
        <f>IF(AND(B101&gt;=Calculation!GC101,B101&lt;=Calculation!GD101),IF(Sheet1!DB103&gt;=Calculation!D101,64.64,0),MAX(Sheet1!Z103-AT101+(Sheet1!DB103-D101)*CFStoMGD,0))</f>
        <v>64.64</v>
      </c>
      <c r="K101" s="904">
        <f t="shared" si="171"/>
        <v>64.64</v>
      </c>
      <c r="L101" s="560">
        <f>Sheet1!AA103+Sheet1!AB103-Sheet1!L103+(Sheet1!DA103-F101)*CFStoMGD</f>
        <v>1376.8319999999999</v>
      </c>
      <c r="M101" s="560">
        <f t="shared" si="172"/>
        <v>957.12281754922196</v>
      </c>
      <c r="N101" s="910">
        <f>IF(Sheet1!DA103&gt;=F101,MIN(73,MIN(MAX(L101,0),MAX(M101,0))),0)</f>
        <v>73</v>
      </c>
      <c r="O101" s="563">
        <f>Sheet1!AA103+Sheet1!AB103</f>
        <v>46.6</v>
      </c>
      <c r="P101" s="563">
        <f t="shared" si="173"/>
        <v>72.090199999999996</v>
      </c>
      <c r="Q101" s="898">
        <f t="shared" si="237"/>
        <v>38.160000000000004</v>
      </c>
      <c r="R101" s="829">
        <f t="shared" si="174"/>
        <v>8.459905660377359</v>
      </c>
      <c r="S101" s="898">
        <f t="shared" si="238"/>
        <v>8.44</v>
      </c>
      <c r="T101" s="898">
        <f t="shared" si="239"/>
        <v>56.2</v>
      </c>
      <c r="U101" s="898">
        <f t="shared" si="240"/>
        <v>0</v>
      </c>
      <c r="V101" s="898"/>
      <c r="W101" s="898">
        <f t="shared" si="241"/>
        <v>56.180094339622642</v>
      </c>
      <c r="X101" s="898">
        <f t="shared" si="242"/>
        <v>64.64</v>
      </c>
      <c r="Y101" s="898" t="str">
        <f t="shared" si="243"/>
        <v>FALSE</v>
      </c>
      <c r="Z101" s="898">
        <f t="shared" si="244"/>
        <v>46.6</v>
      </c>
      <c r="AA101" s="898">
        <f t="shared" si="245"/>
        <v>46.6</v>
      </c>
      <c r="AB101" s="898" t="str">
        <f t="shared" si="246"/>
        <v/>
      </c>
      <c r="AC101" s="563">
        <f>Sheet1!Y103*MGDtoCFS</f>
        <v>32.487000000000002</v>
      </c>
      <c r="AD101" s="563">
        <f>Sheet1!Z103*MGDtoCFS</f>
        <v>39.603200000000001</v>
      </c>
      <c r="AE101" s="563">
        <f>Sheet1!AA103*MGDtoCFS</f>
        <v>32.6417</v>
      </c>
      <c r="AF101" s="563">
        <f>Sheet1!AB103*MGDtoCFS</f>
        <v>39.448499999999996</v>
      </c>
      <c r="AG101" s="563">
        <f>Sheet1!L103*MGDtoCFS</f>
        <v>72.090199999999996</v>
      </c>
      <c r="AH101" s="545">
        <f t="shared" si="175"/>
        <v>0</v>
      </c>
      <c r="AI101" s="560">
        <f t="shared" si="176"/>
        <v>0</v>
      </c>
      <c r="AJ101" s="560">
        <f t="shared" si="177"/>
        <v>56.180094339622642</v>
      </c>
      <c r="AK101" s="560">
        <f t="shared" si="178"/>
        <v>86.91060594339622</v>
      </c>
      <c r="AL101" s="560">
        <f>(VLOOKUP(Sheet1!DC103,hhdcap_wcm,4)-(((VLOOKUP(Sheet1!DC103,hhdcap_wcm,3)-Sheet1!DC103)/(VLOOKUP(Sheet1!DC103,hhdcap_wcm,3)-VLOOKUP(Sheet1!DC103,hhdcap_wcm,1)))*(VLOOKUP(Sheet1!DC103,hhdcap_wcm,4)-VLOOKUP(Sheet1!DC103,hhdcap_wcm,2))))</f>
        <v>22462.600000056806</v>
      </c>
      <c r="AM101" s="560">
        <f t="shared" si="179"/>
        <v>201.60000000016225</v>
      </c>
      <c r="AN101" s="560">
        <f t="shared" si="180"/>
        <v>2207.5199478101899</v>
      </c>
      <c r="AO101" s="560">
        <f t="shared" si="181"/>
        <v>6772.6711998816627</v>
      </c>
      <c r="AP101" s="560">
        <f>Sheet1!BA103+Sheet1!BB103+Sheet1!BN103+CD101</f>
        <v>17</v>
      </c>
      <c r="AQ101" s="560">
        <f>Sheet1!BN103+(DO101*Sheet1!BN103)</f>
        <v>16.037735849056606</v>
      </c>
      <c r="AR101" s="560">
        <f>Sheet1!BA103+CD101</f>
        <v>0</v>
      </c>
      <c r="AS101" s="560">
        <f>Sheet1!BA103+Sheet1!BB103+CD101</f>
        <v>1</v>
      </c>
      <c r="AT101" s="698">
        <f>0</f>
        <v>0</v>
      </c>
      <c r="AU101" s="560">
        <f>IF(EB101&lt;K101,0,MAX(Sheet1!AA103+AQ101-15/36*K101-N101,Sheet1!EH103,0))</f>
        <v>0</v>
      </c>
      <c r="AV101" s="560">
        <f>IF(OR(B101&gt;=GD101,B101&lt;GC101),0,15/36*K101-MAX(0,64.6-(137.6-(Sheet1!AA103+Sheet1!AB103))))</f>
        <v>26.933333333333334</v>
      </c>
      <c r="AW101" s="698">
        <f>Sheet1!DB103-110</f>
        <v>1260</v>
      </c>
      <c r="AX101" s="698">
        <f>Sheet1!DA103-265</f>
        <v>2115</v>
      </c>
      <c r="AY101" s="698">
        <f t="shared" si="182"/>
        <v>34.839999999999996</v>
      </c>
      <c r="AZ101" s="698">
        <v>0</v>
      </c>
      <c r="BA101" s="698">
        <f t="shared" si="183"/>
        <v>0</v>
      </c>
      <c r="BB101" s="560">
        <f t="shared" si="184"/>
        <v>1050.399999999999</v>
      </c>
      <c r="BC101" s="560"/>
      <c r="BD101" s="560">
        <f ca="1">IF(B101&gt;Summary!$A$1,#N/A,BB101*MGtoAF)</f>
        <v>3222.6271999999967</v>
      </c>
      <c r="BE101" s="560">
        <f>Sheet1!BG103+Sheet1!BH103+Sheet1!BI103-BM101</f>
        <v>0</v>
      </c>
      <c r="BF101" s="560">
        <f t="shared" si="185"/>
        <v>0</v>
      </c>
      <c r="BG101" s="560">
        <f>IF(Sheet1!EP103="FM",BM101,0)</f>
        <v>0</v>
      </c>
      <c r="BH101" s="560">
        <f t="shared" si="186"/>
        <v>0</v>
      </c>
      <c r="BI101" s="560">
        <f>IF(Sheet1!EP103="OTHER",BM101,0)</f>
        <v>0</v>
      </c>
      <c r="BJ101" s="560">
        <f t="shared" si="187"/>
        <v>0</v>
      </c>
      <c r="BK101" s="560">
        <f t="shared" si="188"/>
        <v>0</v>
      </c>
      <c r="BL101" s="560">
        <f t="shared" si="189"/>
        <v>0</v>
      </c>
      <c r="BM101" s="560">
        <f>IF(OR(Sheet1!EP103="FM", Sheet1!EP103="OTHER"),SUM(Sheet1!BG103:'Sheet1'!BI103),0)</f>
        <v>0</v>
      </c>
      <c r="BN101" s="545">
        <f>IF(AND($B101&gt;=$FV101,$B101&lt;=$FW101),MAX(BF101,Sheet1!EI103,0),MAX(BF101-(7/36)*$K101,0))</f>
        <v>0</v>
      </c>
      <c r="BO101" s="560">
        <f t="shared" si="190"/>
        <v>12.568888888888889</v>
      </c>
      <c r="BP101" s="545">
        <f t="shared" si="191"/>
        <v>0</v>
      </c>
      <c r="BQ101" s="545">
        <f>IF(AND($O101&gt;0,Sheet1!EM103=1),(1-($O101-Sheet1!$L103)/$O101)*BL101,0)</f>
        <v>0</v>
      </c>
      <c r="BR101" s="545">
        <f>IF(AND(Sheet1!$L103=0,Sheet1!$L102=0, Calculation!BK101&lt;Sheet1!$EI103-0.1,Sheet1!$EI103=Sheet1!$EI102,Sheet1!$EI103=Sheet1!$EI104),Sheet1!$EI103,BL101-BQ101)</f>
        <v>0</v>
      </c>
      <c r="BS101" s="560"/>
      <c r="BT101" s="560"/>
      <c r="BU101" s="560">
        <f t="shared" si="192"/>
        <v>490.18666666666627</v>
      </c>
      <c r="BV101" s="560"/>
      <c r="BW101" s="560">
        <f ca="1">IF(B101&gt;Summary!$A$1,#N/A,BU101*MGtoAF)</f>
        <v>1503.8926933333321</v>
      </c>
      <c r="BX101" s="560">
        <f>Sheet1!BC103+Sheet1!BD103+Sheet1!BE103+Sheet1!BF103-CG101-CH101</f>
        <v>2.4900000000000002</v>
      </c>
      <c r="BY101" s="560">
        <f t="shared" si="193"/>
        <v>2.4958726415094343</v>
      </c>
      <c r="BZ101" s="560">
        <f>IF(Sheet1!EQ103="FM",CH101,0)</f>
        <v>0</v>
      </c>
      <c r="CA101" s="560">
        <f t="shared" si="194"/>
        <v>0</v>
      </c>
      <c r="CB101" s="560">
        <f>IF(Sheet1!EQ103="OTHER",CH101,0)</f>
        <v>0</v>
      </c>
      <c r="CC101" s="560">
        <f t="shared" si="195"/>
        <v>0</v>
      </c>
      <c r="CD101" s="560">
        <f t="shared" si="196"/>
        <v>0</v>
      </c>
      <c r="CE101" s="560">
        <f t="shared" si="197"/>
        <v>2.4900000000000002</v>
      </c>
      <c r="CF101" s="560">
        <f t="shared" si="198"/>
        <v>2.4958726415094343</v>
      </c>
      <c r="CG101" s="560">
        <f>IF(Sheet1!EQ103="CWA",SUM(Sheet1!BC103:'Sheet1'!BF103),0)</f>
        <v>0</v>
      </c>
      <c r="CH101" s="560">
        <f>IF(OR(Sheet1!EQ103="FM", Sheet1!EQ103="OTHER"),SUM(Sheet1!BC103:'Sheet1'!BF103),0)</f>
        <v>0</v>
      </c>
      <c r="CI101" s="545">
        <f>IF(AND($B101&gt;=$FV101,$B101&lt;=$FW101),MAX(CF101,Sheet1!EJ103,0),MAX(CF101-(7/36)*$K101,0))</f>
        <v>0</v>
      </c>
      <c r="CJ101" s="560">
        <f t="shared" si="199"/>
        <v>10.073016247379455</v>
      </c>
      <c r="CK101" s="545">
        <f t="shared" si="200"/>
        <v>2.4958726415094343</v>
      </c>
      <c r="CL101" s="545">
        <f>IF(AND($O101&gt;0,Sheet1!EN103=1),(1-($O101-Sheet1!$L103)/$O101)*CF101,0)</f>
        <v>0</v>
      </c>
      <c r="CM101" s="545">
        <f>IF(AND(Sheet1!$L103=0,Sheet1!$L102=0, Calculation!CE101&lt;Sheet1!EJ103-0.1,Sheet1!EJ103=Sheet1!EJ102,Sheet1!EJ103=Sheet1!EJ104),Sheet1!EJ103,CF101-CL101)</f>
        <v>2.4958726415094343</v>
      </c>
      <c r="CN101" s="545"/>
      <c r="CO101" s="560"/>
      <c r="CP101" s="560">
        <f t="shared" si="201"/>
        <v>385.35315793343386</v>
      </c>
      <c r="CQ101" s="560"/>
      <c r="CR101" s="560">
        <f ca="1">IF(B101&gt;Summary!$A$1,#N/A,CP101*MGtoAF)</f>
        <v>1182.2634885397752</v>
      </c>
      <c r="CS101" s="560">
        <f>Sheet1!BK103+Sheet1!BL103+Sheet1!BM103-Sheet1!ER103-DA101</f>
        <v>5.9499999999999993</v>
      </c>
      <c r="CT101" s="560">
        <f t="shared" si="202"/>
        <v>5.9640330188679247</v>
      </c>
      <c r="CU101" s="560">
        <f>IF(Sheet1!ER103="FM",DA101,0)</f>
        <v>0</v>
      </c>
      <c r="CV101" s="560">
        <f t="shared" si="203"/>
        <v>0</v>
      </c>
      <c r="CW101" s="560">
        <f>IF(Sheet1!ER103="OTHER",DA101,0)</f>
        <v>0</v>
      </c>
      <c r="CX101" s="560">
        <f t="shared" si="204"/>
        <v>0</v>
      </c>
      <c r="CY101" s="560">
        <f t="shared" si="205"/>
        <v>5.9499999999999993</v>
      </c>
      <c r="CZ101" s="560">
        <f t="shared" si="206"/>
        <v>5.9640330188679247</v>
      </c>
      <c r="DA101" s="560">
        <f>IF(OR(Sheet1!ER103="FM", Sheet1!ER103="OTHER"),SUM(Sheet1!BK103:'Sheet1'!BM103),0)</f>
        <v>0</v>
      </c>
      <c r="DB101" s="545">
        <f>IF(AND($B101&gt;=$FV101,$B101&lt;=$FW101),MAX($CT101,Sheet1!EK103,0),MAX($CT101-(7/36)*$K101,0))</f>
        <v>0</v>
      </c>
      <c r="DC101" s="560">
        <f t="shared" si="207"/>
        <v>6.6048558700209643</v>
      </c>
      <c r="DD101" s="545">
        <f t="shared" si="208"/>
        <v>5.9640330188679247</v>
      </c>
      <c r="DE101" s="545">
        <f>IF(AND($O101&gt;0,Sheet1!EO103=1),(1-($O101-Sheet1!$L103)/$O101)*CZ101,0)</f>
        <v>0</v>
      </c>
      <c r="DF101" s="545">
        <f>IF(AND(Sheet1!$L103=0,Sheet1!$L102=0, Calculation!CY101&lt;Sheet1!$EK103-0.1,Sheet1!$EK103=Sheet1!$EK102,Sheet1!$EK103=Sheet1!$EK104),Sheet1!$EK103,CZ101-DE101)</f>
        <v>5.9640330188679247</v>
      </c>
      <c r="DG101" s="545"/>
      <c r="DH101" s="560">
        <f t="shared" si="209"/>
        <v>8.44</v>
      </c>
      <c r="DI101" s="560">
        <f t="shared" si="210"/>
        <v>281.58012321009085</v>
      </c>
      <c r="DJ101" s="698">
        <f t="shared" si="211"/>
        <v>8.459905660377359</v>
      </c>
      <c r="DK101" s="560">
        <f ca="1">IF(B101&gt;Summary!$A$1,#N/A,DI101*MGtoAF)</f>
        <v>863.88781800855872</v>
      </c>
      <c r="DL101" s="698">
        <f t="shared" si="212"/>
        <v>8.44</v>
      </c>
      <c r="DM101" s="560">
        <f t="shared" si="213"/>
        <v>25.439999999999998</v>
      </c>
      <c r="DN101" s="560">
        <f>Sheet1!AB103-DM101</f>
        <v>6.0000000000002274E-2</v>
      </c>
      <c r="DO101" s="823">
        <f t="shared" si="214"/>
        <v>2.3584905660378255E-3</v>
      </c>
      <c r="DP101" s="560">
        <f>(VLOOKUP(Sheet1!DC103,hhdcap_wcm,4)-(((VLOOKUP(Sheet1!DC103,hhdcap_wcm,3)-Sheet1!DC103)/(VLOOKUP(Sheet1!DC103,hhdcap_wcm,3)-VLOOKUP(Sheet1!DC103,hhdcap_wcm,1)))*(VLOOKUP(Sheet1!DC103,hhdcap_wcm,4)-VLOOKUP(Sheet1!DC103,hhdcap_wcm,2))))</f>
        <v>22462.600000056806</v>
      </c>
      <c r="DQ101" s="560">
        <f t="shared" si="215"/>
        <v>201.60000000016225</v>
      </c>
      <c r="DR101" s="560">
        <f t="shared" si="216"/>
        <v>101.664145234575</v>
      </c>
      <c r="DS101" s="560">
        <f>Sheet1!EA103*AFtoMG</f>
        <v>0</v>
      </c>
      <c r="DT101" s="560">
        <f>Sheet1!EB103*AFtoMG</f>
        <v>0</v>
      </c>
      <c r="DU101" s="560">
        <f>Sheet1!EC103*AFtoMG</f>
        <v>0</v>
      </c>
      <c r="DV101" s="560">
        <f>Sheet1!ED103*AFtoMG</f>
        <v>0</v>
      </c>
      <c r="DW101" s="560">
        <f t="shared" si="217"/>
        <v>0</v>
      </c>
      <c r="DX101" s="560">
        <f t="shared" si="218"/>
        <v>0</v>
      </c>
      <c r="DY101" s="560">
        <f t="shared" si="219"/>
        <v>2207.5199478101899</v>
      </c>
      <c r="DZ101" s="560">
        <f t="shared" si="220"/>
        <v>6772.6711998816627</v>
      </c>
      <c r="EA101" s="560"/>
      <c r="EB101" s="545">
        <f>IF(OR(B101&lt;FV101,B101&gt;FW101),(MIN(BF101+BY101+CT101+MAX(Sheet1!AA103+AQ101-73,0),K101)),0)</f>
        <v>8.459905660377359</v>
      </c>
      <c r="EC101" s="560"/>
      <c r="ED101" s="560">
        <f t="shared" si="221"/>
        <v>8.459905660377359</v>
      </c>
      <c r="EE101" s="560"/>
      <c r="EF101" s="560">
        <f>Sheet1!EH103+Sheet1!EI103+Sheet1!EJ103+Sheet1!EK103</f>
        <v>8.44</v>
      </c>
      <c r="EG101" s="560"/>
      <c r="EH101" s="545">
        <f t="shared" si="222"/>
        <v>0</v>
      </c>
      <c r="EI101" s="560">
        <f>IF(Sheet1!ET103=1,SUM('Calculations II'!AT101:BA101)+'Calculations II'!BC101+Sheet1!BV103+'Calculations II'!BE101+AP101,SUM('Calculations II'!AT101:BA101)+'Calculations II'!BC101+Sheet1!BV103+'Calculations II'!BE101+AP101)</f>
        <v>49.328635200000001</v>
      </c>
      <c r="EJ101" s="560">
        <f>Sheet1!AA103+Sheet1!AB103+'Calculations II'!BC101</f>
        <v>52.461376000000001</v>
      </c>
      <c r="EK101" s="560"/>
      <c r="EL101" s="560"/>
      <c r="EM101" s="560">
        <f t="shared" si="223"/>
        <v>41729</v>
      </c>
      <c r="EN101" s="560">
        <f t="shared" si="224"/>
        <v>56.180094339622642</v>
      </c>
      <c r="EO101" s="560">
        <f t="shared" si="225"/>
        <v>86.91060594339622</v>
      </c>
      <c r="EP101" s="560">
        <v>0</v>
      </c>
      <c r="EQ101" s="560">
        <v>0</v>
      </c>
      <c r="ER101" s="560">
        <v>0</v>
      </c>
      <c r="ES101" s="545">
        <f t="shared" si="247"/>
        <v>2.4960144760425349</v>
      </c>
      <c r="ET101" s="560">
        <f>-(VLOOKUP(Sheet1!BQ103,Lookup!$O$4:$Q$262,2)-VLOOKUP(Sheet1!BQ102,Lookup!$O$4:$Q$262,2))/1000000</f>
        <v>1.248036094163008</v>
      </c>
      <c r="EU101" s="560">
        <f>-(VLOOKUP(Sheet1!BR103,Lookup!$O$4:$Q$262,3)-VLOOKUP(Sheet1!BR102,Lookup!$O$4:$Q$262,3))/1000000</f>
        <v>1.2479783818795271</v>
      </c>
      <c r="EV101" s="560"/>
      <c r="EW101" s="560"/>
      <c r="EX101" s="560"/>
      <c r="EY101" s="560"/>
      <c r="EZ101" s="560"/>
      <c r="FA101" s="560"/>
      <c r="FB101" s="560"/>
      <c r="FC101" s="560"/>
      <c r="FD101" s="594" t="e">
        <f t="shared" si="226"/>
        <v>#N/A</v>
      </c>
      <c r="FE101" s="594" t="e">
        <f t="shared" si="227"/>
        <v>#N/A</v>
      </c>
      <c r="FF101" s="595" t="e">
        <f t="shared" si="228"/>
        <v>#N/A</v>
      </c>
      <c r="FG101" s="596" t="s">
        <v>692</v>
      </c>
      <c r="FH101" s="596" t="s">
        <v>692</v>
      </c>
      <c r="FI101" s="594" t="e">
        <v>#N/A</v>
      </c>
      <c r="FJ101" s="594" t="e">
        <v>#N/A</v>
      </c>
      <c r="FK101" s="560"/>
      <c r="FL101" s="560"/>
      <c r="FM101" s="560"/>
      <c r="FN101" s="560"/>
      <c r="FO101" s="560">
        <f>O101+((Sheet1!CS103)*GPMtoMGD)</f>
        <v>52.461376000000001</v>
      </c>
      <c r="FP101" s="560">
        <f>IF(Sheet1!AA103+AQ101&lt;=Calculation!N101,AQ101,Calculation!N101-Sheet1!AA103)</f>
        <v>16.037735849056606</v>
      </c>
      <c r="FQ101" s="560">
        <f>(Sheet1!BP103+Sheet1!BO103)/694.4</f>
        <v>1.4873271889400921</v>
      </c>
      <c r="FR101" s="560"/>
      <c r="FS101" s="560"/>
      <c r="FT101" s="560"/>
      <c r="FU101" s="560"/>
      <c r="FV101" s="695">
        <f t="shared" si="248"/>
        <v>41827</v>
      </c>
      <c r="FW101" s="695">
        <f t="shared" si="249"/>
        <v>41934</v>
      </c>
      <c r="FX101" s="560"/>
      <c r="FY101" s="560"/>
      <c r="FZ101" s="560"/>
      <c r="GA101" s="560"/>
      <c r="GB101" s="560" t="str">
        <f t="shared" si="250"/>
        <v>n</v>
      </c>
      <c r="GC101" s="564">
        <f t="shared" si="251"/>
        <v>41691</v>
      </c>
      <c r="GD101" s="695">
        <f t="shared" si="252"/>
        <v>41807</v>
      </c>
      <c r="GE101" s="560">
        <v>6518.9</v>
      </c>
      <c r="GF101" s="695">
        <f t="shared" si="253"/>
        <v>41808</v>
      </c>
      <c r="GG101" s="560">
        <f t="shared" si="272"/>
        <v>3259</v>
      </c>
      <c r="GH101" s="564">
        <f t="shared" si="254"/>
        <v>41934</v>
      </c>
      <c r="GJ101" s="545">
        <f t="shared" si="255"/>
        <v>0</v>
      </c>
      <c r="GK101" s="560" t="str">
        <f t="shared" si="229"/>
        <v/>
      </c>
      <c r="GL101" s="560">
        <f t="shared" si="256"/>
        <v>0</v>
      </c>
      <c r="GM101" s="560" t="str">
        <f t="shared" si="257"/>
        <v/>
      </c>
      <c r="GN101" s="560">
        <f>IF(GK101="P",Lookup!$M$12,IF(GK101="PP",Lookup!$M$13,IF(GK101="PPP",Lookup!$M$14,IF(GK101="T",Lookup!$M$15,IF(GK101="TP",Lookup!$M$16,IF(GK101="TPP",Lookup!$M$17,IF(GK101="TPPP",Lookup!$M$18,0)))))))*GJ101</f>
        <v>0</v>
      </c>
      <c r="GO101" s="560">
        <f t="shared" si="258"/>
        <v>0</v>
      </c>
      <c r="GP101" s="560">
        <f t="shared" si="230"/>
        <v>3222.6271999999967</v>
      </c>
      <c r="GQ101" s="560">
        <f t="shared" si="266"/>
        <v>1050.399999999999</v>
      </c>
      <c r="GR101" s="560"/>
      <c r="GS101" s="560">
        <f t="shared" si="259"/>
        <v>0</v>
      </c>
      <c r="GT101" s="560" t="str">
        <f t="shared" si="260"/>
        <v/>
      </c>
      <c r="GU101" s="560">
        <f>IF(GK101="P",Lookup!$N$12,IF(GK101="PP",Lookup!$N$13,IF(GK101="PPP",Lookup!$N$14,IF(GK101="T",Lookup!$N$15,IF(GK101="TP",Lookup!$N$16,IF(GK101="TPP",Lookup!$N$17,IF(GK101="TPPP",Lookup!$N$18,0)))))))*GJ101</f>
        <v>0</v>
      </c>
      <c r="GV101" s="560">
        <f t="shared" si="261"/>
        <v>0</v>
      </c>
      <c r="GW101" s="560">
        <f t="shared" si="231"/>
        <v>1503.8926933333321</v>
      </c>
      <c r="GX101" s="560">
        <f t="shared" si="267"/>
        <v>490.18666666666627</v>
      </c>
      <c r="GY101" s="560"/>
      <c r="GZ101" s="560">
        <f t="shared" si="262"/>
        <v>0</v>
      </c>
      <c r="HA101" s="560" t="str">
        <f t="shared" si="263"/>
        <v/>
      </c>
      <c r="HB101" s="560">
        <f>IF(GK101="P",Lookup!$N$12,IF(GK101="PP",Lookup!$N$13,IF(GK101="PPP",Lookup!$N$14,IF(GK101="T",Lookup!$N$15,IF(GK101="TP",Lookup!$N$16,IF(GK101="TPP",Lookup!$N$17,IF(GK101="TPPP",Lookup!$N$18,0)))))))*GJ101</f>
        <v>0</v>
      </c>
      <c r="HC101" s="545">
        <f t="shared" si="232"/>
        <v>0</v>
      </c>
      <c r="HD101" s="560">
        <f t="shared" si="233"/>
        <v>1182.2634885397752</v>
      </c>
      <c r="HE101" s="560">
        <f t="shared" si="268"/>
        <v>385.35315793343386</v>
      </c>
      <c r="HF101" s="560"/>
      <c r="HG101" s="560">
        <f t="shared" si="264"/>
        <v>0</v>
      </c>
      <c r="HH101" s="560" t="str">
        <f t="shared" si="265"/>
        <v/>
      </c>
      <c r="HI101" s="560">
        <f>IF(GK101="P",Lookup!$N$12,IF(GK101="PP",Lookup!$N$13,IF(GK101="PPP",Lookup!$N$14,IF(GK101="T",Lookup!$N$15,IF(GK101="TP",Lookup!$N$16,IF(GK101="TPP",Lookup!$N$17,IF(GK101="TPPP",Lookup!$N$18,0)))))))*GJ101</f>
        <v>0</v>
      </c>
      <c r="HJ101" s="545">
        <f t="shared" si="234"/>
        <v>0</v>
      </c>
      <c r="HK101" s="560">
        <f t="shared" si="235"/>
        <v>863.88781800855872</v>
      </c>
      <c r="HL101" s="560">
        <f t="shared" si="269"/>
        <v>281.58012321009085</v>
      </c>
      <c r="HM101" s="560"/>
    </row>
    <row r="102" spans="1:221">
      <c r="A102" s="580" t="s">
        <v>5</v>
      </c>
      <c r="B102" s="556">
        <v>41730</v>
      </c>
      <c r="C102" s="561">
        <v>0</v>
      </c>
      <c r="D102" s="529">
        <f t="shared" si="270"/>
        <v>300</v>
      </c>
      <c r="E102" s="529">
        <f t="shared" si="271"/>
        <v>250</v>
      </c>
      <c r="F102" s="529">
        <v>250</v>
      </c>
      <c r="G102" s="560">
        <f>DR102+Sheet1!CZ104</f>
        <v>1313.0005042869179</v>
      </c>
      <c r="H102" s="914">
        <f t="shared" si="236"/>
        <v>581.76032597106371</v>
      </c>
      <c r="I102" s="559">
        <f>MAX(Sheet1!Z104-AT102+(Sheet1!DA104-E102)*CFStoMGD,0)</f>
        <v>1234.268</v>
      </c>
      <c r="J102" s="562">
        <f>IF(AND(B102&gt;=Calculation!GC102,B102&lt;=Calculation!GD102),IF(Sheet1!DB104&gt;=Calculation!D102,64.64,0),MAX(Sheet1!Z104-AT102+(Sheet1!DB104-D102)*CFStoMGD,0))</f>
        <v>64.64</v>
      </c>
      <c r="K102" s="904">
        <f t="shared" si="171"/>
        <v>64.64</v>
      </c>
      <c r="L102" s="560">
        <f>Sheet1!AA104+Sheet1!AB104-Sheet1!L104+(Sheet1!DA104-F102)*CFStoMGD</f>
        <v>1208.768</v>
      </c>
      <c r="M102" s="560">
        <f t="shared" si="172"/>
        <v>865.69799649048502</v>
      </c>
      <c r="N102" s="910">
        <f>IF(Sheet1!DA104&gt;=F102,MIN(73,MIN(MAX(L102,0),MAX(M102,0))),0)</f>
        <v>73</v>
      </c>
      <c r="O102" s="563">
        <f>Sheet1!AA104+Sheet1!AB104</f>
        <v>46.44</v>
      </c>
      <c r="P102" s="563">
        <f t="shared" si="173"/>
        <v>71.842680000000001</v>
      </c>
      <c r="Q102" s="898">
        <f t="shared" si="237"/>
        <v>38.03</v>
      </c>
      <c r="R102" s="829">
        <f t="shared" si="174"/>
        <v>8.41</v>
      </c>
      <c r="S102" s="898">
        <f t="shared" si="238"/>
        <v>8.41</v>
      </c>
      <c r="T102" s="898">
        <f t="shared" si="239"/>
        <v>56.230000000000004</v>
      </c>
      <c r="U102" s="898">
        <f t="shared" si="240"/>
        <v>0</v>
      </c>
      <c r="V102" s="898"/>
      <c r="W102" s="898">
        <f t="shared" si="241"/>
        <v>56.230000000000004</v>
      </c>
      <c r="X102" s="898">
        <f t="shared" si="242"/>
        <v>64.64</v>
      </c>
      <c r="Y102" s="898" t="str">
        <f t="shared" si="243"/>
        <v>FALSE</v>
      </c>
      <c r="Z102" s="898">
        <f t="shared" si="244"/>
        <v>46.44</v>
      </c>
      <c r="AA102" s="898">
        <f t="shared" si="245"/>
        <v>46.44</v>
      </c>
      <c r="AB102" s="898" t="str">
        <f t="shared" si="246"/>
        <v/>
      </c>
      <c r="AC102" s="563">
        <f>Sheet1!Y104*MGDtoCFS</f>
        <v>32.6417</v>
      </c>
      <c r="AD102" s="563">
        <f>Sheet1!Z104*MGDtoCFS</f>
        <v>39.448499999999996</v>
      </c>
      <c r="AE102" s="563">
        <f>Sheet1!AA104*MGDtoCFS</f>
        <v>32.487000000000002</v>
      </c>
      <c r="AF102" s="563">
        <f>Sheet1!AB104*MGDtoCFS</f>
        <v>39.35568</v>
      </c>
      <c r="AG102" s="563">
        <f>Sheet1!L104*MGDtoCFS</f>
        <v>71.842679999999987</v>
      </c>
      <c r="AH102" s="545">
        <f t="shared" si="175"/>
        <v>0</v>
      </c>
      <c r="AI102" s="560">
        <f t="shared" si="176"/>
        <v>0</v>
      </c>
      <c r="AJ102" s="560">
        <f t="shared" si="177"/>
        <v>56.230000000000004</v>
      </c>
      <c r="AK102" s="560">
        <f t="shared" si="178"/>
        <v>86.987809999999996</v>
      </c>
      <c r="AL102" s="560">
        <f>(VLOOKUP(Sheet1!DC104,hhdcap_wcm,4)-(((VLOOKUP(Sheet1!DC104,hhdcap_wcm,3)-Sheet1!DC104)/(VLOOKUP(Sheet1!DC104,hhdcap_wcm,3)-VLOOKUP(Sheet1!DC104,hhdcap_wcm,1)))*(VLOOKUP(Sheet1!DC104,hhdcap_wcm,4)-VLOOKUP(Sheet1!DC104,hhdcap_wcm,2))))</f>
        <v>22766.000000057764</v>
      </c>
      <c r="AM102" s="560">
        <f t="shared" si="179"/>
        <v>303.40000000095824</v>
      </c>
      <c r="AN102" s="560">
        <f t="shared" si="180"/>
        <v>2263.74994781019</v>
      </c>
      <c r="AO102" s="560">
        <f t="shared" si="181"/>
        <v>6945.1848398816628</v>
      </c>
      <c r="AP102" s="560">
        <f>Sheet1!BA104+Sheet1!BB104+Sheet1!BN104+CD102</f>
        <v>17.03</v>
      </c>
      <c r="AQ102" s="560">
        <f>Sheet1!BN104+(DO102*Sheet1!BN104)</f>
        <v>15.8</v>
      </c>
      <c r="AR102" s="560">
        <f>Sheet1!BA104+CD102</f>
        <v>0</v>
      </c>
      <c r="AS102" s="560">
        <f>Sheet1!BA104+Sheet1!BB104+CD102</f>
        <v>1.23</v>
      </c>
      <c r="AT102" s="698">
        <f>0</f>
        <v>0</v>
      </c>
      <c r="AU102" s="560">
        <f>IF(EB102&lt;K102,0,MAX(Sheet1!AA104+AQ102-15/36*K102-N102,Sheet1!EH104,0))</f>
        <v>0</v>
      </c>
      <c r="AV102" s="560">
        <f>IF(OR(B102&gt;=GD102,B102&lt;GC102),0,15/36*K102-MAX(0,64.6-(137.6-(Sheet1!AA104+Sheet1!AB104))))</f>
        <v>26.933333333333334</v>
      </c>
      <c r="AW102" s="698">
        <f>Sheet1!DB104-110</f>
        <v>1050</v>
      </c>
      <c r="AX102" s="698">
        <f>Sheet1!DA104-265</f>
        <v>1855</v>
      </c>
      <c r="AY102" s="698">
        <f t="shared" si="182"/>
        <v>34.97</v>
      </c>
      <c r="AZ102" s="698">
        <v>0</v>
      </c>
      <c r="BA102" s="698">
        <f t="shared" si="183"/>
        <v>0</v>
      </c>
      <c r="BB102" s="560">
        <f t="shared" si="184"/>
        <v>1077.3333333333323</v>
      </c>
      <c r="BC102" s="560"/>
      <c r="BD102" s="560">
        <f ca="1">IF(B102&gt;Summary!$A$1,#N/A,BB102*MGtoAF)</f>
        <v>3305.2586666666639</v>
      </c>
      <c r="BE102" s="560">
        <f>Sheet1!BG104+Sheet1!BH104+Sheet1!BI104-BM102</f>
        <v>0</v>
      </c>
      <c r="BF102" s="560">
        <f t="shared" si="185"/>
        <v>0</v>
      </c>
      <c r="BG102" s="560">
        <f>IF(Sheet1!EP104="FM",BM102,0)</f>
        <v>0</v>
      </c>
      <c r="BH102" s="560">
        <f t="shared" si="186"/>
        <v>0</v>
      </c>
      <c r="BI102" s="560">
        <f>IF(Sheet1!EP104="OTHER",BM102,0)</f>
        <v>0</v>
      </c>
      <c r="BJ102" s="560">
        <f t="shared" si="187"/>
        <v>0</v>
      </c>
      <c r="BK102" s="560">
        <f t="shared" si="188"/>
        <v>0</v>
      </c>
      <c r="BL102" s="560">
        <f t="shared" si="189"/>
        <v>0</v>
      </c>
      <c r="BM102" s="560">
        <f>IF(OR(Sheet1!EP104="FM", Sheet1!EP104="OTHER"),SUM(Sheet1!BG104:'Sheet1'!BI104),0)</f>
        <v>0</v>
      </c>
      <c r="BN102" s="545">
        <f>IF(AND($B102&gt;=$FV102,$B102&lt;=$FW102),MAX(BF102,Sheet1!EI104,0),MAX(BF102-(7/36)*$K102,0))</f>
        <v>0</v>
      </c>
      <c r="BO102" s="560">
        <f t="shared" si="190"/>
        <v>12.568888888888889</v>
      </c>
      <c r="BP102" s="545">
        <f t="shared" si="191"/>
        <v>0</v>
      </c>
      <c r="BQ102" s="545">
        <f>IF(AND($O102&gt;0,Sheet1!EM104=1),(1-($O102-Sheet1!$L104)/$O102)*BL102,0)</f>
        <v>0</v>
      </c>
      <c r="BR102" s="545">
        <f>IF(AND(Sheet1!$L104=0,Sheet1!$L103=0, Calculation!BK102&lt;Sheet1!$EI104-0.1,Sheet1!$EI104=Sheet1!$EI103,Sheet1!$EI104=Sheet1!$EI105),Sheet1!$EI104,BL102-BQ102)</f>
        <v>0</v>
      </c>
      <c r="BS102" s="560"/>
      <c r="BT102" s="560"/>
      <c r="BU102" s="560">
        <f t="shared" si="192"/>
        <v>502.75555555555513</v>
      </c>
      <c r="BV102" s="560"/>
      <c r="BW102" s="560">
        <f ca="1">IF(B102&gt;Summary!$A$1,#N/A,BU102*MGtoAF)</f>
        <v>1542.4540444444431</v>
      </c>
      <c r="BX102" s="560">
        <f>Sheet1!BC104+Sheet1!BD104+Sheet1!BE104+Sheet1!BF104-CG102-CH102</f>
        <v>2.5</v>
      </c>
      <c r="BY102" s="560">
        <f t="shared" si="193"/>
        <v>2.5</v>
      </c>
      <c r="BZ102" s="560">
        <f>IF(Sheet1!EQ104="FM",CH102,0)</f>
        <v>0</v>
      </c>
      <c r="CA102" s="560">
        <f t="shared" si="194"/>
        <v>0</v>
      </c>
      <c r="CB102" s="560">
        <f>IF(Sheet1!EQ104="OTHER",CH102,0)</f>
        <v>0</v>
      </c>
      <c r="CC102" s="560">
        <f t="shared" si="195"/>
        <v>0</v>
      </c>
      <c r="CD102" s="560">
        <f t="shared" si="196"/>
        <v>0</v>
      </c>
      <c r="CE102" s="560">
        <f t="shared" si="197"/>
        <v>2.5</v>
      </c>
      <c r="CF102" s="560">
        <f t="shared" si="198"/>
        <v>2.5</v>
      </c>
      <c r="CG102" s="560">
        <f>IF(Sheet1!EQ104="CWA",SUM(Sheet1!BC104:'Sheet1'!BF104),0)</f>
        <v>0</v>
      </c>
      <c r="CH102" s="560">
        <f>IF(OR(Sheet1!EQ104="FM", Sheet1!EQ104="OTHER"),SUM(Sheet1!BC104:'Sheet1'!BF104),0)</f>
        <v>0</v>
      </c>
      <c r="CI102" s="545">
        <f>IF(AND($B102&gt;=$FV102,$B102&lt;=$FW102),MAX(CF102,Sheet1!EJ104,0),MAX(CF102-(7/36)*$K102,0))</f>
        <v>0</v>
      </c>
      <c r="CJ102" s="560">
        <f t="shared" si="199"/>
        <v>10.068888888888889</v>
      </c>
      <c r="CK102" s="545">
        <f t="shared" si="200"/>
        <v>2.5</v>
      </c>
      <c r="CL102" s="545">
        <f>IF(AND($O102&gt;0,Sheet1!EN104=1),(1-($O102-Sheet1!$L104)/$O102)*CF102,0)</f>
        <v>0</v>
      </c>
      <c r="CM102" s="545">
        <f>IF(AND(Sheet1!$L104=0,Sheet1!$L103=0, Calculation!CE102&lt;Sheet1!EJ104-0.1,Sheet1!EJ104=Sheet1!EJ103,Sheet1!EJ104=Sheet1!EJ105),Sheet1!EJ104,CF102-CL102)</f>
        <v>2.5</v>
      </c>
      <c r="CN102" s="545"/>
      <c r="CO102" s="560"/>
      <c r="CP102" s="560">
        <f t="shared" si="201"/>
        <v>395.42204682232273</v>
      </c>
      <c r="CQ102" s="560"/>
      <c r="CR102" s="560">
        <f ca="1">IF(B102&gt;Summary!$A$1,#N/A,CP102*MGtoAF)</f>
        <v>1213.1548396508861</v>
      </c>
      <c r="CS102" s="560">
        <f>Sheet1!BK104+Sheet1!BL104+Sheet1!BM104-Sheet1!ER104-DA102</f>
        <v>5.91</v>
      </c>
      <c r="CT102" s="560">
        <f t="shared" si="202"/>
        <v>5.91</v>
      </c>
      <c r="CU102" s="560">
        <f>IF(Sheet1!ER104="FM",DA102,0)</f>
        <v>0</v>
      </c>
      <c r="CV102" s="560">
        <f t="shared" si="203"/>
        <v>0</v>
      </c>
      <c r="CW102" s="560">
        <f>IF(Sheet1!ER104="OTHER",DA102,0)</f>
        <v>0</v>
      </c>
      <c r="CX102" s="560">
        <f t="shared" si="204"/>
        <v>0</v>
      </c>
      <c r="CY102" s="560">
        <f t="shared" si="205"/>
        <v>5.91</v>
      </c>
      <c r="CZ102" s="560">
        <f t="shared" si="206"/>
        <v>5.91</v>
      </c>
      <c r="DA102" s="560">
        <f>IF(OR(Sheet1!ER104="FM", Sheet1!ER104="OTHER"),SUM(Sheet1!BK104:'Sheet1'!BM104),0)</f>
        <v>0</v>
      </c>
      <c r="DB102" s="545">
        <f>IF(AND($B102&gt;=$FV102,$B102&lt;=$FW102),MAX($CT102,Sheet1!EK104,0),MAX($CT102-(7/36)*$K102,0))</f>
        <v>0</v>
      </c>
      <c r="DC102" s="560">
        <f t="shared" si="207"/>
        <v>6.6588888888888889</v>
      </c>
      <c r="DD102" s="545">
        <f t="shared" si="208"/>
        <v>5.91</v>
      </c>
      <c r="DE102" s="545">
        <f>IF(AND($O102&gt;0,Sheet1!EO104=1),(1-($O102-Sheet1!$L104)/$O102)*CZ102,0)</f>
        <v>0</v>
      </c>
      <c r="DF102" s="545">
        <f>IF(AND(Sheet1!$L104=0,Sheet1!$L103=0, Calculation!CY102&lt;Sheet1!$EK104-0.1,Sheet1!$EK104=Sheet1!$EK103,Sheet1!$EK104=Sheet1!$EK105),Sheet1!$EK104,CZ102-DE102)</f>
        <v>5.91</v>
      </c>
      <c r="DG102" s="545"/>
      <c r="DH102" s="560">
        <f t="shared" si="209"/>
        <v>8.41</v>
      </c>
      <c r="DI102" s="560">
        <f t="shared" si="210"/>
        <v>288.23901209897974</v>
      </c>
      <c r="DJ102" s="698">
        <f t="shared" si="211"/>
        <v>8.41</v>
      </c>
      <c r="DK102" s="560">
        <f ca="1">IF(B102&gt;Summary!$A$1,#N/A,DI102*MGtoAF)</f>
        <v>884.31728911966991</v>
      </c>
      <c r="DL102" s="698">
        <f t="shared" si="212"/>
        <v>8.41</v>
      </c>
      <c r="DM102" s="560">
        <f t="shared" si="213"/>
        <v>25.44</v>
      </c>
      <c r="DN102" s="560">
        <f>Sheet1!AB104-DM102</f>
        <v>0</v>
      </c>
      <c r="DO102" s="823">
        <f t="shared" si="214"/>
        <v>0</v>
      </c>
      <c r="DP102" s="560">
        <f>(VLOOKUP(Sheet1!DC104,hhdcap_wcm,4)-(((VLOOKUP(Sheet1!DC104,hhdcap_wcm,3)-Sheet1!DC104)/(VLOOKUP(Sheet1!DC104,hhdcap_wcm,3)-VLOOKUP(Sheet1!DC104,hhdcap_wcm,1)))*(VLOOKUP(Sheet1!DC104,hhdcap_wcm,4)-VLOOKUP(Sheet1!DC104,hhdcap_wcm,2))))</f>
        <v>22766.000000057764</v>
      </c>
      <c r="DQ102" s="560">
        <f t="shared" si="215"/>
        <v>303.40000000095824</v>
      </c>
      <c r="DR102" s="560">
        <f t="shared" si="216"/>
        <v>153.0005042869179</v>
      </c>
      <c r="DS102" s="560">
        <f>Sheet1!EA104*AFtoMG</f>
        <v>0</v>
      </c>
      <c r="DT102" s="560">
        <f>Sheet1!EB104*AFtoMG</f>
        <v>0</v>
      </c>
      <c r="DU102" s="560">
        <f>Sheet1!EC104*AFtoMG</f>
        <v>0</v>
      </c>
      <c r="DV102" s="560">
        <f>Sheet1!ED104*AFtoMG</f>
        <v>0</v>
      </c>
      <c r="DW102" s="560">
        <f t="shared" si="217"/>
        <v>0</v>
      </c>
      <c r="DX102" s="560">
        <f t="shared" si="218"/>
        <v>0</v>
      </c>
      <c r="DY102" s="560">
        <f t="shared" si="219"/>
        <v>2263.74994781019</v>
      </c>
      <c r="DZ102" s="560">
        <f t="shared" si="220"/>
        <v>6945.1848398816628</v>
      </c>
      <c r="EA102" s="560"/>
      <c r="EB102" s="545">
        <f>IF(OR(B102&lt;FV102,B102&gt;FW102),(MIN(BF102+BY102+CT102+MAX(Sheet1!AA104+AQ102-73,0),K102)),0)</f>
        <v>8.41</v>
      </c>
      <c r="EC102" s="560"/>
      <c r="ED102" s="560">
        <f t="shared" si="221"/>
        <v>8.41</v>
      </c>
      <c r="EE102" s="560"/>
      <c r="EF102" s="560">
        <f>Sheet1!EH104+Sheet1!EI104+Sheet1!EJ104+Sheet1!EK104</f>
        <v>8.41</v>
      </c>
      <c r="EG102" s="560"/>
      <c r="EH102" s="545">
        <f t="shared" si="222"/>
        <v>0</v>
      </c>
      <c r="EI102" s="560">
        <f>IF(Sheet1!ET104=1,SUM('Calculations II'!AT102:BA102)+'Calculations II'!BC102+Sheet1!BV104+'Calculations II'!BE102+AP102,SUM('Calculations II'!AT102:BA102)+'Calculations II'!BC102+Sheet1!BV104+'Calculations II'!BE102+AP102)</f>
        <v>47.777647999999999</v>
      </c>
      <c r="EJ102" s="560">
        <f>Sheet1!AA104+Sheet1!AB104+'Calculations II'!BC102</f>
        <v>49.957775999999996</v>
      </c>
      <c r="EK102" s="560"/>
      <c r="EL102" s="560"/>
      <c r="EM102" s="560">
        <f t="shared" si="223"/>
        <v>41730</v>
      </c>
      <c r="EN102" s="560">
        <f t="shared" si="224"/>
        <v>56.230000000000004</v>
      </c>
      <c r="EO102" s="560">
        <f t="shared" si="225"/>
        <v>86.987809999999996</v>
      </c>
      <c r="EP102" s="560">
        <v>0</v>
      </c>
      <c r="EQ102" s="560">
        <v>0</v>
      </c>
      <c r="ER102" s="560">
        <v>0</v>
      </c>
      <c r="ES102" s="545">
        <f t="shared" si="247"/>
        <v>2.7721311831257829</v>
      </c>
      <c r="ET102" s="560">
        <f>-(VLOOKUP(Sheet1!BQ104,Lookup!$O$4:$Q$262,2)-VLOOKUP(Sheet1!BQ103,Lookup!$O$4:$Q$262,2))/1000000</f>
        <v>1.3860976469221002</v>
      </c>
      <c r="EU102" s="560">
        <f>-(VLOOKUP(Sheet1!BR104,Lookup!$O$4:$Q$262,3)-VLOOKUP(Sheet1!BR103,Lookup!$O$4:$Q$262,3))/1000000</f>
        <v>1.3860335362036824</v>
      </c>
      <c r="EV102" s="560"/>
      <c r="EW102" s="560"/>
      <c r="EX102" s="560"/>
      <c r="EY102" s="560"/>
      <c r="EZ102" s="560"/>
      <c r="FA102" s="560"/>
      <c r="FB102" s="560"/>
      <c r="FC102" s="560"/>
      <c r="FD102" s="594" t="e">
        <f t="shared" si="226"/>
        <v>#N/A</v>
      </c>
      <c r="FE102" s="594" t="e">
        <f t="shared" si="227"/>
        <v>#N/A</v>
      </c>
      <c r="FF102" s="595" t="e">
        <f t="shared" si="228"/>
        <v>#N/A</v>
      </c>
      <c r="FG102" s="596" t="s">
        <v>692</v>
      </c>
      <c r="FH102" s="596" t="s">
        <v>692</v>
      </c>
      <c r="FI102" s="594" t="e">
        <v>#N/A</v>
      </c>
      <c r="FJ102" s="594" t="e">
        <v>#N/A</v>
      </c>
      <c r="FK102" s="560"/>
      <c r="FL102" s="560"/>
      <c r="FM102" s="560"/>
      <c r="FN102" s="560"/>
      <c r="FO102" s="560">
        <f>O102+((Sheet1!CS104)*GPMtoMGD)</f>
        <v>49.957775999999996</v>
      </c>
      <c r="FP102" s="560">
        <f>IF(Sheet1!AA104+AQ102&lt;=Calculation!N102,AQ102,Calculation!N102-Sheet1!AA104)</f>
        <v>15.8</v>
      </c>
      <c r="FQ102" s="560">
        <f>(Sheet1!BP104+Sheet1!BO104)/694.4</f>
        <v>1.373991935483871</v>
      </c>
      <c r="FR102" s="560"/>
      <c r="FS102" s="560"/>
      <c r="FT102" s="560"/>
      <c r="FU102" s="560"/>
      <c r="FV102" s="695">
        <f t="shared" si="248"/>
        <v>41827</v>
      </c>
      <c r="FW102" s="695">
        <f t="shared" si="249"/>
        <v>41934</v>
      </c>
      <c r="FX102" s="560"/>
      <c r="FY102" s="560"/>
      <c r="FZ102" s="560"/>
      <c r="GA102" s="560"/>
      <c r="GB102" s="560" t="str">
        <f t="shared" si="250"/>
        <v>n</v>
      </c>
      <c r="GC102" s="564">
        <f t="shared" si="251"/>
        <v>41691</v>
      </c>
      <c r="GD102" s="695">
        <f t="shared" si="252"/>
        <v>41807</v>
      </c>
      <c r="GE102" s="560">
        <v>6518.9</v>
      </c>
      <c r="GF102" s="695">
        <f t="shared" si="253"/>
        <v>41808</v>
      </c>
      <c r="GG102" s="560">
        <f t="shared" si="272"/>
        <v>3259</v>
      </c>
      <c r="GH102" s="564">
        <f t="shared" si="254"/>
        <v>41934</v>
      </c>
      <c r="GJ102" s="545">
        <f t="shared" si="255"/>
        <v>0</v>
      </c>
      <c r="GK102" s="560" t="str">
        <f t="shared" si="229"/>
        <v/>
      </c>
      <c r="GL102" s="560">
        <f t="shared" si="256"/>
        <v>0</v>
      </c>
      <c r="GM102" s="560" t="str">
        <f t="shared" si="257"/>
        <v/>
      </c>
      <c r="GN102" s="560">
        <f>IF(GK102="P",Lookup!$M$12,IF(GK102="PP",Lookup!$M$13,IF(GK102="PPP",Lookup!$M$14,IF(GK102="T",Lookup!$M$15,IF(GK102="TP",Lookup!$M$16,IF(GK102="TPP",Lookup!$M$17,IF(GK102="TPPP",Lookup!$M$18,0)))))))*GJ102</f>
        <v>0</v>
      </c>
      <c r="GO102" s="560">
        <f t="shared" si="258"/>
        <v>0</v>
      </c>
      <c r="GP102" s="560">
        <f t="shared" si="230"/>
        <v>3305.2586666666639</v>
      </c>
      <c r="GQ102" s="560">
        <f t="shared" si="266"/>
        <v>1077.3333333333323</v>
      </c>
      <c r="GR102" s="560"/>
      <c r="GS102" s="560">
        <f t="shared" si="259"/>
        <v>0</v>
      </c>
      <c r="GT102" s="560" t="str">
        <f t="shared" si="260"/>
        <v/>
      </c>
      <c r="GU102" s="560">
        <f>IF(GK102="P",Lookup!$N$12,IF(GK102="PP",Lookup!$N$13,IF(GK102="PPP",Lookup!$N$14,IF(GK102="T",Lookup!$N$15,IF(GK102="TP",Lookup!$N$16,IF(GK102="TPP",Lookup!$N$17,IF(GK102="TPPP",Lookup!$N$18,0)))))))*GJ102</f>
        <v>0</v>
      </c>
      <c r="GV102" s="560">
        <f t="shared" si="261"/>
        <v>0</v>
      </c>
      <c r="GW102" s="560">
        <f t="shared" si="231"/>
        <v>1542.4540444444431</v>
      </c>
      <c r="GX102" s="560">
        <f t="shared" si="267"/>
        <v>502.75555555555513</v>
      </c>
      <c r="GY102" s="560"/>
      <c r="GZ102" s="560">
        <f t="shared" si="262"/>
        <v>0</v>
      </c>
      <c r="HA102" s="560" t="str">
        <f t="shared" si="263"/>
        <v/>
      </c>
      <c r="HB102" s="560">
        <f>IF(GK102="P",Lookup!$N$12,IF(GK102="PP",Lookup!$N$13,IF(GK102="PPP",Lookup!$N$14,IF(GK102="T",Lookup!$N$15,IF(GK102="TP",Lookup!$N$16,IF(GK102="TPP",Lookup!$N$17,IF(GK102="TPPP",Lookup!$N$18,0)))))))*GJ102</f>
        <v>0</v>
      </c>
      <c r="HC102" s="545">
        <f t="shared" si="232"/>
        <v>0</v>
      </c>
      <c r="HD102" s="560">
        <f t="shared" si="233"/>
        <v>1213.1548396508861</v>
      </c>
      <c r="HE102" s="560">
        <f t="shared" si="268"/>
        <v>395.42204682232273</v>
      </c>
      <c r="HF102" s="560"/>
      <c r="HG102" s="560">
        <f t="shared" si="264"/>
        <v>0</v>
      </c>
      <c r="HH102" s="560" t="str">
        <f t="shared" si="265"/>
        <v/>
      </c>
      <c r="HI102" s="560">
        <f>IF(GK102="P",Lookup!$N$12,IF(GK102="PP",Lookup!$N$13,IF(GK102="PPP",Lookup!$N$14,IF(GK102="T",Lookup!$N$15,IF(GK102="TP",Lookup!$N$16,IF(GK102="TPP",Lookup!$N$17,IF(GK102="TPPP",Lookup!$N$18,0)))))))*GJ102</f>
        <v>0</v>
      </c>
      <c r="HJ102" s="545">
        <f t="shared" si="234"/>
        <v>0</v>
      </c>
      <c r="HK102" s="560">
        <f t="shared" si="235"/>
        <v>884.31728911966991</v>
      </c>
      <c r="HL102" s="560">
        <f t="shared" si="269"/>
        <v>288.23901209897974</v>
      </c>
      <c r="HM102" s="560"/>
    </row>
    <row r="103" spans="1:221">
      <c r="A103" s="580" t="s">
        <v>6</v>
      </c>
      <c r="B103" s="556">
        <v>41731</v>
      </c>
      <c r="C103" s="561">
        <v>0</v>
      </c>
      <c r="D103" s="529">
        <f t="shared" si="270"/>
        <v>300</v>
      </c>
      <c r="E103" s="529">
        <f t="shared" si="271"/>
        <v>250</v>
      </c>
      <c r="F103" s="529">
        <v>250</v>
      </c>
      <c r="G103" s="560">
        <f>DR103+Sheet1!CZ105</f>
        <v>1114.7559253657746</v>
      </c>
      <c r="H103" s="914">
        <f t="shared" si="236"/>
        <v>453.61503015643666</v>
      </c>
      <c r="I103" s="559">
        <f>MAX(Sheet1!Z105-AT103+(Sheet1!DA105-E103)*CFStoMGD,0)</f>
        <v>1085.5360000000001</v>
      </c>
      <c r="J103" s="562">
        <f>IF(AND(B103&gt;=Calculation!GC103,B103&lt;=Calculation!GD103),IF(Sheet1!DB105&gt;=Calculation!D103,64.64,0),MAX(Sheet1!Z105-AT103+(Sheet1!DB105-D103)*CFStoMGD,0))</f>
        <v>64.64</v>
      </c>
      <c r="K103" s="904">
        <f t="shared" si="171"/>
        <v>64.64</v>
      </c>
      <c r="L103" s="560">
        <f>Sheet1!AA105+Sheet1!AB105-Sheet1!L105+(Sheet1!DA105-F103)*CFStoMGD</f>
        <v>1060.096</v>
      </c>
      <c r="M103" s="560">
        <f t="shared" si="172"/>
        <v>734.98979475956548</v>
      </c>
      <c r="N103" s="910">
        <f>IF(Sheet1!DA105&gt;=F103,MIN(73,MIN(MAX(L103,0),MAX(M103,0))),0)</f>
        <v>73</v>
      </c>
      <c r="O103" s="563">
        <f>Sheet1!AA105+Sheet1!AB105</f>
        <v>46.5</v>
      </c>
      <c r="P103" s="563">
        <f t="shared" si="173"/>
        <v>71.93549999999999</v>
      </c>
      <c r="Q103" s="898">
        <f t="shared" si="237"/>
        <v>38.090000000000003</v>
      </c>
      <c r="R103" s="829">
        <f t="shared" si="174"/>
        <v>8.4265486029122396</v>
      </c>
      <c r="S103" s="898">
        <f t="shared" si="238"/>
        <v>8.41</v>
      </c>
      <c r="T103" s="898">
        <f t="shared" si="239"/>
        <v>56.230000000000004</v>
      </c>
      <c r="U103" s="898">
        <f t="shared" si="240"/>
        <v>0</v>
      </c>
      <c r="V103" s="898"/>
      <c r="W103" s="898">
        <f t="shared" si="241"/>
        <v>56.213451397087759</v>
      </c>
      <c r="X103" s="898">
        <f t="shared" si="242"/>
        <v>64.64</v>
      </c>
      <c r="Y103" s="898" t="str">
        <f t="shared" si="243"/>
        <v>FALSE</v>
      </c>
      <c r="Z103" s="898">
        <f t="shared" si="244"/>
        <v>46.5</v>
      </c>
      <c r="AA103" s="898">
        <f t="shared" si="245"/>
        <v>46.5</v>
      </c>
      <c r="AB103" s="898" t="str">
        <f t="shared" si="246"/>
        <v/>
      </c>
      <c r="AC103" s="563">
        <f>Sheet1!Y105*MGDtoCFS</f>
        <v>32.487000000000002</v>
      </c>
      <c r="AD103" s="563">
        <f>Sheet1!Z105*MGDtoCFS</f>
        <v>39.35568</v>
      </c>
      <c r="AE103" s="563">
        <f>Sheet1!AA105*MGDtoCFS</f>
        <v>32.548879999999997</v>
      </c>
      <c r="AF103" s="563">
        <f>Sheet1!AB105*MGDtoCFS</f>
        <v>39.386620000000001</v>
      </c>
      <c r="AG103" s="563">
        <f>Sheet1!L105*MGDtoCFS</f>
        <v>71.93549999999999</v>
      </c>
      <c r="AH103" s="545">
        <f t="shared" si="175"/>
        <v>0</v>
      </c>
      <c r="AI103" s="560">
        <f t="shared" si="176"/>
        <v>0</v>
      </c>
      <c r="AJ103" s="560">
        <f t="shared" si="177"/>
        <v>56.213451397087759</v>
      </c>
      <c r="AK103" s="560">
        <f t="shared" si="178"/>
        <v>86.962209311294757</v>
      </c>
      <c r="AL103" s="560">
        <f>(VLOOKUP(Sheet1!DC105,hhdcap_wcm,4)-(((VLOOKUP(Sheet1!DC105,hhdcap_wcm,3)-Sheet1!DC105)/(VLOOKUP(Sheet1!DC105,hhdcap_wcm,3)-VLOOKUP(Sheet1!DC105,hhdcap_wcm,1)))*(VLOOKUP(Sheet1!DC105,hhdcap_wcm,4)-VLOOKUP(Sheet1!DC105,hhdcap_wcm,2))))</f>
        <v>23059.000000058095</v>
      </c>
      <c r="AM103" s="560">
        <f t="shared" si="179"/>
        <v>293.00000000033106</v>
      </c>
      <c r="AN103" s="560">
        <f t="shared" si="180"/>
        <v>2319.9633992072777</v>
      </c>
      <c r="AO103" s="560">
        <f t="shared" si="181"/>
        <v>7117.6477087679277</v>
      </c>
      <c r="AP103" s="560">
        <f>Sheet1!BA105+Sheet1!BB105+Sheet1!BN105+CD103</f>
        <v>17</v>
      </c>
      <c r="AQ103" s="560">
        <f>Sheet1!BN105+(DO103*Sheet1!BN105)</f>
        <v>15.430303030303032</v>
      </c>
      <c r="AR103" s="560">
        <f>Sheet1!BA105+CD103</f>
        <v>0</v>
      </c>
      <c r="AS103" s="560">
        <f>Sheet1!BA105+Sheet1!BB105+CD103</f>
        <v>1.6</v>
      </c>
      <c r="AT103" s="698">
        <f>0</f>
        <v>0</v>
      </c>
      <c r="AU103" s="560">
        <f>IF(EB103&lt;K103,0,MAX(Sheet1!AA105+AQ103-15/36*K103-N103,Sheet1!EH105,0))</f>
        <v>0</v>
      </c>
      <c r="AV103" s="560">
        <f>IF(OR(B103&gt;=GD103,B103&lt;GC103),0,15/36*K103-MAX(0,64.6-(137.6-(Sheet1!AA105+Sheet1!AB105))))</f>
        <v>26.933333333333334</v>
      </c>
      <c r="AW103" s="698">
        <f>Sheet1!DB105-110</f>
        <v>872</v>
      </c>
      <c r="AX103" s="698">
        <f>Sheet1!DA105-265</f>
        <v>1625</v>
      </c>
      <c r="AY103" s="698">
        <f t="shared" si="182"/>
        <v>34.909999999999997</v>
      </c>
      <c r="AZ103" s="698">
        <v>0</v>
      </c>
      <c r="BA103" s="698">
        <f t="shared" si="183"/>
        <v>0</v>
      </c>
      <c r="BB103" s="560">
        <f t="shared" si="184"/>
        <v>1104.2666666666657</v>
      </c>
      <c r="BC103" s="560"/>
      <c r="BD103" s="560">
        <f ca="1">IF(B103&gt;Summary!$A$1,#N/A,BB103*MGtoAF)</f>
        <v>3387.8901333333306</v>
      </c>
      <c r="BE103" s="560">
        <f>Sheet1!BG105+Sheet1!BH105+Sheet1!BI105-BM103</f>
        <v>0</v>
      </c>
      <c r="BF103" s="560">
        <f t="shared" si="185"/>
        <v>0</v>
      </c>
      <c r="BG103" s="560">
        <f>IF(Sheet1!EP105="FM",BM103,0)</f>
        <v>0</v>
      </c>
      <c r="BH103" s="560">
        <f t="shared" si="186"/>
        <v>0</v>
      </c>
      <c r="BI103" s="560">
        <f>IF(Sheet1!EP105="OTHER",BM103,0)</f>
        <v>0</v>
      </c>
      <c r="BJ103" s="560">
        <f t="shared" si="187"/>
        <v>0</v>
      </c>
      <c r="BK103" s="560">
        <f t="shared" si="188"/>
        <v>0</v>
      </c>
      <c r="BL103" s="560">
        <f t="shared" si="189"/>
        <v>0</v>
      </c>
      <c r="BM103" s="560">
        <f>IF(OR(Sheet1!EP105="FM", Sheet1!EP105="OTHER"),SUM(Sheet1!BG105:'Sheet1'!BI105),0)</f>
        <v>0</v>
      </c>
      <c r="BN103" s="545">
        <f>IF(AND($B103&gt;=$FV103,$B103&lt;=$FW103),MAX(BF103,Sheet1!EI105,0),MAX(BF103-(7/36)*$K103,0))</f>
        <v>0</v>
      </c>
      <c r="BO103" s="560">
        <f t="shared" si="190"/>
        <v>12.568888888888889</v>
      </c>
      <c r="BP103" s="545">
        <f t="shared" si="191"/>
        <v>0</v>
      </c>
      <c r="BQ103" s="545">
        <f>IF(AND($O103&gt;0,Sheet1!EM105=1),(1-($O103-Sheet1!$L105)/$O103)*BL103,0)</f>
        <v>0</v>
      </c>
      <c r="BR103" s="545">
        <f>IF(AND(Sheet1!$L105=0,Sheet1!$L104=0, Calculation!BK103&lt;Sheet1!$EI105-0.1,Sheet1!$EI105=Sheet1!$EI104,Sheet1!$EI105=Sheet1!$EI106),Sheet1!$EI105,BL103-BQ103)</f>
        <v>0</v>
      </c>
      <c r="BS103" s="560"/>
      <c r="BT103" s="560"/>
      <c r="BU103" s="560">
        <f t="shared" si="192"/>
        <v>515.324444444444</v>
      </c>
      <c r="BV103" s="560"/>
      <c r="BW103" s="560">
        <f ca="1">IF(B103&gt;Summary!$A$1,#N/A,BU103*MGtoAF)</f>
        <v>1581.0153955555543</v>
      </c>
      <c r="BX103" s="560">
        <f>Sheet1!BC105+Sheet1!BD105+Sheet1!BE105+Sheet1!BF105-CG103-CH103</f>
        <v>2.5</v>
      </c>
      <c r="BY103" s="560">
        <f t="shared" si="193"/>
        <v>2.5049193231011415</v>
      </c>
      <c r="BZ103" s="560">
        <f>IF(Sheet1!EQ105="FM",CH103,0)</f>
        <v>0</v>
      </c>
      <c r="CA103" s="560">
        <f t="shared" si="194"/>
        <v>0</v>
      </c>
      <c r="CB103" s="560">
        <f>IF(Sheet1!EQ105="OTHER",CH103,0)</f>
        <v>0</v>
      </c>
      <c r="CC103" s="560">
        <f t="shared" si="195"/>
        <v>0</v>
      </c>
      <c r="CD103" s="560">
        <f t="shared" si="196"/>
        <v>0</v>
      </c>
      <c r="CE103" s="560">
        <f t="shared" si="197"/>
        <v>2.5</v>
      </c>
      <c r="CF103" s="560">
        <f t="shared" si="198"/>
        <v>2.5049193231011415</v>
      </c>
      <c r="CG103" s="560">
        <f>IF(Sheet1!EQ105="CWA",SUM(Sheet1!BC105:'Sheet1'!BF105),0)</f>
        <v>0</v>
      </c>
      <c r="CH103" s="560">
        <f>IF(OR(Sheet1!EQ105="FM", Sheet1!EQ105="OTHER"),SUM(Sheet1!BC105:'Sheet1'!BF105),0)</f>
        <v>0</v>
      </c>
      <c r="CI103" s="545">
        <f>IF(AND($B103&gt;=$FV103,$B103&lt;=$FW103),MAX(CF103,Sheet1!EJ105,0),MAX(CF103-(7/36)*$K103,0))</f>
        <v>0</v>
      </c>
      <c r="CJ103" s="560">
        <f t="shared" si="199"/>
        <v>10.063969565787747</v>
      </c>
      <c r="CK103" s="545">
        <f t="shared" si="200"/>
        <v>2.5049193231011415</v>
      </c>
      <c r="CL103" s="545">
        <f>IF(AND($O103&gt;0,Sheet1!EN105=1),(1-($O103-Sheet1!$L105)/$O103)*CF103,0)</f>
        <v>0</v>
      </c>
      <c r="CM103" s="545">
        <f>IF(AND(Sheet1!$L105=0,Sheet1!$L104=0, Calculation!CE103&lt;Sheet1!EJ105-0.1,Sheet1!EJ105=Sheet1!EJ104,Sheet1!EJ105=Sheet1!EJ106),Sheet1!EJ105,CF103-CL103)</f>
        <v>2.5049193231011415</v>
      </c>
      <c r="CN103" s="545"/>
      <c r="CO103" s="560"/>
      <c r="CP103" s="560">
        <f t="shared" si="201"/>
        <v>405.4860163881105</v>
      </c>
      <c r="CQ103" s="560"/>
      <c r="CR103" s="560">
        <f ca="1">IF(B103&gt;Summary!$A$1,#N/A,CP103*MGtoAF)</f>
        <v>1244.031098278723</v>
      </c>
      <c r="CS103" s="560">
        <f>Sheet1!BK105+Sheet1!BL105+Sheet1!BM105-Sheet1!ER105-DA103</f>
        <v>5.91</v>
      </c>
      <c r="CT103" s="560">
        <f t="shared" si="202"/>
        <v>5.9216292798110981</v>
      </c>
      <c r="CU103" s="560">
        <f>IF(Sheet1!ER105="FM",DA103,0)</f>
        <v>0</v>
      </c>
      <c r="CV103" s="560">
        <f t="shared" si="203"/>
        <v>0</v>
      </c>
      <c r="CW103" s="560">
        <f>IF(Sheet1!ER105="OTHER",DA103,0)</f>
        <v>0</v>
      </c>
      <c r="CX103" s="560">
        <f t="shared" si="204"/>
        <v>0</v>
      </c>
      <c r="CY103" s="560">
        <f t="shared" si="205"/>
        <v>5.91</v>
      </c>
      <c r="CZ103" s="560">
        <f t="shared" si="206"/>
        <v>5.9216292798110981</v>
      </c>
      <c r="DA103" s="560">
        <f>IF(OR(Sheet1!ER105="FM", Sheet1!ER105="OTHER"),SUM(Sheet1!BK105:'Sheet1'!BM105),0)</f>
        <v>0</v>
      </c>
      <c r="DB103" s="545">
        <f>IF(AND($B103&gt;=$FV103,$B103&lt;=$FW103),MAX($CT103,Sheet1!EK105,0),MAX($CT103-(7/36)*$K103,0))</f>
        <v>0</v>
      </c>
      <c r="DC103" s="560">
        <f t="shared" si="207"/>
        <v>6.6472596090777909</v>
      </c>
      <c r="DD103" s="545">
        <f t="shared" si="208"/>
        <v>5.9216292798110981</v>
      </c>
      <c r="DE103" s="545">
        <f>IF(AND($O103&gt;0,Sheet1!EO105=1),(1-($O103-Sheet1!$L105)/$O103)*CZ103,0)</f>
        <v>0</v>
      </c>
      <c r="DF103" s="545">
        <f>IF(AND(Sheet1!$L105=0,Sheet1!$L104=0, Calculation!CY103&lt;Sheet1!$EK105-0.1,Sheet1!$EK105=Sheet1!$EK104,Sheet1!$EK105=Sheet1!$EK106),Sheet1!$EK105,CZ103-DE103)</f>
        <v>5.9216292798110981</v>
      </c>
      <c r="DG103" s="545"/>
      <c r="DH103" s="560">
        <f t="shared" si="209"/>
        <v>8.41</v>
      </c>
      <c r="DI103" s="560">
        <f t="shared" si="210"/>
        <v>294.88627170805751</v>
      </c>
      <c r="DJ103" s="698">
        <f t="shared" si="211"/>
        <v>8.4265486029122396</v>
      </c>
      <c r="DK103" s="560">
        <f ca="1">IF(B103&gt;Summary!$A$1,#N/A,DI103*MGtoAF)</f>
        <v>904.71108160032043</v>
      </c>
      <c r="DL103" s="698">
        <f t="shared" si="212"/>
        <v>8.41</v>
      </c>
      <c r="DM103" s="560">
        <f t="shared" si="213"/>
        <v>25.41</v>
      </c>
      <c r="DN103" s="560">
        <f>Sheet1!AB105-DM103</f>
        <v>5.0000000000000711E-2</v>
      </c>
      <c r="DO103" s="823">
        <f t="shared" si="214"/>
        <v>1.9677292404565411E-3</v>
      </c>
      <c r="DP103" s="560">
        <f>(VLOOKUP(Sheet1!DC105,hhdcap_wcm,4)-(((VLOOKUP(Sheet1!DC105,hhdcap_wcm,3)-Sheet1!DC105)/(VLOOKUP(Sheet1!DC105,hhdcap_wcm,3)-VLOOKUP(Sheet1!DC105,hhdcap_wcm,1)))*(VLOOKUP(Sheet1!DC105,hhdcap_wcm,4)-VLOOKUP(Sheet1!DC105,hhdcap_wcm,2))))</f>
        <v>23059.000000058095</v>
      </c>
      <c r="DQ103" s="560">
        <f t="shared" si="215"/>
        <v>293.00000000033106</v>
      </c>
      <c r="DR103" s="560">
        <f t="shared" si="216"/>
        <v>147.7559253657746</v>
      </c>
      <c r="DS103" s="560">
        <f>Sheet1!EA105*AFtoMG</f>
        <v>0</v>
      </c>
      <c r="DT103" s="560">
        <f>Sheet1!EB105*AFtoMG</f>
        <v>0</v>
      </c>
      <c r="DU103" s="560">
        <f>Sheet1!EC105*AFtoMG</f>
        <v>0</v>
      </c>
      <c r="DV103" s="560">
        <f>Sheet1!ED105*AFtoMG</f>
        <v>0</v>
      </c>
      <c r="DW103" s="560">
        <f t="shared" si="217"/>
        <v>0</v>
      </c>
      <c r="DX103" s="560">
        <f t="shared" si="218"/>
        <v>0</v>
      </c>
      <c r="DY103" s="560">
        <f t="shared" si="219"/>
        <v>2319.9633992072777</v>
      </c>
      <c r="DZ103" s="560">
        <f t="shared" si="220"/>
        <v>7117.6477087679277</v>
      </c>
      <c r="EA103" s="560"/>
      <c r="EB103" s="545">
        <f>IF(OR(B103&lt;FV103,B103&gt;FW103),(MIN(BF103+BY103+CT103+MAX(Sheet1!AA105+AQ103-73,0),K103)),0)</f>
        <v>8.4265486029122396</v>
      </c>
      <c r="EC103" s="560"/>
      <c r="ED103" s="560">
        <f t="shared" si="221"/>
        <v>8.4265486029122396</v>
      </c>
      <c r="EE103" s="560"/>
      <c r="EF103" s="560">
        <f>Sheet1!EH105+Sheet1!EI105+Sheet1!EJ105+Sheet1!EK105</f>
        <v>8.41</v>
      </c>
      <c r="EG103" s="560"/>
      <c r="EH103" s="545">
        <f t="shared" si="222"/>
        <v>0</v>
      </c>
      <c r="EI103" s="560">
        <f>IF(Sheet1!ET105=1,SUM('Calculations II'!AT103:BA103)+'Calculations II'!BC103+Sheet1!BV105+'Calculations II'!BE103+AP103,SUM('Calculations II'!AT103:BA103)+'Calculations II'!BC103+Sheet1!BV105+'Calculations II'!BE103+AP103)</f>
        <v>50.22824</v>
      </c>
      <c r="EJ103" s="560">
        <f>Sheet1!AA105+Sheet1!AB105+'Calculations II'!BC103</f>
        <v>52.244160000000001</v>
      </c>
      <c r="EK103" s="560"/>
      <c r="EL103" s="560"/>
      <c r="EM103" s="560">
        <f t="shared" si="223"/>
        <v>41731</v>
      </c>
      <c r="EN103" s="560">
        <f t="shared" si="224"/>
        <v>56.213451397087759</v>
      </c>
      <c r="EO103" s="560">
        <f t="shared" si="225"/>
        <v>86.962209311294757</v>
      </c>
      <c r="EP103" s="560">
        <v>0</v>
      </c>
      <c r="EQ103" s="560">
        <v>0</v>
      </c>
      <c r="ER103" s="560">
        <v>0</v>
      </c>
      <c r="ES103" s="545">
        <f t="shared" si="247"/>
        <v>2.3553050714659056</v>
      </c>
      <c r="ET103" s="560">
        <f>-(VLOOKUP(Sheet1!BQ105,Lookup!$O$4:$Q$262,2)-VLOOKUP(Sheet1!BQ104,Lookup!$O$4:$Q$262,2))/1000000</f>
        <v>1.2469397882411666</v>
      </c>
      <c r="EU103" s="560">
        <f>-(VLOOKUP(Sheet1!BR105,Lookup!$O$4:$Q$262,3)-VLOOKUP(Sheet1!BR104,Lookup!$O$4:$Q$262,3))/1000000</f>
        <v>1.108365283224739</v>
      </c>
      <c r="EV103" s="560"/>
      <c r="EW103" s="560"/>
      <c r="EX103" s="560"/>
      <c r="EY103" s="560"/>
      <c r="EZ103" s="560"/>
      <c r="FA103" s="560"/>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103" s="560"/>
      <c r="FN103" s="560"/>
      <c r="FO103" s="560">
        <f>O103+((Sheet1!CS105)*GPMtoMGD)</f>
        <v>52.244160000000001</v>
      </c>
      <c r="FP103" s="560">
        <f>IF(Sheet1!AA105+AQ103&lt;=Calculation!N103,AQ103,Calculation!N103-Sheet1!AA105)</f>
        <v>15.430303030303032</v>
      </c>
      <c r="FQ103" s="560">
        <f>(Sheet1!BP105+Sheet1!BO105)/694.4</f>
        <v>1.4340437788018432</v>
      </c>
      <c r="FR103" s="560"/>
      <c r="FS103" s="560"/>
      <c r="FT103" s="560"/>
      <c r="FU103" s="560"/>
      <c r="FV103" s="695">
        <f t="shared" si="248"/>
        <v>41827</v>
      </c>
      <c r="FW103" s="695">
        <f t="shared" si="249"/>
        <v>41934</v>
      </c>
      <c r="FX103" s="560"/>
      <c r="FY103" s="560"/>
      <c r="FZ103" s="560"/>
      <c r="GA103" s="560"/>
      <c r="GB103" s="560" t="str">
        <f t="shared" si="250"/>
        <v>n</v>
      </c>
      <c r="GC103" s="564">
        <f t="shared" si="251"/>
        <v>41691</v>
      </c>
      <c r="GD103" s="695">
        <f t="shared" si="252"/>
        <v>41807</v>
      </c>
      <c r="GE103" s="560">
        <v>6518.9</v>
      </c>
      <c r="GF103" s="695">
        <f t="shared" si="253"/>
        <v>41808</v>
      </c>
      <c r="GG103" s="560">
        <f t="shared" si="272"/>
        <v>3259</v>
      </c>
      <c r="GH103" s="564">
        <f t="shared" si="254"/>
        <v>41934</v>
      </c>
      <c r="GJ103" s="545">
        <f t="shared" si="255"/>
        <v>0</v>
      </c>
      <c r="GK103" s="560" t="str">
        <f t="shared" si="229"/>
        <v/>
      </c>
      <c r="GL103" s="560">
        <f t="shared" si="256"/>
        <v>0</v>
      </c>
      <c r="GM103" s="560" t="str">
        <f t="shared" si="257"/>
        <v/>
      </c>
      <c r="GN103" s="560">
        <f>IF(GK103="P",Lookup!$M$12,IF(GK103="PP",Lookup!$M$13,IF(GK103="PPP",Lookup!$M$14,IF(GK103="T",Lookup!$M$15,IF(GK103="TP",Lookup!$M$16,IF(GK103="TPP",Lookup!$M$17,IF(GK103="TPPP",Lookup!$M$18,0)))))))*GJ103</f>
        <v>0</v>
      </c>
      <c r="GO103" s="560">
        <f t="shared" si="258"/>
        <v>0</v>
      </c>
      <c r="GP103" s="560">
        <f t="shared" si="230"/>
        <v>3387.8901333333306</v>
      </c>
      <c r="GQ103" s="560">
        <f t="shared" si="266"/>
        <v>1104.2666666666657</v>
      </c>
      <c r="GR103" s="560"/>
      <c r="GS103" s="560">
        <f t="shared" si="259"/>
        <v>0</v>
      </c>
      <c r="GT103" s="560" t="str">
        <f t="shared" si="260"/>
        <v/>
      </c>
      <c r="GU103" s="560">
        <f>IF(GK103="P",Lookup!$N$12,IF(GK103="PP",Lookup!$N$13,IF(GK103="PPP",Lookup!$N$14,IF(GK103="T",Lookup!$N$15,IF(GK103="TP",Lookup!$N$16,IF(GK103="TPP",Lookup!$N$17,IF(GK103="TPPP",Lookup!$N$18,0)))))))*GJ103</f>
        <v>0</v>
      </c>
      <c r="GV103" s="560">
        <f t="shared" si="261"/>
        <v>0</v>
      </c>
      <c r="GW103" s="560">
        <f t="shared" si="231"/>
        <v>1581.0153955555543</v>
      </c>
      <c r="GX103" s="560">
        <f t="shared" si="267"/>
        <v>515.324444444444</v>
      </c>
      <c r="GY103" s="560"/>
      <c r="GZ103" s="560">
        <f t="shared" si="262"/>
        <v>0</v>
      </c>
      <c r="HA103" s="560" t="str">
        <f t="shared" si="263"/>
        <v/>
      </c>
      <c r="HB103" s="560">
        <f>IF(GK103="P",Lookup!$N$12,IF(GK103="PP",Lookup!$N$13,IF(GK103="PPP",Lookup!$N$14,IF(GK103="T",Lookup!$N$15,IF(GK103="TP",Lookup!$N$16,IF(GK103="TPP",Lookup!$N$17,IF(GK103="TPPP",Lookup!$N$18,0)))))))*GJ103</f>
        <v>0</v>
      </c>
      <c r="HC103" s="545">
        <f t="shared" si="232"/>
        <v>0</v>
      </c>
      <c r="HD103" s="560">
        <f t="shared" si="233"/>
        <v>1244.031098278723</v>
      </c>
      <c r="HE103" s="560">
        <f t="shared" si="268"/>
        <v>405.4860163881105</v>
      </c>
      <c r="HF103" s="560"/>
      <c r="HG103" s="560">
        <f t="shared" si="264"/>
        <v>0</v>
      </c>
      <c r="HH103" s="560" t="str">
        <f t="shared" si="265"/>
        <v/>
      </c>
      <c r="HI103" s="560">
        <f>IF(GK103="P",Lookup!$N$12,IF(GK103="PP",Lookup!$N$13,IF(GK103="PPP",Lookup!$N$14,IF(GK103="T",Lookup!$N$15,IF(GK103="TP",Lookup!$N$16,IF(GK103="TPP",Lookup!$N$17,IF(GK103="TPPP",Lookup!$N$18,0)))))))*GJ103</f>
        <v>0</v>
      </c>
      <c r="HJ103" s="545">
        <f t="shared" si="234"/>
        <v>0</v>
      </c>
      <c r="HK103" s="560">
        <f t="shared" si="235"/>
        <v>904.71108160032043</v>
      </c>
      <c r="HL103" s="560">
        <f t="shared" si="269"/>
        <v>294.88627170805751</v>
      </c>
      <c r="HM103" s="560"/>
    </row>
    <row r="104" spans="1:221">
      <c r="A104" s="580" t="s">
        <v>7</v>
      </c>
      <c r="B104" s="556">
        <v>41732</v>
      </c>
      <c r="C104" s="561">
        <v>0</v>
      </c>
      <c r="D104" s="529">
        <f t="shared" si="270"/>
        <v>300</v>
      </c>
      <c r="E104" s="529">
        <f t="shared" si="271"/>
        <v>250</v>
      </c>
      <c r="F104" s="529">
        <v>250</v>
      </c>
      <c r="G104" s="560">
        <f>DR104+Sheet1!CZ106</f>
        <v>1143.5189107423614</v>
      </c>
      <c r="H104" s="914">
        <f t="shared" si="236"/>
        <v>472.20742390386238</v>
      </c>
      <c r="I104" s="559">
        <f>MAX(Sheet1!Z106-AT104+(Sheet1!DA106-E104)*CFStoMGD,0)</f>
        <v>1014.452</v>
      </c>
      <c r="J104" s="562">
        <f>IF(AND(B104&gt;=Calculation!GC104,B104&lt;=Calculation!GD104),IF(Sheet1!DB106&gt;=Calculation!D104,64.64,0),MAX(Sheet1!Z106-AT104+(Sheet1!DB106-D104)*CFStoMGD,0))</f>
        <v>64.64</v>
      </c>
      <c r="K104" s="904">
        <f t="shared" si="171"/>
        <v>64.64</v>
      </c>
      <c r="L104" s="560">
        <f>Sheet1!AA106+Sheet1!AB106-Sheet1!L106+(Sheet1!DA106-F104)*CFStoMGD</f>
        <v>988.99199999999996</v>
      </c>
      <c r="M104" s="560">
        <f t="shared" si="172"/>
        <v>753.95403638193966</v>
      </c>
      <c r="N104" s="910">
        <f>IF(Sheet1!DA106&gt;=F104,MIN(73,MIN(MAX(L104,0),MAX(M104,0))),0)</f>
        <v>73</v>
      </c>
      <c r="O104" s="563">
        <f>Sheet1!AA106+Sheet1!AB106</f>
        <v>46.56</v>
      </c>
      <c r="P104" s="563">
        <f t="shared" si="173"/>
        <v>72.028319999999994</v>
      </c>
      <c r="Q104" s="898">
        <f t="shared" si="237"/>
        <v>38.17</v>
      </c>
      <c r="R104" s="829">
        <f t="shared" si="174"/>
        <v>8.3965855572998436</v>
      </c>
      <c r="S104" s="898">
        <f t="shared" si="238"/>
        <v>8.39</v>
      </c>
      <c r="T104" s="898">
        <f t="shared" si="239"/>
        <v>56.25</v>
      </c>
      <c r="U104" s="898">
        <f t="shared" si="240"/>
        <v>0</v>
      </c>
      <c r="V104" s="898"/>
      <c r="W104" s="898">
        <f t="shared" si="241"/>
        <v>56.243414442700157</v>
      </c>
      <c r="X104" s="898">
        <f t="shared" si="242"/>
        <v>64.64</v>
      </c>
      <c r="Y104" s="898" t="str">
        <f t="shared" si="243"/>
        <v>FALSE</v>
      </c>
      <c r="Z104" s="898">
        <f t="shared" si="244"/>
        <v>46.56</v>
      </c>
      <c r="AA104" s="898">
        <f t="shared" si="245"/>
        <v>46.56</v>
      </c>
      <c r="AB104" s="898" t="str">
        <f t="shared" si="246"/>
        <v/>
      </c>
      <c r="AC104" s="563">
        <f>Sheet1!Y106*MGDtoCFS</f>
        <v>32.548879999999997</v>
      </c>
      <c r="AD104" s="563">
        <f>Sheet1!Z106*MGDtoCFS</f>
        <v>39.386620000000001</v>
      </c>
      <c r="AE104" s="563">
        <f>Sheet1!AA106*MGDtoCFS</f>
        <v>32.579819999999998</v>
      </c>
      <c r="AF104" s="563">
        <f>Sheet1!AB106*MGDtoCFS</f>
        <v>39.448499999999996</v>
      </c>
      <c r="AG104" s="563">
        <f>Sheet1!L106*MGDtoCFS</f>
        <v>72.028319999999994</v>
      </c>
      <c r="AH104" s="545">
        <f t="shared" si="175"/>
        <v>0</v>
      </c>
      <c r="AI104" s="560">
        <f t="shared" si="176"/>
        <v>0</v>
      </c>
      <c r="AJ104" s="560">
        <f t="shared" si="177"/>
        <v>56.243414442700157</v>
      </c>
      <c r="AK104" s="560">
        <f t="shared" si="178"/>
        <v>87.008562142857144</v>
      </c>
      <c r="AL104" s="560">
        <f>(VLOOKUP(Sheet1!DC106,hhdcap_wcm,4)-(((VLOOKUP(Sheet1!DC106,hhdcap_wcm,3)-Sheet1!DC106)/(VLOOKUP(Sheet1!DC106,hhdcap_wcm,3)-VLOOKUP(Sheet1!DC106,hhdcap_wcm,1)))*(VLOOKUP(Sheet1!DC106,hhdcap_wcm,4)-VLOOKUP(Sheet1!DC106,hhdcap_wcm,2))))</f>
        <v>23530.000000060198</v>
      </c>
      <c r="AM104" s="560">
        <f t="shared" si="179"/>
        <v>471.00000000210275</v>
      </c>
      <c r="AN104" s="560">
        <f t="shared" si="180"/>
        <v>2376.2068136499779</v>
      </c>
      <c r="AO104" s="560">
        <f t="shared" si="181"/>
        <v>7290.2025042781324</v>
      </c>
      <c r="AP104" s="560">
        <f>Sheet1!BA106+Sheet1!BB106+Sheet1!BN106+CD104</f>
        <v>17.09</v>
      </c>
      <c r="AQ104" s="560">
        <f>Sheet1!BN106+(DO104*Sheet1!BN106)</f>
        <v>15.512166405023548</v>
      </c>
      <c r="AR104" s="560">
        <f>Sheet1!BA106+CD104</f>
        <v>0</v>
      </c>
      <c r="AS104" s="560">
        <f>Sheet1!BA106+Sheet1!BB106+CD104</f>
        <v>1.59</v>
      </c>
      <c r="AT104" s="698">
        <f>0</f>
        <v>0</v>
      </c>
      <c r="AU104" s="560">
        <f>IF(EB104&lt;K104,0,MAX(Sheet1!AA106+AQ104-15/36*K104-N104,Sheet1!EH106,0))</f>
        <v>0</v>
      </c>
      <c r="AV104" s="560">
        <f>IF(OR(B104&gt;=GD104,B104&lt;GC104),0,15/36*K104-MAX(0,64.6-(137.6-(Sheet1!AA106+Sheet1!AB106))))</f>
        <v>26.933333333333334</v>
      </c>
      <c r="AW104" s="698">
        <f>Sheet1!DB106-110</f>
        <v>829</v>
      </c>
      <c r="AX104" s="698">
        <f>Sheet1!DA106-265</f>
        <v>1515</v>
      </c>
      <c r="AY104" s="698">
        <f t="shared" si="182"/>
        <v>34.83</v>
      </c>
      <c r="AZ104" s="698">
        <v>0</v>
      </c>
      <c r="BA104" s="698">
        <f t="shared" si="183"/>
        <v>0</v>
      </c>
      <c r="BB104" s="560">
        <f t="shared" si="184"/>
        <v>1131.1999999999991</v>
      </c>
      <c r="BC104" s="560"/>
      <c r="BD104" s="560">
        <f ca="1">IF(B104&gt;Summary!$A$1,#N/A,BB104*MGtoAF)</f>
        <v>3470.5215999999973</v>
      </c>
      <c r="BE104" s="560">
        <f>Sheet1!BG106+Sheet1!BH106+Sheet1!BI106-BM104</f>
        <v>0</v>
      </c>
      <c r="BF104" s="560">
        <f t="shared" si="185"/>
        <v>0</v>
      </c>
      <c r="BG104" s="560">
        <f>IF(Sheet1!EP106="FM",BM104,0)</f>
        <v>0</v>
      </c>
      <c r="BH104" s="560">
        <f t="shared" si="186"/>
        <v>0</v>
      </c>
      <c r="BI104" s="560">
        <f>IF(Sheet1!EP106="OTHER",BM104,0)</f>
        <v>0</v>
      </c>
      <c r="BJ104" s="560">
        <f t="shared" si="187"/>
        <v>0</v>
      </c>
      <c r="BK104" s="560">
        <f t="shared" si="188"/>
        <v>0</v>
      </c>
      <c r="BL104" s="560">
        <f t="shared" si="189"/>
        <v>0</v>
      </c>
      <c r="BM104" s="560">
        <f>IF(OR(Sheet1!EP106="FM", Sheet1!EP106="OTHER"),SUM(Sheet1!BG106:'Sheet1'!BI106),0)</f>
        <v>0</v>
      </c>
      <c r="BN104" s="545">
        <f>IF(AND($B104&gt;=$FV104,$B104&lt;=$FW104),MAX(BF104,Sheet1!EI106,0),MAX(BF104-(7/36)*$K104,0))</f>
        <v>0</v>
      </c>
      <c r="BO104" s="560">
        <f t="shared" si="190"/>
        <v>12.568888888888889</v>
      </c>
      <c r="BP104" s="545">
        <f t="shared" si="191"/>
        <v>0</v>
      </c>
      <c r="BQ104" s="545">
        <f>IF(AND($O104&gt;0,Sheet1!EM106=1),(1-($O104-Sheet1!$L106)/$O104)*BL104,0)</f>
        <v>0</v>
      </c>
      <c r="BR104" s="545">
        <f>IF(AND(Sheet1!$L106=0,Sheet1!$L105=0, Calculation!BK104&lt;Sheet1!$EI106-0.1,Sheet1!$EI106=Sheet1!$EI105,Sheet1!$EI106=Sheet1!$EI107),Sheet1!$EI106,BL104-BQ104)</f>
        <v>0</v>
      </c>
      <c r="BS104" s="560"/>
      <c r="BT104" s="560"/>
      <c r="BU104" s="560">
        <f t="shared" si="192"/>
        <v>527.89333333333286</v>
      </c>
      <c r="BV104" s="560"/>
      <c r="BW104" s="560">
        <f ca="1">IF(B104&gt;Summary!$A$1,#N/A,BU104*MGtoAF)</f>
        <v>1619.5767466666653</v>
      </c>
      <c r="BX104" s="560">
        <f>Sheet1!BC106+Sheet1!BD106+Sheet1!BE106+Sheet1!BF106-CG104-CH104</f>
        <v>2.5</v>
      </c>
      <c r="BY104" s="560">
        <f t="shared" si="193"/>
        <v>2.5019623233908947</v>
      </c>
      <c r="BZ104" s="560">
        <f>IF(Sheet1!EQ106="FM",CH104,0)</f>
        <v>0</v>
      </c>
      <c r="CA104" s="560">
        <f t="shared" si="194"/>
        <v>0</v>
      </c>
      <c r="CB104" s="560">
        <f>IF(Sheet1!EQ106="OTHER",CH104,0)</f>
        <v>0</v>
      </c>
      <c r="CC104" s="560">
        <f t="shared" si="195"/>
        <v>0</v>
      </c>
      <c r="CD104" s="560">
        <f t="shared" si="196"/>
        <v>0</v>
      </c>
      <c r="CE104" s="560">
        <f t="shared" si="197"/>
        <v>2.5</v>
      </c>
      <c r="CF104" s="560">
        <f t="shared" si="198"/>
        <v>2.5019623233908947</v>
      </c>
      <c r="CG104" s="560">
        <f>IF(Sheet1!EQ106="CWA",SUM(Sheet1!BC106:'Sheet1'!BF106),0)</f>
        <v>0</v>
      </c>
      <c r="CH104" s="560">
        <f>IF(OR(Sheet1!EQ106="FM", Sheet1!EQ106="OTHER"),SUM(Sheet1!BC106:'Sheet1'!BF106),0)</f>
        <v>0</v>
      </c>
      <c r="CI104" s="545">
        <f>IF(AND($B104&gt;=$FV104,$B104&lt;=$FW104),MAX(CF104,Sheet1!EJ106,0),MAX(CF104-(7/36)*$K104,0))</f>
        <v>0</v>
      </c>
      <c r="CJ104" s="560">
        <f t="shared" si="199"/>
        <v>10.066926565497994</v>
      </c>
      <c r="CK104" s="545">
        <f t="shared" si="200"/>
        <v>2.5019623233908947</v>
      </c>
      <c r="CL104" s="545">
        <f>IF(AND($O104&gt;0,Sheet1!EN106=1),(1-($O104-Sheet1!$L106)/$O104)*CF104,0)</f>
        <v>0</v>
      </c>
      <c r="CM104" s="545">
        <f>IF(AND(Sheet1!$L106=0,Sheet1!$L105=0, Calculation!CE104&lt;Sheet1!EJ106-0.1,Sheet1!EJ106=Sheet1!EJ105,Sheet1!EJ106=Sheet1!EJ107),Sheet1!EJ106,CF104-CL104)</f>
        <v>2.5019623233908947</v>
      </c>
      <c r="CN104" s="545"/>
      <c r="CO104" s="560"/>
      <c r="CP104" s="560">
        <f t="shared" si="201"/>
        <v>415.55294295360852</v>
      </c>
      <c r="CQ104" s="560"/>
      <c r="CR104" s="560">
        <f ca="1">IF(B104&gt;Summary!$A$1,#N/A,CP104*MGtoAF)</f>
        <v>1274.9164289816711</v>
      </c>
      <c r="CS104" s="560">
        <f>Sheet1!BK106+Sheet1!BL106+Sheet1!BM106-Sheet1!ER106-DA104</f>
        <v>5.8900000000000006</v>
      </c>
      <c r="CT104" s="560">
        <f t="shared" si="202"/>
        <v>5.8946232339089484</v>
      </c>
      <c r="CU104" s="560">
        <f>IF(Sheet1!ER106="FM",DA104,0)</f>
        <v>0</v>
      </c>
      <c r="CV104" s="560">
        <f t="shared" si="203"/>
        <v>0</v>
      </c>
      <c r="CW104" s="560">
        <f>IF(Sheet1!ER106="OTHER",DA104,0)</f>
        <v>0</v>
      </c>
      <c r="CX104" s="560">
        <f t="shared" si="204"/>
        <v>0</v>
      </c>
      <c r="CY104" s="560">
        <f t="shared" si="205"/>
        <v>5.8900000000000006</v>
      </c>
      <c r="CZ104" s="560">
        <f t="shared" si="206"/>
        <v>5.8946232339089484</v>
      </c>
      <c r="DA104" s="560">
        <f>IF(OR(Sheet1!ER106="FM", Sheet1!ER106="OTHER"),SUM(Sheet1!BK106:'Sheet1'!BM106),0)</f>
        <v>0</v>
      </c>
      <c r="DB104" s="545">
        <f>IF(AND($B104&gt;=$FV104,$B104&lt;=$FW104),MAX($CT104,Sheet1!EK106,0),MAX($CT104-(7/36)*$K104,0))</f>
        <v>0</v>
      </c>
      <c r="DC104" s="560">
        <f t="shared" si="207"/>
        <v>6.6742656549799406</v>
      </c>
      <c r="DD104" s="545">
        <f t="shared" si="208"/>
        <v>5.8946232339089484</v>
      </c>
      <c r="DE104" s="545">
        <f>IF(AND($O104&gt;0,Sheet1!EO106=1),(1-($O104-Sheet1!$L106)/$O104)*CZ104,0)</f>
        <v>0</v>
      </c>
      <c r="DF104" s="545">
        <f>IF(AND(Sheet1!$L106=0,Sheet1!$L105=0, Calculation!CY104&lt;Sheet1!$EK106-0.1,Sheet1!$EK106=Sheet1!$EK105,Sheet1!$EK106=Sheet1!$EK107),Sheet1!$EK106,CZ104-DE104)</f>
        <v>5.8946232339089484</v>
      </c>
      <c r="DG104" s="545"/>
      <c r="DH104" s="560">
        <f t="shared" si="209"/>
        <v>8.39</v>
      </c>
      <c r="DI104" s="560">
        <f t="shared" si="210"/>
        <v>301.56053736303744</v>
      </c>
      <c r="DJ104" s="698">
        <f t="shared" si="211"/>
        <v>8.3965855572998436</v>
      </c>
      <c r="DK104" s="560">
        <f ca="1">IF(B104&gt;Summary!$A$1,#N/A,DI104*MGtoAF)</f>
        <v>925.18772862979893</v>
      </c>
      <c r="DL104" s="698">
        <f t="shared" si="212"/>
        <v>8.39</v>
      </c>
      <c r="DM104" s="560">
        <f t="shared" si="213"/>
        <v>25.48</v>
      </c>
      <c r="DN104" s="560">
        <f>Sheet1!AB106-DM104</f>
        <v>1.9999999999999574E-2</v>
      </c>
      <c r="DO104" s="823">
        <f t="shared" si="214"/>
        <v>7.8492935635791103E-4</v>
      </c>
      <c r="DP104" s="560">
        <f>(VLOOKUP(Sheet1!DC106,hhdcap_wcm,4)-(((VLOOKUP(Sheet1!DC106,hhdcap_wcm,3)-Sheet1!DC106)/(VLOOKUP(Sheet1!DC106,hhdcap_wcm,3)-VLOOKUP(Sheet1!DC106,hhdcap_wcm,1)))*(VLOOKUP(Sheet1!DC106,hhdcap_wcm,4)-VLOOKUP(Sheet1!DC106,hhdcap_wcm,2))))</f>
        <v>23530.000000060198</v>
      </c>
      <c r="DQ104" s="560">
        <f t="shared" si="215"/>
        <v>471.00000000210275</v>
      </c>
      <c r="DR104" s="560">
        <f t="shared" si="216"/>
        <v>237.51891074236141</v>
      </c>
      <c r="DS104" s="560">
        <f>Sheet1!EA106*AFtoMG</f>
        <v>0</v>
      </c>
      <c r="DT104" s="560">
        <f>Sheet1!EB106*AFtoMG</f>
        <v>0</v>
      </c>
      <c r="DU104" s="560">
        <f>Sheet1!EC106*AFtoMG</f>
        <v>0</v>
      </c>
      <c r="DV104" s="560">
        <f>Sheet1!ED106*AFtoMG</f>
        <v>0</v>
      </c>
      <c r="DW104" s="560">
        <f t="shared" si="217"/>
        <v>0</v>
      </c>
      <c r="DX104" s="560">
        <f t="shared" si="218"/>
        <v>0</v>
      </c>
      <c r="DY104" s="560">
        <f t="shared" si="219"/>
        <v>2376.2068136499779</v>
      </c>
      <c r="DZ104" s="560">
        <f t="shared" si="220"/>
        <v>7290.2025042781324</v>
      </c>
      <c r="EA104" s="560"/>
      <c r="EB104" s="545">
        <f>IF(OR(B104&lt;FV104,B104&gt;FW104),(MIN(BF104+BY104+CT104+MAX(Sheet1!AA106+AQ104-73,0),K104)),0)</f>
        <v>8.3965855572998436</v>
      </c>
      <c r="EC104" s="560"/>
      <c r="ED104" s="560">
        <f t="shared" si="221"/>
        <v>8.3965855572998436</v>
      </c>
      <c r="EE104" s="560"/>
      <c r="EF104" s="560">
        <f>Sheet1!EH106+Sheet1!EI106+Sheet1!EJ106+Sheet1!EK106</f>
        <v>8.39</v>
      </c>
      <c r="EG104" s="560"/>
      <c r="EH104" s="545">
        <f t="shared" si="222"/>
        <v>0</v>
      </c>
      <c r="EI104" s="560">
        <f>IF(Sheet1!ET106=1,SUM('Calculations II'!AT104:BA104)+'Calculations II'!BC104+Sheet1!BV106+'Calculations II'!BE104+AP104,SUM('Calculations II'!AT104:BA104)+'Calculations II'!BC104+Sheet1!BV106+'Calculations II'!BE104+AP104)</f>
        <v>48.173711999999995</v>
      </c>
      <c r="EJ104" s="560">
        <f>Sheet1!AA106+Sheet1!AB106+'Calculations II'!BC104</f>
        <v>52.334112000000005</v>
      </c>
      <c r="EK104" s="560"/>
      <c r="EL104" s="560"/>
      <c r="EM104" s="560">
        <f t="shared" si="223"/>
        <v>41732</v>
      </c>
      <c r="EN104" s="560">
        <f t="shared" si="224"/>
        <v>56.243414442700157</v>
      </c>
      <c r="EO104" s="560">
        <f t="shared" si="225"/>
        <v>87.008562142857144</v>
      </c>
      <c r="EP104" s="560">
        <v>0</v>
      </c>
      <c r="EQ104" s="560">
        <v>0</v>
      </c>
      <c r="ER104" s="560">
        <v>0</v>
      </c>
      <c r="ES104" s="545">
        <f t="shared" si="247"/>
        <v>0.55405445416954902</v>
      </c>
      <c r="ET104" s="560">
        <f>-(VLOOKUP(Sheet1!BQ106,Lookup!$O$4:$Q$262,2)-VLOOKUP(Sheet1!BQ105,Lookup!$O$4:$Q$262,2))/1000000</f>
        <v>0.27702722708477451</v>
      </c>
      <c r="EU104" s="560">
        <f>-(VLOOKUP(Sheet1!BR106,Lookup!$O$4:$Q$262,3)-VLOOKUP(Sheet1!BR105,Lookup!$O$4:$Q$262,3))/1000000</f>
        <v>0.27702722708477451</v>
      </c>
      <c r="EV104" s="560"/>
      <c r="EW104" s="560"/>
      <c r="EX104" s="560"/>
      <c r="EY104" s="560"/>
      <c r="EZ104" s="560"/>
      <c r="FA104" s="560"/>
      <c r="FB104" s="560"/>
      <c r="FC104" s="560"/>
      <c r="FD104" s="594" t="e">
        <f t="shared" si="226"/>
        <v>#N/A</v>
      </c>
      <c r="FE104" s="594" t="e">
        <f t="shared" si="227"/>
        <v>#N/A</v>
      </c>
      <c r="FF104" s="595" t="e">
        <f t="shared" si="228"/>
        <v>#N/A</v>
      </c>
      <c r="FG104" s="596" t="s">
        <v>692</v>
      </c>
      <c r="FH104" s="596" t="s">
        <v>692</v>
      </c>
      <c r="FI104" s="594" t="e">
        <v>#N/A</v>
      </c>
      <c r="FJ104" s="594" t="e">
        <v>#N/A</v>
      </c>
      <c r="FK104" s="560"/>
      <c r="FL104" s="560"/>
      <c r="FM104" s="560"/>
      <c r="FN104" s="560"/>
      <c r="FO104" s="560">
        <f>O104+((Sheet1!CS106)*GPMtoMGD)</f>
        <v>52.334112000000005</v>
      </c>
      <c r="FP104" s="560">
        <f>IF(Sheet1!AA106+AQ104&lt;=Calculation!N104,AQ104,Calculation!N104-Sheet1!AA106)</f>
        <v>15.512166405023548</v>
      </c>
      <c r="FQ104" s="560">
        <f>(Sheet1!BP106+Sheet1!BO106)/694.4</f>
        <v>1.3889688940092166</v>
      </c>
      <c r="FR104" s="560"/>
      <c r="FS104" s="560"/>
      <c r="FT104" s="560"/>
      <c r="FU104" s="560"/>
      <c r="FV104" s="695">
        <f t="shared" si="248"/>
        <v>41827</v>
      </c>
      <c r="FW104" s="695">
        <f t="shared" si="249"/>
        <v>41934</v>
      </c>
      <c r="FX104" s="560"/>
      <c r="FY104" s="560"/>
      <c r="FZ104" s="560"/>
      <c r="GA104" s="560"/>
      <c r="GB104" s="560" t="str">
        <f t="shared" si="250"/>
        <v>n</v>
      </c>
      <c r="GC104" s="564">
        <f t="shared" si="251"/>
        <v>41691</v>
      </c>
      <c r="GD104" s="695">
        <f t="shared" si="252"/>
        <v>41807</v>
      </c>
      <c r="GE104" s="560">
        <v>6518.9</v>
      </c>
      <c r="GF104" s="695">
        <f t="shared" si="253"/>
        <v>41808</v>
      </c>
      <c r="GG104" s="560">
        <f t="shared" si="272"/>
        <v>3259</v>
      </c>
      <c r="GH104" s="564">
        <f t="shared" si="254"/>
        <v>41934</v>
      </c>
      <c r="GJ104" s="545">
        <f t="shared" si="255"/>
        <v>0</v>
      </c>
      <c r="GK104" s="560" t="str">
        <f t="shared" si="229"/>
        <v/>
      </c>
      <c r="GL104" s="560">
        <f t="shared" si="256"/>
        <v>0</v>
      </c>
      <c r="GM104" s="560" t="str">
        <f t="shared" si="257"/>
        <v/>
      </c>
      <c r="GN104" s="560">
        <f>IF(GK104="P",Lookup!$M$12,IF(GK104="PP",Lookup!$M$13,IF(GK104="PPP",Lookup!$M$14,IF(GK104="T",Lookup!$M$15,IF(GK104="TP",Lookup!$M$16,IF(GK104="TPP",Lookup!$M$17,IF(GK104="TPPP",Lookup!$M$18,0)))))))*GJ104</f>
        <v>0</v>
      </c>
      <c r="GO104" s="560">
        <f t="shared" si="258"/>
        <v>0</v>
      </c>
      <c r="GP104" s="560">
        <f t="shared" si="230"/>
        <v>3470.5215999999973</v>
      </c>
      <c r="GQ104" s="560">
        <f t="shared" si="266"/>
        <v>1131.1999999999991</v>
      </c>
      <c r="GR104" s="560"/>
      <c r="GS104" s="560">
        <f t="shared" si="259"/>
        <v>0</v>
      </c>
      <c r="GT104" s="560" t="str">
        <f t="shared" si="260"/>
        <v/>
      </c>
      <c r="GU104" s="560">
        <f>IF(GK104="P",Lookup!$N$12,IF(GK104="PP",Lookup!$N$13,IF(GK104="PPP",Lookup!$N$14,IF(GK104="T",Lookup!$N$15,IF(GK104="TP",Lookup!$N$16,IF(GK104="TPP",Lookup!$N$17,IF(GK104="TPPP",Lookup!$N$18,0)))))))*GJ104</f>
        <v>0</v>
      </c>
      <c r="GV104" s="560">
        <f t="shared" si="261"/>
        <v>0</v>
      </c>
      <c r="GW104" s="560">
        <f t="shared" si="231"/>
        <v>1619.5767466666653</v>
      </c>
      <c r="GX104" s="560">
        <f t="shared" si="267"/>
        <v>527.89333333333286</v>
      </c>
      <c r="GY104" s="560"/>
      <c r="GZ104" s="560">
        <f t="shared" si="262"/>
        <v>0</v>
      </c>
      <c r="HA104" s="560" t="str">
        <f t="shared" si="263"/>
        <v/>
      </c>
      <c r="HB104" s="560">
        <f>IF(GK104="P",Lookup!$N$12,IF(GK104="PP",Lookup!$N$13,IF(GK104="PPP",Lookup!$N$14,IF(GK104="T",Lookup!$N$15,IF(GK104="TP",Lookup!$N$16,IF(GK104="TPP",Lookup!$N$17,IF(GK104="TPPP",Lookup!$N$18,0)))))))*GJ104</f>
        <v>0</v>
      </c>
      <c r="HC104" s="545">
        <f t="shared" si="232"/>
        <v>0</v>
      </c>
      <c r="HD104" s="560">
        <f t="shared" si="233"/>
        <v>1274.9164289816711</v>
      </c>
      <c r="HE104" s="560">
        <f t="shared" si="268"/>
        <v>415.55294295360852</v>
      </c>
      <c r="HF104" s="560"/>
      <c r="HG104" s="560">
        <f t="shared" si="264"/>
        <v>0</v>
      </c>
      <c r="HH104" s="560" t="str">
        <f t="shared" si="265"/>
        <v/>
      </c>
      <c r="HI104" s="560">
        <f>IF(GK104="P",Lookup!$N$12,IF(GK104="PP",Lookup!$N$13,IF(GK104="PPP",Lookup!$N$14,IF(GK104="T",Lookup!$N$15,IF(GK104="TP",Lookup!$N$16,IF(GK104="TPP",Lookup!$N$17,IF(GK104="TPPP",Lookup!$N$18,0)))))))*GJ104</f>
        <v>0</v>
      </c>
      <c r="HJ104" s="545">
        <f t="shared" si="234"/>
        <v>0</v>
      </c>
      <c r="HK104" s="560">
        <f t="shared" si="235"/>
        <v>925.18772862979893</v>
      </c>
      <c r="HL104" s="560">
        <f t="shared" si="269"/>
        <v>301.56053736303744</v>
      </c>
      <c r="HM104" s="560"/>
    </row>
    <row r="105" spans="1:221">
      <c r="A105" s="580" t="s">
        <v>8</v>
      </c>
      <c r="B105" s="556">
        <v>41733</v>
      </c>
      <c r="C105" s="561">
        <v>0</v>
      </c>
      <c r="D105" s="529">
        <f t="shared" si="270"/>
        <v>300</v>
      </c>
      <c r="E105" s="529">
        <f t="shared" si="271"/>
        <v>250</v>
      </c>
      <c r="F105" s="529">
        <v>250</v>
      </c>
      <c r="G105" s="560">
        <f>DR105+Sheet1!CZ107</f>
        <v>1232.808875441423</v>
      </c>
      <c r="H105" s="914">
        <f t="shared" si="236"/>
        <v>529.9244570853358</v>
      </c>
      <c r="I105" s="559">
        <f>MAX(Sheet1!Z107-AT105+(Sheet1!DA107-E105)*CFStoMGD,0)</f>
        <v>1059.74</v>
      </c>
      <c r="J105" s="562">
        <f>IF(AND(B105&gt;=Calculation!GC105,B105&lt;=Calculation!GD105),IF(Sheet1!DB107&gt;=Calculation!D105,64.64,0),MAX(Sheet1!Z107-AT105+(Sheet1!DB107-D105)*CFStoMGD,0))</f>
        <v>64.64</v>
      </c>
      <c r="K105" s="904">
        <f t="shared" si="171"/>
        <v>64.64</v>
      </c>
      <c r="L105" s="560">
        <f>Sheet1!AA107+Sheet1!AB107-Sheet1!L107+(Sheet1!DA107-F105)*CFStoMGD</f>
        <v>1034.24</v>
      </c>
      <c r="M105" s="560">
        <f t="shared" si="172"/>
        <v>812.82541022704254</v>
      </c>
      <c r="N105" s="910">
        <f>IF(Sheet1!DA107&gt;=F105,MIN(73,MIN(MAX(L105,0),MAX(M105,0))),0)</f>
        <v>73</v>
      </c>
      <c r="O105" s="563">
        <f>Sheet1!AA107+Sheet1!AB107</f>
        <v>46.58</v>
      </c>
      <c r="P105" s="563">
        <f t="shared" si="173"/>
        <v>72.059259999999995</v>
      </c>
      <c r="Q105" s="898">
        <f t="shared" si="237"/>
        <v>38.18</v>
      </c>
      <c r="R105" s="829">
        <f t="shared" si="174"/>
        <v>8.4330708661417333</v>
      </c>
      <c r="S105" s="898">
        <f t="shared" si="238"/>
        <v>8.4</v>
      </c>
      <c r="T105" s="898">
        <f t="shared" si="239"/>
        <v>56.24</v>
      </c>
      <c r="U105" s="898">
        <f t="shared" si="240"/>
        <v>0</v>
      </c>
      <c r="V105" s="898"/>
      <c r="W105" s="898">
        <f t="shared" si="241"/>
        <v>56.206929133858267</v>
      </c>
      <c r="X105" s="898">
        <f t="shared" si="242"/>
        <v>64.64</v>
      </c>
      <c r="Y105" s="898" t="str">
        <f t="shared" si="243"/>
        <v>FALSE</v>
      </c>
      <c r="Z105" s="898">
        <f t="shared" si="244"/>
        <v>46.58</v>
      </c>
      <c r="AA105" s="898">
        <f t="shared" si="245"/>
        <v>46.58</v>
      </c>
      <c r="AB105" s="898" t="str">
        <f t="shared" si="246"/>
        <v/>
      </c>
      <c r="AC105" s="563">
        <f>Sheet1!Y107*MGDtoCFS</f>
        <v>32.579819999999998</v>
      </c>
      <c r="AD105" s="563">
        <f>Sheet1!Z107*MGDtoCFS</f>
        <v>39.448499999999996</v>
      </c>
      <c r="AE105" s="563">
        <f>Sheet1!AA107*MGDtoCFS</f>
        <v>32.610759999999999</v>
      </c>
      <c r="AF105" s="563">
        <f>Sheet1!AB107*MGDtoCFS</f>
        <v>39.448499999999996</v>
      </c>
      <c r="AG105" s="563">
        <f>Sheet1!L107*MGDtoCFS</f>
        <v>72.059259999999995</v>
      </c>
      <c r="AH105" s="545">
        <f t="shared" si="175"/>
        <v>0</v>
      </c>
      <c r="AI105" s="560">
        <f t="shared" si="176"/>
        <v>0</v>
      </c>
      <c r="AJ105" s="560">
        <f t="shared" si="177"/>
        <v>56.206929133858267</v>
      </c>
      <c r="AK105" s="560">
        <f t="shared" si="178"/>
        <v>86.952119370078734</v>
      </c>
      <c r="AL105" s="560">
        <f>(VLOOKUP(Sheet1!DC107,hhdcap_wcm,4)-(((VLOOKUP(Sheet1!DC107,hhdcap_wcm,3)-Sheet1!DC107)/(VLOOKUP(Sheet1!DC107,hhdcap_wcm,3)-VLOOKUP(Sheet1!DC107,hhdcap_wcm,1)))*(VLOOKUP(Sheet1!DC107,hhdcap_wcm,4)-VLOOKUP(Sheet1!DC107,hhdcap_wcm,2))))</f>
        <v>23952.00000006054</v>
      </c>
      <c r="AM105" s="560">
        <f t="shared" si="179"/>
        <v>422.00000000034197</v>
      </c>
      <c r="AN105" s="560">
        <f t="shared" si="180"/>
        <v>2432.4137427838364</v>
      </c>
      <c r="AO105" s="560">
        <f t="shared" si="181"/>
        <v>7462.6453628608106</v>
      </c>
      <c r="AP105" s="560">
        <f>Sheet1!BA107+Sheet1!BB107+Sheet1!BN107+CD105</f>
        <v>17</v>
      </c>
      <c r="AQ105" s="560">
        <f>Sheet1!BN107+(DO105*Sheet1!BN107)</f>
        <v>15.460629921259844</v>
      </c>
      <c r="AR105" s="560">
        <f>Sheet1!BA107+CD105</f>
        <v>0</v>
      </c>
      <c r="AS105" s="560">
        <f>Sheet1!BA107+Sheet1!BB107+CD105</f>
        <v>1.6</v>
      </c>
      <c r="AT105" s="698">
        <f>0</f>
        <v>0</v>
      </c>
      <c r="AU105" s="560">
        <f>IF(EB105&lt;K105,0,MAX(Sheet1!AA107+AQ105-15/36*K105-N105,Sheet1!EH107,0))</f>
        <v>0</v>
      </c>
      <c r="AV105" s="560">
        <f>IF(OR(B105&gt;=GD105,B105&lt;GC105),0,15/36*K105-MAX(0,64.6-(137.6-(Sheet1!AA107+Sheet1!AB107))))</f>
        <v>26.933333333333334</v>
      </c>
      <c r="AW105" s="698">
        <f>Sheet1!DB107-110</f>
        <v>930</v>
      </c>
      <c r="AX105" s="698">
        <f>Sheet1!DA107-265</f>
        <v>1585</v>
      </c>
      <c r="AY105" s="698">
        <f t="shared" si="182"/>
        <v>34.82</v>
      </c>
      <c r="AZ105" s="698">
        <v>0</v>
      </c>
      <c r="BA105" s="698">
        <f t="shared" si="183"/>
        <v>0</v>
      </c>
      <c r="BB105" s="560">
        <f t="shared" si="184"/>
        <v>1158.1333333333325</v>
      </c>
      <c r="BC105" s="560"/>
      <c r="BD105" s="560">
        <f ca="1">IF(B105&gt;Summary!$A$1,#N/A,BB105*MGtoAF)</f>
        <v>3553.1530666666645</v>
      </c>
      <c r="BE105" s="560">
        <f>Sheet1!BG107+Sheet1!BH107+Sheet1!BI107-BM105</f>
        <v>0</v>
      </c>
      <c r="BF105" s="560">
        <f t="shared" si="185"/>
        <v>0</v>
      </c>
      <c r="BG105" s="560">
        <f>IF(Sheet1!EP107="FM",BM105,0)</f>
        <v>0</v>
      </c>
      <c r="BH105" s="560">
        <f t="shared" si="186"/>
        <v>0</v>
      </c>
      <c r="BI105" s="560">
        <f>IF(Sheet1!EP107="OTHER",BM105,0)</f>
        <v>0</v>
      </c>
      <c r="BJ105" s="560">
        <f t="shared" si="187"/>
        <v>0</v>
      </c>
      <c r="BK105" s="560">
        <f t="shared" si="188"/>
        <v>0</v>
      </c>
      <c r="BL105" s="560">
        <f t="shared" si="189"/>
        <v>0</v>
      </c>
      <c r="BM105" s="560">
        <f>IF(OR(Sheet1!EP107="FM", Sheet1!EP107="OTHER"),SUM(Sheet1!BG107:'Sheet1'!BI107),0)</f>
        <v>0</v>
      </c>
      <c r="BN105" s="545">
        <f>IF(AND($B105&gt;=$FV105,$B105&lt;=$FW105),MAX(BF105,Sheet1!EI107,0),MAX(BF105-(7/36)*$K105,0))</f>
        <v>0</v>
      </c>
      <c r="BO105" s="560">
        <f t="shared" si="190"/>
        <v>12.568888888888889</v>
      </c>
      <c r="BP105" s="545">
        <f t="shared" si="191"/>
        <v>0</v>
      </c>
      <c r="BQ105" s="545">
        <f>IF(AND($O105&gt;0,Sheet1!EM107=1),(1-($O105-Sheet1!$L107)/$O105)*BL105,0)</f>
        <v>0</v>
      </c>
      <c r="BR105" s="545">
        <f>IF(AND(Sheet1!$L107=0,Sheet1!$L106=0, Calculation!BK105&lt;Sheet1!$EI107-0.1,Sheet1!$EI107=Sheet1!$EI106,Sheet1!$EI107=Sheet1!$EI108),Sheet1!$EI107,BL105-BQ105)</f>
        <v>0</v>
      </c>
      <c r="BS105" s="560"/>
      <c r="BT105" s="560"/>
      <c r="BU105" s="560">
        <f t="shared" si="192"/>
        <v>540.46222222222173</v>
      </c>
      <c r="BV105" s="560"/>
      <c r="BW105" s="560">
        <f ca="1">IF(B105&gt;Summary!$A$1,#N/A,BU105*MGtoAF)</f>
        <v>1658.1380977777762</v>
      </c>
      <c r="BX105" s="560">
        <f>Sheet1!BC107+Sheet1!BD107+Sheet1!BE107+Sheet1!BF107-CG105-CH105</f>
        <v>2.5</v>
      </c>
      <c r="BY105" s="560">
        <f t="shared" si="193"/>
        <v>2.5098425196850394</v>
      </c>
      <c r="BZ105" s="560">
        <f>IF(Sheet1!EQ107="FM",CH105,0)</f>
        <v>0</v>
      </c>
      <c r="CA105" s="560">
        <f t="shared" si="194"/>
        <v>0</v>
      </c>
      <c r="CB105" s="560">
        <f>IF(Sheet1!EQ107="OTHER",CH105,0)</f>
        <v>0</v>
      </c>
      <c r="CC105" s="560">
        <f t="shared" si="195"/>
        <v>0</v>
      </c>
      <c r="CD105" s="560">
        <f t="shared" si="196"/>
        <v>0</v>
      </c>
      <c r="CE105" s="560">
        <f t="shared" si="197"/>
        <v>2.5</v>
      </c>
      <c r="CF105" s="560">
        <f t="shared" si="198"/>
        <v>2.5098425196850394</v>
      </c>
      <c r="CG105" s="560">
        <f>IF(Sheet1!EQ107="CWA",SUM(Sheet1!BC107:'Sheet1'!BF107),0)</f>
        <v>0</v>
      </c>
      <c r="CH105" s="560">
        <f>IF(OR(Sheet1!EQ107="FM", Sheet1!EQ107="OTHER"),SUM(Sheet1!BC107:'Sheet1'!BF107),0)</f>
        <v>0</v>
      </c>
      <c r="CI105" s="545">
        <f>IF(AND($B105&gt;=$FV105,$B105&lt;=$FW105),MAX(CF105,Sheet1!EJ107,0),MAX(CF105-(7/36)*$K105,0))</f>
        <v>0</v>
      </c>
      <c r="CJ105" s="560">
        <f t="shared" si="199"/>
        <v>10.05904636920385</v>
      </c>
      <c r="CK105" s="545">
        <f t="shared" si="200"/>
        <v>2.5098425196850394</v>
      </c>
      <c r="CL105" s="545">
        <f>IF(AND($O105&gt;0,Sheet1!EN107=1),(1-($O105-Sheet1!$L107)/$O105)*CF105,0)</f>
        <v>0</v>
      </c>
      <c r="CM105" s="545">
        <f>IF(AND(Sheet1!$L107=0,Sheet1!$L106=0, Calculation!CE105&lt;Sheet1!EJ107-0.1,Sheet1!EJ107=Sheet1!EJ106,Sheet1!EJ107=Sheet1!EJ108),Sheet1!EJ107,CF105-CL105)</f>
        <v>2.5098425196850394</v>
      </c>
      <c r="CN105" s="545"/>
      <c r="CO105" s="560"/>
      <c r="CP105" s="560">
        <f t="shared" si="201"/>
        <v>425.61198932281235</v>
      </c>
      <c r="CQ105" s="560"/>
      <c r="CR105" s="560">
        <f ca="1">IF(B105&gt;Summary!$A$1,#N/A,CP105*MGtoAF)</f>
        <v>1305.7775832423883</v>
      </c>
      <c r="CS105" s="560">
        <f>Sheet1!BK107+Sheet1!BL107+Sheet1!BM107-Sheet1!ER107-DA105</f>
        <v>5.9</v>
      </c>
      <c r="CT105" s="560">
        <f t="shared" si="202"/>
        <v>5.9232283464566935</v>
      </c>
      <c r="CU105" s="560">
        <f>IF(Sheet1!ER107="FM",DA105,0)</f>
        <v>0</v>
      </c>
      <c r="CV105" s="560">
        <f t="shared" si="203"/>
        <v>0</v>
      </c>
      <c r="CW105" s="560">
        <f>IF(Sheet1!ER107="OTHER",DA105,0)</f>
        <v>0</v>
      </c>
      <c r="CX105" s="560">
        <f t="shared" si="204"/>
        <v>0</v>
      </c>
      <c r="CY105" s="560">
        <f t="shared" si="205"/>
        <v>5.9</v>
      </c>
      <c r="CZ105" s="560">
        <f t="shared" si="206"/>
        <v>5.9232283464566935</v>
      </c>
      <c r="DA105" s="560">
        <f>IF(OR(Sheet1!ER107="FM", Sheet1!ER107="OTHER"),SUM(Sheet1!BK107:'Sheet1'!BM107),0)</f>
        <v>0</v>
      </c>
      <c r="DB105" s="545">
        <f>IF(AND($B105&gt;=$FV105,$B105&lt;=$FW105),MAX($CT105,Sheet1!EK107,0),MAX($CT105-(7/36)*$K105,0))</f>
        <v>0</v>
      </c>
      <c r="DC105" s="560">
        <f t="shared" si="207"/>
        <v>6.6456605424321955</v>
      </c>
      <c r="DD105" s="545">
        <f t="shared" si="208"/>
        <v>5.9232283464566935</v>
      </c>
      <c r="DE105" s="545">
        <f>IF(AND($O105&gt;0,Sheet1!EO107=1),(1-($O105-Sheet1!$L107)/$O105)*CZ105,0)</f>
        <v>0</v>
      </c>
      <c r="DF105" s="545">
        <f>IF(AND(Sheet1!$L107=0,Sheet1!$L106=0, Calculation!CY105&lt;Sheet1!$EK107-0.1,Sheet1!$EK107=Sheet1!$EK106,Sheet1!$EK107=Sheet1!$EK108),Sheet1!$EK107,CZ105-DE105)</f>
        <v>5.9232283464566935</v>
      </c>
      <c r="DG105" s="545"/>
      <c r="DH105" s="560">
        <f t="shared" si="209"/>
        <v>8.4</v>
      </c>
      <c r="DI105" s="560">
        <f t="shared" si="210"/>
        <v>308.20619790546965</v>
      </c>
      <c r="DJ105" s="698">
        <f t="shared" si="211"/>
        <v>8.4330708661417333</v>
      </c>
      <c r="DK105" s="560">
        <f ca="1">IF(B105&gt;Summary!$A$1,#N/A,DI105*MGtoAF)</f>
        <v>945.57661517398094</v>
      </c>
      <c r="DL105" s="698">
        <f t="shared" si="212"/>
        <v>8.4</v>
      </c>
      <c r="DM105" s="560">
        <f t="shared" si="213"/>
        <v>25.4</v>
      </c>
      <c r="DN105" s="560">
        <f>Sheet1!AB107-DM105</f>
        <v>0.10000000000000142</v>
      </c>
      <c r="DO105" s="823">
        <f t="shared" si="214"/>
        <v>3.9370078740158044E-3</v>
      </c>
      <c r="DP105" s="560">
        <f>(VLOOKUP(Sheet1!DC107,hhdcap_wcm,4)-(((VLOOKUP(Sheet1!DC107,hhdcap_wcm,3)-Sheet1!DC107)/(VLOOKUP(Sheet1!DC107,hhdcap_wcm,3)-VLOOKUP(Sheet1!DC107,hhdcap_wcm,1)))*(VLOOKUP(Sheet1!DC107,hhdcap_wcm,4)-VLOOKUP(Sheet1!DC107,hhdcap_wcm,2))))</f>
        <v>23952.00000006054</v>
      </c>
      <c r="DQ105" s="560">
        <f t="shared" si="215"/>
        <v>422.00000000034197</v>
      </c>
      <c r="DR105" s="560">
        <f t="shared" si="216"/>
        <v>212.80887544142306</v>
      </c>
      <c r="DS105" s="560">
        <f>Sheet1!EA107*AFtoMG</f>
        <v>0</v>
      </c>
      <c r="DT105" s="560">
        <f>Sheet1!EB107*AFtoMG</f>
        <v>0</v>
      </c>
      <c r="DU105" s="560">
        <f>Sheet1!EC107*AFtoMG</f>
        <v>0</v>
      </c>
      <c r="DV105" s="560">
        <f>Sheet1!ED107*AFtoMG</f>
        <v>0</v>
      </c>
      <c r="DW105" s="560">
        <f t="shared" si="217"/>
        <v>0</v>
      </c>
      <c r="DX105" s="560">
        <f t="shared" si="218"/>
        <v>0</v>
      </c>
      <c r="DY105" s="560">
        <f t="shared" si="219"/>
        <v>2432.4137427838364</v>
      </c>
      <c r="DZ105" s="560">
        <f t="shared" si="220"/>
        <v>7462.6453628608106</v>
      </c>
      <c r="EA105" s="560"/>
      <c r="EB105" s="545">
        <f>IF(OR(B105&lt;FV105,B105&gt;FW105),(MIN(BF105+BY105+CT105+MAX(Sheet1!AA107+AQ105-73,0),K105)),0)</f>
        <v>8.4330708661417333</v>
      </c>
      <c r="EC105" s="560"/>
      <c r="ED105" s="560">
        <f t="shared" si="221"/>
        <v>8.4330708661417333</v>
      </c>
      <c r="EE105" s="560"/>
      <c r="EF105" s="560">
        <f>Sheet1!EH107+Sheet1!EI107+Sheet1!EJ107+Sheet1!EK107</f>
        <v>8.4</v>
      </c>
      <c r="EG105" s="560"/>
      <c r="EH105" s="545">
        <f t="shared" si="222"/>
        <v>0</v>
      </c>
      <c r="EI105" s="560">
        <f>IF(Sheet1!ET107=1,SUM('Calculations II'!AT105:BA105)+'Calculations II'!BC105+Sheet1!BV107+'Calculations II'!BE105+AP105,SUM('Calculations II'!AT105:BA105)+'Calculations II'!BC105+Sheet1!BV107+'Calculations II'!BE105+AP105)</f>
        <v>47.914448</v>
      </c>
      <c r="EJ105" s="560">
        <f>Sheet1!AA107+Sheet1!AB107+'Calculations II'!BC105</f>
        <v>52.168639999999996</v>
      </c>
      <c r="EK105" s="560"/>
      <c r="EL105" s="560"/>
      <c r="EM105" s="560">
        <f t="shared" si="223"/>
        <v>41733</v>
      </c>
      <c r="EN105" s="560">
        <f t="shared" si="224"/>
        <v>56.206929133858267</v>
      </c>
      <c r="EO105" s="560">
        <f t="shared" si="225"/>
        <v>86.952119370078734</v>
      </c>
      <c r="EP105" s="560">
        <v>0</v>
      </c>
      <c r="EQ105" s="560">
        <v>0</v>
      </c>
      <c r="ER105" s="560">
        <v>0</v>
      </c>
      <c r="ES105" s="545">
        <f t="shared" si="247"/>
        <v>0.55400318392200021</v>
      </c>
      <c r="ET105" s="560">
        <f>-(VLOOKUP(Sheet1!BQ107,Lookup!$O$4:$Q$262,2)-VLOOKUP(Sheet1!BQ106,Lookup!$O$4:$Q$262,2))/1000000</f>
        <v>0.2770015919610001</v>
      </c>
      <c r="EU105" s="560">
        <f>-(VLOOKUP(Sheet1!BR107,Lookup!$O$4:$Q$262,3)-VLOOKUP(Sheet1!BR106,Lookup!$O$4:$Q$262,3))/1000000</f>
        <v>0.2770015919610001</v>
      </c>
      <c r="EV105" s="560"/>
      <c r="EW105" s="560"/>
      <c r="EX105" s="560"/>
      <c r="EY105" s="560"/>
      <c r="EZ105" s="560"/>
      <c r="FA105" s="560"/>
      <c r="FB105" s="560"/>
      <c r="FC105" s="560"/>
      <c r="FD105" s="594" t="e">
        <f t="shared" si="226"/>
        <v>#N/A</v>
      </c>
      <c r="FE105" s="594" t="e">
        <f t="shared" si="227"/>
        <v>#N/A</v>
      </c>
      <c r="FF105" s="595" t="e">
        <f t="shared" si="228"/>
        <v>#N/A</v>
      </c>
      <c r="FG105" s="596" t="s">
        <v>692</v>
      </c>
      <c r="FH105" s="596" t="s">
        <v>692</v>
      </c>
      <c r="FI105" s="594" t="e">
        <v>#N/A</v>
      </c>
      <c r="FJ105" s="594" t="e">
        <v>#N/A</v>
      </c>
      <c r="FK105" s="560"/>
      <c r="FL105" s="560"/>
      <c r="FM105" s="560"/>
      <c r="FN105" s="560"/>
      <c r="FO105" s="560">
        <f>O105+((Sheet1!CS107)*GPMtoMGD)</f>
        <v>52.168639999999996</v>
      </c>
      <c r="FP105" s="560">
        <f>IF(Sheet1!AA107+AQ105&lt;=Calculation!N105,AQ105,Calculation!N105-Sheet1!AA107)</f>
        <v>15.460629921259844</v>
      </c>
      <c r="FQ105" s="560">
        <f>(Sheet1!BP107+Sheet1!BO107)/694.4</f>
        <v>1.4432603686635945</v>
      </c>
      <c r="FR105" s="560"/>
      <c r="FS105" s="560"/>
      <c r="FT105" s="560"/>
      <c r="FU105" s="560"/>
      <c r="FV105" s="695">
        <f t="shared" si="248"/>
        <v>41827</v>
      </c>
      <c r="FW105" s="695">
        <f t="shared" si="249"/>
        <v>41934</v>
      </c>
      <c r="FX105" s="560"/>
      <c r="FY105" s="560"/>
      <c r="FZ105" s="560"/>
      <c r="GA105" s="560"/>
      <c r="GB105" s="560" t="str">
        <f t="shared" si="250"/>
        <v>n</v>
      </c>
      <c r="GC105" s="564">
        <f t="shared" si="251"/>
        <v>41691</v>
      </c>
      <c r="GD105" s="695">
        <f t="shared" si="252"/>
        <v>41807</v>
      </c>
      <c r="GE105" s="560">
        <v>6518.9</v>
      </c>
      <c r="GF105" s="695">
        <f t="shared" si="253"/>
        <v>41808</v>
      </c>
      <c r="GG105" s="560">
        <f t="shared" si="272"/>
        <v>3259</v>
      </c>
      <c r="GH105" s="564">
        <f t="shared" si="254"/>
        <v>41934</v>
      </c>
      <c r="GJ105" s="545">
        <f t="shared" si="255"/>
        <v>0</v>
      </c>
      <c r="GK105" s="560" t="str">
        <f t="shared" si="229"/>
        <v/>
      </c>
      <c r="GL105" s="560">
        <f t="shared" si="256"/>
        <v>0</v>
      </c>
      <c r="GM105" s="560" t="str">
        <f t="shared" si="257"/>
        <v/>
      </c>
      <c r="GN105" s="560">
        <f>IF(GK105="P",Lookup!$M$12,IF(GK105="PP",Lookup!$M$13,IF(GK105="PPP",Lookup!$M$14,IF(GK105="T",Lookup!$M$15,IF(GK105="TP",Lookup!$M$16,IF(GK105="TPP",Lookup!$M$17,IF(GK105="TPPP",Lookup!$M$18,0)))))))*GJ105</f>
        <v>0</v>
      </c>
      <c r="GO105" s="560">
        <f t="shared" si="258"/>
        <v>0</v>
      </c>
      <c r="GP105" s="560">
        <f t="shared" si="230"/>
        <v>3553.1530666666645</v>
      </c>
      <c r="GQ105" s="560">
        <f t="shared" si="266"/>
        <v>1158.1333333333325</v>
      </c>
      <c r="GR105" s="560"/>
      <c r="GS105" s="560">
        <f t="shared" si="259"/>
        <v>0</v>
      </c>
      <c r="GT105" s="560" t="str">
        <f t="shared" si="260"/>
        <v/>
      </c>
      <c r="GU105" s="560">
        <f>IF(GK105="P",Lookup!$N$12,IF(GK105="PP",Lookup!$N$13,IF(GK105="PPP",Lookup!$N$14,IF(GK105="T",Lookup!$N$15,IF(GK105="TP",Lookup!$N$16,IF(GK105="TPP",Lookup!$N$17,IF(GK105="TPPP",Lookup!$N$18,0)))))))*GJ105</f>
        <v>0</v>
      </c>
      <c r="GV105" s="560">
        <f t="shared" si="261"/>
        <v>0</v>
      </c>
      <c r="GW105" s="560">
        <f t="shared" si="231"/>
        <v>1658.1380977777762</v>
      </c>
      <c r="GX105" s="560">
        <f t="shared" si="267"/>
        <v>540.46222222222173</v>
      </c>
      <c r="GY105" s="560"/>
      <c r="GZ105" s="560">
        <f t="shared" si="262"/>
        <v>0</v>
      </c>
      <c r="HA105" s="560" t="str">
        <f t="shared" si="263"/>
        <v/>
      </c>
      <c r="HB105" s="560">
        <f>IF(GK105="P",Lookup!$N$12,IF(GK105="PP",Lookup!$N$13,IF(GK105="PPP",Lookup!$N$14,IF(GK105="T",Lookup!$N$15,IF(GK105="TP",Lookup!$N$16,IF(GK105="TPP",Lookup!$N$17,IF(GK105="TPPP",Lookup!$N$18,0)))))))*GJ105</f>
        <v>0</v>
      </c>
      <c r="HC105" s="545">
        <f t="shared" si="232"/>
        <v>0</v>
      </c>
      <c r="HD105" s="560">
        <f t="shared" si="233"/>
        <v>1305.7775832423883</v>
      </c>
      <c r="HE105" s="560">
        <f t="shared" si="268"/>
        <v>425.61198932281235</v>
      </c>
      <c r="HF105" s="560"/>
      <c r="HG105" s="560">
        <f t="shared" si="264"/>
        <v>0</v>
      </c>
      <c r="HH105" s="560" t="str">
        <f t="shared" si="265"/>
        <v/>
      </c>
      <c r="HI105" s="560">
        <f>IF(GK105="P",Lookup!$N$12,IF(GK105="PP",Lookup!$N$13,IF(GK105="PPP",Lookup!$N$14,IF(GK105="T",Lookup!$N$15,IF(GK105="TP",Lookup!$N$16,IF(GK105="TPP",Lookup!$N$17,IF(GK105="TPPP",Lookup!$N$18,0)))))))*GJ105</f>
        <v>0</v>
      </c>
      <c r="HJ105" s="545">
        <f t="shared" si="234"/>
        <v>0</v>
      </c>
      <c r="HK105" s="560">
        <f t="shared" si="235"/>
        <v>945.57661517398094</v>
      </c>
      <c r="HL105" s="560">
        <f t="shared" si="269"/>
        <v>308.20619790546965</v>
      </c>
      <c r="HM105" s="560"/>
    </row>
    <row r="106" spans="1:221">
      <c r="A106" s="580" t="s">
        <v>9</v>
      </c>
      <c r="B106" s="556">
        <v>41734</v>
      </c>
      <c r="C106" s="561">
        <v>0</v>
      </c>
      <c r="D106" s="529">
        <f t="shared" si="270"/>
        <v>300</v>
      </c>
      <c r="E106" s="529">
        <f t="shared" si="271"/>
        <v>250</v>
      </c>
      <c r="F106" s="529">
        <v>250</v>
      </c>
      <c r="G106" s="560">
        <f>DR106+Sheet1!CZ108</f>
        <v>1310.2975289975486</v>
      </c>
      <c r="H106" s="914">
        <f t="shared" si="236"/>
        <v>580.01312274401539</v>
      </c>
      <c r="I106" s="559">
        <f>MAX(Sheet1!Z108-AT106+(Sheet1!DA108-E106)*CFStoMGD,0)</f>
        <v>1072.6679999999999</v>
      </c>
      <c r="J106" s="562">
        <f>IF(AND(B106&gt;=Calculation!GC106,B106&lt;=Calculation!GD106),IF(Sheet1!DB108&gt;=Calculation!D106,64.64,0),MAX(Sheet1!Z108-AT106+(Sheet1!DB108-D106)*CFStoMGD,0))</f>
        <v>64.64</v>
      </c>
      <c r="K106" s="904">
        <f t="shared" si="171"/>
        <v>64.64</v>
      </c>
      <c r="L106" s="560">
        <f>Sheet1!AA108+Sheet1!AB108-Sheet1!L108+(Sheet1!DA108-F106)*CFStoMGD</f>
        <v>1047.1679999999999</v>
      </c>
      <c r="M106" s="560">
        <f t="shared" si="172"/>
        <v>863.91584919889578</v>
      </c>
      <c r="N106" s="910">
        <f>IF(Sheet1!DA108&gt;=F106,MIN(73,MIN(MAX(L106,0),MAX(M106,0))),0)</f>
        <v>73</v>
      </c>
      <c r="O106" s="563">
        <f>Sheet1!AA108+Sheet1!AB108</f>
        <v>46.42</v>
      </c>
      <c r="P106" s="563">
        <f t="shared" si="173"/>
        <v>71.811739999999986</v>
      </c>
      <c r="Q106" s="898">
        <f t="shared" si="237"/>
        <v>38.010000000000005</v>
      </c>
      <c r="R106" s="829">
        <f t="shared" si="174"/>
        <v>8.4066902794175515</v>
      </c>
      <c r="S106" s="898">
        <f t="shared" si="238"/>
        <v>8.41</v>
      </c>
      <c r="T106" s="898">
        <f t="shared" si="239"/>
        <v>56.230000000000004</v>
      </c>
      <c r="U106" s="898">
        <f t="shared" si="240"/>
        <v>0</v>
      </c>
      <c r="V106" s="898"/>
      <c r="W106" s="898">
        <f t="shared" si="241"/>
        <v>56.233309720582447</v>
      </c>
      <c r="X106" s="898">
        <f t="shared" si="242"/>
        <v>64.64</v>
      </c>
      <c r="Y106" s="898" t="str">
        <f t="shared" si="243"/>
        <v>FALSE</v>
      </c>
      <c r="Z106" s="898">
        <f t="shared" si="244"/>
        <v>46.42</v>
      </c>
      <c r="AA106" s="898">
        <f t="shared" si="245"/>
        <v>46.42</v>
      </c>
      <c r="AB106" s="898" t="str">
        <f t="shared" si="246"/>
        <v/>
      </c>
      <c r="AC106" s="563">
        <f>Sheet1!Y108*MGDtoCFS</f>
        <v>32.610759999999999</v>
      </c>
      <c r="AD106" s="563">
        <f>Sheet1!Z108*MGDtoCFS</f>
        <v>39.448499999999996</v>
      </c>
      <c r="AE106" s="563">
        <f>Sheet1!AA108*MGDtoCFS</f>
        <v>32.517939999999996</v>
      </c>
      <c r="AF106" s="563">
        <f>Sheet1!AB108*MGDtoCFS</f>
        <v>39.293799999999997</v>
      </c>
      <c r="AG106" s="563">
        <f>Sheet1!L108*MGDtoCFS</f>
        <v>71.81174</v>
      </c>
      <c r="AH106" s="545">
        <f t="shared" si="175"/>
        <v>0</v>
      </c>
      <c r="AI106" s="560">
        <f t="shared" si="176"/>
        <v>0</v>
      </c>
      <c r="AJ106" s="560">
        <f t="shared" si="177"/>
        <v>56.233309720582447</v>
      </c>
      <c r="AK106" s="560">
        <f t="shared" si="178"/>
        <v>86.992930137741041</v>
      </c>
      <c r="AL106" s="560">
        <f>(VLOOKUP(Sheet1!DC108,hhdcap_wcm,4)-(((VLOOKUP(Sheet1!DC108,hhdcap_wcm,3)-Sheet1!DC108)/(VLOOKUP(Sheet1!DC108,hhdcap_wcm,3)-VLOOKUP(Sheet1!DC108,hhdcap_wcm,1)))*(VLOOKUP(Sheet1!DC108,hhdcap_wcm,4)-VLOOKUP(Sheet1!DC108,hhdcap_wcm,2))))</f>
        <v>24488.000000062679</v>
      </c>
      <c r="AM106" s="560">
        <f t="shared" si="179"/>
        <v>536.00000000213913</v>
      </c>
      <c r="AN106" s="560">
        <f t="shared" si="180"/>
        <v>2488.6470525044188</v>
      </c>
      <c r="AO106" s="560">
        <f t="shared" si="181"/>
        <v>7635.1691570835565</v>
      </c>
      <c r="AP106" s="560">
        <f>Sheet1!BA108+Sheet1!BB108+Sheet1!BN108+CD106</f>
        <v>17</v>
      </c>
      <c r="AQ106" s="560">
        <f>Sheet1!BN108+(DO106*Sheet1!BN108)</f>
        <v>15.393939393939393</v>
      </c>
      <c r="AR106" s="560">
        <f>Sheet1!BA108+CD106</f>
        <v>0</v>
      </c>
      <c r="AS106" s="560">
        <f>Sheet1!BA108+Sheet1!BB108+CD106</f>
        <v>1.6</v>
      </c>
      <c r="AT106" s="698">
        <f>0</f>
        <v>0</v>
      </c>
      <c r="AU106" s="560">
        <f>IF(EB106&lt;K106,0,MAX(Sheet1!AA108+AQ106-15/36*K106-N106,Sheet1!EH108,0))</f>
        <v>0</v>
      </c>
      <c r="AV106" s="560">
        <f>IF(OR(B106&gt;=GD106,B106&lt;GC106),0,15/36*K106-MAX(0,64.6-(137.6-(Sheet1!AA108+Sheet1!AB108))))</f>
        <v>26.933333333333334</v>
      </c>
      <c r="AW106" s="698">
        <f>Sheet1!DB108-110</f>
        <v>990</v>
      </c>
      <c r="AX106" s="698">
        <f>Sheet1!DA108-265</f>
        <v>1605</v>
      </c>
      <c r="AY106" s="698">
        <f t="shared" si="182"/>
        <v>34.989999999999995</v>
      </c>
      <c r="AZ106" s="698">
        <v>0</v>
      </c>
      <c r="BA106" s="698">
        <f t="shared" si="183"/>
        <v>0</v>
      </c>
      <c r="BB106" s="560">
        <f t="shared" si="184"/>
        <v>1185.0666666666659</v>
      </c>
      <c r="BC106" s="560"/>
      <c r="BD106" s="560">
        <f ca="1">IF(B106&gt;Summary!$A$1,#N/A,BB106*MGtoAF)</f>
        <v>3635.7845333333312</v>
      </c>
      <c r="BE106" s="560">
        <f>Sheet1!BG108+Sheet1!BH108+Sheet1!BI108-BM106</f>
        <v>0</v>
      </c>
      <c r="BF106" s="560">
        <f t="shared" si="185"/>
        <v>0</v>
      </c>
      <c r="BG106" s="560">
        <f>IF(Sheet1!EP108="FM",BM106,0)</f>
        <v>0</v>
      </c>
      <c r="BH106" s="560">
        <f t="shared" si="186"/>
        <v>0</v>
      </c>
      <c r="BI106" s="560">
        <f>IF(Sheet1!EP108="OTHER",BM106,0)</f>
        <v>0</v>
      </c>
      <c r="BJ106" s="560">
        <f t="shared" si="187"/>
        <v>0</v>
      </c>
      <c r="BK106" s="560">
        <f t="shared" si="188"/>
        <v>0</v>
      </c>
      <c r="BL106" s="560">
        <f t="shared" si="189"/>
        <v>0</v>
      </c>
      <c r="BM106" s="560">
        <f>IF(OR(Sheet1!EP108="FM", Sheet1!EP108="OTHER"),SUM(Sheet1!BG108:'Sheet1'!BI108),0)</f>
        <v>0</v>
      </c>
      <c r="BN106" s="545">
        <f>IF(AND($B106&gt;=$FV106,$B106&lt;=$FW106),MAX(BF106,Sheet1!EI108,0),MAX(BF106-(7/36)*$K106,0))</f>
        <v>0</v>
      </c>
      <c r="BO106" s="560">
        <f t="shared" si="190"/>
        <v>12.568888888888889</v>
      </c>
      <c r="BP106" s="545">
        <f t="shared" si="191"/>
        <v>0</v>
      </c>
      <c r="BQ106" s="545">
        <f>IF(AND($O106&gt;0,Sheet1!EM108=1),(1-($O106-Sheet1!$L108)/$O106)*BL106,0)</f>
        <v>0</v>
      </c>
      <c r="BR106" s="545">
        <f>IF(AND(Sheet1!$L108=0,Sheet1!$L107=0, Calculation!BK106&lt;Sheet1!$EI108-0.1,Sheet1!$EI108=Sheet1!$EI107,Sheet1!$EI108=Sheet1!$EI109),Sheet1!$EI108,BL106-BQ106)</f>
        <v>0</v>
      </c>
      <c r="BS106" s="560"/>
      <c r="BT106" s="560"/>
      <c r="BU106" s="560">
        <f t="shared" si="192"/>
        <v>553.03111111111059</v>
      </c>
      <c r="BV106" s="560"/>
      <c r="BW106" s="560">
        <f ca="1">IF(B106&gt;Summary!$A$1,#N/A,BU106*MGtoAF)</f>
        <v>1696.6994488888872</v>
      </c>
      <c r="BX106" s="560">
        <f>Sheet1!BC108+Sheet1!BD108+Sheet1!BE108+Sheet1!BF108-CG106-CH106</f>
        <v>2.4900000000000002</v>
      </c>
      <c r="BY106" s="560">
        <f t="shared" si="193"/>
        <v>2.4890200708382526</v>
      </c>
      <c r="BZ106" s="560">
        <f>IF(Sheet1!EQ108="FM",CH106,0)</f>
        <v>0</v>
      </c>
      <c r="CA106" s="560">
        <f t="shared" si="194"/>
        <v>0</v>
      </c>
      <c r="CB106" s="560">
        <f>IF(Sheet1!EQ108="OTHER",CH106,0)</f>
        <v>0</v>
      </c>
      <c r="CC106" s="560">
        <f t="shared" si="195"/>
        <v>0</v>
      </c>
      <c r="CD106" s="560">
        <f t="shared" si="196"/>
        <v>0</v>
      </c>
      <c r="CE106" s="560">
        <f t="shared" si="197"/>
        <v>2.4900000000000002</v>
      </c>
      <c r="CF106" s="560">
        <f t="shared" si="198"/>
        <v>2.4890200708382526</v>
      </c>
      <c r="CG106" s="560">
        <f>IF(Sheet1!EQ108="CWA",SUM(Sheet1!BC108:'Sheet1'!BF108),0)</f>
        <v>0</v>
      </c>
      <c r="CH106" s="560">
        <f>IF(OR(Sheet1!EQ108="FM", Sheet1!EQ108="OTHER"),SUM(Sheet1!BC108:'Sheet1'!BF108),0)</f>
        <v>0</v>
      </c>
      <c r="CI106" s="545">
        <f>IF(AND($B106&gt;=$FV106,$B106&lt;=$FW106),MAX(CF106,Sheet1!EJ108,0),MAX(CF106-(7/36)*$K106,0))</f>
        <v>0</v>
      </c>
      <c r="CJ106" s="560">
        <f t="shared" si="199"/>
        <v>10.079868818050636</v>
      </c>
      <c r="CK106" s="545">
        <f t="shared" si="200"/>
        <v>2.4890200708382526</v>
      </c>
      <c r="CL106" s="545">
        <f>IF(AND($O106&gt;0,Sheet1!EN108=1),(1-($O106-Sheet1!$L108)/$O106)*CF106,0)</f>
        <v>0</v>
      </c>
      <c r="CM106" s="545">
        <f>IF(AND(Sheet1!$L108=0,Sheet1!$L107=0, Calculation!CE106&lt;Sheet1!EJ108-0.1,Sheet1!EJ108=Sheet1!EJ107,Sheet1!EJ108=Sheet1!EJ109),Sheet1!EJ108,CF106-CL106)</f>
        <v>2.4890200708382526</v>
      </c>
      <c r="CN106" s="545"/>
      <c r="CO106" s="560"/>
      <c r="CP106" s="560">
        <f t="shared" si="201"/>
        <v>435.69185814086296</v>
      </c>
      <c r="CQ106" s="560"/>
      <c r="CR106" s="560">
        <f ca="1">IF(B106&gt;Summary!$A$1,#N/A,CP106*MGtoAF)</f>
        <v>1336.7026207761676</v>
      </c>
      <c r="CS106" s="560">
        <f>Sheet1!BK108+Sheet1!BL108+Sheet1!BM108-Sheet1!ER108-DA106</f>
        <v>5.92</v>
      </c>
      <c r="CT106" s="560">
        <f t="shared" si="202"/>
        <v>5.9176702085792989</v>
      </c>
      <c r="CU106" s="560">
        <f>IF(Sheet1!ER108="FM",DA106,0)</f>
        <v>0</v>
      </c>
      <c r="CV106" s="560">
        <f t="shared" si="203"/>
        <v>0</v>
      </c>
      <c r="CW106" s="560">
        <f>IF(Sheet1!ER108="OTHER",DA106,0)</f>
        <v>0</v>
      </c>
      <c r="CX106" s="560">
        <f t="shared" si="204"/>
        <v>0</v>
      </c>
      <c r="CY106" s="560">
        <f t="shared" si="205"/>
        <v>5.92</v>
      </c>
      <c r="CZ106" s="560">
        <f t="shared" si="206"/>
        <v>5.9176702085792989</v>
      </c>
      <c r="DA106" s="560">
        <f>IF(OR(Sheet1!ER108="FM", Sheet1!ER108="OTHER"),SUM(Sheet1!BK108:'Sheet1'!BM108),0)</f>
        <v>0</v>
      </c>
      <c r="DB106" s="545">
        <f>IF(AND($B106&gt;=$FV106,$B106&lt;=$FW106),MAX($CT106,Sheet1!EK108,0),MAX($CT106-(7/36)*$K106,0))</f>
        <v>0</v>
      </c>
      <c r="DC106" s="560">
        <f t="shared" si="207"/>
        <v>6.6512186803095901</v>
      </c>
      <c r="DD106" s="545">
        <f t="shared" si="208"/>
        <v>5.9176702085792989</v>
      </c>
      <c r="DE106" s="545">
        <f>IF(AND($O106&gt;0,Sheet1!EO108=1),(1-($O106-Sheet1!$L108)/$O106)*CZ106,0)</f>
        <v>0</v>
      </c>
      <c r="DF106" s="545">
        <f>IF(AND(Sheet1!$L108=0,Sheet1!$L107=0, Calculation!CY106&lt;Sheet1!$EK108-0.1,Sheet1!$EK108=Sheet1!$EK107,Sheet1!$EK108=Sheet1!$EK109),Sheet1!$EK108,CZ106-DE106)</f>
        <v>5.9176702085792989</v>
      </c>
      <c r="DG106" s="545"/>
      <c r="DH106" s="560">
        <f t="shared" si="209"/>
        <v>8.41</v>
      </c>
      <c r="DI106" s="560">
        <f t="shared" si="210"/>
        <v>314.85741658577922</v>
      </c>
      <c r="DJ106" s="698">
        <f t="shared" si="211"/>
        <v>8.4066902794175515</v>
      </c>
      <c r="DK106" s="560">
        <f ca="1">IF(B106&gt;Summary!$A$1,#N/A,DI106*MGtoAF)</f>
        <v>965.9825540851707</v>
      </c>
      <c r="DL106" s="698">
        <f t="shared" si="212"/>
        <v>8.41</v>
      </c>
      <c r="DM106" s="560">
        <f t="shared" si="213"/>
        <v>25.41</v>
      </c>
      <c r="DN106" s="560">
        <f>Sheet1!AB108-DM106</f>
        <v>-1.0000000000001563E-2</v>
      </c>
      <c r="DO106" s="823">
        <f t="shared" si="214"/>
        <v>-3.9354584809136415E-4</v>
      </c>
      <c r="DP106" s="560">
        <f>(VLOOKUP(Sheet1!DC108,hhdcap_wcm,4)-(((VLOOKUP(Sheet1!DC108,hhdcap_wcm,3)-Sheet1!DC108)/(VLOOKUP(Sheet1!DC108,hhdcap_wcm,3)-VLOOKUP(Sheet1!DC108,hhdcap_wcm,1)))*(VLOOKUP(Sheet1!DC108,hhdcap_wcm,4)-VLOOKUP(Sheet1!DC108,hhdcap_wcm,2))))</f>
        <v>24488.000000062679</v>
      </c>
      <c r="DQ106" s="560">
        <f t="shared" si="215"/>
        <v>536.00000000213913</v>
      </c>
      <c r="DR106" s="560">
        <f t="shared" si="216"/>
        <v>270.29752899754868</v>
      </c>
      <c r="DS106" s="560">
        <f>Sheet1!EA108*AFtoMG</f>
        <v>0</v>
      </c>
      <c r="DT106" s="560">
        <f>Sheet1!EB108*AFtoMG</f>
        <v>0</v>
      </c>
      <c r="DU106" s="560">
        <f>Sheet1!EC108*AFtoMG</f>
        <v>0</v>
      </c>
      <c r="DV106" s="560">
        <f>Sheet1!ED108*AFtoMG</f>
        <v>0</v>
      </c>
      <c r="DW106" s="560">
        <f t="shared" si="217"/>
        <v>0</v>
      </c>
      <c r="DX106" s="560">
        <f t="shared" si="218"/>
        <v>0</v>
      </c>
      <c r="DY106" s="560">
        <f t="shared" si="219"/>
        <v>2488.6470525044188</v>
      </c>
      <c r="DZ106" s="560">
        <f t="shared" si="220"/>
        <v>7635.1691570835565</v>
      </c>
      <c r="EA106" s="560"/>
      <c r="EB106" s="545">
        <f>IF(OR(B106&lt;FV106,B106&gt;FW106),(MIN(BF106+BY106+CT106+MAX(Sheet1!AA108+AQ106-73,0),K106)),0)</f>
        <v>8.4066902794175515</v>
      </c>
      <c r="EC106" s="560"/>
      <c r="ED106" s="560">
        <f t="shared" si="221"/>
        <v>8.4066902794175515</v>
      </c>
      <c r="EE106" s="560"/>
      <c r="EF106" s="560">
        <f>Sheet1!EH108+Sheet1!EI108+Sheet1!EJ108+Sheet1!EK108</f>
        <v>8.41</v>
      </c>
      <c r="EG106" s="560"/>
      <c r="EH106" s="545">
        <f t="shared" si="222"/>
        <v>0</v>
      </c>
      <c r="EI106" s="560">
        <f>IF(Sheet1!ET108=1,SUM('Calculations II'!AT106:BA106)+'Calculations II'!BC106+Sheet1!BV108+'Calculations II'!BE106+AP106,SUM('Calculations II'!AT106:BA106)+'Calculations II'!BC106+Sheet1!BV108+'Calculations II'!BE106+AP106)</f>
        <v>48.768544000000006</v>
      </c>
      <c r="EJ106" s="560">
        <f>Sheet1!AA108+Sheet1!AB108+'Calculations II'!BC106</f>
        <v>52.066096000000002</v>
      </c>
      <c r="EK106" s="560"/>
      <c r="EL106" s="560"/>
      <c r="EM106" s="560">
        <f t="shared" si="223"/>
        <v>41734</v>
      </c>
      <c r="EN106" s="560">
        <f t="shared" si="224"/>
        <v>56.233309720582447</v>
      </c>
      <c r="EO106" s="560">
        <f t="shared" si="225"/>
        <v>86.992930137741041</v>
      </c>
      <c r="EP106" s="560">
        <v>0</v>
      </c>
      <c r="EQ106" s="560">
        <v>0</v>
      </c>
      <c r="ER106" s="560">
        <v>0</v>
      </c>
      <c r="ES106" s="545">
        <f t="shared" si="247"/>
        <v>0.96938060795124992</v>
      </c>
      <c r="ET106" s="560">
        <f>-(VLOOKUP(Sheet1!BQ108,Lookup!$O$4:$Q$262,2)-VLOOKUP(Sheet1!BQ107,Lookup!$O$4:$Q$262,2))/1000000</f>
        <v>0.41545432467094062</v>
      </c>
      <c r="EU106" s="560">
        <f>-(VLOOKUP(Sheet1!BR108,Lookup!$O$4:$Q$262,3)-VLOOKUP(Sheet1!BR107,Lookup!$O$4:$Q$262,3))/1000000</f>
        <v>0.55392628328030924</v>
      </c>
      <c r="EV106" s="560"/>
      <c r="EW106" s="560"/>
      <c r="EX106" s="560"/>
      <c r="EY106" s="560"/>
      <c r="EZ106" s="560"/>
      <c r="FA106" s="560"/>
      <c r="FB106" s="560"/>
      <c r="FC106" s="560"/>
      <c r="FD106" s="594" t="e">
        <f t="shared" si="226"/>
        <v>#N/A</v>
      </c>
      <c r="FE106" s="594" t="e">
        <f t="shared" si="227"/>
        <v>#N/A</v>
      </c>
      <c r="FF106" s="595" t="e">
        <f t="shared" si="228"/>
        <v>#N/A</v>
      </c>
      <c r="FG106" s="596" t="s">
        <v>692</v>
      </c>
      <c r="FH106" s="596" t="s">
        <v>692</v>
      </c>
      <c r="FI106" s="594" t="e">
        <v>#N/A</v>
      </c>
      <c r="FJ106" s="594" t="e">
        <v>#N/A</v>
      </c>
      <c r="FK106" s="560"/>
      <c r="FL106" s="560"/>
      <c r="FM106" s="560"/>
      <c r="FN106" s="560"/>
      <c r="FO106" s="560">
        <f>O106+((Sheet1!CS108)*GPMtoMGD)</f>
        <v>52.066096000000002</v>
      </c>
      <c r="FP106" s="560">
        <f>IF(Sheet1!AA108+AQ106&lt;=Calculation!N106,AQ106,Calculation!N106-Sheet1!AA108)</f>
        <v>15.393939393939393</v>
      </c>
      <c r="FQ106" s="560">
        <f>(Sheet1!BP108+Sheet1!BO108)/694.4</f>
        <v>1.6566820276497698</v>
      </c>
      <c r="FR106" s="560"/>
      <c r="FS106" s="560"/>
      <c r="FT106" s="560"/>
      <c r="FU106" s="560"/>
      <c r="FV106" s="695">
        <f t="shared" si="248"/>
        <v>41827</v>
      </c>
      <c r="FW106" s="695">
        <f t="shared" si="249"/>
        <v>41934</v>
      </c>
      <c r="FX106" s="560"/>
      <c r="FY106" s="560"/>
      <c r="FZ106" s="560"/>
      <c r="GA106" s="560"/>
      <c r="GB106" s="560" t="str">
        <f t="shared" si="250"/>
        <v>n</v>
      </c>
      <c r="GC106" s="564">
        <f t="shared" si="251"/>
        <v>41691</v>
      </c>
      <c r="GD106" s="695">
        <f t="shared" si="252"/>
        <v>41807</v>
      </c>
      <c r="GE106" s="560">
        <v>6518.9</v>
      </c>
      <c r="GF106" s="695">
        <f t="shared" si="253"/>
        <v>41808</v>
      </c>
      <c r="GG106" s="560">
        <f t="shared" si="272"/>
        <v>3259</v>
      </c>
      <c r="GH106" s="564">
        <f t="shared" si="254"/>
        <v>41934</v>
      </c>
      <c r="GJ106" s="545">
        <f t="shared" si="255"/>
        <v>0</v>
      </c>
      <c r="GK106" s="560" t="str">
        <f t="shared" si="229"/>
        <v/>
      </c>
      <c r="GL106" s="560">
        <f t="shared" si="256"/>
        <v>0</v>
      </c>
      <c r="GM106" s="560" t="str">
        <f t="shared" si="257"/>
        <v/>
      </c>
      <c r="GN106" s="560">
        <f>IF(GK106="P",Lookup!$M$12,IF(GK106="PP",Lookup!$M$13,IF(GK106="PPP",Lookup!$M$14,IF(GK106="T",Lookup!$M$15,IF(GK106="TP",Lookup!$M$16,IF(GK106="TPP",Lookup!$M$17,IF(GK106="TPPP",Lookup!$M$18,0)))))))*GJ106</f>
        <v>0</v>
      </c>
      <c r="GO106" s="560">
        <f t="shared" si="258"/>
        <v>0</v>
      </c>
      <c r="GP106" s="560">
        <f t="shared" si="230"/>
        <v>3635.7845333333312</v>
      </c>
      <c r="GQ106" s="560">
        <f t="shared" si="266"/>
        <v>1185.0666666666659</v>
      </c>
      <c r="GR106" s="560"/>
      <c r="GS106" s="560">
        <f t="shared" si="259"/>
        <v>0</v>
      </c>
      <c r="GT106" s="560" t="str">
        <f t="shared" si="260"/>
        <v/>
      </c>
      <c r="GU106" s="560">
        <f>IF(GK106="P",Lookup!$N$12,IF(GK106="PP",Lookup!$N$13,IF(GK106="PPP",Lookup!$N$14,IF(GK106="T",Lookup!$N$15,IF(GK106="TP",Lookup!$N$16,IF(GK106="TPP",Lookup!$N$17,IF(GK106="TPPP",Lookup!$N$18,0)))))))*GJ106</f>
        <v>0</v>
      </c>
      <c r="GV106" s="560">
        <f t="shared" si="261"/>
        <v>0</v>
      </c>
      <c r="GW106" s="560">
        <f t="shared" si="231"/>
        <v>1696.6994488888872</v>
      </c>
      <c r="GX106" s="560">
        <f t="shared" si="267"/>
        <v>553.03111111111059</v>
      </c>
      <c r="GY106" s="560"/>
      <c r="GZ106" s="560">
        <f t="shared" si="262"/>
        <v>0</v>
      </c>
      <c r="HA106" s="560" t="str">
        <f t="shared" si="263"/>
        <v/>
      </c>
      <c r="HB106" s="560">
        <f>IF(GK106="P",Lookup!$N$12,IF(GK106="PP",Lookup!$N$13,IF(GK106="PPP",Lookup!$N$14,IF(GK106="T",Lookup!$N$15,IF(GK106="TP",Lookup!$N$16,IF(GK106="TPP",Lookup!$N$17,IF(GK106="TPPP",Lookup!$N$18,0)))))))*GJ106</f>
        <v>0</v>
      </c>
      <c r="HC106" s="545">
        <f t="shared" si="232"/>
        <v>0</v>
      </c>
      <c r="HD106" s="560">
        <f t="shared" si="233"/>
        <v>1336.7026207761676</v>
      </c>
      <c r="HE106" s="560">
        <f t="shared" si="268"/>
        <v>435.69185814086296</v>
      </c>
      <c r="HF106" s="560"/>
      <c r="HG106" s="560">
        <f t="shared" si="264"/>
        <v>0</v>
      </c>
      <c r="HH106" s="560" t="str">
        <f t="shared" si="265"/>
        <v/>
      </c>
      <c r="HI106" s="560">
        <f>IF(GK106="P",Lookup!$N$12,IF(GK106="PP",Lookup!$N$13,IF(GK106="PPP",Lookup!$N$14,IF(GK106="T",Lookup!$N$15,IF(GK106="TP",Lookup!$N$16,IF(GK106="TPP",Lookup!$N$17,IF(GK106="TPPP",Lookup!$N$18,0)))))))*GJ106</f>
        <v>0</v>
      </c>
      <c r="HJ106" s="545">
        <f t="shared" si="234"/>
        <v>0</v>
      </c>
      <c r="HK106" s="560">
        <f t="shared" si="235"/>
        <v>965.9825540851707</v>
      </c>
      <c r="HL106" s="560">
        <f t="shared" si="269"/>
        <v>314.85741658577922</v>
      </c>
      <c r="HM106" s="560"/>
    </row>
    <row r="107" spans="1:221">
      <c r="A107" s="580" t="s">
        <v>3</v>
      </c>
      <c r="B107" s="556">
        <v>41735</v>
      </c>
      <c r="C107" s="561">
        <v>0</v>
      </c>
      <c r="D107" s="529">
        <f t="shared" si="270"/>
        <v>300</v>
      </c>
      <c r="E107" s="529">
        <f t="shared" si="271"/>
        <v>250</v>
      </c>
      <c r="F107" s="529">
        <v>250</v>
      </c>
      <c r="G107" s="560">
        <f>DR107+Sheet1!CZ109</f>
        <v>2874.6848209822479</v>
      </c>
      <c r="H107" s="914">
        <f t="shared" si="236"/>
        <v>1591.2330682829249</v>
      </c>
      <c r="I107" s="559">
        <f>MAX(Sheet1!Z109-AT107+(Sheet1!DA109-E107)*CFStoMGD,0)</f>
        <v>1512.1200000000001</v>
      </c>
      <c r="J107" s="562">
        <f>IF(AND(B107&gt;=Calculation!GC107,B107&lt;=Calculation!GD107),IF(Sheet1!DB109&gt;=Calculation!D107,64.64,0),MAX(Sheet1!Z109-AT107+(Sheet1!DB109-D107)*CFStoMGD,0))</f>
        <v>64.64</v>
      </c>
      <c r="K107" s="904">
        <f t="shared" ref="K107:K170" si="273">MAX(MIN(H107:J107,64.64),0)</f>
        <v>64.64</v>
      </c>
      <c r="L107" s="560">
        <f>Sheet1!AA109+Sheet1!AB109-Sheet1!L109+(Sheet1!DA109-F107)*CFStoMGD</f>
        <v>1486.72</v>
      </c>
      <c r="M107" s="560">
        <f t="shared" ref="M107:M170" si="274">1.02*CFStoMGD*G107</f>
        <v>1895.3601936485836</v>
      </c>
      <c r="N107" s="910">
        <f>IF(Sheet1!DA109&gt;=F107,MIN(73,MIN(MAX(L107,0),MAX(M107,0))),0)</f>
        <v>73</v>
      </c>
      <c r="O107" s="563">
        <f>Sheet1!AA109+Sheet1!AB109</f>
        <v>46.58</v>
      </c>
      <c r="P107" s="563">
        <f t="shared" ref="P107:P170" si="275">AE107+AF107</f>
        <v>72.059259999999995</v>
      </c>
      <c r="Q107" s="898">
        <f t="shared" si="237"/>
        <v>38.17</v>
      </c>
      <c r="R107" s="829">
        <f t="shared" ref="R107:R170" si="276">IF(AND(B107&gt;=GF107,B107&lt;=GH107),MAX(EB107,EF107),EB107)</f>
        <v>8.4629555293191654</v>
      </c>
      <c r="S107" s="898">
        <f t="shared" si="238"/>
        <v>8.41</v>
      </c>
      <c r="T107" s="898">
        <f t="shared" si="239"/>
        <v>56.230000000000004</v>
      </c>
      <c r="U107" s="898">
        <f t="shared" si="240"/>
        <v>0</v>
      </c>
      <c r="V107" s="898"/>
      <c r="W107" s="898">
        <f t="shared" si="241"/>
        <v>56.177044470680833</v>
      </c>
      <c r="X107" s="898">
        <f t="shared" si="242"/>
        <v>64.64</v>
      </c>
      <c r="Y107" s="898" t="str">
        <f t="shared" si="243"/>
        <v>FALSE</v>
      </c>
      <c r="Z107" s="898">
        <f t="shared" si="244"/>
        <v>46.58</v>
      </c>
      <c r="AA107" s="898">
        <f t="shared" si="245"/>
        <v>46.58</v>
      </c>
      <c r="AB107" s="898" t="str">
        <f t="shared" si="246"/>
        <v/>
      </c>
      <c r="AC107" s="563">
        <f>Sheet1!Y109*MGDtoCFS</f>
        <v>32.517939999999996</v>
      </c>
      <c r="AD107" s="563">
        <f>Sheet1!Z109*MGDtoCFS</f>
        <v>39.293799999999997</v>
      </c>
      <c r="AE107" s="563">
        <f>Sheet1!AA109*MGDtoCFS</f>
        <v>32.502470000000002</v>
      </c>
      <c r="AF107" s="563">
        <f>Sheet1!AB109*MGDtoCFS</f>
        <v>39.556789999999999</v>
      </c>
      <c r="AG107" s="563">
        <f>Sheet1!L109*MGDtoCFS</f>
        <v>72.059259999999995</v>
      </c>
      <c r="AH107" s="545">
        <f t="shared" ref="AH107:AH170" si="277">AU107+BN107+CI107+DB107</f>
        <v>0</v>
      </c>
      <c r="AI107" s="560">
        <f t="shared" ref="AI107:AI170" si="278">AH107*MGDtoCFS</f>
        <v>0</v>
      </c>
      <c r="AJ107" s="560">
        <f t="shared" ref="AJ107:AJ170" si="279">IF(B107&gt;=GC107,IF(B107&lt;=GD107,K107-EB107,0),0)</f>
        <v>56.177044470680833</v>
      </c>
      <c r="AK107" s="560">
        <f t="shared" ref="AK107:AK170" si="280">AJ107*MGDtoCFS</f>
        <v>86.905887796143247</v>
      </c>
      <c r="AL107" s="560">
        <f>(VLOOKUP(Sheet1!DC109,hhdcap_wcm,4)-(((VLOOKUP(Sheet1!DC109,hhdcap_wcm,3)-Sheet1!DC109)/(VLOOKUP(Sheet1!DC109,hhdcap_wcm,3)-VLOOKUP(Sheet1!DC109,hhdcap_wcm,1)))*(VLOOKUP(Sheet1!DC109,hhdcap_wcm,4)-VLOOKUP(Sheet1!DC109,hhdcap_wcm,2))))</f>
        <v>26817.400000070476</v>
      </c>
      <c r="AM107" s="560">
        <f t="shared" ref="AM107:AM170" si="281">AL107-AL106</f>
        <v>2329.4000000077976</v>
      </c>
      <c r="AN107" s="560">
        <f t="shared" ref="AN107:AN170" si="282">(IF(AND(B107&gt;=GC107,B107&lt;GF107),MIN(BB107+BU107+CP107+DI107,GE107),IF(B107=GF107,GG107,IF(AND(B107&gt;GF107,B107&lt;GH107),BB107+BU107+CP107+DI107,IF(B107&gt;=GH107,0,0)))))</f>
        <v>2544.8240969750996</v>
      </c>
      <c r="AO107" s="560">
        <f t="shared" ref="AO107:AO170" si="283">AN107*MGtoAF</f>
        <v>7807.5203295196052</v>
      </c>
      <c r="AP107" s="560">
        <f>Sheet1!BA109+Sheet1!BB109+Sheet1!BN109+CD107</f>
        <v>17</v>
      </c>
      <c r="AQ107" s="560">
        <f>Sheet1!BN109+(DO107*Sheet1!BN109)</f>
        <v>15.496969696969698</v>
      </c>
      <c r="AR107" s="560">
        <f>Sheet1!BA109+CD107</f>
        <v>0</v>
      </c>
      <c r="AS107" s="560">
        <f>Sheet1!BA109+Sheet1!BB109+CD107</f>
        <v>1.6</v>
      </c>
      <c r="AT107" s="698">
        <f>0</f>
        <v>0</v>
      </c>
      <c r="AU107" s="560">
        <f>IF(EB107&lt;K107,0,MAX(Sheet1!AA109+AQ107-15/36*K107-N107,Sheet1!EH109,0))</f>
        <v>0</v>
      </c>
      <c r="AV107" s="560">
        <f>IF(OR(B107&gt;=GD107,B107&lt;GC107),0,15/36*K107-MAX(0,64.6-(137.6-(Sheet1!AA109+Sheet1!AB109))))</f>
        <v>26.933333333333334</v>
      </c>
      <c r="AW107" s="698">
        <f>Sheet1!DB109-110</f>
        <v>1670</v>
      </c>
      <c r="AX107" s="698">
        <f>Sheet1!DA109-265</f>
        <v>2285</v>
      </c>
      <c r="AY107" s="698">
        <f t="shared" ref="AY107:AY170" si="284">N107-Q107</f>
        <v>34.83</v>
      </c>
      <c r="AZ107" s="698">
        <v>0</v>
      </c>
      <c r="BA107" s="698">
        <f t="shared" ref="BA107:BA170" si="285">IF(AZ107&lt;=0,0,AZ107/1.547)</f>
        <v>0</v>
      </c>
      <c r="BB107" s="560">
        <f t="shared" ref="BB107:BB170" si="286">GO107+GQ107</f>
        <v>1211.9999999999993</v>
      </c>
      <c r="BC107" s="560"/>
      <c r="BD107" s="560">
        <f ca="1">IF(B107&gt;Summary!$A$1,#N/A,BB107*MGtoAF)</f>
        <v>3718.4159999999979</v>
      </c>
      <c r="BE107" s="560">
        <f>Sheet1!BG109+Sheet1!BH109+Sheet1!BI109-BM107</f>
        <v>0</v>
      </c>
      <c r="BF107" s="560">
        <f t="shared" ref="BF107:BF170" si="287">BE107+(DO107*BE107)</f>
        <v>0</v>
      </c>
      <c r="BG107" s="560">
        <f>IF(Sheet1!EP109="FM",BM107,0)</f>
        <v>0</v>
      </c>
      <c r="BH107" s="560">
        <f t="shared" ref="BH107:BH170" si="288">BG107+(DO107*BG107)</f>
        <v>0</v>
      </c>
      <c r="BI107" s="560">
        <f>IF(Sheet1!EP109="OTHER",BM107,0)</f>
        <v>0</v>
      </c>
      <c r="BJ107" s="560">
        <f t="shared" ref="BJ107:BJ170" si="289">BI107+(DO107*BI107)</f>
        <v>0</v>
      </c>
      <c r="BK107" s="560">
        <f t="shared" ref="BK107:BK170" si="290">MAX(BE107,BG107,BI107)</f>
        <v>0</v>
      </c>
      <c r="BL107" s="560">
        <f t="shared" ref="BL107:BL170" si="291">MAX(BF107,BH107,BJ107)</f>
        <v>0</v>
      </c>
      <c r="BM107" s="560">
        <f>IF(OR(Sheet1!EP109="FM", Sheet1!EP109="OTHER"),SUM(Sheet1!BG109:'Sheet1'!BI109),0)</f>
        <v>0</v>
      </c>
      <c r="BN107" s="545">
        <f>IF(AND($B107&gt;=$FV107,$B107&lt;=$FW107),MAX(BF107,Sheet1!EI109,0),MAX(BF107-(7/36)*$K107,0))</f>
        <v>0</v>
      </c>
      <c r="BO107" s="560">
        <f t="shared" ref="BO107:BO170" si="292">IF(B107&gt;=GC107,IF(B107&lt;=GD107,(7/36)*K107-BF107,0),0)</f>
        <v>12.568888888888889</v>
      </c>
      <c r="BP107" s="545">
        <f t="shared" ref="BP107:BP170" si="293">MAX(BL107-BN107,0)</f>
        <v>0</v>
      </c>
      <c r="BQ107" s="545">
        <f>IF(AND($O107&gt;0,Sheet1!EM109=1),(1-($O107-Sheet1!$L109)/$O107)*BL107,0)</f>
        <v>0</v>
      </c>
      <c r="BR107" s="545">
        <f>IF(AND(Sheet1!$L109=0,Sheet1!$L108=0, Calculation!BK107&lt;Sheet1!$EI109-0.1,Sheet1!$EI109=Sheet1!$EI108,Sheet1!$EI109=Sheet1!$EI110),Sheet1!$EI109,BL107-BQ107)</f>
        <v>0</v>
      </c>
      <c r="BS107" s="560"/>
      <c r="BT107" s="560"/>
      <c r="BU107" s="560">
        <f t="shared" ref="BU107:BU170" si="294">GV107+GX107</f>
        <v>565.59999999999945</v>
      </c>
      <c r="BV107" s="560"/>
      <c r="BW107" s="560">
        <f ca="1">IF(B107&gt;Summary!$A$1,#N/A,BU107*MGtoAF)</f>
        <v>1735.2607999999984</v>
      </c>
      <c r="BX107" s="560">
        <f>Sheet1!BC109+Sheet1!BD109+Sheet1!BE109+Sheet1!BF109-CG107-CH107</f>
        <v>2.4900000000000002</v>
      </c>
      <c r="BY107" s="560">
        <f t="shared" ref="BY107:BY170" si="295">BX107+(DO107*BX107)</f>
        <v>2.5056788665879579</v>
      </c>
      <c r="BZ107" s="560">
        <f>IF(Sheet1!EQ109="FM",CH107,0)</f>
        <v>0</v>
      </c>
      <c r="CA107" s="560">
        <f t="shared" ref="CA107:CA170" si="296">BZ107+(DO107*BZ107)</f>
        <v>0</v>
      </c>
      <c r="CB107" s="560">
        <f>IF(Sheet1!EQ109="OTHER",CH107,0)</f>
        <v>0</v>
      </c>
      <c r="CC107" s="560">
        <f t="shared" ref="CC107:CC170" si="297">CB107+(DO107*CB107)</f>
        <v>0</v>
      </c>
      <c r="CD107" s="560">
        <f t="shared" ref="CD107:CD170" si="298">CG107</f>
        <v>0</v>
      </c>
      <c r="CE107" s="560">
        <f t="shared" ref="CE107:CE170" si="299">MAX(BX107,BZ107,CB107)</f>
        <v>2.4900000000000002</v>
      </c>
      <c r="CF107" s="560">
        <f t="shared" ref="CF107:CF170" si="300">MAX(BY107,CA107, CC107)</f>
        <v>2.5056788665879579</v>
      </c>
      <c r="CG107" s="560">
        <f>IF(Sheet1!EQ109="CWA",SUM(Sheet1!BC109:'Sheet1'!BF109),0)</f>
        <v>0</v>
      </c>
      <c r="CH107" s="560">
        <f>IF(OR(Sheet1!EQ109="FM", Sheet1!EQ109="OTHER"),SUM(Sheet1!BC109:'Sheet1'!BF109),0)</f>
        <v>0</v>
      </c>
      <c r="CI107" s="545">
        <f>IF(AND($B107&gt;=$FV107,$B107&lt;=$FW107),MAX(CF107,Sheet1!EJ109,0),MAX(CF107-(7/36)*$K107,0))</f>
        <v>0</v>
      </c>
      <c r="CJ107" s="560">
        <f t="shared" ref="CJ107:CJ170" si="301">IF(B107&gt;=GC107,IF(B107&lt;=GD107,(7/36)*K107-BY107,0),0)</f>
        <v>10.063210022300931</v>
      </c>
      <c r="CK107" s="545">
        <f t="shared" ref="CK107:CK170" si="302">MAX(CF107-CI107,0)</f>
        <v>2.5056788665879579</v>
      </c>
      <c r="CL107" s="545">
        <f>IF(AND($O107&gt;0,Sheet1!EN109=1),(1-($O107-Sheet1!$L109)/$O107)*CF107,0)</f>
        <v>0</v>
      </c>
      <c r="CM107" s="545">
        <f>IF(AND(Sheet1!$L109=0,Sheet1!$L108=0, Calculation!CE107&lt;Sheet1!EJ109-0.1,Sheet1!EJ109=Sheet1!EJ108,Sheet1!EJ109=Sheet1!EJ110),Sheet1!EJ109,CF107-CL107)</f>
        <v>2.5056788665879579</v>
      </c>
      <c r="CN107" s="545"/>
      <c r="CO107" s="560"/>
      <c r="CP107" s="560">
        <f t="shared" ref="CP107:CP170" si="303">HC107+HE107</f>
        <v>445.75506816316391</v>
      </c>
      <c r="CQ107" s="560"/>
      <c r="CR107" s="560">
        <f ca="1">IF(B107&gt;Summary!$A$1,#N/A,CP107*MGtoAF)</f>
        <v>1367.576549124587</v>
      </c>
      <c r="CS107" s="560">
        <f>Sheet1!BK109+Sheet1!BL109+Sheet1!BM109-Sheet1!ER109-DA107</f>
        <v>5.92</v>
      </c>
      <c r="CT107" s="560">
        <f t="shared" ref="CT107:CT170" si="304">CS107+(DO107*CS107)</f>
        <v>5.9572766627312079</v>
      </c>
      <c r="CU107" s="560">
        <f>IF(Sheet1!ER109="FM",DA107,0)</f>
        <v>0</v>
      </c>
      <c r="CV107" s="560">
        <f t="shared" ref="CV107:CV170" si="305">CU107+(DO107*CU107)</f>
        <v>0</v>
      </c>
      <c r="CW107" s="560">
        <f>IF(Sheet1!ER109="OTHER",DA107,0)</f>
        <v>0</v>
      </c>
      <c r="CX107" s="560">
        <f t="shared" ref="CX107:CX170" si="306">CW107+(DO107*CW107)</f>
        <v>0</v>
      </c>
      <c r="CY107" s="560">
        <f t="shared" ref="CY107:CY170" si="307">MAX(CS107,CU107)</f>
        <v>5.92</v>
      </c>
      <c r="CZ107" s="560">
        <f t="shared" ref="CZ107:CZ170" si="308">MAX(CT107,CV107)</f>
        <v>5.9572766627312079</v>
      </c>
      <c r="DA107" s="560">
        <f>IF(OR(Sheet1!ER109="FM", Sheet1!ER109="OTHER"),SUM(Sheet1!BK109:'Sheet1'!BM109),0)</f>
        <v>0</v>
      </c>
      <c r="DB107" s="545">
        <f>IF(AND($B107&gt;=$FV107,$B107&lt;=$FW107),MAX($CT107,Sheet1!EK109,0),MAX($CT107-(7/36)*$K107,0))</f>
        <v>0</v>
      </c>
      <c r="DC107" s="560">
        <f t="shared" ref="DC107:DC170" si="309">IF(B107&gt;=GC107,IF(B107&lt;=GD107,(7/36)*K107-CT107,0),0)</f>
        <v>6.6116122261576811</v>
      </c>
      <c r="DD107" s="545">
        <f t="shared" ref="DD107:DD170" si="310">MAX(CZ107-DB107,0)</f>
        <v>5.9572766627312079</v>
      </c>
      <c r="DE107" s="545">
        <f>IF(AND($O107&gt;0,Sheet1!EO109=1),(1-($O107-Sheet1!$L109)/$O107)*CZ107,0)</f>
        <v>0</v>
      </c>
      <c r="DF107" s="545">
        <f>IF(AND(Sheet1!$L109=0,Sheet1!$L108=0, Calculation!CY107&lt;Sheet1!$EK109-0.1,Sheet1!$EK109=Sheet1!$EK108,Sheet1!$EK109=Sheet1!$EK110),Sheet1!$EK109,CZ107-DE107)</f>
        <v>5.9572766627312079</v>
      </c>
      <c r="DG107" s="545"/>
      <c r="DH107" s="560">
        <f t="shared" ref="DH107:DH170" si="311">BK107+CE107+CY107</f>
        <v>8.41</v>
      </c>
      <c r="DI107" s="560">
        <f t="shared" ref="DI107:DI170" si="312">HJ107+HL107</f>
        <v>321.46902881193688</v>
      </c>
      <c r="DJ107" s="698">
        <f t="shared" ref="DJ107:DJ170" si="313">BL107+CF107+CZ107</f>
        <v>8.4629555293191654</v>
      </c>
      <c r="DK107" s="560">
        <f ca="1">IF(B107&gt;Summary!$A$1,#N/A,DI107*MGtoAF)</f>
        <v>986.26698039502241</v>
      </c>
      <c r="DL107" s="698">
        <f t="shared" ref="DL107:DL170" si="314">CY107+CE107+BK107</f>
        <v>8.41</v>
      </c>
      <c r="DM107" s="560">
        <f t="shared" ref="DM107:DM170" si="315">DL107+AP107</f>
        <v>25.41</v>
      </c>
      <c r="DN107" s="560">
        <f>Sheet1!AB109-DM107</f>
        <v>0.16000000000000014</v>
      </c>
      <c r="DO107" s="823">
        <f t="shared" ref="DO107:DO170" si="316">IF(DM107=0,0,DN107/DM107)</f>
        <v>6.2967335694608479E-3</v>
      </c>
      <c r="DP107" s="560">
        <f>(VLOOKUP(Sheet1!DC109,hhdcap_wcm,4)-(((VLOOKUP(Sheet1!DC109,hhdcap_wcm,3)-Sheet1!DC109)/(VLOOKUP(Sheet1!DC109,hhdcap_wcm,3)-VLOOKUP(Sheet1!DC109,hhdcap_wcm,1)))*(VLOOKUP(Sheet1!DC109,hhdcap_wcm,4)-VLOOKUP(Sheet1!DC109,hhdcap_wcm,2))))</f>
        <v>26817.400000070476</v>
      </c>
      <c r="DQ107" s="560">
        <f t="shared" ref="DQ107:DQ170" si="317">DP107-DP106</f>
        <v>2329.4000000077976</v>
      </c>
      <c r="DR107" s="560">
        <f t="shared" ref="DR107:DR170" si="318">DQ107*AFtoCFS</f>
        <v>1174.6848209822479</v>
      </c>
      <c r="DS107" s="560">
        <f>Sheet1!EA109*AFtoMG</f>
        <v>0</v>
      </c>
      <c r="DT107" s="560">
        <f>Sheet1!EB109*AFtoMG</f>
        <v>0</v>
      </c>
      <c r="DU107" s="560">
        <f>Sheet1!EC109*AFtoMG</f>
        <v>0</v>
      </c>
      <c r="DV107" s="560">
        <f>Sheet1!ED109*AFtoMG</f>
        <v>0</v>
      </c>
      <c r="DW107" s="560">
        <f t="shared" ref="DW107:DW170" si="319">SUM(DS107:DV107)</f>
        <v>0</v>
      </c>
      <c r="DX107" s="560">
        <f t="shared" ref="DX107:DX170" si="320">DW107*MGtoAF</f>
        <v>0</v>
      </c>
      <c r="DY107" s="560">
        <f t="shared" ref="DY107:DY170" si="321">AN107</f>
        <v>2544.8240969750996</v>
      </c>
      <c r="DZ107" s="560">
        <f t="shared" ref="DZ107:DZ170" si="322">DY107*MGtoAF</f>
        <v>7807.5203295196052</v>
      </c>
      <c r="EA107" s="560"/>
      <c r="EB107" s="545">
        <f>IF(OR(B107&lt;FV107,B107&gt;FW107),(MIN(BF107+BY107+CT107+MAX(Sheet1!AA109+AQ107-73,0),K107)),0)</f>
        <v>8.4629555293191654</v>
      </c>
      <c r="EC107" s="560"/>
      <c r="ED107" s="560">
        <f t="shared" ref="ED107:ED170" si="323">CT107+BF107+BY107</f>
        <v>8.4629555293191654</v>
      </c>
      <c r="EE107" s="560"/>
      <c r="EF107" s="560">
        <f>Sheet1!EH109+Sheet1!EI109+Sheet1!EJ109+Sheet1!EK109</f>
        <v>8.41</v>
      </c>
      <c r="EG107" s="560"/>
      <c r="EH107" s="545">
        <f t="shared" ref="EH107:EH170" si="324">EB107-BP107-CK107-DD107</f>
        <v>0</v>
      </c>
      <c r="EI107" s="560">
        <f>IF(Sheet1!ET109=1,SUM('Calculations II'!AT107:BA107)+'Calculations II'!BC107+Sheet1!BV109+'Calculations II'!BE107+AP107,SUM('Calculations II'!AT107:BA107)+'Calculations II'!BC107+Sheet1!BV109+'Calculations II'!BE107+AP107)</f>
        <v>51.455760000000005</v>
      </c>
      <c r="EJ107" s="560">
        <f>Sheet1!AA109+Sheet1!AB109+'Calculations II'!BC107</f>
        <v>54.477967999999997</v>
      </c>
      <c r="EK107" s="560"/>
      <c r="EL107" s="560"/>
      <c r="EM107" s="560">
        <f t="shared" ref="EM107:EM170" si="325">B107</f>
        <v>41735</v>
      </c>
      <c r="EN107" s="560">
        <f t="shared" ref="EN107:EN170" si="326">AJ107-AH107</f>
        <v>56.177044470680833</v>
      </c>
      <c r="EO107" s="560">
        <f t="shared" ref="EO107:EO170" si="327">AK107-AI107</f>
        <v>86.905887796143247</v>
      </c>
      <c r="EP107" s="560">
        <v>0</v>
      </c>
      <c r="EQ107" s="560">
        <v>0</v>
      </c>
      <c r="ER107" s="560">
        <v>0</v>
      </c>
      <c r="ES107" s="545">
        <f t="shared" si="247"/>
        <v>1.522999313790772</v>
      </c>
      <c r="ET107" s="560">
        <f>-(VLOOKUP(Sheet1!BQ109,Lookup!$O$4:$Q$262,2)-VLOOKUP(Sheet1!BQ108,Lookup!$O$4:$Q$262,2))/1000000</f>
        <v>0.8307356362000704</v>
      </c>
      <c r="EU107" s="560">
        <f>-(VLOOKUP(Sheet1!BR109,Lookup!$O$4:$Q$262,3)-VLOOKUP(Sheet1!BR108,Lookup!$O$4:$Q$262,3))/1000000</f>
        <v>0.69226367759070173</v>
      </c>
      <c r="EV107" s="560"/>
      <c r="EW107" s="560"/>
      <c r="EX107" s="560"/>
      <c r="EY107" s="560"/>
      <c r="EZ107" s="560"/>
      <c r="FA107" s="560"/>
      <c r="FB107" s="560"/>
      <c r="FC107" s="560"/>
      <c r="FD107" s="594" t="e">
        <f t="shared" ref="FD107:FD170" si="328">VLOOKUP(FJ106,hhdelev_wcm,4) -(((VLOOKUP(FJ106,hhdelev_wcm,3)-FJ106)/(VLOOKUP(FJ106,hhdelev_wcm,3)-VLOOKUP(FJ106,hhdelev_wcm,1)))*(VLOOKUP(FJ106,hhdelev_wcm,4)-VLOOKUP(FJ106,hhdelev_wcm,2)))</f>
        <v>#N/A</v>
      </c>
      <c r="FE107" s="594" t="e">
        <f t="shared" ref="FE107:FE170" si="329">MAX((FE106-FI107*1.983),0)</f>
        <v>#N/A</v>
      </c>
      <c r="FF107" s="595" t="e">
        <f t="shared" ref="FF107:FF170" si="330">IF(DP107-AO107-FE107-1220&lt;0,0,DP107-AO107-FE107-1220)</f>
        <v>#N/A</v>
      </c>
      <c r="FG107" s="596" t="s">
        <v>692</v>
      </c>
      <c r="FH107" s="596" t="s">
        <v>692</v>
      </c>
      <c r="FI107" s="594" t="e">
        <v>#N/A</v>
      </c>
      <c r="FJ107" s="594" t="e">
        <v>#N/A</v>
      </c>
      <c r="FK107" s="560"/>
      <c r="FL107" s="560"/>
      <c r="FM107" s="560"/>
      <c r="FN107" s="560"/>
      <c r="FO107" s="560">
        <f>O107+((Sheet1!CS109)*GPMtoMGD)</f>
        <v>54.477967999999997</v>
      </c>
      <c r="FP107" s="560">
        <f>IF(Sheet1!AA109+AQ107&lt;=Calculation!N107,AQ107,Calculation!N107-Sheet1!AA109)</f>
        <v>15.496969696969698</v>
      </c>
      <c r="FQ107" s="560">
        <f>(Sheet1!BP109+Sheet1!BO109)/694.4</f>
        <v>1.5807891705069126</v>
      </c>
      <c r="FR107" s="560"/>
      <c r="FS107" s="560"/>
      <c r="FT107" s="560"/>
      <c r="FU107" s="560"/>
      <c r="FV107" s="695">
        <f t="shared" si="248"/>
        <v>41827</v>
      </c>
      <c r="FW107" s="695">
        <f t="shared" si="249"/>
        <v>41934</v>
      </c>
      <c r="FX107" s="560"/>
      <c r="FY107" s="560"/>
      <c r="FZ107" s="560"/>
      <c r="GA107" s="560"/>
      <c r="GB107" s="560" t="str">
        <f t="shared" si="250"/>
        <v>n</v>
      </c>
      <c r="GC107" s="564">
        <f t="shared" si="251"/>
        <v>41691</v>
      </c>
      <c r="GD107" s="695">
        <f t="shared" si="252"/>
        <v>41807</v>
      </c>
      <c r="GE107" s="560">
        <v>6518.9</v>
      </c>
      <c r="GF107" s="695">
        <f t="shared" si="253"/>
        <v>41808</v>
      </c>
      <c r="GG107" s="560">
        <f t="shared" si="272"/>
        <v>3259</v>
      </c>
      <c r="GH107" s="564">
        <f t="shared" si="254"/>
        <v>41934</v>
      </c>
      <c r="GJ107" s="545">
        <f t="shared" si="255"/>
        <v>0</v>
      </c>
      <c r="GK107" s="560" t="str">
        <f t="shared" ref="GK107:GK170" si="331">CONCATENATE(GM107,HA107,GT107,HH107)</f>
        <v/>
      </c>
      <c r="GL107" s="560">
        <f t="shared" si="256"/>
        <v>0</v>
      </c>
      <c r="GM107" s="560" t="str">
        <f t="shared" si="257"/>
        <v/>
      </c>
      <c r="GN107" s="560">
        <f>IF(GK107="P",Lookup!$M$12,IF(GK107="PP",Lookup!$M$13,IF(GK107="PPP",Lookup!$M$14,IF(GK107="T",Lookup!$M$15,IF(GK107="TP",Lookup!$M$16,IF(GK107="TPP",Lookup!$M$17,IF(GK107="TPPP",Lookup!$M$18,0)))))))*GJ107</f>
        <v>0</v>
      </c>
      <c r="GO107" s="560">
        <f t="shared" si="258"/>
        <v>0</v>
      </c>
      <c r="GP107" s="560">
        <f t="shared" ref="GP107:GP170" si="332">GQ107*MGtoAF</f>
        <v>3718.4159999999979</v>
      </c>
      <c r="GQ107" s="560">
        <f t="shared" si="266"/>
        <v>1211.9999999999993</v>
      </c>
      <c r="GR107" s="560"/>
      <c r="GS107" s="560">
        <f t="shared" si="259"/>
        <v>0</v>
      </c>
      <c r="GT107" s="560" t="str">
        <f t="shared" si="260"/>
        <v/>
      </c>
      <c r="GU107" s="560">
        <f>IF(GK107="P",Lookup!$N$12,IF(GK107="PP",Lookup!$N$13,IF(GK107="PPP",Lookup!$N$14,IF(GK107="T",Lookup!$N$15,IF(GK107="TP",Lookup!$N$16,IF(GK107="TPP",Lookup!$N$17,IF(GK107="TPPP",Lookup!$N$18,0)))))))*GJ107</f>
        <v>0</v>
      </c>
      <c r="GV107" s="560">
        <f t="shared" si="261"/>
        <v>0</v>
      </c>
      <c r="GW107" s="560">
        <f t="shared" ref="GW107:GW170" si="333">GX107*MGtoAF</f>
        <v>1735.2607999999984</v>
      </c>
      <c r="GX107" s="560">
        <f t="shared" si="267"/>
        <v>565.59999999999945</v>
      </c>
      <c r="GY107" s="560"/>
      <c r="GZ107" s="560">
        <f t="shared" si="262"/>
        <v>0</v>
      </c>
      <c r="HA107" s="560" t="str">
        <f t="shared" si="263"/>
        <v/>
      </c>
      <c r="HB107" s="560">
        <f>IF(GK107="P",Lookup!$N$12,IF(GK107="PP",Lookup!$N$13,IF(GK107="PPP",Lookup!$N$14,IF(GK107="T",Lookup!$N$15,IF(GK107="TP",Lookup!$N$16,IF(GK107="TPP",Lookup!$N$17,IF(GK107="TPPP",Lookup!$N$18,0)))))))*GJ107</f>
        <v>0</v>
      </c>
      <c r="HC107" s="545">
        <f t="shared" ref="HC107:HC170" si="334">IF(HA107="P",MIN(HB107,7/36*GE107-HE107),0)</f>
        <v>0</v>
      </c>
      <c r="HD107" s="560">
        <f t="shared" ref="HD107:HD170" si="335">HE107*MGtoAF</f>
        <v>1367.576549124587</v>
      </c>
      <c r="HE107" s="560">
        <f t="shared" si="268"/>
        <v>445.75506816316391</v>
      </c>
      <c r="HF107" s="560"/>
      <c r="HG107" s="560">
        <f t="shared" si="264"/>
        <v>0</v>
      </c>
      <c r="HH107" s="560" t="str">
        <f t="shared" si="265"/>
        <v/>
      </c>
      <c r="HI107" s="560">
        <f>IF(GK107="P",Lookup!$N$12,IF(GK107="PP",Lookup!$N$13,IF(GK107="PPP",Lookup!$N$14,IF(GK107="T",Lookup!$N$15,IF(GK107="TP",Lookup!$N$16,IF(GK107="TPP",Lookup!$N$17,IF(GK107="TPPP",Lookup!$N$18,0)))))))*GJ107</f>
        <v>0</v>
      </c>
      <c r="HJ107" s="545">
        <f t="shared" ref="HJ107:HJ170" si="336">IF(HH107="P",MIN(HI107,7/36*GE107-HL107),0)</f>
        <v>0</v>
      </c>
      <c r="HK107" s="560">
        <f t="shared" ref="HK107:HK170" si="337">HL107*MGtoAF</f>
        <v>986.26698039502241</v>
      </c>
      <c r="HL107" s="560">
        <f t="shared" si="269"/>
        <v>321.46902881193688</v>
      </c>
      <c r="HM107" s="560"/>
    </row>
    <row r="108" spans="1:221">
      <c r="A108" s="580" t="s">
        <v>4</v>
      </c>
      <c r="B108" s="556">
        <v>41736</v>
      </c>
      <c r="C108" s="561">
        <v>0</v>
      </c>
      <c r="D108" s="529">
        <f t="shared" si="270"/>
        <v>300</v>
      </c>
      <c r="E108" s="529">
        <f t="shared" si="271"/>
        <v>250</v>
      </c>
      <c r="F108" s="529">
        <v>250</v>
      </c>
      <c r="G108" s="560">
        <f>DR108+Sheet1!CZ110</f>
        <v>2534.190620273323</v>
      </c>
      <c r="H108" s="914">
        <f t="shared" si="236"/>
        <v>1371.137616944676</v>
      </c>
      <c r="I108" s="559">
        <f>MAX(Sheet1!Z110-AT108+(Sheet1!DA110-E108)*CFStoMGD,0)</f>
        <v>1641.57</v>
      </c>
      <c r="J108" s="562">
        <f>IF(AND(B108&gt;=Calculation!GC108,B108&lt;=Calculation!GD108),IF(Sheet1!DB110&gt;=Calculation!D108,64.64,0),MAX(Sheet1!Z110-AT108+(Sheet1!DB110-D108)*CFStoMGD,0))</f>
        <v>64.64</v>
      </c>
      <c r="K108" s="904">
        <f t="shared" si="273"/>
        <v>64.64</v>
      </c>
      <c r="L108" s="560">
        <f>Sheet1!AA110+Sheet1!AB110-Sheet1!L110+(Sheet1!DA110-F108)*CFStoMGD</f>
        <v>1616</v>
      </c>
      <c r="M108" s="560">
        <f t="shared" si="274"/>
        <v>1670.8628332835697</v>
      </c>
      <c r="N108" s="910">
        <f>IF(Sheet1!DA110&gt;=F108,MIN(73,MIN(MAX(L108,0),MAX(M108,0))),0)</f>
        <v>73</v>
      </c>
      <c r="O108" s="563">
        <f>Sheet1!AA110+Sheet1!AB110</f>
        <v>46.59</v>
      </c>
      <c r="P108" s="563">
        <f t="shared" si="275"/>
        <v>72.074729999999988</v>
      </c>
      <c r="Q108" s="898">
        <f t="shared" si="237"/>
        <v>38.260000000000005</v>
      </c>
      <c r="R108" s="829">
        <f t="shared" si="276"/>
        <v>8.33</v>
      </c>
      <c r="S108" s="898">
        <f t="shared" si="238"/>
        <v>8.33</v>
      </c>
      <c r="T108" s="898">
        <f t="shared" si="239"/>
        <v>56.31</v>
      </c>
      <c r="U108" s="898">
        <f t="shared" si="240"/>
        <v>0</v>
      </c>
      <c r="V108" s="898"/>
      <c r="W108" s="898">
        <f t="shared" si="241"/>
        <v>56.31</v>
      </c>
      <c r="X108" s="898">
        <f t="shared" si="242"/>
        <v>64.64</v>
      </c>
      <c r="Y108" s="898" t="str">
        <f t="shared" si="243"/>
        <v>FALSE</v>
      </c>
      <c r="Z108" s="898">
        <f t="shared" si="244"/>
        <v>46.59</v>
      </c>
      <c r="AA108" s="898">
        <f t="shared" si="245"/>
        <v>46.59</v>
      </c>
      <c r="AB108" s="898" t="str">
        <f t="shared" si="246"/>
        <v/>
      </c>
      <c r="AC108" s="563">
        <f>Sheet1!Y110*MGDtoCFS</f>
        <v>32.502470000000002</v>
      </c>
      <c r="AD108" s="563">
        <f>Sheet1!Z110*MGDtoCFS</f>
        <v>39.556789999999999</v>
      </c>
      <c r="AE108" s="563">
        <f>Sheet1!AA110*MGDtoCFS</f>
        <v>32.579819999999998</v>
      </c>
      <c r="AF108" s="563">
        <f>Sheet1!AB110*MGDtoCFS</f>
        <v>39.494909999999997</v>
      </c>
      <c r="AG108" s="563">
        <f>Sheet1!L110*MGDtoCFS</f>
        <v>72.074730000000002</v>
      </c>
      <c r="AH108" s="545">
        <f t="shared" si="277"/>
        <v>0</v>
      </c>
      <c r="AI108" s="560">
        <f t="shared" si="278"/>
        <v>0</v>
      </c>
      <c r="AJ108" s="560">
        <f t="shared" si="279"/>
        <v>56.31</v>
      </c>
      <c r="AK108" s="560">
        <f t="shared" si="280"/>
        <v>87.11157</v>
      </c>
      <c r="AL108" s="560">
        <f>(VLOOKUP(Sheet1!DC110,hhdcap_wcm,4)-(((VLOOKUP(Sheet1!DC110,hhdcap_wcm,3)-Sheet1!DC110)/(VLOOKUP(Sheet1!DC110,hhdcap_wcm,3)-VLOOKUP(Sheet1!DC110,hhdcap_wcm,1)))*(VLOOKUP(Sheet1!DC110,hhdcap_wcm,4)-VLOOKUP(Sheet1!DC110,hhdcap_wcm,2))))</f>
        <v>28075.000000072476</v>
      </c>
      <c r="AM108" s="560">
        <f t="shared" si="281"/>
        <v>1257.6000000019994</v>
      </c>
      <c r="AN108" s="560">
        <f t="shared" si="282"/>
        <v>2601.1340969750995</v>
      </c>
      <c r="AO108" s="560">
        <f t="shared" si="283"/>
        <v>7980.2794095196059</v>
      </c>
      <c r="AP108" s="560">
        <f>Sheet1!BA110+Sheet1!BB110+Sheet1!BN110+CD108</f>
        <v>17.2</v>
      </c>
      <c r="AQ108" s="560">
        <f>Sheet1!BN110+(DO108*Sheet1!BN110)</f>
        <v>15.6</v>
      </c>
      <c r="AR108" s="560">
        <f>Sheet1!BA110+CD108</f>
        <v>0</v>
      </c>
      <c r="AS108" s="560">
        <f>Sheet1!BA110+Sheet1!BB110+CD108</f>
        <v>1.6</v>
      </c>
      <c r="AT108" s="698">
        <f>0</f>
        <v>0</v>
      </c>
      <c r="AU108" s="560">
        <f>IF(EB108&lt;K108,0,MAX(Sheet1!AA110+AQ108-15/36*K108-N108,Sheet1!EH110,0))</f>
        <v>0</v>
      </c>
      <c r="AV108" s="560">
        <f>IF(OR(B108&gt;=GD108,B108&lt;GC108),0,15/36*K108-MAX(0,64.6-(137.6-(Sheet1!AA110+Sheet1!AB110))))</f>
        <v>26.933333333333334</v>
      </c>
      <c r="AW108" s="698">
        <f>Sheet1!DB110-110</f>
        <v>1820</v>
      </c>
      <c r="AX108" s="698">
        <f>Sheet1!DA110-265</f>
        <v>2485</v>
      </c>
      <c r="AY108" s="698">
        <f t="shared" si="284"/>
        <v>34.739999999999995</v>
      </c>
      <c r="AZ108" s="698">
        <v>0</v>
      </c>
      <c r="BA108" s="698">
        <f t="shared" si="285"/>
        <v>0</v>
      </c>
      <c r="BB108" s="560">
        <f t="shared" si="286"/>
        <v>1238.9333333333327</v>
      </c>
      <c r="BC108" s="560"/>
      <c r="BD108" s="560">
        <f ca="1">IF(B108&gt;Summary!$A$1,#N/A,BB108*MGtoAF)</f>
        <v>3801.0474666666651</v>
      </c>
      <c r="BE108" s="560">
        <f>Sheet1!BG110+Sheet1!BH110+Sheet1!BI110-BM108</f>
        <v>0</v>
      </c>
      <c r="BF108" s="560">
        <f t="shared" si="287"/>
        <v>0</v>
      </c>
      <c r="BG108" s="560">
        <f>IF(Sheet1!EP110="FM",BM108,0)</f>
        <v>0</v>
      </c>
      <c r="BH108" s="560">
        <f t="shared" si="288"/>
        <v>0</v>
      </c>
      <c r="BI108" s="560">
        <f>IF(Sheet1!EP110="OTHER",BM108,0)</f>
        <v>0</v>
      </c>
      <c r="BJ108" s="560">
        <f t="shared" si="289"/>
        <v>0</v>
      </c>
      <c r="BK108" s="560">
        <f t="shared" si="290"/>
        <v>0</v>
      </c>
      <c r="BL108" s="560">
        <f t="shared" si="291"/>
        <v>0</v>
      </c>
      <c r="BM108" s="560">
        <f>IF(OR(Sheet1!EP110="FM", Sheet1!EP110="OTHER"),SUM(Sheet1!BG110:'Sheet1'!BI110),0)</f>
        <v>0</v>
      </c>
      <c r="BN108" s="545">
        <f>IF(AND($B108&gt;=$FV108,$B108&lt;=$FW108),MAX(BF108,Sheet1!EI110,0),MAX(BF108-(7/36)*$K108,0))</f>
        <v>0</v>
      </c>
      <c r="BO108" s="560">
        <f t="shared" si="292"/>
        <v>12.568888888888889</v>
      </c>
      <c r="BP108" s="545">
        <f t="shared" si="293"/>
        <v>0</v>
      </c>
      <c r="BQ108" s="545">
        <f>IF(AND($O108&gt;0,Sheet1!EM110=1),(1-($O108-Sheet1!$L110)/$O108)*BL108,0)</f>
        <v>0</v>
      </c>
      <c r="BR108" s="545">
        <f>IF(AND(Sheet1!$L110=0,Sheet1!$L109=0, Calculation!BK108&lt;Sheet1!$EI110-0.1,Sheet1!$EI110=Sheet1!$EI109,Sheet1!$EI110=Sheet1!$EI111),Sheet1!$EI110,BL108-BQ108)</f>
        <v>0</v>
      </c>
      <c r="BS108" s="560"/>
      <c r="BT108" s="560"/>
      <c r="BU108" s="560">
        <f t="shared" si="294"/>
        <v>578.16888888888832</v>
      </c>
      <c r="BV108" s="560"/>
      <c r="BW108" s="560">
        <f ca="1">IF(B108&gt;Summary!$A$1,#N/A,BU108*MGtoAF)</f>
        <v>1773.8221511111094</v>
      </c>
      <c r="BX108" s="560">
        <f>Sheet1!BC110+Sheet1!BD110+Sheet1!BE110+Sheet1!BF110-CG108-CH108</f>
        <v>2.4900000000000002</v>
      </c>
      <c r="BY108" s="560">
        <f t="shared" si="295"/>
        <v>2.4900000000000002</v>
      </c>
      <c r="BZ108" s="560">
        <f>IF(Sheet1!EQ110="FM",CH108,0)</f>
        <v>0</v>
      </c>
      <c r="CA108" s="560">
        <f t="shared" si="296"/>
        <v>0</v>
      </c>
      <c r="CB108" s="560">
        <f>IF(Sheet1!EQ110="OTHER",CH108,0)</f>
        <v>0</v>
      </c>
      <c r="CC108" s="560">
        <f t="shared" si="297"/>
        <v>0</v>
      </c>
      <c r="CD108" s="560">
        <f t="shared" si="298"/>
        <v>0</v>
      </c>
      <c r="CE108" s="560">
        <f t="shared" si="299"/>
        <v>2.4900000000000002</v>
      </c>
      <c r="CF108" s="560">
        <f t="shared" si="300"/>
        <v>2.4900000000000002</v>
      </c>
      <c r="CG108" s="560">
        <f>IF(Sheet1!EQ110="CWA",SUM(Sheet1!BC110:'Sheet1'!BF110),0)</f>
        <v>0</v>
      </c>
      <c r="CH108" s="560">
        <f>IF(OR(Sheet1!EQ110="FM", Sheet1!EQ110="OTHER"),SUM(Sheet1!BC110:'Sheet1'!BF110),0)</f>
        <v>0</v>
      </c>
      <c r="CI108" s="545">
        <f>IF(AND($B108&gt;=$FV108,$B108&lt;=$FW108),MAX(CF108,Sheet1!EJ110,0),MAX(CF108-(7/36)*$K108,0))</f>
        <v>0</v>
      </c>
      <c r="CJ108" s="560">
        <f t="shared" si="301"/>
        <v>10.078888888888889</v>
      </c>
      <c r="CK108" s="545">
        <f t="shared" si="302"/>
        <v>2.4900000000000002</v>
      </c>
      <c r="CL108" s="545">
        <f>IF(AND($O108&gt;0,Sheet1!EN110=1),(1-($O108-Sheet1!$L110)/$O108)*CF108,0)</f>
        <v>0</v>
      </c>
      <c r="CM108" s="545">
        <f>IF(AND(Sheet1!$L110=0,Sheet1!$L109=0, Calculation!CE108&lt;Sheet1!EJ110-0.1,Sheet1!EJ110=Sheet1!EJ109,Sheet1!EJ110=Sheet1!EJ111),Sheet1!EJ110,CF108-CL108)</f>
        <v>2.4900000000000002</v>
      </c>
      <c r="CN108" s="545"/>
      <c r="CO108" s="560"/>
      <c r="CP108" s="560">
        <f t="shared" si="303"/>
        <v>455.83395705205282</v>
      </c>
      <c r="CQ108" s="560"/>
      <c r="CR108" s="560">
        <f ca="1">IF(B108&gt;Summary!$A$1,#N/A,CP108*MGtoAF)</f>
        <v>1398.498580235698</v>
      </c>
      <c r="CS108" s="560">
        <f>Sheet1!BK110+Sheet1!BL110+Sheet1!BM110-Sheet1!ER110-DA108</f>
        <v>5.84</v>
      </c>
      <c r="CT108" s="560">
        <f t="shared" si="304"/>
        <v>5.84</v>
      </c>
      <c r="CU108" s="560">
        <f>IF(Sheet1!ER110="FM",DA108,0)</f>
        <v>0</v>
      </c>
      <c r="CV108" s="560">
        <f t="shared" si="305"/>
        <v>0</v>
      </c>
      <c r="CW108" s="560">
        <f>IF(Sheet1!ER110="OTHER",DA108,0)</f>
        <v>0</v>
      </c>
      <c r="CX108" s="560">
        <f t="shared" si="306"/>
        <v>0</v>
      </c>
      <c r="CY108" s="560">
        <f t="shared" si="307"/>
        <v>5.84</v>
      </c>
      <c r="CZ108" s="560">
        <f t="shared" si="308"/>
        <v>5.84</v>
      </c>
      <c r="DA108" s="560">
        <f>IF(OR(Sheet1!ER110="FM", Sheet1!ER110="OTHER"),SUM(Sheet1!BK110:'Sheet1'!BM110),0)</f>
        <v>0</v>
      </c>
      <c r="DB108" s="545">
        <f>IF(AND($B108&gt;=$FV108,$B108&lt;=$FW108),MAX($CT108,Sheet1!EK110,0),MAX($CT108-(7/36)*$K108,0))</f>
        <v>0</v>
      </c>
      <c r="DC108" s="560">
        <f t="shared" si="309"/>
        <v>6.7288888888888891</v>
      </c>
      <c r="DD108" s="545">
        <f t="shared" si="310"/>
        <v>5.84</v>
      </c>
      <c r="DE108" s="545">
        <f>IF(AND($O108&gt;0,Sheet1!EO110=1),(1-($O108-Sheet1!$L110)/$O108)*CZ108,0)</f>
        <v>0</v>
      </c>
      <c r="DF108" s="545">
        <f>IF(AND(Sheet1!$L110=0,Sheet1!$L109=0, Calculation!CY108&lt;Sheet1!$EK110-0.1,Sheet1!$EK110=Sheet1!$EK109,Sheet1!$EK110=Sheet1!$EK111),Sheet1!$EK110,CZ108-DE108)</f>
        <v>5.84</v>
      </c>
      <c r="DG108" s="545"/>
      <c r="DH108" s="560">
        <f t="shared" si="311"/>
        <v>8.33</v>
      </c>
      <c r="DI108" s="560">
        <f t="shared" si="312"/>
        <v>328.19791770082577</v>
      </c>
      <c r="DJ108" s="698">
        <f t="shared" si="313"/>
        <v>8.33</v>
      </c>
      <c r="DK108" s="560">
        <f ca="1">IF(B108&gt;Summary!$A$1,#N/A,DI108*MGtoAF)</f>
        <v>1006.9112115061334</v>
      </c>
      <c r="DL108" s="698">
        <f t="shared" si="314"/>
        <v>8.33</v>
      </c>
      <c r="DM108" s="560">
        <f t="shared" si="315"/>
        <v>25.53</v>
      </c>
      <c r="DN108" s="560">
        <f>Sheet1!AB110-DM108</f>
        <v>0</v>
      </c>
      <c r="DO108" s="823">
        <f t="shared" si="316"/>
        <v>0</v>
      </c>
      <c r="DP108" s="560">
        <f>(VLOOKUP(Sheet1!DC110,hhdcap_wcm,4)-(((VLOOKUP(Sheet1!DC110,hhdcap_wcm,3)-Sheet1!DC110)/(VLOOKUP(Sheet1!DC110,hhdcap_wcm,3)-VLOOKUP(Sheet1!DC110,hhdcap_wcm,1)))*(VLOOKUP(Sheet1!DC110,hhdcap_wcm,4)-VLOOKUP(Sheet1!DC110,hhdcap_wcm,2))))</f>
        <v>28075.000000072476</v>
      </c>
      <c r="DQ108" s="560">
        <f t="shared" si="317"/>
        <v>1257.6000000019994</v>
      </c>
      <c r="DR108" s="560">
        <f t="shared" si="318"/>
        <v>634.19062027332291</v>
      </c>
      <c r="DS108" s="560">
        <f>Sheet1!EA110*AFtoMG</f>
        <v>0</v>
      </c>
      <c r="DT108" s="560">
        <f>Sheet1!EB110*AFtoMG</f>
        <v>0</v>
      </c>
      <c r="DU108" s="560">
        <f>Sheet1!EC110*AFtoMG</f>
        <v>0</v>
      </c>
      <c r="DV108" s="560">
        <f>Sheet1!ED110*AFtoMG</f>
        <v>0</v>
      </c>
      <c r="DW108" s="560">
        <f t="shared" si="319"/>
        <v>0</v>
      </c>
      <c r="DX108" s="560">
        <f t="shared" si="320"/>
        <v>0</v>
      </c>
      <c r="DY108" s="560">
        <f t="shared" si="321"/>
        <v>2601.1340969750995</v>
      </c>
      <c r="DZ108" s="560">
        <f t="shared" si="322"/>
        <v>7980.2794095196059</v>
      </c>
      <c r="EA108" s="560"/>
      <c r="EB108" s="545">
        <f>IF(OR(B108&lt;FV108,B108&gt;FW108),(MIN(BF108+BY108+CT108+MAX(Sheet1!AA110+AQ108-73,0),K108)),0)</f>
        <v>8.33</v>
      </c>
      <c r="EC108" s="560"/>
      <c r="ED108" s="560">
        <f t="shared" si="323"/>
        <v>8.33</v>
      </c>
      <c r="EE108" s="560"/>
      <c r="EF108" s="560">
        <f>Sheet1!EH110+Sheet1!EI110+Sheet1!EJ110+Sheet1!EK110</f>
        <v>8.33</v>
      </c>
      <c r="EG108" s="560"/>
      <c r="EH108" s="545">
        <f t="shared" si="324"/>
        <v>0</v>
      </c>
      <c r="EI108" s="560">
        <f>IF(Sheet1!ET110=1,SUM('Calculations II'!AT108:BA108)+'Calculations II'!BC108+Sheet1!BV110+'Calculations II'!BE108+AP108,SUM('Calculations II'!AT108:BA108)+'Calculations II'!BC108+Sheet1!BV110+'Calculations II'!BE108+AP108)</f>
        <v>48.194240000000001</v>
      </c>
      <c r="EJ108" s="560">
        <f>Sheet1!AA110+Sheet1!AB110+'Calculations II'!BC108</f>
        <v>56.351040000000005</v>
      </c>
      <c r="EK108" s="560"/>
      <c r="EL108" s="560"/>
      <c r="EM108" s="560">
        <f t="shared" si="325"/>
        <v>41736</v>
      </c>
      <c r="EN108" s="560">
        <f t="shared" si="326"/>
        <v>56.31</v>
      </c>
      <c r="EO108" s="560">
        <f t="shared" si="327"/>
        <v>87.11157</v>
      </c>
      <c r="EP108" s="560">
        <v>0</v>
      </c>
      <c r="EQ108" s="560">
        <v>0</v>
      </c>
      <c r="ER108" s="560">
        <v>0</v>
      </c>
      <c r="ES108" s="545">
        <f t="shared" si="247"/>
        <v>-3.6004375598335714</v>
      </c>
      <c r="ET108" s="560">
        <f>-(VLOOKUP(Sheet1!BQ110,Lookup!$O$4:$Q$262,2)-VLOOKUP(Sheet1!BQ109,Lookup!$O$4:$Q$262,2))/1000000</f>
        <v>-1.8002187799167857</v>
      </c>
      <c r="EU108" s="560">
        <f>-(VLOOKUP(Sheet1!BR110,Lookup!$O$4:$Q$262,3)-VLOOKUP(Sheet1!BR109,Lookup!$O$4:$Q$262,3))/1000000</f>
        <v>-1.8002187799167857</v>
      </c>
      <c r="EV108" s="560"/>
      <c r="EW108" s="560"/>
      <c r="EX108" s="560"/>
      <c r="EY108" s="560"/>
      <c r="EZ108" s="560"/>
      <c r="FA108" s="560"/>
      <c r="FB108" s="560"/>
      <c r="FC108" s="560"/>
      <c r="FD108" s="594" t="e">
        <f t="shared" si="328"/>
        <v>#N/A</v>
      </c>
      <c r="FE108" s="594" t="e">
        <f t="shared" si="329"/>
        <v>#N/A</v>
      </c>
      <c r="FF108" s="595" t="e">
        <f t="shared" si="330"/>
        <v>#N/A</v>
      </c>
      <c r="FG108" s="596" t="s">
        <v>692</v>
      </c>
      <c r="FH108" s="596" t="s">
        <v>692</v>
      </c>
      <c r="FI108" s="594" t="e">
        <v>#N/A</v>
      </c>
      <c r="FJ108" s="594" t="e">
        <v>#N/A</v>
      </c>
      <c r="FK108" s="560"/>
      <c r="FL108" s="560"/>
      <c r="FM108" s="560"/>
      <c r="FN108" s="560"/>
      <c r="FO108" s="560">
        <f>O108+((Sheet1!CS110)*GPMtoMGD)</f>
        <v>56.351040000000005</v>
      </c>
      <c r="FP108" s="560">
        <f>IF(Sheet1!AA110+AQ108&lt;=Calculation!N108,AQ108,Calculation!N108-Sheet1!AA110)</f>
        <v>15.6</v>
      </c>
      <c r="FQ108" s="560">
        <f>(Sheet1!BP110+Sheet1!BO110)/694.4</f>
        <v>0.80414746543778803</v>
      </c>
      <c r="FR108" s="560"/>
      <c r="FS108" s="560"/>
      <c r="FT108" s="560"/>
      <c r="FU108" s="560"/>
      <c r="FV108" s="695">
        <f t="shared" si="248"/>
        <v>41827</v>
      </c>
      <c r="FW108" s="695">
        <f t="shared" si="249"/>
        <v>41934</v>
      </c>
      <c r="FX108" s="560"/>
      <c r="FY108" s="560"/>
      <c r="FZ108" s="560"/>
      <c r="GA108" s="560"/>
      <c r="GB108" s="560" t="str">
        <f t="shared" si="250"/>
        <v>n</v>
      </c>
      <c r="GC108" s="564">
        <f t="shared" si="251"/>
        <v>41691</v>
      </c>
      <c r="GD108" s="695">
        <f t="shared" si="252"/>
        <v>41807</v>
      </c>
      <c r="GE108" s="560">
        <v>6518.9</v>
      </c>
      <c r="GF108" s="695">
        <f t="shared" si="253"/>
        <v>41808</v>
      </c>
      <c r="GG108" s="560">
        <f t="shared" si="272"/>
        <v>3259</v>
      </c>
      <c r="GH108" s="564">
        <f t="shared" si="254"/>
        <v>41934</v>
      </c>
      <c r="GJ108" s="545">
        <f t="shared" si="255"/>
        <v>0</v>
      </c>
      <c r="GK108" s="560" t="str">
        <f t="shared" si="331"/>
        <v/>
      </c>
      <c r="GL108" s="560">
        <f t="shared" si="256"/>
        <v>0</v>
      </c>
      <c r="GM108" s="560" t="str">
        <f t="shared" si="257"/>
        <v/>
      </c>
      <c r="GN108" s="560">
        <f>IF(GK108="P",Lookup!$M$12,IF(GK108="PP",Lookup!$M$13,IF(GK108="PPP",Lookup!$M$14,IF(GK108="T",Lookup!$M$15,IF(GK108="TP",Lookup!$M$16,IF(GK108="TPP",Lookup!$M$17,IF(GK108="TPPP",Lookup!$M$18,0)))))))*GJ108</f>
        <v>0</v>
      </c>
      <c r="GO108" s="560">
        <f t="shared" si="258"/>
        <v>0</v>
      </c>
      <c r="GP108" s="560">
        <f t="shared" si="332"/>
        <v>3801.0474666666651</v>
      </c>
      <c r="GQ108" s="560">
        <f t="shared" si="266"/>
        <v>1238.9333333333327</v>
      </c>
      <c r="GR108" s="560"/>
      <c r="GS108" s="560">
        <f t="shared" si="259"/>
        <v>0</v>
      </c>
      <c r="GT108" s="560" t="str">
        <f t="shared" si="260"/>
        <v/>
      </c>
      <c r="GU108" s="560">
        <f>IF(GK108="P",Lookup!$N$12,IF(GK108="PP",Lookup!$N$13,IF(GK108="PPP",Lookup!$N$14,IF(GK108="T",Lookup!$N$15,IF(GK108="TP",Lookup!$N$16,IF(GK108="TPP",Lookup!$N$17,IF(GK108="TPPP",Lookup!$N$18,0)))))))*GJ108</f>
        <v>0</v>
      </c>
      <c r="GV108" s="560">
        <f t="shared" si="261"/>
        <v>0</v>
      </c>
      <c r="GW108" s="560">
        <f t="shared" si="333"/>
        <v>1773.8221511111094</v>
      </c>
      <c r="GX108" s="560">
        <f t="shared" si="267"/>
        <v>578.16888888888832</v>
      </c>
      <c r="GY108" s="560"/>
      <c r="GZ108" s="560">
        <f t="shared" si="262"/>
        <v>0</v>
      </c>
      <c r="HA108" s="560" t="str">
        <f t="shared" si="263"/>
        <v/>
      </c>
      <c r="HB108" s="560">
        <f>IF(GK108="P",Lookup!$N$12,IF(GK108="PP",Lookup!$N$13,IF(GK108="PPP",Lookup!$N$14,IF(GK108="T",Lookup!$N$15,IF(GK108="TP",Lookup!$N$16,IF(GK108="TPP",Lookup!$N$17,IF(GK108="TPPP",Lookup!$N$18,0)))))))*GJ108</f>
        <v>0</v>
      </c>
      <c r="HC108" s="545">
        <f t="shared" si="334"/>
        <v>0</v>
      </c>
      <c r="HD108" s="560">
        <f t="shared" si="335"/>
        <v>1398.498580235698</v>
      </c>
      <c r="HE108" s="560">
        <f t="shared" si="268"/>
        <v>455.83395705205282</v>
      </c>
      <c r="HF108" s="560"/>
      <c r="HG108" s="560">
        <f t="shared" si="264"/>
        <v>0</v>
      </c>
      <c r="HH108" s="560" t="str">
        <f t="shared" si="265"/>
        <v/>
      </c>
      <c r="HI108" s="560">
        <f>IF(GK108="P",Lookup!$N$12,IF(GK108="PP",Lookup!$N$13,IF(GK108="PPP",Lookup!$N$14,IF(GK108="T",Lookup!$N$15,IF(GK108="TP",Lookup!$N$16,IF(GK108="TPP",Lookup!$N$17,IF(GK108="TPPP",Lookup!$N$18,0)))))))*GJ108</f>
        <v>0</v>
      </c>
      <c r="HJ108" s="545">
        <f t="shared" si="336"/>
        <v>0</v>
      </c>
      <c r="HK108" s="560">
        <f t="shared" si="337"/>
        <v>1006.9112115061334</v>
      </c>
      <c r="HL108" s="560">
        <f t="shared" si="269"/>
        <v>328.19791770082577</v>
      </c>
      <c r="HM108" s="560"/>
    </row>
    <row r="109" spans="1:221">
      <c r="A109" s="580" t="s">
        <v>5</v>
      </c>
      <c r="B109" s="556">
        <v>41737</v>
      </c>
      <c r="C109" s="561">
        <v>0</v>
      </c>
      <c r="D109" s="529">
        <f t="shared" si="270"/>
        <v>300</v>
      </c>
      <c r="E109" s="529">
        <f t="shared" si="271"/>
        <v>250</v>
      </c>
      <c r="F109" s="529">
        <v>250</v>
      </c>
      <c r="G109" s="560">
        <f>DR109+Sheet1!CZ111</f>
        <v>2524.0847201217553</v>
      </c>
      <c r="H109" s="914">
        <f t="shared" si="236"/>
        <v>1364.6051630867025</v>
      </c>
      <c r="I109" s="559">
        <f>MAX(Sheet1!Z111-AT109+(Sheet1!DA111-E109)*CFStoMGD,0)</f>
        <v>1874.2339999999999</v>
      </c>
      <c r="J109" s="562">
        <f>IF(AND(B109&gt;=Calculation!GC109,B109&lt;=Calculation!GD109),IF(Sheet1!DB111&gt;=Calculation!D109,64.64,0),MAX(Sheet1!Z111-AT109+(Sheet1!DB111-D109)*CFStoMGD,0))</f>
        <v>64.64</v>
      </c>
      <c r="K109" s="904">
        <f t="shared" si="273"/>
        <v>64.64</v>
      </c>
      <c r="L109" s="560">
        <f>Sheet1!AA111+Sheet1!AB111-Sheet1!L111+(Sheet1!DA111-F109)*CFStoMGD</f>
        <v>1848.704</v>
      </c>
      <c r="M109" s="560">
        <f t="shared" si="274"/>
        <v>1664.1997303484368</v>
      </c>
      <c r="N109" s="910">
        <f>IF(Sheet1!DA111&gt;=F109,MIN(73,MIN(MAX(L109,0),MAX(M109,0))),0)</f>
        <v>73</v>
      </c>
      <c r="O109" s="563">
        <f>Sheet1!AA111+Sheet1!AB111</f>
        <v>46.33</v>
      </c>
      <c r="P109" s="563">
        <f t="shared" si="275"/>
        <v>71.672509999999988</v>
      </c>
      <c r="Q109" s="898">
        <f t="shared" si="237"/>
        <v>38.01</v>
      </c>
      <c r="R109" s="829">
        <f t="shared" si="276"/>
        <v>8.3461841070023599</v>
      </c>
      <c r="S109" s="898">
        <f t="shared" si="238"/>
        <v>8.32</v>
      </c>
      <c r="T109" s="898">
        <f t="shared" si="239"/>
        <v>56.32</v>
      </c>
      <c r="U109" s="898">
        <f t="shared" si="240"/>
        <v>0</v>
      </c>
      <c r="V109" s="898"/>
      <c r="W109" s="898">
        <f t="shared" si="241"/>
        <v>56.293815892997642</v>
      </c>
      <c r="X109" s="898">
        <f t="shared" si="242"/>
        <v>64.64</v>
      </c>
      <c r="Y109" s="898" t="str">
        <f t="shared" si="243"/>
        <v>FALSE</v>
      </c>
      <c r="Z109" s="898">
        <f t="shared" si="244"/>
        <v>46.33</v>
      </c>
      <c r="AA109" s="898">
        <f t="shared" si="245"/>
        <v>46.33</v>
      </c>
      <c r="AB109" s="898" t="str">
        <f t="shared" si="246"/>
        <v/>
      </c>
      <c r="AC109" s="563">
        <f>Sheet1!Y111*MGDtoCFS</f>
        <v>32.579819999999998</v>
      </c>
      <c r="AD109" s="563">
        <f>Sheet1!Z111*MGDtoCFS</f>
        <v>39.494909999999997</v>
      </c>
      <c r="AE109" s="563">
        <f>Sheet1!AA111*MGDtoCFS</f>
        <v>32.224009999999993</v>
      </c>
      <c r="AF109" s="563">
        <f>Sheet1!AB111*MGDtoCFS</f>
        <v>39.448499999999996</v>
      </c>
      <c r="AG109" s="563">
        <f>Sheet1!L111*MGDtoCFS</f>
        <v>71.672509999999988</v>
      </c>
      <c r="AH109" s="545">
        <f t="shared" si="277"/>
        <v>0</v>
      </c>
      <c r="AI109" s="560">
        <f t="shared" si="278"/>
        <v>0</v>
      </c>
      <c r="AJ109" s="560">
        <f t="shared" si="279"/>
        <v>56.293815892997642</v>
      </c>
      <c r="AK109" s="560">
        <f t="shared" si="280"/>
        <v>87.086533186467349</v>
      </c>
      <c r="AL109" s="560">
        <f>(VLOOKUP(Sheet1!DC111,hhdcap_wcm,4)-(((VLOOKUP(Sheet1!DC111,hhdcap_wcm,3)-Sheet1!DC111)/(VLOOKUP(Sheet1!DC111,hhdcap_wcm,3)-VLOOKUP(Sheet1!DC111,hhdcap_wcm,1)))*(VLOOKUP(Sheet1!DC111,hhdcap_wcm,4)-VLOOKUP(Sheet1!DC111,hhdcap_wcm,2))))</f>
        <v>28678.000000073916</v>
      </c>
      <c r="AM109" s="560">
        <f t="shared" si="281"/>
        <v>603.00000000144064</v>
      </c>
      <c r="AN109" s="560">
        <f t="shared" si="282"/>
        <v>2657.4279128680973</v>
      </c>
      <c r="AO109" s="560">
        <f t="shared" si="283"/>
        <v>8152.988836679323</v>
      </c>
      <c r="AP109" s="560">
        <f>Sheet1!BA111+Sheet1!BB111+Sheet1!BN111+CD109</f>
        <v>17.100000000000001</v>
      </c>
      <c r="AQ109" s="560">
        <f>Sheet1!BN111+(DO109*Sheet1!BN111)</f>
        <v>15.548780487804876</v>
      </c>
      <c r="AR109" s="560">
        <f>Sheet1!BA111+CD109</f>
        <v>0</v>
      </c>
      <c r="AS109" s="560">
        <f>Sheet1!BA111+Sheet1!BB111+CD109</f>
        <v>1.6</v>
      </c>
      <c r="AT109" s="698">
        <f>0</f>
        <v>0</v>
      </c>
      <c r="AU109" s="560">
        <f>IF(EB109&lt;K109,0,MAX(Sheet1!AA111+AQ109-15/36*K109-N109,Sheet1!EH111,0))</f>
        <v>0</v>
      </c>
      <c r="AV109" s="560">
        <f>IF(OR(B109&gt;=GD109,B109&lt;GC109),0,15/36*K109-MAX(0,64.6-(137.6-(Sheet1!AA111+Sheet1!AB111))))</f>
        <v>26.933333333333334</v>
      </c>
      <c r="AW109" s="698">
        <f>Sheet1!DB111-110</f>
        <v>2130</v>
      </c>
      <c r="AX109" s="698">
        <f>Sheet1!DA111-265</f>
        <v>2845</v>
      </c>
      <c r="AY109" s="698">
        <f t="shared" si="284"/>
        <v>34.99</v>
      </c>
      <c r="AZ109" s="698">
        <v>0</v>
      </c>
      <c r="BA109" s="698">
        <f t="shared" si="285"/>
        <v>0</v>
      </c>
      <c r="BB109" s="560">
        <f t="shared" si="286"/>
        <v>1265.8666666666661</v>
      </c>
      <c r="BC109" s="560"/>
      <c r="BD109" s="560">
        <f ca="1">IF(B109&gt;Summary!$A$1,#N/A,BB109*MGtoAF)</f>
        <v>3883.6789333333318</v>
      </c>
      <c r="BE109" s="560">
        <f>Sheet1!BG111+Sheet1!BH111+Sheet1!BI111-BM109</f>
        <v>0</v>
      </c>
      <c r="BF109" s="560">
        <f t="shared" si="287"/>
        <v>0</v>
      </c>
      <c r="BG109" s="560">
        <f>IF(Sheet1!EP111="FM",BM109,0)</f>
        <v>0</v>
      </c>
      <c r="BH109" s="560">
        <f t="shared" si="288"/>
        <v>0</v>
      </c>
      <c r="BI109" s="560">
        <f>IF(Sheet1!EP111="OTHER",BM109,0)</f>
        <v>0</v>
      </c>
      <c r="BJ109" s="560">
        <f t="shared" si="289"/>
        <v>0</v>
      </c>
      <c r="BK109" s="560">
        <f t="shared" si="290"/>
        <v>0</v>
      </c>
      <c r="BL109" s="560">
        <f t="shared" si="291"/>
        <v>0</v>
      </c>
      <c r="BM109" s="560">
        <f>IF(OR(Sheet1!EP111="FM", Sheet1!EP111="OTHER"),SUM(Sheet1!BG111:'Sheet1'!BI111),0)</f>
        <v>0</v>
      </c>
      <c r="BN109" s="545">
        <f>IF(AND($B109&gt;=$FV109,$B109&lt;=$FW109),MAX(BF109,Sheet1!EI111,0),MAX(BF109-(7/36)*$K109,0))</f>
        <v>0</v>
      </c>
      <c r="BO109" s="560">
        <f t="shared" si="292"/>
        <v>12.568888888888889</v>
      </c>
      <c r="BP109" s="545">
        <f t="shared" si="293"/>
        <v>0</v>
      </c>
      <c r="BQ109" s="545">
        <f>IF(AND($O109&gt;0,Sheet1!EM111=1),(1-($O109-Sheet1!$L111)/$O109)*BL109,0)</f>
        <v>0</v>
      </c>
      <c r="BR109" s="545">
        <f>IF(AND(Sheet1!$L111=0,Sheet1!$L110=0, Calculation!BK109&lt;Sheet1!$EI111-0.1,Sheet1!$EI111=Sheet1!$EI110,Sheet1!$EI111=Sheet1!$EI112),Sheet1!$EI111,BL109-BQ109)</f>
        <v>0</v>
      </c>
      <c r="BS109" s="560"/>
      <c r="BT109" s="560"/>
      <c r="BU109" s="560">
        <f t="shared" si="294"/>
        <v>590.73777777777718</v>
      </c>
      <c r="BV109" s="560"/>
      <c r="BW109" s="560">
        <f ca="1">IF(B109&gt;Summary!$A$1,#N/A,BU109*MGtoAF)</f>
        <v>1812.3835022222204</v>
      </c>
      <c r="BX109" s="560">
        <f>Sheet1!BC111+Sheet1!BD111+Sheet1!BE111+Sheet1!BF111-CG109-CH109</f>
        <v>2.5</v>
      </c>
      <c r="BY109" s="560">
        <f t="shared" si="295"/>
        <v>2.50786782061369</v>
      </c>
      <c r="BZ109" s="560">
        <f>IF(Sheet1!EQ111="FM",CH109,0)</f>
        <v>0</v>
      </c>
      <c r="CA109" s="560">
        <f t="shared" si="296"/>
        <v>0</v>
      </c>
      <c r="CB109" s="560">
        <f>IF(Sheet1!EQ111="OTHER",CH109,0)</f>
        <v>0</v>
      </c>
      <c r="CC109" s="560">
        <f t="shared" si="297"/>
        <v>0</v>
      </c>
      <c r="CD109" s="560">
        <f t="shared" si="298"/>
        <v>0</v>
      </c>
      <c r="CE109" s="560">
        <f t="shared" si="299"/>
        <v>2.5</v>
      </c>
      <c r="CF109" s="560">
        <f t="shared" si="300"/>
        <v>2.50786782061369</v>
      </c>
      <c r="CG109" s="560">
        <f>IF(Sheet1!EQ111="CWA",SUM(Sheet1!BC111:'Sheet1'!BF111),0)</f>
        <v>0</v>
      </c>
      <c r="CH109" s="560">
        <f>IF(OR(Sheet1!EQ111="FM", Sheet1!EQ111="OTHER"),SUM(Sheet1!BC111:'Sheet1'!BF111),0)</f>
        <v>0</v>
      </c>
      <c r="CI109" s="545">
        <f>IF(AND($B109&gt;=$FV109,$B109&lt;=$FW109),MAX(CF109,Sheet1!EJ111,0),MAX(CF109-(7/36)*$K109,0))</f>
        <v>0</v>
      </c>
      <c r="CJ109" s="560">
        <f t="shared" si="301"/>
        <v>10.061021068275199</v>
      </c>
      <c r="CK109" s="545">
        <f t="shared" si="302"/>
        <v>2.50786782061369</v>
      </c>
      <c r="CL109" s="545">
        <f>IF(AND($O109&gt;0,Sheet1!EN111=1),(1-($O109-Sheet1!$L111)/$O109)*CF109,0)</f>
        <v>0</v>
      </c>
      <c r="CM109" s="545">
        <f>IF(AND(Sheet1!$L111=0,Sheet1!$L110=0, Calculation!CE109&lt;Sheet1!EJ111-0.1,Sheet1!EJ111=Sheet1!EJ110,Sheet1!EJ111=Sheet1!EJ112),Sheet1!EJ111,CF109-CL109)</f>
        <v>2.50786782061369</v>
      </c>
      <c r="CN109" s="545"/>
      <c r="CO109" s="560"/>
      <c r="CP109" s="560">
        <f t="shared" si="303"/>
        <v>465.89497812032801</v>
      </c>
      <c r="CQ109" s="560"/>
      <c r="CR109" s="560">
        <f ca="1">IF(B109&gt;Summary!$A$1,#N/A,CP109*MGtoAF)</f>
        <v>1429.3657928731664</v>
      </c>
      <c r="CS109" s="560">
        <f>Sheet1!BK111+Sheet1!BL111+Sheet1!BM111-Sheet1!ER111-DA109</f>
        <v>5.82</v>
      </c>
      <c r="CT109" s="560">
        <f t="shared" si="304"/>
        <v>5.83831628638867</v>
      </c>
      <c r="CU109" s="560">
        <f>IF(Sheet1!ER111="FM",DA109,0)</f>
        <v>0</v>
      </c>
      <c r="CV109" s="560">
        <f t="shared" si="305"/>
        <v>0</v>
      </c>
      <c r="CW109" s="560">
        <f>IF(Sheet1!ER111="OTHER",DA109,0)</f>
        <v>0</v>
      </c>
      <c r="CX109" s="560">
        <f t="shared" si="306"/>
        <v>0</v>
      </c>
      <c r="CY109" s="560">
        <f t="shared" si="307"/>
        <v>5.82</v>
      </c>
      <c r="CZ109" s="560">
        <f t="shared" si="308"/>
        <v>5.83831628638867</v>
      </c>
      <c r="DA109" s="560">
        <f>IF(OR(Sheet1!ER111="FM", Sheet1!ER111="OTHER"),SUM(Sheet1!BK111:'Sheet1'!BM111),0)</f>
        <v>0</v>
      </c>
      <c r="DB109" s="545">
        <f>IF(AND($B109&gt;=$FV109,$B109&lt;=$FW109),MAX($CT109,Sheet1!EK111,0),MAX($CT109-(7/36)*$K109,0))</f>
        <v>0</v>
      </c>
      <c r="DC109" s="560">
        <f t="shared" si="309"/>
        <v>6.730572602500219</v>
      </c>
      <c r="DD109" s="545">
        <f t="shared" si="310"/>
        <v>5.83831628638867</v>
      </c>
      <c r="DE109" s="545">
        <f>IF(AND($O109&gt;0,Sheet1!EO111=1),(1-($O109-Sheet1!$L111)/$O109)*CZ109,0)</f>
        <v>0</v>
      </c>
      <c r="DF109" s="545">
        <f>IF(AND(Sheet1!$L111=0,Sheet1!$L110=0, Calculation!CY109&lt;Sheet1!$EK111-0.1,Sheet1!$EK111=Sheet1!$EK110,Sheet1!$EK111=Sheet1!$EK112),Sheet1!$EK111,CZ109-DE109)</f>
        <v>5.83831628638867</v>
      </c>
      <c r="DG109" s="545"/>
      <c r="DH109" s="560">
        <f t="shared" si="311"/>
        <v>8.32</v>
      </c>
      <c r="DI109" s="560">
        <f t="shared" si="312"/>
        <v>334.92849030332599</v>
      </c>
      <c r="DJ109" s="698">
        <f t="shared" si="313"/>
        <v>8.3461841070023599</v>
      </c>
      <c r="DK109" s="560">
        <f ca="1">IF(B109&gt;Summary!$A$1,#N/A,DI109*MGtoAF)</f>
        <v>1027.5606082506042</v>
      </c>
      <c r="DL109" s="698">
        <f t="shared" si="314"/>
        <v>8.32</v>
      </c>
      <c r="DM109" s="560">
        <f t="shared" si="315"/>
        <v>25.42</v>
      </c>
      <c r="DN109" s="560">
        <f>Sheet1!AB111-DM109</f>
        <v>7.9999999999998295E-2</v>
      </c>
      <c r="DO109" s="823">
        <f t="shared" si="316"/>
        <v>3.1471282454759359E-3</v>
      </c>
      <c r="DP109" s="560">
        <f>(VLOOKUP(Sheet1!DC111,hhdcap_wcm,4)-(((VLOOKUP(Sheet1!DC111,hhdcap_wcm,3)-Sheet1!DC111)/(VLOOKUP(Sheet1!DC111,hhdcap_wcm,3)-VLOOKUP(Sheet1!DC111,hhdcap_wcm,1)))*(VLOOKUP(Sheet1!DC111,hhdcap_wcm,4)-VLOOKUP(Sheet1!DC111,hhdcap_wcm,2))))</f>
        <v>28678.000000073916</v>
      </c>
      <c r="DQ109" s="560">
        <f t="shared" si="317"/>
        <v>603.00000000144064</v>
      </c>
      <c r="DR109" s="560">
        <f t="shared" si="318"/>
        <v>304.0847201217552</v>
      </c>
      <c r="DS109" s="560">
        <f>Sheet1!EA111*AFtoMG</f>
        <v>0</v>
      </c>
      <c r="DT109" s="560">
        <f>Sheet1!EB111*AFtoMG</f>
        <v>0</v>
      </c>
      <c r="DU109" s="560">
        <f>Sheet1!EC111*AFtoMG</f>
        <v>0</v>
      </c>
      <c r="DV109" s="560">
        <f>Sheet1!ED111*AFtoMG</f>
        <v>0</v>
      </c>
      <c r="DW109" s="560">
        <f t="shared" si="319"/>
        <v>0</v>
      </c>
      <c r="DX109" s="560">
        <f t="shared" si="320"/>
        <v>0</v>
      </c>
      <c r="DY109" s="560">
        <f t="shared" si="321"/>
        <v>2657.4279128680973</v>
      </c>
      <c r="DZ109" s="560">
        <f t="shared" si="322"/>
        <v>8152.988836679323</v>
      </c>
      <c r="EA109" s="560"/>
      <c r="EB109" s="545">
        <f>IF(OR(B109&lt;FV109,B109&gt;FW109),(MIN(BF109+BY109+CT109+MAX(Sheet1!AA111+AQ109-73,0),K109)),0)</f>
        <v>8.3461841070023599</v>
      </c>
      <c r="EC109" s="560"/>
      <c r="ED109" s="560">
        <f t="shared" si="323"/>
        <v>8.3461841070023599</v>
      </c>
      <c r="EE109" s="560"/>
      <c r="EF109" s="560">
        <f>Sheet1!EH111+Sheet1!EI111+Sheet1!EJ111+Sheet1!EK111</f>
        <v>8.32</v>
      </c>
      <c r="EG109" s="560"/>
      <c r="EH109" s="545">
        <f t="shared" si="324"/>
        <v>0</v>
      </c>
      <c r="EI109" s="560">
        <f>IF(Sheet1!ET111=1,SUM('Calculations II'!AT109:BA109)+'Calculations II'!BC109+Sheet1!BV111+'Calculations II'!BE109+AP109,SUM('Calculations II'!AT109:BA109)+'Calculations II'!BC109+Sheet1!BV111+'Calculations II'!BE109+AP109)</f>
        <v>46.829152000000008</v>
      </c>
      <c r="EJ109" s="560">
        <f>Sheet1!AA111+Sheet1!AB111+'Calculations II'!BC109</f>
        <v>56.464863999999999</v>
      </c>
      <c r="EK109" s="560"/>
      <c r="EL109" s="560"/>
      <c r="EM109" s="560">
        <f t="shared" si="325"/>
        <v>41737</v>
      </c>
      <c r="EN109" s="560">
        <f t="shared" si="326"/>
        <v>56.293815892997642</v>
      </c>
      <c r="EO109" s="560">
        <f t="shared" si="327"/>
        <v>87.086533186467349</v>
      </c>
      <c r="EP109" s="560">
        <v>0</v>
      </c>
      <c r="EQ109" s="560">
        <v>0</v>
      </c>
      <c r="ER109" s="560">
        <v>0</v>
      </c>
      <c r="ES109" s="545">
        <f t="shared" si="247"/>
        <v>-4.9887976388568429</v>
      </c>
      <c r="ET109" s="560">
        <f>-(VLOOKUP(Sheet1!BQ111,Lookup!$O$4:$Q$262,2)-VLOOKUP(Sheet1!BQ110,Lookup!$O$4:$Q$262,2))/1000000</f>
        <v>-2.4943988194284215</v>
      </c>
      <c r="EU109" s="560">
        <f>-(VLOOKUP(Sheet1!BR111,Lookup!$O$4:$Q$262,3)-VLOOKUP(Sheet1!BR110,Lookup!$O$4:$Q$262,3))/1000000</f>
        <v>-2.4943988194284215</v>
      </c>
      <c r="EV109" s="560"/>
      <c r="EW109" s="560"/>
      <c r="EX109" s="560"/>
      <c r="EY109" s="560"/>
      <c r="EZ109" s="560"/>
      <c r="FA109" s="560"/>
      <c r="FB109" s="560"/>
      <c r="FC109" s="560"/>
      <c r="FD109" s="594" t="e">
        <f t="shared" si="328"/>
        <v>#N/A</v>
      </c>
      <c r="FE109" s="594" t="e">
        <f t="shared" si="329"/>
        <v>#N/A</v>
      </c>
      <c r="FF109" s="595" t="e">
        <f t="shared" si="330"/>
        <v>#N/A</v>
      </c>
      <c r="FG109" s="596" t="s">
        <v>692</v>
      </c>
      <c r="FH109" s="596" t="s">
        <v>692</v>
      </c>
      <c r="FI109" s="594" t="e">
        <v>#N/A</v>
      </c>
      <c r="FJ109" s="594" t="e">
        <v>#N/A</v>
      </c>
      <c r="FK109" s="560"/>
      <c r="FL109" s="560"/>
      <c r="FM109" s="560"/>
      <c r="FN109" s="560"/>
      <c r="FO109" s="560">
        <f>O109+((Sheet1!CS111)*GPMtoMGD)</f>
        <v>56.464863999999999</v>
      </c>
      <c r="FP109" s="560">
        <f>IF(Sheet1!AA111+AQ109&lt;=Calculation!N109,AQ109,Calculation!N109-Sheet1!AA111)</f>
        <v>15.548780487804876</v>
      </c>
      <c r="FQ109" s="560">
        <f>(Sheet1!BP111+Sheet1!BO111)/694.4</f>
        <v>0.2929147465437788</v>
      </c>
      <c r="FR109" s="560"/>
      <c r="FS109" s="560"/>
      <c r="FT109" s="560"/>
      <c r="FU109" s="560"/>
      <c r="FV109" s="695">
        <f t="shared" si="248"/>
        <v>41827</v>
      </c>
      <c r="FW109" s="695">
        <f t="shared" si="249"/>
        <v>41934</v>
      </c>
      <c r="FX109" s="560"/>
      <c r="FY109" s="560"/>
      <c r="FZ109" s="560"/>
      <c r="GA109" s="560"/>
      <c r="GB109" s="560" t="str">
        <f t="shared" si="250"/>
        <v>n</v>
      </c>
      <c r="GC109" s="564">
        <f t="shared" si="251"/>
        <v>41691</v>
      </c>
      <c r="GD109" s="695">
        <f t="shared" si="252"/>
        <v>41807</v>
      </c>
      <c r="GE109" s="560">
        <v>6518.9</v>
      </c>
      <c r="GF109" s="695">
        <f t="shared" si="253"/>
        <v>41808</v>
      </c>
      <c r="GG109" s="560">
        <f t="shared" si="272"/>
        <v>3259</v>
      </c>
      <c r="GH109" s="564">
        <f t="shared" si="254"/>
        <v>41934</v>
      </c>
      <c r="GJ109" s="545">
        <f t="shared" si="255"/>
        <v>0</v>
      </c>
      <c r="GK109" s="560" t="str">
        <f t="shared" si="331"/>
        <v/>
      </c>
      <c r="GL109" s="560">
        <f t="shared" si="256"/>
        <v>0</v>
      </c>
      <c r="GM109" s="560" t="str">
        <f t="shared" si="257"/>
        <v/>
      </c>
      <c r="GN109" s="560">
        <f>IF(GK109="P",Lookup!$M$12,IF(GK109="PP",Lookup!$M$13,IF(GK109="PPP",Lookup!$M$14,IF(GK109="T",Lookup!$M$15,IF(GK109="TP",Lookup!$M$16,IF(GK109="TPP",Lookup!$M$17,IF(GK109="TPPP",Lookup!$M$18,0)))))))*GJ109</f>
        <v>0</v>
      </c>
      <c r="GO109" s="560">
        <f t="shared" si="258"/>
        <v>0</v>
      </c>
      <c r="GP109" s="560">
        <f t="shared" si="332"/>
        <v>3883.6789333333318</v>
      </c>
      <c r="GQ109" s="560">
        <f t="shared" si="266"/>
        <v>1265.8666666666661</v>
      </c>
      <c r="GR109" s="560"/>
      <c r="GS109" s="560">
        <f t="shared" si="259"/>
        <v>0</v>
      </c>
      <c r="GT109" s="560" t="str">
        <f t="shared" si="260"/>
        <v/>
      </c>
      <c r="GU109" s="560">
        <f>IF(GK109="P",Lookup!$N$12,IF(GK109="PP",Lookup!$N$13,IF(GK109="PPP",Lookup!$N$14,IF(GK109="T",Lookup!$N$15,IF(GK109="TP",Lookup!$N$16,IF(GK109="TPP",Lookup!$N$17,IF(GK109="TPPP",Lookup!$N$18,0)))))))*GJ109</f>
        <v>0</v>
      </c>
      <c r="GV109" s="560">
        <f t="shared" si="261"/>
        <v>0</v>
      </c>
      <c r="GW109" s="560">
        <f t="shared" si="333"/>
        <v>1812.3835022222204</v>
      </c>
      <c r="GX109" s="560">
        <f t="shared" si="267"/>
        <v>590.73777777777718</v>
      </c>
      <c r="GY109" s="560"/>
      <c r="GZ109" s="560">
        <f t="shared" si="262"/>
        <v>0</v>
      </c>
      <c r="HA109" s="560" t="str">
        <f t="shared" si="263"/>
        <v/>
      </c>
      <c r="HB109" s="560">
        <f>IF(GK109="P",Lookup!$N$12,IF(GK109="PP",Lookup!$N$13,IF(GK109="PPP",Lookup!$N$14,IF(GK109="T",Lookup!$N$15,IF(GK109="TP",Lookup!$N$16,IF(GK109="TPP",Lookup!$N$17,IF(GK109="TPPP",Lookup!$N$18,0)))))))*GJ109</f>
        <v>0</v>
      </c>
      <c r="HC109" s="545">
        <f t="shared" si="334"/>
        <v>0</v>
      </c>
      <c r="HD109" s="560">
        <f t="shared" si="335"/>
        <v>1429.3657928731664</v>
      </c>
      <c r="HE109" s="560">
        <f t="shared" si="268"/>
        <v>465.89497812032801</v>
      </c>
      <c r="HF109" s="560"/>
      <c r="HG109" s="560">
        <f t="shared" si="264"/>
        <v>0</v>
      </c>
      <c r="HH109" s="560" t="str">
        <f t="shared" si="265"/>
        <v/>
      </c>
      <c r="HI109" s="560">
        <f>IF(GK109="P",Lookup!$N$12,IF(GK109="PP",Lookup!$N$13,IF(GK109="PPP",Lookup!$N$14,IF(GK109="T",Lookup!$N$15,IF(GK109="TP",Lookup!$N$16,IF(GK109="TPP",Lookup!$N$17,IF(GK109="TPPP",Lookup!$N$18,0)))))))*GJ109</f>
        <v>0</v>
      </c>
      <c r="HJ109" s="545">
        <f t="shared" si="336"/>
        <v>0</v>
      </c>
      <c r="HK109" s="560">
        <f t="shared" si="337"/>
        <v>1027.5606082506042</v>
      </c>
      <c r="HL109" s="560">
        <f t="shared" si="269"/>
        <v>334.92849030332599</v>
      </c>
      <c r="HM109" s="560"/>
    </row>
    <row r="110" spans="1:221">
      <c r="A110" s="580" t="s">
        <v>6</v>
      </c>
      <c r="B110" s="556">
        <v>41738</v>
      </c>
      <c r="C110" s="561">
        <v>0</v>
      </c>
      <c r="D110" s="529">
        <f t="shared" si="270"/>
        <v>300</v>
      </c>
      <c r="E110" s="529">
        <f t="shared" si="271"/>
        <v>250</v>
      </c>
      <c r="F110" s="529">
        <v>250</v>
      </c>
      <c r="G110" s="560">
        <f>DR110+Sheet1!CZ112</f>
        <v>2794.7352496230556</v>
      </c>
      <c r="H110" s="914">
        <f t="shared" si="236"/>
        <v>1539.5536653563431</v>
      </c>
      <c r="I110" s="559">
        <f>MAX(Sheet1!Z112-AT110+(Sheet1!DA112-E110)*CFStoMGD,0)</f>
        <v>1906.5239999999999</v>
      </c>
      <c r="J110" s="562">
        <f>IF(AND(B110&gt;=Calculation!GC110,B110&lt;=Calculation!GD110),IF(Sheet1!DB112&gt;=Calculation!D110,64.64,0),MAX(Sheet1!Z112-AT110+(Sheet1!DB112-D110)*CFStoMGD,0))</f>
        <v>64.64</v>
      </c>
      <c r="K110" s="904">
        <f t="shared" si="273"/>
        <v>64.64</v>
      </c>
      <c r="L110" s="560">
        <f>Sheet1!AA112+Sheet1!AB112-Sheet1!L112+(Sheet1!DA112-F110)*CFStoMGD</f>
        <v>1881.0239999999999</v>
      </c>
      <c r="M110" s="560">
        <f t="shared" si="274"/>
        <v>1842.6472026634701</v>
      </c>
      <c r="N110" s="910">
        <f>IF(Sheet1!DA112&gt;=F110,MIN(73,MIN(MAX(L110,0),MAX(M110,0))),0)</f>
        <v>73</v>
      </c>
      <c r="O110" s="563">
        <f>Sheet1!AA112+Sheet1!AB112</f>
        <v>46.11</v>
      </c>
      <c r="P110" s="563">
        <f t="shared" si="275"/>
        <v>71.332169999999991</v>
      </c>
      <c r="Q110" s="898">
        <f t="shared" si="237"/>
        <v>37.6</v>
      </c>
      <c r="R110" s="829">
        <f t="shared" si="276"/>
        <v>8.4799764798118389</v>
      </c>
      <c r="S110" s="898">
        <f t="shared" si="238"/>
        <v>8.51</v>
      </c>
      <c r="T110" s="898">
        <f t="shared" si="239"/>
        <v>56.13</v>
      </c>
      <c r="U110" s="898">
        <f t="shared" si="240"/>
        <v>0</v>
      </c>
      <c r="V110" s="898"/>
      <c r="W110" s="898">
        <f t="shared" si="241"/>
        <v>56.160023520188162</v>
      </c>
      <c r="X110" s="898">
        <f t="shared" si="242"/>
        <v>64.64</v>
      </c>
      <c r="Y110" s="898" t="str">
        <f t="shared" si="243"/>
        <v>FALSE</v>
      </c>
      <c r="Z110" s="898">
        <f t="shared" si="244"/>
        <v>46.11</v>
      </c>
      <c r="AA110" s="898">
        <f t="shared" si="245"/>
        <v>46.11</v>
      </c>
      <c r="AB110" s="898" t="str">
        <f t="shared" si="246"/>
        <v/>
      </c>
      <c r="AC110" s="563">
        <f>Sheet1!Y112*MGDtoCFS</f>
        <v>32.224009999999993</v>
      </c>
      <c r="AD110" s="563">
        <f>Sheet1!Z112*MGDtoCFS</f>
        <v>39.448499999999996</v>
      </c>
      <c r="AE110" s="563">
        <f>Sheet1!AA112*MGDtoCFS</f>
        <v>32.007429999999999</v>
      </c>
      <c r="AF110" s="563">
        <f>Sheet1!AB112*MGDtoCFS</f>
        <v>39.324739999999998</v>
      </c>
      <c r="AG110" s="563">
        <f>Sheet1!L112*MGDtoCFS</f>
        <v>71.332169999999991</v>
      </c>
      <c r="AH110" s="545">
        <f t="shared" si="277"/>
        <v>0</v>
      </c>
      <c r="AI110" s="560">
        <f t="shared" si="278"/>
        <v>0</v>
      </c>
      <c r="AJ110" s="560">
        <f t="shared" si="279"/>
        <v>56.160023520188162</v>
      </c>
      <c r="AK110" s="560">
        <f t="shared" si="280"/>
        <v>86.879556385731078</v>
      </c>
      <c r="AL110" s="560">
        <f>(VLOOKUP(Sheet1!DC112,hhdcap_wcm,4)-(((VLOOKUP(Sheet1!DC112,hhdcap_wcm,3)-Sheet1!DC112)/(VLOOKUP(Sheet1!DC112,hhdcap_wcm,3)-VLOOKUP(Sheet1!DC112,hhdcap_wcm,1)))*(VLOOKUP(Sheet1!DC112,hhdcap_wcm,4)-VLOOKUP(Sheet1!DC112,hhdcap_wcm,2))))</f>
        <v>29619.400000076435</v>
      </c>
      <c r="AM110" s="560">
        <f t="shared" si="281"/>
        <v>941.40000000251894</v>
      </c>
      <c r="AN110" s="560">
        <f t="shared" si="282"/>
        <v>2713.5879363882859</v>
      </c>
      <c r="AO110" s="560">
        <f t="shared" si="283"/>
        <v>8325.2877888392613</v>
      </c>
      <c r="AP110" s="560">
        <f>Sheet1!BA112+Sheet1!BB112+Sheet1!BN112+CD110</f>
        <v>17</v>
      </c>
      <c r="AQ110" s="560">
        <f>Sheet1!BN112+(DO110*Sheet1!BN112)</f>
        <v>15.345668365346926</v>
      </c>
      <c r="AR110" s="560">
        <f>Sheet1!BA112+CD110</f>
        <v>0</v>
      </c>
      <c r="AS110" s="560">
        <f>Sheet1!BA112+Sheet1!BB112+CD110</f>
        <v>1.6</v>
      </c>
      <c r="AT110" s="698">
        <f>0</f>
        <v>0</v>
      </c>
      <c r="AU110" s="560">
        <f>IF(EB110&lt;K110,0,MAX(Sheet1!AA112+AQ110-15/36*K110-N110,Sheet1!EH112,0))</f>
        <v>0</v>
      </c>
      <c r="AV110" s="560">
        <f>IF(OR(B110&gt;=GD110,B110&lt;GC110),0,15/36*K110-MAX(0,64.6-(137.6-(Sheet1!AA112+Sheet1!AB112))))</f>
        <v>26.933333333333334</v>
      </c>
      <c r="AW110" s="698">
        <f>Sheet1!DB112-110</f>
        <v>2200</v>
      </c>
      <c r="AX110" s="698">
        <f>Sheet1!DA112-265</f>
        <v>2895</v>
      </c>
      <c r="AY110" s="698">
        <f t="shared" si="284"/>
        <v>35.4</v>
      </c>
      <c r="AZ110" s="698">
        <v>0</v>
      </c>
      <c r="BA110" s="698">
        <f t="shared" si="285"/>
        <v>0</v>
      </c>
      <c r="BB110" s="560">
        <f t="shared" si="286"/>
        <v>1292.7999999999995</v>
      </c>
      <c r="BC110" s="560"/>
      <c r="BD110" s="560">
        <f ca="1">IF(B110&gt;Summary!$A$1,#N/A,BB110*MGtoAF)</f>
        <v>3966.3103999999985</v>
      </c>
      <c r="BE110" s="560">
        <f>Sheet1!BG112+Sheet1!BH112+Sheet1!BI112-BM110</f>
        <v>0</v>
      </c>
      <c r="BF110" s="560">
        <f t="shared" si="287"/>
        <v>0</v>
      </c>
      <c r="BG110" s="560">
        <f>IF(Sheet1!EP112="FM",BM110,0)</f>
        <v>0</v>
      </c>
      <c r="BH110" s="560">
        <f t="shared" si="288"/>
        <v>0</v>
      </c>
      <c r="BI110" s="560">
        <f>IF(Sheet1!EP112="OTHER",BM110,0)</f>
        <v>0</v>
      </c>
      <c r="BJ110" s="560">
        <f t="shared" si="289"/>
        <v>0</v>
      </c>
      <c r="BK110" s="560">
        <f t="shared" si="290"/>
        <v>0</v>
      </c>
      <c r="BL110" s="560">
        <f t="shared" si="291"/>
        <v>0</v>
      </c>
      <c r="BM110" s="560">
        <f>IF(OR(Sheet1!EP112="FM", Sheet1!EP112="OTHER"),SUM(Sheet1!BG112:'Sheet1'!BI112),0)</f>
        <v>0</v>
      </c>
      <c r="BN110" s="545">
        <f>IF(AND($B110&gt;=$FV110,$B110&lt;=$FW110),MAX(BF110,Sheet1!EI112,0),MAX(BF110-(7/36)*$K110,0))</f>
        <v>0</v>
      </c>
      <c r="BO110" s="560">
        <f t="shared" si="292"/>
        <v>12.568888888888889</v>
      </c>
      <c r="BP110" s="545">
        <f t="shared" si="293"/>
        <v>0</v>
      </c>
      <c r="BQ110" s="545">
        <f>IF(AND($O110&gt;0,Sheet1!EM112=1),(1-($O110-Sheet1!$L112)/$O110)*BL110,0)</f>
        <v>0</v>
      </c>
      <c r="BR110" s="545">
        <f>IF(AND(Sheet1!$L112=0,Sheet1!$L111=0, Calculation!BK110&lt;Sheet1!$EI112-0.1,Sheet1!$EI112=Sheet1!$EI111,Sheet1!$EI112=Sheet1!$EI113),Sheet1!$EI112,BL110-BQ110)</f>
        <v>0</v>
      </c>
      <c r="BS110" s="560"/>
      <c r="BT110" s="560"/>
      <c r="BU110" s="560">
        <f t="shared" si="294"/>
        <v>603.30666666666605</v>
      </c>
      <c r="BV110" s="560"/>
      <c r="BW110" s="560">
        <f ca="1">IF(B110&gt;Summary!$A$1,#N/A,BU110*MGtoAF)</f>
        <v>1850.9448533333314</v>
      </c>
      <c r="BX110" s="560">
        <f>Sheet1!BC112+Sheet1!BD112+Sheet1!BE112+Sheet1!BF112-CG110-CH110</f>
        <v>2.5</v>
      </c>
      <c r="BY110" s="560">
        <f t="shared" si="295"/>
        <v>2.4911799294394359</v>
      </c>
      <c r="BZ110" s="560">
        <f>IF(Sheet1!EQ112="FM",CH110,0)</f>
        <v>0</v>
      </c>
      <c r="CA110" s="560">
        <f t="shared" si="296"/>
        <v>0</v>
      </c>
      <c r="CB110" s="560">
        <f>IF(Sheet1!EQ112="OTHER",CH110,0)</f>
        <v>0</v>
      </c>
      <c r="CC110" s="560">
        <f t="shared" si="297"/>
        <v>0</v>
      </c>
      <c r="CD110" s="560">
        <f t="shared" si="298"/>
        <v>0</v>
      </c>
      <c r="CE110" s="560">
        <f t="shared" si="299"/>
        <v>2.5</v>
      </c>
      <c r="CF110" s="560">
        <f t="shared" si="300"/>
        <v>2.4911799294394359</v>
      </c>
      <c r="CG110" s="560">
        <f>IF(Sheet1!EQ112="CWA",SUM(Sheet1!BC112:'Sheet1'!BF112),0)</f>
        <v>0</v>
      </c>
      <c r="CH110" s="560">
        <f>IF(OR(Sheet1!EQ112="FM", Sheet1!EQ112="OTHER"),SUM(Sheet1!BC112:'Sheet1'!BF112),0)</f>
        <v>0</v>
      </c>
      <c r="CI110" s="545">
        <f>IF(AND($B110&gt;=$FV110,$B110&lt;=$FW110),MAX(CF110,Sheet1!EJ112,0),MAX(CF110-(7/36)*$K110,0))</f>
        <v>0</v>
      </c>
      <c r="CJ110" s="560">
        <f t="shared" si="301"/>
        <v>10.077708959449453</v>
      </c>
      <c r="CK110" s="545">
        <f t="shared" si="302"/>
        <v>2.4911799294394359</v>
      </c>
      <c r="CL110" s="545">
        <f>IF(AND($O110&gt;0,Sheet1!EN112=1),(1-($O110-Sheet1!$L112)/$O110)*CF110,0)</f>
        <v>0</v>
      </c>
      <c r="CM110" s="545">
        <f>IF(AND(Sheet1!$L112=0,Sheet1!$L111=0, Calculation!CE110&lt;Sheet1!EJ112-0.1,Sheet1!EJ112=Sheet1!EJ111,Sheet1!EJ112=Sheet1!EJ113),Sheet1!EJ112,CF110-CL110)</f>
        <v>2.4911799294394359</v>
      </c>
      <c r="CN110" s="545"/>
      <c r="CO110" s="560"/>
      <c r="CP110" s="560">
        <f t="shared" si="303"/>
        <v>475.97268707977747</v>
      </c>
      <c r="CQ110" s="560"/>
      <c r="CR110" s="560">
        <f ca="1">IF(B110&gt;Summary!$A$1,#N/A,CP110*MGtoAF)</f>
        <v>1460.2842039607574</v>
      </c>
      <c r="CS110" s="560">
        <f>Sheet1!BK112+Sheet1!BL112+Sheet1!BM112-Sheet1!ER112-DA110</f>
        <v>6.01</v>
      </c>
      <c r="CT110" s="560">
        <f t="shared" si="304"/>
        <v>5.9887965503724034</v>
      </c>
      <c r="CU110" s="560">
        <f>IF(Sheet1!ER112="FM",DA110,0)</f>
        <v>0</v>
      </c>
      <c r="CV110" s="560">
        <f t="shared" si="305"/>
        <v>0</v>
      </c>
      <c r="CW110" s="560">
        <f>IF(Sheet1!ER112="OTHER",DA110,0)</f>
        <v>0</v>
      </c>
      <c r="CX110" s="560">
        <f t="shared" si="306"/>
        <v>0</v>
      </c>
      <c r="CY110" s="560">
        <f t="shared" si="307"/>
        <v>6.01</v>
      </c>
      <c r="CZ110" s="560">
        <f t="shared" si="308"/>
        <v>5.9887965503724034</v>
      </c>
      <c r="DA110" s="560">
        <f>IF(OR(Sheet1!ER112="FM", Sheet1!ER112="OTHER"),SUM(Sheet1!BK112:'Sheet1'!BM112),0)</f>
        <v>0</v>
      </c>
      <c r="DB110" s="545">
        <f>IF(AND($B110&gt;=$FV110,$B110&lt;=$FW110),MAX($CT110,Sheet1!EK112,0),MAX($CT110-(7/36)*$K110,0))</f>
        <v>0</v>
      </c>
      <c r="DC110" s="560">
        <f t="shared" si="309"/>
        <v>6.5800923385164856</v>
      </c>
      <c r="DD110" s="545">
        <f t="shared" si="310"/>
        <v>5.9887965503724034</v>
      </c>
      <c r="DE110" s="545">
        <f>IF(AND($O110&gt;0,Sheet1!EO112=1),(1-($O110-Sheet1!$L112)/$O110)*CZ110,0)</f>
        <v>0</v>
      </c>
      <c r="DF110" s="545">
        <f>IF(AND(Sheet1!$L112=0,Sheet1!$L111=0, Calculation!CY110&lt;Sheet1!$EK112-0.1,Sheet1!$EK112=Sheet1!$EK111,Sheet1!$EK112=Sheet1!$EK113),Sheet1!$EK112,CZ110-DE110)</f>
        <v>5.9887965503724034</v>
      </c>
      <c r="DG110" s="545"/>
      <c r="DH110" s="560">
        <f t="shared" si="311"/>
        <v>8.51</v>
      </c>
      <c r="DI110" s="560">
        <f t="shared" si="312"/>
        <v>341.50858264184245</v>
      </c>
      <c r="DJ110" s="698">
        <f t="shared" si="313"/>
        <v>8.4799764798118389</v>
      </c>
      <c r="DK110" s="560">
        <f ca="1">IF(B110&gt;Summary!$A$1,#N/A,DI110*MGtoAF)</f>
        <v>1047.7483315451727</v>
      </c>
      <c r="DL110" s="698">
        <f t="shared" si="314"/>
        <v>8.51</v>
      </c>
      <c r="DM110" s="560">
        <f t="shared" si="315"/>
        <v>25.509999999999998</v>
      </c>
      <c r="DN110" s="560">
        <f>Sheet1!AB112-DM110</f>
        <v>-8.9999999999996305E-2</v>
      </c>
      <c r="DO110" s="823">
        <f t="shared" si="316"/>
        <v>-3.5280282242256492E-3</v>
      </c>
      <c r="DP110" s="560">
        <f>(VLOOKUP(Sheet1!DC112,hhdcap_wcm,4)-(((VLOOKUP(Sheet1!DC112,hhdcap_wcm,3)-Sheet1!DC112)/(VLOOKUP(Sheet1!DC112,hhdcap_wcm,3)-VLOOKUP(Sheet1!DC112,hhdcap_wcm,1)))*(VLOOKUP(Sheet1!DC112,hhdcap_wcm,4)-VLOOKUP(Sheet1!DC112,hhdcap_wcm,2))))</f>
        <v>29619.400000076435</v>
      </c>
      <c r="DQ110" s="560">
        <f t="shared" si="317"/>
        <v>941.40000000251894</v>
      </c>
      <c r="DR110" s="560">
        <f t="shared" si="318"/>
        <v>474.73524962305538</v>
      </c>
      <c r="DS110" s="560">
        <f>Sheet1!EA112*AFtoMG</f>
        <v>0</v>
      </c>
      <c r="DT110" s="560">
        <f>Sheet1!EB112*AFtoMG</f>
        <v>0</v>
      </c>
      <c r="DU110" s="560">
        <f>Sheet1!EC112*AFtoMG</f>
        <v>0</v>
      </c>
      <c r="DV110" s="560">
        <f>Sheet1!ED112*AFtoMG</f>
        <v>0</v>
      </c>
      <c r="DW110" s="560">
        <f t="shared" si="319"/>
        <v>0</v>
      </c>
      <c r="DX110" s="560">
        <f t="shared" si="320"/>
        <v>0</v>
      </c>
      <c r="DY110" s="560">
        <f t="shared" si="321"/>
        <v>2713.5879363882859</v>
      </c>
      <c r="DZ110" s="560">
        <f t="shared" si="322"/>
        <v>8325.2877888392613</v>
      </c>
      <c r="EA110" s="560"/>
      <c r="EB110" s="545">
        <f>IF(OR(B110&lt;FV110,B110&gt;FW110),(MIN(BF110+BY110+CT110+MAX(Sheet1!AA112+AQ110-73,0),K110)),0)</f>
        <v>8.4799764798118389</v>
      </c>
      <c r="EC110" s="560"/>
      <c r="ED110" s="560">
        <f t="shared" si="323"/>
        <v>8.4799764798118389</v>
      </c>
      <c r="EE110" s="560"/>
      <c r="EF110" s="560">
        <f>Sheet1!EH112+Sheet1!EI112+Sheet1!EJ112+Sheet1!EK112</f>
        <v>8.51</v>
      </c>
      <c r="EG110" s="560"/>
      <c r="EH110" s="545">
        <f t="shared" si="324"/>
        <v>0</v>
      </c>
      <c r="EI110" s="560">
        <f>IF(Sheet1!ET112=1,SUM('Calculations II'!AT110:BA110)+'Calculations II'!BC110+Sheet1!BV112+'Calculations II'!BE110+AP110,SUM('Calculations II'!AT110:BA110)+'Calculations II'!BC110+Sheet1!BV112+'Calculations II'!BE110+AP110)</f>
        <v>51.416767999999998</v>
      </c>
      <c r="EJ110" s="560">
        <f>Sheet1!AA112+Sheet1!AB112+'Calculations II'!BC110</f>
        <v>52.374431999999999</v>
      </c>
      <c r="EK110" s="560"/>
      <c r="EL110" s="560"/>
      <c r="EM110" s="560">
        <f t="shared" si="325"/>
        <v>41738</v>
      </c>
      <c r="EN110" s="560">
        <f t="shared" si="326"/>
        <v>56.160023520188162</v>
      </c>
      <c r="EO110" s="560">
        <f t="shared" si="327"/>
        <v>86.879556385731078</v>
      </c>
      <c r="EP110" s="560">
        <v>0</v>
      </c>
      <c r="EQ110" s="560">
        <v>0</v>
      </c>
      <c r="ER110" s="560">
        <v>0</v>
      </c>
      <c r="ES110" s="545">
        <f t="shared" si="247"/>
        <v>3.4648819058980385</v>
      </c>
      <c r="ET110" s="560">
        <f>-(VLOOKUP(Sheet1!BQ112,Lookup!$O$4:$Q$262,2)-VLOOKUP(Sheet1!BQ111,Lookup!$O$4:$Q$262,2))/1000000</f>
        <v>1.6631633156075181</v>
      </c>
      <c r="EU110" s="560">
        <f>-(VLOOKUP(Sheet1!BR112,Lookup!$O$4:$Q$262,3)-VLOOKUP(Sheet1!BR111,Lookup!$O$4:$Q$262,3))/1000000</f>
        <v>1.8017185902905204</v>
      </c>
      <c r="EV110" s="560"/>
      <c r="EW110" s="560"/>
      <c r="EX110" s="560"/>
      <c r="EY110" s="560"/>
      <c r="EZ110" s="560"/>
      <c r="FA110" s="560"/>
      <c r="FB110" s="560"/>
      <c r="FC110" s="560"/>
      <c r="FD110" s="594" t="e">
        <f t="shared" si="328"/>
        <v>#N/A</v>
      </c>
      <c r="FE110" s="594" t="e">
        <f t="shared" si="329"/>
        <v>#N/A</v>
      </c>
      <c r="FF110" s="595" t="e">
        <f t="shared" si="330"/>
        <v>#N/A</v>
      </c>
      <c r="FG110" s="596" t="s">
        <v>692</v>
      </c>
      <c r="FH110" s="596" t="s">
        <v>692</v>
      </c>
      <c r="FI110" s="594" t="e">
        <v>#N/A</v>
      </c>
      <c r="FJ110" s="594" t="e">
        <v>#N/A</v>
      </c>
      <c r="FK110" s="560"/>
      <c r="FL110" s="560"/>
      <c r="FM110" s="560"/>
      <c r="FN110" s="560"/>
      <c r="FO110" s="560">
        <f>O110+((Sheet1!CS112)*GPMtoMGD)</f>
        <v>52.374431999999999</v>
      </c>
      <c r="FP110" s="560">
        <f>IF(Sheet1!AA112+AQ110&lt;=Calculation!N110,AQ110,Calculation!N110-Sheet1!AA112)</f>
        <v>15.345668365346926</v>
      </c>
      <c r="FQ110" s="560">
        <f>(Sheet1!BP112+Sheet1!BO112)/694.4</f>
        <v>1.6088709677419355</v>
      </c>
      <c r="FR110" s="560"/>
      <c r="FS110" s="560"/>
      <c r="FT110" s="560"/>
      <c r="FU110" s="560"/>
      <c r="FV110" s="695">
        <f t="shared" si="248"/>
        <v>41827</v>
      </c>
      <c r="FW110" s="695">
        <f t="shared" si="249"/>
        <v>41934</v>
      </c>
      <c r="FX110" s="560"/>
      <c r="FY110" s="560"/>
      <c r="FZ110" s="560"/>
      <c r="GA110" s="560"/>
      <c r="GB110" s="560" t="str">
        <f t="shared" si="250"/>
        <v>n</v>
      </c>
      <c r="GC110" s="564">
        <f t="shared" si="251"/>
        <v>41691</v>
      </c>
      <c r="GD110" s="695">
        <f t="shared" si="252"/>
        <v>41807</v>
      </c>
      <c r="GE110" s="560">
        <v>6518.9</v>
      </c>
      <c r="GF110" s="695">
        <f t="shared" si="253"/>
        <v>41808</v>
      </c>
      <c r="GG110" s="560">
        <f t="shared" si="272"/>
        <v>3259</v>
      </c>
      <c r="GH110" s="564">
        <f t="shared" si="254"/>
        <v>41934</v>
      </c>
      <c r="GJ110" s="545">
        <f t="shared" si="255"/>
        <v>0</v>
      </c>
      <c r="GK110" s="560" t="str">
        <f t="shared" si="331"/>
        <v/>
      </c>
      <c r="GL110" s="560">
        <f t="shared" si="256"/>
        <v>0</v>
      </c>
      <c r="GM110" s="560" t="str">
        <f t="shared" si="257"/>
        <v/>
      </c>
      <c r="GN110" s="560">
        <f>IF(GK110="P",Lookup!$M$12,IF(GK110="PP",Lookup!$M$13,IF(GK110="PPP",Lookup!$M$14,IF(GK110="T",Lookup!$M$15,IF(GK110="TP",Lookup!$M$16,IF(GK110="TPP",Lookup!$M$17,IF(GK110="TPPP",Lookup!$M$18,0)))))))*GJ110</f>
        <v>0</v>
      </c>
      <c r="GO110" s="560">
        <f t="shared" si="258"/>
        <v>0</v>
      </c>
      <c r="GP110" s="560">
        <f t="shared" si="332"/>
        <v>3966.3103999999985</v>
      </c>
      <c r="GQ110" s="560">
        <f t="shared" si="266"/>
        <v>1292.7999999999995</v>
      </c>
      <c r="GR110" s="560"/>
      <c r="GS110" s="560">
        <f t="shared" si="259"/>
        <v>0</v>
      </c>
      <c r="GT110" s="560" t="str">
        <f t="shared" si="260"/>
        <v/>
      </c>
      <c r="GU110" s="560">
        <f>IF(GK110="P",Lookup!$N$12,IF(GK110="PP",Lookup!$N$13,IF(GK110="PPP",Lookup!$N$14,IF(GK110="T",Lookup!$N$15,IF(GK110="TP",Lookup!$N$16,IF(GK110="TPP",Lookup!$N$17,IF(GK110="TPPP",Lookup!$N$18,0)))))))*GJ110</f>
        <v>0</v>
      </c>
      <c r="GV110" s="560">
        <f t="shared" si="261"/>
        <v>0</v>
      </c>
      <c r="GW110" s="560">
        <f t="shared" si="333"/>
        <v>1850.9448533333314</v>
      </c>
      <c r="GX110" s="560">
        <f t="shared" si="267"/>
        <v>603.30666666666605</v>
      </c>
      <c r="GY110" s="560"/>
      <c r="GZ110" s="560">
        <f t="shared" si="262"/>
        <v>0</v>
      </c>
      <c r="HA110" s="560" t="str">
        <f t="shared" si="263"/>
        <v/>
      </c>
      <c r="HB110" s="560">
        <f>IF(GK110="P",Lookup!$N$12,IF(GK110="PP",Lookup!$N$13,IF(GK110="PPP",Lookup!$N$14,IF(GK110="T",Lookup!$N$15,IF(GK110="TP",Lookup!$N$16,IF(GK110="TPP",Lookup!$N$17,IF(GK110="TPPP",Lookup!$N$18,0)))))))*GJ110</f>
        <v>0</v>
      </c>
      <c r="HC110" s="545">
        <f t="shared" si="334"/>
        <v>0</v>
      </c>
      <c r="HD110" s="560">
        <f t="shared" si="335"/>
        <v>1460.2842039607574</v>
      </c>
      <c r="HE110" s="560">
        <f t="shared" si="268"/>
        <v>475.97268707977747</v>
      </c>
      <c r="HF110" s="560"/>
      <c r="HG110" s="560">
        <f t="shared" si="264"/>
        <v>0</v>
      </c>
      <c r="HH110" s="560" t="str">
        <f t="shared" si="265"/>
        <v/>
      </c>
      <c r="HI110" s="560">
        <f>IF(GK110="P",Lookup!$N$12,IF(GK110="PP",Lookup!$N$13,IF(GK110="PPP",Lookup!$N$14,IF(GK110="T",Lookup!$N$15,IF(GK110="TP",Lookup!$N$16,IF(GK110="TPP",Lookup!$N$17,IF(GK110="TPPP",Lookup!$N$18,0)))))))*GJ110</f>
        <v>0</v>
      </c>
      <c r="HJ110" s="545">
        <f t="shared" si="336"/>
        <v>0</v>
      </c>
      <c r="HK110" s="560">
        <f t="shared" si="337"/>
        <v>1047.7483315451727</v>
      </c>
      <c r="HL110" s="560">
        <f t="shared" si="269"/>
        <v>341.50858264184245</v>
      </c>
      <c r="HM110" s="560"/>
    </row>
    <row r="111" spans="1:221">
      <c r="A111" s="580" t="s">
        <v>7</v>
      </c>
      <c r="B111" s="556">
        <v>41739</v>
      </c>
      <c r="C111" s="561">
        <v>0</v>
      </c>
      <c r="D111" s="529">
        <f t="shared" si="270"/>
        <v>300</v>
      </c>
      <c r="E111" s="529">
        <f t="shared" si="271"/>
        <v>250</v>
      </c>
      <c r="F111" s="529">
        <v>250</v>
      </c>
      <c r="G111" s="560">
        <f>DR111+Sheet1!CZ113</f>
        <v>2007.0045385781141</v>
      </c>
      <c r="H111" s="914">
        <f t="shared" si="236"/>
        <v>1030.364533736893</v>
      </c>
      <c r="I111" s="559">
        <f>MAX(Sheet1!Z113-AT111+(Sheet1!DA113-E111)*CFStoMGD,0)</f>
        <v>1576.78</v>
      </c>
      <c r="J111" s="562">
        <f>IF(AND(B111&gt;=Calculation!GC111,B111&lt;=Calculation!GD111),IF(Sheet1!DB113&gt;=Calculation!D111,64.64,0),MAX(Sheet1!Z113-AT111+(Sheet1!DB113-D111)*CFStoMGD,0))</f>
        <v>64.64</v>
      </c>
      <c r="K111" s="904">
        <f t="shared" si="273"/>
        <v>64.64</v>
      </c>
      <c r="L111" s="560">
        <f>Sheet1!AA113+Sheet1!AB113-Sheet1!L113+(Sheet1!DA113-F111)*CFStoMGD</f>
        <v>1551.36</v>
      </c>
      <c r="M111" s="560">
        <f t="shared" si="274"/>
        <v>1323.2742884116308</v>
      </c>
      <c r="N111" s="910">
        <f>IF(Sheet1!DA113&gt;=F111,MIN(73,MIN(MAX(L111,0),MAX(M111,0))),0)</f>
        <v>73</v>
      </c>
      <c r="O111" s="563">
        <f>Sheet1!AA113+Sheet1!AB113</f>
        <v>46.56</v>
      </c>
      <c r="P111" s="563">
        <f t="shared" si="275"/>
        <v>72.028319999999994</v>
      </c>
      <c r="Q111" s="898">
        <f t="shared" si="237"/>
        <v>38.19</v>
      </c>
      <c r="R111" s="829">
        <f t="shared" si="276"/>
        <v>8.4128892392589663</v>
      </c>
      <c r="S111" s="898">
        <f t="shared" si="238"/>
        <v>8.370000000000001</v>
      </c>
      <c r="T111" s="898">
        <f t="shared" si="239"/>
        <v>56.269999999999996</v>
      </c>
      <c r="U111" s="898">
        <f t="shared" si="240"/>
        <v>0</v>
      </c>
      <c r="V111" s="898"/>
      <c r="W111" s="898">
        <f t="shared" si="241"/>
        <v>56.227110760741034</v>
      </c>
      <c r="X111" s="898">
        <f t="shared" si="242"/>
        <v>64.64</v>
      </c>
      <c r="Y111" s="898" t="str">
        <f t="shared" si="243"/>
        <v>FALSE</v>
      </c>
      <c r="Z111" s="898">
        <f t="shared" si="244"/>
        <v>46.56</v>
      </c>
      <c r="AA111" s="898">
        <f t="shared" si="245"/>
        <v>46.56</v>
      </c>
      <c r="AB111" s="898" t="str">
        <f t="shared" si="246"/>
        <v/>
      </c>
      <c r="AC111" s="563">
        <f>Sheet1!Y113*MGDtoCFS</f>
        <v>32.007429999999999</v>
      </c>
      <c r="AD111" s="563">
        <f>Sheet1!Z113*MGDtoCFS</f>
        <v>39.324739999999998</v>
      </c>
      <c r="AE111" s="563">
        <f>Sheet1!AA113*MGDtoCFS</f>
        <v>32.579819999999998</v>
      </c>
      <c r="AF111" s="563">
        <f>Sheet1!AB113*MGDtoCFS</f>
        <v>39.448499999999996</v>
      </c>
      <c r="AG111" s="563">
        <f>Sheet1!L113*MGDtoCFS</f>
        <v>72.028319999999994</v>
      </c>
      <c r="AH111" s="545">
        <f t="shared" si="277"/>
        <v>0</v>
      </c>
      <c r="AI111" s="560">
        <f t="shared" si="278"/>
        <v>0</v>
      </c>
      <c r="AJ111" s="560">
        <f t="shared" si="279"/>
        <v>56.227110760741034</v>
      </c>
      <c r="AK111" s="560">
        <f t="shared" si="280"/>
        <v>86.98334034686637</v>
      </c>
      <c r="AL111" s="560">
        <f>(VLOOKUP(Sheet1!DC113,hhdcap_wcm,4)-(((VLOOKUP(Sheet1!DC113,hhdcap_wcm,3)-Sheet1!DC113)/(VLOOKUP(Sheet1!DC113,hhdcap_wcm,3)-VLOOKUP(Sheet1!DC113,hhdcap_wcm,1)))*(VLOOKUP(Sheet1!DC113,hhdcap_wcm,4)-VLOOKUP(Sheet1!DC113,hhdcap_wcm,2))))</f>
        <v>29970.400000076836</v>
      </c>
      <c r="AM111" s="560">
        <f t="shared" si="281"/>
        <v>351.00000000040018</v>
      </c>
      <c r="AN111" s="560">
        <f t="shared" si="282"/>
        <v>2769.8150471490262</v>
      </c>
      <c r="AO111" s="560">
        <f t="shared" si="283"/>
        <v>8497.792564653213</v>
      </c>
      <c r="AP111" s="560">
        <f>Sheet1!BA113+Sheet1!BB113+Sheet1!BN113+CD111</f>
        <v>17</v>
      </c>
      <c r="AQ111" s="560">
        <f>Sheet1!BN113+(DO111*Sheet1!BN113)</f>
        <v>15.478912100906582</v>
      </c>
      <c r="AR111" s="560">
        <f>Sheet1!BA113+CD111</f>
        <v>0</v>
      </c>
      <c r="AS111" s="560">
        <f>Sheet1!BA113+Sheet1!BB113+CD111</f>
        <v>1.6</v>
      </c>
      <c r="AT111" s="698">
        <f>0</f>
        <v>0</v>
      </c>
      <c r="AU111" s="560">
        <f>IF(EB111&lt;K111,0,MAX(Sheet1!AA113+AQ111-15/36*K111-N111,Sheet1!EH113,0))</f>
        <v>0</v>
      </c>
      <c r="AV111" s="560">
        <f>IF(OR(B111&gt;=GD111,B111&lt;GC111),0,15/36*K111-MAX(0,64.6-(137.6-(Sheet1!AA113+Sheet1!AB113))))</f>
        <v>26.933333333333334</v>
      </c>
      <c r="AW111" s="698">
        <f>Sheet1!DB113-110</f>
        <v>1720</v>
      </c>
      <c r="AX111" s="698">
        <f>Sheet1!DA113-265</f>
        <v>2385</v>
      </c>
      <c r="AY111" s="698">
        <f t="shared" si="284"/>
        <v>34.81</v>
      </c>
      <c r="AZ111" s="698">
        <v>0</v>
      </c>
      <c r="BA111" s="698">
        <f t="shared" si="285"/>
        <v>0</v>
      </c>
      <c r="BB111" s="560">
        <f t="shared" si="286"/>
        <v>1319.7333333333329</v>
      </c>
      <c r="BC111" s="560"/>
      <c r="BD111" s="560">
        <f ca="1">IF(B111&gt;Summary!$A$1,#N/A,BB111*MGtoAF)</f>
        <v>4048.9418666666652</v>
      </c>
      <c r="BE111" s="560">
        <f>Sheet1!BG113+Sheet1!BH113+Sheet1!BI113-BM111</f>
        <v>0</v>
      </c>
      <c r="BF111" s="560">
        <f t="shared" si="287"/>
        <v>0</v>
      </c>
      <c r="BG111" s="560">
        <f>IF(Sheet1!EP113="FM",BM111,0)</f>
        <v>0</v>
      </c>
      <c r="BH111" s="560">
        <f t="shared" si="288"/>
        <v>0</v>
      </c>
      <c r="BI111" s="560">
        <f>IF(Sheet1!EP113="OTHER",BM111,0)</f>
        <v>0</v>
      </c>
      <c r="BJ111" s="560">
        <f t="shared" si="289"/>
        <v>0</v>
      </c>
      <c r="BK111" s="560">
        <f t="shared" si="290"/>
        <v>0</v>
      </c>
      <c r="BL111" s="560">
        <f t="shared" si="291"/>
        <v>0</v>
      </c>
      <c r="BM111" s="560">
        <f>IF(OR(Sheet1!EP113="FM", Sheet1!EP113="OTHER"),SUM(Sheet1!BG113:'Sheet1'!BI113),0)</f>
        <v>0</v>
      </c>
      <c r="BN111" s="545">
        <f>IF(AND($B111&gt;=$FV111,$B111&lt;=$FW111),MAX(BF111,Sheet1!EI113,0),MAX(BF111-(7/36)*$K111,0))</f>
        <v>0</v>
      </c>
      <c r="BO111" s="560">
        <f t="shared" si="292"/>
        <v>12.568888888888889</v>
      </c>
      <c r="BP111" s="545">
        <f t="shared" si="293"/>
        <v>0</v>
      </c>
      <c r="BQ111" s="545">
        <f>IF(AND($O111&gt;0,Sheet1!EM113=1),(1-($O111-Sheet1!$L113)/$O111)*BL111,0)</f>
        <v>0</v>
      </c>
      <c r="BR111" s="545">
        <f>IF(AND(Sheet1!$L113=0,Sheet1!$L112=0, Calculation!BK111&lt;Sheet1!$EI113-0.1,Sheet1!$EI113=Sheet1!$EI112,Sheet1!$EI113=Sheet1!$EI114),Sheet1!$EI113,BL111-BQ111)</f>
        <v>0</v>
      </c>
      <c r="BS111" s="560"/>
      <c r="BT111" s="560"/>
      <c r="BU111" s="560">
        <f t="shared" si="294"/>
        <v>615.87555555555491</v>
      </c>
      <c r="BV111" s="560"/>
      <c r="BW111" s="560">
        <f ca="1">IF(B111&gt;Summary!$A$1,#N/A,BU111*MGtoAF)</f>
        <v>1889.5062044444426</v>
      </c>
      <c r="BX111" s="560">
        <f>Sheet1!BC113+Sheet1!BD113+Sheet1!BE113+Sheet1!BF113-CG111-CH111</f>
        <v>2.4900000000000002</v>
      </c>
      <c r="BY111" s="560">
        <f t="shared" si="295"/>
        <v>2.502759164367363</v>
      </c>
      <c r="BZ111" s="560">
        <f>IF(Sheet1!EQ113="FM",CH111,0)</f>
        <v>0</v>
      </c>
      <c r="CA111" s="560">
        <f t="shared" si="296"/>
        <v>0</v>
      </c>
      <c r="CB111" s="560">
        <f>IF(Sheet1!EQ113="OTHER",CH111,0)</f>
        <v>0</v>
      </c>
      <c r="CC111" s="560">
        <f t="shared" si="297"/>
        <v>0</v>
      </c>
      <c r="CD111" s="560">
        <f t="shared" si="298"/>
        <v>0</v>
      </c>
      <c r="CE111" s="560">
        <f t="shared" si="299"/>
        <v>2.4900000000000002</v>
      </c>
      <c r="CF111" s="560">
        <f t="shared" si="300"/>
        <v>2.502759164367363</v>
      </c>
      <c r="CG111" s="560">
        <f>IF(Sheet1!EQ113="CWA",SUM(Sheet1!BC113:'Sheet1'!BF113),0)</f>
        <v>0</v>
      </c>
      <c r="CH111" s="560">
        <f>IF(OR(Sheet1!EQ113="FM", Sheet1!EQ113="OTHER"),SUM(Sheet1!BC113:'Sheet1'!BF113),0)</f>
        <v>0</v>
      </c>
      <c r="CI111" s="545">
        <f>IF(AND($B111&gt;=$FV111,$B111&lt;=$FW111),MAX(CF111,Sheet1!EJ113,0),MAX(CF111-(7/36)*$K111,0))</f>
        <v>0</v>
      </c>
      <c r="CJ111" s="560">
        <f t="shared" si="301"/>
        <v>10.066129724521526</v>
      </c>
      <c r="CK111" s="545">
        <f t="shared" si="302"/>
        <v>2.502759164367363</v>
      </c>
      <c r="CL111" s="545">
        <f>IF(AND($O111&gt;0,Sheet1!EN113=1),(1-($O111-Sheet1!$L113)/$O111)*CF111,0)</f>
        <v>0</v>
      </c>
      <c r="CM111" s="545">
        <f>IF(AND(Sheet1!$L113=0,Sheet1!$L112=0, Calculation!CE111&lt;Sheet1!EJ113-0.1,Sheet1!EJ113=Sheet1!EJ112,Sheet1!EJ113=Sheet1!EJ114),Sheet1!EJ113,CF111-CL111)</f>
        <v>2.502759164367363</v>
      </c>
      <c r="CN111" s="545"/>
      <c r="CO111" s="560"/>
      <c r="CP111" s="560">
        <f t="shared" si="303"/>
        <v>486.03881680429902</v>
      </c>
      <c r="CQ111" s="560"/>
      <c r="CR111" s="560">
        <f ca="1">IF(B111&gt;Summary!$A$1,#N/A,CP111*MGtoAF)</f>
        <v>1491.1670899555895</v>
      </c>
      <c r="CS111" s="560">
        <f>Sheet1!BK113+Sheet1!BL113+Sheet1!BM113-Sheet1!ER113-DA111</f>
        <v>5.88</v>
      </c>
      <c r="CT111" s="560">
        <f t="shared" si="304"/>
        <v>5.9101300748916037</v>
      </c>
      <c r="CU111" s="560">
        <f>IF(Sheet1!ER113="FM",DA111,0)</f>
        <v>0</v>
      </c>
      <c r="CV111" s="560">
        <f t="shared" si="305"/>
        <v>0</v>
      </c>
      <c r="CW111" s="560">
        <f>IF(Sheet1!ER113="OTHER",DA111,0)</f>
        <v>0</v>
      </c>
      <c r="CX111" s="560">
        <f t="shared" si="306"/>
        <v>0</v>
      </c>
      <c r="CY111" s="560">
        <f t="shared" si="307"/>
        <v>5.88</v>
      </c>
      <c r="CZ111" s="560">
        <f t="shared" si="308"/>
        <v>5.9101300748916037</v>
      </c>
      <c r="DA111" s="560">
        <f>IF(OR(Sheet1!ER113="FM", Sheet1!ER113="OTHER"),SUM(Sheet1!BK113:'Sheet1'!BM113),0)</f>
        <v>0</v>
      </c>
      <c r="DB111" s="545">
        <f>IF(AND($B111&gt;=$FV111,$B111&lt;=$FW111),MAX($CT111,Sheet1!EK113,0),MAX($CT111-(7/36)*$K111,0))</f>
        <v>0</v>
      </c>
      <c r="DC111" s="560">
        <f t="shared" si="309"/>
        <v>6.6587588139972853</v>
      </c>
      <c r="DD111" s="545">
        <f t="shared" si="310"/>
        <v>5.9101300748916037</v>
      </c>
      <c r="DE111" s="545">
        <f>IF(AND($O111&gt;0,Sheet1!EO113=1),(1-($O111-Sheet1!$L113)/$O111)*CZ111,0)</f>
        <v>0</v>
      </c>
      <c r="DF111" s="545">
        <f>IF(AND(Sheet1!$L113=0,Sheet1!$L112=0, Calculation!CY111&lt;Sheet1!$EK113-0.1,Sheet1!$EK113=Sheet1!$EK112,Sheet1!$EK113=Sheet1!$EK114),Sheet1!$EK113,CZ111-DE111)</f>
        <v>5.9101300748916037</v>
      </c>
      <c r="DG111" s="545"/>
      <c r="DH111" s="560">
        <f t="shared" si="311"/>
        <v>8.370000000000001</v>
      </c>
      <c r="DI111" s="560">
        <f t="shared" si="312"/>
        <v>348.16734145583973</v>
      </c>
      <c r="DJ111" s="698">
        <f t="shared" si="313"/>
        <v>8.4128892392589663</v>
      </c>
      <c r="DK111" s="560">
        <f ca="1">IF(B111&gt;Summary!$A$1,#N/A,DI111*MGtoAF)</f>
        <v>1068.1774035865162</v>
      </c>
      <c r="DL111" s="698">
        <f t="shared" si="314"/>
        <v>8.370000000000001</v>
      </c>
      <c r="DM111" s="560">
        <f t="shared" si="315"/>
        <v>25.37</v>
      </c>
      <c r="DN111" s="560">
        <f>Sheet1!AB113-DM111</f>
        <v>0.12999999999999901</v>
      </c>
      <c r="DO111" s="823">
        <f t="shared" si="316"/>
        <v>5.1241623965312972E-3</v>
      </c>
      <c r="DP111" s="560">
        <f>(VLOOKUP(Sheet1!DC113,hhdcap_wcm,4)-(((VLOOKUP(Sheet1!DC113,hhdcap_wcm,3)-Sheet1!DC113)/(VLOOKUP(Sheet1!DC113,hhdcap_wcm,3)-VLOOKUP(Sheet1!DC113,hhdcap_wcm,1)))*(VLOOKUP(Sheet1!DC113,hhdcap_wcm,4)-VLOOKUP(Sheet1!DC113,hhdcap_wcm,2))))</f>
        <v>29970.400000076836</v>
      </c>
      <c r="DQ111" s="560">
        <f t="shared" si="317"/>
        <v>351.00000000040018</v>
      </c>
      <c r="DR111" s="560">
        <f t="shared" si="318"/>
        <v>177.00453857811402</v>
      </c>
      <c r="DS111" s="560">
        <f>Sheet1!EA113*AFtoMG</f>
        <v>0</v>
      </c>
      <c r="DT111" s="560">
        <f>Sheet1!EB113*AFtoMG</f>
        <v>0</v>
      </c>
      <c r="DU111" s="560">
        <f>Sheet1!EC113*AFtoMG</f>
        <v>0</v>
      </c>
      <c r="DV111" s="560">
        <f>Sheet1!ED113*AFtoMG</f>
        <v>0</v>
      </c>
      <c r="DW111" s="560">
        <f t="shared" si="319"/>
        <v>0</v>
      </c>
      <c r="DX111" s="560">
        <f t="shared" si="320"/>
        <v>0</v>
      </c>
      <c r="DY111" s="560">
        <f t="shared" si="321"/>
        <v>2769.8150471490262</v>
      </c>
      <c r="DZ111" s="560">
        <f t="shared" si="322"/>
        <v>8497.792564653213</v>
      </c>
      <c r="EA111" s="560"/>
      <c r="EB111" s="545">
        <f>IF(OR(B111&lt;FV111,B111&gt;FW111),(MIN(BF111+BY111+CT111+MAX(Sheet1!AA113+AQ111-73,0),K111)),0)</f>
        <v>8.4128892392589663</v>
      </c>
      <c r="EC111" s="560"/>
      <c r="ED111" s="560">
        <f t="shared" si="323"/>
        <v>8.4128892392589663</v>
      </c>
      <c r="EE111" s="560"/>
      <c r="EF111" s="560">
        <f>Sheet1!EH113+Sheet1!EI113+Sheet1!EJ113+Sheet1!EK113</f>
        <v>8.370000000000001</v>
      </c>
      <c r="EG111" s="560"/>
      <c r="EH111" s="545">
        <f t="shared" si="324"/>
        <v>0</v>
      </c>
      <c r="EI111" s="560">
        <f>IF(Sheet1!ET113=1,SUM('Calculations II'!AT111:BA111)+'Calculations II'!BC111+Sheet1!BV113+'Calculations II'!BE111+AP111,SUM('Calculations II'!AT111:BA111)+'Calculations II'!BC111+Sheet1!BV113+'Calculations II'!BE111+AP111)</f>
        <v>50.181968000000005</v>
      </c>
      <c r="EJ111" s="560">
        <f>Sheet1!AA113+Sheet1!AB113+'Calculations II'!BC111</f>
        <v>52.875840000000004</v>
      </c>
      <c r="EK111" s="560"/>
      <c r="EL111" s="560"/>
      <c r="EM111" s="560">
        <f t="shared" si="325"/>
        <v>41739</v>
      </c>
      <c r="EN111" s="560">
        <f t="shared" si="326"/>
        <v>56.227110760741034</v>
      </c>
      <c r="EO111" s="560">
        <f t="shared" si="327"/>
        <v>86.98334034686637</v>
      </c>
      <c r="EP111" s="560">
        <v>0</v>
      </c>
      <c r="EQ111" s="560">
        <v>0</v>
      </c>
      <c r="ER111" s="560">
        <v>0</v>
      </c>
      <c r="ES111" s="545">
        <f t="shared" si="247"/>
        <v>1.8009493689723275</v>
      </c>
      <c r="ET111" s="560">
        <f>-(VLOOKUP(Sheet1!BQ113,Lookup!$O$4:$Q$262,2)-VLOOKUP(Sheet1!BQ112,Lookup!$O$4:$Q$262,2))/1000000</f>
        <v>0.96975232182766502</v>
      </c>
      <c r="EU111" s="560">
        <f>-(VLOOKUP(Sheet1!BR113,Lookup!$O$4:$Q$262,3)-VLOOKUP(Sheet1!BR112,Lookup!$O$4:$Q$262,3))/1000000</f>
        <v>0.83119704714466258</v>
      </c>
      <c r="EV111" s="560"/>
      <c r="EW111" s="560"/>
      <c r="EX111" s="560"/>
      <c r="EY111" s="560"/>
      <c r="EZ111" s="560"/>
      <c r="FA111" s="560"/>
      <c r="FB111" s="560"/>
      <c r="FC111" s="560"/>
      <c r="FD111" s="594" t="e">
        <f t="shared" si="328"/>
        <v>#N/A</v>
      </c>
      <c r="FE111" s="594" t="e">
        <f t="shared" si="329"/>
        <v>#N/A</v>
      </c>
      <c r="FF111" s="595" t="e">
        <f t="shared" si="330"/>
        <v>#N/A</v>
      </c>
      <c r="FG111" s="596" t="s">
        <v>692</v>
      </c>
      <c r="FH111" s="596" t="s">
        <v>692</v>
      </c>
      <c r="FI111" s="594" t="e">
        <v>#N/A</v>
      </c>
      <c r="FJ111" s="594" t="e">
        <v>#N/A</v>
      </c>
      <c r="FK111" s="560"/>
      <c r="FL111" s="560"/>
      <c r="FM111" s="560"/>
      <c r="FN111" s="560"/>
      <c r="FO111" s="560">
        <f>O111+((Sheet1!CS113)*GPMtoMGD)</f>
        <v>52.875840000000004</v>
      </c>
      <c r="FP111" s="560">
        <f>IF(Sheet1!AA113+AQ111&lt;=Calculation!N111,AQ111,Calculation!N111-Sheet1!AA113)</f>
        <v>15.478912100906582</v>
      </c>
      <c r="FQ111" s="560">
        <f>(Sheet1!BP113+Sheet1!BO113)/694.4</f>
        <v>1.3099078341013826</v>
      </c>
      <c r="FR111" s="560"/>
      <c r="FS111" s="560"/>
      <c r="FT111" s="560"/>
      <c r="FU111" s="560"/>
      <c r="FV111" s="695">
        <f t="shared" si="248"/>
        <v>41827</v>
      </c>
      <c r="FW111" s="695">
        <f t="shared" si="249"/>
        <v>41934</v>
      </c>
      <c r="FX111" s="560"/>
      <c r="FY111" s="560"/>
      <c r="FZ111" s="560"/>
      <c r="GA111" s="560"/>
      <c r="GB111" s="560" t="str">
        <f t="shared" si="250"/>
        <v>n</v>
      </c>
      <c r="GC111" s="564">
        <f t="shared" si="251"/>
        <v>41691</v>
      </c>
      <c r="GD111" s="695">
        <f t="shared" si="252"/>
        <v>41807</v>
      </c>
      <c r="GE111" s="560">
        <v>6518.9</v>
      </c>
      <c r="GF111" s="695">
        <f t="shared" si="253"/>
        <v>41808</v>
      </c>
      <c r="GG111" s="560">
        <f t="shared" si="272"/>
        <v>3259</v>
      </c>
      <c r="GH111" s="564">
        <f t="shared" si="254"/>
        <v>41934</v>
      </c>
      <c r="GJ111" s="545">
        <f t="shared" si="255"/>
        <v>0</v>
      </c>
      <c r="GK111" s="560" t="str">
        <f t="shared" si="331"/>
        <v/>
      </c>
      <c r="GL111" s="560">
        <f t="shared" si="256"/>
        <v>0</v>
      </c>
      <c r="GM111" s="560" t="str">
        <f t="shared" si="257"/>
        <v/>
      </c>
      <c r="GN111" s="560">
        <f>IF(GK111="P",Lookup!$M$12,IF(GK111="PP",Lookup!$M$13,IF(GK111="PPP",Lookup!$M$14,IF(GK111="T",Lookup!$M$15,IF(GK111="TP",Lookup!$M$16,IF(GK111="TPP",Lookup!$M$17,IF(GK111="TPPP",Lookup!$M$18,0)))))))*GJ111</f>
        <v>0</v>
      </c>
      <c r="GO111" s="560">
        <f t="shared" si="258"/>
        <v>0</v>
      </c>
      <c r="GP111" s="560">
        <f t="shared" si="332"/>
        <v>4048.9418666666652</v>
      </c>
      <c r="GQ111" s="560">
        <f t="shared" si="266"/>
        <v>1319.7333333333329</v>
      </c>
      <c r="GR111" s="560"/>
      <c r="GS111" s="560">
        <f t="shared" si="259"/>
        <v>0</v>
      </c>
      <c r="GT111" s="560" t="str">
        <f t="shared" si="260"/>
        <v/>
      </c>
      <c r="GU111" s="560">
        <f>IF(GK111="P",Lookup!$N$12,IF(GK111="PP",Lookup!$N$13,IF(GK111="PPP",Lookup!$N$14,IF(GK111="T",Lookup!$N$15,IF(GK111="TP",Lookup!$N$16,IF(GK111="TPP",Lookup!$N$17,IF(GK111="TPPP",Lookup!$N$18,0)))))))*GJ111</f>
        <v>0</v>
      </c>
      <c r="GV111" s="560">
        <f t="shared" si="261"/>
        <v>0</v>
      </c>
      <c r="GW111" s="560">
        <f t="shared" si="333"/>
        <v>1889.5062044444426</v>
      </c>
      <c r="GX111" s="560">
        <f t="shared" si="267"/>
        <v>615.87555555555491</v>
      </c>
      <c r="GY111" s="560"/>
      <c r="GZ111" s="560">
        <f t="shared" si="262"/>
        <v>0</v>
      </c>
      <c r="HA111" s="560" t="str">
        <f t="shared" si="263"/>
        <v/>
      </c>
      <c r="HB111" s="560">
        <f>IF(GK111="P",Lookup!$N$12,IF(GK111="PP",Lookup!$N$13,IF(GK111="PPP",Lookup!$N$14,IF(GK111="T",Lookup!$N$15,IF(GK111="TP",Lookup!$N$16,IF(GK111="TPP",Lookup!$N$17,IF(GK111="TPPP",Lookup!$N$18,0)))))))*GJ111</f>
        <v>0</v>
      </c>
      <c r="HC111" s="545">
        <f t="shared" si="334"/>
        <v>0</v>
      </c>
      <c r="HD111" s="560">
        <f t="shared" si="335"/>
        <v>1491.1670899555895</v>
      </c>
      <c r="HE111" s="560">
        <f t="shared" si="268"/>
        <v>486.03881680429902</v>
      </c>
      <c r="HF111" s="560"/>
      <c r="HG111" s="560">
        <f t="shared" si="264"/>
        <v>0</v>
      </c>
      <c r="HH111" s="560" t="str">
        <f t="shared" si="265"/>
        <v/>
      </c>
      <c r="HI111" s="560">
        <f>IF(GK111="P",Lookup!$N$12,IF(GK111="PP",Lookup!$N$13,IF(GK111="PPP",Lookup!$N$14,IF(GK111="T",Lookup!$N$15,IF(GK111="TP",Lookup!$N$16,IF(GK111="TPP",Lookup!$N$17,IF(GK111="TPPP",Lookup!$N$18,0)))))))*GJ111</f>
        <v>0</v>
      </c>
      <c r="HJ111" s="545">
        <f t="shared" si="336"/>
        <v>0</v>
      </c>
      <c r="HK111" s="560">
        <f t="shared" si="337"/>
        <v>1068.1774035865162</v>
      </c>
      <c r="HL111" s="560">
        <f t="shared" si="269"/>
        <v>348.16734145583973</v>
      </c>
      <c r="HM111" s="560"/>
    </row>
    <row r="112" spans="1:221">
      <c r="A112" s="580" t="s">
        <v>8</v>
      </c>
      <c r="B112" s="556">
        <v>41740</v>
      </c>
      <c r="C112" s="561">
        <v>0</v>
      </c>
      <c r="D112" s="529">
        <f t="shared" si="270"/>
        <v>300</v>
      </c>
      <c r="E112" s="529">
        <f t="shared" si="271"/>
        <v>250</v>
      </c>
      <c r="F112" s="529">
        <v>250</v>
      </c>
      <c r="G112" s="560">
        <f>DR112+Sheet1!CZ114</f>
        <v>1558.9056984373551</v>
      </c>
      <c r="H112" s="914">
        <f t="shared" si="236"/>
        <v>740.71344346990634</v>
      </c>
      <c r="I112" s="559">
        <f>MAX(Sheet1!Z114-AT112+(Sheet1!DA114-E112)*CFStoMGD,0)</f>
        <v>1260.124</v>
      </c>
      <c r="J112" s="562">
        <f>IF(AND(B112&gt;=Calculation!GC112,B112&lt;=Calculation!GD112),IF(Sheet1!DB114&gt;=Calculation!D112,64.64,0),MAX(Sheet1!Z114-AT112+(Sheet1!DB114-D112)*CFStoMGD,0))</f>
        <v>64.64</v>
      </c>
      <c r="K112" s="904">
        <f t="shared" si="273"/>
        <v>64.64</v>
      </c>
      <c r="L112" s="560">
        <f>Sheet1!AA114+Sheet1!AB114-Sheet1!L114+(Sheet1!DA114-F112)*CFStoMGD</f>
        <v>1234.624</v>
      </c>
      <c r="M112" s="560">
        <f t="shared" si="274"/>
        <v>1027.8301763393044</v>
      </c>
      <c r="N112" s="910">
        <f>IF(Sheet1!DA114&gt;=F112,MIN(73,MIN(MAX(L112,0),MAX(M112,0))),0)</f>
        <v>73</v>
      </c>
      <c r="O112" s="563">
        <f>Sheet1!AA114+Sheet1!AB114</f>
        <v>46.6</v>
      </c>
      <c r="P112" s="563">
        <f t="shared" si="275"/>
        <v>72.09020000000001</v>
      </c>
      <c r="Q112" s="898">
        <f t="shared" si="237"/>
        <v>38.130000000000003</v>
      </c>
      <c r="R112" s="829">
        <f t="shared" si="276"/>
        <v>8.4469029996104403</v>
      </c>
      <c r="S112" s="898">
        <f t="shared" si="238"/>
        <v>8.4699999999999989</v>
      </c>
      <c r="T112" s="898">
        <f t="shared" si="239"/>
        <v>56.17</v>
      </c>
      <c r="U112" s="898">
        <f t="shared" si="240"/>
        <v>0</v>
      </c>
      <c r="V112" s="898"/>
      <c r="W112" s="898">
        <f t="shared" si="241"/>
        <v>56.193097000389557</v>
      </c>
      <c r="X112" s="898">
        <f t="shared" si="242"/>
        <v>64.64</v>
      </c>
      <c r="Y112" s="898" t="str">
        <f t="shared" si="243"/>
        <v>FALSE</v>
      </c>
      <c r="Z112" s="898">
        <f t="shared" si="244"/>
        <v>46.6</v>
      </c>
      <c r="AA112" s="898">
        <f t="shared" si="245"/>
        <v>46.6</v>
      </c>
      <c r="AB112" s="898" t="str">
        <f t="shared" si="246"/>
        <v/>
      </c>
      <c r="AC112" s="563">
        <f>Sheet1!Y114*MGDtoCFS</f>
        <v>32.579819999999998</v>
      </c>
      <c r="AD112" s="563">
        <f>Sheet1!Z114*MGDtoCFS</f>
        <v>39.448499999999996</v>
      </c>
      <c r="AE112" s="563">
        <f>Sheet1!AA114*MGDtoCFS</f>
        <v>32.487000000000002</v>
      </c>
      <c r="AF112" s="563">
        <f>Sheet1!AB114*MGDtoCFS</f>
        <v>39.603200000000001</v>
      </c>
      <c r="AG112" s="563">
        <f>Sheet1!L114*MGDtoCFS</f>
        <v>72.090199999999996</v>
      </c>
      <c r="AH112" s="545">
        <f t="shared" si="277"/>
        <v>0</v>
      </c>
      <c r="AI112" s="560">
        <f t="shared" si="278"/>
        <v>0</v>
      </c>
      <c r="AJ112" s="560">
        <f t="shared" si="279"/>
        <v>56.193097000389557</v>
      </c>
      <c r="AK112" s="560">
        <f t="shared" si="280"/>
        <v>86.930721059602647</v>
      </c>
      <c r="AL112" s="560">
        <f>(VLOOKUP(Sheet1!DC114,hhdcap_wcm,4)-(((VLOOKUP(Sheet1!DC114,hhdcap_wcm,3)-Sheet1!DC114)/(VLOOKUP(Sheet1!DC114,hhdcap_wcm,3)-VLOOKUP(Sheet1!DC114,hhdcap_wcm,1)))*(VLOOKUP(Sheet1!DC114,hhdcap_wcm,4)-VLOOKUP(Sheet1!DC114,hhdcap_wcm,2))))</f>
        <v>30345.000000078111</v>
      </c>
      <c r="AM112" s="560">
        <f t="shared" si="281"/>
        <v>374.60000000127548</v>
      </c>
      <c r="AN112" s="560">
        <f t="shared" si="282"/>
        <v>2826.0081441494158</v>
      </c>
      <c r="AO112" s="560">
        <f t="shared" si="283"/>
        <v>8670.1929862504076</v>
      </c>
      <c r="AP112" s="560">
        <f>Sheet1!BA114+Sheet1!BB114+Sheet1!BN114+CD112</f>
        <v>17.2</v>
      </c>
      <c r="AQ112" s="560">
        <f>Sheet1!BN114+(DO112*Sheet1!BN114)</f>
        <v>15.557460070120765</v>
      </c>
      <c r="AR112" s="560">
        <f>Sheet1!BA114+CD112</f>
        <v>0</v>
      </c>
      <c r="AS112" s="560">
        <f>Sheet1!BA114+Sheet1!BB114+CD112</f>
        <v>1.6</v>
      </c>
      <c r="AT112" s="698">
        <f>0</f>
        <v>0</v>
      </c>
      <c r="AU112" s="560">
        <f>IF(EB112&lt;K112,0,MAX(Sheet1!AA114+AQ112-15/36*K112-N112,Sheet1!EH114,0))</f>
        <v>0</v>
      </c>
      <c r="AV112" s="560">
        <f>IF(OR(B112&gt;=GD112,B112&lt;GC112),0,15/36*K112-MAX(0,64.6-(137.6-(Sheet1!AA114+Sheet1!AB114))))</f>
        <v>26.933333333333334</v>
      </c>
      <c r="AW112" s="698">
        <f>Sheet1!DB114-110</f>
        <v>1280</v>
      </c>
      <c r="AX112" s="698">
        <f>Sheet1!DA114-265</f>
        <v>1895</v>
      </c>
      <c r="AY112" s="698">
        <f t="shared" si="284"/>
        <v>34.869999999999997</v>
      </c>
      <c r="AZ112" s="698">
        <v>0</v>
      </c>
      <c r="BA112" s="698">
        <f t="shared" si="285"/>
        <v>0</v>
      </c>
      <c r="BB112" s="560">
        <f t="shared" si="286"/>
        <v>1346.6666666666663</v>
      </c>
      <c r="BC112" s="560"/>
      <c r="BD112" s="560">
        <f ca="1">IF(B112&gt;Summary!$A$1,#N/A,BB112*MGtoAF)</f>
        <v>4131.5733333333319</v>
      </c>
      <c r="BE112" s="560">
        <f>Sheet1!BG114+Sheet1!BH114+Sheet1!BI114-BM112</f>
        <v>0</v>
      </c>
      <c r="BF112" s="560">
        <f t="shared" si="287"/>
        <v>0</v>
      </c>
      <c r="BG112" s="560">
        <f>IF(Sheet1!EP114="FM",BM112,0)</f>
        <v>0</v>
      </c>
      <c r="BH112" s="560">
        <f t="shared" si="288"/>
        <v>0</v>
      </c>
      <c r="BI112" s="560">
        <f>IF(Sheet1!EP114="OTHER",BM112,0)</f>
        <v>0</v>
      </c>
      <c r="BJ112" s="560">
        <f t="shared" si="289"/>
        <v>0</v>
      </c>
      <c r="BK112" s="560">
        <f t="shared" si="290"/>
        <v>0</v>
      </c>
      <c r="BL112" s="560">
        <f t="shared" si="291"/>
        <v>0</v>
      </c>
      <c r="BM112" s="560">
        <f>IF(OR(Sheet1!EP114="FM", Sheet1!EP114="OTHER"),SUM(Sheet1!BG114:'Sheet1'!BI114),0)</f>
        <v>0</v>
      </c>
      <c r="BN112" s="545">
        <f>IF(AND($B112&gt;=$FV112,$B112&lt;=$FW112),MAX(BF112,Sheet1!EI114,0),MAX(BF112-(7/36)*$K112,0))</f>
        <v>0</v>
      </c>
      <c r="BO112" s="560">
        <f t="shared" si="292"/>
        <v>12.568888888888889</v>
      </c>
      <c r="BP112" s="545">
        <f t="shared" si="293"/>
        <v>0</v>
      </c>
      <c r="BQ112" s="545">
        <f>IF(AND($O112&gt;0,Sheet1!EM114=1),(1-($O112-Sheet1!$L114)/$O112)*BL112,0)</f>
        <v>0</v>
      </c>
      <c r="BR112" s="545">
        <f>IF(AND(Sheet1!$L114=0,Sheet1!$L113=0, Calculation!BK112&lt;Sheet1!$EI114-0.1,Sheet1!$EI114=Sheet1!$EI113,Sheet1!$EI114=Sheet1!$EI115),Sheet1!$EI114,BL112-BQ112)</f>
        <v>0</v>
      </c>
      <c r="BS112" s="560"/>
      <c r="BT112" s="560"/>
      <c r="BU112" s="560">
        <f t="shared" si="294"/>
        <v>628.44444444444377</v>
      </c>
      <c r="BV112" s="560"/>
      <c r="BW112" s="560">
        <f ca="1">IF(B112&gt;Summary!$A$1,#N/A,BU112*MGtoAF)</f>
        <v>1928.0675555555536</v>
      </c>
      <c r="BX112" s="560">
        <f>Sheet1!BC114+Sheet1!BD114+Sheet1!BE114+Sheet1!BF114-CG112-CH112</f>
        <v>2.5</v>
      </c>
      <c r="BY112" s="560">
        <f t="shared" si="295"/>
        <v>2.4931827035449943</v>
      </c>
      <c r="BZ112" s="560">
        <f>IF(Sheet1!EQ114="FM",CH112,0)</f>
        <v>0</v>
      </c>
      <c r="CA112" s="560">
        <f t="shared" si="296"/>
        <v>0</v>
      </c>
      <c r="CB112" s="560">
        <f>IF(Sheet1!EQ114="OTHER",CH112,0)</f>
        <v>0</v>
      </c>
      <c r="CC112" s="560">
        <f t="shared" si="297"/>
        <v>0</v>
      </c>
      <c r="CD112" s="560">
        <f t="shared" si="298"/>
        <v>0</v>
      </c>
      <c r="CE112" s="560">
        <f t="shared" si="299"/>
        <v>2.5</v>
      </c>
      <c r="CF112" s="560">
        <f t="shared" si="300"/>
        <v>2.4931827035449943</v>
      </c>
      <c r="CG112" s="560">
        <f>IF(Sheet1!EQ114="CWA",SUM(Sheet1!BC114:'Sheet1'!BF114),0)</f>
        <v>0</v>
      </c>
      <c r="CH112" s="560">
        <f>IF(OR(Sheet1!EQ114="FM", Sheet1!EQ114="OTHER"),SUM(Sheet1!BC114:'Sheet1'!BF114),0)</f>
        <v>0</v>
      </c>
      <c r="CI112" s="545">
        <f>IF(AND($B112&gt;=$FV112,$B112&lt;=$FW112),MAX(CF112,Sheet1!EJ114,0),MAX(CF112-(7/36)*$K112,0))</f>
        <v>0</v>
      </c>
      <c r="CJ112" s="560">
        <f t="shared" si="301"/>
        <v>10.075706185343895</v>
      </c>
      <c r="CK112" s="545">
        <f t="shared" si="302"/>
        <v>2.4931827035449943</v>
      </c>
      <c r="CL112" s="545">
        <f>IF(AND($O112&gt;0,Sheet1!EN114=1),(1-($O112-Sheet1!$L114)/$O112)*CF112,0)</f>
        <v>0</v>
      </c>
      <c r="CM112" s="545">
        <f>IF(AND(Sheet1!$L114=0,Sheet1!$L113=0, Calculation!CE112&lt;Sheet1!EJ114-0.1,Sheet1!EJ114=Sheet1!EJ113,Sheet1!EJ114=Sheet1!EJ115),Sheet1!EJ114,CF112-CL112)</f>
        <v>2.4931827035449943</v>
      </c>
      <c r="CN112" s="545"/>
      <c r="CO112" s="560"/>
      <c r="CP112" s="560">
        <f t="shared" si="303"/>
        <v>496.11452298964292</v>
      </c>
      <c r="CQ112" s="560"/>
      <c r="CR112" s="560">
        <f ca="1">IF(B112&gt;Summary!$A$1,#N/A,CP112*MGtoAF)</f>
        <v>1522.0793565322244</v>
      </c>
      <c r="CS112" s="560">
        <f>Sheet1!BK114+Sheet1!BL114+Sheet1!BM114-Sheet1!ER114-DA112</f>
        <v>5.97</v>
      </c>
      <c r="CT112" s="560">
        <f t="shared" si="304"/>
        <v>5.9537202960654465</v>
      </c>
      <c r="CU112" s="560">
        <f>IF(Sheet1!ER114="FM",DA112,0)</f>
        <v>0</v>
      </c>
      <c r="CV112" s="560">
        <f t="shared" si="305"/>
        <v>0</v>
      </c>
      <c r="CW112" s="560">
        <f>IF(Sheet1!ER114="OTHER",DA112,0)</f>
        <v>0</v>
      </c>
      <c r="CX112" s="560">
        <f t="shared" si="306"/>
        <v>0</v>
      </c>
      <c r="CY112" s="560">
        <f t="shared" si="307"/>
        <v>5.97</v>
      </c>
      <c r="CZ112" s="560">
        <f t="shared" si="308"/>
        <v>5.9537202960654465</v>
      </c>
      <c r="DA112" s="560">
        <f>IF(OR(Sheet1!ER114="FM", Sheet1!ER114="OTHER"),SUM(Sheet1!BK114:'Sheet1'!BM114),0)</f>
        <v>0</v>
      </c>
      <c r="DB112" s="545">
        <f>IF(AND($B112&gt;=$FV112,$B112&lt;=$FW112),MAX($CT112,Sheet1!EK114,0),MAX($CT112-(7/36)*$K112,0))</f>
        <v>0</v>
      </c>
      <c r="DC112" s="560">
        <f t="shared" si="309"/>
        <v>6.6151685928234425</v>
      </c>
      <c r="DD112" s="545">
        <f t="shared" si="310"/>
        <v>5.9537202960654465</v>
      </c>
      <c r="DE112" s="545">
        <f>IF(AND($O112&gt;0,Sheet1!EO114=1),(1-($O112-Sheet1!$L114)/$O112)*CZ112,0)</f>
        <v>0</v>
      </c>
      <c r="DF112" s="545">
        <f>IF(AND(Sheet1!$L114=0,Sheet1!$L113=0, Calculation!CY112&lt;Sheet1!$EK114-0.1,Sheet1!$EK114=Sheet1!$EK113,Sheet1!$EK114=Sheet1!$EK115),Sheet1!$EK114,CZ112-DE112)</f>
        <v>5.9537202960654465</v>
      </c>
      <c r="DG112" s="545"/>
      <c r="DH112" s="560">
        <f t="shared" si="311"/>
        <v>8.4699999999999989</v>
      </c>
      <c r="DI112" s="560">
        <f t="shared" si="312"/>
        <v>354.7825100486632</v>
      </c>
      <c r="DJ112" s="698">
        <f t="shared" si="313"/>
        <v>8.4469029996104403</v>
      </c>
      <c r="DK112" s="560">
        <f ca="1">IF(B112&gt;Summary!$A$1,#N/A,DI112*MGtoAF)</f>
        <v>1088.4727408292988</v>
      </c>
      <c r="DL112" s="698">
        <f t="shared" si="314"/>
        <v>8.4699999999999989</v>
      </c>
      <c r="DM112" s="560">
        <f t="shared" si="315"/>
        <v>25.669999999999998</v>
      </c>
      <c r="DN112" s="560">
        <f>Sheet1!AB114-DM112</f>
        <v>-6.9999999999996732E-2</v>
      </c>
      <c r="DO112" s="823">
        <f t="shared" si="316"/>
        <v>-2.7269185820022104E-3</v>
      </c>
      <c r="DP112" s="560">
        <f>(VLOOKUP(Sheet1!DC114,hhdcap_wcm,4)-(((VLOOKUP(Sheet1!DC114,hhdcap_wcm,3)-Sheet1!DC114)/(VLOOKUP(Sheet1!DC114,hhdcap_wcm,3)-VLOOKUP(Sheet1!DC114,hhdcap_wcm,1)))*(VLOOKUP(Sheet1!DC114,hhdcap_wcm,4)-VLOOKUP(Sheet1!DC114,hhdcap_wcm,2))))</f>
        <v>30345.000000078111</v>
      </c>
      <c r="DQ112" s="560">
        <f t="shared" si="317"/>
        <v>374.60000000127548</v>
      </c>
      <c r="DR112" s="560">
        <f t="shared" si="318"/>
        <v>188.90569843735523</v>
      </c>
      <c r="DS112" s="560">
        <f>Sheet1!EA114*AFtoMG</f>
        <v>0</v>
      </c>
      <c r="DT112" s="560">
        <f>Sheet1!EB114*AFtoMG</f>
        <v>0</v>
      </c>
      <c r="DU112" s="560">
        <f>Sheet1!EC114*AFtoMG</f>
        <v>0</v>
      </c>
      <c r="DV112" s="560">
        <f>Sheet1!ED114*AFtoMG</f>
        <v>0</v>
      </c>
      <c r="DW112" s="560">
        <f t="shared" si="319"/>
        <v>0</v>
      </c>
      <c r="DX112" s="560">
        <f t="shared" si="320"/>
        <v>0</v>
      </c>
      <c r="DY112" s="560">
        <f t="shared" si="321"/>
        <v>2826.0081441494158</v>
      </c>
      <c r="DZ112" s="560">
        <f t="shared" si="322"/>
        <v>8670.1929862504076</v>
      </c>
      <c r="EA112" s="560"/>
      <c r="EB112" s="545">
        <f>IF(OR(B112&lt;FV112,B112&gt;FW112),(MIN(BF112+BY112+CT112+MAX(Sheet1!AA114+AQ112-73,0),K112)),0)</f>
        <v>8.4469029996104403</v>
      </c>
      <c r="EC112" s="560"/>
      <c r="ED112" s="560">
        <f t="shared" si="323"/>
        <v>8.4469029996104403</v>
      </c>
      <c r="EE112" s="560"/>
      <c r="EF112" s="560">
        <f>Sheet1!EH114+Sheet1!EI114+Sheet1!EJ114+Sheet1!EK114</f>
        <v>8.4699999999999989</v>
      </c>
      <c r="EG112" s="560"/>
      <c r="EH112" s="545">
        <f t="shared" si="324"/>
        <v>0</v>
      </c>
      <c r="EI112" s="560">
        <f>IF(Sheet1!ET114=1,SUM('Calculations II'!AT112:BA112)+'Calculations II'!BC112+Sheet1!BV114+'Calculations II'!BE112+AP112,SUM('Calculations II'!AT112:BA112)+'Calculations II'!BC112+Sheet1!BV114+'Calculations II'!BE112+AP112)</f>
        <v>52.537632000000002</v>
      </c>
      <c r="EJ112" s="560">
        <f>Sheet1!AA114+Sheet1!AB114+'Calculations II'!BC112</f>
        <v>52.872928000000002</v>
      </c>
      <c r="EK112" s="560"/>
      <c r="EL112" s="560"/>
      <c r="EM112" s="560">
        <f t="shared" si="325"/>
        <v>41740</v>
      </c>
      <c r="EN112" s="560">
        <f t="shared" si="326"/>
        <v>56.193097000389557</v>
      </c>
      <c r="EO112" s="560">
        <f t="shared" si="327"/>
        <v>86.930721059602647</v>
      </c>
      <c r="EP112" s="560">
        <v>0</v>
      </c>
      <c r="EQ112" s="560">
        <v>0</v>
      </c>
      <c r="ER112" s="560">
        <v>0</v>
      </c>
      <c r="ES112" s="545">
        <f t="shared" si="247"/>
        <v>3.8771251636514217</v>
      </c>
      <c r="ET112" s="560">
        <f>-(VLOOKUP(Sheet1!BQ114,Lookup!$O$4:$Q$262,2)-VLOOKUP(Sheet1!BQ113,Lookup!$O$4:$Q$262,2))/1000000</f>
        <v>1.9385625818257108</v>
      </c>
      <c r="EU112" s="560">
        <f>-(VLOOKUP(Sheet1!BR114,Lookup!$O$4:$Q$262,3)-VLOOKUP(Sheet1!BR113,Lookup!$O$4:$Q$262,3))/1000000</f>
        <v>1.9385625818257108</v>
      </c>
      <c r="EV112" s="560"/>
      <c r="EW112" s="560"/>
      <c r="EX112" s="560"/>
      <c r="EY112" s="560"/>
      <c r="EZ112" s="560"/>
      <c r="FA112" s="560"/>
      <c r="FB112" s="560"/>
      <c r="FC112" s="560"/>
      <c r="FD112" s="594" t="e">
        <f t="shared" si="328"/>
        <v>#N/A</v>
      </c>
      <c r="FE112" s="594" t="e">
        <f t="shared" si="329"/>
        <v>#N/A</v>
      </c>
      <c r="FF112" s="595" t="e">
        <f t="shared" si="330"/>
        <v>#N/A</v>
      </c>
      <c r="FG112" s="596" t="s">
        <v>692</v>
      </c>
      <c r="FH112" s="596" t="s">
        <v>692</v>
      </c>
      <c r="FI112" s="594" t="e">
        <v>#N/A</v>
      </c>
      <c r="FJ112" s="594" t="e">
        <v>#N/A</v>
      </c>
      <c r="FK112" s="560"/>
      <c r="FL112" s="560"/>
      <c r="FM112" s="560"/>
      <c r="FN112" s="560"/>
      <c r="FO112" s="560">
        <f>O112+((Sheet1!CS114)*GPMtoMGD)</f>
        <v>52.872928000000002</v>
      </c>
      <c r="FP112" s="560">
        <f>IF(Sheet1!AA114+AQ112&lt;=Calculation!N112,AQ112,Calculation!N112-Sheet1!AA114)</f>
        <v>15.557460070120765</v>
      </c>
      <c r="FQ112" s="560">
        <f>(Sheet1!BP114+Sheet1!BO114)/694.4</f>
        <v>2.7498559907834101</v>
      </c>
      <c r="FR112" s="560"/>
      <c r="FS112" s="560"/>
      <c r="FT112" s="560"/>
      <c r="FU112" s="560"/>
      <c r="FV112" s="695">
        <f t="shared" si="248"/>
        <v>41827</v>
      </c>
      <c r="FW112" s="695">
        <f t="shared" si="249"/>
        <v>41934</v>
      </c>
      <c r="FX112" s="560"/>
      <c r="FY112" s="560"/>
      <c r="FZ112" s="560"/>
      <c r="GA112" s="560"/>
      <c r="GB112" s="560" t="str">
        <f t="shared" si="250"/>
        <v>n</v>
      </c>
      <c r="GC112" s="564">
        <f t="shared" si="251"/>
        <v>41691</v>
      </c>
      <c r="GD112" s="695">
        <f t="shared" si="252"/>
        <v>41807</v>
      </c>
      <c r="GE112" s="560">
        <v>6518.9</v>
      </c>
      <c r="GF112" s="695">
        <f t="shared" si="253"/>
        <v>41808</v>
      </c>
      <c r="GG112" s="560">
        <f t="shared" si="272"/>
        <v>3259</v>
      </c>
      <c r="GH112" s="564">
        <f t="shared" si="254"/>
        <v>41934</v>
      </c>
      <c r="GJ112" s="545">
        <f t="shared" si="255"/>
        <v>0</v>
      </c>
      <c r="GK112" s="560" t="str">
        <f t="shared" si="331"/>
        <v/>
      </c>
      <c r="GL112" s="560">
        <f t="shared" si="256"/>
        <v>0</v>
      </c>
      <c r="GM112" s="560" t="str">
        <f t="shared" si="257"/>
        <v/>
      </c>
      <c r="GN112" s="560">
        <f>IF(GK112="P",Lookup!$M$12,IF(GK112="PP",Lookup!$M$13,IF(GK112="PPP",Lookup!$M$14,IF(GK112="T",Lookup!$M$15,IF(GK112="TP",Lookup!$M$16,IF(GK112="TPP",Lookup!$M$17,IF(GK112="TPPP",Lookup!$M$18,0)))))))*GJ112</f>
        <v>0</v>
      </c>
      <c r="GO112" s="560">
        <f t="shared" si="258"/>
        <v>0</v>
      </c>
      <c r="GP112" s="560">
        <f t="shared" si="332"/>
        <v>4131.5733333333319</v>
      </c>
      <c r="GQ112" s="560">
        <f t="shared" si="266"/>
        <v>1346.6666666666663</v>
      </c>
      <c r="GR112" s="560"/>
      <c r="GS112" s="560">
        <f t="shared" si="259"/>
        <v>0</v>
      </c>
      <c r="GT112" s="560" t="str">
        <f t="shared" si="260"/>
        <v/>
      </c>
      <c r="GU112" s="560">
        <f>IF(GK112="P",Lookup!$N$12,IF(GK112="PP",Lookup!$N$13,IF(GK112="PPP",Lookup!$N$14,IF(GK112="T",Lookup!$N$15,IF(GK112="TP",Lookup!$N$16,IF(GK112="TPP",Lookup!$N$17,IF(GK112="TPPP",Lookup!$N$18,0)))))))*GJ112</f>
        <v>0</v>
      </c>
      <c r="GV112" s="560">
        <f t="shared" si="261"/>
        <v>0</v>
      </c>
      <c r="GW112" s="560">
        <f t="shared" si="333"/>
        <v>1928.0675555555536</v>
      </c>
      <c r="GX112" s="560">
        <f t="shared" si="267"/>
        <v>628.44444444444377</v>
      </c>
      <c r="GY112" s="560"/>
      <c r="GZ112" s="560">
        <f t="shared" si="262"/>
        <v>0</v>
      </c>
      <c r="HA112" s="560" t="str">
        <f t="shared" si="263"/>
        <v/>
      </c>
      <c r="HB112" s="560">
        <f>IF(GK112="P",Lookup!$N$12,IF(GK112="PP",Lookup!$N$13,IF(GK112="PPP",Lookup!$N$14,IF(GK112="T",Lookup!$N$15,IF(GK112="TP",Lookup!$N$16,IF(GK112="TPP",Lookup!$N$17,IF(GK112="TPPP",Lookup!$N$18,0)))))))*GJ112</f>
        <v>0</v>
      </c>
      <c r="HC112" s="545">
        <f t="shared" si="334"/>
        <v>0</v>
      </c>
      <c r="HD112" s="560">
        <f t="shared" si="335"/>
        <v>1522.0793565322244</v>
      </c>
      <c r="HE112" s="560">
        <f t="shared" si="268"/>
        <v>496.11452298964292</v>
      </c>
      <c r="HF112" s="560"/>
      <c r="HG112" s="560">
        <f t="shared" si="264"/>
        <v>0</v>
      </c>
      <c r="HH112" s="560" t="str">
        <f t="shared" si="265"/>
        <v/>
      </c>
      <c r="HI112" s="560">
        <f>IF(GK112="P",Lookup!$N$12,IF(GK112="PP",Lookup!$N$13,IF(GK112="PPP",Lookup!$N$14,IF(GK112="T",Lookup!$N$15,IF(GK112="TP",Lookup!$N$16,IF(GK112="TPP",Lookup!$N$17,IF(GK112="TPPP",Lookup!$N$18,0)))))))*GJ112</f>
        <v>0</v>
      </c>
      <c r="HJ112" s="545">
        <f t="shared" si="336"/>
        <v>0</v>
      </c>
      <c r="HK112" s="560">
        <f t="shared" si="337"/>
        <v>1088.4727408292988</v>
      </c>
      <c r="HL112" s="560">
        <f t="shared" si="269"/>
        <v>354.7825100486632</v>
      </c>
      <c r="HM112" s="560"/>
    </row>
    <row r="113" spans="1:221">
      <c r="A113" s="580" t="s">
        <v>9</v>
      </c>
      <c r="B113" s="556">
        <v>41741</v>
      </c>
      <c r="C113" s="561">
        <v>0</v>
      </c>
      <c r="D113" s="529">
        <f t="shared" si="270"/>
        <v>300</v>
      </c>
      <c r="E113" s="529">
        <f t="shared" si="271"/>
        <v>250</v>
      </c>
      <c r="F113" s="529">
        <v>250</v>
      </c>
      <c r="G113" s="560">
        <f>DR113+Sheet1!CZ115</f>
        <v>1560.0302571861844</v>
      </c>
      <c r="H113" s="914">
        <f t="shared" si="236"/>
        <v>741.44035824514958</v>
      </c>
      <c r="I113" s="559">
        <f>MAX(Sheet1!Z115-AT113+(Sheet1!DA115-E113)*CFStoMGD,0)</f>
        <v>1214.9759999999999</v>
      </c>
      <c r="J113" s="562">
        <f>IF(AND(B113&gt;=Calculation!GC113,B113&lt;=Calculation!GD113),IF(Sheet1!DB115&gt;=Calculation!D113,64.64,0),MAX(Sheet1!Z115-AT113+(Sheet1!DB115-D113)*CFStoMGD,0))</f>
        <v>64.64</v>
      </c>
      <c r="K113" s="904">
        <f t="shared" si="273"/>
        <v>64.64</v>
      </c>
      <c r="L113" s="560">
        <f>Sheet1!AA115+Sheet1!AB115-Sheet1!L115+(Sheet1!DA115-F113)*CFStoMGD</f>
        <v>1189.376</v>
      </c>
      <c r="M113" s="560">
        <f t="shared" si="274"/>
        <v>1028.5716294100525</v>
      </c>
      <c r="N113" s="910">
        <f>IF(Sheet1!DA115&gt;=F113,MIN(73,MIN(MAX(L113,0),MAX(M113,0))),0)</f>
        <v>73</v>
      </c>
      <c r="O113" s="563">
        <f>Sheet1!AA115+Sheet1!AB115</f>
        <v>46.099999999999994</v>
      </c>
      <c r="P113" s="563">
        <f t="shared" si="275"/>
        <v>71.316699999999997</v>
      </c>
      <c r="Q113" s="898">
        <f t="shared" si="237"/>
        <v>37.899999999999991</v>
      </c>
      <c r="R113" s="829">
        <f t="shared" si="276"/>
        <v>8.2326693227091621</v>
      </c>
      <c r="S113" s="898">
        <f t="shared" si="238"/>
        <v>8.1999999999999993</v>
      </c>
      <c r="T113" s="898">
        <f t="shared" si="239"/>
        <v>56.44</v>
      </c>
      <c r="U113" s="898">
        <f t="shared" si="240"/>
        <v>0</v>
      </c>
      <c r="V113" s="898"/>
      <c r="W113" s="898">
        <f t="shared" si="241"/>
        <v>56.407330677290837</v>
      </c>
      <c r="X113" s="898">
        <f t="shared" si="242"/>
        <v>64.64</v>
      </c>
      <c r="Y113" s="898" t="str">
        <f t="shared" si="243"/>
        <v>FALSE</v>
      </c>
      <c r="Z113" s="898">
        <f t="shared" si="244"/>
        <v>46.099999999999994</v>
      </c>
      <c r="AA113" s="898">
        <f t="shared" si="245"/>
        <v>46.099999999999994</v>
      </c>
      <c r="AB113" s="898" t="str">
        <f t="shared" si="246"/>
        <v/>
      </c>
      <c r="AC113" s="563">
        <f>Sheet1!Y115*MGDtoCFS</f>
        <v>32.487000000000002</v>
      </c>
      <c r="AD113" s="563">
        <f>Sheet1!Z115*MGDtoCFS</f>
        <v>39.603200000000001</v>
      </c>
      <c r="AE113" s="563">
        <f>Sheet1!AA115*MGDtoCFS</f>
        <v>32.332299999999996</v>
      </c>
      <c r="AF113" s="563">
        <f>Sheet1!AB115*MGDtoCFS</f>
        <v>38.984399999999994</v>
      </c>
      <c r="AG113" s="563">
        <f>Sheet1!L115*MGDtoCFS</f>
        <v>71.316699999999983</v>
      </c>
      <c r="AH113" s="545">
        <f t="shared" si="277"/>
        <v>0</v>
      </c>
      <c r="AI113" s="560">
        <f t="shared" si="278"/>
        <v>0</v>
      </c>
      <c r="AJ113" s="560">
        <f t="shared" si="279"/>
        <v>56.407330677290837</v>
      </c>
      <c r="AK113" s="560">
        <f t="shared" si="280"/>
        <v>87.262140557768916</v>
      </c>
      <c r="AL113" s="560">
        <f>(VLOOKUP(Sheet1!DC115,hhdcap_wcm,4)-(((VLOOKUP(Sheet1!DC115,hhdcap_wcm,3)-Sheet1!DC115)/(VLOOKUP(Sheet1!DC115,hhdcap_wcm,3)-VLOOKUP(Sheet1!DC115,hhdcap_wcm,1)))*(VLOOKUP(Sheet1!DC115,hhdcap_wcm,4)-VLOOKUP(Sheet1!DC115,hhdcap_wcm,2))))</f>
        <v>30702.000000078315</v>
      </c>
      <c r="AM113" s="560">
        <f t="shared" si="281"/>
        <v>357.00000000020373</v>
      </c>
      <c r="AN113" s="560">
        <f t="shared" si="282"/>
        <v>2882.4154748267074</v>
      </c>
      <c r="AO113" s="560">
        <f t="shared" si="283"/>
        <v>8843.250676768339</v>
      </c>
      <c r="AP113" s="560">
        <f>Sheet1!BA115+Sheet1!BB115+Sheet1!BN115+CD113</f>
        <v>16.900000000000002</v>
      </c>
      <c r="AQ113" s="560">
        <f>Sheet1!BN115+(DO113*Sheet1!BN115)</f>
        <v>15.360956175298805</v>
      </c>
      <c r="AR113" s="560">
        <f>Sheet1!BA115+CD113</f>
        <v>0</v>
      </c>
      <c r="AS113" s="560">
        <f>Sheet1!BA115+Sheet1!BB115+CD113</f>
        <v>1.6</v>
      </c>
      <c r="AT113" s="698">
        <f>0</f>
        <v>0</v>
      </c>
      <c r="AU113" s="560">
        <f>IF(EB113&lt;K113,0,MAX(Sheet1!AA115+AQ113-15/36*K113-N113,Sheet1!EH115,0))</f>
        <v>0</v>
      </c>
      <c r="AV113" s="560">
        <f>IF(OR(B113&gt;=GD113,B113&lt;GC113),0,15/36*K113-MAX(0,64.6-(137.6-(Sheet1!AA115+Sheet1!AB115))))</f>
        <v>26.933333333333334</v>
      </c>
      <c r="AW113" s="698">
        <f>Sheet1!DB115-110</f>
        <v>1270</v>
      </c>
      <c r="AX113" s="698">
        <f>Sheet1!DA115-265</f>
        <v>1825</v>
      </c>
      <c r="AY113" s="698">
        <f t="shared" si="284"/>
        <v>35.100000000000009</v>
      </c>
      <c r="AZ113" s="698">
        <v>0</v>
      </c>
      <c r="BA113" s="698">
        <f t="shared" si="285"/>
        <v>0</v>
      </c>
      <c r="BB113" s="560">
        <f t="shared" si="286"/>
        <v>1373.5999999999997</v>
      </c>
      <c r="BC113" s="560"/>
      <c r="BD113" s="560">
        <f ca="1">IF(B113&gt;Summary!$A$1,#N/A,BB113*MGtoAF)</f>
        <v>4214.2047999999995</v>
      </c>
      <c r="BE113" s="560">
        <f>Sheet1!BG115+Sheet1!BH115+Sheet1!BI115-BM113</f>
        <v>0</v>
      </c>
      <c r="BF113" s="560">
        <f t="shared" si="287"/>
        <v>0</v>
      </c>
      <c r="BG113" s="560">
        <f>IF(Sheet1!EP115="FM",BM113,0)</f>
        <v>0</v>
      </c>
      <c r="BH113" s="560">
        <f t="shared" si="288"/>
        <v>0</v>
      </c>
      <c r="BI113" s="560">
        <f>IF(Sheet1!EP115="OTHER",BM113,0)</f>
        <v>0</v>
      </c>
      <c r="BJ113" s="560">
        <f t="shared" si="289"/>
        <v>0</v>
      </c>
      <c r="BK113" s="560">
        <f t="shared" si="290"/>
        <v>0</v>
      </c>
      <c r="BL113" s="560">
        <f t="shared" si="291"/>
        <v>0</v>
      </c>
      <c r="BM113" s="560">
        <f>IF(OR(Sheet1!EP115="FM", Sheet1!EP115="OTHER"),SUM(Sheet1!BG115:'Sheet1'!BI115),0)</f>
        <v>0</v>
      </c>
      <c r="BN113" s="545">
        <f>IF(AND($B113&gt;=$FV113,$B113&lt;=$FW113),MAX(BF113,Sheet1!EI115,0),MAX(BF113-(7/36)*$K113,0))</f>
        <v>0</v>
      </c>
      <c r="BO113" s="560">
        <f t="shared" si="292"/>
        <v>12.568888888888889</v>
      </c>
      <c r="BP113" s="545">
        <f t="shared" si="293"/>
        <v>0</v>
      </c>
      <c r="BQ113" s="545">
        <f>IF(AND($O113&gt;0,Sheet1!EM115=1),(1-($O113-Sheet1!$L115)/$O113)*BL113,0)</f>
        <v>0</v>
      </c>
      <c r="BR113" s="545">
        <f>IF(AND(Sheet1!$L115=0,Sheet1!$L114=0, Calculation!BK113&lt;Sheet1!$EI115-0.1,Sheet1!$EI115=Sheet1!$EI114,Sheet1!$EI115=Sheet1!$EI116),Sheet1!$EI115,BL113-BQ113)</f>
        <v>0</v>
      </c>
      <c r="BS113" s="560"/>
      <c r="BT113" s="560"/>
      <c r="BU113" s="560">
        <f t="shared" si="294"/>
        <v>641.01333333333264</v>
      </c>
      <c r="BV113" s="560"/>
      <c r="BW113" s="560">
        <f ca="1">IF(B113&gt;Summary!$A$1,#N/A,BU113*MGtoAF)</f>
        <v>1966.6289066666645</v>
      </c>
      <c r="BX113" s="560">
        <f>Sheet1!BC115+Sheet1!BD115+Sheet1!BE115+Sheet1!BF115-CG113-CH113</f>
        <v>2.5</v>
      </c>
      <c r="BY113" s="560">
        <f t="shared" si="295"/>
        <v>2.5099601593625498</v>
      </c>
      <c r="BZ113" s="560">
        <f>IF(Sheet1!EQ115="FM",CH113,0)</f>
        <v>0</v>
      </c>
      <c r="CA113" s="560">
        <f t="shared" si="296"/>
        <v>0</v>
      </c>
      <c r="CB113" s="560">
        <f>IF(Sheet1!EQ115="OTHER",CH113,0)</f>
        <v>0</v>
      </c>
      <c r="CC113" s="560">
        <f t="shared" si="297"/>
        <v>0</v>
      </c>
      <c r="CD113" s="560">
        <f t="shared" si="298"/>
        <v>0</v>
      </c>
      <c r="CE113" s="560">
        <f t="shared" si="299"/>
        <v>2.5</v>
      </c>
      <c r="CF113" s="560">
        <f t="shared" si="300"/>
        <v>2.5099601593625498</v>
      </c>
      <c r="CG113" s="560">
        <f>IF(Sheet1!EQ115="CWA",SUM(Sheet1!BC115:'Sheet1'!BF115),0)</f>
        <v>0</v>
      </c>
      <c r="CH113" s="560">
        <f>IF(OR(Sheet1!EQ115="FM", Sheet1!EQ115="OTHER"),SUM(Sheet1!BC115:'Sheet1'!BF115),0)</f>
        <v>0</v>
      </c>
      <c r="CI113" s="545">
        <f>IF(AND($B113&gt;=$FV113,$B113&lt;=$FW113),MAX(CF113,Sheet1!EJ115,0),MAX(CF113-(7/36)*$K113,0))</f>
        <v>0</v>
      </c>
      <c r="CJ113" s="560">
        <f t="shared" si="301"/>
        <v>10.05892872952634</v>
      </c>
      <c r="CK113" s="545">
        <f t="shared" si="302"/>
        <v>2.5099601593625498</v>
      </c>
      <c r="CL113" s="545">
        <f>IF(AND($O113&gt;0,Sheet1!EN115=1),(1-($O113-Sheet1!$L115)/$O113)*CF113,0)</f>
        <v>0</v>
      </c>
      <c r="CM113" s="545">
        <f>IF(AND(Sheet1!$L115=0,Sheet1!$L114=0, Calculation!CE113&lt;Sheet1!EJ115-0.1,Sheet1!EJ115=Sheet1!EJ114,Sheet1!EJ115=Sheet1!EJ116),Sheet1!EJ115,CF113-CL113)</f>
        <v>2.5099601593625498</v>
      </c>
      <c r="CN113" s="545"/>
      <c r="CO113" s="560"/>
      <c r="CP113" s="560">
        <f t="shared" si="303"/>
        <v>506.17345171916924</v>
      </c>
      <c r="CQ113" s="560"/>
      <c r="CR113" s="560">
        <f ca="1">IF(B113&gt;Summary!$A$1,#N/A,CP113*MGtoAF)</f>
        <v>1552.9401498744112</v>
      </c>
      <c r="CS113" s="560">
        <f>Sheet1!BK115+Sheet1!BL115+Sheet1!BM115-Sheet1!ER115-DA113</f>
        <v>5.6999999999999993</v>
      </c>
      <c r="CT113" s="560">
        <f t="shared" si="304"/>
        <v>5.7227091633466127</v>
      </c>
      <c r="CU113" s="560">
        <f>IF(Sheet1!ER115="FM",DA113,0)</f>
        <v>0</v>
      </c>
      <c r="CV113" s="560">
        <f t="shared" si="305"/>
        <v>0</v>
      </c>
      <c r="CW113" s="560">
        <f>IF(Sheet1!ER115="OTHER",DA113,0)</f>
        <v>0</v>
      </c>
      <c r="CX113" s="560">
        <f t="shared" si="306"/>
        <v>0</v>
      </c>
      <c r="CY113" s="560">
        <f t="shared" si="307"/>
        <v>5.6999999999999993</v>
      </c>
      <c r="CZ113" s="560">
        <f t="shared" si="308"/>
        <v>5.7227091633466127</v>
      </c>
      <c r="DA113" s="560">
        <f>IF(OR(Sheet1!ER115="FM", Sheet1!ER115="OTHER"),SUM(Sheet1!BK115:'Sheet1'!BM115),0)</f>
        <v>0</v>
      </c>
      <c r="DB113" s="545">
        <f>IF(AND($B113&gt;=$FV113,$B113&lt;=$FW113),MAX($CT113,Sheet1!EK115,0),MAX($CT113-(7/36)*$K113,0))</f>
        <v>0</v>
      </c>
      <c r="DC113" s="560">
        <f t="shared" si="309"/>
        <v>6.8461797255422763</v>
      </c>
      <c r="DD113" s="545">
        <f t="shared" si="310"/>
        <v>5.7227091633466127</v>
      </c>
      <c r="DE113" s="545">
        <f>IF(AND($O113&gt;0,Sheet1!EO115=1),(1-($O113-Sheet1!$L115)/$O113)*CZ113,0)</f>
        <v>0</v>
      </c>
      <c r="DF113" s="545">
        <f>IF(AND(Sheet1!$L115=0,Sheet1!$L114=0, Calculation!CY113&lt;Sheet1!$EK115-0.1,Sheet1!$EK115=Sheet1!$EK114,Sheet1!$EK115=Sheet1!$EK116),Sheet1!$EK115,CZ113-DE113)</f>
        <v>5.7227091633466127</v>
      </c>
      <c r="DG113" s="545"/>
      <c r="DH113" s="560">
        <f t="shared" si="311"/>
        <v>8.1999999999999993</v>
      </c>
      <c r="DI113" s="560">
        <f t="shared" si="312"/>
        <v>361.6286897742055</v>
      </c>
      <c r="DJ113" s="698">
        <f t="shared" si="313"/>
        <v>8.2326693227091621</v>
      </c>
      <c r="DK113" s="560">
        <f ca="1">IF(B113&gt;Summary!$A$1,#N/A,DI113*MGtoAF)</f>
        <v>1109.4768202272626</v>
      </c>
      <c r="DL113" s="698">
        <f t="shared" si="314"/>
        <v>8.1999999999999993</v>
      </c>
      <c r="DM113" s="560">
        <f t="shared" si="315"/>
        <v>25.1</v>
      </c>
      <c r="DN113" s="560">
        <f>Sheet1!AB115-DM113</f>
        <v>9.9999999999997868E-2</v>
      </c>
      <c r="DO113" s="823">
        <f t="shared" si="316"/>
        <v>3.9840637450198352E-3</v>
      </c>
      <c r="DP113" s="560">
        <f>(VLOOKUP(Sheet1!DC115,hhdcap_wcm,4)-(((VLOOKUP(Sheet1!DC115,hhdcap_wcm,3)-Sheet1!DC115)/(VLOOKUP(Sheet1!DC115,hhdcap_wcm,3)-VLOOKUP(Sheet1!DC115,hhdcap_wcm,1)))*(VLOOKUP(Sheet1!DC115,hhdcap_wcm,4)-VLOOKUP(Sheet1!DC115,hhdcap_wcm,2))))</f>
        <v>30702.000000078315</v>
      </c>
      <c r="DQ113" s="560">
        <f t="shared" si="317"/>
        <v>357.00000000020373</v>
      </c>
      <c r="DR113" s="560">
        <f t="shared" si="318"/>
        <v>180.0302571861844</v>
      </c>
      <c r="DS113" s="560">
        <f>Sheet1!EA115*AFtoMG</f>
        <v>0</v>
      </c>
      <c r="DT113" s="560">
        <f>Sheet1!EB115*AFtoMG</f>
        <v>0</v>
      </c>
      <c r="DU113" s="560">
        <f>Sheet1!EC115*AFtoMG</f>
        <v>0</v>
      </c>
      <c r="DV113" s="560">
        <f>Sheet1!ED115*AFtoMG</f>
        <v>0</v>
      </c>
      <c r="DW113" s="560">
        <f t="shared" si="319"/>
        <v>0</v>
      </c>
      <c r="DX113" s="560">
        <f t="shared" si="320"/>
        <v>0</v>
      </c>
      <c r="DY113" s="560">
        <f t="shared" si="321"/>
        <v>2882.4154748267074</v>
      </c>
      <c r="DZ113" s="560">
        <f t="shared" si="322"/>
        <v>8843.250676768339</v>
      </c>
      <c r="EA113" s="560"/>
      <c r="EB113" s="545">
        <f>IF(OR(B113&lt;FV113,B113&gt;FW113),(MIN(BF113+BY113+CT113+MAX(Sheet1!AA115+AQ113-73,0),K113)),0)</f>
        <v>8.2326693227091621</v>
      </c>
      <c r="EC113" s="560"/>
      <c r="ED113" s="560">
        <f t="shared" si="323"/>
        <v>8.2326693227091621</v>
      </c>
      <c r="EE113" s="560"/>
      <c r="EF113" s="560">
        <f>Sheet1!EH115+Sheet1!EI115+Sheet1!EJ115+Sheet1!EK115</f>
        <v>8.1999999999999993</v>
      </c>
      <c r="EG113" s="560"/>
      <c r="EH113" s="545">
        <f t="shared" si="324"/>
        <v>0</v>
      </c>
      <c r="EI113" s="560">
        <f>IF(Sheet1!ET115=1,SUM('Calculations II'!AT113:BA113)+'Calculations II'!BC113+Sheet1!BV115+'Calculations II'!BE113+AP113,SUM('Calculations II'!AT113:BA113)+'Calculations II'!BC113+Sheet1!BV115+'Calculations II'!BE113+AP113)</f>
        <v>48.783424000000004</v>
      </c>
      <c r="EJ113" s="560">
        <f>Sheet1!AA115+Sheet1!AB115+'Calculations II'!BC113</f>
        <v>52.420447999999993</v>
      </c>
      <c r="EK113" s="560"/>
      <c r="EL113" s="560"/>
      <c r="EM113" s="560">
        <f t="shared" si="325"/>
        <v>41741</v>
      </c>
      <c r="EN113" s="560">
        <f t="shared" si="326"/>
        <v>56.407330677290837</v>
      </c>
      <c r="EO113" s="560">
        <f t="shared" si="327"/>
        <v>87.262140557768916</v>
      </c>
      <c r="EP113" s="560">
        <v>0</v>
      </c>
      <c r="EQ113" s="560">
        <v>0</v>
      </c>
      <c r="ER113" s="560">
        <v>0</v>
      </c>
      <c r="ES113" s="545">
        <f t="shared" si="247"/>
        <v>0.41525569207216795</v>
      </c>
      <c r="ET113" s="560">
        <f>-(VLOOKUP(Sheet1!BQ115,Lookup!$O$4:$Q$262,2)-VLOOKUP(Sheet1!BQ114,Lookup!$O$4:$Q$262,2))/1000000</f>
        <v>0.27683499247752874</v>
      </c>
      <c r="EU113" s="560">
        <f>-(VLOOKUP(Sheet1!BR115,Lookup!$O$4:$Q$262,3)-VLOOKUP(Sheet1!BR114,Lookup!$O$4:$Q$262,3))/1000000</f>
        <v>0.13842069959463923</v>
      </c>
      <c r="EV113" s="560"/>
      <c r="EW113" s="560"/>
      <c r="EX113" s="560"/>
      <c r="EY113" s="560"/>
      <c r="EZ113" s="560"/>
      <c r="FA113" s="560"/>
      <c r="FB113" s="560"/>
      <c r="FC113" s="560"/>
      <c r="FD113" s="594" t="e">
        <f t="shared" si="328"/>
        <v>#N/A</v>
      </c>
      <c r="FE113" s="594" t="e">
        <f t="shared" si="329"/>
        <v>#N/A</v>
      </c>
      <c r="FF113" s="595" t="e">
        <f t="shared" si="330"/>
        <v>#N/A</v>
      </c>
      <c r="FG113" s="596" t="s">
        <v>692</v>
      </c>
      <c r="FH113" s="596" t="s">
        <v>692</v>
      </c>
      <c r="FI113" s="594" t="e">
        <v>#N/A</v>
      </c>
      <c r="FJ113" s="594" t="e">
        <v>#N/A</v>
      </c>
      <c r="FK113" s="560"/>
      <c r="FL113" s="560"/>
      <c r="FM113" s="560"/>
      <c r="FN113" s="560"/>
      <c r="FO113" s="560">
        <f>O113+((Sheet1!CS115)*GPMtoMGD)</f>
        <v>52.420447999999993</v>
      </c>
      <c r="FP113" s="560">
        <f>IF(Sheet1!AA115+AQ113&lt;=Calculation!N113,AQ113,Calculation!N113-Sheet1!AA115)</f>
        <v>15.360956175298805</v>
      </c>
      <c r="FQ113" s="560">
        <f>(Sheet1!BP115+Sheet1!BO115)/694.4</f>
        <v>2.5596198156682028</v>
      </c>
      <c r="FR113" s="560"/>
      <c r="FS113" s="560"/>
      <c r="FT113" s="560"/>
      <c r="FU113" s="560"/>
      <c r="FV113" s="695">
        <f t="shared" si="248"/>
        <v>41827</v>
      </c>
      <c r="FW113" s="695">
        <f t="shared" si="249"/>
        <v>41934</v>
      </c>
      <c r="FX113" s="560"/>
      <c r="FY113" s="560"/>
      <c r="FZ113" s="560"/>
      <c r="GA113" s="560"/>
      <c r="GB113" s="560" t="str">
        <f t="shared" si="250"/>
        <v>n</v>
      </c>
      <c r="GC113" s="564">
        <f t="shared" si="251"/>
        <v>41691</v>
      </c>
      <c r="GD113" s="695">
        <f t="shared" si="252"/>
        <v>41807</v>
      </c>
      <c r="GE113" s="560">
        <v>6518.9</v>
      </c>
      <c r="GF113" s="695">
        <f t="shared" si="253"/>
        <v>41808</v>
      </c>
      <c r="GG113" s="560">
        <f t="shared" si="272"/>
        <v>3259</v>
      </c>
      <c r="GH113" s="564">
        <f t="shared" si="254"/>
        <v>41934</v>
      </c>
      <c r="GJ113" s="545">
        <f t="shared" si="255"/>
        <v>0</v>
      </c>
      <c r="GK113" s="560" t="str">
        <f t="shared" si="331"/>
        <v/>
      </c>
      <c r="GL113" s="560">
        <f t="shared" si="256"/>
        <v>0</v>
      </c>
      <c r="GM113" s="560" t="str">
        <f t="shared" si="257"/>
        <v/>
      </c>
      <c r="GN113" s="560">
        <f>IF(GK113="P",Lookup!$M$12,IF(GK113="PP",Lookup!$M$13,IF(GK113="PPP",Lookup!$M$14,IF(GK113="T",Lookup!$M$15,IF(GK113="TP",Lookup!$M$16,IF(GK113="TPP",Lookup!$M$17,IF(GK113="TPPP",Lookup!$M$18,0)))))))*GJ113</f>
        <v>0</v>
      </c>
      <c r="GO113" s="560">
        <f t="shared" si="258"/>
        <v>0</v>
      </c>
      <c r="GP113" s="560">
        <f t="shared" si="332"/>
        <v>4214.2047999999995</v>
      </c>
      <c r="GQ113" s="560">
        <f t="shared" si="266"/>
        <v>1373.5999999999997</v>
      </c>
      <c r="GR113" s="560"/>
      <c r="GS113" s="560">
        <f t="shared" si="259"/>
        <v>0</v>
      </c>
      <c r="GT113" s="560" t="str">
        <f t="shared" si="260"/>
        <v/>
      </c>
      <c r="GU113" s="560">
        <f>IF(GK113="P",Lookup!$N$12,IF(GK113="PP",Lookup!$N$13,IF(GK113="PPP",Lookup!$N$14,IF(GK113="T",Lookup!$N$15,IF(GK113="TP",Lookup!$N$16,IF(GK113="TPP",Lookup!$N$17,IF(GK113="TPPP",Lookup!$N$18,0)))))))*GJ113</f>
        <v>0</v>
      </c>
      <c r="GV113" s="560">
        <f t="shared" si="261"/>
        <v>0</v>
      </c>
      <c r="GW113" s="560">
        <f t="shared" si="333"/>
        <v>1966.6289066666645</v>
      </c>
      <c r="GX113" s="560">
        <f t="shared" si="267"/>
        <v>641.01333333333264</v>
      </c>
      <c r="GY113" s="560"/>
      <c r="GZ113" s="560">
        <f t="shared" si="262"/>
        <v>0</v>
      </c>
      <c r="HA113" s="560" t="str">
        <f t="shared" si="263"/>
        <v/>
      </c>
      <c r="HB113" s="560">
        <f>IF(GK113="P",Lookup!$N$12,IF(GK113="PP",Lookup!$N$13,IF(GK113="PPP",Lookup!$N$14,IF(GK113="T",Lookup!$N$15,IF(GK113="TP",Lookup!$N$16,IF(GK113="TPP",Lookup!$N$17,IF(GK113="TPPP",Lookup!$N$18,0)))))))*GJ113</f>
        <v>0</v>
      </c>
      <c r="HC113" s="545">
        <f t="shared" si="334"/>
        <v>0</v>
      </c>
      <c r="HD113" s="560">
        <f t="shared" si="335"/>
        <v>1552.9401498744112</v>
      </c>
      <c r="HE113" s="560">
        <f t="shared" si="268"/>
        <v>506.17345171916924</v>
      </c>
      <c r="HF113" s="560"/>
      <c r="HG113" s="560">
        <f t="shared" si="264"/>
        <v>0</v>
      </c>
      <c r="HH113" s="560" t="str">
        <f t="shared" si="265"/>
        <v/>
      </c>
      <c r="HI113" s="560">
        <f>IF(GK113="P",Lookup!$N$12,IF(GK113="PP",Lookup!$N$13,IF(GK113="PPP",Lookup!$N$14,IF(GK113="T",Lookup!$N$15,IF(GK113="TP",Lookup!$N$16,IF(GK113="TPP",Lookup!$N$17,IF(GK113="TPPP",Lookup!$N$18,0)))))))*GJ113</f>
        <v>0</v>
      </c>
      <c r="HJ113" s="545">
        <f t="shared" si="336"/>
        <v>0</v>
      </c>
      <c r="HK113" s="560">
        <f t="shared" si="337"/>
        <v>1109.4768202272626</v>
      </c>
      <c r="HL113" s="560">
        <f t="shared" si="269"/>
        <v>361.6286897742055</v>
      </c>
      <c r="HM113" s="560"/>
    </row>
    <row r="114" spans="1:221">
      <c r="A114" s="580" t="s">
        <v>3</v>
      </c>
      <c r="B114" s="556">
        <v>41742</v>
      </c>
      <c r="C114" s="561">
        <v>0</v>
      </c>
      <c r="D114" s="529">
        <f t="shared" si="270"/>
        <v>300</v>
      </c>
      <c r="E114" s="529">
        <f t="shared" si="271"/>
        <v>250</v>
      </c>
      <c r="F114" s="529">
        <v>250</v>
      </c>
      <c r="G114" s="560">
        <f>DR114+Sheet1!CZ116</f>
        <v>1402.4407463439234</v>
      </c>
      <c r="H114" s="914">
        <f t="shared" si="236"/>
        <v>639.57449843671202</v>
      </c>
      <c r="I114" s="559">
        <f>MAX(Sheet1!Z116-AT114+(Sheet1!DA116-E114)*CFStoMGD,0)</f>
        <v>1195.184</v>
      </c>
      <c r="J114" s="562">
        <f>IF(AND(B114&gt;=Calculation!GC114,B114&lt;=Calculation!GD114),IF(Sheet1!DB116&gt;=Calculation!D114,64.64,0),MAX(Sheet1!Z116-AT114+(Sheet1!DB116-D114)*CFStoMGD,0))</f>
        <v>64.64</v>
      </c>
      <c r="K114" s="904">
        <f t="shared" si="273"/>
        <v>64.64</v>
      </c>
      <c r="L114" s="560">
        <f>Sheet1!AA116+Sheet1!AB116-Sheet1!L116+(Sheet1!DA116-F114)*CFStoMGD</f>
        <v>1169.9839999999999</v>
      </c>
      <c r="M114" s="560">
        <f t="shared" si="274"/>
        <v>924.66845240544637</v>
      </c>
      <c r="N114" s="910">
        <f>IF(Sheet1!DA116&gt;=F114,MIN(73,MIN(MAX(L114,0),MAX(M114,0))),0)</f>
        <v>73</v>
      </c>
      <c r="O114" s="563">
        <f>Sheet1!AA116+Sheet1!AB116</f>
        <v>46.28</v>
      </c>
      <c r="P114" s="563">
        <f t="shared" si="275"/>
        <v>71.595159999999993</v>
      </c>
      <c r="Q114" s="898">
        <f t="shared" si="237"/>
        <v>37.94</v>
      </c>
      <c r="R114" s="829">
        <f t="shared" si="276"/>
        <v>8.3596698113207548</v>
      </c>
      <c r="S114" s="898">
        <f t="shared" si="238"/>
        <v>8.34</v>
      </c>
      <c r="T114" s="898">
        <f t="shared" si="239"/>
        <v>56.3</v>
      </c>
      <c r="U114" s="898">
        <f t="shared" si="240"/>
        <v>0</v>
      </c>
      <c r="V114" s="898"/>
      <c r="W114" s="898">
        <f t="shared" si="241"/>
        <v>56.280330188679244</v>
      </c>
      <c r="X114" s="898">
        <f t="shared" si="242"/>
        <v>64.64</v>
      </c>
      <c r="Y114" s="898" t="str">
        <f t="shared" si="243"/>
        <v>FALSE</v>
      </c>
      <c r="Z114" s="898">
        <f t="shared" si="244"/>
        <v>46.28</v>
      </c>
      <c r="AA114" s="898">
        <f t="shared" si="245"/>
        <v>46.28</v>
      </c>
      <c r="AB114" s="898" t="str">
        <f t="shared" si="246"/>
        <v/>
      </c>
      <c r="AC114" s="563">
        <f>Sheet1!Y116*MGDtoCFS</f>
        <v>32.332299999999996</v>
      </c>
      <c r="AD114" s="563">
        <f>Sheet1!Z116*MGDtoCFS</f>
        <v>38.984399999999994</v>
      </c>
      <c r="AE114" s="563">
        <f>Sheet1!AA116*MGDtoCFS</f>
        <v>32.146659999999997</v>
      </c>
      <c r="AF114" s="563">
        <f>Sheet1!AB116*MGDtoCFS</f>
        <v>39.448499999999996</v>
      </c>
      <c r="AG114" s="563">
        <f>Sheet1!L116*MGDtoCFS</f>
        <v>71.595159999999993</v>
      </c>
      <c r="AH114" s="545">
        <f t="shared" si="277"/>
        <v>0</v>
      </c>
      <c r="AI114" s="560">
        <f t="shared" si="278"/>
        <v>0</v>
      </c>
      <c r="AJ114" s="560">
        <f t="shared" si="279"/>
        <v>56.280330188679244</v>
      </c>
      <c r="AK114" s="560">
        <f t="shared" si="280"/>
        <v>87.065670801886782</v>
      </c>
      <c r="AL114" s="560">
        <f>(VLOOKUP(Sheet1!DC116,hhdcap_wcm,4)-(((VLOOKUP(Sheet1!DC116,hhdcap_wcm,3)-Sheet1!DC116)/(VLOOKUP(Sheet1!DC116,hhdcap_wcm,3)-VLOOKUP(Sheet1!DC116,hhdcap_wcm,1)))*(VLOOKUP(Sheet1!DC116,hhdcap_wcm,4)-VLOOKUP(Sheet1!DC116,hhdcap_wcm,2))))</f>
        <v>30746.500000078315</v>
      </c>
      <c r="AM114" s="560">
        <f t="shared" si="281"/>
        <v>44.5</v>
      </c>
      <c r="AN114" s="560">
        <f t="shared" si="282"/>
        <v>2938.6958050153867</v>
      </c>
      <c r="AO114" s="560">
        <f t="shared" si="283"/>
        <v>9015.9187297872068</v>
      </c>
      <c r="AP114" s="560">
        <f>Sheet1!BA116+Sheet1!BB116+Sheet1!BN116+CD114</f>
        <v>17.100000000000001</v>
      </c>
      <c r="AQ114" s="560">
        <f>Sheet1!BN116+(DO114*Sheet1!BN116)</f>
        <v>15.536556603773585</v>
      </c>
      <c r="AR114" s="560">
        <f>Sheet1!BA116+CD114</f>
        <v>0</v>
      </c>
      <c r="AS114" s="560">
        <f>Sheet1!BA116+Sheet1!BB116+CD114</f>
        <v>1.6</v>
      </c>
      <c r="AT114" s="698">
        <f>0</f>
        <v>0</v>
      </c>
      <c r="AU114" s="560">
        <f>IF(EB114&lt;K114,0,MAX(Sheet1!AA116+AQ114-15/36*K114-N114,Sheet1!EH116,0))</f>
        <v>0</v>
      </c>
      <c r="AV114" s="560">
        <f>IF(OR(B114&gt;=GD114,B114&lt;GC114),0,15/36*K114-MAX(0,64.6-(137.6-(Sheet1!AA116+Sheet1!AB116))))</f>
        <v>26.933333333333334</v>
      </c>
      <c r="AW114" s="698">
        <f>Sheet1!DB116-110</f>
        <v>1260</v>
      </c>
      <c r="AX114" s="698">
        <f>Sheet1!DA116-265</f>
        <v>1795</v>
      </c>
      <c r="AY114" s="698">
        <f t="shared" si="284"/>
        <v>35.06</v>
      </c>
      <c r="AZ114" s="698">
        <v>0</v>
      </c>
      <c r="BA114" s="698">
        <f t="shared" si="285"/>
        <v>0</v>
      </c>
      <c r="BB114" s="560">
        <f t="shared" si="286"/>
        <v>1400.5333333333331</v>
      </c>
      <c r="BC114" s="560"/>
      <c r="BD114" s="560">
        <f ca="1">IF(B114&gt;Summary!$A$1,#N/A,BB114*MGtoAF)</f>
        <v>4296.8362666666662</v>
      </c>
      <c r="BE114" s="560">
        <f>Sheet1!BG116+Sheet1!BH116+Sheet1!BI116-BM114</f>
        <v>0</v>
      </c>
      <c r="BF114" s="560">
        <f t="shared" si="287"/>
        <v>0</v>
      </c>
      <c r="BG114" s="560">
        <f>IF(Sheet1!EP116="FM",BM114,0)</f>
        <v>0</v>
      </c>
      <c r="BH114" s="560">
        <f t="shared" si="288"/>
        <v>0</v>
      </c>
      <c r="BI114" s="560">
        <f>IF(Sheet1!EP116="OTHER",BM114,0)</f>
        <v>0</v>
      </c>
      <c r="BJ114" s="560">
        <f t="shared" si="289"/>
        <v>0</v>
      </c>
      <c r="BK114" s="560">
        <f t="shared" si="290"/>
        <v>0</v>
      </c>
      <c r="BL114" s="560">
        <f t="shared" si="291"/>
        <v>0</v>
      </c>
      <c r="BM114" s="560">
        <f>IF(OR(Sheet1!EP116="FM", Sheet1!EP116="OTHER"),SUM(Sheet1!BG116:'Sheet1'!BI116),0)</f>
        <v>0</v>
      </c>
      <c r="BN114" s="545">
        <f>IF(AND($B114&gt;=$FV114,$B114&lt;=$FW114),MAX(BF114,Sheet1!EI116,0),MAX(BF114-(7/36)*$K114,0))</f>
        <v>0</v>
      </c>
      <c r="BO114" s="560">
        <f t="shared" si="292"/>
        <v>12.568888888888889</v>
      </c>
      <c r="BP114" s="545">
        <f t="shared" si="293"/>
        <v>0</v>
      </c>
      <c r="BQ114" s="545">
        <f>IF(AND($O114&gt;0,Sheet1!EM116=1),(1-($O114-Sheet1!$L116)/$O114)*BL114,0)</f>
        <v>0</v>
      </c>
      <c r="BR114" s="545">
        <f>IF(AND(Sheet1!$L116=0,Sheet1!$L115=0, Calculation!BK114&lt;Sheet1!$EI116-0.1,Sheet1!$EI116=Sheet1!$EI115,Sheet1!$EI116=Sheet1!$EI117),Sheet1!$EI116,BL114-BQ114)</f>
        <v>0</v>
      </c>
      <c r="BS114" s="560"/>
      <c r="BT114" s="560"/>
      <c r="BU114" s="560">
        <f t="shared" si="294"/>
        <v>653.5822222222215</v>
      </c>
      <c r="BV114" s="560"/>
      <c r="BW114" s="560">
        <f ca="1">IF(B114&gt;Summary!$A$1,#N/A,BU114*MGtoAF)</f>
        <v>2005.1902577777755</v>
      </c>
      <c r="BX114" s="560">
        <f>Sheet1!BC116+Sheet1!BD116+Sheet1!BE116+Sheet1!BF116-CG114-CH114</f>
        <v>2.5</v>
      </c>
      <c r="BY114" s="560">
        <f t="shared" si="295"/>
        <v>2.5058962264150941</v>
      </c>
      <c r="BZ114" s="560">
        <f>IF(Sheet1!EQ116="FM",CH114,0)</f>
        <v>0</v>
      </c>
      <c r="CA114" s="560">
        <f t="shared" si="296"/>
        <v>0</v>
      </c>
      <c r="CB114" s="560">
        <f>IF(Sheet1!EQ116="OTHER",CH114,0)</f>
        <v>0</v>
      </c>
      <c r="CC114" s="560">
        <f t="shared" si="297"/>
        <v>0</v>
      </c>
      <c r="CD114" s="560">
        <f t="shared" si="298"/>
        <v>0</v>
      </c>
      <c r="CE114" s="560">
        <f t="shared" si="299"/>
        <v>2.5</v>
      </c>
      <c r="CF114" s="560">
        <f t="shared" si="300"/>
        <v>2.5058962264150941</v>
      </c>
      <c r="CG114" s="560">
        <f>IF(Sheet1!EQ116="CWA",SUM(Sheet1!BC116:'Sheet1'!BF116),0)</f>
        <v>0</v>
      </c>
      <c r="CH114" s="560">
        <f>IF(OR(Sheet1!EQ116="FM", Sheet1!EQ116="OTHER"),SUM(Sheet1!BC116:'Sheet1'!BF116),0)</f>
        <v>0</v>
      </c>
      <c r="CI114" s="545">
        <f>IF(AND($B114&gt;=$FV114,$B114&lt;=$FW114),MAX(CF114,Sheet1!EJ116,0),MAX(CF114-(7/36)*$K114,0))</f>
        <v>0</v>
      </c>
      <c r="CJ114" s="560">
        <f t="shared" si="301"/>
        <v>10.062992662473794</v>
      </c>
      <c r="CK114" s="545">
        <f t="shared" si="302"/>
        <v>2.5058962264150941</v>
      </c>
      <c r="CL114" s="545">
        <f>IF(AND($O114&gt;0,Sheet1!EN116=1),(1-($O114-Sheet1!$L116)/$O114)*CF114,0)</f>
        <v>0</v>
      </c>
      <c r="CM114" s="545">
        <f>IF(AND(Sheet1!$L116=0,Sheet1!$L115=0, Calculation!CE114&lt;Sheet1!EJ116-0.1,Sheet1!EJ116=Sheet1!EJ115,Sheet1!EJ116=Sheet1!EJ117),Sheet1!EJ116,CF114-CL114)</f>
        <v>2.5058962264150941</v>
      </c>
      <c r="CN114" s="545"/>
      <c r="CO114" s="560"/>
      <c r="CP114" s="560">
        <f t="shared" si="303"/>
        <v>516.23644438164308</v>
      </c>
      <c r="CQ114" s="560"/>
      <c r="CR114" s="560">
        <f ca="1">IF(B114&gt;Summary!$A$1,#N/A,CP114*MGtoAF)</f>
        <v>1583.813411362881</v>
      </c>
      <c r="CS114" s="560">
        <f>Sheet1!BK116+Sheet1!BL116+Sheet1!BM116-Sheet1!ER116-DA114</f>
        <v>5.84</v>
      </c>
      <c r="CT114" s="560">
        <f t="shared" si="304"/>
        <v>5.8537735849056602</v>
      </c>
      <c r="CU114" s="560">
        <f>IF(Sheet1!ER116="FM",DA114,0)</f>
        <v>0</v>
      </c>
      <c r="CV114" s="560">
        <f t="shared" si="305"/>
        <v>0</v>
      </c>
      <c r="CW114" s="560">
        <f>IF(Sheet1!ER116="OTHER",DA114,0)</f>
        <v>0</v>
      </c>
      <c r="CX114" s="560">
        <f t="shared" si="306"/>
        <v>0</v>
      </c>
      <c r="CY114" s="560">
        <f t="shared" si="307"/>
        <v>5.84</v>
      </c>
      <c r="CZ114" s="560">
        <f t="shared" si="308"/>
        <v>5.8537735849056602</v>
      </c>
      <c r="DA114" s="560">
        <f>IF(OR(Sheet1!ER116="FM", Sheet1!ER116="OTHER"),SUM(Sheet1!BK116:'Sheet1'!BM116),0)</f>
        <v>0</v>
      </c>
      <c r="DB114" s="545">
        <f>IF(AND($B114&gt;=$FV114,$B114&lt;=$FW114),MAX($CT114,Sheet1!EK116,0),MAX($CT114-(7/36)*$K114,0))</f>
        <v>0</v>
      </c>
      <c r="DC114" s="560">
        <f t="shared" si="309"/>
        <v>6.7151153039832288</v>
      </c>
      <c r="DD114" s="545">
        <f t="shared" si="310"/>
        <v>5.8537735849056602</v>
      </c>
      <c r="DE114" s="545">
        <f>IF(AND($O114&gt;0,Sheet1!EO116=1),(1-($O114-Sheet1!$L116)/$O114)*CZ114,0)</f>
        <v>0</v>
      </c>
      <c r="DF114" s="545">
        <f>IF(AND(Sheet1!$L116=0,Sheet1!$L115=0, Calculation!CY114&lt;Sheet1!$EK116-0.1,Sheet1!$EK116=Sheet1!$EK115,Sheet1!$EK116=Sheet1!$EK117),Sheet1!$EK116,CZ114-DE114)</f>
        <v>5.8537735849056602</v>
      </c>
      <c r="DG114" s="545"/>
      <c r="DH114" s="560">
        <f t="shared" si="311"/>
        <v>8.34</v>
      </c>
      <c r="DI114" s="560">
        <f t="shared" si="312"/>
        <v>368.34380507818872</v>
      </c>
      <c r="DJ114" s="698">
        <f t="shared" si="313"/>
        <v>8.3596698113207548</v>
      </c>
      <c r="DK114" s="560">
        <f ca="1">IF(B114&gt;Summary!$A$1,#N/A,DI114*MGtoAF)</f>
        <v>1130.0787939798831</v>
      </c>
      <c r="DL114" s="698">
        <f t="shared" si="314"/>
        <v>8.34</v>
      </c>
      <c r="DM114" s="560">
        <f t="shared" si="315"/>
        <v>25.44</v>
      </c>
      <c r="DN114" s="560">
        <f>Sheet1!AB116-DM114</f>
        <v>5.9999999999998721E-2</v>
      </c>
      <c r="DO114" s="823">
        <f t="shared" si="316"/>
        <v>2.3584905660376855E-3</v>
      </c>
      <c r="DP114" s="560">
        <f>(VLOOKUP(Sheet1!DC116,hhdcap_wcm,4)-(((VLOOKUP(Sheet1!DC116,hhdcap_wcm,3)-Sheet1!DC116)/(VLOOKUP(Sheet1!DC116,hhdcap_wcm,3)-VLOOKUP(Sheet1!DC116,hhdcap_wcm,1)))*(VLOOKUP(Sheet1!DC116,hhdcap_wcm,4)-VLOOKUP(Sheet1!DC116,hhdcap_wcm,2))))</f>
        <v>30746.500000078315</v>
      </c>
      <c r="DQ114" s="560">
        <f t="shared" si="317"/>
        <v>44.5</v>
      </c>
      <c r="DR114" s="560">
        <f t="shared" si="318"/>
        <v>22.440746343923344</v>
      </c>
      <c r="DS114" s="560">
        <f>Sheet1!EA116*AFtoMG</f>
        <v>0</v>
      </c>
      <c r="DT114" s="560">
        <f>Sheet1!EB116*AFtoMG</f>
        <v>0</v>
      </c>
      <c r="DU114" s="560">
        <f>Sheet1!EC116*AFtoMG</f>
        <v>0</v>
      </c>
      <c r="DV114" s="560">
        <f>Sheet1!ED116*AFtoMG</f>
        <v>0</v>
      </c>
      <c r="DW114" s="560">
        <f t="shared" si="319"/>
        <v>0</v>
      </c>
      <c r="DX114" s="560">
        <f t="shared" si="320"/>
        <v>0</v>
      </c>
      <c r="DY114" s="560">
        <f t="shared" si="321"/>
        <v>2938.6958050153867</v>
      </c>
      <c r="DZ114" s="560">
        <f t="shared" si="322"/>
        <v>9015.9187297872068</v>
      </c>
      <c r="EA114" s="560"/>
      <c r="EB114" s="545">
        <f>IF(OR(B114&lt;FV114,B114&gt;FW114),(MIN(BF114+BY114+CT114+MAX(Sheet1!AA116+AQ114-73,0),K114)),0)</f>
        <v>8.3596698113207548</v>
      </c>
      <c r="EC114" s="560"/>
      <c r="ED114" s="560">
        <f t="shared" si="323"/>
        <v>8.3596698113207548</v>
      </c>
      <c r="EE114" s="560"/>
      <c r="EF114" s="560">
        <f>Sheet1!EH116+Sheet1!EI116+Sheet1!EJ116+Sheet1!EK116</f>
        <v>8.34</v>
      </c>
      <c r="EG114" s="560"/>
      <c r="EH114" s="545">
        <f t="shared" si="324"/>
        <v>0</v>
      </c>
      <c r="EI114" s="560">
        <f>IF(Sheet1!ET116=1,SUM('Calculations II'!AT114:BA114)+'Calculations II'!BC114+Sheet1!BV116+'Calculations II'!BE114+AP114,SUM('Calculations II'!AT114:BA114)+'Calculations II'!BC114+Sheet1!BV116+'Calculations II'!BE114+AP114)</f>
        <v>53.516272000000001</v>
      </c>
      <c r="EJ114" s="560">
        <f>Sheet1!AA116+Sheet1!AB116+'Calculations II'!BC114</f>
        <v>53.774191999999999</v>
      </c>
      <c r="EK114" s="560"/>
      <c r="EL114" s="560"/>
      <c r="EM114" s="560">
        <f t="shared" si="325"/>
        <v>41742</v>
      </c>
      <c r="EN114" s="560">
        <f t="shared" si="326"/>
        <v>56.280330188679244</v>
      </c>
      <c r="EO114" s="560">
        <f t="shared" si="327"/>
        <v>87.065670801886782</v>
      </c>
      <c r="EP114" s="560">
        <v>0</v>
      </c>
      <c r="EQ114" s="560">
        <v>0</v>
      </c>
      <c r="ER114" s="560">
        <v>0</v>
      </c>
      <c r="ES114" s="545">
        <f t="shared" si="247"/>
        <v>0.27682217920183388</v>
      </c>
      <c r="ET114" s="560">
        <f>-(VLOOKUP(Sheet1!BQ116,Lookup!$O$4:$Q$262,2)-VLOOKUP(Sheet1!BQ115,Lookup!$O$4:$Q$262,2))/1000000</f>
        <v>0</v>
      </c>
      <c r="EU114" s="560">
        <f>-(VLOOKUP(Sheet1!BR116,Lookup!$O$4:$Q$262,3)-VLOOKUP(Sheet1!BR115,Lookup!$O$4:$Q$262,3))/1000000</f>
        <v>0.27682217920183388</v>
      </c>
      <c r="EV114" s="560"/>
      <c r="EW114" s="560"/>
      <c r="EX114" s="560"/>
      <c r="EY114" s="560"/>
      <c r="EZ114" s="560"/>
      <c r="FA114" s="560"/>
      <c r="FB114" s="560"/>
      <c r="FC114" s="560"/>
      <c r="FD114" s="594" t="e">
        <f t="shared" si="328"/>
        <v>#N/A</v>
      </c>
      <c r="FE114" s="594" t="e">
        <f t="shared" si="329"/>
        <v>#N/A</v>
      </c>
      <c r="FF114" s="595" t="e">
        <f t="shared" si="330"/>
        <v>#N/A</v>
      </c>
      <c r="FG114" s="596" t="s">
        <v>692</v>
      </c>
      <c r="FH114" s="596" t="s">
        <v>692</v>
      </c>
      <c r="FI114" s="594" t="e">
        <v>#N/A</v>
      </c>
      <c r="FJ114" s="594" t="e">
        <v>#N/A</v>
      </c>
      <c r="FK114" s="560"/>
      <c r="FL114" s="560"/>
      <c r="FM114" s="560"/>
      <c r="FN114" s="560"/>
      <c r="FO114" s="560">
        <f>O114+((Sheet1!CS116)*GPMtoMGD)</f>
        <v>53.774191999999999</v>
      </c>
      <c r="FP114" s="560">
        <f>IF(Sheet1!AA116+AQ114&lt;=Calculation!N114,AQ114,Calculation!N114-Sheet1!AA116)</f>
        <v>15.536556603773585</v>
      </c>
      <c r="FQ114" s="560">
        <f>(Sheet1!BP116+Sheet1!BO116)/694.4</f>
        <v>2.5658122119815672</v>
      </c>
      <c r="FR114" s="560"/>
      <c r="FS114" s="560"/>
      <c r="FT114" s="560"/>
      <c r="FU114" s="560"/>
      <c r="FV114" s="695">
        <f t="shared" si="248"/>
        <v>41827</v>
      </c>
      <c r="FW114" s="695">
        <f t="shared" si="249"/>
        <v>41934</v>
      </c>
      <c r="FX114" s="560"/>
      <c r="FY114" s="560"/>
      <c r="FZ114" s="560"/>
      <c r="GA114" s="560"/>
      <c r="GB114" s="560" t="str">
        <f t="shared" si="250"/>
        <v>n</v>
      </c>
      <c r="GC114" s="564">
        <f t="shared" si="251"/>
        <v>41691</v>
      </c>
      <c r="GD114" s="695">
        <f t="shared" si="252"/>
        <v>41807</v>
      </c>
      <c r="GE114" s="560">
        <v>6518.9</v>
      </c>
      <c r="GF114" s="695">
        <f t="shared" si="253"/>
        <v>41808</v>
      </c>
      <c r="GG114" s="560">
        <f t="shared" si="272"/>
        <v>3259</v>
      </c>
      <c r="GH114" s="564">
        <f t="shared" si="254"/>
        <v>41934</v>
      </c>
      <c r="GJ114" s="545">
        <f t="shared" si="255"/>
        <v>0</v>
      </c>
      <c r="GK114" s="560" t="str">
        <f t="shared" si="331"/>
        <v/>
      </c>
      <c r="GL114" s="560">
        <f t="shared" si="256"/>
        <v>0</v>
      </c>
      <c r="GM114" s="560" t="str">
        <f t="shared" si="257"/>
        <v/>
      </c>
      <c r="GN114" s="560">
        <f>IF(GK114="P",Lookup!$M$12,IF(GK114="PP",Lookup!$M$13,IF(GK114="PPP",Lookup!$M$14,IF(GK114="T",Lookup!$M$15,IF(GK114="TP",Lookup!$M$16,IF(GK114="TPP",Lookup!$M$17,IF(GK114="TPPP",Lookup!$M$18,0)))))))*GJ114</f>
        <v>0</v>
      </c>
      <c r="GO114" s="560">
        <f t="shared" si="258"/>
        <v>0</v>
      </c>
      <c r="GP114" s="560">
        <f t="shared" si="332"/>
        <v>4296.8362666666662</v>
      </c>
      <c r="GQ114" s="560">
        <f t="shared" si="266"/>
        <v>1400.5333333333331</v>
      </c>
      <c r="GR114" s="560"/>
      <c r="GS114" s="560">
        <f t="shared" si="259"/>
        <v>0</v>
      </c>
      <c r="GT114" s="560" t="str">
        <f t="shared" si="260"/>
        <v/>
      </c>
      <c r="GU114" s="560">
        <f>IF(GK114="P",Lookup!$N$12,IF(GK114="PP",Lookup!$N$13,IF(GK114="PPP",Lookup!$N$14,IF(GK114="T",Lookup!$N$15,IF(GK114="TP",Lookup!$N$16,IF(GK114="TPP",Lookup!$N$17,IF(GK114="TPPP",Lookup!$N$18,0)))))))*GJ114</f>
        <v>0</v>
      </c>
      <c r="GV114" s="560">
        <f t="shared" si="261"/>
        <v>0</v>
      </c>
      <c r="GW114" s="560">
        <f t="shared" si="333"/>
        <v>2005.1902577777755</v>
      </c>
      <c r="GX114" s="560">
        <f t="shared" si="267"/>
        <v>653.5822222222215</v>
      </c>
      <c r="GY114" s="560"/>
      <c r="GZ114" s="560">
        <f t="shared" si="262"/>
        <v>0</v>
      </c>
      <c r="HA114" s="560" t="str">
        <f t="shared" si="263"/>
        <v/>
      </c>
      <c r="HB114" s="560">
        <f>IF(GK114="P",Lookup!$N$12,IF(GK114="PP",Lookup!$N$13,IF(GK114="PPP",Lookup!$N$14,IF(GK114="T",Lookup!$N$15,IF(GK114="TP",Lookup!$N$16,IF(GK114="TPP",Lookup!$N$17,IF(GK114="TPPP",Lookup!$N$18,0)))))))*GJ114</f>
        <v>0</v>
      </c>
      <c r="HC114" s="545">
        <f t="shared" si="334"/>
        <v>0</v>
      </c>
      <c r="HD114" s="560">
        <f t="shared" si="335"/>
        <v>1583.813411362881</v>
      </c>
      <c r="HE114" s="560">
        <f t="shared" si="268"/>
        <v>516.23644438164308</v>
      </c>
      <c r="HF114" s="560"/>
      <c r="HG114" s="560">
        <f t="shared" si="264"/>
        <v>0</v>
      </c>
      <c r="HH114" s="560" t="str">
        <f t="shared" si="265"/>
        <v/>
      </c>
      <c r="HI114" s="560">
        <f>IF(GK114="P",Lookup!$N$12,IF(GK114="PP",Lookup!$N$13,IF(GK114="PPP",Lookup!$N$14,IF(GK114="T",Lookup!$N$15,IF(GK114="TP",Lookup!$N$16,IF(GK114="TPP",Lookup!$N$17,IF(GK114="TPPP",Lookup!$N$18,0)))))))*GJ114</f>
        <v>0</v>
      </c>
      <c r="HJ114" s="545">
        <f t="shared" si="336"/>
        <v>0</v>
      </c>
      <c r="HK114" s="560">
        <f t="shared" si="337"/>
        <v>1130.0787939798831</v>
      </c>
      <c r="HL114" s="560">
        <f t="shared" si="269"/>
        <v>368.34380507818872</v>
      </c>
      <c r="HM114" s="560"/>
    </row>
    <row r="115" spans="1:221">
      <c r="A115" s="580" t="s">
        <v>4</v>
      </c>
      <c r="B115" s="556">
        <v>41743</v>
      </c>
      <c r="C115" s="561">
        <v>0</v>
      </c>
      <c r="D115" s="529">
        <f t="shared" si="270"/>
        <v>300</v>
      </c>
      <c r="E115" s="529">
        <f t="shared" si="271"/>
        <v>250</v>
      </c>
      <c r="F115" s="529">
        <v>250</v>
      </c>
      <c r="G115" s="560">
        <f>DR115+Sheet1!CZ117</f>
        <v>1127.3222390327626</v>
      </c>
      <c r="H115" s="914">
        <f t="shared" si="236"/>
        <v>461.73789531077773</v>
      </c>
      <c r="I115" s="559">
        <f>MAX(Sheet1!Z117-AT115+(Sheet1!DA117-E115)*CFStoMGD,0)</f>
        <v>1027.42</v>
      </c>
      <c r="J115" s="562">
        <f>IF(AND(B115&gt;=Calculation!GC115,B115&lt;=Calculation!GD115),IF(Sheet1!DB117&gt;=Calculation!D115,64.64,0),MAX(Sheet1!Z117-AT115+(Sheet1!DB117-D115)*CFStoMGD,0))</f>
        <v>64.64</v>
      </c>
      <c r="K115" s="904">
        <f t="shared" si="273"/>
        <v>64.64</v>
      </c>
      <c r="L115" s="560">
        <f>Sheet1!AA117+Sheet1!AB117-Sheet1!L117+(Sheet1!DA117-F115)*CFStoMGD</f>
        <v>1001.92</v>
      </c>
      <c r="M115" s="560">
        <f t="shared" si="274"/>
        <v>743.27511721699329</v>
      </c>
      <c r="N115" s="910">
        <f>IF(Sheet1!DA117&gt;=F115,MIN(73,MIN(MAX(L115,0),MAX(M115,0))),0)</f>
        <v>73</v>
      </c>
      <c r="O115" s="563">
        <f>Sheet1!AA117+Sheet1!AB117</f>
        <v>46.22</v>
      </c>
      <c r="P115" s="563">
        <f t="shared" si="275"/>
        <v>71.50233999999999</v>
      </c>
      <c r="Q115" s="898">
        <f t="shared" si="237"/>
        <v>38.04</v>
      </c>
      <c r="R115" s="829">
        <f t="shared" si="276"/>
        <v>8.2511867088607591</v>
      </c>
      <c r="S115" s="898">
        <f t="shared" si="238"/>
        <v>8.18</v>
      </c>
      <c r="T115" s="898">
        <f t="shared" si="239"/>
        <v>56.46</v>
      </c>
      <c r="U115" s="898">
        <f t="shared" si="240"/>
        <v>0</v>
      </c>
      <c r="V115" s="898"/>
      <c r="W115" s="898">
        <f t="shared" si="241"/>
        <v>56.388813291139243</v>
      </c>
      <c r="X115" s="898">
        <f t="shared" si="242"/>
        <v>64.64</v>
      </c>
      <c r="Y115" s="898" t="str">
        <f t="shared" si="243"/>
        <v>FALSE</v>
      </c>
      <c r="Z115" s="898">
        <f t="shared" si="244"/>
        <v>46.22</v>
      </c>
      <c r="AA115" s="898">
        <f t="shared" si="245"/>
        <v>46.22</v>
      </c>
      <c r="AB115" s="898" t="str">
        <f t="shared" si="246"/>
        <v/>
      </c>
      <c r="AC115" s="563">
        <f>Sheet1!Y117*MGDtoCFS</f>
        <v>32.146659999999997</v>
      </c>
      <c r="AD115" s="563">
        <f>Sheet1!Z117*MGDtoCFS</f>
        <v>39.448499999999996</v>
      </c>
      <c r="AE115" s="563">
        <f>Sheet1!AA117*MGDtoCFS</f>
        <v>32.053839999999994</v>
      </c>
      <c r="AF115" s="563">
        <f>Sheet1!AB117*MGDtoCFS</f>
        <v>39.448499999999996</v>
      </c>
      <c r="AG115" s="563">
        <f>Sheet1!L117*MGDtoCFS</f>
        <v>71.50233999999999</v>
      </c>
      <c r="AH115" s="545">
        <f t="shared" si="277"/>
        <v>0</v>
      </c>
      <c r="AI115" s="560">
        <f t="shared" si="278"/>
        <v>0</v>
      </c>
      <c r="AJ115" s="560">
        <f t="shared" si="279"/>
        <v>56.388813291139243</v>
      </c>
      <c r="AK115" s="560">
        <f t="shared" si="280"/>
        <v>87.2334941613924</v>
      </c>
      <c r="AL115" s="560">
        <f>(VLOOKUP(Sheet1!DC117,hhdcap_wcm,4)-(((VLOOKUP(Sheet1!DC117,hhdcap_wcm,3)-Sheet1!DC117)/(VLOOKUP(Sheet1!DC117,hhdcap_wcm,3)-VLOOKUP(Sheet1!DC117,hhdcap_wcm,1)))*(VLOOKUP(Sheet1!DC117,hhdcap_wcm,4)-VLOOKUP(Sheet1!DC117,hhdcap_wcm,2))))</f>
        <v>30880.000000080283</v>
      </c>
      <c r="AM115" s="560">
        <f t="shared" si="281"/>
        <v>133.50000000196815</v>
      </c>
      <c r="AN115" s="560">
        <f t="shared" si="282"/>
        <v>2995.084618306525</v>
      </c>
      <c r="AO115" s="560">
        <f t="shared" si="283"/>
        <v>9188.9196089644192</v>
      </c>
      <c r="AP115" s="560">
        <f>Sheet1!BA117+Sheet1!BB117+Sheet1!BN117+CD115</f>
        <v>17.100000000000001</v>
      </c>
      <c r="AQ115" s="560">
        <f>Sheet1!BN117+(DO115*Sheet1!BN117)</f>
        <v>15.634889240506329</v>
      </c>
      <c r="AR115" s="560">
        <f>Sheet1!BA117+CD115</f>
        <v>0</v>
      </c>
      <c r="AS115" s="560">
        <f>Sheet1!BA117+Sheet1!BB117+CD115</f>
        <v>1.6</v>
      </c>
      <c r="AT115" s="698">
        <f>0</f>
        <v>0</v>
      </c>
      <c r="AU115" s="560">
        <f>IF(EB115&lt;K115,0,MAX(Sheet1!AA117+AQ115-15/36*K115-N115,Sheet1!EH117,0))</f>
        <v>0</v>
      </c>
      <c r="AV115" s="560">
        <f>IF(OR(B115&gt;=GD115,B115&lt;GC115),0,15/36*K115-MAX(0,64.6-(137.6-(Sheet1!AA117+Sheet1!AB117))))</f>
        <v>26.933333333333334</v>
      </c>
      <c r="AW115" s="698">
        <f>Sheet1!DB117-110</f>
        <v>950</v>
      </c>
      <c r="AX115" s="698">
        <f>Sheet1!DA117-265</f>
        <v>1535</v>
      </c>
      <c r="AY115" s="698">
        <f t="shared" si="284"/>
        <v>34.96</v>
      </c>
      <c r="AZ115" s="698">
        <v>0</v>
      </c>
      <c r="BA115" s="698">
        <f t="shared" si="285"/>
        <v>0</v>
      </c>
      <c r="BB115" s="560">
        <f t="shared" si="286"/>
        <v>1427.4666666666665</v>
      </c>
      <c r="BC115" s="560"/>
      <c r="BD115" s="560">
        <f ca="1">IF(B115&gt;Summary!$A$1,#N/A,BB115*MGtoAF)</f>
        <v>4379.4677333333329</v>
      </c>
      <c r="BE115" s="560">
        <f>Sheet1!BG117+Sheet1!BH117+Sheet1!BI117-BM115</f>
        <v>0</v>
      </c>
      <c r="BF115" s="560">
        <f t="shared" si="287"/>
        <v>0</v>
      </c>
      <c r="BG115" s="560">
        <f>IF(Sheet1!EP117="FM",BM115,0)</f>
        <v>0</v>
      </c>
      <c r="BH115" s="560">
        <f t="shared" si="288"/>
        <v>0</v>
      </c>
      <c r="BI115" s="560">
        <f>IF(Sheet1!EP117="OTHER",BM115,0)</f>
        <v>0</v>
      </c>
      <c r="BJ115" s="560">
        <f t="shared" si="289"/>
        <v>0</v>
      </c>
      <c r="BK115" s="560">
        <f t="shared" si="290"/>
        <v>0</v>
      </c>
      <c r="BL115" s="560">
        <f t="shared" si="291"/>
        <v>0</v>
      </c>
      <c r="BM115" s="560">
        <f>IF(OR(Sheet1!EP117="FM", Sheet1!EP117="OTHER"),SUM(Sheet1!BG117:'Sheet1'!BI117),0)</f>
        <v>0</v>
      </c>
      <c r="BN115" s="545">
        <f>IF(AND($B115&gt;=$FV115,$B115&lt;=$FW115),MAX(BF115,Sheet1!EI117,0),MAX(BF115-(7/36)*$K115,0))</f>
        <v>0</v>
      </c>
      <c r="BO115" s="560">
        <f t="shared" si="292"/>
        <v>12.568888888888889</v>
      </c>
      <c r="BP115" s="545">
        <f t="shared" si="293"/>
        <v>0</v>
      </c>
      <c r="BQ115" s="545">
        <f>IF(AND($O115&gt;0,Sheet1!EM117=1),(1-($O115-Sheet1!$L117)/$O115)*BL115,0)</f>
        <v>0</v>
      </c>
      <c r="BR115" s="545">
        <f>IF(AND(Sheet1!$L117=0,Sheet1!$L116=0, Calculation!BK115&lt;Sheet1!$EI117-0.1,Sheet1!$EI117=Sheet1!$EI116,Sheet1!$EI117=Sheet1!$EI118),Sheet1!$EI117,BL115-BQ115)</f>
        <v>0</v>
      </c>
      <c r="BS115" s="560"/>
      <c r="BT115" s="560"/>
      <c r="BU115" s="560">
        <f t="shared" si="294"/>
        <v>666.15111111111037</v>
      </c>
      <c r="BV115" s="560"/>
      <c r="BW115" s="560">
        <f ca="1">IF(B115&gt;Summary!$A$1,#N/A,BU115*MGtoAF)</f>
        <v>2043.7516088888867</v>
      </c>
      <c r="BX115" s="560">
        <f>Sheet1!BC117+Sheet1!BD117+Sheet1!BE117+Sheet1!BF117-CG115-CH115</f>
        <v>2.5</v>
      </c>
      <c r="BY115" s="560">
        <f t="shared" si="295"/>
        <v>2.521756329113924</v>
      </c>
      <c r="BZ115" s="560">
        <f>IF(Sheet1!EQ117="FM",CH115,0)</f>
        <v>0</v>
      </c>
      <c r="CA115" s="560">
        <f t="shared" si="296"/>
        <v>0</v>
      </c>
      <c r="CB115" s="560">
        <f>IF(Sheet1!EQ117="OTHER",CH115,0)</f>
        <v>0</v>
      </c>
      <c r="CC115" s="560">
        <f t="shared" si="297"/>
        <v>0</v>
      </c>
      <c r="CD115" s="560">
        <f t="shared" si="298"/>
        <v>0</v>
      </c>
      <c r="CE115" s="560">
        <f t="shared" si="299"/>
        <v>2.5</v>
      </c>
      <c r="CF115" s="560">
        <f t="shared" si="300"/>
        <v>2.521756329113924</v>
      </c>
      <c r="CG115" s="560">
        <f>IF(Sheet1!EQ117="CWA",SUM(Sheet1!BC117:'Sheet1'!BF117),0)</f>
        <v>0</v>
      </c>
      <c r="CH115" s="560">
        <f>IF(OR(Sheet1!EQ117="FM", Sheet1!EQ117="OTHER"),SUM(Sheet1!BC117:'Sheet1'!BF117),0)</f>
        <v>0</v>
      </c>
      <c r="CI115" s="545">
        <f>IF(AND($B115&gt;=$FV115,$B115&lt;=$FW115),MAX(CF115,Sheet1!EJ117,0),MAX(CF115-(7/36)*$K115,0))</f>
        <v>0</v>
      </c>
      <c r="CJ115" s="560">
        <f t="shared" si="301"/>
        <v>10.047132559774965</v>
      </c>
      <c r="CK115" s="545">
        <f t="shared" si="302"/>
        <v>2.521756329113924</v>
      </c>
      <c r="CL115" s="545">
        <f>IF(AND($O115&gt;0,Sheet1!EN117=1),(1-($O115-Sheet1!$L117)/$O115)*CF115,0)</f>
        <v>0</v>
      </c>
      <c r="CM115" s="545">
        <f>IF(AND(Sheet1!$L117=0,Sheet1!$L116=0, Calculation!CE115&lt;Sheet1!EJ117-0.1,Sheet1!EJ117=Sheet1!EJ116,Sheet1!EJ117=Sheet1!EJ118),Sheet1!EJ117,CF115-CL115)</f>
        <v>2.521756329113924</v>
      </c>
      <c r="CN115" s="545"/>
      <c r="CO115" s="560"/>
      <c r="CP115" s="560">
        <f t="shared" si="303"/>
        <v>526.283576941418</v>
      </c>
      <c r="CQ115" s="560"/>
      <c r="CR115" s="560">
        <f ca="1">IF(B115&gt;Summary!$A$1,#N/A,CP115*MGtoAF)</f>
        <v>1614.6380140562705</v>
      </c>
      <c r="CS115" s="560">
        <f>Sheet1!BK117+Sheet1!BL117+Sheet1!BM117-Sheet1!ER117-DA115</f>
        <v>5.68</v>
      </c>
      <c r="CT115" s="560">
        <f t="shared" si="304"/>
        <v>5.7294303797468347</v>
      </c>
      <c r="CU115" s="560">
        <f>IF(Sheet1!ER117="FM",DA115,0)</f>
        <v>0</v>
      </c>
      <c r="CV115" s="560">
        <f t="shared" si="305"/>
        <v>0</v>
      </c>
      <c r="CW115" s="560">
        <f>IF(Sheet1!ER117="OTHER",DA115,0)</f>
        <v>0</v>
      </c>
      <c r="CX115" s="560">
        <f t="shared" si="306"/>
        <v>0</v>
      </c>
      <c r="CY115" s="560">
        <f t="shared" si="307"/>
        <v>5.68</v>
      </c>
      <c r="CZ115" s="560">
        <f t="shared" si="308"/>
        <v>5.7294303797468347</v>
      </c>
      <c r="DA115" s="560">
        <f>IF(OR(Sheet1!ER117="FM", Sheet1!ER117="OTHER"),SUM(Sheet1!BK117:'Sheet1'!BM117),0)</f>
        <v>0</v>
      </c>
      <c r="DB115" s="545">
        <f>IF(AND($B115&gt;=$FV115,$B115&lt;=$FW115),MAX($CT115,Sheet1!EK117,0),MAX($CT115-(7/36)*$K115,0))</f>
        <v>0</v>
      </c>
      <c r="DC115" s="560">
        <f t="shared" si="309"/>
        <v>6.8394585091420543</v>
      </c>
      <c r="DD115" s="545">
        <f t="shared" si="310"/>
        <v>5.7294303797468347</v>
      </c>
      <c r="DE115" s="545">
        <f>IF(AND($O115&gt;0,Sheet1!EO117=1),(1-($O115-Sheet1!$L117)/$O115)*CZ115,0)</f>
        <v>0</v>
      </c>
      <c r="DF115" s="545">
        <f>IF(AND(Sheet1!$L117=0,Sheet1!$L116=0, Calculation!CY115&lt;Sheet1!$EK117-0.1,Sheet1!$EK117=Sheet1!$EK116,Sheet1!$EK117=Sheet1!$EK118),Sheet1!$EK117,CZ115-DE115)</f>
        <v>5.7294303797468347</v>
      </c>
      <c r="DG115" s="545"/>
      <c r="DH115" s="560">
        <f t="shared" si="311"/>
        <v>8.18</v>
      </c>
      <c r="DI115" s="560">
        <f t="shared" si="312"/>
        <v>375.18326358733077</v>
      </c>
      <c r="DJ115" s="698">
        <f t="shared" si="313"/>
        <v>8.2511867088607591</v>
      </c>
      <c r="DK115" s="560">
        <f ca="1">IF(B115&gt;Summary!$A$1,#N/A,DI115*MGtoAF)</f>
        <v>1151.0622526859308</v>
      </c>
      <c r="DL115" s="698">
        <f t="shared" si="314"/>
        <v>8.18</v>
      </c>
      <c r="DM115" s="560">
        <f t="shared" si="315"/>
        <v>25.28</v>
      </c>
      <c r="DN115" s="560">
        <f>Sheet1!AB117-DM115</f>
        <v>0.21999999999999886</v>
      </c>
      <c r="DO115" s="823">
        <f t="shared" si="316"/>
        <v>8.7025316455695747E-3</v>
      </c>
      <c r="DP115" s="560">
        <f>(VLOOKUP(Sheet1!DC117,hhdcap_wcm,4)-(((VLOOKUP(Sheet1!DC117,hhdcap_wcm,3)-Sheet1!DC117)/(VLOOKUP(Sheet1!DC117,hhdcap_wcm,3)-VLOOKUP(Sheet1!DC117,hhdcap_wcm,1)))*(VLOOKUP(Sheet1!DC117,hhdcap_wcm,4)-VLOOKUP(Sheet1!DC117,hhdcap_wcm,2))))</f>
        <v>30880.000000080283</v>
      </c>
      <c r="DQ115" s="560">
        <f t="shared" si="317"/>
        <v>133.50000000196815</v>
      </c>
      <c r="DR115" s="560">
        <f t="shared" si="318"/>
        <v>67.322239032762539</v>
      </c>
      <c r="DS115" s="560">
        <f>Sheet1!EA117*AFtoMG</f>
        <v>0</v>
      </c>
      <c r="DT115" s="560">
        <f>Sheet1!EB117*AFtoMG</f>
        <v>0</v>
      </c>
      <c r="DU115" s="560">
        <f>Sheet1!EC117*AFtoMG</f>
        <v>0</v>
      </c>
      <c r="DV115" s="560">
        <f>Sheet1!ED117*AFtoMG</f>
        <v>0</v>
      </c>
      <c r="DW115" s="560">
        <f t="shared" si="319"/>
        <v>0</v>
      </c>
      <c r="DX115" s="560">
        <f t="shared" si="320"/>
        <v>0</v>
      </c>
      <c r="DY115" s="560">
        <f t="shared" si="321"/>
        <v>2995.084618306525</v>
      </c>
      <c r="DZ115" s="560">
        <f t="shared" si="322"/>
        <v>9188.9196089644192</v>
      </c>
      <c r="EA115" s="560"/>
      <c r="EB115" s="545">
        <f>IF(OR(B115&lt;FV115,B115&gt;FW115),(MIN(BF115+BY115+CT115+MAX(Sheet1!AA117+AQ115-73,0),K115)),0)</f>
        <v>8.2511867088607591</v>
      </c>
      <c r="EC115" s="560"/>
      <c r="ED115" s="560">
        <f t="shared" si="323"/>
        <v>8.2511867088607591</v>
      </c>
      <c r="EE115" s="560"/>
      <c r="EF115" s="560">
        <f>Sheet1!EH117+Sheet1!EI117+Sheet1!EJ117+Sheet1!EK117</f>
        <v>8.18</v>
      </c>
      <c r="EG115" s="560"/>
      <c r="EH115" s="545">
        <f t="shared" si="324"/>
        <v>0</v>
      </c>
      <c r="EI115" s="560">
        <f>IF(Sheet1!ET117=1,SUM('Calculations II'!AT115:BA115)+'Calculations II'!BC115+Sheet1!BV117+'Calculations II'!BE115+AP115,SUM('Calculations II'!AT115:BA115)+'Calculations II'!BC115+Sheet1!BV117+'Calculations II'!BE115+AP115)</f>
        <v>51.586976000000007</v>
      </c>
      <c r="EJ115" s="560">
        <f>Sheet1!AA117+Sheet1!AB117+'Calculations II'!BC115</f>
        <v>56.068736000000001</v>
      </c>
      <c r="EK115" s="560"/>
      <c r="EL115" s="560"/>
      <c r="EM115" s="560">
        <f t="shared" si="325"/>
        <v>41743</v>
      </c>
      <c r="EN115" s="560">
        <f t="shared" si="326"/>
        <v>56.388813291139243</v>
      </c>
      <c r="EO115" s="560">
        <f t="shared" si="327"/>
        <v>87.2334941613924</v>
      </c>
      <c r="EP115" s="560">
        <v>0</v>
      </c>
      <c r="EQ115" s="560">
        <v>0</v>
      </c>
      <c r="ER115" s="560">
        <v>0</v>
      </c>
      <c r="ES115" s="545">
        <f t="shared" si="247"/>
        <v>3.7358470704723299</v>
      </c>
      <c r="ET115" s="560">
        <f>-(VLOOKUP(Sheet1!BQ117,Lookup!$O$4:$Q$262,2)-VLOOKUP(Sheet1!BQ116,Lookup!$O$4:$Q$262,2))/1000000</f>
        <v>1.9371274783956371</v>
      </c>
      <c r="EU115" s="560">
        <f>-(VLOOKUP(Sheet1!BR117,Lookup!$O$4:$Q$262,3)-VLOOKUP(Sheet1!BR116,Lookup!$O$4:$Q$262,3))/1000000</f>
        <v>1.7987195920766927</v>
      </c>
      <c r="EV115" s="560"/>
      <c r="EW115" s="560"/>
      <c r="EX115" s="560"/>
      <c r="EY115" s="560"/>
      <c r="EZ115" s="560"/>
      <c r="FA115" s="560"/>
      <c r="FB115" s="560"/>
      <c r="FC115" s="560"/>
      <c r="FD115" s="594" t="e">
        <f t="shared" si="328"/>
        <v>#N/A</v>
      </c>
      <c r="FE115" s="594" t="e">
        <f t="shared" si="329"/>
        <v>#N/A</v>
      </c>
      <c r="FF115" s="595" t="e">
        <f t="shared" si="330"/>
        <v>#N/A</v>
      </c>
      <c r="FG115" s="596" t="s">
        <v>692</v>
      </c>
      <c r="FH115" s="596" t="s">
        <v>692</v>
      </c>
      <c r="FI115" s="594" t="e">
        <v>#N/A</v>
      </c>
      <c r="FJ115" s="594" t="e">
        <v>#N/A</v>
      </c>
      <c r="FK115" s="560"/>
      <c r="FL115" s="560"/>
      <c r="FM115" s="560"/>
      <c r="FN115" s="560"/>
      <c r="FO115" s="560">
        <f>O115+((Sheet1!CS117)*GPMtoMGD)</f>
        <v>56.068736000000001</v>
      </c>
      <c r="FP115" s="560">
        <f>IF(Sheet1!AA117+AQ115&lt;=Calculation!N115,AQ115,Calculation!N115-Sheet1!AA117)</f>
        <v>15.634889240506329</v>
      </c>
      <c r="FQ115" s="560">
        <f>(Sheet1!BP117+Sheet1!BO117)/694.4</f>
        <v>2.5666762672811059</v>
      </c>
      <c r="FR115" s="560"/>
      <c r="FS115" s="560"/>
      <c r="FT115" s="560"/>
      <c r="FU115" s="560"/>
      <c r="FV115" s="695">
        <f t="shared" si="248"/>
        <v>41827</v>
      </c>
      <c r="FW115" s="695">
        <f t="shared" si="249"/>
        <v>41934</v>
      </c>
      <c r="FX115" s="560"/>
      <c r="FY115" s="560"/>
      <c r="FZ115" s="560"/>
      <c r="GA115" s="560"/>
      <c r="GB115" s="560" t="str">
        <f t="shared" si="250"/>
        <v>n</v>
      </c>
      <c r="GC115" s="564">
        <f t="shared" si="251"/>
        <v>41691</v>
      </c>
      <c r="GD115" s="695">
        <f t="shared" si="252"/>
        <v>41807</v>
      </c>
      <c r="GE115" s="560">
        <v>6518.9</v>
      </c>
      <c r="GF115" s="695">
        <f t="shared" si="253"/>
        <v>41808</v>
      </c>
      <c r="GG115" s="560">
        <f t="shared" si="272"/>
        <v>3259</v>
      </c>
      <c r="GH115" s="564">
        <f t="shared" si="254"/>
        <v>41934</v>
      </c>
      <c r="GJ115" s="545">
        <f t="shared" si="255"/>
        <v>0</v>
      </c>
      <c r="GK115" s="560" t="str">
        <f t="shared" si="331"/>
        <v/>
      </c>
      <c r="GL115" s="560">
        <f t="shared" si="256"/>
        <v>0</v>
      </c>
      <c r="GM115" s="560" t="str">
        <f t="shared" si="257"/>
        <v/>
      </c>
      <c r="GN115" s="560">
        <f>IF(GK115="P",Lookup!$M$12,IF(GK115="PP",Lookup!$M$13,IF(GK115="PPP",Lookup!$M$14,IF(GK115="T",Lookup!$M$15,IF(GK115="TP",Lookup!$M$16,IF(GK115="TPP",Lookup!$M$17,IF(GK115="TPPP",Lookup!$M$18,0)))))))*GJ115</f>
        <v>0</v>
      </c>
      <c r="GO115" s="560">
        <f t="shared" si="258"/>
        <v>0</v>
      </c>
      <c r="GP115" s="560">
        <f t="shared" si="332"/>
        <v>4379.4677333333329</v>
      </c>
      <c r="GQ115" s="560">
        <f t="shared" si="266"/>
        <v>1427.4666666666665</v>
      </c>
      <c r="GR115" s="560"/>
      <c r="GS115" s="560">
        <f t="shared" si="259"/>
        <v>0</v>
      </c>
      <c r="GT115" s="560" t="str">
        <f t="shared" si="260"/>
        <v/>
      </c>
      <c r="GU115" s="560">
        <f>IF(GK115="P",Lookup!$N$12,IF(GK115="PP",Lookup!$N$13,IF(GK115="PPP",Lookup!$N$14,IF(GK115="T",Lookup!$N$15,IF(GK115="TP",Lookup!$N$16,IF(GK115="TPP",Lookup!$N$17,IF(GK115="TPPP",Lookup!$N$18,0)))))))*GJ115</f>
        <v>0</v>
      </c>
      <c r="GV115" s="560">
        <f t="shared" si="261"/>
        <v>0</v>
      </c>
      <c r="GW115" s="560">
        <f t="shared" si="333"/>
        <v>2043.7516088888867</v>
      </c>
      <c r="GX115" s="560">
        <f t="shared" si="267"/>
        <v>666.15111111111037</v>
      </c>
      <c r="GY115" s="560"/>
      <c r="GZ115" s="560">
        <f t="shared" si="262"/>
        <v>0</v>
      </c>
      <c r="HA115" s="560" t="str">
        <f t="shared" si="263"/>
        <v/>
      </c>
      <c r="HB115" s="560">
        <f>IF(GK115="P",Lookup!$N$12,IF(GK115="PP",Lookup!$N$13,IF(GK115="PPP",Lookup!$N$14,IF(GK115="T",Lookup!$N$15,IF(GK115="TP",Lookup!$N$16,IF(GK115="TPP",Lookup!$N$17,IF(GK115="TPPP",Lookup!$N$18,0)))))))*GJ115</f>
        <v>0</v>
      </c>
      <c r="HC115" s="545">
        <f t="shared" si="334"/>
        <v>0</v>
      </c>
      <c r="HD115" s="560">
        <f t="shared" si="335"/>
        <v>1614.6380140562705</v>
      </c>
      <c r="HE115" s="560">
        <f t="shared" si="268"/>
        <v>526.283576941418</v>
      </c>
      <c r="HF115" s="560"/>
      <c r="HG115" s="560">
        <f t="shared" si="264"/>
        <v>0</v>
      </c>
      <c r="HH115" s="560" t="str">
        <f t="shared" si="265"/>
        <v/>
      </c>
      <c r="HI115" s="560">
        <f>IF(GK115="P",Lookup!$N$12,IF(GK115="PP",Lookup!$N$13,IF(GK115="PPP",Lookup!$N$14,IF(GK115="T",Lookup!$N$15,IF(GK115="TP",Lookup!$N$16,IF(GK115="TPP",Lookup!$N$17,IF(GK115="TPPP",Lookup!$N$18,0)))))))*GJ115</f>
        <v>0</v>
      </c>
      <c r="HJ115" s="545">
        <f t="shared" si="336"/>
        <v>0</v>
      </c>
      <c r="HK115" s="560">
        <f t="shared" si="337"/>
        <v>1151.0622526859308</v>
      </c>
      <c r="HL115" s="560">
        <f t="shared" si="269"/>
        <v>375.18326358733077</v>
      </c>
      <c r="HM115" s="560"/>
    </row>
    <row r="116" spans="1:221">
      <c r="A116" s="580" t="s">
        <v>5</v>
      </c>
      <c r="B116" s="556">
        <v>41744</v>
      </c>
      <c r="C116" s="561">
        <v>0</v>
      </c>
      <c r="D116" s="529">
        <f t="shared" si="270"/>
        <v>300</v>
      </c>
      <c r="E116" s="529">
        <f t="shared" si="271"/>
        <v>250</v>
      </c>
      <c r="F116" s="529">
        <v>250</v>
      </c>
      <c r="G116" s="560">
        <f>DR116+Sheet1!CZ118</f>
        <v>1202.5516893597635</v>
      </c>
      <c r="H116" s="914">
        <f t="shared" si="236"/>
        <v>510.36621200215109</v>
      </c>
      <c r="I116" s="559">
        <f>MAX(Sheet1!Z118-AT116+(Sheet1!DA118-E116)*CFStoMGD,0)</f>
        <v>956.31599999999992</v>
      </c>
      <c r="J116" s="562">
        <f>IF(AND(B116&gt;=Calculation!GC116,B116&lt;=Calculation!GD116),IF(Sheet1!DB118&gt;=Calculation!D116,64.64,0),MAX(Sheet1!Z118-AT116+(Sheet1!DB118-D116)*CFStoMGD,0))</f>
        <v>64.64</v>
      </c>
      <c r="K116" s="904">
        <f t="shared" si="273"/>
        <v>64.64</v>
      </c>
      <c r="L116" s="560">
        <f>Sheet1!AA118+Sheet1!AB118-Sheet1!L118+(Sheet1!DA118-F116)*CFStoMGD</f>
        <v>930.81599999999992</v>
      </c>
      <c r="M116" s="560">
        <f t="shared" si="274"/>
        <v>792.87600024219421</v>
      </c>
      <c r="N116" s="910">
        <f>IF(Sheet1!DA118&gt;=F116,MIN(73,MIN(MAX(L116,0),MAX(M116,0))),0)</f>
        <v>73</v>
      </c>
      <c r="O116" s="563">
        <f>Sheet1!AA118+Sheet1!AB118</f>
        <v>46.1</v>
      </c>
      <c r="P116" s="563">
        <f t="shared" si="275"/>
        <v>71.316699999999997</v>
      </c>
      <c r="Q116" s="898">
        <f t="shared" si="237"/>
        <v>37.64</v>
      </c>
      <c r="R116" s="829">
        <f t="shared" si="276"/>
        <v>8.4401408450704221</v>
      </c>
      <c r="S116" s="898">
        <f t="shared" si="238"/>
        <v>8.4600000000000009</v>
      </c>
      <c r="T116" s="898">
        <f t="shared" si="239"/>
        <v>56.18</v>
      </c>
      <c r="U116" s="898">
        <f t="shared" si="240"/>
        <v>0</v>
      </c>
      <c r="V116" s="898"/>
      <c r="W116" s="898">
        <f t="shared" si="241"/>
        <v>56.199859154929577</v>
      </c>
      <c r="X116" s="898">
        <f t="shared" si="242"/>
        <v>64.64</v>
      </c>
      <c r="Y116" s="898" t="str">
        <f t="shared" si="243"/>
        <v>FALSE</v>
      </c>
      <c r="Z116" s="898">
        <f t="shared" si="244"/>
        <v>46.1</v>
      </c>
      <c r="AA116" s="898">
        <f t="shared" si="245"/>
        <v>46.1</v>
      </c>
      <c r="AB116" s="898" t="str">
        <f t="shared" si="246"/>
        <v/>
      </c>
      <c r="AC116" s="563">
        <f>Sheet1!Y118*MGDtoCFS</f>
        <v>32.053839999999994</v>
      </c>
      <c r="AD116" s="563">
        <f>Sheet1!Z118*MGDtoCFS</f>
        <v>39.448499999999996</v>
      </c>
      <c r="AE116" s="563">
        <f>Sheet1!AA118*MGDtoCFS</f>
        <v>31.868200000000002</v>
      </c>
      <c r="AF116" s="563">
        <f>Sheet1!AB118*MGDtoCFS</f>
        <v>39.448499999999996</v>
      </c>
      <c r="AG116" s="563">
        <f>Sheet1!L118*MGDtoCFS</f>
        <v>71.316699999999997</v>
      </c>
      <c r="AH116" s="545">
        <f t="shared" si="277"/>
        <v>0</v>
      </c>
      <c r="AI116" s="560">
        <f t="shared" si="278"/>
        <v>0</v>
      </c>
      <c r="AJ116" s="560">
        <f t="shared" si="279"/>
        <v>56.199859154929577</v>
      </c>
      <c r="AK116" s="560">
        <f t="shared" si="280"/>
        <v>86.941182112676046</v>
      </c>
      <c r="AL116" s="560">
        <f>(VLOOKUP(Sheet1!DC118,hhdcap_wcm,4)-(((VLOOKUP(Sheet1!DC118,hhdcap_wcm,3)-Sheet1!DC118)/(VLOOKUP(Sheet1!DC118,hhdcap_wcm,3)-VLOOKUP(Sheet1!DC118,hhdcap_wcm,1)))*(VLOOKUP(Sheet1!DC118,hhdcap_wcm,4)-VLOOKUP(Sheet1!DC118,hhdcap_wcm,2))))</f>
        <v>31242.000000080694</v>
      </c>
      <c r="AM116" s="560">
        <f t="shared" si="281"/>
        <v>362.00000000041109</v>
      </c>
      <c r="AN116" s="560">
        <f t="shared" si="282"/>
        <v>3051.284477461455</v>
      </c>
      <c r="AO116" s="560">
        <f t="shared" si="283"/>
        <v>9361.3407768517445</v>
      </c>
      <c r="AP116" s="560">
        <f>Sheet1!BA118+Sheet1!BB118+Sheet1!BN118+CD116</f>
        <v>17.100000000000001</v>
      </c>
      <c r="AQ116" s="560">
        <f>Sheet1!BN118+(DO116*Sheet1!BN118)</f>
        <v>15.463615023474176</v>
      </c>
      <c r="AR116" s="560">
        <f>Sheet1!BA118+CD116</f>
        <v>0</v>
      </c>
      <c r="AS116" s="560">
        <f>Sheet1!BA118+Sheet1!BB118+CD116</f>
        <v>1.6</v>
      </c>
      <c r="AT116" s="698">
        <f>0</f>
        <v>0</v>
      </c>
      <c r="AU116" s="560">
        <f>IF(EB116&lt;K116,0,MAX(Sheet1!AA118+AQ116-15/36*K116-N116,Sheet1!EH118,0))</f>
        <v>0</v>
      </c>
      <c r="AV116" s="560">
        <f>IF(OR(B116&gt;=GD116,B116&lt;GC116),0,15/36*K116-MAX(0,64.6-(137.6-(Sheet1!AA118+Sheet1!AB118))))</f>
        <v>26.933333333333334</v>
      </c>
      <c r="AW116" s="698">
        <f>Sheet1!DB118-110</f>
        <v>900</v>
      </c>
      <c r="AX116" s="698">
        <f>Sheet1!DA118-265</f>
        <v>1425</v>
      </c>
      <c r="AY116" s="698">
        <f t="shared" si="284"/>
        <v>35.36</v>
      </c>
      <c r="AZ116" s="698">
        <v>0</v>
      </c>
      <c r="BA116" s="698">
        <f t="shared" si="285"/>
        <v>0</v>
      </c>
      <c r="BB116" s="560">
        <f t="shared" si="286"/>
        <v>1454.3999999999999</v>
      </c>
      <c r="BC116" s="560"/>
      <c r="BD116" s="560">
        <f ca="1">IF(B116&gt;Summary!$A$1,#N/A,BB116*MGtoAF)</f>
        <v>4462.0991999999997</v>
      </c>
      <c r="BE116" s="560">
        <f>Sheet1!BG118+Sheet1!BH118+Sheet1!BI118-BM116</f>
        <v>0</v>
      </c>
      <c r="BF116" s="560">
        <f t="shared" si="287"/>
        <v>0</v>
      </c>
      <c r="BG116" s="560">
        <f>IF(Sheet1!EP118="FM",BM116,0)</f>
        <v>0</v>
      </c>
      <c r="BH116" s="560">
        <f t="shared" si="288"/>
        <v>0</v>
      </c>
      <c r="BI116" s="560">
        <f>IF(Sheet1!EP118="OTHER",BM116,0)</f>
        <v>0</v>
      </c>
      <c r="BJ116" s="560">
        <f t="shared" si="289"/>
        <v>0</v>
      </c>
      <c r="BK116" s="560">
        <f t="shared" si="290"/>
        <v>0</v>
      </c>
      <c r="BL116" s="560">
        <f t="shared" si="291"/>
        <v>0</v>
      </c>
      <c r="BM116" s="560">
        <f>IF(OR(Sheet1!EP118="FM", Sheet1!EP118="OTHER"),SUM(Sheet1!BG118:'Sheet1'!BI118),0)</f>
        <v>0</v>
      </c>
      <c r="BN116" s="545">
        <f>IF(AND($B116&gt;=$FV116,$B116&lt;=$FW116),MAX(BF116,Sheet1!EI118,0),MAX(BF116-(7/36)*$K116,0))</f>
        <v>0</v>
      </c>
      <c r="BO116" s="560">
        <f t="shared" si="292"/>
        <v>12.568888888888889</v>
      </c>
      <c r="BP116" s="545">
        <f t="shared" si="293"/>
        <v>0</v>
      </c>
      <c r="BQ116" s="545">
        <f>IF(AND($O116&gt;0,Sheet1!EM118=1),(1-($O116-Sheet1!$L118)/$O116)*BL116,0)</f>
        <v>0</v>
      </c>
      <c r="BR116" s="545">
        <f>IF(AND(Sheet1!$L118=0,Sheet1!$L117=0, Calculation!BK116&lt;Sheet1!$EI118-0.1,Sheet1!$EI118=Sheet1!$EI117,Sheet1!$EI118=Sheet1!$EI119),Sheet1!$EI118,BL116-BQ116)</f>
        <v>0</v>
      </c>
      <c r="BS116" s="560"/>
      <c r="BT116" s="560"/>
      <c r="BU116" s="560">
        <f t="shared" si="294"/>
        <v>678.71999999999923</v>
      </c>
      <c r="BV116" s="560"/>
      <c r="BW116" s="560">
        <f ca="1">IF(B116&gt;Summary!$A$1,#N/A,BU116*MGtoAF)</f>
        <v>2082.3129599999975</v>
      </c>
      <c r="BX116" s="560">
        <f>Sheet1!BC118+Sheet1!BD118+Sheet1!BE118+Sheet1!BF118-CG116-CH116</f>
        <v>2.4900000000000002</v>
      </c>
      <c r="BY116" s="560">
        <f t="shared" si="295"/>
        <v>2.484154929577465</v>
      </c>
      <c r="BZ116" s="560">
        <f>IF(Sheet1!EQ118="FM",CH116,0)</f>
        <v>0</v>
      </c>
      <c r="CA116" s="560">
        <f t="shared" si="296"/>
        <v>0</v>
      </c>
      <c r="CB116" s="560">
        <f>IF(Sheet1!EQ118="OTHER",CH116,0)</f>
        <v>0</v>
      </c>
      <c r="CC116" s="560">
        <f t="shared" si="297"/>
        <v>0</v>
      </c>
      <c r="CD116" s="560">
        <f t="shared" si="298"/>
        <v>0</v>
      </c>
      <c r="CE116" s="560">
        <f t="shared" si="299"/>
        <v>2.4900000000000002</v>
      </c>
      <c r="CF116" s="560">
        <f t="shared" si="300"/>
        <v>2.484154929577465</v>
      </c>
      <c r="CG116" s="560">
        <f>IF(Sheet1!EQ118="CWA",SUM(Sheet1!BC118:'Sheet1'!BF118),0)</f>
        <v>0</v>
      </c>
      <c r="CH116" s="560">
        <f>IF(OR(Sheet1!EQ118="FM", Sheet1!EQ118="OTHER"),SUM(Sheet1!BC118:'Sheet1'!BF118),0)</f>
        <v>0</v>
      </c>
      <c r="CI116" s="545">
        <f>IF(AND($B116&gt;=$FV116,$B116&lt;=$FW116),MAX(CF116,Sheet1!EJ118,0),MAX(CF116-(7/36)*$K116,0))</f>
        <v>0</v>
      </c>
      <c r="CJ116" s="560">
        <f t="shared" si="301"/>
        <v>10.084733959311425</v>
      </c>
      <c r="CK116" s="545">
        <f t="shared" si="302"/>
        <v>2.484154929577465</v>
      </c>
      <c r="CL116" s="545">
        <f>IF(AND($O116&gt;0,Sheet1!EN118=1),(1-($O116-Sheet1!$L118)/$O116)*CF116,0)</f>
        <v>0</v>
      </c>
      <c r="CM116" s="545">
        <f>IF(AND(Sheet1!$L118=0,Sheet1!$L117=0, Calculation!CE116&lt;Sheet1!EJ118-0.1,Sheet1!EJ118=Sheet1!EJ117,Sheet1!EJ118=Sheet1!EJ119),Sheet1!EJ118,CF116-CL116)</f>
        <v>2.484154929577465</v>
      </c>
      <c r="CN116" s="545"/>
      <c r="CO116" s="560"/>
      <c r="CP116" s="560">
        <f t="shared" si="303"/>
        <v>536.3683109007294</v>
      </c>
      <c r="CQ116" s="560"/>
      <c r="CR116" s="560">
        <f ca="1">IF(B116&gt;Summary!$A$1,#N/A,CP116*MGtoAF)</f>
        <v>1645.5779778434378</v>
      </c>
      <c r="CS116" s="560">
        <f>Sheet1!BK118+Sheet1!BL118+Sheet1!BM118-Sheet1!ER118-DA116</f>
        <v>5.97</v>
      </c>
      <c r="CT116" s="560">
        <f t="shared" si="304"/>
        <v>5.9559859154929571</v>
      </c>
      <c r="CU116" s="560">
        <f>IF(Sheet1!ER118="FM",DA116,0)</f>
        <v>0</v>
      </c>
      <c r="CV116" s="560">
        <f t="shared" si="305"/>
        <v>0</v>
      </c>
      <c r="CW116" s="560">
        <f>IF(Sheet1!ER118="OTHER",DA116,0)</f>
        <v>0</v>
      </c>
      <c r="CX116" s="560">
        <f t="shared" si="306"/>
        <v>0</v>
      </c>
      <c r="CY116" s="560">
        <f t="shared" si="307"/>
        <v>5.97</v>
      </c>
      <c r="CZ116" s="560">
        <f t="shared" si="308"/>
        <v>5.9559859154929571</v>
      </c>
      <c r="DA116" s="560">
        <f>IF(OR(Sheet1!ER118="FM", Sheet1!ER118="OTHER"),SUM(Sheet1!BK118:'Sheet1'!BM118),0)</f>
        <v>0</v>
      </c>
      <c r="DB116" s="545">
        <f>IF(AND($B116&gt;=$FV116,$B116&lt;=$FW116),MAX($CT116,Sheet1!EK118,0),MAX($CT116-(7/36)*$K116,0))</f>
        <v>0</v>
      </c>
      <c r="DC116" s="560">
        <f t="shared" si="309"/>
        <v>6.6129029733959319</v>
      </c>
      <c r="DD116" s="545">
        <f t="shared" si="310"/>
        <v>5.9559859154929571</v>
      </c>
      <c r="DE116" s="545">
        <f>IF(AND($O116&gt;0,Sheet1!EO118=1),(1-($O116-Sheet1!$L118)/$O116)*CZ116,0)</f>
        <v>0</v>
      </c>
      <c r="DF116" s="545">
        <f>IF(AND(Sheet1!$L118=0,Sheet1!$L117=0, Calculation!CY116&lt;Sheet1!$EK118-0.1,Sheet1!$EK118=Sheet1!$EK117,Sheet1!$EK118=Sheet1!$EK119),Sheet1!$EK118,CZ116-DE116)</f>
        <v>5.9559859154929571</v>
      </c>
      <c r="DG116" s="545"/>
      <c r="DH116" s="560">
        <f t="shared" si="311"/>
        <v>8.4600000000000009</v>
      </c>
      <c r="DI116" s="560">
        <f t="shared" si="312"/>
        <v>381.7961665607267</v>
      </c>
      <c r="DJ116" s="698">
        <f t="shared" si="313"/>
        <v>8.4401408450704221</v>
      </c>
      <c r="DK116" s="560">
        <f ca="1">IF(B116&gt;Summary!$A$1,#N/A,DI116*MGtoAF)</f>
        <v>1171.3506390083096</v>
      </c>
      <c r="DL116" s="698">
        <f t="shared" si="314"/>
        <v>8.4600000000000009</v>
      </c>
      <c r="DM116" s="560">
        <f t="shared" si="315"/>
        <v>25.560000000000002</v>
      </c>
      <c r="DN116" s="560">
        <f>Sheet1!AB118-DM116</f>
        <v>-6.0000000000002274E-2</v>
      </c>
      <c r="DO116" s="823">
        <f t="shared" si="316"/>
        <v>-2.3474178403756758E-3</v>
      </c>
      <c r="DP116" s="560">
        <f>(VLOOKUP(Sheet1!DC118,hhdcap_wcm,4)-(((VLOOKUP(Sheet1!DC118,hhdcap_wcm,3)-Sheet1!DC118)/(VLOOKUP(Sheet1!DC118,hhdcap_wcm,3)-VLOOKUP(Sheet1!DC118,hhdcap_wcm,1)))*(VLOOKUP(Sheet1!DC118,hhdcap_wcm,4)-VLOOKUP(Sheet1!DC118,hhdcap_wcm,2))))</f>
        <v>31242.000000080694</v>
      </c>
      <c r="DQ116" s="560">
        <f t="shared" si="317"/>
        <v>362.00000000041109</v>
      </c>
      <c r="DR116" s="560">
        <f t="shared" si="318"/>
        <v>182.55168935976351</v>
      </c>
      <c r="DS116" s="560">
        <f>Sheet1!EA118*AFtoMG</f>
        <v>0</v>
      </c>
      <c r="DT116" s="560">
        <f>Sheet1!EB118*AFtoMG</f>
        <v>0</v>
      </c>
      <c r="DU116" s="560">
        <f>Sheet1!EC118*AFtoMG</f>
        <v>0</v>
      </c>
      <c r="DV116" s="560">
        <f>Sheet1!ED118*AFtoMG</f>
        <v>0</v>
      </c>
      <c r="DW116" s="560">
        <f t="shared" si="319"/>
        <v>0</v>
      </c>
      <c r="DX116" s="560">
        <f t="shared" si="320"/>
        <v>0</v>
      </c>
      <c r="DY116" s="560">
        <f t="shared" si="321"/>
        <v>3051.284477461455</v>
      </c>
      <c r="DZ116" s="560">
        <f t="shared" si="322"/>
        <v>9361.3407768517445</v>
      </c>
      <c r="EA116" s="560"/>
      <c r="EB116" s="545">
        <f>IF(OR(B116&lt;FV116,B116&gt;FW116),(MIN(BF116+BY116+CT116+MAX(Sheet1!AA118+AQ116-73,0),K116)),0)</f>
        <v>8.4401408450704221</v>
      </c>
      <c r="EC116" s="560"/>
      <c r="ED116" s="560">
        <f t="shared" si="323"/>
        <v>8.4401408450704221</v>
      </c>
      <c r="EE116" s="560"/>
      <c r="EF116" s="560">
        <f>Sheet1!EH118+Sheet1!EI118+Sheet1!EJ118+Sheet1!EK118</f>
        <v>8.4600000000000009</v>
      </c>
      <c r="EG116" s="560"/>
      <c r="EH116" s="545">
        <f t="shared" si="324"/>
        <v>0</v>
      </c>
      <c r="EI116" s="560">
        <f>IF(Sheet1!ET118=1,SUM('Calculations II'!AT116:BA116)+'Calculations II'!BC116+Sheet1!BV118+'Calculations II'!BE116+AP116,SUM('Calculations II'!AT116:BA116)+'Calculations II'!BC116+Sheet1!BV118+'Calculations II'!BE116+AP116)</f>
        <v>51.809088000000003</v>
      </c>
      <c r="EJ116" s="560">
        <f>Sheet1!AA118+Sheet1!AB118+'Calculations II'!BC116</f>
        <v>58.870640000000002</v>
      </c>
      <c r="EK116" s="560"/>
      <c r="EL116" s="560"/>
      <c r="EM116" s="560">
        <f t="shared" si="325"/>
        <v>41744</v>
      </c>
      <c r="EN116" s="560">
        <f t="shared" si="326"/>
        <v>56.199859154929577</v>
      </c>
      <c r="EO116" s="560">
        <f t="shared" si="327"/>
        <v>86.941182112676046</v>
      </c>
      <c r="EP116" s="560">
        <v>0</v>
      </c>
      <c r="EQ116" s="560">
        <v>0</v>
      </c>
      <c r="ER116" s="560">
        <v>0</v>
      </c>
      <c r="ES116" s="545">
        <f t="shared" si="247"/>
        <v>-0.27664922887500376</v>
      </c>
      <c r="ET116" s="560">
        <f>-(VLOOKUP(Sheet1!BQ118,Lookup!$O$4:$Q$262,2)-VLOOKUP(Sheet1!BQ117,Lookup!$O$4:$Q$262,2))/1000000</f>
        <v>-0.13832461443750188</v>
      </c>
      <c r="EU116" s="560">
        <f>-(VLOOKUP(Sheet1!BR118,Lookup!$O$4:$Q$262,3)-VLOOKUP(Sheet1!BR117,Lookup!$O$4:$Q$262,3))/1000000</f>
        <v>-0.13832461443750188</v>
      </c>
      <c r="EV116" s="560"/>
      <c r="EW116" s="560"/>
      <c r="EX116" s="560"/>
      <c r="EY116" s="560"/>
      <c r="EZ116" s="560"/>
      <c r="FA116" s="560"/>
      <c r="FB116" s="560"/>
      <c r="FC116" s="560"/>
      <c r="FD116" s="594" t="e">
        <f t="shared" si="328"/>
        <v>#N/A</v>
      </c>
      <c r="FE116" s="594" t="e">
        <f t="shared" si="329"/>
        <v>#N/A</v>
      </c>
      <c r="FF116" s="595" t="e">
        <f t="shared" si="330"/>
        <v>#N/A</v>
      </c>
      <c r="FG116" s="596" t="s">
        <v>692</v>
      </c>
      <c r="FH116" s="596" t="s">
        <v>692</v>
      </c>
      <c r="FI116" s="594" t="e">
        <v>#N/A</v>
      </c>
      <c r="FJ116" s="594" t="e">
        <v>#N/A</v>
      </c>
      <c r="FK116" s="560"/>
      <c r="FL116" s="560"/>
      <c r="FM116" s="560"/>
      <c r="FN116" s="560"/>
      <c r="FO116" s="560">
        <f>O116+((Sheet1!CS118)*GPMtoMGD)</f>
        <v>58.870640000000002</v>
      </c>
      <c r="FP116" s="560">
        <f>IF(Sheet1!AA118+AQ116&lt;=Calculation!N116,AQ116,Calculation!N116-Sheet1!AA118)</f>
        <v>15.463615023474176</v>
      </c>
      <c r="FQ116" s="560">
        <f>(Sheet1!BP118+Sheet1!BO118)/694.4</f>
        <v>1.9053859447004609</v>
      </c>
      <c r="FR116" s="560"/>
      <c r="FS116" s="560"/>
      <c r="FT116" s="560"/>
      <c r="FU116" s="560"/>
      <c r="FV116" s="695">
        <f t="shared" si="248"/>
        <v>41827</v>
      </c>
      <c r="FW116" s="695">
        <f t="shared" si="249"/>
        <v>41934</v>
      </c>
      <c r="FX116" s="560"/>
      <c r="FY116" s="560"/>
      <c r="FZ116" s="560"/>
      <c r="GA116" s="560"/>
      <c r="GB116" s="560" t="str">
        <f t="shared" si="250"/>
        <v>n</v>
      </c>
      <c r="GC116" s="564">
        <f t="shared" si="251"/>
        <v>41691</v>
      </c>
      <c r="GD116" s="695">
        <f t="shared" si="252"/>
        <v>41807</v>
      </c>
      <c r="GE116" s="560">
        <v>6518.9</v>
      </c>
      <c r="GF116" s="695">
        <f t="shared" si="253"/>
        <v>41808</v>
      </c>
      <c r="GG116" s="560">
        <f t="shared" si="272"/>
        <v>3259</v>
      </c>
      <c r="GH116" s="564">
        <f t="shared" si="254"/>
        <v>41934</v>
      </c>
      <c r="GJ116" s="545">
        <f t="shared" si="255"/>
        <v>0</v>
      </c>
      <c r="GK116" s="560" t="str">
        <f t="shared" si="331"/>
        <v/>
      </c>
      <c r="GL116" s="560">
        <f t="shared" si="256"/>
        <v>0</v>
      </c>
      <c r="GM116" s="560" t="str">
        <f t="shared" si="257"/>
        <v/>
      </c>
      <c r="GN116" s="560">
        <f>IF(GK116="P",Lookup!$M$12,IF(GK116="PP",Lookup!$M$13,IF(GK116="PPP",Lookup!$M$14,IF(GK116="T",Lookup!$M$15,IF(GK116="TP",Lookup!$M$16,IF(GK116="TPP",Lookup!$M$17,IF(GK116="TPPP",Lookup!$M$18,0)))))))*GJ116</f>
        <v>0</v>
      </c>
      <c r="GO116" s="560">
        <f t="shared" si="258"/>
        <v>0</v>
      </c>
      <c r="GP116" s="560">
        <f t="shared" si="332"/>
        <v>4462.0991999999997</v>
      </c>
      <c r="GQ116" s="560">
        <f t="shared" si="266"/>
        <v>1454.3999999999999</v>
      </c>
      <c r="GR116" s="560"/>
      <c r="GS116" s="560">
        <f t="shared" si="259"/>
        <v>0</v>
      </c>
      <c r="GT116" s="560" t="str">
        <f t="shared" si="260"/>
        <v/>
      </c>
      <c r="GU116" s="560">
        <f>IF(GK116="P",Lookup!$N$12,IF(GK116="PP",Lookup!$N$13,IF(GK116="PPP",Lookup!$N$14,IF(GK116="T",Lookup!$N$15,IF(GK116="TP",Lookup!$N$16,IF(GK116="TPP",Lookup!$N$17,IF(GK116="TPPP",Lookup!$N$18,0)))))))*GJ116</f>
        <v>0</v>
      </c>
      <c r="GV116" s="560">
        <f t="shared" si="261"/>
        <v>0</v>
      </c>
      <c r="GW116" s="560">
        <f t="shared" si="333"/>
        <v>2082.3129599999975</v>
      </c>
      <c r="GX116" s="560">
        <f t="shared" si="267"/>
        <v>678.71999999999923</v>
      </c>
      <c r="GY116" s="560"/>
      <c r="GZ116" s="560">
        <f t="shared" si="262"/>
        <v>0</v>
      </c>
      <c r="HA116" s="560" t="str">
        <f t="shared" si="263"/>
        <v/>
      </c>
      <c r="HB116" s="560">
        <f>IF(GK116="P",Lookup!$N$12,IF(GK116="PP",Lookup!$N$13,IF(GK116="PPP",Lookup!$N$14,IF(GK116="T",Lookup!$N$15,IF(GK116="TP",Lookup!$N$16,IF(GK116="TPP",Lookup!$N$17,IF(GK116="TPPP",Lookup!$N$18,0)))))))*GJ116</f>
        <v>0</v>
      </c>
      <c r="HC116" s="545">
        <f t="shared" si="334"/>
        <v>0</v>
      </c>
      <c r="HD116" s="560">
        <f t="shared" si="335"/>
        <v>1645.5779778434378</v>
      </c>
      <c r="HE116" s="560">
        <f t="shared" si="268"/>
        <v>536.3683109007294</v>
      </c>
      <c r="HF116" s="560"/>
      <c r="HG116" s="560">
        <f t="shared" si="264"/>
        <v>0</v>
      </c>
      <c r="HH116" s="560" t="str">
        <f t="shared" si="265"/>
        <v/>
      </c>
      <c r="HI116" s="560">
        <f>IF(GK116="P",Lookup!$N$12,IF(GK116="PP",Lookup!$N$13,IF(GK116="PPP",Lookup!$N$14,IF(GK116="T",Lookup!$N$15,IF(GK116="TP",Lookup!$N$16,IF(GK116="TPP",Lookup!$N$17,IF(GK116="TPPP",Lookup!$N$18,0)))))))*GJ116</f>
        <v>0</v>
      </c>
      <c r="HJ116" s="545">
        <f t="shared" si="336"/>
        <v>0</v>
      </c>
      <c r="HK116" s="560">
        <f t="shared" si="337"/>
        <v>1171.3506390083096</v>
      </c>
      <c r="HL116" s="560">
        <f t="shared" si="269"/>
        <v>381.7961665607267</v>
      </c>
      <c r="HM116" s="560"/>
    </row>
    <row r="117" spans="1:221">
      <c r="A117" s="580" t="s">
        <v>6</v>
      </c>
      <c r="B117" s="556">
        <v>41745</v>
      </c>
      <c r="C117" s="561">
        <v>0</v>
      </c>
      <c r="D117" s="529">
        <f t="shared" si="270"/>
        <v>300</v>
      </c>
      <c r="E117" s="529">
        <f t="shared" si="271"/>
        <v>250</v>
      </c>
      <c r="F117" s="529">
        <v>250</v>
      </c>
      <c r="G117" s="560">
        <f>DR117+Sheet1!CZ119</f>
        <v>1458.779626828803</v>
      </c>
      <c r="H117" s="914">
        <f t="shared" si="236"/>
        <v>675.99195078213825</v>
      </c>
      <c r="I117" s="559">
        <f>MAX(Sheet1!Z119-AT117+(Sheet1!DA119-E117)*CFStoMGD,0)</f>
        <v>1066.204</v>
      </c>
      <c r="J117" s="562">
        <f>IF(AND(B117&gt;=Calculation!GC117,B117&lt;=Calculation!GD117),IF(Sheet1!DB119&gt;=Calculation!D117,64.64,0),MAX(Sheet1!Z119-AT117+(Sheet1!DB119-D117)*CFStoMGD,0))</f>
        <v>64.64</v>
      </c>
      <c r="K117" s="904">
        <f t="shared" si="273"/>
        <v>64.64</v>
      </c>
      <c r="L117" s="560">
        <f>Sheet1!AA119+Sheet1!AB119-Sheet1!L119+(Sheet1!DA119-F117)*CFStoMGD</f>
        <v>1040.704</v>
      </c>
      <c r="M117" s="560">
        <f t="shared" si="274"/>
        <v>961.81425379778102</v>
      </c>
      <c r="N117" s="910">
        <f>IF(Sheet1!DA119&gt;=F117,MIN(73,MIN(MAX(L117,0),MAX(M117,0))),0)</f>
        <v>73</v>
      </c>
      <c r="O117" s="563">
        <f>Sheet1!AA119+Sheet1!AB119</f>
        <v>46.16</v>
      </c>
      <c r="P117" s="563">
        <f t="shared" si="275"/>
        <v>71.409519999999986</v>
      </c>
      <c r="Q117" s="898">
        <f t="shared" si="237"/>
        <v>37.699999999999996</v>
      </c>
      <c r="R117" s="829">
        <f t="shared" si="276"/>
        <v>8.4732914375490971</v>
      </c>
      <c r="S117" s="898">
        <f t="shared" si="238"/>
        <v>8.4600000000000009</v>
      </c>
      <c r="T117" s="898">
        <f t="shared" si="239"/>
        <v>56.18</v>
      </c>
      <c r="U117" s="898">
        <f t="shared" si="240"/>
        <v>0</v>
      </c>
      <c r="V117" s="898"/>
      <c r="W117" s="898">
        <f t="shared" si="241"/>
        <v>56.166708562450907</v>
      </c>
      <c r="X117" s="898">
        <f t="shared" si="242"/>
        <v>64.64</v>
      </c>
      <c r="Y117" s="898" t="str">
        <f t="shared" si="243"/>
        <v>FALSE</v>
      </c>
      <c r="Z117" s="898">
        <f t="shared" si="244"/>
        <v>46.16</v>
      </c>
      <c r="AA117" s="898">
        <f t="shared" si="245"/>
        <v>46.16</v>
      </c>
      <c r="AB117" s="898" t="str">
        <f t="shared" si="246"/>
        <v/>
      </c>
      <c r="AC117" s="563">
        <f>Sheet1!Y119*MGDtoCFS</f>
        <v>31.868200000000002</v>
      </c>
      <c r="AD117" s="563">
        <f>Sheet1!Z119*MGDtoCFS</f>
        <v>39.448499999999996</v>
      </c>
      <c r="AE117" s="563">
        <f>Sheet1!AA119*MGDtoCFS</f>
        <v>31.961019999999998</v>
      </c>
      <c r="AF117" s="563">
        <f>Sheet1!AB119*MGDtoCFS</f>
        <v>39.448499999999996</v>
      </c>
      <c r="AG117" s="563">
        <f>Sheet1!L119*MGDtoCFS</f>
        <v>71.409519999999986</v>
      </c>
      <c r="AH117" s="545">
        <f t="shared" si="277"/>
        <v>0</v>
      </c>
      <c r="AI117" s="560">
        <f t="shared" si="278"/>
        <v>0</v>
      </c>
      <c r="AJ117" s="560">
        <f t="shared" si="279"/>
        <v>56.166708562450907</v>
      </c>
      <c r="AK117" s="560">
        <f t="shared" si="280"/>
        <v>86.889898146111548</v>
      </c>
      <c r="AL117" s="560">
        <f>(VLOOKUP(Sheet1!DC119,hhdcap_wcm,4)-(((VLOOKUP(Sheet1!DC119,hhdcap_wcm,3)-Sheet1!DC119)/(VLOOKUP(Sheet1!DC119,hhdcap_wcm,3)-VLOOKUP(Sheet1!DC119,hhdcap_wcm,1)))*(VLOOKUP(Sheet1!DC119,hhdcap_wcm,4)-VLOOKUP(Sheet1!DC119,hhdcap_wcm,2))))</f>
        <v>31913.80000008221</v>
      </c>
      <c r="AM117" s="560">
        <f t="shared" si="281"/>
        <v>671.80000000151631</v>
      </c>
      <c r="AN117" s="560">
        <f t="shared" si="282"/>
        <v>3107.4511860239058</v>
      </c>
      <c r="AO117" s="560">
        <f t="shared" si="283"/>
        <v>9533.6602387213425</v>
      </c>
      <c r="AP117" s="560">
        <f>Sheet1!BA119+Sheet1!BB119+Sheet1!BN119+CD117</f>
        <v>17</v>
      </c>
      <c r="AQ117" s="560">
        <f>Sheet1!BN119+(DO117*Sheet1!BN119)</f>
        <v>15.424194815396701</v>
      </c>
      <c r="AR117" s="560">
        <f>Sheet1!BA119+CD117</f>
        <v>0</v>
      </c>
      <c r="AS117" s="560">
        <f>Sheet1!BA119+Sheet1!BB119+CD117</f>
        <v>1.6</v>
      </c>
      <c r="AT117" s="698">
        <f>0</f>
        <v>0</v>
      </c>
      <c r="AU117" s="560">
        <f>IF(EB117&lt;K117,0,MAX(Sheet1!AA119+AQ117-15/36*K117-N117,Sheet1!EH119,0))</f>
        <v>0</v>
      </c>
      <c r="AV117" s="560">
        <f>IF(OR(B117&gt;=GD117,B117&lt;GC117),0,15/36*K117-MAX(0,64.6-(137.6-(Sheet1!AA119+Sheet1!AB119))))</f>
        <v>26.933333333333334</v>
      </c>
      <c r="AW117" s="698">
        <f>Sheet1!DB119-110</f>
        <v>1020</v>
      </c>
      <c r="AX117" s="698">
        <f>Sheet1!DA119-265</f>
        <v>1595</v>
      </c>
      <c r="AY117" s="698">
        <f t="shared" si="284"/>
        <v>35.300000000000004</v>
      </c>
      <c r="AZ117" s="698">
        <v>0</v>
      </c>
      <c r="BA117" s="698">
        <f t="shared" si="285"/>
        <v>0</v>
      </c>
      <c r="BB117" s="560">
        <f t="shared" si="286"/>
        <v>1481.3333333333333</v>
      </c>
      <c r="BC117" s="560"/>
      <c r="BD117" s="560">
        <f ca="1">IF(B117&gt;Summary!$A$1,#N/A,BB117*MGtoAF)</f>
        <v>4544.7306666666664</v>
      </c>
      <c r="BE117" s="560">
        <f>Sheet1!BG119+Sheet1!BH119+Sheet1!BI119-BM117</f>
        <v>0</v>
      </c>
      <c r="BF117" s="560">
        <f t="shared" si="287"/>
        <v>0</v>
      </c>
      <c r="BG117" s="560">
        <f>IF(Sheet1!EP119="FM",BM117,0)</f>
        <v>0</v>
      </c>
      <c r="BH117" s="560">
        <f t="shared" si="288"/>
        <v>0</v>
      </c>
      <c r="BI117" s="560">
        <f>IF(Sheet1!EP119="OTHER",BM117,0)</f>
        <v>0</v>
      </c>
      <c r="BJ117" s="560">
        <f t="shared" si="289"/>
        <v>0</v>
      </c>
      <c r="BK117" s="560">
        <f t="shared" si="290"/>
        <v>0</v>
      </c>
      <c r="BL117" s="560">
        <f t="shared" si="291"/>
        <v>0</v>
      </c>
      <c r="BM117" s="560">
        <f>IF(OR(Sheet1!EP119="FM", Sheet1!EP119="OTHER"),SUM(Sheet1!BG119:'Sheet1'!BI119),0)</f>
        <v>0</v>
      </c>
      <c r="BN117" s="545">
        <f>IF(AND($B117&gt;=$FV117,$B117&lt;=$FW117),MAX(BF117,Sheet1!EI119,0),MAX(BF117-(7/36)*$K117,0))</f>
        <v>0</v>
      </c>
      <c r="BO117" s="560">
        <f t="shared" si="292"/>
        <v>12.568888888888889</v>
      </c>
      <c r="BP117" s="545">
        <f t="shared" si="293"/>
        <v>0</v>
      </c>
      <c r="BQ117" s="545">
        <f>IF(AND($O117&gt;0,Sheet1!EM119=1),(1-($O117-Sheet1!$L119)/$O117)*BL117,0)</f>
        <v>0</v>
      </c>
      <c r="BR117" s="545">
        <f>IF(AND(Sheet1!$L119=0,Sheet1!$L118=0, Calculation!BK117&lt;Sheet1!$EI119-0.1,Sheet1!$EI119=Sheet1!$EI118,Sheet1!$EI119=Sheet1!$EI120),Sheet1!$EI119,BL117-BQ117)</f>
        <v>0</v>
      </c>
      <c r="BS117" s="560"/>
      <c r="BT117" s="560"/>
      <c r="BU117" s="560">
        <f t="shared" si="294"/>
        <v>691.2888888888881</v>
      </c>
      <c r="BV117" s="560"/>
      <c r="BW117" s="560">
        <f ca="1">IF(B117&gt;Summary!$A$1,#N/A,BU117*MGtoAF)</f>
        <v>2120.8743111111089</v>
      </c>
      <c r="BX117" s="560">
        <f>Sheet1!BC119+Sheet1!BD119+Sheet1!BE119+Sheet1!BF119-CG117-CH117</f>
        <v>2.5</v>
      </c>
      <c r="BY117" s="560">
        <f t="shared" si="295"/>
        <v>2.5039277297721916</v>
      </c>
      <c r="BZ117" s="560">
        <f>IF(Sheet1!EQ119="FM",CH117,0)</f>
        <v>0</v>
      </c>
      <c r="CA117" s="560">
        <f t="shared" si="296"/>
        <v>0</v>
      </c>
      <c r="CB117" s="560">
        <f>IF(Sheet1!EQ119="OTHER",CH117,0)</f>
        <v>0</v>
      </c>
      <c r="CC117" s="560">
        <f t="shared" si="297"/>
        <v>0</v>
      </c>
      <c r="CD117" s="560">
        <f t="shared" si="298"/>
        <v>0</v>
      </c>
      <c r="CE117" s="560">
        <f t="shared" si="299"/>
        <v>2.5</v>
      </c>
      <c r="CF117" s="560">
        <f t="shared" si="300"/>
        <v>2.5039277297721916</v>
      </c>
      <c r="CG117" s="560">
        <f>IF(Sheet1!EQ119="CWA",SUM(Sheet1!BC119:'Sheet1'!BF119),0)</f>
        <v>0</v>
      </c>
      <c r="CH117" s="560">
        <f>IF(OR(Sheet1!EQ119="FM", Sheet1!EQ119="OTHER"),SUM(Sheet1!BC119:'Sheet1'!BF119),0)</f>
        <v>0</v>
      </c>
      <c r="CI117" s="545">
        <f>IF(AND($B117&gt;=$FV117,$B117&lt;=$FW117),MAX(CF117,Sheet1!EJ119,0),MAX(CF117-(7/36)*$K117,0))</f>
        <v>0</v>
      </c>
      <c r="CJ117" s="560">
        <f t="shared" si="301"/>
        <v>10.064961159116697</v>
      </c>
      <c r="CK117" s="545">
        <f t="shared" si="302"/>
        <v>2.5039277297721916</v>
      </c>
      <c r="CL117" s="545">
        <f>IF(AND($O117&gt;0,Sheet1!EN119=1),(1-($O117-Sheet1!$L119)/$O117)*CF117,0)</f>
        <v>0</v>
      </c>
      <c r="CM117" s="545">
        <f>IF(AND(Sheet1!$L119=0,Sheet1!$L118=0, Calculation!CE117&lt;Sheet1!EJ119-0.1,Sheet1!EJ119=Sheet1!EJ118,Sheet1!EJ119=Sheet1!EJ120),Sheet1!EJ119,CF117-CL117)</f>
        <v>2.5039277297721916</v>
      </c>
      <c r="CN117" s="545"/>
      <c r="CO117" s="560"/>
      <c r="CP117" s="560">
        <f t="shared" si="303"/>
        <v>546.4332720598461</v>
      </c>
      <c r="CQ117" s="560"/>
      <c r="CR117" s="560">
        <f ca="1">IF(B117&gt;Summary!$A$1,#N/A,CP117*MGtoAF)</f>
        <v>1676.457278679608</v>
      </c>
      <c r="CS117" s="560">
        <f>Sheet1!BK119+Sheet1!BL119+Sheet1!BM119-Sheet1!ER119-DA117</f>
        <v>5.96</v>
      </c>
      <c r="CT117" s="560">
        <f t="shared" si="304"/>
        <v>5.9693637077769051</v>
      </c>
      <c r="CU117" s="560">
        <f>IF(Sheet1!ER119="FM",DA117,0)</f>
        <v>0</v>
      </c>
      <c r="CV117" s="560">
        <f t="shared" si="305"/>
        <v>0</v>
      </c>
      <c r="CW117" s="560">
        <f>IF(Sheet1!ER119="OTHER",DA117,0)</f>
        <v>0</v>
      </c>
      <c r="CX117" s="560">
        <f t="shared" si="306"/>
        <v>0</v>
      </c>
      <c r="CY117" s="560">
        <f t="shared" si="307"/>
        <v>5.96</v>
      </c>
      <c r="CZ117" s="560">
        <f t="shared" si="308"/>
        <v>5.9693637077769051</v>
      </c>
      <c r="DA117" s="560">
        <f>IF(OR(Sheet1!ER119="FM", Sheet1!ER119="OTHER"),SUM(Sheet1!BK119:'Sheet1'!BM119),0)</f>
        <v>0</v>
      </c>
      <c r="DB117" s="545">
        <f>IF(AND($B117&gt;=$FV117,$B117&lt;=$FW117),MAX($CT117,Sheet1!EK119,0),MAX($CT117-(7/36)*$K117,0))</f>
        <v>0</v>
      </c>
      <c r="DC117" s="560">
        <f t="shared" si="309"/>
        <v>6.5995251811119839</v>
      </c>
      <c r="DD117" s="545">
        <f t="shared" si="310"/>
        <v>5.9693637077769051</v>
      </c>
      <c r="DE117" s="545">
        <f>IF(AND($O117&gt;0,Sheet1!EO119=1),(1-($O117-Sheet1!$L119)/$O117)*CZ117,0)</f>
        <v>0</v>
      </c>
      <c r="DF117" s="545">
        <f>IF(AND(Sheet1!$L119=0,Sheet1!$L118=0, Calculation!CY117&lt;Sheet1!$EK119-0.1,Sheet1!$EK119=Sheet1!$EK118,Sheet1!$EK119=Sheet1!$EK120),Sheet1!$EK119,CZ117-DE117)</f>
        <v>5.9693637077769051</v>
      </c>
      <c r="DG117" s="545"/>
      <c r="DH117" s="560">
        <f t="shared" si="311"/>
        <v>8.4600000000000009</v>
      </c>
      <c r="DI117" s="560">
        <f t="shared" si="312"/>
        <v>388.39569174183868</v>
      </c>
      <c r="DJ117" s="698">
        <f t="shared" si="313"/>
        <v>8.4732914375490971</v>
      </c>
      <c r="DK117" s="560">
        <f ca="1">IF(B117&gt;Summary!$A$1,#N/A,DI117*MGtoAF)</f>
        <v>1191.5979822639611</v>
      </c>
      <c r="DL117" s="698">
        <f t="shared" si="314"/>
        <v>8.4600000000000009</v>
      </c>
      <c r="DM117" s="560">
        <f t="shared" si="315"/>
        <v>25.46</v>
      </c>
      <c r="DN117" s="560">
        <f>Sheet1!AB119-DM117</f>
        <v>3.9999999999999147E-2</v>
      </c>
      <c r="DO117" s="823">
        <f t="shared" si="316"/>
        <v>1.5710919088766358E-3</v>
      </c>
      <c r="DP117" s="560">
        <f>(VLOOKUP(Sheet1!DC119,hhdcap_wcm,4)-(((VLOOKUP(Sheet1!DC119,hhdcap_wcm,3)-Sheet1!DC119)/(VLOOKUP(Sheet1!DC119,hhdcap_wcm,3)-VLOOKUP(Sheet1!DC119,hhdcap_wcm,1)))*(VLOOKUP(Sheet1!DC119,hhdcap_wcm,4)-VLOOKUP(Sheet1!DC119,hhdcap_wcm,2))))</f>
        <v>31913.80000008221</v>
      </c>
      <c r="DQ117" s="560">
        <f t="shared" si="317"/>
        <v>671.80000000151631</v>
      </c>
      <c r="DR117" s="560">
        <f t="shared" si="318"/>
        <v>338.77962682880292</v>
      </c>
      <c r="DS117" s="560">
        <f>Sheet1!EA119*AFtoMG</f>
        <v>0</v>
      </c>
      <c r="DT117" s="560">
        <f>Sheet1!EB119*AFtoMG</f>
        <v>0</v>
      </c>
      <c r="DU117" s="560">
        <f>Sheet1!EC119*AFtoMG</f>
        <v>0</v>
      </c>
      <c r="DV117" s="560">
        <f>Sheet1!ED119*AFtoMG</f>
        <v>0</v>
      </c>
      <c r="DW117" s="560">
        <f t="shared" si="319"/>
        <v>0</v>
      </c>
      <c r="DX117" s="560">
        <f t="shared" si="320"/>
        <v>0</v>
      </c>
      <c r="DY117" s="560">
        <f t="shared" si="321"/>
        <v>3107.4511860239058</v>
      </c>
      <c r="DZ117" s="560">
        <f t="shared" si="322"/>
        <v>9533.6602387213425</v>
      </c>
      <c r="EA117" s="560"/>
      <c r="EB117" s="545">
        <f>IF(OR(B117&lt;FV117,B117&gt;FW117),(MIN(BF117+BY117+CT117+MAX(Sheet1!AA119+AQ117-73,0),K117)),0)</f>
        <v>8.4732914375490971</v>
      </c>
      <c r="EC117" s="560"/>
      <c r="ED117" s="560">
        <f t="shared" si="323"/>
        <v>8.4732914375490971</v>
      </c>
      <c r="EE117" s="560"/>
      <c r="EF117" s="560">
        <f>Sheet1!EH119+Sheet1!EI119+Sheet1!EJ119+Sheet1!EK119</f>
        <v>8.4600000000000009</v>
      </c>
      <c r="EG117" s="560"/>
      <c r="EH117" s="545">
        <f t="shared" si="324"/>
        <v>0</v>
      </c>
      <c r="EI117" s="560">
        <f>IF(Sheet1!ET119=1,SUM('Calculations II'!AT117:BA117)+'Calculations II'!BC117+Sheet1!BV119+'Calculations II'!BE117+AP117,SUM('Calculations II'!AT117:BA117)+'Calculations II'!BC117+Sheet1!BV119+'Calculations II'!BE117+AP117)</f>
        <v>50.221648000000002</v>
      </c>
      <c r="EJ117" s="560">
        <f>Sheet1!AA119+Sheet1!AB119+'Calculations II'!BC117</f>
        <v>60.106687999999998</v>
      </c>
      <c r="EK117" s="560"/>
      <c r="EL117" s="560"/>
      <c r="EM117" s="560">
        <f t="shared" si="325"/>
        <v>41745</v>
      </c>
      <c r="EN117" s="560">
        <f t="shared" si="326"/>
        <v>56.166708562450907</v>
      </c>
      <c r="EO117" s="560">
        <f t="shared" si="327"/>
        <v>86.889898146111548</v>
      </c>
      <c r="EP117" s="560">
        <v>0</v>
      </c>
      <c r="EQ117" s="560">
        <v>0</v>
      </c>
      <c r="ER117" s="560">
        <v>0</v>
      </c>
      <c r="ES117" s="545">
        <f t="shared" si="247"/>
        <v>-2.4904195131759645</v>
      </c>
      <c r="ET117" s="560">
        <f>-(VLOOKUP(Sheet1!BQ119,Lookup!$O$4:$Q$262,2)-VLOOKUP(Sheet1!BQ118,Lookup!$O$4:$Q$262,2))/1000000</f>
        <v>-1.2452097565879823</v>
      </c>
      <c r="EU117" s="560">
        <f>-(VLOOKUP(Sheet1!BR119,Lookup!$O$4:$Q$262,3)-VLOOKUP(Sheet1!BR118,Lookup!$O$4:$Q$262,3))/1000000</f>
        <v>-1.2452097565879823</v>
      </c>
      <c r="EV117" s="560"/>
      <c r="EW117" s="560"/>
      <c r="EX117" s="560"/>
      <c r="EY117" s="560"/>
      <c r="EZ117" s="560"/>
      <c r="FA117" s="560"/>
      <c r="FB117" s="560"/>
      <c r="FC117" s="560"/>
      <c r="FD117" s="594" t="e">
        <f t="shared" si="328"/>
        <v>#N/A</v>
      </c>
      <c r="FE117" s="594" t="e">
        <f t="shared" si="329"/>
        <v>#N/A</v>
      </c>
      <c r="FF117" s="595" t="e">
        <f t="shared" si="330"/>
        <v>#N/A</v>
      </c>
      <c r="FG117" s="596" t="s">
        <v>692</v>
      </c>
      <c r="FH117" s="596" t="s">
        <v>692</v>
      </c>
      <c r="FI117" s="594" t="e">
        <v>#N/A</v>
      </c>
      <c r="FJ117" s="594" t="e">
        <v>#N/A</v>
      </c>
      <c r="FK117" s="560"/>
      <c r="FL117" s="560"/>
      <c r="FM117" s="560"/>
      <c r="FN117" s="560"/>
      <c r="FO117" s="560">
        <f>O117+((Sheet1!CS119)*GPMtoMGD)</f>
        <v>60.106687999999998</v>
      </c>
      <c r="FP117" s="560">
        <f>IF(Sheet1!AA119+AQ117&lt;=Calculation!N117,AQ117,Calculation!N117-Sheet1!AA119)</f>
        <v>15.424194815396701</v>
      </c>
      <c r="FQ117" s="560">
        <f>(Sheet1!BP119+Sheet1!BO119)/694.4</f>
        <v>1.4688940092165899</v>
      </c>
      <c r="FR117" s="560"/>
      <c r="FS117" s="560"/>
      <c r="FT117" s="560"/>
      <c r="FU117" s="560"/>
      <c r="FV117" s="695">
        <f t="shared" si="248"/>
        <v>41827</v>
      </c>
      <c r="FW117" s="695">
        <f t="shared" si="249"/>
        <v>41934</v>
      </c>
      <c r="FX117" s="560"/>
      <c r="FY117" s="560"/>
      <c r="FZ117" s="560"/>
      <c r="GA117" s="560"/>
      <c r="GB117" s="560" t="str">
        <f t="shared" si="250"/>
        <v>n</v>
      </c>
      <c r="GC117" s="564">
        <f t="shared" si="251"/>
        <v>41691</v>
      </c>
      <c r="GD117" s="695">
        <f t="shared" si="252"/>
        <v>41807</v>
      </c>
      <c r="GE117" s="560">
        <v>6518.9</v>
      </c>
      <c r="GF117" s="695">
        <f t="shared" si="253"/>
        <v>41808</v>
      </c>
      <c r="GG117" s="560">
        <f t="shared" si="272"/>
        <v>3259</v>
      </c>
      <c r="GH117" s="564">
        <f t="shared" si="254"/>
        <v>41934</v>
      </c>
      <c r="GJ117" s="545">
        <f t="shared" si="255"/>
        <v>0</v>
      </c>
      <c r="GK117" s="560" t="str">
        <f t="shared" si="331"/>
        <v/>
      </c>
      <c r="GL117" s="560">
        <f t="shared" si="256"/>
        <v>0</v>
      </c>
      <c r="GM117" s="560" t="str">
        <f t="shared" si="257"/>
        <v/>
      </c>
      <c r="GN117" s="560">
        <f>IF(GK117="P",Lookup!$M$12,IF(GK117="PP",Lookup!$M$13,IF(GK117="PPP",Lookup!$M$14,IF(GK117="T",Lookup!$M$15,IF(GK117="TP",Lookup!$M$16,IF(GK117="TPP",Lookup!$M$17,IF(GK117="TPPP",Lookup!$M$18,0)))))))*GJ117</f>
        <v>0</v>
      </c>
      <c r="GO117" s="560">
        <f t="shared" si="258"/>
        <v>0</v>
      </c>
      <c r="GP117" s="560">
        <f t="shared" si="332"/>
        <v>4544.7306666666664</v>
      </c>
      <c r="GQ117" s="560">
        <f t="shared" si="266"/>
        <v>1481.3333333333333</v>
      </c>
      <c r="GR117" s="560"/>
      <c r="GS117" s="560">
        <f t="shared" si="259"/>
        <v>0</v>
      </c>
      <c r="GT117" s="560" t="str">
        <f t="shared" si="260"/>
        <v/>
      </c>
      <c r="GU117" s="560">
        <f>IF(GK117="P",Lookup!$N$12,IF(GK117="PP",Lookup!$N$13,IF(GK117="PPP",Lookup!$N$14,IF(GK117="T",Lookup!$N$15,IF(GK117="TP",Lookup!$N$16,IF(GK117="TPP",Lookup!$N$17,IF(GK117="TPPP",Lookup!$N$18,0)))))))*GJ117</f>
        <v>0</v>
      </c>
      <c r="GV117" s="560">
        <f t="shared" si="261"/>
        <v>0</v>
      </c>
      <c r="GW117" s="560">
        <f t="shared" si="333"/>
        <v>2120.8743111111089</v>
      </c>
      <c r="GX117" s="560">
        <f t="shared" si="267"/>
        <v>691.2888888888881</v>
      </c>
      <c r="GY117" s="560"/>
      <c r="GZ117" s="560">
        <f t="shared" si="262"/>
        <v>0</v>
      </c>
      <c r="HA117" s="560" t="str">
        <f t="shared" si="263"/>
        <v/>
      </c>
      <c r="HB117" s="560">
        <f>IF(GK117="P",Lookup!$N$12,IF(GK117="PP",Lookup!$N$13,IF(GK117="PPP",Lookup!$N$14,IF(GK117="T",Lookup!$N$15,IF(GK117="TP",Lookup!$N$16,IF(GK117="TPP",Lookup!$N$17,IF(GK117="TPPP",Lookup!$N$18,0)))))))*GJ117</f>
        <v>0</v>
      </c>
      <c r="HC117" s="545">
        <f t="shared" si="334"/>
        <v>0</v>
      </c>
      <c r="HD117" s="560">
        <f t="shared" si="335"/>
        <v>1676.457278679608</v>
      </c>
      <c r="HE117" s="560">
        <f t="shared" si="268"/>
        <v>546.4332720598461</v>
      </c>
      <c r="HF117" s="560"/>
      <c r="HG117" s="560">
        <f t="shared" si="264"/>
        <v>0</v>
      </c>
      <c r="HH117" s="560" t="str">
        <f t="shared" si="265"/>
        <v/>
      </c>
      <c r="HI117" s="560">
        <f>IF(GK117="P",Lookup!$N$12,IF(GK117="PP",Lookup!$N$13,IF(GK117="PPP",Lookup!$N$14,IF(GK117="T",Lookup!$N$15,IF(GK117="TP",Lookup!$N$16,IF(GK117="TPP",Lookup!$N$17,IF(GK117="TPPP",Lookup!$N$18,0)))))))*GJ117</f>
        <v>0</v>
      </c>
      <c r="HJ117" s="545">
        <f t="shared" si="336"/>
        <v>0</v>
      </c>
      <c r="HK117" s="560">
        <f t="shared" si="337"/>
        <v>1191.5979822639611</v>
      </c>
      <c r="HL117" s="560">
        <f t="shared" si="269"/>
        <v>388.39569174183868</v>
      </c>
      <c r="HM117" s="560"/>
    </row>
    <row r="118" spans="1:221">
      <c r="A118" s="580" t="s">
        <v>7</v>
      </c>
      <c r="B118" s="556">
        <v>41746</v>
      </c>
      <c r="C118" s="561">
        <v>0</v>
      </c>
      <c r="D118" s="529">
        <f t="shared" si="270"/>
        <v>300</v>
      </c>
      <c r="E118" s="529">
        <f t="shared" si="271"/>
        <v>250</v>
      </c>
      <c r="F118" s="529">
        <v>250</v>
      </c>
      <c r="G118" s="560">
        <f>DR118+Sheet1!CZ120</f>
        <v>2770.2672718113713</v>
      </c>
      <c r="H118" s="914">
        <f t="shared" si="236"/>
        <v>1523.7375644988704</v>
      </c>
      <c r="I118" s="559">
        <f>MAX(Sheet1!Z120-AT118+(Sheet1!DA120-E118)*CFStoMGD,0)</f>
        <v>1841.884</v>
      </c>
      <c r="J118" s="562">
        <f>IF(AND(B118&gt;=Calculation!GC118,B118&lt;=Calculation!GD118),IF(Sheet1!DB120&gt;=Calculation!D118,64.64,0),MAX(Sheet1!Z120-AT118+(Sheet1!DB120-D118)*CFStoMGD,0))</f>
        <v>64.64</v>
      </c>
      <c r="K118" s="904">
        <f t="shared" si="273"/>
        <v>64.64</v>
      </c>
      <c r="L118" s="560">
        <f>Sheet1!AA120+Sheet1!AB120-Sheet1!L120+(Sheet1!DA120-F118)*CFStoMGD</f>
        <v>1816.384</v>
      </c>
      <c r="M118" s="560">
        <f t="shared" si="274"/>
        <v>1826.5147797888478</v>
      </c>
      <c r="N118" s="910">
        <f>IF(Sheet1!DA120&gt;=F118,MIN(73,MIN(MAX(L118,0),MAX(M118,0))),0)</f>
        <v>73</v>
      </c>
      <c r="O118" s="563">
        <f>Sheet1!AA120+Sheet1!AB120</f>
        <v>46.239999999999995</v>
      </c>
      <c r="P118" s="563">
        <f t="shared" si="275"/>
        <v>71.533279999999991</v>
      </c>
      <c r="Q118" s="898">
        <f t="shared" si="237"/>
        <v>37.679999999999993</v>
      </c>
      <c r="R118" s="829">
        <f t="shared" si="276"/>
        <v>8.5399061032863841</v>
      </c>
      <c r="S118" s="898">
        <f t="shared" si="238"/>
        <v>8.56</v>
      </c>
      <c r="T118" s="898">
        <f t="shared" si="239"/>
        <v>56.08</v>
      </c>
      <c r="U118" s="898">
        <f t="shared" si="240"/>
        <v>0</v>
      </c>
      <c r="V118" s="898"/>
      <c r="W118" s="898">
        <f t="shared" si="241"/>
        <v>56.100093896713616</v>
      </c>
      <c r="X118" s="898">
        <f t="shared" si="242"/>
        <v>64.64</v>
      </c>
      <c r="Y118" s="898" t="str">
        <f t="shared" si="243"/>
        <v>FALSE</v>
      </c>
      <c r="Z118" s="898">
        <f t="shared" si="244"/>
        <v>46.239999999999995</v>
      </c>
      <c r="AA118" s="898">
        <f t="shared" si="245"/>
        <v>46.239999999999995</v>
      </c>
      <c r="AB118" s="898" t="str">
        <f t="shared" si="246"/>
        <v/>
      </c>
      <c r="AC118" s="563">
        <f>Sheet1!Y120*MGDtoCFS</f>
        <v>31.961019999999998</v>
      </c>
      <c r="AD118" s="563">
        <f>Sheet1!Z120*MGDtoCFS</f>
        <v>39.448499999999996</v>
      </c>
      <c r="AE118" s="563">
        <f>Sheet1!AA120*MGDtoCFS</f>
        <v>32.084779999999995</v>
      </c>
      <c r="AF118" s="563">
        <f>Sheet1!AB120*MGDtoCFS</f>
        <v>39.448499999999996</v>
      </c>
      <c r="AG118" s="563">
        <f>Sheet1!L120*MGDtoCFS</f>
        <v>71.533279999999991</v>
      </c>
      <c r="AH118" s="545">
        <f t="shared" si="277"/>
        <v>0</v>
      </c>
      <c r="AI118" s="560">
        <f t="shared" si="278"/>
        <v>0</v>
      </c>
      <c r="AJ118" s="560">
        <f t="shared" si="279"/>
        <v>56.100093896713616</v>
      </c>
      <c r="AK118" s="560">
        <f t="shared" si="280"/>
        <v>86.786845258215962</v>
      </c>
      <c r="AL118" s="560">
        <f>(VLOOKUP(Sheet1!DC120,hhdcap_wcm,4)-(((VLOOKUP(Sheet1!DC120,hhdcap_wcm,3)-Sheet1!DC120)/(VLOOKUP(Sheet1!DC120,hhdcap_wcm,3)-VLOOKUP(Sheet1!DC120,hhdcap_wcm,1)))*(VLOOKUP(Sheet1!DC120,hhdcap_wcm,4)-VLOOKUP(Sheet1!DC120,hhdcap_wcm,2))))</f>
        <v>33282.60000008416</v>
      </c>
      <c r="AM118" s="560">
        <f t="shared" si="281"/>
        <v>1368.8000000019492</v>
      </c>
      <c r="AN118" s="560">
        <f t="shared" si="282"/>
        <v>3163.5512799206199</v>
      </c>
      <c r="AO118" s="560">
        <f t="shared" si="283"/>
        <v>9705.7753267964617</v>
      </c>
      <c r="AP118" s="560">
        <f>Sheet1!BA120+Sheet1!BB120+Sheet1!BN120+CD118</f>
        <v>17</v>
      </c>
      <c r="AQ118" s="560">
        <f>Sheet1!BN120+(DO118*Sheet1!BN120)</f>
        <v>15.363849765258214</v>
      </c>
      <c r="AR118" s="560">
        <f>Sheet1!BA120+CD118</f>
        <v>0</v>
      </c>
      <c r="AS118" s="560">
        <f>Sheet1!BA120+Sheet1!BB120+CD118</f>
        <v>1.6</v>
      </c>
      <c r="AT118" s="698">
        <f>0</f>
        <v>0</v>
      </c>
      <c r="AU118" s="560">
        <f>IF(EB118&lt;K118,0,MAX(Sheet1!AA120+AQ118-15/36*K118-N118,Sheet1!EH120,0))</f>
        <v>0</v>
      </c>
      <c r="AV118" s="560">
        <f>IF(OR(B118&gt;=GD118,B118&lt;GC118),0,15/36*K118-MAX(0,64.6-(137.6-(Sheet1!AA120+Sheet1!AB120))))</f>
        <v>26.933333333333334</v>
      </c>
      <c r="AW118" s="698">
        <f>Sheet1!DB120-110</f>
        <v>2040</v>
      </c>
      <c r="AX118" s="698">
        <f>Sheet1!DA120-265</f>
        <v>2795</v>
      </c>
      <c r="AY118" s="698">
        <f t="shared" si="284"/>
        <v>35.320000000000007</v>
      </c>
      <c r="AZ118" s="698">
        <v>0</v>
      </c>
      <c r="BA118" s="698">
        <f t="shared" si="285"/>
        <v>0</v>
      </c>
      <c r="BB118" s="560">
        <f t="shared" si="286"/>
        <v>1508.2666666666667</v>
      </c>
      <c r="BC118" s="560"/>
      <c r="BD118" s="560">
        <f ca="1">IF(B118&gt;Summary!$A$1,#N/A,BB118*MGtoAF)</f>
        <v>4627.3621333333331</v>
      </c>
      <c r="BE118" s="560">
        <f>Sheet1!BG120+Sheet1!BH120+Sheet1!BI120-BM118</f>
        <v>0</v>
      </c>
      <c r="BF118" s="560">
        <f t="shared" si="287"/>
        <v>0</v>
      </c>
      <c r="BG118" s="560">
        <f>IF(Sheet1!EP120="FM",BM118,0)</f>
        <v>0</v>
      </c>
      <c r="BH118" s="560">
        <f t="shared" si="288"/>
        <v>0</v>
      </c>
      <c r="BI118" s="560">
        <f>IF(Sheet1!EP120="OTHER",BM118,0)</f>
        <v>0</v>
      </c>
      <c r="BJ118" s="560">
        <f t="shared" si="289"/>
        <v>0</v>
      </c>
      <c r="BK118" s="560">
        <f t="shared" si="290"/>
        <v>0</v>
      </c>
      <c r="BL118" s="560">
        <f t="shared" si="291"/>
        <v>0</v>
      </c>
      <c r="BM118" s="560">
        <f>IF(OR(Sheet1!EP120="FM", Sheet1!EP120="OTHER"),SUM(Sheet1!BG120:'Sheet1'!BI120),0)</f>
        <v>0</v>
      </c>
      <c r="BN118" s="545">
        <f>IF(AND($B118&gt;=$FV118,$B118&lt;=$FW118),MAX(BF118,Sheet1!EI120,0),MAX(BF118-(7/36)*$K118,0))</f>
        <v>0</v>
      </c>
      <c r="BO118" s="560">
        <f t="shared" si="292"/>
        <v>12.568888888888889</v>
      </c>
      <c r="BP118" s="545">
        <f t="shared" si="293"/>
        <v>0</v>
      </c>
      <c r="BQ118" s="545">
        <f>IF(AND($O118&gt;0,Sheet1!EM120=1),(1-($O118-Sheet1!$L120)/$O118)*BL118,0)</f>
        <v>0</v>
      </c>
      <c r="BR118" s="545">
        <f>IF(AND(Sheet1!$L120=0,Sheet1!$L119=0, Calculation!BK118&lt;Sheet1!$EI120-0.1,Sheet1!$EI120=Sheet1!$EI119,Sheet1!$EI120=Sheet1!$EI121),Sheet1!$EI120,BL118-BQ118)</f>
        <v>0</v>
      </c>
      <c r="BS118" s="560"/>
      <c r="BT118" s="560"/>
      <c r="BU118" s="560">
        <f t="shared" si="294"/>
        <v>703.85777777777696</v>
      </c>
      <c r="BV118" s="560"/>
      <c r="BW118" s="560">
        <f ca="1">IF(B118&gt;Summary!$A$1,#N/A,BU118*MGtoAF)</f>
        <v>2159.4356622222199</v>
      </c>
      <c r="BX118" s="560">
        <f>Sheet1!BC120+Sheet1!BD120+Sheet1!BE120+Sheet1!BF120-CG118-CH118</f>
        <v>2.5</v>
      </c>
      <c r="BY118" s="560">
        <f t="shared" si="295"/>
        <v>2.494131455399061</v>
      </c>
      <c r="BZ118" s="560">
        <f>IF(Sheet1!EQ120="FM",CH118,0)</f>
        <v>0</v>
      </c>
      <c r="CA118" s="560">
        <f t="shared" si="296"/>
        <v>0</v>
      </c>
      <c r="CB118" s="560">
        <f>IF(Sheet1!EQ120="OTHER",CH118,0)</f>
        <v>0</v>
      </c>
      <c r="CC118" s="560">
        <f t="shared" si="297"/>
        <v>0</v>
      </c>
      <c r="CD118" s="560">
        <f t="shared" si="298"/>
        <v>0</v>
      </c>
      <c r="CE118" s="560">
        <f t="shared" si="299"/>
        <v>2.5</v>
      </c>
      <c r="CF118" s="560">
        <f t="shared" si="300"/>
        <v>2.494131455399061</v>
      </c>
      <c r="CG118" s="560">
        <f>IF(Sheet1!EQ120="CWA",SUM(Sheet1!BC120:'Sheet1'!BF120),0)</f>
        <v>0</v>
      </c>
      <c r="CH118" s="560">
        <f>IF(OR(Sheet1!EQ120="FM", Sheet1!EQ120="OTHER"),SUM(Sheet1!BC120:'Sheet1'!BF120),0)</f>
        <v>0</v>
      </c>
      <c r="CI118" s="545">
        <f>IF(AND($B118&gt;=$FV118,$B118&lt;=$FW118),MAX(CF118,Sheet1!EJ120,0),MAX(CF118-(7/36)*$K118,0))</f>
        <v>0</v>
      </c>
      <c r="CJ118" s="560">
        <f t="shared" si="301"/>
        <v>10.074757433489829</v>
      </c>
      <c r="CK118" s="545">
        <f t="shared" si="302"/>
        <v>2.494131455399061</v>
      </c>
      <c r="CL118" s="545">
        <f>IF(AND($O118&gt;0,Sheet1!EN120=1),(1-($O118-Sheet1!$L120)/$O118)*CF118,0)</f>
        <v>0</v>
      </c>
      <c r="CM118" s="545">
        <f>IF(AND(Sheet1!$L120=0,Sheet1!$L119=0, Calculation!CE118&lt;Sheet1!EJ120-0.1,Sheet1!EJ120=Sheet1!EJ119,Sheet1!EJ120=Sheet1!EJ121),Sheet1!EJ120,CF118-CL118)</f>
        <v>2.494131455399061</v>
      </c>
      <c r="CN118" s="545"/>
      <c r="CO118" s="560"/>
      <c r="CP118" s="560">
        <f t="shared" si="303"/>
        <v>556.50802949333593</v>
      </c>
      <c r="CQ118" s="560"/>
      <c r="CR118" s="560">
        <f ca="1">IF(B118&gt;Summary!$A$1,#N/A,CP118*MGtoAF)</f>
        <v>1707.3666344855546</v>
      </c>
      <c r="CS118" s="560">
        <f>Sheet1!BK120+Sheet1!BL120+Sheet1!BM120-Sheet1!ER120-DA118</f>
        <v>6.0600000000000005</v>
      </c>
      <c r="CT118" s="560">
        <f t="shared" si="304"/>
        <v>6.045774647887324</v>
      </c>
      <c r="CU118" s="560">
        <f>IF(Sheet1!ER120="FM",DA118,0)</f>
        <v>0</v>
      </c>
      <c r="CV118" s="560">
        <f t="shared" si="305"/>
        <v>0</v>
      </c>
      <c r="CW118" s="560">
        <f>IF(Sheet1!ER120="OTHER",DA118,0)</f>
        <v>0</v>
      </c>
      <c r="CX118" s="560">
        <f t="shared" si="306"/>
        <v>0</v>
      </c>
      <c r="CY118" s="560">
        <f t="shared" si="307"/>
        <v>6.0600000000000005</v>
      </c>
      <c r="CZ118" s="560">
        <f t="shared" si="308"/>
        <v>6.045774647887324</v>
      </c>
      <c r="DA118" s="560">
        <f>IF(OR(Sheet1!ER120="FM", Sheet1!ER120="OTHER"),SUM(Sheet1!BK120:'Sheet1'!BM120),0)</f>
        <v>0</v>
      </c>
      <c r="DB118" s="545">
        <f>IF(AND($B118&gt;=$FV118,$B118&lt;=$FW118),MAX($CT118,Sheet1!EK120,0),MAX($CT118-(7/36)*$K118,0))</f>
        <v>0</v>
      </c>
      <c r="DC118" s="560">
        <f t="shared" si="309"/>
        <v>6.523114241001565</v>
      </c>
      <c r="DD118" s="545">
        <f t="shared" si="310"/>
        <v>6.045774647887324</v>
      </c>
      <c r="DE118" s="545">
        <f>IF(AND($O118&gt;0,Sheet1!EO120=1),(1-($O118-Sheet1!$L120)/$O118)*CZ118,0)</f>
        <v>0</v>
      </c>
      <c r="DF118" s="545">
        <f>IF(AND(Sheet1!$L120=0,Sheet1!$L119=0, Calculation!CY118&lt;Sheet1!$EK120-0.1,Sheet1!$EK120=Sheet1!$EK119,Sheet1!$EK120=Sheet1!$EK121),Sheet1!$EK120,CZ118-DE118)</f>
        <v>6.045774647887324</v>
      </c>
      <c r="DG118" s="545"/>
      <c r="DH118" s="560">
        <f t="shared" si="311"/>
        <v>8.56</v>
      </c>
      <c r="DI118" s="560">
        <f t="shared" si="312"/>
        <v>394.91880598284024</v>
      </c>
      <c r="DJ118" s="698">
        <f t="shared" si="313"/>
        <v>8.5399061032863841</v>
      </c>
      <c r="DK118" s="560">
        <f ca="1">IF(B118&gt;Summary!$A$1,#N/A,DI118*MGtoAF)</f>
        <v>1211.6108967553539</v>
      </c>
      <c r="DL118" s="698">
        <f t="shared" si="314"/>
        <v>8.56</v>
      </c>
      <c r="DM118" s="560">
        <f t="shared" si="315"/>
        <v>25.560000000000002</v>
      </c>
      <c r="DN118" s="560">
        <f>Sheet1!AB120-DM118</f>
        <v>-6.0000000000002274E-2</v>
      </c>
      <c r="DO118" s="823">
        <f t="shared" si="316"/>
        <v>-2.3474178403756758E-3</v>
      </c>
      <c r="DP118" s="560">
        <f>(VLOOKUP(Sheet1!DC120,hhdcap_wcm,4)-(((VLOOKUP(Sheet1!DC120,hhdcap_wcm,3)-Sheet1!DC120)/(VLOOKUP(Sheet1!DC120,hhdcap_wcm,3)-VLOOKUP(Sheet1!DC120,hhdcap_wcm,1)))*(VLOOKUP(Sheet1!DC120,hhdcap_wcm,4)-VLOOKUP(Sheet1!DC120,hhdcap_wcm,2))))</f>
        <v>33282.60000008416</v>
      </c>
      <c r="DQ118" s="560">
        <f t="shared" si="317"/>
        <v>1368.8000000019492</v>
      </c>
      <c r="DR118" s="560">
        <f t="shared" si="318"/>
        <v>690.26727181137119</v>
      </c>
      <c r="DS118" s="560">
        <f>Sheet1!EA120*AFtoMG</f>
        <v>0</v>
      </c>
      <c r="DT118" s="560">
        <f>Sheet1!EB120*AFtoMG</f>
        <v>0</v>
      </c>
      <c r="DU118" s="560">
        <f>Sheet1!EC120*AFtoMG</f>
        <v>0</v>
      </c>
      <c r="DV118" s="560">
        <f>Sheet1!ED120*AFtoMG</f>
        <v>0</v>
      </c>
      <c r="DW118" s="560">
        <f t="shared" si="319"/>
        <v>0</v>
      </c>
      <c r="DX118" s="560">
        <f t="shared" si="320"/>
        <v>0</v>
      </c>
      <c r="DY118" s="560">
        <f t="shared" si="321"/>
        <v>3163.5512799206199</v>
      </c>
      <c r="DZ118" s="560">
        <f t="shared" si="322"/>
        <v>9705.7753267964617</v>
      </c>
      <c r="EA118" s="560"/>
      <c r="EB118" s="545">
        <f>IF(OR(B118&lt;FV118,B118&gt;FW118),(MIN(BF118+BY118+CT118+MAX(Sheet1!AA120+AQ118-73,0),K118)),0)</f>
        <v>8.5399061032863841</v>
      </c>
      <c r="EC118" s="560"/>
      <c r="ED118" s="560">
        <f t="shared" si="323"/>
        <v>8.5399061032863841</v>
      </c>
      <c r="EE118" s="560"/>
      <c r="EF118" s="560">
        <f>Sheet1!EH120+Sheet1!EI120+Sheet1!EJ120+Sheet1!EK120</f>
        <v>8.56</v>
      </c>
      <c r="EG118" s="560"/>
      <c r="EH118" s="545">
        <f t="shared" si="324"/>
        <v>0</v>
      </c>
      <c r="EI118" s="560">
        <f>IF(Sheet1!ET120=1,SUM('Calculations II'!AT118:BA118)+'Calculations II'!BC118+Sheet1!BV120+'Calculations II'!BE118+AP118,SUM('Calculations II'!AT118:BA118)+'Calculations II'!BC118+Sheet1!BV120+'Calculations II'!BE118+AP118)</f>
        <v>50.171280000000003</v>
      </c>
      <c r="EJ118" s="560">
        <f>Sheet1!AA120+Sheet1!AB120+'Calculations II'!BC118</f>
        <v>58.204671999999995</v>
      </c>
      <c r="EK118" s="560"/>
      <c r="EL118" s="560"/>
      <c r="EM118" s="560">
        <f t="shared" si="325"/>
        <v>41746</v>
      </c>
      <c r="EN118" s="560">
        <f t="shared" si="326"/>
        <v>56.100093896713616</v>
      </c>
      <c r="EO118" s="560">
        <f t="shared" si="327"/>
        <v>86.786845258215962</v>
      </c>
      <c r="EP118" s="560">
        <v>0</v>
      </c>
      <c r="EQ118" s="560">
        <v>0</v>
      </c>
      <c r="ER118" s="560">
        <v>0</v>
      </c>
      <c r="ES118" s="545">
        <f t="shared" si="247"/>
        <v>-5.5379813633467849</v>
      </c>
      <c r="ET118" s="560">
        <f>-(VLOOKUP(Sheet1!BQ120,Lookup!$O$4:$Q$262,2)-VLOOKUP(Sheet1!BQ119,Lookup!$O$4:$Q$262,2))/1000000</f>
        <v>-2.7689906816733925</v>
      </c>
      <c r="EU118" s="560">
        <f>-(VLOOKUP(Sheet1!BR120,Lookup!$O$4:$Q$262,3)-VLOOKUP(Sheet1!BR119,Lookup!$O$4:$Q$262,3))/1000000</f>
        <v>-2.7689906816733925</v>
      </c>
      <c r="EV118" s="560"/>
      <c r="EW118" s="560"/>
      <c r="EX118" s="560"/>
      <c r="EY118" s="560"/>
      <c r="EZ118" s="560"/>
      <c r="FA118" s="560"/>
      <c r="FB118" s="560"/>
      <c r="FC118" s="560"/>
      <c r="FD118" s="594" t="e">
        <f t="shared" si="328"/>
        <v>#N/A</v>
      </c>
      <c r="FE118" s="594" t="e">
        <f t="shared" si="329"/>
        <v>#N/A</v>
      </c>
      <c r="FF118" s="595" t="e">
        <f t="shared" si="330"/>
        <v>#N/A</v>
      </c>
      <c r="FG118" s="596" t="s">
        <v>692</v>
      </c>
      <c r="FH118" s="596" t="s">
        <v>692</v>
      </c>
      <c r="FI118" s="594" t="e">
        <v>#N/A</v>
      </c>
      <c r="FJ118" s="594" t="e">
        <v>#N/A</v>
      </c>
      <c r="FK118" s="560"/>
      <c r="FL118" s="560"/>
      <c r="FM118" s="560"/>
      <c r="FN118" s="560"/>
      <c r="FO118" s="560">
        <f>O118+((Sheet1!CS120)*GPMtoMGD)</f>
        <v>58.204671999999995</v>
      </c>
      <c r="FP118" s="560">
        <f>IF(Sheet1!AA120+AQ118&lt;=Calculation!N118,AQ118,Calculation!N118-Sheet1!AA120)</f>
        <v>15.363849765258214</v>
      </c>
      <c r="FQ118" s="560">
        <f>(Sheet1!BP120+Sheet1!BO120)/694.4</f>
        <v>1.4773905529953919</v>
      </c>
      <c r="FR118" s="560"/>
      <c r="FS118" s="560"/>
      <c r="FT118" s="560"/>
      <c r="FU118" s="560"/>
      <c r="FV118" s="695">
        <f t="shared" si="248"/>
        <v>41827</v>
      </c>
      <c r="FW118" s="695">
        <f t="shared" si="249"/>
        <v>41934</v>
      </c>
      <c r="FX118" s="560"/>
      <c r="FY118" s="560"/>
      <c r="FZ118" s="560"/>
      <c r="GA118" s="560"/>
      <c r="GB118" s="560" t="str">
        <f t="shared" si="250"/>
        <v>n</v>
      </c>
      <c r="GC118" s="564">
        <f t="shared" si="251"/>
        <v>41691</v>
      </c>
      <c r="GD118" s="695">
        <f t="shared" si="252"/>
        <v>41807</v>
      </c>
      <c r="GE118" s="560">
        <v>6518.9</v>
      </c>
      <c r="GF118" s="695">
        <f t="shared" si="253"/>
        <v>41808</v>
      </c>
      <c r="GG118" s="560">
        <f t="shared" si="272"/>
        <v>3259</v>
      </c>
      <c r="GH118" s="564">
        <f t="shared" si="254"/>
        <v>41934</v>
      </c>
      <c r="GJ118" s="545">
        <f t="shared" si="255"/>
        <v>0</v>
      </c>
      <c r="GK118" s="560" t="str">
        <f t="shared" si="331"/>
        <v/>
      </c>
      <c r="GL118" s="560">
        <f t="shared" si="256"/>
        <v>0</v>
      </c>
      <c r="GM118" s="560" t="str">
        <f t="shared" si="257"/>
        <v/>
      </c>
      <c r="GN118" s="560">
        <f>IF(GK118="P",Lookup!$M$12,IF(GK118="PP",Lookup!$M$13,IF(GK118="PPP",Lookup!$M$14,IF(GK118="T",Lookup!$M$15,IF(GK118="TP",Lookup!$M$16,IF(GK118="TPP",Lookup!$M$17,IF(GK118="TPPP",Lookup!$M$18,0)))))))*GJ118</f>
        <v>0</v>
      </c>
      <c r="GO118" s="560">
        <f t="shared" si="258"/>
        <v>0</v>
      </c>
      <c r="GP118" s="560">
        <f t="shared" si="332"/>
        <v>4627.3621333333331</v>
      </c>
      <c r="GQ118" s="560">
        <f t="shared" si="266"/>
        <v>1508.2666666666667</v>
      </c>
      <c r="GR118" s="560"/>
      <c r="GS118" s="560">
        <f t="shared" si="259"/>
        <v>0</v>
      </c>
      <c r="GT118" s="560" t="str">
        <f t="shared" si="260"/>
        <v/>
      </c>
      <c r="GU118" s="560">
        <f>IF(GK118="P",Lookup!$N$12,IF(GK118="PP",Lookup!$N$13,IF(GK118="PPP",Lookup!$N$14,IF(GK118="T",Lookup!$N$15,IF(GK118="TP",Lookup!$N$16,IF(GK118="TPP",Lookup!$N$17,IF(GK118="TPPP",Lookup!$N$18,0)))))))*GJ118</f>
        <v>0</v>
      </c>
      <c r="GV118" s="560">
        <f t="shared" si="261"/>
        <v>0</v>
      </c>
      <c r="GW118" s="560">
        <f t="shared" si="333"/>
        <v>2159.4356622222199</v>
      </c>
      <c r="GX118" s="560">
        <f t="shared" si="267"/>
        <v>703.85777777777696</v>
      </c>
      <c r="GY118" s="560"/>
      <c r="GZ118" s="560">
        <f t="shared" si="262"/>
        <v>0</v>
      </c>
      <c r="HA118" s="560" t="str">
        <f t="shared" si="263"/>
        <v/>
      </c>
      <c r="HB118" s="560">
        <f>IF(GK118="P",Lookup!$N$12,IF(GK118="PP",Lookup!$N$13,IF(GK118="PPP",Lookup!$N$14,IF(GK118="T",Lookup!$N$15,IF(GK118="TP",Lookup!$N$16,IF(GK118="TPP",Lookup!$N$17,IF(GK118="TPPP",Lookup!$N$18,0)))))))*GJ118</f>
        <v>0</v>
      </c>
      <c r="HC118" s="545">
        <f t="shared" si="334"/>
        <v>0</v>
      </c>
      <c r="HD118" s="560">
        <f t="shared" si="335"/>
        <v>1707.3666344855546</v>
      </c>
      <c r="HE118" s="560">
        <f t="shared" si="268"/>
        <v>556.50802949333593</v>
      </c>
      <c r="HF118" s="560"/>
      <c r="HG118" s="560">
        <f t="shared" si="264"/>
        <v>0</v>
      </c>
      <c r="HH118" s="560" t="str">
        <f t="shared" si="265"/>
        <v/>
      </c>
      <c r="HI118" s="560">
        <f>IF(GK118="P",Lookup!$N$12,IF(GK118="PP",Lookup!$N$13,IF(GK118="PPP",Lookup!$N$14,IF(GK118="T",Lookup!$N$15,IF(GK118="TP",Lookup!$N$16,IF(GK118="TPP",Lookup!$N$17,IF(GK118="TPPP",Lookup!$N$18,0)))))))*GJ118</f>
        <v>0</v>
      </c>
      <c r="HJ118" s="545">
        <f t="shared" si="336"/>
        <v>0</v>
      </c>
      <c r="HK118" s="560">
        <f t="shared" si="337"/>
        <v>1211.6108967553539</v>
      </c>
      <c r="HL118" s="560">
        <f t="shared" si="269"/>
        <v>394.91880598284024</v>
      </c>
      <c r="HM118" s="560"/>
    </row>
    <row r="119" spans="1:221">
      <c r="A119" s="580" t="s">
        <v>8</v>
      </c>
      <c r="B119" s="556">
        <v>41747</v>
      </c>
      <c r="C119" s="561">
        <v>0</v>
      </c>
      <c r="D119" s="529">
        <f t="shared" si="270"/>
        <v>300</v>
      </c>
      <c r="E119" s="529">
        <f t="shared" si="271"/>
        <v>250</v>
      </c>
      <c r="F119" s="529">
        <v>250</v>
      </c>
      <c r="G119" s="560">
        <f>DR119+Sheet1!CZ121</f>
        <v>2397.2465960679128</v>
      </c>
      <c r="H119" s="914">
        <f t="shared" si="236"/>
        <v>1282.6169996982987</v>
      </c>
      <c r="I119" s="559">
        <f>MAX(Sheet1!Z121-AT119+(Sheet1!DA121-E119)*CFStoMGD,0)</f>
        <v>1757.8519999999999</v>
      </c>
      <c r="J119" s="562">
        <f>IF(AND(B119&gt;=Calculation!GC119,B119&lt;=Calculation!GD119),IF(Sheet1!DB121&gt;=Calculation!D119,64.64,0),MAX(Sheet1!Z121-AT119+(Sheet1!DB121-D119)*CFStoMGD,0))</f>
        <v>64.64</v>
      </c>
      <c r="K119" s="904">
        <f t="shared" si="273"/>
        <v>64.64</v>
      </c>
      <c r="L119" s="560">
        <f>Sheet1!AA121+Sheet1!AB121-Sheet1!L121+(Sheet1!DA121-F119)*CFStoMGD</f>
        <v>1732.3519999999999</v>
      </c>
      <c r="M119" s="560">
        <f t="shared" si="274"/>
        <v>1580.5718036922649</v>
      </c>
      <c r="N119" s="910">
        <f>IF(Sheet1!DA121&gt;=F119,MIN(73,MIN(MAX(L119,0),MAX(M119,0))),0)</f>
        <v>73</v>
      </c>
      <c r="O119" s="563">
        <f>Sheet1!AA121+Sheet1!AB121</f>
        <v>46.3</v>
      </c>
      <c r="P119" s="563">
        <f t="shared" si="275"/>
        <v>71.626100000000008</v>
      </c>
      <c r="Q119" s="898">
        <f t="shared" si="237"/>
        <v>37.67</v>
      </c>
      <c r="R119" s="829">
        <f t="shared" si="276"/>
        <v>8.6198985563792441</v>
      </c>
      <c r="S119" s="898">
        <f t="shared" si="238"/>
        <v>8.629999999999999</v>
      </c>
      <c r="T119" s="898">
        <f t="shared" si="239"/>
        <v>56.010000000000005</v>
      </c>
      <c r="U119" s="898">
        <f t="shared" si="240"/>
        <v>0</v>
      </c>
      <c r="V119" s="898"/>
      <c r="W119" s="898">
        <f t="shared" si="241"/>
        <v>56.02010144362076</v>
      </c>
      <c r="X119" s="898">
        <f t="shared" si="242"/>
        <v>64.64</v>
      </c>
      <c r="Y119" s="898" t="str">
        <f t="shared" si="243"/>
        <v>FALSE</v>
      </c>
      <c r="Z119" s="898">
        <f t="shared" si="244"/>
        <v>46.3</v>
      </c>
      <c r="AA119" s="898">
        <f t="shared" si="245"/>
        <v>46.3</v>
      </c>
      <c r="AB119" s="898" t="str">
        <f t="shared" si="246"/>
        <v/>
      </c>
      <c r="AC119" s="563">
        <f>Sheet1!Y121*MGDtoCFS</f>
        <v>32.084779999999995</v>
      </c>
      <c r="AD119" s="563">
        <f>Sheet1!Z121*MGDtoCFS</f>
        <v>39.448499999999996</v>
      </c>
      <c r="AE119" s="563">
        <f>Sheet1!AA121*MGDtoCFS</f>
        <v>32.0229</v>
      </c>
      <c r="AF119" s="563">
        <f>Sheet1!AB121*MGDtoCFS</f>
        <v>39.603200000000001</v>
      </c>
      <c r="AG119" s="563">
        <f>Sheet1!L121*MGDtoCFS</f>
        <v>71.626099999999994</v>
      </c>
      <c r="AH119" s="545">
        <f t="shared" si="277"/>
        <v>0</v>
      </c>
      <c r="AI119" s="560">
        <f t="shared" si="278"/>
        <v>0</v>
      </c>
      <c r="AJ119" s="560">
        <f t="shared" si="279"/>
        <v>56.02010144362076</v>
      </c>
      <c r="AK119" s="560">
        <f t="shared" si="280"/>
        <v>86.663096933281309</v>
      </c>
      <c r="AL119" s="560">
        <f>(VLOOKUP(Sheet1!DC121,hhdcap_wcm,4)-(((VLOOKUP(Sheet1!DC121,hhdcap_wcm,3)-Sheet1!DC121)/(VLOOKUP(Sheet1!DC121,hhdcap_wcm,3)-VLOOKUP(Sheet1!DC121,hhdcap_wcm,1)))*(VLOOKUP(Sheet1!DC121,hhdcap_wcm,4)-VLOOKUP(Sheet1!DC121,hhdcap_wcm,2))))</f>
        <v>34110.000000086831</v>
      </c>
      <c r="AM119" s="560">
        <f t="shared" si="281"/>
        <v>827.40000000267173</v>
      </c>
      <c r="AN119" s="560">
        <f t="shared" si="282"/>
        <v>3219.571381364241</v>
      </c>
      <c r="AO119" s="560">
        <f t="shared" si="283"/>
        <v>9877.6449980254911</v>
      </c>
      <c r="AP119" s="560">
        <f>Sheet1!BA121+Sheet1!BB121+Sheet1!BN121+CD119</f>
        <v>17</v>
      </c>
      <c r="AQ119" s="560">
        <f>Sheet1!BN121+(DO119*Sheet1!BN121)</f>
        <v>15.38197424892704</v>
      </c>
      <c r="AR119" s="560">
        <f>Sheet1!BA121+CD119</f>
        <v>0</v>
      </c>
      <c r="AS119" s="560">
        <f>Sheet1!BA121+Sheet1!BB121+CD119</f>
        <v>1.6</v>
      </c>
      <c r="AT119" s="698">
        <f>0</f>
        <v>0</v>
      </c>
      <c r="AU119" s="560">
        <f>IF(EB119&lt;K119,0,MAX(Sheet1!AA121+AQ119-15/36*K119-N119,Sheet1!EH121,0))</f>
        <v>0</v>
      </c>
      <c r="AV119" s="560">
        <f>IF(OR(B119&gt;=GD119,B119&lt;GC119),0,15/36*K119-MAX(0,64.6-(137.6-(Sheet1!AA121+Sheet1!AB121))))</f>
        <v>26.933333333333334</v>
      </c>
      <c r="AW119" s="698">
        <f>Sheet1!DB121-110</f>
        <v>1920</v>
      </c>
      <c r="AX119" s="698">
        <f>Sheet1!DA121-265</f>
        <v>2665</v>
      </c>
      <c r="AY119" s="698">
        <f t="shared" si="284"/>
        <v>35.33</v>
      </c>
      <c r="AZ119" s="698">
        <v>0</v>
      </c>
      <c r="BA119" s="698">
        <f t="shared" si="285"/>
        <v>0</v>
      </c>
      <c r="BB119" s="560">
        <f t="shared" si="286"/>
        <v>1535.2</v>
      </c>
      <c r="BC119" s="560"/>
      <c r="BD119" s="560">
        <f ca="1">IF(B119&gt;Summary!$A$1,#N/A,BB119*MGtoAF)</f>
        <v>4709.9935999999998</v>
      </c>
      <c r="BE119" s="560">
        <f>Sheet1!BG121+Sheet1!BH121+Sheet1!BI121-BM119</f>
        <v>0</v>
      </c>
      <c r="BF119" s="560">
        <f t="shared" si="287"/>
        <v>0</v>
      </c>
      <c r="BG119" s="560">
        <f>IF(Sheet1!EP121="FM",BM119,0)</f>
        <v>0</v>
      </c>
      <c r="BH119" s="560">
        <f t="shared" si="288"/>
        <v>0</v>
      </c>
      <c r="BI119" s="560">
        <f>IF(Sheet1!EP121="OTHER",BM119,0)</f>
        <v>0</v>
      </c>
      <c r="BJ119" s="560">
        <f t="shared" si="289"/>
        <v>0</v>
      </c>
      <c r="BK119" s="560">
        <f t="shared" si="290"/>
        <v>0</v>
      </c>
      <c r="BL119" s="560">
        <f t="shared" si="291"/>
        <v>0</v>
      </c>
      <c r="BM119" s="560">
        <f>IF(OR(Sheet1!EP121="FM", Sheet1!EP121="OTHER"),SUM(Sheet1!BG121:'Sheet1'!BI121),0)</f>
        <v>0</v>
      </c>
      <c r="BN119" s="545">
        <f>IF(AND($B119&gt;=$FV119,$B119&lt;=$FW119),MAX(BF119,Sheet1!EI121,0),MAX(BF119-(7/36)*$K119,0))</f>
        <v>0</v>
      </c>
      <c r="BO119" s="560">
        <f t="shared" si="292"/>
        <v>12.568888888888889</v>
      </c>
      <c r="BP119" s="545">
        <f t="shared" si="293"/>
        <v>0</v>
      </c>
      <c r="BQ119" s="545">
        <f>IF(AND($O119&gt;0,Sheet1!EM121=1),(1-($O119-Sheet1!$L121)/$O119)*BL119,0)</f>
        <v>0</v>
      </c>
      <c r="BR119" s="545">
        <f>IF(AND(Sheet1!$L121=0,Sheet1!$L120=0, Calculation!BK119&lt;Sheet1!$EI121-0.1,Sheet1!$EI121=Sheet1!$EI120,Sheet1!$EI121=Sheet1!$EI122),Sheet1!$EI121,BL119-BQ119)</f>
        <v>0</v>
      </c>
      <c r="BS119" s="560"/>
      <c r="BT119" s="560"/>
      <c r="BU119" s="560">
        <f t="shared" si="294"/>
        <v>716.42666666666582</v>
      </c>
      <c r="BV119" s="560"/>
      <c r="BW119" s="560">
        <f ca="1">IF(B119&gt;Summary!$A$1,#N/A,BU119*MGtoAF)</f>
        <v>2197.9970133333309</v>
      </c>
      <c r="BX119" s="560">
        <f>Sheet1!BC121+Sheet1!BD121+Sheet1!BE121+Sheet1!BF121-CG119-CH119</f>
        <v>2.5</v>
      </c>
      <c r="BY119" s="560">
        <f t="shared" si="295"/>
        <v>2.497073741708935</v>
      </c>
      <c r="BZ119" s="560">
        <f>IF(Sheet1!EQ121="FM",CH119,0)</f>
        <v>0</v>
      </c>
      <c r="CA119" s="560">
        <f t="shared" si="296"/>
        <v>0</v>
      </c>
      <c r="CB119" s="560">
        <f>IF(Sheet1!EQ121="OTHER",CH119,0)</f>
        <v>0</v>
      </c>
      <c r="CC119" s="560">
        <f t="shared" si="297"/>
        <v>0</v>
      </c>
      <c r="CD119" s="560">
        <f t="shared" si="298"/>
        <v>0</v>
      </c>
      <c r="CE119" s="560">
        <f t="shared" si="299"/>
        <v>2.5</v>
      </c>
      <c r="CF119" s="560">
        <f t="shared" si="300"/>
        <v>2.497073741708935</v>
      </c>
      <c r="CG119" s="560">
        <f>IF(Sheet1!EQ121="CWA",SUM(Sheet1!BC121:'Sheet1'!BF121),0)</f>
        <v>0</v>
      </c>
      <c r="CH119" s="560">
        <f>IF(OR(Sheet1!EQ121="FM", Sheet1!EQ121="OTHER"),SUM(Sheet1!BC121:'Sheet1'!BF121),0)</f>
        <v>0</v>
      </c>
      <c r="CI119" s="545">
        <f>IF(AND($B119&gt;=$FV119,$B119&lt;=$FW119),MAX(CF119,Sheet1!EJ121,0),MAX(CF119-(7/36)*$K119,0))</f>
        <v>0</v>
      </c>
      <c r="CJ119" s="560">
        <f t="shared" si="301"/>
        <v>10.071815147179954</v>
      </c>
      <c r="CK119" s="545">
        <f t="shared" si="302"/>
        <v>2.497073741708935</v>
      </c>
      <c r="CL119" s="545">
        <f>IF(AND($O119&gt;0,Sheet1!EN121=1),(1-($O119-Sheet1!$L121)/$O119)*CF119,0)</f>
        <v>0</v>
      </c>
      <c r="CM119" s="545">
        <f>IF(AND(Sheet1!$L121=0,Sheet1!$L120=0, Calculation!CE119&lt;Sheet1!EJ121-0.1,Sheet1!EJ121=Sheet1!EJ120,Sheet1!EJ121=Sheet1!EJ122),Sheet1!EJ121,CF119-CL119)</f>
        <v>2.497073741708935</v>
      </c>
      <c r="CN119" s="545"/>
      <c r="CO119" s="560"/>
      <c r="CP119" s="560">
        <f t="shared" si="303"/>
        <v>566.57984464051583</v>
      </c>
      <c r="CQ119" s="560"/>
      <c r="CR119" s="560">
        <f ca="1">IF(B119&gt;Summary!$A$1,#N/A,CP119*MGtoAF)</f>
        <v>1738.2669633571027</v>
      </c>
      <c r="CS119" s="560">
        <f>Sheet1!BK121+Sheet1!BL121+Sheet1!BM121-Sheet1!ER121-DA119</f>
        <v>6.13</v>
      </c>
      <c r="CT119" s="560">
        <f t="shared" si="304"/>
        <v>6.1228248146703086</v>
      </c>
      <c r="CU119" s="560">
        <f>IF(Sheet1!ER121="FM",DA119,0)</f>
        <v>0</v>
      </c>
      <c r="CV119" s="560">
        <f t="shared" si="305"/>
        <v>0</v>
      </c>
      <c r="CW119" s="560">
        <f>IF(Sheet1!ER121="OTHER",DA119,0)</f>
        <v>0</v>
      </c>
      <c r="CX119" s="560">
        <f t="shared" si="306"/>
        <v>0</v>
      </c>
      <c r="CY119" s="560">
        <f t="shared" si="307"/>
        <v>6.13</v>
      </c>
      <c r="CZ119" s="560">
        <f t="shared" si="308"/>
        <v>6.1228248146703086</v>
      </c>
      <c r="DA119" s="560">
        <f>IF(OR(Sheet1!ER121="FM", Sheet1!ER121="OTHER"),SUM(Sheet1!BK121:'Sheet1'!BM121),0)</f>
        <v>0</v>
      </c>
      <c r="DB119" s="545">
        <f>IF(AND($B119&gt;=$FV119,$B119&lt;=$FW119),MAX($CT119,Sheet1!EK121,0),MAX($CT119-(7/36)*$K119,0))</f>
        <v>0</v>
      </c>
      <c r="DC119" s="560">
        <f t="shared" si="309"/>
        <v>6.4460640742185804</v>
      </c>
      <c r="DD119" s="545">
        <f t="shared" si="310"/>
        <v>6.1228248146703086</v>
      </c>
      <c r="DE119" s="545">
        <f>IF(AND($O119&gt;0,Sheet1!EO121=1),(1-($O119-Sheet1!$L121)/$O119)*CZ119,0)</f>
        <v>0</v>
      </c>
      <c r="DF119" s="545">
        <f>IF(AND(Sheet1!$L121=0,Sheet1!$L120=0, Calculation!CY119&lt;Sheet1!$EK121-0.1,Sheet1!$EK121=Sheet1!$EK120,Sheet1!$EK121=Sheet1!$EK122),Sheet1!$EK121,CZ119-DE119)</f>
        <v>6.1228248146703086</v>
      </c>
      <c r="DG119" s="545"/>
      <c r="DH119" s="560">
        <f t="shared" si="311"/>
        <v>8.629999999999999</v>
      </c>
      <c r="DI119" s="560">
        <f t="shared" si="312"/>
        <v>401.36487005705879</v>
      </c>
      <c r="DJ119" s="698">
        <f t="shared" si="313"/>
        <v>8.6198985563792441</v>
      </c>
      <c r="DK119" s="560">
        <f ca="1">IF(B119&gt;Summary!$A$1,#N/A,DI119*MGtoAF)</f>
        <v>1231.3874213350564</v>
      </c>
      <c r="DL119" s="698">
        <f t="shared" si="314"/>
        <v>8.629999999999999</v>
      </c>
      <c r="DM119" s="560">
        <f t="shared" si="315"/>
        <v>25.63</v>
      </c>
      <c r="DN119" s="560">
        <f>Sheet1!AB121-DM119</f>
        <v>-2.9999999999997584E-2</v>
      </c>
      <c r="DO119" s="823">
        <f t="shared" si="316"/>
        <v>-1.170503316425969E-3</v>
      </c>
      <c r="DP119" s="560">
        <f>(VLOOKUP(Sheet1!DC121,hhdcap_wcm,4)-(((VLOOKUP(Sheet1!DC121,hhdcap_wcm,3)-Sheet1!DC121)/(VLOOKUP(Sheet1!DC121,hhdcap_wcm,3)-VLOOKUP(Sheet1!DC121,hhdcap_wcm,1)))*(VLOOKUP(Sheet1!DC121,hhdcap_wcm,4)-VLOOKUP(Sheet1!DC121,hhdcap_wcm,2))))</f>
        <v>34110.000000086831</v>
      </c>
      <c r="DQ119" s="560">
        <f t="shared" si="317"/>
        <v>827.40000000267173</v>
      </c>
      <c r="DR119" s="560">
        <f t="shared" si="318"/>
        <v>417.24659606791306</v>
      </c>
      <c r="DS119" s="560">
        <f>Sheet1!EA121*AFtoMG</f>
        <v>0</v>
      </c>
      <c r="DT119" s="560">
        <f>Sheet1!EB121*AFtoMG</f>
        <v>0</v>
      </c>
      <c r="DU119" s="560">
        <f>Sheet1!EC121*AFtoMG</f>
        <v>0</v>
      </c>
      <c r="DV119" s="560">
        <f>Sheet1!ED121*AFtoMG</f>
        <v>0</v>
      </c>
      <c r="DW119" s="560">
        <f t="shared" si="319"/>
        <v>0</v>
      </c>
      <c r="DX119" s="560">
        <f t="shared" si="320"/>
        <v>0</v>
      </c>
      <c r="DY119" s="560">
        <f t="shared" si="321"/>
        <v>3219.571381364241</v>
      </c>
      <c r="DZ119" s="560">
        <f t="shared" si="322"/>
        <v>9877.6449980254911</v>
      </c>
      <c r="EA119" s="560"/>
      <c r="EB119" s="545">
        <f>IF(OR(B119&lt;FV119,B119&gt;FW119),(MIN(BF119+BY119+CT119+MAX(Sheet1!AA121+AQ119-73,0),K119)),0)</f>
        <v>8.6198985563792441</v>
      </c>
      <c r="EC119" s="560"/>
      <c r="ED119" s="560">
        <f t="shared" si="323"/>
        <v>8.6198985563792441</v>
      </c>
      <c r="EE119" s="560"/>
      <c r="EF119" s="560">
        <f>Sheet1!EH121+Sheet1!EI121+Sheet1!EJ121+Sheet1!EK121</f>
        <v>8.629999999999999</v>
      </c>
      <c r="EG119" s="560"/>
      <c r="EH119" s="545">
        <f t="shared" si="324"/>
        <v>0</v>
      </c>
      <c r="EI119" s="560">
        <f>IF(Sheet1!ET121=1,SUM('Calculations II'!AT119:BA119)+'Calculations II'!BC119+Sheet1!BV121+'Calculations II'!BE119+AP119,SUM('Calculations II'!AT119:BA119)+'Calculations II'!BC119+Sheet1!BV121+'Calculations II'!BE119+AP119)</f>
        <v>52.439984000000003</v>
      </c>
      <c r="EJ119" s="560">
        <f>Sheet1!AA121+Sheet1!AB121+'Calculations II'!BC119</f>
        <v>55.19632</v>
      </c>
      <c r="EK119" s="560"/>
      <c r="EL119" s="560"/>
      <c r="EM119" s="560">
        <f t="shared" si="325"/>
        <v>41747</v>
      </c>
      <c r="EN119" s="560">
        <f t="shared" si="326"/>
        <v>56.02010144362076</v>
      </c>
      <c r="EO119" s="560">
        <f t="shared" si="327"/>
        <v>86.663096933281309</v>
      </c>
      <c r="EP119" s="560">
        <v>0</v>
      </c>
      <c r="EQ119" s="560">
        <v>0</v>
      </c>
      <c r="ER119" s="560">
        <v>0</v>
      </c>
      <c r="ES119" s="545">
        <f t="shared" si="247"/>
        <v>-1.6623940942893252</v>
      </c>
      <c r="ET119" s="560">
        <f>-(VLOOKUP(Sheet1!BQ121,Lookup!$O$4:$Q$262,2)-VLOOKUP(Sheet1!BQ120,Lookup!$O$4:$Q$262,2))/1000000</f>
        <v>-0.83119704714466258</v>
      </c>
      <c r="EU119" s="560">
        <f>-(VLOOKUP(Sheet1!BR121,Lookup!$O$4:$Q$262,3)-VLOOKUP(Sheet1!BR120,Lookup!$O$4:$Q$262,3))/1000000</f>
        <v>-0.83119704714466258</v>
      </c>
      <c r="EV119" s="560"/>
      <c r="EW119" s="560"/>
      <c r="EX119" s="560"/>
      <c r="EY119" s="560"/>
      <c r="EZ119" s="560"/>
      <c r="FA119" s="560"/>
      <c r="FB119" s="560"/>
      <c r="FC119" s="560"/>
      <c r="FD119" s="594" t="e">
        <f t="shared" si="328"/>
        <v>#N/A</v>
      </c>
      <c r="FE119" s="594" t="e">
        <f t="shared" si="329"/>
        <v>#N/A</v>
      </c>
      <c r="FF119" s="595" t="e">
        <f t="shared" si="330"/>
        <v>#N/A</v>
      </c>
      <c r="FG119" s="596" t="s">
        <v>692</v>
      </c>
      <c r="FH119" s="596" t="s">
        <v>692</v>
      </c>
      <c r="FI119" s="594" t="e">
        <v>#N/A</v>
      </c>
      <c r="FJ119" s="594" t="e">
        <v>#N/A</v>
      </c>
      <c r="FK119" s="560"/>
      <c r="FL119" s="560"/>
      <c r="FM119" s="560"/>
      <c r="FN119" s="560"/>
      <c r="FO119" s="560">
        <f>O119+((Sheet1!CS121)*GPMtoMGD)</f>
        <v>55.19632</v>
      </c>
      <c r="FP119" s="560">
        <f>IF(Sheet1!AA121+AQ119&lt;=Calculation!N119,AQ119,Calculation!N119-Sheet1!AA121)</f>
        <v>15.38197424892704</v>
      </c>
      <c r="FQ119" s="560">
        <f>(Sheet1!BP121+Sheet1!BO121)/694.4</f>
        <v>1.4494527649769586</v>
      </c>
      <c r="FR119" s="560"/>
      <c r="FS119" s="560"/>
      <c r="FT119" s="560"/>
      <c r="FU119" s="560"/>
      <c r="FV119" s="695">
        <f t="shared" si="248"/>
        <v>41827</v>
      </c>
      <c r="FW119" s="695">
        <f t="shared" si="249"/>
        <v>41934</v>
      </c>
      <c r="FX119" s="560"/>
      <c r="FY119" s="560"/>
      <c r="FZ119" s="560"/>
      <c r="GA119" s="560"/>
      <c r="GB119" s="560" t="str">
        <f t="shared" si="250"/>
        <v>n</v>
      </c>
      <c r="GC119" s="564">
        <f t="shared" si="251"/>
        <v>41691</v>
      </c>
      <c r="GD119" s="695">
        <f t="shared" si="252"/>
        <v>41807</v>
      </c>
      <c r="GE119" s="560">
        <v>6518.9</v>
      </c>
      <c r="GF119" s="695">
        <f t="shared" si="253"/>
        <v>41808</v>
      </c>
      <c r="GG119" s="560">
        <f t="shared" si="272"/>
        <v>3259</v>
      </c>
      <c r="GH119" s="564">
        <f t="shared" si="254"/>
        <v>41934</v>
      </c>
      <c r="GJ119" s="545">
        <f t="shared" si="255"/>
        <v>0</v>
      </c>
      <c r="GK119" s="560" t="str">
        <f t="shared" si="331"/>
        <v/>
      </c>
      <c r="GL119" s="560">
        <f t="shared" si="256"/>
        <v>0</v>
      </c>
      <c r="GM119" s="560" t="str">
        <f t="shared" si="257"/>
        <v/>
      </c>
      <c r="GN119" s="560">
        <f>IF(GK119="P",Lookup!$M$12,IF(GK119="PP",Lookup!$M$13,IF(GK119="PPP",Lookup!$M$14,IF(GK119="T",Lookup!$M$15,IF(GK119="TP",Lookup!$M$16,IF(GK119="TPP",Lookup!$M$17,IF(GK119="TPPP",Lookup!$M$18,0)))))))*GJ119</f>
        <v>0</v>
      </c>
      <c r="GO119" s="560">
        <f t="shared" si="258"/>
        <v>0</v>
      </c>
      <c r="GP119" s="560">
        <f t="shared" si="332"/>
        <v>4709.9935999999998</v>
      </c>
      <c r="GQ119" s="560">
        <f t="shared" si="266"/>
        <v>1535.2</v>
      </c>
      <c r="GR119" s="560"/>
      <c r="GS119" s="560">
        <f t="shared" si="259"/>
        <v>0</v>
      </c>
      <c r="GT119" s="560" t="str">
        <f t="shared" si="260"/>
        <v/>
      </c>
      <c r="GU119" s="560">
        <f>IF(GK119="P",Lookup!$N$12,IF(GK119="PP",Lookup!$N$13,IF(GK119="PPP",Lookup!$N$14,IF(GK119="T",Lookup!$N$15,IF(GK119="TP",Lookup!$N$16,IF(GK119="TPP",Lookup!$N$17,IF(GK119="TPPP",Lookup!$N$18,0)))))))*GJ119</f>
        <v>0</v>
      </c>
      <c r="GV119" s="560">
        <f t="shared" si="261"/>
        <v>0</v>
      </c>
      <c r="GW119" s="560">
        <f t="shared" si="333"/>
        <v>2197.9970133333309</v>
      </c>
      <c r="GX119" s="560">
        <f t="shared" si="267"/>
        <v>716.42666666666582</v>
      </c>
      <c r="GY119" s="560"/>
      <c r="GZ119" s="560">
        <f t="shared" si="262"/>
        <v>0</v>
      </c>
      <c r="HA119" s="560" t="str">
        <f t="shared" si="263"/>
        <v/>
      </c>
      <c r="HB119" s="560">
        <f>IF(GK119="P",Lookup!$N$12,IF(GK119="PP",Lookup!$N$13,IF(GK119="PPP",Lookup!$N$14,IF(GK119="T",Lookup!$N$15,IF(GK119="TP",Lookup!$N$16,IF(GK119="TPP",Lookup!$N$17,IF(GK119="TPPP",Lookup!$N$18,0)))))))*GJ119</f>
        <v>0</v>
      </c>
      <c r="HC119" s="545">
        <f t="shared" si="334"/>
        <v>0</v>
      </c>
      <c r="HD119" s="560">
        <f t="shared" si="335"/>
        <v>1738.2669633571027</v>
      </c>
      <c r="HE119" s="560">
        <f t="shared" si="268"/>
        <v>566.57984464051583</v>
      </c>
      <c r="HF119" s="560"/>
      <c r="HG119" s="560">
        <f t="shared" si="264"/>
        <v>0</v>
      </c>
      <c r="HH119" s="560" t="str">
        <f t="shared" si="265"/>
        <v/>
      </c>
      <c r="HI119" s="560">
        <f>IF(GK119="P",Lookup!$N$12,IF(GK119="PP",Lookup!$N$13,IF(GK119="PPP",Lookup!$N$14,IF(GK119="T",Lookup!$N$15,IF(GK119="TP",Lookup!$N$16,IF(GK119="TPP",Lookup!$N$17,IF(GK119="TPPP",Lookup!$N$18,0)))))))*GJ119</f>
        <v>0</v>
      </c>
      <c r="HJ119" s="545">
        <f t="shared" si="336"/>
        <v>0</v>
      </c>
      <c r="HK119" s="560">
        <f t="shared" si="337"/>
        <v>1231.3874213350564</v>
      </c>
      <c r="HL119" s="560">
        <f t="shared" si="269"/>
        <v>401.36487005705879</v>
      </c>
      <c r="HM119" s="560"/>
    </row>
    <row r="120" spans="1:221">
      <c r="A120" s="580" t="s">
        <v>9</v>
      </c>
      <c r="B120" s="556">
        <v>41748</v>
      </c>
      <c r="C120" s="561">
        <v>0</v>
      </c>
      <c r="D120" s="529">
        <f t="shared" si="270"/>
        <v>300</v>
      </c>
      <c r="E120" s="529">
        <f t="shared" si="271"/>
        <v>250</v>
      </c>
      <c r="F120" s="529">
        <v>250</v>
      </c>
      <c r="G120" s="560">
        <f>DR120+Sheet1!CZ122</f>
        <v>2075.3101361574472</v>
      </c>
      <c r="H120" s="914">
        <f t="shared" si="236"/>
        <v>1074.5172720121739</v>
      </c>
      <c r="I120" s="559">
        <f>MAX(Sheet1!Z122-AT120+(Sheet1!DA122-E120)*CFStoMGD,0)</f>
        <v>1809.6639999999998</v>
      </c>
      <c r="J120" s="562">
        <f>IF(AND(B120&gt;=Calculation!GC120,B120&lt;=Calculation!GD120),IF(Sheet1!DB122&gt;=Calculation!D120,64.64,0),MAX(Sheet1!Z122-AT120+(Sheet1!DB122-D120)*CFStoMGD,0))</f>
        <v>64.64</v>
      </c>
      <c r="K120" s="904">
        <f t="shared" si="273"/>
        <v>64.64</v>
      </c>
      <c r="L120" s="560">
        <f>Sheet1!AA122+Sheet1!AB122-Sheet1!L122+(Sheet1!DA122-F120)*CFStoMGD</f>
        <v>1784.0639999999999</v>
      </c>
      <c r="M120" s="560">
        <f t="shared" si="274"/>
        <v>1368.3100814524173</v>
      </c>
      <c r="N120" s="910">
        <f>IF(Sheet1!DA122&gt;=F120,MIN(73,MIN(MAX(L120,0),MAX(M120,0))),0)</f>
        <v>73</v>
      </c>
      <c r="O120" s="563">
        <f>Sheet1!AA122+Sheet1!AB122</f>
        <v>46.2</v>
      </c>
      <c r="P120" s="563">
        <f t="shared" si="275"/>
        <v>71.471399999999988</v>
      </c>
      <c r="Q120" s="898">
        <f t="shared" si="237"/>
        <v>37.61</v>
      </c>
      <c r="R120" s="829">
        <f t="shared" si="276"/>
        <v>8.5564453124999993</v>
      </c>
      <c r="S120" s="898">
        <f t="shared" si="238"/>
        <v>8.59</v>
      </c>
      <c r="T120" s="898">
        <f t="shared" si="239"/>
        <v>56.05</v>
      </c>
      <c r="U120" s="898">
        <f t="shared" si="240"/>
        <v>0</v>
      </c>
      <c r="V120" s="898"/>
      <c r="W120" s="898">
        <f t="shared" si="241"/>
        <v>56.083554687499998</v>
      </c>
      <c r="X120" s="898">
        <f t="shared" si="242"/>
        <v>64.64</v>
      </c>
      <c r="Y120" s="898" t="str">
        <f t="shared" si="243"/>
        <v>FALSE</v>
      </c>
      <c r="Z120" s="898">
        <f t="shared" si="244"/>
        <v>46.2</v>
      </c>
      <c r="AA120" s="898">
        <f t="shared" si="245"/>
        <v>46.2</v>
      </c>
      <c r="AB120" s="898" t="str">
        <f t="shared" si="246"/>
        <v/>
      </c>
      <c r="AC120" s="563">
        <f>Sheet1!Y122*MGDtoCFS</f>
        <v>32.0229</v>
      </c>
      <c r="AD120" s="563">
        <f>Sheet1!Z122*MGDtoCFS</f>
        <v>39.603200000000001</v>
      </c>
      <c r="AE120" s="563">
        <f>Sheet1!AA122*MGDtoCFS</f>
        <v>32.0229</v>
      </c>
      <c r="AF120" s="563">
        <f>Sheet1!AB122*MGDtoCFS</f>
        <v>39.448499999999996</v>
      </c>
      <c r="AG120" s="563">
        <f>Sheet1!L122*MGDtoCFS</f>
        <v>71.471400000000003</v>
      </c>
      <c r="AH120" s="545">
        <f t="shared" si="277"/>
        <v>0</v>
      </c>
      <c r="AI120" s="560">
        <f t="shared" si="278"/>
        <v>0</v>
      </c>
      <c r="AJ120" s="560">
        <f t="shared" si="279"/>
        <v>56.083554687499998</v>
      </c>
      <c r="AK120" s="560">
        <f t="shared" si="280"/>
        <v>86.761259101562487</v>
      </c>
      <c r="AL120" s="560">
        <f>(VLOOKUP(Sheet1!DC122,hhdcap_wcm,4)-(((VLOOKUP(Sheet1!DC122,hhdcap_wcm,3)-Sheet1!DC122)/(VLOOKUP(Sheet1!DC122,hhdcap_wcm,3)-VLOOKUP(Sheet1!DC122,hhdcap_wcm,1)))*(VLOOKUP(Sheet1!DC122,hhdcap_wcm,4)-VLOOKUP(Sheet1!DC122,hhdcap_wcm,2))))</f>
        <v>34299.00000008705</v>
      </c>
      <c r="AM120" s="560">
        <f t="shared" si="281"/>
        <v>189.00000000021828</v>
      </c>
      <c r="AN120" s="560">
        <f t="shared" si="282"/>
        <v>3275.6549360517402</v>
      </c>
      <c r="AO120" s="560">
        <f t="shared" si="283"/>
        <v>10049.709343806739</v>
      </c>
      <c r="AP120" s="560">
        <f>Sheet1!BA122+Sheet1!BB122+Sheet1!BN122+CD120</f>
        <v>17.010000000000002</v>
      </c>
      <c r="AQ120" s="560">
        <f>Sheet1!BN122+(DO120*Sheet1!BN122)</f>
        <v>15.33984375</v>
      </c>
      <c r="AR120" s="560">
        <f>Sheet1!BA122+CD120</f>
        <v>0</v>
      </c>
      <c r="AS120" s="560">
        <f>Sheet1!BA122+Sheet1!BB122+CD120</f>
        <v>1.61</v>
      </c>
      <c r="AT120" s="698">
        <f>0</f>
        <v>0</v>
      </c>
      <c r="AU120" s="560">
        <f>IF(EB120&lt;K120,0,MAX(Sheet1!AA122+AQ120-15/36*K120-N120,Sheet1!EH122,0))</f>
        <v>0</v>
      </c>
      <c r="AV120" s="560">
        <f>IF(OR(B120&gt;=GD120,B120&lt;GC120),0,15/36*K120-MAX(0,64.6-(137.6-(Sheet1!AA122+Sheet1!AB122))))</f>
        <v>26.933333333333334</v>
      </c>
      <c r="AW120" s="698">
        <f>Sheet1!DB122-110</f>
        <v>1910</v>
      </c>
      <c r="AX120" s="698">
        <f>Sheet1!DA122-265</f>
        <v>2745</v>
      </c>
      <c r="AY120" s="698">
        <f t="shared" si="284"/>
        <v>35.39</v>
      </c>
      <c r="AZ120" s="698">
        <v>0</v>
      </c>
      <c r="BA120" s="698">
        <f t="shared" si="285"/>
        <v>0</v>
      </c>
      <c r="BB120" s="560">
        <f t="shared" si="286"/>
        <v>1562.1333333333334</v>
      </c>
      <c r="BC120" s="560"/>
      <c r="BD120" s="560">
        <f ca="1">IF(B120&gt;Summary!$A$1,#N/A,BB120*MGtoAF)</f>
        <v>4792.6250666666674</v>
      </c>
      <c r="BE120" s="560">
        <f>Sheet1!BG122+Sheet1!BH122+Sheet1!BI122-BM120</f>
        <v>0</v>
      </c>
      <c r="BF120" s="560">
        <f t="shared" si="287"/>
        <v>0</v>
      </c>
      <c r="BG120" s="560">
        <f>IF(Sheet1!EP122="FM",BM120,0)</f>
        <v>0</v>
      </c>
      <c r="BH120" s="560">
        <f t="shared" si="288"/>
        <v>0</v>
      </c>
      <c r="BI120" s="560">
        <f>IF(Sheet1!EP122="OTHER",BM120,0)</f>
        <v>0</v>
      </c>
      <c r="BJ120" s="560">
        <f t="shared" si="289"/>
        <v>0</v>
      </c>
      <c r="BK120" s="560">
        <f t="shared" si="290"/>
        <v>0</v>
      </c>
      <c r="BL120" s="560">
        <f t="shared" si="291"/>
        <v>0</v>
      </c>
      <c r="BM120" s="560">
        <f>IF(OR(Sheet1!EP122="FM", Sheet1!EP122="OTHER"),SUM(Sheet1!BG122:'Sheet1'!BI122),0)</f>
        <v>0</v>
      </c>
      <c r="BN120" s="545">
        <f>IF(AND($B120&gt;=$FV120,$B120&lt;=$FW120),MAX(BF120,Sheet1!EI122,0),MAX(BF120-(7/36)*$K120,0))</f>
        <v>0</v>
      </c>
      <c r="BO120" s="560">
        <f t="shared" si="292"/>
        <v>12.568888888888889</v>
      </c>
      <c r="BP120" s="545">
        <f t="shared" si="293"/>
        <v>0</v>
      </c>
      <c r="BQ120" s="545">
        <f>IF(AND($O120&gt;0,Sheet1!EM122=1),(1-($O120-Sheet1!$L122)/$O120)*BL120,0)</f>
        <v>0</v>
      </c>
      <c r="BR120" s="545">
        <f>IF(AND(Sheet1!$L122=0,Sheet1!$L121=0, Calculation!BK120&lt;Sheet1!$EI122-0.1,Sheet1!$EI122=Sheet1!$EI121,Sheet1!$EI122=Sheet1!$EI123),Sheet1!$EI122,BL120-BQ120)</f>
        <v>0</v>
      </c>
      <c r="BS120" s="560"/>
      <c r="BT120" s="560"/>
      <c r="BU120" s="560">
        <f t="shared" si="294"/>
        <v>728.99555555555469</v>
      </c>
      <c r="BV120" s="560"/>
      <c r="BW120" s="560">
        <f ca="1">IF(B120&gt;Summary!$A$1,#N/A,BU120*MGtoAF)</f>
        <v>2236.5583644444418</v>
      </c>
      <c r="BX120" s="560">
        <f>Sheet1!BC122+Sheet1!BD122+Sheet1!BE122+Sheet1!BF122-CG120-CH120</f>
        <v>2.5</v>
      </c>
      <c r="BY120" s="560">
        <f t="shared" si="295"/>
        <v>2.490234375</v>
      </c>
      <c r="BZ120" s="560">
        <f>IF(Sheet1!EQ122="FM",CH120,0)</f>
        <v>0</v>
      </c>
      <c r="CA120" s="560">
        <f t="shared" si="296"/>
        <v>0</v>
      </c>
      <c r="CB120" s="560">
        <f>IF(Sheet1!EQ122="OTHER",CH120,0)</f>
        <v>0</v>
      </c>
      <c r="CC120" s="560">
        <f t="shared" si="297"/>
        <v>0</v>
      </c>
      <c r="CD120" s="560">
        <f t="shared" si="298"/>
        <v>0</v>
      </c>
      <c r="CE120" s="560">
        <f t="shared" si="299"/>
        <v>2.5</v>
      </c>
      <c r="CF120" s="560">
        <f t="shared" si="300"/>
        <v>2.490234375</v>
      </c>
      <c r="CG120" s="560">
        <f>IF(Sheet1!EQ122="CWA",SUM(Sheet1!BC122:'Sheet1'!BF122),0)</f>
        <v>0</v>
      </c>
      <c r="CH120" s="560">
        <f>IF(OR(Sheet1!EQ122="FM", Sheet1!EQ122="OTHER"),SUM(Sheet1!BC122:'Sheet1'!BF122),0)</f>
        <v>0</v>
      </c>
      <c r="CI120" s="545">
        <f>IF(AND($B120&gt;=$FV120,$B120&lt;=$FW120),MAX(CF120,Sheet1!EJ122,0),MAX(CF120-(7/36)*$K120,0))</f>
        <v>0</v>
      </c>
      <c r="CJ120" s="560">
        <f t="shared" si="301"/>
        <v>10.078654513888889</v>
      </c>
      <c r="CK120" s="545">
        <f t="shared" si="302"/>
        <v>2.490234375</v>
      </c>
      <c r="CL120" s="545">
        <f>IF(AND($O120&gt;0,Sheet1!EN122=1),(1-($O120-Sheet1!$L122)/$O120)*CF120,0)</f>
        <v>0</v>
      </c>
      <c r="CM120" s="545">
        <f>IF(AND(Sheet1!$L122=0,Sheet1!$L121=0, Calculation!CE120&lt;Sheet1!EJ122-0.1,Sheet1!EJ122=Sheet1!EJ121,Sheet1!EJ122=Sheet1!EJ123),Sheet1!EJ122,CF120-CL120)</f>
        <v>2.490234375</v>
      </c>
      <c r="CN120" s="545"/>
      <c r="CO120" s="560"/>
      <c r="CP120" s="560">
        <f t="shared" si="303"/>
        <v>576.65849915440469</v>
      </c>
      <c r="CQ120" s="560"/>
      <c r="CR120" s="560">
        <f ca="1">IF(B120&gt;Summary!$A$1,#N/A,CP120*MGtoAF)</f>
        <v>1769.1882754057137</v>
      </c>
      <c r="CS120" s="560">
        <f>Sheet1!BK122+Sheet1!BL122+Sheet1!BM122-Sheet1!ER122-DA120</f>
        <v>6.09</v>
      </c>
      <c r="CT120" s="560">
        <f t="shared" si="304"/>
        <v>6.0662109374999993</v>
      </c>
      <c r="CU120" s="560">
        <f>IF(Sheet1!ER122="FM",DA120,0)</f>
        <v>0</v>
      </c>
      <c r="CV120" s="560">
        <f t="shared" si="305"/>
        <v>0</v>
      </c>
      <c r="CW120" s="560">
        <f>IF(Sheet1!ER122="OTHER",DA120,0)</f>
        <v>0</v>
      </c>
      <c r="CX120" s="560">
        <f t="shared" si="306"/>
        <v>0</v>
      </c>
      <c r="CY120" s="560">
        <f t="shared" si="307"/>
        <v>6.09</v>
      </c>
      <c r="CZ120" s="560">
        <f t="shared" si="308"/>
        <v>6.0662109374999993</v>
      </c>
      <c r="DA120" s="560">
        <f>IF(OR(Sheet1!ER122="FM", Sheet1!ER122="OTHER"),SUM(Sheet1!BK122:'Sheet1'!BM122),0)</f>
        <v>0</v>
      </c>
      <c r="DB120" s="545">
        <f>IF(AND($B120&gt;=$FV120,$B120&lt;=$FW120),MAX($CT120,Sheet1!EK122,0),MAX($CT120-(7/36)*$K120,0))</f>
        <v>0</v>
      </c>
      <c r="DC120" s="560">
        <f t="shared" si="309"/>
        <v>6.5026779513888897</v>
      </c>
      <c r="DD120" s="545">
        <f t="shared" si="310"/>
        <v>6.0662109374999993</v>
      </c>
      <c r="DE120" s="545">
        <f>IF(AND($O120&gt;0,Sheet1!EO122=1),(1-($O120-Sheet1!$L122)/$O120)*CZ120,0)</f>
        <v>0</v>
      </c>
      <c r="DF120" s="545">
        <f>IF(AND(Sheet1!$L122=0,Sheet1!$L121=0, Calculation!CY120&lt;Sheet1!$EK122-0.1,Sheet1!$EK122=Sheet1!$EK121,Sheet1!$EK122=Sheet1!$EK123),Sheet1!$EK122,CZ120-DE120)</f>
        <v>6.0662109374999993</v>
      </c>
      <c r="DG120" s="545"/>
      <c r="DH120" s="560">
        <f t="shared" si="311"/>
        <v>8.59</v>
      </c>
      <c r="DI120" s="560">
        <f t="shared" si="312"/>
        <v>407.86754800844767</v>
      </c>
      <c r="DJ120" s="698">
        <f t="shared" si="313"/>
        <v>8.5564453124999993</v>
      </c>
      <c r="DK120" s="560">
        <f ca="1">IF(B120&gt;Summary!$A$1,#N/A,DI120*MGtoAF)</f>
        <v>1251.3376372899174</v>
      </c>
      <c r="DL120" s="698">
        <f t="shared" si="314"/>
        <v>8.59</v>
      </c>
      <c r="DM120" s="560">
        <f t="shared" si="315"/>
        <v>25.6</v>
      </c>
      <c r="DN120" s="560">
        <f>Sheet1!AB122-DM120</f>
        <v>-0.10000000000000142</v>
      </c>
      <c r="DO120" s="823">
        <f t="shared" si="316"/>
        <v>-3.9062500000000555E-3</v>
      </c>
      <c r="DP120" s="560">
        <f>(VLOOKUP(Sheet1!DC122,hhdcap_wcm,4)-(((VLOOKUP(Sheet1!DC122,hhdcap_wcm,3)-Sheet1!DC122)/(VLOOKUP(Sheet1!DC122,hhdcap_wcm,3)-VLOOKUP(Sheet1!DC122,hhdcap_wcm,1)))*(VLOOKUP(Sheet1!DC122,hhdcap_wcm,4)-VLOOKUP(Sheet1!DC122,hhdcap_wcm,2))))</f>
        <v>34299.00000008705</v>
      </c>
      <c r="DQ120" s="560">
        <f t="shared" si="317"/>
        <v>189.00000000021828</v>
      </c>
      <c r="DR120" s="560">
        <f t="shared" si="318"/>
        <v>95.310136157447431</v>
      </c>
      <c r="DS120" s="560">
        <f>Sheet1!EA122*AFtoMG</f>
        <v>0</v>
      </c>
      <c r="DT120" s="560">
        <f>Sheet1!EB122*AFtoMG</f>
        <v>0</v>
      </c>
      <c r="DU120" s="560">
        <f>Sheet1!EC122*AFtoMG</f>
        <v>0</v>
      </c>
      <c r="DV120" s="560">
        <f>Sheet1!ED122*AFtoMG</f>
        <v>0</v>
      </c>
      <c r="DW120" s="560">
        <f t="shared" si="319"/>
        <v>0</v>
      </c>
      <c r="DX120" s="560">
        <f t="shared" si="320"/>
        <v>0</v>
      </c>
      <c r="DY120" s="560">
        <f t="shared" si="321"/>
        <v>3275.6549360517402</v>
      </c>
      <c r="DZ120" s="560">
        <f t="shared" si="322"/>
        <v>10049.709343806739</v>
      </c>
      <c r="EA120" s="560"/>
      <c r="EB120" s="545">
        <f>IF(OR(B120&lt;FV120,B120&gt;FW120),(MIN(BF120+BY120+CT120+MAX(Sheet1!AA122+AQ120-73,0),K120)),0)</f>
        <v>8.5564453124999993</v>
      </c>
      <c r="EC120" s="560"/>
      <c r="ED120" s="560">
        <f t="shared" si="323"/>
        <v>8.5564453124999993</v>
      </c>
      <c r="EE120" s="560"/>
      <c r="EF120" s="560">
        <f>Sheet1!EH122+Sheet1!EI122+Sheet1!EJ122+Sheet1!EK122</f>
        <v>8.59</v>
      </c>
      <c r="EG120" s="560"/>
      <c r="EH120" s="545">
        <f t="shared" si="324"/>
        <v>0</v>
      </c>
      <c r="EI120" s="560">
        <f>IF(Sheet1!ET122=1,SUM('Calculations II'!AT120:BA120)+'Calculations II'!BC120+Sheet1!BV122+'Calculations II'!BE120+AP120,SUM('Calculations II'!AT120:BA120)+'Calculations II'!BC120+Sheet1!BV122+'Calculations II'!BE120+AP120)</f>
        <v>50.029488000000001</v>
      </c>
      <c r="EJ120" s="560">
        <f>Sheet1!AA122+Sheet1!AB122+'Calculations II'!BC120</f>
        <v>52.503600000000006</v>
      </c>
      <c r="EK120" s="560"/>
      <c r="EL120" s="560"/>
      <c r="EM120" s="560">
        <f t="shared" si="325"/>
        <v>41748</v>
      </c>
      <c r="EN120" s="560">
        <f t="shared" si="326"/>
        <v>56.083554687499998</v>
      </c>
      <c r="EO120" s="560">
        <f t="shared" si="327"/>
        <v>86.761259101562487</v>
      </c>
      <c r="EP120" s="560">
        <v>0</v>
      </c>
      <c r="EQ120" s="560">
        <v>0</v>
      </c>
      <c r="ER120" s="560">
        <v>0</v>
      </c>
      <c r="ES120" s="545">
        <f t="shared" si="247"/>
        <v>1.8009045033673383</v>
      </c>
      <c r="ET120" s="560">
        <f>-(VLOOKUP(Sheet1!BQ122,Lookup!$O$4:$Q$262,2)-VLOOKUP(Sheet1!BQ121,Lookup!$O$4:$Q$262,2))/1000000</f>
        <v>0.83119704714466258</v>
      </c>
      <c r="EU120" s="560">
        <f>-(VLOOKUP(Sheet1!BR122,Lookup!$O$4:$Q$262,3)-VLOOKUP(Sheet1!BR121,Lookup!$O$4:$Q$262,3))/1000000</f>
        <v>0.96970745622267573</v>
      </c>
      <c r="EV120" s="560"/>
      <c r="EW120" s="560"/>
      <c r="EX120" s="560"/>
      <c r="EY120" s="560"/>
      <c r="EZ120" s="560"/>
      <c r="FA120" s="560"/>
      <c r="FB120" s="560"/>
      <c r="FC120" s="560"/>
      <c r="FD120" s="594" t="e">
        <f t="shared" si="328"/>
        <v>#N/A</v>
      </c>
      <c r="FE120" s="594" t="e">
        <f t="shared" si="329"/>
        <v>#N/A</v>
      </c>
      <c r="FF120" s="595" t="e">
        <f t="shared" si="330"/>
        <v>#N/A</v>
      </c>
      <c r="FG120" s="596" t="s">
        <v>692</v>
      </c>
      <c r="FH120" s="596" t="s">
        <v>692</v>
      </c>
      <c r="FI120" s="594" t="e">
        <v>#N/A</v>
      </c>
      <c r="FJ120" s="594" t="e">
        <v>#N/A</v>
      </c>
      <c r="FK120" s="560"/>
      <c r="FL120" s="560"/>
      <c r="FM120" s="560"/>
      <c r="FN120" s="560"/>
      <c r="FO120" s="560">
        <f>O120+((Sheet1!CS122)*GPMtoMGD)</f>
        <v>52.503600000000006</v>
      </c>
      <c r="FP120" s="560">
        <f>IF(Sheet1!AA122+AQ120&lt;=Calculation!N120,AQ120,Calculation!N120-Sheet1!AA122)</f>
        <v>15.33984375</v>
      </c>
      <c r="FQ120" s="560">
        <f>(Sheet1!BP122+Sheet1!BO122)/694.4</f>
        <v>1.5882776497695854</v>
      </c>
      <c r="FR120" s="560"/>
      <c r="FS120" s="560"/>
      <c r="FT120" s="560"/>
      <c r="FU120" s="560"/>
      <c r="FV120" s="695">
        <f t="shared" si="248"/>
        <v>41827</v>
      </c>
      <c r="FW120" s="695">
        <f t="shared" si="249"/>
        <v>41934</v>
      </c>
      <c r="FX120" s="560"/>
      <c r="FY120" s="560"/>
      <c r="FZ120" s="560"/>
      <c r="GA120" s="560"/>
      <c r="GB120" s="560" t="str">
        <f t="shared" si="250"/>
        <v>n</v>
      </c>
      <c r="GC120" s="564">
        <f t="shared" si="251"/>
        <v>41691</v>
      </c>
      <c r="GD120" s="695">
        <f t="shared" si="252"/>
        <v>41807</v>
      </c>
      <c r="GE120" s="560">
        <v>6518.9</v>
      </c>
      <c r="GF120" s="695">
        <f t="shared" si="253"/>
        <v>41808</v>
      </c>
      <c r="GG120" s="560">
        <f t="shared" si="272"/>
        <v>3259</v>
      </c>
      <c r="GH120" s="564">
        <f t="shared" si="254"/>
        <v>41934</v>
      </c>
      <c r="GJ120" s="545">
        <f t="shared" si="255"/>
        <v>0</v>
      </c>
      <c r="GK120" s="560" t="str">
        <f t="shared" si="331"/>
        <v/>
      </c>
      <c r="GL120" s="560">
        <f t="shared" si="256"/>
        <v>0</v>
      </c>
      <c r="GM120" s="560" t="str">
        <f t="shared" si="257"/>
        <v/>
      </c>
      <c r="GN120" s="560">
        <f>IF(GK120="P",Lookup!$M$12,IF(GK120="PP",Lookup!$M$13,IF(GK120="PPP",Lookup!$M$14,IF(GK120="T",Lookup!$M$15,IF(GK120="TP",Lookup!$M$16,IF(GK120="TPP",Lookup!$M$17,IF(GK120="TPPP",Lookup!$M$18,0)))))))*GJ120</f>
        <v>0</v>
      </c>
      <c r="GO120" s="560">
        <f t="shared" si="258"/>
        <v>0</v>
      </c>
      <c r="GP120" s="560">
        <f t="shared" si="332"/>
        <v>4792.6250666666674</v>
      </c>
      <c r="GQ120" s="560">
        <f t="shared" si="266"/>
        <v>1562.1333333333334</v>
      </c>
      <c r="GR120" s="560"/>
      <c r="GS120" s="560">
        <f t="shared" si="259"/>
        <v>0</v>
      </c>
      <c r="GT120" s="560" t="str">
        <f t="shared" si="260"/>
        <v/>
      </c>
      <c r="GU120" s="560">
        <f>IF(GK120="P",Lookup!$N$12,IF(GK120="PP",Lookup!$N$13,IF(GK120="PPP",Lookup!$N$14,IF(GK120="T",Lookup!$N$15,IF(GK120="TP",Lookup!$N$16,IF(GK120="TPP",Lookup!$N$17,IF(GK120="TPPP",Lookup!$N$18,0)))))))*GJ120</f>
        <v>0</v>
      </c>
      <c r="GV120" s="560">
        <f t="shared" si="261"/>
        <v>0</v>
      </c>
      <c r="GW120" s="560">
        <f t="shared" si="333"/>
        <v>2236.5583644444418</v>
      </c>
      <c r="GX120" s="560">
        <f t="shared" si="267"/>
        <v>728.99555555555469</v>
      </c>
      <c r="GY120" s="560"/>
      <c r="GZ120" s="560">
        <f t="shared" si="262"/>
        <v>0</v>
      </c>
      <c r="HA120" s="560" t="str">
        <f t="shared" si="263"/>
        <v/>
      </c>
      <c r="HB120" s="560">
        <f>IF(GK120="P",Lookup!$N$12,IF(GK120="PP",Lookup!$N$13,IF(GK120="PPP",Lookup!$N$14,IF(GK120="T",Lookup!$N$15,IF(GK120="TP",Lookup!$N$16,IF(GK120="TPP",Lookup!$N$17,IF(GK120="TPPP",Lookup!$N$18,0)))))))*GJ120</f>
        <v>0</v>
      </c>
      <c r="HC120" s="545">
        <f t="shared" si="334"/>
        <v>0</v>
      </c>
      <c r="HD120" s="560">
        <f t="shared" si="335"/>
        <v>1769.1882754057137</v>
      </c>
      <c r="HE120" s="560">
        <f t="shared" si="268"/>
        <v>576.65849915440469</v>
      </c>
      <c r="HF120" s="560"/>
      <c r="HG120" s="560">
        <f t="shared" si="264"/>
        <v>0</v>
      </c>
      <c r="HH120" s="560" t="str">
        <f t="shared" si="265"/>
        <v/>
      </c>
      <c r="HI120" s="560">
        <f>IF(GK120="P",Lookup!$N$12,IF(GK120="PP",Lookup!$N$13,IF(GK120="PPP",Lookup!$N$14,IF(GK120="T",Lookup!$N$15,IF(GK120="TP",Lookup!$N$16,IF(GK120="TPP",Lookup!$N$17,IF(GK120="TPPP",Lookup!$N$18,0)))))))*GJ120</f>
        <v>0</v>
      </c>
      <c r="HJ120" s="545">
        <f t="shared" si="336"/>
        <v>0</v>
      </c>
      <c r="HK120" s="560">
        <f t="shared" si="337"/>
        <v>1251.3376372899174</v>
      </c>
      <c r="HL120" s="560">
        <f t="shared" si="269"/>
        <v>407.86754800844767</v>
      </c>
      <c r="HM120" s="560"/>
    </row>
    <row r="121" spans="1:221">
      <c r="A121" s="580" t="s">
        <v>3</v>
      </c>
      <c r="B121" s="556">
        <v>41749</v>
      </c>
      <c r="C121" s="561">
        <v>0</v>
      </c>
      <c r="D121" s="529">
        <f t="shared" si="270"/>
        <v>300</v>
      </c>
      <c r="E121" s="529">
        <f t="shared" si="271"/>
        <v>250</v>
      </c>
      <c r="F121" s="529">
        <v>250</v>
      </c>
      <c r="G121" s="560">
        <f>DR121+Sheet1!CZ123</f>
        <v>1638.340897629178</v>
      </c>
      <c r="H121" s="914">
        <f t="shared" si="236"/>
        <v>792.06035622750062</v>
      </c>
      <c r="I121" s="559">
        <f>MAX(Sheet1!Z123-AT121+(Sheet1!DA123-E121)*CFStoMGD,0)</f>
        <v>1628.5719999999999</v>
      </c>
      <c r="J121" s="562">
        <f>IF(AND(B121&gt;=Calculation!GC121,B121&lt;=Calculation!GD121),IF(Sheet1!DB123&gt;=Calculation!D121,64.64,0),MAX(Sheet1!Z123-AT121+(Sheet1!DB123-D121)*CFStoMGD,0))</f>
        <v>64.64</v>
      </c>
      <c r="K121" s="904">
        <f t="shared" si="273"/>
        <v>64.64</v>
      </c>
      <c r="L121" s="560">
        <f>Sheet1!AA123+Sheet1!AB123-Sheet1!L123+(Sheet1!DA123-F121)*CFStoMGD</f>
        <v>1603.0719999999999</v>
      </c>
      <c r="M121" s="560">
        <f t="shared" si="274"/>
        <v>1080.2040273520506</v>
      </c>
      <c r="N121" s="910">
        <f>IF(Sheet1!DA123&gt;=F121,MIN(73,MIN(MAX(L121,0),MAX(M121,0))),0)</f>
        <v>73</v>
      </c>
      <c r="O121" s="563">
        <f>Sheet1!AA123+Sheet1!AB123</f>
        <v>46.3</v>
      </c>
      <c r="P121" s="563">
        <f t="shared" si="275"/>
        <v>71.626100000000008</v>
      </c>
      <c r="Q121" s="898">
        <f t="shared" si="237"/>
        <v>37.629999999999995</v>
      </c>
      <c r="R121" s="829">
        <f t="shared" si="276"/>
        <v>8.6801720766523278</v>
      </c>
      <c r="S121" s="898">
        <f t="shared" si="238"/>
        <v>8.67</v>
      </c>
      <c r="T121" s="898">
        <f t="shared" si="239"/>
        <v>55.97</v>
      </c>
      <c r="U121" s="898">
        <f t="shared" si="240"/>
        <v>0</v>
      </c>
      <c r="V121" s="898"/>
      <c r="W121" s="898">
        <f t="shared" si="241"/>
        <v>55.959827923347675</v>
      </c>
      <c r="X121" s="898">
        <f t="shared" si="242"/>
        <v>64.64</v>
      </c>
      <c r="Y121" s="898" t="str">
        <f t="shared" si="243"/>
        <v>FALSE</v>
      </c>
      <c r="Z121" s="898">
        <f t="shared" si="244"/>
        <v>46.3</v>
      </c>
      <c r="AA121" s="898">
        <f t="shared" si="245"/>
        <v>46.3</v>
      </c>
      <c r="AB121" s="898" t="str">
        <f t="shared" si="246"/>
        <v/>
      </c>
      <c r="AC121" s="563">
        <f>Sheet1!Y123*MGDtoCFS</f>
        <v>32.0229</v>
      </c>
      <c r="AD121" s="563">
        <f>Sheet1!Z123*MGDtoCFS</f>
        <v>39.448499999999996</v>
      </c>
      <c r="AE121" s="563">
        <f>Sheet1!AA123*MGDtoCFS</f>
        <v>32.0229</v>
      </c>
      <c r="AF121" s="563">
        <f>Sheet1!AB123*MGDtoCFS</f>
        <v>39.603200000000001</v>
      </c>
      <c r="AG121" s="563">
        <f>Sheet1!L123*MGDtoCFS</f>
        <v>71.626099999999994</v>
      </c>
      <c r="AH121" s="545">
        <f t="shared" si="277"/>
        <v>0</v>
      </c>
      <c r="AI121" s="560">
        <f t="shared" si="278"/>
        <v>0</v>
      </c>
      <c r="AJ121" s="560">
        <f t="shared" si="279"/>
        <v>55.959827923347675</v>
      </c>
      <c r="AK121" s="560">
        <f t="shared" si="280"/>
        <v>86.569853797418844</v>
      </c>
      <c r="AL121" s="560">
        <f>(VLOOKUP(Sheet1!DC123,hhdcap_wcm,4)-(((VLOOKUP(Sheet1!DC123,hhdcap_wcm,3)-Sheet1!DC123)/(VLOOKUP(Sheet1!DC123,hhdcap_wcm,3)-VLOOKUP(Sheet1!DC123,hhdcap_wcm,1)))*(VLOOKUP(Sheet1!DC123,hhdcap_wcm,4)-VLOOKUP(Sheet1!DC123,hhdcap_wcm,2))))</f>
        <v>33958.600000085709</v>
      </c>
      <c r="AM121" s="560">
        <f t="shared" si="281"/>
        <v>-340.40000000134023</v>
      </c>
      <c r="AN121" s="560">
        <f t="shared" si="282"/>
        <v>3331.614763975088</v>
      </c>
      <c r="AO121" s="560">
        <f t="shared" si="283"/>
        <v>10221.39409587557</v>
      </c>
      <c r="AP121" s="560">
        <f>Sheet1!BA123+Sheet1!BB123+Sheet1!BN123+CD121</f>
        <v>16.900000000000002</v>
      </c>
      <c r="AQ121" s="560">
        <f>Sheet1!BN123+(DO121*Sheet1!BN123)</f>
        <v>15.317950723504108</v>
      </c>
      <c r="AR121" s="560">
        <f>Sheet1!BA123+CD121</f>
        <v>0</v>
      </c>
      <c r="AS121" s="560">
        <f>Sheet1!BA123+Sheet1!BB123+CD121</f>
        <v>1.6</v>
      </c>
      <c r="AT121" s="698">
        <f>0</f>
        <v>0</v>
      </c>
      <c r="AU121" s="560">
        <f>IF(EB121&lt;K121,0,MAX(Sheet1!AA123+AQ121-15/36*K121-N121,Sheet1!EH123,0))</f>
        <v>0</v>
      </c>
      <c r="AV121" s="560">
        <f>IF(OR(B121&gt;=GD121,B121&lt;GC121),0,15/36*K121-MAX(0,64.6-(137.6-(Sheet1!AA123+Sheet1!AB123))))</f>
        <v>26.933333333333334</v>
      </c>
      <c r="AW121" s="698">
        <f>Sheet1!DB123-110</f>
        <v>1720</v>
      </c>
      <c r="AX121" s="698">
        <f>Sheet1!DA123-265</f>
        <v>2465</v>
      </c>
      <c r="AY121" s="698">
        <f t="shared" si="284"/>
        <v>35.370000000000005</v>
      </c>
      <c r="AZ121" s="698">
        <v>0</v>
      </c>
      <c r="BA121" s="698">
        <f t="shared" si="285"/>
        <v>0</v>
      </c>
      <c r="BB121" s="560">
        <f t="shared" si="286"/>
        <v>1589.0666666666668</v>
      </c>
      <c r="BC121" s="560"/>
      <c r="BD121" s="560">
        <f ca="1">IF(B121&gt;Summary!$A$1,#N/A,BB121*MGtoAF)</f>
        <v>4875.2565333333341</v>
      </c>
      <c r="BE121" s="560">
        <f>Sheet1!BG123+Sheet1!BH123+Sheet1!BI123-BM121</f>
        <v>0</v>
      </c>
      <c r="BF121" s="560">
        <f t="shared" si="287"/>
        <v>0</v>
      </c>
      <c r="BG121" s="560">
        <f>IF(Sheet1!EP123="FM",BM121,0)</f>
        <v>0</v>
      </c>
      <c r="BH121" s="560">
        <f t="shared" si="288"/>
        <v>0</v>
      </c>
      <c r="BI121" s="560">
        <f>IF(Sheet1!EP123="OTHER",BM121,0)</f>
        <v>0</v>
      </c>
      <c r="BJ121" s="560">
        <f t="shared" si="289"/>
        <v>0</v>
      </c>
      <c r="BK121" s="560">
        <f t="shared" si="290"/>
        <v>0</v>
      </c>
      <c r="BL121" s="560">
        <f t="shared" si="291"/>
        <v>0</v>
      </c>
      <c r="BM121" s="560">
        <f>IF(OR(Sheet1!EP123="FM", Sheet1!EP123="OTHER"),SUM(Sheet1!BG123:'Sheet1'!BI123),0)</f>
        <v>0</v>
      </c>
      <c r="BN121" s="545">
        <f>IF(AND($B121&gt;=$FV121,$B121&lt;=$FW121),MAX(BF121,Sheet1!EI123,0),MAX(BF121-(7/36)*$K121,0))</f>
        <v>0</v>
      </c>
      <c r="BO121" s="560">
        <f t="shared" si="292"/>
        <v>12.568888888888889</v>
      </c>
      <c r="BP121" s="545">
        <f t="shared" si="293"/>
        <v>0</v>
      </c>
      <c r="BQ121" s="545">
        <f>IF(AND($O121&gt;0,Sheet1!EM123=1),(1-($O121-Sheet1!$L123)/$O121)*BL121,0)</f>
        <v>0</v>
      </c>
      <c r="BR121" s="545">
        <f>IF(AND(Sheet1!$L123=0,Sheet1!$L122=0, Calculation!BK121&lt;Sheet1!$EI123-0.1,Sheet1!$EI123=Sheet1!$EI122,Sheet1!$EI123=Sheet1!$EI124),Sheet1!$EI123,BL121-BQ121)</f>
        <v>0</v>
      </c>
      <c r="BS121" s="560"/>
      <c r="BT121" s="560"/>
      <c r="BU121" s="560">
        <f t="shared" si="294"/>
        <v>741.56444444444355</v>
      </c>
      <c r="BV121" s="560"/>
      <c r="BW121" s="560">
        <f ca="1">IF(B121&gt;Summary!$A$1,#N/A,BU121*MGtoAF)</f>
        <v>2275.1197155555528</v>
      </c>
      <c r="BX121" s="560">
        <f>Sheet1!BC123+Sheet1!BD123+Sheet1!BE123+Sheet1!BF123-CG121-CH121</f>
        <v>2.5</v>
      </c>
      <c r="BY121" s="560">
        <f t="shared" si="295"/>
        <v>2.5029331247555731</v>
      </c>
      <c r="BZ121" s="560">
        <f>IF(Sheet1!EQ123="FM",CH121,0)</f>
        <v>0</v>
      </c>
      <c r="CA121" s="560">
        <f t="shared" si="296"/>
        <v>0</v>
      </c>
      <c r="CB121" s="560">
        <f>IF(Sheet1!EQ123="OTHER",CH121,0)</f>
        <v>0</v>
      </c>
      <c r="CC121" s="560">
        <f t="shared" si="297"/>
        <v>0</v>
      </c>
      <c r="CD121" s="560">
        <f t="shared" si="298"/>
        <v>0</v>
      </c>
      <c r="CE121" s="560">
        <f t="shared" si="299"/>
        <v>2.5</v>
      </c>
      <c r="CF121" s="560">
        <f t="shared" si="300"/>
        <v>2.5029331247555731</v>
      </c>
      <c r="CG121" s="560">
        <f>IF(Sheet1!EQ123="CWA",SUM(Sheet1!BC123:'Sheet1'!BF123),0)</f>
        <v>0</v>
      </c>
      <c r="CH121" s="560">
        <f>IF(OR(Sheet1!EQ123="FM", Sheet1!EQ123="OTHER"),SUM(Sheet1!BC123:'Sheet1'!BF123),0)</f>
        <v>0</v>
      </c>
      <c r="CI121" s="545">
        <f>IF(AND($B121&gt;=$FV121,$B121&lt;=$FW121),MAX(CF121,Sheet1!EJ123,0),MAX(CF121-(7/36)*$K121,0))</f>
        <v>0</v>
      </c>
      <c r="CJ121" s="560">
        <f t="shared" si="301"/>
        <v>10.065955764133315</v>
      </c>
      <c r="CK121" s="545">
        <f t="shared" si="302"/>
        <v>2.5029331247555731</v>
      </c>
      <c r="CL121" s="545">
        <f>IF(AND($O121&gt;0,Sheet1!EN123=1),(1-($O121-Sheet1!$L123)/$O121)*CF121,0)</f>
        <v>0</v>
      </c>
      <c r="CM121" s="545">
        <f>IF(AND(Sheet1!$L123=0,Sheet1!$L122=0, Calculation!CE121&lt;Sheet1!EJ123-0.1,Sheet1!EJ123=Sheet1!EJ122,Sheet1!EJ123=Sheet1!EJ124),Sheet1!EJ123,CF121-CL121)</f>
        <v>2.5029331247555731</v>
      </c>
      <c r="CN121" s="545"/>
      <c r="CO121" s="560"/>
      <c r="CP121" s="560">
        <f t="shared" si="303"/>
        <v>586.72445491853796</v>
      </c>
      <c r="CQ121" s="560"/>
      <c r="CR121" s="560">
        <f ca="1">IF(B121&gt;Summary!$A$1,#N/A,CP121*MGtoAF)</f>
        <v>1800.0706276900744</v>
      </c>
      <c r="CS121" s="560">
        <f>Sheet1!BK123+Sheet1!BL123+Sheet1!BM123-Sheet1!ER123-DA121</f>
        <v>6.17</v>
      </c>
      <c r="CT121" s="560">
        <f t="shared" si="304"/>
        <v>6.1772389518967543</v>
      </c>
      <c r="CU121" s="560">
        <f>IF(Sheet1!ER123="FM",DA121,0)</f>
        <v>0</v>
      </c>
      <c r="CV121" s="560">
        <f t="shared" si="305"/>
        <v>0</v>
      </c>
      <c r="CW121" s="560">
        <f>IF(Sheet1!ER123="OTHER",DA121,0)</f>
        <v>0</v>
      </c>
      <c r="CX121" s="560">
        <f t="shared" si="306"/>
        <v>0</v>
      </c>
      <c r="CY121" s="560">
        <f t="shared" si="307"/>
        <v>6.17</v>
      </c>
      <c r="CZ121" s="560">
        <f t="shared" si="308"/>
        <v>6.1772389518967543</v>
      </c>
      <c r="DA121" s="560">
        <f>IF(OR(Sheet1!ER123="FM", Sheet1!ER123="OTHER"),SUM(Sheet1!BK123:'Sheet1'!BM123),0)</f>
        <v>0</v>
      </c>
      <c r="DB121" s="545">
        <f>IF(AND($B121&gt;=$FV121,$B121&lt;=$FW121),MAX($CT121,Sheet1!EK123,0),MAX($CT121-(7/36)*$K121,0))</f>
        <v>0</v>
      </c>
      <c r="DC121" s="560">
        <f t="shared" si="309"/>
        <v>6.3916499369921347</v>
      </c>
      <c r="DD121" s="545">
        <f t="shared" si="310"/>
        <v>6.1772389518967543</v>
      </c>
      <c r="DE121" s="545">
        <f>IF(AND($O121&gt;0,Sheet1!EO123=1),(1-($O121-Sheet1!$L123)/$O121)*CZ121,0)</f>
        <v>0</v>
      </c>
      <c r="DF121" s="545">
        <f>IF(AND(Sheet1!$L123=0,Sheet1!$L122=0, Calculation!CY121&lt;Sheet1!$EK123-0.1,Sheet1!$EK123=Sheet1!$EK122,Sheet1!$EK123=Sheet1!$EK124),Sheet1!$EK123,CZ121-DE121)</f>
        <v>6.1772389518967543</v>
      </c>
      <c r="DG121" s="545"/>
      <c r="DH121" s="560">
        <f t="shared" si="311"/>
        <v>8.67</v>
      </c>
      <c r="DI121" s="560">
        <f t="shared" si="312"/>
        <v>414.25919794543978</v>
      </c>
      <c r="DJ121" s="698">
        <f t="shared" si="313"/>
        <v>8.6801720766523278</v>
      </c>
      <c r="DK121" s="560">
        <f ca="1">IF(B121&gt;Summary!$A$1,#N/A,DI121*MGtoAF)</f>
        <v>1270.9472192966093</v>
      </c>
      <c r="DL121" s="698">
        <f t="shared" si="314"/>
        <v>8.67</v>
      </c>
      <c r="DM121" s="560">
        <f t="shared" si="315"/>
        <v>25.57</v>
      </c>
      <c r="DN121" s="560">
        <f>Sheet1!AB123-DM121</f>
        <v>3.0000000000001137E-2</v>
      </c>
      <c r="DO121" s="823">
        <f t="shared" si="316"/>
        <v>1.1732499022292192E-3</v>
      </c>
      <c r="DP121" s="560">
        <f>(VLOOKUP(Sheet1!DC123,hhdcap_wcm,4)-(((VLOOKUP(Sheet1!DC123,hhdcap_wcm,3)-Sheet1!DC123)/(VLOOKUP(Sheet1!DC123,hhdcap_wcm,3)-VLOOKUP(Sheet1!DC123,hhdcap_wcm,1)))*(VLOOKUP(Sheet1!DC123,hhdcap_wcm,4)-VLOOKUP(Sheet1!DC123,hhdcap_wcm,2))))</f>
        <v>33958.600000085709</v>
      </c>
      <c r="DQ121" s="560">
        <f t="shared" si="317"/>
        <v>-340.40000000134023</v>
      </c>
      <c r="DR121" s="560">
        <f t="shared" si="318"/>
        <v>-171.65910237082207</v>
      </c>
      <c r="DS121" s="560">
        <f>Sheet1!EA123*AFtoMG</f>
        <v>0</v>
      </c>
      <c r="DT121" s="560">
        <f>Sheet1!EB123*AFtoMG</f>
        <v>0</v>
      </c>
      <c r="DU121" s="560">
        <f>Sheet1!EC123*AFtoMG</f>
        <v>0</v>
      </c>
      <c r="DV121" s="560">
        <f>Sheet1!ED123*AFtoMG</f>
        <v>0</v>
      </c>
      <c r="DW121" s="560">
        <f t="shared" si="319"/>
        <v>0</v>
      </c>
      <c r="DX121" s="560">
        <f t="shared" si="320"/>
        <v>0</v>
      </c>
      <c r="DY121" s="560">
        <f t="shared" si="321"/>
        <v>3331.614763975088</v>
      </c>
      <c r="DZ121" s="560">
        <f t="shared" si="322"/>
        <v>10221.39409587557</v>
      </c>
      <c r="EA121" s="560"/>
      <c r="EB121" s="545">
        <f>IF(OR(B121&lt;FV121,B121&gt;FW121),(MIN(BF121+BY121+CT121+MAX(Sheet1!AA123+AQ121-73,0),K121)),0)</f>
        <v>8.6801720766523278</v>
      </c>
      <c r="EC121" s="560"/>
      <c r="ED121" s="560">
        <f t="shared" si="323"/>
        <v>8.6801720766523278</v>
      </c>
      <c r="EE121" s="560"/>
      <c r="EF121" s="560">
        <f>Sheet1!EH123+Sheet1!EI123+Sheet1!EJ123+Sheet1!EK123</f>
        <v>8.67</v>
      </c>
      <c r="EG121" s="560"/>
      <c r="EH121" s="545">
        <f t="shared" si="324"/>
        <v>0</v>
      </c>
      <c r="EI121" s="560">
        <f>IF(Sheet1!ET123=1,SUM('Calculations II'!AT121:BA121)+'Calculations II'!BC121+Sheet1!BV123+'Calculations II'!BE121+AP121,SUM('Calculations II'!AT121:BA121)+'Calculations II'!BC121+Sheet1!BV123+'Calculations II'!BE121+AP121)</f>
        <v>49.361888000000008</v>
      </c>
      <c r="EJ121" s="560">
        <f>Sheet1!AA123+Sheet1!AB123+'Calculations II'!BC121</f>
        <v>52.590783999999999</v>
      </c>
      <c r="EK121" s="560"/>
      <c r="EL121" s="560"/>
      <c r="EM121" s="560">
        <f t="shared" si="325"/>
        <v>41749</v>
      </c>
      <c r="EN121" s="560">
        <f t="shared" si="326"/>
        <v>55.959827923347675</v>
      </c>
      <c r="EO121" s="560">
        <f t="shared" si="327"/>
        <v>86.569853797418844</v>
      </c>
      <c r="EP121" s="560">
        <v>0</v>
      </c>
      <c r="EQ121" s="560">
        <v>0</v>
      </c>
      <c r="ER121" s="560">
        <v>0</v>
      </c>
      <c r="ES121" s="545">
        <f t="shared" si="247"/>
        <v>0.9694959593571908</v>
      </c>
      <c r="ET121" s="560">
        <f>-(VLOOKUP(Sheet1!BQ123,Lookup!$O$4:$Q$262,2)-VLOOKUP(Sheet1!BQ122,Lookup!$O$4:$Q$262,2))/1000000</f>
        <v>0.55400318421760197</v>
      </c>
      <c r="EU121" s="560">
        <f>-(VLOOKUP(Sheet1!BR123,Lookup!$O$4:$Q$262,3)-VLOOKUP(Sheet1!BR122,Lookup!$O$4:$Q$262,3))/1000000</f>
        <v>0.41549277513958888</v>
      </c>
      <c r="EV121" s="560"/>
      <c r="EW121" s="560"/>
      <c r="EX121" s="560"/>
      <c r="EY121" s="560"/>
      <c r="EZ121" s="560"/>
      <c r="FA121" s="560"/>
      <c r="FB121" s="560"/>
      <c r="FC121" s="560"/>
      <c r="FD121" s="594" t="e">
        <f t="shared" si="328"/>
        <v>#N/A</v>
      </c>
      <c r="FE121" s="594" t="e">
        <f t="shared" si="329"/>
        <v>#N/A</v>
      </c>
      <c r="FF121" s="595" t="e">
        <f t="shared" si="330"/>
        <v>#N/A</v>
      </c>
      <c r="FG121" s="596" t="s">
        <v>692</v>
      </c>
      <c r="FH121" s="596" t="s">
        <v>692</v>
      </c>
      <c r="FI121" s="594" t="e">
        <v>#N/A</v>
      </c>
      <c r="FJ121" s="594" t="e">
        <v>#N/A</v>
      </c>
      <c r="FK121" s="560"/>
      <c r="FL121" s="560"/>
      <c r="FM121" s="560"/>
      <c r="FN121" s="560"/>
      <c r="FO121" s="560">
        <f>O121+((Sheet1!CS123)*GPMtoMGD)</f>
        <v>52.590783999999999</v>
      </c>
      <c r="FP121" s="560">
        <f>IF(Sheet1!AA123+AQ121&lt;=Calculation!N121,AQ121,Calculation!N121-Sheet1!AA123)</f>
        <v>15.317950723504108</v>
      </c>
      <c r="FQ121" s="560">
        <f>(Sheet1!BP123+Sheet1!BO123)/694.4</f>
        <v>1.680443548387097</v>
      </c>
      <c r="FR121" s="560"/>
      <c r="FS121" s="560"/>
      <c r="FT121" s="560"/>
      <c r="FU121" s="560"/>
      <c r="FV121" s="695">
        <f t="shared" si="248"/>
        <v>41827</v>
      </c>
      <c r="FW121" s="695">
        <f t="shared" si="249"/>
        <v>41934</v>
      </c>
      <c r="FX121" s="560"/>
      <c r="FY121" s="560"/>
      <c r="FZ121" s="560"/>
      <c r="GA121" s="560"/>
      <c r="GB121" s="560" t="str">
        <f t="shared" si="250"/>
        <v>n</v>
      </c>
      <c r="GC121" s="564">
        <f t="shared" si="251"/>
        <v>41691</v>
      </c>
      <c r="GD121" s="695">
        <f t="shared" si="252"/>
        <v>41807</v>
      </c>
      <c r="GE121" s="560">
        <v>6518.9</v>
      </c>
      <c r="GF121" s="695">
        <f t="shared" si="253"/>
        <v>41808</v>
      </c>
      <c r="GG121" s="560">
        <f t="shared" si="272"/>
        <v>3259</v>
      </c>
      <c r="GH121" s="564">
        <f t="shared" si="254"/>
        <v>41934</v>
      </c>
      <c r="GJ121" s="545">
        <f t="shared" si="255"/>
        <v>0</v>
      </c>
      <c r="GK121" s="560" t="str">
        <f t="shared" si="331"/>
        <v/>
      </c>
      <c r="GL121" s="560">
        <f t="shared" si="256"/>
        <v>0</v>
      </c>
      <c r="GM121" s="560" t="str">
        <f t="shared" si="257"/>
        <v/>
      </c>
      <c r="GN121" s="560">
        <f>IF(GK121="P",Lookup!$M$12,IF(GK121="PP",Lookup!$M$13,IF(GK121="PPP",Lookup!$M$14,IF(GK121="T",Lookup!$M$15,IF(GK121="TP",Lookup!$M$16,IF(GK121="TPP",Lookup!$M$17,IF(GK121="TPPP",Lookup!$M$18,0)))))))*GJ121</f>
        <v>0</v>
      </c>
      <c r="GO121" s="560">
        <f t="shared" si="258"/>
        <v>0</v>
      </c>
      <c r="GP121" s="560">
        <f t="shared" si="332"/>
        <v>4875.2565333333341</v>
      </c>
      <c r="GQ121" s="560">
        <f t="shared" si="266"/>
        <v>1589.0666666666668</v>
      </c>
      <c r="GR121" s="560"/>
      <c r="GS121" s="560">
        <f t="shared" si="259"/>
        <v>0</v>
      </c>
      <c r="GT121" s="560" t="str">
        <f t="shared" si="260"/>
        <v/>
      </c>
      <c r="GU121" s="560">
        <f>IF(GK121="P",Lookup!$N$12,IF(GK121="PP",Lookup!$N$13,IF(GK121="PPP",Lookup!$N$14,IF(GK121="T",Lookup!$N$15,IF(GK121="TP",Lookup!$N$16,IF(GK121="TPP",Lookup!$N$17,IF(GK121="TPPP",Lookup!$N$18,0)))))))*GJ121</f>
        <v>0</v>
      </c>
      <c r="GV121" s="560">
        <f t="shared" si="261"/>
        <v>0</v>
      </c>
      <c r="GW121" s="560">
        <f t="shared" si="333"/>
        <v>2275.1197155555528</v>
      </c>
      <c r="GX121" s="560">
        <f t="shared" si="267"/>
        <v>741.56444444444355</v>
      </c>
      <c r="GY121" s="560"/>
      <c r="GZ121" s="560">
        <f t="shared" si="262"/>
        <v>0</v>
      </c>
      <c r="HA121" s="560" t="str">
        <f t="shared" si="263"/>
        <v/>
      </c>
      <c r="HB121" s="560">
        <f>IF(GK121="P",Lookup!$N$12,IF(GK121="PP",Lookup!$N$13,IF(GK121="PPP",Lookup!$N$14,IF(GK121="T",Lookup!$N$15,IF(GK121="TP",Lookup!$N$16,IF(GK121="TPP",Lookup!$N$17,IF(GK121="TPPP",Lookup!$N$18,0)))))))*GJ121</f>
        <v>0</v>
      </c>
      <c r="HC121" s="545">
        <f t="shared" si="334"/>
        <v>0</v>
      </c>
      <c r="HD121" s="560">
        <f t="shared" si="335"/>
        <v>1800.0706276900744</v>
      </c>
      <c r="HE121" s="560">
        <f t="shared" si="268"/>
        <v>586.72445491853796</v>
      </c>
      <c r="HF121" s="560"/>
      <c r="HG121" s="560">
        <f t="shared" si="264"/>
        <v>0</v>
      </c>
      <c r="HH121" s="560" t="str">
        <f t="shared" si="265"/>
        <v/>
      </c>
      <c r="HI121" s="560">
        <f>IF(GK121="P",Lookup!$N$12,IF(GK121="PP",Lookup!$N$13,IF(GK121="PPP",Lookup!$N$14,IF(GK121="T",Lookup!$N$15,IF(GK121="TP",Lookup!$N$16,IF(GK121="TPP",Lookup!$N$17,IF(GK121="TPPP",Lookup!$N$18,0)))))))*GJ121</f>
        <v>0</v>
      </c>
      <c r="HJ121" s="545">
        <f t="shared" si="336"/>
        <v>0</v>
      </c>
      <c r="HK121" s="560">
        <f t="shared" si="337"/>
        <v>1270.9472192966093</v>
      </c>
      <c r="HL121" s="560">
        <f t="shared" si="269"/>
        <v>414.25919794543978</v>
      </c>
      <c r="HM121" s="560"/>
    </row>
    <row r="122" spans="1:221">
      <c r="A122" s="580" t="s">
        <v>4</v>
      </c>
      <c r="B122" s="556">
        <v>41750</v>
      </c>
      <c r="C122" s="561">
        <v>0</v>
      </c>
      <c r="D122" s="529">
        <f t="shared" si="270"/>
        <v>300</v>
      </c>
      <c r="E122" s="529">
        <f t="shared" si="271"/>
        <v>250</v>
      </c>
      <c r="F122" s="529">
        <v>250</v>
      </c>
      <c r="G122" s="560">
        <f>DR122+Sheet1!CZ124</f>
        <v>1733.1316187599148</v>
      </c>
      <c r="H122" s="914">
        <f t="shared" si="236"/>
        <v>853.33307836640893</v>
      </c>
      <c r="I122" s="559">
        <f>MAX(Sheet1!Z124-AT122+(Sheet1!DA124-E122)*CFStoMGD,0)</f>
        <v>1357.184</v>
      </c>
      <c r="J122" s="562">
        <f>IF(AND(B122&gt;=Calculation!GC122,B122&lt;=Calculation!GD122),IF(Sheet1!DB124&gt;=Calculation!D122,64.64,0),MAX(Sheet1!Z124-AT122+(Sheet1!DB124-D122)*CFStoMGD,0))</f>
        <v>64.64</v>
      </c>
      <c r="K122" s="904">
        <f t="shared" si="273"/>
        <v>64.64</v>
      </c>
      <c r="L122" s="560">
        <f>Sheet1!AA124+Sheet1!AB124-Sheet1!L124+(Sheet1!DA124-F122)*CFStoMGD</f>
        <v>1331.5840000000001</v>
      </c>
      <c r="M122" s="560">
        <f t="shared" si="274"/>
        <v>1142.7022039337371</v>
      </c>
      <c r="N122" s="910">
        <f>IF(Sheet1!DA124&gt;=F122,MIN(73,MIN(MAX(L122,0),MAX(M122,0))),0)</f>
        <v>73</v>
      </c>
      <c r="O122" s="563">
        <f>Sheet1!AA124+Sheet1!AB124</f>
        <v>46.2</v>
      </c>
      <c r="P122" s="563">
        <f t="shared" si="275"/>
        <v>71.471399999999988</v>
      </c>
      <c r="Q122" s="898">
        <f t="shared" si="237"/>
        <v>37.630000000000003</v>
      </c>
      <c r="R122" s="829">
        <f t="shared" si="276"/>
        <v>8.5465389127884244</v>
      </c>
      <c r="S122" s="898">
        <f t="shared" si="238"/>
        <v>8.57</v>
      </c>
      <c r="T122" s="898">
        <f t="shared" si="239"/>
        <v>56.07</v>
      </c>
      <c r="U122" s="898">
        <f t="shared" si="240"/>
        <v>0</v>
      </c>
      <c r="V122" s="898"/>
      <c r="W122" s="898">
        <f t="shared" si="241"/>
        <v>56.09346108721158</v>
      </c>
      <c r="X122" s="898">
        <f t="shared" si="242"/>
        <v>64.64</v>
      </c>
      <c r="Y122" s="898" t="str">
        <f t="shared" si="243"/>
        <v>FALSE</v>
      </c>
      <c r="Z122" s="898">
        <f t="shared" si="244"/>
        <v>46.2</v>
      </c>
      <c r="AA122" s="898">
        <f t="shared" si="245"/>
        <v>46.2</v>
      </c>
      <c r="AB122" s="898" t="str">
        <f t="shared" si="246"/>
        <v/>
      </c>
      <c r="AC122" s="563">
        <f>Sheet1!Y124*MGDtoCFS</f>
        <v>32.0229</v>
      </c>
      <c r="AD122" s="563">
        <f>Sheet1!Z124*MGDtoCFS</f>
        <v>39.603200000000001</v>
      </c>
      <c r="AE122" s="563">
        <f>Sheet1!AA124*MGDtoCFS</f>
        <v>32.0229</v>
      </c>
      <c r="AF122" s="563">
        <f>Sheet1!AB124*MGDtoCFS</f>
        <v>39.448499999999996</v>
      </c>
      <c r="AG122" s="563">
        <f>Sheet1!L124*MGDtoCFS</f>
        <v>71.471400000000003</v>
      </c>
      <c r="AH122" s="545">
        <f t="shared" si="277"/>
        <v>0</v>
      </c>
      <c r="AI122" s="560">
        <f t="shared" si="278"/>
        <v>0</v>
      </c>
      <c r="AJ122" s="560">
        <f t="shared" si="279"/>
        <v>56.09346108721158</v>
      </c>
      <c r="AK122" s="560">
        <f t="shared" si="280"/>
        <v>86.776584301916316</v>
      </c>
      <c r="AL122" s="560">
        <f>(VLOOKUP(Sheet1!DC124,hhdcap_wcm,4)-(((VLOOKUP(Sheet1!DC124,hhdcap_wcm,3)-Sheet1!DC124)/(VLOOKUP(Sheet1!DC124,hhdcap_wcm,3)-VLOOKUP(Sheet1!DC124,hhdcap_wcm,1)))*(VLOOKUP(Sheet1!DC124,hhdcap_wcm,4)-VLOOKUP(Sheet1!DC124,hhdcap_wcm,2))))</f>
        <v>33826.00000008662</v>
      </c>
      <c r="AM122" s="560">
        <f t="shared" si="281"/>
        <v>-132.59999999908905</v>
      </c>
      <c r="AN122" s="560">
        <f t="shared" si="282"/>
        <v>3387.7082250622998</v>
      </c>
      <c r="AO122" s="560">
        <f t="shared" si="283"/>
        <v>10393.488834491136</v>
      </c>
      <c r="AP122" s="560">
        <f>Sheet1!BA124+Sheet1!BB124+Sheet1!BN124+CD122</f>
        <v>17</v>
      </c>
      <c r="AQ122" s="560">
        <f>Sheet1!BN124+(DO122*Sheet1!BN124)</f>
        <v>15.357841220179898</v>
      </c>
      <c r="AR122" s="560">
        <f>Sheet1!BA124+CD122</f>
        <v>0</v>
      </c>
      <c r="AS122" s="560">
        <f>Sheet1!BA124+Sheet1!BB124+CD122</f>
        <v>1.6</v>
      </c>
      <c r="AT122" s="698">
        <f>0</f>
        <v>0</v>
      </c>
      <c r="AU122" s="560">
        <f>IF(EB122&lt;K122,0,MAX(Sheet1!AA124+AQ122-15/36*K122-N122,Sheet1!EH124,0))</f>
        <v>0</v>
      </c>
      <c r="AV122" s="560">
        <f>IF(OR(B122&gt;=GD122,B122&lt;GC122),0,15/36*K122-MAX(0,64.6-(137.6-(Sheet1!AA124+Sheet1!AB124))))</f>
        <v>26.933333333333334</v>
      </c>
      <c r="AW122" s="698">
        <f>Sheet1!DB124-110</f>
        <v>1380</v>
      </c>
      <c r="AX122" s="698">
        <f>Sheet1!DA124-265</f>
        <v>2045</v>
      </c>
      <c r="AY122" s="698">
        <f t="shared" si="284"/>
        <v>35.369999999999997</v>
      </c>
      <c r="AZ122" s="698">
        <v>0</v>
      </c>
      <c r="BA122" s="698">
        <f t="shared" si="285"/>
        <v>0</v>
      </c>
      <c r="BB122" s="560">
        <f t="shared" si="286"/>
        <v>1616.0000000000002</v>
      </c>
      <c r="BC122" s="560"/>
      <c r="BD122" s="560">
        <f ca="1">IF(B122&gt;Summary!$A$1,#N/A,BB122*MGtoAF)</f>
        <v>4957.8880000000008</v>
      </c>
      <c r="BE122" s="560">
        <f>Sheet1!BG124+Sheet1!BH124+Sheet1!BI124-BM122</f>
        <v>0</v>
      </c>
      <c r="BF122" s="560">
        <f t="shared" si="287"/>
        <v>0</v>
      </c>
      <c r="BG122" s="560">
        <f>IF(Sheet1!EP124="FM",BM122,0)</f>
        <v>0</v>
      </c>
      <c r="BH122" s="560">
        <f t="shared" si="288"/>
        <v>0</v>
      </c>
      <c r="BI122" s="560">
        <f>IF(Sheet1!EP124="OTHER",BM122,0)</f>
        <v>0</v>
      </c>
      <c r="BJ122" s="560">
        <f t="shared" si="289"/>
        <v>0</v>
      </c>
      <c r="BK122" s="560">
        <f t="shared" si="290"/>
        <v>0</v>
      </c>
      <c r="BL122" s="560">
        <f t="shared" si="291"/>
        <v>0</v>
      </c>
      <c r="BM122" s="560">
        <f>IF(OR(Sheet1!EP124="FM", Sheet1!EP124="OTHER"),SUM(Sheet1!BG124:'Sheet1'!BI124),0)</f>
        <v>0</v>
      </c>
      <c r="BN122" s="545">
        <f>IF(AND($B122&gt;=$FV122,$B122&lt;=$FW122),MAX(BF122,Sheet1!EI124,0),MAX(BF122-(7/36)*$K122,0))</f>
        <v>0</v>
      </c>
      <c r="BO122" s="560">
        <f t="shared" si="292"/>
        <v>12.568888888888889</v>
      </c>
      <c r="BP122" s="545">
        <f t="shared" si="293"/>
        <v>0</v>
      </c>
      <c r="BQ122" s="545">
        <f>IF(AND($O122&gt;0,Sheet1!EM124=1),(1-($O122-Sheet1!$L124)/$O122)*BL122,0)</f>
        <v>0</v>
      </c>
      <c r="BR122" s="545">
        <f>IF(AND(Sheet1!$L124=0,Sheet1!$L123=0, Calculation!BK122&lt;Sheet1!$EI124-0.1,Sheet1!$EI124=Sheet1!$EI123,Sheet1!$EI124=Sheet1!$EI125),Sheet1!$EI124,BL122-BQ122)</f>
        <v>0</v>
      </c>
      <c r="BS122" s="560"/>
      <c r="BT122" s="560"/>
      <c r="BU122" s="560">
        <f t="shared" si="294"/>
        <v>754.13333333333242</v>
      </c>
      <c r="BV122" s="560"/>
      <c r="BW122" s="560">
        <f ca="1">IF(B122&gt;Summary!$A$1,#N/A,BU122*MGtoAF)</f>
        <v>2313.6810666666638</v>
      </c>
      <c r="BX122" s="560">
        <f>Sheet1!BC124+Sheet1!BD124+Sheet1!BE124+Sheet1!BF124-CG122-CH122</f>
        <v>2.4900000000000002</v>
      </c>
      <c r="BY122" s="560">
        <f t="shared" si="295"/>
        <v>2.4831834180680485</v>
      </c>
      <c r="BZ122" s="560">
        <f>IF(Sheet1!EQ124="FM",CH122,0)</f>
        <v>0</v>
      </c>
      <c r="CA122" s="560">
        <f t="shared" si="296"/>
        <v>0</v>
      </c>
      <c r="CB122" s="560">
        <f>IF(Sheet1!EQ124="OTHER",CH122,0)</f>
        <v>0</v>
      </c>
      <c r="CC122" s="560">
        <f t="shared" si="297"/>
        <v>0</v>
      </c>
      <c r="CD122" s="560">
        <f t="shared" si="298"/>
        <v>0</v>
      </c>
      <c r="CE122" s="560">
        <f t="shared" si="299"/>
        <v>2.4900000000000002</v>
      </c>
      <c r="CF122" s="560">
        <f t="shared" si="300"/>
        <v>2.4831834180680485</v>
      </c>
      <c r="CG122" s="560">
        <f>IF(Sheet1!EQ124="CWA",SUM(Sheet1!BC124:'Sheet1'!BF124),0)</f>
        <v>0</v>
      </c>
      <c r="CH122" s="560">
        <f>IF(OR(Sheet1!EQ124="FM", Sheet1!EQ124="OTHER"),SUM(Sheet1!BC124:'Sheet1'!BF124),0)</f>
        <v>0</v>
      </c>
      <c r="CI122" s="545">
        <f>IF(AND($B122&gt;=$FV122,$B122&lt;=$FW122),MAX(CF122,Sheet1!EJ124,0),MAX(CF122-(7/36)*$K122,0))</f>
        <v>0</v>
      </c>
      <c r="CJ122" s="560">
        <f t="shared" si="301"/>
        <v>10.085705470820841</v>
      </c>
      <c r="CK122" s="545">
        <f t="shared" si="302"/>
        <v>2.4831834180680485</v>
      </c>
      <c r="CL122" s="545">
        <f>IF(AND($O122&gt;0,Sheet1!EN124=1),(1-($O122-Sheet1!$L124)/$O122)*CF122,0)</f>
        <v>0</v>
      </c>
      <c r="CM122" s="545">
        <f>IF(AND(Sheet1!$L124=0,Sheet1!$L123=0, Calculation!CE122&lt;Sheet1!EJ124-0.1,Sheet1!EJ124=Sheet1!EJ123,Sheet1!EJ124=Sheet1!EJ125),Sheet1!EJ124,CF122-CL122)</f>
        <v>2.4831834180680485</v>
      </c>
      <c r="CN122" s="545"/>
      <c r="CO122" s="560"/>
      <c r="CP122" s="560">
        <f t="shared" si="303"/>
        <v>596.81016038935877</v>
      </c>
      <c r="CQ122" s="560"/>
      <c r="CR122" s="560">
        <f ca="1">IF(B122&gt;Summary!$A$1,#N/A,CP122*MGtoAF)</f>
        <v>1831.0135720745527</v>
      </c>
      <c r="CS122" s="560">
        <f>Sheet1!BK124+Sheet1!BL124+Sheet1!BM124-Sheet1!ER124-DA122</f>
        <v>6.08</v>
      </c>
      <c r="CT122" s="560">
        <f t="shared" si="304"/>
        <v>6.0633554947203754</v>
      </c>
      <c r="CU122" s="560">
        <f>IF(Sheet1!ER124="FM",DA122,0)</f>
        <v>0</v>
      </c>
      <c r="CV122" s="560">
        <f t="shared" si="305"/>
        <v>0</v>
      </c>
      <c r="CW122" s="560">
        <f>IF(Sheet1!ER124="OTHER",DA122,0)</f>
        <v>0</v>
      </c>
      <c r="CX122" s="560">
        <f t="shared" si="306"/>
        <v>0</v>
      </c>
      <c r="CY122" s="560">
        <f t="shared" si="307"/>
        <v>6.08</v>
      </c>
      <c r="CZ122" s="560">
        <f t="shared" si="308"/>
        <v>6.0633554947203754</v>
      </c>
      <c r="DA122" s="560">
        <f>IF(OR(Sheet1!ER124="FM", Sheet1!ER124="OTHER"),SUM(Sheet1!BK124:'Sheet1'!BM124),0)</f>
        <v>0</v>
      </c>
      <c r="DB122" s="545">
        <f>IF(AND($B122&gt;=$FV122,$B122&lt;=$FW122),MAX($CT122,Sheet1!EK124,0),MAX($CT122-(7/36)*$K122,0))</f>
        <v>0</v>
      </c>
      <c r="DC122" s="560">
        <f t="shared" si="309"/>
        <v>6.5055333941685136</v>
      </c>
      <c r="DD122" s="545">
        <f t="shared" si="310"/>
        <v>6.0633554947203754</v>
      </c>
      <c r="DE122" s="545">
        <f>IF(AND($O122&gt;0,Sheet1!EO124=1),(1-($O122-Sheet1!$L124)/$O122)*CZ122,0)</f>
        <v>0</v>
      </c>
      <c r="DF122" s="545">
        <f>IF(AND(Sheet1!$L124=0,Sheet1!$L123=0, Calculation!CY122&lt;Sheet1!$EK124-0.1,Sheet1!$EK124=Sheet1!$EK123,Sheet1!$EK124=Sheet1!$EK125),Sheet1!$EK124,CZ122-DE122)</f>
        <v>6.0633554947203754</v>
      </c>
      <c r="DG122" s="545"/>
      <c r="DH122" s="560">
        <f t="shared" si="311"/>
        <v>8.57</v>
      </c>
      <c r="DI122" s="560">
        <f t="shared" si="312"/>
        <v>420.76473133960832</v>
      </c>
      <c r="DJ122" s="698">
        <f t="shared" si="313"/>
        <v>8.5465389127884244</v>
      </c>
      <c r="DK122" s="560">
        <f ca="1">IF(B122&gt;Summary!$A$1,#N/A,DI122*MGtoAF)</f>
        <v>1290.9061957499184</v>
      </c>
      <c r="DL122" s="698">
        <f t="shared" si="314"/>
        <v>8.57</v>
      </c>
      <c r="DM122" s="560">
        <f t="shared" si="315"/>
        <v>25.57</v>
      </c>
      <c r="DN122" s="560">
        <f>Sheet1!AB124-DM122</f>
        <v>-7.0000000000000284E-2</v>
      </c>
      <c r="DO122" s="823">
        <f t="shared" si="316"/>
        <v>-2.7375831052014188E-3</v>
      </c>
      <c r="DP122" s="560">
        <f>(VLOOKUP(Sheet1!DC124,hhdcap_wcm,4)-(((VLOOKUP(Sheet1!DC124,hhdcap_wcm,3)-Sheet1!DC124)/(VLOOKUP(Sheet1!DC124,hhdcap_wcm,3)-VLOOKUP(Sheet1!DC124,hhdcap_wcm,1)))*(VLOOKUP(Sheet1!DC124,hhdcap_wcm,4)-VLOOKUP(Sheet1!DC124,hhdcap_wcm,2))))</f>
        <v>33826.00000008662</v>
      </c>
      <c r="DQ122" s="560">
        <f t="shared" si="317"/>
        <v>-132.59999999908905</v>
      </c>
      <c r="DR122" s="560">
        <f t="shared" si="318"/>
        <v>-66.868381240085242</v>
      </c>
      <c r="DS122" s="560">
        <f>Sheet1!EA124*AFtoMG</f>
        <v>0</v>
      </c>
      <c r="DT122" s="560">
        <f>Sheet1!EB124*AFtoMG</f>
        <v>0</v>
      </c>
      <c r="DU122" s="560">
        <f>Sheet1!EC124*AFtoMG</f>
        <v>0</v>
      </c>
      <c r="DV122" s="560">
        <f>Sheet1!ED124*AFtoMG</f>
        <v>0</v>
      </c>
      <c r="DW122" s="560">
        <f t="shared" si="319"/>
        <v>0</v>
      </c>
      <c r="DX122" s="560">
        <f t="shared" si="320"/>
        <v>0</v>
      </c>
      <c r="DY122" s="560">
        <f t="shared" si="321"/>
        <v>3387.7082250622998</v>
      </c>
      <c r="DZ122" s="560">
        <f t="shared" si="322"/>
        <v>10393.488834491136</v>
      </c>
      <c r="EA122" s="560"/>
      <c r="EB122" s="545">
        <f>IF(OR(B122&lt;FV122,B122&gt;FW122),(MIN(BF122+BY122+CT122+MAX(Sheet1!AA124+AQ122-73,0),K122)),0)</f>
        <v>8.5465389127884244</v>
      </c>
      <c r="EC122" s="560"/>
      <c r="ED122" s="560">
        <f t="shared" si="323"/>
        <v>8.5465389127884244</v>
      </c>
      <c r="EE122" s="560"/>
      <c r="EF122" s="560">
        <f>Sheet1!EH124+Sheet1!EI124+Sheet1!EJ124+Sheet1!EK124</f>
        <v>8.57</v>
      </c>
      <c r="EG122" s="560"/>
      <c r="EH122" s="545">
        <f t="shared" si="324"/>
        <v>0</v>
      </c>
      <c r="EI122" s="560">
        <f>IF(Sheet1!ET124=1,SUM('Calculations II'!AT122:BA122)+'Calculations II'!BC122+Sheet1!BV124+'Calculations II'!BE122+AP122,SUM('Calculations II'!AT122:BA122)+'Calculations II'!BC122+Sheet1!BV124+'Calculations II'!BE122+AP122)</f>
        <v>47.189439999999998</v>
      </c>
      <c r="EJ122" s="560">
        <f>Sheet1!AA124+Sheet1!AB124+'Calculations II'!BC122</f>
        <v>52.501584000000001</v>
      </c>
      <c r="EK122" s="560"/>
      <c r="EL122" s="560"/>
      <c r="EM122" s="560">
        <f t="shared" si="325"/>
        <v>41750</v>
      </c>
      <c r="EN122" s="560">
        <f t="shared" si="326"/>
        <v>56.09346108721158</v>
      </c>
      <c r="EO122" s="560">
        <f t="shared" si="327"/>
        <v>86.776584301916316</v>
      </c>
      <c r="EP122" s="560">
        <v>0</v>
      </c>
      <c r="EQ122" s="560">
        <v>0</v>
      </c>
      <c r="ER122" s="560">
        <v>0</v>
      </c>
      <c r="ES122" s="545">
        <f t="shared" si="247"/>
        <v>-0.55397754968503865</v>
      </c>
      <c r="ET122" s="560">
        <f>-(VLOOKUP(Sheet1!BQ124,Lookup!$O$4:$Q$262,2)-VLOOKUP(Sheet1!BQ123,Lookup!$O$4:$Q$262,2))/1000000</f>
        <v>-0.27698877484251933</v>
      </c>
      <c r="EU122" s="560">
        <f>-(VLOOKUP(Sheet1!BR124,Lookup!$O$4:$Q$262,3)-VLOOKUP(Sheet1!BR123,Lookup!$O$4:$Q$262,3))/1000000</f>
        <v>-0.27698877484251933</v>
      </c>
      <c r="EV122" s="560"/>
      <c r="EW122" s="560"/>
      <c r="EX122" s="560"/>
      <c r="EY122" s="560"/>
      <c r="EZ122" s="560"/>
      <c r="FA122" s="560"/>
      <c r="FB122" s="560"/>
      <c r="FC122" s="560"/>
      <c r="FD122" s="594" t="e">
        <f t="shared" si="328"/>
        <v>#N/A</v>
      </c>
      <c r="FE122" s="594" t="e">
        <f t="shared" si="329"/>
        <v>#N/A</v>
      </c>
      <c r="FF122" s="595" t="e">
        <f t="shared" si="330"/>
        <v>#N/A</v>
      </c>
      <c r="FG122" s="596" t="s">
        <v>692</v>
      </c>
      <c r="FH122" s="596" t="s">
        <v>692</v>
      </c>
      <c r="FI122" s="594" t="e">
        <v>#N/A</v>
      </c>
      <c r="FJ122" s="594" t="e">
        <v>#N/A</v>
      </c>
      <c r="FK122" s="560"/>
      <c r="FL122" s="560"/>
      <c r="FM122" s="560"/>
      <c r="FN122" s="560"/>
      <c r="FO122" s="560">
        <f>O122+((Sheet1!CS124)*GPMtoMGD)</f>
        <v>52.501584000000001</v>
      </c>
      <c r="FP122" s="560">
        <f>IF(Sheet1!AA124+AQ122&lt;=Calculation!N122,AQ122,Calculation!N122-Sheet1!AA124)</f>
        <v>15.357841220179898</v>
      </c>
      <c r="FQ122" s="560">
        <f>(Sheet1!BP124+Sheet1!BO124)/694.4</f>
        <v>1.4236751152073734</v>
      </c>
      <c r="FR122" s="560"/>
      <c r="FS122" s="560"/>
      <c r="FT122" s="560"/>
      <c r="FU122" s="560"/>
      <c r="FV122" s="695">
        <f t="shared" si="248"/>
        <v>41827</v>
      </c>
      <c r="FW122" s="695">
        <f t="shared" si="249"/>
        <v>41934</v>
      </c>
      <c r="FX122" s="560"/>
      <c r="FY122" s="560"/>
      <c r="FZ122" s="560"/>
      <c r="GA122" s="560"/>
      <c r="GB122" s="560" t="str">
        <f t="shared" si="250"/>
        <v>n</v>
      </c>
      <c r="GC122" s="564">
        <f t="shared" si="251"/>
        <v>41691</v>
      </c>
      <c r="GD122" s="695">
        <f t="shared" si="252"/>
        <v>41807</v>
      </c>
      <c r="GE122" s="560">
        <v>6518.9</v>
      </c>
      <c r="GF122" s="695">
        <f t="shared" si="253"/>
        <v>41808</v>
      </c>
      <c r="GG122" s="560">
        <f t="shared" si="272"/>
        <v>3259</v>
      </c>
      <c r="GH122" s="564">
        <f t="shared" si="254"/>
        <v>41934</v>
      </c>
      <c r="GJ122" s="545">
        <f t="shared" si="255"/>
        <v>0</v>
      </c>
      <c r="GK122" s="560" t="str">
        <f t="shared" si="331"/>
        <v/>
      </c>
      <c r="GL122" s="560">
        <f t="shared" si="256"/>
        <v>0</v>
      </c>
      <c r="GM122" s="560" t="str">
        <f t="shared" si="257"/>
        <v/>
      </c>
      <c r="GN122" s="560">
        <f>IF(GK122="P",Lookup!$M$12,IF(GK122="PP",Lookup!$M$13,IF(GK122="PPP",Lookup!$M$14,IF(GK122="T",Lookup!$M$15,IF(GK122="TP",Lookup!$M$16,IF(GK122="TPP",Lookup!$M$17,IF(GK122="TPPP",Lookup!$M$18,0)))))))*GJ122</f>
        <v>0</v>
      </c>
      <c r="GO122" s="560">
        <f t="shared" si="258"/>
        <v>0</v>
      </c>
      <c r="GP122" s="560">
        <f t="shared" si="332"/>
        <v>4957.8880000000008</v>
      </c>
      <c r="GQ122" s="560">
        <f t="shared" si="266"/>
        <v>1616.0000000000002</v>
      </c>
      <c r="GR122" s="560"/>
      <c r="GS122" s="560">
        <f t="shared" si="259"/>
        <v>0</v>
      </c>
      <c r="GT122" s="560" t="str">
        <f t="shared" si="260"/>
        <v/>
      </c>
      <c r="GU122" s="560">
        <f>IF(GK122="P",Lookup!$N$12,IF(GK122="PP",Lookup!$N$13,IF(GK122="PPP",Lookup!$N$14,IF(GK122="T",Lookup!$N$15,IF(GK122="TP",Lookup!$N$16,IF(GK122="TPP",Lookup!$N$17,IF(GK122="TPPP",Lookup!$N$18,0)))))))*GJ122</f>
        <v>0</v>
      </c>
      <c r="GV122" s="560">
        <f t="shared" si="261"/>
        <v>0</v>
      </c>
      <c r="GW122" s="560">
        <f t="shared" si="333"/>
        <v>2313.6810666666638</v>
      </c>
      <c r="GX122" s="560">
        <f t="shared" si="267"/>
        <v>754.13333333333242</v>
      </c>
      <c r="GY122" s="560"/>
      <c r="GZ122" s="560">
        <f t="shared" si="262"/>
        <v>0</v>
      </c>
      <c r="HA122" s="560" t="str">
        <f t="shared" si="263"/>
        <v/>
      </c>
      <c r="HB122" s="560">
        <f>IF(GK122="P",Lookup!$N$12,IF(GK122="PP",Lookup!$N$13,IF(GK122="PPP",Lookup!$N$14,IF(GK122="T",Lookup!$N$15,IF(GK122="TP",Lookup!$N$16,IF(GK122="TPP",Lookup!$N$17,IF(GK122="TPPP",Lookup!$N$18,0)))))))*GJ122</f>
        <v>0</v>
      </c>
      <c r="HC122" s="545">
        <f t="shared" si="334"/>
        <v>0</v>
      </c>
      <c r="HD122" s="560">
        <f t="shared" si="335"/>
        <v>1831.0135720745527</v>
      </c>
      <c r="HE122" s="560">
        <f t="shared" si="268"/>
        <v>596.81016038935877</v>
      </c>
      <c r="HF122" s="560"/>
      <c r="HG122" s="560">
        <f t="shared" si="264"/>
        <v>0</v>
      </c>
      <c r="HH122" s="560" t="str">
        <f t="shared" si="265"/>
        <v/>
      </c>
      <c r="HI122" s="560">
        <f>IF(GK122="P",Lookup!$N$12,IF(GK122="PP",Lookup!$N$13,IF(GK122="PPP",Lookup!$N$14,IF(GK122="T",Lookup!$N$15,IF(GK122="TP",Lookup!$N$16,IF(GK122="TPP",Lookup!$N$17,IF(GK122="TPPP",Lookup!$N$18,0)))))))*GJ122</f>
        <v>0</v>
      </c>
      <c r="HJ122" s="545">
        <f t="shared" si="336"/>
        <v>0</v>
      </c>
      <c r="HK122" s="560">
        <f t="shared" si="337"/>
        <v>1290.9061957499184</v>
      </c>
      <c r="HL122" s="560">
        <f t="shared" si="269"/>
        <v>420.76473133960832</v>
      </c>
      <c r="HM122" s="560"/>
    </row>
    <row r="123" spans="1:221">
      <c r="A123" s="580" t="s">
        <v>5</v>
      </c>
      <c r="B123" s="556">
        <v>41751</v>
      </c>
      <c r="C123" s="561">
        <v>0</v>
      </c>
      <c r="D123" s="529">
        <f t="shared" si="270"/>
        <v>300</v>
      </c>
      <c r="E123" s="529">
        <f t="shared" si="271"/>
        <v>250</v>
      </c>
      <c r="F123" s="529">
        <v>250</v>
      </c>
      <c r="G123" s="560">
        <f>DR123+Sheet1!CZ125</f>
        <v>1576.4346949064611</v>
      </c>
      <c r="H123" s="914">
        <f t="shared" si="236"/>
        <v>752.04418678753643</v>
      </c>
      <c r="I123" s="559">
        <f>MAX(Sheet1!Z125-AT123+(Sheet1!DA125-E123)*CFStoMGD,0)</f>
        <v>1466.972</v>
      </c>
      <c r="J123" s="562">
        <f>IF(AND(B123&gt;=Calculation!GC123,B123&lt;=Calculation!GD123),IF(Sheet1!DB125&gt;=Calculation!D123,64.64,0),MAX(Sheet1!Z125-AT123+(Sheet1!DB125-D123)*CFStoMGD,0))</f>
        <v>64.64</v>
      </c>
      <c r="K123" s="904">
        <f t="shared" si="273"/>
        <v>64.64</v>
      </c>
      <c r="L123" s="560">
        <f>Sheet1!AA125+Sheet1!AB125-Sheet1!L125+(Sheet1!DA125-F123)*CFStoMGD</f>
        <v>1441.472</v>
      </c>
      <c r="M123" s="560">
        <f t="shared" si="274"/>
        <v>1039.3875345232873</v>
      </c>
      <c r="N123" s="910">
        <f>IF(Sheet1!DA125&gt;=F123,MIN(73,MIN(MAX(L123,0),MAX(M123,0))),0)</f>
        <v>73</v>
      </c>
      <c r="O123" s="563">
        <f>Sheet1!AA125+Sheet1!AB125</f>
        <v>46.2</v>
      </c>
      <c r="P123" s="563">
        <f t="shared" si="275"/>
        <v>71.471399999999988</v>
      </c>
      <c r="Q123" s="898">
        <f t="shared" si="237"/>
        <v>37.61</v>
      </c>
      <c r="R123" s="829">
        <f t="shared" si="276"/>
        <v>8.5597889800703406</v>
      </c>
      <c r="S123" s="898">
        <f t="shared" si="238"/>
        <v>8.59</v>
      </c>
      <c r="T123" s="898">
        <f t="shared" si="239"/>
        <v>56.05</v>
      </c>
      <c r="U123" s="898">
        <f t="shared" si="240"/>
        <v>0</v>
      </c>
      <c r="V123" s="898"/>
      <c r="W123" s="898">
        <f t="shared" si="241"/>
        <v>56.080211019929664</v>
      </c>
      <c r="X123" s="898">
        <f t="shared" si="242"/>
        <v>64.64</v>
      </c>
      <c r="Y123" s="898" t="str">
        <f t="shared" si="243"/>
        <v>FALSE</v>
      </c>
      <c r="Z123" s="898">
        <f t="shared" si="244"/>
        <v>46.2</v>
      </c>
      <c r="AA123" s="898">
        <f t="shared" si="245"/>
        <v>46.2</v>
      </c>
      <c r="AB123" s="898" t="str">
        <f t="shared" si="246"/>
        <v/>
      </c>
      <c r="AC123" s="563">
        <f>Sheet1!Y125*MGDtoCFS</f>
        <v>32.0229</v>
      </c>
      <c r="AD123" s="563">
        <f>Sheet1!Z125*MGDtoCFS</f>
        <v>39.448499999999996</v>
      </c>
      <c r="AE123" s="563">
        <f>Sheet1!AA125*MGDtoCFS</f>
        <v>32.0229</v>
      </c>
      <c r="AF123" s="563">
        <f>Sheet1!AB125*MGDtoCFS</f>
        <v>39.448499999999996</v>
      </c>
      <c r="AG123" s="563">
        <f>Sheet1!L125*MGDtoCFS</f>
        <v>71.471400000000003</v>
      </c>
      <c r="AH123" s="545">
        <f t="shared" si="277"/>
        <v>0</v>
      </c>
      <c r="AI123" s="560">
        <f t="shared" si="278"/>
        <v>0</v>
      </c>
      <c r="AJ123" s="560">
        <f t="shared" si="279"/>
        <v>56.080211019929664</v>
      </c>
      <c r="AK123" s="560">
        <f t="shared" si="280"/>
        <v>86.75608644783118</v>
      </c>
      <c r="AL123" s="560">
        <f>(VLOOKUP(Sheet1!DC125,hhdcap_wcm,4)-(((VLOOKUP(Sheet1!DC125,hhdcap_wcm,3)-Sheet1!DC125)/(VLOOKUP(Sheet1!DC125,hhdcap_wcm,3)-VLOOKUP(Sheet1!DC125,hhdcap_wcm,1)))*(VLOOKUP(Sheet1!DC125,hhdcap_wcm,4)-VLOOKUP(Sheet1!DC125,hhdcap_wcm,2))))</f>
        <v>34394.000000086133</v>
      </c>
      <c r="AM123" s="560">
        <f t="shared" si="281"/>
        <v>567.99999999951251</v>
      </c>
      <c r="AN123" s="560">
        <f t="shared" si="282"/>
        <v>3443.7884360822291</v>
      </c>
      <c r="AO123" s="560">
        <f t="shared" si="283"/>
        <v>10565.542921900278</v>
      </c>
      <c r="AP123" s="560">
        <f>Sheet1!BA125+Sheet1!BB125+Sheet1!BN125+CD123</f>
        <v>17</v>
      </c>
      <c r="AQ123" s="560">
        <f>Sheet1!BN125+(DO123*Sheet1!BN125)</f>
        <v>15.345838218053927</v>
      </c>
      <c r="AR123" s="560">
        <f>Sheet1!BA125+CD123</f>
        <v>0</v>
      </c>
      <c r="AS123" s="560">
        <f>Sheet1!BA125+Sheet1!BB125+CD123</f>
        <v>1.6</v>
      </c>
      <c r="AT123" s="698">
        <f>0</f>
        <v>0</v>
      </c>
      <c r="AU123" s="560">
        <f>IF(EB123&lt;K123,0,MAX(Sheet1!AA125+AQ123-15/36*K123-N123,Sheet1!EH125,0))</f>
        <v>0</v>
      </c>
      <c r="AV123" s="560">
        <f>IF(OR(B123&gt;=GD123,B123&lt;GC123),0,15/36*K123-MAX(0,64.6-(137.6-(Sheet1!AA125+Sheet1!AB125))))</f>
        <v>26.933333333333334</v>
      </c>
      <c r="AW123" s="698">
        <f>Sheet1!DB125-110</f>
        <v>1320</v>
      </c>
      <c r="AX123" s="698">
        <f>Sheet1!DA125-265</f>
        <v>2215</v>
      </c>
      <c r="AY123" s="698">
        <f t="shared" si="284"/>
        <v>35.39</v>
      </c>
      <c r="AZ123" s="698">
        <v>0</v>
      </c>
      <c r="BA123" s="698">
        <f t="shared" si="285"/>
        <v>0</v>
      </c>
      <c r="BB123" s="560">
        <f t="shared" si="286"/>
        <v>1642.9333333333336</v>
      </c>
      <c r="BC123" s="560"/>
      <c r="BD123" s="560">
        <f ca="1">IF(B123&gt;Summary!$A$1,#N/A,BB123*MGtoAF)</f>
        <v>5040.5194666666675</v>
      </c>
      <c r="BE123" s="560">
        <f>Sheet1!BG125+Sheet1!BH125+Sheet1!BI125-BM123</f>
        <v>0</v>
      </c>
      <c r="BF123" s="560">
        <f t="shared" si="287"/>
        <v>0</v>
      </c>
      <c r="BG123" s="560">
        <f>IF(Sheet1!EP125="FM",BM123,0)</f>
        <v>0</v>
      </c>
      <c r="BH123" s="560">
        <f t="shared" si="288"/>
        <v>0</v>
      </c>
      <c r="BI123" s="560">
        <f>IF(Sheet1!EP125="OTHER",BM123,0)</f>
        <v>0</v>
      </c>
      <c r="BJ123" s="560">
        <f t="shared" si="289"/>
        <v>0</v>
      </c>
      <c r="BK123" s="560">
        <f t="shared" si="290"/>
        <v>0</v>
      </c>
      <c r="BL123" s="560">
        <f t="shared" si="291"/>
        <v>0</v>
      </c>
      <c r="BM123" s="560">
        <f>IF(OR(Sheet1!EP125="FM", Sheet1!EP125="OTHER"),SUM(Sheet1!BG125:'Sheet1'!BI125),0)</f>
        <v>0</v>
      </c>
      <c r="BN123" s="545">
        <f>IF(AND($B123&gt;=$FV123,$B123&lt;=$FW123),MAX(BF123,Sheet1!EI125,0),MAX(BF123-(7/36)*$K123,0))</f>
        <v>0</v>
      </c>
      <c r="BO123" s="560">
        <f t="shared" si="292"/>
        <v>12.568888888888889</v>
      </c>
      <c r="BP123" s="545">
        <f t="shared" si="293"/>
        <v>0</v>
      </c>
      <c r="BQ123" s="545">
        <f>IF(AND($O123&gt;0,Sheet1!EM125=1),(1-($O123-Sheet1!$L125)/$O123)*BL123,0)</f>
        <v>0</v>
      </c>
      <c r="BR123" s="545">
        <f>IF(AND(Sheet1!$L125=0,Sheet1!$L124=0, Calculation!BK123&lt;Sheet1!$EI125-0.1,Sheet1!$EI125=Sheet1!$EI124,Sheet1!$EI125=Sheet1!$EI126),Sheet1!$EI125,BL123-BQ123)</f>
        <v>0</v>
      </c>
      <c r="BS123" s="560"/>
      <c r="BT123" s="560"/>
      <c r="BU123" s="560">
        <f t="shared" si="294"/>
        <v>766.70222222222128</v>
      </c>
      <c r="BV123" s="560"/>
      <c r="BW123" s="560">
        <f ca="1">IF(B123&gt;Summary!$A$1,#N/A,BU123*MGtoAF)</f>
        <v>2352.2424177777748</v>
      </c>
      <c r="BX123" s="560">
        <f>Sheet1!BC125+Sheet1!BD125+Sheet1!BE125+Sheet1!BF125-CG123-CH123</f>
        <v>2.5</v>
      </c>
      <c r="BY123" s="560">
        <f t="shared" si="295"/>
        <v>2.4912075029308323</v>
      </c>
      <c r="BZ123" s="560">
        <f>IF(Sheet1!EQ125="FM",CH123,0)</f>
        <v>0</v>
      </c>
      <c r="CA123" s="560">
        <f t="shared" si="296"/>
        <v>0</v>
      </c>
      <c r="CB123" s="560">
        <f>IF(Sheet1!EQ125="OTHER",CH123,0)</f>
        <v>0</v>
      </c>
      <c r="CC123" s="560">
        <f t="shared" si="297"/>
        <v>0</v>
      </c>
      <c r="CD123" s="560">
        <f t="shared" si="298"/>
        <v>0</v>
      </c>
      <c r="CE123" s="560">
        <f t="shared" si="299"/>
        <v>2.5</v>
      </c>
      <c r="CF123" s="560">
        <f t="shared" si="300"/>
        <v>2.4912075029308323</v>
      </c>
      <c r="CG123" s="560">
        <f>IF(Sheet1!EQ125="CWA",SUM(Sheet1!BC125:'Sheet1'!BF125),0)</f>
        <v>0</v>
      </c>
      <c r="CH123" s="560">
        <f>IF(OR(Sheet1!EQ125="FM", Sheet1!EQ125="OTHER"),SUM(Sheet1!BC125:'Sheet1'!BF125),0)</f>
        <v>0</v>
      </c>
      <c r="CI123" s="545">
        <f>IF(AND($B123&gt;=$FV123,$B123&lt;=$FW123),MAX(CF123,Sheet1!EJ125,0),MAX(CF123-(7/36)*$K123,0))</f>
        <v>0</v>
      </c>
      <c r="CJ123" s="560">
        <f t="shared" si="301"/>
        <v>10.077681385958057</v>
      </c>
      <c r="CK123" s="545">
        <f t="shared" si="302"/>
        <v>2.4912075029308323</v>
      </c>
      <c r="CL123" s="545">
        <f>IF(AND($O123&gt;0,Sheet1!EN125=1),(1-($O123-Sheet1!$L125)/$O123)*CF123,0)</f>
        <v>0</v>
      </c>
      <c r="CM123" s="545">
        <f>IF(AND(Sheet1!$L125=0,Sheet1!$L124=0, Calculation!CE123&lt;Sheet1!EJ125-0.1,Sheet1!EJ125=Sheet1!EJ124,Sheet1!EJ125=Sheet1!EJ126),Sheet1!EJ125,CF123-CL123)</f>
        <v>2.4912075029308323</v>
      </c>
      <c r="CN123" s="545"/>
      <c r="CO123" s="560"/>
      <c r="CP123" s="560">
        <f t="shared" si="303"/>
        <v>606.88784177531682</v>
      </c>
      <c r="CQ123" s="560"/>
      <c r="CR123" s="560">
        <f ca="1">IF(B123&gt;Summary!$A$1,#N/A,CP123*MGtoAF)</f>
        <v>1861.9318985666721</v>
      </c>
      <c r="CS123" s="560">
        <f>Sheet1!BK125+Sheet1!BL125+Sheet1!BM125-Sheet1!ER125-DA123</f>
        <v>6.09</v>
      </c>
      <c r="CT123" s="560">
        <f t="shared" si="304"/>
        <v>6.0685814771395075</v>
      </c>
      <c r="CU123" s="560">
        <f>IF(Sheet1!ER125="FM",DA123,0)</f>
        <v>0</v>
      </c>
      <c r="CV123" s="560">
        <f t="shared" si="305"/>
        <v>0</v>
      </c>
      <c r="CW123" s="560">
        <f>IF(Sheet1!ER125="OTHER",DA123,0)</f>
        <v>0</v>
      </c>
      <c r="CX123" s="560">
        <f t="shared" si="306"/>
        <v>0</v>
      </c>
      <c r="CY123" s="560">
        <f t="shared" si="307"/>
        <v>6.09</v>
      </c>
      <c r="CZ123" s="560">
        <f t="shared" si="308"/>
        <v>6.0685814771395075</v>
      </c>
      <c r="DA123" s="560">
        <f>IF(OR(Sheet1!ER125="FM", Sheet1!ER125="OTHER"),SUM(Sheet1!BK125:'Sheet1'!BM125),0)</f>
        <v>0</v>
      </c>
      <c r="DB123" s="545">
        <f>IF(AND($B123&gt;=$FV123,$B123&lt;=$FW123),MAX($CT123,Sheet1!EK125,0),MAX($CT123-(7/36)*$K123,0))</f>
        <v>0</v>
      </c>
      <c r="DC123" s="560">
        <f t="shared" si="309"/>
        <v>6.5003074117493815</v>
      </c>
      <c r="DD123" s="545">
        <f t="shared" si="310"/>
        <v>6.0685814771395075</v>
      </c>
      <c r="DE123" s="545">
        <f>IF(AND($O123&gt;0,Sheet1!EO125=1),(1-($O123-Sheet1!$L125)/$O123)*CZ123,0)</f>
        <v>0</v>
      </c>
      <c r="DF123" s="545">
        <f>IF(AND(Sheet1!$L125=0,Sheet1!$L124=0, Calculation!CY123&lt;Sheet1!$EK125-0.1,Sheet1!$EK125=Sheet1!$EK124,Sheet1!$EK125=Sheet1!$EK126),Sheet1!$EK125,CZ123-DE123)</f>
        <v>6.0685814771395075</v>
      </c>
      <c r="DG123" s="545"/>
      <c r="DH123" s="560">
        <f t="shared" si="311"/>
        <v>8.59</v>
      </c>
      <c r="DI123" s="560">
        <f t="shared" si="312"/>
        <v>427.26503875135768</v>
      </c>
      <c r="DJ123" s="698">
        <f t="shared" si="313"/>
        <v>8.5597889800703406</v>
      </c>
      <c r="DK123" s="560">
        <f ca="1">IF(B123&gt;Summary!$A$1,#N/A,DI123*MGtoAF)</f>
        <v>1310.8491388891655</v>
      </c>
      <c r="DL123" s="698">
        <f t="shared" si="314"/>
        <v>8.59</v>
      </c>
      <c r="DM123" s="560">
        <f t="shared" si="315"/>
        <v>25.59</v>
      </c>
      <c r="DN123" s="560">
        <f>Sheet1!AB125-DM123</f>
        <v>-8.9999999999999858E-2</v>
      </c>
      <c r="DO123" s="823">
        <f t="shared" si="316"/>
        <v>-3.516998827667052E-3</v>
      </c>
      <c r="DP123" s="560">
        <f>(VLOOKUP(Sheet1!DC125,hhdcap_wcm,4)-(((VLOOKUP(Sheet1!DC125,hhdcap_wcm,3)-Sheet1!DC125)/(VLOOKUP(Sheet1!DC125,hhdcap_wcm,3)-VLOOKUP(Sheet1!DC125,hhdcap_wcm,1)))*(VLOOKUP(Sheet1!DC125,hhdcap_wcm,4)-VLOOKUP(Sheet1!DC125,hhdcap_wcm,2))))</f>
        <v>34394.000000086133</v>
      </c>
      <c r="DQ123" s="560">
        <f t="shared" si="317"/>
        <v>567.99999999951251</v>
      </c>
      <c r="DR123" s="560">
        <f t="shared" si="318"/>
        <v>286.43469490646112</v>
      </c>
      <c r="DS123" s="560">
        <f>Sheet1!EA125*AFtoMG</f>
        <v>0</v>
      </c>
      <c r="DT123" s="560">
        <f>Sheet1!EB125*AFtoMG</f>
        <v>0</v>
      </c>
      <c r="DU123" s="560">
        <f>Sheet1!EC125*AFtoMG</f>
        <v>0</v>
      </c>
      <c r="DV123" s="560">
        <f>Sheet1!ED125*AFtoMG</f>
        <v>0</v>
      </c>
      <c r="DW123" s="560">
        <f t="shared" si="319"/>
        <v>0</v>
      </c>
      <c r="DX123" s="560">
        <f t="shared" si="320"/>
        <v>0</v>
      </c>
      <c r="DY123" s="560">
        <f t="shared" si="321"/>
        <v>3443.7884360822291</v>
      </c>
      <c r="DZ123" s="560">
        <f t="shared" si="322"/>
        <v>10565.542921900278</v>
      </c>
      <c r="EA123" s="560"/>
      <c r="EB123" s="545">
        <f>IF(OR(B123&lt;FV123,B123&gt;FW123),(MIN(BF123+BY123+CT123+MAX(Sheet1!AA125+AQ123-73,0),K123)),0)</f>
        <v>8.5597889800703406</v>
      </c>
      <c r="EC123" s="560"/>
      <c r="ED123" s="560">
        <f t="shared" si="323"/>
        <v>8.5597889800703406</v>
      </c>
      <c r="EE123" s="560"/>
      <c r="EF123" s="560">
        <f>Sheet1!EH125+Sheet1!EI125+Sheet1!EJ125+Sheet1!EK125</f>
        <v>8.59</v>
      </c>
      <c r="EG123" s="560"/>
      <c r="EH123" s="545">
        <f t="shared" si="324"/>
        <v>0</v>
      </c>
      <c r="EI123" s="560">
        <f>IF(Sheet1!ET125=1,SUM('Calculations II'!AT123:BA123)+'Calculations II'!BC123+Sheet1!BV125+'Calculations II'!BE123+AP123,SUM('Calculations II'!AT123:BA123)+'Calculations II'!BC123+Sheet1!BV125+'Calculations II'!BE123+AP123)</f>
        <v>49.284543999999997</v>
      </c>
      <c r="EJ123" s="560">
        <f>Sheet1!AA125+Sheet1!AB125+'Calculations II'!BC123</f>
        <v>54.564672000000002</v>
      </c>
      <c r="EK123" s="560"/>
      <c r="EL123" s="560"/>
      <c r="EM123" s="560">
        <f t="shared" si="325"/>
        <v>41751</v>
      </c>
      <c r="EN123" s="560">
        <f t="shared" si="326"/>
        <v>56.080211019929664</v>
      </c>
      <c r="EO123" s="560">
        <f t="shared" si="327"/>
        <v>86.75608644783118</v>
      </c>
      <c r="EP123" s="560">
        <v>0</v>
      </c>
      <c r="EQ123" s="560">
        <v>0</v>
      </c>
      <c r="ER123" s="560">
        <v>0</v>
      </c>
      <c r="ES123" s="545">
        <f t="shared" si="247"/>
        <v>-1.1081089089302867</v>
      </c>
      <c r="ET123" s="560">
        <f>-(VLOOKUP(Sheet1!BQ125,Lookup!$O$4:$Q$262,2)-VLOOKUP(Sheet1!BQ124,Lookup!$O$4:$Q$262,2))/1000000</f>
        <v>-0.55405445446514334</v>
      </c>
      <c r="EU123" s="560">
        <f>-(VLOOKUP(Sheet1!BR125,Lookup!$O$4:$Q$262,3)-VLOOKUP(Sheet1!BR124,Lookup!$O$4:$Q$262,3))/1000000</f>
        <v>-0.55405445446514334</v>
      </c>
      <c r="EV123" s="560"/>
      <c r="EW123" s="560"/>
      <c r="EX123" s="560"/>
      <c r="EY123" s="560"/>
      <c r="EZ123" s="560"/>
      <c r="FA123" s="560"/>
      <c r="FB123" s="560"/>
      <c r="FC123" s="560"/>
      <c r="FD123" s="594" t="e">
        <f t="shared" si="328"/>
        <v>#N/A</v>
      </c>
      <c r="FE123" s="594" t="e">
        <f t="shared" si="329"/>
        <v>#N/A</v>
      </c>
      <c r="FF123" s="595" t="e">
        <f t="shared" si="330"/>
        <v>#N/A</v>
      </c>
      <c r="FG123" s="596" t="s">
        <v>692</v>
      </c>
      <c r="FH123" s="596" t="s">
        <v>692</v>
      </c>
      <c r="FI123" s="594" t="e">
        <v>#N/A</v>
      </c>
      <c r="FJ123" s="594" t="e">
        <v>#N/A</v>
      </c>
      <c r="FK123" s="560"/>
      <c r="FL123" s="560"/>
      <c r="FM123" s="560"/>
      <c r="FN123" s="560"/>
      <c r="FO123" s="560">
        <f>O123+((Sheet1!CS125)*GPMtoMGD)</f>
        <v>54.564672000000002</v>
      </c>
      <c r="FP123" s="560">
        <f>IF(Sheet1!AA125+AQ123&lt;=Calculation!N123,AQ123,Calculation!N123-Sheet1!AA125)</f>
        <v>15.345838218053927</v>
      </c>
      <c r="FQ123" s="560">
        <f>(Sheet1!BP125+Sheet1!BO125)/694.4</f>
        <v>1.3905529953917051</v>
      </c>
      <c r="FR123" s="560"/>
      <c r="FS123" s="560"/>
      <c r="FT123" s="560"/>
      <c r="FU123" s="560"/>
      <c r="FV123" s="695">
        <f t="shared" si="248"/>
        <v>41827</v>
      </c>
      <c r="FW123" s="695">
        <f t="shared" si="249"/>
        <v>41934</v>
      </c>
      <c r="FX123" s="560"/>
      <c r="FY123" s="560"/>
      <c r="FZ123" s="560"/>
      <c r="GA123" s="560"/>
      <c r="GB123" s="560" t="str">
        <f t="shared" si="250"/>
        <v>n</v>
      </c>
      <c r="GC123" s="564">
        <f t="shared" si="251"/>
        <v>41691</v>
      </c>
      <c r="GD123" s="695">
        <f t="shared" si="252"/>
        <v>41807</v>
      </c>
      <c r="GE123" s="560">
        <v>6518.9</v>
      </c>
      <c r="GF123" s="695">
        <f t="shared" si="253"/>
        <v>41808</v>
      </c>
      <c r="GG123" s="560">
        <f t="shared" si="272"/>
        <v>3259</v>
      </c>
      <c r="GH123" s="564">
        <f t="shared" si="254"/>
        <v>41934</v>
      </c>
      <c r="GJ123" s="545">
        <f t="shared" si="255"/>
        <v>0</v>
      </c>
      <c r="GK123" s="560" t="str">
        <f t="shared" si="331"/>
        <v/>
      </c>
      <c r="GL123" s="560">
        <f t="shared" si="256"/>
        <v>0</v>
      </c>
      <c r="GM123" s="560" t="str">
        <f t="shared" si="257"/>
        <v/>
      </c>
      <c r="GN123" s="560">
        <f>IF(GK123="P",Lookup!$M$12,IF(GK123="PP",Lookup!$M$13,IF(GK123="PPP",Lookup!$M$14,IF(GK123="T",Lookup!$M$15,IF(GK123="TP",Lookup!$M$16,IF(GK123="TPP",Lookup!$M$17,IF(GK123="TPPP",Lookup!$M$18,0)))))))*GJ123</f>
        <v>0</v>
      </c>
      <c r="GO123" s="560">
        <f t="shared" si="258"/>
        <v>0</v>
      </c>
      <c r="GP123" s="560">
        <f t="shared" si="332"/>
        <v>5040.5194666666675</v>
      </c>
      <c r="GQ123" s="560">
        <f t="shared" si="266"/>
        <v>1642.9333333333336</v>
      </c>
      <c r="GR123" s="560"/>
      <c r="GS123" s="560">
        <f t="shared" si="259"/>
        <v>0</v>
      </c>
      <c r="GT123" s="560" t="str">
        <f t="shared" si="260"/>
        <v/>
      </c>
      <c r="GU123" s="560">
        <f>IF(GK123="P",Lookup!$N$12,IF(GK123="PP",Lookup!$N$13,IF(GK123="PPP",Lookup!$N$14,IF(GK123="T",Lookup!$N$15,IF(GK123="TP",Lookup!$N$16,IF(GK123="TPP",Lookup!$N$17,IF(GK123="TPPP",Lookup!$N$18,0)))))))*GJ123</f>
        <v>0</v>
      </c>
      <c r="GV123" s="560">
        <f t="shared" si="261"/>
        <v>0</v>
      </c>
      <c r="GW123" s="560">
        <f t="shared" si="333"/>
        <v>2352.2424177777748</v>
      </c>
      <c r="GX123" s="560">
        <f t="shared" si="267"/>
        <v>766.70222222222128</v>
      </c>
      <c r="GY123" s="560"/>
      <c r="GZ123" s="560">
        <f t="shared" si="262"/>
        <v>0</v>
      </c>
      <c r="HA123" s="560" t="str">
        <f t="shared" si="263"/>
        <v/>
      </c>
      <c r="HB123" s="560">
        <f>IF(GK123="P",Lookup!$N$12,IF(GK123="PP",Lookup!$N$13,IF(GK123="PPP",Lookup!$N$14,IF(GK123="T",Lookup!$N$15,IF(GK123="TP",Lookup!$N$16,IF(GK123="TPP",Lookup!$N$17,IF(GK123="TPPP",Lookup!$N$18,0)))))))*GJ123</f>
        <v>0</v>
      </c>
      <c r="HC123" s="545">
        <f t="shared" si="334"/>
        <v>0</v>
      </c>
      <c r="HD123" s="560">
        <f t="shared" si="335"/>
        <v>1861.9318985666721</v>
      </c>
      <c r="HE123" s="560">
        <f t="shared" si="268"/>
        <v>606.88784177531682</v>
      </c>
      <c r="HF123" s="560"/>
      <c r="HG123" s="560">
        <f t="shared" si="264"/>
        <v>0</v>
      </c>
      <c r="HH123" s="560" t="str">
        <f t="shared" si="265"/>
        <v/>
      </c>
      <c r="HI123" s="560">
        <f>IF(GK123="P",Lookup!$N$12,IF(GK123="PP",Lookup!$N$13,IF(GK123="PPP",Lookup!$N$14,IF(GK123="T",Lookup!$N$15,IF(GK123="TP",Lookup!$N$16,IF(GK123="TPP",Lookup!$N$17,IF(GK123="TPPP",Lookup!$N$18,0)))))))*GJ123</f>
        <v>0</v>
      </c>
      <c r="HJ123" s="545">
        <f t="shared" si="336"/>
        <v>0</v>
      </c>
      <c r="HK123" s="560">
        <f t="shared" si="337"/>
        <v>1310.8491388891655</v>
      </c>
      <c r="HL123" s="560">
        <f t="shared" si="269"/>
        <v>427.26503875135768</v>
      </c>
      <c r="HM123" s="560"/>
    </row>
    <row r="124" spans="1:221">
      <c r="A124" s="580" t="s">
        <v>6</v>
      </c>
      <c r="B124" s="556">
        <v>41752</v>
      </c>
      <c r="C124" s="561">
        <v>0</v>
      </c>
      <c r="D124" s="529">
        <f t="shared" si="270"/>
        <v>300</v>
      </c>
      <c r="E124" s="529">
        <f t="shared" si="271"/>
        <v>250</v>
      </c>
      <c r="F124" s="529">
        <v>250</v>
      </c>
      <c r="G124" s="560">
        <f>DR124+Sheet1!CZ126</f>
        <v>1846.2834089775533</v>
      </c>
      <c r="H124" s="914">
        <f t="shared" si="236"/>
        <v>926.47439556309041</v>
      </c>
      <c r="I124" s="559">
        <f>MAX(Sheet1!Z126-AT124+(Sheet1!DA126-E124)*CFStoMGD,0)</f>
        <v>1441.116</v>
      </c>
      <c r="J124" s="562">
        <f>IF(AND(B124&gt;=Calculation!GC124,B124&lt;=Calculation!GD124),IF(Sheet1!DB126&gt;=Calculation!D124,64.64,0),MAX(Sheet1!Z126-AT124+(Sheet1!DB126-D124)*CFStoMGD,0))</f>
        <v>64.64</v>
      </c>
      <c r="K124" s="904">
        <f t="shared" si="273"/>
        <v>64.64</v>
      </c>
      <c r="L124" s="560">
        <f>Sheet1!AA126+Sheet1!AB126-Sheet1!L126+(Sheet1!DA126-F124)*CFStoMGD</f>
        <v>1415.616</v>
      </c>
      <c r="M124" s="560">
        <f t="shared" si="274"/>
        <v>1217.3063474743524</v>
      </c>
      <c r="N124" s="910">
        <f>IF(Sheet1!DA126&gt;=F124,MIN(73,MIN(MAX(L124,0),MAX(M124,0))),0)</f>
        <v>73</v>
      </c>
      <c r="O124" s="563">
        <f>Sheet1!AA126+Sheet1!AB126</f>
        <v>46.2</v>
      </c>
      <c r="P124" s="563">
        <f t="shared" si="275"/>
        <v>71.471399999999988</v>
      </c>
      <c r="Q124" s="898">
        <f t="shared" si="237"/>
        <v>37.790000000000006</v>
      </c>
      <c r="R124" s="829">
        <f t="shared" si="276"/>
        <v>8.4067032536260289</v>
      </c>
      <c r="S124" s="898">
        <f t="shared" si="238"/>
        <v>8.41</v>
      </c>
      <c r="T124" s="898">
        <f t="shared" si="239"/>
        <v>56.230000000000004</v>
      </c>
      <c r="U124" s="898">
        <f t="shared" si="240"/>
        <v>0</v>
      </c>
      <c r="V124" s="898"/>
      <c r="W124" s="898">
        <f t="shared" si="241"/>
        <v>56.233296746373973</v>
      </c>
      <c r="X124" s="898">
        <f t="shared" si="242"/>
        <v>64.64</v>
      </c>
      <c r="Y124" s="898" t="str">
        <f t="shared" si="243"/>
        <v>FALSE</v>
      </c>
      <c r="Z124" s="898">
        <f t="shared" si="244"/>
        <v>46.2</v>
      </c>
      <c r="AA124" s="898">
        <f t="shared" si="245"/>
        <v>46.2</v>
      </c>
      <c r="AB124" s="898" t="str">
        <f t="shared" si="246"/>
        <v/>
      </c>
      <c r="AC124" s="563">
        <f>Sheet1!Y126*MGDtoCFS</f>
        <v>32.0229</v>
      </c>
      <c r="AD124" s="563">
        <f>Sheet1!Z126*MGDtoCFS</f>
        <v>39.448499999999996</v>
      </c>
      <c r="AE124" s="563">
        <f>Sheet1!AA126*MGDtoCFS</f>
        <v>32.0229</v>
      </c>
      <c r="AF124" s="563">
        <f>Sheet1!AB126*MGDtoCFS</f>
        <v>39.448499999999996</v>
      </c>
      <c r="AG124" s="563">
        <f>Sheet1!L126*MGDtoCFS</f>
        <v>71.471400000000003</v>
      </c>
      <c r="AH124" s="545">
        <f t="shared" si="277"/>
        <v>0</v>
      </c>
      <c r="AI124" s="560">
        <f t="shared" si="278"/>
        <v>0</v>
      </c>
      <c r="AJ124" s="560">
        <f t="shared" si="279"/>
        <v>56.233296746373973</v>
      </c>
      <c r="AK124" s="560">
        <f t="shared" si="280"/>
        <v>86.992910066640533</v>
      </c>
      <c r="AL124" s="560">
        <f>(VLOOKUP(Sheet1!DC126,hhdcap_wcm,4)-(((VLOOKUP(Sheet1!DC126,hhdcap_wcm,3)-Sheet1!DC126)/(VLOOKUP(Sheet1!DC126,hhdcap_wcm,3)-VLOOKUP(Sheet1!DC126,hhdcap_wcm,1)))*(VLOOKUP(Sheet1!DC126,hhdcap_wcm,4)-VLOOKUP(Sheet1!DC126,hhdcap_wcm,2))))</f>
        <v>35160.000000088621</v>
      </c>
      <c r="AM124" s="560">
        <f t="shared" si="281"/>
        <v>766.00000000248838</v>
      </c>
      <c r="AN124" s="560">
        <f t="shared" si="282"/>
        <v>3500.021732828603</v>
      </c>
      <c r="AO124" s="560">
        <f t="shared" si="283"/>
        <v>10738.066676318154</v>
      </c>
      <c r="AP124" s="560">
        <f>Sheet1!BA126+Sheet1!BB126+Sheet1!BN126+CD124</f>
        <v>17.100000000000001</v>
      </c>
      <c r="AQ124" s="560">
        <f>Sheet1!BN126+(DO124*Sheet1!BN126)</f>
        <v>15.49392395139161</v>
      </c>
      <c r="AR124" s="560">
        <f>Sheet1!BA126+CD124</f>
        <v>0</v>
      </c>
      <c r="AS124" s="560">
        <f>Sheet1!BA126+Sheet1!BB126+CD124</f>
        <v>1.6</v>
      </c>
      <c r="AT124" s="698">
        <f>0</f>
        <v>0</v>
      </c>
      <c r="AU124" s="560">
        <f>IF(EB124&lt;K124,0,MAX(Sheet1!AA126+AQ124-15/36*K124-N124,Sheet1!EH126,0))</f>
        <v>0</v>
      </c>
      <c r="AV124" s="560">
        <f>IF(OR(B124&gt;=GD124,B124&lt;GC124),0,15/36*K124-MAX(0,64.6-(137.6-(Sheet1!AA126+Sheet1!AB126))))</f>
        <v>26.933333333333334</v>
      </c>
      <c r="AW124" s="698">
        <f>Sheet1!DB126-110</f>
        <v>1540</v>
      </c>
      <c r="AX124" s="698">
        <f>Sheet1!DA126-265</f>
        <v>2175</v>
      </c>
      <c r="AY124" s="698">
        <f t="shared" si="284"/>
        <v>35.209999999999994</v>
      </c>
      <c r="AZ124" s="698">
        <v>0</v>
      </c>
      <c r="BA124" s="698">
        <f t="shared" si="285"/>
        <v>0</v>
      </c>
      <c r="BB124" s="560">
        <f t="shared" si="286"/>
        <v>1669.866666666667</v>
      </c>
      <c r="BC124" s="560"/>
      <c r="BD124" s="560">
        <f ca="1">IF(B124&gt;Summary!$A$1,#N/A,BB124*MGtoAF)</f>
        <v>5123.1509333333343</v>
      </c>
      <c r="BE124" s="560">
        <f>Sheet1!BG126+Sheet1!BH126+Sheet1!BI126-BM124</f>
        <v>0</v>
      </c>
      <c r="BF124" s="560">
        <f t="shared" si="287"/>
        <v>0</v>
      </c>
      <c r="BG124" s="560">
        <f>IF(Sheet1!EP126="FM",BM124,0)</f>
        <v>0</v>
      </c>
      <c r="BH124" s="560">
        <f t="shared" si="288"/>
        <v>0</v>
      </c>
      <c r="BI124" s="560">
        <f>IF(Sheet1!EP126="OTHER",BM124,0)</f>
        <v>0</v>
      </c>
      <c r="BJ124" s="560">
        <f t="shared" si="289"/>
        <v>0</v>
      </c>
      <c r="BK124" s="560">
        <f t="shared" si="290"/>
        <v>0</v>
      </c>
      <c r="BL124" s="560">
        <f t="shared" si="291"/>
        <v>0</v>
      </c>
      <c r="BM124" s="560">
        <f>IF(OR(Sheet1!EP126="FM", Sheet1!EP126="OTHER"),SUM(Sheet1!BG126:'Sheet1'!BI126),0)</f>
        <v>0</v>
      </c>
      <c r="BN124" s="545">
        <f>IF(AND($B124&gt;=$FV124,$B124&lt;=$FW124),MAX(BF124,Sheet1!EI126,0),MAX(BF124-(7/36)*$K124,0))</f>
        <v>0</v>
      </c>
      <c r="BO124" s="560">
        <f t="shared" si="292"/>
        <v>12.568888888888889</v>
      </c>
      <c r="BP124" s="545">
        <f t="shared" si="293"/>
        <v>0</v>
      </c>
      <c r="BQ124" s="545">
        <f>IF(AND($O124&gt;0,Sheet1!EM126=1),(1-($O124-Sheet1!$L126)/$O124)*BL124,0)</f>
        <v>0</v>
      </c>
      <c r="BR124" s="545">
        <f>IF(AND(Sheet1!$L126=0,Sheet1!$L125=0, Calculation!BK124&lt;Sheet1!$EI126-0.1,Sheet1!$EI126=Sheet1!$EI125,Sheet1!$EI126=Sheet1!$EI127),Sheet1!$EI126,BL124-BQ124)</f>
        <v>0</v>
      </c>
      <c r="BS124" s="560"/>
      <c r="BT124" s="560"/>
      <c r="BU124" s="560">
        <f t="shared" si="294"/>
        <v>779.27111111111014</v>
      </c>
      <c r="BV124" s="560"/>
      <c r="BW124" s="560">
        <f ca="1">IF(B124&gt;Summary!$A$1,#N/A,BU124*MGtoAF)</f>
        <v>2390.8037688888858</v>
      </c>
      <c r="BX124" s="560">
        <f>Sheet1!BC126+Sheet1!BD126+Sheet1!BE126+Sheet1!BF126-CG124-CH124</f>
        <v>2.4900000000000002</v>
      </c>
      <c r="BY124" s="560">
        <f t="shared" si="295"/>
        <v>2.4890239121912976</v>
      </c>
      <c r="BZ124" s="560">
        <f>IF(Sheet1!EQ126="FM",CH124,0)</f>
        <v>0</v>
      </c>
      <c r="CA124" s="560">
        <f t="shared" si="296"/>
        <v>0</v>
      </c>
      <c r="CB124" s="560">
        <f>IF(Sheet1!EQ126="OTHER",CH124,0)</f>
        <v>0</v>
      </c>
      <c r="CC124" s="560">
        <f t="shared" si="297"/>
        <v>0</v>
      </c>
      <c r="CD124" s="560">
        <f t="shared" si="298"/>
        <v>0</v>
      </c>
      <c r="CE124" s="560">
        <f t="shared" si="299"/>
        <v>2.4900000000000002</v>
      </c>
      <c r="CF124" s="560">
        <f t="shared" si="300"/>
        <v>2.4890239121912976</v>
      </c>
      <c r="CG124" s="560">
        <f>IF(Sheet1!EQ126="CWA",SUM(Sheet1!BC126:'Sheet1'!BF126),0)</f>
        <v>0</v>
      </c>
      <c r="CH124" s="560">
        <f>IF(OR(Sheet1!EQ126="FM", Sheet1!EQ126="OTHER"),SUM(Sheet1!BC126:'Sheet1'!BF126),0)</f>
        <v>0</v>
      </c>
      <c r="CI124" s="545">
        <f>IF(AND($B124&gt;=$FV124,$B124&lt;=$FW124),MAX(CF124,Sheet1!EJ126,0),MAX(CF124-(7/36)*$K124,0))</f>
        <v>0</v>
      </c>
      <c r="CJ124" s="560">
        <f t="shared" si="301"/>
        <v>10.079864976697591</v>
      </c>
      <c r="CK124" s="545">
        <f t="shared" si="302"/>
        <v>2.4890239121912976</v>
      </c>
      <c r="CL124" s="545">
        <f>IF(AND($O124&gt;0,Sheet1!EN126=1),(1-($O124-Sheet1!$L126)/$O124)*CF124,0)</f>
        <v>0</v>
      </c>
      <c r="CM124" s="545">
        <f>IF(AND(Sheet1!$L126=0,Sheet1!$L125=0, Calculation!CE124&lt;Sheet1!EJ126-0.1,Sheet1!EJ126=Sheet1!EJ125,Sheet1!EJ126=Sheet1!EJ127),Sheet1!EJ126,CF124-CL124)</f>
        <v>2.4890239121912976</v>
      </c>
      <c r="CN124" s="545"/>
      <c r="CO124" s="560"/>
      <c r="CP124" s="560">
        <f t="shared" si="303"/>
        <v>616.96770675201435</v>
      </c>
      <c r="CQ124" s="560"/>
      <c r="CR124" s="560">
        <f ca="1">IF(B124&gt;Summary!$A$1,#N/A,CP124*MGtoAF)</f>
        <v>1892.8569243151801</v>
      </c>
      <c r="CS124" s="560">
        <f>Sheet1!BK126+Sheet1!BL126+Sheet1!BM126-Sheet1!ER126-DA124</f>
        <v>5.92</v>
      </c>
      <c r="CT124" s="560">
        <f t="shared" si="304"/>
        <v>5.9176793414347308</v>
      </c>
      <c r="CU124" s="560">
        <f>IF(Sheet1!ER126="FM",DA124,0)</f>
        <v>0</v>
      </c>
      <c r="CV124" s="560">
        <f t="shared" si="305"/>
        <v>0</v>
      </c>
      <c r="CW124" s="560">
        <f>IF(Sheet1!ER126="OTHER",DA124,0)</f>
        <v>0</v>
      </c>
      <c r="CX124" s="560">
        <f t="shared" si="306"/>
        <v>0</v>
      </c>
      <c r="CY124" s="560">
        <f t="shared" si="307"/>
        <v>5.92</v>
      </c>
      <c r="CZ124" s="560">
        <f t="shared" si="308"/>
        <v>5.9176793414347308</v>
      </c>
      <c r="DA124" s="560">
        <f>IF(OR(Sheet1!ER126="FM", Sheet1!ER126="OTHER"),SUM(Sheet1!BK126:'Sheet1'!BM126),0)</f>
        <v>0</v>
      </c>
      <c r="DB124" s="545">
        <f>IF(AND($B124&gt;=$FV124,$B124&lt;=$FW124),MAX($CT124,Sheet1!EK126,0),MAX($CT124-(7/36)*$K124,0))</f>
        <v>0</v>
      </c>
      <c r="DC124" s="560">
        <f t="shared" si="309"/>
        <v>6.6512095474541582</v>
      </c>
      <c r="DD124" s="545">
        <f t="shared" si="310"/>
        <v>5.9176793414347308</v>
      </c>
      <c r="DE124" s="545">
        <f>IF(AND($O124&gt;0,Sheet1!EO126=1),(1-($O124-Sheet1!$L126)/$O124)*CZ124,0)</f>
        <v>0</v>
      </c>
      <c r="DF124" s="545">
        <f>IF(AND(Sheet1!$L126=0,Sheet1!$L125=0, Calculation!CY124&lt;Sheet1!$EK126-0.1,Sheet1!$EK126=Sheet1!$EK125,Sheet1!$EK126=Sheet1!$EK127),Sheet1!$EK126,CZ124-DE124)</f>
        <v>5.9176793414347308</v>
      </c>
      <c r="DG124" s="545"/>
      <c r="DH124" s="560">
        <f t="shared" si="311"/>
        <v>8.41</v>
      </c>
      <c r="DI124" s="560">
        <f t="shared" si="312"/>
        <v>433.91624829881187</v>
      </c>
      <c r="DJ124" s="698">
        <f t="shared" si="313"/>
        <v>8.4067032536260289</v>
      </c>
      <c r="DK124" s="560">
        <f ca="1">IF(B124&gt;Summary!$A$1,#N/A,DI124*MGtoAF)</f>
        <v>1331.2550497807549</v>
      </c>
      <c r="DL124" s="698">
        <f t="shared" si="314"/>
        <v>8.41</v>
      </c>
      <c r="DM124" s="560">
        <f t="shared" si="315"/>
        <v>25.51</v>
      </c>
      <c r="DN124" s="560">
        <f>Sheet1!AB126-DM124</f>
        <v>-1.0000000000001563E-2</v>
      </c>
      <c r="DO124" s="823">
        <f t="shared" si="316"/>
        <v>-3.9200313602514946E-4</v>
      </c>
      <c r="DP124" s="560">
        <f>(VLOOKUP(Sheet1!DC126,hhdcap_wcm,4)-(((VLOOKUP(Sheet1!DC126,hhdcap_wcm,3)-Sheet1!DC126)/(VLOOKUP(Sheet1!DC126,hhdcap_wcm,3)-VLOOKUP(Sheet1!DC126,hhdcap_wcm,1)))*(VLOOKUP(Sheet1!DC126,hhdcap_wcm,4)-VLOOKUP(Sheet1!DC126,hhdcap_wcm,2))))</f>
        <v>35160.000000088621</v>
      </c>
      <c r="DQ124" s="560">
        <f t="shared" si="317"/>
        <v>766.00000000248838</v>
      </c>
      <c r="DR124" s="560">
        <f t="shared" si="318"/>
        <v>386.28340897755334</v>
      </c>
      <c r="DS124" s="560">
        <f>Sheet1!EA126*AFtoMG</f>
        <v>0</v>
      </c>
      <c r="DT124" s="560">
        <f>Sheet1!EB126*AFtoMG</f>
        <v>0</v>
      </c>
      <c r="DU124" s="560">
        <f>Sheet1!EC126*AFtoMG</f>
        <v>0</v>
      </c>
      <c r="DV124" s="560">
        <f>Sheet1!ED126*AFtoMG</f>
        <v>0</v>
      </c>
      <c r="DW124" s="560">
        <f t="shared" si="319"/>
        <v>0</v>
      </c>
      <c r="DX124" s="560">
        <f t="shared" si="320"/>
        <v>0</v>
      </c>
      <c r="DY124" s="560">
        <f t="shared" si="321"/>
        <v>3500.021732828603</v>
      </c>
      <c r="DZ124" s="560">
        <f t="shared" si="322"/>
        <v>10738.066676318154</v>
      </c>
      <c r="EA124" s="560"/>
      <c r="EB124" s="545">
        <f>IF(OR(B124&lt;FV124,B124&gt;FW124),(MIN(BF124+BY124+CT124+MAX(Sheet1!AA126+AQ124-73,0),K124)),0)</f>
        <v>8.4067032536260289</v>
      </c>
      <c r="EC124" s="560"/>
      <c r="ED124" s="560">
        <f t="shared" si="323"/>
        <v>8.4067032536260289</v>
      </c>
      <c r="EE124" s="560"/>
      <c r="EF124" s="560">
        <f>Sheet1!EH126+Sheet1!EI126+Sheet1!EJ126+Sheet1!EK126</f>
        <v>8.41</v>
      </c>
      <c r="EG124" s="560"/>
      <c r="EH124" s="545">
        <f t="shared" si="324"/>
        <v>0</v>
      </c>
      <c r="EI124" s="560">
        <f>IF(Sheet1!ET126=1,SUM('Calculations II'!AT124:BA124)+'Calculations II'!BC124+Sheet1!BV126+'Calculations II'!BE124+AP124,SUM('Calculations II'!AT124:BA124)+'Calculations II'!BC124+Sheet1!BV126+'Calculations II'!BE124+AP124)</f>
        <v>48.417712000000002</v>
      </c>
      <c r="EJ124" s="560">
        <f>Sheet1!AA126+Sheet1!AB126+'Calculations II'!BC124</f>
        <v>52.466016000000003</v>
      </c>
      <c r="EK124" s="560"/>
      <c r="EL124" s="560"/>
      <c r="EM124" s="560">
        <f t="shared" si="325"/>
        <v>41752</v>
      </c>
      <c r="EN124" s="560">
        <f t="shared" si="326"/>
        <v>56.233296746373973</v>
      </c>
      <c r="EO124" s="560">
        <f t="shared" si="327"/>
        <v>86.992910066640533</v>
      </c>
      <c r="EP124" s="560">
        <v>0</v>
      </c>
      <c r="EQ124" s="560">
        <v>0</v>
      </c>
      <c r="ER124" s="560">
        <v>0</v>
      </c>
      <c r="ES124" s="545">
        <f t="shared" si="247"/>
        <v>0.55408009018012139</v>
      </c>
      <c r="ET124" s="560">
        <f>-(VLOOKUP(Sheet1!BQ126,Lookup!$O$4:$Q$262,2)-VLOOKUP(Sheet1!BQ125,Lookup!$O$4:$Q$262,2))/1000000</f>
        <v>0.27704004509006069</v>
      </c>
      <c r="EU124" s="560">
        <f>-(VLOOKUP(Sheet1!BR126,Lookup!$O$4:$Q$262,3)-VLOOKUP(Sheet1!BR125,Lookup!$O$4:$Q$262,3))/1000000</f>
        <v>0.27704004509006069</v>
      </c>
      <c r="EV124" s="560"/>
      <c r="EW124" s="560"/>
      <c r="EX124" s="560"/>
      <c r="EY124" s="560"/>
      <c r="EZ124" s="560"/>
      <c r="FA124" s="560"/>
      <c r="FB124" s="560"/>
      <c r="FC124" s="560"/>
      <c r="FD124" s="594" t="e">
        <f t="shared" si="328"/>
        <v>#N/A</v>
      </c>
      <c r="FE124" s="594" t="e">
        <f t="shared" si="329"/>
        <v>#N/A</v>
      </c>
      <c r="FF124" s="595" t="e">
        <f t="shared" si="330"/>
        <v>#N/A</v>
      </c>
      <c r="FG124" s="596" t="s">
        <v>692</v>
      </c>
      <c r="FH124" s="596" t="s">
        <v>692</v>
      </c>
      <c r="FI124" s="594" t="e">
        <v>#N/A</v>
      </c>
      <c r="FJ124" s="594" t="e">
        <v>#N/A</v>
      </c>
      <c r="FK124" s="560"/>
      <c r="FL124" s="560"/>
      <c r="FM124" s="560"/>
      <c r="FN124" s="560"/>
      <c r="FO124" s="560">
        <f>O124+((Sheet1!CS126)*GPMtoMGD)</f>
        <v>52.466016000000003</v>
      </c>
      <c r="FP124" s="560">
        <f>IF(Sheet1!AA126+AQ124&lt;=Calculation!N124,AQ124,Calculation!N124-Sheet1!AA126)</f>
        <v>15.49392395139161</v>
      </c>
      <c r="FQ124" s="560">
        <f>(Sheet1!BP126+Sheet1!BO126)/694.4</f>
        <v>1.4549251152073732</v>
      </c>
      <c r="FR124" s="560"/>
      <c r="FS124" s="560"/>
      <c r="FT124" s="560"/>
      <c r="FU124" s="560"/>
      <c r="FV124" s="695">
        <f t="shared" si="248"/>
        <v>41827</v>
      </c>
      <c r="FW124" s="695">
        <f t="shared" si="249"/>
        <v>41934</v>
      </c>
      <c r="FX124" s="560"/>
      <c r="FY124" s="560"/>
      <c r="FZ124" s="560"/>
      <c r="GA124" s="560"/>
      <c r="GB124" s="560" t="str">
        <f t="shared" si="250"/>
        <v>n</v>
      </c>
      <c r="GC124" s="564">
        <f t="shared" si="251"/>
        <v>41691</v>
      </c>
      <c r="GD124" s="695">
        <f t="shared" si="252"/>
        <v>41807</v>
      </c>
      <c r="GE124" s="560">
        <v>6518.9</v>
      </c>
      <c r="GF124" s="695">
        <f t="shared" si="253"/>
        <v>41808</v>
      </c>
      <c r="GG124" s="560">
        <f t="shared" si="272"/>
        <v>3259</v>
      </c>
      <c r="GH124" s="564">
        <f t="shared" si="254"/>
        <v>41934</v>
      </c>
      <c r="GJ124" s="545">
        <f t="shared" si="255"/>
        <v>0</v>
      </c>
      <c r="GK124" s="560" t="str">
        <f t="shared" si="331"/>
        <v/>
      </c>
      <c r="GL124" s="560">
        <f t="shared" si="256"/>
        <v>0</v>
      </c>
      <c r="GM124" s="560" t="str">
        <f t="shared" si="257"/>
        <v/>
      </c>
      <c r="GN124" s="560">
        <f>IF(GK124="P",Lookup!$M$12,IF(GK124="PP",Lookup!$M$13,IF(GK124="PPP",Lookup!$M$14,IF(GK124="T",Lookup!$M$15,IF(GK124="TP",Lookup!$M$16,IF(GK124="TPP",Lookup!$M$17,IF(GK124="TPPP",Lookup!$M$18,0)))))))*GJ124</f>
        <v>0</v>
      </c>
      <c r="GO124" s="560">
        <f t="shared" si="258"/>
        <v>0</v>
      </c>
      <c r="GP124" s="560">
        <f t="shared" si="332"/>
        <v>5123.1509333333343</v>
      </c>
      <c r="GQ124" s="560">
        <f t="shared" si="266"/>
        <v>1669.866666666667</v>
      </c>
      <c r="GR124" s="560"/>
      <c r="GS124" s="560">
        <f t="shared" si="259"/>
        <v>0</v>
      </c>
      <c r="GT124" s="560" t="str">
        <f t="shared" si="260"/>
        <v/>
      </c>
      <c r="GU124" s="560">
        <f>IF(GK124="P",Lookup!$N$12,IF(GK124="PP",Lookup!$N$13,IF(GK124="PPP",Lookup!$N$14,IF(GK124="T",Lookup!$N$15,IF(GK124="TP",Lookup!$N$16,IF(GK124="TPP",Lookup!$N$17,IF(GK124="TPPP",Lookup!$N$18,0)))))))*GJ124</f>
        <v>0</v>
      </c>
      <c r="GV124" s="560">
        <f t="shared" si="261"/>
        <v>0</v>
      </c>
      <c r="GW124" s="560">
        <f t="shared" si="333"/>
        <v>2390.8037688888858</v>
      </c>
      <c r="GX124" s="560">
        <f t="shared" si="267"/>
        <v>779.27111111111014</v>
      </c>
      <c r="GY124" s="560"/>
      <c r="GZ124" s="560">
        <f t="shared" si="262"/>
        <v>0</v>
      </c>
      <c r="HA124" s="560" t="str">
        <f t="shared" si="263"/>
        <v/>
      </c>
      <c r="HB124" s="560">
        <f>IF(GK124="P",Lookup!$N$12,IF(GK124="PP",Lookup!$N$13,IF(GK124="PPP",Lookup!$N$14,IF(GK124="T",Lookup!$N$15,IF(GK124="TP",Lookup!$N$16,IF(GK124="TPP",Lookup!$N$17,IF(GK124="TPPP",Lookup!$N$18,0)))))))*GJ124</f>
        <v>0</v>
      </c>
      <c r="HC124" s="545">
        <f t="shared" si="334"/>
        <v>0</v>
      </c>
      <c r="HD124" s="560">
        <f t="shared" si="335"/>
        <v>1892.8569243151801</v>
      </c>
      <c r="HE124" s="560">
        <f t="shared" si="268"/>
        <v>616.96770675201435</v>
      </c>
      <c r="HF124" s="560"/>
      <c r="HG124" s="560">
        <f t="shared" si="264"/>
        <v>0</v>
      </c>
      <c r="HH124" s="560" t="str">
        <f t="shared" si="265"/>
        <v/>
      </c>
      <c r="HI124" s="560">
        <f>IF(GK124="P",Lookup!$N$12,IF(GK124="PP",Lookup!$N$13,IF(GK124="PPP",Lookup!$N$14,IF(GK124="T",Lookup!$N$15,IF(GK124="TP",Lookup!$N$16,IF(GK124="TPP",Lookup!$N$17,IF(GK124="TPPP",Lookup!$N$18,0)))))))*GJ124</f>
        <v>0</v>
      </c>
      <c r="HJ124" s="545">
        <f t="shared" si="336"/>
        <v>0</v>
      </c>
      <c r="HK124" s="560">
        <f t="shared" si="337"/>
        <v>1331.2550497807549</v>
      </c>
      <c r="HL124" s="560">
        <f t="shared" si="269"/>
        <v>433.91624829881187</v>
      </c>
      <c r="HM124" s="560"/>
    </row>
    <row r="125" spans="1:221">
      <c r="A125" s="580" t="s">
        <v>7</v>
      </c>
      <c r="B125" s="556">
        <v>41753</v>
      </c>
      <c r="C125" s="561">
        <v>0</v>
      </c>
      <c r="D125" s="529">
        <f t="shared" si="270"/>
        <v>300</v>
      </c>
      <c r="E125" s="529">
        <f t="shared" si="271"/>
        <v>250</v>
      </c>
      <c r="F125" s="529">
        <v>250</v>
      </c>
      <c r="G125" s="560">
        <f>DR125+Sheet1!CZ127</f>
        <v>3145.1739788221603</v>
      </c>
      <c r="H125" s="914">
        <f t="shared" si="236"/>
        <v>1766.0772599106444</v>
      </c>
      <c r="I125" s="559">
        <f>MAX(Sheet1!Z127-AT125+(Sheet1!DA127-E125)*CFStoMGD,0)</f>
        <v>2178.0119999999997</v>
      </c>
      <c r="J125" s="562">
        <f>IF(AND(B125&gt;=Calculation!GC125,B125&lt;=Calculation!GD125),IF(Sheet1!DB127&gt;=Calculation!D125,64.64,0),MAX(Sheet1!Z127-AT125+(Sheet1!DB127-D125)*CFStoMGD,0))</f>
        <v>64.64</v>
      </c>
      <c r="K125" s="904">
        <f t="shared" si="273"/>
        <v>64.64</v>
      </c>
      <c r="L125" s="560">
        <f>Sheet1!AA127+Sheet1!AB127-Sheet1!L127+(Sheet1!DA127-F125)*CFStoMGD</f>
        <v>2152.5119999999997</v>
      </c>
      <c r="M125" s="560">
        <f t="shared" si="274"/>
        <v>2073.7012691088576</v>
      </c>
      <c r="N125" s="910">
        <f>IF(Sheet1!DA127&gt;=F125,MIN(73,MIN(MAX(L125,0),MAX(M125,0))),0)</f>
        <v>73</v>
      </c>
      <c r="O125" s="563">
        <f>Sheet1!AA127+Sheet1!AB127</f>
        <v>46.28</v>
      </c>
      <c r="P125" s="563">
        <f t="shared" si="275"/>
        <v>71.595159999999993</v>
      </c>
      <c r="Q125" s="898">
        <f t="shared" si="237"/>
        <v>37.96</v>
      </c>
      <c r="R125" s="829">
        <f t="shared" si="276"/>
        <v>8.3134796238244508</v>
      </c>
      <c r="S125" s="898">
        <f t="shared" si="238"/>
        <v>8.32</v>
      </c>
      <c r="T125" s="898">
        <f t="shared" si="239"/>
        <v>56.32</v>
      </c>
      <c r="U125" s="898">
        <f t="shared" si="240"/>
        <v>0</v>
      </c>
      <c r="V125" s="898"/>
      <c r="W125" s="898">
        <f t="shared" si="241"/>
        <v>56.326520376175552</v>
      </c>
      <c r="X125" s="898">
        <f t="shared" si="242"/>
        <v>64.64</v>
      </c>
      <c r="Y125" s="898" t="str">
        <f t="shared" si="243"/>
        <v>FALSE</v>
      </c>
      <c r="Z125" s="898">
        <f t="shared" si="244"/>
        <v>46.28</v>
      </c>
      <c r="AA125" s="898">
        <f t="shared" si="245"/>
        <v>46.28</v>
      </c>
      <c r="AB125" s="898" t="str">
        <f t="shared" si="246"/>
        <v/>
      </c>
      <c r="AC125" s="563">
        <f>Sheet1!Y127*MGDtoCFS</f>
        <v>32.0229</v>
      </c>
      <c r="AD125" s="563">
        <f>Sheet1!Z127*MGDtoCFS</f>
        <v>39.448499999999996</v>
      </c>
      <c r="AE125" s="563">
        <f>Sheet1!AA127*MGDtoCFS</f>
        <v>32.146659999999997</v>
      </c>
      <c r="AF125" s="563">
        <f>Sheet1!AB127*MGDtoCFS</f>
        <v>39.448499999999996</v>
      </c>
      <c r="AG125" s="563">
        <f>Sheet1!L127*MGDtoCFS</f>
        <v>71.595159999999993</v>
      </c>
      <c r="AH125" s="545">
        <f t="shared" si="277"/>
        <v>0</v>
      </c>
      <c r="AI125" s="560">
        <f t="shared" si="278"/>
        <v>0</v>
      </c>
      <c r="AJ125" s="560">
        <f t="shared" si="279"/>
        <v>56.326520376175552</v>
      </c>
      <c r="AK125" s="560">
        <f t="shared" si="280"/>
        <v>87.13712702194357</v>
      </c>
      <c r="AL125" s="560">
        <f>(VLOOKUP(Sheet1!DC127,hhdcap_wcm,4)-(((VLOOKUP(Sheet1!DC127,hhdcap_wcm,3)-Sheet1!DC127)/(VLOOKUP(Sheet1!DC127,hhdcap_wcm,3)-VLOOKUP(Sheet1!DC127,hhdcap_wcm,1)))*(VLOOKUP(Sheet1!DC127,hhdcap_wcm,4)-VLOOKUP(Sheet1!DC127,hhdcap_wcm,2))))</f>
        <v>36717.000000092965</v>
      </c>
      <c r="AM125" s="560">
        <f t="shared" si="281"/>
        <v>1557.0000000043437</v>
      </c>
      <c r="AN125" s="560">
        <f t="shared" si="282"/>
        <v>3556.3482532047792</v>
      </c>
      <c r="AO125" s="560">
        <f t="shared" si="283"/>
        <v>10910.876440832262</v>
      </c>
      <c r="AP125" s="560">
        <f>Sheet1!BA127+Sheet1!BB127+Sheet1!BN127+CD125</f>
        <v>17.2</v>
      </c>
      <c r="AQ125" s="560">
        <f>Sheet1!BN127+(DO125*Sheet1!BN127)</f>
        <v>15.587774294670846</v>
      </c>
      <c r="AR125" s="560">
        <f>Sheet1!BA127+CD125</f>
        <v>0</v>
      </c>
      <c r="AS125" s="560">
        <f>Sheet1!BA127+Sheet1!BB127+CD125</f>
        <v>1.6</v>
      </c>
      <c r="AT125" s="698">
        <f>0</f>
        <v>0</v>
      </c>
      <c r="AU125" s="560">
        <f>IF(EB125&lt;K125,0,MAX(Sheet1!AA127+AQ125-15/36*K125-N125,Sheet1!EH127,0))</f>
        <v>0</v>
      </c>
      <c r="AV125" s="560">
        <f>IF(OR(B125&gt;=GD125,B125&lt;GC125),0,15/36*K125-MAX(0,64.6-(137.6-(Sheet1!AA127+Sheet1!AB127))))</f>
        <v>26.933333333333334</v>
      </c>
      <c r="AW125" s="698">
        <f>Sheet1!DB127-110</f>
        <v>2420</v>
      </c>
      <c r="AX125" s="698">
        <f>Sheet1!DA127-265</f>
        <v>3315</v>
      </c>
      <c r="AY125" s="698">
        <f t="shared" si="284"/>
        <v>35.04</v>
      </c>
      <c r="AZ125" s="698">
        <v>0</v>
      </c>
      <c r="BA125" s="698">
        <f t="shared" si="285"/>
        <v>0</v>
      </c>
      <c r="BB125" s="560">
        <f t="shared" si="286"/>
        <v>1696.8000000000004</v>
      </c>
      <c r="BC125" s="560"/>
      <c r="BD125" s="560">
        <f ca="1">IF(B125&gt;Summary!$A$1,#N/A,BB125*MGtoAF)</f>
        <v>5205.782400000001</v>
      </c>
      <c r="BE125" s="560">
        <f>Sheet1!BG127+Sheet1!BH127+Sheet1!BI127-BM125</f>
        <v>0</v>
      </c>
      <c r="BF125" s="560">
        <f t="shared" si="287"/>
        <v>0</v>
      </c>
      <c r="BG125" s="560">
        <f>IF(Sheet1!EP127="FM",BM125,0)</f>
        <v>0</v>
      </c>
      <c r="BH125" s="560">
        <f t="shared" si="288"/>
        <v>0</v>
      </c>
      <c r="BI125" s="560">
        <f>IF(Sheet1!EP127="OTHER",BM125,0)</f>
        <v>0</v>
      </c>
      <c r="BJ125" s="560">
        <f t="shared" si="289"/>
        <v>0</v>
      </c>
      <c r="BK125" s="560">
        <f t="shared" si="290"/>
        <v>0</v>
      </c>
      <c r="BL125" s="560">
        <f t="shared" si="291"/>
        <v>0</v>
      </c>
      <c r="BM125" s="560">
        <f>IF(OR(Sheet1!EP127="FM", Sheet1!EP127="OTHER"),SUM(Sheet1!BG127:'Sheet1'!BI127),0)</f>
        <v>0</v>
      </c>
      <c r="BN125" s="545">
        <f>IF(AND($B125&gt;=$FV125,$B125&lt;=$FW125),MAX(BF125,Sheet1!EI127,0),MAX(BF125-(7/36)*$K125,0))</f>
        <v>0</v>
      </c>
      <c r="BO125" s="560">
        <f t="shared" si="292"/>
        <v>12.568888888888889</v>
      </c>
      <c r="BP125" s="545">
        <f t="shared" si="293"/>
        <v>0</v>
      </c>
      <c r="BQ125" s="545">
        <f>IF(AND($O125&gt;0,Sheet1!EM127=1),(1-($O125-Sheet1!$L127)/$O125)*BL125,0)</f>
        <v>0</v>
      </c>
      <c r="BR125" s="545">
        <f>IF(AND(Sheet1!$L127=0,Sheet1!$L126=0, Calculation!BK125&lt;Sheet1!$EI127-0.1,Sheet1!$EI127=Sheet1!$EI126,Sheet1!$EI127=Sheet1!$EI128),Sheet1!$EI127,BL125-BQ125)</f>
        <v>0</v>
      </c>
      <c r="BS125" s="560"/>
      <c r="BT125" s="560"/>
      <c r="BU125" s="560">
        <f t="shared" si="294"/>
        <v>791.83999999999901</v>
      </c>
      <c r="BV125" s="560"/>
      <c r="BW125" s="560">
        <f ca="1">IF(B125&gt;Summary!$A$1,#N/A,BU125*MGtoAF)</f>
        <v>2429.3651199999972</v>
      </c>
      <c r="BX125" s="560">
        <f>Sheet1!BC127+Sheet1!BD127+Sheet1!BE127+Sheet1!BF127-CG125-CH125</f>
        <v>2.5</v>
      </c>
      <c r="BY125" s="560">
        <f t="shared" si="295"/>
        <v>2.498040752351097</v>
      </c>
      <c r="BZ125" s="560">
        <f>IF(Sheet1!EQ127="FM",CH125,0)</f>
        <v>0</v>
      </c>
      <c r="CA125" s="560">
        <f t="shared" si="296"/>
        <v>0</v>
      </c>
      <c r="CB125" s="560">
        <f>IF(Sheet1!EQ127="OTHER",CH125,0)</f>
        <v>0</v>
      </c>
      <c r="CC125" s="560">
        <f t="shared" si="297"/>
        <v>0</v>
      </c>
      <c r="CD125" s="560">
        <f t="shared" si="298"/>
        <v>0</v>
      </c>
      <c r="CE125" s="560">
        <f t="shared" si="299"/>
        <v>2.5</v>
      </c>
      <c r="CF125" s="560">
        <f t="shared" si="300"/>
        <v>2.498040752351097</v>
      </c>
      <c r="CG125" s="560">
        <f>IF(Sheet1!EQ127="CWA",SUM(Sheet1!BC127:'Sheet1'!BF127),0)</f>
        <v>0</v>
      </c>
      <c r="CH125" s="560">
        <f>IF(OR(Sheet1!EQ127="FM", Sheet1!EQ127="OTHER"),SUM(Sheet1!BC127:'Sheet1'!BF127),0)</f>
        <v>0</v>
      </c>
      <c r="CI125" s="545">
        <f>IF(AND($B125&gt;=$FV125,$B125&lt;=$FW125),MAX(CF125,Sheet1!EJ127,0),MAX(CF125-(7/36)*$K125,0))</f>
        <v>0</v>
      </c>
      <c r="CJ125" s="560">
        <f t="shared" si="301"/>
        <v>10.070848136537792</v>
      </c>
      <c r="CK125" s="545">
        <f t="shared" si="302"/>
        <v>2.498040752351097</v>
      </c>
      <c r="CL125" s="545">
        <f>IF(AND($O125&gt;0,Sheet1!EN127=1),(1-($O125-Sheet1!$L127)/$O125)*CF125,0)</f>
        <v>0</v>
      </c>
      <c r="CM125" s="545">
        <f>IF(AND(Sheet1!$L127=0,Sheet1!$L126=0, Calculation!CE125&lt;Sheet1!EJ127-0.1,Sheet1!EJ127=Sheet1!EJ126,Sheet1!EJ127=Sheet1!EJ128),Sheet1!EJ127,CF125-CL125)</f>
        <v>2.498040752351097</v>
      </c>
      <c r="CN125" s="545"/>
      <c r="CO125" s="560"/>
      <c r="CP125" s="560">
        <f t="shared" si="303"/>
        <v>627.0385548885522</v>
      </c>
      <c r="CQ125" s="560"/>
      <c r="CR125" s="560">
        <f ca="1">IF(B125&gt;Summary!$A$1,#N/A,CP125*MGtoAF)</f>
        <v>1923.7542863980782</v>
      </c>
      <c r="CS125" s="560">
        <f>Sheet1!BK127+Sheet1!BL127+Sheet1!BM127-Sheet1!ER127-DA125</f>
        <v>5.82</v>
      </c>
      <c r="CT125" s="560">
        <f t="shared" si="304"/>
        <v>5.8154388714733543</v>
      </c>
      <c r="CU125" s="560">
        <f>IF(Sheet1!ER127="FM",DA125,0)</f>
        <v>0</v>
      </c>
      <c r="CV125" s="560">
        <f t="shared" si="305"/>
        <v>0</v>
      </c>
      <c r="CW125" s="560">
        <f>IF(Sheet1!ER127="OTHER",DA125,0)</f>
        <v>0</v>
      </c>
      <c r="CX125" s="560">
        <f t="shared" si="306"/>
        <v>0</v>
      </c>
      <c r="CY125" s="560">
        <f t="shared" si="307"/>
        <v>5.82</v>
      </c>
      <c r="CZ125" s="560">
        <f t="shared" si="308"/>
        <v>5.8154388714733543</v>
      </c>
      <c r="DA125" s="560">
        <f>IF(OR(Sheet1!ER127="FM", Sheet1!ER127="OTHER"),SUM(Sheet1!BK127:'Sheet1'!BM127),0)</f>
        <v>0</v>
      </c>
      <c r="DB125" s="545">
        <f>IF(AND($B125&gt;=$FV125,$B125&lt;=$FW125),MAX($CT125,Sheet1!EK127,0),MAX($CT125-(7/36)*$K125,0))</f>
        <v>0</v>
      </c>
      <c r="DC125" s="560">
        <f t="shared" si="309"/>
        <v>6.7534500174155347</v>
      </c>
      <c r="DD125" s="545">
        <f t="shared" si="310"/>
        <v>5.8154388714733543</v>
      </c>
      <c r="DE125" s="545">
        <f>IF(AND($O125&gt;0,Sheet1!EO127=1),(1-($O125-Sheet1!$L127)/$O125)*CZ125,0)</f>
        <v>0</v>
      </c>
      <c r="DF125" s="545">
        <f>IF(AND(Sheet1!$L127=0,Sheet1!$L126=0, Calculation!CY125&lt;Sheet1!$EK127-0.1,Sheet1!$EK127=Sheet1!$EK126,Sheet1!$EK127=Sheet1!$EK128),Sheet1!$EK127,CZ125-DE125)</f>
        <v>5.8154388714733543</v>
      </c>
      <c r="DG125" s="545"/>
      <c r="DH125" s="560">
        <f t="shared" si="311"/>
        <v>8.32</v>
      </c>
      <c r="DI125" s="560">
        <f t="shared" si="312"/>
        <v>440.66969831622743</v>
      </c>
      <c r="DJ125" s="698">
        <f t="shared" si="313"/>
        <v>8.3134796238244508</v>
      </c>
      <c r="DK125" s="560">
        <f ca="1">IF(B125&gt;Summary!$A$1,#N/A,DI125*MGtoAF)</f>
        <v>1351.9746344341859</v>
      </c>
      <c r="DL125" s="698">
        <f t="shared" si="314"/>
        <v>8.32</v>
      </c>
      <c r="DM125" s="560">
        <f t="shared" si="315"/>
        <v>25.52</v>
      </c>
      <c r="DN125" s="560">
        <f>Sheet1!AB127-DM125</f>
        <v>-1.9999999999999574E-2</v>
      </c>
      <c r="DO125" s="823">
        <f t="shared" si="316"/>
        <v>-7.836990595611118E-4</v>
      </c>
      <c r="DP125" s="560">
        <f>(VLOOKUP(Sheet1!DC127,hhdcap_wcm,4)-(((VLOOKUP(Sheet1!DC127,hhdcap_wcm,3)-Sheet1!DC127)/(VLOOKUP(Sheet1!DC127,hhdcap_wcm,3)-VLOOKUP(Sheet1!DC127,hhdcap_wcm,1)))*(VLOOKUP(Sheet1!DC127,hhdcap_wcm,4)-VLOOKUP(Sheet1!DC127,hhdcap_wcm,2))))</f>
        <v>36717.000000092965</v>
      </c>
      <c r="DQ125" s="560">
        <f t="shared" si="317"/>
        <v>1557.0000000043437</v>
      </c>
      <c r="DR125" s="560">
        <f t="shared" si="318"/>
        <v>785.17397882216017</v>
      </c>
      <c r="DS125" s="560">
        <f>Sheet1!EA127*AFtoMG</f>
        <v>0</v>
      </c>
      <c r="DT125" s="560">
        <f>Sheet1!EB127*AFtoMG</f>
        <v>0</v>
      </c>
      <c r="DU125" s="560">
        <f>Sheet1!EC127*AFtoMG</f>
        <v>0</v>
      </c>
      <c r="DV125" s="560">
        <f>Sheet1!ED127*AFtoMG</f>
        <v>0</v>
      </c>
      <c r="DW125" s="560">
        <f t="shared" si="319"/>
        <v>0</v>
      </c>
      <c r="DX125" s="560">
        <f t="shared" si="320"/>
        <v>0</v>
      </c>
      <c r="DY125" s="560">
        <f t="shared" si="321"/>
        <v>3556.3482532047792</v>
      </c>
      <c r="DZ125" s="560">
        <f t="shared" si="322"/>
        <v>10910.876440832262</v>
      </c>
      <c r="EA125" s="560"/>
      <c r="EB125" s="545">
        <f>IF(OR(B125&lt;FV125,B125&gt;FW125),(MIN(BF125+BY125+CT125+MAX(Sheet1!AA127+AQ125-73,0),K125)),0)</f>
        <v>8.3134796238244508</v>
      </c>
      <c r="EC125" s="560"/>
      <c r="ED125" s="560">
        <f t="shared" si="323"/>
        <v>8.3134796238244508</v>
      </c>
      <c r="EE125" s="560"/>
      <c r="EF125" s="560">
        <f>Sheet1!EH127+Sheet1!EI127+Sheet1!EJ127+Sheet1!EK127</f>
        <v>8.32</v>
      </c>
      <c r="EG125" s="560"/>
      <c r="EH125" s="545">
        <f t="shared" si="324"/>
        <v>0</v>
      </c>
      <c r="EI125" s="560">
        <f>IF(Sheet1!ET127=1,SUM('Calculations II'!AT125:BA125)+'Calculations II'!BC125+Sheet1!BV127+'Calculations II'!BE125+AP125,SUM('Calculations II'!AT125:BA125)+'Calculations II'!BC125+Sheet1!BV127+'Calculations II'!BE125+AP125)</f>
        <v>48.467439999999996</v>
      </c>
      <c r="EJ125" s="560">
        <f>Sheet1!AA127+Sheet1!AB127+'Calculations II'!BC125</f>
        <v>52.555952000000005</v>
      </c>
      <c r="EK125" s="560"/>
      <c r="EL125" s="560"/>
      <c r="EM125" s="560">
        <f t="shared" si="325"/>
        <v>41753</v>
      </c>
      <c r="EN125" s="560">
        <f t="shared" si="326"/>
        <v>56.326520376175552</v>
      </c>
      <c r="EO125" s="560">
        <f t="shared" si="327"/>
        <v>87.13712702194357</v>
      </c>
      <c r="EP125" s="560">
        <v>0</v>
      </c>
      <c r="EQ125" s="560">
        <v>0</v>
      </c>
      <c r="ER125" s="560">
        <v>0</v>
      </c>
      <c r="ES125" s="545">
        <f t="shared" si="247"/>
        <v>0.2770208181560263</v>
      </c>
      <c r="ET125" s="560">
        <f>-(VLOOKUP(Sheet1!BQ127,Lookup!$O$4:$Q$262,2)-VLOOKUP(Sheet1!BQ126,Lookup!$O$4:$Q$262,2))/1000000</f>
        <v>0.13851040907801315</v>
      </c>
      <c r="EU125" s="560">
        <f>-(VLOOKUP(Sheet1!BR127,Lookup!$O$4:$Q$262,3)-VLOOKUP(Sheet1!BR126,Lookup!$O$4:$Q$262,3))/1000000</f>
        <v>0.13851040907801315</v>
      </c>
      <c r="EV125" s="560"/>
      <c r="EW125" s="560"/>
      <c r="EX125" s="560"/>
      <c r="EY125" s="560"/>
      <c r="EZ125" s="560"/>
      <c r="FA125" s="560"/>
      <c r="FB125" s="560"/>
      <c r="FC125" s="560"/>
      <c r="FD125" s="594" t="e">
        <f t="shared" si="328"/>
        <v>#N/A</v>
      </c>
      <c r="FE125" s="594" t="e">
        <f t="shared" si="329"/>
        <v>#N/A</v>
      </c>
      <c r="FF125" s="595" t="e">
        <f t="shared" si="330"/>
        <v>#N/A</v>
      </c>
      <c r="FG125" s="596" t="s">
        <v>692</v>
      </c>
      <c r="FH125" s="596" t="s">
        <v>692</v>
      </c>
      <c r="FI125" s="594" t="e">
        <v>#N/A</v>
      </c>
      <c r="FJ125" s="594" t="e">
        <v>#N/A</v>
      </c>
      <c r="FK125" s="560"/>
      <c r="FL125" s="560"/>
      <c r="FM125" s="560"/>
      <c r="FN125" s="560"/>
      <c r="FO125" s="560">
        <f>O125+((Sheet1!CS127)*GPMtoMGD)</f>
        <v>52.555952000000005</v>
      </c>
      <c r="FP125" s="560">
        <f>IF(Sheet1!AA127+AQ125&lt;=Calculation!N125,AQ125,Calculation!N125-Sheet1!AA127)</f>
        <v>15.587774294670846</v>
      </c>
      <c r="FQ125" s="560">
        <f>(Sheet1!BP127+Sheet1!BO127)/694.4</f>
        <v>1.4821428571428572</v>
      </c>
      <c r="FR125" s="560"/>
      <c r="FS125" s="560"/>
      <c r="FT125" s="560"/>
      <c r="FU125" s="560"/>
      <c r="FV125" s="695">
        <f t="shared" si="248"/>
        <v>41827</v>
      </c>
      <c r="FW125" s="695">
        <f t="shared" si="249"/>
        <v>41934</v>
      </c>
      <c r="FX125" s="560"/>
      <c r="FY125" s="560"/>
      <c r="FZ125" s="560"/>
      <c r="GA125" s="560"/>
      <c r="GB125" s="560" t="str">
        <f t="shared" si="250"/>
        <v>n</v>
      </c>
      <c r="GC125" s="564">
        <f t="shared" si="251"/>
        <v>41691</v>
      </c>
      <c r="GD125" s="695">
        <f t="shared" si="252"/>
        <v>41807</v>
      </c>
      <c r="GE125" s="560">
        <v>6518.9</v>
      </c>
      <c r="GF125" s="695">
        <f t="shared" si="253"/>
        <v>41808</v>
      </c>
      <c r="GG125" s="560">
        <f t="shared" si="272"/>
        <v>3259</v>
      </c>
      <c r="GH125" s="564">
        <f t="shared" si="254"/>
        <v>41934</v>
      </c>
      <c r="GJ125" s="545">
        <f t="shared" si="255"/>
        <v>0</v>
      </c>
      <c r="GK125" s="560" t="str">
        <f t="shared" si="331"/>
        <v/>
      </c>
      <c r="GL125" s="560">
        <f t="shared" si="256"/>
        <v>0</v>
      </c>
      <c r="GM125" s="560" t="str">
        <f t="shared" si="257"/>
        <v/>
      </c>
      <c r="GN125" s="560">
        <f>IF(GK125="P",Lookup!$M$12,IF(GK125="PP",Lookup!$M$13,IF(GK125="PPP",Lookup!$M$14,IF(GK125="T",Lookup!$M$15,IF(GK125="TP",Lookup!$M$16,IF(GK125="TPP",Lookup!$M$17,IF(GK125="TPPP",Lookup!$M$18,0)))))))*GJ125</f>
        <v>0</v>
      </c>
      <c r="GO125" s="560">
        <f t="shared" si="258"/>
        <v>0</v>
      </c>
      <c r="GP125" s="560">
        <f t="shared" si="332"/>
        <v>5205.782400000001</v>
      </c>
      <c r="GQ125" s="560">
        <f t="shared" si="266"/>
        <v>1696.8000000000004</v>
      </c>
      <c r="GR125" s="560"/>
      <c r="GS125" s="560">
        <f t="shared" si="259"/>
        <v>0</v>
      </c>
      <c r="GT125" s="560" t="str">
        <f t="shared" si="260"/>
        <v/>
      </c>
      <c r="GU125" s="560">
        <f>IF(GK125="P",Lookup!$N$12,IF(GK125="PP",Lookup!$N$13,IF(GK125="PPP",Lookup!$N$14,IF(GK125="T",Lookup!$N$15,IF(GK125="TP",Lookup!$N$16,IF(GK125="TPP",Lookup!$N$17,IF(GK125="TPPP",Lookup!$N$18,0)))))))*GJ125</f>
        <v>0</v>
      </c>
      <c r="GV125" s="560">
        <f t="shared" si="261"/>
        <v>0</v>
      </c>
      <c r="GW125" s="560">
        <f t="shared" si="333"/>
        <v>2429.3651199999972</v>
      </c>
      <c r="GX125" s="560">
        <f t="shared" si="267"/>
        <v>791.83999999999901</v>
      </c>
      <c r="GY125" s="560"/>
      <c r="GZ125" s="560">
        <f t="shared" si="262"/>
        <v>0</v>
      </c>
      <c r="HA125" s="560" t="str">
        <f t="shared" si="263"/>
        <v/>
      </c>
      <c r="HB125" s="560">
        <f>IF(GK125="P",Lookup!$N$12,IF(GK125="PP",Lookup!$N$13,IF(GK125="PPP",Lookup!$N$14,IF(GK125="T",Lookup!$N$15,IF(GK125="TP",Lookup!$N$16,IF(GK125="TPP",Lookup!$N$17,IF(GK125="TPPP",Lookup!$N$18,0)))))))*GJ125</f>
        <v>0</v>
      </c>
      <c r="HC125" s="545">
        <f t="shared" si="334"/>
        <v>0</v>
      </c>
      <c r="HD125" s="560">
        <f t="shared" si="335"/>
        <v>1923.7542863980782</v>
      </c>
      <c r="HE125" s="560">
        <f t="shared" si="268"/>
        <v>627.0385548885522</v>
      </c>
      <c r="HF125" s="560"/>
      <c r="HG125" s="560">
        <f t="shared" si="264"/>
        <v>0</v>
      </c>
      <c r="HH125" s="560" t="str">
        <f t="shared" si="265"/>
        <v/>
      </c>
      <c r="HI125" s="560">
        <f>IF(GK125="P",Lookup!$N$12,IF(GK125="PP",Lookup!$N$13,IF(GK125="PPP",Lookup!$N$14,IF(GK125="T",Lookup!$N$15,IF(GK125="TP",Lookup!$N$16,IF(GK125="TPP",Lookup!$N$17,IF(GK125="TPPP",Lookup!$N$18,0)))))))*GJ125</f>
        <v>0</v>
      </c>
      <c r="HJ125" s="545">
        <f t="shared" si="336"/>
        <v>0</v>
      </c>
      <c r="HK125" s="560">
        <f t="shared" si="337"/>
        <v>1351.9746344341859</v>
      </c>
      <c r="HL125" s="560">
        <f t="shared" si="269"/>
        <v>440.66969831622743</v>
      </c>
      <c r="HM125" s="560"/>
    </row>
    <row r="126" spans="1:221">
      <c r="A126" s="580" t="s">
        <v>8</v>
      </c>
      <c r="B126" s="556">
        <v>41754</v>
      </c>
      <c r="C126" s="561">
        <v>0</v>
      </c>
      <c r="D126" s="529">
        <f t="shared" si="270"/>
        <v>300</v>
      </c>
      <c r="E126" s="529">
        <f t="shared" si="271"/>
        <v>250</v>
      </c>
      <c r="F126" s="529">
        <v>250</v>
      </c>
      <c r="G126" s="560">
        <f>DR126+Sheet1!CZ128</f>
        <v>2540.6807866877698</v>
      </c>
      <c r="H126" s="914">
        <f t="shared" si="236"/>
        <v>1375.3328605149743</v>
      </c>
      <c r="I126" s="559">
        <f>MAX(Sheet1!Z128-AT126+(Sheet1!DA128-E126)*CFStoMGD,0)</f>
        <v>1848.348</v>
      </c>
      <c r="J126" s="562">
        <f>IF(AND(B126&gt;=Calculation!GC126,B126&lt;=Calculation!GD126),IF(Sheet1!DB128&gt;=Calculation!D126,64.64,0),MAX(Sheet1!Z128-AT126+(Sheet1!DB128-D126)*CFStoMGD,0))</f>
        <v>64.64</v>
      </c>
      <c r="K126" s="904">
        <f t="shared" si="273"/>
        <v>64.64</v>
      </c>
      <c r="L126" s="560">
        <f>Sheet1!AA128+Sheet1!AB128-Sheet1!L128+(Sheet1!DA128-F126)*CFStoMGD</f>
        <v>1822.848</v>
      </c>
      <c r="M126" s="560">
        <f t="shared" si="274"/>
        <v>1675.141981725274</v>
      </c>
      <c r="N126" s="910">
        <f>IF(Sheet1!DA128&gt;=F126,MIN(73,MIN(MAX(L126,0),MAX(M126,0))),0)</f>
        <v>73</v>
      </c>
      <c r="O126" s="563">
        <f>Sheet1!AA128+Sheet1!AB128</f>
        <v>46.3</v>
      </c>
      <c r="P126" s="563">
        <f t="shared" si="275"/>
        <v>71.626099999999994</v>
      </c>
      <c r="Q126" s="898">
        <f t="shared" si="237"/>
        <v>37.89</v>
      </c>
      <c r="R126" s="829">
        <f t="shared" si="276"/>
        <v>8.4067032536260289</v>
      </c>
      <c r="S126" s="898">
        <f t="shared" si="238"/>
        <v>8.41</v>
      </c>
      <c r="T126" s="898">
        <f t="shared" si="239"/>
        <v>56.230000000000004</v>
      </c>
      <c r="U126" s="898">
        <f t="shared" si="240"/>
        <v>0</v>
      </c>
      <c r="V126" s="898"/>
      <c r="W126" s="898">
        <f t="shared" si="241"/>
        <v>56.233296746373973</v>
      </c>
      <c r="X126" s="898">
        <f t="shared" si="242"/>
        <v>64.64</v>
      </c>
      <c r="Y126" s="898" t="str">
        <f t="shared" si="243"/>
        <v>FALSE</v>
      </c>
      <c r="Z126" s="898">
        <f t="shared" si="244"/>
        <v>46.3</v>
      </c>
      <c r="AA126" s="898">
        <f t="shared" si="245"/>
        <v>46.3</v>
      </c>
      <c r="AB126" s="898" t="str">
        <f t="shared" si="246"/>
        <v/>
      </c>
      <c r="AC126" s="563">
        <f>Sheet1!Y128*MGDtoCFS</f>
        <v>32.146659999999997</v>
      </c>
      <c r="AD126" s="563">
        <f>Sheet1!Z128*MGDtoCFS</f>
        <v>39.448499999999996</v>
      </c>
      <c r="AE126" s="563">
        <f>Sheet1!AA128*MGDtoCFS</f>
        <v>32.177599999999998</v>
      </c>
      <c r="AF126" s="563">
        <f>Sheet1!AB128*MGDtoCFS</f>
        <v>39.448499999999996</v>
      </c>
      <c r="AG126" s="563">
        <f>Sheet1!L128*MGDtoCFS</f>
        <v>71.626099999999994</v>
      </c>
      <c r="AH126" s="545">
        <f t="shared" si="277"/>
        <v>0</v>
      </c>
      <c r="AI126" s="560">
        <f t="shared" si="278"/>
        <v>0</v>
      </c>
      <c r="AJ126" s="560">
        <f t="shared" si="279"/>
        <v>56.233296746373973</v>
      </c>
      <c r="AK126" s="560">
        <f t="shared" si="280"/>
        <v>86.992910066640533</v>
      </c>
      <c r="AL126" s="560">
        <f>(VLOOKUP(Sheet1!DC128,hhdcap_wcm,4)-(((VLOOKUP(Sheet1!DC128,hhdcap_wcm,3)-Sheet1!DC128)/(VLOOKUP(Sheet1!DC128,hhdcap_wcm,3)-VLOOKUP(Sheet1!DC128,hhdcap_wcm,1)))*(VLOOKUP(Sheet1!DC128,hhdcap_wcm,4)-VLOOKUP(Sheet1!DC128,hhdcap_wcm,2))))</f>
        <v>37809.000000094813</v>
      </c>
      <c r="AM126" s="560">
        <f t="shared" si="281"/>
        <v>1092.0000000018481</v>
      </c>
      <c r="AN126" s="560">
        <f t="shared" si="282"/>
        <v>3612.5815499511532</v>
      </c>
      <c r="AO126" s="560">
        <f t="shared" si="283"/>
        <v>11083.400195250138</v>
      </c>
      <c r="AP126" s="560">
        <f>Sheet1!BA128+Sheet1!BB128+Sheet1!BN128+CD126</f>
        <v>17.100000000000001</v>
      </c>
      <c r="AQ126" s="560">
        <f>Sheet1!BN128+(DO126*Sheet1!BN128)</f>
        <v>15.49392395139161</v>
      </c>
      <c r="AR126" s="560">
        <f>Sheet1!BA128+CD126</f>
        <v>0</v>
      </c>
      <c r="AS126" s="560">
        <f>Sheet1!BA128+Sheet1!BB128+CD126</f>
        <v>1.6</v>
      </c>
      <c r="AT126" s="698">
        <f>0</f>
        <v>0</v>
      </c>
      <c r="AU126" s="560">
        <f>IF(EB126&lt;K126,0,MAX(Sheet1!AA128+AQ126-15/36*K126-N126,Sheet1!EH128,0))</f>
        <v>0</v>
      </c>
      <c r="AV126" s="560">
        <f>IF(OR(B126&gt;=GD126,B126&lt;GC126),0,15/36*K126-MAX(0,64.6-(137.6-(Sheet1!AA128+Sheet1!AB128))))</f>
        <v>26.933333333333334</v>
      </c>
      <c r="AW126" s="698">
        <f>Sheet1!DB128-110</f>
        <v>2040</v>
      </c>
      <c r="AX126" s="698">
        <f>Sheet1!DA128-265</f>
        <v>2805</v>
      </c>
      <c r="AY126" s="698">
        <f t="shared" si="284"/>
        <v>35.11</v>
      </c>
      <c r="AZ126" s="698">
        <v>0</v>
      </c>
      <c r="BA126" s="698">
        <f t="shared" si="285"/>
        <v>0</v>
      </c>
      <c r="BB126" s="560">
        <f t="shared" si="286"/>
        <v>1723.7333333333338</v>
      </c>
      <c r="BC126" s="560"/>
      <c r="BD126" s="560">
        <f ca="1">IF(B126&gt;Summary!$A$1,#N/A,BB126*MGtoAF)</f>
        <v>5288.4138666666686</v>
      </c>
      <c r="BE126" s="560">
        <f>Sheet1!BG128+Sheet1!BH128+Sheet1!BI128-BM126</f>
        <v>0</v>
      </c>
      <c r="BF126" s="560">
        <f t="shared" si="287"/>
        <v>0</v>
      </c>
      <c r="BG126" s="560">
        <f>IF(Sheet1!EP128="FM",BM126,0)</f>
        <v>0</v>
      </c>
      <c r="BH126" s="560">
        <f t="shared" si="288"/>
        <v>0</v>
      </c>
      <c r="BI126" s="560">
        <f>IF(Sheet1!EP128="OTHER",BM126,0)</f>
        <v>0</v>
      </c>
      <c r="BJ126" s="560">
        <f t="shared" si="289"/>
        <v>0</v>
      </c>
      <c r="BK126" s="560">
        <f t="shared" si="290"/>
        <v>0</v>
      </c>
      <c r="BL126" s="560">
        <f t="shared" si="291"/>
        <v>0</v>
      </c>
      <c r="BM126" s="560">
        <f>IF(OR(Sheet1!EP128="FM", Sheet1!EP128="OTHER"),SUM(Sheet1!BG128:'Sheet1'!BI128),0)</f>
        <v>0</v>
      </c>
      <c r="BN126" s="545">
        <f>IF(AND($B126&gt;=$FV126,$B126&lt;=$FW126),MAX(BF126,Sheet1!EI128,0),MAX(BF126-(7/36)*$K126,0))</f>
        <v>0</v>
      </c>
      <c r="BO126" s="560">
        <f t="shared" si="292"/>
        <v>12.568888888888889</v>
      </c>
      <c r="BP126" s="545">
        <f t="shared" si="293"/>
        <v>0</v>
      </c>
      <c r="BQ126" s="545">
        <f>IF(AND($O126&gt;0,Sheet1!EM128=1),(1-($O126-Sheet1!$L128)/$O126)*BL126,0)</f>
        <v>0</v>
      </c>
      <c r="BR126" s="545">
        <f>IF(AND(Sheet1!$L128=0,Sheet1!$L127=0, Calculation!BK126&lt;Sheet1!$EI128-0.1,Sheet1!$EI128=Sheet1!$EI127,Sheet1!$EI128=Sheet1!$EI129),Sheet1!$EI128,BL126-BQ126)</f>
        <v>0</v>
      </c>
      <c r="BS126" s="560"/>
      <c r="BT126" s="560"/>
      <c r="BU126" s="560">
        <f t="shared" si="294"/>
        <v>804.40888888888787</v>
      </c>
      <c r="BV126" s="560"/>
      <c r="BW126" s="560">
        <f ca="1">IF(B126&gt;Summary!$A$1,#N/A,BU126*MGtoAF)</f>
        <v>2467.9264711111082</v>
      </c>
      <c r="BX126" s="560">
        <f>Sheet1!BC128+Sheet1!BD128+Sheet1!BE128+Sheet1!BF128-CG126-CH126</f>
        <v>2.4900000000000002</v>
      </c>
      <c r="BY126" s="560">
        <f t="shared" si="295"/>
        <v>2.4890239121912976</v>
      </c>
      <c r="BZ126" s="560">
        <f>IF(Sheet1!EQ128="FM",CH126,0)</f>
        <v>0</v>
      </c>
      <c r="CA126" s="560">
        <f t="shared" si="296"/>
        <v>0</v>
      </c>
      <c r="CB126" s="560">
        <f>IF(Sheet1!EQ128="OTHER",CH126,0)</f>
        <v>0</v>
      </c>
      <c r="CC126" s="560">
        <f t="shared" si="297"/>
        <v>0</v>
      </c>
      <c r="CD126" s="560">
        <f t="shared" si="298"/>
        <v>0</v>
      </c>
      <c r="CE126" s="560">
        <f t="shared" si="299"/>
        <v>2.4900000000000002</v>
      </c>
      <c r="CF126" s="560">
        <f t="shared" si="300"/>
        <v>2.4890239121912976</v>
      </c>
      <c r="CG126" s="560">
        <f>IF(Sheet1!EQ128="CWA",SUM(Sheet1!BC128:'Sheet1'!BF128),0)</f>
        <v>0</v>
      </c>
      <c r="CH126" s="560">
        <f>IF(OR(Sheet1!EQ128="FM", Sheet1!EQ128="OTHER"),SUM(Sheet1!BC128:'Sheet1'!BF128),0)</f>
        <v>0</v>
      </c>
      <c r="CI126" s="545">
        <f>IF(AND($B126&gt;=$FV126,$B126&lt;=$FW126),MAX(CF126,Sheet1!EJ128,0),MAX(CF126-(7/36)*$K126,0))</f>
        <v>0</v>
      </c>
      <c r="CJ126" s="560">
        <f t="shared" si="301"/>
        <v>10.079864976697591</v>
      </c>
      <c r="CK126" s="545">
        <f t="shared" si="302"/>
        <v>2.4890239121912976</v>
      </c>
      <c r="CL126" s="545">
        <f>IF(AND($O126&gt;0,Sheet1!EN128=1),(1-($O126-Sheet1!$L128)/$O126)*CF126,0)</f>
        <v>0</v>
      </c>
      <c r="CM126" s="545">
        <f>IF(AND(Sheet1!$L128=0,Sheet1!$L127=0, Calculation!CE126&lt;Sheet1!EJ128-0.1,Sheet1!EJ128=Sheet1!EJ127,Sheet1!EJ128=Sheet1!EJ129),Sheet1!EJ128,CF126-CL126)</f>
        <v>2.4890239121912976</v>
      </c>
      <c r="CN126" s="545"/>
      <c r="CO126" s="560"/>
      <c r="CP126" s="560">
        <f t="shared" si="303"/>
        <v>637.11841986524973</v>
      </c>
      <c r="CQ126" s="560"/>
      <c r="CR126" s="560">
        <f ca="1">IF(B126&gt;Summary!$A$1,#N/A,CP126*MGtoAF)</f>
        <v>1954.6793121465862</v>
      </c>
      <c r="CS126" s="560">
        <f>Sheet1!BK128+Sheet1!BL128+Sheet1!BM128-Sheet1!ER128-DA126</f>
        <v>5.92</v>
      </c>
      <c r="CT126" s="560">
        <f t="shared" si="304"/>
        <v>5.9176793414347308</v>
      </c>
      <c r="CU126" s="560">
        <f>IF(Sheet1!ER128="FM",DA126,0)</f>
        <v>0</v>
      </c>
      <c r="CV126" s="560">
        <f t="shared" si="305"/>
        <v>0</v>
      </c>
      <c r="CW126" s="560">
        <f>IF(Sheet1!ER128="OTHER",DA126,0)</f>
        <v>0</v>
      </c>
      <c r="CX126" s="560">
        <f t="shared" si="306"/>
        <v>0</v>
      </c>
      <c r="CY126" s="560">
        <f t="shared" si="307"/>
        <v>5.92</v>
      </c>
      <c r="CZ126" s="560">
        <f t="shared" si="308"/>
        <v>5.9176793414347308</v>
      </c>
      <c r="DA126" s="560">
        <f>IF(OR(Sheet1!ER128="FM", Sheet1!ER128="OTHER"),SUM(Sheet1!BK128:'Sheet1'!BM128),0)</f>
        <v>0</v>
      </c>
      <c r="DB126" s="545">
        <f>IF(AND($B126&gt;=$FV126,$B126&lt;=$FW126),MAX($CT126,Sheet1!EK128,0),MAX($CT126-(7/36)*$K126,0))</f>
        <v>0</v>
      </c>
      <c r="DC126" s="560">
        <f t="shared" si="309"/>
        <v>6.6512095474541582</v>
      </c>
      <c r="DD126" s="545">
        <f t="shared" si="310"/>
        <v>5.9176793414347308</v>
      </c>
      <c r="DE126" s="545">
        <f>IF(AND($O126&gt;0,Sheet1!EO128=1),(1-($O126-Sheet1!$L128)/$O126)*CZ126,0)</f>
        <v>0</v>
      </c>
      <c r="DF126" s="545">
        <f>IF(AND(Sheet1!$L128=0,Sheet1!$L127=0, Calculation!CY126&lt;Sheet1!$EK128-0.1,Sheet1!$EK128=Sheet1!$EK127,Sheet1!$EK128=Sheet1!$EK129),Sheet1!$EK128,CZ126-DE126)</f>
        <v>5.9176793414347308</v>
      </c>
      <c r="DG126" s="545"/>
      <c r="DH126" s="560">
        <f t="shared" si="311"/>
        <v>8.41</v>
      </c>
      <c r="DI126" s="560">
        <f t="shared" si="312"/>
        <v>447.32090786368155</v>
      </c>
      <c r="DJ126" s="698">
        <f t="shared" si="313"/>
        <v>8.4067032536260289</v>
      </c>
      <c r="DK126" s="560">
        <f ca="1">IF(B126&gt;Summary!$A$1,#N/A,DI126*MGtoAF)</f>
        <v>1372.3805453257751</v>
      </c>
      <c r="DL126" s="698">
        <f t="shared" si="314"/>
        <v>8.41</v>
      </c>
      <c r="DM126" s="560">
        <f t="shared" si="315"/>
        <v>25.51</v>
      </c>
      <c r="DN126" s="560">
        <f>Sheet1!AB128-DM126</f>
        <v>-1.0000000000001563E-2</v>
      </c>
      <c r="DO126" s="823">
        <f t="shared" si="316"/>
        <v>-3.9200313602514946E-4</v>
      </c>
      <c r="DP126" s="560">
        <f>(VLOOKUP(Sheet1!DC128,hhdcap_wcm,4)-(((VLOOKUP(Sheet1!DC128,hhdcap_wcm,3)-Sheet1!DC128)/(VLOOKUP(Sheet1!DC128,hhdcap_wcm,3)-VLOOKUP(Sheet1!DC128,hhdcap_wcm,1)))*(VLOOKUP(Sheet1!DC128,hhdcap_wcm,4)-VLOOKUP(Sheet1!DC128,hhdcap_wcm,2))))</f>
        <v>37809.000000094813</v>
      </c>
      <c r="DQ126" s="560">
        <f t="shared" si="317"/>
        <v>1092.0000000018481</v>
      </c>
      <c r="DR126" s="560">
        <f t="shared" si="318"/>
        <v>550.68078668777002</v>
      </c>
      <c r="DS126" s="560">
        <f>Sheet1!EA128*AFtoMG</f>
        <v>0</v>
      </c>
      <c r="DT126" s="560">
        <f>Sheet1!EB128*AFtoMG</f>
        <v>0</v>
      </c>
      <c r="DU126" s="560">
        <f>Sheet1!EC128*AFtoMG</f>
        <v>0</v>
      </c>
      <c r="DV126" s="560">
        <f>Sheet1!ED128*AFtoMG</f>
        <v>0</v>
      </c>
      <c r="DW126" s="560">
        <f t="shared" si="319"/>
        <v>0</v>
      </c>
      <c r="DX126" s="560">
        <f t="shared" si="320"/>
        <v>0</v>
      </c>
      <c r="DY126" s="560">
        <f t="shared" si="321"/>
        <v>3612.5815499511532</v>
      </c>
      <c r="DZ126" s="560">
        <f t="shared" si="322"/>
        <v>11083.400195250138</v>
      </c>
      <c r="EA126" s="560"/>
      <c r="EB126" s="545">
        <f>IF(OR(B126&lt;FV126,B126&gt;FW126),(MIN(BF126+BY126+CT126+MAX(Sheet1!AA128+AQ126-73,0),K126)),0)</f>
        <v>8.4067032536260289</v>
      </c>
      <c r="EC126" s="560"/>
      <c r="ED126" s="560">
        <f t="shared" si="323"/>
        <v>8.4067032536260289</v>
      </c>
      <c r="EE126" s="560"/>
      <c r="EF126" s="560">
        <f>Sheet1!EH128+Sheet1!EI128+Sheet1!EJ128+Sheet1!EK128</f>
        <v>8.41</v>
      </c>
      <c r="EG126" s="560"/>
      <c r="EH126" s="545">
        <f t="shared" si="324"/>
        <v>0</v>
      </c>
      <c r="EI126" s="560">
        <f>IF(Sheet1!ET128=1,SUM('Calculations II'!AT126:BA126)+'Calculations II'!BC126+Sheet1!BV128+'Calculations II'!BE126+AP126,SUM('Calculations II'!AT126:BA126)+'Calculations II'!BC126+Sheet1!BV128+'Calculations II'!BE126+AP126)</f>
        <v>50.031904000000004</v>
      </c>
      <c r="EJ126" s="560">
        <f>Sheet1!AA128+Sheet1!AB128+'Calculations II'!BC126</f>
        <v>52.569184</v>
      </c>
      <c r="EK126" s="560"/>
      <c r="EL126" s="560"/>
      <c r="EM126" s="560">
        <f t="shared" si="325"/>
        <v>41754</v>
      </c>
      <c r="EN126" s="560">
        <f t="shared" si="326"/>
        <v>56.233296746373973</v>
      </c>
      <c r="EO126" s="560">
        <f t="shared" si="327"/>
        <v>86.992910066640533</v>
      </c>
      <c r="EP126" s="560">
        <v>0</v>
      </c>
      <c r="EQ126" s="560">
        <v>0</v>
      </c>
      <c r="ER126" s="560">
        <v>0</v>
      </c>
      <c r="ES126" s="545">
        <f t="shared" si="247"/>
        <v>1.8003213011978416</v>
      </c>
      <c r="ET126" s="560">
        <f>-(VLOOKUP(Sheet1!BQ128,Lookup!$O$4:$Q$262,2)-VLOOKUP(Sheet1!BQ127,Lookup!$O$4:$Q$262,2))/1000000</f>
        <v>0.8309278752413094</v>
      </c>
      <c r="EU126" s="560">
        <f>-(VLOOKUP(Sheet1!BR128,Lookup!$O$4:$Q$262,3)-VLOOKUP(Sheet1!BR127,Lookup!$O$4:$Q$262,3))/1000000</f>
        <v>0.96939342595653233</v>
      </c>
      <c r="EV126" s="560"/>
      <c r="EW126" s="560"/>
      <c r="EX126" s="560"/>
      <c r="EY126" s="560"/>
      <c r="EZ126" s="560"/>
      <c r="FA126" s="560"/>
      <c r="FB126" s="560"/>
      <c r="FC126" s="560"/>
      <c r="FD126" s="594" t="e">
        <f t="shared" si="328"/>
        <v>#N/A</v>
      </c>
      <c r="FE126" s="594" t="e">
        <f t="shared" si="329"/>
        <v>#N/A</v>
      </c>
      <c r="FF126" s="595" t="e">
        <f t="shared" si="330"/>
        <v>#N/A</v>
      </c>
      <c r="FG126" s="596" t="s">
        <v>692</v>
      </c>
      <c r="FH126" s="596" t="s">
        <v>692</v>
      </c>
      <c r="FI126" s="594" t="e">
        <v>#N/A</v>
      </c>
      <c r="FJ126" s="594" t="e">
        <v>#N/A</v>
      </c>
      <c r="FK126" s="560"/>
      <c r="FL126" s="560"/>
      <c r="FM126" s="560"/>
      <c r="FN126" s="560"/>
      <c r="FO126" s="560">
        <f>O126+((Sheet1!CS128)*GPMtoMGD)</f>
        <v>52.569184</v>
      </c>
      <c r="FP126" s="560">
        <f>IF(Sheet1!AA128+AQ126&lt;=Calculation!N126,AQ126,Calculation!N126-Sheet1!AA128)</f>
        <v>15.49392395139161</v>
      </c>
      <c r="FQ126" s="560">
        <f>(Sheet1!BP128+Sheet1!BO128)/694.4</f>
        <v>1.5280817972350229</v>
      </c>
      <c r="FR126" s="560"/>
      <c r="FS126" s="560"/>
      <c r="FT126" s="560"/>
      <c r="FU126" s="560"/>
      <c r="FV126" s="695">
        <f t="shared" si="248"/>
        <v>41827</v>
      </c>
      <c r="FW126" s="695">
        <f t="shared" si="249"/>
        <v>41934</v>
      </c>
      <c r="FX126" s="560"/>
      <c r="FY126" s="560"/>
      <c r="FZ126" s="560"/>
      <c r="GA126" s="560"/>
      <c r="GB126" s="560" t="str">
        <f t="shared" si="250"/>
        <v>n</v>
      </c>
      <c r="GC126" s="564">
        <f t="shared" si="251"/>
        <v>41691</v>
      </c>
      <c r="GD126" s="695">
        <f t="shared" si="252"/>
        <v>41807</v>
      </c>
      <c r="GE126" s="560">
        <v>6518.9</v>
      </c>
      <c r="GF126" s="695">
        <f t="shared" si="253"/>
        <v>41808</v>
      </c>
      <c r="GG126" s="560">
        <f t="shared" si="272"/>
        <v>3259</v>
      </c>
      <c r="GH126" s="564">
        <f t="shared" si="254"/>
        <v>41934</v>
      </c>
      <c r="GJ126" s="545">
        <f t="shared" si="255"/>
        <v>0</v>
      </c>
      <c r="GK126" s="560" t="str">
        <f t="shared" si="331"/>
        <v/>
      </c>
      <c r="GL126" s="560">
        <f t="shared" si="256"/>
        <v>0</v>
      </c>
      <c r="GM126" s="560" t="str">
        <f t="shared" si="257"/>
        <v/>
      </c>
      <c r="GN126" s="560">
        <f>IF(GK126="P",Lookup!$M$12,IF(GK126="PP",Lookup!$M$13,IF(GK126="PPP",Lookup!$M$14,IF(GK126="T",Lookup!$M$15,IF(GK126="TP",Lookup!$M$16,IF(GK126="TPP",Lookup!$M$17,IF(GK126="TPPP",Lookup!$M$18,0)))))))*GJ126</f>
        <v>0</v>
      </c>
      <c r="GO126" s="560">
        <f t="shared" si="258"/>
        <v>0</v>
      </c>
      <c r="GP126" s="560">
        <f t="shared" si="332"/>
        <v>5288.4138666666686</v>
      </c>
      <c r="GQ126" s="560">
        <f t="shared" si="266"/>
        <v>1723.7333333333338</v>
      </c>
      <c r="GR126" s="560"/>
      <c r="GS126" s="560">
        <f t="shared" si="259"/>
        <v>0</v>
      </c>
      <c r="GT126" s="560" t="str">
        <f t="shared" si="260"/>
        <v/>
      </c>
      <c r="GU126" s="560">
        <f>IF(GK126="P",Lookup!$N$12,IF(GK126="PP",Lookup!$N$13,IF(GK126="PPP",Lookup!$N$14,IF(GK126="T",Lookup!$N$15,IF(GK126="TP",Lookup!$N$16,IF(GK126="TPP",Lookup!$N$17,IF(GK126="TPPP",Lookup!$N$18,0)))))))*GJ126</f>
        <v>0</v>
      </c>
      <c r="GV126" s="560">
        <f t="shared" si="261"/>
        <v>0</v>
      </c>
      <c r="GW126" s="560">
        <f t="shared" si="333"/>
        <v>2467.9264711111082</v>
      </c>
      <c r="GX126" s="560">
        <f t="shared" si="267"/>
        <v>804.40888888888787</v>
      </c>
      <c r="GY126" s="560"/>
      <c r="GZ126" s="560">
        <f t="shared" si="262"/>
        <v>0</v>
      </c>
      <c r="HA126" s="560" t="str">
        <f t="shared" si="263"/>
        <v/>
      </c>
      <c r="HB126" s="560">
        <f>IF(GK126="P",Lookup!$N$12,IF(GK126="PP",Lookup!$N$13,IF(GK126="PPP",Lookup!$N$14,IF(GK126="T",Lookup!$N$15,IF(GK126="TP",Lookup!$N$16,IF(GK126="TPP",Lookup!$N$17,IF(GK126="TPPP",Lookup!$N$18,0)))))))*GJ126</f>
        <v>0</v>
      </c>
      <c r="HC126" s="545">
        <f t="shared" si="334"/>
        <v>0</v>
      </c>
      <c r="HD126" s="560">
        <f t="shared" si="335"/>
        <v>1954.6793121465862</v>
      </c>
      <c r="HE126" s="560">
        <f t="shared" si="268"/>
        <v>637.11841986524973</v>
      </c>
      <c r="HF126" s="560"/>
      <c r="HG126" s="560">
        <f t="shared" si="264"/>
        <v>0</v>
      </c>
      <c r="HH126" s="560" t="str">
        <f t="shared" si="265"/>
        <v/>
      </c>
      <c r="HI126" s="560">
        <f>IF(GK126="P",Lookup!$N$12,IF(GK126="PP",Lookup!$N$13,IF(GK126="PPP",Lookup!$N$14,IF(GK126="T",Lookup!$N$15,IF(GK126="TP",Lookup!$N$16,IF(GK126="TPP",Lookup!$N$17,IF(GK126="TPPP",Lookup!$N$18,0)))))))*GJ126</f>
        <v>0</v>
      </c>
      <c r="HJ126" s="545">
        <f t="shared" si="336"/>
        <v>0</v>
      </c>
      <c r="HK126" s="560">
        <f t="shared" si="337"/>
        <v>1372.3805453257751</v>
      </c>
      <c r="HL126" s="560">
        <f t="shared" si="269"/>
        <v>447.32090786368155</v>
      </c>
      <c r="HM126" s="560"/>
    </row>
    <row r="127" spans="1:221">
      <c r="A127" s="580" t="s">
        <v>9</v>
      </c>
      <c r="B127" s="556">
        <v>41755</v>
      </c>
      <c r="C127" s="561">
        <v>0</v>
      </c>
      <c r="D127" s="529">
        <f t="shared" si="270"/>
        <v>300</v>
      </c>
      <c r="E127" s="529">
        <f t="shared" si="271"/>
        <v>250</v>
      </c>
      <c r="F127" s="529">
        <v>250</v>
      </c>
      <c r="G127" s="560">
        <f>DR127+Sheet1!CZ129</f>
        <v>2192.2188603128889</v>
      </c>
      <c r="H127" s="914">
        <f t="shared" si="236"/>
        <v>1150.0870713062513</v>
      </c>
      <c r="I127" s="559">
        <f>MAX(Sheet1!Z129-AT127+(Sheet1!DA129-E127)*CFStoMGD,0)</f>
        <v>1744.924</v>
      </c>
      <c r="J127" s="562">
        <f>IF(AND(B127&gt;=Calculation!GC127,B127&lt;=Calculation!GD127),IF(Sheet1!DB129&gt;=Calculation!D127,64.64,0),MAX(Sheet1!Z129-AT127+(Sheet1!DB129-D127)*CFStoMGD,0))</f>
        <v>64.64</v>
      </c>
      <c r="K127" s="904">
        <f t="shared" si="273"/>
        <v>64.64</v>
      </c>
      <c r="L127" s="560">
        <f>Sheet1!AA129+Sheet1!AB129-Sheet1!L129+(Sheet1!DA129-F127)*CFStoMGD</f>
        <v>1719.424</v>
      </c>
      <c r="M127" s="560">
        <f t="shared" si="274"/>
        <v>1445.3912767323764</v>
      </c>
      <c r="N127" s="910">
        <f>IF(Sheet1!DA129&gt;=F127,MIN(73,MIN(MAX(L127,0),MAX(M127,0))),0)</f>
        <v>73</v>
      </c>
      <c r="O127" s="563">
        <f>Sheet1!AA129+Sheet1!AB129</f>
        <v>46.3</v>
      </c>
      <c r="P127" s="563">
        <f t="shared" si="275"/>
        <v>71.626099999999994</v>
      </c>
      <c r="Q127" s="898">
        <f t="shared" si="237"/>
        <v>37.89</v>
      </c>
      <c r="R127" s="829">
        <f t="shared" si="276"/>
        <v>8.4067032536260289</v>
      </c>
      <c r="S127" s="898">
        <f t="shared" si="238"/>
        <v>8.41</v>
      </c>
      <c r="T127" s="898">
        <f t="shared" si="239"/>
        <v>56.230000000000004</v>
      </c>
      <c r="U127" s="898">
        <f t="shared" si="240"/>
        <v>0</v>
      </c>
      <c r="V127" s="898"/>
      <c r="W127" s="898">
        <f t="shared" si="241"/>
        <v>56.233296746373973</v>
      </c>
      <c r="X127" s="898">
        <f t="shared" si="242"/>
        <v>64.64</v>
      </c>
      <c r="Y127" s="898" t="str">
        <f t="shared" si="243"/>
        <v>FALSE</v>
      </c>
      <c r="Z127" s="898">
        <f t="shared" si="244"/>
        <v>46.3</v>
      </c>
      <c r="AA127" s="898">
        <f t="shared" si="245"/>
        <v>46.3</v>
      </c>
      <c r="AB127" s="898" t="str">
        <f t="shared" si="246"/>
        <v/>
      </c>
      <c r="AC127" s="563">
        <f>Sheet1!Y129*MGDtoCFS</f>
        <v>32.177599999999998</v>
      </c>
      <c r="AD127" s="563">
        <f>Sheet1!Z129*MGDtoCFS</f>
        <v>39.448499999999996</v>
      </c>
      <c r="AE127" s="563">
        <f>Sheet1!AA129*MGDtoCFS</f>
        <v>32.177599999999998</v>
      </c>
      <c r="AF127" s="563">
        <f>Sheet1!AB129*MGDtoCFS</f>
        <v>39.448499999999996</v>
      </c>
      <c r="AG127" s="563">
        <f>Sheet1!L129*MGDtoCFS</f>
        <v>71.626099999999994</v>
      </c>
      <c r="AH127" s="545">
        <f t="shared" si="277"/>
        <v>0</v>
      </c>
      <c r="AI127" s="560">
        <f t="shared" si="278"/>
        <v>0</v>
      </c>
      <c r="AJ127" s="560">
        <f t="shared" si="279"/>
        <v>56.233296746373973</v>
      </c>
      <c r="AK127" s="560">
        <f t="shared" si="280"/>
        <v>86.992910066640533</v>
      </c>
      <c r="AL127" s="560">
        <f>(VLOOKUP(Sheet1!DC129,hhdcap_wcm,4)-(((VLOOKUP(Sheet1!DC129,hhdcap_wcm,3)-Sheet1!DC129)/(VLOOKUP(Sheet1!DC129,hhdcap_wcm,3)-VLOOKUP(Sheet1!DC129,hhdcap_wcm,1)))*(VLOOKUP(Sheet1!DC129,hhdcap_wcm,4)-VLOOKUP(Sheet1!DC129,hhdcap_wcm,2))))</f>
        <v>38210.000000095271</v>
      </c>
      <c r="AM127" s="560">
        <f t="shared" si="281"/>
        <v>401.00000000045839</v>
      </c>
      <c r="AN127" s="560">
        <f t="shared" si="282"/>
        <v>3668.8148466975272</v>
      </c>
      <c r="AO127" s="560">
        <f t="shared" si="283"/>
        <v>11255.923949668013</v>
      </c>
      <c r="AP127" s="560">
        <f>Sheet1!BA129+Sheet1!BB129+Sheet1!BN129+CD127</f>
        <v>17.100000000000001</v>
      </c>
      <c r="AQ127" s="560">
        <f>Sheet1!BN129+(DO127*Sheet1!BN129)</f>
        <v>15.49392395139161</v>
      </c>
      <c r="AR127" s="560">
        <f>Sheet1!BA129+CD127</f>
        <v>0</v>
      </c>
      <c r="AS127" s="560">
        <f>Sheet1!BA129+Sheet1!BB129+CD127</f>
        <v>1.6</v>
      </c>
      <c r="AT127" s="698">
        <f>0</f>
        <v>0</v>
      </c>
      <c r="AU127" s="560">
        <f>IF(EB127&lt;K127,0,MAX(Sheet1!AA129+AQ127-15/36*K127-N127,Sheet1!EH129,0))</f>
        <v>0</v>
      </c>
      <c r="AV127" s="560">
        <f>IF(OR(B127&gt;=GD127,B127&lt;GC127),0,15/36*K127-MAX(0,64.6-(137.6-(Sheet1!AA129+Sheet1!AB129))))</f>
        <v>26.933333333333334</v>
      </c>
      <c r="AW127" s="698">
        <f>Sheet1!DB129-110</f>
        <v>2010</v>
      </c>
      <c r="AX127" s="698">
        <f>Sheet1!DA129-265</f>
        <v>2645</v>
      </c>
      <c r="AY127" s="698">
        <f t="shared" si="284"/>
        <v>35.11</v>
      </c>
      <c r="AZ127" s="698">
        <v>0</v>
      </c>
      <c r="BA127" s="698">
        <f t="shared" si="285"/>
        <v>0</v>
      </c>
      <c r="BB127" s="560">
        <f t="shared" si="286"/>
        <v>1750.6666666666672</v>
      </c>
      <c r="BC127" s="560"/>
      <c r="BD127" s="560">
        <f ca="1">IF(B127&gt;Summary!$A$1,#N/A,BB127*MGtoAF)</f>
        <v>5371.0453333333353</v>
      </c>
      <c r="BE127" s="560">
        <f>Sheet1!BG129+Sheet1!BH129+Sheet1!BI129-BM127</f>
        <v>0</v>
      </c>
      <c r="BF127" s="560">
        <f t="shared" si="287"/>
        <v>0</v>
      </c>
      <c r="BG127" s="560">
        <f>IF(Sheet1!EP129="FM",BM127,0)</f>
        <v>0</v>
      </c>
      <c r="BH127" s="560">
        <f t="shared" si="288"/>
        <v>0</v>
      </c>
      <c r="BI127" s="560">
        <f>IF(Sheet1!EP129="OTHER",BM127,0)</f>
        <v>0</v>
      </c>
      <c r="BJ127" s="560">
        <f t="shared" si="289"/>
        <v>0</v>
      </c>
      <c r="BK127" s="560">
        <f t="shared" si="290"/>
        <v>0</v>
      </c>
      <c r="BL127" s="560">
        <f t="shared" si="291"/>
        <v>0</v>
      </c>
      <c r="BM127" s="560">
        <f>IF(OR(Sheet1!EP129="FM", Sheet1!EP129="OTHER"),SUM(Sheet1!BG129:'Sheet1'!BI129),0)</f>
        <v>0</v>
      </c>
      <c r="BN127" s="545">
        <f>IF(AND($B127&gt;=$FV127,$B127&lt;=$FW127),MAX(BF127,Sheet1!EI129,0),MAX(BF127-(7/36)*$K127,0))</f>
        <v>0</v>
      </c>
      <c r="BO127" s="560">
        <f t="shared" si="292"/>
        <v>12.568888888888889</v>
      </c>
      <c r="BP127" s="545">
        <f t="shared" si="293"/>
        <v>0</v>
      </c>
      <c r="BQ127" s="545">
        <f>IF(AND($O127&gt;0,Sheet1!EM129=1),(1-($O127-Sheet1!$L129)/$O127)*BL127,0)</f>
        <v>0</v>
      </c>
      <c r="BR127" s="545">
        <f>IF(AND(Sheet1!$L129=0,Sheet1!$L128=0, Calculation!BK127&lt;Sheet1!$EI129-0.1,Sheet1!$EI129=Sheet1!$EI128,Sheet1!$EI129=Sheet1!$EI130),Sheet1!$EI129,BL127-BQ127)</f>
        <v>0</v>
      </c>
      <c r="BS127" s="560"/>
      <c r="BT127" s="560"/>
      <c r="BU127" s="560">
        <f t="shared" si="294"/>
        <v>816.97777777777674</v>
      </c>
      <c r="BV127" s="560"/>
      <c r="BW127" s="560">
        <f ca="1">IF(B127&gt;Summary!$A$1,#N/A,BU127*MGtoAF)</f>
        <v>2506.4878222222192</v>
      </c>
      <c r="BX127" s="560">
        <f>Sheet1!BC129+Sheet1!BD129+Sheet1!BE129+Sheet1!BF129-CG127-CH127</f>
        <v>2.4900000000000002</v>
      </c>
      <c r="BY127" s="560">
        <f t="shared" si="295"/>
        <v>2.4890239121912976</v>
      </c>
      <c r="BZ127" s="560">
        <f>IF(Sheet1!EQ129="FM",CH127,0)</f>
        <v>0</v>
      </c>
      <c r="CA127" s="560">
        <f t="shared" si="296"/>
        <v>0</v>
      </c>
      <c r="CB127" s="560">
        <f>IF(Sheet1!EQ129="OTHER",CH127,0)</f>
        <v>0</v>
      </c>
      <c r="CC127" s="560">
        <f t="shared" si="297"/>
        <v>0</v>
      </c>
      <c r="CD127" s="560">
        <f t="shared" si="298"/>
        <v>0</v>
      </c>
      <c r="CE127" s="560">
        <f t="shared" si="299"/>
        <v>2.4900000000000002</v>
      </c>
      <c r="CF127" s="560">
        <f t="shared" si="300"/>
        <v>2.4890239121912976</v>
      </c>
      <c r="CG127" s="560">
        <f>IF(Sheet1!EQ129="CWA",SUM(Sheet1!BC129:'Sheet1'!BF129),0)</f>
        <v>0</v>
      </c>
      <c r="CH127" s="560">
        <f>IF(OR(Sheet1!EQ129="FM", Sheet1!EQ129="OTHER"),SUM(Sheet1!BC129:'Sheet1'!BF129),0)</f>
        <v>0</v>
      </c>
      <c r="CI127" s="545">
        <f>IF(AND($B127&gt;=$FV127,$B127&lt;=$FW127),MAX(CF127,Sheet1!EJ129,0),MAX(CF127-(7/36)*$K127,0))</f>
        <v>0</v>
      </c>
      <c r="CJ127" s="560">
        <f t="shared" si="301"/>
        <v>10.079864976697591</v>
      </c>
      <c r="CK127" s="545">
        <f t="shared" si="302"/>
        <v>2.4890239121912976</v>
      </c>
      <c r="CL127" s="545">
        <f>IF(AND($O127&gt;0,Sheet1!EN129=1),(1-($O127-Sheet1!$L129)/$O127)*CF127,0)</f>
        <v>0</v>
      </c>
      <c r="CM127" s="545">
        <f>IF(AND(Sheet1!$L129=0,Sheet1!$L128=0, Calculation!CE127&lt;Sheet1!EJ129-0.1,Sheet1!EJ129=Sheet1!EJ128,Sheet1!EJ129=Sheet1!EJ130),Sheet1!EJ129,CF127-CL127)</f>
        <v>2.4890239121912976</v>
      </c>
      <c r="CN127" s="545"/>
      <c r="CO127" s="560"/>
      <c r="CP127" s="560">
        <f t="shared" si="303"/>
        <v>647.19828484194727</v>
      </c>
      <c r="CQ127" s="560"/>
      <c r="CR127" s="560">
        <f ca="1">IF(B127&gt;Summary!$A$1,#N/A,CP127*MGtoAF)</f>
        <v>1985.6043378950942</v>
      </c>
      <c r="CS127" s="560">
        <f>Sheet1!BK129+Sheet1!BL129+Sheet1!BM129-Sheet1!ER129-DA127</f>
        <v>5.92</v>
      </c>
      <c r="CT127" s="560">
        <f t="shared" si="304"/>
        <v>5.9176793414347308</v>
      </c>
      <c r="CU127" s="560">
        <f>IF(Sheet1!ER129="FM",DA127,0)</f>
        <v>0</v>
      </c>
      <c r="CV127" s="560">
        <f t="shared" si="305"/>
        <v>0</v>
      </c>
      <c r="CW127" s="560">
        <f>IF(Sheet1!ER129="OTHER",DA127,0)</f>
        <v>0</v>
      </c>
      <c r="CX127" s="560">
        <f t="shared" si="306"/>
        <v>0</v>
      </c>
      <c r="CY127" s="560">
        <f t="shared" si="307"/>
        <v>5.92</v>
      </c>
      <c r="CZ127" s="560">
        <f t="shared" si="308"/>
        <v>5.9176793414347308</v>
      </c>
      <c r="DA127" s="560">
        <f>IF(OR(Sheet1!ER129="FM", Sheet1!ER129="OTHER"),SUM(Sheet1!BK129:'Sheet1'!BM129),0)</f>
        <v>0</v>
      </c>
      <c r="DB127" s="545">
        <f>IF(AND($B127&gt;=$FV127,$B127&lt;=$FW127),MAX($CT127,Sheet1!EK129,0),MAX($CT127-(7/36)*$K127,0))</f>
        <v>0</v>
      </c>
      <c r="DC127" s="560">
        <f t="shared" si="309"/>
        <v>6.6512095474541582</v>
      </c>
      <c r="DD127" s="545">
        <f t="shared" si="310"/>
        <v>5.9176793414347308</v>
      </c>
      <c r="DE127" s="545">
        <f>IF(AND($O127&gt;0,Sheet1!EO129=1),(1-($O127-Sheet1!$L129)/$O127)*CZ127,0)</f>
        <v>0</v>
      </c>
      <c r="DF127" s="545">
        <f>IF(AND(Sheet1!$L129=0,Sheet1!$L128=0, Calculation!CY127&lt;Sheet1!$EK129-0.1,Sheet1!$EK129=Sheet1!$EK128,Sheet1!$EK129=Sheet1!$EK130),Sheet1!$EK129,CZ127-DE127)</f>
        <v>5.9176793414347308</v>
      </c>
      <c r="DG127" s="545"/>
      <c r="DH127" s="560">
        <f t="shared" si="311"/>
        <v>8.41</v>
      </c>
      <c r="DI127" s="560">
        <f t="shared" si="312"/>
        <v>453.97211741113574</v>
      </c>
      <c r="DJ127" s="698">
        <f t="shared" si="313"/>
        <v>8.4067032536260289</v>
      </c>
      <c r="DK127" s="560">
        <f ca="1">IF(B127&gt;Summary!$A$1,#N/A,DI127*MGtoAF)</f>
        <v>1392.7864562173645</v>
      </c>
      <c r="DL127" s="698">
        <f t="shared" si="314"/>
        <v>8.41</v>
      </c>
      <c r="DM127" s="560">
        <f t="shared" si="315"/>
        <v>25.51</v>
      </c>
      <c r="DN127" s="560">
        <f>Sheet1!AB129-DM127</f>
        <v>-1.0000000000001563E-2</v>
      </c>
      <c r="DO127" s="823">
        <f t="shared" si="316"/>
        <v>-3.9200313602514946E-4</v>
      </c>
      <c r="DP127" s="560">
        <f>(VLOOKUP(Sheet1!DC129,hhdcap_wcm,4)-(((VLOOKUP(Sheet1!DC129,hhdcap_wcm,3)-Sheet1!DC129)/(VLOOKUP(Sheet1!DC129,hhdcap_wcm,3)-VLOOKUP(Sheet1!DC129,hhdcap_wcm,1)))*(VLOOKUP(Sheet1!DC129,hhdcap_wcm,4)-VLOOKUP(Sheet1!DC129,hhdcap_wcm,2))))</f>
        <v>38210.000000095271</v>
      </c>
      <c r="DQ127" s="560">
        <f t="shared" si="317"/>
        <v>401.00000000045839</v>
      </c>
      <c r="DR127" s="560">
        <f t="shared" si="318"/>
        <v>202.21886031288872</v>
      </c>
      <c r="DS127" s="560">
        <f>Sheet1!EA129*AFtoMG</f>
        <v>0</v>
      </c>
      <c r="DT127" s="560">
        <f>Sheet1!EB129*AFtoMG</f>
        <v>0</v>
      </c>
      <c r="DU127" s="560">
        <f>Sheet1!EC129*AFtoMG</f>
        <v>0</v>
      </c>
      <c r="DV127" s="560">
        <f>Sheet1!ED129*AFtoMG</f>
        <v>0</v>
      </c>
      <c r="DW127" s="560">
        <f t="shared" si="319"/>
        <v>0</v>
      </c>
      <c r="DX127" s="560">
        <f t="shared" si="320"/>
        <v>0</v>
      </c>
      <c r="DY127" s="560">
        <f t="shared" si="321"/>
        <v>3668.8148466975272</v>
      </c>
      <c r="DZ127" s="560">
        <f t="shared" si="322"/>
        <v>11255.923949668013</v>
      </c>
      <c r="EA127" s="560"/>
      <c r="EB127" s="545">
        <f>IF(OR(B127&lt;FV127,B127&gt;FW127),(MIN(BF127+BY127+CT127+MAX(Sheet1!AA129+AQ127-73,0),K127)),0)</f>
        <v>8.4067032536260289</v>
      </c>
      <c r="EC127" s="560"/>
      <c r="ED127" s="560">
        <f t="shared" si="323"/>
        <v>8.4067032536260289</v>
      </c>
      <c r="EE127" s="560"/>
      <c r="EF127" s="560">
        <f>Sheet1!EH129+Sheet1!EI129+Sheet1!EJ129+Sheet1!EK129</f>
        <v>8.41</v>
      </c>
      <c r="EG127" s="560"/>
      <c r="EH127" s="545">
        <f t="shared" si="324"/>
        <v>0</v>
      </c>
      <c r="EI127" s="560">
        <f>IF(Sheet1!ET129=1,SUM('Calculations II'!AT127:BA127)+'Calculations II'!BC127+Sheet1!BV129+'Calculations II'!BE127+AP127,SUM('Calculations II'!AT127:BA127)+'Calculations II'!BC127+Sheet1!BV129+'Calculations II'!BE127+AP127)</f>
        <v>50.585072000000004</v>
      </c>
      <c r="EJ127" s="560">
        <f>Sheet1!AA129+Sheet1!AB129+'Calculations II'!BC127</f>
        <v>52.569184</v>
      </c>
      <c r="EK127" s="560"/>
      <c r="EL127" s="560"/>
      <c r="EM127" s="560">
        <f t="shared" si="325"/>
        <v>41755</v>
      </c>
      <c r="EN127" s="560">
        <f t="shared" si="326"/>
        <v>56.233296746373973</v>
      </c>
      <c r="EO127" s="560">
        <f t="shared" si="327"/>
        <v>86.992910066640533</v>
      </c>
      <c r="EP127" s="560">
        <v>0</v>
      </c>
      <c r="EQ127" s="560">
        <v>0</v>
      </c>
      <c r="ER127" s="560">
        <v>0</v>
      </c>
      <c r="ES127" s="545">
        <f t="shared" si="247"/>
        <v>2.353453029252611</v>
      </c>
      <c r="ET127" s="560">
        <f>-(VLOOKUP(Sheet1!BQ129,Lookup!$O$4:$Q$262,2)-VLOOKUP(Sheet1!BQ128,Lookup!$O$4:$Q$262,2))/1000000</f>
        <v>1.2459592899839169</v>
      </c>
      <c r="EU127" s="560">
        <f>-(VLOOKUP(Sheet1!BR129,Lookup!$O$4:$Q$262,3)-VLOOKUP(Sheet1!BR128,Lookup!$O$4:$Q$262,3))/1000000</f>
        <v>1.1074937392686941</v>
      </c>
      <c r="EV127" s="560"/>
      <c r="EW127" s="560"/>
      <c r="EX127" s="560"/>
      <c r="EY127" s="560"/>
      <c r="EZ127" s="560"/>
      <c r="FA127" s="560"/>
      <c r="FB127" s="560"/>
      <c r="FC127" s="560"/>
      <c r="FD127" s="594" t="e">
        <f t="shared" si="328"/>
        <v>#N/A</v>
      </c>
      <c r="FE127" s="594" t="e">
        <f t="shared" si="329"/>
        <v>#N/A</v>
      </c>
      <c r="FF127" s="595" t="e">
        <f t="shared" si="330"/>
        <v>#N/A</v>
      </c>
      <c r="FG127" s="596" t="s">
        <v>692</v>
      </c>
      <c r="FH127" s="596" t="s">
        <v>692</v>
      </c>
      <c r="FI127" s="594" t="e">
        <v>#N/A</v>
      </c>
      <c r="FJ127" s="594" t="e">
        <v>#N/A</v>
      </c>
      <c r="FK127" s="560"/>
      <c r="FL127" s="560"/>
      <c r="FM127" s="560"/>
      <c r="FN127" s="560"/>
      <c r="FO127" s="560">
        <f>O127+((Sheet1!CS129)*GPMtoMGD)</f>
        <v>52.569184</v>
      </c>
      <c r="FP127" s="560">
        <f>IF(Sheet1!AA129+AQ127&lt;=Calculation!N127,AQ127,Calculation!N127-Sheet1!AA129)</f>
        <v>15.49392395139161</v>
      </c>
      <c r="FQ127" s="560">
        <f>(Sheet1!BP129+Sheet1!BO129)/694.4</f>
        <v>1.8307891705069124</v>
      </c>
      <c r="FR127" s="560"/>
      <c r="FS127" s="560"/>
      <c r="FT127" s="560"/>
      <c r="FU127" s="560"/>
      <c r="FV127" s="695">
        <f t="shared" si="248"/>
        <v>41827</v>
      </c>
      <c r="FW127" s="695">
        <f t="shared" si="249"/>
        <v>41934</v>
      </c>
      <c r="FX127" s="560"/>
      <c r="FY127" s="560"/>
      <c r="FZ127" s="560"/>
      <c r="GA127" s="560"/>
      <c r="GB127" s="560" t="str">
        <f t="shared" si="250"/>
        <v>n</v>
      </c>
      <c r="GC127" s="564">
        <f t="shared" si="251"/>
        <v>41691</v>
      </c>
      <c r="GD127" s="695">
        <f t="shared" si="252"/>
        <v>41807</v>
      </c>
      <c r="GE127" s="560">
        <v>6518.9</v>
      </c>
      <c r="GF127" s="695">
        <f t="shared" si="253"/>
        <v>41808</v>
      </c>
      <c r="GG127" s="560">
        <f t="shared" si="272"/>
        <v>3259</v>
      </c>
      <c r="GH127" s="564">
        <f t="shared" si="254"/>
        <v>41934</v>
      </c>
      <c r="GJ127" s="545">
        <f t="shared" si="255"/>
        <v>0</v>
      </c>
      <c r="GK127" s="560" t="str">
        <f t="shared" si="331"/>
        <v/>
      </c>
      <c r="GL127" s="560">
        <f t="shared" si="256"/>
        <v>0</v>
      </c>
      <c r="GM127" s="560" t="str">
        <f t="shared" si="257"/>
        <v/>
      </c>
      <c r="GN127" s="560">
        <f>IF(GK127="P",Lookup!$M$12,IF(GK127="PP",Lookup!$M$13,IF(GK127="PPP",Lookup!$M$14,IF(GK127="T",Lookup!$M$15,IF(GK127="TP",Lookup!$M$16,IF(GK127="TPP",Lookup!$M$17,IF(GK127="TPPP",Lookup!$M$18,0)))))))*GJ127</f>
        <v>0</v>
      </c>
      <c r="GO127" s="560">
        <f t="shared" si="258"/>
        <v>0</v>
      </c>
      <c r="GP127" s="560">
        <f t="shared" si="332"/>
        <v>5371.0453333333353</v>
      </c>
      <c r="GQ127" s="560">
        <f t="shared" si="266"/>
        <v>1750.6666666666672</v>
      </c>
      <c r="GR127" s="560"/>
      <c r="GS127" s="560">
        <f t="shared" si="259"/>
        <v>0</v>
      </c>
      <c r="GT127" s="560" t="str">
        <f t="shared" si="260"/>
        <v/>
      </c>
      <c r="GU127" s="560">
        <f>IF(GK127="P",Lookup!$N$12,IF(GK127="PP",Lookup!$N$13,IF(GK127="PPP",Lookup!$N$14,IF(GK127="T",Lookup!$N$15,IF(GK127="TP",Lookup!$N$16,IF(GK127="TPP",Lookup!$N$17,IF(GK127="TPPP",Lookup!$N$18,0)))))))*GJ127</f>
        <v>0</v>
      </c>
      <c r="GV127" s="560">
        <f t="shared" si="261"/>
        <v>0</v>
      </c>
      <c r="GW127" s="560">
        <f t="shared" si="333"/>
        <v>2506.4878222222192</v>
      </c>
      <c r="GX127" s="560">
        <f t="shared" si="267"/>
        <v>816.97777777777674</v>
      </c>
      <c r="GY127" s="560"/>
      <c r="GZ127" s="560">
        <f t="shared" si="262"/>
        <v>0</v>
      </c>
      <c r="HA127" s="560" t="str">
        <f t="shared" si="263"/>
        <v/>
      </c>
      <c r="HB127" s="560">
        <f>IF(GK127="P",Lookup!$N$12,IF(GK127="PP",Lookup!$N$13,IF(GK127="PPP",Lookup!$N$14,IF(GK127="T",Lookup!$N$15,IF(GK127="TP",Lookup!$N$16,IF(GK127="TPP",Lookup!$N$17,IF(GK127="TPPP",Lookup!$N$18,0)))))))*GJ127</f>
        <v>0</v>
      </c>
      <c r="HC127" s="545">
        <f t="shared" si="334"/>
        <v>0</v>
      </c>
      <c r="HD127" s="560">
        <f t="shared" si="335"/>
        <v>1985.6043378950942</v>
      </c>
      <c r="HE127" s="560">
        <f t="shared" si="268"/>
        <v>647.19828484194727</v>
      </c>
      <c r="HF127" s="560"/>
      <c r="HG127" s="560">
        <f t="shared" si="264"/>
        <v>0</v>
      </c>
      <c r="HH127" s="560" t="str">
        <f t="shared" si="265"/>
        <v/>
      </c>
      <c r="HI127" s="560">
        <f>IF(GK127="P",Lookup!$N$12,IF(GK127="PP",Lookup!$N$13,IF(GK127="PPP",Lookup!$N$14,IF(GK127="T",Lookup!$N$15,IF(GK127="TP",Lookup!$N$16,IF(GK127="TPP",Lookup!$N$17,IF(GK127="TPPP",Lookup!$N$18,0)))))))*GJ127</f>
        <v>0</v>
      </c>
      <c r="HJ127" s="545">
        <f t="shared" si="336"/>
        <v>0</v>
      </c>
      <c r="HK127" s="560">
        <f t="shared" si="337"/>
        <v>1392.7864562173645</v>
      </c>
      <c r="HL127" s="560">
        <f t="shared" si="269"/>
        <v>453.97211741113574</v>
      </c>
      <c r="HM127" s="560"/>
    </row>
    <row r="128" spans="1:221">
      <c r="A128" s="580" t="s">
        <v>3</v>
      </c>
      <c r="B128" s="556">
        <v>41756</v>
      </c>
      <c r="C128" s="561">
        <v>0</v>
      </c>
      <c r="D128" s="529">
        <f t="shared" si="270"/>
        <v>300</v>
      </c>
      <c r="E128" s="529">
        <f t="shared" si="271"/>
        <v>250</v>
      </c>
      <c r="F128" s="529">
        <v>250</v>
      </c>
      <c r="G128" s="560">
        <f>DR128+Sheet1!CZ130</f>
        <v>1840.2571860816945</v>
      </c>
      <c r="H128" s="914">
        <f t="shared" si="236"/>
        <v>922.57904508320723</v>
      </c>
      <c r="I128" s="559">
        <f>MAX(Sheet1!Z130-AT128+(Sheet1!DA130-E128)*CFStoMGD,0)</f>
        <v>1706.1399999999999</v>
      </c>
      <c r="J128" s="562">
        <f>IF(AND(B128&gt;=Calculation!GC128,B128&lt;=Calculation!GD128),IF(Sheet1!DB130&gt;=Calculation!D128,64.64,0),MAX(Sheet1!Z130-AT128+(Sheet1!DB130-D128)*CFStoMGD,0))</f>
        <v>64.64</v>
      </c>
      <c r="K128" s="904">
        <f t="shared" si="273"/>
        <v>64.64</v>
      </c>
      <c r="L128" s="560">
        <f>Sheet1!AA130+Sheet1!AB130-Sheet1!L130+(Sheet1!DA130-F128)*CFStoMGD</f>
        <v>1680.6399999999999</v>
      </c>
      <c r="M128" s="560">
        <f t="shared" si="274"/>
        <v>1213.3330899848715</v>
      </c>
      <c r="N128" s="910">
        <f>IF(Sheet1!DA130&gt;=F128,MIN(73,MIN(MAX(L128,0),MAX(M128,0))),0)</f>
        <v>73</v>
      </c>
      <c r="O128" s="563">
        <f>Sheet1!AA130+Sheet1!AB130</f>
        <v>46.4</v>
      </c>
      <c r="P128" s="563">
        <f t="shared" si="275"/>
        <v>71.780799999999999</v>
      </c>
      <c r="Q128" s="898">
        <f t="shared" si="237"/>
        <v>37.989999999999995</v>
      </c>
      <c r="R128" s="829">
        <f t="shared" si="276"/>
        <v>8.4034090909090917</v>
      </c>
      <c r="S128" s="898">
        <f t="shared" si="238"/>
        <v>8.41</v>
      </c>
      <c r="T128" s="898">
        <f t="shared" si="239"/>
        <v>56.230000000000004</v>
      </c>
      <c r="U128" s="898">
        <f t="shared" si="240"/>
        <v>0</v>
      </c>
      <c r="V128" s="898"/>
      <c r="W128" s="898">
        <f t="shared" si="241"/>
        <v>56.236590909090907</v>
      </c>
      <c r="X128" s="898">
        <f t="shared" si="242"/>
        <v>64.64</v>
      </c>
      <c r="Y128" s="898" t="str">
        <f t="shared" si="243"/>
        <v>FALSE</v>
      </c>
      <c r="Z128" s="898">
        <f t="shared" si="244"/>
        <v>46.4</v>
      </c>
      <c r="AA128" s="898">
        <f t="shared" si="245"/>
        <v>46.399999999999991</v>
      </c>
      <c r="AB128" s="898" t="str">
        <f t="shared" si="246"/>
        <v/>
      </c>
      <c r="AC128" s="563">
        <f>Sheet1!Y130*MGDtoCFS</f>
        <v>32.177599999999998</v>
      </c>
      <c r="AD128" s="563">
        <f>Sheet1!Z130*MGDtoCFS</f>
        <v>39.448499999999996</v>
      </c>
      <c r="AE128" s="563">
        <f>Sheet1!AA130*MGDtoCFS</f>
        <v>32.332299999999996</v>
      </c>
      <c r="AF128" s="563">
        <f>Sheet1!AB130*MGDtoCFS</f>
        <v>39.448499999999996</v>
      </c>
      <c r="AG128" s="563">
        <f>Sheet1!L130*MGDtoCFS</f>
        <v>71.780799999999999</v>
      </c>
      <c r="AH128" s="545">
        <f t="shared" si="277"/>
        <v>0</v>
      </c>
      <c r="AI128" s="560">
        <f t="shared" si="278"/>
        <v>0</v>
      </c>
      <c r="AJ128" s="560">
        <f t="shared" si="279"/>
        <v>56.236590909090907</v>
      </c>
      <c r="AK128" s="560">
        <f t="shared" si="280"/>
        <v>86.998006136363628</v>
      </c>
      <c r="AL128" s="560">
        <f>(VLOOKUP(Sheet1!DC130,hhdcap_wcm,4)-(((VLOOKUP(Sheet1!DC130,hhdcap_wcm,3)-Sheet1!DC130)/(VLOOKUP(Sheet1!DC130,hhdcap_wcm,3)-VLOOKUP(Sheet1!DC130,hhdcap_wcm,1)))*(VLOOKUP(Sheet1!DC130,hhdcap_wcm,4)-VLOOKUP(Sheet1!DC130,hhdcap_wcm,2))))</f>
        <v>38270.000000095271</v>
      </c>
      <c r="AM128" s="560">
        <f t="shared" si="281"/>
        <v>60</v>
      </c>
      <c r="AN128" s="560">
        <f t="shared" si="282"/>
        <v>3725.0514376066176</v>
      </c>
      <c r="AO128" s="560">
        <f t="shared" si="283"/>
        <v>11428.457810577103</v>
      </c>
      <c r="AP128" s="560">
        <f>Sheet1!BA130+Sheet1!BB130+Sheet1!BN130+CD128</f>
        <v>17.11</v>
      </c>
      <c r="AQ128" s="560">
        <f>Sheet1!BN130+(DO128*Sheet1!BN130)</f>
        <v>15.487852664576803</v>
      </c>
      <c r="AR128" s="560">
        <f>Sheet1!BA130+CD128</f>
        <v>0</v>
      </c>
      <c r="AS128" s="560">
        <f>Sheet1!BA130+Sheet1!BB130+CD128</f>
        <v>1.61</v>
      </c>
      <c r="AT128" s="698">
        <f>0</f>
        <v>0</v>
      </c>
      <c r="AU128" s="560">
        <f>IF(EB128&lt;K128,0,MAX(Sheet1!AA130+AQ128-15/36*K128-N128,Sheet1!EH130,0))</f>
        <v>0</v>
      </c>
      <c r="AV128" s="560">
        <f>IF(OR(B128&gt;=GD128,B128&lt;GC128),0,15/36*K128-MAX(0,64.6-(137.6-(Sheet1!AA130+Sheet1!AB130))))</f>
        <v>26.933333333333334</v>
      </c>
      <c r="AW128" s="698">
        <f>Sheet1!DB130-110</f>
        <v>1820</v>
      </c>
      <c r="AX128" s="698">
        <f>Sheet1!DA130-265</f>
        <v>2585</v>
      </c>
      <c r="AY128" s="698">
        <f t="shared" si="284"/>
        <v>35.010000000000005</v>
      </c>
      <c r="AZ128" s="698">
        <v>0</v>
      </c>
      <c r="BA128" s="698">
        <f t="shared" si="285"/>
        <v>0</v>
      </c>
      <c r="BB128" s="560">
        <f t="shared" si="286"/>
        <v>1777.6000000000006</v>
      </c>
      <c r="BC128" s="560"/>
      <c r="BD128" s="560">
        <f ca="1">IF(B128&gt;Summary!$A$1,#N/A,BB128*MGtoAF)</f>
        <v>5453.676800000002</v>
      </c>
      <c r="BE128" s="560">
        <f>Sheet1!BG130+Sheet1!BH130+Sheet1!BI130-BM128</f>
        <v>0</v>
      </c>
      <c r="BF128" s="560">
        <f t="shared" si="287"/>
        <v>0</v>
      </c>
      <c r="BG128" s="560">
        <f>IF(Sheet1!EP130="FM",BM128,0)</f>
        <v>0</v>
      </c>
      <c r="BH128" s="560">
        <f t="shared" si="288"/>
        <v>0</v>
      </c>
      <c r="BI128" s="560">
        <f>IF(Sheet1!EP130="OTHER",BM128,0)</f>
        <v>0</v>
      </c>
      <c r="BJ128" s="560">
        <f t="shared" si="289"/>
        <v>0</v>
      </c>
      <c r="BK128" s="560">
        <f t="shared" si="290"/>
        <v>0</v>
      </c>
      <c r="BL128" s="560">
        <f t="shared" si="291"/>
        <v>0</v>
      </c>
      <c r="BM128" s="560">
        <f>IF(OR(Sheet1!EP130="FM", Sheet1!EP130="OTHER"),SUM(Sheet1!BG130:'Sheet1'!BI130),0)</f>
        <v>0</v>
      </c>
      <c r="BN128" s="545">
        <f>IF(AND($B128&gt;=$FV128,$B128&lt;=$FW128),MAX(BF128,Sheet1!EI130,0),MAX(BF128-(7/36)*$K128,0))</f>
        <v>0</v>
      </c>
      <c r="BO128" s="560">
        <f t="shared" si="292"/>
        <v>12.568888888888889</v>
      </c>
      <c r="BP128" s="545">
        <f t="shared" si="293"/>
        <v>0</v>
      </c>
      <c r="BQ128" s="545">
        <f>IF(AND($O128&gt;0,Sheet1!EM130=1),(1-($O128-Sheet1!$L130)/$O128)*BL128,0)</f>
        <v>0</v>
      </c>
      <c r="BR128" s="545">
        <f>IF(AND(Sheet1!$L130=0,Sheet1!$L129=0, Calculation!BK128&lt;Sheet1!$EI130-0.1,Sheet1!$EI130=Sheet1!$EI129,Sheet1!$EI130=Sheet1!$EI131),Sheet1!$EI130,BL128-BQ128)</f>
        <v>0</v>
      </c>
      <c r="BS128" s="560"/>
      <c r="BT128" s="560"/>
      <c r="BU128" s="560">
        <f t="shared" si="294"/>
        <v>829.5466666666656</v>
      </c>
      <c r="BV128" s="560"/>
      <c r="BW128" s="560">
        <f ca="1">IF(B128&gt;Summary!$A$1,#N/A,BU128*MGtoAF)</f>
        <v>2545.0491733333301</v>
      </c>
      <c r="BX128" s="560">
        <f>Sheet1!BC130+Sheet1!BD130+Sheet1!BE130+Sheet1!BF130-CG128-CH128</f>
        <v>2.4900000000000002</v>
      </c>
      <c r="BY128" s="560">
        <f t="shared" si="295"/>
        <v>2.4880485893416933</v>
      </c>
      <c r="BZ128" s="560">
        <f>IF(Sheet1!EQ130="FM",CH128,0)</f>
        <v>0</v>
      </c>
      <c r="CA128" s="560">
        <f t="shared" si="296"/>
        <v>0</v>
      </c>
      <c r="CB128" s="560">
        <f>IF(Sheet1!EQ130="OTHER",CH128,0)</f>
        <v>0</v>
      </c>
      <c r="CC128" s="560">
        <f t="shared" si="297"/>
        <v>0</v>
      </c>
      <c r="CD128" s="560">
        <f t="shared" si="298"/>
        <v>0</v>
      </c>
      <c r="CE128" s="560">
        <f t="shared" si="299"/>
        <v>2.4900000000000002</v>
      </c>
      <c r="CF128" s="560">
        <f t="shared" si="300"/>
        <v>2.4880485893416933</v>
      </c>
      <c r="CG128" s="560">
        <f>IF(Sheet1!EQ130="CWA",SUM(Sheet1!BC130:'Sheet1'!BF130),0)</f>
        <v>0</v>
      </c>
      <c r="CH128" s="560">
        <f>IF(OR(Sheet1!EQ130="FM", Sheet1!EQ130="OTHER"),SUM(Sheet1!BC130:'Sheet1'!BF130),0)</f>
        <v>0</v>
      </c>
      <c r="CI128" s="545">
        <f>IF(AND($B128&gt;=$FV128,$B128&lt;=$FW128),MAX(CF128,Sheet1!EJ130,0),MAX(CF128-(7/36)*$K128,0))</f>
        <v>0</v>
      </c>
      <c r="CJ128" s="560">
        <f t="shared" si="301"/>
        <v>10.080840299547196</v>
      </c>
      <c r="CK128" s="545">
        <f t="shared" si="302"/>
        <v>2.4880485893416933</v>
      </c>
      <c r="CL128" s="545">
        <f>IF(AND($O128&gt;0,Sheet1!EN130=1),(1-($O128-Sheet1!$L130)/$O128)*CF128,0)</f>
        <v>0</v>
      </c>
      <c r="CM128" s="545">
        <f>IF(AND(Sheet1!$L130=0,Sheet1!$L129=0, Calculation!CE128&lt;Sheet1!EJ130-0.1,Sheet1!EJ130=Sheet1!EJ129,Sheet1!EJ130=Sheet1!EJ131),Sheet1!EJ130,CF128-CL128)</f>
        <v>2.4880485893416933</v>
      </c>
      <c r="CN128" s="545"/>
      <c r="CO128" s="560"/>
      <c r="CP128" s="560">
        <f t="shared" si="303"/>
        <v>657.27912514149443</v>
      </c>
      <c r="CQ128" s="560"/>
      <c r="CR128" s="560">
        <f ca="1">IF(B128&gt;Summary!$A$1,#N/A,CP128*MGtoAF)</f>
        <v>2016.532355934105</v>
      </c>
      <c r="CS128" s="560">
        <f>Sheet1!BK130+Sheet1!BL130+Sheet1!BM130-Sheet1!ER130-DA128</f>
        <v>5.92</v>
      </c>
      <c r="CT128" s="560">
        <f t="shared" si="304"/>
        <v>5.915360501567398</v>
      </c>
      <c r="CU128" s="560">
        <f>IF(Sheet1!ER130="FM",DA128,0)</f>
        <v>0</v>
      </c>
      <c r="CV128" s="560">
        <f t="shared" si="305"/>
        <v>0</v>
      </c>
      <c r="CW128" s="560">
        <f>IF(Sheet1!ER130="OTHER",DA128,0)</f>
        <v>0</v>
      </c>
      <c r="CX128" s="560">
        <f t="shared" si="306"/>
        <v>0</v>
      </c>
      <c r="CY128" s="560">
        <f t="shared" si="307"/>
        <v>5.92</v>
      </c>
      <c r="CZ128" s="560">
        <f t="shared" si="308"/>
        <v>5.915360501567398</v>
      </c>
      <c r="DA128" s="560">
        <f>IF(OR(Sheet1!ER130="FM", Sheet1!ER130="OTHER"),SUM(Sheet1!BK130:'Sheet1'!BM130),0)</f>
        <v>0</v>
      </c>
      <c r="DB128" s="545">
        <f>IF(AND($B128&gt;=$FV128,$B128&lt;=$FW128),MAX($CT128,Sheet1!EK130,0),MAX($CT128-(7/36)*$K128,0))</f>
        <v>0</v>
      </c>
      <c r="DC128" s="560">
        <f t="shared" si="309"/>
        <v>6.653528387321491</v>
      </c>
      <c r="DD128" s="545">
        <f t="shared" si="310"/>
        <v>5.915360501567398</v>
      </c>
      <c r="DE128" s="545">
        <f>IF(AND($O128&gt;0,Sheet1!EO130=1),(1-($O128-Sheet1!$L130)/$O128)*CZ128,0)</f>
        <v>0</v>
      </c>
      <c r="DF128" s="545">
        <f>IF(AND(Sheet1!$L130=0,Sheet1!$L129=0, Calculation!CY128&lt;Sheet1!$EK130-0.1,Sheet1!$EK130=Sheet1!$EK129,Sheet1!$EK130=Sheet1!$EK131),Sheet1!$EK130,CZ128-DE128)</f>
        <v>5.915360501567398</v>
      </c>
      <c r="DG128" s="545"/>
      <c r="DH128" s="560">
        <f t="shared" si="311"/>
        <v>8.41</v>
      </c>
      <c r="DI128" s="560">
        <f t="shared" si="312"/>
        <v>460.62564579845724</v>
      </c>
      <c r="DJ128" s="698">
        <f t="shared" si="313"/>
        <v>8.4034090909090917</v>
      </c>
      <c r="DK128" s="560">
        <f ca="1">IF(B128&gt;Summary!$A$1,#N/A,DI128*MGtoAF)</f>
        <v>1413.1994813096669</v>
      </c>
      <c r="DL128" s="698">
        <f t="shared" si="314"/>
        <v>8.41</v>
      </c>
      <c r="DM128" s="560">
        <f t="shared" si="315"/>
        <v>25.52</v>
      </c>
      <c r="DN128" s="560">
        <f>Sheet1!AB130-DM128</f>
        <v>-1.9999999999999574E-2</v>
      </c>
      <c r="DO128" s="823">
        <f t="shared" si="316"/>
        <v>-7.836990595611118E-4</v>
      </c>
      <c r="DP128" s="560">
        <f>(VLOOKUP(Sheet1!DC130,hhdcap_wcm,4)-(((VLOOKUP(Sheet1!DC130,hhdcap_wcm,3)-Sheet1!DC130)/(VLOOKUP(Sheet1!DC130,hhdcap_wcm,3)-VLOOKUP(Sheet1!DC130,hhdcap_wcm,1)))*(VLOOKUP(Sheet1!DC130,hhdcap_wcm,4)-VLOOKUP(Sheet1!DC130,hhdcap_wcm,2))))</f>
        <v>38270.000000095271</v>
      </c>
      <c r="DQ128" s="560">
        <f t="shared" si="317"/>
        <v>60</v>
      </c>
      <c r="DR128" s="560">
        <f t="shared" si="318"/>
        <v>30.2571860816944</v>
      </c>
      <c r="DS128" s="560">
        <f>Sheet1!EA130*AFtoMG</f>
        <v>0</v>
      </c>
      <c r="DT128" s="560">
        <f>Sheet1!EB130*AFtoMG</f>
        <v>0</v>
      </c>
      <c r="DU128" s="560">
        <f>Sheet1!EC130*AFtoMG</f>
        <v>0</v>
      </c>
      <c r="DV128" s="560">
        <f>Sheet1!ED130*AFtoMG</f>
        <v>0</v>
      </c>
      <c r="DW128" s="560">
        <f t="shared" si="319"/>
        <v>0</v>
      </c>
      <c r="DX128" s="560">
        <f t="shared" si="320"/>
        <v>0</v>
      </c>
      <c r="DY128" s="560">
        <f t="shared" si="321"/>
        <v>3725.0514376066176</v>
      </c>
      <c r="DZ128" s="560">
        <f t="shared" si="322"/>
        <v>11428.457810577103</v>
      </c>
      <c r="EA128" s="560"/>
      <c r="EB128" s="545">
        <f>IF(OR(B128&lt;FV128,B128&gt;FW128),(MIN(BF128+BY128+CT128+MAX(Sheet1!AA130+AQ128-73,0),K128)),0)</f>
        <v>8.4034090909090917</v>
      </c>
      <c r="EC128" s="560"/>
      <c r="ED128" s="560">
        <f t="shared" si="323"/>
        <v>8.4034090909090917</v>
      </c>
      <c r="EE128" s="560"/>
      <c r="EF128" s="560">
        <f>Sheet1!EH130+Sheet1!EI130+Sheet1!EJ130+Sheet1!EK130</f>
        <v>8.41</v>
      </c>
      <c r="EG128" s="560"/>
      <c r="EH128" s="545">
        <f t="shared" si="324"/>
        <v>0</v>
      </c>
      <c r="EI128" s="560">
        <f>IF(Sheet1!ET130=1,SUM('Calculations II'!AT128:BA128)+'Calculations II'!BC128+Sheet1!BV130+'Calculations II'!BE128+AP128,SUM('Calculations II'!AT128:BA128)+'Calculations II'!BC128+Sheet1!BV130+'Calculations II'!BE128+AP128)</f>
        <v>49.179152000000002</v>
      </c>
      <c r="EJ128" s="560">
        <f>Sheet1!AA130+Sheet1!AB130+'Calculations II'!BC128</f>
        <v>52.669039999999995</v>
      </c>
      <c r="EK128" s="560"/>
      <c r="EL128" s="560"/>
      <c r="EM128" s="560">
        <f t="shared" si="325"/>
        <v>41756</v>
      </c>
      <c r="EN128" s="560">
        <f t="shared" si="326"/>
        <v>56.236590909090907</v>
      </c>
      <c r="EO128" s="560">
        <f t="shared" si="327"/>
        <v>86.998006136363628</v>
      </c>
      <c r="EP128" s="560">
        <v>0</v>
      </c>
      <c r="EQ128" s="560">
        <v>0</v>
      </c>
      <c r="ER128" s="560">
        <v>0</v>
      </c>
      <c r="ES128" s="545">
        <f t="shared" si="247"/>
        <v>0.83040887971245503</v>
      </c>
      <c r="ET128" s="560">
        <f>-(VLOOKUP(Sheet1!BQ130,Lookup!$O$4:$Q$262,2)-VLOOKUP(Sheet1!BQ129,Lookup!$O$4:$Q$262,2))/1000000</f>
        <v>0.41520443985622751</v>
      </c>
      <c r="EU128" s="560">
        <f>-(VLOOKUP(Sheet1!BR130,Lookup!$O$4:$Q$262,3)-VLOOKUP(Sheet1!BR129,Lookup!$O$4:$Q$262,3))/1000000</f>
        <v>0.41520443985622751</v>
      </c>
      <c r="EV128" s="560"/>
      <c r="EW128" s="560"/>
      <c r="EX128" s="560"/>
      <c r="EY128" s="560"/>
      <c r="EZ128" s="560"/>
      <c r="FA128" s="560"/>
      <c r="FB128" s="560"/>
      <c r="FC128" s="560"/>
      <c r="FD128" s="594" t="e">
        <f t="shared" si="328"/>
        <v>#N/A</v>
      </c>
      <c r="FE128" s="594" t="e">
        <f t="shared" si="329"/>
        <v>#N/A</v>
      </c>
      <c r="FF128" s="595" t="e">
        <f t="shared" si="330"/>
        <v>#N/A</v>
      </c>
      <c r="FG128" s="596" t="s">
        <v>692</v>
      </c>
      <c r="FH128" s="596" t="s">
        <v>692</v>
      </c>
      <c r="FI128" s="594" t="e">
        <v>#N/A</v>
      </c>
      <c r="FJ128" s="594" t="e">
        <v>#N/A</v>
      </c>
      <c r="FK128" s="560"/>
      <c r="FL128" s="560"/>
      <c r="FM128" s="560"/>
      <c r="FN128" s="560"/>
      <c r="FO128" s="560">
        <f>O128+((Sheet1!CS130)*GPMtoMGD)</f>
        <v>52.669039999999995</v>
      </c>
      <c r="FP128" s="560">
        <f>IF(Sheet1!AA130+AQ128&lt;=Calculation!N128,AQ128,Calculation!N128-Sheet1!AA130)</f>
        <v>15.487852664576803</v>
      </c>
      <c r="FQ128" s="560">
        <f>(Sheet1!BP130+Sheet1!BO130)/694.4</f>
        <v>1.7590725806451613</v>
      </c>
      <c r="FR128" s="560"/>
      <c r="FS128" s="560"/>
      <c r="FT128" s="560"/>
      <c r="FU128" s="560"/>
      <c r="FV128" s="695">
        <f t="shared" si="248"/>
        <v>41827</v>
      </c>
      <c r="FW128" s="695">
        <f t="shared" si="249"/>
        <v>41934</v>
      </c>
      <c r="FX128" s="560"/>
      <c r="FY128" s="560"/>
      <c r="FZ128" s="560"/>
      <c r="GA128" s="560"/>
      <c r="GB128" s="560" t="str">
        <f t="shared" si="250"/>
        <v>n</v>
      </c>
      <c r="GC128" s="564">
        <f t="shared" si="251"/>
        <v>41691</v>
      </c>
      <c r="GD128" s="695">
        <f t="shared" si="252"/>
        <v>41807</v>
      </c>
      <c r="GE128" s="560">
        <v>6518.9</v>
      </c>
      <c r="GF128" s="695">
        <f t="shared" si="253"/>
        <v>41808</v>
      </c>
      <c r="GG128" s="560">
        <f t="shared" si="272"/>
        <v>3259</v>
      </c>
      <c r="GH128" s="564">
        <f t="shared" si="254"/>
        <v>41934</v>
      </c>
      <c r="GJ128" s="545">
        <f t="shared" si="255"/>
        <v>0</v>
      </c>
      <c r="GK128" s="560" t="str">
        <f t="shared" si="331"/>
        <v/>
      </c>
      <c r="GL128" s="560">
        <f t="shared" si="256"/>
        <v>0</v>
      </c>
      <c r="GM128" s="560" t="str">
        <f t="shared" si="257"/>
        <v/>
      </c>
      <c r="GN128" s="560">
        <f>IF(GK128="P",Lookup!$M$12,IF(GK128="PP",Lookup!$M$13,IF(GK128="PPP",Lookup!$M$14,IF(GK128="T",Lookup!$M$15,IF(GK128="TP",Lookup!$M$16,IF(GK128="TPP",Lookup!$M$17,IF(GK128="TPPP",Lookup!$M$18,0)))))))*GJ128</f>
        <v>0</v>
      </c>
      <c r="GO128" s="560">
        <f t="shared" si="258"/>
        <v>0</v>
      </c>
      <c r="GP128" s="560">
        <f t="shared" si="332"/>
        <v>5453.676800000002</v>
      </c>
      <c r="GQ128" s="560">
        <f t="shared" si="266"/>
        <v>1777.6000000000006</v>
      </c>
      <c r="GR128" s="560"/>
      <c r="GS128" s="560">
        <f t="shared" si="259"/>
        <v>0</v>
      </c>
      <c r="GT128" s="560" t="str">
        <f t="shared" si="260"/>
        <v/>
      </c>
      <c r="GU128" s="560">
        <f>IF(GK128="P",Lookup!$N$12,IF(GK128="PP",Lookup!$N$13,IF(GK128="PPP",Lookup!$N$14,IF(GK128="T",Lookup!$N$15,IF(GK128="TP",Lookup!$N$16,IF(GK128="TPP",Lookup!$N$17,IF(GK128="TPPP",Lookup!$N$18,0)))))))*GJ128</f>
        <v>0</v>
      </c>
      <c r="GV128" s="560">
        <f t="shared" si="261"/>
        <v>0</v>
      </c>
      <c r="GW128" s="560">
        <f t="shared" si="333"/>
        <v>2545.0491733333301</v>
      </c>
      <c r="GX128" s="560">
        <f t="shared" si="267"/>
        <v>829.5466666666656</v>
      </c>
      <c r="GY128" s="560"/>
      <c r="GZ128" s="560">
        <f t="shared" si="262"/>
        <v>0</v>
      </c>
      <c r="HA128" s="560" t="str">
        <f t="shared" si="263"/>
        <v/>
      </c>
      <c r="HB128" s="560">
        <f>IF(GK128="P",Lookup!$N$12,IF(GK128="PP",Lookup!$N$13,IF(GK128="PPP",Lookup!$N$14,IF(GK128="T",Lookup!$N$15,IF(GK128="TP",Lookup!$N$16,IF(GK128="TPP",Lookup!$N$17,IF(GK128="TPPP",Lookup!$N$18,0)))))))*GJ128</f>
        <v>0</v>
      </c>
      <c r="HC128" s="545">
        <f t="shared" si="334"/>
        <v>0</v>
      </c>
      <c r="HD128" s="560">
        <f t="shared" si="335"/>
        <v>2016.532355934105</v>
      </c>
      <c r="HE128" s="560">
        <f t="shared" si="268"/>
        <v>657.27912514149443</v>
      </c>
      <c r="HF128" s="560"/>
      <c r="HG128" s="560">
        <f t="shared" si="264"/>
        <v>0</v>
      </c>
      <c r="HH128" s="560" t="str">
        <f t="shared" si="265"/>
        <v/>
      </c>
      <c r="HI128" s="560">
        <f>IF(GK128="P",Lookup!$N$12,IF(GK128="PP",Lookup!$N$13,IF(GK128="PPP",Lookup!$N$14,IF(GK128="T",Lookup!$N$15,IF(GK128="TP",Lookup!$N$16,IF(GK128="TPP",Lookup!$N$17,IF(GK128="TPPP",Lookup!$N$18,0)))))))*GJ128</f>
        <v>0</v>
      </c>
      <c r="HJ128" s="545">
        <f t="shared" si="336"/>
        <v>0</v>
      </c>
      <c r="HK128" s="560">
        <f t="shared" si="337"/>
        <v>1413.1994813096669</v>
      </c>
      <c r="HL128" s="560">
        <f t="shared" si="269"/>
        <v>460.62564579845724</v>
      </c>
      <c r="HM128" s="560"/>
    </row>
    <row r="129" spans="1:221">
      <c r="A129" s="580" t="s">
        <v>4</v>
      </c>
      <c r="B129" s="556">
        <v>41757</v>
      </c>
      <c r="C129" s="561">
        <v>0</v>
      </c>
      <c r="D129" s="529">
        <f t="shared" si="270"/>
        <v>300</v>
      </c>
      <c r="E129" s="529">
        <f t="shared" si="271"/>
        <v>250</v>
      </c>
      <c r="F129" s="529">
        <v>250</v>
      </c>
      <c r="G129" s="560">
        <f>DR129+Sheet1!CZ131</f>
        <v>1601.5330307625513</v>
      </c>
      <c r="H129" s="914">
        <f t="shared" si="236"/>
        <v>768.26775108491313</v>
      </c>
      <c r="I129" s="559">
        <f>MAX(Sheet1!Z131-AT129+(Sheet1!DA131-E129)*CFStoMGD,0)</f>
        <v>1363.548</v>
      </c>
      <c r="J129" s="562">
        <f>IF(AND(B129&gt;=Calculation!GC129,B129&lt;=Calculation!GD129),IF(Sheet1!DB131&gt;=Calculation!D129,64.64,0),MAX(Sheet1!Z131-AT129+(Sheet1!DB131-D129)*CFStoMGD,0))</f>
        <v>64.64</v>
      </c>
      <c r="K129" s="904">
        <f t="shared" si="273"/>
        <v>64.64</v>
      </c>
      <c r="L129" s="560">
        <f>Sheet1!AA131+Sheet1!AB131-Sheet1!L131+(Sheet1!DA131-F129)*CFStoMGD</f>
        <v>1338.048</v>
      </c>
      <c r="M129" s="560">
        <f t="shared" si="274"/>
        <v>1055.9355701066115</v>
      </c>
      <c r="N129" s="910">
        <f>IF(Sheet1!DA131&gt;=F129,MIN(73,MIN(MAX(L129,0),MAX(M129,0))),0)</f>
        <v>73</v>
      </c>
      <c r="O129" s="563">
        <f>Sheet1!AA131+Sheet1!AB131</f>
        <v>46.400000000000006</v>
      </c>
      <c r="P129" s="563">
        <f t="shared" si="275"/>
        <v>71.780799999999999</v>
      </c>
      <c r="Q129" s="898">
        <f t="shared" si="237"/>
        <v>40.370000000000005</v>
      </c>
      <c r="R129" s="829">
        <f t="shared" si="276"/>
        <v>6.0703106567046792</v>
      </c>
      <c r="S129" s="898">
        <f t="shared" si="238"/>
        <v>6.03</v>
      </c>
      <c r="T129" s="898">
        <f t="shared" si="239"/>
        <v>58.61</v>
      </c>
      <c r="U129" s="898">
        <f t="shared" si="240"/>
        <v>0</v>
      </c>
      <c r="V129" s="898"/>
      <c r="W129" s="898">
        <f t="shared" si="241"/>
        <v>58.569689343295323</v>
      </c>
      <c r="X129" s="898">
        <f t="shared" si="242"/>
        <v>64.64</v>
      </c>
      <c r="Y129" s="898" t="str">
        <f t="shared" si="243"/>
        <v>FALSE</v>
      </c>
      <c r="Z129" s="898">
        <f t="shared" si="244"/>
        <v>46.400000000000006</v>
      </c>
      <c r="AA129" s="898">
        <f t="shared" si="245"/>
        <v>46.400000000000006</v>
      </c>
      <c r="AB129" s="898" t="str">
        <f t="shared" si="246"/>
        <v/>
      </c>
      <c r="AC129" s="563">
        <f>Sheet1!Y131*MGDtoCFS</f>
        <v>32.332299999999996</v>
      </c>
      <c r="AD129" s="563">
        <f>Sheet1!Z131*MGDtoCFS</f>
        <v>39.448499999999996</v>
      </c>
      <c r="AE129" s="563">
        <f>Sheet1!AA131*MGDtoCFS</f>
        <v>32.177599999999998</v>
      </c>
      <c r="AF129" s="563">
        <f>Sheet1!AB131*MGDtoCFS</f>
        <v>39.603200000000001</v>
      </c>
      <c r="AG129" s="563">
        <f>Sheet1!L131*MGDtoCFS</f>
        <v>71.780799999999999</v>
      </c>
      <c r="AH129" s="545">
        <f t="shared" si="277"/>
        <v>0</v>
      </c>
      <c r="AI129" s="560">
        <f t="shared" si="278"/>
        <v>0</v>
      </c>
      <c r="AJ129" s="560">
        <f t="shared" si="279"/>
        <v>58.569689343295323</v>
      </c>
      <c r="AK129" s="560">
        <f t="shared" si="280"/>
        <v>90.607309414077861</v>
      </c>
      <c r="AL129" s="560">
        <f>(VLOOKUP(Sheet1!DC131,hhdcap_wcm,4)-(((VLOOKUP(Sheet1!DC131,hhdcap_wcm,3)-Sheet1!DC131)/(VLOOKUP(Sheet1!DC131,hhdcap_wcm,3)-VLOOKUP(Sheet1!DC131,hhdcap_wcm,1)))*(VLOOKUP(Sheet1!DC131,hhdcap_wcm,4)-VLOOKUP(Sheet1!DC131,hhdcap_wcm,2))))</f>
        <v>38511.000000097411</v>
      </c>
      <c r="AM129" s="560">
        <f t="shared" si="281"/>
        <v>241.00000000213913</v>
      </c>
      <c r="AN129" s="560">
        <f t="shared" si="282"/>
        <v>3783.6211269499131</v>
      </c>
      <c r="AO129" s="560">
        <f t="shared" si="283"/>
        <v>11608.149617482333</v>
      </c>
      <c r="AP129" s="560">
        <f>Sheet1!BA131+Sheet1!BB131+Sheet1!BN131+CD129</f>
        <v>19.400000000000002</v>
      </c>
      <c r="AQ129" s="560">
        <f>Sheet1!BN131+(DO129*Sheet1!BN131)</f>
        <v>17.918993314982306</v>
      </c>
      <c r="AR129" s="560">
        <f>Sheet1!BA131+CD129</f>
        <v>0</v>
      </c>
      <c r="AS129" s="560">
        <f>Sheet1!BA131+Sheet1!BB131+CD129</f>
        <v>1.6</v>
      </c>
      <c r="AT129" s="698">
        <f>0</f>
        <v>0</v>
      </c>
      <c r="AU129" s="560">
        <f>IF(EB129&lt;K129,0,MAX(Sheet1!AA131+AQ129-15/36*K129-N129,Sheet1!EH131,0))</f>
        <v>0</v>
      </c>
      <c r="AV129" s="560">
        <f>IF(OR(B129&gt;=GD129,B129&lt;GC129),0,15/36*K129-MAX(0,64.6-(137.6-(Sheet1!AA131+Sheet1!AB131))))</f>
        <v>26.933333333333334</v>
      </c>
      <c r="AW129" s="698">
        <f>Sheet1!DB131-110</f>
        <v>1480</v>
      </c>
      <c r="AX129" s="698">
        <f>Sheet1!DA131-265</f>
        <v>2055</v>
      </c>
      <c r="AY129" s="698">
        <f t="shared" si="284"/>
        <v>32.629999999999995</v>
      </c>
      <c r="AZ129" s="698">
        <v>0</v>
      </c>
      <c r="BA129" s="698">
        <f t="shared" si="285"/>
        <v>0</v>
      </c>
      <c r="BB129" s="560">
        <f t="shared" si="286"/>
        <v>1804.533333333334</v>
      </c>
      <c r="BC129" s="560"/>
      <c r="BD129" s="560">
        <f ca="1">IF(B129&gt;Summary!$A$1,#N/A,BB129*MGtoAF)</f>
        <v>5536.3082666666687</v>
      </c>
      <c r="BE129" s="560">
        <f>Sheet1!BG131+Sheet1!BH131+Sheet1!BI131-BM129</f>
        <v>0</v>
      </c>
      <c r="BF129" s="560">
        <f t="shared" si="287"/>
        <v>0</v>
      </c>
      <c r="BG129" s="560">
        <f>IF(Sheet1!EP131="FM",BM129,0)</f>
        <v>0</v>
      </c>
      <c r="BH129" s="560">
        <f t="shared" si="288"/>
        <v>0</v>
      </c>
      <c r="BI129" s="560">
        <f>IF(Sheet1!EP131="OTHER",BM129,0)</f>
        <v>0</v>
      </c>
      <c r="BJ129" s="560">
        <f t="shared" si="289"/>
        <v>0</v>
      </c>
      <c r="BK129" s="560">
        <f t="shared" si="290"/>
        <v>0</v>
      </c>
      <c r="BL129" s="560">
        <f t="shared" si="291"/>
        <v>0</v>
      </c>
      <c r="BM129" s="560">
        <f>IF(OR(Sheet1!EP131="FM", Sheet1!EP131="OTHER"),SUM(Sheet1!BG131:'Sheet1'!BI131),0)</f>
        <v>0</v>
      </c>
      <c r="BN129" s="545">
        <f>IF(AND($B129&gt;=$FV129,$B129&lt;=$FW129),MAX(BF129,Sheet1!EI131,0),MAX(BF129-(7/36)*$K129,0))</f>
        <v>0</v>
      </c>
      <c r="BO129" s="560">
        <f t="shared" si="292"/>
        <v>12.568888888888889</v>
      </c>
      <c r="BP129" s="545">
        <f t="shared" si="293"/>
        <v>0</v>
      </c>
      <c r="BQ129" s="545">
        <f>IF(AND($O129&gt;0,Sheet1!EM131=1),(1-($O129-Sheet1!$L131)/$O129)*BL129,0)</f>
        <v>0</v>
      </c>
      <c r="BR129" s="545">
        <f>IF(AND(Sheet1!$L131=0,Sheet1!$L130=0, Calculation!BK129&lt;Sheet1!$EI131-0.1,Sheet1!$EI131=Sheet1!$EI130,Sheet1!$EI131=Sheet1!$EI132),Sheet1!$EI131,BL129-BQ129)</f>
        <v>0</v>
      </c>
      <c r="BS129" s="560"/>
      <c r="BT129" s="560"/>
      <c r="BU129" s="560">
        <f t="shared" si="294"/>
        <v>842.11555555555447</v>
      </c>
      <c r="BV129" s="560"/>
      <c r="BW129" s="560">
        <f ca="1">IF(B129&gt;Summary!$A$1,#N/A,BU129*MGtoAF)</f>
        <v>2583.6105244444411</v>
      </c>
      <c r="BX129" s="560">
        <f>Sheet1!BC131+Sheet1!BD131+Sheet1!BE131+Sheet1!BF131-CG129-CH129</f>
        <v>2.5</v>
      </c>
      <c r="BY129" s="560">
        <f t="shared" si="295"/>
        <v>2.5167125442390876</v>
      </c>
      <c r="BZ129" s="560">
        <f>IF(Sheet1!EQ131="FM",CH129,0)</f>
        <v>0</v>
      </c>
      <c r="CA129" s="560">
        <f t="shared" si="296"/>
        <v>0</v>
      </c>
      <c r="CB129" s="560">
        <f>IF(Sheet1!EQ131="OTHER",CH129,0)</f>
        <v>0</v>
      </c>
      <c r="CC129" s="560">
        <f t="shared" si="297"/>
        <v>0</v>
      </c>
      <c r="CD129" s="560">
        <f t="shared" si="298"/>
        <v>0</v>
      </c>
      <c r="CE129" s="560">
        <f t="shared" si="299"/>
        <v>2.5</v>
      </c>
      <c r="CF129" s="560">
        <f t="shared" si="300"/>
        <v>2.5167125442390876</v>
      </c>
      <c r="CG129" s="560">
        <f>IF(Sheet1!EQ131="CWA",SUM(Sheet1!BC131:'Sheet1'!BF131),0)</f>
        <v>0</v>
      </c>
      <c r="CH129" s="560">
        <f>IF(OR(Sheet1!EQ131="FM", Sheet1!EQ131="OTHER"),SUM(Sheet1!BC131:'Sheet1'!BF131),0)</f>
        <v>0</v>
      </c>
      <c r="CI129" s="545">
        <f>IF(AND($B129&gt;=$FV129,$B129&lt;=$FW129),MAX(CF129,Sheet1!EJ131,0),MAX(CF129-(7/36)*$K129,0))</f>
        <v>0</v>
      </c>
      <c r="CJ129" s="560">
        <f t="shared" si="301"/>
        <v>10.052176344649801</v>
      </c>
      <c r="CK129" s="545">
        <f t="shared" si="302"/>
        <v>2.5167125442390876</v>
      </c>
      <c r="CL129" s="545">
        <f>IF(AND($O129&gt;0,Sheet1!EN131=1),(1-($O129-Sheet1!$L131)/$O129)*CF129,0)</f>
        <v>0</v>
      </c>
      <c r="CM129" s="545">
        <f>IF(AND(Sheet1!$L131=0,Sheet1!$L130=0, Calculation!CE129&lt;Sheet1!EJ131-0.1,Sheet1!EJ131=Sheet1!EJ130,Sheet1!EJ131=Sheet1!EJ132),Sheet1!EJ131,CF129-CL129)</f>
        <v>2.5167125442390876</v>
      </c>
      <c r="CN129" s="545"/>
      <c r="CO129" s="560"/>
      <c r="CP129" s="560">
        <f t="shared" si="303"/>
        <v>667.33130148614418</v>
      </c>
      <c r="CQ129" s="560"/>
      <c r="CR129" s="560">
        <f ca="1">IF(B129&gt;Summary!$A$1,#N/A,CP129*MGtoAF)</f>
        <v>2047.3724329594904</v>
      </c>
      <c r="CS129" s="560">
        <f>Sheet1!BK131+Sheet1!BL131+Sheet1!BM131-Sheet1!ER131-DA129</f>
        <v>3.5300000000000002</v>
      </c>
      <c r="CT129" s="560">
        <f t="shared" si="304"/>
        <v>3.553598112465592</v>
      </c>
      <c r="CU129" s="560">
        <f>IF(Sheet1!ER131="FM",DA129,0)</f>
        <v>0</v>
      </c>
      <c r="CV129" s="560">
        <f t="shared" si="305"/>
        <v>0</v>
      </c>
      <c r="CW129" s="560">
        <f>IF(Sheet1!ER131="OTHER",DA129,0)</f>
        <v>0</v>
      </c>
      <c r="CX129" s="560">
        <f t="shared" si="306"/>
        <v>0</v>
      </c>
      <c r="CY129" s="560">
        <f t="shared" si="307"/>
        <v>3.5300000000000002</v>
      </c>
      <c r="CZ129" s="560">
        <f t="shared" si="308"/>
        <v>3.553598112465592</v>
      </c>
      <c r="DA129" s="560">
        <f>IF(OR(Sheet1!ER131="FM", Sheet1!ER131="OTHER"),SUM(Sheet1!BK131:'Sheet1'!BM131),0)</f>
        <v>0</v>
      </c>
      <c r="DB129" s="545">
        <f>IF(AND($B129&gt;=$FV129,$B129&lt;=$FW129),MAX($CT129,Sheet1!EK131,0),MAX($CT129-(7/36)*$K129,0))</f>
        <v>0</v>
      </c>
      <c r="DC129" s="560">
        <f t="shared" si="309"/>
        <v>9.0152907764232975</v>
      </c>
      <c r="DD129" s="545">
        <f t="shared" si="310"/>
        <v>3.553598112465592</v>
      </c>
      <c r="DE129" s="545">
        <f>IF(AND($O129&gt;0,Sheet1!EO131=1),(1-($O129-Sheet1!$L131)/$O129)*CZ129,0)</f>
        <v>0</v>
      </c>
      <c r="DF129" s="545">
        <f>IF(AND(Sheet1!$L131=0,Sheet1!$L130=0, Calculation!CY129&lt;Sheet1!$EK131-0.1,Sheet1!$EK131=Sheet1!$EK130,Sheet1!$EK131=Sheet1!$EK132),Sheet1!$EK131,CZ129-DE129)</f>
        <v>3.553598112465592</v>
      </c>
      <c r="DG129" s="545"/>
      <c r="DH129" s="560">
        <f t="shared" si="311"/>
        <v>6.03</v>
      </c>
      <c r="DI129" s="560">
        <f t="shared" si="312"/>
        <v>469.64093657488053</v>
      </c>
      <c r="DJ129" s="698">
        <f t="shared" si="313"/>
        <v>6.0703106567046792</v>
      </c>
      <c r="DK129" s="560">
        <f ca="1">IF(B129&gt;Summary!$A$1,#N/A,DI129*MGtoAF)</f>
        <v>1440.8583934117335</v>
      </c>
      <c r="DL129" s="698">
        <f t="shared" si="314"/>
        <v>6.03</v>
      </c>
      <c r="DM129" s="560">
        <f t="shared" si="315"/>
        <v>25.430000000000003</v>
      </c>
      <c r="DN129" s="560">
        <f>Sheet1!AB131-DM129</f>
        <v>0.16999999999999815</v>
      </c>
      <c r="DO129" s="823">
        <f t="shared" si="316"/>
        <v>6.6850176956350033E-3</v>
      </c>
      <c r="DP129" s="560">
        <f>(VLOOKUP(Sheet1!DC131,hhdcap_wcm,4)-(((VLOOKUP(Sheet1!DC131,hhdcap_wcm,3)-Sheet1!DC131)/(VLOOKUP(Sheet1!DC131,hhdcap_wcm,3)-VLOOKUP(Sheet1!DC131,hhdcap_wcm,1)))*(VLOOKUP(Sheet1!DC131,hhdcap_wcm,4)-VLOOKUP(Sheet1!DC131,hhdcap_wcm,2))))</f>
        <v>38511.000000097411</v>
      </c>
      <c r="DQ129" s="560">
        <f t="shared" si="317"/>
        <v>241.00000000213913</v>
      </c>
      <c r="DR129" s="560">
        <f t="shared" si="318"/>
        <v>121.53303076255123</v>
      </c>
      <c r="DS129" s="560">
        <f>Sheet1!EA131*AFtoMG</f>
        <v>0</v>
      </c>
      <c r="DT129" s="560">
        <f>Sheet1!EB131*AFtoMG</f>
        <v>0</v>
      </c>
      <c r="DU129" s="560">
        <f>Sheet1!EC131*AFtoMG</f>
        <v>0</v>
      </c>
      <c r="DV129" s="560">
        <f>Sheet1!ED131*AFtoMG</f>
        <v>0</v>
      </c>
      <c r="DW129" s="560">
        <f t="shared" si="319"/>
        <v>0</v>
      </c>
      <c r="DX129" s="560">
        <f t="shared" si="320"/>
        <v>0</v>
      </c>
      <c r="DY129" s="560">
        <f t="shared" si="321"/>
        <v>3783.6211269499131</v>
      </c>
      <c r="DZ129" s="560">
        <f t="shared" si="322"/>
        <v>11608.149617482333</v>
      </c>
      <c r="EA129" s="560"/>
      <c r="EB129" s="545">
        <f>IF(OR(B129&lt;FV129,B129&gt;FW129),(MIN(BF129+BY129+CT129+MAX(Sheet1!AA131+AQ129-73,0),K129)),0)</f>
        <v>6.0703106567046792</v>
      </c>
      <c r="EC129" s="560"/>
      <c r="ED129" s="560">
        <f t="shared" si="323"/>
        <v>6.0703106567046792</v>
      </c>
      <c r="EE129" s="560"/>
      <c r="EF129" s="560">
        <f>Sheet1!EH131+Sheet1!EI131+Sheet1!EJ131+Sheet1!EK131</f>
        <v>6.03</v>
      </c>
      <c r="EG129" s="560"/>
      <c r="EH129" s="545">
        <f t="shared" si="324"/>
        <v>0</v>
      </c>
      <c r="EI129" s="560">
        <f>IF(Sheet1!ET131=1,SUM('Calculations II'!AT129:BA129)+'Calculations II'!BC129+Sheet1!BV131+'Calculations II'!BE129+AP129,SUM('Calculations II'!AT129:BA129)+'Calculations II'!BC129+Sheet1!BV131+'Calculations II'!BE129+AP129)</f>
        <v>50.044880000000006</v>
      </c>
      <c r="EJ129" s="560">
        <f>Sheet1!AA131+Sheet1!AB131+'Calculations II'!BC129</f>
        <v>53.770064000000005</v>
      </c>
      <c r="EK129" s="560"/>
      <c r="EL129" s="560"/>
      <c r="EM129" s="560">
        <f t="shared" si="325"/>
        <v>41757</v>
      </c>
      <c r="EN129" s="560">
        <f t="shared" si="326"/>
        <v>58.569689343295323</v>
      </c>
      <c r="EO129" s="560">
        <f t="shared" si="327"/>
        <v>90.607309414077861</v>
      </c>
      <c r="EP129" s="560">
        <v>0</v>
      </c>
      <c r="EQ129" s="560">
        <v>0</v>
      </c>
      <c r="ER129" s="560">
        <v>0</v>
      </c>
      <c r="ES129" s="545">
        <f t="shared" si="247"/>
        <v>-1.6609330775758624</v>
      </c>
      <c r="ET129" s="560">
        <f>-(VLOOKUP(Sheet1!BQ131,Lookup!$O$4:$Q$262,2)-VLOOKUP(Sheet1!BQ130,Lookup!$O$4:$Q$262,2))/1000000</f>
        <v>-0.8304665387879312</v>
      </c>
      <c r="EU129" s="560">
        <f>-(VLOOKUP(Sheet1!BR131,Lookup!$O$4:$Q$262,3)-VLOOKUP(Sheet1!BR130,Lookup!$O$4:$Q$262,3))/1000000</f>
        <v>-0.8304665387879312</v>
      </c>
      <c r="EV129" s="560"/>
      <c r="EW129" s="560"/>
      <c r="EX129" s="560"/>
      <c r="EY129" s="560"/>
      <c r="EZ129" s="560"/>
      <c r="FA129" s="560"/>
      <c r="FB129" s="560"/>
      <c r="FC129" s="560"/>
      <c r="FD129" s="594" t="e">
        <f t="shared" si="328"/>
        <v>#N/A</v>
      </c>
      <c r="FE129" s="594" t="e">
        <f t="shared" si="329"/>
        <v>#N/A</v>
      </c>
      <c r="FF129" s="595" t="e">
        <f t="shared" si="330"/>
        <v>#N/A</v>
      </c>
      <c r="FG129" s="596" t="s">
        <v>692</v>
      </c>
      <c r="FH129" s="596" t="s">
        <v>692</v>
      </c>
      <c r="FI129" s="594" t="e">
        <v>#N/A</v>
      </c>
      <c r="FJ129" s="594" t="e">
        <v>#N/A</v>
      </c>
      <c r="FK129" s="560"/>
      <c r="FL129" s="560"/>
      <c r="FM129" s="560"/>
      <c r="FN129" s="560"/>
      <c r="FO129" s="560">
        <f>O129+((Sheet1!CS131)*GPMtoMGD)</f>
        <v>53.770064000000005</v>
      </c>
      <c r="FP129" s="560">
        <f>IF(Sheet1!AA131+AQ129&lt;=Calculation!N129,AQ129,Calculation!N129-Sheet1!AA131)</f>
        <v>17.918993314982306</v>
      </c>
      <c r="FQ129" s="560">
        <f>(Sheet1!BP131+Sheet1!BO131)/694.4</f>
        <v>1.4811347926267282</v>
      </c>
      <c r="FR129" s="560"/>
      <c r="FS129" s="560"/>
      <c r="FT129" s="560"/>
      <c r="FU129" s="560"/>
      <c r="FV129" s="695">
        <f t="shared" si="248"/>
        <v>41827</v>
      </c>
      <c r="FW129" s="695">
        <f t="shared" si="249"/>
        <v>41934</v>
      </c>
      <c r="FX129" s="560"/>
      <c r="FY129" s="560"/>
      <c r="FZ129" s="560"/>
      <c r="GA129" s="560"/>
      <c r="GB129" s="560" t="str">
        <f t="shared" si="250"/>
        <v>n</v>
      </c>
      <c r="GC129" s="564">
        <f t="shared" si="251"/>
        <v>41691</v>
      </c>
      <c r="GD129" s="695">
        <f t="shared" si="252"/>
        <v>41807</v>
      </c>
      <c r="GE129" s="560">
        <v>6518.9</v>
      </c>
      <c r="GF129" s="695">
        <f t="shared" si="253"/>
        <v>41808</v>
      </c>
      <c r="GG129" s="560">
        <f t="shared" si="272"/>
        <v>3259</v>
      </c>
      <c r="GH129" s="564">
        <f t="shared" si="254"/>
        <v>41934</v>
      </c>
      <c r="GJ129" s="545">
        <f t="shared" si="255"/>
        <v>0</v>
      </c>
      <c r="GK129" s="560" t="str">
        <f t="shared" si="331"/>
        <v/>
      </c>
      <c r="GL129" s="560">
        <f t="shared" si="256"/>
        <v>0</v>
      </c>
      <c r="GM129" s="560" t="str">
        <f t="shared" si="257"/>
        <v/>
      </c>
      <c r="GN129" s="560">
        <f>IF(GK129="P",Lookup!$M$12,IF(GK129="PP",Lookup!$M$13,IF(GK129="PPP",Lookup!$M$14,IF(GK129="T",Lookup!$M$15,IF(GK129="TP",Lookup!$M$16,IF(GK129="TPP",Lookup!$M$17,IF(GK129="TPPP",Lookup!$M$18,0)))))))*GJ129</f>
        <v>0</v>
      </c>
      <c r="GO129" s="560">
        <f t="shared" si="258"/>
        <v>0</v>
      </c>
      <c r="GP129" s="560">
        <f t="shared" si="332"/>
        <v>5536.3082666666687</v>
      </c>
      <c r="GQ129" s="560">
        <f t="shared" si="266"/>
        <v>1804.533333333334</v>
      </c>
      <c r="GR129" s="560"/>
      <c r="GS129" s="560">
        <f t="shared" si="259"/>
        <v>0</v>
      </c>
      <c r="GT129" s="560" t="str">
        <f t="shared" si="260"/>
        <v/>
      </c>
      <c r="GU129" s="560">
        <f>IF(GK129="P",Lookup!$N$12,IF(GK129="PP",Lookup!$N$13,IF(GK129="PPP",Lookup!$N$14,IF(GK129="T",Lookup!$N$15,IF(GK129="TP",Lookup!$N$16,IF(GK129="TPP",Lookup!$N$17,IF(GK129="TPPP",Lookup!$N$18,0)))))))*GJ129</f>
        <v>0</v>
      </c>
      <c r="GV129" s="560">
        <f t="shared" si="261"/>
        <v>0</v>
      </c>
      <c r="GW129" s="560">
        <f t="shared" si="333"/>
        <v>2583.6105244444411</v>
      </c>
      <c r="GX129" s="560">
        <f t="shared" si="267"/>
        <v>842.11555555555447</v>
      </c>
      <c r="GY129" s="560"/>
      <c r="GZ129" s="560">
        <f t="shared" si="262"/>
        <v>0</v>
      </c>
      <c r="HA129" s="560" t="str">
        <f t="shared" si="263"/>
        <v/>
      </c>
      <c r="HB129" s="560">
        <f>IF(GK129="P",Lookup!$N$12,IF(GK129="PP",Lookup!$N$13,IF(GK129="PPP",Lookup!$N$14,IF(GK129="T",Lookup!$N$15,IF(GK129="TP",Lookup!$N$16,IF(GK129="TPP",Lookup!$N$17,IF(GK129="TPPP",Lookup!$N$18,0)))))))*GJ129</f>
        <v>0</v>
      </c>
      <c r="HC129" s="545">
        <f t="shared" si="334"/>
        <v>0</v>
      </c>
      <c r="HD129" s="560">
        <f t="shared" si="335"/>
        <v>2047.3724329594904</v>
      </c>
      <c r="HE129" s="560">
        <f t="shared" si="268"/>
        <v>667.33130148614418</v>
      </c>
      <c r="HF129" s="560"/>
      <c r="HG129" s="560">
        <f t="shared" si="264"/>
        <v>0</v>
      </c>
      <c r="HH129" s="560" t="str">
        <f t="shared" si="265"/>
        <v/>
      </c>
      <c r="HI129" s="560">
        <f>IF(GK129="P",Lookup!$N$12,IF(GK129="PP",Lookup!$N$13,IF(GK129="PPP",Lookup!$N$14,IF(GK129="T",Lookup!$N$15,IF(GK129="TP",Lookup!$N$16,IF(GK129="TPP",Lookup!$N$17,IF(GK129="TPPP",Lookup!$N$18,0)))))))*GJ129</f>
        <v>0</v>
      </c>
      <c r="HJ129" s="545">
        <f t="shared" si="336"/>
        <v>0</v>
      </c>
      <c r="HK129" s="560">
        <f t="shared" si="337"/>
        <v>1440.8583934117335</v>
      </c>
      <c r="HL129" s="560">
        <f t="shared" si="269"/>
        <v>469.64093657488053</v>
      </c>
      <c r="HM129" s="560"/>
    </row>
    <row r="130" spans="1:221">
      <c r="A130" s="580" t="s">
        <v>5</v>
      </c>
      <c r="B130" s="556">
        <v>41758</v>
      </c>
      <c r="C130" s="561">
        <v>0</v>
      </c>
      <c r="D130" s="529">
        <f t="shared" si="270"/>
        <v>300</v>
      </c>
      <c r="E130" s="529">
        <f t="shared" si="271"/>
        <v>250</v>
      </c>
      <c r="F130" s="529">
        <v>250</v>
      </c>
      <c r="G130" s="560">
        <f>DR130+Sheet1!CZ132</f>
        <v>1619.8134140192774</v>
      </c>
      <c r="H130" s="914">
        <f t="shared" si="236"/>
        <v>780.08419082206092</v>
      </c>
      <c r="I130" s="559">
        <f>MAX(Sheet1!Z132-AT130+(Sheet1!DA132-E130)*CFStoMGD,0)</f>
        <v>1273.1519999999998</v>
      </c>
      <c r="J130" s="562">
        <f>IF(AND(B130&gt;=Calculation!GC130,B130&lt;=Calculation!GD130),IF(Sheet1!DB132&gt;=Calculation!D130,64.64,0),MAX(Sheet1!Z132-AT130+(Sheet1!DB132-D130)*CFStoMGD,0))</f>
        <v>64.64</v>
      </c>
      <c r="K130" s="904">
        <f t="shared" si="273"/>
        <v>64.64</v>
      </c>
      <c r="L130" s="560">
        <f>Sheet1!AA132+Sheet1!AB132-Sheet1!L132+(Sheet1!DA132-F130)*CFStoMGD</f>
        <v>1247.5519999999999</v>
      </c>
      <c r="M130" s="560">
        <f t="shared" si="274"/>
        <v>1067.9883386385022</v>
      </c>
      <c r="N130" s="910">
        <f>IF(Sheet1!DA132&gt;=F130,MIN(73,MIN(MAX(L130,0),MAX(M130,0))),0)</f>
        <v>73</v>
      </c>
      <c r="O130" s="563">
        <f>Sheet1!AA132+Sheet1!AB132</f>
        <v>46.2</v>
      </c>
      <c r="P130" s="563">
        <f t="shared" si="275"/>
        <v>71.471399999999988</v>
      </c>
      <c r="Q130" s="898">
        <f t="shared" si="237"/>
        <v>39.050000000000004</v>
      </c>
      <c r="R130" s="829">
        <f t="shared" si="276"/>
        <v>7.0805825242718452</v>
      </c>
      <c r="S130" s="898">
        <f t="shared" si="238"/>
        <v>7.15</v>
      </c>
      <c r="T130" s="898">
        <f t="shared" si="239"/>
        <v>57.49</v>
      </c>
      <c r="U130" s="898">
        <f t="shared" si="240"/>
        <v>0</v>
      </c>
      <c r="V130" s="898"/>
      <c r="W130" s="898">
        <f t="shared" si="241"/>
        <v>57.559417475728154</v>
      </c>
      <c r="X130" s="898">
        <f t="shared" si="242"/>
        <v>64.64</v>
      </c>
      <c r="Y130" s="898" t="str">
        <f t="shared" si="243"/>
        <v>FALSE</v>
      </c>
      <c r="Z130" s="898">
        <f t="shared" si="244"/>
        <v>46.2</v>
      </c>
      <c r="AA130" s="898">
        <f t="shared" si="245"/>
        <v>46.2</v>
      </c>
      <c r="AB130" s="898" t="str">
        <f t="shared" si="246"/>
        <v/>
      </c>
      <c r="AC130" s="563">
        <f>Sheet1!Y132*MGDtoCFS</f>
        <v>32.177599999999998</v>
      </c>
      <c r="AD130" s="563">
        <f>Sheet1!Z132*MGDtoCFS</f>
        <v>39.603200000000001</v>
      </c>
      <c r="AE130" s="563">
        <f>Sheet1!AA132*MGDtoCFS</f>
        <v>32.0229</v>
      </c>
      <c r="AF130" s="563">
        <f>Sheet1!AB132*MGDtoCFS</f>
        <v>39.448499999999996</v>
      </c>
      <c r="AG130" s="563">
        <f>Sheet1!L132*MGDtoCFS</f>
        <v>71.471400000000003</v>
      </c>
      <c r="AH130" s="545">
        <f t="shared" si="277"/>
        <v>0</v>
      </c>
      <c r="AI130" s="560">
        <f t="shared" si="278"/>
        <v>0</v>
      </c>
      <c r="AJ130" s="560">
        <f t="shared" si="279"/>
        <v>57.559417475728154</v>
      </c>
      <c r="AK130" s="560">
        <f t="shared" si="280"/>
        <v>89.044418834951443</v>
      </c>
      <c r="AL130" s="560">
        <f>(VLOOKUP(Sheet1!DC132,hhdcap_wcm,4)-(((VLOOKUP(Sheet1!DC132,hhdcap_wcm,3)-Sheet1!DC132)/(VLOOKUP(Sheet1!DC132,hhdcap_wcm,3)-VLOOKUP(Sheet1!DC132,hhdcap_wcm,1)))*(VLOOKUP(Sheet1!DC132,hhdcap_wcm,4)-VLOOKUP(Sheet1!DC132,hhdcap_wcm,2))))</f>
        <v>38887.400000097638</v>
      </c>
      <c r="AM130" s="560">
        <f t="shared" si="281"/>
        <v>376.40000000022701</v>
      </c>
      <c r="AN130" s="560">
        <f t="shared" si="282"/>
        <v>3841.1805444256415</v>
      </c>
      <c r="AO130" s="560">
        <f t="shared" si="283"/>
        <v>11784.741910297869</v>
      </c>
      <c r="AP130" s="560">
        <f>Sheet1!BA132+Sheet1!BB132+Sheet1!BN132+CD130</f>
        <v>18.600000000000001</v>
      </c>
      <c r="AQ130" s="560">
        <f>Sheet1!BN132+(DO130*Sheet1!BN132)</f>
        <v>16.83495145631068</v>
      </c>
      <c r="AR130" s="560">
        <f>Sheet1!BA132+CD130</f>
        <v>0</v>
      </c>
      <c r="AS130" s="560">
        <f>Sheet1!BA132+Sheet1!BB132+CD130</f>
        <v>1.6</v>
      </c>
      <c r="AT130" s="698">
        <f>0</f>
        <v>0</v>
      </c>
      <c r="AU130" s="560">
        <f>IF(EB130&lt;K130,0,MAX(Sheet1!AA132+AQ130-15/36*K130-N130,Sheet1!EH132,0))</f>
        <v>0</v>
      </c>
      <c r="AV130" s="560">
        <f>IF(OR(B130&gt;=GD130,B130&lt;GC130),0,15/36*K130-MAX(0,64.6-(137.6-(Sheet1!AA132+Sheet1!AB132))))</f>
        <v>26.933333333333334</v>
      </c>
      <c r="AW130" s="698">
        <f>Sheet1!DB132-110</f>
        <v>1400</v>
      </c>
      <c r="AX130" s="698">
        <f>Sheet1!DA132-265</f>
        <v>1915</v>
      </c>
      <c r="AY130" s="698">
        <f t="shared" si="284"/>
        <v>33.949999999999996</v>
      </c>
      <c r="AZ130" s="698">
        <v>0</v>
      </c>
      <c r="BA130" s="698">
        <f t="shared" si="285"/>
        <v>0</v>
      </c>
      <c r="BB130" s="560">
        <f t="shared" si="286"/>
        <v>1831.4666666666674</v>
      </c>
      <c r="BC130" s="560"/>
      <c r="BD130" s="560">
        <f ca="1">IF(B130&gt;Summary!$A$1,#N/A,BB130*MGtoAF)</f>
        <v>5618.9397333333354</v>
      </c>
      <c r="BE130" s="560">
        <f>Sheet1!BG132+Sheet1!BH132+Sheet1!BI132-BM130</f>
        <v>0</v>
      </c>
      <c r="BF130" s="560">
        <f t="shared" si="287"/>
        <v>0</v>
      </c>
      <c r="BG130" s="560">
        <f>IF(Sheet1!EP132="FM",BM130,0)</f>
        <v>0</v>
      </c>
      <c r="BH130" s="560">
        <f t="shared" si="288"/>
        <v>0</v>
      </c>
      <c r="BI130" s="560">
        <f>IF(Sheet1!EP132="OTHER",BM130,0)</f>
        <v>0</v>
      </c>
      <c r="BJ130" s="560">
        <f t="shared" si="289"/>
        <v>0</v>
      </c>
      <c r="BK130" s="560">
        <f t="shared" si="290"/>
        <v>0</v>
      </c>
      <c r="BL130" s="560">
        <f t="shared" si="291"/>
        <v>0</v>
      </c>
      <c r="BM130" s="560">
        <f>IF(OR(Sheet1!EP132="FM", Sheet1!EP132="OTHER"),SUM(Sheet1!BG132:'Sheet1'!BI132),0)</f>
        <v>0</v>
      </c>
      <c r="BN130" s="545">
        <f>IF(AND($B130&gt;=$FV130,$B130&lt;=$FW130),MAX(BF130,Sheet1!EI132,0),MAX(BF130-(7/36)*$K130,0))</f>
        <v>0</v>
      </c>
      <c r="BO130" s="560">
        <f t="shared" si="292"/>
        <v>12.568888888888889</v>
      </c>
      <c r="BP130" s="545">
        <f t="shared" si="293"/>
        <v>0</v>
      </c>
      <c r="BQ130" s="545">
        <f>IF(AND($O130&gt;0,Sheet1!EM132=1),(1-($O130-Sheet1!$L132)/$O130)*BL130,0)</f>
        <v>0</v>
      </c>
      <c r="BR130" s="545">
        <f>IF(AND(Sheet1!$L132=0,Sheet1!$L131=0, Calculation!BK130&lt;Sheet1!$EI132-0.1,Sheet1!$EI132=Sheet1!$EI131,Sheet1!$EI132=Sheet1!$EI133),Sheet1!$EI132,BL130-BQ130)</f>
        <v>0</v>
      </c>
      <c r="BS130" s="560"/>
      <c r="BT130" s="560"/>
      <c r="BU130" s="560">
        <f t="shared" si="294"/>
        <v>854.68444444444333</v>
      </c>
      <c r="BV130" s="560"/>
      <c r="BW130" s="560">
        <f ca="1">IF(B130&gt;Summary!$A$1,#N/A,BU130*MGtoAF)</f>
        <v>2622.1718755555521</v>
      </c>
      <c r="BX130" s="560">
        <f>Sheet1!BC132+Sheet1!BD132+Sheet1!BE132+Sheet1!BF132-CG130-CH130</f>
        <v>2.5</v>
      </c>
      <c r="BY130" s="560">
        <f t="shared" si="295"/>
        <v>2.4757281553398056</v>
      </c>
      <c r="BZ130" s="560">
        <f>IF(Sheet1!EQ132="FM",CH130,0)</f>
        <v>0</v>
      </c>
      <c r="CA130" s="560">
        <f t="shared" si="296"/>
        <v>0</v>
      </c>
      <c r="CB130" s="560">
        <f>IF(Sheet1!EQ132="OTHER",CH130,0)</f>
        <v>0</v>
      </c>
      <c r="CC130" s="560">
        <f t="shared" si="297"/>
        <v>0</v>
      </c>
      <c r="CD130" s="560">
        <f t="shared" si="298"/>
        <v>0</v>
      </c>
      <c r="CE130" s="560">
        <f t="shared" si="299"/>
        <v>2.5</v>
      </c>
      <c r="CF130" s="560">
        <f t="shared" si="300"/>
        <v>2.4757281553398056</v>
      </c>
      <c r="CG130" s="560">
        <f>IF(Sheet1!EQ132="CWA",SUM(Sheet1!BC132:'Sheet1'!BF132),0)</f>
        <v>0</v>
      </c>
      <c r="CH130" s="560">
        <f>IF(OR(Sheet1!EQ132="FM", Sheet1!EQ132="OTHER"),SUM(Sheet1!BC132:'Sheet1'!BF132),0)</f>
        <v>0</v>
      </c>
      <c r="CI130" s="545">
        <f>IF(AND($B130&gt;=$FV130,$B130&lt;=$FW130),MAX(CF130,Sheet1!EJ132,0),MAX(CF130-(7/36)*$K130,0))</f>
        <v>0</v>
      </c>
      <c r="CJ130" s="560">
        <f t="shared" si="301"/>
        <v>10.093160733549084</v>
      </c>
      <c r="CK130" s="545">
        <f t="shared" si="302"/>
        <v>2.4757281553398056</v>
      </c>
      <c r="CL130" s="545">
        <f>IF(AND($O130&gt;0,Sheet1!EN132=1),(1-($O130-Sheet1!$L132)/$O130)*CF130,0)</f>
        <v>0</v>
      </c>
      <c r="CM130" s="545">
        <f>IF(AND(Sheet1!$L132=0,Sheet1!$L131=0, Calculation!CE130&lt;Sheet1!EJ132-0.1,Sheet1!EJ132=Sheet1!EJ131,Sheet1!EJ132=Sheet1!EJ133),Sheet1!EJ132,CF130-CL130)</f>
        <v>2.4757281553398056</v>
      </c>
      <c r="CN130" s="545"/>
      <c r="CO130" s="560"/>
      <c r="CP130" s="560">
        <f t="shared" si="303"/>
        <v>677.42446221969328</v>
      </c>
      <c r="CQ130" s="560"/>
      <c r="CR130" s="560">
        <f ca="1">IF(B130&gt;Summary!$A$1,#N/A,CP130*MGtoAF)</f>
        <v>2078.3382500900188</v>
      </c>
      <c r="CS130" s="560">
        <f>Sheet1!BK132+Sheet1!BL132+Sheet1!BM132-Sheet1!ER132-DA130</f>
        <v>4.6500000000000004</v>
      </c>
      <c r="CT130" s="560">
        <f t="shared" si="304"/>
        <v>4.6048543689320391</v>
      </c>
      <c r="CU130" s="560">
        <f>IF(Sheet1!ER132="FM",DA130,0)</f>
        <v>0</v>
      </c>
      <c r="CV130" s="560">
        <f t="shared" si="305"/>
        <v>0</v>
      </c>
      <c r="CW130" s="560">
        <f>IF(Sheet1!ER132="OTHER",DA130,0)</f>
        <v>0</v>
      </c>
      <c r="CX130" s="560">
        <f t="shared" si="306"/>
        <v>0</v>
      </c>
      <c r="CY130" s="560">
        <f t="shared" si="307"/>
        <v>4.6500000000000004</v>
      </c>
      <c r="CZ130" s="560">
        <f t="shared" si="308"/>
        <v>4.6048543689320391</v>
      </c>
      <c r="DA130" s="560">
        <f>IF(OR(Sheet1!ER132="FM", Sheet1!ER132="OTHER"),SUM(Sheet1!BK132:'Sheet1'!BM132),0)</f>
        <v>0</v>
      </c>
      <c r="DB130" s="545">
        <f>IF(AND($B130&gt;=$FV130,$B130&lt;=$FW130),MAX($CT130,Sheet1!EK132,0),MAX($CT130-(7/36)*$K130,0))</f>
        <v>0</v>
      </c>
      <c r="DC130" s="560">
        <f t="shared" si="309"/>
        <v>7.9640345199568499</v>
      </c>
      <c r="DD130" s="545">
        <f t="shared" si="310"/>
        <v>4.6048543689320391</v>
      </c>
      <c r="DE130" s="545">
        <f>IF(AND($O130&gt;0,Sheet1!EO132=1),(1-($O130-Sheet1!$L132)/$O130)*CZ130,0)</f>
        <v>0</v>
      </c>
      <c r="DF130" s="545">
        <f>IF(AND(Sheet1!$L132=0,Sheet1!$L131=0, Calculation!CY130&lt;Sheet1!$EK132-0.1,Sheet1!$EK132=Sheet1!$EK131,Sheet1!$EK132=Sheet1!$EK133),Sheet1!$EK132,CZ130-DE130)</f>
        <v>4.6048543689320391</v>
      </c>
      <c r="DG130" s="545"/>
      <c r="DH130" s="560">
        <f t="shared" si="311"/>
        <v>7.15</v>
      </c>
      <c r="DI130" s="560">
        <f t="shared" si="312"/>
        <v>477.60497109483737</v>
      </c>
      <c r="DJ130" s="698">
        <f t="shared" si="313"/>
        <v>7.0805825242718452</v>
      </c>
      <c r="DK130" s="560">
        <f ca="1">IF(B130&gt;Summary!$A$1,#N/A,DI130*MGtoAF)</f>
        <v>1465.2920513189611</v>
      </c>
      <c r="DL130" s="698">
        <f t="shared" si="314"/>
        <v>7.15</v>
      </c>
      <c r="DM130" s="560">
        <f t="shared" si="315"/>
        <v>25.75</v>
      </c>
      <c r="DN130" s="560">
        <f>Sheet1!AB132-DM130</f>
        <v>-0.25</v>
      </c>
      <c r="DO130" s="823">
        <f t="shared" si="316"/>
        <v>-9.7087378640776691E-3</v>
      </c>
      <c r="DP130" s="560">
        <f>(VLOOKUP(Sheet1!DC132,hhdcap_wcm,4)-(((VLOOKUP(Sheet1!DC132,hhdcap_wcm,3)-Sheet1!DC132)/(VLOOKUP(Sheet1!DC132,hhdcap_wcm,3)-VLOOKUP(Sheet1!DC132,hhdcap_wcm,1)))*(VLOOKUP(Sheet1!DC132,hhdcap_wcm,4)-VLOOKUP(Sheet1!DC132,hhdcap_wcm,2))))</f>
        <v>38887.400000097638</v>
      </c>
      <c r="DQ130" s="560">
        <f t="shared" si="317"/>
        <v>376.40000000022701</v>
      </c>
      <c r="DR130" s="560">
        <f t="shared" si="318"/>
        <v>189.81341401927733</v>
      </c>
      <c r="DS130" s="560">
        <f>Sheet1!EA132*AFtoMG</f>
        <v>0</v>
      </c>
      <c r="DT130" s="560">
        <f>Sheet1!EB132*AFtoMG</f>
        <v>0</v>
      </c>
      <c r="DU130" s="560">
        <f>Sheet1!EC132*AFtoMG</f>
        <v>0</v>
      </c>
      <c r="DV130" s="560">
        <f>Sheet1!ED132*AFtoMG</f>
        <v>0</v>
      </c>
      <c r="DW130" s="560">
        <f t="shared" si="319"/>
        <v>0</v>
      </c>
      <c r="DX130" s="560">
        <f t="shared" si="320"/>
        <v>0</v>
      </c>
      <c r="DY130" s="560">
        <f t="shared" si="321"/>
        <v>3841.1805444256415</v>
      </c>
      <c r="DZ130" s="560">
        <f t="shared" si="322"/>
        <v>11784.741910297869</v>
      </c>
      <c r="EA130" s="560"/>
      <c r="EB130" s="545">
        <f>IF(OR(B130&lt;FV130,B130&gt;FW130),(MIN(BF130+BY130+CT130+MAX(Sheet1!AA132+AQ130-73,0),K130)),0)</f>
        <v>7.0805825242718452</v>
      </c>
      <c r="EC130" s="560"/>
      <c r="ED130" s="560">
        <f t="shared" si="323"/>
        <v>7.0805825242718452</v>
      </c>
      <c r="EE130" s="560"/>
      <c r="EF130" s="560">
        <f>Sheet1!EH132+Sheet1!EI132+Sheet1!EJ132+Sheet1!EK132</f>
        <v>7.15</v>
      </c>
      <c r="EG130" s="560"/>
      <c r="EH130" s="545">
        <f t="shared" si="324"/>
        <v>0</v>
      </c>
      <c r="EI130" s="560">
        <f>IF(Sheet1!ET132=1,SUM('Calculations II'!AT130:BA130)+'Calculations II'!BC130+Sheet1!BV132+'Calculations II'!BE130+AP130,SUM('Calculations II'!AT130:BA130)+'Calculations II'!BC130+Sheet1!BV132+'Calculations II'!BE130+AP130)</f>
        <v>51.963008000000002</v>
      </c>
      <c r="EJ130" s="560">
        <f>Sheet1!AA132+Sheet1!AB132+'Calculations II'!BC130</f>
        <v>56.069760000000002</v>
      </c>
      <c r="EK130" s="560"/>
      <c r="EL130" s="560"/>
      <c r="EM130" s="560">
        <f t="shared" si="325"/>
        <v>41758</v>
      </c>
      <c r="EN130" s="560">
        <f t="shared" si="326"/>
        <v>57.559417475728154</v>
      </c>
      <c r="EO130" s="560">
        <f t="shared" si="327"/>
        <v>89.044418834951443</v>
      </c>
      <c r="EP130" s="560">
        <v>0</v>
      </c>
      <c r="EQ130" s="560">
        <v>0</v>
      </c>
      <c r="ER130" s="560">
        <v>0</v>
      </c>
      <c r="ES130" s="545">
        <f t="shared" si="247"/>
        <v>-1.246004137705095</v>
      </c>
      <c r="ET130" s="560">
        <f>-(VLOOKUP(Sheet1!BQ132,Lookup!$O$4:$Q$262,2)-VLOOKUP(Sheet1!BQ131,Lookup!$O$4:$Q$262,2))/1000000</f>
        <v>-0.69223164033699036</v>
      </c>
      <c r="EU130" s="560">
        <f>-(VLOOKUP(Sheet1!BR132,Lookup!$O$4:$Q$262,3)-VLOOKUP(Sheet1!BR131,Lookup!$O$4:$Q$262,3))/1000000</f>
        <v>-0.55377249736810474</v>
      </c>
      <c r="EV130" s="560"/>
      <c r="EW130" s="560"/>
      <c r="EX130" s="560"/>
      <c r="EY130" s="560"/>
      <c r="EZ130" s="560"/>
      <c r="FA130" s="560"/>
      <c r="FB130" s="560"/>
      <c r="FC130" s="560"/>
      <c r="FD130" s="594" t="e">
        <f t="shared" si="328"/>
        <v>#N/A</v>
      </c>
      <c r="FE130" s="594" t="e">
        <f t="shared" si="329"/>
        <v>#N/A</v>
      </c>
      <c r="FF130" s="595" t="e">
        <f t="shared" si="330"/>
        <v>#N/A</v>
      </c>
      <c r="FG130" s="596" t="s">
        <v>692</v>
      </c>
      <c r="FH130" s="596" t="s">
        <v>692</v>
      </c>
      <c r="FI130" s="594" t="e">
        <v>#N/A</v>
      </c>
      <c r="FJ130" s="594" t="e">
        <v>#N/A</v>
      </c>
      <c r="FK130" s="560"/>
      <c r="FL130" s="560"/>
      <c r="FM130" s="560"/>
      <c r="FN130" s="560"/>
      <c r="FO130" s="560">
        <f>O130+((Sheet1!CS132)*GPMtoMGD)</f>
        <v>56.069760000000002</v>
      </c>
      <c r="FP130" s="560">
        <f>IF(Sheet1!AA132+AQ130&lt;=Calculation!N130,AQ130,Calculation!N130-Sheet1!AA132)</f>
        <v>16.83495145631068</v>
      </c>
      <c r="FQ130" s="560">
        <f>(Sheet1!BP132+Sheet1!BO132)/694.4</f>
        <v>1.4684619815668203</v>
      </c>
      <c r="FR130" s="560"/>
      <c r="FS130" s="560"/>
      <c r="FT130" s="560"/>
      <c r="FU130" s="560"/>
      <c r="FV130" s="695">
        <f t="shared" si="248"/>
        <v>41827</v>
      </c>
      <c r="FW130" s="695">
        <f t="shared" si="249"/>
        <v>41934</v>
      </c>
      <c r="FX130" s="560"/>
      <c r="FY130" s="560"/>
      <c r="FZ130" s="560"/>
      <c r="GA130" s="560"/>
      <c r="GB130" s="560" t="str">
        <f t="shared" si="250"/>
        <v>n</v>
      </c>
      <c r="GC130" s="564">
        <f t="shared" si="251"/>
        <v>41691</v>
      </c>
      <c r="GD130" s="695">
        <f t="shared" si="252"/>
        <v>41807</v>
      </c>
      <c r="GE130" s="560">
        <v>6518.9</v>
      </c>
      <c r="GF130" s="695">
        <f t="shared" si="253"/>
        <v>41808</v>
      </c>
      <c r="GG130" s="560">
        <f t="shared" si="272"/>
        <v>3259</v>
      </c>
      <c r="GH130" s="564">
        <f t="shared" si="254"/>
        <v>41934</v>
      </c>
      <c r="GJ130" s="545">
        <f t="shared" si="255"/>
        <v>0</v>
      </c>
      <c r="GK130" s="560" t="str">
        <f t="shared" si="331"/>
        <v/>
      </c>
      <c r="GL130" s="560">
        <f t="shared" si="256"/>
        <v>0</v>
      </c>
      <c r="GM130" s="560" t="str">
        <f t="shared" si="257"/>
        <v/>
      </c>
      <c r="GN130" s="560">
        <f>IF(GK130="P",Lookup!$M$12,IF(GK130="PP",Lookup!$M$13,IF(GK130="PPP",Lookup!$M$14,IF(GK130="T",Lookup!$M$15,IF(GK130="TP",Lookup!$M$16,IF(GK130="TPP",Lookup!$M$17,IF(GK130="TPPP",Lookup!$M$18,0)))))))*GJ130</f>
        <v>0</v>
      </c>
      <c r="GO130" s="560">
        <f t="shared" si="258"/>
        <v>0</v>
      </c>
      <c r="GP130" s="560">
        <f t="shared" si="332"/>
        <v>5618.9397333333354</v>
      </c>
      <c r="GQ130" s="560">
        <f t="shared" si="266"/>
        <v>1831.4666666666674</v>
      </c>
      <c r="GR130" s="560"/>
      <c r="GS130" s="560">
        <f t="shared" si="259"/>
        <v>0</v>
      </c>
      <c r="GT130" s="560" t="str">
        <f t="shared" si="260"/>
        <v/>
      </c>
      <c r="GU130" s="560">
        <f>IF(GK130="P",Lookup!$N$12,IF(GK130="PP",Lookup!$N$13,IF(GK130="PPP",Lookup!$N$14,IF(GK130="T",Lookup!$N$15,IF(GK130="TP",Lookup!$N$16,IF(GK130="TPP",Lookup!$N$17,IF(GK130="TPPP",Lookup!$N$18,0)))))))*GJ130</f>
        <v>0</v>
      </c>
      <c r="GV130" s="560">
        <f t="shared" si="261"/>
        <v>0</v>
      </c>
      <c r="GW130" s="560">
        <f t="shared" si="333"/>
        <v>2622.1718755555521</v>
      </c>
      <c r="GX130" s="560">
        <f t="shared" si="267"/>
        <v>854.68444444444333</v>
      </c>
      <c r="GY130" s="560"/>
      <c r="GZ130" s="560">
        <f t="shared" si="262"/>
        <v>0</v>
      </c>
      <c r="HA130" s="560" t="str">
        <f t="shared" si="263"/>
        <v/>
      </c>
      <c r="HB130" s="560">
        <f>IF(GK130="P",Lookup!$N$12,IF(GK130="PP",Lookup!$N$13,IF(GK130="PPP",Lookup!$N$14,IF(GK130="T",Lookup!$N$15,IF(GK130="TP",Lookup!$N$16,IF(GK130="TPP",Lookup!$N$17,IF(GK130="TPPP",Lookup!$N$18,0)))))))*GJ130</f>
        <v>0</v>
      </c>
      <c r="HC130" s="545">
        <f t="shared" si="334"/>
        <v>0</v>
      </c>
      <c r="HD130" s="560">
        <f t="shared" si="335"/>
        <v>2078.3382500900188</v>
      </c>
      <c r="HE130" s="560">
        <f t="shared" si="268"/>
        <v>677.42446221969328</v>
      </c>
      <c r="HF130" s="560"/>
      <c r="HG130" s="560">
        <f t="shared" si="264"/>
        <v>0</v>
      </c>
      <c r="HH130" s="560" t="str">
        <f t="shared" si="265"/>
        <v/>
      </c>
      <c r="HI130" s="560">
        <f>IF(GK130="P",Lookup!$N$12,IF(GK130="PP",Lookup!$N$13,IF(GK130="PPP",Lookup!$N$14,IF(GK130="T",Lookup!$N$15,IF(GK130="TP",Lookup!$N$16,IF(GK130="TPP",Lookup!$N$17,IF(GK130="TPPP",Lookup!$N$18,0)))))))*GJ130</f>
        <v>0</v>
      </c>
      <c r="HJ130" s="545">
        <f t="shared" si="336"/>
        <v>0</v>
      </c>
      <c r="HK130" s="560">
        <f t="shared" si="337"/>
        <v>1465.2920513189611</v>
      </c>
      <c r="HL130" s="560">
        <f t="shared" si="269"/>
        <v>477.60497109483737</v>
      </c>
      <c r="HM130" s="560"/>
    </row>
    <row r="131" spans="1:221">
      <c r="A131" s="580" t="s">
        <v>6</v>
      </c>
      <c r="B131" s="556">
        <v>41759</v>
      </c>
      <c r="C131" s="561">
        <v>0</v>
      </c>
      <c r="D131" s="529">
        <f t="shared" si="270"/>
        <v>300</v>
      </c>
      <c r="E131" s="529">
        <f t="shared" si="271"/>
        <v>250</v>
      </c>
      <c r="F131" s="529">
        <v>250</v>
      </c>
      <c r="G131" s="560">
        <f>DR131+Sheet1!CZ133</f>
        <v>1542.9450327787372</v>
      </c>
      <c r="H131" s="914">
        <f t="shared" si="236"/>
        <v>730.39646918817573</v>
      </c>
      <c r="I131" s="559">
        <f>MAX(Sheet1!Z133-AT131+(Sheet1!DA133-E131)*CFStoMGD,0)</f>
        <v>1221.3399999999999</v>
      </c>
      <c r="J131" s="562">
        <f>IF(AND(B131&gt;=Calculation!GC131,B131&lt;=Calculation!GD131),IF(Sheet1!DB133&gt;=Calculation!D131,64.64,0),MAX(Sheet1!Z133-AT131+(Sheet1!DB133-D131)*CFStoMGD,0))</f>
        <v>64.64</v>
      </c>
      <c r="K131" s="904">
        <f t="shared" si="273"/>
        <v>64.64</v>
      </c>
      <c r="L131" s="560">
        <f>Sheet1!AA133+Sheet1!AB133-Sheet1!L133+(Sheet1!DA133-F131)*CFStoMGD</f>
        <v>1195.8399999999999</v>
      </c>
      <c r="M131" s="560">
        <f t="shared" si="274"/>
        <v>1017.3068625719393</v>
      </c>
      <c r="N131" s="910">
        <f>IF(Sheet1!DA133&gt;=F131,MIN(73,MIN(MAX(L131,0),MAX(M131,0))),0)</f>
        <v>73</v>
      </c>
      <c r="O131" s="563">
        <f>Sheet1!AA133+Sheet1!AB133</f>
        <v>46.269999999999996</v>
      </c>
      <c r="P131" s="563">
        <f t="shared" si="275"/>
        <v>71.579689999999999</v>
      </c>
      <c r="Q131" s="898">
        <f t="shared" si="237"/>
        <v>37.83</v>
      </c>
      <c r="R131" s="829">
        <f t="shared" si="276"/>
        <v>8.4168676585747839</v>
      </c>
      <c r="S131" s="898">
        <f t="shared" si="238"/>
        <v>8.44</v>
      </c>
      <c r="T131" s="898">
        <f t="shared" si="239"/>
        <v>56.2</v>
      </c>
      <c r="U131" s="898">
        <f t="shared" si="240"/>
        <v>0</v>
      </c>
      <c r="V131" s="898"/>
      <c r="W131" s="898">
        <f t="shared" si="241"/>
        <v>56.223132341425213</v>
      </c>
      <c r="X131" s="898">
        <f t="shared" si="242"/>
        <v>64.64</v>
      </c>
      <c r="Y131" s="898" t="str">
        <f t="shared" si="243"/>
        <v>FALSE</v>
      </c>
      <c r="Z131" s="898">
        <f t="shared" si="244"/>
        <v>46.269999999999996</v>
      </c>
      <c r="AA131" s="898">
        <f t="shared" si="245"/>
        <v>46.269999999999996</v>
      </c>
      <c r="AB131" s="898" t="str">
        <f t="shared" si="246"/>
        <v/>
      </c>
      <c r="AC131" s="563">
        <f>Sheet1!Y133*MGDtoCFS</f>
        <v>32.0229</v>
      </c>
      <c r="AD131" s="563">
        <f>Sheet1!Z133*MGDtoCFS</f>
        <v>39.448499999999996</v>
      </c>
      <c r="AE131" s="563">
        <f>Sheet1!AA133*MGDtoCFS</f>
        <v>32.177599999999998</v>
      </c>
      <c r="AF131" s="563">
        <f>Sheet1!AB133*MGDtoCFS</f>
        <v>39.402089999999994</v>
      </c>
      <c r="AG131" s="563">
        <f>Sheet1!L133*MGDtoCFS</f>
        <v>71.579689999999985</v>
      </c>
      <c r="AH131" s="545">
        <f t="shared" si="277"/>
        <v>0</v>
      </c>
      <c r="AI131" s="560">
        <f t="shared" si="278"/>
        <v>0</v>
      </c>
      <c r="AJ131" s="560">
        <f t="shared" si="279"/>
        <v>56.223132341425213</v>
      </c>
      <c r="AK131" s="560">
        <f t="shared" si="280"/>
        <v>86.977185732184807</v>
      </c>
      <c r="AL131" s="560">
        <f>(VLOOKUP(Sheet1!DC133,hhdcap_wcm,4)-(((VLOOKUP(Sheet1!DC133,hhdcap_wcm,3)-Sheet1!DC133)/(VLOOKUP(Sheet1!DC133,hhdcap_wcm,3)-VLOOKUP(Sheet1!DC133,hhdcap_wcm,1)))*(VLOOKUP(Sheet1!DC133,hhdcap_wcm,4)-VLOOKUP(Sheet1!DC133,hhdcap_wcm,2))))</f>
        <v>39131.200000097873</v>
      </c>
      <c r="AM131" s="560">
        <f t="shared" si="281"/>
        <v>243.80000000023574</v>
      </c>
      <c r="AN131" s="560">
        <f t="shared" si="282"/>
        <v>3897.4036767670668</v>
      </c>
      <c r="AO131" s="560">
        <f t="shared" si="283"/>
        <v>11957.234480321362</v>
      </c>
      <c r="AP131" s="560">
        <f>Sheet1!BA133+Sheet1!BB133+Sheet1!BN133+CD131</f>
        <v>17.100000000000001</v>
      </c>
      <c r="AQ131" s="560">
        <f>Sheet1!BN133+(DO131*Sheet1!BN133)</f>
        <v>15.457517619420516</v>
      </c>
      <c r="AR131" s="560">
        <f>Sheet1!BA133+CD131</f>
        <v>0</v>
      </c>
      <c r="AS131" s="560">
        <f>Sheet1!BA133+Sheet1!BB133+CD131</f>
        <v>1.6</v>
      </c>
      <c r="AT131" s="698">
        <f>0</f>
        <v>0</v>
      </c>
      <c r="AU131" s="560">
        <f>IF(EB131&lt;K131,0,MAX(Sheet1!AA133+AQ131-15/36*K131-N131,Sheet1!EH133,0))</f>
        <v>0</v>
      </c>
      <c r="AV131" s="560">
        <f>IF(OR(B131&gt;=GD131,B131&lt;GC131),0,15/36*K131-MAX(0,64.6-(137.6-(Sheet1!AA133+Sheet1!AB133))))</f>
        <v>26.933333333333334</v>
      </c>
      <c r="AW131" s="698">
        <f>Sheet1!DB133-110</f>
        <v>1400</v>
      </c>
      <c r="AX131" s="698">
        <f>Sheet1!DA133-265</f>
        <v>1835</v>
      </c>
      <c r="AY131" s="698">
        <f t="shared" si="284"/>
        <v>35.17</v>
      </c>
      <c r="AZ131" s="698">
        <v>0</v>
      </c>
      <c r="BA131" s="698">
        <f t="shared" si="285"/>
        <v>0</v>
      </c>
      <c r="BB131" s="560">
        <f t="shared" si="286"/>
        <v>1858.4000000000008</v>
      </c>
      <c r="BC131" s="560"/>
      <c r="BD131" s="560">
        <f ca="1">IF(B131&gt;Summary!$A$1,#N/A,BB131*MGtoAF)</f>
        <v>5701.5712000000021</v>
      </c>
      <c r="BE131" s="560">
        <f>Sheet1!BG133+Sheet1!BH133+Sheet1!BI133-BM131</f>
        <v>0</v>
      </c>
      <c r="BF131" s="560">
        <f t="shared" si="287"/>
        <v>0</v>
      </c>
      <c r="BG131" s="560">
        <f>IF(Sheet1!EP133="FM",BM131,0)</f>
        <v>0</v>
      </c>
      <c r="BH131" s="560">
        <f t="shared" si="288"/>
        <v>0</v>
      </c>
      <c r="BI131" s="560">
        <f>IF(Sheet1!EP133="OTHER",BM131,0)</f>
        <v>0</v>
      </c>
      <c r="BJ131" s="560">
        <f t="shared" si="289"/>
        <v>0</v>
      </c>
      <c r="BK131" s="560">
        <f t="shared" si="290"/>
        <v>0</v>
      </c>
      <c r="BL131" s="560">
        <f t="shared" si="291"/>
        <v>0</v>
      </c>
      <c r="BM131" s="560">
        <f>IF(OR(Sheet1!EP133="FM", Sheet1!EP133="OTHER"),SUM(Sheet1!BG133:'Sheet1'!BI133),0)</f>
        <v>0</v>
      </c>
      <c r="BN131" s="545">
        <f>IF(AND($B131&gt;=$FV131,$B131&lt;=$FW131),MAX(BF131,Sheet1!EI133,0),MAX(BF131-(7/36)*$K131,0))</f>
        <v>0</v>
      </c>
      <c r="BO131" s="560">
        <f t="shared" si="292"/>
        <v>12.568888888888889</v>
      </c>
      <c r="BP131" s="545">
        <f t="shared" si="293"/>
        <v>0</v>
      </c>
      <c r="BQ131" s="545">
        <f>IF(AND($O131&gt;0,Sheet1!EM133=1),(1-($O131-Sheet1!$L133)/$O131)*BL131,0)</f>
        <v>0</v>
      </c>
      <c r="BR131" s="545">
        <f>IF(AND(Sheet1!$L133=0,Sheet1!$L132=0, Calculation!BK131&lt;Sheet1!$EI133-0.1,Sheet1!$EI133=Sheet1!$EI132,Sheet1!$EI133=Sheet1!$EI134),Sheet1!$EI133,BL131-BQ131)</f>
        <v>0</v>
      </c>
      <c r="BS131" s="560"/>
      <c r="BT131" s="560"/>
      <c r="BU131" s="560">
        <f t="shared" si="294"/>
        <v>867.25333333333219</v>
      </c>
      <c r="BV131" s="560"/>
      <c r="BW131" s="560">
        <f ca="1">IF(B131&gt;Summary!$A$1,#N/A,BU131*MGtoAF)</f>
        <v>2660.7332266666631</v>
      </c>
      <c r="BX131" s="560">
        <f>Sheet1!BC133+Sheet1!BD133+Sheet1!BE133+Sheet1!BF133-CG131-CH131</f>
        <v>2.5</v>
      </c>
      <c r="BY131" s="560">
        <f t="shared" si="295"/>
        <v>2.4931480031323412</v>
      </c>
      <c r="BZ131" s="560">
        <f>IF(Sheet1!EQ133="FM",CH131,0)</f>
        <v>0</v>
      </c>
      <c r="CA131" s="560">
        <f t="shared" si="296"/>
        <v>0</v>
      </c>
      <c r="CB131" s="560">
        <f>IF(Sheet1!EQ133="OTHER",CH131,0)</f>
        <v>0</v>
      </c>
      <c r="CC131" s="560">
        <f t="shared" si="297"/>
        <v>0</v>
      </c>
      <c r="CD131" s="560">
        <f t="shared" si="298"/>
        <v>0</v>
      </c>
      <c r="CE131" s="560">
        <f t="shared" si="299"/>
        <v>2.5</v>
      </c>
      <c r="CF131" s="560">
        <f t="shared" si="300"/>
        <v>2.4931480031323412</v>
      </c>
      <c r="CG131" s="560">
        <f>IF(Sheet1!EQ133="CWA",SUM(Sheet1!BC133:'Sheet1'!BF133),0)</f>
        <v>0</v>
      </c>
      <c r="CH131" s="560">
        <f>IF(OR(Sheet1!EQ133="FM", Sheet1!EQ133="OTHER"),SUM(Sheet1!BC133:'Sheet1'!BF133),0)</f>
        <v>0</v>
      </c>
      <c r="CI131" s="545">
        <f>IF(AND($B131&gt;=$FV131,$B131&lt;=$FW131),MAX(CF131,Sheet1!EJ133,0),MAX(CF131-(7/36)*$K131,0))</f>
        <v>0</v>
      </c>
      <c r="CJ131" s="560">
        <f t="shared" si="301"/>
        <v>10.075740885756549</v>
      </c>
      <c r="CK131" s="545">
        <f t="shared" si="302"/>
        <v>2.4931480031323412</v>
      </c>
      <c r="CL131" s="545">
        <f>IF(AND($O131&gt;0,Sheet1!EN133=1),(1-($O131-Sheet1!$L133)/$O131)*CF131,0)</f>
        <v>0</v>
      </c>
      <c r="CM131" s="545">
        <f>IF(AND(Sheet1!$L133=0,Sheet1!$L132=0, Calculation!CE131&lt;Sheet1!EJ133-0.1,Sheet1!EJ133=Sheet1!EJ132,Sheet1!EJ133=Sheet1!EJ134),Sheet1!EJ133,CF131-CL131)</f>
        <v>2.4931480031323412</v>
      </c>
      <c r="CN131" s="545"/>
      <c r="CO131" s="560"/>
      <c r="CP131" s="560">
        <f t="shared" si="303"/>
        <v>687.50020310544983</v>
      </c>
      <c r="CQ131" s="560"/>
      <c r="CR131" s="560">
        <f ca="1">IF(B131&gt;Summary!$A$1,#N/A,CP131*MGtoAF)</f>
        <v>2109.2506231275202</v>
      </c>
      <c r="CS131" s="560">
        <f>Sheet1!BK133+Sheet1!BL133+Sheet1!BM133-Sheet1!ER133-DA131</f>
        <v>5.9399999999999995</v>
      </c>
      <c r="CT131" s="560">
        <f t="shared" si="304"/>
        <v>5.9237196554424427</v>
      </c>
      <c r="CU131" s="560">
        <f>IF(Sheet1!ER133="FM",DA131,0)</f>
        <v>0</v>
      </c>
      <c r="CV131" s="560">
        <f t="shared" si="305"/>
        <v>0</v>
      </c>
      <c r="CW131" s="560">
        <f>IF(Sheet1!ER133="OTHER",DA131,0)</f>
        <v>0</v>
      </c>
      <c r="CX131" s="560">
        <f t="shared" si="306"/>
        <v>0</v>
      </c>
      <c r="CY131" s="560">
        <f t="shared" si="307"/>
        <v>5.9399999999999995</v>
      </c>
      <c r="CZ131" s="560">
        <f t="shared" si="308"/>
        <v>5.9237196554424427</v>
      </c>
      <c r="DA131" s="560">
        <f>IF(OR(Sheet1!ER133="FM", Sheet1!ER133="OTHER"),SUM(Sheet1!BK133:'Sheet1'!BM133),0)</f>
        <v>0</v>
      </c>
      <c r="DB131" s="545">
        <f>IF(AND($B131&gt;=$FV131,$B131&lt;=$FW131),MAX($CT131,Sheet1!EK133,0),MAX($CT131-(7/36)*$K131,0))</f>
        <v>0</v>
      </c>
      <c r="DC131" s="560">
        <f t="shared" si="309"/>
        <v>6.6451692334464463</v>
      </c>
      <c r="DD131" s="545">
        <f t="shared" si="310"/>
        <v>5.9237196554424427</v>
      </c>
      <c r="DE131" s="545">
        <f>IF(AND($O131&gt;0,Sheet1!EO133=1),(1-($O131-Sheet1!$L133)/$O131)*CZ131,0)</f>
        <v>0</v>
      </c>
      <c r="DF131" s="545">
        <f>IF(AND(Sheet1!$L133=0,Sheet1!$L132=0, Calculation!CY131&lt;Sheet1!$EK133-0.1,Sheet1!$EK133=Sheet1!$EK132,Sheet1!$EK133=Sheet1!$EK134),Sheet1!$EK133,CZ131-DE131)</f>
        <v>5.9237196554424427</v>
      </c>
      <c r="DG131" s="545"/>
      <c r="DH131" s="560">
        <f t="shared" si="311"/>
        <v>8.44</v>
      </c>
      <c r="DI131" s="560">
        <f t="shared" si="312"/>
        <v>484.25014032828381</v>
      </c>
      <c r="DJ131" s="698">
        <f t="shared" si="313"/>
        <v>8.4168676585747839</v>
      </c>
      <c r="DK131" s="560">
        <f ca="1">IF(B131&gt;Summary!$A$1,#N/A,DI131*MGtoAF)</f>
        <v>1485.6794305271746</v>
      </c>
      <c r="DL131" s="698">
        <f t="shared" si="314"/>
        <v>8.44</v>
      </c>
      <c r="DM131" s="560">
        <f t="shared" si="315"/>
        <v>25.54</v>
      </c>
      <c r="DN131" s="560">
        <f>Sheet1!AB133-DM131</f>
        <v>-7.0000000000000284E-2</v>
      </c>
      <c r="DO131" s="823">
        <f t="shared" si="316"/>
        <v>-2.7407987470634411E-3</v>
      </c>
      <c r="DP131" s="560">
        <f>(VLOOKUP(Sheet1!DC133,hhdcap_wcm,4)-(((VLOOKUP(Sheet1!DC133,hhdcap_wcm,3)-Sheet1!DC133)/(VLOOKUP(Sheet1!DC133,hhdcap_wcm,3)-VLOOKUP(Sheet1!DC133,hhdcap_wcm,1)))*(VLOOKUP(Sheet1!DC133,hhdcap_wcm,4)-VLOOKUP(Sheet1!DC133,hhdcap_wcm,2))))</f>
        <v>39131.200000097873</v>
      </c>
      <c r="DQ131" s="560">
        <f t="shared" si="317"/>
        <v>243.80000000023574</v>
      </c>
      <c r="DR131" s="560">
        <f t="shared" si="318"/>
        <v>122.94503277873712</v>
      </c>
      <c r="DS131" s="560">
        <f>Sheet1!EA133*AFtoMG</f>
        <v>0</v>
      </c>
      <c r="DT131" s="560">
        <f>Sheet1!EB133*AFtoMG</f>
        <v>0</v>
      </c>
      <c r="DU131" s="560">
        <f>Sheet1!EC133*AFtoMG</f>
        <v>0</v>
      </c>
      <c r="DV131" s="560">
        <f>Sheet1!ED133*AFtoMG</f>
        <v>0</v>
      </c>
      <c r="DW131" s="560">
        <f t="shared" si="319"/>
        <v>0</v>
      </c>
      <c r="DX131" s="560">
        <f t="shared" si="320"/>
        <v>0</v>
      </c>
      <c r="DY131" s="560">
        <f t="shared" si="321"/>
        <v>3897.4036767670668</v>
      </c>
      <c r="DZ131" s="560">
        <f t="shared" si="322"/>
        <v>11957.234480321362</v>
      </c>
      <c r="EA131" s="560"/>
      <c r="EB131" s="545">
        <f>IF(OR(B131&lt;FV131,B131&gt;FW131),(MIN(BF131+BY131+CT131+MAX(Sheet1!AA133+AQ131-73,0),K131)),0)</f>
        <v>8.4168676585747839</v>
      </c>
      <c r="EC131" s="560"/>
      <c r="ED131" s="560">
        <f t="shared" si="323"/>
        <v>8.4168676585747839</v>
      </c>
      <c r="EE131" s="560"/>
      <c r="EF131" s="560">
        <f>Sheet1!EH133+Sheet1!EI133+Sheet1!EJ133+Sheet1!EK133</f>
        <v>8.44</v>
      </c>
      <c r="EG131" s="560"/>
      <c r="EH131" s="545">
        <f t="shared" si="324"/>
        <v>0</v>
      </c>
      <c r="EI131" s="560">
        <f>IF(Sheet1!ET133=1,SUM('Calculations II'!AT131:BA131)+'Calculations II'!BC131+Sheet1!BV133+'Calculations II'!BE131+AP131,SUM('Calculations II'!AT131:BA131)+'Calculations II'!BC131+Sheet1!BV133+'Calculations II'!BE131+AP131)</f>
        <v>53.232560000000007</v>
      </c>
      <c r="EJ131" s="560">
        <f>Sheet1!AA133+Sheet1!AB133+'Calculations II'!BC131</f>
        <v>56.686383999999997</v>
      </c>
      <c r="EK131" s="560"/>
      <c r="EL131" s="560"/>
      <c r="EM131" s="560">
        <f t="shared" si="325"/>
        <v>41759</v>
      </c>
      <c r="EN131" s="560">
        <f t="shared" si="326"/>
        <v>56.223132341425213</v>
      </c>
      <c r="EO131" s="560">
        <f t="shared" si="327"/>
        <v>86.977185732184807</v>
      </c>
      <c r="EP131" s="560">
        <v>0</v>
      </c>
      <c r="EQ131" s="560">
        <v>0</v>
      </c>
      <c r="ER131" s="560">
        <v>0</v>
      </c>
      <c r="ES131" s="545">
        <f t="shared" si="247"/>
        <v>0.69225726954875144</v>
      </c>
      <c r="ET131" s="560">
        <f>-(VLOOKUP(Sheet1!BQ133,Lookup!$O$4:$Q$262,2)-VLOOKUP(Sheet1!BQ132,Lookup!$O$4:$Q$262,2))/1000000</f>
        <v>0.41535820625881853</v>
      </c>
      <c r="EU131" s="560">
        <f>-(VLOOKUP(Sheet1!BR133,Lookup!$O$4:$Q$262,3)-VLOOKUP(Sheet1!BR132,Lookup!$O$4:$Q$262,3))/1000000</f>
        <v>0.27689906328993291</v>
      </c>
      <c r="EV131" s="560"/>
      <c r="EW131" s="560"/>
      <c r="EX131" s="560"/>
      <c r="EY131" s="560"/>
      <c r="EZ131" s="560"/>
      <c r="FA131" s="560"/>
      <c r="FB131" s="560"/>
      <c r="FC131" s="560"/>
      <c r="FD131" s="594" t="e">
        <f t="shared" si="328"/>
        <v>#N/A</v>
      </c>
      <c r="FE131" s="594" t="e">
        <f t="shared" si="329"/>
        <v>#N/A</v>
      </c>
      <c r="FF131" s="595" t="e">
        <f t="shared" si="330"/>
        <v>#N/A</v>
      </c>
      <c r="FG131" s="596" t="s">
        <v>692</v>
      </c>
      <c r="FH131" s="596" t="s">
        <v>692</v>
      </c>
      <c r="FI131" s="594" t="e">
        <v>#N/A</v>
      </c>
      <c r="FJ131" s="594" t="e">
        <v>#N/A</v>
      </c>
      <c r="FK131" s="560"/>
      <c r="FL131" s="560"/>
      <c r="FM131" s="560"/>
      <c r="FN131" s="560"/>
      <c r="FO131" s="560">
        <f>O131+((Sheet1!CS133)*GPMtoMGD)</f>
        <v>56.686383999999997</v>
      </c>
      <c r="FP131" s="560">
        <f>IF(Sheet1!AA133+AQ131&lt;=Calculation!N131,AQ131,Calculation!N131-Sheet1!AA133)</f>
        <v>15.457517619420516</v>
      </c>
      <c r="FQ131" s="560">
        <f>(Sheet1!BP133+Sheet1!BO133)/694.4</f>
        <v>2.2865783410138247</v>
      </c>
      <c r="FR131" s="560"/>
      <c r="FS131" s="560"/>
      <c r="FT131" s="560"/>
      <c r="FU131" s="560"/>
      <c r="FV131" s="695">
        <f t="shared" si="248"/>
        <v>41827</v>
      </c>
      <c r="FW131" s="695">
        <f t="shared" si="249"/>
        <v>41934</v>
      </c>
      <c r="FX131" s="560"/>
      <c r="FY131" s="560"/>
      <c r="FZ131" s="560"/>
      <c r="GA131" s="560"/>
      <c r="GB131" s="560" t="str">
        <f t="shared" si="250"/>
        <v>n</v>
      </c>
      <c r="GC131" s="564">
        <f t="shared" si="251"/>
        <v>41691</v>
      </c>
      <c r="GD131" s="695">
        <f t="shared" si="252"/>
        <v>41807</v>
      </c>
      <c r="GE131" s="560">
        <v>6518.9</v>
      </c>
      <c r="GF131" s="695">
        <f t="shared" si="253"/>
        <v>41808</v>
      </c>
      <c r="GG131" s="560">
        <f t="shared" si="272"/>
        <v>3259</v>
      </c>
      <c r="GH131" s="564">
        <f t="shared" si="254"/>
        <v>41934</v>
      </c>
      <c r="GJ131" s="545">
        <f t="shared" si="255"/>
        <v>0</v>
      </c>
      <c r="GK131" s="560" t="str">
        <f t="shared" si="331"/>
        <v/>
      </c>
      <c r="GL131" s="560">
        <f t="shared" si="256"/>
        <v>0</v>
      </c>
      <c r="GM131" s="560" t="str">
        <f t="shared" si="257"/>
        <v/>
      </c>
      <c r="GN131" s="560">
        <f>IF(GK131="P",Lookup!$M$12,IF(GK131="PP",Lookup!$M$13,IF(GK131="PPP",Lookup!$M$14,IF(GK131="T",Lookup!$M$15,IF(GK131="TP",Lookup!$M$16,IF(GK131="TPP",Lookup!$M$17,IF(GK131="TPPP",Lookup!$M$18,0)))))))*GJ131</f>
        <v>0</v>
      </c>
      <c r="GO131" s="560">
        <f t="shared" si="258"/>
        <v>0</v>
      </c>
      <c r="GP131" s="560">
        <f t="shared" si="332"/>
        <v>5701.5712000000021</v>
      </c>
      <c r="GQ131" s="560">
        <f t="shared" si="266"/>
        <v>1858.4000000000008</v>
      </c>
      <c r="GR131" s="560"/>
      <c r="GS131" s="560">
        <f t="shared" si="259"/>
        <v>0</v>
      </c>
      <c r="GT131" s="560" t="str">
        <f t="shared" si="260"/>
        <v/>
      </c>
      <c r="GU131" s="560">
        <f>IF(GK131="P",Lookup!$N$12,IF(GK131="PP",Lookup!$N$13,IF(GK131="PPP",Lookup!$N$14,IF(GK131="T",Lookup!$N$15,IF(GK131="TP",Lookup!$N$16,IF(GK131="TPP",Lookup!$N$17,IF(GK131="TPPP",Lookup!$N$18,0)))))))*GJ131</f>
        <v>0</v>
      </c>
      <c r="GV131" s="560">
        <f t="shared" si="261"/>
        <v>0</v>
      </c>
      <c r="GW131" s="560">
        <f t="shared" si="333"/>
        <v>2660.7332266666631</v>
      </c>
      <c r="GX131" s="560">
        <f t="shared" si="267"/>
        <v>867.25333333333219</v>
      </c>
      <c r="GY131" s="560"/>
      <c r="GZ131" s="560">
        <f t="shared" si="262"/>
        <v>0</v>
      </c>
      <c r="HA131" s="560" t="str">
        <f t="shared" si="263"/>
        <v/>
      </c>
      <c r="HB131" s="560">
        <f>IF(GK131="P",Lookup!$N$12,IF(GK131="PP",Lookup!$N$13,IF(GK131="PPP",Lookup!$N$14,IF(GK131="T",Lookup!$N$15,IF(GK131="TP",Lookup!$N$16,IF(GK131="TPP",Lookup!$N$17,IF(GK131="TPPP",Lookup!$N$18,0)))))))*GJ131</f>
        <v>0</v>
      </c>
      <c r="HC131" s="545">
        <f t="shared" si="334"/>
        <v>0</v>
      </c>
      <c r="HD131" s="560">
        <f t="shared" si="335"/>
        <v>2109.2506231275202</v>
      </c>
      <c r="HE131" s="560">
        <f t="shared" si="268"/>
        <v>687.50020310544983</v>
      </c>
      <c r="HF131" s="560"/>
      <c r="HG131" s="560">
        <f t="shared" si="264"/>
        <v>0</v>
      </c>
      <c r="HH131" s="560" t="str">
        <f t="shared" si="265"/>
        <v/>
      </c>
      <c r="HI131" s="560">
        <f>IF(GK131="P",Lookup!$N$12,IF(GK131="PP",Lookup!$N$13,IF(GK131="PPP",Lookup!$N$14,IF(GK131="T",Lookup!$N$15,IF(GK131="TP",Lookup!$N$16,IF(GK131="TPP",Lookup!$N$17,IF(GK131="TPPP",Lookup!$N$18,0)))))))*GJ131</f>
        <v>0</v>
      </c>
      <c r="HJ131" s="545">
        <f t="shared" si="336"/>
        <v>0</v>
      </c>
      <c r="HK131" s="560">
        <f t="shared" si="337"/>
        <v>1485.6794305271746</v>
      </c>
      <c r="HL131" s="560">
        <f t="shared" si="269"/>
        <v>484.25014032828381</v>
      </c>
      <c r="HM131" s="560"/>
    </row>
    <row r="132" spans="1:221">
      <c r="A132" s="580" t="s">
        <v>7</v>
      </c>
      <c r="B132" s="556">
        <v>41760</v>
      </c>
      <c r="C132" s="561">
        <v>0</v>
      </c>
      <c r="D132" s="529">
        <f t="shared" si="270"/>
        <v>300</v>
      </c>
      <c r="E132" s="529">
        <f t="shared" si="271"/>
        <v>250</v>
      </c>
      <c r="F132" s="529">
        <v>250</v>
      </c>
      <c r="G132" s="560">
        <f>DR132+Sheet1!CZ134</f>
        <v>1694.3822491177314</v>
      </c>
      <c r="H132" s="914">
        <f t="shared" si="236"/>
        <v>828.28548582970154</v>
      </c>
      <c r="I132" s="559">
        <f>MAX(Sheet1!Z134-AT132+(Sheet1!DA134-E132)*CFStoMGD,0)</f>
        <v>1253.6299999999999</v>
      </c>
      <c r="J132" s="562">
        <f>IF(AND(B132&gt;=Calculation!GC132,B132&lt;=Calculation!GD132),IF(Sheet1!DB134&gt;=Calculation!D132,64.64,0),MAX(Sheet1!Z134-AT132+(Sheet1!DB134-D132)*CFStoMGD,0))</f>
        <v>64.64</v>
      </c>
      <c r="K132" s="904">
        <f t="shared" si="273"/>
        <v>64.64</v>
      </c>
      <c r="L132" s="560">
        <f>Sheet1!AA134+Sheet1!AB134-Sheet1!L134+(Sheet1!DA134-F132)*CFStoMGD</f>
        <v>1228.1599999999999</v>
      </c>
      <c r="M132" s="560">
        <f t="shared" si="274"/>
        <v>1117.1536595462956</v>
      </c>
      <c r="N132" s="910">
        <f>IF(Sheet1!DA134&gt;=F132,MIN(73,MIN(MAX(L132,0),MAX(M132,0))),0)</f>
        <v>73</v>
      </c>
      <c r="O132" s="563">
        <f>Sheet1!AA134+Sheet1!AB134</f>
        <v>46.230000000000004</v>
      </c>
      <c r="P132" s="563">
        <f t="shared" si="275"/>
        <v>71.517809999999997</v>
      </c>
      <c r="Q132" s="898">
        <f t="shared" si="237"/>
        <v>37.770000000000003</v>
      </c>
      <c r="R132" s="829">
        <f t="shared" si="276"/>
        <v>8.4171395167576009</v>
      </c>
      <c r="S132" s="898">
        <f t="shared" si="238"/>
        <v>8.4599999999999991</v>
      </c>
      <c r="T132" s="898">
        <f t="shared" si="239"/>
        <v>56.18</v>
      </c>
      <c r="U132" s="898">
        <f t="shared" si="240"/>
        <v>0</v>
      </c>
      <c r="V132" s="898"/>
      <c r="W132" s="898">
        <f t="shared" si="241"/>
        <v>56.2228604832424</v>
      </c>
      <c r="X132" s="898">
        <f t="shared" si="242"/>
        <v>64.64</v>
      </c>
      <c r="Y132" s="898" t="str">
        <f t="shared" si="243"/>
        <v>FALSE</v>
      </c>
      <c r="Z132" s="898">
        <f t="shared" si="244"/>
        <v>46.230000000000004</v>
      </c>
      <c r="AA132" s="898">
        <f t="shared" si="245"/>
        <v>46.230000000000004</v>
      </c>
      <c r="AB132" s="898" t="str">
        <f t="shared" si="246"/>
        <v/>
      </c>
      <c r="AC132" s="563">
        <f>Sheet1!Y134*MGDtoCFS</f>
        <v>32.177599999999998</v>
      </c>
      <c r="AD132" s="563">
        <f>Sheet1!Z134*MGDtoCFS</f>
        <v>39.402089999999994</v>
      </c>
      <c r="AE132" s="563">
        <f>Sheet1!AA134*MGDtoCFS</f>
        <v>32.0229</v>
      </c>
      <c r="AF132" s="563">
        <f>Sheet1!AB134*MGDtoCFS</f>
        <v>39.494909999999997</v>
      </c>
      <c r="AG132" s="563">
        <f>Sheet1!L134*MGDtoCFS</f>
        <v>71.517809999999997</v>
      </c>
      <c r="AH132" s="545">
        <f t="shared" si="277"/>
        <v>0</v>
      </c>
      <c r="AI132" s="560">
        <f t="shared" si="278"/>
        <v>0</v>
      </c>
      <c r="AJ132" s="560">
        <f t="shared" si="279"/>
        <v>56.2228604832424</v>
      </c>
      <c r="AK132" s="560">
        <f t="shared" si="280"/>
        <v>86.976765167575991</v>
      </c>
      <c r="AL132" s="560">
        <f>(VLOOKUP(Sheet1!DC134,hhdcap_wcm,4)-(((VLOOKUP(Sheet1!DC134,hhdcap_wcm,3)-Sheet1!DC134)/(VLOOKUP(Sheet1!DC134,hhdcap_wcm,3)-VLOOKUP(Sheet1!DC134,hhdcap_wcm,1)))*(VLOOKUP(Sheet1!DC134,hhdcap_wcm,4)-VLOOKUP(Sheet1!DC134,hhdcap_wcm,2))))</f>
        <v>39477.000000098335</v>
      </c>
      <c r="AM132" s="560">
        <f t="shared" si="281"/>
        <v>345.8000000004613</v>
      </c>
      <c r="AN132" s="560">
        <f t="shared" si="282"/>
        <v>3953.626537250309</v>
      </c>
      <c r="AO132" s="560">
        <f t="shared" si="283"/>
        <v>12129.726216283949</v>
      </c>
      <c r="AP132" s="560">
        <f>Sheet1!BA134+Sheet1!BB134+Sheet1!BN134+CD132</f>
        <v>17.2</v>
      </c>
      <c r="AQ132" s="560">
        <f>Sheet1!BN134+(DO132*Sheet1!BN134)</f>
        <v>15.520966484801249</v>
      </c>
      <c r="AR132" s="560">
        <f>Sheet1!BA134+CD132</f>
        <v>0</v>
      </c>
      <c r="AS132" s="560">
        <f>Sheet1!BA134+Sheet1!BB134+CD132</f>
        <v>1.6</v>
      </c>
      <c r="AT132" s="698">
        <f>0</f>
        <v>0</v>
      </c>
      <c r="AU132" s="560">
        <f>IF(EB132&lt;K132,0,MAX(Sheet1!AA134+AQ132-15/36*K132-N132,Sheet1!EH134,0))</f>
        <v>0</v>
      </c>
      <c r="AV132" s="560">
        <f>IF(OR(B132&gt;=GD132,B132&lt;GC132),0,15/36*K132-MAX(0,64.6-(137.6-(Sheet1!AA134+Sheet1!AB134))))</f>
        <v>26.933333333333334</v>
      </c>
      <c r="AW132" s="698">
        <f>Sheet1!DB134-110</f>
        <v>1510</v>
      </c>
      <c r="AX132" s="698">
        <f>Sheet1!DA134-265</f>
        <v>1885</v>
      </c>
      <c r="AY132" s="698">
        <f t="shared" si="284"/>
        <v>35.229999999999997</v>
      </c>
      <c r="AZ132" s="698">
        <v>0</v>
      </c>
      <c r="BA132" s="698">
        <f t="shared" si="285"/>
        <v>0</v>
      </c>
      <c r="BB132" s="560">
        <f t="shared" si="286"/>
        <v>1885.3333333333342</v>
      </c>
      <c r="BC132" s="560"/>
      <c r="BD132" s="560">
        <f ca="1">IF(B132&gt;Summary!$A$1,#N/A,BB132*MGtoAF)</f>
        <v>5784.2026666666698</v>
      </c>
      <c r="BE132" s="560">
        <f>Sheet1!BG134+Sheet1!BH134+Sheet1!BI134-BM132</f>
        <v>0</v>
      </c>
      <c r="BF132" s="560">
        <f t="shared" si="287"/>
        <v>0</v>
      </c>
      <c r="BG132" s="560">
        <f>IF(Sheet1!EP134="FM",BM132,0)</f>
        <v>0</v>
      </c>
      <c r="BH132" s="560">
        <f t="shared" si="288"/>
        <v>0</v>
      </c>
      <c r="BI132" s="560">
        <f>IF(Sheet1!EP134="OTHER",BM132,0)</f>
        <v>0</v>
      </c>
      <c r="BJ132" s="560">
        <f t="shared" si="289"/>
        <v>0</v>
      </c>
      <c r="BK132" s="560">
        <f t="shared" si="290"/>
        <v>0</v>
      </c>
      <c r="BL132" s="560">
        <f t="shared" si="291"/>
        <v>0</v>
      </c>
      <c r="BM132" s="560">
        <f>IF(OR(Sheet1!EP134="FM", Sheet1!EP134="OTHER"),SUM(Sheet1!BG134:'Sheet1'!BI134),0)</f>
        <v>0</v>
      </c>
      <c r="BN132" s="545">
        <f>IF(AND($B132&gt;=$FV132,$B132&lt;=$FW132),MAX(BF132,Sheet1!EI134,0),MAX(BF132-(7/36)*$K132,0))</f>
        <v>0</v>
      </c>
      <c r="BO132" s="560">
        <f t="shared" si="292"/>
        <v>12.568888888888889</v>
      </c>
      <c r="BP132" s="545">
        <f t="shared" si="293"/>
        <v>0</v>
      </c>
      <c r="BQ132" s="545">
        <f>IF(AND($O132&gt;0,Sheet1!EM134=1),(1-($O132-Sheet1!$L134)/$O132)*BL132,0)</f>
        <v>0</v>
      </c>
      <c r="BR132" s="545">
        <f>IF(AND(Sheet1!$L134=0,Sheet1!$L133=0, Calculation!BK132&lt;Sheet1!$EI134-0.1,Sheet1!$EI134=Sheet1!$EI133,Sheet1!$EI134=Sheet1!$EI135),Sheet1!$EI134,BL132-BQ132)</f>
        <v>0</v>
      </c>
      <c r="BS132" s="560"/>
      <c r="BT132" s="560"/>
      <c r="BU132" s="560">
        <f t="shared" si="294"/>
        <v>879.82222222222106</v>
      </c>
      <c r="BV132" s="560"/>
      <c r="BW132" s="560">
        <f ca="1">IF(B132&gt;Summary!$A$1,#N/A,BU132*MGtoAF)</f>
        <v>2699.2945777777741</v>
      </c>
      <c r="BX132" s="560">
        <f>Sheet1!BC134+Sheet1!BD134+Sheet1!BE134+Sheet1!BF134-CG132-CH132</f>
        <v>2.5099999999999998</v>
      </c>
      <c r="BY132" s="560">
        <f t="shared" si="295"/>
        <v>2.49728371005456</v>
      </c>
      <c r="BZ132" s="560">
        <f>IF(Sheet1!EQ134="FM",CH132,0)</f>
        <v>0</v>
      </c>
      <c r="CA132" s="560">
        <f t="shared" si="296"/>
        <v>0</v>
      </c>
      <c r="CB132" s="560">
        <f>IF(Sheet1!EQ134="OTHER",CH132,0)</f>
        <v>0</v>
      </c>
      <c r="CC132" s="560">
        <f t="shared" si="297"/>
        <v>0</v>
      </c>
      <c r="CD132" s="560">
        <f t="shared" si="298"/>
        <v>0</v>
      </c>
      <c r="CE132" s="560">
        <f t="shared" si="299"/>
        <v>2.5099999999999998</v>
      </c>
      <c r="CF132" s="560">
        <f t="shared" si="300"/>
        <v>2.49728371005456</v>
      </c>
      <c r="CG132" s="560">
        <f>IF(Sheet1!EQ134="CWA",SUM(Sheet1!BC134:'Sheet1'!BF134),0)</f>
        <v>0</v>
      </c>
      <c r="CH132" s="560">
        <f>IF(OR(Sheet1!EQ134="FM", Sheet1!EQ134="OTHER"),SUM(Sheet1!BC134:'Sheet1'!BF134),0)</f>
        <v>0</v>
      </c>
      <c r="CI132" s="545">
        <f>IF(AND($B132&gt;=$FV132,$B132&lt;=$FW132),MAX(CF132,Sheet1!EJ134,0),MAX(CF132-(7/36)*$K132,0))</f>
        <v>0</v>
      </c>
      <c r="CJ132" s="560">
        <f t="shared" si="301"/>
        <v>10.071605178834329</v>
      </c>
      <c r="CK132" s="545">
        <f t="shared" si="302"/>
        <v>2.49728371005456</v>
      </c>
      <c r="CL132" s="545">
        <f>IF(AND($O132&gt;0,Sheet1!EN134=1),(1-($O132-Sheet1!$L134)/$O132)*CF132,0)</f>
        <v>0</v>
      </c>
      <c r="CM132" s="545">
        <f>IF(AND(Sheet1!$L134=0,Sheet1!$L133=0, Calculation!CE132&lt;Sheet1!EJ134-0.1,Sheet1!EJ134=Sheet1!EJ133,Sheet1!EJ134=Sheet1!EJ135),Sheet1!EJ134,CF132-CL132)</f>
        <v>2.49728371005456</v>
      </c>
      <c r="CN132" s="545"/>
      <c r="CO132" s="560"/>
      <c r="CP132" s="560">
        <f t="shared" si="303"/>
        <v>697.5718082842842</v>
      </c>
      <c r="CQ132" s="560"/>
      <c r="CR132" s="560">
        <f ca="1">IF(B132&gt;Summary!$A$1,#N/A,CP132*MGtoAF)</f>
        <v>2140.1503078161841</v>
      </c>
      <c r="CS132" s="560">
        <f>Sheet1!BK134+Sheet1!BL134+Sheet1!BM134-Sheet1!ER134-DA132</f>
        <v>5.9499999999999993</v>
      </c>
      <c r="CT132" s="560">
        <f t="shared" si="304"/>
        <v>5.9198558067030405</v>
      </c>
      <c r="CU132" s="560">
        <f>IF(Sheet1!ER134="FM",DA132,0)</f>
        <v>0</v>
      </c>
      <c r="CV132" s="560">
        <f t="shared" si="305"/>
        <v>0</v>
      </c>
      <c r="CW132" s="560">
        <f>IF(Sheet1!ER134="OTHER",DA132,0)</f>
        <v>0</v>
      </c>
      <c r="CX132" s="560">
        <f t="shared" si="306"/>
        <v>0</v>
      </c>
      <c r="CY132" s="560">
        <f t="shared" si="307"/>
        <v>5.9499999999999993</v>
      </c>
      <c r="CZ132" s="560">
        <f t="shared" si="308"/>
        <v>5.9198558067030405</v>
      </c>
      <c r="DA132" s="560">
        <f>IF(OR(Sheet1!ER134="FM", Sheet1!ER134="OTHER"),SUM(Sheet1!BK134:'Sheet1'!BM134),0)</f>
        <v>0</v>
      </c>
      <c r="DB132" s="545">
        <f>IF(AND($B132&gt;=$FV132,$B132&lt;=$FW132),MAX($CT132,Sheet1!EK134,0),MAX($CT132-(7/36)*$K132,0))</f>
        <v>0</v>
      </c>
      <c r="DC132" s="560">
        <f t="shared" si="309"/>
        <v>6.6490330821858485</v>
      </c>
      <c r="DD132" s="545">
        <f t="shared" si="310"/>
        <v>5.9198558067030405</v>
      </c>
      <c r="DE132" s="545">
        <f>IF(AND($O132&gt;0,Sheet1!EO134=1),(1-($O132-Sheet1!$L134)/$O132)*CZ132,0)</f>
        <v>0</v>
      </c>
      <c r="DF132" s="545">
        <f>IF(AND(Sheet1!$L134=0,Sheet1!$L133=0, Calculation!CY132&lt;Sheet1!$EK134-0.1,Sheet1!$EK134=Sheet1!$EK133,Sheet1!$EK134=Sheet1!$EK135),Sheet1!$EK134,CZ132-DE132)</f>
        <v>5.9198558067030405</v>
      </c>
      <c r="DG132" s="545"/>
      <c r="DH132" s="560">
        <f t="shared" si="311"/>
        <v>8.4599999999999991</v>
      </c>
      <c r="DI132" s="560">
        <f t="shared" si="312"/>
        <v>490.89917341046964</v>
      </c>
      <c r="DJ132" s="698">
        <f t="shared" si="313"/>
        <v>8.4171395167576009</v>
      </c>
      <c r="DK132" s="560">
        <f ca="1">IF(B132&gt;Summary!$A$1,#N/A,DI132*MGtoAF)</f>
        <v>1506.0786640233209</v>
      </c>
      <c r="DL132" s="698">
        <f t="shared" si="314"/>
        <v>8.4599999999999991</v>
      </c>
      <c r="DM132" s="560">
        <f t="shared" si="315"/>
        <v>25.659999999999997</v>
      </c>
      <c r="DN132" s="560">
        <f>Sheet1!AB134-DM132</f>
        <v>-0.12999999999999545</v>
      </c>
      <c r="DO132" s="823">
        <f t="shared" si="316"/>
        <v>-5.0662509742788568E-3</v>
      </c>
      <c r="DP132" s="560">
        <f>(VLOOKUP(Sheet1!DC134,hhdcap_wcm,4)-(((VLOOKUP(Sheet1!DC134,hhdcap_wcm,3)-Sheet1!DC134)/(VLOOKUP(Sheet1!DC134,hhdcap_wcm,3)-VLOOKUP(Sheet1!DC134,hhdcap_wcm,1)))*(VLOOKUP(Sheet1!DC134,hhdcap_wcm,4)-VLOOKUP(Sheet1!DC134,hhdcap_wcm,2))))</f>
        <v>39477.000000098335</v>
      </c>
      <c r="DQ132" s="560">
        <f t="shared" si="317"/>
        <v>345.8000000004613</v>
      </c>
      <c r="DR132" s="560">
        <f t="shared" si="318"/>
        <v>174.38224911773133</v>
      </c>
      <c r="DS132" s="560">
        <f>Sheet1!EA134*AFtoMG</f>
        <v>0</v>
      </c>
      <c r="DT132" s="560">
        <f>Sheet1!EB134*AFtoMG</f>
        <v>0</v>
      </c>
      <c r="DU132" s="560">
        <f>Sheet1!EC134*AFtoMG</f>
        <v>0</v>
      </c>
      <c r="DV132" s="560">
        <f>Sheet1!ED134*AFtoMG</f>
        <v>0</v>
      </c>
      <c r="DW132" s="560">
        <f t="shared" si="319"/>
        <v>0</v>
      </c>
      <c r="DX132" s="560">
        <f t="shared" si="320"/>
        <v>0</v>
      </c>
      <c r="DY132" s="560">
        <f t="shared" si="321"/>
        <v>3953.626537250309</v>
      </c>
      <c r="DZ132" s="560">
        <f t="shared" si="322"/>
        <v>12129.726216283949</v>
      </c>
      <c r="EA132" s="560"/>
      <c r="EB132" s="545">
        <f>IF(OR(B132&lt;FV132,B132&gt;FW132),(MIN(BF132+BY132+CT132+MAX(Sheet1!AA134+AQ132-73,0),K132)),0)</f>
        <v>8.4171395167576009</v>
      </c>
      <c r="EC132" s="560"/>
      <c r="ED132" s="560">
        <f t="shared" si="323"/>
        <v>8.4171395167576009</v>
      </c>
      <c r="EE132" s="560"/>
      <c r="EF132" s="560">
        <f>Sheet1!EH134+Sheet1!EI134+Sheet1!EJ134+Sheet1!EK134</f>
        <v>8.4599999999999991</v>
      </c>
      <c r="EG132" s="560"/>
      <c r="EH132" s="545">
        <f t="shared" si="324"/>
        <v>0</v>
      </c>
      <c r="EI132" s="560">
        <f>IF(Sheet1!ET134=1,SUM('Calculations II'!AT132:BA132)+'Calculations II'!BC132+Sheet1!BV134+'Calculations II'!BE132+AP132,SUM('Calculations II'!AT132:BA132)+'Calculations II'!BC132+Sheet1!BV134+'Calculations II'!BE132+AP132)</f>
        <v>54.313584000000006</v>
      </c>
      <c r="EJ132" s="560">
        <f>Sheet1!AA134+Sheet1!AB134+'Calculations II'!BC132</f>
        <v>56.908032000000006</v>
      </c>
      <c r="EK132" s="560"/>
      <c r="EL132" s="560"/>
      <c r="EM132" s="560">
        <f t="shared" si="325"/>
        <v>41760</v>
      </c>
      <c r="EN132" s="560">
        <f t="shared" si="326"/>
        <v>56.2228604832424</v>
      </c>
      <c r="EO132" s="560">
        <f t="shared" si="327"/>
        <v>86.976765167575991</v>
      </c>
      <c r="EP132" s="560">
        <v>0</v>
      </c>
      <c r="EQ132" s="560">
        <v>0</v>
      </c>
      <c r="ER132" s="560">
        <v>0</v>
      </c>
      <c r="ES132" s="545">
        <f t="shared" si="247"/>
        <v>1.2458567731368615</v>
      </c>
      <c r="ET132" s="560">
        <f>-(VLOOKUP(Sheet1!BQ134,Lookup!$O$4:$Q$262,2)-VLOOKUP(Sheet1!BQ133,Lookup!$O$4:$Q$262,2))/1000000</f>
        <v>0.55372124012698609</v>
      </c>
      <c r="EU132" s="560">
        <f>-(VLOOKUP(Sheet1!BR134,Lookup!$O$4:$Q$262,3)-VLOOKUP(Sheet1!BR133,Lookup!$O$4:$Q$262,3))/1000000</f>
        <v>0.69213553300987551</v>
      </c>
      <c r="EV132" s="560"/>
      <c r="EW132" s="560"/>
      <c r="EX132" s="560"/>
      <c r="EY132" s="560"/>
      <c r="EZ132" s="560"/>
      <c r="FA132" s="560"/>
      <c r="FB132" s="560"/>
      <c r="FC132" s="560"/>
      <c r="FD132" s="594" t="e">
        <f t="shared" si="328"/>
        <v>#N/A</v>
      </c>
      <c r="FE132" s="594" t="e">
        <f t="shared" si="329"/>
        <v>#N/A</v>
      </c>
      <c r="FF132" s="595" t="e">
        <f t="shared" si="330"/>
        <v>#N/A</v>
      </c>
      <c r="FG132" s="596" t="s">
        <v>692</v>
      </c>
      <c r="FH132" s="596" t="s">
        <v>692</v>
      </c>
      <c r="FI132" s="594" t="e">
        <v>#N/A</v>
      </c>
      <c r="FJ132" s="594" t="e">
        <v>#N/A</v>
      </c>
      <c r="FK132" s="560"/>
      <c r="FL132" s="560"/>
      <c r="FM132" s="560"/>
      <c r="FN132" s="560"/>
      <c r="FO132" s="560">
        <f>O132+((Sheet1!CS134)*GPMtoMGD)</f>
        <v>56.908032000000006</v>
      </c>
      <c r="FP132" s="560">
        <f>IF(Sheet1!AA134+AQ132&lt;=Calculation!N132,AQ132,Calculation!N132-Sheet1!AA134)</f>
        <v>15.520966484801249</v>
      </c>
      <c r="FQ132" s="560">
        <f>(Sheet1!BP134+Sheet1!BO134)/694.4</f>
        <v>1.6610023041474655</v>
      </c>
      <c r="FR132" s="560"/>
      <c r="FS132" s="560"/>
      <c r="FT132" s="560"/>
      <c r="FU132" s="560"/>
      <c r="FV132" s="695">
        <f t="shared" si="248"/>
        <v>41827</v>
      </c>
      <c r="FW132" s="695">
        <f t="shared" si="249"/>
        <v>41934</v>
      </c>
      <c r="FX132" s="560"/>
      <c r="FY132" s="560"/>
      <c r="FZ132" s="560"/>
      <c r="GA132" s="560"/>
      <c r="GB132" s="560" t="str">
        <f t="shared" si="250"/>
        <v>n</v>
      </c>
      <c r="GC132" s="564">
        <f t="shared" si="251"/>
        <v>41691</v>
      </c>
      <c r="GD132" s="695">
        <f t="shared" si="252"/>
        <v>41807</v>
      </c>
      <c r="GE132" s="560">
        <v>6518.9</v>
      </c>
      <c r="GF132" s="695">
        <f t="shared" si="253"/>
        <v>41808</v>
      </c>
      <c r="GG132" s="560">
        <f t="shared" si="272"/>
        <v>3259</v>
      </c>
      <c r="GH132" s="564">
        <f t="shared" si="254"/>
        <v>41934</v>
      </c>
      <c r="GJ132" s="545">
        <f t="shared" si="255"/>
        <v>0</v>
      </c>
      <c r="GK132" s="560" t="str">
        <f t="shared" si="331"/>
        <v/>
      </c>
      <c r="GL132" s="560">
        <f t="shared" si="256"/>
        <v>0</v>
      </c>
      <c r="GM132" s="560" t="str">
        <f t="shared" si="257"/>
        <v/>
      </c>
      <c r="GN132" s="560">
        <f>IF(GK132="P",Lookup!$M$12,IF(GK132="PP",Lookup!$M$13,IF(GK132="PPP",Lookup!$M$14,IF(GK132="T",Lookup!$M$15,IF(GK132="TP",Lookup!$M$16,IF(GK132="TPP",Lookup!$M$17,IF(GK132="TPPP",Lookup!$M$18,0)))))))*GJ132</f>
        <v>0</v>
      </c>
      <c r="GO132" s="560">
        <f t="shared" si="258"/>
        <v>0</v>
      </c>
      <c r="GP132" s="560">
        <f t="shared" si="332"/>
        <v>5784.2026666666698</v>
      </c>
      <c r="GQ132" s="560">
        <f t="shared" si="266"/>
        <v>1885.3333333333342</v>
      </c>
      <c r="GR132" s="560"/>
      <c r="GS132" s="560">
        <f t="shared" si="259"/>
        <v>0</v>
      </c>
      <c r="GT132" s="560" t="str">
        <f t="shared" si="260"/>
        <v/>
      </c>
      <c r="GU132" s="560">
        <f>IF(GK132="P",Lookup!$N$12,IF(GK132="PP",Lookup!$N$13,IF(GK132="PPP",Lookup!$N$14,IF(GK132="T",Lookup!$N$15,IF(GK132="TP",Lookup!$N$16,IF(GK132="TPP",Lookup!$N$17,IF(GK132="TPPP",Lookup!$N$18,0)))))))*GJ132</f>
        <v>0</v>
      </c>
      <c r="GV132" s="560">
        <f t="shared" si="261"/>
        <v>0</v>
      </c>
      <c r="GW132" s="560">
        <f t="shared" si="333"/>
        <v>2699.2945777777741</v>
      </c>
      <c r="GX132" s="560">
        <f t="shared" si="267"/>
        <v>879.82222222222106</v>
      </c>
      <c r="GY132" s="560"/>
      <c r="GZ132" s="560">
        <f t="shared" si="262"/>
        <v>0</v>
      </c>
      <c r="HA132" s="560" t="str">
        <f t="shared" si="263"/>
        <v/>
      </c>
      <c r="HB132" s="560">
        <f>IF(GK132="P",Lookup!$N$12,IF(GK132="PP",Lookup!$N$13,IF(GK132="PPP",Lookup!$N$14,IF(GK132="T",Lookup!$N$15,IF(GK132="TP",Lookup!$N$16,IF(GK132="TPP",Lookup!$N$17,IF(GK132="TPPP",Lookup!$N$18,0)))))))*GJ132</f>
        <v>0</v>
      </c>
      <c r="HC132" s="545">
        <f t="shared" si="334"/>
        <v>0</v>
      </c>
      <c r="HD132" s="560">
        <f t="shared" si="335"/>
        <v>2140.1503078161841</v>
      </c>
      <c r="HE132" s="560">
        <f t="shared" si="268"/>
        <v>697.5718082842842</v>
      </c>
      <c r="HF132" s="560"/>
      <c r="HG132" s="560">
        <f t="shared" si="264"/>
        <v>0</v>
      </c>
      <c r="HH132" s="560" t="str">
        <f t="shared" si="265"/>
        <v/>
      </c>
      <c r="HI132" s="560">
        <f>IF(GK132="P",Lookup!$N$12,IF(GK132="PP",Lookup!$N$13,IF(GK132="PPP",Lookup!$N$14,IF(GK132="T",Lookup!$N$15,IF(GK132="TP",Lookup!$N$16,IF(GK132="TPP",Lookup!$N$17,IF(GK132="TPPP",Lookup!$N$18,0)))))))*GJ132</f>
        <v>0</v>
      </c>
      <c r="HJ132" s="545">
        <f t="shared" si="336"/>
        <v>0</v>
      </c>
      <c r="HK132" s="560">
        <f t="shared" si="337"/>
        <v>1506.0786640233209</v>
      </c>
      <c r="HL132" s="560">
        <f t="shared" si="269"/>
        <v>490.89917341046964</v>
      </c>
      <c r="HM132" s="560"/>
    </row>
    <row r="133" spans="1:221">
      <c r="A133" s="580" t="s">
        <v>8</v>
      </c>
      <c r="B133" s="556">
        <v>41761</v>
      </c>
      <c r="C133" s="561">
        <v>0</v>
      </c>
      <c r="D133" s="529">
        <f t="shared" si="270"/>
        <v>300</v>
      </c>
      <c r="E133" s="529">
        <f t="shared" si="271"/>
        <v>250</v>
      </c>
      <c r="F133" s="529">
        <v>250</v>
      </c>
      <c r="G133" s="560">
        <f>DR133+Sheet1!CZ135</f>
        <v>2257.6601109435037</v>
      </c>
      <c r="H133" s="914">
        <f t="shared" si="236"/>
        <v>1192.3882957138808</v>
      </c>
      <c r="I133" s="559">
        <f>MAX(Sheet1!Z135-AT133+(Sheet1!DA135-E133)*CFStoMGD,0)</f>
        <v>1641.53</v>
      </c>
      <c r="J133" s="562">
        <f>IF(AND(B133&gt;=Calculation!GC133,B133&lt;=Calculation!GD133),IF(Sheet1!DB135&gt;=Calculation!D133,64.64,0),MAX(Sheet1!Z135-AT133+(Sheet1!DB135-D133)*CFStoMGD,0))</f>
        <v>64.64</v>
      </c>
      <c r="K133" s="904">
        <f t="shared" si="273"/>
        <v>64.64</v>
      </c>
      <c r="L133" s="560">
        <f>Sheet1!AA135+Sheet1!AB135-Sheet1!L135+(Sheet1!DA135-F133)*CFStoMGD</f>
        <v>1616</v>
      </c>
      <c r="M133" s="560">
        <f t="shared" si="274"/>
        <v>1488.5385256281584</v>
      </c>
      <c r="N133" s="910">
        <f>IF(Sheet1!DA135&gt;=F133,MIN(73,MIN(MAX(L133,0),MAX(M133,0))),0)</f>
        <v>73</v>
      </c>
      <c r="O133" s="563">
        <f>Sheet1!AA135+Sheet1!AB135</f>
        <v>46.4</v>
      </c>
      <c r="P133" s="563">
        <f t="shared" si="275"/>
        <v>71.780799999999999</v>
      </c>
      <c r="Q133" s="898">
        <f t="shared" si="237"/>
        <v>37.849999999999994</v>
      </c>
      <c r="R133" s="829">
        <f t="shared" si="276"/>
        <v>8.5332681017612515</v>
      </c>
      <c r="S133" s="898">
        <f t="shared" si="238"/>
        <v>8.5500000000000007</v>
      </c>
      <c r="T133" s="898">
        <f t="shared" si="239"/>
        <v>56.09</v>
      </c>
      <c r="U133" s="898">
        <f t="shared" si="240"/>
        <v>0</v>
      </c>
      <c r="V133" s="898"/>
      <c r="W133" s="898">
        <f t="shared" si="241"/>
        <v>56.106731898238749</v>
      </c>
      <c r="X133" s="898">
        <f t="shared" si="242"/>
        <v>64.64</v>
      </c>
      <c r="Y133" s="898" t="str">
        <f t="shared" si="243"/>
        <v>FALSE</v>
      </c>
      <c r="Z133" s="898">
        <f t="shared" si="244"/>
        <v>46.4</v>
      </c>
      <c r="AA133" s="898">
        <f t="shared" si="245"/>
        <v>46.399999999999991</v>
      </c>
      <c r="AB133" s="898" t="str">
        <f t="shared" si="246"/>
        <v/>
      </c>
      <c r="AC133" s="563">
        <f>Sheet1!Y135*MGDtoCFS</f>
        <v>32.0229</v>
      </c>
      <c r="AD133" s="563">
        <f>Sheet1!Z135*MGDtoCFS</f>
        <v>39.494909999999997</v>
      </c>
      <c r="AE133" s="563">
        <f>Sheet1!AA135*MGDtoCFS</f>
        <v>32.332299999999996</v>
      </c>
      <c r="AF133" s="563">
        <f>Sheet1!AB135*MGDtoCFS</f>
        <v>39.448499999999996</v>
      </c>
      <c r="AG133" s="563">
        <f>Sheet1!L135*MGDtoCFS</f>
        <v>71.780799999999999</v>
      </c>
      <c r="AH133" s="545">
        <f t="shared" si="277"/>
        <v>0</v>
      </c>
      <c r="AI133" s="560">
        <f t="shared" si="278"/>
        <v>0</v>
      </c>
      <c r="AJ133" s="560">
        <f t="shared" si="279"/>
        <v>56.106731898238749</v>
      </c>
      <c r="AK133" s="560">
        <f t="shared" si="280"/>
        <v>86.797114246575347</v>
      </c>
      <c r="AL133" s="560">
        <f>(VLOOKUP(Sheet1!DC135,hhdcap_wcm,4)-(((VLOOKUP(Sheet1!DC135,hhdcap_wcm,3)-Sheet1!DC135)/(VLOOKUP(Sheet1!DC135,hhdcap_wcm,3)-VLOOKUP(Sheet1!DC135,hhdcap_wcm,1)))*(VLOOKUP(Sheet1!DC135,hhdcap_wcm,4)-VLOOKUP(Sheet1!DC135,hhdcap_wcm,2))))</f>
        <v>39631.000000099302</v>
      </c>
      <c r="AM133" s="560">
        <f t="shared" si="281"/>
        <v>154.0000000009677</v>
      </c>
      <c r="AN133" s="560">
        <f t="shared" si="282"/>
        <v>4009.7332691485476</v>
      </c>
      <c r="AO133" s="560">
        <f t="shared" si="283"/>
        <v>12301.861669747745</v>
      </c>
      <c r="AP133" s="560">
        <f>Sheet1!BA135+Sheet1!BB135+Sheet1!BN135+CD133</f>
        <v>17</v>
      </c>
      <c r="AQ133" s="560">
        <f>Sheet1!BN135+(DO133*Sheet1!BN135)</f>
        <v>15.36986301369863</v>
      </c>
      <c r="AR133" s="560">
        <f>Sheet1!BA135+CD133</f>
        <v>0</v>
      </c>
      <c r="AS133" s="560">
        <f>Sheet1!BA135+Sheet1!BB135+CD133</f>
        <v>1.6</v>
      </c>
      <c r="AT133" s="698">
        <f>0</f>
        <v>0</v>
      </c>
      <c r="AU133" s="560">
        <f>IF(EB133&lt;K133,0,MAX(Sheet1!AA135+AQ133-15/36*K133-N133,Sheet1!EH135,0))</f>
        <v>0</v>
      </c>
      <c r="AV133" s="560">
        <f>IF(OR(B133&gt;=GD133,B133&lt;GC133),0,15/36*K133-MAX(0,64.6-(137.6-(Sheet1!AA135+Sheet1!AB135))))</f>
        <v>26.933333333333334</v>
      </c>
      <c r="AW133" s="698">
        <f>Sheet1!DB135-110</f>
        <v>2140</v>
      </c>
      <c r="AX133" s="698">
        <f>Sheet1!DA135-265</f>
        <v>2485</v>
      </c>
      <c r="AY133" s="698">
        <f t="shared" si="284"/>
        <v>35.150000000000006</v>
      </c>
      <c r="AZ133" s="698">
        <v>0</v>
      </c>
      <c r="BA133" s="698">
        <f t="shared" si="285"/>
        <v>0</v>
      </c>
      <c r="BB133" s="560">
        <f t="shared" si="286"/>
        <v>1912.2666666666676</v>
      </c>
      <c r="BC133" s="560"/>
      <c r="BD133" s="560">
        <f ca="1">IF(B133&gt;Summary!$A$1,#N/A,BB133*MGtoAF)</f>
        <v>5866.8341333333365</v>
      </c>
      <c r="BE133" s="560">
        <f>Sheet1!BG135+Sheet1!BH135+Sheet1!BI135-BM133</f>
        <v>0</v>
      </c>
      <c r="BF133" s="560">
        <f t="shared" si="287"/>
        <v>0</v>
      </c>
      <c r="BG133" s="560">
        <f>IF(Sheet1!EP135="FM",BM133,0)</f>
        <v>0</v>
      </c>
      <c r="BH133" s="560">
        <f t="shared" si="288"/>
        <v>0</v>
      </c>
      <c r="BI133" s="560">
        <f>IF(Sheet1!EP135="OTHER",BM133,0)</f>
        <v>0</v>
      </c>
      <c r="BJ133" s="560">
        <f t="shared" si="289"/>
        <v>0</v>
      </c>
      <c r="BK133" s="560">
        <f t="shared" si="290"/>
        <v>0</v>
      </c>
      <c r="BL133" s="560">
        <f t="shared" si="291"/>
        <v>0</v>
      </c>
      <c r="BM133" s="560">
        <f>IF(OR(Sheet1!EP135="FM", Sheet1!EP135="OTHER"),SUM(Sheet1!BG135:'Sheet1'!BI135),0)</f>
        <v>0</v>
      </c>
      <c r="BN133" s="545">
        <f>IF(AND($B133&gt;=$FV133,$B133&lt;=$FW133),MAX(BF133,Sheet1!EI135,0),MAX(BF133-(7/36)*$K133,0))</f>
        <v>0</v>
      </c>
      <c r="BO133" s="560">
        <f t="shared" si="292"/>
        <v>12.568888888888889</v>
      </c>
      <c r="BP133" s="545">
        <f t="shared" si="293"/>
        <v>0</v>
      </c>
      <c r="BQ133" s="545">
        <f>IF(AND($O133&gt;0,Sheet1!EM135=1),(1-($O133-Sheet1!$L135)/$O133)*BL133,0)</f>
        <v>0</v>
      </c>
      <c r="BR133" s="545">
        <f>IF(AND(Sheet1!$L135=0,Sheet1!$L134=0, Calculation!BK133&lt;Sheet1!$EI135-0.1,Sheet1!$EI135=Sheet1!$EI134,Sheet1!$EI135=Sheet1!$EI136),Sheet1!$EI135,BL133-BQ133)</f>
        <v>0</v>
      </c>
      <c r="BS133" s="560"/>
      <c r="BT133" s="560"/>
      <c r="BU133" s="560">
        <f t="shared" si="294"/>
        <v>892.39111111110992</v>
      </c>
      <c r="BV133" s="560"/>
      <c r="BW133" s="560">
        <f ca="1">IF(B133&gt;Summary!$A$1,#N/A,BU133*MGtoAF)</f>
        <v>2737.8559288888855</v>
      </c>
      <c r="BX133" s="560">
        <f>Sheet1!BC135+Sheet1!BD135+Sheet1!BE135+Sheet1!BF135-CG133-CH133</f>
        <v>3.16</v>
      </c>
      <c r="BY133" s="560">
        <f t="shared" si="295"/>
        <v>3.1538160469667318</v>
      </c>
      <c r="BZ133" s="560">
        <f>IF(Sheet1!EQ135="FM",CH133,0)</f>
        <v>0</v>
      </c>
      <c r="CA133" s="560">
        <f t="shared" si="296"/>
        <v>0</v>
      </c>
      <c r="CB133" s="560">
        <f>IF(Sheet1!EQ135="OTHER",CH133,0)</f>
        <v>0</v>
      </c>
      <c r="CC133" s="560">
        <f t="shared" si="297"/>
        <v>0</v>
      </c>
      <c r="CD133" s="560">
        <f t="shared" si="298"/>
        <v>0</v>
      </c>
      <c r="CE133" s="560">
        <f t="shared" si="299"/>
        <v>3.16</v>
      </c>
      <c r="CF133" s="560">
        <f t="shared" si="300"/>
        <v>3.1538160469667318</v>
      </c>
      <c r="CG133" s="560">
        <f>IF(Sheet1!EQ135="CWA",SUM(Sheet1!BC135:'Sheet1'!BF135),0)</f>
        <v>0</v>
      </c>
      <c r="CH133" s="560">
        <f>IF(OR(Sheet1!EQ135="FM", Sheet1!EQ135="OTHER"),SUM(Sheet1!BC135:'Sheet1'!BF135),0)</f>
        <v>0</v>
      </c>
      <c r="CI133" s="545">
        <f>IF(AND($B133&gt;=$FV133,$B133&lt;=$FW133),MAX(CF133,Sheet1!EJ135,0),MAX(CF133-(7/36)*$K133,0))</f>
        <v>0</v>
      </c>
      <c r="CJ133" s="560">
        <f t="shared" si="301"/>
        <v>9.4150728419221572</v>
      </c>
      <c r="CK133" s="545">
        <f t="shared" si="302"/>
        <v>3.1538160469667318</v>
      </c>
      <c r="CL133" s="545">
        <f>IF(AND($O133&gt;0,Sheet1!EN135=1),(1-($O133-Sheet1!$L135)/$O133)*CF133,0)</f>
        <v>0</v>
      </c>
      <c r="CM133" s="545">
        <f>IF(AND(Sheet1!$L135=0,Sheet1!$L134=0, Calculation!CE133&lt;Sheet1!EJ135-0.1,Sheet1!EJ135=Sheet1!EJ134,Sheet1!EJ135=Sheet1!EJ136),Sheet1!EJ135,CF133-CL133)</f>
        <v>3.1538160469667318</v>
      </c>
      <c r="CN133" s="545"/>
      <c r="CO133" s="560"/>
      <c r="CP133" s="560">
        <f t="shared" si="303"/>
        <v>706.98688112620641</v>
      </c>
      <c r="CQ133" s="560"/>
      <c r="CR133" s="560">
        <f ca="1">IF(B133&gt;Summary!$A$1,#N/A,CP133*MGtoAF)</f>
        <v>2169.0357512952014</v>
      </c>
      <c r="CS133" s="560">
        <f>Sheet1!BK135+Sheet1!BL135+Sheet1!BM135-Sheet1!ER135-DA133</f>
        <v>5.3900000000000006</v>
      </c>
      <c r="CT133" s="560">
        <f t="shared" si="304"/>
        <v>5.3794520547945206</v>
      </c>
      <c r="CU133" s="560">
        <f>IF(Sheet1!ER135="FM",DA133,0)</f>
        <v>0</v>
      </c>
      <c r="CV133" s="560">
        <f t="shared" si="305"/>
        <v>0</v>
      </c>
      <c r="CW133" s="560">
        <f>IF(Sheet1!ER135="OTHER",DA133,0)</f>
        <v>0</v>
      </c>
      <c r="CX133" s="560">
        <f t="shared" si="306"/>
        <v>0</v>
      </c>
      <c r="CY133" s="560">
        <f t="shared" si="307"/>
        <v>5.3900000000000006</v>
      </c>
      <c r="CZ133" s="560">
        <f t="shared" si="308"/>
        <v>5.3794520547945206</v>
      </c>
      <c r="DA133" s="560">
        <f>IF(OR(Sheet1!ER135="FM", Sheet1!ER135="OTHER"),SUM(Sheet1!BK135:'Sheet1'!BM135),0)</f>
        <v>0</v>
      </c>
      <c r="DB133" s="545">
        <f>IF(AND($B133&gt;=$FV133,$B133&lt;=$FW133),MAX($CT133,Sheet1!EK135,0),MAX($CT133-(7/36)*$K133,0))</f>
        <v>0</v>
      </c>
      <c r="DC133" s="560">
        <f t="shared" si="309"/>
        <v>7.1894368340943684</v>
      </c>
      <c r="DD133" s="545">
        <f t="shared" si="310"/>
        <v>5.3794520547945206</v>
      </c>
      <c r="DE133" s="545">
        <f>IF(AND($O133&gt;0,Sheet1!EO135=1),(1-($O133-Sheet1!$L135)/$O133)*CZ133,0)</f>
        <v>0</v>
      </c>
      <c r="DF133" s="545">
        <f>IF(AND(Sheet1!$L135=0,Sheet1!$L134=0, Calculation!CY133&lt;Sheet1!$EK135-0.1,Sheet1!$EK135=Sheet1!$EK134,Sheet1!$EK135=Sheet1!$EK136),Sheet1!$EK135,CZ133-DE133)</f>
        <v>5.3794520547945206</v>
      </c>
      <c r="DG133" s="545"/>
      <c r="DH133" s="560">
        <f t="shared" si="311"/>
        <v>8.5500000000000007</v>
      </c>
      <c r="DI133" s="560">
        <f t="shared" si="312"/>
        <v>498.08861024456399</v>
      </c>
      <c r="DJ133" s="698">
        <f t="shared" si="313"/>
        <v>8.5332681017612515</v>
      </c>
      <c r="DK133" s="560">
        <f ca="1">IF(B133&gt;Summary!$A$1,#N/A,DI133*MGtoAF)</f>
        <v>1528.1358562303224</v>
      </c>
      <c r="DL133" s="698">
        <f t="shared" si="314"/>
        <v>8.5500000000000007</v>
      </c>
      <c r="DM133" s="560">
        <f t="shared" si="315"/>
        <v>25.55</v>
      </c>
      <c r="DN133" s="560">
        <f>Sheet1!AB135-DM133</f>
        <v>-5.0000000000000711E-2</v>
      </c>
      <c r="DO133" s="823">
        <f t="shared" si="316"/>
        <v>-1.9569471624266421E-3</v>
      </c>
      <c r="DP133" s="560">
        <f>(VLOOKUP(Sheet1!DC135,hhdcap_wcm,4)-(((VLOOKUP(Sheet1!DC135,hhdcap_wcm,3)-Sheet1!DC135)/(VLOOKUP(Sheet1!DC135,hhdcap_wcm,3)-VLOOKUP(Sheet1!DC135,hhdcap_wcm,1)))*(VLOOKUP(Sheet1!DC135,hhdcap_wcm,4)-VLOOKUP(Sheet1!DC135,hhdcap_wcm,2))))</f>
        <v>39631.000000099302</v>
      </c>
      <c r="DQ133" s="560">
        <f t="shared" si="317"/>
        <v>154.0000000009677</v>
      </c>
      <c r="DR133" s="560">
        <f t="shared" si="318"/>
        <v>77.660110943503625</v>
      </c>
      <c r="DS133" s="560">
        <f>Sheet1!EA135*AFtoMG</f>
        <v>0</v>
      </c>
      <c r="DT133" s="560">
        <f>Sheet1!EB135*AFtoMG</f>
        <v>0</v>
      </c>
      <c r="DU133" s="560">
        <f>Sheet1!EC135*AFtoMG</f>
        <v>0</v>
      </c>
      <c r="DV133" s="560">
        <f>Sheet1!ED135*AFtoMG</f>
        <v>0</v>
      </c>
      <c r="DW133" s="560">
        <f t="shared" si="319"/>
        <v>0</v>
      </c>
      <c r="DX133" s="560">
        <f t="shared" si="320"/>
        <v>0</v>
      </c>
      <c r="DY133" s="560">
        <f t="shared" si="321"/>
        <v>4009.7332691485476</v>
      </c>
      <c r="DZ133" s="560">
        <f t="shared" si="322"/>
        <v>12301.861669747745</v>
      </c>
      <c r="EA133" s="560"/>
      <c r="EB133" s="545">
        <f>IF(OR(B133&lt;FV133,B133&gt;FW133),(MIN(BF133+BY133+CT133+MAX(Sheet1!AA135+AQ133-73,0),K133)),0)</f>
        <v>8.5332681017612515</v>
      </c>
      <c r="EC133" s="560"/>
      <c r="ED133" s="560">
        <f t="shared" si="323"/>
        <v>8.5332681017612515</v>
      </c>
      <c r="EE133" s="560"/>
      <c r="EF133" s="560">
        <f>Sheet1!EH135+Sheet1!EI135+Sheet1!EJ135+Sheet1!EK135</f>
        <v>8.5500000000000007</v>
      </c>
      <c r="EG133" s="560"/>
      <c r="EH133" s="545">
        <f t="shared" si="324"/>
        <v>0</v>
      </c>
      <c r="EI133" s="560">
        <f>IF(Sheet1!ET135=1,SUM('Calculations II'!AT133:BA133)+'Calculations II'!BC133+Sheet1!BV135+'Calculations II'!BE133+AP133,SUM('Calculations II'!AT133:BA133)+'Calculations II'!BC133+Sheet1!BV135+'Calculations II'!BE133+AP133)</f>
        <v>49.717551999999998</v>
      </c>
      <c r="EJ133" s="560">
        <f>Sheet1!AA135+Sheet1!AB135+'Calculations II'!BC133</f>
        <v>54.524479999999997</v>
      </c>
      <c r="EK133" s="560"/>
      <c r="EL133" s="560"/>
      <c r="EM133" s="560">
        <f t="shared" si="325"/>
        <v>41761</v>
      </c>
      <c r="EN133" s="560">
        <f t="shared" si="326"/>
        <v>56.106731898238749</v>
      </c>
      <c r="EO133" s="560">
        <f t="shared" si="327"/>
        <v>86.797114246575347</v>
      </c>
      <c r="EP133" s="560">
        <v>0</v>
      </c>
      <c r="EQ133" s="560">
        <v>0</v>
      </c>
      <c r="ER133" s="560">
        <v>0</v>
      </c>
      <c r="ES133" s="545">
        <f t="shared" si="247"/>
        <v>0.27682217920183394</v>
      </c>
      <c r="ET133" s="560">
        <f>-(VLOOKUP(Sheet1!BQ135,Lookup!$O$4:$Q$262,2)-VLOOKUP(Sheet1!BQ134,Lookup!$O$4:$Q$262,2))/1000000</f>
        <v>0.13841429288288951</v>
      </c>
      <c r="EU133" s="560">
        <f>-(VLOOKUP(Sheet1!BR135,Lookup!$O$4:$Q$262,3)-VLOOKUP(Sheet1!BR134,Lookup!$O$4:$Q$262,3))/1000000</f>
        <v>0.13840788631894441</v>
      </c>
      <c r="EV133" s="560"/>
      <c r="EW133" s="560"/>
      <c r="EX133" s="560"/>
      <c r="EY133" s="560"/>
      <c r="EZ133" s="560"/>
      <c r="FA133" s="560"/>
      <c r="FB133" s="560"/>
      <c r="FC133" s="560"/>
      <c r="FD133" s="594" t="e">
        <f t="shared" si="328"/>
        <v>#N/A</v>
      </c>
      <c r="FE133" s="594" t="e">
        <f t="shared" si="329"/>
        <v>#N/A</v>
      </c>
      <c r="FF133" s="595" t="e">
        <f t="shared" si="330"/>
        <v>#N/A</v>
      </c>
      <c r="FG133" s="596" t="s">
        <v>692</v>
      </c>
      <c r="FH133" s="596" t="s">
        <v>692</v>
      </c>
      <c r="FI133" s="594" t="e">
        <v>#N/A</v>
      </c>
      <c r="FJ133" s="594" t="e">
        <v>#N/A</v>
      </c>
      <c r="FK133" s="560"/>
      <c r="FL133" s="560"/>
      <c r="FM133" s="560"/>
      <c r="FN133" s="560"/>
      <c r="FO133" s="560">
        <f>O133+((Sheet1!CS135)*GPMtoMGD)</f>
        <v>54.524479999999997</v>
      </c>
      <c r="FP133" s="560">
        <f>IF(Sheet1!AA135+AQ133&lt;=Calculation!N133,AQ133,Calculation!N133-Sheet1!AA135)</f>
        <v>15.36986301369863</v>
      </c>
      <c r="FQ133" s="560">
        <f>(Sheet1!BP135+Sheet1!BO135)/694.4</f>
        <v>1.5360023041474653</v>
      </c>
      <c r="FR133" s="560"/>
      <c r="FS133" s="560"/>
      <c r="FT133" s="560"/>
      <c r="FU133" s="560"/>
      <c r="FV133" s="695">
        <f t="shared" si="248"/>
        <v>41827</v>
      </c>
      <c r="FW133" s="695">
        <f t="shared" si="249"/>
        <v>41934</v>
      </c>
      <c r="FX133" s="560"/>
      <c r="FY133" s="560"/>
      <c r="FZ133" s="560"/>
      <c r="GA133" s="560"/>
      <c r="GB133" s="560" t="str">
        <f t="shared" si="250"/>
        <v>n</v>
      </c>
      <c r="GC133" s="564">
        <f t="shared" si="251"/>
        <v>41691</v>
      </c>
      <c r="GD133" s="695">
        <f t="shared" si="252"/>
        <v>41807</v>
      </c>
      <c r="GE133" s="560">
        <v>6518.9</v>
      </c>
      <c r="GF133" s="695">
        <f t="shared" si="253"/>
        <v>41808</v>
      </c>
      <c r="GG133" s="560">
        <f t="shared" si="272"/>
        <v>3259</v>
      </c>
      <c r="GH133" s="564">
        <f t="shared" si="254"/>
        <v>41934</v>
      </c>
      <c r="GJ133" s="545">
        <f t="shared" si="255"/>
        <v>0</v>
      </c>
      <c r="GK133" s="560" t="str">
        <f t="shared" si="331"/>
        <v/>
      </c>
      <c r="GL133" s="560">
        <f t="shared" si="256"/>
        <v>0</v>
      </c>
      <c r="GM133" s="560" t="str">
        <f t="shared" si="257"/>
        <v/>
      </c>
      <c r="GN133" s="560">
        <f>IF(GK133="P",Lookup!$M$12,IF(GK133="PP",Lookup!$M$13,IF(GK133="PPP",Lookup!$M$14,IF(GK133="T",Lookup!$M$15,IF(GK133="TP",Lookup!$M$16,IF(GK133="TPP",Lookup!$M$17,IF(GK133="TPPP",Lookup!$M$18,0)))))))*GJ133</f>
        <v>0</v>
      </c>
      <c r="GO133" s="560">
        <f t="shared" si="258"/>
        <v>0</v>
      </c>
      <c r="GP133" s="560">
        <f t="shared" si="332"/>
        <v>5866.8341333333365</v>
      </c>
      <c r="GQ133" s="560">
        <f t="shared" si="266"/>
        <v>1912.2666666666676</v>
      </c>
      <c r="GR133" s="560"/>
      <c r="GS133" s="560">
        <f t="shared" si="259"/>
        <v>0</v>
      </c>
      <c r="GT133" s="560" t="str">
        <f t="shared" si="260"/>
        <v/>
      </c>
      <c r="GU133" s="560">
        <f>IF(GK133="P",Lookup!$N$12,IF(GK133="PP",Lookup!$N$13,IF(GK133="PPP",Lookup!$N$14,IF(GK133="T",Lookup!$N$15,IF(GK133="TP",Lookup!$N$16,IF(GK133="TPP",Lookup!$N$17,IF(GK133="TPPP",Lookup!$N$18,0)))))))*GJ133</f>
        <v>0</v>
      </c>
      <c r="GV133" s="560">
        <f t="shared" si="261"/>
        <v>0</v>
      </c>
      <c r="GW133" s="560">
        <f t="shared" si="333"/>
        <v>2737.8559288888855</v>
      </c>
      <c r="GX133" s="560">
        <f t="shared" si="267"/>
        <v>892.39111111110992</v>
      </c>
      <c r="GY133" s="560"/>
      <c r="GZ133" s="560">
        <f t="shared" si="262"/>
        <v>0</v>
      </c>
      <c r="HA133" s="560" t="str">
        <f t="shared" si="263"/>
        <v/>
      </c>
      <c r="HB133" s="560">
        <f>IF(GK133="P",Lookup!$N$12,IF(GK133="PP",Lookup!$N$13,IF(GK133="PPP",Lookup!$N$14,IF(GK133="T",Lookup!$N$15,IF(GK133="TP",Lookup!$N$16,IF(GK133="TPP",Lookup!$N$17,IF(GK133="TPPP",Lookup!$N$18,0)))))))*GJ133</f>
        <v>0</v>
      </c>
      <c r="HC133" s="545">
        <f t="shared" si="334"/>
        <v>0</v>
      </c>
      <c r="HD133" s="560">
        <f t="shared" si="335"/>
        <v>2169.0357512952014</v>
      </c>
      <c r="HE133" s="560">
        <f t="shared" si="268"/>
        <v>706.98688112620641</v>
      </c>
      <c r="HF133" s="560"/>
      <c r="HG133" s="560">
        <f t="shared" si="264"/>
        <v>0</v>
      </c>
      <c r="HH133" s="560" t="str">
        <f t="shared" si="265"/>
        <v/>
      </c>
      <c r="HI133" s="560">
        <f>IF(GK133="P",Lookup!$N$12,IF(GK133="PP",Lookup!$N$13,IF(GK133="PPP",Lookup!$N$14,IF(GK133="T",Lookup!$N$15,IF(GK133="TP",Lookup!$N$16,IF(GK133="TPP",Lookup!$N$17,IF(GK133="TPPP",Lookup!$N$18,0)))))))*GJ133</f>
        <v>0</v>
      </c>
      <c r="HJ133" s="545">
        <f t="shared" si="336"/>
        <v>0</v>
      </c>
      <c r="HK133" s="560">
        <f t="shared" si="337"/>
        <v>1528.1358562303224</v>
      </c>
      <c r="HL133" s="560">
        <f t="shared" si="269"/>
        <v>498.08861024456399</v>
      </c>
      <c r="HM133" s="560"/>
    </row>
    <row r="134" spans="1:221">
      <c r="A134" s="580" t="s">
        <v>9</v>
      </c>
      <c r="B134" s="556">
        <v>41762</v>
      </c>
      <c r="C134" s="561">
        <v>0</v>
      </c>
      <c r="D134" s="529">
        <f t="shared" si="270"/>
        <v>300</v>
      </c>
      <c r="E134" s="529">
        <f t="shared" si="271"/>
        <v>250</v>
      </c>
      <c r="F134" s="529">
        <v>250</v>
      </c>
      <c r="G134" s="560">
        <f>DR134+Sheet1!CZ136</f>
        <v>2076.6212808870559</v>
      </c>
      <c r="H134" s="914">
        <f t="shared" si="236"/>
        <v>1075.3647959653929</v>
      </c>
      <c r="I134" s="559">
        <f>MAX(Sheet1!Z136-AT134+(Sheet1!DA136-E134)*CFStoMGD,0)</f>
        <v>1712.604</v>
      </c>
      <c r="J134" s="562">
        <f>IF(AND(B134&gt;=Calculation!GC134,B134&lt;=Calculation!GD134),IF(Sheet1!DB136&gt;=Calculation!D134,64.64,0),MAX(Sheet1!Z136-AT134+(Sheet1!DB136-D134)*CFStoMGD,0))</f>
        <v>64.64</v>
      </c>
      <c r="K134" s="904">
        <f t="shared" si="273"/>
        <v>64.64</v>
      </c>
      <c r="L134" s="560">
        <f>Sheet1!AA136+Sheet1!AB136-Sheet1!L136+(Sheet1!DA136-F134)*CFStoMGD</f>
        <v>1687.104</v>
      </c>
      <c r="M134" s="560">
        <f t="shared" si="274"/>
        <v>1369.1745558847008</v>
      </c>
      <c r="N134" s="910">
        <f>IF(Sheet1!DA136&gt;=F134,MIN(73,MIN(MAX(L134,0),MAX(M134,0))),0)</f>
        <v>73</v>
      </c>
      <c r="O134" s="563">
        <f>Sheet1!AA136+Sheet1!AB136</f>
        <v>46.61</v>
      </c>
      <c r="P134" s="563">
        <f t="shared" si="275"/>
        <v>72.105670000000003</v>
      </c>
      <c r="Q134" s="898">
        <f t="shared" si="237"/>
        <v>38.090000000000003</v>
      </c>
      <c r="R134" s="829">
        <f t="shared" si="276"/>
        <v>8.4967213114754099</v>
      </c>
      <c r="S134" s="898">
        <f t="shared" si="238"/>
        <v>8.52</v>
      </c>
      <c r="T134" s="898">
        <f t="shared" si="239"/>
        <v>56.120000000000005</v>
      </c>
      <c r="U134" s="898">
        <f t="shared" si="240"/>
        <v>0</v>
      </c>
      <c r="V134" s="898"/>
      <c r="W134" s="898">
        <f t="shared" si="241"/>
        <v>56.143278688524589</v>
      </c>
      <c r="X134" s="898">
        <f t="shared" si="242"/>
        <v>64.64</v>
      </c>
      <c r="Y134" s="898" t="str">
        <f t="shared" si="243"/>
        <v>FALSE</v>
      </c>
      <c r="Z134" s="898">
        <f t="shared" si="244"/>
        <v>46.61</v>
      </c>
      <c r="AA134" s="898">
        <f t="shared" si="245"/>
        <v>46.61</v>
      </c>
      <c r="AB134" s="898" t="str">
        <f t="shared" si="246"/>
        <v/>
      </c>
      <c r="AC134" s="563">
        <f>Sheet1!Y136*MGDtoCFS</f>
        <v>32.332299999999996</v>
      </c>
      <c r="AD134" s="563">
        <f>Sheet1!Z136*MGDtoCFS</f>
        <v>39.448499999999996</v>
      </c>
      <c r="AE134" s="563">
        <f>Sheet1!AA136*MGDtoCFS</f>
        <v>32.579819999999998</v>
      </c>
      <c r="AF134" s="563">
        <f>Sheet1!AB136*MGDtoCFS</f>
        <v>39.525849999999998</v>
      </c>
      <c r="AG134" s="563">
        <f>Sheet1!L136*MGDtoCFS</f>
        <v>72.105669999999989</v>
      </c>
      <c r="AH134" s="545">
        <f t="shared" si="277"/>
        <v>0</v>
      </c>
      <c r="AI134" s="560">
        <f t="shared" si="278"/>
        <v>0</v>
      </c>
      <c r="AJ134" s="560">
        <f t="shared" si="279"/>
        <v>56.143278688524589</v>
      </c>
      <c r="AK134" s="560">
        <f t="shared" si="280"/>
        <v>86.853652131147541</v>
      </c>
      <c r="AL134" s="560">
        <f>(VLOOKUP(Sheet1!DC136,hhdcap_wcm,4)-(((VLOOKUP(Sheet1!DC136,hhdcap_wcm,3)-Sheet1!DC136)/(VLOOKUP(Sheet1!DC136,hhdcap_wcm,3)-VLOOKUP(Sheet1!DC136,hhdcap_wcm,1)))*(VLOOKUP(Sheet1!DC136,hhdcap_wcm,4)-VLOOKUP(Sheet1!DC136,hhdcap_wcm,2))))</f>
        <v>39426.000000098335</v>
      </c>
      <c r="AM134" s="560">
        <f t="shared" si="281"/>
        <v>-205.0000000009677</v>
      </c>
      <c r="AN134" s="560">
        <f t="shared" si="282"/>
        <v>4065.8765478370728</v>
      </c>
      <c r="AO134" s="560">
        <f t="shared" si="283"/>
        <v>12474.10924876414</v>
      </c>
      <c r="AP134" s="560">
        <f>Sheet1!BA136+Sheet1!BB136+Sheet1!BN136+CD134</f>
        <v>17.100000000000001</v>
      </c>
      <c r="AQ134" s="560">
        <f>Sheet1!BN136+(DO134*Sheet1!BN136)</f>
        <v>15.457650273224044</v>
      </c>
      <c r="AR134" s="560">
        <f>Sheet1!BA136+CD134</f>
        <v>0</v>
      </c>
      <c r="AS134" s="560">
        <f>Sheet1!BA136+Sheet1!BB136+CD134</f>
        <v>1.6</v>
      </c>
      <c r="AT134" s="698">
        <f>0</f>
        <v>0</v>
      </c>
      <c r="AU134" s="560">
        <f>IF(EB134&lt;K134,0,MAX(Sheet1!AA136+AQ134-15/36*K134-N134,Sheet1!EH136,0))</f>
        <v>0</v>
      </c>
      <c r="AV134" s="560">
        <f>IF(OR(B134&gt;=GD134,B134&lt;GC134),0,15/36*K134-MAX(0,64.6-(137.6-(Sheet1!AA136+Sheet1!AB136))))</f>
        <v>26.933333333333334</v>
      </c>
      <c r="AW134" s="698">
        <f>Sheet1!DB136-110</f>
        <v>2140</v>
      </c>
      <c r="AX134" s="698">
        <f>Sheet1!DA136-265</f>
        <v>2595</v>
      </c>
      <c r="AY134" s="698">
        <f t="shared" si="284"/>
        <v>34.909999999999997</v>
      </c>
      <c r="AZ134" s="698">
        <v>0</v>
      </c>
      <c r="BA134" s="698">
        <f t="shared" si="285"/>
        <v>0</v>
      </c>
      <c r="BB134" s="560">
        <f t="shared" si="286"/>
        <v>1939.200000000001</v>
      </c>
      <c r="BC134" s="560"/>
      <c r="BD134" s="560">
        <f ca="1">IF(B134&gt;Summary!$A$1,#N/A,BB134*MGtoAF)</f>
        <v>5949.4656000000032</v>
      </c>
      <c r="BE134" s="560">
        <f>Sheet1!BG136+Sheet1!BH136+Sheet1!BI136-BM134</f>
        <v>0</v>
      </c>
      <c r="BF134" s="560">
        <f t="shared" si="287"/>
        <v>0</v>
      </c>
      <c r="BG134" s="560">
        <f>IF(Sheet1!EP136="FM",BM134,0)</f>
        <v>0</v>
      </c>
      <c r="BH134" s="560">
        <f t="shared" si="288"/>
        <v>0</v>
      </c>
      <c r="BI134" s="560">
        <f>IF(Sheet1!EP136="OTHER",BM134,0)</f>
        <v>0</v>
      </c>
      <c r="BJ134" s="560">
        <f t="shared" si="289"/>
        <v>0</v>
      </c>
      <c r="BK134" s="560">
        <f t="shared" si="290"/>
        <v>0</v>
      </c>
      <c r="BL134" s="560">
        <f t="shared" si="291"/>
        <v>0</v>
      </c>
      <c r="BM134" s="560">
        <f>IF(OR(Sheet1!EP136="FM", Sheet1!EP136="OTHER"),SUM(Sheet1!BG136:'Sheet1'!BI136),0)</f>
        <v>0</v>
      </c>
      <c r="BN134" s="545">
        <f>IF(AND($B134&gt;=$FV134,$B134&lt;=$FW134),MAX(BF134,Sheet1!EI136,0),MAX(BF134-(7/36)*$K134,0))</f>
        <v>0</v>
      </c>
      <c r="BO134" s="560">
        <f t="shared" si="292"/>
        <v>12.568888888888889</v>
      </c>
      <c r="BP134" s="545">
        <f t="shared" si="293"/>
        <v>0</v>
      </c>
      <c r="BQ134" s="545">
        <f>IF(AND($O134&gt;0,Sheet1!EM136=1),(1-($O134-Sheet1!$L136)/$O134)*BL134,0)</f>
        <v>0</v>
      </c>
      <c r="BR134" s="545">
        <f>IF(AND(Sheet1!$L136=0,Sheet1!$L135=0, Calculation!BK134&lt;Sheet1!$EI136-0.1,Sheet1!$EI136=Sheet1!$EI135,Sheet1!$EI136=Sheet1!$EI137),Sheet1!$EI136,BL134-BQ134)</f>
        <v>0</v>
      </c>
      <c r="BS134" s="560"/>
      <c r="BT134" s="560"/>
      <c r="BU134" s="560">
        <f t="shared" si="294"/>
        <v>904.95999999999879</v>
      </c>
      <c r="BV134" s="560"/>
      <c r="BW134" s="560">
        <f ca="1">IF(B134&gt;Summary!$A$1,#N/A,BU134*MGtoAF)</f>
        <v>2776.4172799999965</v>
      </c>
      <c r="BX134" s="560">
        <f>Sheet1!BC136+Sheet1!BD136+Sheet1!BE136+Sheet1!BF136-CG134-CH134</f>
        <v>3.5</v>
      </c>
      <c r="BY134" s="560">
        <f t="shared" si="295"/>
        <v>3.4904371584699452</v>
      </c>
      <c r="BZ134" s="560">
        <f>IF(Sheet1!EQ136="FM",CH134,0)</f>
        <v>0</v>
      </c>
      <c r="CA134" s="560">
        <f t="shared" si="296"/>
        <v>0</v>
      </c>
      <c r="CB134" s="560">
        <f>IF(Sheet1!EQ136="OTHER",CH134,0)</f>
        <v>0</v>
      </c>
      <c r="CC134" s="560">
        <f t="shared" si="297"/>
        <v>0</v>
      </c>
      <c r="CD134" s="560">
        <f t="shared" si="298"/>
        <v>0</v>
      </c>
      <c r="CE134" s="560">
        <f t="shared" si="299"/>
        <v>3.5</v>
      </c>
      <c r="CF134" s="560">
        <f t="shared" si="300"/>
        <v>3.4904371584699452</v>
      </c>
      <c r="CG134" s="560">
        <f>IF(Sheet1!EQ136="CWA",SUM(Sheet1!BC136:'Sheet1'!BF136),0)</f>
        <v>0</v>
      </c>
      <c r="CH134" s="560">
        <f>IF(OR(Sheet1!EQ136="FM", Sheet1!EQ136="OTHER"),SUM(Sheet1!BC136:'Sheet1'!BF136),0)</f>
        <v>0</v>
      </c>
      <c r="CI134" s="545">
        <f>IF(AND($B134&gt;=$FV134,$B134&lt;=$FW134),MAX(CF134,Sheet1!EJ136,0),MAX(CF134-(7/36)*$K134,0))</f>
        <v>0</v>
      </c>
      <c r="CJ134" s="560">
        <f t="shared" si="301"/>
        <v>9.0784517304189443</v>
      </c>
      <c r="CK134" s="545">
        <f t="shared" si="302"/>
        <v>3.4904371584699452</v>
      </c>
      <c r="CL134" s="545">
        <f>IF(AND($O134&gt;0,Sheet1!EN136=1),(1-($O134-Sheet1!$L136)/$O134)*CF134,0)</f>
        <v>0</v>
      </c>
      <c r="CM134" s="545">
        <f>IF(AND(Sheet1!$L136=0,Sheet1!$L135=0, Calculation!CE134&lt;Sheet1!EJ136-0.1,Sheet1!EJ136=Sheet1!EJ135,Sheet1!EJ136=Sheet1!EJ137),Sheet1!EJ136,CF134-CL134)</f>
        <v>3.4904371584699452</v>
      </c>
      <c r="CN134" s="545"/>
      <c r="CO134" s="560"/>
      <c r="CP134" s="560">
        <f t="shared" si="303"/>
        <v>716.06533285662533</v>
      </c>
      <c r="CQ134" s="560"/>
      <c r="CR134" s="560">
        <f ca="1">IF(B134&gt;Summary!$A$1,#N/A,CP134*MGtoAF)</f>
        <v>2196.8884412041266</v>
      </c>
      <c r="CS134" s="560">
        <f>Sheet1!BK136+Sheet1!BL136+Sheet1!BM136-Sheet1!ER136-DA134</f>
        <v>5.0199999999999996</v>
      </c>
      <c r="CT134" s="560">
        <f t="shared" si="304"/>
        <v>5.0062841530054643</v>
      </c>
      <c r="CU134" s="560">
        <f>IF(Sheet1!ER136="FM",DA134,0)</f>
        <v>0</v>
      </c>
      <c r="CV134" s="560">
        <f t="shared" si="305"/>
        <v>0</v>
      </c>
      <c r="CW134" s="560">
        <f>IF(Sheet1!ER136="OTHER",DA134,0)</f>
        <v>0</v>
      </c>
      <c r="CX134" s="560">
        <f t="shared" si="306"/>
        <v>0</v>
      </c>
      <c r="CY134" s="560">
        <f t="shared" si="307"/>
        <v>5.0199999999999996</v>
      </c>
      <c r="CZ134" s="560">
        <f t="shared" si="308"/>
        <v>5.0062841530054643</v>
      </c>
      <c r="DA134" s="560">
        <f>IF(OR(Sheet1!ER136="FM", Sheet1!ER136="OTHER"),SUM(Sheet1!BK136:'Sheet1'!BM136),0)</f>
        <v>0</v>
      </c>
      <c r="DB134" s="545">
        <f>IF(AND($B134&gt;=$FV134,$B134&lt;=$FW134),MAX($CT134,Sheet1!EK136,0),MAX($CT134-(7/36)*$K134,0))</f>
        <v>0</v>
      </c>
      <c r="DC134" s="560">
        <f t="shared" si="309"/>
        <v>7.5626047358834247</v>
      </c>
      <c r="DD134" s="545">
        <f t="shared" si="310"/>
        <v>5.0062841530054643</v>
      </c>
      <c r="DE134" s="545">
        <f>IF(AND($O134&gt;0,Sheet1!EO136=1),(1-($O134-Sheet1!$L136)/$O134)*CZ134,0)</f>
        <v>0</v>
      </c>
      <c r="DF134" s="545">
        <f>IF(AND(Sheet1!$L136=0,Sheet1!$L135=0, Calculation!CY134&lt;Sheet1!$EK136-0.1,Sheet1!$EK136=Sheet1!$EK135,Sheet1!$EK136=Sheet1!$EK137),Sheet1!$EK136,CZ134-DE134)</f>
        <v>5.0062841530054643</v>
      </c>
      <c r="DG134" s="545"/>
      <c r="DH134" s="560">
        <f t="shared" si="311"/>
        <v>8.52</v>
      </c>
      <c r="DI134" s="560">
        <f t="shared" si="312"/>
        <v>505.65121498044743</v>
      </c>
      <c r="DJ134" s="698">
        <f t="shared" si="313"/>
        <v>8.4967213114754099</v>
      </c>
      <c r="DK134" s="560">
        <f ca="1">IF(B134&gt;Summary!$A$1,#N/A,DI134*MGtoAF)</f>
        <v>1551.3379275600128</v>
      </c>
      <c r="DL134" s="698">
        <f t="shared" si="314"/>
        <v>8.52</v>
      </c>
      <c r="DM134" s="560">
        <f t="shared" si="315"/>
        <v>25.62</v>
      </c>
      <c r="DN134" s="560">
        <f>Sheet1!AB136-DM134</f>
        <v>-7.0000000000000284E-2</v>
      </c>
      <c r="DO134" s="823">
        <f t="shared" si="316"/>
        <v>-2.7322404371584808E-3</v>
      </c>
      <c r="DP134" s="560">
        <f>(VLOOKUP(Sheet1!DC136,hhdcap_wcm,4)-(((VLOOKUP(Sheet1!DC136,hhdcap_wcm,3)-Sheet1!DC136)/(VLOOKUP(Sheet1!DC136,hhdcap_wcm,3)-VLOOKUP(Sheet1!DC136,hhdcap_wcm,1)))*(VLOOKUP(Sheet1!DC136,hhdcap_wcm,4)-VLOOKUP(Sheet1!DC136,hhdcap_wcm,2))))</f>
        <v>39426.000000098335</v>
      </c>
      <c r="DQ134" s="560">
        <f t="shared" si="317"/>
        <v>-205.0000000009677</v>
      </c>
      <c r="DR134" s="560">
        <f t="shared" si="318"/>
        <v>-103.37871911294386</v>
      </c>
      <c r="DS134" s="560">
        <f>Sheet1!EA136*AFtoMG</f>
        <v>0</v>
      </c>
      <c r="DT134" s="560">
        <f>Sheet1!EB136*AFtoMG</f>
        <v>0</v>
      </c>
      <c r="DU134" s="560">
        <f>Sheet1!EC136*AFtoMG</f>
        <v>0</v>
      </c>
      <c r="DV134" s="560">
        <f>Sheet1!ED136*AFtoMG</f>
        <v>0</v>
      </c>
      <c r="DW134" s="560">
        <f t="shared" si="319"/>
        <v>0</v>
      </c>
      <c r="DX134" s="560">
        <f t="shared" si="320"/>
        <v>0</v>
      </c>
      <c r="DY134" s="560">
        <f t="shared" si="321"/>
        <v>4065.8765478370728</v>
      </c>
      <c r="DZ134" s="560">
        <f t="shared" si="322"/>
        <v>12474.10924876414</v>
      </c>
      <c r="EA134" s="560"/>
      <c r="EB134" s="545">
        <f>IF(OR(B134&lt;FV134,B134&gt;FW134),(MIN(BF134+BY134+CT134+MAX(Sheet1!AA136+AQ134-73,0),K134)),0)</f>
        <v>8.4967213114754099</v>
      </c>
      <c r="EC134" s="560"/>
      <c r="ED134" s="560">
        <f t="shared" si="323"/>
        <v>8.4967213114754099</v>
      </c>
      <c r="EE134" s="560"/>
      <c r="EF134" s="560">
        <f>Sheet1!EH136+Sheet1!EI136+Sheet1!EJ136+Sheet1!EK136</f>
        <v>8.52</v>
      </c>
      <c r="EG134" s="560"/>
      <c r="EH134" s="545">
        <f t="shared" si="324"/>
        <v>0</v>
      </c>
      <c r="EI134" s="560">
        <f>IF(Sheet1!ET136=1,SUM('Calculations II'!AT134:BA134)+'Calculations II'!BC134+Sheet1!BV136+'Calculations II'!BE134+AP134,SUM('Calculations II'!AT134:BA134)+'Calculations II'!BC134+Sheet1!BV136+'Calculations II'!BE134+AP134)</f>
        <v>52.597648000000007</v>
      </c>
      <c r="EJ134" s="560">
        <f>Sheet1!AA136+Sheet1!AB136+'Calculations II'!BC134</f>
        <v>60.163711999999997</v>
      </c>
      <c r="EK134" s="560"/>
      <c r="EL134" s="560"/>
      <c r="EM134" s="560">
        <f t="shared" si="325"/>
        <v>41762</v>
      </c>
      <c r="EN134" s="560">
        <f t="shared" si="326"/>
        <v>56.143278688524589</v>
      </c>
      <c r="EO134" s="560">
        <f t="shared" si="327"/>
        <v>86.853652131147541</v>
      </c>
      <c r="EP134" s="560">
        <v>0</v>
      </c>
      <c r="EQ134" s="560">
        <v>0</v>
      </c>
      <c r="ER134" s="560">
        <v>0</v>
      </c>
      <c r="ES134" s="545">
        <f t="shared" si="247"/>
        <v>-3.4611966664902196</v>
      </c>
      <c r="ET134" s="560">
        <f>-(VLOOKUP(Sheet1!BQ136,Lookup!$O$4:$Q$262,2)-VLOOKUP(Sheet1!BQ135,Lookup!$O$4:$Q$262,2))/1000000</f>
        <v>-1.6613943900856376</v>
      </c>
      <c r="EU134" s="560">
        <f>-(VLOOKUP(Sheet1!BR136,Lookup!$O$4:$Q$262,3)-VLOOKUP(Sheet1!BR135,Lookup!$O$4:$Q$262,3))/1000000</f>
        <v>-1.799802276404582</v>
      </c>
      <c r="EV134" s="560"/>
      <c r="EW134" s="560"/>
      <c r="EX134" s="560"/>
      <c r="EY134" s="560"/>
      <c r="EZ134" s="560"/>
      <c r="FA134" s="560"/>
      <c r="FB134" s="560"/>
      <c r="FC134" s="560"/>
      <c r="FD134" s="594" t="e">
        <f t="shared" si="328"/>
        <v>#N/A</v>
      </c>
      <c r="FE134" s="594" t="e">
        <f t="shared" si="329"/>
        <v>#N/A</v>
      </c>
      <c r="FF134" s="595" t="e">
        <f t="shared" si="330"/>
        <v>#N/A</v>
      </c>
      <c r="FG134" s="596" t="s">
        <v>692</v>
      </c>
      <c r="FH134" s="596" t="s">
        <v>692</v>
      </c>
      <c r="FI134" s="594" t="e">
        <v>#N/A</v>
      </c>
      <c r="FJ134" s="594" t="e">
        <v>#N/A</v>
      </c>
      <c r="FK134" s="560"/>
      <c r="FL134" s="560"/>
      <c r="FM134" s="560"/>
      <c r="FN134" s="560"/>
      <c r="FO134" s="560">
        <f>O134+((Sheet1!CS136)*GPMtoMGD)</f>
        <v>60.163711999999997</v>
      </c>
      <c r="FP134" s="560">
        <f>IF(Sheet1!AA136+AQ134&lt;=Calculation!N134,AQ134,Calculation!N134-Sheet1!AA136)</f>
        <v>15.457650273224044</v>
      </c>
      <c r="FQ134" s="560">
        <f>(Sheet1!BP136+Sheet1!BO136)/694.4</f>
        <v>1.7394873271889404</v>
      </c>
      <c r="FR134" s="560"/>
      <c r="FS134" s="560"/>
      <c r="FT134" s="560"/>
      <c r="FU134" s="560"/>
      <c r="FV134" s="695">
        <f t="shared" si="248"/>
        <v>41827</v>
      </c>
      <c r="FW134" s="695">
        <f t="shared" si="249"/>
        <v>41934</v>
      </c>
      <c r="FX134" s="560"/>
      <c r="FY134" s="560"/>
      <c r="FZ134" s="560"/>
      <c r="GA134" s="560"/>
      <c r="GB134" s="560" t="str">
        <f t="shared" si="250"/>
        <v>n</v>
      </c>
      <c r="GC134" s="564">
        <f t="shared" si="251"/>
        <v>41691</v>
      </c>
      <c r="GD134" s="695">
        <f t="shared" si="252"/>
        <v>41807</v>
      </c>
      <c r="GE134" s="560">
        <v>6518.9</v>
      </c>
      <c r="GF134" s="695">
        <f t="shared" si="253"/>
        <v>41808</v>
      </c>
      <c r="GG134" s="560">
        <f t="shared" si="272"/>
        <v>3259</v>
      </c>
      <c r="GH134" s="564">
        <f t="shared" si="254"/>
        <v>41934</v>
      </c>
      <c r="GJ134" s="545">
        <f t="shared" si="255"/>
        <v>0</v>
      </c>
      <c r="GK134" s="560" t="str">
        <f t="shared" si="331"/>
        <v/>
      </c>
      <c r="GL134" s="560">
        <f t="shared" si="256"/>
        <v>0</v>
      </c>
      <c r="GM134" s="560" t="str">
        <f t="shared" si="257"/>
        <v/>
      </c>
      <c r="GN134" s="560">
        <f>IF(GK134="P",Lookup!$M$12,IF(GK134="PP",Lookup!$M$13,IF(GK134="PPP",Lookup!$M$14,IF(GK134="T",Lookup!$M$15,IF(GK134="TP",Lookup!$M$16,IF(GK134="TPP",Lookup!$M$17,IF(GK134="TPPP",Lookup!$M$18,0)))))))*GJ134</f>
        <v>0</v>
      </c>
      <c r="GO134" s="560">
        <f t="shared" si="258"/>
        <v>0</v>
      </c>
      <c r="GP134" s="560">
        <f t="shared" si="332"/>
        <v>5949.4656000000032</v>
      </c>
      <c r="GQ134" s="560">
        <f t="shared" si="266"/>
        <v>1939.200000000001</v>
      </c>
      <c r="GR134" s="560"/>
      <c r="GS134" s="560">
        <f t="shared" si="259"/>
        <v>0</v>
      </c>
      <c r="GT134" s="560" t="str">
        <f t="shared" si="260"/>
        <v/>
      </c>
      <c r="GU134" s="560">
        <f>IF(GK134="P",Lookup!$N$12,IF(GK134="PP",Lookup!$N$13,IF(GK134="PPP",Lookup!$N$14,IF(GK134="T",Lookup!$N$15,IF(GK134="TP",Lookup!$N$16,IF(GK134="TPP",Lookup!$N$17,IF(GK134="TPPP",Lookup!$N$18,0)))))))*GJ134</f>
        <v>0</v>
      </c>
      <c r="GV134" s="560">
        <f t="shared" si="261"/>
        <v>0</v>
      </c>
      <c r="GW134" s="560">
        <f t="shared" si="333"/>
        <v>2776.4172799999965</v>
      </c>
      <c r="GX134" s="560">
        <f t="shared" si="267"/>
        <v>904.95999999999879</v>
      </c>
      <c r="GY134" s="560"/>
      <c r="GZ134" s="560">
        <f t="shared" si="262"/>
        <v>0</v>
      </c>
      <c r="HA134" s="560" t="str">
        <f t="shared" si="263"/>
        <v/>
      </c>
      <c r="HB134" s="560">
        <f>IF(GK134="P",Lookup!$N$12,IF(GK134="PP",Lookup!$N$13,IF(GK134="PPP",Lookup!$N$14,IF(GK134="T",Lookup!$N$15,IF(GK134="TP",Lookup!$N$16,IF(GK134="TPP",Lookup!$N$17,IF(GK134="TPPP",Lookup!$N$18,0)))))))*GJ134</f>
        <v>0</v>
      </c>
      <c r="HC134" s="545">
        <f t="shared" si="334"/>
        <v>0</v>
      </c>
      <c r="HD134" s="560">
        <f t="shared" si="335"/>
        <v>2196.8884412041266</v>
      </c>
      <c r="HE134" s="560">
        <f t="shared" si="268"/>
        <v>716.06533285662533</v>
      </c>
      <c r="HF134" s="560"/>
      <c r="HG134" s="560">
        <f t="shared" si="264"/>
        <v>0</v>
      </c>
      <c r="HH134" s="560" t="str">
        <f t="shared" si="265"/>
        <v/>
      </c>
      <c r="HI134" s="560">
        <f>IF(GK134="P",Lookup!$N$12,IF(GK134="PP",Lookup!$N$13,IF(GK134="PPP",Lookup!$N$14,IF(GK134="T",Lookup!$N$15,IF(GK134="TP",Lookup!$N$16,IF(GK134="TPP",Lookup!$N$17,IF(GK134="TPPP",Lookup!$N$18,0)))))))*GJ134</f>
        <v>0</v>
      </c>
      <c r="HJ134" s="545">
        <f t="shared" si="336"/>
        <v>0</v>
      </c>
      <c r="HK134" s="560">
        <f t="shared" si="337"/>
        <v>1551.3379275600128</v>
      </c>
      <c r="HL134" s="560">
        <f t="shared" si="269"/>
        <v>505.65121498044743</v>
      </c>
      <c r="HM134" s="560"/>
    </row>
    <row r="135" spans="1:221">
      <c r="A135" s="580" t="s">
        <v>3</v>
      </c>
      <c r="B135" s="556">
        <v>41763</v>
      </c>
      <c r="C135" s="561">
        <v>0</v>
      </c>
      <c r="D135" s="529">
        <f t="shared" si="270"/>
        <v>300</v>
      </c>
      <c r="E135" s="529">
        <f t="shared" si="271"/>
        <v>250</v>
      </c>
      <c r="F135" s="529">
        <v>250</v>
      </c>
      <c r="G135" s="560">
        <f>DR135+Sheet1!CZ137</f>
        <v>1723.3484619262567</v>
      </c>
      <c r="H135" s="914">
        <f t="shared" si="236"/>
        <v>847.00924578913236</v>
      </c>
      <c r="I135" s="559">
        <f>MAX(Sheet1!Z137-AT135+(Sheet1!DA137-E135)*CFStoMGD,0)</f>
        <v>1518.7339999999999</v>
      </c>
      <c r="J135" s="562">
        <f>IF(AND(B135&gt;=Calculation!GC135,B135&lt;=Calculation!GD135),IF(Sheet1!DB137&gt;=Calculation!D135,64.64,0),MAX(Sheet1!Z137-AT135+(Sheet1!DB137-D135)*CFStoMGD,0))</f>
        <v>64.64</v>
      </c>
      <c r="K135" s="904">
        <f t="shared" si="273"/>
        <v>64.64</v>
      </c>
      <c r="L135" s="560">
        <f>Sheet1!AA137+Sheet1!AB137-Sheet1!L137+(Sheet1!DA137-F135)*CFStoMGD</f>
        <v>1493.184</v>
      </c>
      <c r="M135" s="560">
        <f t="shared" si="274"/>
        <v>1136.251894704915</v>
      </c>
      <c r="N135" s="910">
        <f>IF(Sheet1!DA137&gt;=F135,MIN(73,MIN(MAX(L135,0),MAX(M135,0))),0)</f>
        <v>73</v>
      </c>
      <c r="O135" s="563">
        <f>Sheet1!AA137+Sheet1!AB137</f>
        <v>46.66</v>
      </c>
      <c r="P135" s="563">
        <f t="shared" si="275"/>
        <v>72.183019999999999</v>
      </c>
      <c r="Q135" s="898">
        <f t="shared" si="237"/>
        <v>38.049999999999997</v>
      </c>
      <c r="R135" s="829">
        <f t="shared" si="276"/>
        <v>8.6133751470011752</v>
      </c>
      <c r="S135" s="898">
        <f t="shared" si="238"/>
        <v>8.61</v>
      </c>
      <c r="T135" s="898">
        <f t="shared" si="239"/>
        <v>56.03</v>
      </c>
      <c r="U135" s="898">
        <f t="shared" si="240"/>
        <v>0</v>
      </c>
      <c r="V135" s="898"/>
      <c r="W135" s="898">
        <f t="shared" si="241"/>
        <v>56.026624852998822</v>
      </c>
      <c r="X135" s="898">
        <f t="shared" si="242"/>
        <v>64.64</v>
      </c>
      <c r="Y135" s="898" t="str">
        <f t="shared" si="243"/>
        <v>FALSE</v>
      </c>
      <c r="Z135" s="898">
        <f t="shared" si="244"/>
        <v>46.66</v>
      </c>
      <c r="AA135" s="898">
        <f t="shared" si="245"/>
        <v>46.66</v>
      </c>
      <c r="AB135" s="898" t="str">
        <f t="shared" si="246"/>
        <v/>
      </c>
      <c r="AC135" s="563">
        <f>Sheet1!Y137*MGDtoCFS</f>
        <v>32.579819999999998</v>
      </c>
      <c r="AD135" s="563">
        <f>Sheet1!Z137*MGDtoCFS</f>
        <v>39.525849999999998</v>
      </c>
      <c r="AE135" s="563">
        <f>Sheet1!AA137*MGDtoCFS</f>
        <v>32.703580000000002</v>
      </c>
      <c r="AF135" s="563">
        <f>Sheet1!AB137*MGDtoCFS</f>
        <v>39.479439999999997</v>
      </c>
      <c r="AG135" s="563">
        <f>Sheet1!L137*MGDtoCFS</f>
        <v>72.183019999999985</v>
      </c>
      <c r="AH135" s="545">
        <f t="shared" si="277"/>
        <v>0</v>
      </c>
      <c r="AI135" s="560">
        <f t="shared" si="278"/>
        <v>0</v>
      </c>
      <c r="AJ135" s="560">
        <f t="shared" si="279"/>
        <v>56.026624852998822</v>
      </c>
      <c r="AK135" s="560">
        <f t="shared" si="280"/>
        <v>86.673188647589171</v>
      </c>
      <c r="AL135" s="560">
        <f>(VLOOKUP(Sheet1!DC137,hhdcap_wcm,4)-(((VLOOKUP(Sheet1!DC137,hhdcap_wcm,3)-Sheet1!DC137)/(VLOOKUP(Sheet1!DC137,hhdcap_wcm,3)-VLOOKUP(Sheet1!DC137,hhdcap_wcm,1)))*(VLOOKUP(Sheet1!DC137,hhdcap_wcm,4)-VLOOKUP(Sheet1!DC137,hhdcap_wcm,2))))</f>
        <v>39274.000000098102</v>
      </c>
      <c r="AM135" s="560">
        <f t="shared" si="281"/>
        <v>-152.00000000023283</v>
      </c>
      <c r="AN135" s="560">
        <f t="shared" si="282"/>
        <v>4121.9031726900712</v>
      </c>
      <c r="AO135" s="560">
        <f t="shared" si="283"/>
        <v>12645.998933813138</v>
      </c>
      <c r="AP135" s="560">
        <f>Sheet1!BA137+Sheet1!BB137+Sheet1!BN137+CD135</f>
        <v>16.900000000000002</v>
      </c>
      <c r="AQ135" s="560">
        <f>Sheet1!BN137+(DO135*Sheet1!BN137)</f>
        <v>15.305997647981183</v>
      </c>
      <c r="AR135" s="560">
        <f>Sheet1!BA137+CD135</f>
        <v>0</v>
      </c>
      <c r="AS135" s="560">
        <f>Sheet1!BA137+Sheet1!BB137+CD135</f>
        <v>1.6</v>
      </c>
      <c r="AT135" s="698">
        <f>0</f>
        <v>0</v>
      </c>
      <c r="AU135" s="560">
        <f>IF(EB135&lt;K135,0,MAX(Sheet1!AA137+AQ135-15/36*K135-N135,Sheet1!EH137,0))</f>
        <v>0</v>
      </c>
      <c r="AV135" s="560">
        <f>IF(OR(B135&gt;=GD135,B135&lt;GC135),0,15/36*K135-MAX(0,64.6-(137.6-(Sheet1!AA137+Sheet1!AB137))))</f>
        <v>26.933333333333334</v>
      </c>
      <c r="AW135" s="698">
        <f>Sheet1!DB137-110</f>
        <v>1760</v>
      </c>
      <c r="AX135" s="698">
        <f>Sheet1!DA137-265</f>
        <v>2295</v>
      </c>
      <c r="AY135" s="698">
        <f t="shared" si="284"/>
        <v>34.950000000000003</v>
      </c>
      <c r="AZ135" s="698">
        <v>0</v>
      </c>
      <c r="BA135" s="698">
        <f t="shared" si="285"/>
        <v>0</v>
      </c>
      <c r="BB135" s="560">
        <f t="shared" si="286"/>
        <v>1966.1333333333343</v>
      </c>
      <c r="BC135" s="560"/>
      <c r="BD135" s="560">
        <f ca="1">IF(B135&gt;Summary!$A$1,#N/A,BB135*MGtoAF)</f>
        <v>6032.0970666666699</v>
      </c>
      <c r="BE135" s="560">
        <f>Sheet1!BG137+Sheet1!BH137+Sheet1!BI137-BM135</f>
        <v>0</v>
      </c>
      <c r="BF135" s="560">
        <f t="shared" si="287"/>
        <v>0</v>
      </c>
      <c r="BG135" s="560">
        <f>IF(Sheet1!EP137="FM",BM135,0)</f>
        <v>0</v>
      </c>
      <c r="BH135" s="560">
        <f t="shared" si="288"/>
        <v>0</v>
      </c>
      <c r="BI135" s="560">
        <f>IF(Sheet1!EP137="OTHER",BM135,0)</f>
        <v>0</v>
      </c>
      <c r="BJ135" s="560">
        <f t="shared" si="289"/>
        <v>0</v>
      </c>
      <c r="BK135" s="560">
        <f t="shared" si="290"/>
        <v>0</v>
      </c>
      <c r="BL135" s="560">
        <f t="shared" si="291"/>
        <v>0</v>
      </c>
      <c r="BM135" s="560">
        <f>IF(OR(Sheet1!EP137="FM", Sheet1!EP137="OTHER"),SUM(Sheet1!BG137:'Sheet1'!BI137),0)</f>
        <v>0</v>
      </c>
      <c r="BN135" s="545">
        <f>IF(AND($B135&gt;=$FV135,$B135&lt;=$FW135),MAX(BF135,Sheet1!EI137,0),MAX(BF135-(7/36)*$K135,0))</f>
        <v>0</v>
      </c>
      <c r="BO135" s="560">
        <f t="shared" si="292"/>
        <v>12.568888888888889</v>
      </c>
      <c r="BP135" s="545">
        <f t="shared" si="293"/>
        <v>0</v>
      </c>
      <c r="BQ135" s="545">
        <f>IF(AND($O135&gt;0,Sheet1!EM137=1),(1-($O135-Sheet1!$L137)/$O135)*BL135,0)</f>
        <v>0</v>
      </c>
      <c r="BR135" s="545">
        <f>IF(AND(Sheet1!$L137=0,Sheet1!$L136=0, Calculation!BK135&lt;Sheet1!$EI137-0.1,Sheet1!$EI137=Sheet1!$EI136,Sheet1!$EI137=Sheet1!$EI138),Sheet1!$EI137,BL135-BQ135)</f>
        <v>0</v>
      </c>
      <c r="BS135" s="560"/>
      <c r="BT135" s="560"/>
      <c r="BU135" s="560">
        <f t="shared" si="294"/>
        <v>917.52888888888765</v>
      </c>
      <c r="BV135" s="560"/>
      <c r="BW135" s="560">
        <f ca="1">IF(B135&gt;Summary!$A$1,#N/A,BU135*MGtoAF)</f>
        <v>2814.9786311111075</v>
      </c>
      <c r="BX135" s="560">
        <f>Sheet1!BC137+Sheet1!BD137+Sheet1!BE137+Sheet1!BF137-CG135-CH135</f>
        <v>3.48</v>
      </c>
      <c r="BY135" s="560">
        <f t="shared" si="295"/>
        <v>3.4813641709133671</v>
      </c>
      <c r="BZ135" s="560">
        <f>IF(Sheet1!EQ137="FM",CH135,0)</f>
        <v>0</v>
      </c>
      <c r="CA135" s="560">
        <f t="shared" si="296"/>
        <v>0</v>
      </c>
      <c r="CB135" s="560">
        <f>IF(Sheet1!EQ137="OTHER",CH135,0)</f>
        <v>0</v>
      </c>
      <c r="CC135" s="560">
        <f t="shared" si="297"/>
        <v>0</v>
      </c>
      <c r="CD135" s="560">
        <f t="shared" si="298"/>
        <v>0</v>
      </c>
      <c r="CE135" s="560">
        <f t="shared" si="299"/>
        <v>3.48</v>
      </c>
      <c r="CF135" s="560">
        <f t="shared" si="300"/>
        <v>3.4813641709133671</v>
      </c>
      <c r="CG135" s="560">
        <f>IF(Sheet1!EQ137="CWA",SUM(Sheet1!BC137:'Sheet1'!BF137),0)</f>
        <v>0</v>
      </c>
      <c r="CH135" s="560">
        <f>IF(OR(Sheet1!EQ137="FM", Sheet1!EQ137="OTHER"),SUM(Sheet1!BC137:'Sheet1'!BF137),0)</f>
        <v>0</v>
      </c>
      <c r="CI135" s="545">
        <f>IF(AND($B135&gt;=$FV135,$B135&lt;=$FW135),MAX(CF135,Sheet1!EJ137,0),MAX(CF135-(7/36)*$K135,0))</f>
        <v>0</v>
      </c>
      <c r="CJ135" s="560">
        <f t="shared" si="301"/>
        <v>9.0875247179755227</v>
      </c>
      <c r="CK135" s="545">
        <f t="shared" si="302"/>
        <v>3.4813641709133671</v>
      </c>
      <c r="CL135" s="545">
        <f>IF(AND($O135&gt;0,Sheet1!EN137=1),(1-($O135-Sheet1!$L137)/$O135)*CF135,0)</f>
        <v>0</v>
      </c>
      <c r="CM135" s="545">
        <f>IF(AND(Sheet1!$L137=0,Sheet1!$L136=0, Calculation!CE135&lt;Sheet1!EJ137-0.1,Sheet1!EJ137=Sheet1!EJ136,Sheet1!EJ137=Sheet1!EJ138),Sheet1!EJ137,CF135-CL135)</f>
        <v>3.4813641709133671</v>
      </c>
      <c r="CN135" s="545"/>
      <c r="CO135" s="560"/>
      <c r="CP135" s="560">
        <f t="shared" si="303"/>
        <v>725.15285757460083</v>
      </c>
      <c r="CQ135" s="560"/>
      <c r="CR135" s="560">
        <f ca="1">IF(B135&gt;Summary!$A$1,#N/A,CP135*MGtoAF)</f>
        <v>2224.7689670388754</v>
      </c>
      <c r="CS135" s="560">
        <f>Sheet1!BK137+Sheet1!BL137+Sheet1!BM137-Sheet1!ER137-DA135</f>
        <v>5.13</v>
      </c>
      <c r="CT135" s="560">
        <f t="shared" si="304"/>
        <v>5.1320109760878081</v>
      </c>
      <c r="CU135" s="560">
        <f>IF(Sheet1!ER137="FM",DA135,0)</f>
        <v>0</v>
      </c>
      <c r="CV135" s="560">
        <f t="shared" si="305"/>
        <v>0</v>
      </c>
      <c r="CW135" s="560">
        <f>IF(Sheet1!ER137="OTHER",DA135,0)</f>
        <v>0</v>
      </c>
      <c r="CX135" s="560">
        <f t="shared" si="306"/>
        <v>0</v>
      </c>
      <c r="CY135" s="560">
        <f t="shared" si="307"/>
        <v>5.13</v>
      </c>
      <c r="CZ135" s="560">
        <f t="shared" si="308"/>
        <v>5.1320109760878081</v>
      </c>
      <c r="DA135" s="560">
        <f>IF(OR(Sheet1!ER137="FM", Sheet1!ER137="OTHER"),SUM(Sheet1!BK137:'Sheet1'!BM137),0)</f>
        <v>0</v>
      </c>
      <c r="DB135" s="545">
        <f>IF(AND($B135&gt;=$FV135,$B135&lt;=$FW135),MAX($CT135,Sheet1!EK137,0),MAX($CT135-(7/36)*$K135,0))</f>
        <v>0</v>
      </c>
      <c r="DC135" s="560">
        <f t="shared" si="309"/>
        <v>7.4368779128010809</v>
      </c>
      <c r="DD135" s="545">
        <f t="shared" si="310"/>
        <v>5.1320109760878081</v>
      </c>
      <c r="DE135" s="545">
        <f>IF(AND($O135&gt;0,Sheet1!EO137=1),(1-($O135-Sheet1!$L137)/$O135)*CZ135,0)</f>
        <v>0</v>
      </c>
      <c r="DF135" s="545">
        <f>IF(AND(Sheet1!$L137=0,Sheet1!$L136=0, Calculation!CY135&lt;Sheet1!$EK137-0.1,Sheet1!$EK137=Sheet1!$EK136,Sheet1!$EK137=Sheet1!$EK138),Sheet1!$EK137,CZ135-DE135)</f>
        <v>5.1320109760878081</v>
      </c>
      <c r="DG135" s="545"/>
      <c r="DH135" s="560">
        <f t="shared" si="311"/>
        <v>8.61</v>
      </c>
      <c r="DI135" s="560">
        <f t="shared" si="312"/>
        <v>513.08809289324847</v>
      </c>
      <c r="DJ135" s="698">
        <f t="shared" si="313"/>
        <v>8.6133751470011752</v>
      </c>
      <c r="DK135" s="560">
        <f ca="1">IF(B135&gt;Summary!$A$1,#N/A,DI135*MGtoAF)</f>
        <v>1574.1542689964863</v>
      </c>
      <c r="DL135" s="698">
        <f t="shared" si="314"/>
        <v>8.61</v>
      </c>
      <c r="DM135" s="560">
        <f t="shared" si="315"/>
        <v>25.51</v>
      </c>
      <c r="DN135" s="560">
        <f>Sheet1!AB137-DM135</f>
        <v>9.9999999999980105E-3</v>
      </c>
      <c r="DO135" s="823">
        <f t="shared" si="316"/>
        <v>3.9200313602501019E-4</v>
      </c>
      <c r="DP135" s="560">
        <f>(VLOOKUP(Sheet1!DC137,hhdcap_wcm,4)-(((VLOOKUP(Sheet1!DC137,hhdcap_wcm,3)-Sheet1!DC137)/(VLOOKUP(Sheet1!DC137,hhdcap_wcm,3)-VLOOKUP(Sheet1!DC137,hhdcap_wcm,1)))*(VLOOKUP(Sheet1!DC137,hhdcap_wcm,4)-VLOOKUP(Sheet1!DC137,hhdcap_wcm,2))))</f>
        <v>39274.000000098102</v>
      </c>
      <c r="DQ135" s="560">
        <f t="shared" si="317"/>
        <v>-152.00000000023283</v>
      </c>
      <c r="DR135" s="560">
        <f t="shared" si="318"/>
        <v>-76.651538073743225</v>
      </c>
      <c r="DS135" s="560">
        <f>Sheet1!EA137*AFtoMG</f>
        <v>0</v>
      </c>
      <c r="DT135" s="560">
        <f>Sheet1!EB137*AFtoMG</f>
        <v>0</v>
      </c>
      <c r="DU135" s="560">
        <f>Sheet1!EC137*AFtoMG</f>
        <v>0</v>
      </c>
      <c r="DV135" s="560">
        <f>Sheet1!ED137*AFtoMG</f>
        <v>0</v>
      </c>
      <c r="DW135" s="560">
        <f t="shared" si="319"/>
        <v>0</v>
      </c>
      <c r="DX135" s="560">
        <f t="shared" si="320"/>
        <v>0</v>
      </c>
      <c r="DY135" s="560">
        <f t="shared" si="321"/>
        <v>4121.9031726900712</v>
      </c>
      <c r="DZ135" s="560">
        <f t="shared" si="322"/>
        <v>12645.998933813138</v>
      </c>
      <c r="EA135" s="560"/>
      <c r="EB135" s="545">
        <f>IF(OR(B135&lt;FV135,B135&gt;FW135),(MIN(BF135+BY135+CT135+MAX(Sheet1!AA137+AQ135-73,0),K135)),0)</f>
        <v>8.6133751470011752</v>
      </c>
      <c r="EC135" s="560"/>
      <c r="ED135" s="560">
        <f t="shared" si="323"/>
        <v>8.6133751470011752</v>
      </c>
      <c r="EE135" s="560"/>
      <c r="EF135" s="560">
        <f>Sheet1!EH137+Sheet1!EI137+Sheet1!EJ137+Sheet1!EK137</f>
        <v>8.61</v>
      </c>
      <c r="EG135" s="560"/>
      <c r="EH135" s="545">
        <f t="shared" si="324"/>
        <v>0</v>
      </c>
      <c r="EI135" s="560">
        <f>IF(Sheet1!ET137=1,SUM('Calculations II'!AT135:BA135)+'Calculations II'!BC135+Sheet1!BV137+'Calculations II'!BE135+AP135,SUM('Calculations II'!AT135:BA135)+'Calculations II'!BC135+Sheet1!BV137+'Calculations II'!BE135+AP135)</f>
        <v>49.957616000000002</v>
      </c>
      <c r="EJ135" s="560">
        <f>Sheet1!AA137+Sheet1!AB137+'Calculations II'!BC135</f>
        <v>58.822384</v>
      </c>
      <c r="EK135" s="560"/>
      <c r="EL135" s="560"/>
      <c r="EM135" s="560">
        <f t="shared" si="325"/>
        <v>41763</v>
      </c>
      <c r="EN135" s="560">
        <f t="shared" si="326"/>
        <v>56.026624852998822</v>
      </c>
      <c r="EO135" s="560">
        <f t="shared" si="327"/>
        <v>86.673188647589171</v>
      </c>
      <c r="EP135" s="560">
        <v>0</v>
      </c>
      <c r="EQ135" s="560">
        <v>0</v>
      </c>
      <c r="ER135" s="560">
        <v>0</v>
      </c>
      <c r="ES135" s="545">
        <f t="shared" si="247"/>
        <v>-4.7104435370929387</v>
      </c>
      <c r="ET135" s="560">
        <f>-(VLOOKUP(Sheet1!BQ137,Lookup!$O$4:$Q$262,2)-VLOOKUP(Sheet1!BQ136,Lookup!$O$4:$Q$262,2))/1000000</f>
        <v>-2.3552217685464694</v>
      </c>
      <c r="EU135" s="560">
        <f>-(VLOOKUP(Sheet1!BR137,Lookup!$O$4:$Q$262,3)-VLOOKUP(Sheet1!BR136,Lookup!$O$4:$Q$262,3))/1000000</f>
        <v>-2.3552217685464694</v>
      </c>
      <c r="EV135" s="560"/>
      <c r="EW135" s="560"/>
      <c r="EX135" s="560"/>
      <c r="EY135" s="560"/>
      <c r="EZ135" s="560"/>
      <c r="FA135" s="560"/>
      <c r="FB135" s="560"/>
      <c r="FC135" s="560"/>
      <c r="FD135" s="594" t="e">
        <f t="shared" si="328"/>
        <v>#N/A</v>
      </c>
      <c r="FE135" s="594" t="e">
        <f t="shared" si="329"/>
        <v>#N/A</v>
      </c>
      <c r="FF135" s="595" t="e">
        <f t="shared" si="330"/>
        <v>#N/A</v>
      </c>
      <c r="FG135" s="596" t="s">
        <v>692</v>
      </c>
      <c r="FH135" s="596" t="s">
        <v>692</v>
      </c>
      <c r="FI135" s="594" t="e">
        <v>#N/A</v>
      </c>
      <c r="FJ135" s="594" t="e">
        <v>#N/A</v>
      </c>
      <c r="FK135" s="560"/>
      <c r="FL135" s="560"/>
      <c r="FM135" s="560"/>
      <c r="FN135" s="560"/>
      <c r="FO135" s="560">
        <f>O135+((Sheet1!CS137)*GPMtoMGD)</f>
        <v>58.822384</v>
      </c>
      <c r="FP135" s="560">
        <f>IF(Sheet1!AA137+AQ135&lt;=Calculation!N135,AQ135,Calculation!N135-Sheet1!AA137)</f>
        <v>15.305997647981183</v>
      </c>
      <c r="FQ135" s="560">
        <f>(Sheet1!BP137+Sheet1!BO137)/694.4</f>
        <v>1.7131336405529953</v>
      </c>
      <c r="FR135" s="560"/>
      <c r="FS135" s="560"/>
      <c r="FT135" s="560"/>
      <c r="FU135" s="560"/>
      <c r="FV135" s="695">
        <f t="shared" si="248"/>
        <v>41827</v>
      </c>
      <c r="FW135" s="695">
        <f t="shared" si="249"/>
        <v>41934</v>
      </c>
      <c r="FX135" s="560"/>
      <c r="FY135" s="560"/>
      <c r="FZ135" s="560"/>
      <c r="GA135" s="560"/>
      <c r="GB135" s="560" t="str">
        <f t="shared" si="250"/>
        <v>n</v>
      </c>
      <c r="GC135" s="564">
        <f t="shared" si="251"/>
        <v>41691</v>
      </c>
      <c r="GD135" s="695">
        <f t="shared" si="252"/>
        <v>41807</v>
      </c>
      <c r="GE135" s="560">
        <v>6518.9</v>
      </c>
      <c r="GF135" s="695">
        <f t="shared" si="253"/>
        <v>41808</v>
      </c>
      <c r="GG135" s="560">
        <f t="shared" si="272"/>
        <v>3259</v>
      </c>
      <c r="GH135" s="564">
        <f t="shared" si="254"/>
        <v>41934</v>
      </c>
      <c r="GJ135" s="545">
        <f t="shared" si="255"/>
        <v>0</v>
      </c>
      <c r="GK135" s="560" t="str">
        <f t="shared" si="331"/>
        <v/>
      </c>
      <c r="GL135" s="560">
        <f t="shared" si="256"/>
        <v>0</v>
      </c>
      <c r="GM135" s="560" t="str">
        <f t="shared" si="257"/>
        <v/>
      </c>
      <c r="GN135" s="560">
        <f>IF(GK135="P",Lookup!$M$12,IF(GK135="PP",Lookup!$M$13,IF(GK135="PPP",Lookup!$M$14,IF(GK135="T",Lookup!$M$15,IF(GK135="TP",Lookup!$M$16,IF(GK135="TPP",Lookup!$M$17,IF(GK135="TPPP",Lookup!$M$18,0)))))))*GJ135</f>
        <v>0</v>
      </c>
      <c r="GO135" s="560">
        <f t="shared" si="258"/>
        <v>0</v>
      </c>
      <c r="GP135" s="560">
        <f t="shared" si="332"/>
        <v>6032.0970666666699</v>
      </c>
      <c r="GQ135" s="560">
        <f t="shared" si="266"/>
        <v>1966.1333333333343</v>
      </c>
      <c r="GR135" s="560"/>
      <c r="GS135" s="560">
        <f t="shared" si="259"/>
        <v>0</v>
      </c>
      <c r="GT135" s="560" t="str">
        <f t="shared" si="260"/>
        <v/>
      </c>
      <c r="GU135" s="560">
        <f>IF(GK135="P",Lookup!$N$12,IF(GK135="PP",Lookup!$N$13,IF(GK135="PPP",Lookup!$N$14,IF(GK135="T",Lookup!$N$15,IF(GK135="TP",Lookup!$N$16,IF(GK135="TPP",Lookup!$N$17,IF(GK135="TPPP",Lookup!$N$18,0)))))))*GJ135</f>
        <v>0</v>
      </c>
      <c r="GV135" s="560">
        <f t="shared" si="261"/>
        <v>0</v>
      </c>
      <c r="GW135" s="560">
        <f t="shared" si="333"/>
        <v>2814.9786311111075</v>
      </c>
      <c r="GX135" s="560">
        <f t="shared" si="267"/>
        <v>917.52888888888765</v>
      </c>
      <c r="GY135" s="560"/>
      <c r="GZ135" s="560">
        <f t="shared" si="262"/>
        <v>0</v>
      </c>
      <c r="HA135" s="560" t="str">
        <f t="shared" si="263"/>
        <v/>
      </c>
      <c r="HB135" s="560">
        <f>IF(GK135="P",Lookup!$N$12,IF(GK135="PP",Lookup!$N$13,IF(GK135="PPP",Lookup!$N$14,IF(GK135="T",Lookup!$N$15,IF(GK135="TP",Lookup!$N$16,IF(GK135="TPP",Lookup!$N$17,IF(GK135="TPPP",Lookup!$N$18,0)))))))*GJ135</f>
        <v>0</v>
      </c>
      <c r="HC135" s="545">
        <f t="shared" si="334"/>
        <v>0</v>
      </c>
      <c r="HD135" s="560">
        <f t="shared" si="335"/>
        <v>2224.7689670388754</v>
      </c>
      <c r="HE135" s="560">
        <f t="shared" si="268"/>
        <v>725.15285757460083</v>
      </c>
      <c r="HF135" s="560"/>
      <c r="HG135" s="560">
        <f t="shared" si="264"/>
        <v>0</v>
      </c>
      <c r="HH135" s="560" t="str">
        <f t="shared" si="265"/>
        <v/>
      </c>
      <c r="HI135" s="560">
        <f>IF(GK135="P",Lookup!$N$12,IF(GK135="PP",Lookup!$N$13,IF(GK135="PPP",Lookup!$N$14,IF(GK135="T",Lookup!$N$15,IF(GK135="TP",Lookup!$N$16,IF(GK135="TPP",Lookup!$N$17,IF(GK135="TPPP",Lookup!$N$18,0)))))))*GJ135</f>
        <v>0</v>
      </c>
      <c r="HJ135" s="545">
        <f t="shared" si="336"/>
        <v>0</v>
      </c>
      <c r="HK135" s="560">
        <f t="shared" si="337"/>
        <v>1574.1542689964863</v>
      </c>
      <c r="HL135" s="560">
        <f t="shared" si="269"/>
        <v>513.08809289324847</v>
      </c>
      <c r="HM135" s="560"/>
    </row>
    <row r="136" spans="1:221">
      <c r="A136" s="580" t="s">
        <v>4</v>
      </c>
      <c r="B136" s="556">
        <v>41764</v>
      </c>
      <c r="C136" s="561">
        <v>0</v>
      </c>
      <c r="D136" s="529">
        <f t="shared" si="270"/>
        <v>300</v>
      </c>
      <c r="E136" s="529">
        <f t="shared" si="271"/>
        <v>250</v>
      </c>
      <c r="F136" s="529">
        <v>250</v>
      </c>
      <c r="G136" s="560">
        <f>DR136+Sheet1!CZ138</f>
        <v>1580.4185577414014</v>
      </c>
      <c r="H136" s="914">
        <f t="shared" ref="H136:H173" si="338">MAX((G136-113-D136)*CFStoMGD,0)</f>
        <v>754.61935572404184</v>
      </c>
      <c r="I136" s="559">
        <f>MAX(Sheet1!Z138-AT136+(Sheet1!DA138-E136)*CFStoMGD,0)</f>
        <v>1318.32</v>
      </c>
      <c r="J136" s="562">
        <f>IF(AND(B136&gt;=Calculation!GC136,B136&lt;=Calculation!GD136),IF(Sheet1!DB138&gt;=Calculation!D136,64.64,0),MAX(Sheet1!Z138-AT136+(Sheet1!DB138-D136)*CFStoMGD,0))</f>
        <v>64.64</v>
      </c>
      <c r="K136" s="904">
        <f t="shared" si="273"/>
        <v>64.64</v>
      </c>
      <c r="L136" s="560">
        <f>Sheet1!AA138+Sheet1!AB138-Sheet1!L138+(Sheet1!DA138-F136)*CFStoMGD</f>
        <v>1292.8</v>
      </c>
      <c r="M136" s="560">
        <f t="shared" si="274"/>
        <v>1042.0142068385228</v>
      </c>
      <c r="N136" s="910">
        <f>IF(Sheet1!DA138&gt;=F136,MIN(73,MIN(MAX(L136,0),MAX(M136,0))),0)</f>
        <v>73</v>
      </c>
      <c r="O136" s="563">
        <f>Sheet1!AA138+Sheet1!AB138</f>
        <v>46.63</v>
      </c>
      <c r="P136" s="563">
        <f t="shared" si="275"/>
        <v>72.13660999999999</v>
      </c>
      <c r="Q136" s="898">
        <f t="shared" si="237"/>
        <v>38.1</v>
      </c>
      <c r="R136" s="829">
        <f t="shared" si="276"/>
        <v>8.4967186890362854</v>
      </c>
      <c r="S136" s="898">
        <f t="shared" si="238"/>
        <v>8.5300000000000011</v>
      </c>
      <c r="T136" s="898">
        <f t="shared" si="239"/>
        <v>56.11</v>
      </c>
      <c r="U136" s="898">
        <f t="shared" si="240"/>
        <v>0</v>
      </c>
      <c r="V136" s="898"/>
      <c r="W136" s="898">
        <f t="shared" si="241"/>
        <v>56.143281310963715</v>
      </c>
      <c r="X136" s="898">
        <f t="shared" si="242"/>
        <v>64.64</v>
      </c>
      <c r="Y136" s="898" t="str">
        <f t="shared" si="243"/>
        <v>FALSE</v>
      </c>
      <c r="Z136" s="898">
        <f t="shared" si="244"/>
        <v>46.63</v>
      </c>
      <c r="AA136" s="898">
        <f t="shared" si="245"/>
        <v>46.63</v>
      </c>
      <c r="AB136" s="898" t="str">
        <f t="shared" si="246"/>
        <v/>
      </c>
      <c r="AC136" s="563">
        <f>Sheet1!Y138*MGDtoCFS</f>
        <v>32.703580000000002</v>
      </c>
      <c r="AD136" s="563">
        <f>Sheet1!Z138*MGDtoCFS</f>
        <v>39.479439999999997</v>
      </c>
      <c r="AE136" s="563">
        <f>Sheet1!AA138*MGDtoCFS</f>
        <v>32.6417</v>
      </c>
      <c r="AF136" s="563">
        <f>Sheet1!AB138*MGDtoCFS</f>
        <v>39.494909999999997</v>
      </c>
      <c r="AG136" s="563">
        <f>Sheet1!L138*MGDtoCFS</f>
        <v>72.136610000000005</v>
      </c>
      <c r="AH136" s="545">
        <f t="shared" si="277"/>
        <v>0</v>
      </c>
      <c r="AI136" s="560">
        <f t="shared" si="278"/>
        <v>0</v>
      </c>
      <c r="AJ136" s="560">
        <f t="shared" si="279"/>
        <v>56.143281310963715</v>
      </c>
      <c r="AK136" s="560">
        <f t="shared" si="280"/>
        <v>86.853656188060867</v>
      </c>
      <c r="AL136" s="560">
        <f>(VLOOKUP(Sheet1!DC138,hhdcap_wcm,4)-(((VLOOKUP(Sheet1!DC138,hhdcap_wcm,3)-Sheet1!DC138)/(VLOOKUP(Sheet1!DC138,hhdcap_wcm,3)-VLOOKUP(Sheet1!DC138,hhdcap_wcm,1)))*(VLOOKUP(Sheet1!DC138,hhdcap_wcm,4)-VLOOKUP(Sheet1!DC138,hhdcap_wcm,2))))</f>
        <v>39651.600000099301</v>
      </c>
      <c r="AM136" s="560">
        <f t="shared" si="281"/>
        <v>377.60000000119908</v>
      </c>
      <c r="AN136" s="560">
        <f t="shared" si="282"/>
        <v>4178.0464540010353</v>
      </c>
      <c r="AO136" s="560">
        <f t="shared" si="283"/>
        <v>12818.246520875176</v>
      </c>
      <c r="AP136" s="560">
        <f>Sheet1!BA138+Sheet1!BB138+Sheet1!BN138+CD136</f>
        <v>17.100000000000001</v>
      </c>
      <c r="AQ136" s="560">
        <f>Sheet1!BN138+(DO136*Sheet1!BN138)</f>
        <v>15.439523995317986</v>
      </c>
      <c r="AR136" s="560">
        <f>Sheet1!BA138+CD136</f>
        <v>0</v>
      </c>
      <c r="AS136" s="560">
        <f>Sheet1!BA138+Sheet1!BB138+CD136</f>
        <v>1.6</v>
      </c>
      <c r="AT136" s="698">
        <f>0</f>
        <v>0</v>
      </c>
      <c r="AU136" s="560">
        <f>IF(EB136&lt;K136,0,MAX(Sheet1!AA138+AQ136-15/36*K136-N136,Sheet1!EH138,0))</f>
        <v>0</v>
      </c>
      <c r="AV136" s="560">
        <f>IF(OR(B136&gt;=GD136,B136&lt;GC136),0,15/36*K136-MAX(0,64.6-(137.6-(Sheet1!AA138+Sheet1!AB138))))</f>
        <v>26.933333333333334</v>
      </c>
      <c r="AW136" s="698">
        <f>Sheet1!DB138-110</f>
        <v>1360</v>
      </c>
      <c r="AX136" s="698">
        <f>Sheet1!DA138-265</f>
        <v>1985</v>
      </c>
      <c r="AY136" s="698">
        <f t="shared" si="284"/>
        <v>34.9</v>
      </c>
      <c r="AZ136" s="698">
        <v>0</v>
      </c>
      <c r="BA136" s="698">
        <f t="shared" si="285"/>
        <v>0</v>
      </c>
      <c r="BB136" s="560">
        <f t="shared" si="286"/>
        <v>1993.0666666666677</v>
      </c>
      <c r="BC136" s="560"/>
      <c r="BD136" s="560">
        <f ca="1">IF(B136&gt;Summary!$A$1,#N/A,BB136*MGtoAF)</f>
        <v>6114.7285333333366</v>
      </c>
      <c r="BE136" s="560">
        <f>Sheet1!BG138+Sheet1!BH138+Sheet1!BI138-BM136</f>
        <v>0</v>
      </c>
      <c r="BF136" s="560">
        <f t="shared" si="287"/>
        <v>0</v>
      </c>
      <c r="BG136" s="560">
        <f>IF(Sheet1!EP138="FM",BM136,0)</f>
        <v>0</v>
      </c>
      <c r="BH136" s="560">
        <f t="shared" si="288"/>
        <v>0</v>
      </c>
      <c r="BI136" s="560">
        <f>IF(Sheet1!EP138="OTHER",BM136,0)</f>
        <v>0</v>
      </c>
      <c r="BJ136" s="560">
        <f t="shared" si="289"/>
        <v>0</v>
      </c>
      <c r="BK136" s="560">
        <f t="shared" si="290"/>
        <v>0</v>
      </c>
      <c r="BL136" s="560">
        <f t="shared" si="291"/>
        <v>0</v>
      </c>
      <c r="BM136" s="560">
        <f>IF(OR(Sheet1!EP138="FM", Sheet1!EP138="OTHER"),SUM(Sheet1!BG138:'Sheet1'!BI138),0)</f>
        <v>0</v>
      </c>
      <c r="BN136" s="545">
        <f>IF(AND($B136&gt;=$FV136,$B136&lt;=$FW136),MAX(BF136,Sheet1!EI138,0),MAX(BF136-(7/36)*$K136,0))</f>
        <v>0</v>
      </c>
      <c r="BO136" s="560">
        <f t="shared" si="292"/>
        <v>12.568888888888889</v>
      </c>
      <c r="BP136" s="545">
        <f t="shared" si="293"/>
        <v>0</v>
      </c>
      <c r="BQ136" s="545">
        <f>IF(AND($O136&gt;0,Sheet1!EM138=1),(1-($O136-Sheet1!$L138)/$O136)*BL136,0)</f>
        <v>0</v>
      </c>
      <c r="BR136" s="545">
        <f>IF(AND(Sheet1!$L138=0,Sheet1!$L137=0, Calculation!BK136&lt;Sheet1!$EI138-0.1,Sheet1!$EI138=Sheet1!$EI137,Sheet1!$EI138=Sheet1!$EI139),Sheet1!$EI138,BL136-BQ136)</f>
        <v>0</v>
      </c>
      <c r="BS136" s="560"/>
      <c r="BT136" s="560"/>
      <c r="BU136" s="560">
        <f t="shared" si="294"/>
        <v>930.09777777777651</v>
      </c>
      <c r="BV136" s="560"/>
      <c r="BW136" s="560">
        <f ca="1">IF(B136&gt;Summary!$A$1,#N/A,BU136*MGtoAF)</f>
        <v>2853.5399822222184</v>
      </c>
      <c r="BX136" s="560">
        <f>Sheet1!BC138+Sheet1!BD138+Sheet1!BE138+Sheet1!BF138-CG136-CH136</f>
        <v>3.5</v>
      </c>
      <c r="BY136" s="560">
        <f t="shared" si="295"/>
        <v>3.4863441279750291</v>
      </c>
      <c r="BZ136" s="560">
        <f>IF(Sheet1!EQ138="FM",CH136,0)</f>
        <v>0</v>
      </c>
      <c r="CA136" s="560">
        <f t="shared" si="296"/>
        <v>0</v>
      </c>
      <c r="CB136" s="560">
        <f>IF(Sheet1!EQ138="OTHER",CH136,0)</f>
        <v>0</v>
      </c>
      <c r="CC136" s="560">
        <f t="shared" si="297"/>
        <v>0</v>
      </c>
      <c r="CD136" s="560">
        <f t="shared" si="298"/>
        <v>0</v>
      </c>
      <c r="CE136" s="560">
        <f t="shared" si="299"/>
        <v>3.5</v>
      </c>
      <c r="CF136" s="560">
        <f t="shared" si="300"/>
        <v>3.4863441279750291</v>
      </c>
      <c r="CG136" s="560">
        <f>IF(Sheet1!EQ138="CWA",SUM(Sheet1!BC138:'Sheet1'!BF138),0)</f>
        <v>0</v>
      </c>
      <c r="CH136" s="560">
        <f>IF(OR(Sheet1!EQ138="FM", Sheet1!EQ138="OTHER"),SUM(Sheet1!BC138:'Sheet1'!BF138),0)</f>
        <v>0</v>
      </c>
      <c r="CI136" s="545">
        <f>IF(AND($B136&gt;=$FV136,$B136&lt;=$FW136),MAX(CF136,Sheet1!EJ138,0),MAX(CF136-(7/36)*$K136,0))</f>
        <v>0</v>
      </c>
      <c r="CJ136" s="560">
        <f t="shared" si="301"/>
        <v>9.0825447609138603</v>
      </c>
      <c r="CK136" s="545">
        <f t="shared" si="302"/>
        <v>3.4863441279750291</v>
      </c>
      <c r="CL136" s="545">
        <f>IF(AND($O136&gt;0,Sheet1!EN138=1),(1-($O136-Sheet1!$L138)/$O136)*CF136,0)</f>
        <v>0</v>
      </c>
      <c r="CM136" s="545">
        <f>IF(AND(Sheet1!$L138=0,Sheet1!$L137=0, Calculation!CE136&lt;Sheet1!EJ138-0.1,Sheet1!EJ138=Sheet1!EJ137,Sheet1!EJ138=Sheet1!EJ139),Sheet1!EJ138,CF136-CL136)</f>
        <v>3.4863441279750291</v>
      </c>
      <c r="CN136" s="545"/>
      <c r="CO136" s="560"/>
      <c r="CP136" s="560">
        <f t="shared" si="303"/>
        <v>734.23540233551466</v>
      </c>
      <c r="CQ136" s="560"/>
      <c r="CR136" s="560">
        <f ca="1">IF(B136&gt;Summary!$A$1,#N/A,CP136*MGtoAF)</f>
        <v>2252.6342143653592</v>
      </c>
      <c r="CS136" s="560">
        <f>Sheet1!BK138+Sheet1!BL138+Sheet1!BM138-Sheet1!ER138-DA136</f>
        <v>5.03</v>
      </c>
      <c r="CT136" s="560">
        <f t="shared" si="304"/>
        <v>5.0103745610612567</v>
      </c>
      <c r="CU136" s="560">
        <f>IF(Sheet1!ER138="FM",DA136,0)</f>
        <v>0</v>
      </c>
      <c r="CV136" s="560">
        <f t="shared" si="305"/>
        <v>0</v>
      </c>
      <c r="CW136" s="560">
        <f>IF(Sheet1!ER138="OTHER",DA136,0)</f>
        <v>0</v>
      </c>
      <c r="CX136" s="560">
        <f t="shared" si="306"/>
        <v>0</v>
      </c>
      <c r="CY136" s="560">
        <f t="shared" si="307"/>
        <v>5.03</v>
      </c>
      <c r="CZ136" s="560">
        <f t="shared" si="308"/>
        <v>5.0103745610612567</v>
      </c>
      <c r="DA136" s="560">
        <f>IF(OR(Sheet1!ER138="FM", Sheet1!ER138="OTHER"),SUM(Sheet1!BK138:'Sheet1'!BM138),0)</f>
        <v>0</v>
      </c>
      <c r="DB136" s="545">
        <f>IF(AND($B136&gt;=$FV136,$B136&lt;=$FW136),MAX($CT136,Sheet1!EK138,0),MAX($CT136-(7/36)*$K136,0))</f>
        <v>0</v>
      </c>
      <c r="DC136" s="560">
        <f t="shared" si="309"/>
        <v>7.5585143278276323</v>
      </c>
      <c r="DD136" s="545">
        <f t="shared" si="310"/>
        <v>5.0103745610612567</v>
      </c>
      <c r="DE136" s="545">
        <f>IF(AND($O136&gt;0,Sheet1!EO138=1),(1-($O136-Sheet1!$L138)/$O136)*CZ136,0)</f>
        <v>0</v>
      </c>
      <c r="DF136" s="545">
        <f>IF(AND(Sheet1!$L138=0,Sheet1!$L137=0, Calculation!CY136&lt;Sheet1!$EK138-0.1,Sheet1!$EK138=Sheet1!$EK137,Sheet1!$EK138=Sheet1!$EK139),Sheet1!$EK138,CZ136-DE136)</f>
        <v>5.0103745610612567</v>
      </c>
      <c r="DG136" s="545"/>
      <c r="DH136" s="560">
        <f t="shared" si="311"/>
        <v>8.5300000000000011</v>
      </c>
      <c r="DI136" s="560">
        <f t="shared" si="312"/>
        <v>520.64660722107612</v>
      </c>
      <c r="DJ136" s="698">
        <f t="shared" si="313"/>
        <v>8.4967186890362854</v>
      </c>
      <c r="DK136" s="560">
        <f ca="1">IF(B136&gt;Summary!$A$1,#N/A,DI136*MGtoAF)</f>
        <v>1597.3437909542615</v>
      </c>
      <c r="DL136" s="698">
        <f t="shared" si="314"/>
        <v>8.5300000000000011</v>
      </c>
      <c r="DM136" s="560">
        <f t="shared" si="315"/>
        <v>25.630000000000003</v>
      </c>
      <c r="DN136" s="560">
        <f>Sheet1!AB138-DM136</f>
        <v>-0.10000000000000142</v>
      </c>
      <c r="DO136" s="823">
        <f t="shared" si="316"/>
        <v>-3.9016777214202656E-3</v>
      </c>
      <c r="DP136" s="560">
        <f>(VLOOKUP(Sheet1!DC138,hhdcap_wcm,4)-(((VLOOKUP(Sheet1!DC138,hhdcap_wcm,3)-Sheet1!DC138)/(VLOOKUP(Sheet1!DC138,hhdcap_wcm,3)-VLOOKUP(Sheet1!DC138,hhdcap_wcm,1)))*(VLOOKUP(Sheet1!DC138,hhdcap_wcm,4)-VLOOKUP(Sheet1!DC138,hhdcap_wcm,2))))</f>
        <v>39651.600000099301</v>
      </c>
      <c r="DQ136" s="560">
        <f t="shared" si="317"/>
        <v>377.60000000119908</v>
      </c>
      <c r="DR136" s="560">
        <f t="shared" si="318"/>
        <v>190.41855774140143</v>
      </c>
      <c r="DS136" s="560">
        <f>Sheet1!EA138*AFtoMG</f>
        <v>0</v>
      </c>
      <c r="DT136" s="560">
        <f>Sheet1!EB138*AFtoMG</f>
        <v>0</v>
      </c>
      <c r="DU136" s="560">
        <f>Sheet1!EC138*AFtoMG</f>
        <v>0</v>
      </c>
      <c r="DV136" s="560">
        <f>Sheet1!ED138*AFtoMG</f>
        <v>0</v>
      </c>
      <c r="DW136" s="560">
        <f t="shared" si="319"/>
        <v>0</v>
      </c>
      <c r="DX136" s="560">
        <f t="shared" si="320"/>
        <v>0</v>
      </c>
      <c r="DY136" s="560">
        <f t="shared" si="321"/>
        <v>4178.0464540010353</v>
      </c>
      <c r="DZ136" s="560">
        <f t="shared" si="322"/>
        <v>12818.246520875176</v>
      </c>
      <c r="EA136" s="560"/>
      <c r="EB136" s="545">
        <f>IF(OR(B136&lt;FV136,B136&gt;FW136),(MIN(BF136+BY136+CT136+MAX(Sheet1!AA138+AQ136-73,0),K136)),0)</f>
        <v>8.4967186890362854</v>
      </c>
      <c r="EC136" s="560"/>
      <c r="ED136" s="560">
        <f t="shared" si="323"/>
        <v>8.4967186890362854</v>
      </c>
      <c r="EE136" s="560"/>
      <c r="EF136" s="560">
        <f>Sheet1!EH138+Sheet1!EI138+Sheet1!EJ138+Sheet1!EK138</f>
        <v>8.5300000000000011</v>
      </c>
      <c r="EG136" s="560"/>
      <c r="EH136" s="545">
        <f t="shared" si="324"/>
        <v>0</v>
      </c>
      <c r="EI136" s="560">
        <f>IF(Sheet1!ET138=1,SUM('Calculations II'!AT136:BA136)+'Calculations II'!BC136+Sheet1!BV138+'Calculations II'!BE136+AP136,SUM('Calculations II'!AT136:BA136)+'Calculations II'!BC136+Sheet1!BV138+'Calculations II'!BE136+AP136)</f>
        <v>48.592511999999999</v>
      </c>
      <c r="EJ136" s="560">
        <f>Sheet1!AA138+Sheet1!AB138+'Calculations II'!BC136</f>
        <v>52.949152000000005</v>
      </c>
      <c r="EK136" s="560"/>
      <c r="EL136" s="560"/>
      <c r="EM136" s="560">
        <f t="shared" si="325"/>
        <v>41764</v>
      </c>
      <c r="EN136" s="560">
        <f t="shared" si="326"/>
        <v>56.143281310963715</v>
      </c>
      <c r="EO136" s="560">
        <f t="shared" si="327"/>
        <v>86.853656188060867</v>
      </c>
      <c r="EP136" s="560">
        <v>0</v>
      </c>
      <c r="EQ136" s="560">
        <v>0</v>
      </c>
      <c r="ER136" s="560">
        <v>0</v>
      </c>
      <c r="ES136" s="545">
        <f t="shared" si="247"/>
        <v>0</v>
      </c>
      <c r="ET136" s="560">
        <f>-(VLOOKUP(Sheet1!BQ138,Lookup!$O$4:$Q$262,2)-VLOOKUP(Sheet1!BQ137,Lookup!$O$4:$Q$262,2))/1000000</f>
        <v>0</v>
      </c>
      <c r="EU136" s="560">
        <f>-(VLOOKUP(Sheet1!BR138,Lookup!$O$4:$Q$262,3)-VLOOKUP(Sheet1!BR137,Lookup!$O$4:$Q$262,3))/1000000</f>
        <v>0</v>
      </c>
      <c r="EV136" s="560"/>
      <c r="EW136" s="560"/>
      <c r="EX136" s="560"/>
      <c r="EY136" s="560"/>
      <c r="EZ136" s="560"/>
      <c r="FA136" s="560"/>
      <c r="FB136" s="560"/>
      <c r="FC136" s="560"/>
      <c r="FD136" s="594" t="e">
        <f t="shared" si="328"/>
        <v>#N/A</v>
      </c>
      <c r="FE136" s="594" t="e">
        <f t="shared" si="329"/>
        <v>#N/A</v>
      </c>
      <c r="FF136" s="595" t="e">
        <f t="shared" si="330"/>
        <v>#N/A</v>
      </c>
      <c r="FG136" s="596" t="s">
        <v>692</v>
      </c>
      <c r="FH136" s="596" t="s">
        <v>692</v>
      </c>
      <c r="FI136" s="594" t="e">
        <v>#N/A</v>
      </c>
      <c r="FJ136" s="594" t="e">
        <v>#N/A</v>
      </c>
      <c r="FK136" s="560"/>
      <c r="FL136" s="560"/>
      <c r="FM136" s="560"/>
      <c r="FN136" s="560"/>
      <c r="FO136" s="560">
        <f>O136+((Sheet1!CS138)*GPMtoMGD)</f>
        <v>52.949152000000005</v>
      </c>
      <c r="FP136" s="560">
        <f>IF(Sheet1!AA138+AQ136&lt;=Calculation!N136,AQ136,Calculation!N136-Sheet1!AA138)</f>
        <v>15.439523995317986</v>
      </c>
      <c r="FQ136" s="560">
        <f>(Sheet1!BP138+Sheet1!BO138)/694.4</f>
        <v>1.5120967741935485</v>
      </c>
      <c r="FR136" s="560"/>
      <c r="FS136" s="560"/>
      <c r="FT136" s="560"/>
      <c r="FU136" s="560"/>
      <c r="FV136" s="695">
        <f t="shared" si="248"/>
        <v>41827</v>
      </c>
      <c r="FW136" s="695">
        <f t="shared" si="249"/>
        <v>41934</v>
      </c>
      <c r="FX136" s="560"/>
      <c r="FY136" s="560"/>
      <c r="FZ136" s="560"/>
      <c r="GA136" s="560"/>
      <c r="GB136" s="560" t="str">
        <f t="shared" si="250"/>
        <v>n</v>
      </c>
      <c r="GC136" s="564">
        <f t="shared" si="251"/>
        <v>41691</v>
      </c>
      <c r="GD136" s="695">
        <f t="shared" si="252"/>
        <v>41807</v>
      </c>
      <c r="GE136" s="560">
        <v>6518.9</v>
      </c>
      <c r="GF136" s="695">
        <f t="shared" si="253"/>
        <v>41808</v>
      </c>
      <c r="GG136" s="560">
        <f t="shared" si="272"/>
        <v>3259</v>
      </c>
      <c r="GH136" s="564">
        <f t="shared" si="254"/>
        <v>41934</v>
      </c>
      <c r="GJ136" s="545">
        <f t="shared" si="255"/>
        <v>0</v>
      </c>
      <c r="GK136" s="560" t="str">
        <f t="shared" si="331"/>
        <v/>
      </c>
      <c r="GL136" s="560">
        <f t="shared" si="256"/>
        <v>0</v>
      </c>
      <c r="GM136" s="560" t="str">
        <f t="shared" si="257"/>
        <v/>
      </c>
      <c r="GN136" s="560">
        <f>IF(GK136="P",Lookup!$M$12,IF(GK136="PP",Lookup!$M$13,IF(GK136="PPP",Lookup!$M$14,IF(GK136="T",Lookup!$M$15,IF(GK136="TP",Lookup!$M$16,IF(GK136="TPP",Lookup!$M$17,IF(GK136="TPPP",Lookup!$M$18,0)))))))*GJ136</f>
        <v>0</v>
      </c>
      <c r="GO136" s="560">
        <f t="shared" si="258"/>
        <v>0</v>
      </c>
      <c r="GP136" s="560">
        <f t="shared" si="332"/>
        <v>6114.7285333333366</v>
      </c>
      <c r="GQ136" s="560">
        <f t="shared" si="266"/>
        <v>1993.0666666666677</v>
      </c>
      <c r="GR136" s="560"/>
      <c r="GS136" s="560">
        <f t="shared" si="259"/>
        <v>0</v>
      </c>
      <c r="GT136" s="560" t="str">
        <f t="shared" si="260"/>
        <v/>
      </c>
      <c r="GU136" s="560">
        <f>IF(GK136="P",Lookup!$N$12,IF(GK136="PP",Lookup!$N$13,IF(GK136="PPP",Lookup!$N$14,IF(GK136="T",Lookup!$N$15,IF(GK136="TP",Lookup!$N$16,IF(GK136="TPP",Lookup!$N$17,IF(GK136="TPPP",Lookup!$N$18,0)))))))*GJ136</f>
        <v>0</v>
      </c>
      <c r="GV136" s="560">
        <f t="shared" si="261"/>
        <v>0</v>
      </c>
      <c r="GW136" s="560">
        <f t="shared" si="333"/>
        <v>2853.5399822222184</v>
      </c>
      <c r="GX136" s="560">
        <f t="shared" si="267"/>
        <v>930.09777777777651</v>
      </c>
      <c r="GY136" s="560"/>
      <c r="GZ136" s="560">
        <f t="shared" si="262"/>
        <v>0</v>
      </c>
      <c r="HA136" s="560" t="str">
        <f t="shared" si="263"/>
        <v/>
      </c>
      <c r="HB136" s="560">
        <f>IF(GK136="P",Lookup!$N$12,IF(GK136="PP",Lookup!$N$13,IF(GK136="PPP",Lookup!$N$14,IF(GK136="T",Lookup!$N$15,IF(GK136="TP",Lookup!$N$16,IF(GK136="TPP",Lookup!$N$17,IF(GK136="TPPP",Lookup!$N$18,0)))))))*GJ136</f>
        <v>0</v>
      </c>
      <c r="HC136" s="545">
        <f t="shared" si="334"/>
        <v>0</v>
      </c>
      <c r="HD136" s="560">
        <f t="shared" si="335"/>
        <v>2252.6342143653592</v>
      </c>
      <c r="HE136" s="560">
        <f t="shared" si="268"/>
        <v>734.23540233551466</v>
      </c>
      <c r="HF136" s="560"/>
      <c r="HG136" s="560">
        <f t="shared" si="264"/>
        <v>0</v>
      </c>
      <c r="HH136" s="560" t="str">
        <f t="shared" si="265"/>
        <v/>
      </c>
      <c r="HI136" s="560">
        <f>IF(GK136="P",Lookup!$N$12,IF(GK136="PP",Lookup!$N$13,IF(GK136="PPP",Lookup!$N$14,IF(GK136="T",Lookup!$N$15,IF(GK136="TP",Lookup!$N$16,IF(GK136="TPP",Lookup!$N$17,IF(GK136="TPPP",Lookup!$N$18,0)))))))*GJ136</f>
        <v>0</v>
      </c>
      <c r="HJ136" s="545">
        <f t="shared" si="336"/>
        <v>0</v>
      </c>
      <c r="HK136" s="560">
        <f t="shared" si="337"/>
        <v>1597.3437909542615</v>
      </c>
      <c r="HL136" s="560">
        <f t="shared" si="269"/>
        <v>520.64660722107612</v>
      </c>
      <c r="HM136" s="560"/>
    </row>
    <row r="137" spans="1:221">
      <c r="A137" s="580" t="s">
        <v>5</v>
      </c>
      <c r="B137" s="556">
        <v>41765</v>
      </c>
      <c r="C137" s="561">
        <v>0</v>
      </c>
      <c r="D137" s="529">
        <f t="shared" si="270"/>
        <v>300</v>
      </c>
      <c r="E137" s="529">
        <f t="shared" si="271"/>
        <v>250</v>
      </c>
      <c r="F137" s="529">
        <v>250</v>
      </c>
      <c r="G137" s="560">
        <f>DR137+Sheet1!CZ139</f>
        <v>1933.2324760472361</v>
      </c>
      <c r="H137" s="914">
        <f t="shared" si="338"/>
        <v>982.67827251693336</v>
      </c>
      <c r="I137" s="559">
        <f>MAX(Sheet1!Z139-AT137+(Sheet1!DA139-E137)*CFStoMGD,0)</f>
        <v>1370.0419999999999</v>
      </c>
      <c r="J137" s="562">
        <f>IF(AND(B137&gt;=Calculation!GC137,B137&lt;=Calculation!GD137),IF(Sheet1!DB139&gt;=Calculation!D137,64.64,0),MAX(Sheet1!Z139-AT137+(Sheet1!DB139-D137)*CFStoMGD,0))</f>
        <v>64.64</v>
      </c>
      <c r="K137" s="904">
        <f t="shared" si="273"/>
        <v>64.64</v>
      </c>
      <c r="L137" s="560">
        <f>Sheet1!AA139+Sheet1!AB139-Sheet1!L139+(Sheet1!DA139-F137)*CFStoMGD</f>
        <v>1344.5119999999999</v>
      </c>
      <c r="M137" s="560">
        <f t="shared" si="274"/>
        <v>1274.6343019672722</v>
      </c>
      <c r="N137" s="910">
        <f>IF(Sheet1!DA139&gt;=F137,MIN(73,MIN(MAX(L137,0),MAX(M137,0))),0)</f>
        <v>73</v>
      </c>
      <c r="O137" s="563">
        <f>Sheet1!AA139+Sheet1!AB139</f>
        <v>46.5</v>
      </c>
      <c r="P137" s="563">
        <f t="shared" si="275"/>
        <v>71.93549999999999</v>
      </c>
      <c r="Q137" s="898">
        <f t="shared" ref="Q137:Q200" si="339">IF(OR(Y137="FALSE",AND(B137&gt;=FV137,B137&lt;=FW137)),O137-S137-U137,0)</f>
        <v>38.01</v>
      </c>
      <c r="R137" s="829">
        <f t="shared" si="276"/>
        <v>8.4601406799531063</v>
      </c>
      <c r="S137" s="898">
        <f t="shared" ref="S137:S200" si="340">IF(OR(B137&lt;GC137,B137&gt;GH137),MIN(O137,K137),IF(AND(B137&gt;=FV137,B137&lt;=FW137),0,IF(AND(B137&gt;=GC137,B137&lt;=GD137),DL137,IF(AND(B137&gt;GD137,B137&lt;FV137),MIN(K137,O137),0))))</f>
        <v>8.49</v>
      </c>
      <c r="T137" s="898">
        <f t="shared" ref="T137:T200" si="341">IF(OR(B137&lt;GC137,B137&gt;GD137),0, K137-DL137)</f>
        <v>56.15</v>
      </c>
      <c r="U137" s="898">
        <f t="shared" ref="U137:U200" si="342">IF(AND(B137&gt;=FV137,B137&lt;=FW137),MAX(EF137,ED137),0)</f>
        <v>0</v>
      </c>
      <c r="V137" s="898"/>
      <c r="W137" s="898">
        <f t="shared" ref="W137:W200" si="343">MAX(K137-DJ137,0)</f>
        <v>56.179859320046894</v>
      </c>
      <c r="X137" s="898">
        <f t="shared" ref="X137:X200" si="344">S137+T137</f>
        <v>64.64</v>
      </c>
      <c r="Y137" s="898" t="str">
        <f t="shared" ref="Y137:Y200" si="345">IF(OR(O137&gt;K137,AND(B137&gt;=GC137,B137&lt;=GD137),), "FALSE","")</f>
        <v>FALSE</v>
      </c>
      <c r="Z137" s="898">
        <f t="shared" ref="Z137:Z200" si="346">O137</f>
        <v>46.5</v>
      </c>
      <c r="AA137" s="898">
        <f t="shared" ref="AA137:AA200" si="347">Q137+S137+U137</f>
        <v>46.5</v>
      </c>
      <c r="AB137" s="898" t="str">
        <f t="shared" ref="AB137:AB200" si="348">IF(OR(Z137-AA137&lt;-0.1,Z137-AA137&gt;0.1),"BAD ENGINEER","")</f>
        <v/>
      </c>
      <c r="AC137" s="563">
        <f>Sheet1!Y139*MGDtoCFS</f>
        <v>32.6417</v>
      </c>
      <c r="AD137" s="563">
        <f>Sheet1!Z139*MGDtoCFS</f>
        <v>39.494909999999997</v>
      </c>
      <c r="AE137" s="563">
        <f>Sheet1!AA139*MGDtoCFS</f>
        <v>32.487000000000002</v>
      </c>
      <c r="AF137" s="563">
        <f>Sheet1!AB139*MGDtoCFS</f>
        <v>39.448499999999996</v>
      </c>
      <c r="AG137" s="563">
        <f>Sheet1!L139*MGDtoCFS</f>
        <v>71.93549999999999</v>
      </c>
      <c r="AH137" s="545">
        <f t="shared" si="277"/>
        <v>0</v>
      </c>
      <c r="AI137" s="560">
        <f t="shared" si="278"/>
        <v>0</v>
      </c>
      <c r="AJ137" s="560">
        <f t="shared" si="279"/>
        <v>56.179859320046894</v>
      </c>
      <c r="AK137" s="560">
        <f t="shared" si="280"/>
        <v>86.910242368112549</v>
      </c>
      <c r="AL137" s="560">
        <f>(VLOOKUP(Sheet1!DC139,hhdcap_wcm,4)-(((VLOOKUP(Sheet1!DC139,hhdcap_wcm,3)-Sheet1!DC139)/(VLOOKUP(Sheet1!DC139,hhdcap_wcm,3)-VLOOKUP(Sheet1!DC139,hhdcap_wcm,1)))*(VLOOKUP(Sheet1!DC139,hhdcap_wcm,4)-VLOOKUP(Sheet1!DC139,hhdcap_wcm,2))))</f>
        <v>40312.40000010097</v>
      </c>
      <c r="AM137" s="560">
        <f t="shared" si="281"/>
        <v>660.8000000016691</v>
      </c>
      <c r="AN137" s="560">
        <f t="shared" si="282"/>
        <v>4234.2263133210818</v>
      </c>
      <c r="AO137" s="560">
        <f t="shared" si="283"/>
        <v>12990.60632926908</v>
      </c>
      <c r="AP137" s="560">
        <f>Sheet1!BA139+Sheet1!BB139+Sheet1!BN139+CD137</f>
        <v>17.100000000000001</v>
      </c>
      <c r="AQ137" s="560">
        <f>Sheet1!BN139+(DO137*Sheet1!BN139)</f>
        <v>15.445486518171158</v>
      </c>
      <c r="AR137" s="560">
        <f>Sheet1!BA139+CD137</f>
        <v>0</v>
      </c>
      <c r="AS137" s="560">
        <f>Sheet1!BA139+Sheet1!BB139+CD137</f>
        <v>1.6</v>
      </c>
      <c r="AT137" s="698">
        <f>0</f>
        <v>0</v>
      </c>
      <c r="AU137" s="560">
        <f>IF(EB137&lt;K137,0,MAX(Sheet1!AA139+AQ137-15/36*K137-N137,Sheet1!EH139,0))</f>
        <v>0</v>
      </c>
      <c r="AV137" s="560">
        <f>IF(OR(B137&gt;=GD137,B137&lt;GC137),0,15/36*K137-MAX(0,64.6-(137.6-(Sheet1!AA139+Sheet1!AB139))))</f>
        <v>26.933333333333334</v>
      </c>
      <c r="AW137" s="698">
        <f>Sheet1!DB139-110</f>
        <v>1590</v>
      </c>
      <c r="AX137" s="698">
        <f>Sheet1!DA139-265</f>
        <v>2065</v>
      </c>
      <c r="AY137" s="698">
        <f t="shared" si="284"/>
        <v>34.99</v>
      </c>
      <c r="AZ137" s="698">
        <v>0</v>
      </c>
      <c r="BA137" s="698">
        <f t="shared" si="285"/>
        <v>0</v>
      </c>
      <c r="BB137" s="560">
        <f t="shared" si="286"/>
        <v>2020.0000000000011</v>
      </c>
      <c r="BC137" s="560"/>
      <c r="BD137" s="560">
        <f ca="1">IF(B137&gt;Summary!$A$1,#N/A,BB137*MGtoAF)</f>
        <v>6197.3600000000033</v>
      </c>
      <c r="BE137" s="560">
        <f>Sheet1!BG139+Sheet1!BH139+Sheet1!BI139-BM137</f>
        <v>0</v>
      </c>
      <c r="BF137" s="560">
        <f t="shared" si="287"/>
        <v>0</v>
      </c>
      <c r="BG137" s="560">
        <f>IF(Sheet1!EP139="FM",BM137,0)</f>
        <v>0</v>
      </c>
      <c r="BH137" s="560">
        <f t="shared" si="288"/>
        <v>0</v>
      </c>
      <c r="BI137" s="560">
        <f>IF(Sheet1!EP139="OTHER",BM137,0)</f>
        <v>0</v>
      </c>
      <c r="BJ137" s="560">
        <f t="shared" si="289"/>
        <v>0</v>
      </c>
      <c r="BK137" s="560">
        <f t="shared" si="290"/>
        <v>0</v>
      </c>
      <c r="BL137" s="560">
        <f t="shared" si="291"/>
        <v>0</v>
      </c>
      <c r="BM137" s="560">
        <f>IF(OR(Sheet1!EP139="FM", Sheet1!EP139="OTHER"),SUM(Sheet1!BG139:'Sheet1'!BI139),0)</f>
        <v>0</v>
      </c>
      <c r="BN137" s="545">
        <f>IF(AND($B137&gt;=$FV137,$B137&lt;=$FW137),MAX(BF137,Sheet1!EI139,0),MAX(BF137-(7/36)*$K137,0))</f>
        <v>0</v>
      </c>
      <c r="BO137" s="560">
        <f t="shared" si="292"/>
        <v>12.568888888888889</v>
      </c>
      <c r="BP137" s="545">
        <f t="shared" si="293"/>
        <v>0</v>
      </c>
      <c r="BQ137" s="545">
        <f>IF(AND($O137&gt;0,Sheet1!EM139=1),(1-($O137-Sheet1!$L139)/$O137)*BL137,0)</f>
        <v>0</v>
      </c>
      <c r="BR137" s="545">
        <f>IF(AND(Sheet1!$L139=0,Sheet1!$L138=0, Calculation!BK137&lt;Sheet1!$EI139-0.1,Sheet1!$EI139=Sheet1!$EI138,Sheet1!$EI139=Sheet1!$EI140),Sheet1!$EI139,BL137-BQ137)</f>
        <v>0</v>
      </c>
      <c r="BS137" s="560"/>
      <c r="BT137" s="560"/>
      <c r="BU137" s="560">
        <f t="shared" si="294"/>
        <v>942.66666666666538</v>
      </c>
      <c r="BV137" s="560"/>
      <c r="BW137" s="560">
        <f ca="1">IF(B137&gt;Summary!$A$1,#N/A,BU137*MGtoAF)</f>
        <v>2892.1013333333294</v>
      </c>
      <c r="BX137" s="560">
        <f>Sheet1!BC139+Sheet1!BD139+Sheet1!BE139+Sheet1!BF139-CG137-CH137</f>
        <v>3.5</v>
      </c>
      <c r="BY137" s="560">
        <f t="shared" si="295"/>
        <v>3.4876905041031647</v>
      </c>
      <c r="BZ137" s="560">
        <f>IF(Sheet1!EQ139="FM",CH137,0)</f>
        <v>0</v>
      </c>
      <c r="CA137" s="560">
        <f t="shared" si="296"/>
        <v>0</v>
      </c>
      <c r="CB137" s="560">
        <f>IF(Sheet1!EQ139="OTHER",CH137,0)</f>
        <v>0</v>
      </c>
      <c r="CC137" s="560">
        <f t="shared" si="297"/>
        <v>0</v>
      </c>
      <c r="CD137" s="560">
        <f t="shared" si="298"/>
        <v>0</v>
      </c>
      <c r="CE137" s="560">
        <f t="shared" si="299"/>
        <v>3.5</v>
      </c>
      <c r="CF137" s="560">
        <f t="shared" si="300"/>
        <v>3.4876905041031647</v>
      </c>
      <c r="CG137" s="560">
        <f>IF(Sheet1!EQ139="CWA",SUM(Sheet1!BC139:'Sheet1'!BF139),0)</f>
        <v>0</v>
      </c>
      <c r="CH137" s="560">
        <f>IF(OR(Sheet1!EQ139="FM", Sheet1!EQ139="OTHER"),SUM(Sheet1!BC139:'Sheet1'!BF139),0)</f>
        <v>0</v>
      </c>
      <c r="CI137" s="545">
        <f>IF(AND($B137&gt;=$FV137,$B137&lt;=$FW137),MAX(CF137,Sheet1!EJ139,0),MAX(CF137-(7/36)*$K137,0))</f>
        <v>0</v>
      </c>
      <c r="CJ137" s="560">
        <f t="shared" si="301"/>
        <v>9.0811983847857238</v>
      </c>
      <c r="CK137" s="545">
        <f t="shared" si="302"/>
        <v>3.4876905041031647</v>
      </c>
      <c r="CL137" s="545">
        <f>IF(AND($O137&gt;0,Sheet1!EN139=1),(1-($O137-Sheet1!$L139)/$O137)*CF137,0)</f>
        <v>0</v>
      </c>
      <c r="CM137" s="545">
        <f>IF(AND(Sheet1!$L139=0,Sheet1!$L138=0, Calculation!CE137&lt;Sheet1!EJ139-0.1,Sheet1!EJ139=Sheet1!EJ138,Sheet1!EJ139=Sheet1!EJ140),Sheet1!EJ139,CF137-CL137)</f>
        <v>3.4876905041031647</v>
      </c>
      <c r="CN137" s="545"/>
      <c r="CO137" s="560"/>
      <c r="CP137" s="560">
        <f t="shared" si="303"/>
        <v>743.31660072030036</v>
      </c>
      <c r="CQ137" s="560"/>
      <c r="CR137" s="560">
        <f ca="1">IF(B137&gt;Summary!$A$1,#N/A,CP137*MGtoAF)</f>
        <v>2280.4953310098817</v>
      </c>
      <c r="CS137" s="560">
        <f>Sheet1!BK139+Sheet1!BL139+Sheet1!BM139-Sheet1!ER139-DA137</f>
        <v>4.99</v>
      </c>
      <c r="CT137" s="560">
        <f t="shared" si="304"/>
        <v>4.9724501758499411</v>
      </c>
      <c r="CU137" s="560">
        <f>IF(Sheet1!ER139="FM",DA137,0)</f>
        <v>0</v>
      </c>
      <c r="CV137" s="560">
        <f t="shared" si="305"/>
        <v>0</v>
      </c>
      <c r="CW137" s="560">
        <f>IF(Sheet1!ER139="OTHER",DA137,0)</f>
        <v>0</v>
      </c>
      <c r="CX137" s="560">
        <f t="shared" si="306"/>
        <v>0</v>
      </c>
      <c r="CY137" s="560">
        <f t="shared" si="307"/>
        <v>4.99</v>
      </c>
      <c r="CZ137" s="560">
        <f t="shared" si="308"/>
        <v>4.9724501758499411</v>
      </c>
      <c r="DA137" s="560">
        <f>IF(OR(Sheet1!ER139="FM", Sheet1!ER139="OTHER"),SUM(Sheet1!BK139:'Sheet1'!BM139),0)</f>
        <v>0</v>
      </c>
      <c r="DB137" s="545">
        <f>IF(AND($B137&gt;=$FV137,$B137&lt;=$FW137),MAX($CT137,Sheet1!EK139,0),MAX($CT137-(7/36)*$K137,0))</f>
        <v>0</v>
      </c>
      <c r="DC137" s="560">
        <f t="shared" si="309"/>
        <v>7.5964387130389479</v>
      </c>
      <c r="DD137" s="545">
        <f t="shared" si="310"/>
        <v>4.9724501758499411</v>
      </c>
      <c r="DE137" s="545">
        <f>IF(AND($O137&gt;0,Sheet1!EO139=1),(1-($O137-Sheet1!$L139)/$O137)*CZ137,0)</f>
        <v>0</v>
      </c>
      <c r="DF137" s="545">
        <f>IF(AND(Sheet1!$L139=0,Sheet1!$L138=0, Calculation!CY137&lt;Sheet1!$EK139-0.1,Sheet1!$EK139=Sheet1!$EK138,Sheet1!$EK139=Sheet1!$EK140),Sheet1!$EK139,CZ137-DE137)</f>
        <v>4.9724501758499411</v>
      </c>
      <c r="DG137" s="545"/>
      <c r="DH137" s="560">
        <f t="shared" si="311"/>
        <v>8.49</v>
      </c>
      <c r="DI137" s="560">
        <f t="shared" si="312"/>
        <v>528.24304593411512</v>
      </c>
      <c r="DJ137" s="698">
        <f t="shared" si="313"/>
        <v>8.4601406799531063</v>
      </c>
      <c r="DK137" s="560">
        <f ca="1">IF(B137&gt;Summary!$A$1,#N/A,DI137*MGtoAF)</f>
        <v>1620.6496649258652</v>
      </c>
      <c r="DL137" s="698">
        <f t="shared" si="314"/>
        <v>8.49</v>
      </c>
      <c r="DM137" s="560">
        <f t="shared" si="315"/>
        <v>25.590000000000003</v>
      </c>
      <c r="DN137" s="560">
        <f>Sheet1!AB139-DM137</f>
        <v>-9.0000000000003411E-2</v>
      </c>
      <c r="DO137" s="823">
        <f t="shared" si="316"/>
        <v>-3.5169988276671903E-3</v>
      </c>
      <c r="DP137" s="560">
        <f>(VLOOKUP(Sheet1!DC139,hhdcap_wcm,4)-(((VLOOKUP(Sheet1!DC139,hhdcap_wcm,3)-Sheet1!DC139)/(VLOOKUP(Sheet1!DC139,hhdcap_wcm,3)-VLOOKUP(Sheet1!DC139,hhdcap_wcm,1)))*(VLOOKUP(Sheet1!DC139,hhdcap_wcm,4)-VLOOKUP(Sheet1!DC139,hhdcap_wcm,2))))</f>
        <v>40312.40000010097</v>
      </c>
      <c r="DQ137" s="560">
        <f t="shared" si="317"/>
        <v>660.8000000016691</v>
      </c>
      <c r="DR137" s="560">
        <f t="shared" si="318"/>
        <v>333.23247604723599</v>
      </c>
      <c r="DS137" s="560">
        <f>Sheet1!EA139*AFtoMG</f>
        <v>0</v>
      </c>
      <c r="DT137" s="560">
        <f>Sheet1!EB139*AFtoMG</f>
        <v>0</v>
      </c>
      <c r="DU137" s="560">
        <f>Sheet1!EC139*AFtoMG</f>
        <v>0</v>
      </c>
      <c r="DV137" s="560">
        <f>Sheet1!ED139*AFtoMG</f>
        <v>0</v>
      </c>
      <c r="DW137" s="560">
        <f t="shared" si="319"/>
        <v>0</v>
      </c>
      <c r="DX137" s="560">
        <f t="shared" si="320"/>
        <v>0</v>
      </c>
      <c r="DY137" s="560">
        <f t="shared" si="321"/>
        <v>4234.2263133210818</v>
      </c>
      <c r="DZ137" s="560">
        <f t="shared" si="322"/>
        <v>12990.60632926908</v>
      </c>
      <c r="EA137" s="560"/>
      <c r="EB137" s="545">
        <f>IF(OR(B137&lt;FV137,B137&gt;FW137),(MIN(BF137+BY137+CT137+MAX(Sheet1!AA139+AQ137-73,0),K137)),0)</f>
        <v>8.4601406799531063</v>
      </c>
      <c r="EC137" s="560"/>
      <c r="ED137" s="560">
        <f t="shared" si="323"/>
        <v>8.4601406799531063</v>
      </c>
      <c r="EE137" s="560"/>
      <c r="EF137" s="560">
        <f>Sheet1!EH139+Sheet1!EI139+Sheet1!EJ139+Sheet1!EK139</f>
        <v>8.49</v>
      </c>
      <c r="EG137" s="560"/>
      <c r="EH137" s="545">
        <f t="shared" si="324"/>
        <v>0</v>
      </c>
      <c r="EI137" s="560">
        <f>IF(Sheet1!ET139=1,SUM('Calculations II'!AT137:BA137)+'Calculations II'!BC137+Sheet1!BV139+'Calculations II'!BE137+AP137,SUM('Calculations II'!AT137:BA137)+'Calculations II'!BC137+Sheet1!BV139+'Calculations II'!BE137+AP137)</f>
        <v>49.064304</v>
      </c>
      <c r="EJ137" s="560">
        <f>Sheet1!AA139+Sheet1!AB139+'Calculations II'!BC137</f>
        <v>52.745136000000002</v>
      </c>
      <c r="EK137" s="560"/>
      <c r="EL137" s="560"/>
      <c r="EM137" s="560">
        <f t="shared" si="325"/>
        <v>41765</v>
      </c>
      <c r="EN137" s="560">
        <f t="shared" si="326"/>
        <v>56.179859320046894</v>
      </c>
      <c r="EO137" s="560">
        <f t="shared" si="327"/>
        <v>86.910242368112549</v>
      </c>
      <c r="EP137" s="560">
        <v>0</v>
      </c>
      <c r="EQ137" s="560">
        <v>0</v>
      </c>
      <c r="ER137" s="560">
        <v>0</v>
      </c>
      <c r="ES137" s="545">
        <f t="shared" ref="ES137:ES200" si="349">ET137+EU137</f>
        <v>0.55436212531553208</v>
      </c>
      <c r="ET137" s="560">
        <f>-(VLOOKUP(Sheet1!BQ139,Lookup!$O$4:$Q$262,2)-VLOOKUP(Sheet1!BQ138,Lookup!$O$4:$Q$262,2))/1000000</f>
        <v>0.27718106265776604</v>
      </c>
      <c r="EU137" s="560">
        <f>-(VLOOKUP(Sheet1!BR139,Lookup!$O$4:$Q$262,3)-VLOOKUP(Sheet1!BR138,Lookup!$O$4:$Q$262,3))/1000000</f>
        <v>0.27718106265776604</v>
      </c>
      <c r="EV137" s="560"/>
      <c r="EW137" s="560"/>
      <c r="EX137" s="560"/>
      <c r="EY137" s="560"/>
      <c r="EZ137" s="560"/>
      <c r="FA137" s="560"/>
      <c r="FB137" s="560"/>
      <c r="FC137" s="560"/>
      <c r="FD137" s="594" t="e">
        <f t="shared" si="328"/>
        <v>#N/A</v>
      </c>
      <c r="FE137" s="594" t="e">
        <f t="shared" si="329"/>
        <v>#N/A</v>
      </c>
      <c r="FF137" s="595" t="e">
        <f t="shared" si="330"/>
        <v>#N/A</v>
      </c>
      <c r="FG137" s="596" t="s">
        <v>692</v>
      </c>
      <c r="FH137" s="596" t="s">
        <v>692</v>
      </c>
      <c r="FI137" s="594" t="e">
        <v>#N/A</v>
      </c>
      <c r="FJ137" s="594" t="e">
        <v>#N/A</v>
      </c>
      <c r="FK137" s="560"/>
      <c r="FL137" s="560"/>
      <c r="FM137" s="560"/>
      <c r="FN137" s="560"/>
      <c r="FO137" s="560">
        <f>O137+((Sheet1!CS139)*GPMtoMGD)</f>
        <v>52.745136000000002</v>
      </c>
      <c r="FP137" s="560">
        <f>IF(Sheet1!AA139+AQ137&lt;=Calculation!N137,AQ137,Calculation!N137-Sheet1!AA139)</f>
        <v>15.445486518171158</v>
      </c>
      <c r="FQ137" s="560">
        <f>(Sheet1!BP139+Sheet1!BO139)/694.4</f>
        <v>1.7737615207373274</v>
      </c>
      <c r="FR137" s="560"/>
      <c r="FS137" s="560"/>
      <c r="FT137" s="560"/>
      <c r="FU137" s="560"/>
      <c r="FV137" s="695">
        <f t="shared" ref="FV137:FV200" si="350">$FV$4</f>
        <v>41827</v>
      </c>
      <c r="FW137" s="695">
        <f t="shared" ref="FW137:FW200" si="351">$FW$4</f>
        <v>41934</v>
      </c>
      <c r="FX137" s="560"/>
      <c r="FY137" s="560"/>
      <c r="FZ137" s="560"/>
      <c r="GA137" s="560"/>
      <c r="GB137" s="560" t="str">
        <f t="shared" ref="GB137:GB200" si="352">$GB$4</f>
        <v>n</v>
      </c>
      <c r="GC137" s="564">
        <f t="shared" ref="GC137:GC200" si="353">$GC$4</f>
        <v>41691</v>
      </c>
      <c r="GD137" s="695">
        <f t="shared" ref="GD137:GD200" si="354">$GD$4</f>
        <v>41807</v>
      </c>
      <c r="GE137" s="560">
        <v>6518.9</v>
      </c>
      <c r="GF137" s="695">
        <f t="shared" ref="GF137:GF200" si="355">$GF$4</f>
        <v>41808</v>
      </c>
      <c r="GG137" s="560">
        <f t="shared" si="272"/>
        <v>3259</v>
      </c>
      <c r="GH137" s="564">
        <f t="shared" ref="GH137:GH200" si="356">$GH$4</f>
        <v>41934</v>
      </c>
      <c r="GJ137" s="545">
        <f t="shared" ref="GJ137:GJ200" si="357">IF(AND(B137&gt;=GD137,B137&lt;GF137),AFtoMG*(20000-AO136),GL137+GZ137+GS137+HG137)</f>
        <v>0</v>
      </c>
      <c r="GK137" s="560" t="str">
        <f t="shared" si="331"/>
        <v/>
      </c>
      <c r="GL137" s="560">
        <f t="shared" ref="GL137:GL200" si="358">IF(GP137&gt;=8333.3,AV137,0)</f>
        <v>0</v>
      </c>
      <c r="GM137" s="560" t="str">
        <f t="shared" ref="GM137:GM200" si="359">IF(AND(GP137&lt;8333.3,GJ137&gt;0),"T","")</f>
        <v/>
      </c>
      <c r="GN137" s="560">
        <f>IF(GK137="P",Lookup!$M$12,IF(GK137="PP",Lookup!$M$13,IF(GK137="PPP",Lookup!$M$14,IF(GK137="T",Lookup!$M$15,IF(GK137="TP",Lookup!$M$16,IF(GK137="TPP",Lookup!$M$17,IF(GK137="TPPP",Lookup!$M$18,0)))))))*GJ137</f>
        <v>0</v>
      </c>
      <c r="GO137" s="560">
        <f t="shared" ref="GO137:GO200" si="360">IF(GM137="T", MIN(GN137, 2716.2-$GQ137),0)</f>
        <v>0</v>
      </c>
      <c r="GP137" s="560">
        <f t="shared" si="332"/>
        <v>6197.3600000000033</v>
      </c>
      <c r="GQ137" s="560">
        <f t="shared" si="266"/>
        <v>2020.0000000000011</v>
      </c>
      <c r="GR137" s="560"/>
      <c r="GS137" s="560">
        <f t="shared" ref="GS137:GS200" si="361">IF(GW137&gt;=3888.8,BO137,0)</f>
        <v>0</v>
      </c>
      <c r="GT137" s="560" t="str">
        <f t="shared" ref="GT137:GT200" si="362">IF(AND(GW137&lt;3888.8,GJ137&gt;0),"P","")</f>
        <v/>
      </c>
      <c r="GU137" s="560">
        <f>IF(GK137="P",Lookup!$N$12,IF(GK137="PP",Lookup!$N$13,IF(GK137="PPP",Lookup!$N$14,IF(GK137="T",Lookup!$N$15,IF(GK137="TP",Lookup!$N$16,IF(GK137="TPP",Lookup!$N$17,IF(GK137="TPPP",Lookup!$N$18,0)))))))*GJ137</f>
        <v>0</v>
      </c>
      <c r="GV137" s="560">
        <f t="shared" ref="GV137:GV200" si="363">IF(GT137="P",MIN(GU137,7/36*GE137-GX137),0)</f>
        <v>0</v>
      </c>
      <c r="GW137" s="560">
        <f t="shared" si="333"/>
        <v>2892.1013333333294</v>
      </c>
      <c r="GX137" s="560">
        <f t="shared" si="267"/>
        <v>942.66666666666538</v>
      </c>
      <c r="GY137" s="560"/>
      <c r="GZ137" s="560">
        <f t="shared" ref="GZ137:GZ200" si="364">IF(HD137&gt;=3888.8,CJ137,0)</f>
        <v>0</v>
      </c>
      <c r="HA137" s="560" t="str">
        <f t="shared" ref="HA137:HA200" si="365">IF(AND(HD137&lt;3888.8,GJ137&gt;0),"P","")</f>
        <v/>
      </c>
      <c r="HB137" s="560">
        <f>IF(GK137="P",Lookup!$N$12,IF(GK137="PP",Lookup!$N$13,IF(GK137="PPP",Lookup!$N$14,IF(GK137="T",Lookup!$N$15,IF(GK137="TP",Lookup!$N$16,IF(GK137="TPP",Lookup!$N$17,IF(GK137="TPPP",Lookup!$N$18,0)))))))*GJ137</f>
        <v>0</v>
      </c>
      <c r="HC137" s="545">
        <f t="shared" si="334"/>
        <v>0</v>
      </c>
      <c r="HD137" s="560">
        <f t="shared" si="335"/>
        <v>2280.4953310098817</v>
      </c>
      <c r="HE137" s="560">
        <f t="shared" si="268"/>
        <v>743.31660072030036</v>
      </c>
      <c r="HF137" s="560"/>
      <c r="HG137" s="560">
        <f t="shared" ref="HG137:HG200" si="366">IF(HK137&gt;=3888.8,DC137,0)</f>
        <v>0</v>
      </c>
      <c r="HH137" s="560" t="str">
        <f t="shared" ref="HH137:HH200" si="367">IF(AND(HK137&lt;3888.8,GJ137&gt;0),"P","")</f>
        <v/>
      </c>
      <c r="HI137" s="560">
        <f>IF(GK137="P",Lookup!$N$12,IF(GK137="PP",Lookup!$N$13,IF(GK137="PPP",Lookup!$N$14,IF(GK137="T",Lookup!$N$15,IF(GK137="TP",Lookup!$N$16,IF(GK137="TPP",Lookup!$N$17,IF(GK137="TPPP",Lookup!$N$18,0)))))))*GJ137</f>
        <v>0</v>
      </c>
      <c r="HJ137" s="545">
        <f t="shared" si="336"/>
        <v>0</v>
      </c>
      <c r="HK137" s="560">
        <f t="shared" si="337"/>
        <v>1620.6496649258652</v>
      </c>
      <c r="HL137" s="560">
        <f t="shared" si="269"/>
        <v>528.24304593411512</v>
      </c>
      <c r="HM137" s="560"/>
    </row>
    <row r="138" spans="1:221">
      <c r="A138" s="580" t="s">
        <v>6</v>
      </c>
      <c r="B138" s="556">
        <v>41766</v>
      </c>
      <c r="C138" s="561">
        <v>0</v>
      </c>
      <c r="D138" s="529">
        <f t="shared" si="270"/>
        <v>300</v>
      </c>
      <c r="E138" s="529">
        <f t="shared" si="271"/>
        <v>250</v>
      </c>
      <c r="F138" s="529">
        <v>250</v>
      </c>
      <c r="G138" s="560">
        <f>DR138+Sheet1!CZ140</f>
        <v>1599.2788703986248</v>
      </c>
      <c r="H138" s="914">
        <f t="shared" si="338"/>
        <v>766.81066182567099</v>
      </c>
      <c r="I138" s="559">
        <f>MAX(Sheet1!Z140-AT138+(Sheet1!DA140-E138)*CFStoMGD,0)</f>
        <v>1214.876</v>
      </c>
      <c r="J138" s="562">
        <f>IF(AND(B138&gt;=Calculation!GC138,B138&lt;=Calculation!GD138),IF(Sheet1!DB140&gt;=Calculation!D138,64.64,0),MAX(Sheet1!Z140-AT138+(Sheet1!DB140-D138)*CFStoMGD,0))</f>
        <v>64.64</v>
      </c>
      <c r="K138" s="904">
        <f t="shared" si="273"/>
        <v>64.64</v>
      </c>
      <c r="L138" s="560">
        <f>Sheet1!AA140+Sheet1!AB140-Sheet1!L140+(Sheet1!DA140-F138)*CFStoMGD</f>
        <v>1189.376</v>
      </c>
      <c r="M138" s="560">
        <f t="shared" si="274"/>
        <v>1054.4493390621844</v>
      </c>
      <c r="N138" s="910">
        <f>IF(Sheet1!DA140&gt;=F138,MIN(73,MIN(MAX(L138,0),MAX(M138,0))),0)</f>
        <v>73</v>
      </c>
      <c r="O138" s="563">
        <f>Sheet1!AA140+Sheet1!AB140</f>
        <v>46.6</v>
      </c>
      <c r="P138" s="563">
        <f t="shared" si="275"/>
        <v>72.090199999999996</v>
      </c>
      <c r="Q138" s="898">
        <f t="shared" si="339"/>
        <v>38.11</v>
      </c>
      <c r="R138" s="829">
        <f t="shared" si="276"/>
        <v>8.4601406799531063</v>
      </c>
      <c r="S138" s="898">
        <f t="shared" si="340"/>
        <v>8.49</v>
      </c>
      <c r="T138" s="898">
        <f t="shared" si="341"/>
        <v>56.15</v>
      </c>
      <c r="U138" s="898">
        <f t="shared" si="342"/>
        <v>0</v>
      </c>
      <c r="V138" s="898"/>
      <c r="W138" s="898">
        <f t="shared" si="343"/>
        <v>56.179859320046894</v>
      </c>
      <c r="X138" s="898">
        <f t="shared" si="344"/>
        <v>64.64</v>
      </c>
      <c r="Y138" s="898" t="str">
        <f t="shared" si="345"/>
        <v>FALSE</v>
      </c>
      <c r="Z138" s="898">
        <f t="shared" si="346"/>
        <v>46.6</v>
      </c>
      <c r="AA138" s="898">
        <f t="shared" si="347"/>
        <v>46.6</v>
      </c>
      <c r="AB138" s="898" t="str">
        <f t="shared" si="348"/>
        <v/>
      </c>
      <c r="AC138" s="563">
        <f>Sheet1!Y140*MGDtoCFS</f>
        <v>32.487000000000002</v>
      </c>
      <c r="AD138" s="563">
        <f>Sheet1!Z140*MGDtoCFS</f>
        <v>39.448499999999996</v>
      </c>
      <c r="AE138" s="563">
        <f>Sheet1!AA140*MGDtoCFS</f>
        <v>32.6417</v>
      </c>
      <c r="AF138" s="563">
        <f>Sheet1!AB140*MGDtoCFS</f>
        <v>39.448499999999996</v>
      </c>
      <c r="AG138" s="563">
        <f>Sheet1!L140*MGDtoCFS</f>
        <v>72.090199999999996</v>
      </c>
      <c r="AH138" s="545">
        <f t="shared" si="277"/>
        <v>0</v>
      </c>
      <c r="AI138" s="560">
        <f t="shared" si="278"/>
        <v>0</v>
      </c>
      <c r="AJ138" s="560">
        <f t="shared" si="279"/>
        <v>56.179859320046894</v>
      </c>
      <c r="AK138" s="560">
        <f t="shared" si="280"/>
        <v>86.910242368112549</v>
      </c>
      <c r="AL138" s="560">
        <f>(VLOOKUP(Sheet1!DC140,hhdcap_wcm,4)-(((VLOOKUP(Sheet1!DC140,hhdcap_wcm,3)-Sheet1!DC140)/(VLOOKUP(Sheet1!DC140,hhdcap_wcm,3)-VLOOKUP(Sheet1!DC140,hhdcap_wcm,1)))*(VLOOKUP(Sheet1!DC140,hhdcap_wcm,4)-VLOOKUP(Sheet1!DC140,hhdcap_wcm,2))))</f>
        <v>40727.400000101443</v>
      </c>
      <c r="AM138" s="560">
        <f t="shared" si="281"/>
        <v>415.00000000047294</v>
      </c>
      <c r="AN138" s="560">
        <f t="shared" si="282"/>
        <v>4290.4061726411292</v>
      </c>
      <c r="AO138" s="560">
        <f t="shared" si="283"/>
        <v>13162.966137662985</v>
      </c>
      <c r="AP138" s="560">
        <f>Sheet1!BA140+Sheet1!BB140+Sheet1!BN140+CD138</f>
        <v>17.100000000000001</v>
      </c>
      <c r="AQ138" s="560">
        <f>Sheet1!BN140+(DO138*Sheet1!BN140)</f>
        <v>15.445486518171158</v>
      </c>
      <c r="AR138" s="560">
        <f>Sheet1!BA140+CD138</f>
        <v>0</v>
      </c>
      <c r="AS138" s="560">
        <f>Sheet1!BA140+Sheet1!BB140+CD138</f>
        <v>1.6</v>
      </c>
      <c r="AT138" s="698">
        <f>0</f>
        <v>0</v>
      </c>
      <c r="AU138" s="560">
        <f>IF(EB138&lt;K138,0,MAX(Sheet1!AA140+AQ138-15/36*K138-N138,Sheet1!EH140,0))</f>
        <v>0</v>
      </c>
      <c r="AV138" s="560">
        <f>IF(OR(B138&gt;=GD138,B138&lt;GC138),0,15/36*K138-MAX(0,64.6-(137.6-(Sheet1!AA140+Sheet1!AB140))))</f>
        <v>26.933333333333334</v>
      </c>
      <c r="AW138" s="698">
        <f>Sheet1!DB140-110</f>
        <v>1360</v>
      </c>
      <c r="AX138" s="698">
        <f>Sheet1!DA140-265</f>
        <v>1825</v>
      </c>
      <c r="AY138" s="698">
        <f t="shared" si="284"/>
        <v>34.89</v>
      </c>
      <c r="AZ138" s="698">
        <v>0</v>
      </c>
      <c r="BA138" s="698">
        <f t="shared" si="285"/>
        <v>0</v>
      </c>
      <c r="BB138" s="560">
        <f t="shared" si="286"/>
        <v>2046.9333333333345</v>
      </c>
      <c r="BC138" s="560"/>
      <c r="BD138" s="560">
        <f ca="1">IF(B138&gt;Summary!$A$1,#N/A,BB138*MGtoAF)</f>
        <v>6279.99146666667</v>
      </c>
      <c r="BE138" s="560">
        <f>Sheet1!BG140+Sheet1!BH140+Sheet1!BI140-BM138</f>
        <v>0</v>
      </c>
      <c r="BF138" s="560">
        <f t="shared" si="287"/>
        <v>0</v>
      </c>
      <c r="BG138" s="560">
        <f>IF(Sheet1!EP140="FM",BM138,0)</f>
        <v>0</v>
      </c>
      <c r="BH138" s="560">
        <f t="shared" si="288"/>
        <v>0</v>
      </c>
      <c r="BI138" s="560">
        <f>IF(Sheet1!EP140="OTHER",BM138,0)</f>
        <v>0</v>
      </c>
      <c r="BJ138" s="560">
        <f t="shared" si="289"/>
        <v>0</v>
      </c>
      <c r="BK138" s="560">
        <f t="shared" si="290"/>
        <v>0</v>
      </c>
      <c r="BL138" s="560">
        <f t="shared" si="291"/>
        <v>0</v>
      </c>
      <c r="BM138" s="560">
        <f>IF(OR(Sheet1!EP140="FM", Sheet1!EP140="OTHER"),SUM(Sheet1!BG140:'Sheet1'!BI140),0)</f>
        <v>0</v>
      </c>
      <c r="BN138" s="545">
        <f>IF(AND($B138&gt;=$FV138,$B138&lt;=$FW138),MAX(BF138,Sheet1!EI140,0),MAX(BF138-(7/36)*$K138,0))</f>
        <v>0</v>
      </c>
      <c r="BO138" s="560">
        <f t="shared" si="292"/>
        <v>12.568888888888889</v>
      </c>
      <c r="BP138" s="545">
        <f t="shared" si="293"/>
        <v>0</v>
      </c>
      <c r="BQ138" s="545">
        <f>IF(AND($O138&gt;0,Sheet1!EM140=1),(1-($O138-Sheet1!$L140)/$O138)*BL138,0)</f>
        <v>0</v>
      </c>
      <c r="BR138" s="545">
        <f>IF(AND(Sheet1!$L140=0,Sheet1!$L139=0, Calculation!BK138&lt;Sheet1!$EI140-0.1,Sheet1!$EI140=Sheet1!$EI139,Sheet1!$EI140=Sheet1!$EI141),Sheet1!$EI140,BL138-BQ138)</f>
        <v>0</v>
      </c>
      <c r="BS138" s="560"/>
      <c r="BT138" s="560"/>
      <c r="BU138" s="560">
        <f t="shared" si="294"/>
        <v>955.23555555555424</v>
      </c>
      <c r="BV138" s="560"/>
      <c r="BW138" s="560">
        <f ca="1">IF(B138&gt;Summary!$A$1,#N/A,BU138*MGtoAF)</f>
        <v>2930.6626844444404</v>
      </c>
      <c r="BX138" s="560">
        <f>Sheet1!BC140+Sheet1!BD140+Sheet1!BE140+Sheet1!BF140-CG138-CH138</f>
        <v>3.51</v>
      </c>
      <c r="BY138" s="560">
        <f t="shared" si="295"/>
        <v>3.4976553341148882</v>
      </c>
      <c r="BZ138" s="560">
        <f>IF(Sheet1!EQ140="FM",CH138,0)</f>
        <v>0</v>
      </c>
      <c r="CA138" s="560">
        <f t="shared" si="296"/>
        <v>0</v>
      </c>
      <c r="CB138" s="560">
        <f>IF(Sheet1!EQ140="OTHER",CH138,0)</f>
        <v>0</v>
      </c>
      <c r="CC138" s="560">
        <f t="shared" si="297"/>
        <v>0</v>
      </c>
      <c r="CD138" s="560">
        <f t="shared" si="298"/>
        <v>0</v>
      </c>
      <c r="CE138" s="560">
        <f t="shared" si="299"/>
        <v>3.51</v>
      </c>
      <c r="CF138" s="560">
        <f t="shared" si="300"/>
        <v>3.4976553341148882</v>
      </c>
      <c r="CG138" s="560">
        <f>IF(Sheet1!EQ140="CWA",SUM(Sheet1!BC140:'Sheet1'!BF140),0)</f>
        <v>0</v>
      </c>
      <c r="CH138" s="560">
        <f>IF(OR(Sheet1!EQ140="FM", Sheet1!EQ140="OTHER"),SUM(Sheet1!BC140:'Sheet1'!BF140),0)</f>
        <v>0</v>
      </c>
      <c r="CI138" s="545">
        <f>IF(AND($B138&gt;=$FV138,$B138&lt;=$FW138),MAX(CF138,Sheet1!EJ140,0),MAX(CF138-(7/36)*$K138,0))</f>
        <v>0</v>
      </c>
      <c r="CJ138" s="560">
        <f t="shared" si="301"/>
        <v>9.0712335547740004</v>
      </c>
      <c r="CK138" s="545">
        <f t="shared" si="302"/>
        <v>3.4976553341148882</v>
      </c>
      <c r="CL138" s="545">
        <f>IF(AND($O138&gt;0,Sheet1!EN140=1),(1-($O138-Sheet1!$L140)/$O138)*CF138,0)</f>
        <v>0</v>
      </c>
      <c r="CM138" s="545">
        <f>IF(AND(Sheet1!$L140=0,Sheet1!$L139=0, Calculation!CE138&lt;Sheet1!EJ140-0.1,Sheet1!EJ140=Sheet1!EJ139,Sheet1!EJ140=Sheet1!EJ141),Sheet1!EJ140,CF138-CL138)</f>
        <v>3.4976553341148882</v>
      </c>
      <c r="CN138" s="545"/>
      <c r="CO138" s="560"/>
      <c r="CP138" s="560">
        <f t="shared" si="303"/>
        <v>752.3878342750744</v>
      </c>
      <c r="CQ138" s="560"/>
      <c r="CR138" s="560">
        <f ca="1">IF(B138&gt;Summary!$A$1,#N/A,CP138*MGtoAF)</f>
        <v>2308.3258755559282</v>
      </c>
      <c r="CS138" s="560">
        <f>Sheet1!BK140+Sheet1!BL140+Sheet1!BM140-Sheet1!ER140-DA138</f>
        <v>4.9800000000000004</v>
      </c>
      <c r="CT138" s="560">
        <f t="shared" si="304"/>
        <v>4.9624853458382177</v>
      </c>
      <c r="CU138" s="560">
        <f>IF(Sheet1!ER140="FM",DA138,0)</f>
        <v>0</v>
      </c>
      <c r="CV138" s="560">
        <f t="shared" si="305"/>
        <v>0</v>
      </c>
      <c r="CW138" s="560">
        <f>IF(Sheet1!ER140="OTHER",DA138,0)</f>
        <v>0</v>
      </c>
      <c r="CX138" s="560">
        <f t="shared" si="306"/>
        <v>0</v>
      </c>
      <c r="CY138" s="560">
        <f t="shared" si="307"/>
        <v>4.9800000000000004</v>
      </c>
      <c r="CZ138" s="560">
        <f t="shared" si="308"/>
        <v>4.9624853458382177</v>
      </c>
      <c r="DA138" s="560">
        <f>IF(OR(Sheet1!ER140="FM", Sheet1!ER140="OTHER"),SUM(Sheet1!BK140:'Sheet1'!BM140),0)</f>
        <v>0</v>
      </c>
      <c r="DB138" s="545">
        <f>IF(AND($B138&gt;=$FV138,$B138&lt;=$FW138),MAX($CT138,Sheet1!EK140,0),MAX($CT138-(7/36)*$K138,0))</f>
        <v>0</v>
      </c>
      <c r="DC138" s="560">
        <f t="shared" si="309"/>
        <v>7.6064035430506713</v>
      </c>
      <c r="DD138" s="545">
        <f t="shared" si="310"/>
        <v>4.9624853458382177</v>
      </c>
      <c r="DE138" s="545">
        <f>IF(AND($O138&gt;0,Sheet1!EO140=1),(1-($O138-Sheet1!$L140)/$O138)*CZ138,0)</f>
        <v>0</v>
      </c>
      <c r="DF138" s="545">
        <f>IF(AND(Sheet1!$L140=0,Sheet1!$L139=0, Calculation!CY138&lt;Sheet1!$EK140-0.1,Sheet1!$EK140=Sheet1!$EK139,Sheet1!$EK140=Sheet1!$EK141),Sheet1!$EK140,CZ138-DE138)</f>
        <v>4.9624853458382177</v>
      </c>
      <c r="DG138" s="545"/>
      <c r="DH138" s="560">
        <f t="shared" si="311"/>
        <v>8.49</v>
      </c>
      <c r="DI138" s="560">
        <f t="shared" si="312"/>
        <v>535.84944947716576</v>
      </c>
      <c r="DJ138" s="698">
        <f t="shared" si="313"/>
        <v>8.4601406799531063</v>
      </c>
      <c r="DK138" s="560">
        <f ca="1">IF(B138&gt;Summary!$A$1,#N/A,DI138*MGtoAF)</f>
        <v>1643.9861109959445</v>
      </c>
      <c r="DL138" s="698">
        <f t="shared" si="314"/>
        <v>8.49</v>
      </c>
      <c r="DM138" s="560">
        <f t="shared" si="315"/>
        <v>25.590000000000003</v>
      </c>
      <c r="DN138" s="560">
        <f>Sheet1!AB140-DM138</f>
        <v>-9.0000000000003411E-2</v>
      </c>
      <c r="DO138" s="823">
        <f t="shared" si="316"/>
        <v>-3.5169988276671903E-3</v>
      </c>
      <c r="DP138" s="560">
        <f>(VLOOKUP(Sheet1!DC140,hhdcap_wcm,4)-(((VLOOKUP(Sheet1!DC140,hhdcap_wcm,3)-Sheet1!DC140)/(VLOOKUP(Sheet1!DC140,hhdcap_wcm,3)-VLOOKUP(Sheet1!DC140,hhdcap_wcm,1)))*(VLOOKUP(Sheet1!DC140,hhdcap_wcm,4)-VLOOKUP(Sheet1!DC140,hhdcap_wcm,2))))</f>
        <v>40727.400000101443</v>
      </c>
      <c r="DQ138" s="560">
        <f t="shared" si="317"/>
        <v>415.00000000047294</v>
      </c>
      <c r="DR138" s="560">
        <f t="shared" si="318"/>
        <v>209.27887039862475</v>
      </c>
      <c r="DS138" s="560">
        <f>Sheet1!EA140*AFtoMG</f>
        <v>0</v>
      </c>
      <c r="DT138" s="560">
        <f>Sheet1!EB140*AFtoMG</f>
        <v>0</v>
      </c>
      <c r="DU138" s="560">
        <f>Sheet1!EC140*AFtoMG</f>
        <v>0</v>
      </c>
      <c r="DV138" s="560">
        <f>Sheet1!ED140*AFtoMG</f>
        <v>0</v>
      </c>
      <c r="DW138" s="560">
        <f t="shared" si="319"/>
        <v>0</v>
      </c>
      <c r="DX138" s="560">
        <f t="shared" si="320"/>
        <v>0</v>
      </c>
      <c r="DY138" s="560">
        <f t="shared" si="321"/>
        <v>4290.4061726411292</v>
      </c>
      <c r="DZ138" s="560">
        <f t="shared" si="322"/>
        <v>13162.966137662985</v>
      </c>
      <c r="EA138" s="560"/>
      <c r="EB138" s="545">
        <f>IF(OR(B138&lt;FV138,B138&gt;FW138),(MIN(BF138+BY138+CT138+MAX(Sheet1!AA140+AQ138-73,0),K138)),0)</f>
        <v>8.4601406799531063</v>
      </c>
      <c r="EC138" s="560"/>
      <c r="ED138" s="560">
        <f t="shared" si="323"/>
        <v>8.4601406799531063</v>
      </c>
      <c r="EE138" s="560"/>
      <c r="EF138" s="560">
        <f>Sheet1!EH140+Sheet1!EI140+Sheet1!EJ140+Sheet1!EK140</f>
        <v>8.49</v>
      </c>
      <c r="EG138" s="560"/>
      <c r="EH138" s="545">
        <f t="shared" si="324"/>
        <v>0</v>
      </c>
      <c r="EI138" s="560">
        <f>IF(Sheet1!ET140=1,SUM('Calculations II'!AT138:BA138)+'Calculations II'!BC138+Sheet1!BV140+'Calculations II'!BE138+AP138,SUM('Calculations II'!AT138:BA138)+'Calculations II'!BC138+Sheet1!BV140+'Calculations II'!BE138+AP138)</f>
        <v>52.225088</v>
      </c>
      <c r="EJ138" s="560">
        <f>Sheet1!AA140+Sheet1!AB140+'Calculations II'!BC138</f>
        <v>52.871200000000002</v>
      </c>
      <c r="EK138" s="560"/>
      <c r="EL138" s="560"/>
      <c r="EM138" s="560">
        <f t="shared" si="325"/>
        <v>41766</v>
      </c>
      <c r="EN138" s="560">
        <f t="shared" si="326"/>
        <v>56.179859320046894</v>
      </c>
      <c r="EO138" s="560">
        <f t="shared" si="327"/>
        <v>86.910242368112549</v>
      </c>
      <c r="EP138" s="560">
        <v>0</v>
      </c>
      <c r="EQ138" s="560">
        <v>0</v>
      </c>
      <c r="ER138" s="560">
        <v>0</v>
      </c>
      <c r="ES138" s="545">
        <f t="shared" si="349"/>
        <v>3.6021038620923682</v>
      </c>
      <c r="ET138" s="560">
        <f>-(VLOOKUP(Sheet1!BQ140,Lookup!$O$4:$Q$262,2)-VLOOKUP(Sheet1!BQ139,Lookup!$O$4:$Q$262,2))/1000000</f>
        <v>1.8010519310461841</v>
      </c>
      <c r="EU138" s="560">
        <f>-(VLOOKUP(Sheet1!BR140,Lookup!$O$4:$Q$262,3)-VLOOKUP(Sheet1!BR139,Lookup!$O$4:$Q$262,3))/1000000</f>
        <v>1.8010519310461841</v>
      </c>
      <c r="EV138" s="560"/>
      <c r="EW138" s="560"/>
      <c r="EX138" s="560"/>
      <c r="EY138" s="560"/>
      <c r="EZ138" s="560"/>
      <c r="FA138" s="560"/>
      <c r="FB138" s="560"/>
      <c r="FC138" s="560"/>
      <c r="FD138" s="594" t="e">
        <f t="shared" si="328"/>
        <v>#N/A</v>
      </c>
      <c r="FE138" s="594" t="e">
        <f t="shared" si="329"/>
        <v>#N/A</v>
      </c>
      <c r="FF138" s="595" t="e">
        <f t="shared" si="330"/>
        <v>#N/A</v>
      </c>
      <c r="FG138" s="596" t="s">
        <v>692</v>
      </c>
      <c r="FH138" s="596" t="s">
        <v>692</v>
      </c>
      <c r="FI138" s="594" t="e">
        <v>#N/A</v>
      </c>
      <c r="FJ138" s="594" t="e">
        <v>#N/A</v>
      </c>
      <c r="FK138" s="560"/>
      <c r="FL138" s="560"/>
      <c r="FM138" s="560"/>
      <c r="FN138" s="560"/>
      <c r="FO138" s="560">
        <f>O138+((Sheet1!CS140)*GPMtoMGD)</f>
        <v>52.871200000000002</v>
      </c>
      <c r="FP138" s="560">
        <f>IF(Sheet1!AA140+AQ138&lt;=Calculation!N138,AQ138,Calculation!N138-Sheet1!AA140)</f>
        <v>15.445486518171158</v>
      </c>
      <c r="FQ138" s="560">
        <f>(Sheet1!BP140+Sheet1!BO140)/694.4</f>
        <v>2.3561347926267282</v>
      </c>
      <c r="FR138" s="560"/>
      <c r="FS138" s="560"/>
      <c r="FT138" s="560"/>
      <c r="FU138" s="560"/>
      <c r="FV138" s="695">
        <f t="shared" si="350"/>
        <v>41827</v>
      </c>
      <c r="FW138" s="695">
        <f t="shared" si="351"/>
        <v>41934</v>
      </c>
      <c r="FX138" s="560"/>
      <c r="FY138" s="560"/>
      <c r="FZ138" s="560"/>
      <c r="GA138" s="560"/>
      <c r="GB138" s="560" t="str">
        <f t="shared" si="352"/>
        <v>n</v>
      </c>
      <c r="GC138" s="564">
        <f t="shared" si="353"/>
        <v>41691</v>
      </c>
      <c r="GD138" s="695">
        <f t="shared" si="354"/>
        <v>41807</v>
      </c>
      <c r="GE138" s="560">
        <v>6518.9</v>
      </c>
      <c r="GF138" s="695">
        <f t="shared" si="355"/>
        <v>41808</v>
      </c>
      <c r="GG138" s="560">
        <f t="shared" si="272"/>
        <v>3259</v>
      </c>
      <c r="GH138" s="564">
        <f t="shared" si="356"/>
        <v>41934</v>
      </c>
      <c r="GJ138" s="545">
        <f t="shared" si="357"/>
        <v>0</v>
      </c>
      <c r="GK138" s="560" t="str">
        <f t="shared" si="331"/>
        <v/>
      </c>
      <c r="GL138" s="560">
        <f t="shared" si="358"/>
        <v>0</v>
      </c>
      <c r="GM138" s="560" t="str">
        <f t="shared" si="359"/>
        <v/>
      </c>
      <c r="GN138" s="560">
        <f>IF(GK138="P",Lookup!$M$12,IF(GK138="PP",Lookup!$M$13,IF(GK138="PPP",Lookup!$M$14,IF(GK138="T",Lookup!$M$15,IF(GK138="TP",Lookup!$M$16,IF(GK138="TPP",Lookup!$M$17,IF(GK138="TPPP",Lookup!$M$18,0)))))))*GJ138</f>
        <v>0</v>
      </c>
      <c r="GO138" s="560">
        <f t="shared" si="360"/>
        <v>0</v>
      </c>
      <c r="GP138" s="560">
        <f t="shared" si="332"/>
        <v>6279.99146666667</v>
      </c>
      <c r="GQ138" s="560">
        <f t="shared" ref="GQ138:GQ201" si="368">(IF(AND(GB137="Y",B138=GD138),2716.2,(IF(AND(B138&lt;GF138,B138&gt;=GC138),MIN(BB137+AV138-AU138,15/36*GE138),IF(B138=GF138,15/36*GG138,IF(AND(B138&gt;GF138,B138&lt;GH138),MIN(BB137+AV138-AU138,15/36*GG138),IF(B138&gt;=GH138,0,0)))))))+DS138</f>
        <v>2046.9333333333345</v>
      </c>
      <c r="GR138" s="560"/>
      <c r="GS138" s="560">
        <f t="shared" si="361"/>
        <v>0</v>
      </c>
      <c r="GT138" s="560" t="str">
        <f t="shared" si="362"/>
        <v/>
      </c>
      <c r="GU138" s="560">
        <f>IF(GK138="P",Lookup!$N$12,IF(GK138="PP",Lookup!$N$13,IF(GK138="PPP",Lookup!$N$14,IF(GK138="T",Lookup!$N$15,IF(GK138="TP",Lookup!$N$16,IF(GK138="TPP",Lookup!$N$17,IF(GK138="TPPP",Lookup!$N$18,0)))))))*GJ138</f>
        <v>0</v>
      </c>
      <c r="GV138" s="560">
        <f t="shared" si="363"/>
        <v>0</v>
      </c>
      <c r="GW138" s="560">
        <f t="shared" si="333"/>
        <v>2930.6626844444404</v>
      </c>
      <c r="GX138" s="560">
        <f t="shared" ref="GX138:GX201" si="369">(IF(AND(GB138="Y",B138=GD138),1267.5,(IF(AND(B138&lt;GF138,B138&gt;=GC138),MIN(BU137+BO138-BN138,7/36*GE138),IF(B138=GF138,7/36*GG138,IF(AND(B138&gt;GF138,B138&lt;GH138),MIN(BU137+BO138-BN138,7/36*GG138),IF(B138&gt;=GH138,0,0)))))))+DT138</f>
        <v>955.23555555555424</v>
      </c>
      <c r="GY138" s="560"/>
      <c r="GZ138" s="560">
        <f t="shared" si="364"/>
        <v>0</v>
      </c>
      <c r="HA138" s="560" t="str">
        <f t="shared" si="365"/>
        <v/>
      </c>
      <c r="HB138" s="560">
        <f>IF(GK138="P",Lookup!$N$12,IF(GK138="PP",Lookup!$N$13,IF(GK138="PPP",Lookup!$N$14,IF(GK138="T",Lookup!$N$15,IF(GK138="TP",Lookup!$N$16,IF(GK138="TPP",Lookup!$N$17,IF(GK138="TPPP",Lookup!$N$18,0)))))))*GJ138</f>
        <v>0</v>
      </c>
      <c r="HC138" s="545">
        <f t="shared" si="334"/>
        <v>0</v>
      </c>
      <c r="HD138" s="560">
        <f t="shared" si="335"/>
        <v>2308.3258755559282</v>
      </c>
      <c r="HE138" s="560">
        <f t="shared" ref="HE138:HE201" si="370">(IF(AND(GB138="Y",B138=GD138),1267.5,IF(AND(B138&lt;GF138,B138&gt;=GC138),MIN(CP137+CJ138-CI138,7/36*GE138),IF(B138=GF138,7/36*GG138,IF(AND(B138&gt;GF138,B138&lt;GH138),MIN(CP137+CJ138-CI138,7/36*GG138),IF(B138&gt;=GH138,0,0))))))+DU138</f>
        <v>752.3878342750744</v>
      </c>
      <c r="HF138" s="560"/>
      <c r="HG138" s="560">
        <f t="shared" si="366"/>
        <v>0</v>
      </c>
      <c r="HH138" s="560" t="str">
        <f t="shared" si="367"/>
        <v/>
      </c>
      <c r="HI138" s="560">
        <f>IF(GK138="P",Lookup!$N$12,IF(GK138="PP",Lookup!$N$13,IF(GK138="PPP",Lookup!$N$14,IF(GK138="T",Lookup!$N$15,IF(GK138="TP",Lookup!$N$16,IF(GK138="TPP",Lookup!$N$17,IF(GK138="TPPP",Lookup!$N$18,0)))))))*GJ138</f>
        <v>0</v>
      </c>
      <c r="HJ138" s="545">
        <f t="shared" si="336"/>
        <v>0</v>
      </c>
      <c r="HK138" s="560">
        <f t="shared" si="337"/>
        <v>1643.9861109959445</v>
      </c>
      <c r="HL138" s="560">
        <f t="shared" ref="HL138:HL201" si="371">(IF(AND(GB138="Y",B138=GD138),1267.5,(IF(AND(B138&lt;GF138,B138&gt;=GC138),MIN(DI137+DC138-DB138,7/36*GE138),IF(B138=GF138,7/36*GG138,IF(AND(B138&gt;GF138,B138&lt;GH138),MIN(DI137+DC138-DB138,7/36*GG138),IF(B138&gt;=GH138,0,0)))))))+DV138</f>
        <v>535.84944947716576</v>
      </c>
      <c r="HM138" s="560"/>
    </row>
    <row r="139" spans="1:221">
      <c r="A139" s="580" t="s">
        <v>7</v>
      </c>
      <c r="B139" s="556">
        <v>41767</v>
      </c>
      <c r="C139" s="561">
        <v>0</v>
      </c>
      <c r="D139" s="529">
        <f t="shared" si="270"/>
        <v>300</v>
      </c>
      <c r="E139" s="529">
        <f t="shared" si="271"/>
        <v>250</v>
      </c>
      <c r="F139" s="529">
        <v>250</v>
      </c>
      <c r="G139" s="560">
        <f>DR139+Sheet1!CZ141</f>
        <v>1691.109430157062</v>
      </c>
      <c r="H139" s="914">
        <f t="shared" si="338"/>
        <v>826.16993565352482</v>
      </c>
      <c r="I139" s="559">
        <f>MAX(Sheet1!Z141-AT139+(Sheet1!DA141-E139)*CFStoMGD,0)</f>
        <v>1253.6599999999999</v>
      </c>
      <c r="J139" s="562">
        <f>IF(AND(B139&gt;=Calculation!GC139,B139&lt;=Calculation!GD139),IF(Sheet1!DB141&gt;=Calculation!D139,64.64,0),MAX(Sheet1!Z141-AT139+(Sheet1!DB141-D139)*CFStoMGD,0))</f>
        <v>64.64</v>
      </c>
      <c r="K139" s="904">
        <f t="shared" si="273"/>
        <v>64.64</v>
      </c>
      <c r="L139" s="560">
        <f>Sheet1!AA141+Sheet1!AB141-Sheet1!L141+(Sheet1!DA141-F139)*CFStoMGD</f>
        <v>1228.1599999999999</v>
      </c>
      <c r="M139" s="560">
        <f t="shared" si="274"/>
        <v>1114.9957983665954</v>
      </c>
      <c r="N139" s="910">
        <f>IF(Sheet1!DA141&gt;=F139,MIN(73,MIN(MAX(L139,0),MAX(M139,0))),0)</f>
        <v>73</v>
      </c>
      <c r="O139" s="563">
        <f>Sheet1!AA141+Sheet1!AB141</f>
        <v>46.5</v>
      </c>
      <c r="P139" s="563">
        <f t="shared" si="275"/>
        <v>71.93549999999999</v>
      </c>
      <c r="Q139" s="898">
        <f t="shared" si="339"/>
        <v>37.97</v>
      </c>
      <c r="R139" s="829">
        <f t="shared" si="276"/>
        <v>8.5199764982373658</v>
      </c>
      <c r="S139" s="898">
        <f t="shared" si="340"/>
        <v>8.5299999999999994</v>
      </c>
      <c r="T139" s="898">
        <f t="shared" si="341"/>
        <v>56.11</v>
      </c>
      <c r="U139" s="898">
        <f t="shared" si="342"/>
        <v>0</v>
      </c>
      <c r="V139" s="898"/>
      <c r="W139" s="898">
        <f t="shared" si="343"/>
        <v>56.120023501762631</v>
      </c>
      <c r="X139" s="898">
        <f t="shared" si="344"/>
        <v>64.64</v>
      </c>
      <c r="Y139" s="898" t="str">
        <f t="shared" si="345"/>
        <v>FALSE</v>
      </c>
      <c r="Z139" s="898">
        <f t="shared" si="346"/>
        <v>46.5</v>
      </c>
      <c r="AA139" s="898">
        <f t="shared" si="347"/>
        <v>46.5</v>
      </c>
      <c r="AB139" s="898" t="str">
        <f t="shared" si="348"/>
        <v/>
      </c>
      <c r="AC139" s="563">
        <f>Sheet1!Y141*MGDtoCFS</f>
        <v>32.6417</v>
      </c>
      <c r="AD139" s="563">
        <f>Sheet1!Z141*MGDtoCFS</f>
        <v>39.448499999999996</v>
      </c>
      <c r="AE139" s="563">
        <f>Sheet1!AA141*MGDtoCFS</f>
        <v>32.487000000000002</v>
      </c>
      <c r="AF139" s="563">
        <f>Sheet1!AB141*MGDtoCFS</f>
        <v>39.448499999999996</v>
      </c>
      <c r="AG139" s="563">
        <f>Sheet1!L141*MGDtoCFS</f>
        <v>71.93549999999999</v>
      </c>
      <c r="AH139" s="545">
        <f t="shared" si="277"/>
        <v>0</v>
      </c>
      <c r="AI139" s="560">
        <f t="shared" si="278"/>
        <v>0</v>
      </c>
      <c r="AJ139" s="560">
        <f t="shared" si="279"/>
        <v>56.120023501762631</v>
      </c>
      <c r="AK139" s="560">
        <f t="shared" si="280"/>
        <v>86.817676357226787</v>
      </c>
      <c r="AL139" s="560">
        <f>(VLOOKUP(Sheet1!DC141,hhdcap_wcm,4)-(((VLOOKUP(Sheet1!DC141,hhdcap_wcm,3)-Sheet1!DC141)/(VLOOKUP(Sheet1!DC141,hhdcap_wcm,3)-VLOOKUP(Sheet1!DC141,hhdcap_wcm,1)))*(VLOOKUP(Sheet1!DC141,hhdcap_wcm,4)-VLOOKUP(Sheet1!DC141,hhdcap_wcm,2))))</f>
        <v>41324.500000102897</v>
      </c>
      <c r="AM139" s="560">
        <f t="shared" si="281"/>
        <v>597.10000000145374</v>
      </c>
      <c r="AN139" s="560">
        <f t="shared" si="282"/>
        <v>4346.5261961428914</v>
      </c>
      <c r="AO139" s="560">
        <f t="shared" si="283"/>
        <v>13335.14236976639</v>
      </c>
      <c r="AP139" s="560">
        <f>Sheet1!BA141+Sheet1!BB141+Sheet1!BN141+CD139</f>
        <v>17</v>
      </c>
      <c r="AQ139" s="560">
        <f>Sheet1!BN141+(DO139*Sheet1!BN141)</f>
        <v>15.381903642773208</v>
      </c>
      <c r="AR139" s="560">
        <f>Sheet1!BA141+CD139</f>
        <v>0</v>
      </c>
      <c r="AS139" s="560">
        <f>Sheet1!BA141+Sheet1!BB141+CD139</f>
        <v>1.6</v>
      </c>
      <c r="AT139" s="698">
        <f>0</f>
        <v>0</v>
      </c>
      <c r="AU139" s="560">
        <f>IF(EB139&lt;K139,0,MAX(Sheet1!AA141+AQ139-15/36*K139-N139,Sheet1!EH141,0))</f>
        <v>0</v>
      </c>
      <c r="AV139" s="560">
        <f>IF(OR(B139&gt;=GD139,B139&lt;GC139),0,15/36*K139-MAX(0,64.6-(137.6-(Sheet1!AA141+Sheet1!AB141))))</f>
        <v>26.933333333333334</v>
      </c>
      <c r="AW139" s="698">
        <f>Sheet1!DB141-110</f>
        <v>1390</v>
      </c>
      <c r="AX139" s="698">
        <f>Sheet1!DA141-265</f>
        <v>1885</v>
      </c>
      <c r="AY139" s="698">
        <f t="shared" si="284"/>
        <v>35.03</v>
      </c>
      <c r="AZ139" s="698">
        <v>0</v>
      </c>
      <c r="BA139" s="698">
        <f t="shared" si="285"/>
        <v>0</v>
      </c>
      <c r="BB139" s="560">
        <f t="shared" si="286"/>
        <v>2073.8666666666677</v>
      </c>
      <c r="BC139" s="560"/>
      <c r="BD139" s="560">
        <f ca="1">IF(B139&gt;Summary!$A$1,#N/A,BB139*MGtoAF)</f>
        <v>6362.6229333333367</v>
      </c>
      <c r="BE139" s="560">
        <f>Sheet1!BG141+Sheet1!BH141+Sheet1!BI141-BM139</f>
        <v>0</v>
      </c>
      <c r="BF139" s="560">
        <f t="shared" si="287"/>
        <v>0</v>
      </c>
      <c r="BG139" s="560">
        <f>IF(Sheet1!EP141="FM",BM139,0)</f>
        <v>0</v>
      </c>
      <c r="BH139" s="560">
        <f t="shared" si="288"/>
        <v>0</v>
      </c>
      <c r="BI139" s="560">
        <f>IF(Sheet1!EP141="OTHER",BM139,0)</f>
        <v>0</v>
      </c>
      <c r="BJ139" s="560">
        <f t="shared" si="289"/>
        <v>0</v>
      </c>
      <c r="BK139" s="560">
        <f t="shared" si="290"/>
        <v>0</v>
      </c>
      <c r="BL139" s="560">
        <f t="shared" si="291"/>
        <v>0</v>
      </c>
      <c r="BM139" s="560">
        <f>IF(OR(Sheet1!EP141="FM", Sheet1!EP141="OTHER"),SUM(Sheet1!BG141:'Sheet1'!BI141),0)</f>
        <v>0</v>
      </c>
      <c r="BN139" s="545">
        <f>IF(AND($B139&gt;=$FV139,$B139&lt;=$FW139),MAX(BF139,Sheet1!EI141,0),MAX(BF139-(7/36)*$K139,0))</f>
        <v>0</v>
      </c>
      <c r="BO139" s="560">
        <f t="shared" si="292"/>
        <v>12.568888888888889</v>
      </c>
      <c r="BP139" s="545">
        <f t="shared" si="293"/>
        <v>0</v>
      </c>
      <c r="BQ139" s="545">
        <f>IF(AND($O139&gt;0,Sheet1!EM141=1),(1-($O139-Sheet1!$L141)/$O139)*BL139,0)</f>
        <v>0</v>
      </c>
      <c r="BR139" s="545">
        <f>IF(AND(Sheet1!$L141=0,Sheet1!$L140=0, Calculation!BK139&lt;Sheet1!$EI141-0.1,Sheet1!$EI141=Sheet1!$EI140,Sheet1!$EI141=Sheet1!$EI142),Sheet1!$EI141,BL139-BQ139)</f>
        <v>0</v>
      </c>
      <c r="BS139" s="560"/>
      <c r="BT139" s="560"/>
      <c r="BU139" s="560">
        <f t="shared" si="294"/>
        <v>967.80444444444311</v>
      </c>
      <c r="BV139" s="560"/>
      <c r="BW139" s="560">
        <f ca="1">IF(B139&gt;Summary!$A$1,#N/A,BU139*MGtoAF)</f>
        <v>2969.2240355555514</v>
      </c>
      <c r="BX139" s="560">
        <f>Sheet1!BC141+Sheet1!BD141+Sheet1!BE141+Sheet1!BF141-CG139-CH139</f>
        <v>3.5</v>
      </c>
      <c r="BY139" s="560">
        <f t="shared" si="295"/>
        <v>3.4958871915393654</v>
      </c>
      <c r="BZ139" s="560">
        <f>IF(Sheet1!EQ141="FM",CH139,0)</f>
        <v>0</v>
      </c>
      <c r="CA139" s="560">
        <f t="shared" si="296"/>
        <v>0</v>
      </c>
      <c r="CB139" s="560">
        <f>IF(Sheet1!EQ141="OTHER",CH139,0)</f>
        <v>0</v>
      </c>
      <c r="CC139" s="560">
        <f t="shared" si="297"/>
        <v>0</v>
      </c>
      <c r="CD139" s="560">
        <f t="shared" si="298"/>
        <v>0</v>
      </c>
      <c r="CE139" s="560">
        <f t="shared" si="299"/>
        <v>3.5</v>
      </c>
      <c r="CF139" s="560">
        <f t="shared" si="300"/>
        <v>3.4958871915393654</v>
      </c>
      <c r="CG139" s="560">
        <f>IF(Sheet1!EQ141="CWA",SUM(Sheet1!BC141:'Sheet1'!BF141),0)</f>
        <v>0</v>
      </c>
      <c r="CH139" s="560">
        <f>IF(OR(Sheet1!EQ141="FM", Sheet1!EQ141="OTHER"),SUM(Sheet1!BC141:'Sheet1'!BF141),0)</f>
        <v>0</v>
      </c>
      <c r="CI139" s="545">
        <f>IF(AND($B139&gt;=$FV139,$B139&lt;=$FW139),MAX(CF139,Sheet1!EJ141,0),MAX(CF139-(7/36)*$K139,0))</f>
        <v>0</v>
      </c>
      <c r="CJ139" s="560">
        <f t="shared" si="301"/>
        <v>9.0730016973495236</v>
      </c>
      <c r="CK139" s="545">
        <f t="shared" si="302"/>
        <v>3.4958871915393654</v>
      </c>
      <c r="CL139" s="545">
        <f>IF(AND($O139&gt;0,Sheet1!EN141=1),(1-($O139-Sheet1!$L141)/$O139)*CF139,0)</f>
        <v>0</v>
      </c>
      <c r="CM139" s="545">
        <f>IF(AND(Sheet1!$L141=0,Sheet1!$L140=0, Calculation!CE139&lt;Sheet1!EJ141-0.1,Sheet1!EJ141=Sheet1!EJ140,Sheet1!EJ141=Sheet1!EJ142),Sheet1!EJ141,CF139-CL139)</f>
        <v>3.4958871915393654</v>
      </c>
      <c r="CN139" s="545"/>
      <c r="CO139" s="560"/>
      <c r="CP139" s="560">
        <f t="shared" si="303"/>
        <v>761.46083597242387</v>
      </c>
      <c r="CQ139" s="560"/>
      <c r="CR139" s="560">
        <f ca="1">IF(B139&gt;Summary!$A$1,#N/A,CP139*MGtoAF)</f>
        <v>2336.1618447633964</v>
      </c>
      <c r="CS139" s="560">
        <f>Sheet1!BK141+Sheet1!BL141+Sheet1!BM141-Sheet1!ER141-DA139</f>
        <v>5.0299999999999994</v>
      </c>
      <c r="CT139" s="560">
        <f t="shared" si="304"/>
        <v>5.0240893066980012</v>
      </c>
      <c r="CU139" s="560">
        <f>IF(Sheet1!ER141="FM",DA139,0)</f>
        <v>0</v>
      </c>
      <c r="CV139" s="560">
        <f t="shared" si="305"/>
        <v>0</v>
      </c>
      <c r="CW139" s="560">
        <f>IF(Sheet1!ER141="OTHER",DA139,0)</f>
        <v>0</v>
      </c>
      <c r="CX139" s="560">
        <f t="shared" si="306"/>
        <v>0</v>
      </c>
      <c r="CY139" s="560">
        <f t="shared" si="307"/>
        <v>5.0299999999999994</v>
      </c>
      <c r="CZ139" s="560">
        <f t="shared" si="308"/>
        <v>5.0240893066980012</v>
      </c>
      <c r="DA139" s="560">
        <f>IF(OR(Sheet1!ER141="FM", Sheet1!ER141="OTHER"),SUM(Sheet1!BK141:'Sheet1'!BM141),0)</f>
        <v>0</v>
      </c>
      <c r="DB139" s="545">
        <f>IF(AND($B139&gt;=$FV139,$B139&lt;=$FW139),MAX($CT139,Sheet1!EK141,0),MAX($CT139-(7/36)*$K139,0))</f>
        <v>0</v>
      </c>
      <c r="DC139" s="560">
        <f t="shared" si="309"/>
        <v>7.5447995821908878</v>
      </c>
      <c r="DD139" s="545">
        <f t="shared" si="310"/>
        <v>5.0240893066980012</v>
      </c>
      <c r="DE139" s="545">
        <f>IF(AND($O139&gt;0,Sheet1!EO141=1),(1-($O139-Sheet1!$L141)/$O139)*CZ139,0)</f>
        <v>0</v>
      </c>
      <c r="DF139" s="545">
        <f>IF(AND(Sheet1!$L141=0,Sheet1!$L140=0, Calculation!CY139&lt;Sheet1!$EK141-0.1,Sheet1!$EK141=Sheet1!$EK140,Sheet1!$EK141=Sheet1!$EK142),Sheet1!$EK141,CZ139-DE139)</f>
        <v>5.0240893066980012</v>
      </c>
      <c r="DG139" s="545"/>
      <c r="DH139" s="560">
        <f t="shared" si="311"/>
        <v>8.5299999999999994</v>
      </c>
      <c r="DI139" s="560">
        <f t="shared" si="312"/>
        <v>543.39424905935664</v>
      </c>
      <c r="DJ139" s="698">
        <f t="shared" si="313"/>
        <v>8.5199764982373658</v>
      </c>
      <c r="DK139" s="560">
        <f ca="1">IF(B139&gt;Summary!$A$1,#N/A,DI139*MGtoAF)</f>
        <v>1667.1335561141061</v>
      </c>
      <c r="DL139" s="698">
        <f t="shared" si="314"/>
        <v>8.5299999999999994</v>
      </c>
      <c r="DM139" s="560">
        <f t="shared" si="315"/>
        <v>25.53</v>
      </c>
      <c r="DN139" s="560">
        <f>Sheet1!AB141-DM139</f>
        <v>-3.0000000000001137E-2</v>
      </c>
      <c r="DO139" s="823">
        <f t="shared" si="316"/>
        <v>-1.1750881316099152E-3</v>
      </c>
      <c r="DP139" s="560">
        <f>(VLOOKUP(Sheet1!DC141,hhdcap_wcm,4)-(((VLOOKUP(Sheet1!DC141,hhdcap_wcm,3)-Sheet1!DC141)/(VLOOKUP(Sheet1!DC141,hhdcap_wcm,3)-VLOOKUP(Sheet1!DC141,hhdcap_wcm,1)))*(VLOOKUP(Sheet1!DC141,hhdcap_wcm,4)-VLOOKUP(Sheet1!DC141,hhdcap_wcm,2))))</f>
        <v>41324.500000102897</v>
      </c>
      <c r="DQ139" s="560">
        <f t="shared" si="317"/>
        <v>597.10000000145374</v>
      </c>
      <c r="DR139" s="560">
        <f t="shared" si="318"/>
        <v>301.10943015706187</v>
      </c>
      <c r="DS139" s="560">
        <f>Sheet1!EA141*AFtoMG</f>
        <v>0</v>
      </c>
      <c r="DT139" s="560">
        <f>Sheet1!EB141*AFtoMG</f>
        <v>0</v>
      </c>
      <c r="DU139" s="560">
        <f>Sheet1!EC141*AFtoMG</f>
        <v>0</v>
      </c>
      <c r="DV139" s="560">
        <f>Sheet1!ED141*AFtoMG</f>
        <v>0</v>
      </c>
      <c r="DW139" s="560">
        <f t="shared" si="319"/>
        <v>0</v>
      </c>
      <c r="DX139" s="560">
        <f t="shared" si="320"/>
        <v>0</v>
      </c>
      <c r="DY139" s="560">
        <f t="shared" si="321"/>
        <v>4346.5261961428914</v>
      </c>
      <c r="DZ139" s="560">
        <f t="shared" si="322"/>
        <v>13335.14236976639</v>
      </c>
      <c r="EA139" s="560"/>
      <c r="EB139" s="545">
        <f>IF(OR(B139&lt;FV139,B139&gt;FW139),(MIN(BF139+BY139+CT139+MAX(Sheet1!AA141+AQ139-73,0),K139)),0)</f>
        <v>8.5199764982373658</v>
      </c>
      <c r="EC139" s="560"/>
      <c r="ED139" s="560">
        <f t="shared" si="323"/>
        <v>8.5199764982373658</v>
      </c>
      <c r="EE139" s="560"/>
      <c r="EF139" s="560">
        <f>Sheet1!EH141+Sheet1!EI141+Sheet1!EJ141+Sheet1!EK141</f>
        <v>8.5299999999999994</v>
      </c>
      <c r="EG139" s="560"/>
      <c r="EH139" s="545">
        <f t="shared" si="324"/>
        <v>0</v>
      </c>
      <c r="EI139" s="560">
        <f>IF(Sheet1!ET141=1,SUM('Calculations II'!AT139:BA139)+'Calculations II'!BC139+Sheet1!BV141+'Calculations II'!BE139+AP139,SUM('Calculations II'!AT139:BA139)+'Calculations II'!BC139+Sheet1!BV141+'Calculations II'!BE139+AP139)</f>
        <v>51.803696000000002</v>
      </c>
      <c r="EJ139" s="560">
        <f>Sheet1!AA141+Sheet1!AB141+'Calculations II'!BC139</f>
        <v>52.788623999999999</v>
      </c>
      <c r="EK139" s="560"/>
      <c r="EL139" s="560"/>
      <c r="EM139" s="560">
        <f t="shared" si="325"/>
        <v>41767</v>
      </c>
      <c r="EN139" s="560">
        <f t="shared" si="326"/>
        <v>56.120023501762631</v>
      </c>
      <c r="EO139" s="560">
        <f t="shared" si="327"/>
        <v>86.817676357226787</v>
      </c>
      <c r="EP139" s="560">
        <v>0</v>
      </c>
      <c r="EQ139" s="560">
        <v>0</v>
      </c>
      <c r="ER139" s="560">
        <v>0</v>
      </c>
      <c r="ES139" s="545">
        <f t="shared" si="349"/>
        <v>3.1846692384470812</v>
      </c>
      <c r="ET139" s="560">
        <f>-(VLOOKUP(Sheet1!BQ141,Lookup!$O$4:$Q$262,2)-VLOOKUP(Sheet1!BQ140,Lookup!$O$4:$Q$262,2))/1000000</f>
        <v>1.5231210659964531</v>
      </c>
      <c r="EU139" s="560">
        <f>-(VLOOKUP(Sheet1!BR141,Lookup!$O$4:$Q$262,3)-VLOOKUP(Sheet1!BR140,Lookup!$O$4:$Q$262,3))/1000000</f>
        <v>1.661548172450628</v>
      </c>
      <c r="EV139" s="560"/>
      <c r="EW139" s="560"/>
      <c r="EX139" s="560"/>
      <c r="EY139" s="560"/>
      <c r="EZ139" s="560"/>
      <c r="FA139" s="560"/>
      <c r="FB139" s="560"/>
      <c r="FC139" s="560"/>
      <c r="FD139" s="594" t="e">
        <f t="shared" si="328"/>
        <v>#N/A</v>
      </c>
      <c r="FE139" s="594" t="e">
        <f t="shared" si="329"/>
        <v>#N/A</v>
      </c>
      <c r="FF139" s="595" t="e">
        <f t="shared" si="330"/>
        <v>#N/A</v>
      </c>
      <c r="FG139" s="596" t="s">
        <v>692</v>
      </c>
      <c r="FH139" s="596" t="s">
        <v>692</v>
      </c>
      <c r="FI139" s="594" t="e">
        <v>#N/A</v>
      </c>
      <c r="FJ139" s="594" t="e">
        <v>#N/A</v>
      </c>
      <c r="FK139" s="560"/>
      <c r="FL139" s="560"/>
      <c r="FM139" s="560"/>
      <c r="FN139" s="560"/>
      <c r="FO139" s="560">
        <f>O139+((Sheet1!CS141)*GPMtoMGD)</f>
        <v>52.788623999999999</v>
      </c>
      <c r="FP139" s="560">
        <f>IF(Sheet1!AA141+AQ139&lt;=Calculation!N139,AQ139,Calculation!N139-Sheet1!AA141)</f>
        <v>15.381903642773208</v>
      </c>
      <c r="FQ139" s="560">
        <f>(Sheet1!BP141+Sheet1!BO141)/694.4</f>
        <v>1.491647465437788</v>
      </c>
      <c r="FR139" s="560"/>
      <c r="FS139" s="560"/>
      <c r="FT139" s="560"/>
      <c r="FU139" s="560"/>
      <c r="FV139" s="695">
        <f t="shared" si="350"/>
        <v>41827</v>
      </c>
      <c r="FW139" s="695">
        <f t="shared" si="351"/>
        <v>41934</v>
      </c>
      <c r="FX139" s="560"/>
      <c r="FY139" s="560"/>
      <c r="FZ139" s="560"/>
      <c r="GA139" s="560"/>
      <c r="GB139" s="560" t="str">
        <f t="shared" si="352"/>
        <v>n</v>
      </c>
      <c r="GC139" s="564">
        <f t="shared" si="353"/>
        <v>41691</v>
      </c>
      <c r="GD139" s="695">
        <f t="shared" si="354"/>
        <v>41807</v>
      </c>
      <c r="GE139" s="560">
        <v>6518.9</v>
      </c>
      <c r="GF139" s="695">
        <f t="shared" si="355"/>
        <v>41808</v>
      </c>
      <c r="GG139" s="560">
        <f t="shared" si="272"/>
        <v>3259</v>
      </c>
      <c r="GH139" s="564">
        <f t="shared" si="356"/>
        <v>41934</v>
      </c>
      <c r="GJ139" s="545">
        <f t="shared" si="357"/>
        <v>0</v>
      </c>
      <c r="GK139" s="560" t="str">
        <f t="shared" si="331"/>
        <v/>
      </c>
      <c r="GL139" s="560">
        <f t="shared" si="358"/>
        <v>0</v>
      </c>
      <c r="GM139" s="560" t="str">
        <f t="shared" si="359"/>
        <v/>
      </c>
      <c r="GN139" s="560">
        <f>IF(GK139="P",Lookup!$M$12,IF(GK139="PP",Lookup!$M$13,IF(GK139="PPP",Lookup!$M$14,IF(GK139="T",Lookup!$M$15,IF(GK139="TP",Lookup!$M$16,IF(GK139="TPP",Lookup!$M$17,IF(GK139="TPPP",Lookup!$M$18,0)))))))*GJ139</f>
        <v>0</v>
      </c>
      <c r="GO139" s="560">
        <f t="shared" si="360"/>
        <v>0</v>
      </c>
      <c r="GP139" s="560">
        <f t="shared" si="332"/>
        <v>6362.6229333333367</v>
      </c>
      <c r="GQ139" s="560">
        <f t="shared" si="368"/>
        <v>2073.8666666666677</v>
      </c>
      <c r="GR139" s="560"/>
      <c r="GS139" s="560">
        <f t="shared" si="361"/>
        <v>0</v>
      </c>
      <c r="GT139" s="560" t="str">
        <f t="shared" si="362"/>
        <v/>
      </c>
      <c r="GU139" s="560">
        <f>IF(GK139="P",Lookup!$N$12,IF(GK139="PP",Lookup!$N$13,IF(GK139="PPP",Lookup!$N$14,IF(GK139="T",Lookup!$N$15,IF(GK139="TP",Lookup!$N$16,IF(GK139="TPP",Lookup!$N$17,IF(GK139="TPPP",Lookup!$N$18,0)))))))*GJ139</f>
        <v>0</v>
      </c>
      <c r="GV139" s="560">
        <f t="shared" si="363"/>
        <v>0</v>
      </c>
      <c r="GW139" s="560">
        <f t="shared" si="333"/>
        <v>2969.2240355555514</v>
      </c>
      <c r="GX139" s="560">
        <f t="shared" si="369"/>
        <v>967.80444444444311</v>
      </c>
      <c r="GY139" s="560"/>
      <c r="GZ139" s="560">
        <f t="shared" si="364"/>
        <v>0</v>
      </c>
      <c r="HA139" s="560" t="str">
        <f t="shared" si="365"/>
        <v/>
      </c>
      <c r="HB139" s="560">
        <f>IF(GK139="P",Lookup!$N$12,IF(GK139="PP",Lookup!$N$13,IF(GK139="PPP",Lookup!$N$14,IF(GK139="T",Lookup!$N$15,IF(GK139="TP",Lookup!$N$16,IF(GK139="TPP",Lookup!$N$17,IF(GK139="TPPP",Lookup!$N$18,0)))))))*GJ139</f>
        <v>0</v>
      </c>
      <c r="HC139" s="545">
        <f t="shared" si="334"/>
        <v>0</v>
      </c>
      <c r="HD139" s="560">
        <f t="shared" si="335"/>
        <v>2336.1618447633964</v>
      </c>
      <c r="HE139" s="560">
        <f t="shared" si="370"/>
        <v>761.46083597242387</v>
      </c>
      <c r="HF139" s="560"/>
      <c r="HG139" s="560">
        <f t="shared" si="366"/>
        <v>0</v>
      </c>
      <c r="HH139" s="560" t="str">
        <f t="shared" si="367"/>
        <v/>
      </c>
      <c r="HI139" s="560">
        <f>IF(GK139="P",Lookup!$N$12,IF(GK139="PP",Lookup!$N$13,IF(GK139="PPP",Lookup!$N$14,IF(GK139="T",Lookup!$N$15,IF(GK139="TP",Lookup!$N$16,IF(GK139="TPP",Lookup!$N$17,IF(GK139="TPPP",Lookup!$N$18,0)))))))*GJ139</f>
        <v>0</v>
      </c>
      <c r="HJ139" s="545">
        <f t="shared" si="336"/>
        <v>0</v>
      </c>
      <c r="HK139" s="560">
        <f t="shared" si="337"/>
        <v>1667.1335561141061</v>
      </c>
      <c r="HL139" s="560">
        <f t="shared" si="371"/>
        <v>543.39424905935664</v>
      </c>
      <c r="HM139" s="560"/>
    </row>
    <row r="140" spans="1:221">
      <c r="A140" s="580" t="s">
        <v>8</v>
      </c>
      <c r="B140" s="556">
        <v>41768</v>
      </c>
      <c r="C140" s="561">
        <v>0</v>
      </c>
      <c r="D140" s="529">
        <f t="shared" si="270"/>
        <v>300</v>
      </c>
      <c r="E140" s="529">
        <f t="shared" si="271"/>
        <v>250</v>
      </c>
      <c r="F140" s="529">
        <v>250</v>
      </c>
      <c r="G140" s="560">
        <f>DR140+Sheet1!CZ142</f>
        <v>2240.0958144235715</v>
      </c>
      <c r="H140" s="914">
        <f t="shared" si="338"/>
        <v>1181.0347344433965</v>
      </c>
      <c r="I140" s="559">
        <f>MAX(Sheet1!Z142-AT140+(Sheet1!DA142-E140)*CFStoMGD,0)</f>
        <v>1421.7239999999999</v>
      </c>
      <c r="J140" s="562">
        <f>IF(AND(B140&gt;=Calculation!GC140,B140&lt;=Calculation!GD140),IF(Sheet1!DB142&gt;=Calculation!D140,64.64,0),MAX(Sheet1!Z142-AT140+(Sheet1!DB142-D140)*CFStoMGD,0))</f>
        <v>64.64</v>
      </c>
      <c r="K140" s="904">
        <f t="shared" si="273"/>
        <v>64.64</v>
      </c>
      <c r="L140" s="560">
        <f>Sheet1!AA142+Sheet1!AB142-Sheet1!L142+(Sheet1!DA142-F140)*CFStoMGD</f>
        <v>1415.9939999999997</v>
      </c>
      <c r="M140" s="560">
        <f t="shared" si="274"/>
        <v>1476.9578931322646</v>
      </c>
      <c r="N140" s="910">
        <f>IF(Sheet1!DA142&gt;=F140,MIN(73,MIN(MAX(L140,0),MAX(M140,0))),0)</f>
        <v>73</v>
      </c>
      <c r="O140" s="563">
        <f>Sheet1!AA142+Sheet1!AB142</f>
        <v>47.2</v>
      </c>
      <c r="P140" s="563">
        <f t="shared" si="275"/>
        <v>73.018399999999986</v>
      </c>
      <c r="Q140" s="898">
        <f t="shared" si="339"/>
        <v>39.138000000000005</v>
      </c>
      <c r="R140" s="829">
        <f t="shared" si="276"/>
        <v>8.0424458180111102</v>
      </c>
      <c r="S140" s="898">
        <f t="shared" si="340"/>
        <v>8.0619999999999994</v>
      </c>
      <c r="T140" s="898">
        <f t="shared" si="341"/>
        <v>56.578000000000003</v>
      </c>
      <c r="U140" s="898">
        <f t="shared" si="342"/>
        <v>0</v>
      </c>
      <c r="V140" s="898"/>
      <c r="W140" s="898">
        <f t="shared" si="343"/>
        <v>56.59755418198889</v>
      </c>
      <c r="X140" s="898">
        <f t="shared" si="344"/>
        <v>64.64</v>
      </c>
      <c r="Y140" s="898" t="str">
        <f t="shared" si="345"/>
        <v>FALSE</v>
      </c>
      <c r="Z140" s="898">
        <f t="shared" si="346"/>
        <v>47.2</v>
      </c>
      <c r="AA140" s="898">
        <f t="shared" si="347"/>
        <v>47.2</v>
      </c>
      <c r="AB140" s="898" t="str">
        <f t="shared" si="348"/>
        <v/>
      </c>
      <c r="AC140" s="563">
        <f>Sheet1!Y142*MGDtoCFS</f>
        <v>32.487000000000002</v>
      </c>
      <c r="AD140" s="563">
        <f>Sheet1!Z142*MGDtoCFS</f>
        <v>39.448499999999996</v>
      </c>
      <c r="AE140" s="563">
        <f>Sheet1!AA142*MGDtoCFS</f>
        <v>33.569899999999997</v>
      </c>
      <c r="AF140" s="563">
        <f>Sheet1!AB142*MGDtoCFS</f>
        <v>39.448499999999996</v>
      </c>
      <c r="AG140" s="563">
        <f>Sheet1!L142*MGDtoCFS</f>
        <v>42.434210000000448</v>
      </c>
      <c r="AH140" s="545">
        <f t="shared" si="277"/>
        <v>0</v>
      </c>
      <c r="AI140" s="560">
        <f t="shared" si="278"/>
        <v>0</v>
      </c>
      <c r="AJ140" s="560">
        <f t="shared" si="279"/>
        <v>56.59755418198889</v>
      </c>
      <c r="AK140" s="560">
        <f t="shared" si="280"/>
        <v>87.556416319536808</v>
      </c>
      <c r="AL140" s="560">
        <f>(VLOOKUP(Sheet1!DC142,hhdcap_wcm,4)-(((VLOOKUP(Sheet1!DC142,hhdcap_wcm,3)-Sheet1!DC142)/(VLOOKUP(Sheet1!DC142,hhdcap_wcm,3)-VLOOKUP(Sheet1!DC142,hhdcap_wcm,1)))*(VLOOKUP(Sheet1!DC142,hhdcap_wcm,4)-VLOOKUP(Sheet1!DC142,hhdcap_wcm,2))))</f>
        <v>42455.000000104839</v>
      </c>
      <c r="AM140" s="560">
        <f t="shared" si="281"/>
        <v>1130.5000000019427</v>
      </c>
      <c r="AN140" s="560">
        <f t="shared" si="282"/>
        <v>4403.1237503248803</v>
      </c>
      <c r="AO140" s="560">
        <f t="shared" si="283"/>
        <v>13508.783665996732</v>
      </c>
      <c r="AP140" s="560">
        <f>Sheet1!BA142+Sheet1!BB142+Sheet1!BN142+CD140</f>
        <v>17.5</v>
      </c>
      <c r="AQ140" s="560">
        <f>Sheet1!BN142+(DO140*Sheet1!BN142)</f>
        <v>15.861434942492764</v>
      </c>
      <c r="AR140" s="560">
        <f>Sheet1!BA142+CD140</f>
        <v>0</v>
      </c>
      <c r="AS140" s="560">
        <f>Sheet1!BA142+Sheet1!BB142+CD140</f>
        <v>1.6</v>
      </c>
      <c r="AT140" s="698">
        <f>0</f>
        <v>0</v>
      </c>
      <c r="AU140" s="560">
        <f>IF(EB140&lt;K140,0,MAX(Sheet1!AA142+AQ140-15/36*K140-N140,Sheet1!EH142,0))</f>
        <v>0</v>
      </c>
      <c r="AV140" s="560">
        <f>IF(OR(B140&gt;=GD140,B140&lt;GC140),0,15/36*K140-MAX(0,64.6-(137.6-(Sheet1!AA142+Sheet1!AB142))))</f>
        <v>26.933333333333334</v>
      </c>
      <c r="AW140" s="698">
        <f>Sheet1!DB142-110</f>
        <v>1620</v>
      </c>
      <c r="AX140" s="698">
        <f>Sheet1!DA142-265</f>
        <v>2145</v>
      </c>
      <c r="AY140" s="698">
        <f t="shared" si="284"/>
        <v>33.861999999999995</v>
      </c>
      <c r="AZ140" s="698">
        <v>0</v>
      </c>
      <c r="BA140" s="698">
        <f t="shared" si="285"/>
        <v>0</v>
      </c>
      <c r="BB140" s="560">
        <f t="shared" si="286"/>
        <v>2100.8000000000011</v>
      </c>
      <c r="BC140" s="560"/>
      <c r="BD140" s="560">
        <f ca="1">IF(B140&gt;Summary!$A$1,#N/A,BB140*MGtoAF)</f>
        <v>6445.2544000000034</v>
      </c>
      <c r="BE140" s="560">
        <f>Sheet1!BG142+Sheet1!BH142+Sheet1!BI142-BM140</f>
        <v>0</v>
      </c>
      <c r="BF140" s="560">
        <f t="shared" si="287"/>
        <v>0</v>
      </c>
      <c r="BG140" s="560">
        <f>IF(Sheet1!EP142="FM",BM140,0)</f>
        <v>0</v>
      </c>
      <c r="BH140" s="560">
        <f t="shared" si="288"/>
        <v>0</v>
      </c>
      <c r="BI140" s="560">
        <f>IF(Sheet1!EP142="OTHER",BM140,0)</f>
        <v>0</v>
      </c>
      <c r="BJ140" s="560">
        <f t="shared" si="289"/>
        <v>0</v>
      </c>
      <c r="BK140" s="560">
        <f t="shared" si="290"/>
        <v>0</v>
      </c>
      <c r="BL140" s="560">
        <f t="shared" si="291"/>
        <v>0</v>
      </c>
      <c r="BM140" s="560">
        <f>IF(OR(Sheet1!EP142="FM", Sheet1!EP142="OTHER"),SUM(Sheet1!BG142:'Sheet1'!BI142),0)</f>
        <v>0</v>
      </c>
      <c r="BN140" s="545">
        <f>IF(AND($B140&gt;=$FV140,$B140&lt;=$FW140),MAX(BF140,Sheet1!EI142,0),MAX(BF140-(7/36)*$K140,0))</f>
        <v>0</v>
      </c>
      <c r="BO140" s="560">
        <f t="shared" si="292"/>
        <v>12.568888888888889</v>
      </c>
      <c r="BP140" s="545">
        <f t="shared" si="293"/>
        <v>0</v>
      </c>
      <c r="BQ140" s="545">
        <f>IF(AND($O140&gt;0,Sheet1!EM142=1),(1-($O140-Sheet1!$L142)/$O140)*BL140,0)</f>
        <v>0</v>
      </c>
      <c r="BR140" s="545">
        <f>IF(AND(Sheet1!$L142=0,Sheet1!$L141=0, Calculation!BK140&lt;Sheet1!$EI142-0.1,Sheet1!$EI142=Sheet1!$EI141,Sheet1!$EI142=Sheet1!$EI143),Sheet1!$EI142,BL140-BQ140)</f>
        <v>0</v>
      </c>
      <c r="BS140" s="560"/>
      <c r="BT140" s="560"/>
      <c r="BU140" s="560">
        <f t="shared" si="294"/>
        <v>980.37333333333197</v>
      </c>
      <c r="BV140" s="560"/>
      <c r="BW140" s="560">
        <f ca="1">IF(B140&gt;Summary!$A$1,#N/A,BU140*MGtoAF)</f>
        <v>3007.7853866666624</v>
      </c>
      <c r="BX140" s="560">
        <f>Sheet1!BC142+Sheet1!BD142+Sheet1!BE142+Sheet1!BF142-CG140-CH140</f>
        <v>2.98</v>
      </c>
      <c r="BY140" s="560">
        <f t="shared" si="295"/>
        <v>2.9727720835615368</v>
      </c>
      <c r="BZ140" s="560">
        <f>IF(Sheet1!EQ142="FM",CH140,0)</f>
        <v>0</v>
      </c>
      <c r="CA140" s="560">
        <f t="shared" si="296"/>
        <v>0</v>
      </c>
      <c r="CB140" s="560">
        <f>IF(Sheet1!EQ142="OTHER",CH140,0)</f>
        <v>0</v>
      </c>
      <c r="CC140" s="560">
        <f t="shared" si="297"/>
        <v>0</v>
      </c>
      <c r="CD140" s="560">
        <f t="shared" si="298"/>
        <v>0</v>
      </c>
      <c r="CE140" s="560">
        <f t="shared" si="299"/>
        <v>2.98</v>
      </c>
      <c r="CF140" s="560">
        <f t="shared" si="300"/>
        <v>2.9727720835615368</v>
      </c>
      <c r="CG140" s="560">
        <f>IF(Sheet1!EQ142="CWA",SUM(Sheet1!BC142:'Sheet1'!BF142),0)</f>
        <v>0</v>
      </c>
      <c r="CH140" s="560">
        <f>IF(OR(Sheet1!EQ142="FM", Sheet1!EQ142="OTHER"),SUM(Sheet1!BC142:'Sheet1'!BF142),0)</f>
        <v>0</v>
      </c>
      <c r="CI140" s="545">
        <f>IF(AND($B140&gt;=$FV140,$B140&lt;=$FW140),MAX(CF140,Sheet1!EJ142,0),MAX(CF140-(7/36)*$K140,0))</f>
        <v>0</v>
      </c>
      <c r="CJ140" s="560">
        <f t="shared" si="301"/>
        <v>9.5961168053273518</v>
      </c>
      <c r="CK140" s="545">
        <f t="shared" si="302"/>
        <v>2.9727720835615368</v>
      </c>
      <c r="CL140" s="545">
        <f>IF(AND($O140&gt;0,Sheet1!EN142=1),(1-($O140-Sheet1!$L142)/$O140)*CF140,0)</f>
        <v>0</v>
      </c>
      <c r="CM140" s="545">
        <f>IF(AND(Sheet1!$L142=0,Sheet1!$L141=0, Calculation!CE140&lt;Sheet1!EJ142-0.1,Sheet1!EJ142=Sheet1!EJ141,Sheet1!EJ142=Sheet1!EJ143),Sheet1!EJ142,CF140-CL140)</f>
        <v>2.9727720835615368</v>
      </c>
      <c r="CN140" s="545"/>
      <c r="CO140" s="560"/>
      <c r="CP140" s="560">
        <f t="shared" si="303"/>
        <v>771.05695277775123</v>
      </c>
      <c r="CQ140" s="560"/>
      <c r="CR140" s="560">
        <f ca="1">IF(B140&gt;Summary!$A$1,#N/A,CP140*MGtoAF)</f>
        <v>2365.602731122141</v>
      </c>
      <c r="CS140" s="560">
        <f>Sheet1!BK142+Sheet1!BL142+Sheet1!BM142-Sheet1!ER142-DA140</f>
        <v>5.0819999999999999</v>
      </c>
      <c r="CT140" s="560">
        <f t="shared" si="304"/>
        <v>5.0696737344495739</v>
      </c>
      <c r="CU140" s="560">
        <f>IF(Sheet1!ER142="FM",DA140,0)</f>
        <v>0</v>
      </c>
      <c r="CV140" s="560">
        <f t="shared" si="305"/>
        <v>0</v>
      </c>
      <c r="CW140" s="560">
        <f>IF(Sheet1!ER142="OTHER",DA140,0)</f>
        <v>0</v>
      </c>
      <c r="CX140" s="560">
        <f t="shared" si="306"/>
        <v>0</v>
      </c>
      <c r="CY140" s="560">
        <f t="shared" si="307"/>
        <v>5.0819999999999999</v>
      </c>
      <c r="CZ140" s="560">
        <f t="shared" si="308"/>
        <v>5.0696737344495739</v>
      </c>
      <c r="DA140" s="560">
        <f>IF(OR(Sheet1!ER142="FM", Sheet1!ER142="OTHER"),SUM(Sheet1!BK142:'Sheet1'!BM142),0)</f>
        <v>0</v>
      </c>
      <c r="DB140" s="545">
        <f>IF(AND($B140&gt;=$FV140,$B140&lt;=$FW140),MAX($CT140,Sheet1!EK142,0),MAX($CT140-(7/36)*$K140,0))</f>
        <v>0</v>
      </c>
      <c r="DC140" s="560">
        <f t="shared" si="309"/>
        <v>7.4992151544393151</v>
      </c>
      <c r="DD140" s="545">
        <f t="shared" si="310"/>
        <v>5.0696737344495739</v>
      </c>
      <c r="DE140" s="545">
        <f>IF(AND($O140&gt;0,Sheet1!EO142=1),(1-($O140-Sheet1!$L142)/$O140)*CZ140,0)</f>
        <v>0</v>
      </c>
      <c r="DF140" s="545">
        <f>IF(AND(Sheet1!$L142=0,Sheet1!$L141=0, Calculation!CY140&lt;Sheet1!$EK142-0.1,Sheet1!$EK142=Sheet1!$EK141,Sheet1!$EK142=Sheet1!$EK143),Sheet1!$EK142,CZ140-DE140)</f>
        <v>5.0696737344495739</v>
      </c>
      <c r="DG140" s="545"/>
      <c r="DH140" s="560">
        <f t="shared" si="311"/>
        <v>8.0619999999999994</v>
      </c>
      <c r="DI140" s="560">
        <f t="shared" si="312"/>
        <v>550.89346421379594</v>
      </c>
      <c r="DJ140" s="698">
        <f t="shared" si="313"/>
        <v>8.0424458180111102</v>
      </c>
      <c r="DK140" s="560">
        <f ca="1">IF(B140&gt;Summary!$A$1,#N/A,DI140*MGtoAF)</f>
        <v>1690.1411482079259</v>
      </c>
      <c r="DL140" s="698">
        <f t="shared" si="314"/>
        <v>8.0619999999999994</v>
      </c>
      <c r="DM140" s="560">
        <f t="shared" si="315"/>
        <v>25.561999999999998</v>
      </c>
      <c r="DN140" s="560">
        <f>Sheet1!AB142-DM140</f>
        <v>-6.1999999999997613E-2</v>
      </c>
      <c r="DO140" s="823">
        <f t="shared" si="316"/>
        <v>-2.4254753149204919E-3</v>
      </c>
      <c r="DP140" s="560">
        <f>(VLOOKUP(Sheet1!DC142,hhdcap_wcm,4)-(((VLOOKUP(Sheet1!DC142,hhdcap_wcm,3)-Sheet1!DC142)/(VLOOKUP(Sheet1!DC142,hhdcap_wcm,3)-VLOOKUP(Sheet1!DC142,hhdcap_wcm,1)))*(VLOOKUP(Sheet1!DC142,hhdcap_wcm,4)-VLOOKUP(Sheet1!DC142,hhdcap_wcm,2))))</f>
        <v>42455.000000104839</v>
      </c>
      <c r="DQ140" s="560">
        <f t="shared" si="317"/>
        <v>1130.5000000019427</v>
      </c>
      <c r="DR140" s="560">
        <f t="shared" si="318"/>
        <v>570.0958144235716</v>
      </c>
      <c r="DS140" s="560">
        <f>Sheet1!EA142*AFtoMG</f>
        <v>0</v>
      </c>
      <c r="DT140" s="560">
        <f>Sheet1!EB142*AFtoMG</f>
        <v>0</v>
      </c>
      <c r="DU140" s="560">
        <f>Sheet1!EC142*AFtoMG</f>
        <v>0</v>
      </c>
      <c r="DV140" s="560">
        <f>Sheet1!ED142*AFtoMG</f>
        <v>0</v>
      </c>
      <c r="DW140" s="560">
        <f t="shared" si="319"/>
        <v>0</v>
      </c>
      <c r="DX140" s="560">
        <f t="shared" si="320"/>
        <v>0</v>
      </c>
      <c r="DY140" s="560">
        <f t="shared" si="321"/>
        <v>4403.1237503248803</v>
      </c>
      <c r="DZ140" s="560">
        <f t="shared" si="322"/>
        <v>13508.783665996732</v>
      </c>
      <c r="EA140" s="560"/>
      <c r="EB140" s="545">
        <f>IF(OR(B140&lt;FV140,B140&gt;FW140),(MIN(BF140+BY140+CT140+MAX(Sheet1!AA142+AQ140-73,0),K140)),0)</f>
        <v>8.0424458180111102</v>
      </c>
      <c r="EC140" s="560"/>
      <c r="ED140" s="560">
        <f t="shared" si="323"/>
        <v>8.0424458180111102</v>
      </c>
      <c r="EE140" s="560"/>
      <c r="EF140" s="560">
        <f>Sheet1!EH142+Sheet1!EI142+Sheet1!EJ142+Sheet1!EK142</f>
        <v>8.0619999999999994</v>
      </c>
      <c r="EG140" s="560"/>
      <c r="EH140" s="545">
        <f t="shared" si="324"/>
        <v>0</v>
      </c>
      <c r="EI140" s="560">
        <f>IF(Sheet1!ET142=1,SUM('Calculations II'!AT140:BA140)+'Calculations II'!BC140+Sheet1!BV142+'Calculations II'!BE140+AP140,SUM('Calculations II'!AT140:BA140)+'Calculations II'!BC140+Sheet1!BV142+'Calculations II'!BE140+AP140)</f>
        <v>49.266159999999999</v>
      </c>
      <c r="EJ140" s="560">
        <f>Sheet1!AA142+Sheet1!AB142+'Calculations II'!BC140</f>
        <v>53.476096000000005</v>
      </c>
      <c r="EK140" s="560"/>
      <c r="EL140" s="560"/>
      <c r="EM140" s="560">
        <f t="shared" si="325"/>
        <v>41768</v>
      </c>
      <c r="EN140" s="560">
        <f t="shared" si="326"/>
        <v>56.59755418198889</v>
      </c>
      <c r="EO140" s="560">
        <f t="shared" si="327"/>
        <v>87.556416319536808</v>
      </c>
      <c r="EP140" s="560">
        <v>0</v>
      </c>
      <c r="EQ140" s="560">
        <v>0</v>
      </c>
      <c r="ER140" s="560">
        <v>0</v>
      </c>
      <c r="ES140" s="545">
        <f t="shared" si="349"/>
        <v>-0.55373405399385844</v>
      </c>
      <c r="ET140" s="560">
        <f>-(VLOOKUP(Sheet1!BQ142,Lookup!$O$4:$Q$262,2)-VLOOKUP(Sheet1!BQ141,Lookup!$O$4:$Q$262,2))/1000000</f>
        <v>-0.13843351346151159</v>
      </c>
      <c r="EU140" s="560">
        <f>-(VLOOKUP(Sheet1!BR142,Lookup!$O$4:$Q$262,3)-VLOOKUP(Sheet1!BR141,Lookup!$O$4:$Q$262,3))/1000000</f>
        <v>-0.41530054053234683</v>
      </c>
      <c r="EV140" s="560"/>
      <c r="EW140" s="560"/>
      <c r="EX140" s="560"/>
      <c r="EY140" s="560"/>
      <c r="EZ140" s="560"/>
      <c r="FA140" s="560"/>
      <c r="FB140" s="560"/>
      <c r="FC140" s="560"/>
      <c r="FD140" s="594" t="e">
        <f t="shared" si="328"/>
        <v>#N/A</v>
      </c>
      <c r="FE140" s="594" t="e">
        <f t="shared" si="329"/>
        <v>#N/A</v>
      </c>
      <c r="FF140" s="595" t="e">
        <f t="shared" si="330"/>
        <v>#N/A</v>
      </c>
      <c r="FG140" s="596" t="s">
        <v>692</v>
      </c>
      <c r="FH140" s="596" t="s">
        <v>692</v>
      </c>
      <c r="FI140" s="594" t="e">
        <v>#N/A</v>
      </c>
      <c r="FJ140" s="594" t="e">
        <v>#N/A</v>
      </c>
      <c r="FK140" s="560"/>
      <c r="FL140" s="560"/>
      <c r="FM140" s="560"/>
      <c r="FN140" s="560"/>
      <c r="FO140" s="560">
        <f>O140+((Sheet1!CS142)*GPMtoMGD)</f>
        <v>53.476096000000005</v>
      </c>
      <c r="FP140" s="560">
        <f>IF(Sheet1!AA142+AQ140&lt;=Calculation!N140,AQ140,Calculation!N140-Sheet1!AA142)</f>
        <v>15.861434942492764</v>
      </c>
      <c r="FQ140" s="560">
        <f>(Sheet1!BP142+Sheet1!BO142)/694.4</f>
        <v>1.4272753456221199</v>
      </c>
      <c r="FR140" s="560"/>
      <c r="FS140" s="560"/>
      <c r="FT140" s="560"/>
      <c r="FU140" s="560"/>
      <c r="FV140" s="695">
        <f t="shared" si="350"/>
        <v>41827</v>
      </c>
      <c r="FW140" s="695">
        <f t="shared" si="351"/>
        <v>41934</v>
      </c>
      <c r="FX140" s="560"/>
      <c r="FY140" s="560"/>
      <c r="FZ140" s="560"/>
      <c r="GA140" s="560"/>
      <c r="GB140" s="560" t="str">
        <f t="shared" si="352"/>
        <v>n</v>
      </c>
      <c r="GC140" s="564">
        <f t="shared" si="353"/>
        <v>41691</v>
      </c>
      <c r="GD140" s="695">
        <f t="shared" si="354"/>
        <v>41807</v>
      </c>
      <c r="GE140" s="560">
        <v>6518.9</v>
      </c>
      <c r="GF140" s="695">
        <f t="shared" si="355"/>
        <v>41808</v>
      </c>
      <c r="GG140" s="560">
        <f t="shared" si="272"/>
        <v>3259</v>
      </c>
      <c r="GH140" s="564">
        <f t="shared" si="356"/>
        <v>41934</v>
      </c>
      <c r="GJ140" s="545">
        <f t="shared" si="357"/>
        <v>0</v>
      </c>
      <c r="GK140" s="560" t="str">
        <f t="shared" si="331"/>
        <v/>
      </c>
      <c r="GL140" s="560">
        <f t="shared" si="358"/>
        <v>0</v>
      </c>
      <c r="GM140" s="560" t="str">
        <f t="shared" si="359"/>
        <v/>
      </c>
      <c r="GN140" s="560">
        <f>IF(GK140="P",Lookup!$M$12,IF(GK140="PP",Lookup!$M$13,IF(GK140="PPP",Lookup!$M$14,IF(GK140="T",Lookup!$M$15,IF(GK140="TP",Lookup!$M$16,IF(GK140="TPP",Lookup!$M$17,IF(GK140="TPPP",Lookup!$M$18,0)))))))*GJ140</f>
        <v>0</v>
      </c>
      <c r="GO140" s="560">
        <f t="shared" si="360"/>
        <v>0</v>
      </c>
      <c r="GP140" s="560">
        <f t="shared" si="332"/>
        <v>6445.2544000000034</v>
      </c>
      <c r="GQ140" s="560">
        <f t="shared" si="368"/>
        <v>2100.8000000000011</v>
      </c>
      <c r="GR140" s="560"/>
      <c r="GS140" s="560">
        <f t="shared" si="361"/>
        <v>0</v>
      </c>
      <c r="GT140" s="560" t="str">
        <f t="shared" si="362"/>
        <v/>
      </c>
      <c r="GU140" s="560">
        <f>IF(GK140="P",Lookup!$N$12,IF(GK140="PP",Lookup!$N$13,IF(GK140="PPP",Lookup!$N$14,IF(GK140="T",Lookup!$N$15,IF(GK140="TP",Lookup!$N$16,IF(GK140="TPP",Lookup!$N$17,IF(GK140="TPPP",Lookup!$N$18,0)))))))*GJ140</f>
        <v>0</v>
      </c>
      <c r="GV140" s="560">
        <f t="shared" si="363"/>
        <v>0</v>
      </c>
      <c r="GW140" s="560">
        <f t="shared" si="333"/>
        <v>3007.7853866666624</v>
      </c>
      <c r="GX140" s="560">
        <f t="shared" si="369"/>
        <v>980.37333333333197</v>
      </c>
      <c r="GY140" s="560"/>
      <c r="GZ140" s="560">
        <f t="shared" si="364"/>
        <v>0</v>
      </c>
      <c r="HA140" s="560" t="str">
        <f t="shared" si="365"/>
        <v/>
      </c>
      <c r="HB140" s="560">
        <f>IF(GK140="P",Lookup!$N$12,IF(GK140="PP",Lookup!$N$13,IF(GK140="PPP",Lookup!$N$14,IF(GK140="T",Lookup!$N$15,IF(GK140="TP",Lookup!$N$16,IF(GK140="TPP",Lookup!$N$17,IF(GK140="TPPP",Lookup!$N$18,0)))))))*GJ140</f>
        <v>0</v>
      </c>
      <c r="HC140" s="545">
        <f t="shared" si="334"/>
        <v>0</v>
      </c>
      <c r="HD140" s="560">
        <f t="shared" si="335"/>
        <v>2365.602731122141</v>
      </c>
      <c r="HE140" s="560">
        <f t="shared" si="370"/>
        <v>771.05695277775123</v>
      </c>
      <c r="HF140" s="560"/>
      <c r="HG140" s="560">
        <f t="shared" si="366"/>
        <v>0</v>
      </c>
      <c r="HH140" s="560" t="str">
        <f t="shared" si="367"/>
        <v/>
      </c>
      <c r="HI140" s="560">
        <f>IF(GK140="P",Lookup!$N$12,IF(GK140="PP",Lookup!$N$13,IF(GK140="PPP",Lookup!$N$14,IF(GK140="T",Lookup!$N$15,IF(GK140="TP",Lookup!$N$16,IF(GK140="TPP",Lookup!$N$17,IF(GK140="TPPP",Lookup!$N$18,0)))))))*GJ140</f>
        <v>0</v>
      </c>
      <c r="HJ140" s="545">
        <f t="shared" si="336"/>
        <v>0</v>
      </c>
      <c r="HK140" s="560">
        <f t="shared" si="337"/>
        <v>1690.1411482079259</v>
      </c>
      <c r="HL140" s="560">
        <f t="shared" si="371"/>
        <v>550.89346421379594</v>
      </c>
      <c r="HM140" s="560"/>
    </row>
    <row r="141" spans="1:221">
      <c r="A141" s="580" t="s">
        <v>9</v>
      </c>
      <c r="B141" s="556">
        <v>41769</v>
      </c>
      <c r="C141" s="561">
        <v>0</v>
      </c>
      <c r="D141" s="529">
        <f t="shared" si="270"/>
        <v>300</v>
      </c>
      <c r="E141" s="529">
        <f t="shared" si="271"/>
        <v>250</v>
      </c>
      <c r="F141" s="529">
        <v>250</v>
      </c>
      <c r="G141" s="560">
        <f>DR141+Sheet1!CZ143</f>
        <v>2154.6192637427957</v>
      </c>
      <c r="H141" s="914">
        <f t="shared" si="338"/>
        <v>1125.7826920833431</v>
      </c>
      <c r="I141" s="559">
        <f>MAX(Sheet1!Z143-AT141+(Sheet1!DA143-E141)*CFStoMGD,0)</f>
        <v>1395.8679999999999</v>
      </c>
      <c r="J141" s="562">
        <f>IF(AND(B141&gt;=Calculation!GC141,B141&lt;=Calculation!GD141),IF(Sheet1!DB143&gt;=Calculation!D141,64.64,0),MAX(Sheet1!Z143-AT141+(Sheet1!DB143-D141)*CFStoMGD,0))</f>
        <v>64.64</v>
      </c>
      <c r="K141" s="904">
        <f t="shared" si="273"/>
        <v>64.64</v>
      </c>
      <c r="L141" s="560">
        <f>Sheet1!AA143+Sheet1!AB143-Sheet1!L143+(Sheet1!DA143-F141)*CFStoMGD</f>
        <v>1421.4679999999998</v>
      </c>
      <c r="M141" s="560">
        <f t="shared" si="274"/>
        <v>1420.60080992501</v>
      </c>
      <c r="N141" s="910">
        <f>IF(Sheet1!DA143&gt;=F141,MIN(73,MIN(MAX(L141,0),MAX(M141,0))),0)</f>
        <v>73</v>
      </c>
      <c r="O141" s="563">
        <f>Sheet1!AA143+Sheet1!AB143</f>
        <v>51.1</v>
      </c>
      <c r="P141" s="563">
        <f t="shared" si="275"/>
        <v>79.051699999999997</v>
      </c>
      <c r="Q141" s="898">
        <f t="shared" si="339"/>
        <v>45.54</v>
      </c>
      <c r="R141" s="829">
        <f t="shared" si="276"/>
        <v>5.5677329624478435</v>
      </c>
      <c r="S141" s="898">
        <f t="shared" si="340"/>
        <v>5.5600000000000005</v>
      </c>
      <c r="T141" s="898">
        <f t="shared" si="341"/>
        <v>59.08</v>
      </c>
      <c r="U141" s="898">
        <f t="shared" si="342"/>
        <v>0</v>
      </c>
      <c r="V141" s="898"/>
      <c r="W141" s="898">
        <f t="shared" si="343"/>
        <v>59.072267037552159</v>
      </c>
      <c r="X141" s="898">
        <f t="shared" si="344"/>
        <v>64.64</v>
      </c>
      <c r="Y141" s="898" t="str">
        <f t="shared" si="345"/>
        <v>FALSE</v>
      </c>
      <c r="Z141" s="898">
        <f t="shared" si="346"/>
        <v>51.1</v>
      </c>
      <c r="AA141" s="898">
        <f t="shared" si="347"/>
        <v>51.1</v>
      </c>
      <c r="AB141" s="898" t="str">
        <f t="shared" si="348"/>
        <v/>
      </c>
      <c r="AC141" s="563">
        <f>Sheet1!Y143*MGDtoCFS</f>
        <v>33.569899999999997</v>
      </c>
      <c r="AD141" s="563">
        <f>Sheet1!Z143*MGDtoCFS</f>
        <v>39.448499999999996</v>
      </c>
      <c r="AE141" s="563">
        <f>Sheet1!AA143*MGDtoCFS</f>
        <v>34.498100000000001</v>
      </c>
      <c r="AF141" s="563">
        <f>Sheet1!AB143*MGDtoCFS</f>
        <v>44.553599999999996</v>
      </c>
      <c r="AG141" s="563">
        <f>Sheet1!L143*MGDtoCFS</f>
        <v>0</v>
      </c>
      <c r="AH141" s="545">
        <f t="shared" si="277"/>
        <v>0</v>
      </c>
      <c r="AI141" s="560">
        <f t="shared" si="278"/>
        <v>0</v>
      </c>
      <c r="AJ141" s="560">
        <f t="shared" si="279"/>
        <v>59.072267037552159</v>
      </c>
      <c r="AK141" s="560">
        <f t="shared" si="280"/>
        <v>91.384797107093192</v>
      </c>
      <c r="AL141" s="560">
        <f>(VLOOKUP(Sheet1!DC143,hhdcap_wcm,4)-(((VLOOKUP(Sheet1!DC143,hhdcap_wcm,3)-Sheet1!DC143)/(VLOOKUP(Sheet1!DC143,hhdcap_wcm,3)-VLOOKUP(Sheet1!DC143,hhdcap_wcm,1)))*(VLOOKUP(Sheet1!DC143,hhdcap_wcm,4)-VLOOKUP(Sheet1!DC143,hhdcap_wcm,2))))</f>
        <v>43416.000000106804</v>
      </c>
      <c r="AM141" s="560">
        <f t="shared" si="281"/>
        <v>961.00000000196451</v>
      </c>
      <c r="AN141" s="560">
        <f t="shared" si="282"/>
        <v>4462.196017362432</v>
      </c>
      <c r="AO141" s="560">
        <f t="shared" si="283"/>
        <v>13690.017381267942</v>
      </c>
      <c r="AP141" s="560">
        <f>Sheet1!BA143+Sheet1!BB143+Sheet1!BN143+CD141</f>
        <v>23.200000000000003</v>
      </c>
      <c r="AQ141" s="560">
        <f>Sheet1!BN143+(DO141*Sheet1!BN143)</f>
        <v>21.630041724617524</v>
      </c>
      <c r="AR141" s="560">
        <f>Sheet1!BA143+CD141</f>
        <v>0</v>
      </c>
      <c r="AS141" s="560">
        <f>Sheet1!BA143+Sheet1!BB143+CD141</f>
        <v>1.6</v>
      </c>
      <c r="AT141" s="698">
        <f>0</f>
        <v>0</v>
      </c>
      <c r="AU141" s="560">
        <f>IF(EB141&lt;K141,0,MAX(Sheet1!AA143+AQ141-15/36*K141-N141,Sheet1!EH143,0))</f>
        <v>0</v>
      </c>
      <c r="AV141" s="560">
        <f>IF(OR(B141&gt;=GD141,B141&lt;GC141),0,15/36*K141-MAX(0,64.6-(137.6-(Sheet1!AA143+Sheet1!AB143))))</f>
        <v>26.933333333333334</v>
      </c>
      <c r="AW141" s="698">
        <f>Sheet1!DB143-110</f>
        <v>1600</v>
      </c>
      <c r="AX141" s="698">
        <f>Sheet1!DA143-265</f>
        <v>2105</v>
      </c>
      <c r="AY141" s="698">
        <f t="shared" si="284"/>
        <v>27.46</v>
      </c>
      <c r="AZ141" s="698">
        <v>0</v>
      </c>
      <c r="BA141" s="698">
        <f t="shared" si="285"/>
        <v>0</v>
      </c>
      <c r="BB141" s="560">
        <f t="shared" si="286"/>
        <v>2127.7333333333345</v>
      </c>
      <c r="BC141" s="560"/>
      <c r="BD141" s="560">
        <f ca="1">IF(B141&gt;Summary!$A$1,#N/A,BB141*MGtoAF)</f>
        <v>6527.8858666666702</v>
      </c>
      <c r="BE141" s="560">
        <f>Sheet1!BG143+Sheet1!BH143+Sheet1!BI143-BM141</f>
        <v>0</v>
      </c>
      <c r="BF141" s="560">
        <f t="shared" si="287"/>
        <v>0</v>
      </c>
      <c r="BG141" s="560">
        <f>IF(Sheet1!EP143="FM",BM141,0)</f>
        <v>0</v>
      </c>
      <c r="BH141" s="560">
        <f t="shared" si="288"/>
        <v>0</v>
      </c>
      <c r="BI141" s="560">
        <f>IF(Sheet1!EP143="OTHER",BM141,0)</f>
        <v>0</v>
      </c>
      <c r="BJ141" s="560">
        <f t="shared" si="289"/>
        <v>0</v>
      </c>
      <c r="BK141" s="560">
        <f t="shared" si="290"/>
        <v>0</v>
      </c>
      <c r="BL141" s="560">
        <f t="shared" si="291"/>
        <v>0</v>
      </c>
      <c r="BM141" s="560">
        <f>IF(OR(Sheet1!EP143="FM", Sheet1!EP143="OTHER"),SUM(Sheet1!BG143:'Sheet1'!BI143),0)</f>
        <v>0</v>
      </c>
      <c r="BN141" s="545">
        <f>IF(AND($B141&gt;=$FV141,$B141&lt;=$FW141),MAX(BF141,Sheet1!EI143,0),MAX(BF141-(7/36)*$K141,0))</f>
        <v>0</v>
      </c>
      <c r="BO141" s="560">
        <f t="shared" si="292"/>
        <v>12.568888888888889</v>
      </c>
      <c r="BP141" s="545">
        <f t="shared" si="293"/>
        <v>0</v>
      </c>
      <c r="BQ141" s="545">
        <f>IF(AND($O141&gt;0,Sheet1!EM143=1),(1-($O141-Sheet1!$L143)/$O141)*BL141,0)</f>
        <v>0</v>
      </c>
      <c r="BR141" s="545">
        <f>IF(AND(Sheet1!$L143=0,Sheet1!$L142=0, Calculation!BK141&lt;Sheet1!$EI143-0.1,Sheet1!$EI143=Sheet1!$EI142,Sheet1!$EI143=Sheet1!$EI144),Sheet1!$EI143,BL141-BQ141)</f>
        <v>0</v>
      </c>
      <c r="BS141" s="560"/>
      <c r="BT141" s="560"/>
      <c r="BU141" s="560">
        <f t="shared" si="294"/>
        <v>992.94222222222083</v>
      </c>
      <c r="BV141" s="560"/>
      <c r="BW141" s="560">
        <f ca="1">IF(B141&gt;Summary!$A$1,#N/A,BU141*MGtoAF)</f>
        <v>3046.3467377777738</v>
      </c>
      <c r="BX141" s="560">
        <f>Sheet1!BC143+Sheet1!BD143+Sheet1!BE143+Sheet1!BF143-CG141-CH141</f>
        <v>2.4900000000000002</v>
      </c>
      <c r="BY141" s="560">
        <f t="shared" si="295"/>
        <v>2.49346314325452</v>
      </c>
      <c r="BZ141" s="560">
        <f>IF(Sheet1!EQ143="FM",CH141,0)</f>
        <v>0</v>
      </c>
      <c r="CA141" s="560">
        <f t="shared" si="296"/>
        <v>0</v>
      </c>
      <c r="CB141" s="560">
        <f>IF(Sheet1!EQ143="OTHER",CH141,0)</f>
        <v>0</v>
      </c>
      <c r="CC141" s="560">
        <f t="shared" si="297"/>
        <v>0</v>
      </c>
      <c r="CD141" s="560">
        <f t="shared" si="298"/>
        <v>0</v>
      </c>
      <c r="CE141" s="560">
        <f t="shared" si="299"/>
        <v>2.4900000000000002</v>
      </c>
      <c r="CF141" s="560">
        <f t="shared" si="300"/>
        <v>2.49346314325452</v>
      </c>
      <c r="CG141" s="560">
        <f>IF(Sheet1!EQ143="CWA",SUM(Sheet1!BC143:'Sheet1'!BF143),0)</f>
        <v>0</v>
      </c>
      <c r="CH141" s="560">
        <f>IF(OR(Sheet1!EQ143="FM", Sheet1!EQ143="OTHER"),SUM(Sheet1!BC143:'Sheet1'!BF143),0)</f>
        <v>0</v>
      </c>
      <c r="CI141" s="545">
        <f>IF(AND($B141&gt;=$FV141,$B141&lt;=$FW141),MAX(CF141,Sheet1!EJ143,0),MAX(CF141-(7/36)*$K141,0))</f>
        <v>0</v>
      </c>
      <c r="CJ141" s="560">
        <f t="shared" si="301"/>
        <v>10.075425745634369</v>
      </c>
      <c r="CK141" s="545">
        <f t="shared" si="302"/>
        <v>2.49346314325452</v>
      </c>
      <c r="CL141" s="545">
        <f>IF(AND($O141&gt;0,Sheet1!EN143=1),(1-($O141-Sheet1!$L143)/$O141)*CF141,0)</f>
        <v>0</v>
      </c>
      <c r="CM141" s="545">
        <f>IF(AND(Sheet1!$L143=0,Sheet1!$L142=0, Calculation!CE141&lt;Sheet1!EJ143-0.1,Sheet1!EJ143=Sheet1!EJ142,Sheet1!EJ143=Sheet1!EJ144),Sheet1!EJ143,CF141-CL141)</f>
        <v>2.49346314325452</v>
      </c>
      <c r="CN141" s="545"/>
      <c r="CO141" s="560"/>
      <c r="CP141" s="560">
        <f t="shared" si="303"/>
        <v>781.13237852338557</v>
      </c>
      <c r="CQ141" s="560"/>
      <c r="CR141" s="560">
        <f ca="1">IF(B141&gt;Summary!$A$1,#N/A,CP141*MGtoAF)</f>
        <v>2396.5141373097472</v>
      </c>
      <c r="CS141" s="560">
        <f>Sheet1!BK143+Sheet1!BL143+Sheet1!BM143-Sheet1!ER143-DA141</f>
        <v>3.07</v>
      </c>
      <c r="CT141" s="560">
        <f t="shared" si="304"/>
        <v>3.0742698191933235</v>
      </c>
      <c r="CU141" s="560">
        <f>IF(Sheet1!ER143="FM",DA141,0)</f>
        <v>0</v>
      </c>
      <c r="CV141" s="560">
        <f t="shared" si="305"/>
        <v>0</v>
      </c>
      <c r="CW141" s="560">
        <f>IF(Sheet1!ER143="OTHER",DA141,0)</f>
        <v>0</v>
      </c>
      <c r="CX141" s="560">
        <f t="shared" si="306"/>
        <v>0</v>
      </c>
      <c r="CY141" s="560">
        <f t="shared" si="307"/>
        <v>3.07</v>
      </c>
      <c r="CZ141" s="560">
        <f t="shared" si="308"/>
        <v>3.0742698191933235</v>
      </c>
      <c r="DA141" s="560">
        <f>IF(OR(Sheet1!ER143="FM", Sheet1!ER143="OTHER"),SUM(Sheet1!BK143:'Sheet1'!BM143),0)</f>
        <v>0</v>
      </c>
      <c r="DB141" s="545">
        <f>IF(AND($B141&gt;=$FV141,$B141&lt;=$FW141),MAX($CT141,Sheet1!EK143,0),MAX($CT141-(7/36)*$K141,0))</f>
        <v>0</v>
      </c>
      <c r="DC141" s="560">
        <f t="shared" si="309"/>
        <v>9.494619069695565</v>
      </c>
      <c r="DD141" s="545">
        <f t="shared" si="310"/>
        <v>3.0742698191933235</v>
      </c>
      <c r="DE141" s="545">
        <f>IF(AND($O141&gt;0,Sheet1!EO143=1),(1-($O141-Sheet1!$L143)/$O141)*CZ141,0)</f>
        <v>0</v>
      </c>
      <c r="DF141" s="545">
        <f>IF(AND(Sheet1!$L143=0,Sheet1!$L142=0, Calculation!CY141&lt;Sheet1!$EK143-0.1,Sheet1!$EK143=Sheet1!$EK142,Sheet1!$EK143=Sheet1!$EK144),Sheet1!$EK143,CZ141-DE141)</f>
        <v>3.0742698191933235</v>
      </c>
      <c r="DG141" s="545"/>
      <c r="DH141" s="560">
        <f t="shared" si="311"/>
        <v>5.5600000000000005</v>
      </c>
      <c r="DI141" s="560">
        <f t="shared" si="312"/>
        <v>560.38808328349148</v>
      </c>
      <c r="DJ141" s="698">
        <f t="shared" si="313"/>
        <v>5.5677329624478435</v>
      </c>
      <c r="DK141" s="560">
        <f ca="1">IF(B141&gt;Summary!$A$1,#N/A,DI141*MGtoAF)</f>
        <v>1719.2706395137518</v>
      </c>
      <c r="DL141" s="698">
        <f t="shared" si="314"/>
        <v>5.5600000000000005</v>
      </c>
      <c r="DM141" s="560">
        <f t="shared" si="315"/>
        <v>28.760000000000005</v>
      </c>
      <c r="DN141" s="560">
        <f>Sheet1!AB143-DM141</f>
        <v>3.9999999999995595E-2</v>
      </c>
      <c r="DO141" s="823">
        <f t="shared" si="316"/>
        <v>1.390820584144492E-3</v>
      </c>
      <c r="DP141" s="560">
        <f>(VLOOKUP(Sheet1!DC143,hhdcap_wcm,4)-(((VLOOKUP(Sheet1!DC143,hhdcap_wcm,3)-Sheet1!DC143)/(VLOOKUP(Sheet1!DC143,hhdcap_wcm,3)-VLOOKUP(Sheet1!DC143,hhdcap_wcm,1)))*(VLOOKUP(Sheet1!DC143,hhdcap_wcm,4)-VLOOKUP(Sheet1!DC143,hhdcap_wcm,2))))</f>
        <v>43416.000000106804</v>
      </c>
      <c r="DQ141" s="560">
        <f t="shared" si="317"/>
        <v>961.00000000196451</v>
      </c>
      <c r="DR141" s="560">
        <f t="shared" si="318"/>
        <v>484.61926374279597</v>
      </c>
      <c r="DS141" s="560">
        <f>Sheet1!EA143*AFtoMG</f>
        <v>0</v>
      </c>
      <c r="DT141" s="560">
        <f>Sheet1!EB143*AFtoMG</f>
        <v>0</v>
      </c>
      <c r="DU141" s="560">
        <f>Sheet1!EC143*AFtoMG</f>
        <v>0</v>
      </c>
      <c r="DV141" s="560">
        <f>Sheet1!ED143*AFtoMG</f>
        <v>0</v>
      </c>
      <c r="DW141" s="560">
        <f t="shared" si="319"/>
        <v>0</v>
      </c>
      <c r="DX141" s="560">
        <f t="shared" si="320"/>
        <v>0</v>
      </c>
      <c r="DY141" s="560">
        <f t="shared" si="321"/>
        <v>4462.196017362432</v>
      </c>
      <c r="DZ141" s="560">
        <f t="shared" si="322"/>
        <v>13690.017381267942</v>
      </c>
      <c r="EA141" s="560"/>
      <c r="EB141" s="545">
        <f>IF(OR(B141&lt;FV141,B141&gt;FW141),(MIN(BF141+BY141+CT141+MAX(Sheet1!AA143+AQ141-73,0),K141)),0)</f>
        <v>5.5677329624478435</v>
      </c>
      <c r="EC141" s="560"/>
      <c r="ED141" s="560">
        <f t="shared" si="323"/>
        <v>5.5677329624478435</v>
      </c>
      <c r="EE141" s="560"/>
      <c r="EF141" s="560">
        <f>Sheet1!EH143+Sheet1!EI143+Sheet1!EJ143+Sheet1!EK143</f>
        <v>5.5600000000000005</v>
      </c>
      <c r="EG141" s="560"/>
      <c r="EH141" s="545">
        <f t="shared" si="324"/>
        <v>0</v>
      </c>
      <c r="EI141" s="560">
        <f>IF(Sheet1!ET143=1,SUM('Calculations II'!AT141:BA141)+'Calculations II'!BC141+Sheet1!BV143+'Calculations II'!BE141+AP141,SUM('Calculations II'!AT141:BA141)+'Calculations II'!BC141+Sheet1!BV143+'Calculations II'!BE141+AP141)</f>
        <v>49.638784000000001</v>
      </c>
      <c r="EJ141" s="560">
        <f>Sheet1!AA143+Sheet1!AB143+'Calculations II'!BC141</f>
        <v>54.005776000000004</v>
      </c>
      <c r="EK141" s="560"/>
      <c r="EL141" s="560"/>
      <c r="EM141" s="560">
        <f t="shared" si="325"/>
        <v>41769</v>
      </c>
      <c r="EN141" s="560">
        <f t="shared" si="326"/>
        <v>59.072267037552159</v>
      </c>
      <c r="EO141" s="560">
        <f t="shared" si="327"/>
        <v>91.384797107093192</v>
      </c>
      <c r="EP141" s="560">
        <v>0</v>
      </c>
      <c r="EQ141" s="560">
        <v>0</v>
      </c>
      <c r="ER141" s="560">
        <v>0</v>
      </c>
      <c r="ES141" s="545">
        <f t="shared" si="349"/>
        <v>-2.9079431850473618</v>
      </c>
      <c r="ET141" s="560">
        <f>-(VLOOKUP(Sheet1!BQ143,Lookup!$O$4:$Q$262,2)-VLOOKUP(Sheet1!BQ142,Lookup!$O$4:$Q$262,2))/1000000</f>
        <v>-1.5231915528320112</v>
      </c>
      <c r="EU141" s="560">
        <f>-(VLOOKUP(Sheet1!BR143,Lookup!$O$4:$Q$262,3)-VLOOKUP(Sheet1!BR142,Lookup!$O$4:$Q$262,3))/1000000</f>
        <v>-1.3847516322153508</v>
      </c>
      <c r="EV141" s="560"/>
      <c r="EW141" s="560"/>
      <c r="EX141" s="560"/>
      <c r="EY141" s="560"/>
      <c r="EZ141" s="560"/>
      <c r="FA141" s="560"/>
      <c r="FB141" s="560"/>
      <c r="FC141" s="560"/>
      <c r="FD141" s="594" t="e">
        <f t="shared" si="328"/>
        <v>#N/A</v>
      </c>
      <c r="FE141" s="594" t="e">
        <f t="shared" si="329"/>
        <v>#N/A</v>
      </c>
      <c r="FF141" s="595" t="e">
        <f t="shared" si="330"/>
        <v>#N/A</v>
      </c>
      <c r="FG141" s="596" t="s">
        <v>692</v>
      </c>
      <c r="FH141" s="596" t="s">
        <v>692</v>
      </c>
      <c r="FI141" s="594" t="e">
        <v>#N/A</v>
      </c>
      <c r="FJ141" s="594" t="e">
        <v>#N/A</v>
      </c>
      <c r="FK141" s="560"/>
      <c r="FL141" s="560"/>
      <c r="FM141" s="560"/>
      <c r="FN141" s="560"/>
      <c r="FO141" s="560">
        <f>O141+((Sheet1!CS143)*GPMtoMGD)</f>
        <v>54.005776000000004</v>
      </c>
      <c r="FP141" s="560">
        <f>IF(Sheet1!AA143+AQ141&lt;=Calculation!N141,AQ141,Calculation!N141-Sheet1!AA143)</f>
        <v>21.630041724617524</v>
      </c>
      <c r="FQ141" s="560">
        <f>(Sheet1!BP143+Sheet1!BO143)/694.4</f>
        <v>1.5347062211981568</v>
      </c>
      <c r="FR141" s="560"/>
      <c r="FS141" s="560"/>
      <c r="FT141" s="560"/>
      <c r="FU141" s="560"/>
      <c r="FV141" s="695">
        <f t="shared" si="350"/>
        <v>41827</v>
      </c>
      <c r="FW141" s="695">
        <f t="shared" si="351"/>
        <v>41934</v>
      </c>
      <c r="FX141" s="560"/>
      <c r="FY141" s="560"/>
      <c r="FZ141" s="560"/>
      <c r="GA141" s="560"/>
      <c r="GB141" s="560" t="str">
        <f t="shared" si="352"/>
        <v>n</v>
      </c>
      <c r="GC141" s="564">
        <f t="shared" si="353"/>
        <v>41691</v>
      </c>
      <c r="GD141" s="695">
        <f t="shared" si="354"/>
        <v>41807</v>
      </c>
      <c r="GE141" s="560">
        <v>6518.9</v>
      </c>
      <c r="GF141" s="695">
        <f t="shared" si="355"/>
        <v>41808</v>
      </c>
      <c r="GG141" s="560">
        <f t="shared" si="272"/>
        <v>3259</v>
      </c>
      <c r="GH141" s="564">
        <f t="shared" si="356"/>
        <v>41934</v>
      </c>
      <c r="GJ141" s="545">
        <f t="shared" si="357"/>
        <v>0</v>
      </c>
      <c r="GK141" s="560" t="str">
        <f t="shared" si="331"/>
        <v/>
      </c>
      <c r="GL141" s="560">
        <f t="shared" si="358"/>
        <v>0</v>
      </c>
      <c r="GM141" s="560" t="str">
        <f t="shared" si="359"/>
        <v/>
      </c>
      <c r="GN141" s="560">
        <f>IF(GK141="P",Lookup!$M$12,IF(GK141="PP",Lookup!$M$13,IF(GK141="PPP",Lookup!$M$14,IF(GK141="T",Lookup!$M$15,IF(GK141="TP",Lookup!$M$16,IF(GK141="TPP",Lookup!$M$17,IF(GK141="TPPP",Lookup!$M$18,0)))))))*GJ141</f>
        <v>0</v>
      </c>
      <c r="GO141" s="560">
        <f t="shared" si="360"/>
        <v>0</v>
      </c>
      <c r="GP141" s="560">
        <f t="shared" si="332"/>
        <v>6527.8858666666702</v>
      </c>
      <c r="GQ141" s="560">
        <f t="shared" si="368"/>
        <v>2127.7333333333345</v>
      </c>
      <c r="GR141" s="560"/>
      <c r="GS141" s="560">
        <f t="shared" si="361"/>
        <v>0</v>
      </c>
      <c r="GT141" s="560" t="str">
        <f t="shared" si="362"/>
        <v/>
      </c>
      <c r="GU141" s="560">
        <f>IF(GK141="P",Lookup!$N$12,IF(GK141="PP",Lookup!$N$13,IF(GK141="PPP",Lookup!$N$14,IF(GK141="T",Lookup!$N$15,IF(GK141="TP",Lookup!$N$16,IF(GK141="TPP",Lookup!$N$17,IF(GK141="TPPP",Lookup!$N$18,0)))))))*GJ141</f>
        <v>0</v>
      </c>
      <c r="GV141" s="560">
        <f t="shared" si="363"/>
        <v>0</v>
      </c>
      <c r="GW141" s="560">
        <f t="shared" si="333"/>
        <v>3046.3467377777738</v>
      </c>
      <c r="GX141" s="560">
        <f t="shared" si="369"/>
        <v>992.94222222222083</v>
      </c>
      <c r="GY141" s="560"/>
      <c r="GZ141" s="560">
        <f t="shared" si="364"/>
        <v>0</v>
      </c>
      <c r="HA141" s="560" t="str">
        <f t="shared" si="365"/>
        <v/>
      </c>
      <c r="HB141" s="560">
        <f>IF(GK141="P",Lookup!$N$12,IF(GK141="PP",Lookup!$N$13,IF(GK141="PPP",Lookup!$N$14,IF(GK141="T",Lookup!$N$15,IF(GK141="TP",Lookup!$N$16,IF(GK141="TPP",Lookup!$N$17,IF(GK141="TPPP",Lookup!$N$18,0)))))))*GJ141</f>
        <v>0</v>
      </c>
      <c r="HC141" s="545">
        <f t="shared" si="334"/>
        <v>0</v>
      </c>
      <c r="HD141" s="560">
        <f t="shared" si="335"/>
        <v>2396.5141373097472</v>
      </c>
      <c r="HE141" s="560">
        <f t="shared" si="370"/>
        <v>781.13237852338557</v>
      </c>
      <c r="HF141" s="560"/>
      <c r="HG141" s="560">
        <f t="shared" si="366"/>
        <v>0</v>
      </c>
      <c r="HH141" s="560" t="str">
        <f t="shared" si="367"/>
        <v/>
      </c>
      <c r="HI141" s="560">
        <f>IF(GK141="P",Lookup!$N$12,IF(GK141="PP",Lookup!$N$13,IF(GK141="PPP",Lookup!$N$14,IF(GK141="T",Lookup!$N$15,IF(GK141="TP",Lookup!$N$16,IF(GK141="TPP",Lookup!$N$17,IF(GK141="TPPP",Lookup!$N$18,0)))))))*GJ141</f>
        <v>0</v>
      </c>
      <c r="HJ141" s="545">
        <f t="shared" si="336"/>
        <v>0</v>
      </c>
      <c r="HK141" s="560">
        <f t="shared" si="337"/>
        <v>1719.2706395137518</v>
      </c>
      <c r="HL141" s="560">
        <f t="shared" si="371"/>
        <v>560.38808328349148</v>
      </c>
      <c r="HM141" s="560"/>
    </row>
    <row r="142" spans="1:221">
      <c r="A142" s="580" t="s">
        <v>3</v>
      </c>
      <c r="B142" s="556">
        <v>41770</v>
      </c>
      <c r="C142" s="561">
        <v>0</v>
      </c>
      <c r="D142" s="529">
        <f t="shared" si="270"/>
        <v>300</v>
      </c>
      <c r="E142" s="529">
        <f t="shared" si="271"/>
        <v>250</v>
      </c>
      <c r="F142" s="529">
        <v>250</v>
      </c>
      <c r="G142" s="560">
        <f>DR142+Sheet1!CZ144</f>
        <v>1891.7851739794489</v>
      </c>
      <c r="H142" s="914">
        <f t="shared" si="338"/>
        <v>955.88673646031577</v>
      </c>
      <c r="I142" s="559">
        <f>MAX(Sheet1!Z144-AT142+(Sheet1!DA144-E142)*CFStoMGD,0)</f>
        <v>1334.5279999999998</v>
      </c>
      <c r="J142" s="562">
        <f>IF(AND(B142&gt;=Calculation!GC142,B142&lt;=Calculation!GD142),IF(Sheet1!DB144&gt;=Calculation!D142,64.64,0),MAX(Sheet1!Z144-AT142+(Sheet1!DB144-D142)*CFStoMGD,0))</f>
        <v>64.64</v>
      </c>
      <c r="K142" s="904">
        <f t="shared" si="273"/>
        <v>64.64</v>
      </c>
      <c r="L142" s="560">
        <f>Sheet1!AA144+Sheet1!AB144-Sheet1!L144+(Sheet1!DA144-F142)*CFStoMGD</f>
        <v>1361.7279999999998</v>
      </c>
      <c r="M142" s="560">
        <f t="shared" si="274"/>
        <v>1247.3069351895222</v>
      </c>
      <c r="N142" s="910">
        <f>IF(Sheet1!DA144&gt;=F142,MIN(73,MIN(MAX(L142,0),MAX(M142,0))),0)</f>
        <v>73</v>
      </c>
      <c r="O142" s="563">
        <f>Sheet1!AA144+Sheet1!AB144</f>
        <v>56</v>
      </c>
      <c r="P142" s="563">
        <f t="shared" si="275"/>
        <v>86.632000000000005</v>
      </c>
      <c r="Q142" s="898">
        <f t="shared" si="339"/>
        <v>50.47</v>
      </c>
      <c r="R142" s="829">
        <f t="shared" si="276"/>
        <v>5.5397760754272252</v>
      </c>
      <c r="S142" s="898">
        <f t="shared" si="340"/>
        <v>5.53</v>
      </c>
      <c r="T142" s="898">
        <f t="shared" si="341"/>
        <v>59.11</v>
      </c>
      <c r="U142" s="898">
        <f t="shared" si="342"/>
        <v>0</v>
      </c>
      <c r="V142" s="898"/>
      <c r="W142" s="898">
        <f t="shared" si="343"/>
        <v>59.100223924572774</v>
      </c>
      <c r="X142" s="898">
        <f t="shared" si="344"/>
        <v>64.64</v>
      </c>
      <c r="Y142" s="898" t="str">
        <f t="shared" si="345"/>
        <v>FALSE</v>
      </c>
      <c r="Z142" s="898">
        <f t="shared" si="346"/>
        <v>56</v>
      </c>
      <c r="AA142" s="898">
        <f t="shared" si="347"/>
        <v>56</v>
      </c>
      <c r="AB142" s="898" t="str">
        <f t="shared" si="348"/>
        <v/>
      </c>
      <c r="AC142" s="563">
        <f>Sheet1!Y144*MGDtoCFS</f>
        <v>34.498100000000001</v>
      </c>
      <c r="AD142" s="563">
        <f>Sheet1!Z144*MGDtoCFS</f>
        <v>44.553599999999996</v>
      </c>
      <c r="AE142" s="563">
        <f>Sheet1!AA144*MGDtoCFS</f>
        <v>34.033999999999999</v>
      </c>
      <c r="AF142" s="563">
        <f>Sheet1!AB144*MGDtoCFS</f>
        <v>52.597999999999999</v>
      </c>
      <c r="AG142" s="563">
        <f>Sheet1!L144*MGDtoCFS</f>
        <v>0</v>
      </c>
      <c r="AH142" s="545">
        <f t="shared" si="277"/>
        <v>0</v>
      </c>
      <c r="AI142" s="560">
        <f t="shared" si="278"/>
        <v>0</v>
      </c>
      <c r="AJ142" s="560">
        <f t="shared" si="279"/>
        <v>59.100223924572774</v>
      </c>
      <c r="AK142" s="560">
        <f t="shared" si="280"/>
        <v>91.428046411314071</v>
      </c>
      <c r="AL142" s="560">
        <f>(VLOOKUP(Sheet1!DC144,hhdcap_wcm,4)-(((VLOOKUP(Sheet1!DC144,hhdcap_wcm,3)-Sheet1!DC144)/(VLOOKUP(Sheet1!DC144,hhdcap_wcm,3)-VLOOKUP(Sheet1!DC144,hhdcap_wcm,1)))*(VLOOKUP(Sheet1!DC144,hhdcap_wcm,4)-VLOOKUP(Sheet1!DC144,hhdcap_wcm,2))))</f>
        <v>43855.800000108051</v>
      </c>
      <c r="AM142" s="560">
        <f t="shared" si="281"/>
        <v>439.8000000012471</v>
      </c>
      <c r="AN142" s="560">
        <f t="shared" si="282"/>
        <v>4521.2962412870056</v>
      </c>
      <c r="AO142" s="560">
        <f t="shared" si="283"/>
        <v>13871.336868268534</v>
      </c>
      <c r="AP142" s="560">
        <f>Sheet1!BA144+Sheet1!BB144+Sheet1!BN144+CD142</f>
        <v>28.41</v>
      </c>
      <c r="AQ142" s="560">
        <f>Sheet1!BN144+(DO142*Sheet1!BN144)</f>
        <v>26.847377725397763</v>
      </c>
      <c r="AR142" s="560">
        <f>Sheet1!BA144+CD142</f>
        <v>0</v>
      </c>
      <c r="AS142" s="560">
        <f>Sheet1!BA144+Sheet1!BB144+CD142</f>
        <v>1.61</v>
      </c>
      <c r="AT142" s="698">
        <f>0</f>
        <v>0</v>
      </c>
      <c r="AU142" s="560">
        <f>IF(EB142&lt;K142,0,MAX(Sheet1!AA144+AQ142-15/36*K142-N142,Sheet1!EH144,0))</f>
        <v>0</v>
      </c>
      <c r="AV142" s="560">
        <f>IF(OR(B142&gt;=GD142,B142&lt;GC142),0,15/36*K142-MAX(0,64.6-(137.6-(Sheet1!AA144+Sheet1!AB144))))</f>
        <v>26.933333333333334</v>
      </c>
      <c r="AW142" s="698">
        <f>Sheet1!DB144-110</f>
        <v>1560</v>
      </c>
      <c r="AX142" s="698">
        <f>Sheet1!DA144-265</f>
        <v>2005</v>
      </c>
      <c r="AY142" s="698">
        <f t="shared" si="284"/>
        <v>22.53</v>
      </c>
      <c r="AZ142" s="698">
        <v>0</v>
      </c>
      <c r="BA142" s="698">
        <f t="shared" si="285"/>
        <v>0</v>
      </c>
      <c r="BB142" s="560">
        <f t="shared" si="286"/>
        <v>2154.6666666666679</v>
      </c>
      <c r="BC142" s="560"/>
      <c r="BD142" s="560">
        <f ca="1">IF(B142&gt;Summary!$A$1,#N/A,BB142*MGtoAF)</f>
        <v>6610.5173333333369</v>
      </c>
      <c r="BE142" s="560">
        <f>Sheet1!BG144+Sheet1!BH144+Sheet1!BI144-BM142</f>
        <v>0</v>
      </c>
      <c r="BF142" s="560">
        <f t="shared" si="287"/>
        <v>0</v>
      </c>
      <c r="BG142" s="560">
        <f>IF(Sheet1!EP144="FM",BM142,0)</f>
        <v>0</v>
      </c>
      <c r="BH142" s="560">
        <f t="shared" si="288"/>
        <v>0</v>
      </c>
      <c r="BI142" s="560">
        <f>IF(Sheet1!EP144="OTHER",BM142,0)</f>
        <v>0</v>
      </c>
      <c r="BJ142" s="560">
        <f t="shared" si="289"/>
        <v>0</v>
      </c>
      <c r="BK142" s="560">
        <f t="shared" si="290"/>
        <v>0</v>
      </c>
      <c r="BL142" s="560">
        <f t="shared" si="291"/>
        <v>0</v>
      </c>
      <c r="BM142" s="560">
        <f>IF(OR(Sheet1!EP144="FM", Sheet1!EP144="OTHER"),SUM(Sheet1!BG144:'Sheet1'!BI144),0)</f>
        <v>0</v>
      </c>
      <c r="BN142" s="545">
        <f>IF(AND($B142&gt;=$FV142,$B142&lt;=$FW142),MAX(BF142,Sheet1!EI144,0),MAX(BF142-(7/36)*$K142,0))</f>
        <v>0</v>
      </c>
      <c r="BO142" s="560">
        <f t="shared" si="292"/>
        <v>12.568888888888889</v>
      </c>
      <c r="BP142" s="545">
        <f t="shared" si="293"/>
        <v>0</v>
      </c>
      <c r="BQ142" s="545">
        <f>IF(AND($O142&gt;0,Sheet1!EM144=1),(1-($O142-Sheet1!$L144)/$O142)*BL142,0)</f>
        <v>0</v>
      </c>
      <c r="BR142" s="545">
        <f>IF(AND(Sheet1!$L144=0,Sheet1!$L143=0, Calculation!BK142&lt;Sheet1!$EI144-0.1,Sheet1!$EI144=Sheet1!$EI143,Sheet1!$EI144=Sheet1!$EI145),Sheet1!$EI144,BL142-BQ142)</f>
        <v>0</v>
      </c>
      <c r="BS142" s="560"/>
      <c r="BT142" s="560"/>
      <c r="BU142" s="560">
        <f t="shared" si="294"/>
        <v>1005.5111111111097</v>
      </c>
      <c r="BV142" s="560"/>
      <c r="BW142" s="560">
        <f ca="1">IF(B142&gt;Summary!$A$1,#N/A,BU142*MGtoAF)</f>
        <v>3084.9080888888848</v>
      </c>
      <c r="BX142" s="560">
        <f>Sheet1!BC144+Sheet1!BD144+Sheet1!BE144+Sheet1!BF144-CG142-CH142</f>
        <v>2.5100000000000002</v>
      </c>
      <c r="BY142" s="560">
        <f t="shared" si="295"/>
        <v>2.5144372421921042</v>
      </c>
      <c r="BZ142" s="560">
        <f>IF(Sheet1!EQ144="FM",CH142,0)</f>
        <v>0</v>
      </c>
      <c r="CA142" s="560">
        <f t="shared" si="296"/>
        <v>0</v>
      </c>
      <c r="CB142" s="560">
        <f>IF(Sheet1!EQ144="OTHER",CH142,0)</f>
        <v>0</v>
      </c>
      <c r="CC142" s="560">
        <f t="shared" si="297"/>
        <v>0</v>
      </c>
      <c r="CD142" s="560">
        <f t="shared" si="298"/>
        <v>0</v>
      </c>
      <c r="CE142" s="560">
        <f t="shared" si="299"/>
        <v>2.5100000000000002</v>
      </c>
      <c r="CF142" s="560">
        <f t="shared" si="300"/>
        <v>2.5144372421921042</v>
      </c>
      <c r="CG142" s="560">
        <f>IF(Sheet1!EQ144="CWA",SUM(Sheet1!BC144:'Sheet1'!BF144),0)</f>
        <v>0</v>
      </c>
      <c r="CH142" s="560">
        <f>IF(OR(Sheet1!EQ144="FM", Sheet1!EQ144="OTHER"),SUM(Sheet1!BC144:'Sheet1'!BF144),0)</f>
        <v>0</v>
      </c>
      <c r="CI142" s="545">
        <f>IF(AND($B142&gt;=$FV142,$B142&lt;=$FW142),MAX(CF142,Sheet1!EJ144,0),MAX(CF142-(7/36)*$K142,0))</f>
        <v>0</v>
      </c>
      <c r="CJ142" s="560">
        <f t="shared" si="301"/>
        <v>10.054451646696785</v>
      </c>
      <c r="CK142" s="545">
        <f t="shared" si="302"/>
        <v>2.5144372421921042</v>
      </c>
      <c r="CL142" s="545">
        <f>IF(AND($O142&gt;0,Sheet1!EN144=1),(1-($O142-Sheet1!$L144)/$O142)*CF142,0)</f>
        <v>0</v>
      </c>
      <c r="CM142" s="545">
        <f>IF(AND(Sheet1!$L144=0,Sheet1!$L143=0, Calculation!CE142&lt;Sheet1!EJ144-0.1,Sheet1!EJ144=Sheet1!EJ143,Sheet1!EJ144=Sheet1!EJ145),Sheet1!EJ144,CF142-CL142)</f>
        <v>2.5144372421921042</v>
      </c>
      <c r="CN142" s="545"/>
      <c r="CO142" s="560"/>
      <c r="CP142" s="560">
        <f t="shared" si="303"/>
        <v>791.18683017008232</v>
      </c>
      <c r="CQ142" s="560"/>
      <c r="CR142" s="560">
        <f ca="1">IF(B142&gt;Summary!$A$1,#N/A,CP142*MGtoAF)</f>
        <v>2427.3611949618125</v>
      </c>
      <c r="CS142" s="560">
        <f>Sheet1!BK144+Sheet1!BL144+Sheet1!BM144-Sheet1!ER144-DA142</f>
        <v>3.02</v>
      </c>
      <c r="CT142" s="560">
        <f t="shared" si="304"/>
        <v>3.025338833235121</v>
      </c>
      <c r="CU142" s="560">
        <f>IF(Sheet1!ER144="FM",DA142,0)</f>
        <v>0</v>
      </c>
      <c r="CV142" s="560">
        <f t="shared" si="305"/>
        <v>0</v>
      </c>
      <c r="CW142" s="560">
        <f>IF(Sheet1!ER144="OTHER",DA142,0)</f>
        <v>0</v>
      </c>
      <c r="CX142" s="560">
        <f t="shared" si="306"/>
        <v>0</v>
      </c>
      <c r="CY142" s="560">
        <f t="shared" si="307"/>
        <v>3.02</v>
      </c>
      <c r="CZ142" s="560">
        <f t="shared" si="308"/>
        <v>3.025338833235121</v>
      </c>
      <c r="DA142" s="560">
        <f>IF(OR(Sheet1!ER144="FM", Sheet1!ER144="OTHER"),SUM(Sheet1!BK144:'Sheet1'!BM144),0)</f>
        <v>0</v>
      </c>
      <c r="DB142" s="545">
        <f>IF(AND($B142&gt;=$FV142,$B142&lt;=$FW142),MAX($CT142,Sheet1!EK144,0),MAX($CT142-(7/36)*$K142,0))</f>
        <v>0</v>
      </c>
      <c r="DC142" s="560">
        <f t="shared" si="309"/>
        <v>9.5435500556537676</v>
      </c>
      <c r="DD142" s="545">
        <f t="shared" si="310"/>
        <v>3.025338833235121</v>
      </c>
      <c r="DE142" s="545">
        <f>IF(AND($O142&gt;0,Sheet1!EO144=1),(1-($O142-Sheet1!$L144)/$O142)*CZ142,0)</f>
        <v>0</v>
      </c>
      <c r="DF142" s="545">
        <f>IF(AND(Sheet1!$L144=0,Sheet1!$L143=0, Calculation!CY142&lt;Sheet1!$EK144-0.1,Sheet1!$EK144=Sheet1!$EK143,Sheet1!$EK144=Sheet1!$EK145),Sheet1!$EK144,CZ142-DE142)</f>
        <v>3.025338833235121</v>
      </c>
      <c r="DG142" s="545"/>
      <c r="DH142" s="560">
        <f t="shared" si="311"/>
        <v>5.53</v>
      </c>
      <c r="DI142" s="560">
        <f t="shared" si="312"/>
        <v>569.93163333914526</v>
      </c>
      <c r="DJ142" s="698">
        <f t="shared" si="313"/>
        <v>5.5397760754272252</v>
      </c>
      <c r="DK142" s="560">
        <f ca="1">IF(B142&gt;Summary!$A$1,#N/A,DI142*MGtoAF)</f>
        <v>1748.5502510844976</v>
      </c>
      <c r="DL142" s="698">
        <f t="shared" si="314"/>
        <v>5.53</v>
      </c>
      <c r="DM142" s="560">
        <f t="shared" si="315"/>
        <v>33.94</v>
      </c>
      <c r="DN142" s="560">
        <f>Sheet1!AB144-DM142</f>
        <v>6.0000000000002274E-2</v>
      </c>
      <c r="DO142" s="823">
        <f t="shared" si="316"/>
        <v>1.7678255745433788E-3</v>
      </c>
      <c r="DP142" s="560">
        <f>(VLOOKUP(Sheet1!DC144,hhdcap_wcm,4)-(((VLOOKUP(Sheet1!DC144,hhdcap_wcm,3)-Sheet1!DC144)/(VLOOKUP(Sheet1!DC144,hhdcap_wcm,3)-VLOOKUP(Sheet1!DC144,hhdcap_wcm,1)))*(VLOOKUP(Sheet1!DC144,hhdcap_wcm,4)-VLOOKUP(Sheet1!DC144,hhdcap_wcm,2))))</f>
        <v>43855.800000108051</v>
      </c>
      <c r="DQ142" s="560">
        <f t="shared" si="317"/>
        <v>439.8000000012471</v>
      </c>
      <c r="DR142" s="560">
        <f t="shared" si="318"/>
        <v>221.78517397944884</v>
      </c>
      <c r="DS142" s="560">
        <f>Sheet1!EA144*AFtoMG</f>
        <v>0</v>
      </c>
      <c r="DT142" s="560">
        <f>Sheet1!EB144*AFtoMG</f>
        <v>0</v>
      </c>
      <c r="DU142" s="560">
        <f>Sheet1!EC144*AFtoMG</f>
        <v>0</v>
      </c>
      <c r="DV142" s="560">
        <f>Sheet1!ED144*AFtoMG</f>
        <v>0</v>
      </c>
      <c r="DW142" s="560">
        <f t="shared" si="319"/>
        <v>0</v>
      </c>
      <c r="DX142" s="560">
        <f t="shared" si="320"/>
        <v>0</v>
      </c>
      <c r="DY142" s="560">
        <f t="shared" si="321"/>
        <v>4521.2962412870056</v>
      </c>
      <c r="DZ142" s="560">
        <f t="shared" si="322"/>
        <v>13871.336868268534</v>
      </c>
      <c r="EA142" s="560"/>
      <c r="EB142" s="545">
        <f>IF(OR(B142&lt;FV142,B142&gt;FW142),(MIN(BF142+BY142+CT142+MAX(Sheet1!AA144+AQ142-73,0),K142)),0)</f>
        <v>5.5397760754272252</v>
      </c>
      <c r="EC142" s="560"/>
      <c r="ED142" s="560">
        <f t="shared" si="323"/>
        <v>5.5397760754272252</v>
      </c>
      <c r="EE142" s="560"/>
      <c r="EF142" s="560">
        <f>Sheet1!EH144+Sheet1!EI144+Sheet1!EJ144+Sheet1!EK144</f>
        <v>5.53</v>
      </c>
      <c r="EG142" s="560"/>
      <c r="EH142" s="545">
        <f t="shared" si="324"/>
        <v>0</v>
      </c>
      <c r="EI142" s="560">
        <f>IF(Sheet1!ET144=1,SUM('Calculations II'!AT142:BA142)+'Calculations II'!BC142+Sheet1!BV144+'Calculations II'!BE142+AP142,SUM('Calculations II'!AT142:BA142)+'Calculations II'!BC142+Sheet1!BV144+'Calculations II'!BE142+AP142)</f>
        <v>51.272559999999999</v>
      </c>
      <c r="EJ142" s="560">
        <f>Sheet1!AA144+Sheet1!AB144+'Calculations II'!BC142</f>
        <v>56</v>
      </c>
      <c r="EK142" s="560"/>
      <c r="EL142" s="560"/>
      <c r="EM142" s="560">
        <f t="shared" si="325"/>
        <v>41770</v>
      </c>
      <c r="EN142" s="560">
        <f t="shared" si="326"/>
        <v>59.100223924572774</v>
      </c>
      <c r="EO142" s="560">
        <f t="shared" si="327"/>
        <v>91.428046411314071</v>
      </c>
      <c r="EP142" s="560">
        <v>0</v>
      </c>
      <c r="EQ142" s="560">
        <v>0</v>
      </c>
      <c r="ER142" s="560">
        <v>0</v>
      </c>
      <c r="ES142" s="545">
        <f t="shared" si="349"/>
        <v>-4.1566582818741571</v>
      </c>
      <c r="ET142" s="560">
        <f>-(VLOOKUP(Sheet1!BQ144,Lookup!$O$4:$Q$262,2)-VLOOKUP(Sheet1!BQ143,Lookup!$O$4:$Q$262,2))/1000000</f>
        <v>-2.0783291409370785</v>
      </c>
      <c r="EU142" s="560">
        <f>-(VLOOKUP(Sheet1!BR144,Lookup!$O$4:$Q$262,3)-VLOOKUP(Sheet1!BR143,Lookup!$O$4:$Q$262,3))/1000000</f>
        <v>-2.0783291409370785</v>
      </c>
      <c r="EV142" s="560"/>
      <c r="EW142" s="560"/>
      <c r="EX142" s="560"/>
      <c r="EY142" s="560"/>
      <c r="EZ142" s="560"/>
      <c r="FA142" s="560"/>
      <c r="FB142" s="560"/>
      <c r="FC142" s="560"/>
      <c r="FD142" s="594" t="e">
        <f t="shared" si="328"/>
        <v>#N/A</v>
      </c>
      <c r="FE142" s="594" t="e">
        <f t="shared" si="329"/>
        <v>#N/A</v>
      </c>
      <c r="FF142" s="595" t="e">
        <f t="shared" si="330"/>
        <v>#N/A</v>
      </c>
      <c r="FG142" s="596" t="s">
        <v>692</v>
      </c>
      <c r="FH142" s="596" t="s">
        <v>692</v>
      </c>
      <c r="FI142" s="594" t="e">
        <v>#N/A</v>
      </c>
      <c r="FJ142" s="594" t="e">
        <v>#N/A</v>
      </c>
      <c r="FK142" s="560"/>
      <c r="FL142" s="560"/>
      <c r="FM142" s="560"/>
      <c r="FN142" s="560"/>
      <c r="FO142" s="560">
        <f>O142+((Sheet1!CS144)*GPMtoMGD)</f>
        <v>56</v>
      </c>
      <c r="FP142" s="560">
        <f>IF(Sheet1!AA144+AQ142&lt;=Calculation!N142,AQ142,Calculation!N142-Sheet1!AA144)</f>
        <v>26.847377725397763</v>
      </c>
      <c r="FQ142" s="560">
        <f>(Sheet1!BP144+Sheet1!BO144)/694.4</f>
        <v>1.558467741935484</v>
      </c>
      <c r="FR142" s="560"/>
      <c r="FS142" s="560"/>
      <c r="FT142" s="560"/>
      <c r="FU142" s="560"/>
      <c r="FV142" s="695">
        <f t="shared" si="350"/>
        <v>41827</v>
      </c>
      <c r="FW142" s="695">
        <f t="shared" si="351"/>
        <v>41934</v>
      </c>
      <c r="FX142" s="560"/>
      <c r="FY142" s="560"/>
      <c r="FZ142" s="560"/>
      <c r="GA142" s="560"/>
      <c r="GB142" s="560" t="str">
        <f t="shared" si="352"/>
        <v>n</v>
      </c>
      <c r="GC142" s="564">
        <f t="shared" si="353"/>
        <v>41691</v>
      </c>
      <c r="GD142" s="695">
        <f t="shared" si="354"/>
        <v>41807</v>
      </c>
      <c r="GE142" s="560">
        <v>6518.9</v>
      </c>
      <c r="GF142" s="695">
        <f t="shared" si="355"/>
        <v>41808</v>
      </c>
      <c r="GG142" s="560">
        <f t="shared" si="272"/>
        <v>3259</v>
      </c>
      <c r="GH142" s="564">
        <f t="shared" si="356"/>
        <v>41934</v>
      </c>
      <c r="GJ142" s="545">
        <f t="shared" si="357"/>
        <v>0</v>
      </c>
      <c r="GK142" s="560" t="str">
        <f t="shared" si="331"/>
        <v/>
      </c>
      <c r="GL142" s="560">
        <f t="shared" si="358"/>
        <v>0</v>
      </c>
      <c r="GM142" s="560" t="str">
        <f t="shared" si="359"/>
        <v/>
      </c>
      <c r="GN142" s="560">
        <f>IF(GK142="P",Lookup!$M$12,IF(GK142="PP",Lookup!$M$13,IF(GK142="PPP",Lookup!$M$14,IF(GK142="T",Lookup!$M$15,IF(GK142="TP",Lookup!$M$16,IF(GK142="TPP",Lookup!$M$17,IF(GK142="TPPP",Lookup!$M$18,0)))))))*GJ142</f>
        <v>0</v>
      </c>
      <c r="GO142" s="560">
        <f t="shared" si="360"/>
        <v>0</v>
      </c>
      <c r="GP142" s="560">
        <f t="shared" si="332"/>
        <v>6610.5173333333369</v>
      </c>
      <c r="GQ142" s="560">
        <f t="shared" si="368"/>
        <v>2154.6666666666679</v>
      </c>
      <c r="GR142" s="560"/>
      <c r="GS142" s="560">
        <f t="shared" si="361"/>
        <v>0</v>
      </c>
      <c r="GT142" s="560" t="str">
        <f t="shared" si="362"/>
        <v/>
      </c>
      <c r="GU142" s="560">
        <f>IF(GK142="P",Lookup!$N$12,IF(GK142="PP",Lookup!$N$13,IF(GK142="PPP",Lookup!$N$14,IF(GK142="T",Lookup!$N$15,IF(GK142="TP",Lookup!$N$16,IF(GK142="TPP",Lookup!$N$17,IF(GK142="TPPP",Lookup!$N$18,0)))))))*GJ142</f>
        <v>0</v>
      </c>
      <c r="GV142" s="560">
        <f t="shared" si="363"/>
        <v>0</v>
      </c>
      <c r="GW142" s="560">
        <f t="shared" si="333"/>
        <v>3084.9080888888848</v>
      </c>
      <c r="GX142" s="560">
        <f t="shared" si="369"/>
        <v>1005.5111111111097</v>
      </c>
      <c r="GY142" s="560"/>
      <c r="GZ142" s="560">
        <f t="shared" si="364"/>
        <v>0</v>
      </c>
      <c r="HA142" s="560" t="str">
        <f t="shared" si="365"/>
        <v/>
      </c>
      <c r="HB142" s="560">
        <f>IF(GK142="P",Lookup!$N$12,IF(GK142="PP",Lookup!$N$13,IF(GK142="PPP",Lookup!$N$14,IF(GK142="T",Lookup!$N$15,IF(GK142="TP",Lookup!$N$16,IF(GK142="TPP",Lookup!$N$17,IF(GK142="TPPP",Lookup!$N$18,0)))))))*GJ142</f>
        <v>0</v>
      </c>
      <c r="HC142" s="545">
        <f t="shared" si="334"/>
        <v>0</v>
      </c>
      <c r="HD142" s="560">
        <f t="shared" si="335"/>
        <v>2427.3611949618125</v>
      </c>
      <c r="HE142" s="560">
        <f t="shared" si="370"/>
        <v>791.18683017008232</v>
      </c>
      <c r="HF142" s="560"/>
      <c r="HG142" s="560">
        <f t="shared" si="366"/>
        <v>0</v>
      </c>
      <c r="HH142" s="560" t="str">
        <f t="shared" si="367"/>
        <v/>
      </c>
      <c r="HI142" s="560">
        <f>IF(GK142="P",Lookup!$N$12,IF(GK142="PP",Lookup!$N$13,IF(GK142="PPP",Lookup!$N$14,IF(GK142="T",Lookup!$N$15,IF(GK142="TP",Lookup!$N$16,IF(GK142="TPP",Lookup!$N$17,IF(GK142="TPPP",Lookup!$N$18,0)))))))*GJ142</f>
        <v>0</v>
      </c>
      <c r="HJ142" s="545">
        <f t="shared" si="336"/>
        <v>0</v>
      </c>
      <c r="HK142" s="560">
        <f t="shared" si="337"/>
        <v>1748.5502510844976</v>
      </c>
      <c r="HL142" s="560">
        <f t="shared" si="371"/>
        <v>569.93163333914526</v>
      </c>
      <c r="HM142" s="560"/>
    </row>
    <row r="143" spans="1:221">
      <c r="A143" s="580" t="s">
        <v>4</v>
      </c>
      <c r="B143" s="556">
        <v>41771</v>
      </c>
      <c r="C143" s="561">
        <v>0</v>
      </c>
      <c r="D143" s="529">
        <f t="shared" si="270"/>
        <v>300</v>
      </c>
      <c r="E143" s="529">
        <f t="shared" si="271"/>
        <v>250</v>
      </c>
      <c r="F143" s="529">
        <v>250</v>
      </c>
      <c r="G143" s="560">
        <f>DR143+Sheet1!CZ145</f>
        <v>1653.9838628342131</v>
      </c>
      <c r="H143" s="914">
        <f t="shared" si="338"/>
        <v>802.17196893603534</v>
      </c>
      <c r="I143" s="559">
        <f>MAX(Sheet1!Z145-AT143+(Sheet1!DA145-E143)*CFStoMGD,0)</f>
        <v>1152.2719999999999</v>
      </c>
      <c r="J143" s="562">
        <f>IF(AND(B143&gt;=Calculation!GC143,B143&lt;=Calculation!GD143),IF(Sheet1!DB145&gt;=Calculation!D143,64.64,0),MAX(Sheet1!Z145-AT143+(Sheet1!DB145-D143)*CFStoMGD,0))</f>
        <v>64.64</v>
      </c>
      <c r="K143" s="904">
        <f t="shared" si="273"/>
        <v>64.64</v>
      </c>
      <c r="L143" s="560">
        <f>Sheet1!AA145+Sheet1!AB145-Sheet1!L145+(Sheet1!DA145-F143)*CFStoMGD</f>
        <v>1174.3819999999998</v>
      </c>
      <c r="M143" s="560">
        <f t="shared" si="274"/>
        <v>1090.5178723147562</v>
      </c>
      <c r="N143" s="910">
        <f>IF(Sheet1!DA145&gt;=F143,MIN(73,MIN(MAX(L143,0),MAX(M143,0))),0)</f>
        <v>73</v>
      </c>
      <c r="O143" s="563">
        <f>Sheet1!AA145+Sheet1!AB145</f>
        <v>56.11</v>
      </c>
      <c r="P143" s="563">
        <f t="shared" si="275"/>
        <v>86.80216999999999</v>
      </c>
      <c r="Q143" s="898">
        <f t="shared" si="339"/>
        <v>48.2</v>
      </c>
      <c r="R143" s="829">
        <f t="shared" si="276"/>
        <v>7.91</v>
      </c>
      <c r="S143" s="898">
        <f t="shared" si="340"/>
        <v>7.91</v>
      </c>
      <c r="T143" s="898">
        <f t="shared" si="341"/>
        <v>56.730000000000004</v>
      </c>
      <c r="U143" s="898">
        <f t="shared" si="342"/>
        <v>0</v>
      </c>
      <c r="V143" s="898"/>
      <c r="W143" s="898">
        <f t="shared" si="343"/>
        <v>56.730000000000004</v>
      </c>
      <c r="X143" s="898">
        <f t="shared" si="344"/>
        <v>64.64</v>
      </c>
      <c r="Y143" s="898" t="str">
        <f t="shared" si="345"/>
        <v>FALSE</v>
      </c>
      <c r="Z143" s="898">
        <f t="shared" si="346"/>
        <v>56.11</v>
      </c>
      <c r="AA143" s="898">
        <f t="shared" si="347"/>
        <v>56.11</v>
      </c>
      <c r="AB143" s="898" t="str">
        <f t="shared" si="348"/>
        <v/>
      </c>
      <c r="AC143" s="563">
        <f>Sheet1!Y145*MGDtoCFS</f>
        <v>34.033999999999999</v>
      </c>
      <c r="AD143" s="563">
        <f>Sheet1!Z145*MGDtoCFS</f>
        <v>52.597999999999999</v>
      </c>
      <c r="AE143" s="563">
        <f>Sheet1!AA145*MGDtoCFS</f>
        <v>34.188699999999997</v>
      </c>
      <c r="AF143" s="563">
        <f>Sheet1!AB145*MGDtoCFS</f>
        <v>52.613469999999992</v>
      </c>
      <c r="AG143" s="563">
        <f>Sheet1!L145*MGDtoCFS</f>
        <v>0</v>
      </c>
      <c r="AH143" s="545">
        <f t="shared" si="277"/>
        <v>0</v>
      </c>
      <c r="AI143" s="560">
        <f t="shared" si="278"/>
        <v>0</v>
      </c>
      <c r="AJ143" s="560">
        <f t="shared" si="279"/>
        <v>56.730000000000004</v>
      </c>
      <c r="AK143" s="560">
        <f t="shared" si="280"/>
        <v>87.761310000000009</v>
      </c>
      <c r="AL143" s="560">
        <f>(VLOOKUP(Sheet1!DC145,hhdcap_wcm,4)-(((VLOOKUP(Sheet1!DC145,hhdcap_wcm,3)-Sheet1!DC145)/(VLOOKUP(Sheet1!DC145,hhdcap_wcm,3)-VLOOKUP(Sheet1!DC145,hhdcap_wcm,1)))*(VLOOKUP(Sheet1!DC145,hhdcap_wcm,4)-VLOOKUP(Sheet1!DC145,hhdcap_wcm,2))))</f>
        <v>44062.000000108295</v>
      </c>
      <c r="AM143" s="560">
        <f t="shared" si="281"/>
        <v>206.20000000024447</v>
      </c>
      <c r="AN143" s="560">
        <f t="shared" si="282"/>
        <v>4578.0262412870052</v>
      </c>
      <c r="AO143" s="560">
        <f t="shared" si="283"/>
        <v>14045.384508268533</v>
      </c>
      <c r="AP143" s="560">
        <f>Sheet1!BA145+Sheet1!BB145+Sheet1!BN145+CD143</f>
        <v>26.1</v>
      </c>
      <c r="AQ143" s="560">
        <f>Sheet1!BN145+(DO143*Sheet1!BN145)</f>
        <v>24.5</v>
      </c>
      <c r="AR143" s="560">
        <f>Sheet1!BA145+CD143</f>
        <v>0</v>
      </c>
      <c r="AS143" s="560">
        <f>Sheet1!BA145+Sheet1!BB145+CD143</f>
        <v>1.6</v>
      </c>
      <c r="AT143" s="698">
        <f>0</f>
        <v>0</v>
      </c>
      <c r="AU143" s="560">
        <f>IF(EB143&lt;K143,0,MAX(Sheet1!AA145+AQ143-15/36*K143-N143,Sheet1!EH145,0))</f>
        <v>0</v>
      </c>
      <c r="AV143" s="560">
        <f>IF(OR(B143&gt;=GD143,B143&lt;GC143),0,15/36*K143-MAX(0,64.6-(137.6-(Sheet1!AA145+Sheet1!AB145))))</f>
        <v>26.933333333333334</v>
      </c>
      <c r="AW143" s="698">
        <f>Sheet1!DB145-110</f>
        <v>1270</v>
      </c>
      <c r="AX143" s="698">
        <f>Sheet1!DA145-265</f>
        <v>1715</v>
      </c>
      <c r="AY143" s="698">
        <f t="shared" si="284"/>
        <v>24.799999999999997</v>
      </c>
      <c r="AZ143" s="698">
        <v>0</v>
      </c>
      <c r="BA143" s="698">
        <f t="shared" si="285"/>
        <v>0</v>
      </c>
      <c r="BB143" s="560">
        <f t="shared" si="286"/>
        <v>2181.6000000000013</v>
      </c>
      <c r="BC143" s="560"/>
      <c r="BD143" s="560">
        <f ca="1">IF(B143&gt;Summary!$A$1,#N/A,BB143*MGtoAF)</f>
        <v>6693.1488000000045</v>
      </c>
      <c r="BE143" s="560">
        <f>Sheet1!BG145+Sheet1!BH145+Sheet1!BI145-BM143</f>
        <v>0</v>
      </c>
      <c r="BF143" s="560">
        <f t="shared" si="287"/>
        <v>0</v>
      </c>
      <c r="BG143" s="560">
        <f>IF(Sheet1!EP145="FM",BM143,0)</f>
        <v>0</v>
      </c>
      <c r="BH143" s="560">
        <f t="shared" si="288"/>
        <v>0</v>
      </c>
      <c r="BI143" s="560">
        <f>IF(Sheet1!EP145="OTHER",BM143,0)</f>
        <v>0</v>
      </c>
      <c r="BJ143" s="560">
        <f t="shared" si="289"/>
        <v>0</v>
      </c>
      <c r="BK143" s="560">
        <f t="shared" si="290"/>
        <v>0</v>
      </c>
      <c r="BL143" s="560">
        <f t="shared" si="291"/>
        <v>0</v>
      </c>
      <c r="BM143" s="560">
        <f>IF(OR(Sheet1!EP145="FM", Sheet1!EP145="OTHER"),SUM(Sheet1!BG145:'Sheet1'!BI145),0)</f>
        <v>0</v>
      </c>
      <c r="BN143" s="545">
        <f>IF(AND($B143&gt;=$FV143,$B143&lt;=$FW143),MAX(BF143,Sheet1!EI145,0),MAX(BF143-(7/36)*$K143,0))</f>
        <v>0</v>
      </c>
      <c r="BO143" s="560">
        <f t="shared" si="292"/>
        <v>12.568888888888889</v>
      </c>
      <c r="BP143" s="545">
        <f t="shared" si="293"/>
        <v>0</v>
      </c>
      <c r="BQ143" s="545">
        <f>IF(AND($O143&gt;0,Sheet1!EM145=1),(1-($O143-Sheet1!$L145)/$O143)*BL143,0)</f>
        <v>0</v>
      </c>
      <c r="BR143" s="545">
        <f>IF(AND(Sheet1!$L145=0,Sheet1!$L144=0, Calculation!BK143&lt;Sheet1!$EI145-0.1,Sheet1!$EI145=Sheet1!$EI144,Sheet1!$EI145=Sheet1!$EI146),Sheet1!$EI145,BL143-BQ143)</f>
        <v>0</v>
      </c>
      <c r="BS143" s="560"/>
      <c r="BT143" s="560"/>
      <c r="BU143" s="560">
        <f t="shared" si="294"/>
        <v>1018.0799999999986</v>
      </c>
      <c r="BV143" s="560"/>
      <c r="BW143" s="560">
        <f ca="1">IF(B143&gt;Summary!$A$1,#N/A,BU143*MGtoAF)</f>
        <v>3123.4694399999958</v>
      </c>
      <c r="BX143" s="560">
        <f>Sheet1!BC145+Sheet1!BD145+Sheet1!BE145+Sheet1!BF145-CG143-CH143</f>
        <v>2.5099999999999998</v>
      </c>
      <c r="BY143" s="560">
        <f t="shared" si="295"/>
        <v>2.5099999999999998</v>
      </c>
      <c r="BZ143" s="560">
        <f>IF(Sheet1!EQ145="FM",CH143,0)</f>
        <v>0</v>
      </c>
      <c r="CA143" s="560">
        <f t="shared" si="296"/>
        <v>0</v>
      </c>
      <c r="CB143" s="560">
        <f>IF(Sheet1!EQ145="OTHER",CH143,0)</f>
        <v>0</v>
      </c>
      <c r="CC143" s="560">
        <f t="shared" si="297"/>
        <v>0</v>
      </c>
      <c r="CD143" s="560">
        <f t="shared" si="298"/>
        <v>0</v>
      </c>
      <c r="CE143" s="560">
        <f t="shared" si="299"/>
        <v>2.5099999999999998</v>
      </c>
      <c r="CF143" s="560">
        <f t="shared" si="300"/>
        <v>2.5099999999999998</v>
      </c>
      <c r="CG143" s="560">
        <f>IF(Sheet1!EQ145="CWA",SUM(Sheet1!BC145:'Sheet1'!BF145),0)</f>
        <v>0</v>
      </c>
      <c r="CH143" s="560">
        <f>IF(OR(Sheet1!EQ145="FM", Sheet1!EQ145="OTHER"),SUM(Sheet1!BC145:'Sheet1'!BF145),0)</f>
        <v>0</v>
      </c>
      <c r="CI143" s="545">
        <f>IF(AND($B143&gt;=$FV143,$B143&lt;=$FW143),MAX(CF143,Sheet1!EJ145,0),MAX(CF143-(7/36)*$K143,0))</f>
        <v>0</v>
      </c>
      <c r="CJ143" s="560">
        <f t="shared" si="301"/>
        <v>10.058888888888889</v>
      </c>
      <c r="CK143" s="545">
        <f t="shared" si="302"/>
        <v>2.5099999999999998</v>
      </c>
      <c r="CL143" s="545">
        <f>IF(AND($O143&gt;0,Sheet1!EN145=1),(1-($O143-Sheet1!$L145)/$O143)*CF143,0)</f>
        <v>0</v>
      </c>
      <c r="CM143" s="545">
        <f>IF(AND(Sheet1!$L145=0,Sheet1!$L144=0, Calculation!CE143&lt;Sheet1!EJ145-0.1,Sheet1!EJ145=Sheet1!EJ144,Sheet1!EJ145=Sheet1!EJ146),Sheet1!EJ145,CF143-CL143)</f>
        <v>2.5099999999999998</v>
      </c>
      <c r="CN143" s="545"/>
      <c r="CO143" s="560"/>
      <c r="CP143" s="560">
        <f t="shared" si="303"/>
        <v>801.24571905897119</v>
      </c>
      <c r="CQ143" s="560"/>
      <c r="CR143" s="560">
        <f ca="1">IF(B143&gt;Summary!$A$1,#N/A,CP143*MGtoAF)</f>
        <v>2458.2218660729236</v>
      </c>
      <c r="CS143" s="560">
        <f>Sheet1!BK145+Sheet1!BL145+Sheet1!BM145-Sheet1!ER145-DA143</f>
        <v>5.4</v>
      </c>
      <c r="CT143" s="560">
        <f t="shared" si="304"/>
        <v>5.4</v>
      </c>
      <c r="CU143" s="560">
        <f>IF(Sheet1!ER145="FM",DA143,0)</f>
        <v>0</v>
      </c>
      <c r="CV143" s="560">
        <f t="shared" si="305"/>
        <v>0</v>
      </c>
      <c r="CW143" s="560">
        <f>IF(Sheet1!ER145="OTHER",DA143,0)</f>
        <v>0</v>
      </c>
      <c r="CX143" s="560">
        <f t="shared" si="306"/>
        <v>0</v>
      </c>
      <c r="CY143" s="560">
        <f t="shared" si="307"/>
        <v>5.4</v>
      </c>
      <c r="CZ143" s="560">
        <f t="shared" si="308"/>
        <v>5.4</v>
      </c>
      <c r="DA143" s="560">
        <f>IF(OR(Sheet1!ER145="FM", Sheet1!ER145="OTHER"),SUM(Sheet1!BK145:'Sheet1'!BM145),0)</f>
        <v>0</v>
      </c>
      <c r="DB143" s="545">
        <f>IF(AND($B143&gt;=$FV143,$B143&lt;=$FW143),MAX($CT143,Sheet1!EK145,0),MAX($CT143-(7/36)*$K143,0))</f>
        <v>0</v>
      </c>
      <c r="DC143" s="560">
        <f t="shared" si="309"/>
        <v>7.1688888888888886</v>
      </c>
      <c r="DD143" s="545">
        <f t="shared" si="310"/>
        <v>5.4</v>
      </c>
      <c r="DE143" s="545">
        <f>IF(AND($O143&gt;0,Sheet1!EO145=1),(1-($O143-Sheet1!$L145)/$O143)*CZ143,0)</f>
        <v>0</v>
      </c>
      <c r="DF143" s="545">
        <f>IF(AND(Sheet1!$L145=0,Sheet1!$L144=0, Calculation!CY143&lt;Sheet1!$EK145-0.1,Sheet1!$EK145=Sheet1!$EK144,Sheet1!$EK145=Sheet1!$EK146),Sheet1!$EK145,CZ143-DE143)</f>
        <v>5.4</v>
      </c>
      <c r="DG143" s="545"/>
      <c r="DH143" s="560">
        <f t="shared" si="311"/>
        <v>7.91</v>
      </c>
      <c r="DI143" s="560">
        <f t="shared" si="312"/>
        <v>577.10052222803415</v>
      </c>
      <c r="DJ143" s="698">
        <f t="shared" si="313"/>
        <v>7.91</v>
      </c>
      <c r="DK143" s="560">
        <f ca="1">IF(B143&gt;Summary!$A$1,#N/A,DI143*MGtoAF)</f>
        <v>1770.5444021956089</v>
      </c>
      <c r="DL143" s="698">
        <f t="shared" si="314"/>
        <v>7.91</v>
      </c>
      <c r="DM143" s="560">
        <f t="shared" si="315"/>
        <v>34.010000000000005</v>
      </c>
      <c r="DN143" s="560">
        <f>Sheet1!AB145-DM143</f>
        <v>0</v>
      </c>
      <c r="DO143" s="823">
        <f t="shared" si="316"/>
        <v>0</v>
      </c>
      <c r="DP143" s="560">
        <f>(VLOOKUP(Sheet1!DC145,hhdcap_wcm,4)-(((VLOOKUP(Sheet1!DC145,hhdcap_wcm,3)-Sheet1!DC145)/(VLOOKUP(Sheet1!DC145,hhdcap_wcm,3)-VLOOKUP(Sheet1!DC145,hhdcap_wcm,1)))*(VLOOKUP(Sheet1!DC145,hhdcap_wcm,4)-VLOOKUP(Sheet1!DC145,hhdcap_wcm,2))))</f>
        <v>44062.000000108295</v>
      </c>
      <c r="DQ143" s="560">
        <f t="shared" si="317"/>
        <v>206.20000000024447</v>
      </c>
      <c r="DR143" s="560">
        <f t="shared" si="318"/>
        <v>103.98386283421303</v>
      </c>
      <c r="DS143" s="560">
        <f>Sheet1!EA145*AFtoMG</f>
        <v>0</v>
      </c>
      <c r="DT143" s="560">
        <f>Sheet1!EB145*AFtoMG</f>
        <v>0</v>
      </c>
      <c r="DU143" s="560">
        <f>Sheet1!EC145*AFtoMG</f>
        <v>0</v>
      </c>
      <c r="DV143" s="560">
        <f>Sheet1!ED145*AFtoMG</f>
        <v>0</v>
      </c>
      <c r="DW143" s="560">
        <f t="shared" si="319"/>
        <v>0</v>
      </c>
      <c r="DX143" s="560">
        <f t="shared" si="320"/>
        <v>0</v>
      </c>
      <c r="DY143" s="560">
        <f t="shared" si="321"/>
        <v>4578.0262412870052</v>
      </c>
      <c r="DZ143" s="560">
        <f t="shared" si="322"/>
        <v>14045.384508268533</v>
      </c>
      <c r="EA143" s="560"/>
      <c r="EB143" s="545">
        <f>IF(OR(B143&lt;FV143,B143&gt;FW143),(MIN(BF143+BY143+CT143+MAX(Sheet1!AA145+AQ143-73,0),K143)),0)</f>
        <v>7.91</v>
      </c>
      <c r="EC143" s="560"/>
      <c r="ED143" s="560">
        <f t="shared" si="323"/>
        <v>7.91</v>
      </c>
      <c r="EE143" s="560"/>
      <c r="EF143" s="560">
        <f>Sheet1!EH145+Sheet1!EI145+Sheet1!EJ145+Sheet1!EK145</f>
        <v>7.91</v>
      </c>
      <c r="EG143" s="560"/>
      <c r="EH143" s="545">
        <f t="shared" si="324"/>
        <v>0</v>
      </c>
      <c r="EI143" s="560">
        <f>IF(Sheet1!ET145=1,SUM('Calculations II'!AT143:BA143)+'Calculations II'!BC143+Sheet1!BV145+'Calculations II'!BE143+AP143,SUM('Calculations II'!AT143:BA143)+'Calculations II'!BC143+Sheet1!BV145+'Calculations II'!BE143+AP143)</f>
        <v>54.714016000000001</v>
      </c>
      <c r="EJ143" s="560">
        <f>Sheet1!AA145+Sheet1!AB145+'Calculations II'!BC143</f>
        <v>56.11</v>
      </c>
      <c r="EK143" s="560"/>
      <c r="EL143" s="560"/>
      <c r="EM143" s="560">
        <f t="shared" si="325"/>
        <v>41771</v>
      </c>
      <c r="EN143" s="560">
        <f t="shared" si="326"/>
        <v>56.730000000000004</v>
      </c>
      <c r="EO143" s="560">
        <f t="shared" si="327"/>
        <v>87.761310000000009</v>
      </c>
      <c r="EP143" s="560">
        <v>0</v>
      </c>
      <c r="EQ143" s="560">
        <v>0</v>
      </c>
      <c r="ER143" s="560">
        <v>0</v>
      </c>
      <c r="ES143" s="545">
        <f t="shared" si="349"/>
        <v>1.8015711354164519</v>
      </c>
      <c r="ET143" s="560">
        <f>-(VLOOKUP(Sheet1!BQ145,Lookup!$O$4:$Q$262,2)-VLOOKUP(Sheet1!BQ144,Lookup!$O$4:$Q$262,2))/1000000</f>
        <v>0.83150472538505127</v>
      </c>
      <c r="EU143" s="560">
        <f>-(VLOOKUP(Sheet1!BR145,Lookup!$O$4:$Q$262,3)-VLOOKUP(Sheet1!BR144,Lookup!$O$4:$Q$262,3))/1000000</f>
        <v>0.97006641003140059</v>
      </c>
      <c r="EV143" s="560"/>
      <c r="EW143" s="560"/>
      <c r="EX143" s="560"/>
      <c r="EY143" s="560"/>
      <c r="EZ143" s="560"/>
      <c r="FA143" s="560"/>
      <c r="FB143" s="560"/>
      <c r="FC143" s="560"/>
      <c r="FD143" s="594" t="e">
        <f t="shared" si="328"/>
        <v>#N/A</v>
      </c>
      <c r="FE143" s="594" t="e">
        <f t="shared" si="329"/>
        <v>#N/A</v>
      </c>
      <c r="FF143" s="595" t="e">
        <f t="shared" si="330"/>
        <v>#N/A</v>
      </c>
      <c r="FG143" s="596" t="s">
        <v>692</v>
      </c>
      <c r="FH143" s="596" t="s">
        <v>692</v>
      </c>
      <c r="FI143" s="594" t="e">
        <v>#N/A</v>
      </c>
      <c r="FJ143" s="594" t="e">
        <v>#N/A</v>
      </c>
      <c r="FK143" s="560"/>
      <c r="FL143" s="560"/>
      <c r="FM143" s="560"/>
      <c r="FN143" s="560"/>
      <c r="FO143" s="560">
        <f>O143+((Sheet1!CS145)*GPMtoMGD)</f>
        <v>56.11</v>
      </c>
      <c r="FP143" s="560">
        <f>IF(Sheet1!AA145+AQ143&lt;=Calculation!N143,AQ143,Calculation!N143-Sheet1!AA145)</f>
        <v>24.5</v>
      </c>
      <c r="FQ143" s="560">
        <f>(Sheet1!BP145+Sheet1!BO145)/694.4</f>
        <v>1.8181163594470047</v>
      </c>
      <c r="FR143" s="560"/>
      <c r="FS143" s="560"/>
      <c r="FT143" s="560"/>
      <c r="FU143" s="560"/>
      <c r="FV143" s="695">
        <f t="shared" si="350"/>
        <v>41827</v>
      </c>
      <c r="FW143" s="695">
        <f t="shared" si="351"/>
        <v>41934</v>
      </c>
      <c r="FX143" s="560"/>
      <c r="FY143" s="560"/>
      <c r="FZ143" s="560"/>
      <c r="GA143" s="560"/>
      <c r="GB143" s="560" t="str">
        <f t="shared" si="352"/>
        <v>n</v>
      </c>
      <c r="GC143" s="564">
        <f t="shared" si="353"/>
        <v>41691</v>
      </c>
      <c r="GD143" s="695">
        <f t="shared" si="354"/>
        <v>41807</v>
      </c>
      <c r="GE143" s="560">
        <v>6518.9</v>
      </c>
      <c r="GF143" s="695">
        <f t="shared" si="355"/>
        <v>41808</v>
      </c>
      <c r="GG143" s="560">
        <f t="shared" si="272"/>
        <v>3259</v>
      </c>
      <c r="GH143" s="564">
        <f t="shared" si="356"/>
        <v>41934</v>
      </c>
      <c r="GJ143" s="545">
        <f t="shared" si="357"/>
        <v>0</v>
      </c>
      <c r="GK143" s="560" t="str">
        <f t="shared" si="331"/>
        <v/>
      </c>
      <c r="GL143" s="560">
        <f t="shared" si="358"/>
        <v>0</v>
      </c>
      <c r="GM143" s="560" t="str">
        <f t="shared" si="359"/>
        <v/>
      </c>
      <c r="GN143" s="560">
        <f>IF(GK143="P",Lookup!$M$12,IF(GK143="PP",Lookup!$M$13,IF(GK143="PPP",Lookup!$M$14,IF(GK143="T",Lookup!$M$15,IF(GK143="TP",Lookup!$M$16,IF(GK143="TPP",Lookup!$M$17,IF(GK143="TPPP",Lookup!$M$18,0)))))))*GJ143</f>
        <v>0</v>
      </c>
      <c r="GO143" s="560">
        <f t="shared" si="360"/>
        <v>0</v>
      </c>
      <c r="GP143" s="560">
        <f t="shared" si="332"/>
        <v>6693.1488000000045</v>
      </c>
      <c r="GQ143" s="560">
        <f t="shared" si="368"/>
        <v>2181.6000000000013</v>
      </c>
      <c r="GR143" s="560"/>
      <c r="GS143" s="560">
        <f t="shared" si="361"/>
        <v>0</v>
      </c>
      <c r="GT143" s="560" t="str">
        <f t="shared" si="362"/>
        <v/>
      </c>
      <c r="GU143" s="560">
        <f>IF(GK143="P",Lookup!$N$12,IF(GK143="PP",Lookup!$N$13,IF(GK143="PPP",Lookup!$N$14,IF(GK143="T",Lookup!$N$15,IF(GK143="TP",Lookup!$N$16,IF(GK143="TPP",Lookup!$N$17,IF(GK143="TPPP",Lookup!$N$18,0)))))))*GJ143</f>
        <v>0</v>
      </c>
      <c r="GV143" s="560">
        <f t="shared" si="363"/>
        <v>0</v>
      </c>
      <c r="GW143" s="560">
        <f t="shared" si="333"/>
        <v>3123.4694399999958</v>
      </c>
      <c r="GX143" s="560">
        <f t="shared" si="369"/>
        <v>1018.0799999999986</v>
      </c>
      <c r="GY143" s="560"/>
      <c r="GZ143" s="560">
        <f t="shared" si="364"/>
        <v>0</v>
      </c>
      <c r="HA143" s="560" t="str">
        <f t="shared" si="365"/>
        <v/>
      </c>
      <c r="HB143" s="560">
        <f>IF(GK143="P",Lookup!$N$12,IF(GK143="PP",Lookup!$N$13,IF(GK143="PPP",Lookup!$N$14,IF(GK143="T",Lookup!$N$15,IF(GK143="TP",Lookup!$N$16,IF(GK143="TPP",Lookup!$N$17,IF(GK143="TPPP",Lookup!$N$18,0)))))))*GJ143</f>
        <v>0</v>
      </c>
      <c r="HC143" s="545">
        <f t="shared" si="334"/>
        <v>0</v>
      </c>
      <c r="HD143" s="560">
        <f t="shared" si="335"/>
        <v>2458.2218660729236</v>
      </c>
      <c r="HE143" s="560">
        <f t="shared" si="370"/>
        <v>801.24571905897119</v>
      </c>
      <c r="HF143" s="560"/>
      <c r="HG143" s="560">
        <f t="shared" si="366"/>
        <v>0</v>
      </c>
      <c r="HH143" s="560" t="str">
        <f t="shared" si="367"/>
        <v/>
      </c>
      <c r="HI143" s="560">
        <f>IF(GK143="P",Lookup!$N$12,IF(GK143="PP",Lookup!$N$13,IF(GK143="PPP",Lookup!$N$14,IF(GK143="T",Lookup!$N$15,IF(GK143="TP",Lookup!$N$16,IF(GK143="TPP",Lookup!$N$17,IF(GK143="TPPP",Lookup!$N$18,0)))))))*GJ143</f>
        <v>0</v>
      </c>
      <c r="HJ143" s="545">
        <f t="shared" si="336"/>
        <v>0</v>
      </c>
      <c r="HK143" s="560">
        <f t="shared" si="337"/>
        <v>1770.5444021956089</v>
      </c>
      <c r="HL143" s="560">
        <f t="shared" si="371"/>
        <v>577.10052222803415</v>
      </c>
      <c r="HM143" s="560"/>
    </row>
    <row r="144" spans="1:221">
      <c r="A144" s="580" t="s">
        <v>5</v>
      </c>
      <c r="B144" s="556">
        <v>41772</v>
      </c>
      <c r="C144" s="561">
        <v>0</v>
      </c>
      <c r="D144" s="529">
        <f t="shared" si="270"/>
        <v>300</v>
      </c>
      <c r="E144" s="529">
        <f t="shared" si="271"/>
        <v>250</v>
      </c>
      <c r="F144" s="529">
        <v>250</v>
      </c>
      <c r="G144" s="560">
        <f>DR144+Sheet1!CZ146</f>
        <v>1492.4054462937427</v>
      </c>
      <c r="H144" s="914">
        <f t="shared" si="338"/>
        <v>697.7276804842752</v>
      </c>
      <c r="I144" s="559">
        <f>MAX(Sheet1!Z146-AT144+(Sheet1!DA146-E144)*CFStoMGD,0)</f>
        <v>1035.93</v>
      </c>
      <c r="J144" s="562">
        <f>IF(AND(B144&gt;=Calculation!GC144,B144&lt;=Calculation!GD144),IF(Sheet1!DB146&gt;=Calculation!D144,64.64,0),MAX(Sheet1!Z146-AT144+(Sheet1!DB146-D144)*CFStoMGD,0))</f>
        <v>64.64</v>
      </c>
      <c r="K144" s="904">
        <f t="shared" si="273"/>
        <v>64.64</v>
      </c>
      <c r="L144" s="560">
        <f>Sheet1!AA146+Sheet1!AB146-Sheet1!L146+(Sheet1!DA146-F144)*CFStoMGD</f>
        <v>1058</v>
      </c>
      <c r="M144" s="560">
        <f t="shared" si="274"/>
        <v>983.98469809396079</v>
      </c>
      <c r="N144" s="910">
        <f>IF(Sheet1!DA146&gt;=F144,MIN(73,MIN(MAX(L144,0),MAX(M144,0))),0)</f>
        <v>73</v>
      </c>
      <c r="O144" s="563">
        <f>Sheet1!AA146+Sheet1!AB146</f>
        <v>56.08</v>
      </c>
      <c r="P144" s="563">
        <f t="shared" si="275"/>
        <v>86.755759999999995</v>
      </c>
      <c r="Q144" s="898">
        <f t="shared" si="339"/>
        <v>47.28</v>
      </c>
      <c r="R144" s="829">
        <f t="shared" si="276"/>
        <v>8.8494674556213031</v>
      </c>
      <c r="S144" s="898">
        <f t="shared" si="340"/>
        <v>8.8000000000000007</v>
      </c>
      <c r="T144" s="898">
        <f t="shared" si="341"/>
        <v>55.84</v>
      </c>
      <c r="U144" s="898">
        <f t="shared" si="342"/>
        <v>0</v>
      </c>
      <c r="V144" s="898"/>
      <c r="W144" s="898">
        <f t="shared" si="343"/>
        <v>55.790532544378699</v>
      </c>
      <c r="X144" s="898">
        <f t="shared" si="344"/>
        <v>64.64</v>
      </c>
      <c r="Y144" s="898" t="str">
        <f t="shared" si="345"/>
        <v>FALSE</v>
      </c>
      <c r="Z144" s="898">
        <f t="shared" si="346"/>
        <v>56.08</v>
      </c>
      <c r="AA144" s="898">
        <f t="shared" si="347"/>
        <v>56.08</v>
      </c>
      <c r="AB144" s="898" t="str">
        <f t="shared" si="348"/>
        <v/>
      </c>
      <c r="AC144" s="563">
        <f>Sheet1!Y146*MGDtoCFS</f>
        <v>34.188699999999997</v>
      </c>
      <c r="AD144" s="563">
        <f>Sheet1!Z146*MGDtoCFS</f>
        <v>52.613469999999992</v>
      </c>
      <c r="AE144" s="563">
        <f>Sheet1!AA146*MGDtoCFS</f>
        <v>34.173229999999997</v>
      </c>
      <c r="AF144" s="563">
        <f>Sheet1!AB146*MGDtoCFS</f>
        <v>52.582529999999998</v>
      </c>
      <c r="AG144" s="563">
        <f>Sheet1!L146*MGDtoCFS</f>
        <v>0</v>
      </c>
      <c r="AH144" s="545">
        <f t="shared" si="277"/>
        <v>0</v>
      </c>
      <c r="AI144" s="560">
        <f t="shared" si="278"/>
        <v>0</v>
      </c>
      <c r="AJ144" s="560">
        <f t="shared" si="279"/>
        <v>55.790532544378699</v>
      </c>
      <c r="AK144" s="560">
        <f t="shared" si="280"/>
        <v>86.30795384615385</v>
      </c>
      <c r="AL144" s="560">
        <f>(VLOOKUP(Sheet1!DC146,hhdcap_wcm,4)-(((VLOOKUP(Sheet1!DC146,hhdcap_wcm,3)-Sheet1!DC146)/(VLOOKUP(Sheet1!DC146,hhdcap_wcm,3)-VLOOKUP(Sheet1!DC146,hhdcap_wcm,1)))*(VLOOKUP(Sheet1!DC146,hhdcap_wcm,4)-VLOOKUP(Sheet1!DC146,hhdcap_wcm,2))))</f>
        <v>44483.200000108787</v>
      </c>
      <c r="AM144" s="560">
        <f t="shared" si="281"/>
        <v>421.20000000049185</v>
      </c>
      <c r="AN144" s="560">
        <f t="shared" si="282"/>
        <v>4633.8167738313841</v>
      </c>
      <c r="AO144" s="560">
        <f t="shared" si="283"/>
        <v>14216.549862114687</v>
      </c>
      <c r="AP144" s="560">
        <f>Sheet1!BA146+Sheet1!BB146+Sheet1!BN146+CD144</f>
        <v>25</v>
      </c>
      <c r="AQ144" s="560">
        <f>Sheet1!BN146+(DO144*Sheet1!BN146)</f>
        <v>23.531538461538464</v>
      </c>
      <c r="AR144" s="560">
        <f>Sheet1!BA146+CD144</f>
        <v>0</v>
      </c>
      <c r="AS144" s="560">
        <f>Sheet1!BA146+Sheet1!BB146+CD144</f>
        <v>1.6</v>
      </c>
      <c r="AT144" s="698">
        <f>0</f>
        <v>0</v>
      </c>
      <c r="AU144" s="560">
        <f>IF(EB144&lt;K144,0,MAX(Sheet1!AA146+AQ144-15/36*K144-N144,Sheet1!EH146,0))</f>
        <v>0</v>
      </c>
      <c r="AV144" s="560">
        <f>IF(OR(B144&gt;=GD144,B144&lt;GC144),0,15/36*K144-MAX(0,64.6-(137.6-(Sheet1!AA146+Sheet1!AB146))))</f>
        <v>26.933333333333334</v>
      </c>
      <c r="AW144" s="698">
        <f>Sheet1!DB146-110</f>
        <v>1130</v>
      </c>
      <c r="AX144" s="698">
        <f>Sheet1!DA146-265</f>
        <v>1535</v>
      </c>
      <c r="AY144" s="698">
        <f t="shared" si="284"/>
        <v>25.72</v>
      </c>
      <c r="AZ144" s="698">
        <v>0</v>
      </c>
      <c r="BA144" s="698">
        <f t="shared" si="285"/>
        <v>0</v>
      </c>
      <c r="BB144" s="560">
        <f t="shared" si="286"/>
        <v>2208.5333333333347</v>
      </c>
      <c r="BC144" s="560"/>
      <c r="BD144" s="560">
        <f ca="1">IF(B144&gt;Summary!$A$1,#N/A,BB144*MGtoAF)</f>
        <v>6775.7802666666712</v>
      </c>
      <c r="BE144" s="560">
        <f>Sheet1!BG146+Sheet1!BH146+Sheet1!BI146-BM144</f>
        <v>0</v>
      </c>
      <c r="BF144" s="560">
        <f t="shared" si="287"/>
        <v>0</v>
      </c>
      <c r="BG144" s="560">
        <f>IF(Sheet1!EP146="FM",BM144,0)</f>
        <v>0</v>
      </c>
      <c r="BH144" s="560">
        <f t="shared" si="288"/>
        <v>0</v>
      </c>
      <c r="BI144" s="560">
        <f>IF(Sheet1!EP146="OTHER",BM144,0)</f>
        <v>0</v>
      </c>
      <c r="BJ144" s="560">
        <f t="shared" si="289"/>
        <v>0</v>
      </c>
      <c r="BK144" s="560">
        <f t="shared" si="290"/>
        <v>0</v>
      </c>
      <c r="BL144" s="560">
        <f t="shared" si="291"/>
        <v>0</v>
      </c>
      <c r="BM144" s="560">
        <f>IF(OR(Sheet1!EP146="FM", Sheet1!EP146="OTHER"),SUM(Sheet1!BG146:'Sheet1'!BI146),0)</f>
        <v>0</v>
      </c>
      <c r="BN144" s="545">
        <f>IF(AND($B144&gt;=$FV144,$B144&lt;=$FW144),MAX(BF144,Sheet1!EI146,0),MAX(BF144-(7/36)*$K144,0))</f>
        <v>0</v>
      </c>
      <c r="BO144" s="560">
        <f t="shared" si="292"/>
        <v>12.568888888888889</v>
      </c>
      <c r="BP144" s="545">
        <f t="shared" si="293"/>
        <v>0</v>
      </c>
      <c r="BQ144" s="545">
        <f>IF(AND($O144&gt;0,Sheet1!EM146=1),(1-($O144-Sheet1!$L146)/$O144)*BL144,0)</f>
        <v>0</v>
      </c>
      <c r="BR144" s="545">
        <f>IF(AND(Sheet1!$L146=0,Sheet1!$L145=0, Calculation!BK144&lt;Sheet1!$EI146-0.1,Sheet1!$EI146=Sheet1!$EI145,Sheet1!$EI146=Sheet1!$EI147),Sheet1!$EI146,BL144-BQ144)</f>
        <v>0</v>
      </c>
      <c r="BS144" s="560"/>
      <c r="BT144" s="560"/>
      <c r="BU144" s="560">
        <f t="shared" si="294"/>
        <v>1030.6488888888875</v>
      </c>
      <c r="BV144" s="560"/>
      <c r="BW144" s="560">
        <f ca="1">IF(B144&gt;Summary!$A$1,#N/A,BU144*MGtoAF)</f>
        <v>3162.0307911111072</v>
      </c>
      <c r="BX144" s="560">
        <f>Sheet1!BC146+Sheet1!BD146+Sheet1!BE146+Sheet1!BF146-CG144-CH144</f>
        <v>2.5</v>
      </c>
      <c r="BY144" s="560">
        <f t="shared" si="295"/>
        <v>2.51405325443787</v>
      </c>
      <c r="BZ144" s="560">
        <f>IF(Sheet1!EQ146="FM",CH144,0)</f>
        <v>0</v>
      </c>
      <c r="CA144" s="560">
        <f t="shared" si="296"/>
        <v>0</v>
      </c>
      <c r="CB144" s="560">
        <f>IF(Sheet1!EQ146="OTHER",CH144,0)</f>
        <v>0</v>
      </c>
      <c r="CC144" s="560">
        <f t="shared" si="297"/>
        <v>0</v>
      </c>
      <c r="CD144" s="560">
        <f t="shared" si="298"/>
        <v>0</v>
      </c>
      <c r="CE144" s="560">
        <f t="shared" si="299"/>
        <v>2.5</v>
      </c>
      <c r="CF144" s="560">
        <f t="shared" si="300"/>
        <v>2.51405325443787</v>
      </c>
      <c r="CG144" s="560">
        <f>IF(Sheet1!EQ146="CWA",SUM(Sheet1!BC146:'Sheet1'!BF146),0)</f>
        <v>0</v>
      </c>
      <c r="CH144" s="560">
        <f>IF(OR(Sheet1!EQ146="FM", Sheet1!EQ146="OTHER"),SUM(Sheet1!BC146:'Sheet1'!BF146),0)</f>
        <v>0</v>
      </c>
      <c r="CI144" s="545">
        <f>IF(AND($B144&gt;=$FV144,$B144&lt;=$FW144),MAX(CF144,Sheet1!EJ146,0),MAX(CF144-(7/36)*$K144,0))</f>
        <v>0</v>
      </c>
      <c r="CJ144" s="560">
        <f t="shared" si="301"/>
        <v>10.054835634451019</v>
      </c>
      <c r="CK144" s="545">
        <f t="shared" si="302"/>
        <v>2.51405325443787</v>
      </c>
      <c r="CL144" s="545">
        <f>IF(AND($O144&gt;0,Sheet1!EN146=1),(1-($O144-Sheet1!$L146)/$O144)*CF144,0)</f>
        <v>0</v>
      </c>
      <c r="CM144" s="545">
        <f>IF(AND(Sheet1!$L146=0,Sheet1!$L145=0, Calculation!CE144&lt;Sheet1!EJ146-0.1,Sheet1!EJ146=Sheet1!EJ145,Sheet1!EJ146=Sheet1!EJ147),Sheet1!EJ146,CF144-CL144)</f>
        <v>2.51405325443787</v>
      </c>
      <c r="CN144" s="545"/>
      <c r="CO144" s="560"/>
      <c r="CP144" s="560">
        <f t="shared" si="303"/>
        <v>811.30055469342221</v>
      </c>
      <c r="CQ144" s="560"/>
      <c r="CR144" s="560">
        <f ca="1">IF(B144&gt;Summary!$A$1,#N/A,CP144*MGtoAF)</f>
        <v>2489.0701017994193</v>
      </c>
      <c r="CS144" s="560">
        <f>Sheet1!BK146+Sheet1!BL146+Sheet1!BM146-Sheet1!ER146-DA144</f>
        <v>6.3</v>
      </c>
      <c r="CT144" s="560">
        <f t="shared" si="304"/>
        <v>6.3354142011834327</v>
      </c>
      <c r="CU144" s="560">
        <f>IF(Sheet1!ER146="FM",DA144,0)</f>
        <v>0</v>
      </c>
      <c r="CV144" s="560">
        <f t="shared" si="305"/>
        <v>0</v>
      </c>
      <c r="CW144" s="560">
        <f>IF(Sheet1!ER146="OTHER",DA144,0)</f>
        <v>0</v>
      </c>
      <c r="CX144" s="560">
        <f t="shared" si="306"/>
        <v>0</v>
      </c>
      <c r="CY144" s="560">
        <f t="shared" si="307"/>
        <v>6.3</v>
      </c>
      <c r="CZ144" s="560">
        <f t="shared" si="308"/>
        <v>6.3354142011834327</v>
      </c>
      <c r="DA144" s="560">
        <f>IF(OR(Sheet1!ER146="FM", Sheet1!ER146="OTHER"),SUM(Sheet1!BK146:'Sheet1'!BM146),0)</f>
        <v>0</v>
      </c>
      <c r="DB144" s="545">
        <f>IF(AND($B144&gt;=$FV144,$B144&lt;=$FW144),MAX($CT144,Sheet1!EK146,0),MAX($CT144-(7/36)*$K144,0))</f>
        <v>0</v>
      </c>
      <c r="DC144" s="560">
        <f t="shared" si="309"/>
        <v>6.2334746877054563</v>
      </c>
      <c r="DD144" s="545">
        <f t="shared" si="310"/>
        <v>6.3354142011834327</v>
      </c>
      <c r="DE144" s="545">
        <f>IF(AND($O144&gt;0,Sheet1!EO146=1),(1-($O144-Sheet1!$L146)/$O144)*CZ144,0)</f>
        <v>0</v>
      </c>
      <c r="DF144" s="545">
        <f>IF(AND(Sheet1!$L146=0,Sheet1!$L145=0, Calculation!CY144&lt;Sheet1!$EK146-0.1,Sheet1!$EK146=Sheet1!$EK145,Sheet1!$EK146=Sheet1!$EK147),Sheet1!$EK146,CZ144-DE144)</f>
        <v>6.3354142011834327</v>
      </c>
      <c r="DG144" s="545"/>
      <c r="DH144" s="560">
        <f t="shared" si="311"/>
        <v>8.8000000000000007</v>
      </c>
      <c r="DI144" s="560">
        <f t="shared" si="312"/>
        <v>583.33399691573959</v>
      </c>
      <c r="DJ144" s="698">
        <f t="shared" si="313"/>
        <v>8.8494674556213031</v>
      </c>
      <c r="DK144" s="560">
        <f ca="1">IF(B144&gt;Summary!$A$1,#N/A,DI144*MGtoAF)</f>
        <v>1789.668702537489</v>
      </c>
      <c r="DL144" s="698">
        <f t="shared" si="314"/>
        <v>8.8000000000000007</v>
      </c>
      <c r="DM144" s="560">
        <f t="shared" si="315"/>
        <v>33.799999999999997</v>
      </c>
      <c r="DN144" s="560">
        <f>Sheet1!AB146-DM144</f>
        <v>0.19000000000000483</v>
      </c>
      <c r="DO144" s="823">
        <f t="shared" si="316"/>
        <v>5.621301775148072E-3</v>
      </c>
      <c r="DP144" s="560">
        <f>(VLOOKUP(Sheet1!DC146,hhdcap_wcm,4)-(((VLOOKUP(Sheet1!DC146,hhdcap_wcm,3)-Sheet1!DC146)/(VLOOKUP(Sheet1!DC146,hhdcap_wcm,3)-VLOOKUP(Sheet1!DC146,hhdcap_wcm,1)))*(VLOOKUP(Sheet1!DC146,hhdcap_wcm,4)-VLOOKUP(Sheet1!DC146,hhdcap_wcm,2))))</f>
        <v>44483.200000108787</v>
      </c>
      <c r="DQ144" s="560">
        <f t="shared" si="317"/>
        <v>421.20000000049185</v>
      </c>
      <c r="DR144" s="560">
        <f t="shared" si="318"/>
        <v>212.4054462937427</v>
      </c>
      <c r="DS144" s="560">
        <f>Sheet1!EA146*AFtoMG</f>
        <v>0</v>
      </c>
      <c r="DT144" s="560">
        <f>Sheet1!EB146*AFtoMG</f>
        <v>0</v>
      </c>
      <c r="DU144" s="560">
        <f>Sheet1!EC146*AFtoMG</f>
        <v>0</v>
      </c>
      <c r="DV144" s="560">
        <f>Sheet1!ED146*AFtoMG</f>
        <v>0</v>
      </c>
      <c r="DW144" s="560">
        <f t="shared" si="319"/>
        <v>0</v>
      </c>
      <c r="DX144" s="560">
        <f t="shared" si="320"/>
        <v>0</v>
      </c>
      <c r="DY144" s="560">
        <f t="shared" si="321"/>
        <v>4633.8167738313841</v>
      </c>
      <c r="DZ144" s="560">
        <f t="shared" si="322"/>
        <v>14216.549862114687</v>
      </c>
      <c r="EA144" s="560"/>
      <c r="EB144" s="545">
        <f>IF(OR(B144&lt;FV144,B144&gt;FW144),(MIN(BF144+BY144+CT144+MAX(Sheet1!AA146+AQ144-73,0),K144)),0)</f>
        <v>8.8494674556213031</v>
      </c>
      <c r="EC144" s="560"/>
      <c r="ED144" s="560">
        <f t="shared" si="323"/>
        <v>8.8494674556213031</v>
      </c>
      <c r="EE144" s="560"/>
      <c r="EF144" s="560">
        <f>Sheet1!EH146+Sheet1!EI146+Sheet1!EJ146+Sheet1!EK146</f>
        <v>8.8000000000000007</v>
      </c>
      <c r="EG144" s="560"/>
      <c r="EH144" s="545">
        <f t="shared" si="324"/>
        <v>0</v>
      </c>
      <c r="EI144" s="560">
        <f>IF(Sheet1!ET146=1,SUM('Calculations II'!AT144:BA144)+'Calculations II'!BC144+Sheet1!BV146+'Calculations II'!BE144+AP144,SUM('Calculations II'!AT144:BA144)+'Calculations II'!BC144+Sheet1!BV146+'Calculations II'!BE144+AP144)</f>
        <v>59.202751999999997</v>
      </c>
      <c r="EJ144" s="560">
        <f>Sheet1!AA146+Sheet1!AB146+'Calculations II'!BC144</f>
        <v>56.08</v>
      </c>
      <c r="EK144" s="560"/>
      <c r="EL144" s="560"/>
      <c r="EM144" s="560">
        <f t="shared" si="325"/>
        <v>41772</v>
      </c>
      <c r="EN144" s="560">
        <f t="shared" si="326"/>
        <v>55.790532544378699</v>
      </c>
      <c r="EO144" s="560">
        <f t="shared" si="327"/>
        <v>86.30795384615385</v>
      </c>
      <c r="EP144" s="560">
        <v>0</v>
      </c>
      <c r="EQ144" s="560">
        <v>0</v>
      </c>
      <c r="ER144" s="560">
        <v>0</v>
      </c>
      <c r="ES144" s="545">
        <f t="shared" si="349"/>
        <v>7.0624802093516772</v>
      </c>
      <c r="ET144" s="560">
        <f>-(VLOOKUP(Sheet1!BQ146,Lookup!$O$4:$Q$262,2)-VLOOKUP(Sheet1!BQ145,Lookup!$O$4:$Q$262,2))/1000000</f>
        <v>3.6005209469990134</v>
      </c>
      <c r="EU144" s="560">
        <f>-(VLOOKUP(Sheet1!BR146,Lookup!$O$4:$Q$262,3)-VLOOKUP(Sheet1!BR145,Lookup!$O$4:$Q$262,3))/1000000</f>
        <v>3.4619592623526638</v>
      </c>
      <c r="EV144" s="560"/>
      <c r="EW144" s="560"/>
      <c r="EX144" s="560"/>
      <c r="EY144" s="560"/>
      <c r="EZ144" s="560"/>
      <c r="FA144" s="560"/>
      <c r="FB144" s="560"/>
      <c r="FC144" s="560"/>
      <c r="FD144" s="594" t="e">
        <f t="shared" si="328"/>
        <v>#N/A</v>
      </c>
      <c r="FE144" s="594" t="e">
        <f t="shared" si="329"/>
        <v>#N/A</v>
      </c>
      <c r="FF144" s="595" t="e">
        <f t="shared" si="330"/>
        <v>#N/A</v>
      </c>
      <c r="FG144" s="596" t="s">
        <v>692</v>
      </c>
      <c r="FH144" s="596" t="s">
        <v>692</v>
      </c>
      <c r="FI144" s="594" t="e">
        <v>#N/A</v>
      </c>
      <c r="FJ144" s="594" t="e">
        <v>#N/A</v>
      </c>
      <c r="FK144" s="560"/>
      <c r="FL144" s="560"/>
      <c r="FM144" s="560"/>
      <c r="FN144" s="560"/>
      <c r="FO144" s="560">
        <f>O144+((Sheet1!CS146)*GPMtoMGD)</f>
        <v>56.08</v>
      </c>
      <c r="FP144" s="560">
        <f>IF(Sheet1!AA146+AQ144&lt;=Calculation!N144,AQ144,Calculation!N144-Sheet1!AA146)</f>
        <v>23.531538461538464</v>
      </c>
      <c r="FQ144" s="560">
        <f>(Sheet1!BP146+Sheet1!BO146)/694.4</f>
        <v>2.2502880184331797</v>
      </c>
      <c r="FR144" s="560"/>
      <c r="FS144" s="560"/>
      <c r="FT144" s="560"/>
      <c r="FU144" s="560"/>
      <c r="FV144" s="695">
        <f t="shared" si="350"/>
        <v>41827</v>
      </c>
      <c r="FW144" s="695">
        <f t="shared" si="351"/>
        <v>41934</v>
      </c>
      <c r="FX144" s="560"/>
      <c r="FY144" s="560"/>
      <c r="FZ144" s="560"/>
      <c r="GA144" s="560"/>
      <c r="GB144" s="560" t="str">
        <f t="shared" si="352"/>
        <v>n</v>
      </c>
      <c r="GC144" s="564">
        <f t="shared" si="353"/>
        <v>41691</v>
      </c>
      <c r="GD144" s="695">
        <f t="shared" si="354"/>
        <v>41807</v>
      </c>
      <c r="GE144" s="560">
        <v>6518.9</v>
      </c>
      <c r="GF144" s="695">
        <f t="shared" si="355"/>
        <v>41808</v>
      </c>
      <c r="GG144" s="560">
        <f t="shared" si="272"/>
        <v>3259</v>
      </c>
      <c r="GH144" s="564">
        <f t="shared" si="356"/>
        <v>41934</v>
      </c>
      <c r="GJ144" s="545">
        <f t="shared" si="357"/>
        <v>0</v>
      </c>
      <c r="GK144" s="560" t="str">
        <f t="shared" si="331"/>
        <v/>
      </c>
      <c r="GL144" s="560">
        <f t="shared" si="358"/>
        <v>0</v>
      </c>
      <c r="GM144" s="560" t="str">
        <f t="shared" si="359"/>
        <v/>
      </c>
      <c r="GN144" s="560">
        <f>IF(GK144="P",Lookup!$M$12,IF(GK144="PP",Lookup!$M$13,IF(GK144="PPP",Lookup!$M$14,IF(GK144="T",Lookup!$M$15,IF(GK144="TP",Lookup!$M$16,IF(GK144="TPP",Lookup!$M$17,IF(GK144="TPPP",Lookup!$M$18,0)))))))*GJ144</f>
        <v>0</v>
      </c>
      <c r="GO144" s="560">
        <f t="shared" si="360"/>
        <v>0</v>
      </c>
      <c r="GP144" s="560">
        <f t="shared" si="332"/>
        <v>6775.7802666666712</v>
      </c>
      <c r="GQ144" s="560">
        <f t="shared" si="368"/>
        <v>2208.5333333333347</v>
      </c>
      <c r="GR144" s="560"/>
      <c r="GS144" s="560">
        <f t="shared" si="361"/>
        <v>0</v>
      </c>
      <c r="GT144" s="560" t="str">
        <f t="shared" si="362"/>
        <v/>
      </c>
      <c r="GU144" s="560">
        <f>IF(GK144="P",Lookup!$N$12,IF(GK144="PP",Lookup!$N$13,IF(GK144="PPP",Lookup!$N$14,IF(GK144="T",Lookup!$N$15,IF(GK144="TP",Lookup!$N$16,IF(GK144="TPP",Lookup!$N$17,IF(GK144="TPPP",Lookup!$N$18,0)))))))*GJ144</f>
        <v>0</v>
      </c>
      <c r="GV144" s="560">
        <f t="shared" si="363"/>
        <v>0</v>
      </c>
      <c r="GW144" s="560">
        <f t="shared" si="333"/>
        <v>3162.0307911111072</v>
      </c>
      <c r="GX144" s="560">
        <f t="shared" si="369"/>
        <v>1030.6488888888875</v>
      </c>
      <c r="GY144" s="560"/>
      <c r="GZ144" s="560">
        <f t="shared" si="364"/>
        <v>0</v>
      </c>
      <c r="HA144" s="560" t="str">
        <f t="shared" si="365"/>
        <v/>
      </c>
      <c r="HB144" s="560">
        <f>IF(GK144="P",Lookup!$N$12,IF(GK144="PP",Lookup!$N$13,IF(GK144="PPP",Lookup!$N$14,IF(GK144="T",Lookup!$N$15,IF(GK144="TP",Lookup!$N$16,IF(GK144="TPP",Lookup!$N$17,IF(GK144="TPPP",Lookup!$N$18,0)))))))*GJ144</f>
        <v>0</v>
      </c>
      <c r="HC144" s="545">
        <f t="shared" si="334"/>
        <v>0</v>
      </c>
      <c r="HD144" s="560">
        <f t="shared" si="335"/>
        <v>2489.0701017994193</v>
      </c>
      <c r="HE144" s="560">
        <f t="shared" si="370"/>
        <v>811.30055469342221</v>
      </c>
      <c r="HF144" s="560"/>
      <c r="HG144" s="560">
        <f t="shared" si="366"/>
        <v>0</v>
      </c>
      <c r="HH144" s="560" t="str">
        <f t="shared" si="367"/>
        <v/>
      </c>
      <c r="HI144" s="560">
        <f>IF(GK144="P",Lookup!$N$12,IF(GK144="PP",Lookup!$N$13,IF(GK144="PPP",Lookup!$N$14,IF(GK144="T",Lookup!$N$15,IF(GK144="TP",Lookup!$N$16,IF(GK144="TPP",Lookup!$N$17,IF(GK144="TPPP",Lookup!$N$18,0)))))))*GJ144</f>
        <v>0</v>
      </c>
      <c r="HJ144" s="545">
        <f t="shared" si="336"/>
        <v>0</v>
      </c>
      <c r="HK144" s="560">
        <f t="shared" si="337"/>
        <v>1789.668702537489</v>
      </c>
      <c r="HL144" s="560">
        <f t="shared" si="371"/>
        <v>583.33399691573959</v>
      </c>
      <c r="HM144" s="560"/>
    </row>
    <row r="145" spans="1:221">
      <c r="A145" s="580" t="s">
        <v>6</v>
      </c>
      <c r="B145" s="556">
        <v>41773</v>
      </c>
      <c r="C145" s="561">
        <v>0</v>
      </c>
      <c r="D145" s="529">
        <f t="shared" si="270"/>
        <v>300</v>
      </c>
      <c r="E145" s="529">
        <f t="shared" si="271"/>
        <v>250</v>
      </c>
      <c r="F145" s="529">
        <v>250</v>
      </c>
      <c r="G145" s="560">
        <f>DR145+Sheet1!CZ147</f>
        <v>1601.3262733238794</v>
      </c>
      <c r="H145" s="914">
        <f t="shared" si="338"/>
        <v>768.13410307655556</v>
      </c>
      <c r="I145" s="559">
        <f>MAX(Sheet1!Z147-AT145+(Sheet1!DA147-E145)*CFStoMGD,0)</f>
        <v>1061.7660000000001</v>
      </c>
      <c r="J145" s="562">
        <f>IF(AND(B145&gt;=Calculation!GC145,B145&lt;=Calculation!GD145),IF(Sheet1!DB147&gt;=Calculation!D145,64.64,0),MAX(Sheet1!Z147-AT145+(Sheet1!DB147-D145)*CFStoMGD,0))</f>
        <v>64.64</v>
      </c>
      <c r="K145" s="904">
        <f t="shared" si="273"/>
        <v>64.64</v>
      </c>
      <c r="L145" s="560">
        <f>Sheet1!AA147+Sheet1!AB147-Sheet1!L147+(Sheet1!DA147-F145)*CFStoMGD</f>
        <v>1086.106</v>
      </c>
      <c r="M145" s="560">
        <f t="shared" si="274"/>
        <v>1055.7992491380867</v>
      </c>
      <c r="N145" s="910">
        <f>IF(Sheet1!DA147&gt;=F145,MIN(73,MIN(MAX(L145,0),MAX(M145,0))),0)</f>
        <v>73</v>
      </c>
      <c r="O145" s="563">
        <f>Sheet1!AA147+Sheet1!AB147</f>
        <v>58.33</v>
      </c>
      <c r="P145" s="563">
        <f t="shared" si="275"/>
        <v>90.23651000000001</v>
      </c>
      <c r="Q145" s="898">
        <f t="shared" si="339"/>
        <v>49.37</v>
      </c>
      <c r="R145" s="829">
        <f t="shared" si="276"/>
        <v>8.9501700493691718</v>
      </c>
      <c r="S145" s="898">
        <f t="shared" si="340"/>
        <v>8.9600000000000009</v>
      </c>
      <c r="T145" s="898">
        <f t="shared" si="341"/>
        <v>55.68</v>
      </c>
      <c r="U145" s="898">
        <f t="shared" si="342"/>
        <v>0</v>
      </c>
      <c r="V145" s="898"/>
      <c r="W145" s="898">
        <f t="shared" si="343"/>
        <v>55.689829950630831</v>
      </c>
      <c r="X145" s="898">
        <f t="shared" si="344"/>
        <v>64.64</v>
      </c>
      <c r="Y145" s="898" t="str">
        <f t="shared" si="345"/>
        <v>FALSE</v>
      </c>
      <c r="Z145" s="898">
        <f t="shared" si="346"/>
        <v>58.33</v>
      </c>
      <c r="AA145" s="898">
        <f t="shared" si="347"/>
        <v>58.33</v>
      </c>
      <c r="AB145" s="898" t="str">
        <f t="shared" si="348"/>
        <v/>
      </c>
      <c r="AC145" s="563">
        <f>Sheet1!Y147*MGDtoCFS</f>
        <v>34.173229999999997</v>
      </c>
      <c r="AD145" s="563">
        <f>Sheet1!Z147*MGDtoCFS</f>
        <v>52.582529999999998</v>
      </c>
      <c r="AE145" s="563">
        <f>Sheet1!AA147*MGDtoCFS</f>
        <v>33.894770000000001</v>
      </c>
      <c r="AF145" s="563">
        <f>Sheet1!AB147*MGDtoCFS</f>
        <v>56.341740000000001</v>
      </c>
      <c r="AG145" s="563">
        <f>Sheet1!L147*MGDtoCFS</f>
        <v>0</v>
      </c>
      <c r="AH145" s="545">
        <f t="shared" si="277"/>
        <v>0</v>
      </c>
      <c r="AI145" s="560">
        <f t="shared" si="278"/>
        <v>0</v>
      </c>
      <c r="AJ145" s="560">
        <f t="shared" si="279"/>
        <v>55.689829950630831</v>
      </c>
      <c r="AK145" s="560">
        <f t="shared" si="280"/>
        <v>86.152166933625892</v>
      </c>
      <c r="AL145" s="560">
        <f>(VLOOKUP(Sheet1!DC147,hhdcap_wcm,4)-(((VLOOKUP(Sheet1!DC147,hhdcap_wcm,3)-Sheet1!DC147)/(VLOOKUP(Sheet1!DC147,hhdcap_wcm,3)-VLOOKUP(Sheet1!DC147,hhdcap_wcm,1)))*(VLOOKUP(Sheet1!DC147,hhdcap_wcm,4)-VLOOKUP(Sheet1!DC147,hhdcap_wcm,2))))</f>
        <v>44862.60000011004</v>
      </c>
      <c r="AM145" s="560">
        <f t="shared" si="281"/>
        <v>379.40000000125292</v>
      </c>
      <c r="AN145" s="560">
        <f t="shared" si="282"/>
        <v>4689.5066037820152</v>
      </c>
      <c r="AO145" s="560">
        <f t="shared" si="283"/>
        <v>14387.406260403222</v>
      </c>
      <c r="AP145" s="560">
        <f>Sheet1!BA147+Sheet1!BB147+Sheet1!BN147+CD145</f>
        <v>27.5</v>
      </c>
      <c r="AQ145" s="560">
        <f>Sheet1!BN147+(DO145*Sheet1!BN147)</f>
        <v>25.871585298957761</v>
      </c>
      <c r="AR145" s="560">
        <f>Sheet1!BA147+CD145</f>
        <v>0</v>
      </c>
      <c r="AS145" s="560">
        <f>Sheet1!BA147+Sheet1!BB147+CD145</f>
        <v>1.6</v>
      </c>
      <c r="AT145" s="698">
        <f>0</f>
        <v>0</v>
      </c>
      <c r="AU145" s="560">
        <f>IF(EB145&lt;K145,0,MAX(Sheet1!AA147+AQ145-15/36*K145-N145,Sheet1!EH147,0))</f>
        <v>0</v>
      </c>
      <c r="AV145" s="560">
        <f>IF(OR(B145&gt;=GD145,B145&lt;GC145),0,15/36*K145-MAX(0,64.6-(137.6-(Sheet1!AA147+Sheet1!AB147))))</f>
        <v>26.933333333333334</v>
      </c>
      <c r="AW145" s="698">
        <f>Sheet1!DB147-110</f>
        <v>1260</v>
      </c>
      <c r="AX145" s="698">
        <f>Sheet1!DA147-265</f>
        <v>1575</v>
      </c>
      <c r="AY145" s="698">
        <f t="shared" si="284"/>
        <v>23.630000000000003</v>
      </c>
      <c r="AZ145" s="698">
        <v>0</v>
      </c>
      <c r="BA145" s="698">
        <f t="shared" si="285"/>
        <v>0</v>
      </c>
      <c r="BB145" s="560">
        <f t="shared" si="286"/>
        <v>2235.4666666666681</v>
      </c>
      <c r="BC145" s="560"/>
      <c r="BD145" s="560">
        <f ca="1">IF(B145&gt;Summary!$A$1,#N/A,BB145*MGtoAF)</f>
        <v>6858.4117333333379</v>
      </c>
      <c r="BE145" s="560">
        <f>Sheet1!BG147+Sheet1!BH147+Sheet1!BI147-BM145</f>
        <v>0</v>
      </c>
      <c r="BF145" s="560">
        <f t="shared" si="287"/>
        <v>0</v>
      </c>
      <c r="BG145" s="560">
        <f>IF(Sheet1!EP147="FM",BM145,0)</f>
        <v>0</v>
      </c>
      <c r="BH145" s="560">
        <f t="shared" si="288"/>
        <v>0</v>
      </c>
      <c r="BI145" s="560">
        <f>IF(Sheet1!EP147="OTHER",BM145,0)</f>
        <v>0</v>
      </c>
      <c r="BJ145" s="560">
        <f t="shared" si="289"/>
        <v>0</v>
      </c>
      <c r="BK145" s="560">
        <f t="shared" si="290"/>
        <v>0</v>
      </c>
      <c r="BL145" s="560">
        <f t="shared" si="291"/>
        <v>0</v>
      </c>
      <c r="BM145" s="560">
        <f>IF(OR(Sheet1!EP147="FM", Sheet1!EP147="OTHER"),SUM(Sheet1!BG147:'Sheet1'!BI147),0)</f>
        <v>0</v>
      </c>
      <c r="BN145" s="545">
        <f>IF(AND($B145&gt;=$FV145,$B145&lt;=$FW145),MAX(BF145,Sheet1!EI147,0),MAX(BF145-(7/36)*$K145,0))</f>
        <v>0</v>
      </c>
      <c r="BO145" s="560">
        <f t="shared" si="292"/>
        <v>12.568888888888889</v>
      </c>
      <c r="BP145" s="545">
        <f t="shared" si="293"/>
        <v>0</v>
      </c>
      <c r="BQ145" s="545">
        <f>IF(AND($O145&gt;0,Sheet1!EM147=1),(1-($O145-Sheet1!$L147)/$O145)*BL145,0)</f>
        <v>0</v>
      </c>
      <c r="BR145" s="545">
        <f>IF(AND(Sheet1!$L147=0,Sheet1!$L146=0, Calculation!BK145&lt;Sheet1!$EI147-0.1,Sheet1!$EI147=Sheet1!$EI146,Sheet1!$EI147=Sheet1!$EI148),Sheet1!$EI147,BL145-BQ145)</f>
        <v>0</v>
      </c>
      <c r="BS145" s="560"/>
      <c r="BT145" s="560"/>
      <c r="BU145" s="560">
        <f t="shared" si="294"/>
        <v>1043.2177777777765</v>
      </c>
      <c r="BV145" s="560"/>
      <c r="BW145" s="560">
        <f ca="1">IF(B145&gt;Summary!$A$1,#N/A,BU145*MGtoAF)</f>
        <v>3200.5921422222186</v>
      </c>
      <c r="BX145" s="560">
        <f>Sheet1!BC147+Sheet1!BD147+Sheet1!BE147+Sheet1!BF147-CG145-CH145</f>
        <v>2.5</v>
      </c>
      <c r="BY145" s="560">
        <f t="shared" si="295"/>
        <v>2.4972572682391663</v>
      </c>
      <c r="BZ145" s="560">
        <f>IF(Sheet1!EQ147="FM",CH145,0)</f>
        <v>0</v>
      </c>
      <c r="CA145" s="560">
        <f t="shared" si="296"/>
        <v>0</v>
      </c>
      <c r="CB145" s="560">
        <f>IF(Sheet1!EQ147="OTHER",CH145,0)</f>
        <v>0</v>
      </c>
      <c r="CC145" s="560">
        <f t="shared" si="297"/>
        <v>0</v>
      </c>
      <c r="CD145" s="560">
        <f t="shared" si="298"/>
        <v>0</v>
      </c>
      <c r="CE145" s="560">
        <f t="shared" si="299"/>
        <v>2.5</v>
      </c>
      <c r="CF145" s="560">
        <f t="shared" si="300"/>
        <v>2.4972572682391663</v>
      </c>
      <c r="CG145" s="560">
        <f>IF(Sheet1!EQ147="CWA",SUM(Sheet1!BC147:'Sheet1'!BF147),0)</f>
        <v>0</v>
      </c>
      <c r="CH145" s="560">
        <f>IF(OR(Sheet1!EQ147="FM", Sheet1!EQ147="OTHER"),SUM(Sheet1!BC147:'Sheet1'!BF147),0)</f>
        <v>0</v>
      </c>
      <c r="CI145" s="545">
        <f>IF(AND($B145&gt;=$FV145,$B145&lt;=$FW145),MAX(CF145,Sheet1!EJ147,0),MAX(CF145-(7/36)*$K145,0))</f>
        <v>0</v>
      </c>
      <c r="CJ145" s="560">
        <f t="shared" si="301"/>
        <v>10.071631620649722</v>
      </c>
      <c r="CK145" s="545">
        <f t="shared" si="302"/>
        <v>2.4972572682391663</v>
      </c>
      <c r="CL145" s="545">
        <f>IF(AND($O145&gt;0,Sheet1!EN147=1),(1-($O145-Sheet1!$L147)/$O145)*CF145,0)</f>
        <v>0</v>
      </c>
      <c r="CM145" s="545">
        <f>IF(AND(Sheet1!$L147=0,Sheet1!$L146=0, Calculation!CE145&lt;Sheet1!EJ147-0.1,Sheet1!EJ147=Sheet1!EJ146,Sheet1!EJ147=Sheet1!EJ148),Sheet1!EJ147,CF145-CL145)</f>
        <v>2.4972572682391663</v>
      </c>
      <c r="CN145" s="545"/>
      <c r="CO145" s="560"/>
      <c r="CP145" s="560">
        <f t="shared" si="303"/>
        <v>821.37218631407188</v>
      </c>
      <c r="CQ145" s="560"/>
      <c r="CR145" s="560">
        <f ca="1">IF(B145&gt;Summary!$A$1,#N/A,CP145*MGtoAF)</f>
        <v>2519.9698676115727</v>
      </c>
      <c r="CS145" s="560">
        <f>Sheet1!BK147+Sheet1!BL147+Sheet1!BM147-Sheet1!ER147-DA145</f>
        <v>6.46</v>
      </c>
      <c r="CT145" s="560">
        <f t="shared" si="304"/>
        <v>6.4529127811300055</v>
      </c>
      <c r="CU145" s="560">
        <f>IF(Sheet1!ER147="FM",DA145,0)</f>
        <v>0</v>
      </c>
      <c r="CV145" s="560">
        <f t="shared" si="305"/>
        <v>0</v>
      </c>
      <c r="CW145" s="560">
        <f>IF(Sheet1!ER147="OTHER",DA145,0)</f>
        <v>0</v>
      </c>
      <c r="CX145" s="560">
        <f t="shared" si="306"/>
        <v>0</v>
      </c>
      <c r="CY145" s="560">
        <f t="shared" si="307"/>
        <v>6.46</v>
      </c>
      <c r="CZ145" s="560">
        <f t="shared" si="308"/>
        <v>6.4529127811300055</v>
      </c>
      <c r="DA145" s="560">
        <f>IF(OR(Sheet1!ER147="FM", Sheet1!ER147="OTHER"),SUM(Sheet1!BK147:'Sheet1'!BM147),0)</f>
        <v>0</v>
      </c>
      <c r="DB145" s="545">
        <f>IF(AND($B145&gt;=$FV145,$B145&lt;=$FW145),MAX($CT145,Sheet1!EK147,0),MAX($CT145-(7/36)*$K145,0))</f>
        <v>0</v>
      </c>
      <c r="DC145" s="560">
        <f t="shared" si="309"/>
        <v>6.1159761077588835</v>
      </c>
      <c r="DD145" s="545">
        <f t="shared" si="310"/>
        <v>6.4529127811300055</v>
      </c>
      <c r="DE145" s="545">
        <f>IF(AND($O145&gt;0,Sheet1!EO147=1),(1-($O145-Sheet1!$L147)/$O145)*CZ145,0)</f>
        <v>0</v>
      </c>
      <c r="DF145" s="545">
        <f>IF(AND(Sheet1!$L147=0,Sheet1!$L146=0, Calculation!CY145&lt;Sheet1!$EK147-0.1,Sheet1!$EK147=Sheet1!$EK146,Sheet1!$EK147=Sheet1!$EK148),Sheet1!$EK147,CZ145-DE145)</f>
        <v>6.4529127811300055</v>
      </c>
      <c r="DG145" s="545"/>
      <c r="DH145" s="560">
        <f t="shared" si="311"/>
        <v>8.9600000000000009</v>
      </c>
      <c r="DI145" s="560">
        <f t="shared" si="312"/>
        <v>589.4499730234985</v>
      </c>
      <c r="DJ145" s="698">
        <f t="shared" si="313"/>
        <v>8.9501700493691718</v>
      </c>
      <c r="DK145" s="560">
        <f ca="1">IF(B145&gt;Summary!$A$1,#N/A,DI145*MGtoAF)</f>
        <v>1808.4325172360934</v>
      </c>
      <c r="DL145" s="698">
        <f t="shared" si="314"/>
        <v>8.9600000000000009</v>
      </c>
      <c r="DM145" s="560">
        <f t="shared" si="315"/>
        <v>36.46</v>
      </c>
      <c r="DN145" s="560">
        <f>Sheet1!AB147-DM145</f>
        <v>-3.9999999999999147E-2</v>
      </c>
      <c r="DO145" s="823">
        <f t="shared" si="316"/>
        <v>-1.0970927043334928E-3</v>
      </c>
      <c r="DP145" s="560">
        <f>(VLOOKUP(Sheet1!DC147,hhdcap_wcm,4)-(((VLOOKUP(Sheet1!DC147,hhdcap_wcm,3)-Sheet1!DC147)/(VLOOKUP(Sheet1!DC147,hhdcap_wcm,3)-VLOOKUP(Sheet1!DC147,hhdcap_wcm,1)))*(VLOOKUP(Sheet1!DC147,hhdcap_wcm,4)-VLOOKUP(Sheet1!DC147,hhdcap_wcm,2))))</f>
        <v>44862.60000011004</v>
      </c>
      <c r="DQ145" s="560">
        <f t="shared" si="317"/>
        <v>379.40000000125292</v>
      </c>
      <c r="DR145" s="560">
        <f t="shared" si="318"/>
        <v>191.32627332387941</v>
      </c>
      <c r="DS145" s="560">
        <f>Sheet1!EA147*AFtoMG</f>
        <v>0</v>
      </c>
      <c r="DT145" s="560">
        <f>Sheet1!EB147*AFtoMG</f>
        <v>0</v>
      </c>
      <c r="DU145" s="560">
        <f>Sheet1!EC147*AFtoMG</f>
        <v>0</v>
      </c>
      <c r="DV145" s="560">
        <f>Sheet1!ED147*AFtoMG</f>
        <v>0</v>
      </c>
      <c r="DW145" s="560">
        <f t="shared" si="319"/>
        <v>0</v>
      </c>
      <c r="DX145" s="560">
        <f t="shared" si="320"/>
        <v>0</v>
      </c>
      <c r="DY145" s="560">
        <f t="shared" si="321"/>
        <v>4689.5066037820152</v>
      </c>
      <c r="DZ145" s="560">
        <f t="shared" si="322"/>
        <v>14387.406260403222</v>
      </c>
      <c r="EA145" s="560"/>
      <c r="EB145" s="545">
        <f>IF(OR(B145&lt;FV145,B145&gt;FW145),(MIN(BF145+BY145+CT145+MAX(Sheet1!AA147+AQ145-73,0),K145)),0)</f>
        <v>8.9501700493691718</v>
      </c>
      <c r="EC145" s="560"/>
      <c r="ED145" s="560">
        <f t="shared" si="323"/>
        <v>8.9501700493691718</v>
      </c>
      <c r="EE145" s="560"/>
      <c r="EF145" s="560">
        <f>Sheet1!EH147+Sheet1!EI147+Sheet1!EJ147+Sheet1!EK147</f>
        <v>8.9600000000000009</v>
      </c>
      <c r="EG145" s="560"/>
      <c r="EH145" s="545">
        <f t="shared" si="324"/>
        <v>0</v>
      </c>
      <c r="EI145" s="560">
        <f>IF(Sheet1!ET147=1,SUM('Calculations II'!AT145:BA145)+'Calculations II'!BC145+Sheet1!BV147+'Calculations II'!BE145+AP145,SUM('Calculations II'!AT145:BA145)+'Calculations II'!BC145+Sheet1!BV147+'Calculations II'!BE145+AP145)</f>
        <v>59.804192</v>
      </c>
      <c r="EJ145" s="560">
        <f>Sheet1!AA147+Sheet1!AB147+'Calculations II'!BC145</f>
        <v>60.400287999999996</v>
      </c>
      <c r="EK145" s="560"/>
      <c r="EL145" s="560"/>
      <c r="EM145" s="560">
        <f t="shared" si="325"/>
        <v>41773</v>
      </c>
      <c r="EN145" s="560">
        <f t="shared" si="326"/>
        <v>55.689829950630831</v>
      </c>
      <c r="EO145" s="560">
        <f t="shared" si="327"/>
        <v>86.152166933625892</v>
      </c>
      <c r="EP145" s="560">
        <v>0</v>
      </c>
      <c r="EQ145" s="560">
        <v>0</v>
      </c>
      <c r="ER145" s="560">
        <v>0</v>
      </c>
      <c r="ES145" s="545">
        <f t="shared" si="349"/>
        <v>2.7673249573126437</v>
      </c>
      <c r="ET145" s="560">
        <f>-(VLOOKUP(Sheet1!BQ147,Lookup!$O$4:$Q$262,2)-VLOOKUP(Sheet1!BQ146,Lookup!$O$4:$Q$262,2))/1000000</f>
        <v>1.3836624786563219</v>
      </c>
      <c r="EU145" s="560">
        <f>-(VLOOKUP(Sheet1!BR147,Lookup!$O$4:$Q$262,3)-VLOOKUP(Sheet1!BR146,Lookup!$O$4:$Q$262,3))/1000000</f>
        <v>1.3836624786563219</v>
      </c>
      <c r="EV145" s="560"/>
      <c r="EW145" s="560"/>
      <c r="EX145" s="560"/>
      <c r="EY145" s="560"/>
      <c r="EZ145" s="560"/>
      <c r="FA145" s="560"/>
      <c r="FB145" s="560"/>
      <c r="FC145" s="560"/>
      <c r="FD145" s="594" t="e">
        <f t="shared" si="328"/>
        <v>#N/A</v>
      </c>
      <c r="FE145" s="594" t="e">
        <f t="shared" si="329"/>
        <v>#N/A</v>
      </c>
      <c r="FF145" s="595" t="e">
        <f t="shared" si="330"/>
        <v>#N/A</v>
      </c>
      <c r="FG145" s="596" t="s">
        <v>692</v>
      </c>
      <c r="FH145" s="596" t="s">
        <v>692</v>
      </c>
      <c r="FI145" s="594" t="e">
        <v>#N/A</v>
      </c>
      <c r="FJ145" s="594" t="e">
        <v>#N/A</v>
      </c>
      <c r="FK145" s="560"/>
      <c r="FL145" s="560"/>
      <c r="FM145" s="560"/>
      <c r="FN145" s="560"/>
      <c r="FO145" s="560">
        <f>O145+((Sheet1!CS147)*GPMtoMGD)</f>
        <v>60.400287999999996</v>
      </c>
      <c r="FP145" s="560">
        <f>IF(Sheet1!AA147+AQ145&lt;=Calculation!N145,AQ145,Calculation!N145-Sheet1!AA147)</f>
        <v>25.871585298957761</v>
      </c>
      <c r="FQ145" s="560">
        <f>(Sheet1!BP147+Sheet1!BO147)/694.4</f>
        <v>2.0547235023041477</v>
      </c>
      <c r="FR145" s="560"/>
      <c r="FS145" s="560"/>
      <c r="FT145" s="560"/>
      <c r="FU145" s="560"/>
      <c r="FV145" s="695">
        <f t="shared" si="350"/>
        <v>41827</v>
      </c>
      <c r="FW145" s="695">
        <f t="shared" si="351"/>
        <v>41934</v>
      </c>
      <c r="FX145" s="560"/>
      <c r="FY145" s="560"/>
      <c r="FZ145" s="560"/>
      <c r="GA145" s="560"/>
      <c r="GB145" s="560" t="str">
        <f t="shared" si="352"/>
        <v>n</v>
      </c>
      <c r="GC145" s="564">
        <f t="shared" si="353"/>
        <v>41691</v>
      </c>
      <c r="GD145" s="695">
        <f t="shared" si="354"/>
        <v>41807</v>
      </c>
      <c r="GE145" s="560">
        <v>6518.9</v>
      </c>
      <c r="GF145" s="695">
        <f t="shared" si="355"/>
        <v>41808</v>
      </c>
      <c r="GG145" s="560">
        <f t="shared" si="272"/>
        <v>3259</v>
      </c>
      <c r="GH145" s="564">
        <f t="shared" si="356"/>
        <v>41934</v>
      </c>
      <c r="GJ145" s="545">
        <f t="shared" si="357"/>
        <v>0</v>
      </c>
      <c r="GK145" s="560" t="str">
        <f t="shared" si="331"/>
        <v/>
      </c>
      <c r="GL145" s="560">
        <f t="shared" si="358"/>
        <v>0</v>
      </c>
      <c r="GM145" s="560" t="str">
        <f t="shared" si="359"/>
        <v/>
      </c>
      <c r="GN145" s="560">
        <f>IF(GK145="P",Lookup!$M$12,IF(GK145="PP",Lookup!$M$13,IF(GK145="PPP",Lookup!$M$14,IF(GK145="T",Lookup!$M$15,IF(GK145="TP",Lookup!$M$16,IF(GK145="TPP",Lookup!$M$17,IF(GK145="TPPP",Lookup!$M$18,0)))))))*GJ145</f>
        <v>0</v>
      </c>
      <c r="GO145" s="560">
        <f t="shared" si="360"/>
        <v>0</v>
      </c>
      <c r="GP145" s="560">
        <f t="shared" si="332"/>
        <v>6858.4117333333379</v>
      </c>
      <c r="GQ145" s="560">
        <f t="shared" si="368"/>
        <v>2235.4666666666681</v>
      </c>
      <c r="GR145" s="560"/>
      <c r="GS145" s="560">
        <f t="shared" si="361"/>
        <v>0</v>
      </c>
      <c r="GT145" s="560" t="str">
        <f t="shared" si="362"/>
        <v/>
      </c>
      <c r="GU145" s="560">
        <f>IF(GK145="P",Lookup!$N$12,IF(GK145="PP",Lookup!$N$13,IF(GK145="PPP",Lookup!$N$14,IF(GK145="T",Lookup!$N$15,IF(GK145="TP",Lookup!$N$16,IF(GK145="TPP",Lookup!$N$17,IF(GK145="TPPP",Lookup!$N$18,0)))))))*GJ145</f>
        <v>0</v>
      </c>
      <c r="GV145" s="560">
        <f t="shared" si="363"/>
        <v>0</v>
      </c>
      <c r="GW145" s="560">
        <f t="shared" si="333"/>
        <v>3200.5921422222186</v>
      </c>
      <c r="GX145" s="560">
        <f t="shared" si="369"/>
        <v>1043.2177777777765</v>
      </c>
      <c r="GY145" s="560"/>
      <c r="GZ145" s="560">
        <f t="shared" si="364"/>
        <v>0</v>
      </c>
      <c r="HA145" s="560" t="str">
        <f t="shared" si="365"/>
        <v/>
      </c>
      <c r="HB145" s="560">
        <f>IF(GK145="P",Lookup!$N$12,IF(GK145="PP",Lookup!$N$13,IF(GK145="PPP",Lookup!$N$14,IF(GK145="T",Lookup!$N$15,IF(GK145="TP",Lookup!$N$16,IF(GK145="TPP",Lookup!$N$17,IF(GK145="TPPP",Lookup!$N$18,0)))))))*GJ145</f>
        <v>0</v>
      </c>
      <c r="HC145" s="545">
        <f t="shared" si="334"/>
        <v>0</v>
      </c>
      <c r="HD145" s="560">
        <f t="shared" si="335"/>
        <v>2519.9698676115727</v>
      </c>
      <c r="HE145" s="560">
        <f t="shared" si="370"/>
        <v>821.37218631407188</v>
      </c>
      <c r="HF145" s="560"/>
      <c r="HG145" s="560">
        <f t="shared" si="366"/>
        <v>0</v>
      </c>
      <c r="HH145" s="560" t="str">
        <f t="shared" si="367"/>
        <v/>
      </c>
      <c r="HI145" s="560">
        <f>IF(GK145="P",Lookup!$N$12,IF(GK145="PP",Lookup!$N$13,IF(GK145="PPP",Lookup!$N$14,IF(GK145="T",Lookup!$N$15,IF(GK145="TP",Lookup!$N$16,IF(GK145="TPP",Lookup!$N$17,IF(GK145="TPPP",Lookup!$N$18,0)))))))*GJ145</f>
        <v>0</v>
      </c>
      <c r="HJ145" s="545">
        <f t="shared" si="336"/>
        <v>0</v>
      </c>
      <c r="HK145" s="560">
        <f t="shared" si="337"/>
        <v>1808.4325172360934</v>
      </c>
      <c r="HL145" s="560">
        <f t="shared" si="371"/>
        <v>589.4499730234985</v>
      </c>
      <c r="HM145" s="560"/>
    </row>
    <row r="146" spans="1:221">
      <c r="A146" s="580" t="s">
        <v>7</v>
      </c>
      <c r="B146" s="556">
        <v>41774</v>
      </c>
      <c r="C146" s="561">
        <v>0</v>
      </c>
      <c r="D146" s="529">
        <f t="shared" ref="D146:D209" si="372">IF(AND(B146&gt;=DATE($A$1,7,15),B146&lt;=DATE($A$1,9,15)),200,300)</f>
        <v>300</v>
      </c>
      <c r="E146" s="529">
        <f t="shared" ref="E146:E209" si="373">IF(AND(B146&gt;=DATE($A$1,7,15),B146&lt;=DATE($A$1,9,15)),400,250)</f>
        <v>250</v>
      </c>
      <c r="F146" s="529">
        <v>250</v>
      </c>
      <c r="G146" s="560">
        <f>DR146+Sheet1!CZ148</f>
        <v>1786.1220373179565</v>
      </c>
      <c r="H146" s="914">
        <f t="shared" si="338"/>
        <v>887.58608492232702</v>
      </c>
      <c r="I146" s="559">
        <f>MAX(Sheet1!Z148-AT146+(Sheet1!DA148-E146)*CFStoMGD,0)</f>
        <v>1135.3</v>
      </c>
      <c r="J146" s="562">
        <f>IF(AND(B146&gt;=Calculation!GC146,B146&lt;=Calculation!GD146),IF(Sheet1!DB148&gt;=Calculation!D146,64.64,0),MAX(Sheet1!Z148-AT146+(Sheet1!DB148-D146)*CFStoMGD,0))</f>
        <v>64.64</v>
      </c>
      <c r="K146" s="904">
        <f t="shared" si="273"/>
        <v>64.64</v>
      </c>
      <c r="L146" s="560">
        <f>Sheet1!AA148+Sheet1!AB148-Sheet1!L148+(Sheet1!DA148-F146)*CFStoMGD</f>
        <v>1159.7599999999998</v>
      </c>
      <c r="M146" s="560">
        <f t="shared" si="274"/>
        <v>1177.6402706207737</v>
      </c>
      <c r="N146" s="910">
        <f>IF(Sheet1!DA148&gt;=F146,MIN(73,MIN(MAX(L146,0),MAX(M146,0))),0)</f>
        <v>73</v>
      </c>
      <c r="O146" s="563">
        <f>Sheet1!AA148+Sheet1!AB148</f>
        <v>60.879999999999995</v>
      </c>
      <c r="P146" s="563">
        <f t="shared" si="275"/>
        <v>94.181359999999984</v>
      </c>
      <c r="Q146" s="898">
        <f t="shared" si="339"/>
        <v>51.929999999999993</v>
      </c>
      <c r="R146" s="829">
        <f t="shared" si="276"/>
        <v>8.9385344606712778</v>
      </c>
      <c r="S146" s="898">
        <f t="shared" si="340"/>
        <v>8.9499999999999993</v>
      </c>
      <c r="T146" s="898">
        <f t="shared" si="341"/>
        <v>55.69</v>
      </c>
      <c r="U146" s="898">
        <f t="shared" si="342"/>
        <v>0</v>
      </c>
      <c r="V146" s="898"/>
      <c r="W146" s="898">
        <f t="shared" si="343"/>
        <v>55.701465539328723</v>
      </c>
      <c r="X146" s="898">
        <f t="shared" si="344"/>
        <v>64.64</v>
      </c>
      <c r="Y146" s="898" t="str">
        <f t="shared" si="345"/>
        <v>FALSE</v>
      </c>
      <c r="Z146" s="898">
        <f t="shared" si="346"/>
        <v>60.879999999999995</v>
      </c>
      <c r="AA146" s="898">
        <f t="shared" si="347"/>
        <v>60.879999999999995</v>
      </c>
      <c r="AB146" s="898" t="str">
        <f t="shared" si="348"/>
        <v/>
      </c>
      <c r="AC146" s="563">
        <f>Sheet1!Y148*MGDtoCFS</f>
        <v>33.894770000000001</v>
      </c>
      <c r="AD146" s="563">
        <f>Sheet1!Z148*MGDtoCFS</f>
        <v>56.341740000000001</v>
      </c>
      <c r="AE146" s="563">
        <f>Sheet1!AA148*MGDtoCFS</f>
        <v>33.879299999999994</v>
      </c>
      <c r="AF146" s="563">
        <f>Sheet1!AB148*MGDtoCFS</f>
        <v>60.30205999999999</v>
      </c>
      <c r="AG146" s="563">
        <f>Sheet1!L148*MGDtoCFS</f>
        <v>0</v>
      </c>
      <c r="AH146" s="545">
        <f t="shared" si="277"/>
        <v>0</v>
      </c>
      <c r="AI146" s="560">
        <f t="shared" si="278"/>
        <v>0</v>
      </c>
      <c r="AJ146" s="560">
        <f t="shared" si="279"/>
        <v>55.701465539328723</v>
      </c>
      <c r="AK146" s="560">
        <f t="shared" si="280"/>
        <v>86.170167189341527</v>
      </c>
      <c r="AL146" s="560">
        <f>(VLOOKUP(Sheet1!DC148,hhdcap_wcm,4)-(((VLOOKUP(Sheet1!DC148,hhdcap_wcm,3)-Sheet1!DC148)/(VLOOKUP(Sheet1!DC148,hhdcap_wcm,3)-VLOOKUP(Sheet1!DC148,hhdcap_wcm,1)))*(VLOOKUP(Sheet1!DC148,hhdcap_wcm,4)-VLOOKUP(Sheet1!DC148,hhdcap_wcm,2))))</f>
        <v>45311.000000111548</v>
      </c>
      <c r="AM146" s="560">
        <f t="shared" si="281"/>
        <v>448.40000000150758</v>
      </c>
      <c r="AN146" s="560">
        <f t="shared" si="282"/>
        <v>4745.2080693213438</v>
      </c>
      <c r="AO146" s="560">
        <f t="shared" si="283"/>
        <v>14558.298356677884</v>
      </c>
      <c r="AP146" s="560">
        <f>Sheet1!BA148+Sheet1!BB148+Sheet1!BN148+CD146</f>
        <v>30.08</v>
      </c>
      <c r="AQ146" s="560">
        <f>Sheet1!BN148+(DO146*Sheet1!BN148)</f>
        <v>28.463489623366637</v>
      </c>
      <c r="AR146" s="560">
        <f>Sheet1!BA148+CD146</f>
        <v>0</v>
      </c>
      <c r="AS146" s="560">
        <f>Sheet1!BA148+Sheet1!BB148+CD146</f>
        <v>1.58</v>
      </c>
      <c r="AT146" s="698">
        <f>0</f>
        <v>0</v>
      </c>
      <c r="AU146" s="560">
        <f>IF(EB146&lt;K146,0,MAX(Sheet1!AA148+AQ146-15/36*K146-N146,Sheet1!EH148,0))</f>
        <v>0</v>
      </c>
      <c r="AV146" s="560">
        <f>IF(OR(B146&gt;=GD146,B146&lt;GC146),0,15/36*K146-MAX(0,64.6-(137.6-(Sheet1!AA148+Sheet1!AB148))))</f>
        <v>26.933333333333334</v>
      </c>
      <c r="AW146" s="698">
        <f>Sheet1!DB148-110</f>
        <v>1410</v>
      </c>
      <c r="AX146" s="698">
        <f>Sheet1!DA148-265</f>
        <v>1685</v>
      </c>
      <c r="AY146" s="698">
        <f t="shared" si="284"/>
        <v>21.070000000000007</v>
      </c>
      <c r="AZ146" s="698">
        <v>0</v>
      </c>
      <c r="BA146" s="698">
        <f t="shared" si="285"/>
        <v>0</v>
      </c>
      <c r="BB146" s="560">
        <f t="shared" si="286"/>
        <v>2262.4000000000015</v>
      </c>
      <c r="BC146" s="560"/>
      <c r="BD146" s="560">
        <f ca="1">IF(B146&gt;Summary!$A$1,#N/A,BB146*MGtoAF)</f>
        <v>6941.0432000000046</v>
      </c>
      <c r="BE146" s="560">
        <f>Sheet1!BG148+Sheet1!BH148+Sheet1!BI148-BM146</f>
        <v>0</v>
      </c>
      <c r="BF146" s="560">
        <f t="shared" si="287"/>
        <v>0</v>
      </c>
      <c r="BG146" s="560">
        <f>IF(Sheet1!EP148="FM",BM146,0)</f>
        <v>0</v>
      </c>
      <c r="BH146" s="560">
        <f t="shared" si="288"/>
        <v>0</v>
      </c>
      <c r="BI146" s="560">
        <f>IF(Sheet1!EP148="OTHER",BM146,0)</f>
        <v>0</v>
      </c>
      <c r="BJ146" s="560">
        <f t="shared" si="289"/>
        <v>0</v>
      </c>
      <c r="BK146" s="560">
        <f t="shared" si="290"/>
        <v>0</v>
      </c>
      <c r="BL146" s="560">
        <f t="shared" si="291"/>
        <v>0</v>
      </c>
      <c r="BM146" s="560">
        <f>IF(OR(Sheet1!EP148="FM", Sheet1!EP148="OTHER"),SUM(Sheet1!BG148:'Sheet1'!BI148),0)</f>
        <v>0</v>
      </c>
      <c r="BN146" s="545">
        <f>IF(AND($B146&gt;=$FV146,$B146&lt;=$FW146),MAX(BF146,Sheet1!EI148,0),MAX(BF146-(7/36)*$K146,0))</f>
        <v>0</v>
      </c>
      <c r="BO146" s="560">
        <f t="shared" si="292"/>
        <v>12.568888888888889</v>
      </c>
      <c r="BP146" s="545">
        <f t="shared" si="293"/>
        <v>0</v>
      </c>
      <c r="BQ146" s="545">
        <f>IF(AND($O146&gt;0,Sheet1!EM148=1),(1-($O146-Sheet1!$L148)/$O146)*BL146,0)</f>
        <v>0</v>
      </c>
      <c r="BR146" s="545">
        <f>IF(AND(Sheet1!$L148=0,Sheet1!$L147=0, Calculation!BK146&lt;Sheet1!$EI148-0.1,Sheet1!$EI148=Sheet1!$EI147,Sheet1!$EI148=Sheet1!$EI149),Sheet1!$EI148,BL146-BQ146)</f>
        <v>0</v>
      </c>
      <c r="BS146" s="560"/>
      <c r="BT146" s="560"/>
      <c r="BU146" s="560">
        <f t="shared" si="294"/>
        <v>1055.7866666666655</v>
      </c>
      <c r="BV146" s="560"/>
      <c r="BW146" s="560">
        <f ca="1">IF(B146&gt;Summary!$A$1,#N/A,BU146*MGtoAF)</f>
        <v>3239.1534933333296</v>
      </c>
      <c r="BX146" s="560">
        <f>Sheet1!BC148+Sheet1!BD148+Sheet1!BE148+Sheet1!BF148-CG146-CH146</f>
        <v>2.5</v>
      </c>
      <c r="BY146" s="560">
        <f t="shared" si="295"/>
        <v>2.4967973353830386</v>
      </c>
      <c r="BZ146" s="560">
        <f>IF(Sheet1!EQ148="FM",CH146,0)</f>
        <v>0</v>
      </c>
      <c r="CA146" s="560">
        <f t="shared" si="296"/>
        <v>0</v>
      </c>
      <c r="CB146" s="560">
        <f>IF(Sheet1!EQ148="OTHER",CH146,0)</f>
        <v>0</v>
      </c>
      <c r="CC146" s="560">
        <f t="shared" si="297"/>
        <v>0</v>
      </c>
      <c r="CD146" s="560">
        <f t="shared" si="298"/>
        <v>0</v>
      </c>
      <c r="CE146" s="560">
        <f t="shared" si="299"/>
        <v>2.5</v>
      </c>
      <c r="CF146" s="560">
        <f t="shared" si="300"/>
        <v>2.4967973353830386</v>
      </c>
      <c r="CG146" s="560">
        <f>IF(Sheet1!EQ148="CWA",SUM(Sheet1!BC148:'Sheet1'!BF148),0)</f>
        <v>0</v>
      </c>
      <c r="CH146" s="560">
        <f>IF(OR(Sheet1!EQ148="FM", Sheet1!EQ148="OTHER"),SUM(Sheet1!BC148:'Sheet1'!BF148),0)</f>
        <v>0</v>
      </c>
      <c r="CI146" s="545">
        <f>IF(AND($B146&gt;=$FV146,$B146&lt;=$FW146),MAX(CF146,Sheet1!EJ148,0),MAX(CF146-(7/36)*$K146,0))</f>
        <v>0</v>
      </c>
      <c r="CJ146" s="560">
        <f t="shared" si="301"/>
        <v>10.07209155350585</v>
      </c>
      <c r="CK146" s="545">
        <f t="shared" si="302"/>
        <v>2.4967973353830386</v>
      </c>
      <c r="CL146" s="545">
        <f>IF(AND($O146&gt;0,Sheet1!EN148=1),(1-($O146-Sheet1!$L148)/$O146)*CF146,0)</f>
        <v>0</v>
      </c>
      <c r="CM146" s="545">
        <f>IF(AND(Sheet1!$L148=0,Sheet1!$L147=0, Calculation!CE146&lt;Sheet1!EJ148-0.1,Sheet1!EJ148=Sheet1!EJ147,Sheet1!EJ148=Sheet1!EJ149),Sheet1!EJ148,CF146-CL146)</f>
        <v>2.4967973353830386</v>
      </c>
      <c r="CN146" s="545"/>
      <c r="CO146" s="560"/>
      <c r="CP146" s="560">
        <f t="shared" si="303"/>
        <v>831.44427786757774</v>
      </c>
      <c r="CQ146" s="560"/>
      <c r="CR146" s="560">
        <f ca="1">IF(B146&gt;Summary!$A$1,#N/A,CP146*MGtoAF)</f>
        <v>2550.8710444977287</v>
      </c>
      <c r="CS146" s="560">
        <f>Sheet1!BK148+Sheet1!BL148+Sheet1!BM148-Sheet1!ER148-DA146</f>
        <v>6.4499999999999993</v>
      </c>
      <c r="CT146" s="560">
        <f t="shared" si="304"/>
        <v>6.4417371252882383</v>
      </c>
      <c r="CU146" s="560">
        <f>IF(Sheet1!ER148="FM",DA146,0)</f>
        <v>0</v>
      </c>
      <c r="CV146" s="560">
        <f t="shared" si="305"/>
        <v>0</v>
      </c>
      <c r="CW146" s="560">
        <f>IF(Sheet1!ER148="OTHER",DA146,0)</f>
        <v>0</v>
      </c>
      <c r="CX146" s="560">
        <f t="shared" si="306"/>
        <v>0</v>
      </c>
      <c r="CY146" s="560">
        <f t="shared" si="307"/>
        <v>6.4499999999999993</v>
      </c>
      <c r="CZ146" s="560">
        <f t="shared" si="308"/>
        <v>6.4417371252882383</v>
      </c>
      <c r="DA146" s="560">
        <f>IF(OR(Sheet1!ER148="FM", Sheet1!ER148="OTHER"),SUM(Sheet1!BK148:'Sheet1'!BM148),0)</f>
        <v>0</v>
      </c>
      <c r="DB146" s="545">
        <f>IF(AND($B146&gt;=$FV146,$B146&lt;=$FW146),MAX($CT146,Sheet1!EK148,0),MAX($CT146-(7/36)*$K146,0))</f>
        <v>0</v>
      </c>
      <c r="DC146" s="560">
        <f t="shared" si="309"/>
        <v>6.1271517636006507</v>
      </c>
      <c r="DD146" s="545">
        <f t="shared" si="310"/>
        <v>6.4417371252882383</v>
      </c>
      <c r="DE146" s="545">
        <f>IF(AND($O146&gt;0,Sheet1!EO148=1),(1-($O146-Sheet1!$L148)/$O146)*CZ146,0)</f>
        <v>0</v>
      </c>
      <c r="DF146" s="545">
        <f>IF(AND(Sheet1!$L148=0,Sheet1!$L147=0, Calculation!CY146&lt;Sheet1!$EK148-0.1,Sheet1!$EK148=Sheet1!$EK147,Sheet1!$EK148=Sheet1!$EK149),Sheet1!$EK148,CZ146-DE146)</f>
        <v>6.4417371252882383</v>
      </c>
      <c r="DG146" s="545"/>
      <c r="DH146" s="560">
        <f t="shared" si="311"/>
        <v>8.9499999999999993</v>
      </c>
      <c r="DI146" s="560">
        <f t="shared" si="312"/>
        <v>595.57712478709914</v>
      </c>
      <c r="DJ146" s="698">
        <f t="shared" si="313"/>
        <v>8.9385344606712778</v>
      </c>
      <c r="DK146" s="560">
        <f ca="1">IF(B146&gt;Summary!$A$1,#N/A,DI146*MGtoAF)</f>
        <v>1827.2306188468201</v>
      </c>
      <c r="DL146" s="698">
        <f t="shared" si="314"/>
        <v>8.9499999999999993</v>
      </c>
      <c r="DM146" s="560">
        <f t="shared" si="315"/>
        <v>39.03</v>
      </c>
      <c r="DN146" s="560">
        <f>Sheet1!AB148-DM146</f>
        <v>-5.0000000000004263E-2</v>
      </c>
      <c r="DO146" s="823">
        <f t="shared" si="316"/>
        <v>-1.281065846784634E-3</v>
      </c>
      <c r="DP146" s="560">
        <f>(VLOOKUP(Sheet1!DC148,hhdcap_wcm,4)-(((VLOOKUP(Sheet1!DC148,hhdcap_wcm,3)-Sheet1!DC148)/(VLOOKUP(Sheet1!DC148,hhdcap_wcm,3)-VLOOKUP(Sheet1!DC148,hhdcap_wcm,1)))*(VLOOKUP(Sheet1!DC148,hhdcap_wcm,4)-VLOOKUP(Sheet1!DC148,hhdcap_wcm,2))))</f>
        <v>45311.000000111548</v>
      </c>
      <c r="DQ146" s="560">
        <f t="shared" si="317"/>
        <v>448.40000000150758</v>
      </c>
      <c r="DR146" s="560">
        <f t="shared" si="318"/>
        <v>226.1220373179564</v>
      </c>
      <c r="DS146" s="560">
        <f>Sheet1!EA148*AFtoMG</f>
        <v>0</v>
      </c>
      <c r="DT146" s="560">
        <f>Sheet1!EB148*AFtoMG</f>
        <v>0</v>
      </c>
      <c r="DU146" s="560">
        <f>Sheet1!EC148*AFtoMG</f>
        <v>0</v>
      </c>
      <c r="DV146" s="560">
        <f>Sheet1!ED148*AFtoMG</f>
        <v>0</v>
      </c>
      <c r="DW146" s="560">
        <f t="shared" si="319"/>
        <v>0</v>
      </c>
      <c r="DX146" s="560">
        <f t="shared" si="320"/>
        <v>0</v>
      </c>
      <c r="DY146" s="560">
        <f t="shared" si="321"/>
        <v>4745.2080693213438</v>
      </c>
      <c r="DZ146" s="560">
        <f t="shared" si="322"/>
        <v>14558.298356677884</v>
      </c>
      <c r="EA146" s="560"/>
      <c r="EB146" s="545">
        <f>IF(OR(B146&lt;FV146,B146&gt;FW146),(MIN(BF146+BY146+CT146+MAX(Sheet1!AA148+AQ146-73,0),K146)),0)</f>
        <v>8.9385344606712778</v>
      </c>
      <c r="EC146" s="560"/>
      <c r="ED146" s="560">
        <f t="shared" si="323"/>
        <v>8.9385344606712778</v>
      </c>
      <c r="EE146" s="560"/>
      <c r="EF146" s="560">
        <f>Sheet1!EH148+Sheet1!EI148+Sheet1!EJ148+Sheet1!EK148</f>
        <v>8.9499999999999993</v>
      </c>
      <c r="EG146" s="560"/>
      <c r="EH146" s="545">
        <f t="shared" si="324"/>
        <v>0</v>
      </c>
      <c r="EI146" s="560">
        <f>IF(Sheet1!ET148=1,SUM('Calculations II'!AT146:BA146)+'Calculations II'!BC146+Sheet1!BV148+'Calculations II'!BE146+AP146,SUM('Calculations II'!AT146:BA146)+'Calculations II'!BC146+Sheet1!BV148+'Calculations II'!BE146+AP146)</f>
        <v>58.168239999999997</v>
      </c>
      <c r="EJ146" s="560">
        <f>Sheet1!AA148+Sheet1!AB148+'Calculations II'!BC146</f>
        <v>60.879999999999995</v>
      </c>
      <c r="EK146" s="560"/>
      <c r="EL146" s="560"/>
      <c r="EM146" s="560">
        <f t="shared" si="325"/>
        <v>41774</v>
      </c>
      <c r="EN146" s="560">
        <f t="shared" si="326"/>
        <v>55.701465539328723</v>
      </c>
      <c r="EO146" s="560">
        <f t="shared" si="327"/>
        <v>86.170167189341527</v>
      </c>
      <c r="EP146" s="560">
        <v>0</v>
      </c>
      <c r="EQ146" s="560">
        <v>0</v>
      </c>
      <c r="ER146" s="560">
        <v>0</v>
      </c>
      <c r="ES146" s="545">
        <f t="shared" si="349"/>
        <v>1.2448766995090321</v>
      </c>
      <c r="ET146" s="560">
        <f>-(VLOOKUP(Sheet1!BQ148,Lookup!$O$4:$Q$262,2)-VLOOKUP(Sheet1!BQ147,Lookup!$O$4:$Q$262,2))/1000000</f>
        <v>0.5532856490561664</v>
      </c>
      <c r="EU146" s="560">
        <f>-(VLOOKUP(Sheet1!BR148,Lookup!$O$4:$Q$262,3)-VLOOKUP(Sheet1!BR147,Lookup!$O$4:$Q$262,3))/1000000</f>
        <v>0.69159105045286562</v>
      </c>
      <c r="EV146" s="560"/>
      <c r="EW146" s="560"/>
      <c r="EX146" s="560"/>
      <c r="EY146" s="560"/>
      <c r="EZ146" s="560"/>
      <c r="FA146" s="560"/>
      <c r="FB146" s="560"/>
      <c r="FC146" s="560"/>
      <c r="FD146" s="594" t="e">
        <f t="shared" si="328"/>
        <v>#N/A</v>
      </c>
      <c r="FE146" s="594" t="e">
        <f t="shared" si="329"/>
        <v>#N/A</v>
      </c>
      <c r="FF146" s="595" t="e">
        <f t="shared" si="330"/>
        <v>#N/A</v>
      </c>
      <c r="FG146" s="596" t="s">
        <v>692</v>
      </c>
      <c r="FH146" s="596" t="s">
        <v>692</v>
      </c>
      <c r="FI146" s="594" t="e">
        <v>#N/A</v>
      </c>
      <c r="FJ146" s="594" t="e">
        <v>#N/A</v>
      </c>
      <c r="FK146" s="560"/>
      <c r="FL146" s="560"/>
      <c r="FM146" s="560"/>
      <c r="FN146" s="560"/>
      <c r="FO146" s="560">
        <f>O146+((Sheet1!CS148)*GPMtoMGD)</f>
        <v>60.879999999999995</v>
      </c>
      <c r="FP146" s="560">
        <f>IF(Sheet1!AA148+AQ146&lt;=Calculation!N146,AQ146,Calculation!N146-Sheet1!AA148)</f>
        <v>28.463489623366637</v>
      </c>
      <c r="FQ146" s="560">
        <f>(Sheet1!BP148+Sheet1!BO148)/694.4</f>
        <v>1.7760656682027649</v>
      </c>
      <c r="FR146" s="560"/>
      <c r="FS146" s="560"/>
      <c r="FT146" s="560"/>
      <c r="FU146" s="560"/>
      <c r="FV146" s="695">
        <f t="shared" si="350"/>
        <v>41827</v>
      </c>
      <c r="FW146" s="695">
        <f t="shared" si="351"/>
        <v>41934</v>
      </c>
      <c r="FX146" s="560"/>
      <c r="FY146" s="560"/>
      <c r="FZ146" s="560"/>
      <c r="GA146" s="560"/>
      <c r="GB146" s="560" t="str">
        <f t="shared" si="352"/>
        <v>n</v>
      </c>
      <c r="GC146" s="564">
        <f t="shared" si="353"/>
        <v>41691</v>
      </c>
      <c r="GD146" s="695">
        <f t="shared" si="354"/>
        <v>41807</v>
      </c>
      <c r="GE146" s="560">
        <v>6518.9</v>
      </c>
      <c r="GF146" s="695">
        <f t="shared" si="355"/>
        <v>41808</v>
      </c>
      <c r="GG146" s="560">
        <f t="shared" ref="GG146:GG209" si="374">GG145</f>
        <v>3259</v>
      </c>
      <c r="GH146" s="564">
        <f t="shared" si="356"/>
        <v>41934</v>
      </c>
      <c r="GJ146" s="545">
        <f t="shared" si="357"/>
        <v>0</v>
      </c>
      <c r="GK146" s="560" t="str">
        <f t="shared" si="331"/>
        <v/>
      </c>
      <c r="GL146" s="560">
        <f t="shared" si="358"/>
        <v>0</v>
      </c>
      <c r="GM146" s="560" t="str">
        <f t="shared" si="359"/>
        <v/>
      </c>
      <c r="GN146" s="560">
        <f>IF(GK146="P",Lookup!$M$12,IF(GK146="PP",Lookup!$M$13,IF(GK146="PPP",Lookup!$M$14,IF(GK146="T",Lookup!$M$15,IF(GK146="TP",Lookup!$M$16,IF(GK146="TPP",Lookup!$M$17,IF(GK146="TPPP",Lookup!$M$18,0)))))))*GJ146</f>
        <v>0</v>
      </c>
      <c r="GO146" s="560">
        <f t="shared" si="360"/>
        <v>0</v>
      </c>
      <c r="GP146" s="560">
        <f t="shared" si="332"/>
        <v>6941.0432000000046</v>
      </c>
      <c r="GQ146" s="560">
        <f t="shared" si="368"/>
        <v>2262.4000000000015</v>
      </c>
      <c r="GR146" s="560"/>
      <c r="GS146" s="560">
        <f t="shared" si="361"/>
        <v>0</v>
      </c>
      <c r="GT146" s="560" t="str">
        <f t="shared" si="362"/>
        <v/>
      </c>
      <c r="GU146" s="560">
        <f>IF(GK146="P",Lookup!$N$12,IF(GK146="PP",Lookup!$N$13,IF(GK146="PPP",Lookup!$N$14,IF(GK146="T",Lookup!$N$15,IF(GK146="TP",Lookup!$N$16,IF(GK146="TPP",Lookup!$N$17,IF(GK146="TPPP",Lookup!$N$18,0)))))))*GJ146</f>
        <v>0</v>
      </c>
      <c r="GV146" s="560">
        <f t="shared" si="363"/>
        <v>0</v>
      </c>
      <c r="GW146" s="560">
        <f t="shared" si="333"/>
        <v>3239.1534933333296</v>
      </c>
      <c r="GX146" s="560">
        <f t="shared" si="369"/>
        <v>1055.7866666666655</v>
      </c>
      <c r="GY146" s="560"/>
      <c r="GZ146" s="560">
        <f t="shared" si="364"/>
        <v>0</v>
      </c>
      <c r="HA146" s="560" t="str">
        <f t="shared" si="365"/>
        <v/>
      </c>
      <c r="HB146" s="560">
        <f>IF(GK146="P",Lookup!$N$12,IF(GK146="PP",Lookup!$N$13,IF(GK146="PPP",Lookup!$N$14,IF(GK146="T",Lookup!$N$15,IF(GK146="TP",Lookup!$N$16,IF(GK146="TPP",Lookup!$N$17,IF(GK146="TPPP",Lookup!$N$18,0)))))))*GJ146</f>
        <v>0</v>
      </c>
      <c r="HC146" s="545">
        <f t="shared" si="334"/>
        <v>0</v>
      </c>
      <c r="HD146" s="560">
        <f t="shared" si="335"/>
        <v>2550.8710444977287</v>
      </c>
      <c r="HE146" s="560">
        <f t="shared" si="370"/>
        <v>831.44427786757774</v>
      </c>
      <c r="HF146" s="560"/>
      <c r="HG146" s="560">
        <f t="shared" si="366"/>
        <v>0</v>
      </c>
      <c r="HH146" s="560" t="str">
        <f t="shared" si="367"/>
        <v/>
      </c>
      <c r="HI146" s="560">
        <f>IF(GK146="P",Lookup!$N$12,IF(GK146="PP",Lookup!$N$13,IF(GK146="PPP",Lookup!$N$14,IF(GK146="T",Lookup!$N$15,IF(GK146="TP",Lookup!$N$16,IF(GK146="TPP",Lookup!$N$17,IF(GK146="TPPP",Lookup!$N$18,0)))))))*GJ146</f>
        <v>0</v>
      </c>
      <c r="HJ146" s="545">
        <f t="shared" si="336"/>
        <v>0</v>
      </c>
      <c r="HK146" s="560">
        <f t="shared" si="337"/>
        <v>1827.2306188468201</v>
      </c>
      <c r="HL146" s="560">
        <f t="shared" si="371"/>
        <v>595.57712478709914</v>
      </c>
      <c r="HM146" s="560"/>
    </row>
    <row r="147" spans="1:221">
      <c r="A147" s="580" t="s">
        <v>8</v>
      </c>
      <c r="B147" s="556">
        <v>41775</v>
      </c>
      <c r="C147" s="561">
        <v>0</v>
      </c>
      <c r="D147" s="529">
        <f t="shared" si="372"/>
        <v>300</v>
      </c>
      <c r="E147" s="529">
        <f t="shared" si="373"/>
        <v>250</v>
      </c>
      <c r="F147" s="529">
        <v>250</v>
      </c>
      <c r="G147" s="560">
        <f>DR147+Sheet1!CZ149</f>
        <v>1712.6374180535827</v>
      </c>
      <c r="H147" s="914">
        <f t="shared" si="338"/>
        <v>840.08562702983579</v>
      </c>
      <c r="I147" s="559">
        <f>MAX(Sheet1!Z149-AT147+(Sheet1!DA149-E147)*CFStoMGD,0)</f>
        <v>1112.0039999999999</v>
      </c>
      <c r="J147" s="562">
        <f>IF(AND(B147&gt;=Calculation!GC147,B147&lt;=Calculation!GD147),IF(Sheet1!DB149&gt;=Calculation!D147,64.64,0),MAX(Sheet1!Z149-AT147+(Sheet1!DB149-D147)*CFStoMGD,0))</f>
        <v>64.64</v>
      </c>
      <c r="K147" s="904">
        <f t="shared" si="273"/>
        <v>64.64</v>
      </c>
      <c r="L147" s="560">
        <f>Sheet1!AA149+Sheet1!AB149-Sheet1!L149+(Sheet1!DA149-F147)*CFStoMGD</f>
        <v>1133.924</v>
      </c>
      <c r="M147" s="560">
        <f t="shared" si="274"/>
        <v>1129.1898035704326</v>
      </c>
      <c r="N147" s="910">
        <f>IF(Sheet1!DA149&gt;=F147,MIN(73,MIN(MAX(L147,0),MAX(M147,0))),0)</f>
        <v>73</v>
      </c>
      <c r="O147" s="563">
        <f>Sheet1!AA149+Sheet1!AB149</f>
        <v>60.9</v>
      </c>
      <c r="P147" s="563">
        <f t="shared" si="275"/>
        <v>94.212299999999999</v>
      </c>
      <c r="Q147" s="898">
        <f t="shared" si="339"/>
        <v>51.89</v>
      </c>
      <c r="R147" s="829">
        <f t="shared" si="276"/>
        <v>9.0308404009252108</v>
      </c>
      <c r="S147" s="898">
        <f t="shared" si="340"/>
        <v>9.01</v>
      </c>
      <c r="T147" s="898">
        <f t="shared" si="341"/>
        <v>55.63</v>
      </c>
      <c r="U147" s="898">
        <f t="shared" si="342"/>
        <v>0</v>
      </c>
      <c r="V147" s="898"/>
      <c r="W147" s="898">
        <f t="shared" si="343"/>
        <v>55.609159599074786</v>
      </c>
      <c r="X147" s="898">
        <f t="shared" si="344"/>
        <v>64.64</v>
      </c>
      <c r="Y147" s="898" t="str">
        <f t="shared" si="345"/>
        <v>FALSE</v>
      </c>
      <c r="Z147" s="898">
        <f t="shared" si="346"/>
        <v>60.9</v>
      </c>
      <c r="AA147" s="898">
        <f t="shared" si="347"/>
        <v>60.9</v>
      </c>
      <c r="AB147" s="898" t="str">
        <f t="shared" si="348"/>
        <v/>
      </c>
      <c r="AC147" s="563">
        <f>Sheet1!Y149*MGDtoCFS</f>
        <v>33.879299999999994</v>
      </c>
      <c r="AD147" s="563">
        <f>Sheet1!Z149*MGDtoCFS</f>
        <v>60.30205999999999</v>
      </c>
      <c r="AE147" s="563">
        <f>Sheet1!AA149*MGDtoCFS</f>
        <v>33.879299999999994</v>
      </c>
      <c r="AF147" s="563">
        <f>Sheet1!AB149*MGDtoCFS</f>
        <v>60.332999999999998</v>
      </c>
      <c r="AG147" s="563">
        <f>Sheet1!L149*MGDtoCFS</f>
        <v>0</v>
      </c>
      <c r="AH147" s="545">
        <f t="shared" si="277"/>
        <v>0</v>
      </c>
      <c r="AI147" s="560">
        <f t="shared" si="278"/>
        <v>0</v>
      </c>
      <c r="AJ147" s="560">
        <f t="shared" si="279"/>
        <v>55.609159599074786</v>
      </c>
      <c r="AK147" s="560">
        <f t="shared" si="280"/>
        <v>86.027369899768686</v>
      </c>
      <c r="AL147" s="560">
        <f>(VLOOKUP(Sheet1!DC149,hhdcap_wcm,4)-(((VLOOKUP(Sheet1!DC149,hhdcap_wcm,3)-Sheet1!DC149)/(VLOOKUP(Sheet1!DC149,hhdcap_wcm,3)-VLOOKUP(Sheet1!DC149,hhdcap_wcm,1)))*(VLOOKUP(Sheet1!DC149,hhdcap_wcm,4)-VLOOKUP(Sheet1!DC149,hhdcap_wcm,2))))</f>
        <v>45693.000000111802</v>
      </c>
      <c r="AM147" s="560">
        <f t="shared" si="281"/>
        <v>382.00000000025466</v>
      </c>
      <c r="AN147" s="560">
        <f t="shared" si="282"/>
        <v>4800.8172289204185</v>
      </c>
      <c r="AO147" s="560">
        <f t="shared" si="283"/>
        <v>14728.907258327845</v>
      </c>
      <c r="AP147" s="560">
        <f>Sheet1!BA149+Sheet1!BB149+Sheet1!BN149+CD147</f>
        <v>29.900000000000002</v>
      </c>
      <c r="AQ147" s="560">
        <f>Sheet1!BN149+(DO147*Sheet1!BN149)</f>
        <v>28.365458750963761</v>
      </c>
      <c r="AR147" s="560">
        <f>Sheet1!BA149+CD147</f>
        <v>0</v>
      </c>
      <c r="AS147" s="560">
        <f>Sheet1!BA149+Sheet1!BB149+CD147</f>
        <v>1.6</v>
      </c>
      <c r="AT147" s="698">
        <f>0</f>
        <v>0</v>
      </c>
      <c r="AU147" s="560">
        <f>IF(EB147&lt;K147,0,MAX(Sheet1!AA149+AQ147-15/36*K147-N147,Sheet1!EH149,0))</f>
        <v>0</v>
      </c>
      <c r="AV147" s="560">
        <f>IF(OR(B147&gt;=GD147,B147&lt;GC147),0,15/36*K147-MAX(0,64.6-(137.6-(Sheet1!AA149+Sheet1!AB149))))</f>
        <v>26.933333333333334</v>
      </c>
      <c r="AW147" s="698">
        <f>Sheet1!DB149-110</f>
        <v>1360</v>
      </c>
      <c r="AX147" s="698">
        <f>Sheet1!DA149-265</f>
        <v>1645</v>
      </c>
      <c r="AY147" s="698">
        <f t="shared" si="284"/>
        <v>21.11</v>
      </c>
      <c r="AZ147" s="698">
        <v>0</v>
      </c>
      <c r="BA147" s="698">
        <f t="shared" si="285"/>
        <v>0</v>
      </c>
      <c r="BB147" s="560">
        <f t="shared" si="286"/>
        <v>2289.3333333333348</v>
      </c>
      <c r="BC147" s="560"/>
      <c r="BD147" s="560">
        <f ca="1">IF(B147&gt;Summary!$A$1,#N/A,BB147*MGtoAF)</f>
        <v>7023.6746666666713</v>
      </c>
      <c r="BE147" s="560">
        <f>Sheet1!BG149+Sheet1!BH149+Sheet1!BI149-BM147</f>
        <v>0</v>
      </c>
      <c r="BF147" s="560">
        <f t="shared" si="287"/>
        <v>0</v>
      </c>
      <c r="BG147" s="560">
        <f>IF(Sheet1!EP149="FM",BM147,0)</f>
        <v>0</v>
      </c>
      <c r="BH147" s="560">
        <f t="shared" si="288"/>
        <v>0</v>
      </c>
      <c r="BI147" s="560">
        <f>IF(Sheet1!EP149="OTHER",BM147,0)</f>
        <v>0</v>
      </c>
      <c r="BJ147" s="560">
        <f t="shared" si="289"/>
        <v>0</v>
      </c>
      <c r="BK147" s="560">
        <f t="shared" si="290"/>
        <v>0</v>
      </c>
      <c r="BL147" s="560">
        <f t="shared" si="291"/>
        <v>0</v>
      </c>
      <c r="BM147" s="560">
        <f>IF(OR(Sheet1!EP149="FM", Sheet1!EP149="OTHER"),SUM(Sheet1!BG149:'Sheet1'!BI149),0)</f>
        <v>0</v>
      </c>
      <c r="BN147" s="545">
        <f>IF(AND($B147&gt;=$FV147,$B147&lt;=$FW147),MAX(BF147,Sheet1!EI149,0),MAX(BF147-(7/36)*$K147,0))</f>
        <v>0</v>
      </c>
      <c r="BO147" s="560">
        <f t="shared" si="292"/>
        <v>12.568888888888889</v>
      </c>
      <c r="BP147" s="545">
        <f t="shared" si="293"/>
        <v>0</v>
      </c>
      <c r="BQ147" s="545">
        <f>IF(AND($O147&gt;0,Sheet1!EM149=1),(1-($O147-Sheet1!$L149)/$O147)*BL147,0)</f>
        <v>0</v>
      </c>
      <c r="BR147" s="545">
        <f>IF(AND(Sheet1!$L149=0,Sheet1!$L148=0, Calculation!BK147&lt;Sheet1!$EI149-0.1,Sheet1!$EI149=Sheet1!$EI148,Sheet1!$EI149=Sheet1!$EI150),Sheet1!$EI149,BL147-BQ147)</f>
        <v>0</v>
      </c>
      <c r="BS147" s="560"/>
      <c r="BT147" s="560"/>
      <c r="BU147" s="560">
        <f t="shared" si="294"/>
        <v>1068.3555555555545</v>
      </c>
      <c r="BV147" s="560"/>
      <c r="BW147" s="560">
        <f ca="1">IF(B147&gt;Summary!$A$1,#N/A,BU147*MGtoAF)</f>
        <v>3277.714844444441</v>
      </c>
      <c r="BX147" s="560">
        <f>Sheet1!BC149+Sheet1!BD149+Sheet1!BE149+Sheet1!BF149-CG147-CH147</f>
        <v>2.4900000000000002</v>
      </c>
      <c r="BY147" s="560">
        <f t="shared" si="295"/>
        <v>2.4957594448727831</v>
      </c>
      <c r="BZ147" s="560">
        <f>IF(Sheet1!EQ149="FM",CH147,0)</f>
        <v>0</v>
      </c>
      <c r="CA147" s="560">
        <f t="shared" si="296"/>
        <v>0</v>
      </c>
      <c r="CB147" s="560">
        <f>IF(Sheet1!EQ149="OTHER",CH147,0)</f>
        <v>0</v>
      </c>
      <c r="CC147" s="560">
        <f t="shared" si="297"/>
        <v>0</v>
      </c>
      <c r="CD147" s="560">
        <f t="shared" si="298"/>
        <v>0</v>
      </c>
      <c r="CE147" s="560">
        <f t="shared" si="299"/>
        <v>2.4900000000000002</v>
      </c>
      <c r="CF147" s="560">
        <f t="shared" si="300"/>
        <v>2.4957594448727831</v>
      </c>
      <c r="CG147" s="560">
        <f>IF(Sheet1!EQ149="CWA",SUM(Sheet1!BC149:'Sheet1'!BF149),0)</f>
        <v>0</v>
      </c>
      <c r="CH147" s="560">
        <f>IF(OR(Sheet1!EQ149="FM", Sheet1!EQ149="OTHER"),SUM(Sheet1!BC149:'Sheet1'!BF149),0)</f>
        <v>0</v>
      </c>
      <c r="CI147" s="545">
        <f>IF(AND($B147&gt;=$FV147,$B147&lt;=$FW147),MAX(CF147,Sheet1!EJ149,0),MAX(CF147-(7/36)*$K147,0))</f>
        <v>0</v>
      </c>
      <c r="CJ147" s="560">
        <f t="shared" si="301"/>
        <v>10.073129444016105</v>
      </c>
      <c r="CK147" s="545">
        <f t="shared" si="302"/>
        <v>2.4957594448727831</v>
      </c>
      <c r="CL147" s="545">
        <f>IF(AND($O147&gt;0,Sheet1!EN149=1),(1-($O147-Sheet1!$L149)/$O147)*CF147,0)</f>
        <v>0</v>
      </c>
      <c r="CM147" s="545">
        <f>IF(AND(Sheet1!$L149=0,Sheet1!$L148=0, Calculation!CE147&lt;Sheet1!EJ149-0.1,Sheet1!EJ149=Sheet1!EJ148,Sheet1!EJ149=Sheet1!EJ150),Sheet1!EJ149,CF147-CL147)</f>
        <v>2.4957594448727831</v>
      </c>
      <c r="CN147" s="545"/>
      <c r="CO147" s="560"/>
      <c r="CP147" s="560">
        <f t="shared" si="303"/>
        <v>841.51740731159384</v>
      </c>
      <c r="CQ147" s="560"/>
      <c r="CR147" s="560">
        <f ca="1">IF(B147&gt;Summary!$A$1,#N/A,CP147*MGtoAF)</f>
        <v>2581.77540563197</v>
      </c>
      <c r="CS147" s="560">
        <f>Sheet1!BK149+Sheet1!BL149+Sheet1!BM149-Sheet1!ER149-DA147</f>
        <v>6.52</v>
      </c>
      <c r="CT147" s="560">
        <f t="shared" si="304"/>
        <v>6.5350809560524272</v>
      </c>
      <c r="CU147" s="560">
        <f>IF(Sheet1!ER149="FM",DA147,0)</f>
        <v>0</v>
      </c>
      <c r="CV147" s="560">
        <f t="shared" si="305"/>
        <v>0</v>
      </c>
      <c r="CW147" s="560">
        <f>IF(Sheet1!ER149="OTHER",DA147,0)</f>
        <v>0</v>
      </c>
      <c r="CX147" s="560">
        <f t="shared" si="306"/>
        <v>0</v>
      </c>
      <c r="CY147" s="560">
        <f t="shared" si="307"/>
        <v>6.52</v>
      </c>
      <c r="CZ147" s="560">
        <f t="shared" si="308"/>
        <v>6.5350809560524272</v>
      </c>
      <c r="DA147" s="560">
        <f>IF(OR(Sheet1!ER149="FM", Sheet1!ER149="OTHER"),SUM(Sheet1!BK149:'Sheet1'!BM149),0)</f>
        <v>0</v>
      </c>
      <c r="DB147" s="545">
        <f>IF(AND($B147&gt;=$FV147,$B147&lt;=$FW147),MAX($CT147,Sheet1!EK149,0),MAX($CT147-(7/36)*$K147,0))</f>
        <v>0</v>
      </c>
      <c r="DC147" s="560">
        <f t="shared" si="309"/>
        <v>6.0338079328364618</v>
      </c>
      <c r="DD147" s="545">
        <f t="shared" si="310"/>
        <v>6.5350809560524272</v>
      </c>
      <c r="DE147" s="545">
        <f>IF(AND($O147&gt;0,Sheet1!EO149=1),(1-($O147-Sheet1!$L149)/$O147)*CZ147,0)</f>
        <v>0</v>
      </c>
      <c r="DF147" s="545">
        <f>IF(AND(Sheet1!$L149=0,Sheet1!$L148=0, Calculation!CY147&lt;Sheet1!$EK149-0.1,Sheet1!$EK149=Sheet1!$EK148,Sheet1!$EK149=Sheet1!$EK150),Sheet1!$EK149,CZ147-DE147)</f>
        <v>6.5350809560524272</v>
      </c>
      <c r="DG147" s="545"/>
      <c r="DH147" s="560">
        <f t="shared" si="311"/>
        <v>9.01</v>
      </c>
      <c r="DI147" s="560">
        <f t="shared" si="312"/>
        <v>601.61093271993559</v>
      </c>
      <c r="DJ147" s="698">
        <f t="shared" si="313"/>
        <v>9.0308404009252108</v>
      </c>
      <c r="DK147" s="560">
        <f ca="1">IF(B147&gt;Summary!$A$1,#N/A,DI147*MGtoAF)</f>
        <v>1845.7423415847625</v>
      </c>
      <c r="DL147" s="698">
        <f t="shared" si="314"/>
        <v>9.01</v>
      </c>
      <c r="DM147" s="560">
        <f t="shared" si="315"/>
        <v>38.910000000000004</v>
      </c>
      <c r="DN147" s="560">
        <f>Sheet1!AB149-DM147</f>
        <v>8.9999999999996305E-2</v>
      </c>
      <c r="DO147" s="823">
        <f t="shared" si="316"/>
        <v>2.3130300693908071E-3</v>
      </c>
      <c r="DP147" s="560">
        <f>(VLOOKUP(Sheet1!DC149,hhdcap_wcm,4)-(((VLOOKUP(Sheet1!DC149,hhdcap_wcm,3)-Sheet1!DC149)/(VLOOKUP(Sheet1!DC149,hhdcap_wcm,3)-VLOOKUP(Sheet1!DC149,hhdcap_wcm,1)))*(VLOOKUP(Sheet1!DC149,hhdcap_wcm,4)-VLOOKUP(Sheet1!DC149,hhdcap_wcm,2))))</f>
        <v>45693.000000111802</v>
      </c>
      <c r="DQ147" s="560">
        <f t="shared" si="317"/>
        <v>382.00000000025466</v>
      </c>
      <c r="DR147" s="560">
        <f t="shared" si="318"/>
        <v>192.63741805358276</v>
      </c>
      <c r="DS147" s="560">
        <f>Sheet1!EA149*AFtoMG</f>
        <v>0</v>
      </c>
      <c r="DT147" s="560">
        <f>Sheet1!EB149*AFtoMG</f>
        <v>0</v>
      </c>
      <c r="DU147" s="560">
        <f>Sheet1!EC149*AFtoMG</f>
        <v>0</v>
      </c>
      <c r="DV147" s="560">
        <f>Sheet1!ED149*AFtoMG</f>
        <v>0</v>
      </c>
      <c r="DW147" s="560">
        <f t="shared" si="319"/>
        <v>0</v>
      </c>
      <c r="DX147" s="560">
        <f t="shared" si="320"/>
        <v>0</v>
      </c>
      <c r="DY147" s="560">
        <f t="shared" si="321"/>
        <v>4800.8172289204185</v>
      </c>
      <c r="DZ147" s="560">
        <f t="shared" si="322"/>
        <v>14728.907258327845</v>
      </c>
      <c r="EA147" s="560"/>
      <c r="EB147" s="545">
        <f>IF(OR(B147&lt;FV147,B147&gt;FW147),(MIN(BF147+BY147+CT147+MAX(Sheet1!AA149+AQ147-73,0),K147)),0)</f>
        <v>9.0308404009252108</v>
      </c>
      <c r="EC147" s="560"/>
      <c r="ED147" s="560">
        <f t="shared" si="323"/>
        <v>9.0308404009252108</v>
      </c>
      <c r="EE147" s="560"/>
      <c r="EF147" s="560">
        <f>Sheet1!EH149+Sheet1!EI149+Sheet1!EJ149+Sheet1!EK149</f>
        <v>9.01</v>
      </c>
      <c r="EG147" s="560"/>
      <c r="EH147" s="545">
        <f t="shared" si="324"/>
        <v>0</v>
      </c>
      <c r="EI147" s="560">
        <f>IF(Sheet1!ET149=1,SUM('Calculations II'!AT147:BA147)+'Calculations II'!BC147+Sheet1!BV149+'Calculations II'!BE147+AP147,SUM('Calculations II'!AT147:BA147)+'Calculations II'!BC147+Sheet1!BV149+'Calculations II'!BE147+AP147)</f>
        <v>57.510560000000005</v>
      </c>
      <c r="EJ147" s="560">
        <f>Sheet1!AA149+Sheet1!AB149+'Calculations II'!BC147</f>
        <v>60.9</v>
      </c>
      <c r="EK147" s="560"/>
      <c r="EL147" s="560"/>
      <c r="EM147" s="560">
        <f t="shared" si="325"/>
        <v>41775</v>
      </c>
      <c r="EN147" s="560">
        <f t="shared" si="326"/>
        <v>55.609159599074786</v>
      </c>
      <c r="EO147" s="560">
        <f t="shared" si="327"/>
        <v>86.027369899768686</v>
      </c>
      <c r="EP147" s="560">
        <v>0</v>
      </c>
      <c r="EQ147" s="560">
        <v>0</v>
      </c>
      <c r="ER147" s="560">
        <v>0</v>
      </c>
      <c r="ES147" s="545">
        <f t="shared" si="349"/>
        <v>0.13830540139669925</v>
      </c>
      <c r="ET147" s="560">
        <f>-(VLOOKUP(Sheet1!BQ149,Lookup!$O$4:$Q$262,2)-VLOOKUP(Sheet1!BQ148,Lookup!$O$4:$Q$262,2))/1000000</f>
        <v>0.13830540139669925</v>
      </c>
      <c r="EU147" s="560">
        <f>-(VLOOKUP(Sheet1!BR149,Lookup!$O$4:$Q$262,3)-VLOOKUP(Sheet1!BR148,Lookup!$O$4:$Q$262,3))/1000000</f>
        <v>0</v>
      </c>
      <c r="EV147" s="560"/>
      <c r="EW147" s="560"/>
      <c r="EX147" s="560"/>
      <c r="EY147" s="560"/>
      <c r="EZ147" s="560"/>
      <c r="FA147" s="560"/>
      <c r="FB147" s="560"/>
      <c r="FC147" s="560"/>
      <c r="FD147" s="594" t="e">
        <f t="shared" si="328"/>
        <v>#N/A</v>
      </c>
      <c r="FE147" s="594" t="e">
        <f t="shared" si="329"/>
        <v>#N/A</v>
      </c>
      <c r="FF147" s="595" t="e">
        <f t="shared" si="330"/>
        <v>#N/A</v>
      </c>
      <c r="FG147" s="596" t="s">
        <v>692</v>
      </c>
      <c r="FH147" s="596" t="s">
        <v>692</v>
      </c>
      <c r="FI147" s="594" t="e">
        <v>#N/A</v>
      </c>
      <c r="FJ147" s="594" t="e">
        <v>#N/A</v>
      </c>
      <c r="FK147" s="560"/>
      <c r="FL147" s="560"/>
      <c r="FM147" s="560"/>
      <c r="FN147" s="560"/>
      <c r="FO147" s="560">
        <f>O147+((Sheet1!CS149)*GPMtoMGD)</f>
        <v>60.9</v>
      </c>
      <c r="FP147" s="560">
        <f>IF(Sheet1!AA149+AQ147&lt;=Calculation!N147,AQ147,Calculation!N147-Sheet1!AA149)</f>
        <v>28.365458750963761</v>
      </c>
      <c r="FQ147" s="560">
        <f>(Sheet1!BP149+Sheet1!BO149)/694.4</f>
        <v>1.5132488479262673</v>
      </c>
      <c r="FR147" s="560"/>
      <c r="FS147" s="560"/>
      <c r="FT147" s="560"/>
      <c r="FU147" s="560"/>
      <c r="FV147" s="695">
        <f t="shared" si="350"/>
        <v>41827</v>
      </c>
      <c r="FW147" s="695">
        <f t="shared" si="351"/>
        <v>41934</v>
      </c>
      <c r="FX147" s="560"/>
      <c r="FY147" s="560"/>
      <c r="FZ147" s="560"/>
      <c r="GA147" s="560"/>
      <c r="GB147" s="560" t="str">
        <f t="shared" si="352"/>
        <v>n</v>
      </c>
      <c r="GC147" s="564">
        <f t="shared" si="353"/>
        <v>41691</v>
      </c>
      <c r="GD147" s="695">
        <f t="shared" si="354"/>
        <v>41807</v>
      </c>
      <c r="GE147" s="560">
        <v>6518.9</v>
      </c>
      <c r="GF147" s="695">
        <f t="shared" si="355"/>
        <v>41808</v>
      </c>
      <c r="GG147" s="560">
        <f t="shared" si="374"/>
        <v>3259</v>
      </c>
      <c r="GH147" s="564">
        <f t="shared" si="356"/>
        <v>41934</v>
      </c>
      <c r="GJ147" s="545">
        <f t="shared" si="357"/>
        <v>0</v>
      </c>
      <c r="GK147" s="560" t="str">
        <f t="shared" si="331"/>
        <v/>
      </c>
      <c r="GL147" s="560">
        <f t="shared" si="358"/>
        <v>0</v>
      </c>
      <c r="GM147" s="560" t="str">
        <f t="shared" si="359"/>
        <v/>
      </c>
      <c r="GN147" s="560">
        <f>IF(GK147="P",Lookup!$M$12,IF(GK147="PP",Lookup!$M$13,IF(GK147="PPP",Lookup!$M$14,IF(GK147="T",Lookup!$M$15,IF(GK147="TP",Lookup!$M$16,IF(GK147="TPP",Lookup!$M$17,IF(GK147="TPPP",Lookup!$M$18,0)))))))*GJ147</f>
        <v>0</v>
      </c>
      <c r="GO147" s="560">
        <f t="shared" si="360"/>
        <v>0</v>
      </c>
      <c r="GP147" s="560">
        <f t="shared" si="332"/>
        <v>7023.6746666666713</v>
      </c>
      <c r="GQ147" s="560">
        <f t="shared" si="368"/>
        <v>2289.3333333333348</v>
      </c>
      <c r="GR147" s="560"/>
      <c r="GS147" s="560">
        <f t="shared" si="361"/>
        <v>0</v>
      </c>
      <c r="GT147" s="560" t="str">
        <f t="shared" si="362"/>
        <v/>
      </c>
      <c r="GU147" s="560">
        <f>IF(GK147="P",Lookup!$N$12,IF(GK147="PP",Lookup!$N$13,IF(GK147="PPP",Lookup!$N$14,IF(GK147="T",Lookup!$N$15,IF(GK147="TP",Lookup!$N$16,IF(GK147="TPP",Lookup!$N$17,IF(GK147="TPPP",Lookup!$N$18,0)))))))*GJ147</f>
        <v>0</v>
      </c>
      <c r="GV147" s="560">
        <f t="shared" si="363"/>
        <v>0</v>
      </c>
      <c r="GW147" s="560">
        <f t="shared" si="333"/>
        <v>3277.714844444441</v>
      </c>
      <c r="GX147" s="560">
        <f t="shared" si="369"/>
        <v>1068.3555555555545</v>
      </c>
      <c r="GY147" s="560"/>
      <c r="GZ147" s="560">
        <f t="shared" si="364"/>
        <v>0</v>
      </c>
      <c r="HA147" s="560" t="str">
        <f t="shared" si="365"/>
        <v/>
      </c>
      <c r="HB147" s="560">
        <f>IF(GK147="P",Lookup!$N$12,IF(GK147="PP",Lookup!$N$13,IF(GK147="PPP",Lookup!$N$14,IF(GK147="T",Lookup!$N$15,IF(GK147="TP",Lookup!$N$16,IF(GK147="TPP",Lookup!$N$17,IF(GK147="TPPP",Lookup!$N$18,0)))))))*GJ147</f>
        <v>0</v>
      </c>
      <c r="HC147" s="545">
        <f t="shared" si="334"/>
        <v>0</v>
      </c>
      <c r="HD147" s="560">
        <f t="shared" si="335"/>
        <v>2581.77540563197</v>
      </c>
      <c r="HE147" s="560">
        <f t="shared" si="370"/>
        <v>841.51740731159384</v>
      </c>
      <c r="HF147" s="560"/>
      <c r="HG147" s="560">
        <f t="shared" si="366"/>
        <v>0</v>
      </c>
      <c r="HH147" s="560" t="str">
        <f t="shared" si="367"/>
        <v/>
      </c>
      <c r="HI147" s="560">
        <f>IF(GK147="P",Lookup!$N$12,IF(GK147="PP",Lookup!$N$13,IF(GK147="PPP",Lookup!$N$14,IF(GK147="T",Lookup!$N$15,IF(GK147="TP",Lookup!$N$16,IF(GK147="TPP",Lookup!$N$17,IF(GK147="TPPP",Lookup!$N$18,0)))))))*GJ147</f>
        <v>0</v>
      </c>
      <c r="HJ147" s="545">
        <f t="shared" si="336"/>
        <v>0</v>
      </c>
      <c r="HK147" s="560">
        <f t="shared" si="337"/>
        <v>1845.7423415847625</v>
      </c>
      <c r="HL147" s="560">
        <f t="shared" si="371"/>
        <v>601.61093271993559</v>
      </c>
      <c r="HM147" s="560"/>
    </row>
    <row r="148" spans="1:221">
      <c r="A148" s="580" t="s">
        <v>9</v>
      </c>
      <c r="B148" s="556">
        <v>41776</v>
      </c>
      <c r="C148" s="561">
        <v>0</v>
      </c>
      <c r="D148" s="529">
        <f t="shared" si="372"/>
        <v>300</v>
      </c>
      <c r="E148" s="529">
        <f t="shared" si="373"/>
        <v>250</v>
      </c>
      <c r="F148" s="529">
        <v>250</v>
      </c>
      <c r="G148" s="560">
        <f>DR148+Sheet1!CZ150</f>
        <v>1565.4715078160507</v>
      </c>
      <c r="H148" s="914">
        <f t="shared" si="338"/>
        <v>744.95758265229517</v>
      </c>
      <c r="I148" s="559">
        <f>MAX(Sheet1!Z150-AT148+(Sheet1!DA150-E148)*CFStoMGD,0)</f>
        <v>1086.1679999999999</v>
      </c>
      <c r="J148" s="562">
        <f>IF(AND(B148&gt;=Calculation!GC148,B148&lt;=Calculation!GD148),IF(Sheet1!DB150&gt;=Calculation!D148,64.64,0),MAX(Sheet1!Z150-AT148+(Sheet1!DB150-D148)*CFStoMGD,0))</f>
        <v>64.64</v>
      </c>
      <c r="K148" s="904">
        <f t="shared" si="273"/>
        <v>64.64</v>
      </c>
      <c r="L148" s="560">
        <f>Sheet1!AA150+Sheet1!AB150-Sheet1!L150+(Sheet1!DA150-F148)*CFStoMGD</f>
        <v>1108.068</v>
      </c>
      <c r="M148" s="560">
        <f t="shared" si="274"/>
        <v>1032.1591983053411</v>
      </c>
      <c r="N148" s="910">
        <f>IF(Sheet1!DA150&gt;=F148,MIN(73,MIN(MAX(L148,0),MAX(M148,0))),0)</f>
        <v>73</v>
      </c>
      <c r="O148" s="563">
        <f>Sheet1!AA150+Sheet1!AB150</f>
        <v>60.9</v>
      </c>
      <c r="P148" s="563">
        <f t="shared" si="275"/>
        <v>94.212299999999999</v>
      </c>
      <c r="Q148" s="898">
        <f t="shared" si="339"/>
        <v>51.87</v>
      </c>
      <c r="R148" s="829">
        <f t="shared" si="276"/>
        <v>9.0462368353454909</v>
      </c>
      <c r="S148" s="898">
        <f t="shared" si="340"/>
        <v>9.0299999999999994</v>
      </c>
      <c r="T148" s="898">
        <f t="shared" si="341"/>
        <v>55.61</v>
      </c>
      <c r="U148" s="898">
        <f t="shared" si="342"/>
        <v>0</v>
      </c>
      <c r="V148" s="898"/>
      <c r="W148" s="898">
        <f t="shared" si="343"/>
        <v>55.593763164654511</v>
      </c>
      <c r="X148" s="898">
        <f t="shared" si="344"/>
        <v>64.64</v>
      </c>
      <c r="Y148" s="898" t="str">
        <f t="shared" si="345"/>
        <v>FALSE</v>
      </c>
      <c r="Z148" s="898">
        <f t="shared" si="346"/>
        <v>60.9</v>
      </c>
      <c r="AA148" s="898">
        <f t="shared" si="347"/>
        <v>60.9</v>
      </c>
      <c r="AB148" s="898" t="str">
        <f t="shared" si="348"/>
        <v/>
      </c>
      <c r="AC148" s="563">
        <f>Sheet1!Y150*MGDtoCFS</f>
        <v>33.879299999999994</v>
      </c>
      <c r="AD148" s="563">
        <f>Sheet1!Z150*MGDtoCFS</f>
        <v>60.332999999999998</v>
      </c>
      <c r="AE148" s="563">
        <f>Sheet1!AA150*MGDtoCFS</f>
        <v>33.879299999999994</v>
      </c>
      <c r="AF148" s="563">
        <f>Sheet1!AB150*MGDtoCFS</f>
        <v>60.332999999999998</v>
      </c>
      <c r="AG148" s="563">
        <f>Sheet1!L150*MGDtoCFS</f>
        <v>0</v>
      </c>
      <c r="AH148" s="545">
        <f t="shared" si="277"/>
        <v>0</v>
      </c>
      <c r="AI148" s="560">
        <f t="shared" si="278"/>
        <v>0</v>
      </c>
      <c r="AJ148" s="560">
        <f t="shared" si="279"/>
        <v>55.593763164654511</v>
      </c>
      <c r="AK148" s="560">
        <f t="shared" si="280"/>
        <v>86.003551615720525</v>
      </c>
      <c r="AL148" s="560">
        <f>(VLOOKUP(Sheet1!DC150,hhdcap_wcm,4)-(((VLOOKUP(Sheet1!DC150,hhdcap_wcm,3)-Sheet1!DC150)/(VLOOKUP(Sheet1!DC150,hhdcap_wcm,3)-VLOOKUP(Sheet1!DC150,hhdcap_wcm,1)))*(VLOOKUP(Sheet1!DC150,hhdcap_wcm,4)-VLOOKUP(Sheet1!DC150,hhdcap_wcm,2))))</f>
        <v>45803.000000111031</v>
      </c>
      <c r="AM148" s="560">
        <f t="shared" si="281"/>
        <v>109.99999999922875</v>
      </c>
      <c r="AN148" s="560">
        <f t="shared" si="282"/>
        <v>4856.4109920850742</v>
      </c>
      <c r="AO148" s="560">
        <f t="shared" si="283"/>
        <v>14899.468923717008</v>
      </c>
      <c r="AP148" s="560">
        <f>Sheet1!BA150+Sheet1!BB150+Sheet1!BN150+CD148</f>
        <v>29.900000000000002</v>
      </c>
      <c r="AQ148" s="560">
        <f>Sheet1!BN150+(DO148*Sheet1!BN150)</f>
        <v>28.350886206010788</v>
      </c>
      <c r="AR148" s="560">
        <f>Sheet1!BA150+CD148</f>
        <v>0</v>
      </c>
      <c r="AS148" s="560">
        <f>Sheet1!BA150+Sheet1!BB150+CD148</f>
        <v>1.6</v>
      </c>
      <c r="AT148" s="698">
        <f>0</f>
        <v>0</v>
      </c>
      <c r="AU148" s="560">
        <f>IF(EB148&lt;K148,0,MAX(Sheet1!AA150+AQ148-15/36*K148-N148,Sheet1!EH150,0))</f>
        <v>0</v>
      </c>
      <c r="AV148" s="560">
        <f>IF(OR(B148&gt;=GD148,B148&lt;GC148),0,15/36*K148-MAX(0,64.6-(137.6-(Sheet1!AA150+Sheet1!AB150))))</f>
        <v>26.933333333333334</v>
      </c>
      <c r="AW148" s="698">
        <f>Sheet1!DB150-110</f>
        <v>1350</v>
      </c>
      <c r="AX148" s="698">
        <f>Sheet1!DA150-265</f>
        <v>1605</v>
      </c>
      <c r="AY148" s="698">
        <f t="shared" si="284"/>
        <v>21.130000000000003</v>
      </c>
      <c r="AZ148" s="698">
        <v>0</v>
      </c>
      <c r="BA148" s="698">
        <f t="shared" si="285"/>
        <v>0</v>
      </c>
      <c r="BB148" s="560">
        <f t="shared" si="286"/>
        <v>2316.2666666666682</v>
      </c>
      <c r="BC148" s="560"/>
      <c r="BD148" s="560">
        <f ca="1">IF(B148&gt;Summary!$A$1,#N/A,BB148*MGtoAF)</f>
        <v>7106.306133333338</v>
      </c>
      <c r="BE148" s="560">
        <f>Sheet1!BG150+Sheet1!BH150+Sheet1!BI150-BM148</f>
        <v>0</v>
      </c>
      <c r="BF148" s="560">
        <f t="shared" si="287"/>
        <v>0</v>
      </c>
      <c r="BG148" s="560">
        <f>IF(Sheet1!EP150="FM",BM148,0)</f>
        <v>0</v>
      </c>
      <c r="BH148" s="560">
        <f t="shared" si="288"/>
        <v>0</v>
      </c>
      <c r="BI148" s="560">
        <f>IF(Sheet1!EP150="OTHER",BM148,0)</f>
        <v>0</v>
      </c>
      <c r="BJ148" s="560">
        <f t="shared" si="289"/>
        <v>0</v>
      </c>
      <c r="BK148" s="560">
        <f t="shared" si="290"/>
        <v>0</v>
      </c>
      <c r="BL148" s="560">
        <f t="shared" si="291"/>
        <v>0</v>
      </c>
      <c r="BM148" s="560">
        <f>IF(OR(Sheet1!EP150="FM", Sheet1!EP150="OTHER"),SUM(Sheet1!BG150:'Sheet1'!BI150),0)</f>
        <v>0</v>
      </c>
      <c r="BN148" s="545">
        <f>IF(AND($B148&gt;=$FV148,$B148&lt;=$FW148),MAX(BF148,Sheet1!EI150,0),MAX(BF148-(7/36)*$K148,0))</f>
        <v>0</v>
      </c>
      <c r="BO148" s="560">
        <f t="shared" si="292"/>
        <v>12.568888888888889</v>
      </c>
      <c r="BP148" s="545">
        <f t="shared" si="293"/>
        <v>0</v>
      </c>
      <c r="BQ148" s="545">
        <f>IF(AND($O148&gt;0,Sheet1!EM150=1),(1-($O148-Sheet1!$L150)/$O148)*BL148,0)</f>
        <v>0</v>
      </c>
      <c r="BR148" s="545">
        <f>IF(AND(Sheet1!$L150=0,Sheet1!$L149=0, Calculation!BK148&lt;Sheet1!$EI150-0.1,Sheet1!$EI150=Sheet1!$EI149,Sheet1!$EI150=Sheet1!$EI151),Sheet1!$EI150,BL148-BQ148)</f>
        <v>0</v>
      </c>
      <c r="BS148" s="560"/>
      <c r="BT148" s="560"/>
      <c r="BU148" s="560">
        <f t="shared" si="294"/>
        <v>1080.9244444444435</v>
      </c>
      <c r="BV148" s="560"/>
      <c r="BW148" s="560">
        <f ca="1">IF(B148&gt;Summary!$A$1,#N/A,BU148*MGtoAF)</f>
        <v>3316.2761955555525</v>
      </c>
      <c r="BX148" s="560">
        <f>Sheet1!BC150+Sheet1!BD150+Sheet1!BE150+Sheet1!BF150-CG148-CH148</f>
        <v>2.5</v>
      </c>
      <c r="BY148" s="560">
        <f t="shared" si="295"/>
        <v>2.5044952478808118</v>
      </c>
      <c r="BZ148" s="560">
        <f>IF(Sheet1!EQ150="FM",CH148,0)</f>
        <v>0</v>
      </c>
      <c r="CA148" s="560">
        <f t="shared" si="296"/>
        <v>0</v>
      </c>
      <c r="CB148" s="560">
        <f>IF(Sheet1!EQ150="OTHER",CH148,0)</f>
        <v>0</v>
      </c>
      <c r="CC148" s="560">
        <f t="shared" si="297"/>
        <v>0</v>
      </c>
      <c r="CD148" s="560">
        <f t="shared" si="298"/>
        <v>0</v>
      </c>
      <c r="CE148" s="560">
        <f t="shared" si="299"/>
        <v>2.5</v>
      </c>
      <c r="CF148" s="560">
        <f t="shared" si="300"/>
        <v>2.5044952478808118</v>
      </c>
      <c r="CG148" s="560">
        <f>IF(Sheet1!EQ150="CWA",SUM(Sheet1!BC150:'Sheet1'!BF150),0)</f>
        <v>0</v>
      </c>
      <c r="CH148" s="560">
        <f>IF(OR(Sheet1!EQ150="FM", Sheet1!EQ150="OTHER"),SUM(Sheet1!BC150:'Sheet1'!BF150),0)</f>
        <v>0</v>
      </c>
      <c r="CI148" s="545">
        <f>IF(AND($B148&gt;=$FV148,$B148&lt;=$FW148),MAX(CF148,Sheet1!EJ150,0),MAX(CF148-(7/36)*$K148,0))</f>
        <v>0</v>
      </c>
      <c r="CJ148" s="560">
        <f t="shared" si="301"/>
        <v>10.064393641008078</v>
      </c>
      <c r="CK148" s="545">
        <f t="shared" si="302"/>
        <v>2.5044952478808118</v>
      </c>
      <c r="CL148" s="545">
        <f>IF(AND($O148&gt;0,Sheet1!EN150=1),(1-($O148-Sheet1!$L150)/$O148)*CF148,0)</f>
        <v>0</v>
      </c>
      <c r="CM148" s="545">
        <f>IF(AND(Sheet1!$L150=0,Sheet1!$L149=0, Calculation!CE148&lt;Sheet1!EJ150-0.1,Sheet1!EJ150=Sheet1!EJ149,Sheet1!EJ150=Sheet1!EJ151),Sheet1!EJ150,CF148-CL148)</f>
        <v>2.5044952478808118</v>
      </c>
      <c r="CN148" s="545"/>
      <c r="CO148" s="560"/>
      <c r="CP148" s="560">
        <f t="shared" si="303"/>
        <v>851.58180095260195</v>
      </c>
      <c r="CQ148" s="560"/>
      <c r="CR148" s="560">
        <f ca="1">IF(B148&gt;Summary!$A$1,#N/A,CP148*MGtoAF)</f>
        <v>2612.652965322583</v>
      </c>
      <c r="CS148" s="560">
        <f>Sheet1!BK150+Sheet1!BL150+Sheet1!BM150-Sheet1!ER150-DA148</f>
        <v>6.5299999999999994</v>
      </c>
      <c r="CT148" s="560">
        <f t="shared" si="304"/>
        <v>6.5417415874646796</v>
      </c>
      <c r="CU148" s="560">
        <f>IF(Sheet1!ER150="FM",DA148,0)</f>
        <v>0</v>
      </c>
      <c r="CV148" s="560">
        <f t="shared" si="305"/>
        <v>0</v>
      </c>
      <c r="CW148" s="560">
        <f>IF(Sheet1!ER150="OTHER",DA148,0)</f>
        <v>0</v>
      </c>
      <c r="CX148" s="560">
        <f t="shared" si="306"/>
        <v>0</v>
      </c>
      <c r="CY148" s="560">
        <f t="shared" si="307"/>
        <v>6.5299999999999994</v>
      </c>
      <c r="CZ148" s="560">
        <f t="shared" si="308"/>
        <v>6.5417415874646796</v>
      </c>
      <c r="DA148" s="560">
        <f>IF(OR(Sheet1!ER150="FM", Sheet1!ER150="OTHER"),SUM(Sheet1!BK150:'Sheet1'!BM150),0)</f>
        <v>0</v>
      </c>
      <c r="DB148" s="545">
        <f>IF(AND($B148&gt;=$FV148,$B148&lt;=$FW148),MAX($CT148,Sheet1!EK150,0),MAX($CT148-(7/36)*$K148,0))</f>
        <v>0</v>
      </c>
      <c r="DC148" s="560">
        <f t="shared" si="309"/>
        <v>6.0271473014242094</v>
      </c>
      <c r="DD148" s="545">
        <f t="shared" si="310"/>
        <v>6.5417415874646796</v>
      </c>
      <c r="DE148" s="545">
        <f>IF(AND($O148&gt;0,Sheet1!EO150=1),(1-($O148-Sheet1!$L150)/$O148)*CZ148,0)</f>
        <v>0</v>
      </c>
      <c r="DF148" s="545">
        <f>IF(AND(Sheet1!$L150=0,Sheet1!$L149=0, Calculation!CY148&lt;Sheet1!$EK150-0.1,Sheet1!$EK150=Sheet1!$EK149,Sheet1!$EK150=Sheet1!$EK151),Sheet1!$EK150,CZ148-DE148)</f>
        <v>6.5417415874646796</v>
      </c>
      <c r="DG148" s="545"/>
      <c r="DH148" s="560">
        <f t="shared" si="311"/>
        <v>9.0299999999999994</v>
      </c>
      <c r="DI148" s="560">
        <f t="shared" si="312"/>
        <v>607.63808002135977</v>
      </c>
      <c r="DJ148" s="698">
        <f t="shared" si="313"/>
        <v>9.0462368353454909</v>
      </c>
      <c r="DK148" s="560">
        <f ca="1">IF(B148&gt;Summary!$A$1,#N/A,DI148*MGtoAF)</f>
        <v>1864.2336295055318</v>
      </c>
      <c r="DL148" s="698">
        <f t="shared" si="314"/>
        <v>9.0299999999999994</v>
      </c>
      <c r="DM148" s="560">
        <f t="shared" si="315"/>
        <v>38.93</v>
      </c>
      <c r="DN148" s="560">
        <f>Sheet1!AB150-DM148</f>
        <v>7.0000000000000284E-2</v>
      </c>
      <c r="DO148" s="823">
        <f t="shared" si="316"/>
        <v>1.7980991523246926E-3</v>
      </c>
      <c r="DP148" s="560">
        <f>(VLOOKUP(Sheet1!DC150,hhdcap_wcm,4)-(((VLOOKUP(Sheet1!DC150,hhdcap_wcm,3)-Sheet1!DC150)/(VLOOKUP(Sheet1!DC150,hhdcap_wcm,3)-VLOOKUP(Sheet1!DC150,hhdcap_wcm,1)))*(VLOOKUP(Sheet1!DC150,hhdcap_wcm,4)-VLOOKUP(Sheet1!DC150,hhdcap_wcm,2))))</f>
        <v>45803.000000111031</v>
      </c>
      <c r="DQ148" s="560">
        <f t="shared" si="317"/>
        <v>109.99999999922875</v>
      </c>
      <c r="DR148" s="560">
        <f t="shared" si="318"/>
        <v>55.471507816050796</v>
      </c>
      <c r="DS148" s="560">
        <f>Sheet1!EA150*AFtoMG</f>
        <v>0</v>
      </c>
      <c r="DT148" s="560">
        <f>Sheet1!EB150*AFtoMG</f>
        <v>0</v>
      </c>
      <c r="DU148" s="560">
        <f>Sheet1!EC150*AFtoMG</f>
        <v>0</v>
      </c>
      <c r="DV148" s="560">
        <f>Sheet1!ED150*AFtoMG</f>
        <v>0</v>
      </c>
      <c r="DW148" s="560">
        <f t="shared" si="319"/>
        <v>0</v>
      </c>
      <c r="DX148" s="560">
        <f t="shared" si="320"/>
        <v>0</v>
      </c>
      <c r="DY148" s="560">
        <f t="shared" si="321"/>
        <v>4856.4109920850742</v>
      </c>
      <c r="DZ148" s="560">
        <f t="shared" si="322"/>
        <v>14899.468923717008</v>
      </c>
      <c r="EA148" s="560"/>
      <c r="EB148" s="545">
        <f>IF(OR(B148&lt;FV148,B148&gt;FW148),(MIN(BF148+BY148+CT148+MAX(Sheet1!AA150+AQ148-73,0),K148)),0)</f>
        <v>9.0462368353454909</v>
      </c>
      <c r="EC148" s="560"/>
      <c r="ED148" s="560">
        <f t="shared" si="323"/>
        <v>9.0462368353454909</v>
      </c>
      <c r="EE148" s="560"/>
      <c r="EF148" s="560">
        <f>Sheet1!EH150+Sheet1!EI150+Sheet1!EJ150+Sheet1!EK150</f>
        <v>9.0299999999999994</v>
      </c>
      <c r="EG148" s="560"/>
      <c r="EH148" s="545">
        <f t="shared" si="324"/>
        <v>0</v>
      </c>
      <c r="EI148" s="560">
        <f>IF(Sheet1!ET150=1,SUM('Calculations II'!AT148:BA148)+'Calculations II'!BC148+Sheet1!BV150+'Calculations II'!BE148+AP148,SUM('Calculations II'!AT148:BA148)+'Calculations II'!BC148+Sheet1!BV150+'Calculations II'!BE148+AP148)</f>
        <v>57.509120000000003</v>
      </c>
      <c r="EJ148" s="560">
        <f>Sheet1!AA150+Sheet1!AB150+'Calculations II'!BC148</f>
        <v>60.9</v>
      </c>
      <c r="EK148" s="560"/>
      <c r="EL148" s="560"/>
      <c r="EM148" s="560">
        <f t="shared" si="325"/>
        <v>41776</v>
      </c>
      <c r="EN148" s="560">
        <f t="shared" si="326"/>
        <v>55.593763164654511</v>
      </c>
      <c r="EO148" s="560">
        <f t="shared" si="327"/>
        <v>86.003551615720525</v>
      </c>
      <c r="EP148" s="560">
        <v>0</v>
      </c>
      <c r="EQ148" s="560">
        <v>0</v>
      </c>
      <c r="ER148" s="560">
        <v>0</v>
      </c>
      <c r="ES148" s="545">
        <f t="shared" si="349"/>
        <v>0</v>
      </c>
      <c r="ET148" s="560">
        <f>-(VLOOKUP(Sheet1!BQ150,Lookup!$O$4:$Q$262,2)-VLOOKUP(Sheet1!BQ149,Lookup!$O$4:$Q$262,2))/1000000</f>
        <v>0</v>
      </c>
      <c r="EU148" s="560">
        <f>-(VLOOKUP(Sheet1!BR150,Lookup!$O$4:$Q$262,3)-VLOOKUP(Sheet1!BR149,Lookup!$O$4:$Q$262,3))/1000000</f>
        <v>0</v>
      </c>
      <c r="EV148" s="560"/>
      <c r="EW148" s="560"/>
      <c r="EX148" s="560"/>
      <c r="EY148" s="560"/>
      <c r="EZ148" s="560"/>
      <c r="FA148" s="560"/>
      <c r="FB148" s="560"/>
      <c r="FC148" s="560"/>
      <c r="FD148" s="594" t="e">
        <f t="shared" si="328"/>
        <v>#N/A</v>
      </c>
      <c r="FE148" s="594" t="e">
        <f t="shared" si="329"/>
        <v>#N/A</v>
      </c>
      <c r="FF148" s="595" t="e">
        <f t="shared" si="330"/>
        <v>#N/A</v>
      </c>
      <c r="FG148" s="596" t="s">
        <v>692</v>
      </c>
      <c r="FH148" s="596" t="s">
        <v>692</v>
      </c>
      <c r="FI148" s="594" t="e">
        <v>#N/A</v>
      </c>
      <c r="FJ148" s="594" t="e">
        <v>#N/A</v>
      </c>
      <c r="FK148" s="560"/>
      <c r="FL148" s="560"/>
      <c r="FM148" s="560"/>
      <c r="FN148" s="560"/>
      <c r="FO148" s="560">
        <f>O148+((Sheet1!CS150)*GPMtoMGD)</f>
        <v>60.9</v>
      </c>
      <c r="FP148" s="560">
        <f>IF(Sheet1!AA150+AQ148&lt;=Calculation!N148,AQ148,Calculation!N148-Sheet1!AA150)</f>
        <v>28.350886206010788</v>
      </c>
      <c r="FQ148" s="560">
        <f>(Sheet1!BP150+Sheet1!BO150)/694.4</f>
        <v>2.8428859447004609</v>
      </c>
      <c r="FR148" s="560"/>
      <c r="FS148" s="560"/>
      <c r="FT148" s="560"/>
      <c r="FU148" s="560"/>
      <c r="FV148" s="695">
        <f t="shared" si="350"/>
        <v>41827</v>
      </c>
      <c r="FW148" s="695">
        <f t="shared" si="351"/>
        <v>41934</v>
      </c>
      <c r="FX148" s="560"/>
      <c r="FY148" s="560"/>
      <c r="FZ148" s="560"/>
      <c r="GA148" s="560"/>
      <c r="GB148" s="560" t="str">
        <f t="shared" si="352"/>
        <v>n</v>
      </c>
      <c r="GC148" s="564">
        <f t="shared" si="353"/>
        <v>41691</v>
      </c>
      <c r="GD148" s="695">
        <f t="shared" si="354"/>
        <v>41807</v>
      </c>
      <c r="GE148" s="560">
        <v>6518.9</v>
      </c>
      <c r="GF148" s="695">
        <f t="shared" si="355"/>
        <v>41808</v>
      </c>
      <c r="GG148" s="560">
        <f t="shared" si="374"/>
        <v>3259</v>
      </c>
      <c r="GH148" s="564">
        <f t="shared" si="356"/>
        <v>41934</v>
      </c>
      <c r="GJ148" s="545">
        <f t="shared" si="357"/>
        <v>0</v>
      </c>
      <c r="GK148" s="560" t="str">
        <f t="shared" si="331"/>
        <v/>
      </c>
      <c r="GL148" s="560">
        <f t="shared" si="358"/>
        <v>0</v>
      </c>
      <c r="GM148" s="560" t="str">
        <f t="shared" si="359"/>
        <v/>
      </c>
      <c r="GN148" s="560">
        <f>IF(GK148="P",Lookup!$M$12,IF(GK148="PP",Lookup!$M$13,IF(GK148="PPP",Lookup!$M$14,IF(GK148="T",Lookup!$M$15,IF(GK148="TP",Lookup!$M$16,IF(GK148="TPP",Lookup!$M$17,IF(GK148="TPPP",Lookup!$M$18,0)))))))*GJ148</f>
        <v>0</v>
      </c>
      <c r="GO148" s="560">
        <f t="shared" si="360"/>
        <v>0</v>
      </c>
      <c r="GP148" s="560">
        <f t="shared" si="332"/>
        <v>7106.306133333338</v>
      </c>
      <c r="GQ148" s="560">
        <f t="shared" si="368"/>
        <v>2316.2666666666682</v>
      </c>
      <c r="GR148" s="560"/>
      <c r="GS148" s="560">
        <f t="shared" si="361"/>
        <v>0</v>
      </c>
      <c r="GT148" s="560" t="str">
        <f t="shared" si="362"/>
        <v/>
      </c>
      <c r="GU148" s="560">
        <f>IF(GK148="P",Lookup!$N$12,IF(GK148="PP",Lookup!$N$13,IF(GK148="PPP",Lookup!$N$14,IF(GK148="T",Lookup!$N$15,IF(GK148="TP",Lookup!$N$16,IF(GK148="TPP",Lookup!$N$17,IF(GK148="TPPP",Lookup!$N$18,0)))))))*GJ148</f>
        <v>0</v>
      </c>
      <c r="GV148" s="560">
        <f t="shared" si="363"/>
        <v>0</v>
      </c>
      <c r="GW148" s="560">
        <f t="shared" si="333"/>
        <v>3316.2761955555525</v>
      </c>
      <c r="GX148" s="560">
        <f t="shared" si="369"/>
        <v>1080.9244444444435</v>
      </c>
      <c r="GY148" s="560"/>
      <c r="GZ148" s="560">
        <f t="shared" si="364"/>
        <v>0</v>
      </c>
      <c r="HA148" s="560" t="str">
        <f t="shared" si="365"/>
        <v/>
      </c>
      <c r="HB148" s="560">
        <f>IF(GK148="P",Lookup!$N$12,IF(GK148="PP",Lookup!$N$13,IF(GK148="PPP",Lookup!$N$14,IF(GK148="T",Lookup!$N$15,IF(GK148="TP",Lookup!$N$16,IF(GK148="TPP",Lookup!$N$17,IF(GK148="TPPP",Lookup!$N$18,0)))))))*GJ148</f>
        <v>0</v>
      </c>
      <c r="HC148" s="545">
        <f t="shared" si="334"/>
        <v>0</v>
      </c>
      <c r="HD148" s="560">
        <f t="shared" si="335"/>
        <v>2612.652965322583</v>
      </c>
      <c r="HE148" s="560">
        <f t="shared" si="370"/>
        <v>851.58180095260195</v>
      </c>
      <c r="HF148" s="560"/>
      <c r="HG148" s="560">
        <f t="shared" si="366"/>
        <v>0</v>
      </c>
      <c r="HH148" s="560" t="str">
        <f t="shared" si="367"/>
        <v/>
      </c>
      <c r="HI148" s="560">
        <f>IF(GK148="P",Lookup!$N$12,IF(GK148="PP",Lookup!$N$13,IF(GK148="PPP",Lookup!$N$14,IF(GK148="T",Lookup!$N$15,IF(GK148="TP",Lookup!$N$16,IF(GK148="TPP",Lookup!$N$17,IF(GK148="TPPP",Lookup!$N$18,0)))))))*GJ148</f>
        <v>0</v>
      </c>
      <c r="HJ148" s="545">
        <f t="shared" si="336"/>
        <v>0</v>
      </c>
      <c r="HK148" s="560">
        <f t="shared" si="337"/>
        <v>1864.2336295055318</v>
      </c>
      <c r="HL148" s="560">
        <f t="shared" si="371"/>
        <v>607.63808002135977</v>
      </c>
      <c r="HM148" s="560"/>
    </row>
    <row r="149" spans="1:221">
      <c r="A149" s="580" t="s">
        <v>3</v>
      </c>
      <c r="B149" s="556">
        <v>41777</v>
      </c>
      <c r="C149" s="561">
        <v>0</v>
      </c>
      <c r="D149" s="529">
        <f t="shared" si="372"/>
        <v>300</v>
      </c>
      <c r="E149" s="529">
        <f t="shared" si="373"/>
        <v>250</v>
      </c>
      <c r="F149" s="529">
        <v>250</v>
      </c>
      <c r="G149" s="560">
        <f>DR149+Sheet1!CZ151</f>
        <v>1262.9803328290477</v>
      </c>
      <c r="H149" s="914">
        <f t="shared" si="338"/>
        <v>549.42728714069642</v>
      </c>
      <c r="I149" s="559">
        <f>MAX(Sheet1!Z151-AT149+(Sheet1!DA151-E149)*CFStoMGD,0)</f>
        <v>950.42399999999998</v>
      </c>
      <c r="J149" s="562">
        <f>IF(AND(B149&gt;=Calculation!GC149,B149&lt;=Calculation!GD149),IF(Sheet1!DB151&gt;=Calculation!D149,64.64,0),MAX(Sheet1!Z151-AT149+(Sheet1!DB151-D149)*CFStoMGD,0))</f>
        <v>64.64</v>
      </c>
      <c r="K149" s="904">
        <f t="shared" si="273"/>
        <v>64.64</v>
      </c>
      <c r="L149" s="560">
        <f>Sheet1!AA151+Sheet1!AB151-Sheet1!L151+(Sheet1!DA151-F149)*CFStoMGD</f>
        <v>972.32399999999996</v>
      </c>
      <c r="M149" s="560">
        <f t="shared" si="274"/>
        <v>832.71829688351045</v>
      </c>
      <c r="N149" s="910">
        <f>IF(Sheet1!DA151&gt;=F149,MIN(73,MIN(MAX(L149,0),MAX(M149,0))),0)</f>
        <v>73</v>
      </c>
      <c r="O149" s="563">
        <f>Sheet1!AA151+Sheet1!AB151</f>
        <v>60.9</v>
      </c>
      <c r="P149" s="563">
        <f t="shared" si="275"/>
        <v>94.212299999999999</v>
      </c>
      <c r="Q149" s="898">
        <f t="shared" si="339"/>
        <v>51.89</v>
      </c>
      <c r="R149" s="829">
        <f t="shared" si="276"/>
        <v>9.0076903358113309</v>
      </c>
      <c r="S149" s="898">
        <f t="shared" si="340"/>
        <v>9.01</v>
      </c>
      <c r="T149" s="898">
        <f t="shared" si="341"/>
        <v>55.63</v>
      </c>
      <c r="U149" s="898">
        <f t="shared" si="342"/>
        <v>0</v>
      </c>
      <c r="V149" s="898"/>
      <c r="W149" s="898">
        <f t="shared" si="343"/>
        <v>55.632309664188668</v>
      </c>
      <c r="X149" s="898">
        <f t="shared" si="344"/>
        <v>64.64</v>
      </c>
      <c r="Y149" s="898" t="str">
        <f t="shared" si="345"/>
        <v>FALSE</v>
      </c>
      <c r="Z149" s="898">
        <f t="shared" si="346"/>
        <v>60.9</v>
      </c>
      <c r="AA149" s="898">
        <f t="shared" si="347"/>
        <v>60.9</v>
      </c>
      <c r="AB149" s="898" t="str">
        <f t="shared" si="348"/>
        <v/>
      </c>
      <c r="AC149" s="563">
        <f>Sheet1!Y151*MGDtoCFS</f>
        <v>33.879299999999994</v>
      </c>
      <c r="AD149" s="563">
        <f>Sheet1!Z151*MGDtoCFS</f>
        <v>60.332999999999998</v>
      </c>
      <c r="AE149" s="563">
        <f>Sheet1!AA151*MGDtoCFS</f>
        <v>33.879299999999994</v>
      </c>
      <c r="AF149" s="563">
        <f>Sheet1!AB151*MGDtoCFS</f>
        <v>60.332999999999998</v>
      </c>
      <c r="AG149" s="563">
        <f>Sheet1!L151*MGDtoCFS</f>
        <v>0</v>
      </c>
      <c r="AH149" s="545">
        <f t="shared" si="277"/>
        <v>0</v>
      </c>
      <c r="AI149" s="560">
        <f t="shared" si="278"/>
        <v>0</v>
      </c>
      <c r="AJ149" s="560">
        <f t="shared" si="279"/>
        <v>55.632309664188668</v>
      </c>
      <c r="AK149" s="560">
        <f t="shared" si="280"/>
        <v>86.063183050499859</v>
      </c>
      <c r="AL149" s="560">
        <f>(VLOOKUP(Sheet1!DC151,hhdcap_wcm,4)-(((VLOOKUP(Sheet1!DC151,hhdcap_wcm,3)-Sheet1!DC151)/(VLOOKUP(Sheet1!DC151,hhdcap_wcm,3)-VLOOKUP(Sheet1!DC151,hhdcap_wcm,1)))*(VLOOKUP(Sheet1!DC151,hhdcap_wcm,4)-VLOOKUP(Sheet1!DC151,hhdcap_wcm,2))))</f>
        <v>45868.400000111033</v>
      </c>
      <c r="AM149" s="560">
        <f t="shared" si="281"/>
        <v>65.400000000001455</v>
      </c>
      <c r="AN149" s="560">
        <f t="shared" si="282"/>
        <v>4912.0433017492624</v>
      </c>
      <c r="AO149" s="560">
        <f t="shared" si="283"/>
        <v>15070.148849766738</v>
      </c>
      <c r="AP149" s="560">
        <f>Sheet1!BA151+Sheet1!BB151+Sheet1!BN151+CD149</f>
        <v>30</v>
      </c>
      <c r="AQ149" s="560">
        <f>Sheet1!BN151+(DO149*Sheet1!BN151)</f>
        <v>28.392719815431942</v>
      </c>
      <c r="AR149" s="560">
        <f>Sheet1!BA151+CD149</f>
        <v>0</v>
      </c>
      <c r="AS149" s="560">
        <f>Sheet1!BA151+Sheet1!BB151+CD149</f>
        <v>1.6</v>
      </c>
      <c r="AT149" s="698">
        <f>0</f>
        <v>0</v>
      </c>
      <c r="AU149" s="560">
        <f>IF(EB149&lt;K149,0,MAX(Sheet1!AA151+AQ149-15/36*K149-N149,Sheet1!EH151,0))</f>
        <v>0</v>
      </c>
      <c r="AV149" s="560">
        <f>IF(OR(B149&gt;=GD149,B149&lt;GC149),0,15/36*K149-MAX(0,64.6-(137.6-(Sheet1!AA151+Sheet1!AB151))))</f>
        <v>26.933333333333334</v>
      </c>
      <c r="AW149" s="698">
        <f>Sheet1!DB151-110</f>
        <v>1060</v>
      </c>
      <c r="AX149" s="698">
        <f>Sheet1!DA151-265</f>
        <v>1395</v>
      </c>
      <c r="AY149" s="698">
        <f t="shared" si="284"/>
        <v>21.11</v>
      </c>
      <c r="AZ149" s="698">
        <v>0</v>
      </c>
      <c r="BA149" s="698">
        <f t="shared" si="285"/>
        <v>0</v>
      </c>
      <c r="BB149" s="560">
        <f t="shared" si="286"/>
        <v>2343.2000000000016</v>
      </c>
      <c r="BC149" s="560"/>
      <c r="BD149" s="560">
        <f ca="1">IF(B149&gt;Summary!$A$1,#N/A,BB149*MGtoAF)</f>
        <v>7188.9376000000047</v>
      </c>
      <c r="BE149" s="560">
        <f>Sheet1!BG151+Sheet1!BH151+Sheet1!BI151-BM149</f>
        <v>0</v>
      </c>
      <c r="BF149" s="560">
        <f t="shared" si="287"/>
        <v>0</v>
      </c>
      <c r="BG149" s="560">
        <f>IF(Sheet1!EP151="FM",BM149,0)</f>
        <v>0</v>
      </c>
      <c r="BH149" s="560">
        <f t="shared" si="288"/>
        <v>0</v>
      </c>
      <c r="BI149" s="560">
        <f>IF(Sheet1!EP151="OTHER",BM149,0)</f>
        <v>0</v>
      </c>
      <c r="BJ149" s="560">
        <f t="shared" si="289"/>
        <v>0</v>
      </c>
      <c r="BK149" s="560">
        <f t="shared" si="290"/>
        <v>0</v>
      </c>
      <c r="BL149" s="560">
        <f t="shared" si="291"/>
        <v>0</v>
      </c>
      <c r="BM149" s="560">
        <f>IF(OR(Sheet1!EP151="FM", Sheet1!EP151="OTHER"),SUM(Sheet1!BG151:'Sheet1'!BI151),0)</f>
        <v>0</v>
      </c>
      <c r="BN149" s="545">
        <f>IF(AND($B149&gt;=$FV149,$B149&lt;=$FW149),MAX(BF149,Sheet1!EI151,0),MAX(BF149-(7/36)*$K149,0))</f>
        <v>0</v>
      </c>
      <c r="BO149" s="560">
        <f t="shared" si="292"/>
        <v>12.568888888888889</v>
      </c>
      <c r="BP149" s="545">
        <f t="shared" si="293"/>
        <v>0</v>
      </c>
      <c r="BQ149" s="545">
        <f>IF(AND($O149&gt;0,Sheet1!EM151=1),(1-($O149-Sheet1!$L151)/$O149)*BL149,0)</f>
        <v>0</v>
      </c>
      <c r="BR149" s="545">
        <f>IF(AND(Sheet1!$L151=0,Sheet1!$L150=0, Calculation!BK149&lt;Sheet1!$EI151-0.1,Sheet1!$EI151=Sheet1!$EI150,Sheet1!$EI151=Sheet1!$EI152),Sheet1!$EI151,BL149-BQ149)</f>
        <v>0</v>
      </c>
      <c r="BS149" s="560"/>
      <c r="BT149" s="560"/>
      <c r="BU149" s="560">
        <f t="shared" si="294"/>
        <v>1093.4933333333324</v>
      </c>
      <c r="BV149" s="560"/>
      <c r="BW149" s="560">
        <f ca="1">IF(B149&gt;Summary!$A$1,#N/A,BU149*MGtoAF)</f>
        <v>3354.8375466666639</v>
      </c>
      <c r="BX149" s="560">
        <f>Sheet1!BC151+Sheet1!BD151+Sheet1!BE151+Sheet1!BF151-CG149-CH149</f>
        <v>2.5</v>
      </c>
      <c r="BY149" s="560">
        <f t="shared" si="295"/>
        <v>2.4993591386823892</v>
      </c>
      <c r="BZ149" s="560">
        <f>IF(Sheet1!EQ151="FM",CH149,0)</f>
        <v>0</v>
      </c>
      <c r="CA149" s="560">
        <f t="shared" si="296"/>
        <v>0</v>
      </c>
      <c r="CB149" s="560">
        <f>IF(Sheet1!EQ151="OTHER",CH149,0)</f>
        <v>0</v>
      </c>
      <c r="CC149" s="560">
        <f t="shared" si="297"/>
        <v>0</v>
      </c>
      <c r="CD149" s="560">
        <f t="shared" si="298"/>
        <v>0</v>
      </c>
      <c r="CE149" s="560">
        <f t="shared" si="299"/>
        <v>2.5</v>
      </c>
      <c r="CF149" s="560">
        <f t="shared" si="300"/>
        <v>2.4993591386823892</v>
      </c>
      <c r="CG149" s="560">
        <f>IF(Sheet1!EQ151="CWA",SUM(Sheet1!BC151:'Sheet1'!BF151),0)</f>
        <v>0</v>
      </c>
      <c r="CH149" s="560">
        <f>IF(OR(Sheet1!EQ151="FM", Sheet1!EQ151="OTHER"),SUM(Sheet1!BC151:'Sheet1'!BF151),0)</f>
        <v>0</v>
      </c>
      <c r="CI149" s="545">
        <f>IF(AND($B149&gt;=$FV149,$B149&lt;=$FW149),MAX(CF149,Sheet1!EJ151,0),MAX(CF149-(7/36)*$K149,0))</f>
        <v>0</v>
      </c>
      <c r="CJ149" s="560">
        <f t="shared" si="301"/>
        <v>10.069529750206499</v>
      </c>
      <c r="CK149" s="545">
        <f t="shared" si="302"/>
        <v>2.4993591386823892</v>
      </c>
      <c r="CL149" s="545">
        <f>IF(AND($O149&gt;0,Sheet1!EN151=1),(1-($O149-Sheet1!$L151)/$O149)*CF149,0)</f>
        <v>0</v>
      </c>
      <c r="CM149" s="545">
        <f>IF(AND(Sheet1!$L151=0,Sheet1!$L150=0, Calculation!CE149&lt;Sheet1!EJ151-0.1,Sheet1!EJ151=Sheet1!EJ150,Sheet1!EJ151=Sheet1!EJ152),Sheet1!EJ151,CF149-CL149)</f>
        <v>2.4993591386823892</v>
      </c>
      <c r="CN149" s="545"/>
      <c r="CO149" s="560"/>
      <c r="CP149" s="560">
        <f t="shared" si="303"/>
        <v>861.65133070280842</v>
      </c>
      <c r="CQ149" s="560"/>
      <c r="CR149" s="560">
        <f ca="1">IF(B149&gt;Summary!$A$1,#N/A,CP149*MGtoAF)</f>
        <v>2643.5462825962163</v>
      </c>
      <c r="CS149" s="560">
        <f>Sheet1!BK151+Sheet1!BL151+Sheet1!BM151-Sheet1!ER151-DA149</f>
        <v>6.51</v>
      </c>
      <c r="CT149" s="560">
        <f t="shared" si="304"/>
        <v>6.5083311971289417</v>
      </c>
      <c r="CU149" s="560">
        <f>IF(Sheet1!ER151="FM",DA149,0)</f>
        <v>0</v>
      </c>
      <c r="CV149" s="560">
        <f t="shared" si="305"/>
        <v>0</v>
      </c>
      <c r="CW149" s="560">
        <f>IF(Sheet1!ER151="OTHER",DA149,0)</f>
        <v>0</v>
      </c>
      <c r="CX149" s="560">
        <f t="shared" si="306"/>
        <v>0</v>
      </c>
      <c r="CY149" s="560">
        <f t="shared" si="307"/>
        <v>6.51</v>
      </c>
      <c r="CZ149" s="560">
        <f t="shared" si="308"/>
        <v>6.5083311971289417</v>
      </c>
      <c r="DA149" s="560">
        <f>IF(OR(Sheet1!ER151="FM", Sheet1!ER151="OTHER"),SUM(Sheet1!BK151:'Sheet1'!BM151),0)</f>
        <v>0</v>
      </c>
      <c r="DB149" s="545">
        <f>IF(AND($B149&gt;=$FV149,$B149&lt;=$FW149),MAX($CT149,Sheet1!EK151,0),MAX($CT149-(7/36)*$K149,0))</f>
        <v>0</v>
      </c>
      <c r="DC149" s="560">
        <f t="shared" si="309"/>
        <v>6.0605576917599473</v>
      </c>
      <c r="DD149" s="545">
        <f t="shared" si="310"/>
        <v>6.5083311971289417</v>
      </c>
      <c r="DE149" s="545">
        <f>IF(AND($O149&gt;0,Sheet1!EO151=1),(1-($O149-Sheet1!$L151)/$O149)*CZ149,0)</f>
        <v>0</v>
      </c>
      <c r="DF149" s="545">
        <f>IF(AND(Sheet1!$L151=0,Sheet1!$L150=0, Calculation!CY149&lt;Sheet1!$EK151-0.1,Sheet1!$EK151=Sheet1!$EK150,Sheet1!$EK151=Sheet1!$EK152),Sheet1!$EK151,CZ149-DE149)</f>
        <v>6.5083311971289417</v>
      </c>
      <c r="DG149" s="545"/>
      <c r="DH149" s="560">
        <f t="shared" si="311"/>
        <v>9.01</v>
      </c>
      <c r="DI149" s="560">
        <f t="shared" si="312"/>
        <v>613.69863771311975</v>
      </c>
      <c r="DJ149" s="698">
        <f t="shared" si="313"/>
        <v>9.0076903358113309</v>
      </c>
      <c r="DK149" s="560">
        <f ca="1">IF(B149&gt;Summary!$A$1,#N/A,DI149*MGtoAF)</f>
        <v>1882.8274205038515</v>
      </c>
      <c r="DL149" s="698">
        <f t="shared" si="314"/>
        <v>9.01</v>
      </c>
      <c r="DM149" s="560">
        <f t="shared" si="315"/>
        <v>39.01</v>
      </c>
      <c r="DN149" s="560">
        <f>Sheet1!AB151-DM149</f>
        <v>-9.9999999999980105E-3</v>
      </c>
      <c r="DO149" s="823">
        <f t="shared" si="316"/>
        <v>-2.5634452704429659E-4</v>
      </c>
      <c r="DP149" s="560">
        <f>(VLOOKUP(Sheet1!DC151,hhdcap_wcm,4)-(((VLOOKUP(Sheet1!DC151,hhdcap_wcm,3)-Sheet1!DC151)/(VLOOKUP(Sheet1!DC151,hhdcap_wcm,3)-VLOOKUP(Sheet1!DC151,hhdcap_wcm,1)))*(VLOOKUP(Sheet1!DC151,hhdcap_wcm,4)-VLOOKUP(Sheet1!DC151,hhdcap_wcm,2))))</f>
        <v>45868.400000111033</v>
      </c>
      <c r="DQ149" s="560">
        <f t="shared" si="317"/>
        <v>65.400000000001455</v>
      </c>
      <c r="DR149" s="560">
        <f t="shared" si="318"/>
        <v>32.980332829047626</v>
      </c>
      <c r="DS149" s="560">
        <f>Sheet1!EA151*AFtoMG</f>
        <v>0</v>
      </c>
      <c r="DT149" s="560">
        <f>Sheet1!EB151*AFtoMG</f>
        <v>0</v>
      </c>
      <c r="DU149" s="560">
        <f>Sheet1!EC151*AFtoMG</f>
        <v>0</v>
      </c>
      <c r="DV149" s="560">
        <f>Sheet1!ED151*AFtoMG</f>
        <v>0</v>
      </c>
      <c r="DW149" s="560">
        <f t="shared" si="319"/>
        <v>0</v>
      </c>
      <c r="DX149" s="560">
        <f t="shared" si="320"/>
        <v>0</v>
      </c>
      <c r="DY149" s="560">
        <f t="shared" si="321"/>
        <v>4912.0433017492624</v>
      </c>
      <c r="DZ149" s="560">
        <f t="shared" si="322"/>
        <v>15070.148849766738</v>
      </c>
      <c r="EA149" s="560"/>
      <c r="EB149" s="545">
        <f>IF(OR(B149&lt;FV149,B149&gt;FW149),(MIN(BF149+BY149+CT149+MAX(Sheet1!AA151+AQ149-73,0),K149)),0)</f>
        <v>9.0076903358113309</v>
      </c>
      <c r="EC149" s="560"/>
      <c r="ED149" s="560">
        <f t="shared" si="323"/>
        <v>9.0076903358113309</v>
      </c>
      <c r="EE149" s="560"/>
      <c r="EF149" s="560">
        <f>Sheet1!EH151+Sheet1!EI151+Sheet1!EJ151+Sheet1!EK151</f>
        <v>9.01</v>
      </c>
      <c r="EG149" s="560"/>
      <c r="EH149" s="545">
        <f t="shared" si="324"/>
        <v>0</v>
      </c>
      <c r="EI149" s="560">
        <f>IF(Sheet1!ET151=1,SUM('Calculations II'!AT149:BA149)+'Calculations II'!BC149+Sheet1!BV151+'Calculations II'!BE149+AP149,SUM('Calculations II'!AT149:BA149)+'Calculations II'!BC149+Sheet1!BV151+'Calculations II'!BE149+AP149)</f>
        <v>55.905968000000001</v>
      </c>
      <c r="EJ149" s="560">
        <f>Sheet1!AA151+Sheet1!AB151+'Calculations II'!BC149</f>
        <v>60.9</v>
      </c>
      <c r="EK149" s="560"/>
      <c r="EL149" s="560"/>
      <c r="EM149" s="560">
        <f t="shared" si="325"/>
        <v>41777</v>
      </c>
      <c r="EN149" s="560">
        <f t="shared" si="326"/>
        <v>55.632309664188668</v>
      </c>
      <c r="EO149" s="560">
        <f t="shared" si="327"/>
        <v>86.063183050499859</v>
      </c>
      <c r="EP149" s="560">
        <v>0</v>
      </c>
      <c r="EQ149" s="560">
        <v>0</v>
      </c>
      <c r="ER149" s="560">
        <v>0</v>
      </c>
      <c r="ES149" s="545">
        <f t="shared" si="349"/>
        <v>-1.6598569486465231</v>
      </c>
      <c r="ET149" s="560">
        <f>-(VLOOKUP(Sheet1!BQ151,Lookup!$O$4:$Q$262,2)-VLOOKUP(Sheet1!BQ150,Lookup!$O$4:$Q$262,2))/1000000</f>
        <v>-0.82992847432326156</v>
      </c>
      <c r="EU149" s="560">
        <f>-(VLOOKUP(Sheet1!BR151,Lookup!$O$4:$Q$262,3)-VLOOKUP(Sheet1!BR150,Lookup!$O$4:$Q$262,3))/1000000</f>
        <v>-0.82992847432326156</v>
      </c>
      <c r="EV149" s="560"/>
      <c r="EW149" s="560"/>
      <c r="EX149" s="560"/>
      <c r="EY149" s="560"/>
      <c r="EZ149" s="560"/>
      <c r="FA149" s="560"/>
      <c r="FB149" s="560"/>
      <c r="FC149" s="560"/>
      <c r="FD149" s="594" t="e">
        <f t="shared" si="328"/>
        <v>#N/A</v>
      </c>
      <c r="FE149" s="594" t="e">
        <f t="shared" si="329"/>
        <v>#N/A</v>
      </c>
      <c r="FF149" s="595" t="e">
        <f t="shared" si="330"/>
        <v>#N/A</v>
      </c>
      <c r="FG149" s="596" t="s">
        <v>692</v>
      </c>
      <c r="FH149" s="596" t="s">
        <v>692</v>
      </c>
      <c r="FI149" s="594" t="e">
        <v>#N/A</v>
      </c>
      <c r="FJ149" s="594" t="e">
        <v>#N/A</v>
      </c>
      <c r="FK149" s="560"/>
      <c r="FL149" s="560"/>
      <c r="FM149" s="560"/>
      <c r="FN149" s="560"/>
      <c r="FO149" s="560">
        <f>O149+((Sheet1!CS151)*GPMtoMGD)</f>
        <v>60.9</v>
      </c>
      <c r="FP149" s="560">
        <f>IF(Sheet1!AA151+AQ149&lt;=Calculation!N149,AQ149,Calculation!N149-Sheet1!AA151)</f>
        <v>28.392719815431942</v>
      </c>
      <c r="FQ149" s="560">
        <f>(Sheet1!BP151+Sheet1!BO151)/694.4</f>
        <v>1.6575460829493087</v>
      </c>
      <c r="FR149" s="560"/>
      <c r="FS149" s="560"/>
      <c r="FT149" s="560"/>
      <c r="FU149" s="560"/>
      <c r="FV149" s="695">
        <f t="shared" si="350"/>
        <v>41827</v>
      </c>
      <c r="FW149" s="695">
        <f t="shared" si="351"/>
        <v>41934</v>
      </c>
      <c r="FX149" s="560"/>
      <c r="FY149" s="560"/>
      <c r="FZ149" s="560"/>
      <c r="GA149" s="560"/>
      <c r="GB149" s="560" t="str">
        <f t="shared" si="352"/>
        <v>n</v>
      </c>
      <c r="GC149" s="564">
        <f t="shared" si="353"/>
        <v>41691</v>
      </c>
      <c r="GD149" s="695">
        <f t="shared" si="354"/>
        <v>41807</v>
      </c>
      <c r="GE149" s="560">
        <v>6518.9</v>
      </c>
      <c r="GF149" s="695">
        <f t="shared" si="355"/>
        <v>41808</v>
      </c>
      <c r="GG149" s="560">
        <f t="shared" si="374"/>
        <v>3259</v>
      </c>
      <c r="GH149" s="564">
        <f t="shared" si="356"/>
        <v>41934</v>
      </c>
      <c r="GJ149" s="545">
        <f t="shared" si="357"/>
        <v>0</v>
      </c>
      <c r="GK149" s="560" t="str">
        <f t="shared" si="331"/>
        <v/>
      </c>
      <c r="GL149" s="560">
        <f t="shared" si="358"/>
        <v>0</v>
      </c>
      <c r="GM149" s="560" t="str">
        <f t="shared" si="359"/>
        <v/>
      </c>
      <c r="GN149" s="560">
        <f>IF(GK149="P",Lookup!$M$12,IF(GK149="PP",Lookup!$M$13,IF(GK149="PPP",Lookup!$M$14,IF(GK149="T",Lookup!$M$15,IF(GK149="TP",Lookup!$M$16,IF(GK149="TPP",Lookup!$M$17,IF(GK149="TPPP",Lookup!$M$18,0)))))))*GJ149</f>
        <v>0</v>
      </c>
      <c r="GO149" s="560">
        <f t="shared" si="360"/>
        <v>0</v>
      </c>
      <c r="GP149" s="560">
        <f t="shared" si="332"/>
        <v>7188.9376000000047</v>
      </c>
      <c r="GQ149" s="560">
        <f t="shared" si="368"/>
        <v>2343.2000000000016</v>
      </c>
      <c r="GR149" s="560"/>
      <c r="GS149" s="560">
        <f t="shared" si="361"/>
        <v>0</v>
      </c>
      <c r="GT149" s="560" t="str">
        <f t="shared" si="362"/>
        <v/>
      </c>
      <c r="GU149" s="560">
        <f>IF(GK149="P",Lookup!$N$12,IF(GK149="PP",Lookup!$N$13,IF(GK149="PPP",Lookup!$N$14,IF(GK149="T",Lookup!$N$15,IF(GK149="TP",Lookup!$N$16,IF(GK149="TPP",Lookup!$N$17,IF(GK149="TPPP",Lookup!$N$18,0)))))))*GJ149</f>
        <v>0</v>
      </c>
      <c r="GV149" s="560">
        <f t="shared" si="363"/>
        <v>0</v>
      </c>
      <c r="GW149" s="560">
        <f t="shared" si="333"/>
        <v>3354.8375466666639</v>
      </c>
      <c r="GX149" s="560">
        <f t="shared" si="369"/>
        <v>1093.4933333333324</v>
      </c>
      <c r="GY149" s="560"/>
      <c r="GZ149" s="560">
        <f t="shared" si="364"/>
        <v>0</v>
      </c>
      <c r="HA149" s="560" t="str">
        <f t="shared" si="365"/>
        <v/>
      </c>
      <c r="HB149" s="560">
        <f>IF(GK149="P",Lookup!$N$12,IF(GK149="PP",Lookup!$N$13,IF(GK149="PPP",Lookup!$N$14,IF(GK149="T",Lookup!$N$15,IF(GK149="TP",Lookup!$N$16,IF(GK149="TPP",Lookup!$N$17,IF(GK149="TPPP",Lookup!$N$18,0)))))))*GJ149</f>
        <v>0</v>
      </c>
      <c r="HC149" s="545">
        <f t="shared" si="334"/>
        <v>0</v>
      </c>
      <c r="HD149" s="560">
        <f t="shared" si="335"/>
        <v>2643.5462825962163</v>
      </c>
      <c r="HE149" s="560">
        <f t="shared" si="370"/>
        <v>861.65133070280842</v>
      </c>
      <c r="HF149" s="560"/>
      <c r="HG149" s="560">
        <f t="shared" si="366"/>
        <v>0</v>
      </c>
      <c r="HH149" s="560" t="str">
        <f t="shared" si="367"/>
        <v/>
      </c>
      <c r="HI149" s="560">
        <f>IF(GK149="P",Lookup!$N$12,IF(GK149="PP",Lookup!$N$13,IF(GK149="PPP",Lookup!$N$14,IF(GK149="T",Lookup!$N$15,IF(GK149="TP",Lookup!$N$16,IF(GK149="TPP",Lookup!$N$17,IF(GK149="TPPP",Lookup!$N$18,0)))))))*GJ149</f>
        <v>0</v>
      </c>
      <c r="HJ149" s="545">
        <f t="shared" si="336"/>
        <v>0</v>
      </c>
      <c r="HK149" s="560">
        <f t="shared" si="337"/>
        <v>1882.8274205038515</v>
      </c>
      <c r="HL149" s="560">
        <f t="shared" si="371"/>
        <v>613.69863771311975</v>
      </c>
      <c r="HM149" s="560"/>
    </row>
    <row r="150" spans="1:221">
      <c r="A150" s="580" t="s">
        <v>4</v>
      </c>
      <c r="B150" s="556">
        <v>41778</v>
      </c>
      <c r="C150" s="561">
        <v>0</v>
      </c>
      <c r="D150" s="529">
        <f t="shared" si="372"/>
        <v>300</v>
      </c>
      <c r="E150" s="529">
        <f t="shared" si="373"/>
        <v>250</v>
      </c>
      <c r="F150" s="529">
        <v>250</v>
      </c>
      <c r="G150" s="560">
        <f>DR150+Sheet1!CZ152</f>
        <v>1143.4341906209099</v>
      </c>
      <c r="H150" s="914">
        <f t="shared" si="338"/>
        <v>472.15266081735615</v>
      </c>
      <c r="I150" s="559">
        <f>MAX(Sheet1!Z152-AT150+(Sheet1!DA152-E150)*CFStoMGD,0)</f>
        <v>801.75199999999995</v>
      </c>
      <c r="J150" s="562">
        <f>IF(AND(B150&gt;=Calculation!GC150,B150&lt;=Calculation!GD150),IF(Sheet1!DB152&gt;=Calculation!D150,64.64,0),MAX(Sheet1!Z152-AT150+(Sheet1!DB152-D150)*CFStoMGD,0))</f>
        <v>64.64</v>
      </c>
      <c r="K150" s="904">
        <f t="shared" si="273"/>
        <v>64.64</v>
      </c>
      <c r="L150" s="560">
        <f>Sheet1!AA152+Sheet1!AB152-Sheet1!L152+(Sheet1!DA152-F150)*CFStoMGD</f>
        <v>823.65199999999993</v>
      </c>
      <c r="M150" s="560">
        <f t="shared" si="274"/>
        <v>753.89817803370329</v>
      </c>
      <c r="N150" s="910">
        <f>IF(Sheet1!DA152&gt;=F150,MIN(73,MIN(MAX(L150,0),MAX(M150,0))),0)</f>
        <v>73</v>
      </c>
      <c r="O150" s="563">
        <f>Sheet1!AA152+Sheet1!AB152</f>
        <v>60.9</v>
      </c>
      <c r="P150" s="563">
        <f t="shared" si="275"/>
        <v>94.212299999999999</v>
      </c>
      <c r="Q150" s="898">
        <f t="shared" si="339"/>
        <v>51.879999999999995</v>
      </c>
      <c r="R150" s="829">
        <f t="shared" si="276"/>
        <v>9.0153767298821119</v>
      </c>
      <c r="S150" s="898">
        <f t="shared" si="340"/>
        <v>9.02</v>
      </c>
      <c r="T150" s="898">
        <f t="shared" si="341"/>
        <v>55.620000000000005</v>
      </c>
      <c r="U150" s="898">
        <f t="shared" si="342"/>
        <v>0</v>
      </c>
      <c r="V150" s="898"/>
      <c r="W150" s="898">
        <f t="shared" si="343"/>
        <v>55.624623270117887</v>
      </c>
      <c r="X150" s="898">
        <f t="shared" si="344"/>
        <v>64.64</v>
      </c>
      <c r="Y150" s="898" t="str">
        <f t="shared" si="345"/>
        <v>FALSE</v>
      </c>
      <c r="Z150" s="898">
        <f t="shared" si="346"/>
        <v>60.9</v>
      </c>
      <c r="AA150" s="898">
        <f t="shared" si="347"/>
        <v>60.899999999999991</v>
      </c>
      <c r="AB150" s="898" t="str">
        <f t="shared" si="348"/>
        <v/>
      </c>
      <c r="AC150" s="563">
        <f>Sheet1!Y152*MGDtoCFS</f>
        <v>33.879299999999994</v>
      </c>
      <c r="AD150" s="563">
        <f>Sheet1!Z152*MGDtoCFS</f>
        <v>60.332999999999998</v>
      </c>
      <c r="AE150" s="563">
        <f>Sheet1!AA152*MGDtoCFS</f>
        <v>33.879299999999994</v>
      </c>
      <c r="AF150" s="563">
        <f>Sheet1!AB152*MGDtoCFS</f>
        <v>60.332999999999998</v>
      </c>
      <c r="AG150" s="563">
        <f>Sheet1!L152*MGDtoCFS</f>
        <v>0</v>
      </c>
      <c r="AH150" s="545">
        <f t="shared" si="277"/>
        <v>0</v>
      </c>
      <c r="AI150" s="560">
        <f t="shared" si="278"/>
        <v>0</v>
      </c>
      <c r="AJ150" s="560">
        <f t="shared" si="279"/>
        <v>55.624623270117887</v>
      </c>
      <c r="AK150" s="560">
        <f t="shared" si="280"/>
        <v>86.05129219887236</v>
      </c>
      <c r="AL150" s="560">
        <f>(VLOOKUP(Sheet1!DC152,hhdcap_wcm,4)-(((VLOOKUP(Sheet1!DC152,hhdcap_wcm,3)-Sheet1!DC152)/(VLOOKUP(Sheet1!DC152,hhdcap_wcm,3)-VLOOKUP(Sheet1!DC152,hhdcap_wcm,1)))*(VLOOKUP(Sheet1!DC152,hhdcap_wcm,4)-VLOOKUP(Sheet1!DC152,hhdcap_wcm,2))))</f>
        <v>46133.000000112297</v>
      </c>
      <c r="AM150" s="560">
        <f t="shared" si="281"/>
        <v>264.60000000126456</v>
      </c>
      <c r="AN150" s="560">
        <f t="shared" si="282"/>
        <v>4967.6679250193811</v>
      </c>
      <c r="AO150" s="560">
        <f t="shared" si="283"/>
        <v>15240.805193959461</v>
      </c>
      <c r="AP150" s="560">
        <f>Sheet1!BA152+Sheet1!BB152+Sheet1!BN152+CD150</f>
        <v>30</v>
      </c>
      <c r="AQ150" s="560">
        <f>Sheet1!BN152+(DO150*Sheet1!BN152)</f>
        <v>28.385443362378268</v>
      </c>
      <c r="AR150" s="560">
        <f>Sheet1!BA152+CD150</f>
        <v>0</v>
      </c>
      <c r="AS150" s="560">
        <f>Sheet1!BA152+Sheet1!BB152+CD150</f>
        <v>1.6</v>
      </c>
      <c r="AT150" s="698">
        <f>0</f>
        <v>0</v>
      </c>
      <c r="AU150" s="560">
        <f>IF(EB150&lt;K150,0,MAX(Sheet1!AA152+AQ150-15/36*K150-N150,Sheet1!EH152,0))</f>
        <v>0</v>
      </c>
      <c r="AV150" s="560">
        <f>IF(OR(B150&gt;=GD150,B150&lt;GC150),0,15/36*K150-MAX(0,64.6-(137.6-(Sheet1!AA152+Sheet1!AB152))))</f>
        <v>26.933333333333334</v>
      </c>
      <c r="AW150" s="698">
        <f>Sheet1!DB152-110</f>
        <v>846</v>
      </c>
      <c r="AX150" s="698">
        <f>Sheet1!DA152-265</f>
        <v>1165</v>
      </c>
      <c r="AY150" s="698">
        <f t="shared" si="284"/>
        <v>21.120000000000005</v>
      </c>
      <c r="AZ150" s="698">
        <v>0</v>
      </c>
      <c r="BA150" s="698">
        <f t="shared" si="285"/>
        <v>0</v>
      </c>
      <c r="BB150" s="560">
        <f t="shared" si="286"/>
        <v>2370.133333333335</v>
      </c>
      <c r="BC150" s="560"/>
      <c r="BD150" s="560">
        <f ca="1">IF(B150&gt;Summary!$A$1,#N/A,BB150*MGtoAF)</f>
        <v>7271.5690666666724</v>
      </c>
      <c r="BE150" s="560">
        <f>Sheet1!BG152+Sheet1!BH152+Sheet1!BI152-BM150</f>
        <v>0</v>
      </c>
      <c r="BF150" s="560">
        <f t="shared" si="287"/>
        <v>0</v>
      </c>
      <c r="BG150" s="560">
        <f>IF(Sheet1!EP152="FM",BM150,0)</f>
        <v>0</v>
      </c>
      <c r="BH150" s="560">
        <f t="shared" si="288"/>
        <v>0</v>
      </c>
      <c r="BI150" s="560">
        <f>IF(Sheet1!EP152="OTHER",BM150,0)</f>
        <v>0</v>
      </c>
      <c r="BJ150" s="560">
        <f t="shared" si="289"/>
        <v>0</v>
      </c>
      <c r="BK150" s="560">
        <f t="shared" si="290"/>
        <v>0</v>
      </c>
      <c r="BL150" s="560">
        <f t="shared" si="291"/>
        <v>0</v>
      </c>
      <c r="BM150" s="560">
        <f>IF(OR(Sheet1!EP152="FM", Sheet1!EP152="OTHER"),SUM(Sheet1!BG152:'Sheet1'!BI152),0)</f>
        <v>0</v>
      </c>
      <c r="BN150" s="545">
        <f>IF(AND($B150&gt;=$FV150,$B150&lt;=$FW150),MAX(BF150,Sheet1!EI152,0),MAX(BF150-(7/36)*$K150,0))</f>
        <v>0</v>
      </c>
      <c r="BO150" s="560">
        <f t="shared" si="292"/>
        <v>12.568888888888889</v>
      </c>
      <c r="BP150" s="545">
        <f t="shared" si="293"/>
        <v>0</v>
      </c>
      <c r="BQ150" s="545">
        <f>IF(AND($O150&gt;0,Sheet1!EM152=1),(1-($O150-Sheet1!$L152)/$O150)*BL150,0)</f>
        <v>0</v>
      </c>
      <c r="BR150" s="545">
        <f>IF(AND(Sheet1!$L152=0,Sheet1!$L151=0, Calculation!BK150&lt;Sheet1!$EI152-0.1,Sheet1!$EI152=Sheet1!$EI151,Sheet1!$EI152=Sheet1!$EI153),Sheet1!$EI152,BL150-BQ150)</f>
        <v>0</v>
      </c>
      <c r="BS150" s="560"/>
      <c r="BT150" s="560"/>
      <c r="BU150" s="560">
        <f t="shared" si="294"/>
        <v>1106.0622222222214</v>
      </c>
      <c r="BV150" s="560"/>
      <c r="BW150" s="560">
        <f ca="1">IF(B150&gt;Summary!$A$1,#N/A,BU150*MGtoAF)</f>
        <v>3393.3988977777753</v>
      </c>
      <c r="BX150" s="560">
        <f>Sheet1!BC152+Sheet1!BD152+Sheet1!BE152+Sheet1!BF152-CG150-CH150</f>
        <v>2.4900000000000002</v>
      </c>
      <c r="BY150" s="560">
        <f t="shared" si="295"/>
        <v>2.488723731419785</v>
      </c>
      <c r="BZ150" s="560">
        <f>IF(Sheet1!EQ152="FM",CH150,0)</f>
        <v>0</v>
      </c>
      <c r="CA150" s="560">
        <f t="shared" si="296"/>
        <v>0</v>
      </c>
      <c r="CB150" s="560">
        <f>IF(Sheet1!EQ152="OTHER",CH150,0)</f>
        <v>0</v>
      </c>
      <c r="CC150" s="560">
        <f t="shared" si="297"/>
        <v>0</v>
      </c>
      <c r="CD150" s="560">
        <f t="shared" si="298"/>
        <v>0</v>
      </c>
      <c r="CE150" s="560">
        <f t="shared" si="299"/>
        <v>2.4900000000000002</v>
      </c>
      <c r="CF150" s="560">
        <f t="shared" si="300"/>
        <v>2.488723731419785</v>
      </c>
      <c r="CG150" s="560">
        <f>IF(Sheet1!EQ152="CWA",SUM(Sheet1!BC152:'Sheet1'!BF152),0)</f>
        <v>0</v>
      </c>
      <c r="CH150" s="560">
        <f>IF(OR(Sheet1!EQ152="FM", Sheet1!EQ152="OTHER"),SUM(Sheet1!BC152:'Sheet1'!BF152),0)</f>
        <v>0</v>
      </c>
      <c r="CI150" s="545">
        <f>IF(AND($B150&gt;=$FV150,$B150&lt;=$FW150),MAX(CF150,Sheet1!EJ152,0),MAX(CF150-(7/36)*$K150,0))</f>
        <v>0</v>
      </c>
      <c r="CJ150" s="560">
        <f t="shared" si="301"/>
        <v>10.080165157469104</v>
      </c>
      <c r="CK150" s="545">
        <f t="shared" si="302"/>
        <v>2.488723731419785</v>
      </c>
      <c r="CL150" s="545">
        <f>IF(AND($O150&gt;0,Sheet1!EN152=1),(1-($O150-Sheet1!$L152)/$O150)*CF150,0)</f>
        <v>0</v>
      </c>
      <c r="CM150" s="545">
        <f>IF(AND(Sheet1!$L152=0,Sheet1!$L151=0, Calculation!CE150&lt;Sheet1!EJ152-0.1,Sheet1!EJ152=Sheet1!EJ151,Sheet1!EJ152=Sheet1!EJ153),Sheet1!EJ152,CF150-CL150)</f>
        <v>2.488723731419785</v>
      </c>
      <c r="CN150" s="545"/>
      <c r="CO150" s="560"/>
      <c r="CP150" s="560">
        <f t="shared" si="303"/>
        <v>871.73149586027751</v>
      </c>
      <c r="CQ150" s="560"/>
      <c r="CR150" s="560">
        <f ca="1">IF(B150&gt;Summary!$A$1,#N/A,CP150*MGtoAF)</f>
        <v>2674.4722292993315</v>
      </c>
      <c r="CS150" s="560">
        <f>Sheet1!BK152+Sheet1!BL152+Sheet1!BM152-Sheet1!ER152-DA150</f>
        <v>6.5299999999999994</v>
      </c>
      <c r="CT150" s="560">
        <f t="shared" si="304"/>
        <v>6.5266529984623274</v>
      </c>
      <c r="CU150" s="560">
        <f>IF(Sheet1!ER152="FM",DA150,0)</f>
        <v>0</v>
      </c>
      <c r="CV150" s="560">
        <f t="shared" si="305"/>
        <v>0</v>
      </c>
      <c r="CW150" s="560">
        <f>IF(Sheet1!ER152="OTHER",DA150,0)</f>
        <v>0</v>
      </c>
      <c r="CX150" s="560">
        <f t="shared" si="306"/>
        <v>0</v>
      </c>
      <c r="CY150" s="560">
        <f t="shared" si="307"/>
        <v>6.5299999999999994</v>
      </c>
      <c r="CZ150" s="560">
        <f t="shared" si="308"/>
        <v>6.5266529984623274</v>
      </c>
      <c r="DA150" s="560">
        <f>IF(OR(Sheet1!ER152="FM", Sheet1!ER152="OTHER"),SUM(Sheet1!BK152:'Sheet1'!BM152),0)</f>
        <v>0</v>
      </c>
      <c r="DB150" s="545">
        <f>IF(AND($B150&gt;=$FV150,$B150&lt;=$FW150),MAX($CT150,Sheet1!EK152,0),MAX($CT150-(7/36)*$K150,0))</f>
        <v>0</v>
      </c>
      <c r="DC150" s="560">
        <f t="shared" si="309"/>
        <v>6.0422358904265616</v>
      </c>
      <c r="DD150" s="545">
        <f t="shared" si="310"/>
        <v>6.5266529984623274</v>
      </c>
      <c r="DE150" s="545">
        <f>IF(AND($O150&gt;0,Sheet1!EO152=1),(1-($O150-Sheet1!$L152)/$O150)*CZ150,0)</f>
        <v>0</v>
      </c>
      <c r="DF150" s="545">
        <f>IF(AND(Sheet1!$L152=0,Sheet1!$L151=0, Calculation!CY150&lt;Sheet1!$EK152-0.1,Sheet1!$EK152=Sheet1!$EK151,Sheet1!$EK152=Sheet1!$EK153),Sheet1!$EK152,CZ150-DE150)</f>
        <v>6.5266529984623274</v>
      </c>
      <c r="DG150" s="545"/>
      <c r="DH150" s="560">
        <f t="shared" si="311"/>
        <v>9.02</v>
      </c>
      <c r="DI150" s="560">
        <f t="shared" si="312"/>
        <v>619.74087360354633</v>
      </c>
      <c r="DJ150" s="698">
        <f t="shared" si="313"/>
        <v>9.0153767298821119</v>
      </c>
      <c r="DK150" s="560">
        <f ca="1">IF(B150&gt;Summary!$A$1,#N/A,DI150*MGtoAF)</f>
        <v>1901.3650002156801</v>
      </c>
      <c r="DL150" s="698">
        <f t="shared" si="314"/>
        <v>9.02</v>
      </c>
      <c r="DM150" s="560">
        <f t="shared" si="315"/>
        <v>39.019999999999996</v>
      </c>
      <c r="DN150" s="560">
        <f>Sheet1!AB152-DM150</f>
        <v>-1.9999999999996021E-2</v>
      </c>
      <c r="DO150" s="823">
        <f t="shared" si="316"/>
        <v>-5.1255766273695599E-4</v>
      </c>
      <c r="DP150" s="560">
        <f>(VLOOKUP(Sheet1!DC152,hhdcap_wcm,4)-(((VLOOKUP(Sheet1!DC152,hhdcap_wcm,3)-Sheet1!DC152)/(VLOOKUP(Sheet1!DC152,hhdcap_wcm,3)-VLOOKUP(Sheet1!DC152,hhdcap_wcm,1)))*(VLOOKUP(Sheet1!DC152,hhdcap_wcm,4)-VLOOKUP(Sheet1!DC152,hhdcap_wcm,2))))</f>
        <v>46133.000000112297</v>
      </c>
      <c r="DQ150" s="560">
        <f t="shared" si="317"/>
        <v>264.60000000126456</v>
      </c>
      <c r="DR150" s="560">
        <f t="shared" si="318"/>
        <v>133.43419062090999</v>
      </c>
      <c r="DS150" s="560">
        <f>Sheet1!EA152*AFtoMG</f>
        <v>0</v>
      </c>
      <c r="DT150" s="560">
        <f>Sheet1!EB152*AFtoMG</f>
        <v>0</v>
      </c>
      <c r="DU150" s="560">
        <f>Sheet1!EC152*AFtoMG</f>
        <v>0</v>
      </c>
      <c r="DV150" s="560">
        <f>Sheet1!ED152*AFtoMG</f>
        <v>0</v>
      </c>
      <c r="DW150" s="560">
        <f t="shared" si="319"/>
        <v>0</v>
      </c>
      <c r="DX150" s="560">
        <f t="shared" si="320"/>
        <v>0</v>
      </c>
      <c r="DY150" s="560">
        <f t="shared" si="321"/>
        <v>4967.6679250193811</v>
      </c>
      <c r="DZ150" s="560">
        <f t="shared" si="322"/>
        <v>15240.805193959461</v>
      </c>
      <c r="EA150" s="560"/>
      <c r="EB150" s="545">
        <f>IF(OR(B150&lt;FV150,B150&gt;FW150),(MIN(BF150+BY150+CT150+MAX(Sheet1!AA152+AQ150-73,0),K150)),0)</f>
        <v>9.0153767298821119</v>
      </c>
      <c r="EC150" s="560"/>
      <c r="ED150" s="560">
        <f t="shared" si="323"/>
        <v>9.0153767298821119</v>
      </c>
      <c r="EE150" s="560"/>
      <c r="EF150" s="560">
        <f>Sheet1!EH152+Sheet1!EI152+Sheet1!EJ152+Sheet1!EK152</f>
        <v>9.02</v>
      </c>
      <c r="EG150" s="560"/>
      <c r="EH150" s="545">
        <f t="shared" si="324"/>
        <v>0</v>
      </c>
      <c r="EI150" s="560">
        <f>IF(Sheet1!ET152=1,SUM('Calculations II'!AT150:BA150)+'Calculations II'!BC150+Sheet1!BV152+'Calculations II'!BE150+AP150,SUM('Calculations II'!AT150:BA150)+'Calculations II'!BC150+Sheet1!BV152+'Calculations II'!BE150+AP150)</f>
        <v>54.496784000000005</v>
      </c>
      <c r="EJ150" s="560">
        <f>Sheet1!AA152+Sheet1!AB152+'Calculations II'!BC150</f>
        <v>60.9</v>
      </c>
      <c r="EK150" s="560"/>
      <c r="EL150" s="560"/>
      <c r="EM150" s="560">
        <f t="shared" si="325"/>
        <v>41778</v>
      </c>
      <c r="EN150" s="560">
        <f t="shared" si="326"/>
        <v>55.624623270117887</v>
      </c>
      <c r="EO150" s="560">
        <f t="shared" si="327"/>
        <v>86.05129219887236</v>
      </c>
      <c r="EP150" s="560">
        <v>0</v>
      </c>
      <c r="EQ150" s="560">
        <v>0</v>
      </c>
      <c r="ER150" s="560">
        <v>0</v>
      </c>
      <c r="ES150" s="545">
        <f t="shared" si="349"/>
        <v>-2.7674530693774821</v>
      </c>
      <c r="ET150" s="560">
        <f>-(VLOOKUP(Sheet1!BQ152,Lookup!$O$4:$Q$262,2)-VLOOKUP(Sheet1!BQ151,Lookup!$O$4:$Q$262,2))/1000000</f>
        <v>-1.3837265346887411</v>
      </c>
      <c r="EU150" s="560">
        <f>-(VLOOKUP(Sheet1!BR152,Lookup!$O$4:$Q$262,3)-VLOOKUP(Sheet1!BR151,Lookup!$O$4:$Q$262,3))/1000000</f>
        <v>-1.3837265346887411</v>
      </c>
      <c r="EV150" s="560"/>
      <c r="EW150" s="560"/>
      <c r="EX150" s="560"/>
      <c r="EY150" s="560"/>
      <c r="EZ150" s="560"/>
      <c r="FA150" s="560"/>
      <c r="FB150" s="560"/>
      <c r="FC150" s="560"/>
      <c r="FD150" s="594" t="e">
        <f t="shared" si="328"/>
        <v>#N/A</v>
      </c>
      <c r="FE150" s="594" t="e">
        <f t="shared" si="329"/>
        <v>#N/A</v>
      </c>
      <c r="FF150" s="595" t="e">
        <f t="shared" si="330"/>
        <v>#N/A</v>
      </c>
      <c r="FG150" s="596" t="s">
        <v>692</v>
      </c>
      <c r="FH150" s="596" t="s">
        <v>692</v>
      </c>
      <c r="FI150" s="594" t="e">
        <v>#N/A</v>
      </c>
      <c r="FJ150" s="594" t="e">
        <v>#N/A</v>
      </c>
      <c r="FK150" s="560"/>
      <c r="FL150" s="560"/>
      <c r="FM150" s="560"/>
      <c r="FN150" s="560"/>
      <c r="FO150" s="560">
        <f>O150+((Sheet1!CS152)*GPMtoMGD)</f>
        <v>60.9</v>
      </c>
      <c r="FP150" s="560">
        <f>IF(Sheet1!AA152+AQ150&lt;=Calculation!N150,AQ150,Calculation!N150-Sheet1!AA152)</f>
        <v>28.385443362378268</v>
      </c>
      <c r="FQ150" s="560">
        <f>(Sheet1!BP152+Sheet1!BO152)/694.4</f>
        <v>1.6300403225806452</v>
      </c>
      <c r="FR150" s="560"/>
      <c r="FS150" s="560"/>
      <c r="FT150" s="560"/>
      <c r="FU150" s="560"/>
      <c r="FV150" s="695">
        <f t="shared" si="350"/>
        <v>41827</v>
      </c>
      <c r="FW150" s="695">
        <f t="shared" si="351"/>
        <v>41934</v>
      </c>
      <c r="FX150" s="560"/>
      <c r="FY150" s="560"/>
      <c r="FZ150" s="560"/>
      <c r="GA150" s="560"/>
      <c r="GB150" s="560" t="str">
        <f t="shared" si="352"/>
        <v>n</v>
      </c>
      <c r="GC150" s="564">
        <f t="shared" si="353"/>
        <v>41691</v>
      </c>
      <c r="GD150" s="695">
        <f t="shared" si="354"/>
        <v>41807</v>
      </c>
      <c r="GE150" s="560">
        <v>6518.9</v>
      </c>
      <c r="GF150" s="695">
        <f t="shared" si="355"/>
        <v>41808</v>
      </c>
      <c r="GG150" s="560">
        <f t="shared" si="374"/>
        <v>3259</v>
      </c>
      <c r="GH150" s="564">
        <f t="shared" si="356"/>
        <v>41934</v>
      </c>
      <c r="GJ150" s="545">
        <f t="shared" si="357"/>
        <v>0</v>
      </c>
      <c r="GK150" s="560" t="str">
        <f t="shared" si="331"/>
        <v/>
      </c>
      <c r="GL150" s="560">
        <f t="shared" si="358"/>
        <v>0</v>
      </c>
      <c r="GM150" s="560" t="str">
        <f t="shared" si="359"/>
        <v/>
      </c>
      <c r="GN150" s="560">
        <f>IF(GK150="P",Lookup!$M$12,IF(GK150="PP",Lookup!$M$13,IF(GK150="PPP",Lookup!$M$14,IF(GK150="T",Lookup!$M$15,IF(GK150="TP",Lookup!$M$16,IF(GK150="TPP",Lookup!$M$17,IF(GK150="TPPP",Lookup!$M$18,0)))))))*GJ150</f>
        <v>0</v>
      </c>
      <c r="GO150" s="560">
        <f t="shared" si="360"/>
        <v>0</v>
      </c>
      <c r="GP150" s="560">
        <f t="shared" si="332"/>
        <v>7271.5690666666724</v>
      </c>
      <c r="GQ150" s="560">
        <f t="shared" si="368"/>
        <v>2370.133333333335</v>
      </c>
      <c r="GR150" s="560"/>
      <c r="GS150" s="560">
        <f t="shared" si="361"/>
        <v>0</v>
      </c>
      <c r="GT150" s="560" t="str">
        <f t="shared" si="362"/>
        <v/>
      </c>
      <c r="GU150" s="560">
        <f>IF(GK150="P",Lookup!$N$12,IF(GK150="PP",Lookup!$N$13,IF(GK150="PPP",Lookup!$N$14,IF(GK150="T",Lookup!$N$15,IF(GK150="TP",Lookup!$N$16,IF(GK150="TPP",Lookup!$N$17,IF(GK150="TPPP",Lookup!$N$18,0)))))))*GJ150</f>
        <v>0</v>
      </c>
      <c r="GV150" s="560">
        <f t="shared" si="363"/>
        <v>0</v>
      </c>
      <c r="GW150" s="560">
        <f t="shared" si="333"/>
        <v>3393.3988977777753</v>
      </c>
      <c r="GX150" s="560">
        <f t="shared" si="369"/>
        <v>1106.0622222222214</v>
      </c>
      <c r="GY150" s="560"/>
      <c r="GZ150" s="560">
        <f t="shared" si="364"/>
        <v>0</v>
      </c>
      <c r="HA150" s="560" t="str">
        <f t="shared" si="365"/>
        <v/>
      </c>
      <c r="HB150" s="560">
        <f>IF(GK150="P",Lookup!$N$12,IF(GK150="PP",Lookup!$N$13,IF(GK150="PPP",Lookup!$N$14,IF(GK150="T",Lookup!$N$15,IF(GK150="TP",Lookup!$N$16,IF(GK150="TPP",Lookup!$N$17,IF(GK150="TPPP",Lookup!$N$18,0)))))))*GJ150</f>
        <v>0</v>
      </c>
      <c r="HC150" s="545">
        <f t="shared" si="334"/>
        <v>0</v>
      </c>
      <c r="HD150" s="560">
        <f t="shared" si="335"/>
        <v>2674.4722292993315</v>
      </c>
      <c r="HE150" s="560">
        <f t="shared" si="370"/>
        <v>871.73149586027751</v>
      </c>
      <c r="HF150" s="560"/>
      <c r="HG150" s="560">
        <f t="shared" si="366"/>
        <v>0</v>
      </c>
      <c r="HH150" s="560" t="str">
        <f t="shared" si="367"/>
        <v/>
      </c>
      <c r="HI150" s="560">
        <f>IF(GK150="P",Lookup!$N$12,IF(GK150="PP",Lookup!$N$13,IF(GK150="PPP",Lookup!$N$14,IF(GK150="T",Lookup!$N$15,IF(GK150="TP",Lookup!$N$16,IF(GK150="TPP",Lookup!$N$17,IF(GK150="TPPP",Lookup!$N$18,0)))))))*GJ150</f>
        <v>0</v>
      </c>
      <c r="HJ150" s="545">
        <f t="shared" si="336"/>
        <v>0</v>
      </c>
      <c r="HK150" s="560">
        <f t="shared" si="337"/>
        <v>1901.3650002156801</v>
      </c>
      <c r="HL150" s="560">
        <f t="shared" si="371"/>
        <v>619.74087360354633</v>
      </c>
      <c r="HM150" s="560"/>
    </row>
    <row r="151" spans="1:221">
      <c r="A151" s="580" t="s">
        <v>5</v>
      </c>
      <c r="B151" s="556">
        <v>41779</v>
      </c>
      <c r="C151" s="561">
        <v>0</v>
      </c>
      <c r="D151" s="529">
        <f t="shared" si="372"/>
        <v>300</v>
      </c>
      <c r="E151" s="529">
        <f t="shared" si="373"/>
        <v>250</v>
      </c>
      <c r="F151" s="529">
        <v>250</v>
      </c>
      <c r="G151" s="560">
        <f>DR151+Sheet1!CZ153</f>
        <v>1077.9188098841425</v>
      </c>
      <c r="H151" s="914">
        <f t="shared" si="338"/>
        <v>429.80351870910971</v>
      </c>
      <c r="I151" s="559">
        <f>MAX(Sheet1!Z153-AT151+(Sheet1!DA153-E151)*CFStoMGD,0)</f>
        <v>711.25599999999997</v>
      </c>
      <c r="J151" s="562">
        <f>IF(AND(B151&gt;=Calculation!GC151,B151&lt;=Calculation!GD151),IF(Sheet1!DB153&gt;=Calculation!D151,64.64,0),MAX(Sheet1!Z153-AT151+(Sheet1!DB153-D151)*CFStoMGD,0))</f>
        <v>64.64</v>
      </c>
      <c r="K151" s="904">
        <f t="shared" si="273"/>
        <v>64.64</v>
      </c>
      <c r="L151" s="560">
        <f>Sheet1!AA153+Sheet1!AB153-Sheet1!L153+(Sheet1!DA153-F151)*CFStoMGD</f>
        <v>733.15599999999995</v>
      </c>
      <c r="M151" s="560">
        <f t="shared" si="274"/>
        <v>710.70205308329196</v>
      </c>
      <c r="N151" s="910">
        <f>IF(Sheet1!DA153&gt;=F151,MIN(73,MIN(MAX(L151,0),MAX(M151,0))),0)</f>
        <v>73</v>
      </c>
      <c r="O151" s="563">
        <f>Sheet1!AA153+Sheet1!AB153</f>
        <v>60.900000000000006</v>
      </c>
      <c r="P151" s="563">
        <f t="shared" si="275"/>
        <v>94.212299999999999</v>
      </c>
      <c r="Q151" s="898">
        <f t="shared" si="339"/>
        <v>51.900000000000006</v>
      </c>
      <c r="R151" s="829">
        <f t="shared" si="276"/>
        <v>9.0046142014867989</v>
      </c>
      <c r="S151" s="898">
        <f t="shared" si="340"/>
        <v>9</v>
      </c>
      <c r="T151" s="898">
        <f t="shared" si="341"/>
        <v>55.64</v>
      </c>
      <c r="U151" s="898">
        <f t="shared" si="342"/>
        <v>0</v>
      </c>
      <c r="V151" s="898"/>
      <c r="W151" s="898">
        <f t="shared" si="343"/>
        <v>55.635385798513198</v>
      </c>
      <c r="X151" s="898">
        <f t="shared" si="344"/>
        <v>64.64</v>
      </c>
      <c r="Y151" s="898" t="str">
        <f t="shared" si="345"/>
        <v>FALSE</v>
      </c>
      <c r="Z151" s="898">
        <f t="shared" si="346"/>
        <v>60.900000000000006</v>
      </c>
      <c r="AA151" s="898">
        <f t="shared" si="347"/>
        <v>60.900000000000006</v>
      </c>
      <c r="AB151" s="898" t="str">
        <f t="shared" si="348"/>
        <v/>
      </c>
      <c r="AC151" s="563">
        <f>Sheet1!Y153*MGDtoCFS</f>
        <v>33.879299999999994</v>
      </c>
      <c r="AD151" s="563">
        <f>Sheet1!Z153*MGDtoCFS</f>
        <v>60.332999999999998</v>
      </c>
      <c r="AE151" s="563">
        <f>Sheet1!AA153*MGDtoCFS</f>
        <v>33.832889999999999</v>
      </c>
      <c r="AF151" s="563">
        <f>Sheet1!AB153*MGDtoCFS</f>
        <v>60.37941</v>
      </c>
      <c r="AG151" s="563">
        <f>Sheet1!L153*MGDtoCFS</f>
        <v>0</v>
      </c>
      <c r="AH151" s="545">
        <f t="shared" si="277"/>
        <v>0</v>
      </c>
      <c r="AI151" s="560">
        <f t="shared" si="278"/>
        <v>0</v>
      </c>
      <c r="AJ151" s="560">
        <f t="shared" si="279"/>
        <v>55.635385798513198</v>
      </c>
      <c r="AK151" s="560">
        <f t="shared" si="280"/>
        <v>86.067941830299915</v>
      </c>
      <c r="AL151" s="560">
        <f>(VLOOKUP(Sheet1!DC153,hhdcap_wcm,4)-(((VLOOKUP(Sheet1!DC153,hhdcap_wcm,3)-Sheet1!DC153)/(VLOOKUP(Sheet1!DC153,hhdcap_wcm,3)-VLOOKUP(Sheet1!DC153,hhdcap_wcm,1)))*(VLOOKUP(Sheet1!DC153,hhdcap_wcm,4)-VLOOKUP(Sheet1!DC153,hhdcap_wcm,2))))</f>
        <v>46464.000000112552</v>
      </c>
      <c r="AM151" s="560">
        <f t="shared" si="281"/>
        <v>331.00000000025466</v>
      </c>
      <c r="AN151" s="560">
        <f t="shared" si="282"/>
        <v>5023.3033108178934</v>
      </c>
      <c r="AO151" s="560">
        <f t="shared" si="283"/>
        <v>15411.494557589298</v>
      </c>
      <c r="AP151" s="560">
        <f>Sheet1!BA153+Sheet1!BB153+Sheet1!BN153+CD151</f>
        <v>30.009999999999998</v>
      </c>
      <c r="AQ151" s="560">
        <f>Sheet1!BN153+(DO151*Sheet1!BN153)</f>
        <v>28.414560369136119</v>
      </c>
      <c r="AR151" s="560">
        <f>Sheet1!BA153+CD151</f>
        <v>0</v>
      </c>
      <c r="AS151" s="560">
        <f>Sheet1!BA153+Sheet1!BB153+CD151</f>
        <v>1.61</v>
      </c>
      <c r="AT151" s="698">
        <f>0</f>
        <v>0</v>
      </c>
      <c r="AU151" s="560">
        <f>IF(EB151&lt;K151,0,MAX(Sheet1!AA153+AQ151-15/36*K151-N151,Sheet1!EH153,0))</f>
        <v>0</v>
      </c>
      <c r="AV151" s="560">
        <f>IF(OR(B151&gt;=GD151,B151&lt;GC151),0,15/36*K151-MAX(0,64.6-(137.6-(Sheet1!AA153+Sheet1!AB153))))</f>
        <v>26.933333333333334</v>
      </c>
      <c r="AW151" s="698">
        <f>Sheet1!DB153-110</f>
        <v>762</v>
      </c>
      <c r="AX151" s="698">
        <f>Sheet1!DA153-265</f>
        <v>1025</v>
      </c>
      <c r="AY151" s="698">
        <f t="shared" si="284"/>
        <v>21.099999999999994</v>
      </c>
      <c r="AZ151" s="698">
        <v>0</v>
      </c>
      <c r="BA151" s="698">
        <f t="shared" si="285"/>
        <v>0</v>
      </c>
      <c r="BB151" s="560">
        <f t="shared" si="286"/>
        <v>2397.0666666666684</v>
      </c>
      <c r="BC151" s="560"/>
      <c r="BD151" s="560">
        <f ca="1">IF(B151&gt;Summary!$A$1,#N/A,BB151*MGtoAF)</f>
        <v>7354.2005333333391</v>
      </c>
      <c r="BE151" s="560">
        <f>Sheet1!BG153+Sheet1!BH153+Sheet1!BI153-BM151</f>
        <v>0</v>
      </c>
      <c r="BF151" s="560">
        <f t="shared" si="287"/>
        <v>0</v>
      </c>
      <c r="BG151" s="560">
        <f>IF(Sheet1!EP153="FM",BM151,0)</f>
        <v>0</v>
      </c>
      <c r="BH151" s="560">
        <f t="shared" si="288"/>
        <v>0</v>
      </c>
      <c r="BI151" s="560">
        <f>IF(Sheet1!EP153="OTHER",BM151,0)</f>
        <v>0</v>
      </c>
      <c r="BJ151" s="560">
        <f t="shared" si="289"/>
        <v>0</v>
      </c>
      <c r="BK151" s="560">
        <f t="shared" si="290"/>
        <v>0</v>
      </c>
      <c r="BL151" s="560">
        <f t="shared" si="291"/>
        <v>0</v>
      </c>
      <c r="BM151" s="560">
        <f>IF(OR(Sheet1!EP153="FM", Sheet1!EP153="OTHER"),SUM(Sheet1!BG153:'Sheet1'!BI153),0)</f>
        <v>0</v>
      </c>
      <c r="BN151" s="545">
        <f>IF(AND($B151&gt;=$FV151,$B151&lt;=$FW151),MAX(BF151,Sheet1!EI153,0),MAX(BF151-(7/36)*$K151,0))</f>
        <v>0</v>
      </c>
      <c r="BO151" s="560">
        <f t="shared" si="292"/>
        <v>12.568888888888889</v>
      </c>
      <c r="BP151" s="545">
        <f t="shared" si="293"/>
        <v>0</v>
      </c>
      <c r="BQ151" s="545">
        <f>IF(AND($O151&gt;0,Sheet1!EM153=1),(1-($O151-Sheet1!$L153)/$O151)*BL151,0)</f>
        <v>0</v>
      </c>
      <c r="BR151" s="545">
        <f>IF(AND(Sheet1!$L153=0,Sheet1!$L152=0, Calculation!BK151&lt;Sheet1!$EI153-0.1,Sheet1!$EI153=Sheet1!$EI152,Sheet1!$EI153=Sheet1!$EI154),Sheet1!$EI153,BL151-BQ151)</f>
        <v>0</v>
      </c>
      <c r="BS151" s="560"/>
      <c r="BT151" s="560"/>
      <c r="BU151" s="560">
        <f t="shared" si="294"/>
        <v>1118.6311111111104</v>
      </c>
      <c r="BV151" s="560"/>
      <c r="BW151" s="560">
        <f ca="1">IF(B151&gt;Summary!$A$1,#N/A,BU151*MGtoAF)</f>
        <v>3431.9602488888868</v>
      </c>
      <c r="BX151" s="560">
        <f>Sheet1!BC153+Sheet1!BD153+Sheet1!BE153+Sheet1!BF153-CG151-CH151</f>
        <v>2.4900000000000002</v>
      </c>
      <c r="BY151" s="560">
        <f t="shared" si="295"/>
        <v>2.4912765957446812</v>
      </c>
      <c r="BZ151" s="560">
        <f>IF(Sheet1!EQ153="FM",CH151,0)</f>
        <v>0</v>
      </c>
      <c r="CA151" s="560">
        <f t="shared" si="296"/>
        <v>0</v>
      </c>
      <c r="CB151" s="560">
        <f>IF(Sheet1!EQ153="OTHER",CH151,0)</f>
        <v>0</v>
      </c>
      <c r="CC151" s="560">
        <f t="shared" si="297"/>
        <v>0</v>
      </c>
      <c r="CD151" s="560">
        <f t="shared" si="298"/>
        <v>0</v>
      </c>
      <c r="CE151" s="560">
        <f t="shared" si="299"/>
        <v>2.4900000000000002</v>
      </c>
      <c r="CF151" s="560">
        <f t="shared" si="300"/>
        <v>2.4912765957446812</v>
      </c>
      <c r="CG151" s="560">
        <f>IF(Sheet1!EQ153="CWA",SUM(Sheet1!BC153:'Sheet1'!BF153),0)</f>
        <v>0</v>
      </c>
      <c r="CH151" s="560">
        <f>IF(OR(Sheet1!EQ153="FM", Sheet1!EQ153="OTHER"),SUM(Sheet1!BC153:'Sheet1'!BF153),0)</f>
        <v>0</v>
      </c>
      <c r="CI151" s="545">
        <f>IF(AND($B151&gt;=$FV151,$B151&lt;=$FW151),MAX(CF151,Sheet1!EJ153,0),MAX(CF151-(7/36)*$K151,0))</f>
        <v>0</v>
      </c>
      <c r="CJ151" s="560">
        <f t="shared" si="301"/>
        <v>10.077612293144208</v>
      </c>
      <c r="CK151" s="545">
        <f t="shared" si="302"/>
        <v>2.4912765957446812</v>
      </c>
      <c r="CL151" s="545">
        <f>IF(AND($O151&gt;0,Sheet1!EN153=1),(1-($O151-Sheet1!$L153)/$O151)*CF151,0)</f>
        <v>0</v>
      </c>
      <c r="CM151" s="545">
        <f>IF(AND(Sheet1!$L153=0,Sheet1!$L152=0, Calculation!CE151&lt;Sheet1!EJ153-0.1,Sheet1!EJ153=Sheet1!EJ152,Sheet1!EJ153=Sheet1!EJ154),Sheet1!EJ153,CF151-CL151)</f>
        <v>2.4912765957446812</v>
      </c>
      <c r="CN151" s="545"/>
      <c r="CO151" s="560"/>
      <c r="CP151" s="560">
        <f t="shared" si="303"/>
        <v>881.80910815342168</v>
      </c>
      <c r="CQ151" s="560"/>
      <c r="CR151" s="560">
        <f ca="1">IF(B151&gt;Summary!$A$1,#N/A,CP151*MGtoAF)</f>
        <v>2705.3903438146976</v>
      </c>
      <c r="CS151" s="560">
        <f>Sheet1!BK153+Sheet1!BL153+Sheet1!BM153-Sheet1!ER153-DA151</f>
        <v>6.51</v>
      </c>
      <c r="CT151" s="560">
        <f t="shared" si="304"/>
        <v>6.5133376057421177</v>
      </c>
      <c r="CU151" s="560">
        <f>IF(Sheet1!ER153="FM",DA151,0)</f>
        <v>0</v>
      </c>
      <c r="CV151" s="560">
        <f t="shared" si="305"/>
        <v>0</v>
      </c>
      <c r="CW151" s="560">
        <f>IF(Sheet1!ER153="OTHER",DA151,0)</f>
        <v>0</v>
      </c>
      <c r="CX151" s="560">
        <f t="shared" si="306"/>
        <v>0</v>
      </c>
      <c r="CY151" s="560">
        <f t="shared" si="307"/>
        <v>6.51</v>
      </c>
      <c r="CZ151" s="560">
        <f t="shared" si="308"/>
        <v>6.5133376057421177</v>
      </c>
      <c r="DA151" s="560">
        <f>IF(OR(Sheet1!ER153="FM", Sheet1!ER153="OTHER"),SUM(Sheet1!BK153:'Sheet1'!BM153),0)</f>
        <v>0</v>
      </c>
      <c r="DB151" s="545">
        <f>IF(AND($B151&gt;=$FV151,$B151&lt;=$FW151),MAX($CT151,Sheet1!EK153,0),MAX($CT151-(7/36)*$K151,0))</f>
        <v>0</v>
      </c>
      <c r="DC151" s="560">
        <f t="shared" si="309"/>
        <v>6.0555512831467713</v>
      </c>
      <c r="DD151" s="545">
        <f t="shared" si="310"/>
        <v>6.5133376057421177</v>
      </c>
      <c r="DE151" s="545">
        <f>IF(AND($O151&gt;0,Sheet1!EO153=1),(1-($O151-Sheet1!$L153)/$O151)*CZ151,0)</f>
        <v>0</v>
      </c>
      <c r="DF151" s="545">
        <f>IF(AND(Sheet1!$L153=0,Sheet1!$L152=0, Calculation!CY151&lt;Sheet1!$EK153-0.1,Sheet1!$EK153=Sheet1!$EK152,Sheet1!$EK153=Sheet1!$EK154),Sheet1!$EK153,CZ151-DE151)</f>
        <v>6.5133376057421177</v>
      </c>
      <c r="DG151" s="545"/>
      <c r="DH151" s="560">
        <f t="shared" si="311"/>
        <v>9</v>
      </c>
      <c r="DI151" s="560">
        <f t="shared" si="312"/>
        <v>625.7964248866931</v>
      </c>
      <c r="DJ151" s="698">
        <f t="shared" si="313"/>
        <v>9.0046142014867989</v>
      </c>
      <c r="DK151" s="560">
        <f ca="1">IF(B151&gt;Summary!$A$1,#N/A,DI151*MGtoAF)</f>
        <v>1919.9434315523745</v>
      </c>
      <c r="DL151" s="698">
        <f t="shared" si="314"/>
        <v>9</v>
      </c>
      <c r="DM151" s="560">
        <f t="shared" si="315"/>
        <v>39.01</v>
      </c>
      <c r="DN151" s="560">
        <f>Sheet1!AB153-DM151</f>
        <v>2.0000000000003126E-2</v>
      </c>
      <c r="DO151" s="823">
        <f t="shared" si="316"/>
        <v>5.1268905408877533E-4</v>
      </c>
      <c r="DP151" s="560">
        <f>(VLOOKUP(Sheet1!DC153,hhdcap_wcm,4)-(((VLOOKUP(Sheet1!DC153,hhdcap_wcm,3)-Sheet1!DC153)/(VLOOKUP(Sheet1!DC153,hhdcap_wcm,3)-VLOOKUP(Sheet1!DC153,hhdcap_wcm,1)))*(VLOOKUP(Sheet1!DC153,hhdcap_wcm,4)-VLOOKUP(Sheet1!DC153,hhdcap_wcm,2))))</f>
        <v>46464.000000112552</v>
      </c>
      <c r="DQ151" s="560">
        <f t="shared" si="317"/>
        <v>331.00000000025466</v>
      </c>
      <c r="DR151" s="560">
        <f t="shared" si="318"/>
        <v>166.91880988414252</v>
      </c>
      <c r="DS151" s="560">
        <f>Sheet1!EA153*AFtoMG</f>
        <v>0</v>
      </c>
      <c r="DT151" s="560">
        <f>Sheet1!EB153*AFtoMG</f>
        <v>0</v>
      </c>
      <c r="DU151" s="560">
        <f>Sheet1!EC153*AFtoMG</f>
        <v>0</v>
      </c>
      <c r="DV151" s="560">
        <f>Sheet1!ED153*AFtoMG</f>
        <v>0</v>
      </c>
      <c r="DW151" s="560">
        <f t="shared" si="319"/>
        <v>0</v>
      </c>
      <c r="DX151" s="560">
        <f t="shared" si="320"/>
        <v>0</v>
      </c>
      <c r="DY151" s="560">
        <f t="shared" si="321"/>
        <v>5023.3033108178934</v>
      </c>
      <c r="DZ151" s="560">
        <f t="shared" si="322"/>
        <v>15411.494557589298</v>
      </c>
      <c r="EA151" s="560"/>
      <c r="EB151" s="545">
        <f>IF(OR(B151&lt;FV151,B151&gt;FW151),(MIN(BF151+BY151+CT151+MAX(Sheet1!AA153+AQ151-73,0),K151)),0)</f>
        <v>9.0046142014867989</v>
      </c>
      <c r="EC151" s="560"/>
      <c r="ED151" s="560">
        <f t="shared" si="323"/>
        <v>9.0046142014867989</v>
      </c>
      <c r="EE151" s="560"/>
      <c r="EF151" s="560">
        <f>Sheet1!EH153+Sheet1!EI153+Sheet1!EJ153+Sheet1!EK153</f>
        <v>9</v>
      </c>
      <c r="EG151" s="560"/>
      <c r="EH151" s="545">
        <f t="shared" si="324"/>
        <v>0</v>
      </c>
      <c r="EI151" s="560">
        <f>IF(Sheet1!ET153=1,SUM('Calculations II'!AT151:BA151)+'Calculations II'!BC151+Sheet1!BV153+'Calculations II'!BE151+AP151,SUM('Calculations II'!AT151:BA151)+'Calculations II'!BC151+Sheet1!BV153+'Calculations II'!BE151+AP151)</f>
        <v>58.625984000000003</v>
      </c>
      <c r="EJ151" s="560">
        <f>Sheet1!AA153+Sheet1!AB153+'Calculations II'!BC151</f>
        <v>60.900000000000006</v>
      </c>
      <c r="EK151" s="560"/>
      <c r="EL151" s="560"/>
      <c r="EM151" s="560">
        <f t="shared" si="325"/>
        <v>41779</v>
      </c>
      <c r="EN151" s="560">
        <f t="shared" si="326"/>
        <v>55.635385798513198</v>
      </c>
      <c r="EO151" s="560">
        <f t="shared" si="327"/>
        <v>86.067941830299915</v>
      </c>
      <c r="EP151" s="560">
        <v>0</v>
      </c>
      <c r="EQ151" s="560">
        <v>0</v>
      </c>
      <c r="ER151" s="560">
        <v>0</v>
      </c>
      <c r="ES151" s="545">
        <f t="shared" si="349"/>
        <v>0.83037044210241739</v>
      </c>
      <c r="ET151" s="560">
        <f>-(VLOOKUP(Sheet1!BQ153,Lookup!$O$4:$Q$262,2)-VLOOKUP(Sheet1!BQ152,Lookup!$O$4:$Q$262,2))/1000000</f>
        <v>0.4151852210512087</v>
      </c>
      <c r="EU151" s="560">
        <f>-(VLOOKUP(Sheet1!BR153,Lookup!$O$4:$Q$262,3)-VLOOKUP(Sheet1!BR152,Lookup!$O$4:$Q$262,3))/1000000</f>
        <v>0.4151852210512087</v>
      </c>
      <c r="EV151" s="560"/>
      <c r="EW151" s="560"/>
      <c r="EX151" s="560"/>
      <c r="EY151" s="560"/>
      <c r="EZ151" s="560"/>
      <c r="FA151" s="560"/>
      <c r="FB151" s="560"/>
      <c r="FC151" s="560"/>
      <c r="FD151" s="594" t="e">
        <f t="shared" si="328"/>
        <v>#N/A</v>
      </c>
      <c r="FE151" s="594" t="e">
        <f t="shared" si="329"/>
        <v>#N/A</v>
      </c>
      <c r="FF151" s="595" t="e">
        <f t="shared" si="330"/>
        <v>#N/A</v>
      </c>
      <c r="FG151" s="596" t="s">
        <v>692</v>
      </c>
      <c r="FH151" s="596" t="s">
        <v>692</v>
      </c>
      <c r="FI151" s="594" t="e">
        <v>#N/A</v>
      </c>
      <c r="FJ151" s="594" t="e">
        <v>#N/A</v>
      </c>
      <c r="FK151" s="560"/>
      <c r="FL151" s="560"/>
      <c r="FM151" s="560"/>
      <c r="FN151" s="560"/>
      <c r="FO151" s="560">
        <f>O151+((Sheet1!CS153)*GPMtoMGD)</f>
        <v>60.900000000000006</v>
      </c>
      <c r="FP151" s="560">
        <f>IF(Sheet1!AA153+AQ151&lt;=Calculation!N151,AQ151,Calculation!N151-Sheet1!AA153)</f>
        <v>28.414560369136119</v>
      </c>
      <c r="FQ151" s="560">
        <f>(Sheet1!BP153+Sheet1!BO153)/694.4</f>
        <v>2.5786290322580645</v>
      </c>
      <c r="FR151" s="560"/>
      <c r="FS151" s="560"/>
      <c r="FT151" s="560"/>
      <c r="FU151" s="560"/>
      <c r="FV151" s="695">
        <f t="shared" si="350"/>
        <v>41827</v>
      </c>
      <c r="FW151" s="695">
        <f t="shared" si="351"/>
        <v>41934</v>
      </c>
      <c r="FX151" s="560"/>
      <c r="FY151" s="560"/>
      <c r="FZ151" s="560"/>
      <c r="GA151" s="560"/>
      <c r="GB151" s="560" t="str">
        <f t="shared" si="352"/>
        <v>n</v>
      </c>
      <c r="GC151" s="564">
        <f t="shared" si="353"/>
        <v>41691</v>
      </c>
      <c r="GD151" s="695">
        <f t="shared" si="354"/>
        <v>41807</v>
      </c>
      <c r="GE151" s="560">
        <v>6518.9</v>
      </c>
      <c r="GF151" s="695">
        <f t="shared" si="355"/>
        <v>41808</v>
      </c>
      <c r="GG151" s="560">
        <f t="shared" si="374"/>
        <v>3259</v>
      </c>
      <c r="GH151" s="564">
        <f t="shared" si="356"/>
        <v>41934</v>
      </c>
      <c r="GJ151" s="545">
        <f t="shared" si="357"/>
        <v>0</v>
      </c>
      <c r="GK151" s="560" t="str">
        <f t="shared" si="331"/>
        <v/>
      </c>
      <c r="GL151" s="560">
        <f t="shared" si="358"/>
        <v>0</v>
      </c>
      <c r="GM151" s="560" t="str">
        <f t="shared" si="359"/>
        <v/>
      </c>
      <c r="GN151" s="560">
        <f>IF(GK151="P",Lookup!$M$12,IF(GK151="PP",Lookup!$M$13,IF(GK151="PPP",Lookup!$M$14,IF(GK151="T",Lookup!$M$15,IF(GK151="TP",Lookup!$M$16,IF(GK151="TPP",Lookup!$M$17,IF(GK151="TPPP",Lookup!$M$18,0)))))))*GJ151</f>
        <v>0</v>
      </c>
      <c r="GO151" s="560">
        <f t="shared" si="360"/>
        <v>0</v>
      </c>
      <c r="GP151" s="560">
        <f t="shared" si="332"/>
        <v>7354.2005333333391</v>
      </c>
      <c r="GQ151" s="560">
        <f t="shared" si="368"/>
        <v>2397.0666666666684</v>
      </c>
      <c r="GR151" s="560"/>
      <c r="GS151" s="560">
        <f t="shared" si="361"/>
        <v>0</v>
      </c>
      <c r="GT151" s="560" t="str">
        <f t="shared" si="362"/>
        <v/>
      </c>
      <c r="GU151" s="560">
        <f>IF(GK151="P",Lookup!$N$12,IF(GK151="PP",Lookup!$N$13,IF(GK151="PPP",Lookup!$N$14,IF(GK151="T",Lookup!$N$15,IF(GK151="TP",Lookup!$N$16,IF(GK151="TPP",Lookup!$N$17,IF(GK151="TPPP",Lookup!$N$18,0)))))))*GJ151</f>
        <v>0</v>
      </c>
      <c r="GV151" s="560">
        <f t="shared" si="363"/>
        <v>0</v>
      </c>
      <c r="GW151" s="560">
        <f t="shared" si="333"/>
        <v>3431.9602488888868</v>
      </c>
      <c r="GX151" s="560">
        <f t="shared" si="369"/>
        <v>1118.6311111111104</v>
      </c>
      <c r="GY151" s="560"/>
      <c r="GZ151" s="560">
        <f t="shared" si="364"/>
        <v>0</v>
      </c>
      <c r="HA151" s="560" t="str">
        <f t="shared" si="365"/>
        <v/>
      </c>
      <c r="HB151" s="560">
        <f>IF(GK151="P",Lookup!$N$12,IF(GK151="PP",Lookup!$N$13,IF(GK151="PPP",Lookup!$N$14,IF(GK151="T",Lookup!$N$15,IF(GK151="TP",Lookup!$N$16,IF(GK151="TPP",Lookup!$N$17,IF(GK151="TPPP",Lookup!$N$18,0)))))))*GJ151</f>
        <v>0</v>
      </c>
      <c r="HC151" s="545">
        <f t="shared" si="334"/>
        <v>0</v>
      </c>
      <c r="HD151" s="560">
        <f t="shared" si="335"/>
        <v>2705.3903438146976</v>
      </c>
      <c r="HE151" s="560">
        <f t="shared" si="370"/>
        <v>881.80910815342168</v>
      </c>
      <c r="HF151" s="560"/>
      <c r="HG151" s="560">
        <f t="shared" si="366"/>
        <v>0</v>
      </c>
      <c r="HH151" s="560" t="str">
        <f t="shared" si="367"/>
        <v/>
      </c>
      <c r="HI151" s="560">
        <f>IF(GK151="P",Lookup!$N$12,IF(GK151="PP",Lookup!$N$13,IF(GK151="PPP",Lookup!$N$14,IF(GK151="T",Lookup!$N$15,IF(GK151="TP",Lookup!$N$16,IF(GK151="TPP",Lookup!$N$17,IF(GK151="TPPP",Lookup!$N$18,0)))))))*GJ151</f>
        <v>0</v>
      </c>
      <c r="HJ151" s="545">
        <f t="shared" si="336"/>
        <v>0</v>
      </c>
      <c r="HK151" s="560">
        <f t="shared" si="337"/>
        <v>1919.9434315523745</v>
      </c>
      <c r="HL151" s="560">
        <f t="shared" si="371"/>
        <v>625.7964248866931</v>
      </c>
      <c r="HM151" s="560"/>
    </row>
    <row r="152" spans="1:221">
      <c r="A152" s="580" t="s">
        <v>6</v>
      </c>
      <c r="B152" s="556">
        <v>41780</v>
      </c>
      <c r="C152" s="561">
        <v>0</v>
      </c>
      <c r="D152" s="529">
        <f t="shared" si="372"/>
        <v>300</v>
      </c>
      <c r="E152" s="529">
        <f t="shared" si="373"/>
        <v>250</v>
      </c>
      <c r="F152" s="529">
        <v>250</v>
      </c>
      <c r="G152" s="560">
        <f>DR152+Sheet1!CZ154</f>
        <v>1093.894604135402</v>
      </c>
      <c r="H152" s="914">
        <f t="shared" si="338"/>
        <v>440.13027211312385</v>
      </c>
      <c r="I152" s="559">
        <f>MAX(Sheet1!Z154-AT152+(Sheet1!DA154-E152)*CFStoMGD,0)</f>
        <v>666.0379999999999</v>
      </c>
      <c r="J152" s="562">
        <f>IF(AND(B152&gt;=Calculation!GC152,B152&lt;=Calculation!GD152),IF(Sheet1!DB154&gt;=Calculation!D152,64.64,0),MAX(Sheet1!Z154-AT152+(Sheet1!DB154-D152)*CFStoMGD,0))</f>
        <v>64.64</v>
      </c>
      <c r="K152" s="904">
        <f t="shared" si="273"/>
        <v>64.64</v>
      </c>
      <c r="L152" s="560">
        <f>Sheet1!AA154+Sheet1!AB154-Sheet1!L154+(Sheet1!DA154-F152)*CFStoMGD</f>
        <v>687.82799999999997</v>
      </c>
      <c r="M152" s="560">
        <f t="shared" si="274"/>
        <v>721.23534155538641</v>
      </c>
      <c r="N152" s="910">
        <f>IF(Sheet1!DA154&gt;=F152,MIN(73,MIN(MAX(L152,0),MAX(M152,0))),0)</f>
        <v>73</v>
      </c>
      <c r="O152" s="563">
        <f>Sheet1!AA154+Sheet1!AB154</f>
        <v>60.82</v>
      </c>
      <c r="P152" s="563">
        <f t="shared" si="275"/>
        <v>94.088539999999995</v>
      </c>
      <c r="Q152" s="898">
        <f t="shared" si="339"/>
        <v>51.78</v>
      </c>
      <c r="R152" s="829">
        <f t="shared" si="276"/>
        <v>9.0284221311475417</v>
      </c>
      <c r="S152" s="898">
        <f t="shared" si="340"/>
        <v>9.0399999999999991</v>
      </c>
      <c r="T152" s="898">
        <f t="shared" si="341"/>
        <v>55.6</v>
      </c>
      <c r="U152" s="898">
        <f t="shared" si="342"/>
        <v>0</v>
      </c>
      <c r="V152" s="898"/>
      <c r="W152" s="898">
        <f t="shared" si="343"/>
        <v>55.611577868852457</v>
      </c>
      <c r="X152" s="898">
        <f t="shared" si="344"/>
        <v>64.64</v>
      </c>
      <c r="Y152" s="898" t="str">
        <f t="shared" si="345"/>
        <v>FALSE</v>
      </c>
      <c r="Z152" s="898">
        <f t="shared" si="346"/>
        <v>60.82</v>
      </c>
      <c r="AA152" s="898">
        <f t="shared" si="347"/>
        <v>60.82</v>
      </c>
      <c r="AB152" s="898" t="str">
        <f t="shared" si="348"/>
        <v/>
      </c>
      <c r="AC152" s="563">
        <f>Sheet1!Y154*MGDtoCFS</f>
        <v>33.832889999999999</v>
      </c>
      <c r="AD152" s="563">
        <f>Sheet1!Z154*MGDtoCFS</f>
        <v>60.37941</v>
      </c>
      <c r="AE152" s="563">
        <f>Sheet1!AA154*MGDtoCFS</f>
        <v>33.771009999999997</v>
      </c>
      <c r="AF152" s="563">
        <f>Sheet1!AB154*MGDtoCFS</f>
        <v>60.317529999999998</v>
      </c>
      <c r="AG152" s="563">
        <f>Sheet1!L154*MGDtoCFS</f>
        <v>0</v>
      </c>
      <c r="AH152" s="545">
        <f t="shared" si="277"/>
        <v>0</v>
      </c>
      <c r="AI152" s="560">
        <f t="shared" si="278"/>
        <v>0</v>
      </c>
      <c r="AJ152" s="560">
        <f t="shared" si="279"/>
        <v>55.611577868852457</v>
      </c>
      <c r="AK152" s="560">
        <f t="shared" si="280"/>
        <v>86.031110963114742</v>
      </c>
      <c r="AL152" s="560">
        <f>(VLOOKUP(Sheet1!DC154,hhdcap_wcm,4)-(((VLOOKUP(Sheet1!DC154,hhdcap_wcm,3)-Sheet1!DC154)/(VLOOKUP(Sheet1!DC154,hhdcap_wcm,3)-VLOOKUP(Sheet1!DC154,hhdcap_wcm,1)))*(VLOOKUP(Sheet1!DC154,hhdcap_wcm,4)-VLOOKUP(Sheet1!DC154,hhdcap_wcm,2))))</f>
        <v>46906.000000113054</v>
      </c>
      <c r="AM152" s="560">
        <f t="shared" si="281"/>
        <v>442.00000000050204</v>
      </c>
      <c r="AN152" s="560">
        <f t="shared" si="282"/>
        <v>5078.9148886867461</v>
      </c>
      <c r="AO152" s="560">
        <f t="shared" si="283"/>
        <v>15582.110878490937</v>
      </c>
      <c r="AP152" s="560">
        <f>Sheet1!BA154+Sheet1!BB154+Sheet1!BN154+CD152</f>
        <v>30</v>
      </c>
      <c r="AQ152" s="560">
        <f>Sheet1!BN154+(DO152*Sheet1!BN154)</f>
        <v>28.36362704918033</v>
      </c>
      <c r="AR152" s="560">
        <f>Sheet1!BA154+CD152</f>
        <v>0</v>
      </c>
      <c r="AS152" s="560">
        <f>Sheet1!BA154+Sheet1!BB154+CD152</f>
        <v>1.6</v>
      </c>
      <c r="AT152" s="698">
        <f>0</f>
        <v>0</v>
      </c>
      <c r="AU152" s="560">
        <f>IF(EB152&lt;K152,0,MAX(Sheet1!AA154+AQ152-15/36*K152-N152,Sheet1!EH154,0))</f>
        <v>0</v>
      </c>
      <c r="AV152" s="560">
        <f>IF(OR(B152&gt;=GD152,B152&lt;GC152),0,15/36*K152-MAX(0,64.6-(137.6-(Sheet1!AA154+Sheet1!AB154))))</f>
        <v>26.933333333333334</v>
      </c>
      <c r="AW152" s="698">
        <f>Sheet1!DB154-110</f>
        <v>722</v>
      </c>
      <c r="AX152" s="698">
        <f>Sheet1!DA154-265</f>
        <v>955</v>
      </c>
      <c r="AY152" s="698">
        <f t="shared" si="284"/>
        <v>21.22</v>
      </c>
      <c r="AZ152" s="698">
        <v>0</v>
      </c>
      <c r="BA152" s="698">
        <f t="shared" si="285"/>
        <v>0</v>
      </c>
      <c r="BB152" s="560">
        <f t="shared" si="286"/>
        <v>2424.0000000000018</v>
      </c>
      <c r="BC152" s="560"/>
      <c r="BD152" s="560">
        <f ca="1">IF(B152&gt;Summary!$A$1,#N/A,BB152*MGtoAF)</f>
        <v>7436.8320000000058</v>
      </c>
      <c r="BE152" s="560">
        <f>Sheet1!BG154+Sheet1!BH154+Sheet1!BI154-BM152</f>
        <v>0</v>
      </c>
      <c r="BF152" s="560">
        <f t="shared" si="287"/>
        <v>0</v>
      </c>
      <c r="BG152" s="560">
        <f>IF(Sheet1!EP154="FM",BM152,0)</f>
        <v>0</v>
      </c>
      <c r="BH152" s="560">
        <f t="shared" si="288"/>
        <v>0</v>
      </c>
      <c r="BI152" s="560">
        <f>IF(Sheet1!EP154="OTHER",BM152,0)</f>
        <v>0</v>
      </c>
      <c r="BJ152" s="560">
        <f t="shared" si="289"/>
        <v>0</v>
      </c>
      <c r="BK152" s="560">
        <f t="shared" si="290"/>
        <v>0</v>
      </c>
      <c r="BL152" s="560">
        <f t="shared" si="291"/>
        <v>0</v>
      </c>
      <c r="BM152" s="560">
        <f>IF(OR(Sheet1!EP154="FM", Sheet1!EP154="OTHER"),SUM(Sheet1!BG154:'Sheet1'!BI154),0)</f>
        <v>0</v>
      </c>
      <c r="BN152" s="545">
        <f>IF(AND($B152&gt;=$FV152,$B152&lt;=$FW152),MAX(BF152,Sheet1!EI154,0),MAX(BF152-(7/36)*$K152,0))</f>
        <v>0</v>
      </c>
      <c r="BO152" s="560">
        <f t="shared" si="292"/>
        <v>12.568888888888889</v>
      </c>
      <c r="BP152" s="545">
        <f t="shared" si="293"/>
        <v>0</v>
      </c>
      <c r="BQ152" s="545">
        <f>IF(AND($O152&gt;0,Sheet1!EM154=1),(1-($O152-Sheet1!$L154)/$O152)*BL152,0)</f>
        <v>0</v>
      </c>
      <c r="BR152" s="545">
        <f>IF(AND(Sheet1!$L154=0,Sheet1!$L153=0, Calculation!BK152&lt;Sheet1!$EI154-0.1,Sheet1!$EI154=Sheet1!$EI153,Sheet1!$EI154=Sheet1!$EI155),Sheet1!$EI154,BL152-BQ152)</f>
        <v>0</v>
      </c>
      <c r="BS152" s="560"/>
      <c r="BT152" s="560"/>
      <c r="BU152" s="560">
        <f t="shared" si="294"/>
        <v>1131.1999999999994</v>
      </c>
      <c r="BV152" s="560"/>
      <c r="BW152" s="560">
        <f ca="1">IF(B152&gt;Summary!$A$1,#N/A,BU152*MGtoAF)</f>
        <v>3470.5215999999982</v>
      </c>
      <c r="BX152" s="560">
        <f>Sheet1!BC154+Sheet1!BD154+Sheet1!BE154+Sheet1!BF154-CG152-CH152</f>
        <v>2.5100000000000002</v>
      </c>
      <c r="BY152" s="560">
        <f t="shared" si="295"/>
        <v>2.5067853483606561</v>
      </c>
      <c r="BZ152" s="560">
        <f>IF(Sheet1!EQ154="FM",CH152,0)</f>
        <v>0</v>
      </c>
      <c r="CA152" s="560">
        <f t="shared" si="296"/>
        <v>0</v>
      </c>
      <c r="CB152" s="560">
        <f>IF(Sheet1!EQ154="OTHER",CH152,0)</f>
        <v>0</v>
      </c>
      <c r="CC152" s="560">
        <f t="shared" si="297"/>
        <v>0</v>
      </c>
      <c r="CD152" s="560">
        <f t="shared" si="298"/>
        <v>0</v>
      </c>
      <c r="CE152" s="560">
        <f t="shared" si="299"/>
        <v>2.5100000000000002</v>
      </c>
      <c r="CF152" s="560">
        <f t="shared" si="300"/>
        <v>2.5067853483606561</v>
      </c>
      <c r="CG152" s="560">
        <f>IF(Sheet1!EQ154="CWA",SUM(Sheet1!BC154:'Sheet1'!BF154),0)</f>
        <v>0</v>
      </c>
      <c r="CH152" s="560">
        <f>IF(OR(Sheet1!EQ154="FM", Sheet1!EQ154="OTHER"),SUM(Sheet1!BC154:'Sheet1'!BF154),0)</f>
        <v>0</v>
      </c>
      <c r="CI152" s="545">
        <f>IF(AND($B152&gt;=$FV152,$B152&lt;=$FW152),MAX(CF152,Sheet1!EJ154,0),MAX(CF152-(7/36)*$K152,0))</f>
        <v>0</v>
      </c>
      <c r="CJ152" s="560">
        <f t="shared" si="301"/>
        <v>10.062103540528232</v>
      </c>
      <c r="CK152" s="545">
        <f t="shared" si="302"/>
        <v>2.5067853483606561</v>
      </c>
      <c r="CL152" s="545">
        <f>IF(AND($O152&gt;0,Sheet1!EN154=1),(1-($O152-Sheet1!$L154)/$O152)*CF152,0)</f>
        <v>0</v>
      </c>
      <c r="CM152" s="545">
        <f>IF(AND(Sheet1!$L154=0,Sheet1!$L153=0, Calculation!CE152&lt;Sheet1!EJ154-0.1,Sheet1!EJ154=Sheet1!EJ153,Sheet1!EJ154=Sheet1!EJ155),Sheet1!EJ154,CF152-CL152)</f>
        <v>2.5067853483606561</v>
      </c>
      <c r="CN152" s="545"/>
      <c r="CO152" s="560"/>
      <c r="CP152" s="560">
        <f t="shared" si="303"/>
        <v>891.87121169394993</v>
      </c>
      <c r="CQ152" s="560"/>
      <c r="CR152" s="560">
        <f ca="1">IF(B152&gt;Summary!$A$1,#N/A,CP152*MGtoAF)</f>
        <v>2736.2608774770383</v>
      </c>
      <c r="CS152" s="560">
        <f>Sheet1!BK154+Sheet1!BL154+Sheet1!BM154-Sheet1!ER154-DA152</f>
        <v>6.5299999999999994</v>
      </c>
      <c r="CT152" s="560">
        <f t="shared" si="304"/>
        <v>6.5216367827868851</v>
      </c>
      <c r="CU152" s="560">
        <f>IF(Sheet1!ER154="FM",DA152,0)</f>
        <v>0</v>
      </c>
      <c r="CV152" s="560">
        <f t="shared" si="305"/>
        <v>0</v>
      </c>
      <c r="CW152" s="560">
        <f>IF(Sheet1!ER154="OTHER",DA152,0)</f>
        <v>0</v>
      </c>
      <c r="CX152" s="560">
        <f t="shared" si="306"/>
        <v>0</v>
      </c>
      <c r="CY152" s="560">
        <f t="shared" si="307"/>
        <v>6.5299999999999994</v>
      </c>
      <c r="CZ152" s="560">
        <f t="shared" si="308"/>
        <v>6.5216367827868851</v>
      </c>
      <c r="DA152" s="560">
        <f>IF(OR(Sheet1!ER154="FM", Sheet1!ER154="OTHER"),SUM(Sheet1!BK154:'Sheet1'!BM154),0)</f>
        <v>0</v>
      </c>
      <c r="DB152" s="545">
        <f>IF(AND($B152&gt;=$FV152,$B152&lt;=$FW152),MAX($CT152,Sheet1!EK154,0),MAX($CT152-(7/36)*$K152,0))</f>
        <v>0</v>
      </c>
      <c r="DC152" s="560">
        <f t="shared" si="309"/>
        <v>6.0472521061020039</v>
      </c>
      <c r="DD152" s="545">
        <f t="shared" si="310"/>
        <v>6.5216367827868851</v>
      </c>
      <c r="DE152" s="545">
        <f>IF(AND($O152&gt;0,Sheet1!EO154=1),(1-($O152-Sheet1!$L154)/$O152)*CZ152,0)</f>
        <v>0</v>
      </c>
      <c r="DF152" s="545">
        <f>IF(AND(Sheet1!$L154=0,Sheet1!$L153=0, Calculation!CY152&lt;Sheet1!$EK154-0.1,Sheet1!$EK154=Sheet1!$EK153,Sheet1!$EK154=Sheet1!$EK155),Sheet1!$EK154,CZ152-DE152)</f>
        <v>6.5216367827868851</v>
      </c>
      <c r="DG152" s="545"/>
      <c r="DH152" s="560">
        <f t="shared" si="311"/>
        <v>9.0399999999999991</v>
      </c>
      <c r="DI152" s="560">
        <f t="shared" si="312"/>
        <v>631.84367699279505</v>
      </c>
      <c r="DJ152" s="698">
        <f t="shared" si="313"/>
        <v>9.0284221311475417</v>
      </c>
      <c r="DK152" s="560">
        <f ca="1">IF(B152&gt;Summary!$A$1,#N/A,DI152*MGtoAF)</f>
        <v>1938.4964010138954</v>
      </c>
      <c r="DL152" s="698">
        <f t="shared" si="314"/>
        <v>9.0399999999999991</v>
      </c>
      <c r="DM152" s="560">
        <f t="shared" si="315"/>
        <v>39.04</v>
      </c>
      <c r="DN152" s="560">
        <f>Sheet1!AB154-DM152</f>
        <v>-4.9999999999997158E-2</v>
      </c>
      <c r="DO152" s="823">
        <f t="shared" si="316"/>
        <v>-1.28073770491796E-3</v>
      </c>
      <c r="DP152" s="560">
        <f>(VLOOKUP(Sheet1!DC154,hhdcap_wcm,4)-(((VLOOKUP(Sheet1!DC154,hhdcap_wcm,3)-Sheet1!DC154)/(VLOOKUP(Sheet1!DC154,hhdcap_wcm,3)-VLOOKUP(Sheet1!DC154,hhdcap_wcm,1)))*(VLOOKUP(Sheet1!DC154,hhdcap_wcm,4)-VLOOKUP(Sheet1!DC154,hhdcap_wcm,2))))</f>
        <v>46906.000000113054</v>
      </c>
      <c r="DQ152" s="560">
        <f t="shared" si="317"/>
        <v>442.00000000050204</v>
      </c>
      <c r="DR152" s="560">
        <f t="shared" si="318"/>
        <v>222.89460413540192</v>
      </c>
      <c r="DS152" s="560">
        <f>Sheet1!EA154*AFtoMG</f>
        <v>0</v>
      </c>
      <c r="DT152" s="560">
        <f>Sheet1!EB154*AFtoMG</f>
        <v>0</v>
      </c>
      <c r="DU152" s="560">
        <f>Sheet1!EC154*AFtoMG</f>
        <v>0</v>
      </c>
      <c r="DV152" s="560">
        <f>Sheet1!ED154*AFtoMG</f>
        <v>0</v>
      </c>
      <c r="DW152" s="560">
        <f t="shared" si="319"/>
        <v>0</v>
      </c>
      <c r="DX152" s="560">
        <f t="shared" si="320"/>
        <v>0</v>
      </c>
      <c r="DY152" s="560">
        <f t="shared" si="321"/>
        <v>5078.9148886867461</v>
      </c>
      <c r="DZ152" s="560">
        <f t="shared" si="322"/>
        <v>15582.110878490937</v>
      </c>
      <c r="EA152" s="560"/>
      <c r="EB152" s="545">
        <f>IF(OR(B152&lt;FV152,B152&gt;FW152),(MIN(BF152+BY152+CT152+MAX(Sheet1!AA154+AQ152-73,0),K152)),0)</f>
        <v>9.0284221311475417</v>
      </c>
      <c r="EC152" s="560"/>
      <c r="ED152" s="560">
        <f t="shared" si="323"/>
        <v>9.0284221311475417</v>
      </c>
      <c r="EE152" s="560"/>
      <c r="EF152" s="560">
        <f>Sheet1!EH154+Sheet1!EI154+Sheet1!EJ154+Sheet1!EK154</f>
        <v>9.0399999999999991</v>
      </c>
      <c r="EG152" s="560"/>
      <c r="EH152" s="545">
        <f t="shared" si="324"/>
        <v>0</v>
      </c>
      <c r="EI152" s="560">
        <f>IF(Sheet1!ET154=1,SUM('Calculations II'!AT152:BA152)+'Calculations II'!BC152+Sheet1!BV154+'Calculations II'!BE152+AP152,SUM('Calculations II'!AT152:BA152)+'Calculations II'!BC152+Sheet1!BV154+'Calculations II'!BE152+AP152)</f>
        <v>56.0396</v>
      </c>
      <c r="EJ152" s="560">
        <f>Sheet1!AA154+Sheet1!AB154+'Calculations II'!BC152</f>
        <v>60.82</v>
      </c>
      <c r="EK152" s="560"/>
      <c r="EL152" s="560"/>
      <c r="EM152" s="560">
        <f t="shared" si="325"/>
        <v>41780</v>
      </c>
      <c r="EN152" s="560">
        <f t="shared" si="326"/>
        <v>55.611577868852457</v>
      </c>
      <c r="EO152" s="560">
        <f t="shared" si="327"/>
        <v>86.031110963114742</v>
      </c>
      <c r="EP152" s="560">
        <v>0</v>
      </c>
      <c r="EQ152" s="560">
        <v>0</v>
      </c>
      <c r="ER152" s="560">
        <v>0</v>
      </c>
      <c r="ES152" s="545">
        <f t="shared" si="349"/>
        <v>-1.7992833061495386</v>
      </c>
      <c r="ET152" s="560">
        <f>-(VLOOKUP(Sheet1!BQ154,Lookup!$O$4:$Q$262,2)-VLOOKUP(Sheet1!BQ153,Lookup!$O$4:$Q$262,2))/1000000</f>
        <v>-0.96885520630185673</v>
      </c>
      <c r="EU152" s="560">
        <f>-(VLOOKUP(Sheet1!BR154,Lookup!$O$4:$Q$262,3)-VLOOKUP(Sheet1!BR153,Lookup!$O$4:$Q$262,3))/1000000</f>
        <v>-0.83042809984768184</v>
      </c>
      <c r="EV152" s="560"/>
      <c r="EW152" s="560"/>
      <c r="EX152" s="560"/>
      <c r="EY152" s="560"/>
      <c r="EZ152" s="560"/>
      <c r="FA152" s="560"/>
      <c r="FB152" s="560"/>
      <c r="FC152" s="560"/>
      <c r="FD152" s="594" t="e">
        <f t="shared" si="328"/>
        <v>#N/A</v>
      </c>
      <c r="FE152" s="594" t="e">
        <f t="shared" si="329"/>
        <v>#N/A</v>
      </c>
      <c r="FF152" s="595" t="e">
        <f t="shared" si="330"/>
        <v>#N/A</v>
      </c>
      <c r="FG152" s="596" t="s">
        <v>692</v>
      </c>
      <c r="FH152" s="596" t="s">
        <v>692</v>
      </c>
      <c r="FI152" s="594" t="e">
        <v>#N/A</v>
      </c>
      <c r="FJ152" s="594" t="e">
        <v>#N/A</v>
      </c>
      <c r="FK152" s="560"/>
      <c r="FL152" s="560"/>
      <c r="FM152" s="560"/>
      <c r="FN152" s="560"/>
      <c r="FO152" s="560">
        <f>O152+((Sheet1!CS154)*GPMtoMGD)</f>
        <v>60.82</v>
      </c>
      <c r="FP152" s="560">
        <f>IF(Sheet1!AA154+AQ152&lt;=Calculation!N152,AQ152,Calculation!N152-Sheet1!AA154)</f>
        <v>28.36362704918033</v>
      </c>
      <c r="FQ152" s="560">
        <f>(Sheet1!BP154+Sheet1!BO154)/694.4</f>
        <v>1.376008064516129</v>
      </c>
      <c r="FR152" s="560"/>
      <c r="FS152" s="560"/>
      <c r="FT152" s="560"/>
      <c r="FU152" s="560"/>
      <c r="FV152" s="695">
        <f t="shared" si="350"/>
        <v>41827</v>
      </c>
      <c r="FW152" s="695">
        <f t="shared" si="351"/>
        <v>41934</v>
      </c>
      <c r="FX152" s="560"/>
      <c r="FY152" s="560"/>
      <c r="FZ152" s="560"/>
      <c r="GA152" s="560"/>
      <c r="GB152" s="560" t="str">
        <f t="shared" si="352"/>
        <v>n</v>
      </c>
      <c r="GC152" s="564">
        <f t="shared" si="353"/>
        <v>41691</v>
      </c>
      <c r="GD152" s="695">
        <f t="shared" si="354"/>
        <v>41807</v>
      </c>
      <c r="GE152" s="560">
        <v>6518.9</v>
      </c>
      <c r="GF152" s="695">
        <f t="shared" si="355"/>
        <v>41808</v>
      </c>
      <c r="GG152" s="560">
        <f t="shared" si="374"/>
        <v>3259</v>
      </c>
      <c r="GH152" s="564">
        <f t="shared" si="356"/>
        <v>41934</v>
      </c>
      <c r="GJ152" s="545">
        <f t="shared" si="357"/>
        <v>0</v>
      </c>
      <c r="GK152" s="560" t="str">
        <f t="shared" si="331"/>
        <v/>
      </c>
      <c r="GL152" s="560">
        <f t="shared" si="358"/>
        <v>0</v>
      </c>
      <c r="GM152" s="560" t="str">
        <f t="shared" si="359"/>
        <v/>
      </c>
      <c r="GN152" s="560">
        <f>IF(GK152="P",Lookup!$M$12,IF(GK152="PP",Lookup!$M$13,IF(GK152="PPP",Lookup!$M$14,IF(GK152="T",Lookup!$M$15,IF(GK152="TP",Lookup!$M$16,IF(GK152="TPP",Lookup!$M$17,IF(GK152="TPPP",Lookup!$M$18,0)))))))*GJ152</f>
        <v>0</v>
      </c>
      <c r="GO152" s="560">
        <f t="shared" si="360"/>
        <v>0</v>
      </c>
      <c r="GP152" s="560">
        <f t="shared" si="332"/>
        <v>7436.8320000000058</v>
      </c>
      <c r="GQ152" s="560">
        <f t="shared" si="368"/>
        <v>2424.0000000000018</v>
      </c>
      <c r="GR152" s="560"/>
      <c r="GS152" s="560">
        <f t="shared" si="361"/>
        <v>0</v>
      </c>
      <c r="GT152" s="560" t="str">
        <f t="shared" si="362"/>
        <v/>
      </c>
      <c r="GU152" s="560">
        <f>IF(GK152="P",Lookup!$N$12,IF(GK152="PP",Lookup!$N$13,IF(GK152="PPP",Lookup!$N$14,IF(GK152="T",Lookup!$N$15,IF(GK152="TP",Lookup!$N$16,IF(GK152="TPP",Lookup!$N$17,IF(GK152="TPPP",Lookup!$N$18,0)))))))*GJ152</f>
        <v>0</v>
      </c>
      <c r="GV152" s="560">
        <f t="shared" si="363"/>
        <v>0</v>
      </c>
      <c r="GW152" s="560">
        <f t="shared" si="333"/>
        <v>3470.5215999999982</v>
      </c>
      <c r="GX152" s="560">
        <f t="shared" si="369"/>
        <v>1131.1999999999994</v>
      </c>
      <c r="GY152" s="560"/>
      <c r="GZ152" s="560">
        <f t="shared" si="364"/>
        <v>0</v>
      </c>
      <c r="HA152" s="560" t="str">
        <f t="shared" si="365"/>
        <v/>
      </c>
      <c r="HB152" s="560">
        <f>IF(GK152="P",Lookup!$N$12,IF(GK152="PP",Lookup!$N$13,IF(GK152="PPP",Lookup!$N$14,IF(GK152="T",Lookup!$N$15,IF(GK152="TP",Lookup!$N$16,IF(GK152="TPP",Lookup!$N$17,IF(GK152="TPPP",Lookup!$N$18,0)))))))*GJ152</f>
        <v>0</v>
      </c>
      <c r="HC152" s="545">
        <f t="shared" si="334"/>
        <v>0</v>
      </c>
      <c r="HD152" s="560">
        <f t="shared" si="335"/>
        <v>2736.2608774770383</v>
      </c>
      <c r="HE152" s="560">
        <f t="shared" si="370"/>
        <v>891.87121169394993</v>
      </c>
      <c r="HF152" s="560"/>
      <c r="HG152" s="560">
        <f t="shared" si="366"/>
        <v>0</v>
      </c>
      <c r="HH152" s="560" t="str">
        <f t="shared" si="367"/>
        <v/>
      </c>
      <c r="HI152" s="560">
        <f>IF(GK152="P",Lookup!$N$12,IF(GK152="PP",Lookup!$N$13,IF(GK152="PPP",Lookup!$N$14,IF(GK152="T",Lookup!$N$15,IF(GK152="TP",Lookup!$N$16,IF(GK152="TPP",Lookup!$N$17,IF(GK152="TPPP",Lookup!$N$18,0)))))))*GJ152</f>
        <v>0</v>
      </c>
      <c r="HJ152" s="545">
        <f t="shared" si="336"/>
        <v>0</v>
      </c>
      <c r="HK152" s="560">
        <f t="shared" si="337"/>
        <v>1938.4964010138954</v>
      </c>
      <c r="HL152" s="560">
        <f t="shared" si="371"/>
        <v>631.84367699279505</v>
      </c>
      <c r="HM152" s="560"/>
    </row>
    <row r="153" spans="1:221">
      <c r="A153" s="580" t="s">
        <v>7</v>
      </c>
      <c r="B153" s="556">
        <v>41781</v>
      </c>
      <c r="C153" s="561">
        <v>0</v>
      </c>
      <c r="D153" s="529">
        <f t="shared" si="372"/>
        <v>300</v>
      </c>
      <c r="E153" s="529">
        <f t="shared" si="373"/>
        <v>250</v>
      </c>
      <c r="F153" s="529">
        <v>250</v>
      </c>
      <c r="G153" s="560">
        <f>DR153+Sheet1!CZ155</f>
        <v>1072.8154311660633</v>
      </c>
      <c r="H153" s="914">
        <f t="shared" si="338"/>
        <v>426.5046947057433</v>
      </c>
      <c r="I153" s="559">
        <f>MAX(Sheet1!Z155-AT153+(Sheet1!DA155-E153)*CFStoMGD,0)</f>
        <v>627.21399999999994</v>
      </c>
      <c r="J153" s="562">
        <f>IF(AND(B153&gt;=Calculation!GC153,B153&lt;=Calculation!GD153),IF(Sheet1!DB155&gt;=Calculation!D153,64.64,0),MAX(Sheet1!Z155-AT153+(Sheet1!DB155-D153)*CFStoMGD,0))</f>
        <v>64.64</v>
      </c>
      <c r="K153" s="904">
        <f t="shared" si="273"/>
        <v>64.64</v>
      </c>
      <c r="L153" s="560">
        <f>Sheet1!AA155+Sheet1!AB155-Sheet1!L155+(Sheet1!DA155-F153)*CFStoMGD</f>
        <v>649.10399999999993</v>
      </c>
      <c r="M153" s="560">
        <f t="shared" si="274"/>
        <v>707.33725259985818</v>
      </c>
      <c r="N153" s="910">
        <f>IF(Sheet1!DA155&gt;=F153,MIN(73,MIN(MAX(L153,0),MAX(M153,0))),0)</f>
        <v>73</v>
      </c>
      <c r="O153" s="563">
        <f>Sheet1!AA155+Sheet1!AB155</f>
        <v>60.879999999999995</v>
      </c>
      <c r="P153" s="563">
        <f t="shared" si="275"/>
        <v>94.181359999999984</v>
      </c>
      <c r="Q153" s="898">
        <f t="shared" si="339"/>
        <v>51.86</v>
      </c>
      <c r="R153" s="829">
        <f t="shared" si="276"/>
        <v>9.0223146009751076</v>
      </c>
      <c r="S153" s="898">
        <f t="shared" si="340"/>
        <v>9.02</v>
      </c>
      <c r="T153" s="898">
        <f t="shared" si="341"/>
        <v>55.620000000000005</v>
      </c>
      <c r="U153" s="898">
        <f t="shared" si="342"/>
        <v>0</v>
      </c>
      <c r="V153" s="898"/>
      <c r="W153" s="898">
        <f t="shared" si="343"/>
        <v>55.617685399024893</v>
      </c>
      <c r="X153" s="898">
        <f t="shared" si="344"/>
        <v>64.64</v>
      </c>
      <c r="Y153" s="898" t="str">
        <f t="shared" si="345"/>
        <v>FALSE</v>
      </c>
      <c r="Z153" s="898">
        <f t="shared" si="346"/>
        <v>60.879999999999995</v>
      </c>
      <c r="AA153" s="898">
        <f t="shared" si="347"/>
        <v>60.879999999999995</v>
      </c>
      <c r="AB153" s="898" t="str">
        <f t="shared" si="348"/>
        <v/>
      </c>
      <c r="AC153" s="563">
        <f>Sheet1!Y155*MGDtoCFS</f>
        <v>33.771009999999997</v>
      </c>
      <c r="AD153" s="563">
        <f>Sheet1!Z155*MGDtoCFS</f>
        <v>60.317529999999998</v>
      </c>
      <c r="AE153" s="563">
        <f>Sheet1!AA155*MGDtoCFS</f>
        <v>33.879299999999994</v>
      </c>
      <c r="AF153" s="563">
        <f>Sheet1!AB155*MGDtoCFS</f>
        <v>60.30205999999999</v>
      </c>
      <c r="AG153" s="563">
        <f>Sheet1!L155*MGDtoCFS</f>
        <v>0</v>
      </c>
      <c r="AH153" s="545">
        <f t="shared" si="277"/>
        <v>0</v>
      </c>
      <c r="AI153" s="560">
        <f t="shared" si="278"/>
        <v>0</v>
      </c>
      <c r="AJ153" s="560">
        <f t="shared" si="279"/>
        <v>55.617685399024893</v>
      </c>
      <c r="AK153" s="560">
        <f t="shared" si="280"/>
        <v>86.040559312291506</v>
      </c>
      <c r="AL153" s="560">
        <f>(VLOOKUP(Sheet1!DC155,hhdcap_wcm,4)-(((VLOOKUP(Sheet1!DC155,hhdcap_wcm,3)-Sheet1!DC155)/(VLOOKUP(Sheet1!DC155,hhdcap_wcm,3)-VLOOKUP(Sheet1!DC155,hhdcap_wcm,1)))*(VLOOKUP(Sheet1!DC155,hhdcap_wcm,4)-VLOOKUP(Sheet1!DC155,hhdcap_wcm,2))))</f>
        <v>47306.200000115357</v>
      </c>
      <c r="AM153" s="560">
        <f t="shared" si="281"/>
        <v>400.20000000230357</v>
      </c>
      <c r="AN153" s="560">
        <f t="shared" si="282"/>
        <v>5134.5325740857706</v>
      </c>
      <c r="AO153" s="560">
        <f t="shared" si="283"/>
        <v>15752.745937295145</v>
      </c>
      <c r="AP153" s="560">
        <f>Sheet1!BA155+Sheet1!BB155+Sheet1!BN155+CD153</f>
        <v>29.95</v>
      </c>
      <c r="AQ153" s="560">
        <f>Sheet1!BN155+(DO153*Sheet1!BN155)</f>
        <v>28.40728765717218</v>
      </c>
      <c r="AR153" s="560">
        <f>Sheet1!BA155+CD153</f>
        <v>0</v>
      </c>
      <c r="AS153" s="560">
        <f>Sheet1!BA155+Sheet1!BB155+CD153</f>
        <v>1.55</v>
      </c>
      <c r="AT153" s="698">
        <f>0</f>
        <v>0</v>
      </c>
      <c r="AU153" s="560">
        <f>IF(EB153&lt;K153,0,MAX(Sheet1!AA155+AQ153-15/36*K153-N153,Sheet1!EH155,0))</f>
        <v>0</v>
      </c>
      <c r="AV153" s="560">
        <f>IF(OR(B153&gt;=GD153,B153&lt;GC153),0,15/36*K153-MAX(0,64.6-(137.6-(Sheet1!AA155+Sheet1!AB155))))</f>
        <v>26.933333333333334</v>
      </c>
      <c r="AW153" s="698">
        <f>Sheet1!DB155-110</f>
        <v>722</v>
      </c>
      <c r="AX153" s="698">
        <f>Sheet1!DA155-265</f>
        <v>895</v>
      </c>
      <c r="AY153" s="698">
        <f t="shared" si="284"/>
        <v>21.14</v>
      </c>
      <c r="AZ153" s="698">
        <v>0</v>
      </c>
      <c r="BA153" s="698">
        <f t="shared" si="285"/>
        <v>0</v>
      </c>
      <c r="BB153" s="560">
        <f t="shared" si="286"/>
        <v>2450.9333333333352</v>
      </c>
      <c r="BC153" s="560"/>
      <c r="BD153" s="560">
        <f ca="1">IF(B153&gt;Summary!$A$1,#N/A,BB153*MGtoAF)</f>
        <v>7519.4634666666725</v>
      </c>
      <c r="BE153" s="560">
        <f>Sheet1!BG155+Sheet1!BH155+Sheet1!BI155-BM153</f>
        <v>0</v>
      </c>
      <c r="BF153" s="560">
        <f t="shared" si="287"/>
        <v>0</v>
      </c>
      <c r="BG153" s="560">
        <f>IF(Sheet1!EP155="FM",BM153,0)</f>
        <v>0</v>
      </c>
      <c r="BH153" s="560">
        <f t="shared" si="288"/>
        <v>0</v>
      </c>
      <c r="BI153" s="560">
        <f>IF(Sheet1!EP155="OTHER",BM153,0)</f>
        <v>0</v>
      </c>
      <c r="BJ153" s="560">
        <f t="shared" si="289"/>
        <v>0</v>
      </c>
      <c r="BK153" s="560">
        <f t="shared" si="290"/>
        <v>0</v>
      </c>
      <c r="BL153" s="560">
        <f t="shared" si="291"/>
        <v>0</v>
      </c>
      <c r="BM153" s="560">
        <f>IF(OR(Sheet1!EP155="FM", Sheet1!EP155="OTHER"),SUM(Sheet1!BG155:'Sheet1'!BI155),0)</f>
        <v>0</v>
      </c>
      <c r="BN153" s="545">
        <f>IF(AND($B153&gt;=$FV153,$B153&lt;=$FW153),MAX(BF153,Sheet1!EI155,0),MAX(BF153-(7/36)*$K153,0))</f>
        <v>0</v>
      </c>
      <c r="BO153" s="560">
        <f t="shared" si="292"/>
        <v>12.568888888888889</v>
      </c>
      <c r="BP153" s="545">
        <f t="shared" si="293"/>
        <v>0</v>
      </c>
      <c r="BQ153" s="545">
        <f>IF(AND($O153&gt;0,Sheet1!EM155=1),(1-($O153-Sheet1!$L155)/$O153)*BL153,0)</f>
        <v>0</v>
      </c>
      <c r="BR153" s="545">
        <f>IF(AND(Sheet1!$L155=0,Sheet1!$L154=0, Calculation!BK153&lt;Sheet1!$EI155-0.1,Sheet1!$EI155=Sheet1!$EI154,Sheet1!$EI155=Sheet1!$EI156),Sheet1!$EI155,BL153-BQ153)</f>
        <v>0</v>
      </c>
      <c r="BS153" s="560"/>
      <c r="BT153" s="560"/>
      <c r="BU153" s="560">
        <f t="shared" si="294"/>
        <v>1143.7688888888883</v>
      </c>
      <c r="BV153" s="560"/>
      <c r="BW153" s="560">
        <f ca="1">IF(B153&gt;Summary!$A$1,#N/A,BU153*MGtoAF)</f>
        <v>3509.0829511111097</v>
      </c>
      <c r="BX153" s="560">
        <f>Sheet1!BC155+Sheet1!BD155+Sheet1!BE155+Sheet1!BF155-CG153-CH153</f>
        <v>2.5099999999999998</v>
      </c>
      <c r="BY153" s="560">
        <f t="shared" si="295"/>
        <v>2.5106440851937384</v>
      </c>
      <c r="BZ153" s="560">
        <f>IF(Sheet1!EQ155="FM",CH153,0)</f>
        <v>0</v>
      </c>
      <c r="CA153" s="560">
        <f t="shared" si="296"/>
        <v>0</v>
      </c>
      <c r="CB153" s="560">
        <f>IF(Sheet1!EQ155="OTHER",CH153,0)</f>
        <v>0</v>
      </c>
      <c r="CC153" s="560">
        <f t="shared" si="297"/>
        <v>0</v>
      </c>
      <c r="CD153" s="560">
        <f t="shared" si="298"/>
        <v>0</v>
      </c>
      <c r="CE153" s="560">
        <f t="shared" si="299"/>
        <v>2.5099999999999998</v>
      </c>
      <c r="CF153" s="560">
        <f t="shared" si="300"/>
        <v>2.5106440851937384</v>
      </c>
      <c r="CG153" s="560">
        <f>IF(Sheet1!EQ155="CWA",SUM(Sheet1!BC155:'Sheet1'!BF155),0)</f>
        <v>0</v>
      </c>
      <c r="CH153" s="560">
        <f>IF(OR(Sheet1!EQ155="FM", Sheet1!EQ155="OTHER"),SUM(Sheet1!BC155:'Sheet1'!BF155),0)</f>
        <v>0</v>
      </c>
      <c r="CI153" s="545">
        <f>IF(AND($B153&gt;=$FV153,$B153&lt;=$FW153),MAX(CF153,Sheet1!EJ155,0),MAX(CF153-(7/36)*$K153,0))</f>
        <v>0</v>
      </c>
      <c r="CJ153" s="560">
        <f t="shared" si="301"/>
        <v>10.05824480369515</v>
      </c>
      <c r="CK153" s="545">
        <f t="shared" si="302"/>
        <v>2.5106440851937384</v>
      </c>
      <c r="CL153" s="545">
        <f>IF(AND($O153&gt;0,Sheet1!EN155=1),(1-($O153-Sheet1!$L155)/$O153)*CF153,0)</f>
        <v>0</v>
      </c>
      <c r="CM153" s="545">
        <f>IF(AND(Sheet1!$L155=0,Sheet1!$L154=0, Calculation!CE153&lt;Sheet1!EJ155-0.1,Sheet1!EJ155=Sheet1!EJ154,Sheet1!EJ155=Sheet1!EJ156),Sheet1!EJ155,CF153-CL153)</f>
        <v>2.5106440851937384</v>
      </c>
      <c r="CN153" s="545"/>
      <c r="CO153" s="560"/>
      <c r="CP153" s="560">
        <f t="shared" si="303"/>
        <v>901.92945649764511</v>
      </c>
      <c r="CQ153" s="560"/>
      <c r="CR153" s="560">
        <f ca="1">IF(B153&gt;Summary!$A$1,#N/A,CP153*MGtoAF)</f>
        <v>2767.1195725347752</v>
      </c>
      <c r="CS153" s="560">
        <f>Sheet1!BK155+Sheet1!BL155+Sheet1!BM155-Sheet1!ER155-DA153</f>
        <v>6.51</v>
      </c>
      <c r="CT153" s="560">
        <f t="shared" si="304"/>
        <v>6.5116705157813701</v>
      </c>
      <c r="CU153" s="560">
        <f>IF(Sheet1!ER155="FM",DA153,0)</f>
        <v>0</v>
      </c>
      <c r="CV153" s="560">
        <f t="shared" si="305"/>
        <v>0</v>
      </c>
      <c r="CW153" s="560">
        <f>IF(Sheet1!ER155="OTHER",DA153,0)</f>
        <v>0</v>
      </c>
      <c r="CX153" s="560">
        <f t="shared" si="306"/>
        <v>0</v>
      </c>
      <c r="CY153" s="560">
        <f t="shared" si="307"/>
        <v>6.51</v>
      </c>
      <c r="CZ153" s="560">
        <f t="shared" si="308"/>
        <v>6.5116705157813701</v>
      </c>
      <c r="DA153" s="560">
        <f>IF(OR(Sheet1!ER155="FM", Sheet1!ER155="OTHER"),SUM(Sheet1!BK155:'Sheet1'!BM155),0)</f>
        <v>0</v>
      </c>
      <c r="DB153" s="545">
        <f>IF(AND($B153&gt;=$FV153,$B153&lt;=$FW153),MAX($CT153,Sheet1!EK155,0),MAX($CT153-(7/36)*$K153,0))</f>
        <v>0</v>
      </c>
      <c r="DC153" s="560">
        <f t="shared" si="309"/>
        <v>6.0572183731075189</v>
      </c>
      <c r="DD153" s="545">
        <f t="shared" si="310"/>
        <v>6.5116705157813701</v>
      </c>
      <c r="DE153" s="545">
        <f>IF(AND($O153&gt;0,Sheet1!EO155=1),(1-($O153-Sheet1!$L155)/$O153)*CZ153,0)</f>
        <v>0</v>
      </c>
      <c r="DF153" s="545">
        <f>IF(AND(Sheet1!$L155=0,Sheet1!$L154=0, Calculation!CY153&lt;Sheet1!$EK155-0.1,Sheet1!$EK155=Sheet1!$EK154,Sheet1!$EK155=Sheet1!$EK156),Sheet1!$EK155,CZ153-DE153)</f>
        <v>6.5116705157813701</v>
      </c>
      <c r="DG153" s="545"/>
      <c r="DH153" s="560">
        <f t="shared" si="311"/>
        <v>9.02</v>
      </c>
      <c r="DI153" s="560">
        <f t="shared" si="312"/>
        <v>637.90089536590256</v>
      </c>
      <c r="DJ153" s="698">
        <f t="shared" si="313"/>
        <v>9.0223146009751076</v>
      </c>
      <c r="DK153" s="560">
        <f ca="1">IF(B153&gt;Summary!$A$1,#N/A,DI153*MGtoAF)</f>
        <v>1957.079946982589</v>
      </c>
      <c r="DL153" s="698">
        <f t="shared" si="314"/>
        <v>9.02</v>
      </c>
      <c r="DM153" s="560">
        <f t="shared" si="315"/>
        <v>38.97</v>
      </c>
      <c r="DN153" s="560">
        <f>Sheet1!AB155-DM153</f>
        <v>9.9999999999980105E-3</v>
      </c>
      <c r="DO153" s="823">
        <f t="shared" si="316"/>
        <v>2.5660764690782679E-4</v>
      </c>
      <c r="DP153" s="560">
        <f>(VLOOKUP(Sheet1!DC155,hhdcap_wcm,4)-(((VLOOKUP(Sheet1!DC155,hhdcap_wcm,3)-Sheet1!DC155)/(VLOOKUP(Sheet1!DC155,hhdcap_wcm,3)-VLOOKUP(Sheet1!DC155,hhdcap_wcm,1)))*(VLOOKUP(Sheet1!DC155,hhdcap_wcm,4)-VLOOKUP(Sheet1!DC155,hhdcap_wcm,2))))</f>
        <v>47306.200000115357</v>
      </c>
      <c r="DQ153" s="560">
        <f t="shared" si="317"/>
        <v>400.20000000230357</v>
      </c>
      <c r="DR153" s="560">
        <f t="shared" si="318"/>
        <v>201.81543116606329</v>
      </c>
      <c r="DS153" s="560">
        <f>Sheet1!EA155*AFtoMG</f>
        <v>0</v>
      </c>
      <c r="DT153" s="560">
        <f>Sheet1!EB155*AFtoMG</f>
        <v>0</v>
      </c>
      <c r="DU153" s="560">
        <f>Sheet1!EC155*AFtoMG</f>
        <v>0</v>
      </c>
      <c r="DV153" s="560">
        <f>Sheet1!ED155*AFtoMG</f>
        <v>0</v>
      </c>
      <c r="DW153" s="560">
        <f t="shared" si="319"/>
        <v>0</v>
      </c>
      <c r="DX153" s="560">
        <f t="shared" si="320"/>
        <v>0</v>
      </c>
      <c r="DY153" s="560">
        <f t="shared" si="321"/>
        <v>5134.5325740857706</v>
      </c>
      <c r="DZ153" s="560">
        <f t="shared" si="322"/>
        <v>15752.745937295145</v>
      </c>
      <c r="EA153" s="560"/>
      <c r="EB153" s="545">
        <f>IF(OR(B153&lt;FV153,B153&gt;FW153),(MIN(BF153+BY153+CT153+MAX(Sheet1!AA155+AQ153-73,0),K153)),0)</f>
        <v>9.0223146009751076</v>
      </c>
      <c r="EC153" s="560"/>
      <c r="ED153" s="560">
        <f t="shared" si="323"/>
        <v>9.0223146009751076</v>
      </c>
      <c r="EE153" s="560"/>
      <c r="EF153" s="560">
        <f>Sheet1!EH155+Sheet1!EI155+Sheet1!EJ155+Sheet1!EK155</f>
        <v>9.02</v>
      </c>
      <c r="EG153" s="560"/>
      <c r="EH153" s="545">
        <f t="shared" si="324"/>
        <v>0</v>
      </c>
      <c r="EI153" s="560">
        <f>IF(Sheet1!ET155=1,SUM('Calculations II'!AT153:BA153)+'Calculations II'!BC153+Sheet1!BV155+'Calculations II'!BE153+AP153,SUM('Calculations II'!AT153:BA153)+'Calculations II'!BC153+Sheet1!BV155+'Calculations II'!BE153+AP153)</f>
        <v>59.707391999999999</v>
      </c>
      <c r="EJ153" s="560">
        <f>Sheet1!AA155+Sheet1!AB155+'Calculations II'!BC153</f>
        <v>60.879999999999995</v>
      </c>
      <c r="EK153" s="560"/>
      <c r="EL153" s="560"/>
      <c r="EM153" s="560">
        <f t="shared" si="325"/>
        <v>41781</v>
      </c>
      <c r="EN153" s="560">
        <f t="shared" si="326"/>
        <v>55.617685399024893</v>
      </c>
      <c r="EO153" s="560">
        <f t="shared" si="327"/>
        <v>86.040559312291506</v>
      </c>
      <c r="EP153" s="560">
        <v>0</v>
      </c>
      <c r="EQ153" s="560">
        <v>0</v>
      </c>
      <c r="ER153" s="560">
        <v>0</v>
      </c>
      <c r="ES153" s="545">
        <f t="shared" si="349"/>
        <v>2.0760478292319142</v>
      </c>
      <c r="ET153" s="560">
        <f>-(VLOOKUP(Sheet1!BQ155,Lookup!$O$4:$Q$262,2)-VLOOKUP(Sheet1!BQ154,Lookup!$O$4:$Q$262,2))/1000000</f>
        <v>1.1072374678430446</v>
      </c>
      <c r="EU153" s="560">
        <f>-(VLOOKUP(Sheet1!BR155,Lookup!$O$4:$Q$262,3)-VLOOKUP(Sheet1!BR154,Lookup!$O$4:$Q$262,3))/1000000</f>
        <v>0.96881036138886956</v>
      </c>
      <c r="EV153" s="560"/>
      <c r="EW153" s="560"/>
      <c r="EX153" s="560"/>
      <c r="EY153" s="560"/>
      <c r="EZ153" s="560"/>
      <c r="FA153" s="560"/>
      <c r="FB153" s="560"/>
      <c r="FC153" s="560"/>
      <c r="FD153" s="594" t="e">
        <f t="shared" si="328"/>
        <v>#N/A</v>
      </c>
      <c r="FE153" s="594" t="e">
        <f t="shared" si="329"/>
        <v>#N/A</v>
      </c>
      <c r="FF153" s="595" t="e">
        <f t="shared" si="330"/>
        <v>#N/A</v>
      </c>
      <c r="FG153" s="596" t="s">
        <v>692</v>
      </c>
      <c r="FH153" s="596" t="s">
        <v>692</v>
      </c>
      <c r="FI153" s="594" t="e">
        <v>#N/A</v>
      </c>
      <c r="FJ153" s="594" t="e">
        <v>#N/A</v>
      </c>
      <c r="FK153" s="560"/>
      <c r="FL153" s="560"/>
      <c r="FM153" s="560"/>
      <c r="FN153" s="560"/>
      <c r="FO153" s="560">
        <f>O153+((Sheet1!CS155)*GPMtoMGD)</f>
        <v>60.879999999999995</v>
      </c>
      <c r="FP153" s="560">
        <f>IF(Sheet1!AA155+AQ153&lt;=Calculation!N153,AQ153,Calculation!N153-Sheet1!AA155)</f>
        <v>28.40728765717218</v>
      </c>
      <c r="FQ153" s="560">
        <f>(Sheet1!BP155+Sheet1!BO155)/694.4</f>
        <v>2.839717741935484</v>
      </c>
      <c r="FR153" s="560"/>
      <c r="FS153" s="560"/>
      <c r="FT153" s="560"/>
      <c r="FU153" s="560"/>
      <c r="FV153" s="695">
        <f t="shared" si="350"/>
        <v>41827</v>
      </c>
      <c r="FW153" s="695">
        <f t="shared" si="351"/>
        <v>41934</v>
      </c>
      <c r="FX153" s="560"/>
      <c r="FY153" s="560"/>
      <c r="FZ153" s="560"/>
      <c r="GA153" s="560"/>
      <c r="GB153" s="560" t="str">
        <f t="shared" si="352"/>
        <v>n</v>
      </c>
      <c r="GC153" s="564">
        <f t="shared" si="353"/>
        <v>41691</v>
      </c>
      <c r="GD153" s="695">
        <f t="shared" si="354"/>
        <v>41807</v>
      </c>
      <c r="GE153" s="560">
        <v>6518.9</v>
      </c>
      <c r="GF153" s="695">
        <f t="shared" si="355"/>
        <v>41808</v>
      </c>
      <c r="GG153" s="560">
        <f t="shared" si="374"/>
        <v>3259</v>
      </c>
      <c r="GH153" s="564">
        <f t="shared" si="356"/>
        <v>41934</v>
      </c>
      <c r="GJ153" s="545">
        <f t="shared" si="357"/>
        <v>0</v>
      </c>
      <c r="GK153" s="560" t="str">
        <f t="shared" si="331"/>
        <v/>
      </c>
      <c r="GL153" s="560">
        <f t="shared" si="358"/>
        <v>0</v>
      </c>
      <c r="GM153" s="560" t="str">
        <f t="shared" si="359"/>
        <v/>
      </c>
      <c r="GN153" s="560">
        <f>IF(GK153="P",Lookup!$M$12,IF(GK153="PP",Lookup!$M$13,IF(GK153="PPP",Lookup!$M$14,IF(GK153="T",Lookup!$M$15,IF(GK153="TP",Lookup!$M$16,IF(GK153="TPP",Lookup!$M$17,IF(GK153="TPPP",Lookup!$M$18,0)))))))*GJ153</f>
        <v>0</v>
      </c>
      <c r="GO153" s="560">
        <f t="shared" si="360"/>
        <v>0</v>
      </c>
      <c r="GP153" s="560">
        <f t="shared" si="332"/>
        <v>7519.4634666666725</v>
      </c>
      <c r="GQ153" s="560">
        <f t="shared" si="368"/>
        <v>2450.9333333333352</v>
      </c>
      <c r="GR153" s="560"/>
      <c r="GS153" s="560">
        <f t="shared" si="361"/>
        <v>0</v>
      </c>
      <c r="GT153" s="560" t="str">
        <f t="shared" si="362"/>
        <v/>
      </c>
      <c r="GU153" s="560">
        <f>IF(GK153="P",Lookup!$N$12,IF(GK153="PP",Lookup!$N$13,IF(GK153="PPP",Lookup!$N$14,IF(GK153="T",Lookup!$N$15,IF(GK153="TP",Lookup!$N$16,IF(GK153="TPP",Lookup!$N$17,IF(GK153="TPPP",Lookup!$N$18,0)))))))*GJ153</f>
        <v>0</v>
      </c>
      <c r="GV153" s="560">
        <f t="shared" si="363"/>
        <v>0</v>
      </c>
      <c r="GW153" s="560">
        <f t="shared" si="333"/>
        <v>3509.0829511111097</v>
      </c>
      <c r="GX153" s="560">
        <f t="shared" si="369"/>
        <v>1143.7688888888883</v>
      </c>
      <c r="GY153" s="560"/>
      <c r="GZ153" s="560">
        <f t="shared" si="364"/>
        <v>0</v>
      </c>
      <c r="HA153" s="560" t="str">
        <f t="shared" si="365"/>
        <v/>
      </c>
      <c r="HB153" s="560">
        <f>IF(GK153="P",Lookup!$N$12,IF(GK153="PP",Lookup!$N$13,IF(GK153="PPP",Lookup!$N$14,IF(GK153="T",Lookup!$N$15,IF(GK153="TP",Lookup!$N$16,IF(GK153="TPP",Lookup!$N$17,IF(GK153="TPPP",Lookup!$N$18,0)))))))*GJ153</f>
        <v>0</v>
      </c>
      <c r="HC153" s="545">
        <f t="shared" si="334"/>
        <v>0</v>
      </c>
      <c r="HD153" s="560">
        <f t="shared" si="335"/>
        <v>2767.1195725347752</v>
      </c>
      <c r="HE153" s="560">
        <f t="shared" si="370"/>
        <v>901.92945649764511</v>
      </c>
      <c r="HF153" s="560"/>
      <c r="HG153" s="560">
        <f t="shared" si="366"/>
        <v>0</v>
      </c>
      <c r="HH153" s="560" t="str">
        <f t="shared" si="367"/>
        <v/>
      </c>
      <c r="HI153" s="560">
        <f>IF(GK153="P",Lookup!$N$12,IF(GK153="PP",Lookup!$N$13,IF(GK153="PPP",Lookup!$N$14,IF(GK153="T",Lookup!$N$15,IF(GK153="TP",Lookup!$N$16,IF(GK153="TPP",Lookup!$N$17,IF(GK153="TPPP",Lookup!$N$18,0)))))))*GJ153</f>
        <v>0</v>
      </c>
      <c r="HJ153" s="545">
        <f t="shared" si="336"/>
        <v>0</v>
      </c>
      <c r="HK153" s="560">
        <f t="shared" si="337"/>
        <v>1957.079946982589</v>
      </c>
      <c r="HL153" s="560">
        <f t="shared" si="371"/>
        <v>637.90089536590256</v>
      </c>
      <c r="HM153" s="560"/>
    </row>
    <row r="154" spans="1:221">
      <c r="A154" s="580" t="s">
        <v>8</v>
      </c>
      <c r="B154" s="556">
        <v>41782</v>
      </c>
      <c r="C154" s="561">
        <v>0</v>
      </c>
      <c r="D154" s="529">
        <f t="shared" si="372"/>
        <v>300</v>
      </c>
      <c r="E154" s="529">
        <f t="shared" si="373"/>
        <v>250</v>
      </c>
      <c r="F154" s="529">
        <v>250</v>
      </c>
      <c r="G154" s="560">
        <f>DR154+Sheet1!CZ156</f>
        <v>1234.4795763996531</v>
      </c>
      <c r="H154" s="914">
        <f t="shared" si="338"/>
        <v>531.00439818473569</v>
      </c>
      <c r="I154" s="559">
        <f>MAX(Sheet1!Z156-AT154+(Sheet1!DA156-E154)*CFStoMGD,0)</f>
        <v>672.452</v>
      </c>
      <c r="J154" s="562">
        <f>IF(AND(B154&gt;=Calculation!GC154,B154&lt;=Calculation!GD154),IF(Sheet1!DB156&gt;=Calculation!D154,64.64,0),MAX(Sheet1!Z156-AT154+(Sheet1!DB156-D154)*CFStoMGD,0))</f>
        <v>64.64</v>
      </c>
      <c r="K154" s="904">
        <f t="shared" si="273"/>
        <v>64.64</v>
      </c>
      <c r="L154" s="560">
        <f>Sheet1!AA156+Sheet1!AB156-Sheet1!L156+(Sheet1!DA156-F154)*CFStoMGD</f>
        <v>694.29200000000003</v>
      </c>
      <c r="M154" s="560">
        <f t="shared" si="274"/>
        <v>813.92695014843048</v>
      </c>
      <c r="N154" s="910">
        <f>IF(Sheet1!DA156&gt;=F154,MIN(73,MIN(MAX(L154,0),MAX(M154,0))),0)</f>
        <v>73</v>
      </c>
      <c r="O154" s="563">
        <f>Sheet1!AA156+Sheet1!AB156</f>
        <v>60.82</v>
      </c>
      <c r="P154" s="563">
        <f t="shared" si="275"/>
        <v>94.088539999999995</v>
      </c>
      <c r="Q154" s="898">
        <f t="shared" si="339"/>
        <v>51.76</v>
      </c>
      <c r="R154" s="829">
        <f t="shared" si="276"/>
        <v>9.1209311950336271</v>
      </c>
      <c r="S154" s="898">
        <f t="shared" si="340"/>
        <v>9.06</v>
      </c>
      <c r="T154" s="898">
        <f t="shared" si="341"/>
        <v>55.58</v>
      </c>
      <c r="U154" s="898">
        <f t="shared" si="342"/>
        <v>0</v>
      </c>
      <c r="V154" s="898"/>
      <c r="W154" s="898">
        <f t="shared" si="343"/>
        <v>55.519068804966373</v>
      </c>
      <c r="X154" s="898">
        <f t="shared" si="344"/>
        <v>64.64</v>
      </c>
      <c r="Y154" s="898" t="str">
        <f t="shared" si="345"/>
        <v>FALSE</v>
      </c>
      <c r="Z154" s="898">
        <f t="shared" si="346"/>
        <v>60.82</v>
      </c>
      <c r="AA154" s="898">
        <f t="shared" si="347"/>
        <v>60.82</v>
      </c>
      <c r="AB154" s="898" t="str">
        <f t="shared" si="348"/>
        <v/>
      </c>
      <c r="AC154" s="563">
        <f>Sheet1!Y156*MGDtoCFS</f>
        <v>33.879299999999994</v>
      </c>
      <c r="AD154" s="563">
        <f>Sheet1!Z156*MGDtoCFS</f>
        <v>60.30205999999999</v>
      </c>
      <c r="AE154" s="563">
        <f>Sheet1!AA156*MGDtoCFS</f>
        <v>33.879299999999994</v>
      </c>
      <c r="AF154" s="563">
        <f>Sheet1!AB156*MGDtoCFS</f>
        <v>60.209240000000001</v>
      </c>
      <c r="AG154" s="563">
        <f>Sheet1!L156*MGDtoCFS</f>
        <v>0</v>
      </c>
      <c r="AH154" s="545">
        <f t="shared" si="277"/>
        <v>0</v>
      </c>
      <c r="AI154" s="560">
        <f t="shared" si="278"/>
        <v>0</v>
      </c>
      <c r="AJ154" s="560">
        <f t="shared" si="279"/>
        <v>55.519068804966373</v>
      </c>
      <c r="AK154" s="560">
        <f t="shared" si="280"/>
        <v>85.887999441282972</v>
      </c>
      <c r="AL154" s="560">
        <f>(VLOOKUP(Sheet1!DC156,hhdcap_wcm,4)-(((VLOOKUP(Sheet1!DC156,hhdcap_wcm,3)-Sheet1!DC156)/(VLOOKUP(Sheet1!DC156,hhdcap_wcm,3)-VLOOKUP(Sheet1!DC156,hhdcap_wcm,1)))*(VLOOKUP(Sheet1!DC156,hhdcap_wcm,4)-VLOOKUP(Sheet1!DC156,hhdcap_wcm,2))))</f>
        <v>47908.00000011587</v>
      </c>
      <c r="AM154" s="560">
        <f t="shared" si="281"/>
        <v>601.80000000051223</v>
      </c>
      <c r="AN154" s="560">
        <f t="shared" si="282"/>
        <v>5190.0516428907376</v>
      </c>
      <c r="AO154" s="560">
        <f t="shared" si="283"/>
        <v>15923.078440388783</v>
      </c>
      <c r="AP154" s="560">
        <f>Sheet1!BA156+Sheet1!BB156+Sheet1!BN156+CD154</f>
        <v>29.6</v>
      </c>
      <c r="AQ154" s="560">
        <f>Sheet1!BN156+(DO154*Sheet1!BN156)</f>
        <v>28.188308329022245</v>
      </c>
      <c r="AR154" s="560">
        <f>Sheet1!BA156+CD154</f>
        <v>0</v>
      </c>
      <c r="AS154" s="560">
        <f>Sheet1!BA156+Sheet1!BB156+CD154</f>
        <v>1.6</v>
      </c>
      <c r="AT154" s="698">
        <f>0</f>
        <v>0</v>
      </c>
      <c r="AU154" s="560">
        <f>IF(EB154&lt;K154,0,MAX(Sheet1!AA156+AQ154-15/36*K154-N154,Sheet1!EH156,0))</f>
        <v>0</v>
      </c>
      <c r="AV154" s="560">
        <f>IF(OR(B154&gt;=GD154,B154&lt;GC154),0,15/36*K154-MAX(0,64.6-(137.6-(Sheet1!AA156+Sheet1!AB156))))</f>
        <v>26.933333333333334</v>
      </c>
      <c r="AW154" s="698">
        <f>Sheet1!DB156-110</f>
        <v>775</v>
      </c>
      <c r="AX154" s="698">
        <f>Sheet1!DA156-265</f>
        <v>965</v>
      </c>
      <c r="AY154" s="698">
        <f t="shared" si="284"/>
        <v>21.240000000000002</v>
      </c>
      <c r="AZ154" s="698">
        <v>0</v>
      </c>
      <c r="BA154" s="698">
        <f t="shared" si="285"/>
        <v>0</v>
      </c>
      <c r="BB154" s="560">
        <f t="shared" si="286"/>
        <v>2477.8666666666686</v>
      </c>
      <c r="BC154" s="560"/>
      <c r="BD154" s="560">
        <f ca="1">IF(B154&gt;Summary!$A$1,#N/A,BB154*MGtoAF)</f>
        <v>7602.0949333333392</v>
      </c>
      <c r="BE154" s="560">
        <f>Sheet1!BG156+Sheet1!BH156+Sheet1!BI156-BM154</f>
        <v>0</v>
      </c>
      <c r="BF154" s="560">
        <f t="shared" si="287"/>
        <v>0</v>
      </c>
      <c r="BG154" s="560">
        <f>IF(Sheet1!EP156="FM",BM154,0)</f>
        <v>0</v>
      </c>
      <c r="BH154" s="560">
        <f t="shared" si="288"/>
        <v>0</v>
      </c>
      <c r="BI154" s="560">
        <f>IF(Sheet1!EP156="OTHER",BM154,0)</f>
        <v>0</v>
      </c>
      <c r="BJ154" s="560">
        <f t="shared" si="289"/>
        <v>0</v>
      </c>
      <c r="BK154" s="560">
        <f t="shared" si="290"/>
        <v>0</v>
      </c>
      <c r="BL154" s="560">
        <f t="shared" si="291"/>
        <v>0</v>
      </c>
      <c r="BM154" s="560">
        <f>IF(OR(Sheet1!EP156="FM", Sheet1!EP156="OTHER"),SUM(Sheet1!BG156:'Sheet1'!BI156),0)</f>
        <v>0</v>
      </c>
      <c r="BN154" s="545">
        <f>IF(AND($B154&gt;=$FV154,$B154&lt;=$FW154),MAX(BF154,Sheet1!EI156,0),MAX(BF154-(7/36)*$K154,0))</f>
        <v>0</v>
      </c>
      <c r="BO154" s="560">
        <f t="shared" si="292"/>
        <v>12.568888888888889</v>
      </c>
      <c r="BP154" s="545">
        <f t="shared" si="293"/>
        <v>0</v>
      </c>
      <c r="BQ154" s="545">
        <f>IF(AND($O154&gt;0,Sheet1!EM156=1),(1-($O154-Sheet1!$L156)/$O154)*BL154,0)</f>
        <v>0</v>
      </c>
      <c r="BR154" s="545">
        <f>IF(AND(Sheet1!$L156=0,Sheet1!$L155=0, Calculation!BK154&lt;Sheet1!$EI156-0.1,Sheet1!$EI156=Sheet1!$EI155,Sheet1!$EI156=Sheet1!$EI157),Sheet1!$EI156,BL154-BQ154)</f>
        <v>0</v>
      </c>
      <c r="BS154" s="560"/>
      <c r="BT154" s="560"/>
      <c r="BU154" s="560">
        <f t="shared" si="294"/>
        <v>1156.3377777777773</v>
      </c>
      <c r="BV154" s="560"/>
      <c r="BW154" s="560">
        <f ca="1">IF(B154&gt;Summary!$A$1,#N/A,BU154*MGtoAF)</f>
        <v>3547.6443022222211</v>
      </c>
      <c r="BX154" s="560">
        <f>Sheet1!BC156+Sheet1!BD156+Sheet1!BE156+Sheet1!BF156-CG154-CH154</f>
        <v>2.5099999999999998</v>
      </c>
      <c r="BY154" s="560">
        <f t="shared" si="295"/>
        <v>2.526880496637351</v>
      </c>
      <c r="BZ154" s="560">
        <f>IF(Sheet1!EQ156="FM",CH154,0)</f>
        <v>0</v>
      </c>
      <c r="CA154" s="560">
        <f t="shared" si="296"/>
        <v>0</v>
      </c>
      <c r="CB154" s="560">
        <f>IF(Sheet1!EQ156="OTHER",CH154,0)</f>
        <v>0</v>
      </c>
      <c r="CC154" s="560">
        <f t="shared" si="297"/>
        <v>0</v>
      </c>
      <c r="CD154" s="560">
        <f t="shared" si="298"/>
        <v>0</v>
      </c>
      <c r="CE154" s="560">
        <f t="shared" si="299"/>
        <v>2.5099999999999998</v>
      </c>
      <c r="CF154" s="560">
        <f t="shared" si="300"/>
        <v>2.526880496637351</v>
      </c>
      <c r="CG154" s="560">
        <f>IF(Sheet1!EQ156="CWA",SUM(Sheet1!BC156:'Sheet1'!BF156),0)</f>
        <v>0</v>
      </c>
      <c r="CH154" s="560">
        <f>IF(OR(Sheet1!EQ156="FM", Sheet1!EQ156="OTHER"),SUM(Sheet1!BC156:'Sheet1'!BF156),0)</f>
        <v>0</v>
      </c>
      <c r="CI154" s="545">
        <f>IF(AND($B154&gt;=$FV154,$B154&lt;=$FW154),MAX(CF154,Sheet1!EJ156,0),MAX(CF154-(7/36)*$K154,0))</f>
        <v>0</v>
      </c>
      <c r="CJ154" s="560">
        <f t="shared" si="301"/>
        <v>10.042008392251539</v>
      </c>
      <c r="CK154" s="545">
        <f t="shared" si="302"/>
        <v>2.526880496637351</v>
      </c>
      <c r="CL154" s="545">
        <f>IF(AND($O154&gt;0,Sheet1!EN156=1),(1-($O154-Sheet1!$L156)/$O154)*CF154,0)</f>
        <v>0</v>
      </c>
      <c r="CM154" s="545">
        <f>IF(AND(Sheet1!$L156=0,Sheet1!$L155=0, Calculation!CE154&lt;Sheet1!EJ156-0.1,Sheet1!EJ156=Sheet1!EJ155,Sheet1!EJ156=Sheet1!EJ157),Sheet1!EJ156,CF154-CL154)</f>
        <v>2.526880496637351</v>
      </c>
      <c r="CN154" s="545"/>
      <c r="CO154" s="560"/>
      <c r="CP154" s="560">
        <f t="shared" si="303"/>
        <v>911.97146488989665</v>
      </c>
      <c r="CQ154" s="560"/>
      <c r="CR154" s="560">
        <f ca="1">IF(B154&gt;Summary!$A$1,#N/A,CP154*MGtoAF)</f>
        <v>2797.9284542822029</v>
      </c>
      <c r="CS154" s="560">
        <f>Sheet1!BK156+Sheet1!BL156+Sheet1!BM156-Sheet1!ER156-DA154</f>
        <v>6.5500000000000007</v>
      </c>
      <c r="CT154" s="560">
        <f t="shared" si="304"/>
        <v>6.5940506983962752</v>
      </c>
      <c r="CU154" s="560">
        <f>IF(Sheet1!ER156="FM",DA154,0)</f>
        <v>0</v>
      </c>
      <c r="CV154" s="560">
        <f t="shared" si="305"/>
        <v>0</v>
      </c>
      <c r="CW154" s="560">
        <f>IF(Sheet1!ER156="OTHER",DA154,0)</f>
        <v>0</v>
      </c>
      <c r="CX154" s="560">
        <f t="shared" si="306"/>
        <v>0</v>
      </c>
      <c r="CY154" s="560">
        <f t="shared" si="307"/>
        <v>6.5500000000000007</v>
      </c>
      <c r="CZ154" s="560">
        <f t="shared" si="308"/>
        <v>6.5940506983962752</v>
      </c>
      <c r="DA154" s="560">
        <f>IF(OR(Sheet1!ER156="FM", Sheet1!ER156="OTHER"),SUM(Sheet1!BK156:'Sheet1'!BM156),0)</f>
        <v>0</v>
      </c>
      <c r="DB154" s="545">
        <f>IF(AND($B154&gt;=$FV154,$B154&lt;=$FW154),MAX($CT154,Sheet1!EK156,0),MAX($CT154-(7/36)*$K154,0))</f>
        <v>0</v>
      </c>
      <c r="DC154" s="560">
        <f t="shared" si="309"/>
        <v>5.9748381904926138</v>
      </c>
      <c r="DD154" s="545">
        <f t="shared" si="310"/>
        <v>6.5940506983962752</v>
      </c>
      <c r="DE154" s="545">
        <f>IF(AND($O154&gt;0,Sheet1!EO156=1),(1-($O154-Sheet1!$L156)/$O154)*CZ154,0)</f>
        <v>0</v>
      </c>
      <c r="DF154" s="545">
        <f>IF(AND(Sheet1!$L156=0,Sheet1!$L155=0, Calculation!CY154&lt;Sheet1!$EK156-0.1,Sheet1!$EK156=Sheet1!$EK155,Sheet1!$EK156=Sheet1!$EK157),Sheet1!$EK156,CZ154-DE154)</f>
        <v>6.5940506983962752</v>
      </c>
      <c r="DG154" s="545"/>
      <c r="DH154" s="560">
        <f t="shared" si="311"/>
        <v>9.06</v>
      </c>
      <c r="DI154" s="560">
        <f t="shared" si="312"/>
        <v>643.87573355639518</v>
      </c>
      <c r="DJ154" s="698">
        <f t="shared" si="313"/>
        <v>9.1209311950336271</v>
      </c>
      <c r="DK154" s="560">
        <f ca="1">IF(B154&gt;Summary!$A$1,#N/A,DI154*MGtoAF)</f>
        <v>1975.4107505510203</v>
      </c>
      <c r="DL154" s="698">
        <f t="shared" si="314"/>
        <v>9.06</v>
      </c>
      <c r="DM154" s="560">
        <f t="shared" si="315"/>
        <v>38.660000000000004</v>
      </c>
      <c r="DN154" s="560">
        <f>Sheet1!AB156-DM154</f>
        <v>0.25999999999999801</v>
      </c>
      <c r="DO154" s="823">
        <f t="shared" si="316"/>
        <v>6.725297465080134E-3</v>
      </c>
      <c r="DP154" s="560">
        <f>(VLOOKUP(Sheet1!DC156,hhdcap_wcm,4)-(((VLOOKUP(Sheet1!DC156,hhdcap_wcm,3)-Sheet1!DC156)/(VLOOKUP(Sheet1!DC156,hhdcap_wcm,3)-VLOOKUP(Sheet1!DC156,hhdcap_wcm,1)))*(VLOOKUP(Sheet1!DC156,hhdcap_wcm,4)-VLOOKUP(Sheet1!DC156,hhdcap_wcm,2))))</f>
        <v>47908.00000011587</v>
      </c>
      <c r="DQ154" s="560">
        <f t="shared" si="317"/>
        <v>601.80000000051223</v>
      </c>
      <c r="DR154" s="560">
        <f t="shared" si="318"/>
        <v>303.47957639965313</v>
      </c>
      <c r="DS154" s="560">
        <f>Sheet1!EA156*AFtoMG</f>
        <v>0</v>
      </c>
      <c r="DT154" s="560">
        <f>Sheet1!EB156*AFtoMG</f>
        <v>0</v>
      </c>
      <c r="DU154" s="560">
        <f>Sheet1!EC156*AFtoMG</f>
        <v>0</v>
      </c>
      <c r="DV154" s="560">
        <f>Sheet1!ED156*AFtoMG</f>
        <v>0</v>
      </c>
      <c r="DW154" s="560">
        <f t="shared" si="319"/>
        <v>0</v>
      </c>
      <c r="DX154" s="560">
        <f t="shared" si="320"/>
        <v>0</v>
      </c>
      <c r="DY154" s="560">
        <f t="shared" si="321"/>
        <v>5190.0516428907376</v>
      </c>
      <c r="DZ154" s="560">
        <f t="shared" si="322"/>
        <v>15923.078440388783</v>
      </c>
      <c r="EA154" s="560"/>
      <c r="EB154" s="545">
        <f>IF(OR(B154&lt;FV154,B154&gt;FW154),(MIN(BF154+BY154+CT154+MAX(Sheet1!AA156+AQ154-73,0),K154)),0)</f>
        <v>9.1209311950336271</v>
      </c>
      <c r="EC154" s="560"/>
      <c r="ED154" s="560">
        <f t="shared" si="323"/>
        <v>9.1209311950336271</v>
      </c>
      <c r="EE154" s="560"/>
      <c r="EF154" s="560">
        <f>Sheet1!EH156+Sheet1!EI156+Sheet1!EJ156+Sheet1!EK156</f>
        <v>9.06</v>
      </c>
      <c r="EG154" s="560"/>
      <c r="EH154" s="545">
        <f t="shared" si="324"/>
        <v>0</v>
      </c>
      <c r="EI154" s="560">
        <f>IF(Sheet1!ET156=1,SUM('Calculations II'!AT154:BA154)+'Calculations II'!BC154+Sheet1!BV156+'Calculations II'!BE154+AP154,SUM('Calculations II'!AT154:BA154)+'Calculations II'!BC154+Sheet1!BV156+'Calculations II'!BE154+AP154)</f>
        <v>57.101872</v>
      </c>
      <c r="EJ154" s="560">
        <f>Sheet1!AA156+Sheet1!AB156+'Calculations II'!BC154</f>
        <v>60.82</v>
      </c>
      <c r="EK154" s="560"/>
      <c r="EL154" s="560"/>
      <c r="EM154" s="560">
        <f t="shared" si="325"/>
        <v>41782</v>
      </c>
      <c r="EN154" s="560">
        <f t="shared" si="326"/>
        <v>55.519068804966373</v>
      </c>
      <c r="EO154" s="560">
        <f t="shared" si="327"/>
        <v>85.887999441282972</v>
      </c>
      <c r="EP154" s="560">
        <v>0</v>
      </c>
      <c r="EQ154" s="560">
        <v>0</v>
      </c>
      <c r="ER154" s="560">
        <v>0</v>
      </c>
      <c r="ES154" s="545">
        <f t="shared" si="349"/>
        <v>-0.13838226154118777</v>
      </c>
      <c r="ET154" s="560">
        <f>-(VLOOKUP(Sheet1!BQ156,Lookup!$O$4:$Q$262,2)-VLOOKUP(Sheet1!BQ155,Lookup!$O$4:$Q$262,2))/1000000</f>
        <v>-0.13838226154118777</v>
      </c>
      <c r="EU154" s="560">
        <f>-(VLOOKUP(Sheet1!BR156,Lookup!$O$4:$Q$262,3)-VLOOKUP(Sheet1!BR155,Lookup!$O$4:$Q$262,3))/1000000</f>
        <v>0</v>
      </c>
      <c r="EV154" s="560"/>
      <c r="EW154" s="560"/>
      <c r="EX154" s="560"/>
      <c r="EY154" s="560"/>
      <c r="EZ154" s="560"/>
      <c r="FA154" s="560"/>
      <c r="FB154" s="560"/>
      <c r="FC154" s="560"/>
      <c r="FD154" s="594" t="e">
        <f t="shared" si="328"/>
        <v>#N/A</v>
      </c>
      <c r="FE154" s="594" t="e">
        <f t="shared" si="329"/>
        <v>#N/A</v>
      </c>
      <c r="FF154" s="595" t="e">
        <f t="shared" si="330"/>
        <v>#N/A</v>
      </c>
      <c r="FG154" s="596" t="s">
        <v>692</v>
      </c>
      <c r="FH154" s="596" t="s">
        <v>692</v>
      </c>
      <c r="FI154" s="594" t="e">
        <v>#N/A</v>
      </c>
      <c r="FJ154" s="594" t="e">
        <v>#N/A</v>
      </c>
      <c r="FK154" s="560"/>
      <c r="FL154" s="560"/>
      <c r="FM154" s="560"/>
      <c r="FN154" s="560"/>
      <c r="FO154" s="560">
        <f>O154+((Sheet1!CS156)*GPMtoMGD)</f>
        <v>60.82</v>
      </c>
      <c r="FP154" s="560">
        <f>IF(Sheet1!AA156+AQ154&lt;=Calculation!N154,AQ154,Calculation!N154-Sheet1!AA156)</f>
        <v>28.188308329022245</v>
      </c>
      <c r="FQ154" s="560">
        <f>(Sheet1!BP156+Sheet1!BO156)/694.4</f>
        <v>1.3708237327188941</v>
      </c>
      <c r="FR154" s="560"/>
      <c r="FS154" s="560"/>
      <c r="FT154" s="560"/>
      <c r="FU154" s="560"/>
      <c r="FV154" s="695">
        <f t="shared" si="350"/>
        <v>41827</v>
      </c>
      <c r="FW154" s="695">
        <f t="shared" si="351"/>
        <v>41934</v>
      </c>
      <c r="FX154" s="560"/>
      <c r="FY154" s="560"/>
      <c r="FZ154" s="560"/>
      <c r="GA154" s="560"/>
      <c r="GB154" s="560" t="str">
        <f t="shared" si="352"/>
        <v>n</v>
      </c>
      <c r="GC154" s="564">
        <f t="shared" si="353"/>
        <v>41691</v>
      </c>
      <c r="GD154" s="695">
        <f t="shared" si="354"/>
        <v>41807</v>
      </c>
      <c r="GE154" s="560">
        <v>6518.9</v>
      </c>
      <c r="GF154" s="695">
        <f t="shared" si="355"/>
        <v>41808</v>
      </c>
      <c r="GG154" s="560">
        <f t="shared" si="374"/>
        <v>3259</v>
      </c>
      <c r="GH154" s="564">
        <f t="shared" si="356"/>
        <v>41934</v>
      </c>
      <c r="GJ154" s="545">
        <f t="shared" si="357"/>
        <v>0</v>
      </c>
      <c r="GK154" s="560" t="str">
        <f t="shared" si="331"/>
        <v/>
      </c>
      <c r="GL154" s="560">
        <f t="shared" si="358"/>
        <v>0</v>
      </c>
      <c r="GM154" s="560" t="str">
        <f t="shared" si="359"/>
        <v/>
      </c>
      <c r="GN154" s="560">
        <f>IF(GK154="P",Lookup!$M$12,IF(GK154="PP",Lookup!$M$13,IF(GK154="PPP",Lookup!$M$14,IF(GK154="T",Lookup!$M$15,IF(GK154="TP",Lookup!$M$16,IF(GK154="TPP",Lookup!$M$17,IF(GK154="TPPP",Lookup!$M$18,0)))))))*GJ154</f>
        <v>0</v>
      </c>
      <c r="GO154" s="560">
        <f t="shared" si="360"/>
        <v>0</v>
      </c>
      <c r="GP154" s="560">
        <f t="shared" si="332"/>
        <v>7602.0949333333392</v>
      </c>
      <c r="GQ154" s="560">
        <f t="shared" si="368"/>
        <v>2477.8666666666686</v>
      </c>
      <c r="GR154" s="560"/>
      <c r="GS154" s="560">
        <f t="shared" si="361"/>
        <v>0</v>
      </c>
      <c r="GT154" s="560" t="str">
        <f t="shared" si="362"/>
        <v/>
      </c>
      <c r="GU154" s="560">
        <f>IF(GK154="P",Lookup!$N$12,IF(GK154="PP",Lookup!$N$13,IF(GK154="PPP",Lookup!$N$14,IF(GK154="T",Lookup!$N$15,IF(GK154="TP",Lookup!$N$16,IF(GK154="TPP",Lookup!$N$17,IF(GK154="TPPP",Lookup!$N$18,0)))))))*GJ154</f>
        <v>0</v>
      </c>
      <c r="GV154" s="560">
        <f t="shared" si="363"/>
        <v>0</v>
      </c>
      <c r="GW154" s="560">
        <f t="shared" si="333"/>
        <v>3547.6443022222211</v>
      </c>
      <c r="GX154" s="560">
        <f t="shared" si="369"/>
        <v>1156.3377777777773</v>
      </c>
      <c r="GY154" s="560"/>
      <c r="GZ154" s="560">
        <f t="shared" si="364"/>
        <v>0</v>
      </c>
      <c r="HA154" s="560" t="str">
        <f t="shared" si="365"/>
        <v/>
      </c>
      <c r="HB154" s="560">
        <f>IF(GK154="P",Lookup!$N$12,IF(GK154="PP",Lookup!$N$13,IF(GK154="PPP",Lookup!$N$14,IF(GK154="T",Lookup!$N$15,IF(GK154="TP",Lookup!$N$16,IF(GK154="TPP",Lookup!$N$17,IF(GK154="TPPP",Lookup!$N$18,0)))))))*GJ154</f>
        <v>0</v>
      </c>
      <c r="HC154" s="545">
        <f t="shared" si="334"/>
        <v>0</v>
      </c>
      <c r="HD154" s="560">
        <f t="shared" si="335"/>
        <v>2797.9284542822029</v>
      </c>
      <c r="HE154" s="560">
        <f t="shared" si="370"/>
        <v>911.97146488989665</v>
      </c>
      <c r="HF154" s="560"/>
      <c r="HG154" s="560">
        <f t="shared" si="366"/>
        <v>0</v>
      </c>
      <c r="HH154" s="560" t="str">
        <f t="shared" si="367"/>
        <v/>
      </c>
      <c r="HI154" s="560">
        <f>IF(GK154="P",Lookup!$N$12,IF(GK154="PP",Lookup!$N$13,IF(GK154="PPP",Lookup!$N$14,IF(GK154="T",Lookup!$N$15,IF(GK154="TP",Lookup!$N$16,IF(GK154="TPP",Lookup!$N$17,IF(GK154="TPPP",Lookup!$N$18,0)))))))*GJ154</f>
        <v>0</v>
      </c>
      <c r="HJ154" s="545">
        <f t="shared" si="336"/>
        <v>0</v>
      </c>
      <c r="HK154" s="560">
        <f t="shared" si="337"/>
        <v>1975.4107505510203</v>
      </c>
      <c r="HL154" s="560">
        <f t="shared" si="371"/>
        <v>643.87573355639518</v>
      </c>
      <c r="HM154" s="560"/>
    </row>
    <row r="155" spans="1:221">
      <c r="A155" s="580" t="s">
        <v>9</v>
      </c>
      <c r="B155" s="556">
        <v>41783</v>
      </c>
      <c r="C155" s="561">
        <v>0</v>
      </c>
      <c r="D155" s="529">
        <f t="shared" si="372"/>
        <v>300</v>
      </c>
      <c r="E155" s="529">
        <f t="shared" si="373"/>
        <v>250</v>
      </c>
      <c r="F155" s="529">
        <v>250</v>
      </c>
      <c r="G155" s="560">
        <f>DR155+Sheet1!CZ157</f>
        <v>1156.9203227440996</v>
      </c>
      <c r="H155" s="914">
        <f t="shared" si="338"/>
        <v>480.87009662178599</v>
      </c>
      <c r="I155" s="559">
        <f>MAX(Sheet1!Z157-AT155+(Sheet1!DA157-E155)*CFStoMGD,0)</f>
        <v>659.46399999999994</v>
      </c>
      <c r="J155" s="562">
        <f>IF(AND(B155&gt;=Calculation!GC155,B155&lt;=Calculation!GD155),IF(Sheet1!DB157&gt;=Calculation!D155,64.64,0),MAX(Sheet1!Z157-AT155+(Sheet1!DB157-D155)*CFStoMGD,0))</f>
        <v>64.64</v>
      </c>
      <c r="K155" s="904">
        <f t="shared" si="273"/>
        <v>64.64</v>
      </c>
      <c r="L155" s="560">
        <f>Sheet1!AA157+Sheet1!AB157-Sheet1!L157+(Sheet1!DA157-F155)*CFStoMGD</f>
        <v>681.25400000000002</v>
      </c>
      <c r="M155" s="560">
        <f t="shared" si="274"/>
        <v>762.78996255422169</v>
      </c>
      <c r="N155" s="910">
        <f>IF(Sheet1!DA157&gt;=F155,MIN(73,MIN(MAX(L155,0),MAX(M155,0))),0)</f>
        <v>73</v>
      </c>
      <c r="O155" s="563">
        <f>Sheet1!AA157+Sheet1!AB157</f>
        <v>60.71</v>
      </c>
      <c r="P155" s="563">
        <f t="shared" si="275"/>
        <v>93.918369999999996</v>
      </c>
      <c r="Q155" s="898">
        <f t="shared" si="339"/>
        <v>51.18</v>
      </c>
      <c r="R155" s="829">
        <f t="shared" si="276"/>
        <v>9.5177600821988175</v>
      </c>
      <c r="S155" s="898">
        <f t="shared" si="340"/>
        <v>9.5300000000000011</v>
      </c>
      <c r="T155" s="898">
        <f t="shared" si="341"/>
        <v>55.11</v>
      </c>
      <c r="U155" s="898">
        <f t="shared" si="342"/>
        <v>0</v>
      </c>
      <c r="V155" s="898"/>
      <c r="W155" s="898">
        <f t="shared" si="343"/>
        <v>55.122239917801181</v>
      </c>
      <c r="X155" s="898">
        <f t="shared" si="344"/>
        <v>64.64</v>
      </c>
      <c r="Y155" s="898" t="str">
        <f t="shared" si="345"/>
        <v>FALSE</v>
      </c>
      <c r="Z155" s="898">
        <f t="shared" si="346"/>
        <v>60.71</v>
      </c>
      <c r="AA155" s="898">
        <f t="shared" si="347"/>
        <v>60.71</v>
      </c>
      <c r="AB155" s="898" t="str">
        <f t="shared" si="348"/>
        <v/>
      </c>
      <c r="AC155" s="563">
        <f>Sheet1!Y157*MGDtoCFS</f>
        <v>33.879299999999994</v>
      </c>
      <c r="AD155" s="563">
        <f>Sheet1!Z157*MGDtoCFS</f>
        <v>60.209240000000001</v>
      </c>
      <c r="AE155" s="563">
        <f>Sheet1!AA157*MGDtoCFS</f>
        <v>33.771009999999997</v>
      </c>
      <c r="AF155" s="563">
        <f>Sheet1!AB157*MGDtoCFS</f>
        <v>60.147359999999999</v>
      </c>
      <c r="AG155" s="563">
        <f>Sheet1!L157*MGDtoCFS</f>
        <v>0</v>
      </c>
      <c r="AH155" s="545">
        <f t="shared" si="277"/>
        <v>0</v>
      </c>
      <c r="AI155" s="560">
        <f t="shared" si="278"/>
        <v>0</v>
      </c>
      <c r="AJ155" s="560">
        <f t="shared" si="279"/>
        <v>55.122239917801181</v>
      </c>
      <c r="AK155" s="560">
        <f t="shared" si="280"/>
        <v>85.27410515283843</v>
      </c>
      <c r="AL155" s="560">
        <f>(VLOOKUP(Sheet1!DC157,hhdcap_wcm,4)-(((VLOOKUP(Sheet1!DC157,hhdcap_wcm,3)-Sheet1!DC157)/(VLOOKUP(Sheet1!DC157,hhdcap_wcm,3)-VLOOKUP(Sheet1!DC157,hhdcap_wcm,1)))*(VLOOKUP(Sheet1!DC157,hhdcap_wcm,4)-VLOOKUP(Sheet1!DC157,hhdcap_wcm,2))))</f>
        <v>48356.000000117419</v>
      </c>
      <c r="AM155" s="560">
        <f t="shared" si="281"/>
        <v>448.00000000154978</v>
      </c>
      <c r="AN155" s="560">
        <f t="shared" si="282"/>
        <v>5245.173882808539</v>
      </c>
      <c r="AO155" s="560">
        <f t="shared" si="283"/>
        <v>16092.193472456598</v>
      </c>
      <c r="AP155" s="560">
        <f>Sheet1!BA157+Sheet1!BB157+Sheet1!BN157+CD155</f>
        <v>29.400000000000002</v>
      </c>
      <c r="AQ155" s="560">
        <f>Sheet1!BN157+(DO155*Sheet1!BN157)</f>
        <v>27.764294888260977</v>
      </c>
      <c r="AR155" s="560">
        <f>Sheet1!BA157+CD155</f>
        <v>0</v>
      </c>
      <c r="AS155" s="560">
        <f>Sheet1!BA157+Sheet1!BB157+CD155</f>
        <v>1.6</v>
      </c>
      <c r="AT155" s="698">
        <f>0</f>
        <v>0</v>
      </c>
      <c r="AU155" s="560">
        <f>IF(EB155&lt;K155,0,MAX(Sheet1!AA157+AQ155-15/36*K155-N155,Sheet1!EH157,0))</f>
        <v>0</v>
      </c>
      <c r="AV155" s="560">
        <f>IF(OR(B155&gt;=GD155,B155&lt;GC155),0,15/36*K155-MAX(0,64.6-(137.6-(Sheet1!AA157+Sheet1!AB157))))</f>
        <v>26.933333333333334</v>
      </c>
      <c r="AW155" s="698">
        <f>Sheet1!DB157-110</f>
        <v>771</v>
      </c>
      <c r="AX155" s="698">
        <f>Sheet1!DA157-265</f>
        <v>945</v>
      </c>
      <c r="AY155" s="698">
        <f t="shared" si="284"/>
        <v>21.82</v>
      </c>
      <c r="AZ155" s="698">
        <v>0</v>
      </c>
      <c r="BA155" s="698">
        <f t="shared" si="285"/>
        <v>0</v>
      </c>
      <c r="BB155" s="560">
        <f t="shared" si="286"/>
        <v>2504.800000000002</v>
      </c>
      <c r="BC155" s="560"/>
      <c r="BD155" s="560">
        <f ca="1">IF(B155&gt;Summary!$A$1,#N/A,BB155*MGtoAF)</f>
        <v>7684.7264000000059</v>
      </c>
      <c r="BE155" s="560">
        <f>Sheet1!BG157+Sheet1!BH157+Sheet1!BI157-BM155</f>
        <v>0</v>
      </c>
      <c r="BF155" s="560">
        <f t="shared" si="287"/>
        <v>0</v>
      </c>
      <c r="BG155" s="560">
        <f>IF(Sheet1!EP157="FM",BM155,0)</f>
        <v>0</v>
      </c>
      <c r="BH155" s="560">
        <f t="shared" si="288"/>
        <v>0</v>
      </c>
      <c r="BI155" s="560">
        <f>IF(Sheet1!EP157="OTHER",BM155,0)</f>
        <v>0</v>
      </c>
      <c r="BJ155" s="560">
        <f t="shared" si="289"/>
        <v>0</v>
      </c>
      <c r="BK155" s="560">
        <f t="shared" si="290"/>
        <v>0</v>
      </c>
      <c r="BL155" s="560">
        <f t="shared" si="291"/>
        <v>0</v>
      </c>
      <c r="BM155" s="560">
        <f>IF(OR(Sheet1!EP157="FM", Sheet1!EP157="OTHER"),SUM(Sheet1!BG157:'Sheet1'!BI157),0)</f>
        <v>0</v>
      </c>
      <c r="BN155" s="545">
        <f>IF(AND($B155&gt;=$FV155,$B155&lt;=$FW155),MAX(BF155,Sheet1!EI157,0),MAX(BF155-(7/36)*$K155,0))</f>
        <v>0</v>
      </c>
      <c r="BO155" s="560">
        <f t="shared" si="292"/>
        <v>12.568888888888889</v>
      </c>
      <c r="BP155" s="545">
        <f t="shared" si="293"/>
        <v>0</v>
      </c>
      <c r="BQ155" s="545">
        <f>IF(AND($O155&gt;0,Sheet1!EM157=1),(1-($O155-Sheet1!$L157)/$O155)*BL155,0)</f>
        <v>0</v>
      </c>
      <c r="BR155" s="545">
        <f>IF(AND(Sheet1!$L157=0,Sheet1!$L156=0, Calculation!BK155&lt;Sheet1!$EI157-0.1,Sheet1!$EI157=Sheet1!$EI156,Sheet1!$EI157=Sheet1!$EI158),Sheet1!$EI157,BL155-BQ155)</f>
        <v>0</v>
      </c>
      <c r="BS155" s="560"/>
      <c r="BT155" s="560"/>
      <c r="BU155" s="560">
        <f t="shared" si="294"/>
        <v>1168.9066666666663</v>
      </c>
      <c r="BV155" s="560"/>
      <c r="BW155" s="560">
        <f ca="1">IF(B155&gt;Summary!$A$1,#N/A,BU155*MGtoAF)</f>
        <v>3586.2056533333321</v>
      </c>
      <c r="BX155" s="560">
        <f>Sheet1!BC157+Sheet1!BD157+Sheet1!BE157+Sheet1!BF157-CG155-CH155</f>
        <v>2.99</v>
      </c>
      <c r="BY155" s="560">
        <f t="shared" si="295"/>
        <v>2.9861597739532493</v>
      </c>
      <c r="BZ155" s="560">
        <f>IF(Sheet1!EQ157="FM",CH155,0)</f>
        <v>0</v>
      </c>
      <c r="CA155" s="560">
        <f t="shared" si="296"/>
        <v>0</v>
      </c>
      <c r="CB155" s="560">
        <f>IF(Sheet1!EQ157="OTHER",CH155,0)</f>
        <v>0</v>
      </c>
      <c r="CC155" s="560">
        <f t="shared" si="297"/>
        <v>0</v>
      </c>
      <c r="CD155" s="560">
        <f t="shared" si="298"/>
        <v>0</v>
      </c>
      <c r="CE155" s="560">
        <f t="shared" si="299"/>
        <v>2.99</v>
      </c>
      <c r="CF155" s="560">
        <f t="shared" si="300"/>
        <v>2.9861597739532493</v>
      </c>
      <c r="CG155" s="560">
        <f>IF(Sheet1!EQ157="CWA",SUM(Sheet1!BC157:'Sheet1'!BF157),0)</f>
        <v>0</v>
      </c>
      <c r="CH155" s="560">
        <f>IF(OR(Sheet1!EQ157="FM", Sheet1!EQ157="OTHER"),SUM(Sheet1!BC157:'Sheet1'!BF157),0)</f>
        <v>0</v>
      </c>
      <c r="CI155" s="545">
        <f>IF(AND($B155&gt;=$FV155,$B155&lt;=$FW155),MAX(CF155,Sheet1!EJ157,0),MAX(CF155-(7/36)*$K155,0))</f>
        <v>0</v>
      </c>
      <c r="CJ155" s="560">
        <f t="shared" si="301"/>
        <v>9.5827291149356402</v>
      </c>
      <c r="CK155" s="545">
        <f t="shared" si="302"/>
        <v>2.9861597739532493</v>
      </c>
      <c r="CL155" s="545">
        <f>IF(AND($O155&gt;0,Sheet1!EN157=1),(1-($O155-Sheet1!$L157)/$O155)*CF155,0)</f>
        <v>0</v>
      </c>
      <c r="CM155" s="545">
        <f>IF(AND(Sheet1!$L157=0,Sheet1!$L156=0, Calculation!CE155&lt;Sheet1!EJ157-0.1,Sheet1!EJ157=Sheet1!EJ156,Sheet1!EJ157=Sheet1!EJ158),Sheet1!EJ157,CF155-CL155)</f>
        <v>2.9861597739532493</v>
      </c>
      <c r="CN155" s="545"/>
      <c r="CO155" s="560"/>
      <c r="CP155" s="560">
        <f t="shared" si="303"/>
        <v>921.55419400483231</v>
      </c>
      <c r="CQ155" s="560"/>
      <c r="CR155" s="560">
        <f ca="1">IF(B155&gt;Summary!$A$1,#N/A,CP155*MGtoAF)</f>
        <v>2827.3282672068258</v>
      </c>
      <c r="CS155" s="560">
        <f>Sheet1!BK157+Sheet1!BL157+Sheet1!BM157-Sheet1!ER157-DA155</f>
        <v>6.54</v>
      </c>
      <c r="CT155" s="560">
        <f t="shared" si="304"/>
        <v>6.5316003082455687</v>
      </c>
      <c r="CU155" s="560">
        <f>IF(Sheet1!ER157="FM",DA155,0)</f>
        <v>0</v>
      </c>
      <c r="CV155" s="560">
        <f t="shared" si="305"/>
        <v>0</v>
      </c>
      <c r="CW155" s="560">
        <f>IF(Sheet1!ER157="OTHER",DA155,0)</f>
        <v>0</v>
      </c>
      <c r="CX155" s="560">
        <f t="shared" si="306"/>
        <v>0</v>
      </c>
      <c r="CY155" s="560">
        <f t="shared" si="307"/>
        <v>6.54</v>
      </c>
      <c r="CZ155" s="560">
        <f t="shared" si="308"/>
        <v>6.5316003082455687</v>
      </c>
      <c r="DA155" s="560">
        <f>IF(OR(Sheet1!ER157="FM", Sheet1!ER157="OTHER"),SUM(Sheet1!BK157:'Sheet1'!BM157),0)</f>
        <v>0</v>
      </c>
      <c r="DB155" s="545">
        <f>IF(AND($B155&gt;=$FV155,$B155&lt;=$FW155),MAX($CT155,Sheet1!EK157,0),MAX($CT155-(7/36)*$K155,0))</f>
        <v>0</v>
      </c>
      <c r="DC155" s="560">
        <f t="shared" si="309"/>
        <v>6.0372885806433203</v>
      </c>
      <c r="DD155" s="545">
        <f t="shared" si="310"/>
        <v>6.5316003082455687</v>
      </c>
      <c r="DE155" s="545">
        <f>IF(AND($O155&gt;0,Sheet1!EO157=1),(1-($O155-Sheet1!$L157)/$O155)*CZ155,0)</f>
        <v>0</v>
      </c>
      <c r="DF155" s="545">
        <f>IF(AND(Sheet1!$L157=0,Sheet1!$L156=0, Calculation!CY155&lt;Sheet1!$EK157-0.1,Sheet1!$EK157=Sheet1!$EK156,Sheet1!$EK157=Sheet1!$EK158),Sheet1!$EK157,CZ155-DE155)</f>
        <v>6.5316003082455687</v>
      </c>
      <c r="DG155" s="545"/>
      <c r="DH155" s="560">
        <f t="shared" si="311"/>
        <v>9.5300000000000011</v>
      </c>
      <c r="DI155" s="560">
        <f t="shared" si="312"/>
        <v>649.91302213703852</v>
      </c>
      <c r="DJ155" s="698">
        <f t="shared" si="313"/>
        <v>9.5177600821988175</v>
      </c>
      <c r="DK155" s="560">
        <f ca="1">IF(B155&gt;Summary!$A$1,#N/A,DI155*MGtoAF)</f>
        <v>1993.9331519164343</v>
      </c>
      <c r="DL155" s="698">
        <f t="shared" si="314"/>
        <v>9.5300000000000011</v>
      </c>
      <c r="DM155" s="560">
        <f t="shared" si="315"/>
        <v>38.930000000000007</v>
      </c>
      <c r="DN155" s="560">
        <f>Sheet1!AB157-DM155</f>
        <v>-5.0000000000004263E-2</v>
      </c>
      <c r="DO155" s="823">
        <f t="shared" si="316"/>
        <v>-1.2843565373748846E-3</v>
      </c>
      <c r="DP155" s="560">
        <f>(VLOOKUP(Sheet1!DC157,hhdcap_wcm,4)-(((VLOOKUP(Sheet1!DC157,hhdcap_wcm,3)-Sheet1!DC157)/(VLOOKUP(Sheet1!DC157,hhdcap_wcm,3)-VLOOKUP(Sheet1!DC157,hhdcap_wcm,1)))*(VLOOKUP(Sheet1!DC157,hhdcap_wcm,4)-VLOOKUP(Sheet1!DC157,hhdcap_wcm,2))))</f>
        <v>48356.000000117419</v>
      </c>
      <c r="DQ155" s="560">
        <f t="shared" si="317"/>
        <v>448.00000000154978</v>
      </c>
      <c r="DR155" s="560">
        <f t="shared" si="318"/>
        <v>225.92032274409971</v>
      </c>
      <c r="DS155" s="560">
        <f>Sheet1!EA157*AFtoMG</f>
        <v>0</v>
      </c>
      <c r="DT155" s="560">
        <f>Sheet1!EB157*AFtoMG</f>
        <v>0</v>
      </c>
      <c r="DU155" s="560">
        <f>Sheet1!EC157*AFtoMG</f>
        <v>0</v>
      </c>
      <c r="DV155" s="560">
        <f>Sheet1!ED157*AFtoMG</f>
        <v>0</v>
      </c>
      <c r="DW155" s="560">
        <f t="shared" si="319"/>
        <v>0</v>
      </c>
      <c r="DX155" s="560">
        <f t="shared" si="320"/>
        <v>0</v>
      </c>
      <c r="DY155" s="560">
        <f t="shared" si="321"/>
        <v>5245.173882808539</v>
      </c>
      <c r="DZ155" s="560">
        <f t="shared" si="322"/>
        <v>16092.193472456598</v>
      </c>
      <c r="EA155" s="560"/>
      <c r="EB155" s="545">
        <f>IF(OR(B155&lt;FV155,B155&gt;FW155),(MIN(BF155+BY155+CT155+MAX(Sheet1!AA157+AQ155-73,0),K155)),0)</f>
        <v>9.5177600821988175</v>
      </c>
      <c r="EC155" s="560"/>
      <c r="ED155" s="560">
        <f t="shared" si="323"/>
        <v>9.5177600821988175</v>
      </c>
      <c r="EE155" s="560"/>
      <c r="EF155" s="560">
        <f>Sheet1!EH157+Sheet1!EI157+Sheet1!EJ157+Sheet1!EK157</f>
        <v>9.5300000000000011</v>
      </c>
      <c r="EG155" s="560"/>
      <c r="EH155" s="545">
        <f t="shared" si="324"/>
        <v>0</v>
      </c>
      <c r="EI155" s="560">
        <f>IF(Sheet1!ET157=1,SUM('Calculations II'!AT155:BA155)+'Calculations II'!BC155+Sheet1!BV157+'Calculations II'!BE155+AP155,SUM('Calculations II'!AT155:BA155)+'Calculations II'!BC155+Sheet1!BV157+'Calculations II'!BE155+AP155)</f>
        <v>55.511232000000007</v>
      </c>
      <c r="EJ155" s="560">
        <f>Sheet1!AA157+Sheet1!AB157+'Calculations II'!BC155</f>
        <v>60.71</v>
      </c>
      <c r="EK155" s="560"/>
      <c r="EL155" s="560"/>
      <c r="EM155" s="560">
        <f t="shared" si="325"/>
        <v>41783</v>
      </c>
      <c r="EN155" s="560">
        <f t="shared" si="326"/>
        <v>55.122239917801181</v>
      </c>
      <c r="EO155" s="560">
        <f t="shared" si="327"/>
        <v>85.27410515283843</v>
      </c>
      <c r="EP155" s="560">
        <v>0</v>
      </c>
      <c r="EQ155" s="560">
        <v>0</v>
      </c>
      <c r="ER155" s="560">
        <v>0</v>
      </c>
      <c r="ES155" s="545">
        <f t="shared" si="349"/>
        <v>-1.7992384612365515</v>
      </c>
      <c r="ET155" s="560">
        <f>-(VLOOKUP(Sheet1!BQ157,Lookup!$O$4:$Q$262,2)-VLOOKUP(Sheet1!BQ156,Lookup!$O$4:$Q$262,2))/1000000</f>
        <v>-0.83042809984768184</v>
      </c>
      <c r="EU155" s="560">
        <f>-(VLOOKUP(Sheet1!BR157,Lookup!$O$4:$Q$262,3)-VLOOKUP(Sheet1!BR156,Lookup!$O$4:$Q$262,3))/1000000</f>
        <v>-0.96881036138886956</v>
      </c>
      <c r="EV155" s="560"/>
      <c r="EW155" s="560"/>
      <c r="EX155" s="560"/>
      <c r="EY155" s="560"/>
      <c r="EZ155" s="560"/>
      <c r="FA155" s="560"/>
      <c r="FB155" s="560"/>
      <c r="FC155" s="560"/>
      <c r="FD155" s="594" t="e">
        <f t="shared" si="328"/>
        <v>#N/A</v>
      </c>
      <c r="FE155" s="594" t="e">
        <f t="shared" si="329"/>
        <v>#N/A</v>
      </c>
      <c r="FF155" s="595" t="e">
        <f t="shared" si="330"/>
        <v>#N/A</v>
      </c>
      <c r="FG155" s="596" t="s">
        <v>692</v>
      </c>
      <c r="FH155" s="596" t="s">
        <v>692</v>
      </c>
      <c r="FI155" s="594" t="e">
        <v>#N/A</v>
      </c>
      <c r="FJ155" s="594" t="e">
        <v>#N/A</v>
      </c>
      <c r="FK155" s="560"/>
      <c r="FL155" s="560"/>
      <c r="FM155" s="560"/>
      <c r="FN155" s="560"/>
      <c r="FO155" s="560">
        <f>O155+((Sheet1!CS157)*GPMtoMGD)</f>
        <v>60.71</v>
      </c>
      <c r="FP155" s="560">
        <f>IF(Sheet1!AA157+AQ155&lt;=Calculation!N155,AQ155,Calculation!N155-Sheet1!AA157)</f>
        <v>27.764294888260977</v>
      </c>
      <c r="FQ155" s="560">
        <f>(Sheet1!BP157+Sheet1!BO157)/694.4</f>
        <v>1.5740207373271891</v>
      </c>
      <c r="FR155" s="560"/>
      <c r="FS155" s="560"/>
      <c r="FT155" s="560"/>
      <c r="FU155" s="560"/>
      <c r="FV155" s="695">
        <f t="shared" si="350"/>
        <v>41827</v>
      </c>
      <c r="FW155" s="695">
        <f t="shared" si="351"/>
        <v>41934</v>
      </c>
      <c r="FX155" s="560"/>
      <c r="FY155" s="560"/>
      <c r="FZ155" s="560"/>
      <c r="GA155" s="560"/>
      <c r="GB155" s="560" t="str">
        <f t="shared" si="352"/>
        <v>n</v>
      </c>
      <c r="GC155" s="564">
        <f t="shared" si="353"/>
        <v>41691</v>
      </c>
      <c r="GD155" s="695">
        <f t="shared" si="354"/>
        <v>41807</v>
      </c>
      <c r="GE155" s="560">
        <v>6518.9</v>
      </c>
      <c r="GF155" s="695">
        <f t="shared" si="355"/>
        <v>41808</v>
      </c>
      <c r="GG155" s="560">
        <f t="shared" si="374"/>
        <v>3259</v>
      </c>
      <c r="GH155" s="564">
        <f t="shared" si="356"/>
        <v>41934</v>
      </c>
      <c r="GJ155" s="545">
        <f t="shared" si="357"/>
        <v>0</v>
      </c>
      <c r="GK155" s="560" t="str">
        <f t="shared" si="331"/>
        <v/>
      </c>
      <c r="GL155" s="560">
        <f t="shared" si="358"/>
        <v>0</v>
      </c>
      <c r="GM155" s="560" t="str">
        <f t="shared" si="359"/>
        <v/>
      </c>
      <c r="GN155" s="560">
        <f>IF(GK155="P",Lookup!$M$12,IF(GK155="PP",Lookup!$M$13,IF(GK155="PPP",Lookup!$M$14,IF(GK155="T",Lookup!$M$15,IF(GK155="TP",Lookup!$M$16,IF(GK155="TPP",Lookup!$M$17,IF(GK155="TPPP",Lookup!$M$18,0)))))))*GJ155</f>
        <v>0</v>
      </c>
      <c r="GO155" s="560">
        <f t="shared" si="360"/>
        <v>0</v>
      </c>
      <c r="GP155" s="560">
        <f t="shared" si="332"/>
        <v>7684.7264000000059</v>
      </c>
      <c r="GQ155" s="560">
        <f t="shared" si="368"/>
        <v>2504.800000000002</v>
      </c>
      <c r="GR155" s="560"/>
      <c r="GS155" s="560">
        <f t="shared" si="361"/>
        <v>0</v>
      </c>
      <c r="GT155" s="560" t="str">
        <f t="shared" si="362"/>
        <v/>
      </c>
      <c r="GU155" s="560">
        <f>IF(GK155="P",Lookup!$N$12,IF(GK155="PP",Lookup!$N$13,IF(GK155="PPP",Lookup!$N$14,IF(GK155="T",Lookup!$N$15,IF(GK155="TP",Lookup!$N$16,IF(GK155="TPP",Lookup!$N$17,IF(GK155="TPPP",Lookup!$N$18,0)))))))*GJ155</f>
        <v>0</v>
      </c>
      <c r="GV155" s="560">
        <f t="shared" si="363"/>
        <v>0</v>
      </c>
      <c r="GW155" s="560">
        <f t="shared" si="333"/>
        <v>3586.2056533333321</v>
      </c>
      <c r="GX155" s="560">
        <f t="shared" si="369"/>
        <v>1168.9066666666663</v>
      </c>
      <c r="GY155" s="560"/>
      <c r="GZ155" s="560">
        <f t="shared" si="364"/>
        <v>0</v>
      </c>
      <c r="HA155" s="560" t="str">
        <f t="shared" si="365"/>
        <v/>
      </c>
      <c r="HB155" s="560">
        <f>IF(GK155="P",Lookup!$N$12,IF(GK155="PP",Lookup!$N$13,IF(GK155="PPP",Lookup!$N$14,IF(GK155="T",Lookup!$N$15,IF(GK155="TP",Lookup!$N$16,IF(GK155="TPP",Lookup!$N$17,IF(GK155="TPPP",Lookup!$N$18,0)))))))*GJ155</f>
        <v>0</v>
      </c>
      <c r="HC155" s="545">
        <f t="shared" si="334"/>
        <v>0</v>
      </c>
      <c r="HD155" s="560">
        <f t="shared" si="335"/>
        <v>2827.3282672068258</v>
      </c>
      <c r="HE155" s="560">
        <f t="shared" si="370"/>
        <v>921.55419400483231</v>
      </c>
      <c r="HF155" s="560"/>
      <c r="HG155" s="560">
        <f t="shared" si="366"/>
        <v>0</v>
      </c>
      <c r="HH155" s="560" t="str">
        <f t="shared" si="367"/>
        <v/>
      </c>
      <c r="HI155" s="560">
        <f>IF(GK155="P",Lookup!$N$12,IF(GK155="PP",Lookup!$N$13,IF(GK155="PPP",Lookup!$N$14,IF(GK155="T",Lookup!$N$15,IF(GK155="TP",Lookup!$N$16,IF(GK155="TPP",Lookup!$N$17,IF(GK155="TPPP",Lookup!$N$18,0)))))))*GJ155</f>
        <v>0</v>
      </c>
      <c r="HJ155" s="545">
        <f t="shared" si="336"/>
        <v>0</v>
      </c>
      <c r="HK155" s="560">
        <f t="shared" si="337"/>
        <v>1993.9331519164343</v>
      </c>
      <c r="HL155" s="560">
        <f t="shared" si="371"/>
        <v>649.91302213703852</v>
      </c>
      <c r="HM155" s="560"/>
    </row>
    <row r="156" spans="1:221">
      <c r="A156" s="580" t="s">
        <v>3</v>
      </c>
      <c r="B156" s="556">
        <v>41784</v>
      </c>
      <c r="C156" s="561">
        <v>0</v>
      </c>
      <c r="D156" s="529">
        <f t="shared" si="372"/>
        <v>300</v>
      </c>
      <c r="E156" s="529">
        <f t="shared" si="373"/>
        <v>250</v>
      </c>
      <c r="F156" s="529">
        <v>250</v>
      </c>
      <c r="G156" s="560">
        <f>DR156+Sheet1!CZ158</f>
        <v>1039.4644478064824</v>
      </c>
      <c r="H156" s="914">
        <f t="shared" si="338"/>
        <v>404.94661906211024</v>
      </c>
      <c r="I156" s="559">
        <f>MAX(Sheet1!Z158-AT156+(Sheet1!DA158-E156)*CFStoMGD,0)</f>
        <v>685.28</v>
      </c>
      <c r="J156" s="562">
        <f>IF(AND(B156&gt;=Calculation!GC156,B156&lt;=Calculation!GD156),IF(Sheet1!DB158&gt;=Calculation!D156,64.64,0),MAX(Sheet1!Z158-AT156+(Sheet1!DB158-D156)*CFStoMGD,0))</f>
        <v>64.64</v>
      </c>
      <c r="K156" s="904">
        <f t="shared" si="273"/>
        <v>64.64</v>
      </c>
      <c r="L156" s="560">
        <f>Sheet1!AA158+Sheet1!AB158-Sheet1!L158+(Sheet1!DA158-F156)*CFStoMGD</f>
        <v>707.27</v>
      </c>
      <c r="M156" s="560">
        <f t="shared" si="274"/>
        <v>685.34801544335244</v>
      </c>
      <c r="N156" s="910">
        <f>IF(Sheet1!DA158&gt;=F156,MIN(73,MIN(MAX(L156,0),MAX(M156,0))),0)</f>
        <v>73</v>
      </c>
      <c r="O156" s="563">
        <f>Sheet1!AA158+Sheet1!AB158</f>
        <v>60.870000000000005</v>
      </c>
      <c r="P156" s="563">
        <f t="shared" si="275"/>
        <v>94.16588999999999</v>
      </c>
      <c r="Q156" s="898">
        <f t="shared" si="339"/>
        <v>51.320000000000007</v>
      </c>
      <c r="R156" s="829">
        <f t="shared" si="276"/>
        <v>9.5353302611367106</v>
      </c>
      <c r="S156" s="898">
        <f t="shared" si="340"/>
        <v>9.5500000000000007</v>
      </c>
      <c r="T156" s="898">
        <f t="shared" si="341"/>
        <v>55.09</v>
      </c>
      <c r="U156" s="898">
        <f t="shared" si="342"/>
        <v>0</v>
      </c>
      <c r="V156" s="898"/>
      <c r="W156" s="898">
        <f t="shared" si="343"/>
        <v>55.104669738863294</v>
      </c>
      <c r="X156" s="898">
        <f t="shared" si="344"/>
        <v>64.64</v>
      </c>
      <c r="Y156" s="898" t="str">
        <f t="shared" si="345"/>
        <v>FALSE</v>
      </c>
      <c r="Z156" s="898">
        <f t="shared" si="346"/>
        <v>60.870000000000005</v>
      </c>
      <c r="AA156" s="898">
        <f t="shared" si="347"/>
        <v>60.870000000000005</v>
      </c>
      <c r="AB156" s="898" t="str">
        <f t="shared" si="348"/>
        <v/>
      </c>
      <c r="AC156" s="563">
        <f>Sheet1!Y158*MGDtoCFS</f>
        <v>33.771009999999997</v>
      </c>
      <c r="AD156" s="563">
        <f>Sheet1!Z158*MGDtoCFS</f>
        <v>60.147359999999999</v>
      </c>
      <c r="AE156" s="563">
        <f>Sheet1!AA158*MGDtoCFS</f>
        <v>33.832889999999999</v>
      </c>
      <c r="AF156" s="563">
        <f>Sheet1!AB158*MGDtoCFS</f>
        <v>60.332999999999998</v>
      </c>
      <c r="AG156" s="563">
        <f>Sheet1!L158*MGDtoCFS</f>
        <v>0</v>
      </c>
      <c r="AH156" s="545">
        <f t="shared" si="277"/>
        <v>0</v>
      </c>
      <c r="AI156" s="560">
        <f t="shared" si="278"/>
        <v>0</v>
      </c>
      <c r="AJ156" s="560">
        <f t="shared" si="279"/>
        <v>55.104669738863294</v>
      </c>
      <c r="AK156" s="560">
        <f t="shared" si="280"/>
        <v>85.246924086021508</v>
      </c>
      <c r="AL156" s="560">
        <f>(VLOOKUP(Sheet1!DC158,hhdcap_wcm,4)-(((VLOOKUP(Sheet1!DC158,hhdcap_wcm,3)-Sheet1!DC158)/(VLOOKUP(Sheet1!DC158,hhdcap_wcm,3)-VLOOKUP(Sheet1!DC158,hhdcap_wcm,1)))*(VLOOKUP(Sheet1!DC158,hhdcap_wcm,4)-VLOOKUP(Sheet1!DC158,hhdcap_wcm,2))))</f>
        <v>48581.000000117674</v>
      </c>
      <c r="AM156" s="560">
        <f t="shared" si="281"/>
        <v>225.00000000025466</v>
      </c>
      <c r="AN156" s="560">
        <f t="shared" si="282"/>
        <v>5300.2785525474028</v>
      </c>
      <c r="AO156" s="560">
        <f t="shared" si="283"/>
        <v>16261.254599215432</v>
      </c>
      <c r="AP156" s="560">
        <f>Sheet1!BA158+Sheet1!BB158+Sheet1!BN158+CD156</f>
        <v>29.509999999999998</v>
      </c>
      <c r="AQ156" s="560">
        <f>Sheet1!BN158+(DO156*Sheet1!BN158)</f>
        <v>27.857142857142854</v>
      </c>
      <c r="AR156" s="560">
        <f>Sheet1!BA158+CD156</f>
        <v>0</v>
      </c>
      <c r="AS156" s="560">
        <f>Sheet1!BA158+Sheet1!BB158+CD156</f>
        <v>1.61</v>
      </c>
      <c r="AT156" s="698">
        <f>0</f>
        <v>0</v>
      </c>
      <c r="AU156" s="560">
        <f>IF(EB156&lt;K156,0,MAX(Sheet1!AA158+AQ156-15/36*K156-N156,Sheet1!EH158,0))</f>
        <v>0</v>
      </c>
      <c r="AV156" s="560">
        <f>IF(OR(B156&gt;=GD156,B156&lt;GC156),0,15/36*K156-MAX(0,64.6-(137.6-(Sheet1!AA158+Sheet1!AB158))))</f>
        <v>26.933333333333334</v>
      </c>
      <c r="AW156" s="698">
        <f>Sheet1!DB158-110</f>
        <v>771</v>
      </c>
      <c r="AX156" s="698">
        <f>Sheet1!DA158-265</f>
        <v>985</v>
      </c>
      <c r="AY156" s="698">
        <f t="shared" si="284"/>
        <v>21.679999999999993</v>
      </c>
      <c r="AZ156" s="698">
        <v>0</v>
      </c>
      <c r="BA156" s="698">
        <f t="shared" si="285"/>
        <v>0</v>
      </c>
      <c r="BB156" s="560">
        <f t="shared" si="286"/>
        <v>2531.7333333333354</v>
      </c>
      <c r="BC156" s="560"/>
      <c r="BD156" s="560">
        <f ca="1">IF(B156&gt;Summary!$A$1,#N/A,BB156*MGtoAF)</f>
        <v>7767.3578666666735</v>
      </c>
      <c r="BE156" s="560">
        <f>Sheet1!BG158+Sheet1!BH158+Sheet1!BI158-BM156</f>
        <v>0</v>
      </c>
      <c r="BF156" s="560">
        <f t="shared" si="287"/>
        <v>0</v>
      </c>
      <c r="BG156" s="560">
        <f>IF(Sheet1!EP158="FM",BM156,0)</f>
        <v>0</v>
      </c>
      <c r="BH156" s="560">
        <f t="shared" si="288"/>
        <v>0</v>
      </c>
      <c r="BI156" s="560">
        <f>IF(Sheet1!EP158="OTHER",BM156,0)</f>
        <v>0</v>
      </c>
      <c r="BJ156" s="560">
        <f t="shared" si="289"/>
        <v>0</v>
      </c>
      <c r="BK156" s="560">
        <f t="shared" si="290"/>
        <v>0</v>
      </c>
      <c r="BL156" s="560">
        <f t="shared" si="291"/>
        <v>0</v>
      </c>
      <c r="BM156" s="560">
        <f>IF(OR(Sheet1!EP158="FM", Sheet1!EP158="OTHER"),SUM(Sheet1!BG158:'Sheet1'!BI158),0)</f>
        <v>0</v>
      </c>
      <c r="BN156" s="545">
        <f>IF(AND($B156&gt;=$FV156,$B156&lt;=$FW156),MAX(BF156,Sheet1!EI158,0),MAX(BF156-(7/36)*$K156,0))</f>
        <v>0</v>
      </c>
      <c r="BO156" s="560">
        <f t="shared" si="292"/>
        <v>12.568888888888889</v>
      </c>
      <c r="BP156" s="545">
        <f t="shared" si="293"/>
        <v>0</v>
      </c>
      <c r="BQ156" s="545">
        <f>IF(AND($O156&gt;0,Sheet1!EM158=1),(1-($O156-Sheet1!$L158)/$O156)*BL156,0)</f>
        <v>0</v>
      </c>
      <c r="BR156" s="545">
        <f>IF(AND(Sheet1!$L158=0,Sheet1!$L157=0, Calculation!BK156&lt;Sheet1!$EI158-0.1,Sheet1!$EI158=Sheet1!$EI157,Sheet1!$EI158=Sheet1!$EI159),Sheet1!$EI158,BL156-BQ156)</f>
        <v>0</v>
      </c>
      <c r="BS156" s="560"/>
      <c r="BT156" s="560"/>
      <c r="BU156" s="560">
        <f t="shared" si="294"/>
        <v>1181.4755555555553</v>
      </c>
      <c r="BV156" s="560"/>
      <c r="BW156" s="560">
        <f ca="1">IF(B156&gt;Summary!$A$1,#N/A,BU156*MGtoAF)</f>
        <v>3624.7670044444435</v>
      </c>
      <c r="BX156" s="560">
        <f>Sheet1!BC158+Sheet1!BD158+Sheet1!BE158+Sheet1!BF158-CG156-CH156</f>
        <v>2.99</v>
      </c>
      <c r="BY156" s="560">
        <f t="shared" si="295"/>
        <v>2.9854070660522272</v>
      </c>
      <c r="BZ156" s="560">
        <f>IF(Sheet1!EQ158="FM",CH156,0)</f>
        <v>0</v>
      </c>
      <c r="CA156" s="560">
        <f t="shared" si="296"/>
        <v>0</v>
      </c>
      <c r="CB156" s="560">
        <f>IF(Sheet1!EQ158="OTHER",CH156,0)</f>
        <v>0</v>
      </c>
      <c r="CC156" s="560">
        <f t="shared" si="297"/>
        <v>0</v>
      </c>
      <c r="CD156" s="560">
        <f t="shared" si="298"/>
        <v>0</v>
      </c>
      <c r="CE156" s="560">
        <f t="shared" si="299"/>
        <v>2.99</v>
      </c>
      <c r="CF156" s="560">
        <f t="shared" si="300"/>
        <v>2.9854070660522272</v>
      </c>
      <c r="CG156" s="560">
        <f>IF(Sheet1!EQ158="CWA",SUM(Sheet1!BC158:'Sheet1'!BF158),0)</f>
        <v>0</v>
      </c>
      <c r="CH156" s="560">
        <f>IF(OR(Sheet1!EQ158="FM", Sheet1!EQ158="OTHER"),SUM(Sheet1!BC158:'Sheet1'!BF158),0)</f>
        <v>0</v>
      </c>
      <c r="CI156" s="545">
        <f>IF(AND($B156&gt;=$FV156,$B156&lt;=$FW156),MAX(CF156,Sheet1!EJ158,0),MAX(CF156-(7/36)*$K156,0))</f>
        <v>0</v>
      </c>
      <c r="CJ156" s="560">
        <f t="shared" si="301"/>
        <v>9.5834818228366618</v>
      </c>
      <c r="CK156" s="545">
        <f t="shared" si="302"/>
        <v>2.9854070660522272</v>
      </c>
      <c r="CL156" s="545">
        <f>IF(AND($O156&gt;0,Sheet1!EN158=1),(1-($O156-Sheet1!$L158)/$O156)*CF156,0)</f>
        <v>0</v>
      </c>
      <c r="CM156" s="545">
        <f>IF(AND(Sheet1!$L158=0,Sheet1!$L157=0, Calculation!CE156&lt;Sheet1!EJ158-0.1,Sheet1!EJ158=Sheet1!EJ157,Sheet1!EJ158=Sheet1!EJ159),Sheet1!EJ158,CF156-CL156)</f>
        <v>2.9854070660522272</v>
      </c>
      <c r="CN156" s="545"/>
      <c r="CO156" s="560"/>
      <c r="CP156" s="560">
        <f t="shared" si="303"/>
        <v>931.137675827669</v>
      </c>
      <c r="CQ156" s="560"/>
      <c r="CR156" s="560">
        <f ca="1">IF(B156&gt;Summary!$A$1,#N/A,CP156*MGtoAF)</f>
        <v>2856.7303894392885</v>
      </c>
      <c r="CS156" s="560">
        <f>Sheet1!BK158+Sheet1!BL158+Sheet1!BM158-Sheet1!ER158-DA156</f>
        <v>6.56</v>
      </c>
      <c r="CT156" s="560">
        <f t="shared" si="304"/>
        <v>6.5499231950844843</v>
      </c>
      <c r="CU156" s="560">
        <f>IF(Sheet1!ER158="FM",DA156,0)</f>
        <v>0</v>
      </c>
      <c r="CV156" s="560">
        <f t="shared" si="305"/>
        <v>0</v>
      </c>
      <c r="CW156" s="560">
        <f>IF(Sheet1!ER158="OTHER",DA156,0)</f>
        <v>0</v>
      </c>
      <c r="CX156" s="560">
        <f t="shared" si="306"/>
        <v>0</v>
      </c>
      <c r="CY156" s="560">
        <f t="shared" si="307"/>
        <v>6.56</v>
      </c>
      <c r="CZ156" s="560">
        <f t="shared" si="308"/>
        <v>6.5499231950844843</v>
      </c>
      <c r="DA156" s="560">
        <f>IF(OR(Sheet1!ER158="FM", Sheet1!ER158="OTHER"),SUM(Sheet1!BK158:'Sheet1'!BM158),0)</f>
        <v>0</v>
      </c>
      <c r="DB156" s="545">
        <f>IF(AND($B156&gt;=$FV156,$B156&lt;=$FW156),MAX($CT156,Sheet1!EK158,0),MAX($CT156-(7/36)*$K156,0))</f>
        <v>0</v>
      </c>
      <c r="DC156" s="560">
        <f t="shared" si="309"/>
        <v>6.0189656938044047</v>
      </c>
      <c r="DD156" s="545">
        <f t="shared" si="310"/>
        <v>6.5499231950844843</v>
      </c>
      <c r="DE156" s="545">
        <f>IF(AND($O156&gt;0,Sheet1!EO158=1),(1-($O156-Sheet1!$L158)/$O156)*CZ156,0)</f>
        <v>0</v>
      </c>
      <c r="DF156" s="545">
        <f>IF(AND(Sheet1!$L158=0,Sheet1!$L157=0, Calculation!CY156&lt;Sheet1!$EK158-0.1,Sheet1!$EK158=Sheet1!$EK157,Sheet1!$EK158=Sheet1!$EK159),Sheet1!$EK158,CZ156-DE156)</f>
        <v>6.5499231950844843</v>
      </c>
      <c r="DG156" s="545"/>
      <c r="DH156" s="560">
        <f t="shared" si="311"/>
        <v>9.5500000000000007</v>
      </c>
      <c r="DI156" s="560">
        <f t="shared" si="312"/>
        <v>655.9319878308429</v>
      </c>
      <c r="DJ156" s="698">
        <f t="shared" si="313"/>
        <v>9.5353302611367106</v>
      </c>
      <c r="DK156" s="560">
        <f ca="1">IF(B156&gt;Summary!$A$1,#N/A,DI156*MGtoAF)</f>
        <v>2012.3993386650261</v>
      </c>
      <c r="DL156" s="698">
        <f t="shared" si="314"/>
        <v>9.5500000000000007</v>
      </c>
      <c r="DM156" s="560">
        <f t="shared" si="315"/>
        <v>39.06</v>
      </c>
      <c r="DN156" s="560">
        <f>Sheet1!AB158-DM156</f>
        <v>-6.0000000000002274E-2</v>
      </c>
      <c r="DO156" s="823">
        <f t="shared" si="316"/>
        <v>-1.5360983102919168E-3</v>
      </c>
      <c r="DP156" s="560">
        <f>(VLOOKUP(Sheet1!DC158,hhdcap_wcm,4)-(((VLOOKUP(Sheet1!DC158,hhdcap_wcm,3)-Sheet1!DC158)/(VLOOKUP(Sheet1!DC158,hhdcap_wcm,3)-VLOOKUP(Sheet1!DC158,hhdcap_wcm,1)))*(VLOOKUP(Sheet1!DC158,hhdcap_wcm,4)-VLOOKUP(Sheet1!DC158,hhdcap_wcm,2))))</f>
        <v>48581.000000117674</v>
      </c>
      <c r="DQ156" s="560">
        <f t="shared" si="317"/>
        <v>225.00000000025466</v>
      </c>
      <c r="DR156" s="560">
        <f t="shared" si="318"/>
        <v>113.46444780648241</v>
      </c>
      <c r="DS156" s="560">
        <f>Sheet1!EA158*AFtoMG</f>
        <v>0</v>
      </c>
      <c r="DT156" s="560">
        <f>Sheet1!EB158*AFtoMG</f>
        <v>0</v>
      </c>
      <c r="DU156" s="560">
        <f>Sheet1!EC158*AFtoMG</f>
        <v>0</v>
      </c>
      <c r="DV156" s="560">
        <f>Sheet1!ED158*AFtoMG</f>
        <v>0</v>
      </c>
      <c r="DW156" s="560">
        <f t="shared" si="319"/>
        <v>0</v>
      </c>
      <c r="DX156" s="560">
        <f t="shared" si="320"/>
        <v>0</v>
      </c>
      <c r="DY156" s="560">
        <f t="shared" si="321"/>
        <v>5300.2785525474028</v>
      </c>
      <c r="DZ156" s="560">
        <f t="shared" si="322"/>
        <v>16261.254599215432</v>
      </c>
      <c r="EA156" s="560"/>
      <c r="EB156" s="545">
        <f>IF(OR(B156&lt;FV156,B156&gt;FW156),(MIN(BF156+BY156+CT156+MAX(Sheet1!AA158+AQ156-73,0),K156)),0)</f>
        <v>9.5353302611367106</v>
      </c>
      <c r="EC156" s="560"/>
      <c r="ED156" s="560">
        <f t="shared" si="323"/>
        <v>9.5353302611367106</v>
      </c>
      <c r="EE156" s="560"/>
      <c r="EF156" s="560">
        <f>Sheet1!EH158+Sheet1!EI158+Sheet1!EJ158+Sheet1!EK158</f>
        <v>9.5500000000000007</v>
      </c>
      <c r="EG156" s="560"/>
      <c r="EH156" s="545">
        <f t="shared" si="324"/>
        <v>0</v>
      </c>
      <c r="EI156" s="560">
        <f>IF(Sheet1!ET158=1,SUM('Calculations II'!AT156:BA156)+'Calculations II'!BC156+Sheet1!BV158+'Calculations II'!BE156+AP156,SUM('Calculations II'!AT156:BA156)+'Calculations II'!BC156+Sheet1!BV158+'Calculations II'!BE156+AP156)</f>
        <v>57.408096</v>
      </c>
      <c r="EJ156" s="560">
        <f>Sheet1!AA158+Sheet1!AB158+'Calculations II'!BC156</f>
        <v>60.870000000000005</v>
      </c>
      <c r="EK156" s="560"/>
      <c r="EL156" s="560"/>
      <c r="EM156" s="560">
        <f t="shared" si="325"/>
        <v>41784</v>
      </c>
      <c r="EN156" s="560">
        <f t="shared" si="326"/>
        <v>55.104669738863294</v>
      </c>
      <c r="EO156" s="560">
        <f t="shared" si="327"/>
        <v>85.246924086021508</v>
      </c>
      <c r="EP156" s="560">
        <v>0</v>
      </c>
      <c r="EQ156" s="560">
        <v>0</v>
      </c>
      <c r="ER156" s="560">
        <v>0</v>
      </c>
      <c r="ES156" s="545">
        <f t="shared" si="349"/>
        <v>0.13842069959463923</v>
      </c>
      <c r="ET156" s="560">
        <f>-(VLOOKUP(Sheet1!BQ158,Lookup!$O$4:$Q$262,2)-VLOOKUP(Sheet1!BQ157,Lookup!$O$4:$Q$262,2))/1000000</f>
        <v>0</v>
      </c>
      <c r="EU156" s="560">
        <f>-(VLOOKUP(Sheet1!BR158,Lookup!$O$4:$Q$262,3)-VLOOKUP(Sheet1!BR157,Lookup!$O$4:$Q$262,3))/1000000</f>
        <v>0.13842069959463923</v>
      </c>
      <c r="EV156" s="560"/>
      <c r="EW156" s="560"/>
      <c r="EX156" s="560"/>
      <c r="EY156" s="560"/>
      <c r="EZ156" s="560"/>
      <c r="FA156" s="560"/>
      <c r="FB156" s="560"/>
      <c r="FC156" s="560"/>
      <c r="FD156" s="594" t="e">
        <f t="shared" si="328"/>
        <v>#N/A</v>
      </c>
      <c r="FE156" s="594" t="e">
        <f t="shared" si="329"/>
        <v>#N/A</v>
      </c>
      <c r="FF156" s="595" t="e">
        <f t="shared" si="330"/>
        <v>#N/A</v>
      </c>
      <c r="FG156" s="596" t="s">
        <v>692</v>
      </c>
      <c r="FH156" s="596" t="s">
        <v>692</v>
      </c>
      <c r="FI156" s="594" t="e">
        <v>#N/A</v>
      </c>
      <c r="FJ156" s="594" t="e">
        <v>#N/A</v>
      </c>
      <c r="FK156" s="560"/>
      <c r="FL156" s="560"/>
      <c r="FM156" s="560"/>
      <c r="FN156" s="560"/>
      <c r="FO156" s="560">
        <f>O156+((Sheet1!CS158)*GPMtoMGD)</f>
        <v>60.870000000000005</v>
      </c>
      <c r="FP156" s="560">
        <f>IF(Sheet1!AA158+AQ156&lt;=Calculation!N156,AQ156,Calculation!N156-Sheet1!AA158)</f>
        <v>27.857142857142854</v>
      </c>
      <c r="FQ156" s="560">
        <f>(Sheet1!BP158+Sheet1!BO158)/694.4</f>
        <v>2.6438652073732722</v>
      </c>
      <c r="FR156" s="560"/>
      <c r="FS156" s="560"/>
      <c r="FT156" s="560"/>
      <c r="FU156" s="560"/>
      <c r="FV156" s="695">
        <f t="shared" si="350"/>
        <v>41827</v>
      </c>
      <c r="FW156" s="695">
        <f t="shared" si="351"/>
        <v>41934</v>
      </c>
      <c r="FX156" s="560"/>
      <c r="FY156" s="560"/>
      <c r="FZ156" s="560"/>
      <c r="GA156" s="560"/>
      <c r="GB156" s="560" t="str">
        <f t="shared" si="352"/>
        <v>n</v>
      </c>
      <c r="GC156" s="564">
        <f t="shared" si="353"/>
        <v>41691</v>
      </c>
      <c r="GD156" s="695">
        <f t="shared" si="354"/>
        <v>41807</v>
      </c>
      <c r="GE156" s="560">
        <v>6518.9</v>
      </c>
      <c r="GF156" s="695">
        <f t="shared" si="355"/>
        <v>41808</v>
      </c>
      <c r="GG156" s="560">
        <f t="shared" si="374"/>
        <v>3259</v>
      </c>
      <c r="GH156" s="564">
        <f t="shared" si="356"/>
        <v>41934</v>
      </c>
      <c r="GJ156" s="545">
        <f t="shared" si="357"/>
        <v>0</v>
      </c>
      <c r="GK156" s="560" t="str">
        <f t="shared" si="331"/>
        <v/>
      </c>
      <c r="GL156" s="560">
        <f t="shared" si="358"/>
        <v>0</v>
      </c>
      <c r="GM156" s="560" t="str">
        <f t="shared" si="359"/>
        <v/>
      </c>
      <c r="GN156" s="560">
        <f>IF(GK156="P",Lookup!$M$12,IF(GK156="PP",Lookup!$M$13,IF(GK156="PPP",Lookup!$M$14,IF(GK156="T",Lookup!$M$15,IF(GK156="TP",Lookup!$M$16,IF(GK156="TPP",Lookup!$M$17,IF(GK156="TPPP",Lookup!$M$18,0)))))))*GJ156</f>
        <v>0</v>
      </c>
      <c r="GO156" s="560">
        <f t="shared" si="360"/>
        <v>0</v>
      </c>
      <c r="GP156" s="560">
        <f t="shared" si="332"/>
        <v>7767.3578666666735</v>
      </c>
      <c r="GQ156" s="560">
        <f t="shared" si="368"/>
        <v>2531.7333333333354</v>
      </c>
      <c r="GR156" s="560"/>
      <c r="GS156" s="560">
        <f t="shared" si="361"/>
        <v>0</v>
      </c>
      <c r="GT156" s="560" t="str">
        <f t="shared" si="362"/>
        <v/>
      </c>
      <c r="GU156" s="560">
        <f>IF(GK156="P",Lookup!$N$12,IF(GK156="PP",Lookup!$N$13,IF(GK156="PPP",Lookup!$N$14,IF(GK156="T",Lookup!$N$15,IF(GK156="TP",Lookup!$N$16,IF(GK156="TPP",Lookup!$N$17,IF(GK156="TPPP",Lookup!$N$18,0)))))))*GJ156</f>
        <v>0</v>
      </c>
      <c r="GV156" s="560">
        <f t="shared" si="363"/>
        <v>0</v>
      </c>
      <c r="GW156" s="560">
        <f t="shared" si="333"/>
        <v>3624.7670044444435</v>
      </c>
      <c r="GX156" s="560">
        <f t="shared" si="369"/>
        <v>1181.4755555555553</v>
      </c>
      <c r="GY156" s="560"/>
      <c r="GZ156" s="560">
        <f t="shared" si="364"/>
        <v>0</v>
      </c>
      <c r="HA156" s="560" t="str">
        <f t="shared" si="365"/>
        <v/>
      </c>
      <c r="HB156" s="560">
        <f>IF(GK156="P",Lookup!$N$12,IF(GK156="PP",Lookup!$N$13,IF(GK156="PPP",Lookup!$N$14,IF(GK156="T",Lookup!$N$15,IF(GK156="TP",Lookup!$N$16,IF(GK156="TPP",Lookup!$N$17,IF(GK156="TPPP",Lookup!$N$18,0)))))))*GJ156</f>
        <v>0</v>
      </c>
      <c r="HC156" s="545">
        <f t="shared" si="334"/>
        <v>0</v>
      </c>
      <c r="HD156" s="560">
        <f t="shared" si="335"/>
        <v>2856.7303894392885</v>
      </c>
      <c r="HE156" s="560">
        <f t="shared" si="370"/>
        <v>931.137675827669</v>
      </c>
      <c r="HF156" s="560"/>
      <c r="HG156" s="560">
        <f t="shared" si="366"/>
        <v>0</v>
      </c>
      <c r="HH156" s="560" t="str">
        <f t="shared" si="367"/>
        <v/>
      </c>
      <c r="HI156" s="560">
        <f>IF(GK156="P",Lookup!$N$12,IF(GK156="PP",Lookup!$N$13,IF(GK156="PPP",Lookup!$N$14,IF(GK156="T",Lookup!$N$15,IF(GK156="TP",Lookup!$N$16,IF(GK156="TPP",Lookup!$N$17,IF(GK156="TPPP",Lookup!$N$18,0)))))))*GJ156</f>
        <v>0</v>
      </c>
      <c r="HJ156" s="545">
        <f t="shared" si="336"/>
        <v>0</v>
      </c>
      <c r="HK156" s="560">
        <f t="shared" si="337"/>
        <v>2012.3993386650261</v>
      </c>
      <c r="HL156" s="560">
        <f t="shared" si="371"/>
        <v>655.9319878308429</v>
      </c>
      <c r="HM156" s="560"/>
    </row>
    <row r="157" spans="1:221">
      <c r="A157" s="580" t="s">
        <v>4</v>
      </c>
      <c r="B157" s="556">
        <v>41785</v>
      </c>
      <c r="C157" s="561">
        <v>0</v>
      </c>
      <c r="D157" s="529">
        <f t="shared" si="372"/>
        <v>300</v>
      </c>
      <c r="E157" s="529">
        <f t="shared" si="373"/>
        <v>250</v>
      </c>
      <c r="F157" s="529">
        <v>250</v>
      </c>
      <c r="G157" s="560">
        <f>DR157+Sheet1!CZ159</f>
        <v>1181.6732223899214</v>
      </c>
      <c r="H157" s="914">
        <f t="shared" si="338"/>
        <v>496.87037095284518</v>
      </c>
      <c r="I157" s="559">
        <f>MAX(Sheet1!Z159-AT157+(Sheet1!DA159-E157)*CFStoMGD,0)</f>
        <v>672.47199999999998</v>
      </c>
      <c r="J157" s="562">
        <f>IF(AND(B157&gt;=Calculation!GC157,B157&lt;=Calculation!GD157),IF(Sheet1!DB159&gt;=Calculation!D157,64.64,0),MAX(Sheet1!Z159-AT157+(Sheet1!DB159-D157)*CFStoMGD,0))</f>
        <v>64.64</v>
      </c>
      <c r="K157" s="904">
        <f t="shared" si="273"/>
        <v>64.64</v>
      </c>
      <c r="L157" s="560">
        <f>Sheet1!AA159+Sheet1!AB159-Sheet1!L159+(Sheet1!DA159-F157)*CFStoMGD</f>
        <v>694.34199999999998</v>
      </c>
      <c r="M157" s="560">
        <f t="shared" si="274"/>
        <v>779.11024237190213</v>
      </c>
      <c r="N157" s="910">
        <f>IF(Sheet1!DA159&gt;=F157,MIN(73,MIN(MAX(L157,0),MAX(M157,0))),0)</f>
        <v>73</v>
      </c>
      <c r="O157" s="563">
        <f>Sheet1!AA159+Sheet1!AB159</f>
        <v>60.87</v>
      </c>
      <c r="P157" s="563">
        <f t="shared" si="275"/>
        <v>94.16588999999999</v>
      </c>
      <c r="Q157" s="898">
        <f t="shared" si="339"/>
        <v>51.339999999999996</v>
      </c>
      <c r="R157" s="829">
        <f t="shared" si="276"/>
        <v>9.5153497309761725</v>
      </c>
      <c r="S157" s="898">
        <f t="shared" si="340"/>
        <v>9.5300000000000011</v>
      </c>
      <c r="T157" s="898">
        <f t="shared" si="341"/>
        <v>55.11</v>
      </c>
      <c r="U157" s="898">
        <f t="shared" si="342"/>
        <v>0</v>
      </c>
      <c r="V157" s="898"/>
      <c r="W157" s="898">
        <f t="shared" si="343"/>
        <v>55.124650269023832</v>
      </c>
      <c r="X157" s="898">
        <f t="shared" si="344"/>
        <v>64.64</v>
      </c>
      <c r="Y157" s="898" t="str">
        <f t="shared" si="345"/>
        <v>FALSE</v>
      </c>
      <c r="Z157" s="898">
        <f t="shared" si="346"/>
        <v>60.87</v>
      </c>
      <c r="AA157" s="898">
        <f t="shared" si="347"/>
        <v>60.87</v>
      </c>
      <c r="AB157" s="898" t="str">
        <f t="shared" si="348"/>
        <v/>
      </c>
      <c r="AC157" s="563">
        <f>Sheet1!Y159*MGDtoCFS</f>
        <v>33.832889999999999</v>
      </c>
      <c r="AD157" s="563">
        <f>Sheet1!Z159*MGDtoCFS</f>
        <v>60.332999999999998</v>
      </c>
      <c r="AE157" s="563">
        <f>Sheet1!AA159*MGDtoCFS</f>
        <v>33.879299999999994</v>
      </c>
      <c r="AF157" s="563">
        <f>Sheet1!AB159*MGDtoCFS</f>
        <v>60.286589999999997</v>
      </c>
      <c r="AG157" s="563">
        <f>Sheet1!L159*MGDtoCFS</f>
        <v>0</v>
      </c>
      <c r="AH157" s="545">
        <f t="shared" si="277"/>
        <v>0</v>
      </c>
      <c r="AI157" s="560">
        <f t="shared" si="278"/>
        <v>0</v>
      </c>
      <c r="AJ157" s="560">
        <f t="shared" si="279"/>
        <v>55.124650269023832</v>
      </c>
      <c r="AK157" s="560">
        <f t="shared" si="280"/>
        <v>85.27783396617987</v>
      </c>
      <c r="AL157" s="560">
        <f>(VLOOKUP(Sheet1!DC159,hhdcap_wcm,4)-(((VLOOKUP(Sheet1!DC159,hhdcap_wcm,3)-Sheet1!DC159)/(VLOOKUP(Sheet1!DC159,hhdcap_wcm,3)-VLOOKUP(Sheet1!DC159,hhdcap_wcm,1)))*(VLOOKUP(Sheet1!DC159,hhdcap_wcm,4)-VLOOKUP(Sheet1!DC159,hhdcap_wcm,2))))</f>
        <v>49088.000000116888</v>
      </c>
      <c r="AM157" s="560">
        <f t="shared" si="281"/>
        <v>506.9999999992142</v>
      </c>
      <c r="AN157" s="560">
        <f t="shared" si="282"/>
        <v>5355.4032028164274</v>
      </c>
      <c r="AO157" s="560">
        <f t="shared" si="283"/>
        <v>16430.3770262408</v>
      </c>
      <c r="AP157" s="560">
        <f>Sheet1!BA159+Sheet1!BB159+Sheet1!BN159+CD157</f>
        <v>29.5</v>
      </c>
      <c r="AQ157" s="560">
        <f>Sheet1!BN159+(DO157*Sheet1!BN159)</f>
        <v>27.857109915449652</v>
      </c>
      <c r="AR157" s="560">
        <f>Sheet1!BA159+CD157</f>
        <v>0</v>
      </c>
      <c r="AS157" s="560">
        <f>Sheet1!BA159+Sheet1!BB159+CD157</f>
        <v>1.6</v>
      </c>
      <c r="AT157" s="698">
        <f>0</f>
        <v>0</v>
      </c>
      <c r="AU157" s="560">
        <f>IF(EB157&lt;K157,0,MAX(Sheet1!AA159+AQ157-15/36*K157-N157,Sheet1!EH159,0))</f>
        <v>0</v>
      </c>
      <c r="AV157" s="560">
        <f>IF(OR(B157&gt;=GD157,B157&lt;GC157),0,15/36*K157-MAX(0,64.6-(137.6-(Sheet1!AA159+Sheet1!AB159))))</f>
        <v>26.933333333333334</v>
      </c>
      <c r="AW157" s="698">
        <f>Sheet1!DB159-110</f>
        <v>771</v>
      </c>
      <c r="AX157" s="698">
        <f>Sheet1!DA159-265</f>
        <v>965</v>
      </c>
      <c r="AY157" s="698">
        <f t="shared" si="284"/>
        <v>21.660000000000004</v>
      </c>
      <c r="AZ157" s="698">
        <v>0</v>
      </c>
      <c r="BA157" s="698">
        <f t="shared" si="285"/>
        <v>0</v>
      </c>
      <c r="BB157" s="560">
        <f t="shared" si="286"/>
        <v>2558.6666666666688</v>
      </c>
      <c r="BC157" s="560"/>
      <c r="BD157" s="560">
        <f ca="1">IF(B157&gt;Summary!$A$1,#N/A,BB157*MGtoAF)</f>
        <v>7849.9893333333403</v>
      </c>
      <c r="BE157" s="560">
        <f>Sheet1!BG159+Sheet1!BH159+Sheet1!BI159-BM157</f>
        <v>0</v>
      </c>
      <c r="BF157" s="560">
        <f t="shared" si="287"/>
        <v>0</v>
      </c>
      <c r="BG157" s="560">
        <f>IF(Sheet1!EP159="FM",BM157,0)</f>
        <v>0</v>
      </c>
      <c r="BH157" s="560">
        <f t="shared" si="288"/>
        <v>0</v>
      </c>
      <c r="BI157" s="560">
        <f>IF(Sheet1!EP159="OTHER",BM157,0)</f>
        <v>0</v>
      </c>
      <c r="BJ157" s="560">
        <f t="shared" si="289"/>
        <v>0</v>
      </c>
      <c r="BK157" s="560">
        <f t="shared" si="290"/>
        <v>0</v>
      </c>
      <c r="BL157" s="560">
        <f t="shared" si="291"/>
        <v>0</v>
      </c>
      <c r="BM157" s="560">
        <f>IF(OR(Sheet1!EP159="FM", Sheet1!EP159="OTHER"),SUM(Sheet1!BG159:'Sheet1'!BI159),0)</f>
        <v>0</v>
      </c>
      <c r="BN157" s="545">
        <f>IF(AND($B157&gt;=$FV157,$B157&lt;=$FW157),MAX(BF157,Sheet1!EI159,0),MAX(BF157-(7/36)*$K157,0))</f>
        <v>0</v>
      </c>
      <c r="BO157" s="560">
        <f t="shared" si="292"/>
        <v>12.568888888888889</v>
      </c>
      <c r="BP157" s="545">
        <f t="shared" si="293"/>
        <v>0</v>
      </c>
      <c r="BQ157" s="545">
        <f>IF(AND($O157&gt;0,Sheet1!EM159=1),(1-($O157-Sheet1!$L159)/$O157)*BL157,0)</f>
        <v>0</v>
      </c>
      <c r="BR157" s="545">
        <f>IF(AND(Sheet1!$L159=0,Sheet1!$L158=0, Calculation!BK157&lt;Sheet1!$EI159-0.1,Sheet1!$EI159=Sheet1!$EI158,Sheet1!$EI159=Sheet1!$EI160),Sheet1!$EI159,BL157-BQ157)</f>
        <v>0</v>
      </c>
      <c r="BS157" s="560"/>
      <c r="BT157" s="560"/>
      <c r="BU157" s="560">
        <f t="shared" si="294"/>
        <v>1194.0444444444443</v>
      </c>
      <c r="BV157" s="560"/>
      <c r="BW157" s="560">
        <f ca="1">IF(B157&gt;Summary!$A$1,#N/A,BU157*MGtoAF)</f>
        <v>3663.3283555555549</v>
      </c>
      <c r="BX157" s="560">
        <f>Sheet1!BC159+Sheet1!BD159+Sheet1!BE159+Sheet1!BF159-CG157-CH157</f>
        <v>2.99</v>
      </c>
      <c r="BY157" s="560">
        <f t="shared" si="295"/>
        <v>2.985403535741737</v>
      </c>
      <c r="BZ157" s="560">
        <f>IF(Sheet1!EQ159="FM",CH157,0)</f>
        <v>0</v>
      </c>
      <c r="CA157" s="560">
        <f t="shared" si="296"/>
        <v>0</v>
      </c>
      <c r="CB157" s="560">
        <f>IF(Sheet1!EQ159="OTHER",CH157,0)</f>
        <v>0</v>
      </c>
      <c r="CC157" s="560">
        <f t="shared" si="297"/>
        <v>0</v>
      </c>
      <c r="CD157" s="560">
        <f t="shared" si="298"/>
        <v>0</v>
      </c>
      <c r="CE157" s="560">
        <f t="shared" si="299"/>
        <v>2.99</v>
      </c>
      <c r="CF157" s="560">
        <f t="shared" si="300"/>
        <v>2.985403535741737</v>
      </c>
      <c r="CG157" s="560">
        <f>IF(Sheet1!EQ159="CWA",SUM(Sheet1!BC159:'Sheet1'!BF159),0)</f>
        <v>0</v>
      </c>
      <c r="CH157" s="560">
        <f>IF(OR(Sheet1!EQ159="FM", Sheet1!EQ159="OTHER"),SUM(Sheet1!BC159:'Sheet1'!BF159),0)</f>
        <v>0</v>
      </c>
      <c r="CI157" s="545">
        <f>IF(AND($B157&gt;=$FV157,$B157&lt;=$FW157),MAX(CF157,Sheet1!EJ159,0),MAX(CF157-(7/36)*$K157,0))</f>
        <v>0</v>
      </c>
      <c r="CJ157" s="560">
        <f t="shared" si="301"/>
        <v>9.583485353147152</v>
      </c>
      <c r="CK157" s="545">
        <f t="shared" si="302"/>
        <v>2.985403535741737</v>
      </c>
      <c r="CL157" s="545">
        <f>IF(AND($O157&gt;0,Sheet1!EN159=1),(1-($O157-Sheet1!$L159)/$O157)*CF157,0)</f>
        <v>0</v>
      </c>
      <c r="CM157" s="545">
        <f>IF(AND(Sheet1!$L159=0,Sheet1!$L158=0, Calculation!CE157&lt;Sheet1!EJ159-0.1,Sheet1!EJ159=Sheet1!EJ158,Sheet1!EJ159=Sheet1!EJ160),Sheet1!EJ159,CF157-CL157)</f>
        <v>2.985403535741737</v>
      </c>
      <c r="CN157" s="545"/>
      <c r="CO157" s="560"/>
      <c r="CP157" s="560">
        <f t="shared" si="303"/>
        <v>940.72116118081613</v>
      </c>
      <c r="CQ157" s="560"/>
      <c r="CR157" s="560">
        <f ca="1">IF(B157&gt;Summary!$A$1,#N/A,CP157*MGtoAF)</f>
        <v>2886.132522502744</v>
      </c>
      <c r="CS157" s="560">
        <f>Sheet1!BK159+Sheet1!BL159+Sheet1!BM159-Sheet1!ER159-DA157</f>
        <v>6.54</v>
      </c>
      <c r="CT157" s="560">
        <f t="shared" si="304"/>
        <v>6.5299461952344346</v>
      </c>
      <c r="CU157" s="560">
        <f>IF(Sheet1!ER159="FM",DA157,0)</f>
        <v>0</v>
      </c>
      <c r="CV157" s="560">
        <f t="shared" si="305"/>
        <v>0</v>
      </c>
      <c r="CW157" s="560">
        <f>IF(Sheet1!ER159="OTHER",DA157,0)</f>
        <v>0</v>
      </c>
      <c r="CX157" s="560">
        <f t="shared" si="306"/>
        <v>0</v>
      </c>
      <c r="CY157" s="560">
        <f t="shared" si="307"/>
        <v>6.54</v>
      </c>
      <c r="CZ157" s="560">
        <f t="shared" si="308"/>
        <v>6.5299461952344346</v>
      </c>
      <c r="DA157" s="560">
        <f>IF(OR(Sheet1!ER159="FM", Sheet1!ER159="OTHER"),SUM(Sheet1!BK159:'Sheet1'!BM159),0)</f>
        <v>0</v>
      </c>
      <c r="DB157" s="545">
        <f>IF(AND($B157&gt;=$FV157,$B157&lt;=$FW157),MAX($CT157,Sheet1!EK159,0),MAX($CT157-(7/36)*$K157,0))</f>
        <v>0</v>
      </c>
      <c r="DC157" s="560">
        <f t="shared" si="309"/>
        <v>6.0389426936544544</v>
      </c>
      <c r="DD157" s="545">
        <f t="shared" si="310"/>
        <v>6.5299461952344346</v>
      </c>
      <c r="DE157" s="545">
        <f>IF(AND($O157&gt;0,Sheet1!EO159=1),(1-($O157-Sheet1!$L159)/$O157)*CZ157,0)</f>
        <v>0</v>
      </c>
      <c r="DF157" s="545">
        <f>IF(AND(Sheet1!$L159=0,Sheet1!$L158=0, Calculation!CY157&lt;Sheet1!$EK159-0.1,Sheet1!$EK159=Sheet1!$EK158,Sheet1!$EK159=Sheet1!$EK160),Sheet1!$EK159,CZ157-DE157)</f>
        <v>6.5299461952344346</v>
      </c>
      <c r="DG157" s="545"/>
      <c r="DH157" s="560">
        <f t="shared" si="311"/>
        <v>9.5300000000000011</v>
      </c>
      <c r="DI157" s="560">
        <f t="shared" si="312"/>
        <v>661.97093052449736</v>
      </c>
      <c r="DJ157" s="698">
        <f t="shared" si="313"/>
        <v>9.5153497309761725</v>
      </c>
      <c r="DK157" s="560">
        <f ca="1">IF(B157&gt;Summary!$A$1,#N/A,DI157*MGtoAF)</f>
        <v>2030.9268148491578</v>
      </c>
      <c r="DL157" s="698">
        <f t="shared" si="314"/>
        <v>9.5300000000000011</v>
      </c>
      <c r="DM157" s="560">
        <f t="shared" si="315"/>
        <v>39.03</v>
      </c>
      <c r="DN157" s="560">
        <f>Sheet1!AB159-DM157</f>
        <v>-6.0000000000002274E-2</v>
      </c>
      <c r="DO157" s="823">
        <f t="shared" si="316"/>
        <v>-1.5372790161414878E-3</v>
      </c>
      <c r="DP157" s="560">
        <f>(VLOOKUP(Sheet1!DC159,hhdcap_wcm,4)-(((VLOOKUP(Sheet1!DC159,hhdcap_wcm,3)-Sheet1!DC159)/(VLOOKUP(Sheet1!DC159,hhdcap_wcm,3)-VLOOKUP(Sheet1!DC159,hhdcap_wcm,1)))*(VLOOKUP(Sheet1!DC159,hhdcap_wcm,4)-VLOOKUP(Sheet1!DC159,hhdcap_wcm,2))))</f>
        <v>49088.000000116888</v>
      </c>
      <c r="DQ157" s="560">
        <f t="shared" si="317"/>
        <v>506.9999999992142</v>
      </c>
      <c r="DR157" s="560">
        <f t="shared" si="318"/>
        <v>255.67322238992139</v>
      </c>
      <c r="DS157" s="560">
        <f>Sheet1!EA159*AFtoMG</f>
        <v>0</v>
      </c>
      <c r="DT157" s="560">
        <f>Sheet1!EB159*AFtoMG</f>
        <v>0</v>
      </c>
      <c r="DU157" s="560">
        <f>Sheet1!EC159*AFtoMG</f>
        <v>0</v>
      </c>
      <c r="DV157" s="560">
        <f>Sheet1!ED159*AFtoMG</f>
        <v>0</v>
      </c>
      <c r="DW157" s="560">
        <f t="shared" si="319"/>
        <v>0</v>
      </c>
      <c r="DX157" s="560">
        <f t="shared" si="320"/>
        <v>0</v>
      </c>
      <c r="DY157" s="560">
        <f t="shared" si="321"/>
        <v>5355.4032028164274</v>
      </c>
      <c r="DZ157" s="560">
        <f t="shared" si="322"/>
        <v>16430.3770262408</v>
      </c>
      <c r="EA157" s="560"/>
      <c r="EB157" s="545">
        <f>IF(OR(B157&lt;FV157,B157&gt;FW157),(MIN(BF157+BY157+CT157+MAX(Sheet1!AA159+AQ157-73,0),K157)),0)</f>
        <v>9.5153497309761725</v>
      </c>
      <c r="EC157" s="560"/>
      <c r="ED157" s="560">
        <f t="shared" si="323"/>
        <v>9.5153497309761725</v>
      </c>
      <c r="EE157" s="560"/>
      <c r="EF157" s="560">
        <f>Sheet1!EH159+Sheet1!EI159+Sheet1!EJ159+Sheet1!EK159</f>
        <v>9.5300000000000011</v>
      </c>
      <c r="EG157" s="560"/>
      <c r="EH157" s="545">
        <f t="shared" si="324"/>
        <v>0</v>
      </c>
      <c r="EI157" s="560">
        <f>IF(Sheet1!ET159=1,SUM('Calculations II'!AT157:BA157)+'Calculations II'!BC157+Sheet1!BV159+'Calculations II'!BE157+AP157,SUM('Calculations II'!AT157:BA157)+'Calculations II'!BC157+Sheet1!BV159+'Calculations II'!BE157+AP157)</f>
        <v>55.296096000000006</v>
      </c>
      <c r="EJ157" s="560">
        <f>Sheet1!AA159+Sheet1!AB159+'Calculations II'!BC157</f>
        <v>60.87</v>
      </c>
      <c r="EK157" s="560"/>
      <c r="EL157" s="560"/>
      <c r="EM157" s="560">
        <f t="shared" si="325"/>
        <v>41785</v>
      </c>
      <c r="EN157" s="560">
        <f t="shared" si="326"/>
        <v>55.124650269023832</v>
      </c>
      <c r="EO157" s="560">
        <f t="shared" si="327"/>
        <v>85.27783396617987</v>
      </c>
      <c r="EP157" s="560">
        <v>0</v>
      </c>
      <c r="EQ157" s="560">
        <v>0</v>
      </c>
      <c r="ER157" s="560">
        <v>0</v>
      </c>
      <c r="ES157" s="545">
        <f t="shared" si="349"/>
        <v>-2.0766692946074157</v>
      </c>
      <c r="ET157" s="560">
        <f>-(VLOOKUP(Sheet1!BQ159,Lookup!$O$4:$Q$262,2)-VLOOKUP(Sheet1!BQ158,Lookup!$O$4:$Q$262,2))/1000000</f>
        <v>-0.96912429750638829</v>
      </c>
      <c r="EU157" s="560">
        <f>-(VLOOKUP(Sheet1!BR159,Lookup!$O$4:$Q$262,3)-VLOOKUP(Sheet1!BR158,Lookup!$O$4:$Q$262,3))/1000000</f>
        <v>-1.1075449971010276</v>
      </c>
      <c r="EV157" s="560"/>
      <c r="EW157" s="560"/>
      <c r="EX157" s="560"/>
      <c r="EY157" s="560"/>
      <c r="EZ157" s="560"/>
      <c r="FA157" s="560"/>
      <c r="FB157" s="560"/>
      <c r="FC157" s="560"/>
      <c r="FD157" s="594" t="e">
        <f t="shared" si="328"/>
        <v>#N/A</v>
      </c>
      <c r="FE157" s="594" t="e">
        <f t="shared" si="329"/>
        <v>#N/A</v>
      </c>
      <c r="FF157" s="595" t="e">
        <f t="shared" si="330"/>
        <v>#N/A</v>
      </c>
      <c r="FG157" s="596" t="s">
        <v>692</v>
      </c>
      <c r="FH157" s="596" t="s">
        <v>692</v>
      </c>
      <c r="FI157" s="594" t="e">
        <v>#N/A</v>
      </c>
      <c r="FJ157" s="594" t="e">
        <v>#N/A</v>
      </c>
      <c r="FK157" s="560"/>
      <c r="FL157" s="560"/>
      <c r="FM157" s="560"/>
      <c r="FN157" s="560"/>
      <c r="FO157" s="560">
        <f>O157+((Sheet1!CS159)*GPMtoMGD)</f>
        <v>60.87</v>
      </c>
      <c r="FP157" s="560">
        <f>IF(Sheet1!AA159+AQ157&lt;=Calculation!N157,AQ157,Calculation!N157-Sheet1!AA159)</f>
        <v>27.857109915449652</v>
      </c>
      <c r="FQ157" s="560">
        <f>(Sheet1!BP159+Sheet1!BO159)/694.4</f>
        <v>1.6506336405529956</v>
      </c>
      <c r="FR157" s="560"/>
      <c r="FS157" s="560"/>
      <c r="FT157" s="560"/>
      <c r="FU157" s="560"/>
      <c r="FV157" s="695">
        <f t="shared" si="350"/>
        <v>41827</v>
      </c>
      <c r="FW157" s="695">
        <f t="shared" si="351"/>
        <v>41934</v>
      </c>
      <c r="FX157" s="560"/>
      <c r="FY157" s="560"/>
      <c r="FZ157" s="560"/>
      <c r="GA157" s="560"/>
      <c r="GB157" s="560" t="str">
        <f t="shared" si="352"/>
        <v>n</v>
      </c>
      <c r="GC157" s="564">
        <f t="shared" si="353"/>
        <v>41691</v>
      </c>
      <c r="GD157" s="695">
        <f t="shared" si="354"/>
        <v>41807</v>
      </c>
      <c r="GE157" s="560">
        <v>6518.9</v>
      </c>
      <c r="GF157" s="695">
        <f t="shared" si="355"/>
        <v>41808</v>
      </c>
      <c r="GG157" s="560">
        <f t="shared" si="374"/>
        <v>3259</v>
      </c>
      <c r="GH157" s="564">
        <f t="shared" si="356"/>
        <v>41934</v>
      </c>
      <c r="GJ157" s="545">
        <f t="shared" si="357"/>
        <v>0</v>
      </c>
      <c r="GK157" s="560" t="str">
        <f t="shared" si="331"/>
        <v/>
      </c>
      <c r="GL157" s="560">
        <f t="shared" si="358"/>
        <v>0</v>
      </c>
      <c r="GM157" s="560" t="str">
        <f t="shared" si="359"/>
        <v/>
      </c>
      <c r="GN157" s="560">
        <f>IF(GK157="P",Lookup!$M$12,IF(GK157="PP",Lookup!$M$13,IF(GK157="PPP",Lookup!$M$14,IF(GK157="T",Lookup!$M$15,IF(GK157="TP",Lookup!$M$16,IF(GK157="TPP",Lookup!$M$17,IF(GK157="TPPP",Lookup!$M$18,0)))))))*GJ157</f>
        <v>0</v>
      </c>
      <c r="GO157" s="560">
        <f t="shared" si="360"/>
        <v>0</v>
      </c>
      <c r="GP157" s="560">
        <f t="shared" si="332"/>
        <v>7849.9893333333403</v>
      </c>
      <c r="GQ157" s="560">
        <f t="shared" si="368"/>
        <v>2558.6666666666688</v>
      </c>
      <c r="GR157" s="560"/>
      <c r="GS157" s="560">
        <f t="shared" si="361"/>
        <v>0</v>
      </c>
      <c r="GT157" s="560" t="str">
        <f t="shared" si="362"/>
        <v/>
      </c>
      <c r="GU157" s="560">
        <f>IF(GK157="P",Lookup!$N$12,IF(GK157="PP",Lookup!$N$13,IF(GK157="PPP",Lookup!$N$14,IF(GK157="T",Lookup!$N$15,IF(GK157="TP",Lookup!$N$16,IF(GK157="TPP",Lookup!$N$17,IF(GK157="TPPP",Lookup!$N$18,0)))))))*GJ157</f>
        <v>0</v>
      </c>
      <c r="GV157" s="560">
        <f t="shared" si="363"/>
        <v>0</v>
      </c>
      <c r="GW157" s="560">
        <f t="shared" si="333"/>
        <v>3663.3283555555549</v>
      </c>
      <c r="GX157" s="560">
        <f t="shared" si="369"/>
        <v>1194.0444444444443</v>
      </c>
      <c r="GY157" s="560"/>
      <c r="GZ157" s="560">
        <f t="shared" si="364"/>
        <v>0</v>
      </c>
      <c r="HA157" s="560" t="str">
        <f t="shared" si="365"/>
        <v/>
      </c>
      <c r="HB157" s="560">
        <f>IF(GK157="P",Lookup!$N$12,IF(GK157="PP",Lookup!$N$13,IF(GK157="PPP",Lookup!$N$14,IF(GK157="T",Lookup!$N$15,IF(GK157="TP",Lookup!$N$16,IF(GK157="TPP",Lookup!$N$17,IF(GK157="TPPP",Lookup!$N$18,0)))))))*GJ157</f>
        <v>0</v>
      </c>
      <c r="HC157" s="545">
        <f t="shared" si="334"/>
        <v>0</v>
      </c>
      <c r="HD157" s="560">
        <f t="shared" si="335"/>
        <v>2886.132522502744</v>
      </c>
      <c r="HE157" s="560">
        <f t="shared" si="370"/>
        <v>940.72116118081613</v>
      </c>
      <c r="HF157" s="560"/>
      <c r="HG157" s="560">
        <f t="shared" si="366"/>
        <v>0</v>
      </c>
      <c r="HH157" s="560" t="str">
        <f t="shared" si="367"/>
        <v/>
      </c>
      <c r="HI157" s="560">
        <f>IF(GK157="P",Lookup!$N$12,IF(GK157="PP",Lookup!$N$13,IF(GK157="PPP",Lookup!$N$14,IF(GK157="T",Lookup!$N$15,IF(GK157="TP",Lookup!$N$16,IF(GK157="TPP",Lookup!$N$17,IF(GK157="TPPP",Lookup!$N$18,0)))))))*GJ157</f>
        <v>0</v>
      </c>
      <c r="HJ157" s="545">
        <f t="shared" si="336"/>
        <v>0</v>
      </c>
      <c r="HK157" s="560">
        <f t="shared" si="337"/>
        <v>2030.9268148491578</v>
      </c>
      <c r="HL157" s="560">
        <f t="shared" si="371"/>
        <v>661.97093052449736</v>
      </c>
      <c r="HM157" s="560"/>
    </row>
    <row r="158" spans="1:221" ht="13.5" customHeight="1">
      <c r="A158" s="580" t="s">
        <v>5</v>
      </c>
      <c r="B158" s="556">
        <v>41786</v>
      </c>
      <c r="C158" s="561">
        <v>0</v>
      </c>
      <c r="D158" s="529">
        <f t="shared" si="372"/>
        <v>300</v>
      </c>
      <c r="E158" s="529">
        <f t="shared" si="373"/>
        <v>250</v>
      </c>
      <c r="F158" s="529">
        <v>250</v>
      </c>
      <c r="G158" s="560">
        <f>DR158+Sheet1!CZ160</f>
        <v>1096.717599597753</v>
      </c>
      <c r="H158" s="914">
        <f t="shared" si="338"/>
        <v>441.95505637998747</v>
      </c>
      <c r="I158" s="559">
        <f>MAX(Sheet1!Z160-AT158+(Sheet1!DA160-E158)*CFStoMGD,0)</f>
        <v>678.90599999999995</v>
      </c>
      <c r="J158" s="562">
        <f>IF(AND(B158&gt;=Calculation!GC158,B158&lt;=Calculation!GD158),IF(Sheet1!DB160&gt;=Calculation!D158,64.64,0),MAX(Sheet1!Z160-AT158+(Sheet1!DB160-D158)*CFStoMGD,0))</f>
        <v>64.64</v>
      </c>
      <c r="K158" s="904">
        <f t="shared" si="273"/>
        <v>64.64</v>
      </c>
      <c r="L158" s="560">
        <f>Sheet1!AA160+Sheet1!AB160-Sheet1!L160+(Sheet1!DA160-F158)*CFStoMGD</f>
        <v>700.78599999999994</v>
      </c>
      <c r="M158" s="560">
        <f t="shared" si="274"/>
        <v>723.09662150758732</v>
      </c>
      <c r="N158" s="910">
        <f>IF(Sheet1!DA160&gt;=F158,MIN(73,MIN(MAX(L158,0),MAX(M158,0))),0)</f>
        <v>73</v>
      </c>
      <c r="O158" s="563">
        <f>Sheet1!AA160+Sheet1!AB160</f>
        <v>60.85</v>
      </c>
      <c r="P158" s="563">
        <f t="shared" si="275"/>
        <v>94.134950000000003</v>
      </c>
      <c r="Q158" s="898">
        <f t="shared" si="339"/>
        <v>51.3</v>
      </c>
      <c r="R158" s="829">
        <f t="shared" si="276"/>
        <v>9.5255441741357245</v>
      </c>
      <c r="S158" s="898">
        <f t="shared" si="340"/>
        <v>9.5500000000000007</v>
      </c>
      <c r="T158" s="898">
        <f t="shared" si="341"/>
        <v>55.09</v>
      </c>
      <c r="U158" s="898">
        <f t="shared" si="342"/>
        <v>0</v>
      </c>
      <c r="V158" s="898"/>
      <c r="W158" s="898">
        <f t="shared" si="343"/>
        <v>55.114455825864276</v>
      </c>
      <c r="X158" s="898">
        <f t="shared" si="344"/>
        <v>64.64</v>
      </c>
      <c r="Y158" s="898" t="str">
        <f t="shared" si="345"/>
        <v>FALSE</v>
      </c>
      <c r="Z158" s="898">
        <f t="shared" si="346"/>
        <v>60.85</v>
      </c>
      <c r="AA158" s="898">
        <f t="shared" si="347"/>
        <v>60.849999999999994</v>
      </c>
      <c r="AB158" s="898" t="str">
        <f t="shared" si="348"/>
        <v/>
      </c>
      <c r="AC158" s="563">
        <f>Sheet1!Y160*MGDtoCFS</f>
        <v>33.879299999999994</v>
      </c>
      <c r="AD158" s="563">
        <f>Sheet1!Z160*MGDtoCFS</f>
        <v>60.286589999999997</v>
      </c>
      <c r="AE158" s="563">
        <f>Sheet1!AA160*MGDtoCFS</f>
        <v>33.879299999999994</v>
      </c>
      <c r="AF158" s="563">
        <f>Sheet1!AB160*MGDtoCFS</f>
        <v>60.255650000000003</v>
      </c>
      <c r="AG158" s="563">
        <f>Sheet1!L160*MGDtoCFS</f>
        <v>0</v>
      </c>
      <c r="AH158" s="545">
        <f t="shared" si="277"/>
        <v>0</v>
      </c>
      <c r="AI158" s="560">
        <f t="shared" si="278"/>
        <v>0</v>
      </c>
      <c r="AJ158" s="560">
        <f t="shared" si="279"/>
        <v>55.114455825864276</v>
      </c>
      <c r="AK158" s="560">
        <f t="shared" si="280"/>
        <v>85.262063162612037</v>
      </c>
      <c r="AL158" s="560">
        <f>(VLOOKUP(Sheet1!DC160,hhdcap_wcm,4)-(((VLOOKUP(Sheet1!DC160,hhdcap_wcm,3)-Sheet1!DC160)/(VLOOKUP(Sheet1!DC160,hhdcap_wcm,3)-VLOOKUP(Sheet1!DC160,hhdcap_wcm,1)))*(VLOOKUP(Sheet1!DC160,hhdcap_wcm,4)-VLOOKUP(Sheet1!DC160,hhdcap_wcm,2))))</f>
        <v>49325.400000119233</v>
      </c>
      <c r="AM158" s="560">
        <f t="shared" si="281"/>
        <v>237.40000000234431</v>
      </c>
      <c r="AN158" s="560">
        <f t="shared" si="282"/>
        <v>5410.5176586422904</v>
      </c>
      <c r="AO158" s="560">
        <f t="shared" si="283"/>
        <v>16599.468176714548</v>
      </c>
      <c r="AP158" s="560">
        <f>Sheet1!BA160+Sheet1!BB160+Sheet1!BN160+CD158</f>
        <v>29.5</v>
      </c>
      <c r="AQ158" s="560">
        <f>Sheet1!BN160+(DO158*Sheet1!BN160)</f>
        <v>27.828553137003844</v>
      </c>
      <c r="AR158" s="560">
        <f>Sheet1!BA160+CD158</f>
        <v>0</v>
      </c>
      <c r="AS158" s="560">
        <f>Sheet1!BA160+Sheet1!BB160+CD158</f>
        <v>1.6</v>
      </c>
      <c r="AT158" s="698">
        <f>0</f>
        <v>0</v>
      </c>
      <c r="AU158" s="560">
        <f>IF(EB158&lt;K158,0,MAX(Sheet1!AA160+AQ158-15/36*K158-N158,Sheet1!EH160,0))</f>
        <v>0</v>
      </c>
      <c r="AV158" s="560">
        <f>IF(OR(B158&gt;=GD158,B158&lt;GC158),0,15/36*K158-MAX(0,64.6-(137.6-(Sheet1!AA160+Sheet1!AB160))))</f>
        <v>26.933333333333334</v>
      </c>
      <c r="AW158" s="698">
        <f>Sheet1!DB160-110</f>
        <v>812</v>
      </c>
      <c r="AX158" s="698">
        <f>Sheet1!DA160-265</f>
        <v>975</v>
      </c>
      <c r="AY158" s="698">
        <f t="shared" si="284"/>
        <v>21.700000000000003</v>
      </c>
      <c r="AZ158" s="698">
        <v>0</v>
      </c>
      <c r="BA158" s="698">
        <f t="shared" si="285"/>
        <v>0</v>
      </c>
      <c r="BB158" s="560">
        <f t="shared" si="286"/>
        <v>2585.6000000000022</v>
      </c>
      <c r="BC158" s="560"/>
      <c r="BD158" s="560">
        <f ca="1">IF(B158&gt;Summary!$A$1,#N/A,BB158*MGtoAF)</f>
        <v>7932.620800000007</v>
      </c>
      <c r="BE158" s="560">
        <f>Sheet1!BG160+Sheet1!BH160+Sheet1!BI160-BM158</f>
        <v>0</v>
      </c>
      <c r="BF158" s="560">
        <f t="shared" si="287"/>
        <v>0</v>
      </c>
      <c r="BG158" s="560">
        <f>IF(Sheet1!EP160="FM",BM158,0)</f>
        <v>0</v>
      </c>
      <c r="BH158" s="560">
        <f t="shared" si="288"/>
        <v>0</v>
      </c>
      <c r="BI158" s="560">
        <f>IF(Sheet1!EP160="OTHER",BM158,0)</f>
        <v>0</v>
      </c>
      <c r="BJ158" s="560">
        <f t="shared" si="289"/>
        <v>0</v>
      </c>
      <c r="BK158" s="560">
        <f t="shared" si="290"/>
        <v>0</v>
      </c>
      <c r="BL158" s="560">
        <f t="shared" si="291"/>
        <v>0</v>
      </c>
      <c r="BM158" s="560">
        <f>IF(OR(Sheet1!EP160="FM", Sheet1!EP160="OTHER"),SUM(Sheet1!BG160:'Sheet1'!BI160),0)</f>
        <v>0</v>
      </c>
      <c r="BN158" s="545">
        <f>IF(AND($B158&gt;=$FV158,$B158&lt;=$FW158),MAX(BF158,Sheet1!EI160,0),MAX(BF158-(7/36)*$K158,0))</f>
        <v>0</v>
      </c>
      <c r="BO158" s="560">
        <f t="shared" si="292"/>
        <v>12.568888888888889</v>
      </c>
      <c r="BP158" s="545">
        <f t="shared" si="293"/>
        <v>0</v>
      </c>
      <c r="BQ158" s="545">
        <f>IF(AND($O158&gt;0,Sheet1!EM160=1),(1-($O158-Sheet1!$L160)/$O158)*BL158,0)</f>
        <v>0</v>
      </c>
      <c r="BR158" s="545">
        <f>IF(AND(Sheet1!$L160=0,Sheet1!$L159=0, Calculation!BK158&lt;Sheet1!$EI160-0.1,Sheet1!$EI160=Sheet1!$EI159,Sheet1!$EI160=Sheet1!$EI161),Sheet1!$EI160,BL158-BQ158)</f>
        <v>0</v>
      </c>
      <c r="BS158" s="560"/>
      <c r="BT158" s="560"/>
      <c r="BU158" s="560">
        <f t="shared" si="294"/>
        <v>1206.6133333333332</v>
      </c>
      <c r="BV158" s="560"/>
      <c r="BW158" s="560">
        <f ca="1">IF(B158&gt;Summary!$A$1,#N/A,BU158*MGtoAF)</f>
        <v>3701.8897066666664</v>
      </c>
      <c r="BX158" s="560">
        <f>Sheet1!BC160+Sheet1!BD160+Sheet1!BE160+Sheet1!BF160-CG158-CH158</f>
        <v>2.9800000000000004</v>
      </c>
      <c r="BY158" s="560">
        <f t="shared" si="295"/>
        <v>2.9723687580025615</v>
      </c>
      <c r="BZ158" s="560">
        <f>IF(Sheet1!EQ160="FM",CH158,0)</f>
        <v>0</v>
      </c>
      <c r="CA158" s="560">
        <f t="shared" si="296"/>
        <v>0</v>
      </c>
      <c r="CB158" s="560">
        <f>IF(Sheet1!EQ160="OTHER",CH158,0)</f>
        <v>0</v>
      </c>
      <c r="CC158" s="560">
        <f t="shared" si="297"/>
        <v>0</v>
      </c>
      <c r="CD158" s="560">
        <f t="shared" si="298"/>
        <v>0</v>
      </c>
      <c r="CE158" s="560">
        <f t="shared" si="299"/>
        <v>2.9800000000000004</v>
      </c>
      <c r="CF158" s="560">
        <f t="shared" si="300"/>
        <v>2.9723687580025615</v>
      </c>
      <c r="CG158" s="560">
        <f>IF(Sheet1!EQ160="CWA",SUM(Sheet1!BC160:'Sheet1'!BF160),0)</f>
        <v>0</v>
      </c>
      <c r="CH158" s="560">
        <f>IF(OR(Sheet1!EQ160="FM", Sheet1!EQ160="OTHER"),SUM(Sheet1!BC160:'Sheet1'!BF160),0)</f>
        <v>0</v>
      </c>
      <c r="CI158" s="545">
        <f>IF(AND($B158&gt;=$FV158,$B158&lt;=$FW158),MAX(CF158,Sheet1!EJ160,0),MAX(CF158-(7/36)*$K158,0))</f>
        <v>0</v>
      </c>
      <c r="CJ158" s="560">
        <f t="shared" si="301"/>
        <v>9.5965201308863275</v>
      </c>
      <c r="CK158" s="545">
        <f t="shared" si="302"/>
        <v>2.9723687580025615</v>
      </c>
      <c r="CL158" s="545">
        <f>IF(AND($O158&gt;0,Sheet1!EN160=1),(1-($O158-Sheet1!$L160)/$O158)*CF158,0)</f>
        <v>0</v>
      </c>
      <c r="CM158" s="545">
        <f>IF(AND(Sheet1!$L160=0,Sheet1!$L159=0, Calculation!CE158&lt;Sheet1!EJ160-0.1,Sheet1!EJ160=Sheet1!EJ159,Sheet1!EJ160=Sheet1!EJ161),Sheet1!EJ160,CF158-CL158)</f>
        <v>2.9723687580025615</v>
      </c>
      <c r="CN158" s="545"/>
      <c r="CO158" s="560"/>
      <c r="CP158" s="560">
        <f t="shared" si="303"/>
        <v>950.31768131170247</v>
      </c>
      <c r="CQ158" s="560"/>
      <c r="CR158" s="560">
        <f ca="1">IF(B158&gt;Summary!$A$1,#N/A,CP158*MGtoAF)</f>
        <v>2915.5746462643033</v>
      </c>
      <c r="CS158" s="560">
        <f>Sheet1!BK160+Sheet1!BL160+Sheet1!BM160-Sheet1!ER160-DA158</f>
        <v>6.57</v>
      </c>
      <c r="CT158" s="560">
        <f t="shared" si="304"/>
        <v>6.5531754161331639</v>
      </c>
      <c r="CU158" s="560">
        <f>IF(Sheet1!ER160="FM",DA158,0)</f>
        <v>0</v>
      </c>
      <c r="CV158" s="560">
        <f t="shared" si="305"/>
        <v>0</v>
      </c>
      <c r="CW158" s="560">
        <f>IF(Sheet1!ER160="OTHER",DA158,0)</f>
        <v>0</v>
      </c>
      <c r="CX158" s="560">
        <f t="shared" si="306"/>
        <v>0</v>
      </c>
      <c r="CY158" s="560">
        <f t="shared" si="307"/>
        <v>6.57</v>
      </c>
      <c r="CZ158" s="560">
        <f t="shared" si="308"/>
        <v>6.5531754161331639</v>
      </c>
      <c r="DA158" s="560">
        <f>IF(OR(Sheet1!ER160="FM", Sheet1!ER160="OTHER"),SUM(Sheet1!BK160:'Sheet1'!BM160),0)</f>
        <v>0</v>
      </c>
      <c r="DB158" s="545">
        <f>IF(AND($B158&gt;=$FV158,$B158&lt;=$FW158),MAX($CT158,Sheet1!EK160,0),MAX($CT158-(7/36)*$K158,0))</f>
        <v>0</v>
      </c>
      <c r="DC158" s="560">
        <f t="shared" si="309"/>
        <v>6.0157134727557251</v>
      </c>
      <c r="DD158" s="545">
        <f t="shared" si="310"/>
        <v>6.5531754161331639</v>
      </c>
      <c r="DE158" s="545">
        <f>IF(AND($O158&gt;0,Sheet1!EO160=1),(1-($O158-Sheet1!$L160)/$O158)*CZ158,0)</f>
        <v>0</v>
      </c>
      <c r="DF158" s="545">
        <f>IF(AND(Sheet1!$L160=0,Sheet1!$L159=0, Calculation!CY158&lt;Sheet1!$EK160-0.1,Sheet1!$EK160=Sheet1!$EK159,Sheet1!$EK160=Sheet1!$EK161),Sheet1!$EK160,CZ158-DE158)</f>
        <v>6.5531754161331639</v>
      </c>
      <c r="DG158" s="545"/>
      <c r="DH158" s="560">
        <f t="shared" si="311"/>
        <v>9.5500000000000007</v>
      </c>
      <c r="DI158" s="560">
        <f t="shared" si="312"/>
        <v>667.98664399725305</v>
      </c>
      <c r="DJ158" s="698">
        <f t="shared" si="313"/>
        <v>9.5255441741357245</v>
      </c>
      <c r="DK158" s="560">
        <f ca="1">IF(B158&gt;Summary!$A$1,#N/A,DI158*MGtoAF)</f>
        <v>2049.3830237835723</v>
      </c>
      <c r="DL158" s="698">
        <f t="shared" si="314"/>
        <v>9.5500000000000007</v>
      </c>
      <c r="DM158" s="560">
        <f t="shared" si="315"/>
        <v>39.049999999999997</v>
      </c>
      <c r="DN158" s="560">
        <f>Sheet1!AB160-DM158</f>
        <v>-9.9999999999994316E-2</v>
      </c>
      <c r="DO158" s="823">
        <f t="shared" si="316"/>
        <v>-2.5608194622277675E-3</v>
      </c>
      <c r="DP158" s="560">
        <f>(VLOOKUP(Sheet1!DC160,hhdcap_wcm,4)-(((VLOOKUP(Sheet1!DC160,hhdcap_wcm,3)-Sheet1!DC160)/(VLOOKUP(Sheet1!DC160,hhdcap_wcm,3)-VLOOKUP(Sheet1!DC160,hhdcap_wcm,1)))*(VLOOKUP(Sheet1!DC160,hhdcap_wcm,4)-VLOOKUP(Sheet1!DC160,hhdcap_wcm,2))))</f>
        <v>49325.400000119233</v>
      </c>
      <c r="DQ158" s="560">
        <f t="shared" si="317"/>
        <v>237.40000000234431</v>
      </c>
      <c r="DR158" s="560">
        <f t="shared" si="318"/>
        <v>119.71759959775304</v>
      </c>
      <c r="DS158" s="560">
        <f>Sheet1!EA160*AFtoMG</f>
        <v>0</v>
      </c>
      <c r="DT158" s="560">
        <f>Sheet1!EB160*AFtoMG</f>
        <v>0</v>
      </c>
      <c r="DU158" s="560">
        <f>Sheet1!EC160*AFtoMG</f>
        <v>0</v>
      </c>
      <c r="DV158" s="560">
        <f>Sheet1!ED160*AFtoMG</f>
        <v>0</v>
      </c>
      <c r="DW158" s="560">
        <f t="shared" si="319"/>
        <v>0</v>
      </c>
      <c r="DX158" s="560">
        <f t="shared" si="320"/>
        <v>0</v>
      </c>
      <c r="DY158" s="560">
        <f t="shared" si="321"/>
        <v>5410.5176586422904</v>
      </c>
      <c r="DZ158" s="560">
        <f t="shared" si="322"/>
        <v>16599.468176714548</v>
      </c>
      <c r="EA158" s="560"/>
      <c r="EB158" s="545">
        <f>IF(OR(B158&lt;FV158,B158&gt;FW158),(MIN(BF158+BY158+CT158+MAX(Sheet1!AA160+AQ158-73,0),K158)),0)</f>
        <v>9.5255441741357245</v>
      </c>
      <c r="EC158" s="560"/>
      <c r="ED158" s="560">
        <f t="shared" si="323"/>
        <v>9.5255441741357245</v>
      </c>
      <c r="EE158" s="560"/>
      <c r="EF158" s="560">
        <f>Sheet1!EH160+Sheet1!EI160+Sheet1!EJ160+Sheet1!EK160</f>
        <v>9.5500000000000007</v>
      </c>
      <c r="EG158" s="560"/>
      <c r="EH158" s="545">
        <f t="shared" si="324"/>
        <v>0</v>
      </c>
      <c r="EI158" s="560">
        <f>IF(Sheet1!ET160=1,SUM('Calculations II'!AT158:BA158)+'Calculations II'!BC158+Sheet1!BV160+'Calculations II'!BE158+AP158,SUM('Calculations II'!AT158:BA158)+'Calculations II'!BC158+Sheet1!BV160+'Calculations II'!BE158+AP158)</f>
        <v>57.385711999999998</v>
      </c>
      <c r="EJ158" s="560">
        <f>Sheet1!AA160+Sheet1!AB160+'Calculations II'!BC158</f>
        <v>60.85</v>
      </c>
      <c r="EK158" s="560"/>
      <c r="EL158" s="560"/>
      <c r="EM158" s="560">
        <f t="shared" si="325"/>
        <v>41786</v>
      </c>
      <c r="EN158" s="560">
        <f t="shared" si="326"/>
        <v>55.114455825864276</v>
      </c>
      <c r="EO158" s="560">
        <f t="shared" si="327"/>
        <v>85.262063162612037</v>
      </c>
      <c r="EP158" s="560">
        <v>0</v>
      </c>
      <c r="EQ158" s="560">
        <v>0</v>
      </c>
      <c r="ER158" s="560">
        <v>0</v>
      </c>
      <c r="ES158" s="545">
        <f t="shared" si="349"/>
        <v>0.13846555071522296</v>
      </c>
      <c r="ET158" s="560">
        <f>-(VLOOKUP(Sheet1!BQ160,Lookup!$O$4:$Q$262,2)-VLOOKUP(Sheet1!BQ159,Lookup!$O$4:$Q$262,2))/1000000</f>
        <v>0</v>
      </c>
      <c r="EU158" s="560">
        <f>-(VLOOKUP(Sheet1!BR160,Lookup!$O$4:$Q$262,3)-VLOOKUP(Sheet1!BR159,Lookup!$O$4:$Q$262,3))/1000000</f>
        <v>0.13846555071522296</v>
      </c>
      <c r="EV158" s="560"/>
      <c r="EW158" s="560"/>
      <c r="EX158" s="560"/>
      <c r="EY158" s="560"/>
      <c r="EZ158" s="560"/>
      <c r="FA158" s="560"/>
      <c r="FB158" s="560"/>
      <c r="FC158" s="560"/>
      <c r="FD158" s="594" t="e">
        <f t="shared" si="328"/>
        <v>#N/A</v>
      </c>
      <c r="FE158" s="594" t="e">
        <f t="shared" si="329"/>
        <v>#N/A</v>
      </c>
      <c r="FF158" s="595" t="e">
        <f t="shared" si="330"/>
        <v>#N/A</v>
      </c>
      <c r="FG158" s="596" t="s">
        <v>692</v>
      </c>
      <c r="FH158" s="596" t="s">
        <v>692</v>
      </c>
      <c r="FI158" s="594" t="e">
        <v>#N/A</v>
      </c>
      <c r="FJ158" s="594" t="e">
        <v>#N/A</v>
      </c>
      <c r="FK158" s="560"/>
      <c r="FL158" s="560"/>
      <c r="FM158" s="560"/>
      <c r="FN158" s="560"/>
      <c r="FO158" s="560">
        <f>O158+((Sheet1!CS160)*GPMtoMGD)</f>
        <v>60.85</v>
      </c>
      <c r="FP158" s="560">
        <f>IF(Sheet1!AA160+AQ158&lt;=Calculation!N158,AQ158,Calculation!N158-Sheet1!AA160)</f>
        <v>27.828553137003844</v>
      </c>
      <c r="FQ158" s="560">
        <f>(Sheet1!BP160+Sheet1!BO160)/694.4</f>
        <v>1.3930011520737327</v>
      </c>
      <c r="FR158" s="560"/>
      <c r="FS158" s="560"/>
      <c r="FT158" s="560"/>
      <c r="FU158" s="560"/>
      <c r="FV158" s="695">
        <f t="shared" si="350"/>
        <v>41827</v>
      </c>
      <c r="FW158" s="695">
        <f t="shared" si="351"/>
        <v>41934</v>
      </c>
      <c r="FX158" s="560"/>
      <c r="FY158" s="560"/>
      <c r="FZ158" s="560"/>
      <c r="GA158" s="560"/>
      <c r="GB158" s="560" t="str">
        <f t="shared" si="352"/>
        <v>n</v>
      </c>
      <c r="GC158" s="564">
        <f t="shared" si="353"/>
        <v>41691</v>
      </c>
      <c r="GD158" s="695">
        <f t="shared" si="354"/>
        <v>41807</v>
      </c>
      <c r="GE158" s="560">
        <v>6518.9</v>
      </c>
      <c r="GF158" s="695">
        <f t="shared" si="355"/>
        <v>41808</v>
      </c>
      <c r="GG158" s="560">
        <f t="shared" si="374"/>
        <v>3259</v>
      </c>
      <c r="GH158" s="564">
        <f t="shared" si="356"/>
        <v>41934</v>
      </c>
      <c r="GJ158" s="545">
        <f t="shared" si="357"/>
        <v>0</v>
      </c>
      <c r="GK158" s="560" t="str">
        <f t="shared" si="331"/>
        <v/>
      </c>
      <c r="GL158" s="560">
        <f t="shared" si="358"/>
        <v>0</v>
      </c>
      <c r="GM158" s="560" t="str">
        <f t="shared" si="359"/>
        <v/>
      </c>
      <c r="GN158" s="560">
        <f>IF(GK158="P",Lookup!$M$12,IF(GK158="PP",Lookup!$M$13,IF(GK158="PPP",Lookup!$M$14,IF(GK158="T",Lookup!$M$15,IF(GK158="TP",Lookup!$M$16,IF(GK158="TPP",Lookup!$M$17,IF(GK158="TPPP",Lookup!$M$18,0)))))))*GJ158</f>
        <v>0</v>
      </c>
      <c r="GO158" s="560">
        <f t="shared" si="360"/>
        <v>0</v>
      </c>
      <c r="GP158" s="560">
        <f t="shared" si="332"/>
        <v>7932.620800000007</v>
      </c>
      <c r="GQ158" s="560">
        <f t="shared" si="368"/>
        <v>2585.6000000000022</v>
      </c>
      <c r="GR158" s="560"/>
      <c r="GS158" s="560">
        <f t="shared" si="361"/>
        <v>0</v>
      </c>
      <c r="GT158" s="560" t="str">
        <f t="shared" si="362"/>
        <v/>
      </c>
      <c r="GU158" s="560">
        <f>IF(GK158="P",Lookup!$N$12,IF(GK158="PP",Lookup!$N$13,IF(GK158="PPP",Lookup!$N$14,IF(GK158="T",Lookup!$N$15,IF(GK158="TP",Lookup!$N$16,IF(GK158="TPP",Lookup!$N$17,IF(GK158="TPPP",Lookup!$N$18,0)))))))*GJ158</f>
        <v>0</v>
      </c>
      <c r="GV158" s="560">
        <f t="shared" si="363"/>
        <v>0</v>
      </c>
      <c r="GW158" s="560">
        <f t="shared" si="333"/>
        <v>3701.8897066666664</v>
      </c>
      <c r="GX158" s="560">
        <f t="shared" si="369"/>
        <v>1206.6133333333332</v>
      </c>
      <c r="GY158" s="560"/>
      <c r="GZ158" s="560">
        <f t="shared" si="364"/>
        <v>0</v>
      </c>
      <c r="HA158" s="560" t="str">
        <f t="shared" si="365"/>
        <v/>
      </c>
      <c r="HB158" s="560">
        <f>IF(GK158="P",Lookup!$N$12,IF(GK158="PP",Lookup!$N$13,IF(GK158="PPP",Lookup!$N$14,IF(GK158="T",Lookup!$N$15,IF(GK158="TP",Lookup!$N$16,IF(GK158="TPP",Lookup!$N$17,IF(GK158="TPPP",Lookup!$N$18,0)))))))*GJ158</f>
        <v>0</v>
      </c>
      <c r="HC158" s="545">
        <f t="shared" si="334"/>
        <v>0</v>
      </c>
      <c r="HD158" s="560">
        <f t="shared" si="335"/>
        <v>2915.5746462643033</v>
      </c>
      <c r="HE158" s="560">
        <f t="shared" si="370"/>
        <v>950.31768131170247</v>
      </c>
      <c r="HF158" s="560"/>
      <c r="HG158" s="560">
        <f t="shared" si="366"/>
        <v>0</v>
      </c>
      <c r="HH158" s="560" t="str">
        <f t="shared" si="367"/>
        <v/>
      </c>
      <c r="HI158" s="560">
        <f>IF(GK158="P",Lookup!$N$12,IF(GK158="PP",Lookup!$N$13,IF(GK158="PPP",Lookup!$N$14,IF(GK158="T",Lookup!$N$15,IF(GK158="TP",Lookup!$N$16,IF(GK158="TPP",Lookup!$N$17,IF(GK158="TPPP",Lookup!$N$18,0)))))))*GJ158</f>
        <v>0</v>
      </c>
      <c r="HJ158" s="545">
        <f t="shared" si="336"/>
        <v>0</v>
      </c>
      <c r="HK158" s="560">
        <f t="shared" si="337"/>
        <v>2049.3830237835723</v>
      </c>
      <c r="HL158" s="560">
        <f t="shared" si="371"/>
        <v>667.98664399725305</v>
      </c>
      <c r="HM158" s="560"/>
    </row>
    <row r="159" spans="1:221">
      <c r="A159" s="580" t="s">
        <v>6</v>
      </c>
      <c r="B159" s="556">
        <v>41787</v>
      </c>
      <c r="C159" s="561">
        <v>0</v>
      </c>
      <c r="D159" s="529">
        <f t="shared" si="372"/>
        <v>300</v>
      </c>
      <c r="E159" s="529">
        <f t="shared" si="373"/>
        <v>250</v>
      </c>
      <c r="F159" s="529">
        <v>250</v>
      </c>
      <c r="G159" s="560">
        <f>DR159+Sheet1!CZ161</f>
        <v>1080.2420574887872</v>
      </c>
      <c r="H159" s="914">
        <f t="shared" si="338"/>
        <v>431.30526596075202</v>
      </c>
      <c r="I159" s="559">
        <f>MAX(Sheet1!Z161-AT159+(Sheet1!DA161-E159)*CFStoMGD,0)</f>
        <v>672.42200000000003</v>
      </c>
      <c r="J159" s="562">
        <f>IF(AND(B159&gt;=Calculation!GC159,B159&lt;=Calculation!GD159),IF(Sheet1!DB161&gt;=Calculation!D159,64.64,0),MAX(Sheet1!Z161-AT159+(Sheet1!DB161-D159)*CFStoMGD,0))</f>
        <v>64.64</v>
      </c>
      <c r="K159" s="904">
        <f>MAX(MIN(H159:J159,64.64),0)</f>
        <v>64.64</v>
      </c>
      <c r="L159" s="560">
        <f>Sheet1!AA161+Sheet1!AB161-Sheet1!L161+(Sheet1!DA161-F159)*CFStoMGD</f>
        <v>694.29199999999992</v>
      </c>
      <c r="M159" s="560">
        <f t="shared" si="274"/>
        <v>712.23383527996714</v>
      </c>
      <c r="N159" s="910">
        <f>IF(Sheet1!DA161&gt;=F159,MIN(73,MIN(MAX(L159,0),MAX(M159,0))),0)</f>
        <v>73</v>
      </c>
      <c r="O159" s="563">
        <f>Sheet1!AA161+Sheet1!AB161</f>
        <v>60.819999999999993</v>
      </c>
      <c r="P159" s="563">
        <f t="shared" si="275"/>
        <v>94.088539999999995</v>
      </c>
      <c r="Q159" s="898">
        <f t="shared" si="339"/>
        <v>51.3</v>
      </c>
      <c r="R159" s="829">
        <f t="shared" si="276"/>
        <v>9.5078042531386089</v>
      </c>
      <c r="S159" s="898">
        <f t="shared" si="340"/>
        <v>9.52</v>
      </c>
      <c r="T159" s="898">
        <f t="shared" si="341"/>
        <v>55.120000000000005</v>
      </c>
      <c r="U159" s="898">
        <f t="shared" si="342"/>
        <v>0</v>
      </c>
      <c r="V159" s="898"/>
      <c r="W159" s="898">
        <f t="shared" si="343"/>
        <v>55.132195746861392</v>
      </c>
      <c r="X159" s="898">
        <f t="shared" si="344"/>
        <v>64.64</v>
      </c>
      <c r="Y159" s="898" t="str">
        <f t="shared" si="345"/>
        <v>FALSE</v>
      </c>
      <c r="Z159" s="898">
        <f t="shared" si="346"/>
        <v>60.819999999999993</v>
      </c>
      <c r="AA159" s="898">
        <f t="shared" si="347"/>
        <v>60.819999999999993</v>
      </c>
      <c r="AB159" s="898" t="str">
        <f t="shared" si="348"/>
        <v/>
      </c>
      <c r="AC159" s="563">
        <f>Sheet1!Y161*MGDtoCFS</f>
        <v>33.879299999999994</v>
      </c>
      <c r="AD159" s="563">
        <f>Sheet1!Z161*MGDtoCFS</f>
        <v>60.255650000000003</v>
      </c>
      <c r="AE159" s="563">
        <f>Sheet1!AA161*MGDtoCFS</f>
        <v>33.786479999999997</v>
      </c>
      <c r="AF159" s="563">
        <f>Sheet1!AB161*MGDtoCFS</f>
        <v>60.30205999999999</v>
      </c>
      <c r="AG159" s="563">
        <f>Sheet1!L161*MGDtoCFS</f>
        <v>0</v>
      </c>
      <c r="AH159" s="545">
        <f t="shared" si="277"/>
        <v>0</v>
      </c>
      <c r="AI159" s="560">
        <f t="shared" si="278"/>
        <v>0</v>
      </c>
      <c r="AJ159" s="560">
        <f t="shared" si="279"/>
        <v>55.132195746861392</v>
      </c>
      <c r="AK159" s="560">
        <f t="shared" si="280"/>
        <v>85.289506820394564</v>
      </c>
      <c r="AL159" s="560">
        <f>(VLOOKUP(Sheet1!DC161,hhdcap_wcm,4)-(((VLOOKUP(Sheet1!DC161,hhdcap_wcm,3)-Sheet1!DC161)/(VLOOKUP(Sheet1!DC161,hhdcap_wcm,3)-VLOOKUP(Sheet1!DC161,hhdcap_wcm,1)))*(VLOOKUP(Sheet1!DC161,hhdcap_wcm,4)-VLOOKUP(Sheet1!DC161,hhdcap_wcm,2))))</f>
        <v>49405.200000119497</v>
      </c>
      <c r="AM159" s="560">
        <f t="shared" si="281"/>
        <v>79.800000000264845</v>
      </c>
      <c r="AN159" s="560">
        <f t="shared" si="282"/>
        <v>5465.6498543891521</v>
      </c>
      <c r="AO159" s="560">
        <f t="shared" si="283"/>
        <v>16768.61375326592</v>
      </c>
      <c r="AP159" s="560">
        <f>Sheet1!BA161+Sheet1!BB161+Sheet1!BN161+CD159</f>
        <v>29.509999999999998</v>
      </c>
      <c r="AQ159" s="560">
        <f>Sheet1!BN161+(DO159*Sheet1!BN161)</f>
        <v>27.864258262874706</v>
      </c>
      <c r="AR159" s="560">
        <f>Sheet1!BA161+CD159</f>
        <v>0</v>
      </c>
      <c r="AS159" s="560">
        <f>Sheet1!BA161+Sheet1!BB161+CD159</f>
        <v>1.61</v>
      </c>
      <c r="AT159" s="698">
        <f>0</f>
        <v>0</v>
      </c>
      <c r="AU159" s="560">
        <f>IF(EB159&lt;K159,0,MAX(Sheet1!AA161+AQ159-15/36*K159-N159,Sheet1!EH161,0))</f>
        <v>0</v>
      </c>
      <c r="AV159" s="560">
        <f>IF(OR(B159&gt;=GD159,B159&lt;GC159),0,15/36*K159-MAX(0,64.6-(137.6-(Sheet1!AA161+Sheet1!AB161))))</f>
        <v>26.933333333333334</v>
      </c>
      <c r="AW159" s="698">
        <f>Sheet1!DB161-110</f>
        <v>864</v>
      </c>
      <c r="AX159" s="698">
        <f>Sheet1!DA161-265</f>
        <v>965</v>
      </c>
      <c r="AY159" s="698">
        <f t="shared" si="284"/>
        <v>21.700000000000003</v>
      </c>
      <c r="AZ159" s="698">
        <v>0</v>
      </c>
      <c r="BA159" s="698">
        <f t="shared" si="285"/>
        <v>0</v>
      </c>
      <c r="BB159" s="560">
        <f t="shared" si="286"/>
        <v>2612.5333333333356</v>
      </c>
      <c r="BC159" s="560"/>
      <c r="BD159" s="560">
        <f ca="1">IF(B159&gt;Summary!$A$1,#N/A,BB159*MGtoAF)</f>
        <v>8015.2522666666737</v>
      </c>
      <c r="BE159" s="560">
        <f>Sheet1!BG161+Sheet1!BH161+Sheet1!BI161-BM159</f>
        <v>0</v>
      </c>
      <c r="BF159" s="560">
        <f t="shared" si="287"/>
        <v>0</v>
      </c>
      <c r="BG159" s="560">
        <f>IF(Sheet1!EP161="FM",BM159,0)</f>
        <v>0</v>
      </c>
      <c r="BH159" s="560">
        <f t="shared" si="288"/>
        <v>0</v>
      </c>
      <c r="BI159" s="560">
        <f>IF(Sheet1!EP161="OTHER",BM159,0)</f>
        <v>0</v>
      </c>
      <c r="BJ159" s="560">
        <f t="shared" si="289"/>
        <v>0</v>
      </c>
      <c r="BK159" s="560">
        <f t="shared" si="290"/>
        <v>0</v>
      </c>
      <c r="BL159" s="560">
        <f t="shared" si="291"/>
        <v>0</v>
      </c>
      <c r="BM159" s="560">
        <f>IF(OR(Sheet1!EP161="FM", Sheet1!EP161="OTHER"),SUM(Sheet1!BG161:'Sheet1'!BI161),0)</f>
        <v>0</v>
      </c>
      <c r="BN159" s="545">
        <f>IF(AND($B159&gt;=$FV159,$B159&lt;=$FW159),MAX(BF159,Sheet1!EI161,0),MAX(BF159-(7/36)*$K159,0))</f>
        <v>0</v>
      </c>
      <c r="BO159" s="560">
        <f t="shared" si="292"/>
        <v>12.568888888888889</v>
      </c>
      <c r="BP159" s="545">
        <f t="shared" si="293"/>
        <v>0</v>
      </c>
      <c r="BQ159" s="545">
        <f>IF(AND($O159&gt;0,Sheet1!EM161=1),(1-($O159-Sheet1!$L161)/$O159)*BL159,0)</f>
        <v>0</v>
      </c>
      <c r="BR159" s="545">
        <f>IF(AND(Sheet1!$L161=0,Sheet1!$L160=0, Calculation!BK159&lt;Sheet1!$EI161-0.1,Sheet1!$EI161=Sheet1!$EI160,Sheet1!$EI161=Sheet1!$EI162),Sheet1!$EI161,BL159-BQ159)</f>
        <v>0</v>
      </c>
      <c r="BS159" s="560"/>
      <c r="BT159" s="560"/>
      <c r="BU159" s="560">
        <f t="shared" si="294"/>
        <v>1219.1822222222222</v>
      </c>
      <c r="BV159" s="560"/>
      <c r="BW159" s="560">
        <f ca="1">IF(B159&gt;Summary!$A$1,#N/A,BU159*MGtoAF)</f>
        <v>3740.4510577777778</v>
      </c>
      <c r="BX159" s="560">
        <f>Sheet1!BC161+Sheet1!BD161+Sheet1!BE161+Sheet1!BF161-CG159-CH159</f>
        <v>3</v>
      </c>
      <c r="BY159" s="560">
        <f t="shared" si="295"/>
        <v>2.9961568024596459</v>
      </c>
      <c r="BZ159" s="560">
        <f>IF(Sheet1!EQ161="FM",CH159,0)</f>
        <v>0</v>
      </c>
      <c r="CA159" s="560">
        <f t="shared" si="296"/>
        <v>0</v>
      </c>
      <c r="CB159" s="560">
        <f>IF(Sheet1!EQ161="OTHER",CH159,0)</f>
        <v>0</v>
      </c>
      <c r="CC159" s="560">
        <f t="shared" si="297"/>
        <v>0</v>
      </c>
      <c r="CD159" s="560">
        <f t="shared" si="298"/>
        <v>0</v>
      </c>
      <c r="CE159" s="560">
        <f t="shared" si="299"/>
        <v>3</v>
      </c>
      <c r="CF159" s="560">
        <f t="shared" si="300"/>
        <v>2.9961568024596459</v>
      </c>
      <c r="CG159" s="560">
        <f>IF(Sheet1!EQ161="CWA",SUM(Sheet1!BC161:'Sheet1'!BF161),0)</f>
        <v>0</v>
      </c>
      <c r="CH159" s="560">
        <f>IF(OR(Sheet1!EQ161="FM", Sheet1!EQ161="OTHER"),SUM(Sheet1!BC161:'Sheet1'!BF161),0)</f>
        <v>0</v>
      </c>
      <c r="CI159" s="545">
        <f>IF(AND($B159&gt;=$FV159,$B159&lt;=$FW159),MAX(CF159,Sheet1!EJ161,0),MAX(CF159-(7/36)*$K159,0))</f>
        <v>0</v>
      </c>
      <c r="CJ159" s="560">
        <f t="shared" si="301"/>
        <v>9.5727320864292427</v>
      </c>
      <c r="CK159" s="545">
        <f t="shared" si="302"/>
        <v>2.9961568024596459</v>
      </c>
      <c r="CL159" s="545">
        <f>IF(AND($O159&gt;0,Sheet1!EN161=1),(1-($O159-Sheet1!$L161)/$O159)*CF159,0)</f>
        <v>0</v>
      </c>
      <c r="CM159" s="545">
        <f>IF(AND(Sheet1!$L161=0,Sheet1!$L160=0, Calculation!CE159&lt;Sheet1!EJ161-0.1,Sheet1!EJ161=Sheet1!EJ160,Sheet1!EJ161=Sheet1!EJ162),Sheet1!EJ161,CF159-CL159)</f>
        <v>2.9961568024596459</v>
      </c>
      <c r="CN159" s="545"/>
      <c r="CO159" s="560"/>
      <c r="CP159" s="560">
        <f t="shared" si="303"/>
        <v>959.89041339813173</v>
      </c>
      <c r="CQ159" s="560"/>
      <c r="CR159" s="560">
        <f ca="1">IF(B159&gt;Summary!$A$1,#N/A,CP159*MGtoAF)</f>
        <v>2944.9437883054684</v>
      </c>
      <c r="CS159" s="560">
        <f>Sheet1!BK161+Sheet1!BL161+Sheet1!BM161-Sheet1!ER161-DA159</f>
        <v>6.52</v>
      </c>
      <c r="CT159" s="560">
        <f t="shared" si="304"/>
        <v>6.5116474506789634</v>
      </c>
      <c r="CU159" s="560">
        <f>IF(Sheet1!ER161="FM",DA159,0)</f>
        <v>0</v>
      </c>
      <c r="CV159" s="560">
        <f t="shared" si="305"/>
        <v>0</v>
      </c>
      <c r="CW159" s="560">
        <f>IF(Sheet1!ER161="OTHER",DA159,0)</f>
        <v>0</v>
      </c>
      <c r="CX159" s="560">
        <f t="shared" si="306"/>
        <v>0</v>
      </c>
      <c r="CY159" s="560">
        <f t="shared" si="307"/>
        <v>6.52</v>
      </c>
      <c r="CZ159" s="560">
        <f t="shared" si="308"/>
        <v>6.5116474506789634</v>
      </c>
      <c r="DA159" s="560">
        <f>IF(OR(Sheet1!ER161="FM", Sheet1!ER161="OTHER"),SUM(Sheet1!BK161:'Sheet1'!BM161),0)</f>
        <v>0</v>
      </c>
      <c r="DB159" s="545">
        <f>IF(AND($B159&gt;=$FV159,$B159&lt;=$FW159),MAX($CT159,Sheet1!EK161,0),MAX($CT159-(7/36)*$K159,0))</f>
        <v>0</v>
      </c>
      <c r="DC159" s="560">
        <f t="shared" si="309"/>
        <v>6.0572414382099256</v>
      </c>
      <c r="DD159" s="545">
        <f t="shared" si="310"/>
        <v>6.5116474506789634</v>
      </c>
      <c r="DE159" s="545">
        <f>IF(AND($O159&gt;0,Sheet1!EO161=1),(1-($O159-Sheet1!$L161)/$O159)*CZ159,0)</f>
        <v>0</v>
      </c>
      <c r="DF159" s="545">
        <f>IF(AND(Sheet1!$L161=0,Sheet1!$L160=0, Calculation!CY159&lt;Sheet1!$EK161-0.1,Sheet1!$EK161=Sheet1!$EK160,Sheet1!$EK161=Sheet1!$EK162),Sheet1!$EK161,CZ159-DE159)</f>
        <v>6.5116474506789634</v>
      </c>
      <c r="DG159" s="545"/>
      <c r="DH159" s="560">
        <f t="shared" si="311"/>
        <v>9.52</v>
      </c>
      <c r="DI159" s="560">
        <f t="shared" si="312"/>
        <v>674.04388543546293</v>
      </c>
      <c r="DJ159" s="698">
        <f t="shared" si="313"/>
        <v>9.5078042531386089</v>
      </c>
      <c r="DK159" s="560">
        <f ca="1">IF(B159&gt;Summary!$A$1,#N/A,DI159*MGtoAF)</f>
        <v>2067.9666405160001</v>
      </c>
      <c r="DL159" s="698">
        <f t="shared" si="314"/>
        <v>9.52</v>
      </c>
      <c r="DM159" s="560">
        <f t="shared" si="315"/>
        <v>39.03</v>
      </c>
      <c r="DN159" s="560">
        <f>Sheet1!AB161-DM159</f>
        <v>-5.0000000000004263E-2</v>
      </c>
      <c r="DO159" s="823">
        <f t="shared" si="316"/>
        <v>-1.281065846784634E-3</v>
      </c>
      <c r="DP159" s="560">
        <f>(VLOOKUP(Sheet1!DC161,hhdcap_wcm,4)-(((VLOOKUP(Sheet1!DC161,hhdcap_wcm,3)-Sheet1!DC161)/(VLOOKUP(Sheet1!DC161,hhdcap_wcm,3)-VLOOKUP(Sheet1!DC161,hhdcap_wcm,1)))*(VLOOKUP(Sheet1!DC161,hhdcap_wcm,4)-VLOOKUP(Sheet1!DC161,hhdcap_wcm,2))))</f>
        <v>49405.200000119497</v>
      </c>
      <c r="DQ159" s="560">
        <f t="shared" si="317"/>
        <v>79.800000000264845</v>
      </c>
      <c r="DR159" s="560">
        <f t="shared" si="318"/>
        <v>40.242057488787104</v>
      </c>
      <c r="DS159" s="560">
        <f>Sheet1!EA161*AFtoMG</f>
        <v>0</v>
      </c>
      <c r="DT159" s="560">
        <f>Sheet1!EB161*AFtoMG</f>
        <v>0</v>
      </c>
      <c r="DU159" s="560">
        <f>Sheet1!EC161*AFtoMG</f>
        <v>0</v>
      </c>
      <c r="DV159" s="560">
        <f>Sheet1!ED161*AFtoMG</f>
        <v>0</v>
      </c>
      <c r="DW159" s="560">
        <f t="shared" si="319"/>
        <v>0</v>
      </c>
      <c r="DX159" s="560">
        <f t="shared" si="320"/>
        <v>0</v>
      </c>
      <c r="DY159" s="560">
        <f t="shared" si="321"/>
        <v>5465.6498543891521</v>
      </c>
      <c r="DZ159" s="560">
        <f t="shared" si="322"/>
        <v>16768.61375326592</v>
      </c>
      <c r="EA159" s="560"/>
      <c r="EB159" s="545">
        <f>IF(OR(B159&lt;FV159,B159&gt;FW159),(MIN(BF159+BY159+CT159+MAX(Sheet1!AA161+AQ159-73,0),K159)),0)</f>
        <v>9.5078042531386089</v>
      </c>
      <c r="EC159" s="560"/>
      <c r="ED159" s="560">
        <f t="shared" si="323"/>
        <v>9.5078042531386089</v>
      </c>
      <c r="EE159" s="560"/>
      <c r="EF159" s="560">
        <f>Sheet1!EH161+Sheet1!EI161+Sheet1!EJ161+Sheet1!EK161</f>
        <v>9.52</v>
      </c>
      <c r="EG159" s="560"/>
      <c r="EH159" s="545">
        <f t="shared" si="324"/>
        <v>0</v>
      </c>
      <c r="EI159" s="560">
        <f>IF(Sheet1!ET161=1,SUM('Calculations II'!AT159:BA159)+'Calculations II'!BC159+Sheet1!BV161+'Calculations II'!BE159+AP159,SUM('Calculations II'!AT159:BA159)+'Calculations II'!BC159+Sheet1!BV161+'Calculations II'!BE159+AP159)</f>
        <v>60.353088</v>
      </c>
      <c r="EJ159" s="560">
        <f>Sheet1!AA161+Sheet1!AB161+'Calculations II'!BC159</f>
        <v>60.819999999999993</v>
      </c>
      <c r="EK159" s="560"/>
      <c r="EL159" s="560"/>
      <c r="EM159" s="560">
        <f t="shared" si="325"/>
        <v>41787</v>
      </c>
      <c r="EN159" s="560">
        <f t="shared" si="326"/>
        <v>55.132195746861392</v>
      </c>
      <c r="EO159" s="560">
        <f t="shared" si="327"/>
        <v>85.289506820394564</v>
      </c>
      <c r="EP159" s="560">
        <v>0</v>
      </c>
      <c r="EQ159" s="560">
        <v>0</v>
      </c>
      <c r="ER159" s="560">
        <v>0</v>
      </c>
      <c r="ES159" s="545">
        <f t="shared" si="349"/>
        <v>3.0454668353305983</v>
      </c>
      <c r="ET159" s="560">
        <f>-(VLOOKUP(Sheet1!BQ161,Lookup!$O$4:$Q$262,2)-VLOOKUP(Sheet1!BQ160,Lookup!$O$4:$Q$262,2))/1000000</f>
        <v>1.5227686562056766</v>
      </c>
      <c r="EU159" s="560">
        <f>-(VLOOKUP(Sheet1!BR161,Lookup!$O$4:$Q$262,3)-VLOOKUP(Sheet1!BR160,Lookup!$O$4:$Q$262,3))/1000000</f>
        <v>1.5226981791249217</v>
      </c>
      <c r="EV159" s="560"/>
      <c r="EW159" s="560"/>
      <c r="EX159" s="560"/>
      <c r="EY159" s="560"/>
      <c r="EZ159" s="560"/>
      <c r="FA159" s="560"/>
      <c r="FB159" s="560"/>
      <c r="FC159" s="560"/>
      <c r="FD159" s="594" t="e">
        <f t="shared" si="328"/>
        <v>#N/A</v>
      </c>
      <c r="FE159" s="594" t="e">
        <f t="shared" si="329"/>
        <v>#N/A</v>
      </c>
      <c r="FF159" s="595" t="e">
        <f t="shared" si="330"/>
        <v>#N/A</v>
      </c>
      <c r="FG159" s="596" t="s">
        <v>692</v>
      </c>
      <c r="FH159" s="596" t="s">
        <v>692</v>
      </c>
      <c r="FI159" s="594" t="e">
        <v>#N/A</v>
      </c>
      <c r="FJ159" s="594" t="e">
        <v>#N/A</v>
      </c>
      <c r="FK159" s="560"/>
      <c r="FL159" s="560"/>
      <c r="FM159" s="560"/>
      <c r="FN159" s="560"/>
      <c r="FO159" s="560">
        <f>O159+((Sheet1!CS161)*GPMtoMGD)</f>
        <v>60.819999999999993</v>
      </c>
      <c r="FP159" s="560">
        <f>IF(Sheet1!AA161+AQ159&lt;=Calculation!N159,AQ159,Calculation!N159-Sheet1!AA161)</f>
        <v>27.864258262874706</v>
      </c>
      <c r="FQ159" s="560">
        <f>(Sheet1!BP161+Sheet1!BO161)/694.4</f>
        <v>2.8162442396313363</v>
      </c>
      <c r="FR159" s="560"/>
      <c r="FS159" s="560"/>
      <c r="FT159" s="560"/>
      <c r="FU159" s="560"/>
      <c r="FV159" s="695">
        <f t="shared" si="350"/>
        <v>41827</v>
      </c>
      <c r="FW159" s="695">
        <f t="shared" si="351"/>
        <v>41934</v>
      </c>
      <c r="FX159" s="560"/>
      <c r="FY159" s="560"/>
      <c r="FZ159" s="560"/>
      <c r="GA159" s="560"/>
      <c r="GB159" s="560" t="str">
        <f t="shared" si="352"/>
        <v>n</v>
      </c>
      <c r="GC159" s="564">
        <f t="shared" si="353"/>
        <v>41691</v>
      </c>
      <c r="GD159" s="695">
        <f t="shared" si="354"/>
        <v>41807</v>
      </c>
      <c r="GE159" s="560">
        <v>6518.9</v>
      </c>
      <c r="GF159" s="695">
        <f t="shared" si="355"/>
        <v>41808</v>
      </c>
      <c r="GG159" s="560">
        <f t="shared" si="374"/>
        <v>3259</v>
      </c>
      <c r="GH159" s="564">
        <f t="shared" si="356"/>
        <v>41934</v>
      </c>
      <c r="GJ159" s="545">
        <f t="shared" si="357"/>
        <v>0</v>
      </c>
      <c r="GK159" s="560" t="str">
        <f t="shared" si="331"/>
        <v/>
      </c>
      <c r="GL159" s="560">
        <f t="shared" si="358"/>
        <v>0</v>
      </c>
      <c r="GM159" s="560" t="str">
        <f t="shared" si="359"/>
        <v/>
      </c>
      <c r="GN159" s="560">
        <f>IF(GK159="P",Lookup!$M$12,IF(GK159="PP",Lookup!$M$13,IF(GK159="PPP",Lookup!$M$14,IF(GK159="T",Lookup!$M$15,IF(GK159="TP",Lookup!$M$16,IF(GK159="TPP",Lookup!$M$17,IF(GK159="TPPP",Lookup!$M$18,0)))))))*GJ159</f>
        <v>0</v>
      </c>
      <c r="GO159" s="560">
        <f t="shared" si="360"/>
        <v>0</v>
      </c>
      <c r="GP159" s="560">
        <f t="shared" si="332"/>
        <v>8015.2522666666737</v>
      </c>
      <c r="GQ159" s="560">
        <f t="shared" si="368"/>
        <v>2612.5333333333356</v>
      </c>
      <c r="GR159" s="560"/>
      <c r="GS159" s="560">
        <f t="shared" si="361"/>
        <v>0</v>
      </c>
      <c r="GT159" s="560" t="str">
        <f t="shared" si="362"/>
        <v/>
      </c>
      <c r="GU159" s="560">
        <f>IF(GK159="P",Lookup!$N$12,IF(GK159="PP",Lookup!$N$13,IF(GK159="PPP",Lookup!$N$14,IF(GK159="T",Lookup!$N$15,IF(GK159="TP",Lookup!$N$16,IF(GK159="TPP",Lookup!$N$17,IF(GK159="TPPP",Lookup!$N$18,0)))))))*GJ159</f>
        <v>0</v>
      </c>
      <c r="GV159" s="560">
        <f t="shared" si="363"/>
        <v>0</v>
      </c>
      <c r="GW159" s="560">
        <f t="shared" si="333"/>
        <v>3740.4510577777778</v>
      </c>
      <c r="GX159" s="560">
        <f t="shared" si="369"/>
        <v>1219.1822222222222</v>
      </c>
      <c r="GY159" s="560"/>
      <c r="GZ159" s="560">
        <f t="shared" si="364"/>
        <v>0</v>
      </c>
      <c r="HA159" s="560" t="str">
        <f t="shared" si="365"/>
        <v/>
      </c>
      <c r="HB159" s="560">
        <f>IF(GK159="P",Lookup!$N$12,IF(GK159="PP",Lookup!$N$13,IF(GK159="PPP",Lookup!$N$14,IF(GK159="T",Lookup!$N$15,IF(GK159="TP",Lookup!$N$16,IF(GK159="TPP",Lookup!$N$17,IF(GK159="TPPP",Lookup!$N$18,0)))))))*GJ159</f>
        <v>0</v>
      </c>
      <c r="HC159" s="545">
        <f t="shared" si="334"/>
        <v>0</v>
      </c>
      <c r="HD159" s="560">
        <f t="shared" si="335"/>
        <v>2944.9437883054684</v>
      </c>
      <c r="HE159" s="560">
        <f t="shared" si="370"/>
        <v>959.89041339813173</v>
      </c>
      <c r="HF159" s="560"/>
      <c r="HG159" s="560">
        <f t="shared" si="366"/>
        <v>0</v>
      </c>
      <c r="HH159" s="560" t="str">
        <f t="shared" si="367"/>
        <v/>
      </c>
      <c r="HI159" s="560">
        <f>IF(GK159="P",Lookup!$N$12,IF(GK159="PP",Lookup!$N$13,IF(GK159="PPP",Lookup!$N$14,IF(GK159="T",Lookup!$N$15,IF(GK159="TP",Lookup!$N$16,IF(GK159="TPP",Lookup!$N$17,IF(GK159="TPPP",Lookup!$N$18,0)))))))*GJ159</f>
        <v>0</v>
      </c>
      <c r="HJ159" s="545">
        <f t="shared" si="336"/>
        <v>0</v>
      </c>
      <c r="HK159" s="560">
        <f t="shared" si="337"/>
        <v>2067.9666405160001</v>
      </c>
      <c r="HL159" s="560">
        <f t="shared" si="371"/>
        <v>674.04388543546293</v>
      </c>
      <c r="HM159" s="560"/>
    </row>
    <row r="160" spans="1:221">
      <c r="A160" s="580" t="s">
        <v>7</v>
      </c>
      <c r="B160" s="556">
        <v>41788</v>
      </c>
      <c r="C160" s="561">
        <v>0</v>
      </c>
      <c r="D160" s="529">
        <f t="shared" si="372"/>
        <v>300</v>
      </c>
      <c r="E160" s="529">
        <f t="shared" si="373"/>
        <v>250</v>
      </c>
      <c r="F160" s="529">
        <v>250</v>
      </c>
      <c r="G160" s="560">
        <f>DR160+Sheet1!CZ162</f>
        <v>931.75794251121295</v>
      </c>
      <c r="H160" s="914">
        <f t="shared" si="338"/>
        <v>335.32513403924804</v>
      </c>
      <c r="I160" s="559">
        <f>MAX(Sheet1!Z162-AT160+(Sheet1!DA162-E160)*CFStoMGD,0)</f>
        <v>691.84399999999994</v>
      </c>
      <c r="J160" s="562">
        <f>IF(AND(B160&gt;=Calculation!GC160,B160&lt;=Calculation!GD160),IF(Sheet1!DB162&gt;=Calculation!D160,64.64,0),MAX(Sheet1!Z162-AT160+(Sheet1!DB162-D160)*CFStoMGD,0))</f>
        <v>64.64</v>
      </c>
      <c r="K160" s="904">
        <f t="shared" si="273"/>
        <v>64.64</v>
      </c>
      <c r="L160" s="560">
        <f>Sheet1!AA162+Sheet1!AB162-Sheet1!L162+(Sheet1!DA162-F160)*CFStoMGD</f>
        <v>713.52399999999989</v>
      </c>
      <c r="M160" s="560">
        <f t="shared" si="274"/>
        <v>614.33410072003301</v>
      </c>
      <c r="N160" s="910">
        <f>IF(Sheet1!DA162&gt;=F160,MIN(73,MIN(MAX(L160,0),MAX(M160,0))),0)</f>
        <v>73</v>
      </c>
      <c r="O160" s="563">
        <f>Sheet1!AA162+Sheet1!AB162</f>
        <v>60.66</v>
      </c>
      <c r="P160" s="563">
        <f t="shared" si="275"/>
        <v>93.841019999999986</v>
      </c>
      <c r="Q160" s="898">
        <f t="shared" si="339"/>
        <v>51.12</v>
      </c>
      <c r="R160" s="829">
        <f t="shared" si="276"/>
        <v>9.5301750772399583</v>
      </c>
      <c r="S160" s="898">
        <f t="shared" si="340"/>
        <v>9.5400000000000009</v>
      </c>
      <c r="T160" s="898">
        <f t="shared" si="341"/>
        <v>55.1</v>
      </c>
      <c r="U160" s="898">
        <f t="shared" si="342"/>
        <v>0</v>
      </c>
      <c r="V160" s="898"/>
      <c r="W160" s="898">
        <f t="shared" si="343"/>
        <v>55.109824922760041</v>
      </c>
      <c r="X160" s="898">
        <f t="shared" si="344"/>
        <v>64.64</v>
      </c>
      <c r="Y160" s="898" t="str">
        <f t="shared" si="345"/>
        <v>FALSE</v>
      </c>
      <c r="Z160" s="898">
        <f t="shared" si="346"/>
        <v>60.66</v>
      </c>
      <c r="AA160" s="898">
        <f t="shared" si="347"/>
        <v>60.66</v>
      </c>
      <c r="AB160" s="898" t="str">
        <f t="shared" si="348"/>
        <v/>
      </c>
      <c r="AC160" s="563">
        <f>Sheet1!Y162*MGDtoCFS</f>
        <v>33.786479999999997</v>
      </c>
      <c r="AD160" s="563">
        <f>Sheet1!Z162*MGDtoCFS</f>
        <v>60.30205999999999</v>
      </c>
      <c r="AE160" s="563">
        <f>Sheet1!AA162*MGDtoCFS</f>
        <v>33.817419999999998</v>
      </c>
      <c r="AF160" s="563">
        <f>Sheet1!AB162*MGDtoCFS</f>
        <v>60.023599999999995</v>
      </c>
      <c r="AG160" s="563">
        <f>Sheet1!L162*MGDtoCFS</f>
        <v>0</v>
      </c>
      <c r="AH160" s="545">
        <f t="shared" si="277"/>
        <v>0</v>
      </c>
      <c r="AI160" s="560">
        <f t="shared" si="278"/>
        <v>0</v>
      </c>
      <c r="AJ160" s="560">
        <f t="shared" si="279"/>
        <v>55.109824922760041</v>
      </c>
      <c r="AK160" s="560">
        <f t="shared" si="280"/>
        <v>85.254899155509776</v>
      </c>
      <c r="AL160" s="560">
        <f>(VLOOKUP(Sheet1!DC162,hhdcap_wcm,4)-(((VLOOKUP(Sheet1!DC162,hhdcap_wcm,3)-Sheet1!DC162)/(VLOOKUP(Sheet1!DC162,hhdcap_wcm,3)-VLOOKUP(Sheet1!DC162,hhdcap_wcm,1)))*(VLOOKUP(Sheet1!DC162,hhdcap_wcm,4)-VLOOKUP(Sheet1!DC162,hhdcap_wcm,2))))</f>
        <v>49325.400000119233</v>
      </c>
      <c r="AM160" s="560">
        <f t="shared" si="281"/>
        <v>-79.800000000264845</v>
      </c>
      <c r="AN160" s="560">
        <f t="shared" si="282"/>
        <v>5520.7596793119128</v>
      </c>
      <c r="AO160" s="560">
        <f t="shared" si="283"/>
        <v>16937.69069612895</v>
      </c>
      <c r="AP160" s="560">
        <f>Sheet1!BA162+Sheet1!BB162+Sheet1!BN162+CD160</f>
        <v>29.3</v>
      </c>
      <c r="AQ160" s="560">
        <f>Sheet1!BN162+(DO160*Sheet1!BN162)</f>
        <v>27.671472708547885</v>
      </c>
      <c r="AR160" s="560">
        <f>Sheet1!BA162+CD160</f>
        <v>0</v>
      </c>
      <c r="AS160" s="560">
        <f>Sheet1!BA162+Sheet1!BB162+CD160</f>
        <v>1.6</v>
      </c>
      <c r="AT160" s="698">
        <f>0</f>
        <v>0</v>
      </c>
      <c r="AU160" s="560">
        <f>IF(EB160&lt;K160,0,MAX(Sheet1!AA162+AQ160-15/36*K160-N160,Sheet1!EH162,0))</f>
        <v>0</v>
      </c>
      <c r="AV160" s="560">
        <f>IF(OR(B160&gt;=GD160,B160&lt;GC160),0,15/36*K160-MAX(0,64.6-(137.6-(Sheet1!AA162+Sheet1!AB162))))</f>
        <v>26.933333333333334</v>
      </c>
      <c r="AW160" s="698">
        <f>Sheet1!DB162-110</f>
        <v>808</v>
      </c>
      <c r="AX160" s="698">
        <f>Sheet1!DA162-265</f>
        <v>995</v>
      </c>
      <c r="AY160" s="698">
        <f t="shared" si="284"/>
        <v>21.880000000000003</v>
      </c>
      <c r="AZ160" s="698">
        <v>0</v>
      </c>
      <c r="BA160" s="698">
        <f t="shared" si="285"/>
        <v>0</v>
      </c>
      <c r="BB160" s="560">
        <f t="shared" si="286"/>
        <v>2639.466666666669</v>
      </c>
      <c r="BC160" s="560"/>
      <c r="BD160" s="560">
        <f ca="1">IF(B160&gt;Summary!$A$1,#N/A,BB160*MGtoAF)</f>
        <v>8097.8837333333404</v>
      </c>
      <c r="BE160" s="560">
        <f>Sheet1!BG162+Sheet1!BH162+Sheet1!BI162-BM160</f>
        <v>0</v>
      </c>
      <c r="BF160" s="560">
        <f t="shared" si="287"/>
        <v>0</v>
      </c>
      <c r="BG160" s="560">
        <f>IF(Sheet1!EP162="FM",BM160,0)</f>
        <v>0</v>
      </c>
      <c r="BH160" s="560">
        <f t="shared" si="288"/>
        <v>0</v>
      </c>
      <c r="BI160" s="560">
        <f>IF(Sheet1!EP162="OTHER",BM160,0)</f>
        <v>0</v>
      </c>
      <c r="BJ160" s="560">
        <f t="shared" si="289"/>
        <v>0</v>
      </c>
      <c r="BK160" s="560">
        <f t="shared" si="290"/>
        <v>0</v>
      </c>
      <c r="BL160" s="560">
        <f t="shared" si="291"/>
        <v>0</v>
      </c>
      <c r="BM160" s="560">
        <f>IF(OR(Sheet1!EP162="FM", Sheet1!EP162="OTHER"),SUM(Sheet1!BG162:'Sheet1'!BI162),0)</f>
        <v>0</v>
      </c>
      <c r="BN160" s="545">
        <f>IF(AND($B160&gt;=$FV160,$B160&lt;=$FW160),MAX(BF160,Sheet1!EI162,0),MAX(BF160-(7/36)*$K160,0))</f>
        <v>0</v>
      </c>
      <c r="BO160" s="560">
        <f t="shared" si="292"/>
        <v>12.568888888888889</v>
      </c>
      <c r="BP160" s="545">
        <f t="shared" si="293"/>
        <v>0</v>
      </c>
      <c r="BQ160" s="545">
        <f>IF(AND($O160&gt;0,Sheet1!EM162=1),(1-($O160-Sheet1!$L162)/$O160)*BL160,0)</f>
        <v>0</v>
      </c>
      <c r="BR160" s="545">
        <f>IF(AND(Sheet1!$L162=0,Sheet1!$L161=0, Calculation!BK160&lt;Sheet1!$EI162-0.1,Sheet1!$EI162=Sheet1!$EI161,Sheet1!$EI162=Sheet1!$EI163),Sheet1!$EI162,BL160-BQ160)</f>
        <v>0</v>
      </c>
      <c r="BS160" s="560"/>
      <c r="BT160" s="560"/>
      <c r="BU160" s="560">
        <f t="shared" si="294"/>
        <v>1231.7511111111112</v>
      </c>
      <c r="BV160" s="560"/>
      <c r="BW160" s="560">
        <f ca="1">IF(B160&gt;Summary!$A$1,#N/A,BU160*MGtoAF)</f>
        <v>3779.0124088888892</v>
      </c>
      <c r="BX160" s="560">
        <f>Sheet1!BC162+Sheet1!BD162+Sheet1!BE162+Sheet1!BF162-CG160-CH160</f>
        <v>2.99</v>
      </c>
      <c r="BY160" s="560">
        <f t="shared" si="295"/>
        <v>2.9869207003089597</v>
      </c>
      <c r="BZ160" s="560">
        <f>IF(Sheet1!EQ162="FM",CH160,0)</f>
        <v>0</v>
      </c>
      <c r="CA160" s="560">
        <f t="shared" si="296"/>
        <v>0</v>
      </c>
      <c r="CB160" s="560">
        <f>IF(Sheet1!EQ162="OTHER",CH160,0)</f>
        <v>0</v>
      </c>
      <c r="CC160" s="560">
        <f t="shared" si="297"/>
        <v>0</v>
      </c>
      <c r="CD160" s="560">
        <f t="shared" si="298"/>
        <v>0</v>
      </c>
      <c r="CE160" s="560">
        <f t="shared" si="299"/>
        <v>2.99</v>
      </c>
      <c r="CF160" s="560">
        <f t="shared" si="300"/>
        <v>2.9869207003089597</v>
      </c>
      <c r="CG160" s="560">
        <f>IF(Sheet1!EQ162="CWA",SUM(Sheet1!BC162:'Sheet1'!BF162),0)</f>
        <v>0</v>
      </c>
      <c r="CH160" s="560">
        <f>IF(OR(Sheet1!EQ162="FM", Sheet1!EQ162="OTHER"),SUM(Sheet1!BC162:'Sheet1'!BF162),0)</f>
        <v>0</v>
      </c>
      <c r="CI160" s="545">
        <f>IF(AND($B160&gt;=$FV160,$B160&lt;=$FW160),MAX(CF160,Sheet1!EJ162,0),MAX(CF160-(7/36)*$K160,0))</f>
        <v>0</v>
      </c>
      <c r="CJ160" s="560">
        <f t="shared" si="301"/>
        <v>9.5819681885799284</v>
      </c>
      <c r="CK160" s="545">
        <f t="shared" si="302"/>
        <v>2.9869207003089597</v>
      </c>
      <c r="CL160" s="545">
        <f>IF(AND($O160&gt;0,Sheet1!EN162=1),(1-($O160-Sheet1!$L162)/$O160)*CF160,0)</f>
        <v>0</v>
      </c>
      <c r="CM160" s="545">
        <f>IF(AND(Sheet1!$L162=0,Sheet1!$L161=0, Calculation!CE160&lt;Sheet1!EJ162-0.1,Sheet1!EJ162=Sheet1!EJ161,Sheet1!EJ162=Sheet1!EJ163),Sheet1!EJ162,CF160-CL160)</f>
        <v>2.9869207003089597</v>
      </c>
      <c r="CN160" s="545"/>
      <c r="CO160" s="560"/>
      <c r="CP160" s="560">
        <f t="shared" si="303"/>
        <v>969.47238158671166</v>
      </c>
      <c r="CQ160" s="560"/>
      <c r="CR160" s="560">
        <f ca="1">IF(B160&gt;Summary!$A$1,#N/A,CP160*MGtoAF)</f>
        <v>2974.3412667080315</v>
      </c>
      <c r="CS160" s="560">
        <f>Sheet1!BK162+Sheet1!BL162+Sheet1!BM162-Sheet1!ER162-DA160</f>
        <v>6.5500000000000007</v>
      </c>
      <c r="CT160" s="560">
        <f t="shared" si="304"/>
        <v>6.5432543769309985</v>
      </c>
      <c r="CU160" s="560">
        <f>IF(Sheet1!ER162="FM",DA160,0)</f>
        <v>0</v>
      </c>
      <c r="CV160" s="560">
        <f t="shared" si="305"/>
        <v>0</v>
      </c>
      <c r="CW160" s="560">
        <f>IF(Sheet1!ER162="OTHER",DA160,0)</f>
        <v>0</v>
      </c>
      <c r="CX160" s="560">
        <f t="shared" si="306"/>
        <v>0</v>
      </c>
      <c r="CY160" s="560">
        <f t="shared" si="307"/>
        <v>6.5500000000000007</v>
      </c>
      <c r="CZ160" s="560">
        <f t="shared" si="308"/>
        <v>6.5432543769309985</v>
      </c>
      <c r="DA160" s="560">
        <f>IF(OR(Sheet1!ER162="FM", Sheet1!ER162="OTHER"),SUM(Sheet1!BK162:'Sheet1'!BM162),0)</f>
        <v>0</v>
      </c>
      <c r="DB160" s="545">
        <f>IF(AND($B160&gt;=$FV160,$B160&lt;=$FW160),MAX($CT160,Sheet1!EK162,0),MAX($CT160-(7/36)*$K160,0))</f>
        <v>0</v>
      </c>
      <c r="DC160" s="560">
        <f t="shared" si="309"/>
        <v>6.0256345119578905</v>
      </c>
      <c r="DD160" s="545">
        <f t="shared" si="310"/>
        <v>6.5432543769309985</v>
      </c>
      <c r="DE160" s="545">
        <f>IF(AND($O160&gt;0,Sheet1!EO162=1),(1-($O160-Sheet1!$L162)/$O160)*CZ160,0)</f>
        <v>0</v>
      </c>
      <c r="DF160" s="545">
        <f>IF(AND(Sheet1!$L162=0,Sheet1!$L161=0, Calculation!CY160&lt;Sheet1!$EK162-0.1,Sheet1!$EK162=Sheet1!$EK161,Sheet1!$EK162=Sheet1!$EK163),Sheet1!$EK162,CZ160-DE160)</f>
        <v>6.5432543769309985</v>
      </c>
      <c r="DG160" s="545"/>
      <c r="DH160" s="560">
        <f t="shared" si="311"/>
        <v>9.5400000000000009</v>
      </c>
      <c r="DI160" s="560">
        <f t="shared" si="312"/>
        <v>680.06951994742087</v>
      </c>
      <c r="DJ160" s="698">
        <f t="shared" si="313"/>
        <v>9.5301750772399583</v>
      </c>
      <c r="DK160" s="560">
        <f ca="1">IF(B160&gt;Summary!$A$1,#N/A,DI160*MGtoAF)</f>
        <v>2086.4532871986871</v>
      </c>
      <c r="DL160" s="698">
        <f t="shared" si="314"/>
        <v>9.5400000000000009</v>
      </c>
      <c r="DM160" s="560">
        <f t="shared" si="315"/>
        <v>38.840000000000003</v>
      </c>
      <c r="DN160" s="560">
        <f>Sheet1!AB162-DM160</f>
        <v>-4.0000000000006253E-2</v>
      </c>
      <c r="DO160" s="823">
        <f t="shared" si="316"/>
        <v>-1.0298661174048982E-3</v>
      </c>
      <c r="DP160" s="560">
        <f>(VLOOKUP(Sheet1!DC162,hhdcap_wcm,4)-(((VLOOKUP(Sheet1!DC162,hhdcap_wcm,3)-Sheet1!DC162)/(VLOOKUP(Sheet1!DC162,hhdcap_wcm,3)-VLOOKUP(Sheet1!DC162,hhdcap_wcm,1)))*(VLOOKUP(Sheet1!DC162,hhdcap_wcm,4)-VLOOKUP(Sheet1!DC162,hhdcap_wcm,2))))</f>
        <v>49325.400000119233</v>
      </c>
      <c r="DQ160" s="560">
        <f t="shared" si="317"/>
        <v>-79.800000000264845</v>
      </c>
      <c r="DR160" s="560">
        <f t="shared" si="318"/>
        <v>-40.242057488787104</v>
      </c>
      <c r="DS160" s="560">
        <f>Sheet1!EA162*AFtoMG</f>
        <v>0</v>
      </c>
      <c r="DT160" s="560">
        <f>Sheet1!EB162*AFtoMG</f>
        <v>0</v>
      </c>
      <c r="DU160" s="560">
        <f>Sheet1!EC162*AFtoMG</f>
        <v>0</v>
      </c>
      <c r="DV160" s="560">
        <f>Sheet1!ED162*AFtoMG</f>
        <v>0</v>
      </c>
      <c r="DW160" s="560">
        <f t="shared" si="319"/>
        <v>0</v>
      </c>
      <c r="DX160" s="560">
        <f t="shared" si="320"/>
        <v>0</v>
      </c>
      <c r="DY160" s="560">
        <f t="shared" si="321"/>
        <v>5520.7596793119128</v>
      </c>
      <c r="DZ160" s="560">
        <f t="shared" si="322"/>
        <v>16937.69069612895</v>
      </c>
      <c r="EA160" s="560"/>
      <c r="EB160" s="545">
        <f>IF(OR(B160&lt;FV160,B160&gt;FW160),(MIN(BF160+BY160+CT160+MAX(Sheet1!AA162+AQ160-73,0),K160)),0)</f>
        <v>9.5301750772399583</v>
      </c>
      <c r="EC160" s="560"/>
      <c r="ED160" s="560">
        <f t="shared" si="323"/>
        <v>9.5301750772399583</v>
      </c>
      <c r="EE160" s="560"/>
      <c r="EF160" s="560">
        <f>Sheet1!EH162+Sheet1!EI162+Sheet1!EJ162+Sheet1!EK162</f>
        <v>9.5400000000000009</v>
      </c>
      <c r="EG160" s="560"/>
      <c r="EH160" s="545">
        <f t="shared" si="324"/>
        <v>0</v>
      </c>
      <c r="EI160" s="560">
        <f>IF(Sheet1!ET162=1,SUM('Calculations II'!AT160:BA160)+'Calculations II'!BC160+Sheet1!BV162+'Calculations II'!BE160+AP160,SUM('Calculations II'!AT160:BA160)+'Calculations II'!BC160+Sheet1!BV162+'Calculations II'!BE160+AP160)</f>
        <v>57.398304000000003</v>
      </c>
      <c r="EJ160" s="560">
        <f>Sheet1!AA162+Sheet1!AB162+'Calculations II'!BC160</f>
        <v>60.66</v>
      </c>
      <c r="EK160" s="560"/>
      <c r="EL160" s="560"/>
      <c r="EM160" s="560">
        <f t="shared" si="325"/>
        <v>41788</v>
      </c>
      <c r="EN160" s="560">
        <f t="shared" si="326"/>
        <v>55.109824922760041</v>
      </c>
      <c r="EO160" s="560">
        <f t="shared" si="327"/>
        <v>85.254899155509776</v>
      </c>
      <c r="EP160" s="560">
        <v>0</v>
      </c>
      <c r="EQ160" s="560">
        <v>0</v>
      </c>
      <c r="ER160" s="560">
        <v>0</v>
      </c>
      <c r="ES160" s="545">
        <f t="shared" si="349"/>
        <v>0.41517240866231919</v>
      </c>
      <c r="ET160" s="560">
        <f>-(VLOOKUP(Sheet1!BQ162,Lookup!$O$4:$Q$262,2)-VLOOKUP(Sheet1!BQ161,Lookup!$O$4:$Q$262,2))/1000000</f>
        <v>0.2767837411483936</v>
      </c>
      <c r="EU160" s="560">
        <f>-(VLOOKUP(Sheet1!BR162,Lookup!$O$4:$Q$262,3)-VLOOKUP(Sheet1!BR161,Lookup!$O$4:$Q$262,3))/1000000</f>
        <v>0.13838866751392559</v>
      </c>
      <c r="EV160" s="560"/>
      <c r="EW160" s="560"/>
      <c r="EX160" s="560"/>
      <c r="EY160" s="560"/>
      <c r="EZ160" s="560"/>
      <c r="FA160" s="560"/>
      <c r="FB160" s="560"/>
      <c r="FC160" s="560"/>
      <c r="FD160" s="594" t="e">
        <f t="shared" si="328"/>
        <v>#N/A</v>
      </c>
      <c r="FE160" s="594" t="e">
        <f t="shared" si="329"/>
        <v>#N/A</v>
      </c>
      <c r="FF160" s="595" t="e">
        <f t="shared" si="330"/>
        <v>#N/A</v>
      </c>
      <c r="FG160" s="596" t="s">
        <v>692</v>
      </c>
      <c r="FH160" s="596" t="s">
        <v>692</v>
      </c>
      <c r="FI160" s="594" t="e">
        <v>#N/A</v>
      </c>
      <c r="FJ160" s="594" t="e">
        <v>#N/A</v>
      </c>
      <c r="FK160" s="560"/>
      <c r="FL160" s="560"/>
      <c r="FM160" s="560"/>
      <c r="FN160" s="560"/>
      <c r="FO160" s="560">
        <f>O160+((Sheet1!CS162)*GPMtoMGD)</f>
        <v>60.66</v>
      </c>
      <c r="FP160" s="560">
        <f>IF(Sheet1!AA162+AQ160&lt;=Calculation!N160,AQ160,Calculation!N160-Sheet1!AA162)</f>
        <v>27.671472708547885</v>
      </c>
      <c r="FQ160" s="560">
        <f>(Sheet1!BP162+Sheet1!BO162)/694.4</f>
        <v>1.4444124423963134</v>
      </c>
      <c r="FR160" s="560"/>
      <c r="FS160" s="560"/>
      <c r="FT160" s="560"/>
      <c r="FU160" s="560"/>
      <c r="FV160" s="695">
        <f t="shared" si="350"/>
        <v>41827</v>
      </c>
      <c r="FW160" s="695">
        <f t="shared" si="351"/>
        <v>41934</v>
      </c>
      <c r="FX160" s="560"/>
      <c r="FY160" s="560"/>
      <c r="FZ160" s="560"/>
      <c r="GA160" s="560"/>
      <c r="GB160" s="560" t="str">
        <f t="shared" si="352"/>
        <v>n</v>
      </c>
      <c r="GC160" s="564">
        <f t="shared" si="353"/>
        <v>41691</v>
      </c>
      <c r="GD160" s="695">
        <f t="shared" si="354"/>
        <v>41807</v>
      </c>
      <c r="GE160" s="560">
        <v>6518.9</v>
      </c>
      <c r="GF160" s="695">
        <f t="shared" si="355"/>
        <v>41808</v>
      </c>
      <c r="GG160" s="560">
        <f t="shared" si="374"/>
        <v>3259</v>
      </c>
      <c r="GH160" s="564">
        <f t="shared" si="356"/>
        <v>41934</v>
      </c>
      <c r="GJ160" s="545">
        <f t="shared" si="357"/>
        <v>0</v>
      </c>
      <c r="GK160" s="560" t="str">
        <f t="shared" si="331"/>
        <v/>
      </c>
      <c r="GL160" s="560">
        <f t="shared" si="358"/>
        <v>0</v>
      </c>
      <c r="GM160" s="560" t="str">
        <f t="shared" si="359"/>
        <v/>
      </c>
      <c r="GN160" s="560">
        <f>IF(GK160="P",Lookup!$M$12,IF(GK160="PP",Lookup!$M$13,IF(GK160="PPP",Lookup!$M$14,IF(GK160="T",Lookup!$M$15,IF(GK160="TP",Lookup!$M$16,IF(GK160="TPP",Lookup!$M$17,IF(GK160="TPPP",Lookup!$M$18,0)))))))*GJ160</f>
        <v>0</v>
      </c>
      <c r="GO160" s="560">
        <f t="shared" si="360"/>
        <v>0</v>
      </c>
      <c r="GP160" s="560">
        <f t="shared" si="332"/>
        <v>8097.8837333333404</v>
      </c>
      <c r="GQ160" s="560">
        <f t="shared" si="368"/>
        <v>2639.466666666669</v>
      </c>
      <c r="GR160" s="560"/>
      <c r="GS160" s="560">
        <f t="shared" si="361"/>
        <v>0</v>
      </c>
      <c r="GT160" s="560" t="str">
        <f t="shared" si="362"/>
        <v/>
      </c>
      <c r="GU160" s="560">
        <f>IF(GK160="P",Lookup!$N$12,IF(GK160="PP",Lookup!$N$13,IF(GK160="PPP",Lookup!$N$14,IF(GK160="T",Lookup!$N$15,IF(GK160="TP",Lookup!$N$16,IF(GK160="TPP",Lookup!$N$17,IF(GK160="TPPP",Lookup!$N$18,0)))))))*GJ160</f>
        <v>0</v>
      </c>
      <c r="GV160" s="560">
        <f t="shared" si="363"/>
        <v>0</v>
      </c>
      <c r="GW160" s="560">
        <f t="shared" si="333"/>
        <v>3779.0124088888892</v>
      </c>
      <c r="GX160" s="560">
        <f t="shared" si="369"/>
        <v>1231.7511111111112</v>
      </c>
      <c r="GY160" s="560"/>
      <c r="GZ160" s="560">
        <f t="shared" si="364"/>
        <v>0</v>
      </c>
      <c r="HA160" s="560" t="str">
        <f t="shared" si="365"/>
        <v/>
      </c>
      <c r="HB160" s="560">
        <f>IF(GK160="P",Lookup!$N$12,IF(GK160="PP",Lookup!$N$13,IF(GK160="PPP",Lookup!$N$14,IF(GK160="T",Lookup!$N$15,IF(GK160="TP",Lookup!$N$16,IF(GK160="TPP",Lookup!$N$17,IF(GK160="TPPP",Lookup!$N$18,0)))))))*GJ160</f>
        <v>0</v>
      </c>
      <c r="HC160" s="545">
        <f t="shared" si="334"/>
        <v>0</v>
      </c>
      <c r="HD160" s="560">
        <f t="shared" si="335"/>
        <v>2974.3412667080315</v>
      </c>
      <c r="HE160" s="560">
        <f t="shared" si="370"/>
        <v>969.47238158671166</v>
      </c>
      <c r="HF160" s="560"/>
      <c r="HG160" s="560">
        <f t="shared" si="366"/>
        <v>0</v>
      </c>
      <c r="HH160" s="560" t="str">
        <f t="shared" si="367"/>
        <v/>
      </c>
      <c r="HI160" s="560">
        <f>IF(GK160="P",Lookup!$N$12,IF(GK160="PP",Lookup!$N$13,IF(GK160="PPP",Lookup!$N$14,IF(GK160="T",Lookup!$N$15,IF(GK160="TP",Lookup!$N$16,IF(GK160="TPP",Lookup!$N$17,IF(GK160="TPPP",Lookup!$N$18,0)))))))*GJ160</f>
        <v>0</v>
      </c>
      <c r="HJ160" s="545">
        <f t="shared" si="336"/>
        <v>0</v>
      </c>
      <c r="HK160" s="560">
        <f t="shared" si="337"/>
        <v>2086.4532871986871</v>
      </c>
      <c r="HL160" s="560">
        <f t="shared" si="371"/>
        <v>680.06951994742087</v>
      </c>
      <c r="HM160" s="560"/>
    </row>
    <row r="161" spans="1:221">
      <c r="A161" s="580" t="s">
        <v>8</v>
      </c>
      <c r="B161" s="556">
        <v>41789</v>
      </c>
      <c r="C161" s="561">
        <v>0</v>
      </c>
      <c r="D161" s="529">
        <f t="shared" si="372"/>
        <v>300</v>
      </c>
      <c r="E161" s="529">
        <f t="shared" si="373"/>
        <v>250</v>
      </c>
      <c r="F161" s="529">
        <v>250</v>
      </c>
      <c r="G161" s="560">
        <f>DR161+Sheet1!CZ163</f>
        <v>821.251134644481</v>
      </c>
      <c r="H161" s="914">
        <f t="shared" si="338"/>
        <v>263.89353343419253</v>
      </c>
      <c r="I161" s="559">
        <f>MAX(Sheet1!Z163-AT161+(Sheet1!DA163-E161)*CFStoMGD,0)</f>
        <v>594.70399999999995</v>
      </c>
      <c r="J161" s="562">
        <f>IF(AND(B161&gt;=Calculation!GC161,B161&lt;=Calculation!GD161),IF(Sheet1!DB163&gt;=Calculation!D161,64.64,0),MAX(Sheet1!Z163-AT161+(Sheet1!DB163-D161)*CFStoMGD,0))</f>
        <v>64.64</v>
      </c>
      <c r="K161" s="904">
        <f t="shared" si="273"/>
        <v>64.64</v>
      </c>
      <c r="L161" s="560">
        <f>Sheet1!AA163+Sheet1!AB163-Sheet1!L163+(Sheet1!DA163-F161)*CFStoMGD</f>
        <v>618.80399999999997</v>
      </c>
      <c r="M161" s="560">
        <f t="shared" si="274"/>
        <v>541.47386810287639</v>
      </c>
      <c r="N161" s="910">
        <f>IF(Sheet1!DA163&gt;=F161,MIN(73,MIN(MAX(L161,0),MAX(M161,0))),0)</f>
        <v>73</v>
      </c>
      <c r="O161" s="563">
        <f>Sheet1!AA163+Sheet1!AB163</f>
        <v>62.900000000000006</v>
      </c>
      <c r="P161" s="563">
        <f t="shared" si="275"/>
        <v>97.306299999999993</v>
      </c>
      <c r="Q161" s="898">
        <f t="shared" si="339"/>
        <v>53.660000000000004</v>
      </c>
      <c r="R161" s="829">
        <f t="shared" si="276"/>
        <v>9.2078528827037776</v>
      </c>
      <c r="S161" s="898">
        <f t="shared" si="340"/>
        <v>9.24</v>
      </c>
      <c r="T161" s="898">
        <f t="shared" si="341"/>
        <v>55.4</v>
      </c>
      <c r="U161" s="898">
        <f t="shared" si="342"/>
        <v>0</v>
      </c>
      <c r="V161" s="898"/>
      <c r="W161" s="898">
        <f t="shared" si="343"/>
        <v>55.432147117296225</v>
      </c>
      <c r="X161" s="898">
        <f t="shared" si="344"/>
        <v>64.64</v>
      </c>
      <c r="Y161" s="898" t="str">
        <f t="shared" si="345"/>
        <v>FALSE</v>
      </c>
      <c r="Z161" s="898">
        <f t="shared" si="346"/>
        <v>62.900000000000006</v>
      </c>
      <c r="AA161" s="898">
        <f t="shared" si="347"/>
        <v>62.900000000000006</v>
      </c>
      <c r="AB161" s="898" t="str">
        <f t="shared" si="348"/>
        <v/>
      </c>
      <c r="AC161" s="563">
        <f>Sheet1!Y163*MGDtoCFS</f>
        <v>33.817419999999998</v>
      </c>
      <c r="AD161" s="563">
        <f>Sheet1!Z163*MGDtoCFS</f>
        <v>60.023599999999995</v>
      </c>
      <c r="AE161" s="563">
        <f>Sheet1!AA163*MGDtoCFS</f>
        <v>35.271599999999999</v>
      </c>
      <c r="AF161" s="563">
        <f>Sheet1!AB163*MGDtoCFS</f>
        <v>62.034700000000001</v>
      </c>
      <c r="AG161" s="563">
        <f>Sheet1!L163*MGDtoCFS</f>
        <v>0</v>
      </c>
      <c r="AH161" s="545">
        <f t="shared" si="277"/>
        <v>0</v>
      </c>
      <c r="AI161" s="560">
        <f t="shared" si="278"/>
        <v>0</v>
      </c>
      <c r="AJ161" s="560">
        <f t="shared" si="279"/>
        <v>55.432147117296225</v>
      </c>
      <c r="AK161" s="560">
        <f t="shared" si="280"/>
        <v>85.753531590457257</v>
      </c>
      <c r="AL161" s="560">
        <f>(VLOOKUP(Sheet1!DC163,hhdcap_wcm,4)-(((VLOOKUP(Sheet1!DC163,hhdcap_wcm,3)-Sheet1!DC163)/(VLOOKUP(Sheet1!DC163,hhdcap_wcm,3)-VLOOKUP(Sheet1!DC163,hhdcap_wcm,1)))*(VLOOKUP(Sheet1!DC163,hhdcap_wcm,4)-VLOOKUP(Sheet1!DC163,hhdcap_wcm,2))))</f>
        <v>49314.000000119238</v>
      </c>
      <c r="AM161" s="560">
        <f t="shared" si="281"/>
        <v>-11.399999999994179</v>
      </c>
      <c r="AN161" s="560">
        <f t="shared" si="282"/>
        <v>5576.191826429209</v>
      </c>
      <c r="AO161" s="560">
        <f t="shared" si="283"/>
        <v>17107.756523484812</v>
      </c>
      <c r="AP161" s="560">
        <f>Sheet1!BA163+Sheet1!BB163+Sheet1!BN163+CD161</f>
        <v>31</v>
      </c>
      <c r="AQ161" s="560">
        <f>Sheet1!BN163+(DO161*Sheet1!BN163)</f>
        <v>29.297713717693835</v>
      </c>
      <c r="AR161" s="560">
        <f>Sheet1!BA163+CD161</f>
        <v>0</v>
      </c>
      <c r="AS161" s="560">
        <f>Sheet1!BA163+Sheet1!BB163+CD161</f>
        <v>1.6</v>
      </c>
      <c r="AT161" s="698">
        <f>0</f>
        <v>0</v>
      </c>
      <c r="AU161" s="560">
        <f>IF(EB161&lt;K161,0,MAX(Sheet1!AA163+AQ161-15/36*K161-N161,Sheet1!EH163,0))</f>
        <v>0</v>
      </c>
      <c r="AV161" s="560">
        <f>IF(OR(B161&gt;=GD161,B161&lt;GC161),0,15/36*K161-MAX(0,64.6-(137.6-(Sheet1!AA163+Sheet1!AB163))))</f>
        <v>26.933333333333334</v>
      </c>
      <c r="AW161" s="698">
        <f>Sheet1!DB163-110</f>
        <v>662</v>
      </c>
      <c r="AX161" s="698">
        <f>Sheet1!DA163-265</f>
        <v>845</v>
      </c>
      <c r="AY161" s="698">
        <f t="shared" si="284"/>
        <v>19.339999999999996</v>
      </c>
      <c r="AZ161" s="698">
        <v>0</v>
      </c>
      <c r="BA161" s="698">
        <f t="shared" si="285"/>
        <v>0</v>
      </c>
      <c r="BB161" s="560">
        <f t="shared" si="286"/>
        <v>2666.4000000000024</v>
      </c>
      <c r="BC161" s="560"/>
      <c r="BD161" s="560">
        <f ca="1">IF(B161&gt;Summary!$A$1,#N/A,BB161*MGtoAF)</f>
        <v>8180.5152000000071</v>
      </c>
      <c r="BE161" s="560">
        <f>Sheet1!BG163+Sheet1!BH163+Sheet1!BI163-BM161</f>
        <v>0</v>
      </c>
      <c r="BF161" s="560">
        <f t="shared" si="287"/>
        <v>0</v>
      </c>
      <c r="BG161" s="560">
        <f>IF(Sheet1!EP163="FM",BM161,0)</f>
        <v>0</v>
      </c>
      <c r="BH161" s="560">
        <f t="shared" si="288"/>
        <v>0</v>
      </c>
      <c r="BI161" s="560">
        <f>IF(Sheet1!EP163="OTHER",BM161,0)</f>
        <v>0</v>
      </c>
      <c r="BJ161" s="560">
        <f t="shared" si="289"/>
        <v>0</v>
      </c>
      <c r="BK161" s="560">
        <f t="shared" si="290"/>
        <v>0</v>
      </c>
      <c r="BL161" s="560">
        <f t="shared" si="291"/>
        <v>0</v>
      </c>
      <c r="BM161" s="560">
        <f>IF(OR(Sheet1!EP163="FM", Sheet1!EP163="OTHER"),SUM(Sheet1!BG163:'Sheet1'!BI163),0)</f>
        <v>0</v>
      </c>
      <c r="BN161" s="545">
        <f>IF(AND($B161&gt;=$FV161,$B161&lt;=$FW161),MAX(BF161,Sheet1!EI163,0),MAX(BF161-(7/36)*$K161,0))</f>
        <v>0</v>
      </c>
      <c r="BO161" s="560">
        <f t="shared" si="292"/>
        <v>12.568888888888889</v>
      </c>
      <c r="BP161" s="545">
        <f t="shared" si="293"/>
        <v>0</v>
      </c>
      <c r="BQ161" s="545">
        <f>IF(AND($O161&gt;0,Sheet1!EM163=1),(1-($O161-Sheet1!$L163)/$O161)*BL161,0)</f>
        <v>0</v>
      </c>
      <c r="BR161" s="545">
        <f>IF(AND(Sheet1!$L163=0,Sheet1!$L162=0, Calculation!BK161&lt;Sheet1!$EI163-0.1,Sheet1!$EI163=Sheet1!$EI162,Sheet1!$EI163=Sheet1!$EI164),Sheet1!$EI163,BL161-BQ161)</f>
        <v>0</v>
      </c>
      <c r="BS161" s="560"/>
      <c r="BT161" s="560"/>
      <c r="BU161" s="560">
        <f t="shared" si="294"/>
        <v>1244.3200000000002</v>
      </c>
      <c r="BV161" s="560"/>
      <c r="BW161" s="560">
        <f ca="1">IF(B161&gt;Summary!$A$1,#N/A,BU161*MGtoAF)</f>
        <v>3817.5737600000007</v>
      </c>
      <c r="BX161" s="560">
        <f>Sheet1!BC163+Sheet1!BD163+Sheet1!BE163+Sheet1!BF163-CG161-CH161</f>
        <v>2.3499999999999996</v>
      </c>
      <c r="BY161" s="560">
        <f t="shared" si="295"/>
        <v>2.3418240556660037</v>
      </c>
      <c r="BZ161" s="560">
        <f>IF(Sheet1!EQ163="FM",CH161,0)</f>
        <v>0</v>
      </c>
      <c r="CA161" s="560">
        <f t="shared" si="296"/>
        <v>0</v>
      </c>
      <c r="CB161" s="560">
        <f>IF(Sheet1!EQ163="OTHER",CH161,0)</f>
        <v>0</v>
      </c>
      <c r="CC161" s="560">
        <f t="shared" si="297"/>
        <v>0</v>
      </c>
      <c r="CD161" s="560">
        <f t="shared" si="298"/>
        <v>0</v>
      </c>
      <c r="CE161" s="560">
        <f t="shared" si="299"/>
        <v>2.3499999999999996</v>
      </c>
      <c r="CF161" s="560">
        <f t="shared" si="300"/>
        <v>2.3418240556660037</v>
      </c>
      <c r="CG161" s="560">
        <f>IF(Sheet1!EQ163="CWA",SUM(Sheet1!BC163:'Sheet1'!BF163),0)</f>
        <v>0</v>
      </c>
      <c r="CH161" s="560">
        <f>IF(OR(Sheet1!EQ163="FM", Sheet1!EQ163="OTHER"),SUM(Sheet1!BC163:'Sheet1'!BF163),0)</f>
        <v>0</v>
      </c>
      <c r="CI161" s="545">
        <f>IF(AND($B161&gt;=$FV161,$B161&lt;=$FW161),MAX(CF161,Sheet1!EJ163,0),MAX(CF161-(7/36)*$K161,0))</f>
        <v>0</v>
      </c>
      <c r="CJ161" s="560">
        <f t="shared" si="301"/>
        <v>10.227064833222885</v>
      </c>
      <c r="CK161" s="545">
        <f t="shared" si="302"/>
        <v>2.3418240556660037</v>
      </c>
      <c r="CL161" s="545">
        <f>IF(AND($O161&gt;0,Sheet1!EN163=1),(1-($O161-Sheet1!$L163)/$O161)*CF161,0)</f>
        <v>0</v>
      </c>
      <c r="CM161" s="545">
        <f>IF(AND(Sheet1!$L163=0,Sheet1!$L162=0, Calculation!CE161&lt;Sheet1!EJ163-0.1,Sheet1!EJ163=Sheet1!EJ162,Sheet1!EJ163=Sheet1!EJ164),Sheet1!EJ163,CF161-CL161)</f>
        <v>2.3418240556660037</v>
      </c>
      <c r="CN161" s="545"/>
      <c r="CO161" s="560"/>
      <c r="CP161" s="560">
        <f t="shared" si="303"/>
        <v>979.69944641993459</v>
      </c>
      <c r="CQ161" s="560"/>
      <c r="CR161" s="560">
        <f ca="1">IF(B161&gt;Summary!$A$1,#N/A,CP161*MGtoAF)</f>
        <v>3005.7179016163595</v>
      </c>
      <c r="CS161" s="560">
        <f>Sheet1!BK163+Sheet1!BL163+Sheet1!BM163-Sheet1!ER163-DA161</f>
        <v>6.8900000000000006</v>
      </c>
      <c r="CT161" s="560">
        <f t="shared" si="304"/>
        <v>6.8660288270377734</v>
      </c>
      <c r="CU161" s="560">
        <f>IF(Sheet1!ER163="FM",DA161,0)</f>
        <v>0</v>
      </c>
      <c r="CV161" s="560">
        <f t="shared" si="305"/>
        <v>0</v>
      </c>
      <c r="CW161" s="560">
        <f>IF(Sheet1!ER163="OTHER",DA161,0)</f>
        <v>0</v>
      </c>
      <c r="CX161" s="560">
        <f t="shared" si="306"/>
        <v>0</v>
      </c>
      <c r="CY161" s="560">
        <f t="shared" si="307"/>
        <v>6.8900000000000006</v>
      </c>
      <c r="CZ161" s="560">
        <f t="shared" si="308"/>
        <v>6.8660288270377734</v>
      </c>
      <c r="DA161" s="560">
        <f>IF(OR(Sheet1!ER163="FM", Sheet1!ER163="OTHER"),SUM(Sheet1!BK163:'Sheet1'!BM163),0)</f>
        <v>0</v>
      </c>
      <c r="DB161" s="545">
        <f>IF(AND($B161&gt;=$FV161,$B161&lt;=$FW161),MAX($CT161,Sheet1!EK163,0),MAX($CT161-(7/36)*$K161,0))</f>
        <v>0</v>
      </c>
      <c r="DC161" s="560">
        <f t="shared" si="309"/>
        <v>5.7028600618511156</v>
      </c>
      <c r="DD161" s="545">
        <f t="shared" si="310"/>
        <v>6.8660288270377734</v>
      </c>
      <c r="DE161" s="545">
        <f>IF(AND($O161&gt;0,Sheet1!EO163=1),(1-($O161-Sheet1!$L163)/$O161)*CZ161,0)</f>
        <v>0</v>
      </c>
      <c r="DF161" s="545">
        <f>IF(AND(Sheet1!$L163=0,Sheet1!$L162=0, Calculation!CY161&lt;Sheet1!$EK163-0.1,Sheet1!$EK163=Sheet1!$EK162,Sheet1!$EK163=Sheet1!$EK164),Sheet1!$EK163,CZ161-DE161)</f>
        <v>6.8660288270377734</v>
      </c>
      <c r="DG161" s="545"/>
      <c r="DH161" s="560">
        <f t="shared" si="311"/>
        <v>9.24</v>
      </c>
      <c r="DI161" s="560">
        <f t="shared" si="312"/>
        <v>685.77238000927196</v>
      </c>
      <c r="DJ161" s="698">
        <f t="shared" si="313"/>
        <v>9.2078528827037776</v>
      </c>
      <c r="DK161" s="560">
        <f ca="1">IF(B161&gt;Summary!$A$1,#N/A,DI161*MGtoAF)</f>
        <v>2103.9496618684466</v>
      </c>
      <c r="DL161" s="698">
        <f t="shared" si="314"/>
        <v>9.24</v>
      </c>
      <c r="DM161" s="560">
        <f t="shared" si="315"/>
        <v>40.24</v>
      </c>
      <c r="DN161" s="560">
        <f>Sheet1!AB163-DM161</f>
        <v>-0.14000000000000057</v>
      </c>
      <c r="DO161" s="823">
        <f t="shared" si="316"/>
        <v>-3.4791252485089604E-3</v>
      </c>
      <c r="DP161" s="560">
        <f>(VLOOKUP(Sheet1!DC163,hhdcap_wcm,4)-(((VLOOKUP(Sheet1!DC163,hhdcap_wcm,3)-Sheet1!DC163)/(VLOOKUP(Sheet1!DC163,hhdcap_wcm,3)-VLOOKUP(Sheet1!DC163,hhdcap_wcm,1)))*(VLOOKUP(Sheet1!DC163,hhdcap_wcm,4)-VLOOKUP(Sheet1!DC163,hhdcap_wcm,2))))</f>
        <v>49314.000000119238</v>
      </c>
      <c r="DQ161" s="560">
        <f t="shared" si="317"/>
        <v>-11.399999999994179</v>
      </c>
      <c r="DR161" s="560">
        <f t="shared" si="318"/>
        <v>-5.7488653555190004</v>
      </c>
      <c r="DS161" s="560">
        <f>Sheet1!EA163*AFtoMG</f>
        <v>0</v>
      </c>
      <c r="DT161" s="560">
        <f>Sheet1!EB163*AFtoMG</f>
        <v>0</v>
      </c>
      <c r="DU161" s="560">
        <f>Sheet1!EC163*AFtoMG</f>
        <v>0</v>
      </c>
      <c r="DV161" s="560">
        <f>Sheet1!ED163*AFtoMG</f>
        <v>0</v>
      </c>
      <c r="DW161" s="560">
        <f t="shared" si="319"/>
        <v>0</v>
      </c>
      <c r="DX161" s="560">
        <f t="shared" si="320"/>
        <v>0</v>
      </c>
      <c r="DY161" s="560">
        <f t="shared" si="321"/>
        <v>5576.191826429209</v>
      </c>
      <c r="DZ161" s="560">
        <f t="shared" si="322"/>
        <v>17107.756523484812</v>
      </c>
      <c r="EA161" s="560"/>
      <c r="EB161" s="545">
        <f>IF(OR(B161&lt;FV161,B161&gt;FW161),(MIN(BF161+BY161+CT161+MAX(Sheet1!AA163+AQ161-73,0),K161)),0)</f>
        <v>9.2078528827037776</v>
      </c>
      <c r="EC161" s="560"/>
      <c r="ED161" s="560">
        <f t="shared" si="323"/>
        <v>9.2078528827037776</v>
      </c>
      <c r="EE161" s="560"/>
      <c r="EF161" s="560">
        <f>Sheet1!EH163+Sheet1!EI163+Sheet1!EJ163+Sheet1!EK163</f>
        <v>9.24</v>
      </c>
      <c r="EG161" s="560"/>
      <c r="EH161" s="545">
        <f t="shared" si="324"/>
        <v>0</v>
      </c>
      <c r="EI161" s="560">
        <f>IF(Sheet1!ET163=1,SUM('Calculations II'!AT161:BA161)+'Calculations II'!BC161+Sheet1!BV163+'Calculations II'!BE161+AP161,SUM('Calculations II'!AT161:BA161)+'Calculations II'!BC161+Sheet1!BV163+'Calculations II'!BE161+AP161)</f>
        <v>62.123200000000004</v>
      </c>
      <c r="EJ161" s="560">
        <f>Sheet1!AA163+Sheet1!AB163+'Calculations II'!BC161</f>
        <v>62.900000000000006</v>
      </c>
      <c r="EK161" s="560"/>
      <c r="EL161" s="560"/>
      <c r="EM161" s="560">
        <f t="shared" si="325"/>
        <v>41789</v>
      </c>
      <c r="EN161" s="560">
        <f t="shared" si="326"/>
        <v>55.432147117296225</v>
      </c>
      <c r="EO161" s="560">
        <f t="shared" si="327"/>
        <v>85.753531590457257</v>
      </c>
      <c r="EP161" s="560">
        <v>0</v>
      </c>
      <c r="EQ161" s="560">
        <v>0</v>
      </c>
      <c r="ER161" s="560">
        <v>0</v>
      </c>
      <c r="ES161" s="545">
        <f t="shared" si="349"/>
        <v>2.3520884940959101</v>
      </c>
      <c r="ET161" s="560">
        <f>-(VLOOKUP(Sheet1!BQ163,Lookup!$O$4:$Q$262,2)-VLOOKUP(Sheet1!BQ162,Lookup!$O$4:$Q$262,2))/1000000</f>
        <v>1.1068787375079281</v>
      </c>
      <c r="EU161" s="560">
        <f>-(VLOOKUP(Sheet1!BR163,Lookup!$O$4:$Q$262,3)-VLOOKUP(Sheet1!BR162,Lookup!$O$4:$Q$262,3))/1000000</f>
        <v>1.2452097565879823</v>
      </c>
      <c r="EV161" s="560"/>
      <c r="EW161" s="560"/>
      <c r="EX161" s="560"/>
      <c r="EY161" s="560"/>
      <c r="EZ161" s="560"/>
      <c r="FA161" s="560"/>
      <c r="FB161" s="560"/>
      <c r="FC161" s="560"/>
      <c r="FD161" s="594" t="e">
        <f t="shared" si="328"/>
        <v>#N/A</v>
      </c>
      <c r="FE161" s="594" t="e">
        <f t="shared" si="329"/>
        <v>#N/A</v>
      </c>
      <c r="FF161" s="595" t="e">
        <f t="shared" si="330"/>
        <v>#N/A</v>
      </c>
      <c r="FG161" s="596" t="s">
        <v>692</v>
      </c>
      <c r="FH161" s="596" t="s">
        <v>692</v>
      </c>
      <c r="FI161" s="594" t="e">
        <v>#N/A</v>
      </c>
      <c r="FJ161" s="594" t="e">
        <v>#N/A</v>
      </c>
      <c r="FK161" s="560"/>
      <c r="FL161" s="560"/>
      <c r="FM161" s="560"/>
      <c r="FN161" s="560"/>
      <c r="FO161" s="560">
        <f>O161+((Sheet1!CS163)*GPMtoMGD)</f>
        <v>62.900000000000006</v>
      </c>
      <c r="FP161" s="560">
        <f>IF(Sheet1!AA163+AQ161&lt;=Calculation!N161,AQ161,Calculation!N161-Sheet1!AA163)</f>
        <v>29.297713717693835</v>
      </c>
      <c r="FQ161" s="560">
        <f>(Sheet1!BP163+Sheet1!BO163)/694.4</f>
        <v>2.4095622119815672</v>
      </c>
      <c r="FR161" s="560"/>
      <c r="FS161" s="560"/>
      <c r="FT161" s="560"/>
      <c r="FU161" s="560"/>
      <c r="FV161" s="695">
        <f t="shared" si="350"/>
        <v>41827</v>
      </c>
      <c r="FW161" s="695">
        <f t="shared" si="351"/>
        <v>41934</v>
      </c>
      <c r="FX161" s="560"/>
      <c r="FY161" s="560"/>
      <c r="FZ161" s="560"/>
      <c r="GA161" s="560"/>
      <c r="GB161" s="560" t="str">
        <f t="shared" si="352"/>
        <v>n</v>
      </c>
      <c r="GC161" s="564">
        <f t="shared" si="353"/>
        <v>41691</v>
      </c>
      <c r="GD161" s="695">
        <f t="shared" si="354"/>
        <v>41807</v>
      </c>
      <c r="GE161" s="560">
        <v>6518.9</v>
      </c>
      <c r="GF161" s="695">
        <f t="shared" si="355"/>
        <v>41808</v>
      </c>
      <c r="GG161" s="560">
        <f t="shared" si="374"/>
        <v>3259</v>
      </c>
      <c r="GH161" s="564">
        <f t="shared" si="356"/>
        <v>41934</v>
      </c>
      <c r="GJ161" s="545">
        <f t="shared" si="357"/>
        <v>0</v>
      </c>
      <c r="GK161" s="560" t="str">
        <f t="shared" si="331"/>
        <v/>
      </c>
      <c r="GL161" s="560">
        <f t="shared" si="358"/>
        <v>0</v>
      </c>
      <c r="GM161" s="560" t="str">
        <f t="shared" si="359"/>
        <v/>
      </c>
      <c r="GN161" s="560">
        <f>IF(GK161="P",Lookup!$M$12,IF(GK161="PP",Lookup!$M$13,IF(GK161="PPP",Lookup!$M$14,IF(GK161="T",Lookup!$M$15,IF(GK161="TP",Lookup!$M$16,IF(GK161="TPP",Lookup!$M$17,IF(GK161="TPPP",Lookup!$M$18,0)))))))*GJ161</f>
        <v>0</v>
      </c>
      <c r="GO161" s="560">
        <f t="shared" si="360"/>
        <v>0</v>
      </c>
      <c r="GP161" s="560">
        <f t="shared" si="332"/>
        <v>8180.5152000000071</v>
      </c>
      <c r="GQ161" s="560">
        <f t="shared" si="368"/>
        <v>2666.4000000000024</v>
      </c>
      <c r="GR161" s="560"/>
      <c r="GS161" s="560">
        <f t="shared" si="361"/>
        <v>0</v>
      </c>
      <c r="GT161" s="560" t="str">
        <f t="shared" si="362"/>
        <v/>
      </c>
      <c r="GU161" s="560">
        <f>IF(GK161="P",Lookup!$N$12,IF(GK161="PP",Lookup!$N$13,IF(GK161="PPP",Lookup!$N$14,IF(GK161="T",Lookup!$N$15,IF(GK161="TP",Lookup!$N$16,IF(GK161="TPP",Lookup!$N$17,IF(GK161="TPPP",Lookup!$N$18,0)))))))*GJ161</f>
        <v>0</v>
      </c>
      <c r="GV161" s="560">
        <f t="shared" si="363"/>
        <v>0</v>
      </c>
      <c r="GW161" s="560">
        <f t="shared" si="333"/>
        <v>3817.5737600000007</v>
      </c>
      <c r="GX161" s="560">
        <f t="shared" si="369"/>
        <v>1244.3200000000002</v>
      </c>
      <c r="GY161" s="560"/>
      <c r="GZ161" s="560">
        <f t="shared" si="364"/>
        <v>0</v>
      </c>
      <c r="HA161" s="560" t="str">
        <f t="shared" si="365"/>
        <v/>
      </c>
      <c r="HB161" s="560">
        <f>IF(GK161="P",Lookup!$N$12,IF(GK161="PP",Lookup!$N$13,IF(GK161="PPP",Lookup!$N$14,IF(GK161="T",Lookup!$N$15,IF(GK161="TP",Lookup!$N$16,IF(GK161="TPP",Lookup!$N$17,IF(GK161="TPPP",Lookup!$N$18,0)))))))*GJ161</f>
        <v>0</v>
      </c>
      <c r="HC161" s="545">
        <f t="shared" si="334"/>
        <v>0</v>
      </c>
      <c r="HD161" s="560">
        <f t="shared" si="335"/>
        <v>3005.7179016163595</v>
      </c>
      <c r="HE161" s="560">
        <f t="shared" si="370"/>
        <v>979.69944641993459</v>
      </c>
      <c r="HF161" s="560"/>
      <c r="HG161" s="560">
        <f t="shared" si="366"/>
        <v>0</v>
      </c>
      <c r="HH161" s="560" t="str">
        <f t="shared" si="367"/>
        <v/>
      </c>
      <c r="HI161" s="560">
        <f>IF(GK161="P",Lookup!$N$12,IF(GK161="PP",Lookup!$N$13,IF(GK161="PPP",Lookup!$N$14,IF(GK161="T",Lookup!$N$15,IF(GK161="TP",Lookup!$N$16,IF(GK161="TPP",Lookup!$N$17,IF(GK161="TPPP",Lookup!$N$18,0)))))))*GJ161</f>
        <v>0</v>
      </c>
      <c r="HJ161" s="545">
        <f t="shared" si="336"/>
        <v>0</v>
      </c>
      <c r="HK161" s="560">
        <f t="shared" si="337"/>
        <v>2103.9496618684466</v>
      </c>
      <c r="HL161" s="560">
        <f t="shared" si="371"/>
        <v>685.77238000927196</v>
      </c>
      <c r="HM161" s="560"/>
    </row>
    <row r="162" spans="1:221">
      <c r="A162" s="580" t="s">
        <v>9</v>
      </c>
      <c r="B162" s="556">
        <v>41790</v>
      </c>
      <c r="C162" s="561">
        <v>0</v>
      </c>
      <c r="D162" s="529">
        <f t="shared" si="372"/>
        <v>300</v>
      </c>
      <c r="E162" s="529">
        <f t="shared" si="373"/>
        <v>250</v>
      </c>
      <c r="F162" s="529">
        <v>250</v>
      </c>
      <c r="G162" s="560">
        <f>DR162+Sheet1!CZ164</f>
        <v>867.24205748865131</v>
      </c>
      <c r="H162" s="914">
        <f t="shared" si="338"/>
        <v>293.6220659606642</v>
      </c>
      <c r="I162" s="559">
        <f>MAX(Sheet1!Z164-AT162+(Sheet1!DA164-E162)*CFStoMGD,0)</f>
        <v>544.29200000000003</v>
      </c>
      <c r="J162" s="562">
        <f>IF(AND(B162&gt;=Calculation!GC162,B162&lt;=Calculation!GD162),IF(Sheet1!DB164&gt;=Calculation!D162,64.64,0),MAX(Sheet1!Z164-AT162+(Sheet1!DB164-D162)*CFStoMGD,0))</f>
        <v>64.64</v>
      </c>
      <c r="K162" s="904">
        <f t="shared" si="273"/>
        <v>64.64</v>
      </c>
      <c r="L162" s="560">
        <f>Sheet1!AA164+Sheet1!AB164-Sheet1!L164+(Sheet1!DA164-F162)*CFStoMGD</f>
        <v>569.87200000000007</v>
      </c>
      <c r="M162" s="560">
        <f t="shared" si="274"/>
        <v>571.79697127987754</v>
      </c>
      <c r="N162" s="910">
        <f>IF(Sheet1!DA164&gt;=F162,MIN(73,MIN(MAX(L162,0),MAX(M162,0))),0)</f>
        <v>73</v>
      </c>
      <c r="O162" s="563">
        <f>Sheet1!AA164+Sheet1!AB164</f>
        <v>65.680000000000007</v>
      </c>
      <c r="P162" s="563">
        <f t="shared" si="275"/>
        <v>101.60696</v>
      </c>
      <c r="Q162" s="898">
        <f t="shared" si="339"/>
        <v>56.610000000000007</v>
      </c>
      <c r="R162" s="829">
        <f t="shared" si="276"/>
        <v>9.0721508181171444</v>
      </c>
      <c r="S162" s="898">
        <f t="shared" si="340"/>
        <v>9.07</v>
      </c>
      <c r="T162" s="898">
        <f t="shared" si="341"/>
        <v>55.57</v>
      </c>
      <c r="U162" s="898">
        <f t="shared" si="342"/>
        <v>0</v>
      </c>
      <c r="V162" s="898"/>
      <c r="W162" s="898">
        <f t="shared" si="343"/>
        <v>55.567849181882856</v>
      </c>
      <c r="X162" s="898">
        <f t="shared" si="344"/>
        <v>64.64</v>
      </c>
      <c r="Y162" s="898" t="str">
        <f t="shared" si="345"/>
        <v>FALSE</v>
      </c>
      <c r="Z162" s="898">
        <f t="shared" si="346"/>
        <v>65.680000000000007</v>
      </c>
      <c r="AA162" s="898">
        <f t="shared" si="347"/>
        <v>65.680000000000007</v>
      </c>
      <c r="AB162" s="898" t="str">
        <f t="shared" si="348"/>
        <v/>
      </c>
      <c r="AC162" s="563">
        <f>Sheet1!Y164*MGDtoCFS</f>
        <v>35.271599999999999</v>
      </c>
      <c r="AD162" s="563">
        <f>Sheet1!Z164*MGDtoCFS</f>
        <v>62.034700000000001</v>
      </c>
      <c r="AE162" s="563">
        <f>Sheet1!AA164*MGDtoCFS</f>
        <v>36.354500000000002</v>
      </c>
      <c r="AF162" s="563">
        <f>Sheet1!AB164*MGDtoCFS</f>
        <v>65.252459999999999</v>
      </c>
      <c r="AG162" s="563">
        <f>Sheet1!L164*MGDtoCFS</f>
        <v>0</v>
      </c>
      <c r="AH162" s="545">
        <f t="shared" si="277"/>
        <v>0</v>
      </c>
      <c r="AI162" s="560">
        <f t="shared" si="278"/>
        <v>0</v>
      </c>
      <c r="AJ162" s="560">
        <f t="shared" si="279"/>
        <v>55.567849181882856</v>
      </c>
      <c r="AK162" s="560">
        <f t="shared" si="280"/>
        <v>85.963462684372772</v>
      </c>
      <c r="AL162" s="560">
        <f>(VLOOKUP(Sheet1!DC164,hhdcap_wcm,4)-(((VLOOKUP(Sheet1!DC164,hhdcap_wcm,3)-Sheet1!DC164)/(VLOOKUP(Sheet1!DC164,hhdcap_wcm,3)-VLOOKUP(Sheet1!DC164,hhdcap_wcm,1)))*(VLOOKUP(Sheet1!DC164,hhdcap_wcm,4)-VLOOKUP(Sheet1!DC164,hhdcap_wcm,2))))</f>
        <v>49393.800000119234</v>
      </c>
      <c r="AM162" s="560">
        <f t="shared" si="281"/>
        <v>79.799999999995634</v>
      </c>
      <c r="AN162" s="560">
        <f t="shared" si="282"/>
        <v>5631.7596756110925</v>
      </c>
      <c r="AO162" s="560">
        <f t="shared" si="283"/>
        <v>17278.238684774831</v>
      </c>
      <c r="AP162" s="560">
        <f>Sheet1!BA164+Sheet1!BB164+Sheet1!BN164+CD162</f>
        <v>33.1</v>
      </c>
      <c r="AQ162" s="560">
        <f>Sheet1!BN164+(DO162*Sheet1!BN164)</f>
        <v>31.50746976523595</v>
      </c>
      <c r="AR162" s="560">
        <f>Sheet1!BA164+CD162</f>
        <v>0</v>
      </c>
      <c r="AS162" s="560">
        <f>Sheet1!BA164+Sheet1!BB164+CD162</f>
        <v>1.6</v>
      </c>
      <c r="AT162" s="698">
        <f>0</f>
        <v>0</v>
      </c>
      <c r="AU162" s="560">
        <f>IF(EB162&lt;K162,0,MAX(Sheet1!AA164+AQ162-15/36*K162-N162,Sheet1!EH164,0))</f>
        <v>0</v>
      </c>
      <c r="AV162" s="560">
        <f>IF(OR(B162&gt;=GD162,B162&lt;GC162),0,15/36*K162-MAX(0,64.6-(137.6-(Sheet1!AA164+Sheet1!AB164))))</f>
        <v>26.933333333333334</v>
      </c>
      <c r="AW162" s="698">
        <f>Sheet1!DB164-110</f>
        <v>655</v>
      </c>
      <c r="AX162" s="698">
        <f>Sheet1!DA164-265</f>
        <v>765</v>
      </c>
      <c r="AY162" s="698">
        <f t="shared" si="284"/>
        <v>16.389999999999993</v>
      </c>
      <c r="AZ162" s="698">
        <v>0</v>
      </c>
      <c r="BA162" s="698">
        <f t="shared" si="285"/>
        <v>0</v>
      </c>
      <c r="BB162" s="560">
        <f t="shared" si="286"/>
        <v>2693.3333333333358</v>
      </c>
      <c r="BC162" s="560"/>
      <c r="BD162" s="560">
        <f ca="1">IF(B162&gt;Summary!$A$1,#N/A,BB162*MGtoAF)</f>
        <v>8263.1466666666747</v>
      </c>
      <c r="BE162" s="560">
        <f>Sheet1!BG164+Sheet1!BH164+Sheet1!BI164-BM162</f>
        <v>0</v>
      </c>
      <c r="BF162" s="560">
        <f t="shared" si="287"/>
        <v>0</v>
      </c>
      <c r="BG162" s="560">
        <f>IF(Sheet1!EP164="FM",BM162,0)</f>
        <v>0</v>
      </c>
      <c r="BH162" s="560">
        <f t="shared" si="288"/>
        <v>0</v>
      </c>
      <c r="BI162" s="560">
        <f>IF(Sheet1!EP164="OTHER",BM162,0)</f>
        <v>0</v>
      </c>
      <c r="BJ162" s="560">
        <f t="shared" si="289"/>
        <v>0</v>
      </c>
      <c r="BK162" s="560">
        <f t="shared" si="290"/>
        <v>0</v>
      </c>
      <c r="BL162" s="560">
        <f t="shared" si="291"/>
        <v>0</v>
      </c>
      <c r="BM162" s="560">
        <f>IF(OR(Sheet1!EP164="FM", Sheet1!EP164="OTHER"),SUM(Sheet1!BG164:'Sheet1'!BI164),0)</f>
        <v>0</v>
      </c>
      <c r="BN162" s="545">
        <f>IF(AND($B162&gt;=$FV162,$B162&lt;=$FW162),MAX(BF162,Sheet1!EI164,0),MAX(BF162-(7/36)*$K162,0))</f>
        <v>0</v>
      </c>
      <c r="BO162" s="560">
        <f t="shared" si="292"/>
        <v>12.568888888888889</v>
      </c>
      <c r="BP162" s="545">
        <f t="shared" si="293"/>
        <v>0</v>
      </c>
      <c r="BQ162" s="545">
        <f>IF(AND($O162&gt;0,Sheet1!EM164=1),(1-($O162-Sheet1!$L164)/$O162)*BL162,0)</f>
        <v>0</v>
      </c>
      <c r="BR162" s="545">
        <f>IF(AND(Sheet1!$L164=0,Sheet1!$L163=0, Calculation!BK162&lt;Sheet1!$EI164-0.1,Sheet1!$EI164=Sheet1!$EI163,Sheet1!$EI164=Sheet1!$EI165),Sheet1!$EI164,BL162-BQ162)</f>
        <v>0</v>
      </c>
      <c r="BS162" s="560"/>
      <c r="BT162" s="560"/>
      <c r="BU162" s="560">
        <f t="shared" si="294"/>
        <v>1256.8888888888891</v>
      </c>
      <c r="BV162" s="560"/>
      <c r="BW162" s="560">
        <f ca="1">IF(B162&gt;Summary!$A$1,#N/A,BU162*MGtoAF)</f>
        <v>3856.1351111111121</v>
      </c>
      <c r="BX162" s="560">
        <f>Sheet1!BC164+Sheet1!BD164+Sheet1!BE164+Sheet1!BF164-CG162-CH162</f>
        <v>2.0099999999999998</v>
      </c>
      <c r="BY162" s="560">
        <f t="shared" si="295"/>
        <v>2.0104766421626747</v>
      </c>
      <c r="BZ162" s="560">
        <f>IF(Sheet1!EQ164="FM",CH162,0)</f>
        <v>0</v>
      </c>
      <c r="CA162" s="560">
        <f t="shared" si="296"/>
        <v>0</v>
      </c>
      <c r="CB162" s="560">
        <f>IF(Sheet1!EQ164="OTHER",CH162,0)</f>
        <v>0</v>
      </c>
      <c r="CC162" s="560">
        <f t="shared" si="297"/>
        <v>0</v>
      </c>
      <c r="CD162" s="560">
        <f t="shared" si="298"/>
        <v>0</v>
      </c>
      <c r="CE162" s="560">
        <f t="shared" si="299"/>
        <v>2.0099999999999998</v>
      </c>
      <c r="CF162" s="560">
        <f t="shared" si="300"/>
        <v>2.0104766421626747</v>
      </c>
      <c r="CG162" s="560">
        <f>IF(Sheet1!EQ164="CWA",SUM(Sheet1!BC164:'Sheet1'!BF164),0)</f>
        <v>0</v>
      </c>
      <c r="CH162" s="560">
        <f>IF(OR(Sheet1!EQ164="FM", Sheet1!EQ164="OTHER"),SUM(Sheet1!BC164:'Sheet1'!BF164),0)</f>
        <v>0</v>
      </c>
      <c r="CI162" s="545">
        <f>IF(AND($B162&gt;=$FV162,$B162&lt;=$FW162),MAX(CF162,Sheet1!EJ164,0),MAX(CF162-(7/36)*$K162,0))</f>
        <v>0</v>
      </c>
      <c r="CJ162" s="560">
        <f t="shared" si="301"/>
        <v>10.558412246726213</v>
      </c>
      <c r="CK162" s="545">
        <f t="shared" si="302"/>
        <v>2.0104766421626747</v>
      </c>
      <c r="CL162" s="545">
        <f>IF(AND($O162&gt;0,Sheet1!EN164=1),(1-($O162-Sheet1!$L164)/$O162)*CF162,0)</f>
        <v>0</v>
      </c>
      <c r="CM162" s="545">
        <f>IF(AND(Sheet1!$L164=0,Sheet1!$L163=0, Calculation!CE162&lt;Sheet1!EJ164-0.1,Sheet1!EJ164=Sheet1!EJ163,Sheet1!EJ164=Sheet1!EJ165),Sheet1!EJ164,CF162-CL162)</f>
        <v>2.0104766421626747</v>
      </c>
      <c r="CN162" s="545"/>
      <c r="CO162" s="560"/>
      <c r="CP162" s="560">
        <f t="shared" si="303"/>
        <v>990.25785866666081</v>
      </c>
      <c r="CQ162" s="560"/>
      <c r="CR162" s="560">
        <f ca="1">IF(B162&gt;Summary!$A$1,#N/A,CP162*MGtoAF)</f>
        <v>3038.1111103893154</v>
      </c>
      <c r="CS162" s="560">
        <f>Sheet1!BK164+Sheet1!BL164+Sheet1!BM164-Sheet1!ER164-DA162</f>
        <v>7.0600000000000005</v>
      </c>
      <c r="CT162" s="560">
        <f t="shared" si="304"/>
        <v>7.0616741759544706</v>
      </c>
      <c r="CU162" s="560">
        <f>IF(Sheet1!ER164="FM",DA162,0)</f>
        <v>0</v>
      </c>
      <c r="CV162" s="560">
        <f t="shared" si="305"/>
        <v>0</v>
      </c>
      <c r="CW162" s="560">
        <f>IF(Sheet1!ER164="OTHER",DA162,0)</f>
        <v>0</v>
      </c>
      <c r="CX162" s="560">
        <f t="shared" si="306"/>
        <v>0</v>
      </c>
      <c r="CY162" s="560">
        <f t="shared" si="307"/>
        <v>7.0600000000000005</v>
      </c>
      <c r="CZ162" s="560">
        <f t="shared" si="308"/>
        <v>7.0616741759544706</v>
      </c>
      <c r="DA162" s="560">
        <f>IF(OR(Sheet1!ER164="FM", Sheet1!ER164="OTHER"),SUM(Sheet1!BK164:'Sheet1'!BM164),0)</f>
        <v>0</v>
      </c>
      <c r="DB162" s="545">
        <f>IF(AND($B162&gt;=$FV162,$B162&lt;=$FW162),MAX($CT162,Sheet1!EK164,0),MAX($CT162-(7/36)*$K162,0))</f>
        <v>0</v>
      </c>
      <c r="DC162" s="560">
        <f t="shared" si="309"/>
        <v>5.5072147129344184</v>
      </c>
      <c r="DD162" s="545">
        <f t="shared" si="310"/>
        <v>7.0616741759544706</v>
      </c>
      <c r="DE162" s="545">
        <f>IF(AND($O162&gt;0,Sheet1!EO164=1),(1-($O162-Sheet1!$L164)/$O162)*CZ162,0)</f>
        <v>0</v>
      </c>
      <c r="DF162" s="545">
        <f>IF(AND(Sheet1!$L164=0,Sheet1!$L163=0, Calculation!CY162&lt;Sheet1!$EK164-0.1,Sheet1!$EK164=Sheet1!$EK163,Sheet1!$EK164=Sheet1!$EK165),Sheet1!$EK164,CZ162-DE162)</f>
        <v>7.0616741759544706</v>
      </c>
      <c r="DG162" s="545"/>
      <c r="DH162" s="560">
        <f t="shared" si="311"/>
        <v>9.07</v>
      </c>
      <c r="DI162" s="560">
        <f t="shared" si="312"/>
        <v>691.27959472220641</v>
      </c>
      <c r="DJ162" s="698">
        <f t="shared" si="313"/>
        <v>9.0721508181171444</v>
      </c>
      <c r="DK162" s="560">
        <f ca="1">IF(B162&gt;Summary!$A$1,#N/A,DI162*MGtoAF)</f>
        <v>2120.8457966077294</v>
      </c>
      <c r="DL162" s="698">
        <f t="shared" si="314"/>
        <v>9.07</v>
      </c>
      <c r="DM162" s="560">
        <f t="shared" si="315"/>
        <v>42.17</v>
      </c>
      <c r="DN162" s="560">
        <f>Sheet1!AB164-DM162</f>
        <v>9.9999999999980105E-3</v>
      </c>
      <c r="DO162" s="823">
        <f t="shared" si="316"/>
        <v>2.3713540431581718E-4</v>
      </c>
      <c r="DP162" s="560">
        <f>(VLOOKUP(Sheet1!DC164,hhdcap_wcm,4)-(((VLOOKUP(Sheet1!DC164,hhdcap_wcm,3)-Sheet1!DC164)/(VLOOKUP(Sheet1!DC164,hhdcap_wcm,3)-VLOOKUP(Sheet1!DC164,hhdcap_wcm,1)))*(VLOOKUP(Sheet1!DC164,hhdcap_wcm,4)-VLOOKUP(Sheet1!DC164,hhdcap_wcm,2))))</f>
        <v>49393.800000119234</v>
      </c>
      <c r="DQ162" s="560">
        <f t="shared" si="317"/>
        <v>79.799999999995634</v>
      </c>
      <c r="DR162" s="560">
        <f t="shared" si="318"/>
        <v>40.242057488651348</v>
      </c>
      <c r="DS162" s="560">
        <f>Sheet1!EA164*AFtoMG</f>
        <v>0</v>
      </c>
      <c r="DT162" s="560">
        <f>Sheet1!EB164*AFtoMG</f>
        <v>0</v>
      </c>
      <c r="DU162" s="560">
        <f>Sheet1!EC164*AFtoMG</f>
        <v>0</v>
      </c>
      <c r="DV162" s="560">
        <f>Sheet1!ED164*AFtoMG</f>
        <v>0</v>
      </c>
      <c r="DW162" s="560">
        <f t="shared" si="319"/>
        <v>0</v>
      </c>
      <c r="DX162" s="560">
        <f t="shared" si="320"/>
        <v>0</v>
      </c>
      <c r="DY162" s="560">
        <f t="shared" si="321"/>
        <v>5631.7596756110925</v>
      </c>
      <c r="DZ162" s="560">
        <f t="shared" si="322"/>
        <v>17278.238684774831</v>
      </c>
      <c r="EA162" s="560"/>
      <c r="EB162" s="545">
        <f>IF(OR(B162&lt;FV162,B162&gt;FW162),(MIN(BF162+BY162+CT162+MAX(Sheet1!AA164+AQ162-73,0),K162)),0)</f>
        <v>9.0721508181171444</v>
      </c>
      <c r="EC162" s="560"/>
      <c r="ED162" s="560">
        <f t="shared" si="323"/>
        <v>9.0721508181171444</v>
      </c>
      <c r="EE162" s="560"/>
      <c r="EF162" s="560">
        <f>Sheet1!EH164+Sheet1!EI164+Sheet1!EJ164+Sheet1!EK164</f>
        <v>9.07</v>
      </c>
      <c r="EG162" s="560"/>
      <c r="EH162" s="545">
        <f t="shared" si="324"/>
        <v>0</v>
      </c>
      <c r="EI162" s="560">
        <f>IF(Sheet1!ET164=1,SUM('Calculations II'!AT162:BA162)+'Calculations II'!BC162+Sheet1!BV164+'Calculations II'!BE162+AP162,SUM('Calculations II'!AT162:BA162)+'Calculations II'!BC162+Sheet1!BV164+'Calculations II'!BE162+AP162)</f>
        <v>64.812976000000006</v>
      </c>
      <c r="EJ162" s="560">
        <f>Sheet1!AA164+Sheet1!AB164+'Calculations II'!BC162</f>
        <v>65.680000000000007</v>
      </c>
      <c r="EK162" s="560"/>
      <c r="EL162" s="560"/>
      <c r="EM162" s="560">
        <f t="shared" si="325"/>
        <v>41790</v>
      </c>
      <c r="EN162" s="560">
        <f t="shared" si="326"/>
        <v>55.567849181882856</v>
      </c>
      <c r="EO162" s="560">
        <f t="shared" si="327"/>
        <v>85.963462684372772</v>
      </c>
      <c r="EP162" s="560">
        <v>0</v>
      </c>
      <c r="EQ162" s="560">
        <v>0</v>
      </c>
      <c r="ER162" s="560">
        <v>0</v>
      </c>
      <c r="ES162" s="545">
        <f t="shared" si="349"/>
        <v>1.3831500791710281</v>
      </c>
      <c r="ET162" s="560">
        <f>-(VLOOKUP(Sheet1!BQ164,Lookup!$O$4:$Q$262,2)-VLOOKUP(Sheet1!BQ163,Lookup!$O$4:$Q$262,2))/1000000</f>
        <v>0.69159105045286562</v>
      </c>
      <c r="EU162" s="560">
        <f>-(VLOOKUP(Sheet1!BR164,Lookup!$O$4:$Q$262,3)-VLOOKUP(Sheet1!BR163,Lookup!$O$4:$Q$262,3))/1000000</f>
        <v>0.69155902871816233</v>
      </c>
      <c r="EV162" s="560"/>
      <c r="EW162" s="560"/>
      <c r="EX162" s="560"/>
      <c r="EY162" s="560"/>
      <c r="EZ162" s="560"/>
      <c r="FA162" s="560"/>
      <c r="FB162" s="560"/>
      <c r="FC162" s="560"/>
      <c r="FD162" s="594" t="e">
        <f t="shared" si="328"/>
        <v>#N/A</v>
      </c>
      <c r="FE162" s="594" t="e">
        <f t="shared" si="329"/>
        <v>#N/A</v>
      </c>
      <c r="FF162" s="595" t="e">
        <f t="shared" si="330"/>
        <v>#N/A</v>
      </c>
      <c r="FG162" s="596" t="s">
        <v>692</v>
      </c>
      <c r="FH162" s="596" t="s">
        <v>692</v>
      </c>
      <c r="FI162" s="594" t="e">
        <v>#N/A</v>
      </c>
      <c r="FJ162" s="594" t="e">
        <v>#N/A</v>
      </c>
      <c r="FK162" s="560"/>
      <c r="FL162" s="560"/>
      <c r="FM162" s="560"/>
      <c r="FN162" s="560"/>
      <c r="FO162" s="560">
        <f>O162+((Sheet1!CS164)*GPMtoMGD)</f>
        <v>65.680000000000007</v>
      </c>
      <c r="FP162" s="560">
        <f>IF(Sheet1!AA164+AQ162&lt;=Calculation!N162,AQ162,Calculation!N162-Sheet1!AA164)</f>
        <v>31.50746976523595</v>
      </c>
      <c r="FQ162" s="560">
        <f>(Sheet1!BP164+Sheet1!BO164)/694.4</f>
        <v>2.665754608294931</v>
      </c>
      <c r="FR162" s="560"/>
      <c r="FS162" s="560"/>
      <c r="FT162" s="560"/>
      <c r="FU162" s="560"/>
      <c r="FV162" s="695">
        <f t="shared" si="350"/>
        <v>41827</v>
      </c>
      <c r="FW162" s="695">
        <f t="shared" si="351"/>
        <v>41934</v>
      </c>
      <c r="FX162" s="560"/>
      <c r="FY162" s="560"/>
      <c r="FZ162" s="560"/>
      <c r="GA162" s="560"/>
      <c r="GB162" s="560" t="str">
        <f t="shared" si="352"/>
        <v>n</v>
      </c>
      <c r="GC162" s="564">
        <f t="shared" si="353"/>
        <v>41691</v>
      </c>
      <c r="GD162" s="695">
        <f t="shared" si="354"/>
        <v>41807</v>
      </c>
      <c r="GE162" s="560">
        <v>6518.9</v>
      </c>
      <c r="GF162" s="695">
        <f t="shared" si="355"/>
        <v>41808</v>
      </c>
      <c r="GG162" s="560">
        <f t="shared" si="374"/>
        <v>3259</v>
      </c>
      <c r="GH162" s="564">
        <f t="shared" si="356"/>
        <v>41934</v>
      </c>
      <c r="GJ162" s="545">
        <f t="shared" si="357"/>
        <v>0</v>
      </c>
      <c r="GK162" s="560" t="str">
        <f t="shared" si="331"/>
        <v/>
      </c>
      <c r="GL162" s="560">
        <f t="shared" si="358"/>
        <v>0</v>
      </c>
      <c r="GM162" s="560" t="str">
        <f t="shared" si="359"/>
        <v/>
      </c>
      <c r="GN162" s="560">
        <f>IF(GK162="P",Lookup!$M$12,IF(GK162="PP",Lookup!$M$13,IF(GK162="PPP",Lookup!$M$14,IF(GK162="T",Lookup!$M$15,IF(GK162="TP",Lookup!$M$16,IF(GK162="TPP",Lookup!$M$17,IF(GK162="TPPP",Lookup!$M$18,0)))))))*GJ162</f>
        <v>0</v>
      </c>
      <c r="GO162" s="560">
        <f t="shared" si="360"/>
        <v>0</v>
      </c>
      <c r="GP162" s="560">
        <f t="shared" si="332"/>
        <v>8263.1466666666747</v>
      </c>
      <c r="GQ162" s="560">
        <f t="shared" si="368"/>
        <v>2693.3333333333358</v>
      </c>
      <c r="GR162" s="560"/>
      <c r="GS162" s="560">
        <f t="shared" si="361"/>
        <v>0</v>
      </c>
      <c r="GT162" s="560" t="str">
        <f t="shared" si="362"/>
        <v/>
      </c>
      <c r="GU162" s="560">
        <f>IF(GK162="P",Lookup!$N$12,IF(GK162="PP",Lookup!$N$13,IF(GK162="PPP",Lookup!$N$14,IF(GK162="T",Lookup!$N$15,IF(GK162="TP",Lookup!$N$16,IF(GK162="TPP",Lookup!$N$17,IF(GK162="TPPP",Lookup!$N$18,0)))))))*GJ162</f>
        <v>0</v>
      </c>
      <c r="GV162" s="560">
        <f t="shared" si="363"/>
        <v>0</v>
      </c>
      <c r="GW162" s="560">
        <f t="shared" si="333"/>
        <v>3856.1351111111121</v>
      </c>
      <c r="GX162" s="560">
        <f t="shared" si="369"/>
        <v>1256.8888888888891</v>
      </c>
      <c r="GY162" s="560"/>
      <c r="GZ162" s="560">
        <f t="shared" si="364"/>
        <v>0</v>
      </c>
      <c r="HA162" s="560" t="str">
        <f t="shared" si="365"/>
        <v/>
      </c>
      <c r="HB162" s="560">
        <f>IF(GK162="P",Lookup!$N$12,IF(GK162="PP",Lookup!$N$13,IF(GK162="PPP",Lookup!$N$14,IF(GK162="T",Lookup!$N$15,IF(GK162="TP",Lookup!$N$16,IF(GK162="TPP",Lookup!$N$17,IF(GK162="TPPP",Lookup!$N$18,0)))))))*GJ162</f>
        <v>0</v>
      </c>
      <c r="HC162" s="545">
        <f t="shared" si="334"/>
        <v>0</v>
      </c>
      <c r="HD162" s="560">
        <f t="shared" si="335"/>
        <v>3038.1111103893154</v>
      </c>
      <c r="HE162" s="560">
        <f t="shared" si="370"/>
        <v>990.25785866666081</v>
      </c>
      <c r="HF162" s="560"/>
      <c r="HG162" s="560">
        <f t="shared" si="366"/>
        <v>0</v>
      </c>
      <c r="HH162" s="560" t="str">
        <f t="shared" si="367"/>
        <v/>
      </c>
      <c r="HI162" s="560">
        <f>IF(GK162="P",Lookup!$N$12,IF(GK162="PP",Lookup!$N$13,IF(GK162="PPP",Lookup!$N$14,IF(GK162="T",Lookup!$N$15,IF(GK162="TP",Lookup!$N$16,IF(GK162="TPP",Lookup!$N$17,IF(GK162="TPPP",Lookup!$N$18,0)))))))*GJ162</f>
        <v>0</v>
      </c>
      <c r="HJ162" s="545">
        <f t="shared" si="336"/>
        <v>0</v>
      </c>
      <c r="HK162" s="560">
        <f t="shared" si="337"/>
        <v>2120.8457966077294</v>
      </c>
      <c r="HL162" s="560">
        <f t="shared" si="371"/>
        <v>691.27959472220641</v>
      </c>
      <c r="HM162" s="560"/>
    </row>
    <row r="163" spans="1:221">
      <c r="A163" s="580" t="s">
        <v>3</v>
      </c>
      <c r="B163" s="556">
        <v>41791</v>
      </c>
      <c r="C163" s="561">
        <v>0</v>
      </c>
      <c r="D163" s="529">
        <f t="shared" si="372"/>
        <v>300</v>
      </c>
      <c r="E163" s="529">
        <f t="shared" si="373"/>
        <v>250</v>
      </c>
      <c r="F163" s="529">
        <v>250</v>
      </c>
      <c r="G163" s="560">
        <f>DR163+Sheet1!CZ165</f>
        <v>844.24659606669638</v>
      </c>
      <c r="H163" s="914">
        <f t="shared" si="338"/>
        <v>278.75779969751255</v>
      </c>
      <c r="I163" s="559">
        <f>MAX(Sheet1!Z165-AT163+(Sheet1!DA165-E163)*CFStoMGD,0)</f>
        <v>533.44399999999996</v>
      </c>
      <c r="J163" s="562">
        <f>IF(AND(B163&gt;=Calculation!GC163,B163&lt;=Calculation!GD163),IF(Sheet1!DB165&gt;=Calculation!D163,64.64,0),MAX(Sheet1!Z165-AT163+(Sheet1!DB165-D163)*CFStoMGD,0))</f>
        <v>64.64</v>
      </c>
      <c r="K163" s="904">
        <f t="shared" si="273"/>
        <v>64.64</v>
      </c>
      <c r="L163" s="560">
        <f>Sheet1!AA165+Sheet1!AB165-Sheet1!L165+(Sheet1!DA165-F163)*CFStoMGD</f>
        <v>559.49399999999991</v>
      </c>
      <c r="M163" s="560">
        <f t="shared" si="274"/>
        <v>556.63541969146286</v>
      </c>
      <c r="N163" s="910">
        <f>IF(Sheet1!DA165&gt;=F163,MIN(73,MIN(MAX(L163,0),MAX(M163,0))),0)</f>
        <v>73</v>
      </c>
      <c r="O163" s="563">
        <f>Sheet1!AA165+Sheet1!AB165</f>
        <v>68.23</v>
      </c>
      <c r="P163" s="563">
        <f t="shared" si="275"/>
        <v>105.55181</v>
      </c>
      <c r="Q163" s="898">
        <f t="shared" si="339"/>
        <v>59.230000000000004</v>
      </c>
      <c r="R163" s="829">
        <f t="shared" si="276"/>
        <v>8.984</v>
      </c>
      <c r="S163" s="898">
        <f t="shared" si="340"/>
        <v>9</v>
      </c>
      <c r="T163" s="898">
        <f t="shared" si="341"/>
        <v>55.64</v>
      </c>
      <c r="U163" s="898">
        <f t="shared" si="342"/>
        <v>0</v>
      </c>
      <c r="V163" s="898"/>
      <c r="W163" s="898">
        <f t="shared" si="343"/>
        <v>55.655999999999999</v>
      </c>
      <c r="X163" s="898">
        <f t="shared" si="344"/>
        <v>64.64</v>
      </c>
      <c r="Y163" s="898" t="str">
        <f t="shared" si="345"/>
        <v>FALSE</v>
      </c>
      <c r="Z163" s="898">
        <f t="shared" si="346"/>
        <v>68.23</v>
      </c>
      <c r="AA163" s="898">
        <f t="shared" si="347"/>
        <v>68.23</v>
      </c>
      <c r="AB163" s="898" t="str">
        <f t="shared" si="348"/>
        <v/>
      </c>
      <c r="AC163" s="563">
        <f>Sheet1!Y165*MGDtoCFS</f>
        <v>36.354500000000002</v>
      </c>
      <c r="AD163" s="563">
        <f>Sheet1!Z165*MGDtoCFS</f>
        <v>65.252459999999999</v>
      </c>
      <c r="AE163" s="563">
        <f>Sheet1!AA165*MGDtoCFS</f>
        <v>36.060569999999998</v>
      </c>
      <c r="AF163" s="563">
        <f>Sheet1!AB165*MGDtoCFS</f>
        <v>69.491240000000005</v>
      </c>
      <c r="AG163" s="563">
        <f>Sheet1!L165*MGDtoCFS</f>
        <v>0</v>
      </c>
      <c r="AH163" s="545">
        <f t="shared" si="277"/>
        <v>0</v>
      </c>
      <c r="AI163" s="560">
        <f t="shared" si="278"/>
        <v>0</v>
      </c>
      <c r="AJ163" s="560">
        <f t="shared" si="279"/>
        <v>55.655999999999999</v>
      </c>
      <c r="AK163" s="560">
        <f t="shared" si="280"/>
        <v>86.099831999999992</v>
      </c>
      <c r="AL163" s="560">
        <f>(VLOOKUP(Sheet1!DC165,hhdcap_wcm,4)-(((VLOOKUP(Sheet1!DC165,hhdcap_wcm,3)-Sheet1!DC165)/(VLOOKUP(Sheet1!DC165,hhdcap_wcm,3)-VLOOKUP(Sheet1!DC165,hhdcap_wcm,1)))*(VLOOKUP(Sheet1!DC165,hhdcap_wcm,4)-VLOOKUP(Sheet1!DC165,hhdcap_wcm,2))))</f>
        <v>49428.000000119493</v>
      </c>
      <c r="AM163" s="560">
        <f t="shared" si="281"/>
        <v>34.200000000259024</v>
      </c>
      <c r="AN163" s="560">
        <f>(IF(AND(B163&gt;=GC163,B163&lt;GF163),MIN(BB163+BU163+CP163+DI163,GE163),IF(B163=GF163,GG163,IF(AND(B163&gt;GF163,B163&lt;GH163),BB163+BU163+CP163+DI163,IF(B163&gt;=GH163,0,0)))))</f>
        <v>5720.9656756110899</v>
      </c>
      <c r="AO163" s="560">
        <f t="shared" si="283"/>
        <v>17551.922692774824</v>
      </c>
      <c r="AP163" s="560">
        <f>Sheet1!BA165+Sheet1!BB165+Sheet1!BN165+CD163</f>
        <v>36</v>
      </c>
      <c r="AQ163" s="560">
        <f>Sheet1!BN165+(DO163*Sheet1!BN165)</f>
        <v>34.338844444444447</v>
      </c>
      <c r="AR163" s="560">
        <f>Sheet1!BA165+CD163</f>
        <v>0</v>
      </c>
      <c r="AS163" s="560">
        <f>Sheet1!BA165+Sheet1!BB165+CD163</f>
        <v>1.6</v>
      </c>
      <c r="AT163" s="698">
        <f>0</f>
        <v>0</v>
      </c>
      <c r="AU163" s="560">
        <f>IF(EB163&lt;K163,0,MAX(Sheet1!AA165+AQ163-15/36*K163-N163,Sheet1!EH165,0))</f>
        <v>0</v>
      </c>
      <c r="AV163" s="560">
        <f>IF(OR(B163&gt;=GD163,B163&lt;GC163),0,15/36*K163-MAX(0,64.6-(137.6-(Sheet1!AA165+Sheet1!AB165))))</f>
        <v>26.933333333333334</v>
      </c>
      <c r="AW163" s="698">
        <f>Sheet1!DB165-110</f>
        <v>652</v>
      </c>
      <c r="AX163" s="698">
        <f>Sheet1!DA165-265</f>
        <v>745</v>
      </c>
      <c r="AY163" s="698">
        <f t="shared" si="284"/>
        <v>13.769999999999996</v>
      </c>
      <c r="AZ163" s="698">
        <v>0</v>
      </c>
      <c r="BA163" s="698">
        <f t="shared" si="285"/>
        <v>0</v>
      </c>
      <c r="BB163" s="560">
        <f t="shared" si="286"/>
        <v>2716.2083333333335</v>
      </c>
      <c r="BC163" s="560"/>
      <c r="BD163" s="560">
        <f ca="1">IF(B163&gt;Summary!$A$1,#N/A,BB163*MGtoAF)</f>
        <v>8333.3271666666678</v>
      </c>
      <c r="BE163" s="560">
        <f>Sheet1!BG165+Sheet1!BH165+Sheet1!BI165-BM163</f>
        <v>0</v>
      </c>
      <c r="BF163" s="560">
        <f t="shared" si="287"/>
        <v>0</v>
      </c>
      <c r="BG163" s="560">
        <f>IF(Sheet1!EP165="FM",BM163,0)</f>
        <v>0</v>
      </c>
      <c r="BH163" s="560">
        <f t="shared" si="288"/>
        <v>0</v>
      </c>
      <c r="BI163" s="560">
        <f>IF(Sheet1!EP165="OTHER",BM163,0)</f>
        <v>0</v>
      </c>
      <c r="BJ163" s="560">
        <f t="shared" si="289"/>
        <v>0</v>
      </c>
      <c r="BK163" s="560">
        <f t="shared" si="290"/>
        <v>0</v>
      </c>
      <c r="BL163" s="560">
        <f t="shared" si="291"/>
        <v>0</v>
      </c>
      <c r="BM163" s="560">
        <f>IF(OR(Sheet1!EP165="FM", Sheet1!EP165="OTHER"),SUM(Sheet1!BG165:'Sheet1'!BI165),0)</f>
        <v>0</v>
      </c>
      <c r="BN163" s="545">
        <f>IF(AND($B163&gt;=$FV163,$B163&lt;=$FW163),MAX(BF163,Sheet1!EI165,0),MAX(BF163-(7/36)*$K163,0))</f>
        <v>0</v>
      </c>
      <c r="BO163" s="560">
        <f t="shared" si="292"/>
        <v>12.568888888888889</v>
      </c>
      <c r="BP163" s="545">
        <f t="shared" si="293"/>
        <v>0</v>
      </c>
      <c r="BQ163" s="545">
        <f>IF(AND($O163&gt;0,Sheet1!EM165=1),(1-($O163-Sheet1!$L165)/$O163)*BL163,0)</f>
        <v>0</v>
      </c>
      <c r="BR163" s="545">
        <f>IF(AND(Sheet1!$L165=0,Sheet1!$L164=0, Calculation!BK163&lt;Sheet1!$EI165-0.1,Sheet1!$EI165=Sheet1!$EI164,Sheet1!$EI165=Sheet1!$EI166),Sheet1!$EI165,BL163-BQ163)</f>
        <v>0</v>
      </c>
      <c r="BS163" s="560"/>
      <c r="BT163" s="560"/>
      <c r="BU163" s="560">
        <f t="shared" si="294"/>
        <v>1267.5638888888889</v>
      </c>
      <c r="BV163" s="560"/>
      <c r="BW163" s="560">
        <f ca="1">IF(B163&gt;Summary!$A$1,#N/A,BU163*MGtoAF)</f>
        <v>3888.8860111111112</v>
      </c>
      <c r="BX163" s="560">
        <f>Sheet1!BC165+Sheet1!BD165+Sheet1!BE165+Sheet1!BF165-CG163-CH163</f>
        <v>2</v>
      </c>
      <c r="BY163" s="560">
        <f t="shared" si="295"/>
        <v>1.9964444444444445</v>
      </c>
      <c r="BZ163" s="560">
        <f>IF(Sheet1!EQ165="FM",CH163,0)</f>
        <v>0</v>
      </c>
      <c r="CA163" s="560">
        <f t="shared" si="296"/>
        <v>0</v>
      </c>
      <c r="CB163" s="560">
        <f>IF(Sheet1!EQ165="OTHER",CH163,0)</f>
        <v>0</v>
      </c>
      <c r="CC163" s="560">
        <f t="shared" si="297"/>
        <v>0</v>
      </c>
      <c r="CD163" s="560">
        <f t="shared" si="298"/>
        <v>0</v>
      </c>
      <c r="CE163" s="560">
        <f t="shared" si="299"/>
        <v>2</v>
      </c>
      <c r="CF163" s="560">
        <f t="shared" si="300"/>
        <v>1.9964444444444445</v>
      </c>
      <c r="CG163" s="560">
        <f>IF(Sheet1!EQ165="CWA",SUM(Sheet1!BC165:'Sheet1'!BF165),0)</f>
        <v>0</v>
      </c>
      <c r="CH163" s="560">
        <f>IF(OR(Sheet1!EQ165="FM", Sheet1!EQ165="OTHER"),SUM(Sheet1!BC165:'Sheet1'!BF165),0)</f>
        <v>0</v>
      </c>
      <c r="CI163" s="545">
        <f>IF(AND($B163&gt;=$FV163,$B163&lt;=$FW163),MAX(CF163,Sheet1!EJ165,0),MAX(CF163-(7/36)*$K163,0))</f>
        <v>0</v>
      </c>
      <c r="CJ163" s="560">
        <f t="shared" si="301"/>
        <v>10.572444444444445</v>
      </c>
      <c r="CK163" s="545">
        <f t="shared" si="302"/>
        <v>1.9964444444444445</v>
      </c>
      <c r="CL163" s="545">
        <f>IF(AND($O163&gt;0,Sheet1!EN165=1),(1-($O163-Sheet1!$L165)/$O163)*CF163,0)</f>
        <v>0</v>
      </c>
      <c r="CM163" s="545">
        <f>IF(AND(Sheet1!$L165=0,Sheet1!$L164=0, Calculation!CE163&lt;Sheet1!EJ165-0.1,Sheet1!EJ165=Sheet1!EJ164,Sheet1!EJ165=Sheet1!EJ166),Sheet1!EJ165,CF163-CL163)</f>
        <v>1.9964444444444445</v>
      </c>
      <c r="CN163" s="545"/>
      <c r="CO163" s="560"/>
      <c r="CP163" s="560">
        <f t="shared" si="303"/>
        <v>1020.5814142222164</v>
      </c>
      <c r="CQ163" s="560"/>
      <c r="CR163" s="560">
        <f ca="1">IF(B163&gt;Summary!$A$1,#N/A,CP163*MGtoAF)</f>
        <v>3131.1437788337598</v>
      </c>
      <c r="CS163" s="560">
        <f>Sheet1!BK165+Sheet1!BL165+Sheet1!BM165-Sheet1!ER165-DA163</f>
        <v>7</v>
      </c>
      <c r="CT163" s="560">
        <f t="shared" si="304"/>
        <v>6.9875555555555557</v>
      </c>
      <c r="CU163" s="560">
        <f>IF(Sheet1!ER165="FM",DA163,0)</f>
        <v>0</v>
      </c>
      <c r="CV163" s="560">
        <f t="shared" si="305"/>
        <v>0</v>
      </c>
      <c r="CW163" s="560">
        <f>IF(Sheet1!ER165="OTHER",DA163,0)</f>
        <v>0</v>
      </c>
      <c r="CX163" s="560">
        <f t="shared" si="306"/>
        <v>0</v>
      </c>
      <c r="CY163" s="560">
        <f t="shared" si="307"/>
        <v>7</v>
      </c>
      <c r="CZ163" s="560">
        <f t="shared" si="308"/>
        <v>6.9875555555555557</v>
      </c>
      <c r="DA163" s="560">
        <f>IF(OR(Sheet1!ER165="FM", Sheet1!ER165="OTHER"),SUM(Sheet1!BK165:'Sheet1'!BM165),0)</f>
        <v>0</v>
      </c>
      <c r="DB163" s="545">
        <f>IF(AND($B163&gt;=$FV163,$B163&lt;=$FW163),MAX($CT163,Sheet1!EK165,0),MAX($CT163-(7/36)*$K163,0))</f>
        <v>0</v>
      </c>
      <c r="DC163" s="560">
        <f t="shared" si="309"/>
        <v>5.5813333333333333</v>
      </c>
      <c r="DD163" s="545">
        <f t="shared" si="310"/>
        <v>6.9875555555555557</v>
      </c>
      <c r="DE163" s="545">
        <f>IF(AND($O163&gt;0,Sheet1!EO165=1),(1-($O163-Sheet1!$L165)/$O163)*CZ163,0)</f>
        <v>0</v>
      </c>
      <c r="DF163" s="545">
        <f>IF(AND(Sheet1!$L165=0,Sheet1!$L164=0, Calculation!CY163&lt;Sheet1!$EK165-0.1,Sheet1!$EK165=Sheet1!$EK164,Sheet1!$EK165=Sheet1!$EK166),Sheet1!$EK165,CZ163-DE163)</f>
        <v>6.9875555555555557</v>
      </c>
      <c r="DG163" s="545"/>
      <c r="DH163" s="560">
        <f t="shared" si="311"/>
        <v>9</v>
      </c>
      <c r="DI163" s="560">
        <f t="shared" si="312"/>
        <v>716.61203916665079</v>
      </c>
      <c r="DJ163" s="698">
        <f t="shared" si="313"/>
        <v>8.984</v>
      </c>
      <c r="DK163" s="560">
        <f ca="1">IF(B163&gt;Summary!$A$1,#N/A,DI163*MGtoAF)</f>
        <v>2198.5657361632848</v>
      </c>
      <c r="DL163" s="698">
        <f t="shared" si="314"/>
        <v>9</v>
      </c>
      <c r="DM163" s="560">
        <f t="shared" si="315"/>
        <v>45</v>
      </c>
      <c r="DN163" s="560">
        <f>Sheet1!AB165-DM163</f>
        <v>-7.9999999999998295E-2</v>
      </c>
      <c r="DO163" s="823">
        <f t="shared" si="316"/>
        <v>-1.7777777777777399E-3</v>
      </c>
      <c r="DP163" s="560">
        <f>(VLOOKUP(Sheet1!DC165,hhdcap_wcm,4)-(((VLOOKUP(Sheet1!DC165,hhdcap_wcm,3)-Sheet1!DC165)/(VLOOKUP(Sheet1!DC165,hhdcap_wcm,3)-VLOOKUP(Sheet1!DC165,hhdcap_wcm,1)))*(VLOOKUP(Sheet1!DC165,hhdcap_wcm,4)-VLOOKUP(Sheet1!DC165,hhdcap_wcm,2))))</f>
        <v>49428.000000119493</v>
      </c>
      <c r="DQ163" s="560">
        <f t="shared" si="317"/>
        <v>34.200000000259024</v>
      </c>
      <c r="DR163" s="560">
        <f t="shared" si="318"/>
        <v>17.24659606669643</v>
      </c>
      <c r="DS163" s="560">
        <f>Sheet1!EA165*AFtoMG</f>
        <v>0</v>
      </c>
      <c r="DT163" s="560">
        <f>Sheet1!EB165*AFtoMG</f>
        <v>0</v>
      </c>
      <c r="DU163" s="560">
        <f>Sheet1!EC165*AFtoMG</f>
        <v>0</v>
      </c>
      <c r="DV163" s="560">
        <f>Sheet1!ED165*AFtoMG</f>
        <v>0</v>
      </c>
      <c r="DW163" s="560">
        <f t="shared" si="319"/>
        <v>0</v>
      </c>
      <c r="DX163" s="560">
        <f t="shared" si="320"/>
        <v>0</v>
      </c>
      <c r="DY163" s="560">
        <f t="shared" si="321"/>
        <v>5720.9656756110899</v>
      </c>
      <c r="DZ163" s="560">
        <f t="shared" si="322"/>
        <v>17551.922692774824</v>
      </c>
      <c r="EA163" s="560"/>
      <c r="EB163" s="545">
        <f>IF(OR(B163&lt;FV163,B163&gt;FW163),(MIN(BF163+BY163+CT163+MAX(Sheet1!AA165+AQ163-73,0),K163)),0)</f>
        <v>8.984</v>
      </c>
      <c r="EC163" s="560"/>
      <c r="ED163" s="560">
        <f t="shared" si="323"/>
        <v>8.984</v>
      </c>
      <c r="EE163" s="560"/>
      <c r="EF163" s="560">
        <f>Sheet1!EH165+Sheet1!EI165+Sheet1!EJ165+Sheet1!EK165</f>
        <v>9</v>
      </c>
      <c r="EG163" s="560"/>
      <c r="EH163" s="545">
        <f t="shared" si="324"/>
        <v>0</v>
      </c>
      <c r="EI163" s="560">
        <f>IF(Sheet1!ET165=1,SUM('Calculations II'!AT163:BA163)+'Calculations II'!BC163+Sheet1!BV165+'Calculations II'!BE163+AP163,SUM('Calculations II'!AT163:BA163)+'Calculations II'!BC163+Sheet1!BV165+'Calculations II'!BE163+AP163)</f>
        <v>66.744687999999996</v>
      </c>
      <c r="EJ163" s="560">
        <f>Sheet1!AA165+Sheet1!AB165+'Calculations II'!BC163</f>
        <v>68.23</v>
      </c>
      <c r="EK163" s="560"/>
      <c r="EL163" s="560"/>
      <c r="EM163" s="560">
        <f t="shared" si="325"/>
        <v>41791</v>
      </c>
      <c r="EN163" s="560">
        <f t="shared" si="326"/>
        <v>55.655999999999999</v>
      </c>
      <c r="EO163" s="560">
        <f t="shared" si="327"/>
        <v>86.099831999999992</v>
      </c>
      <c r="EP163" s="560">
        <v>0</v>
      </c>
      <c r="EQ163" s="560">
        <v>0</v>
      </c>
      <c r="ER163" s="560">
        <v>0</v>
      </c>
      <c r="ES163" s="545">
        <f t="shared" si="349"/>
        <v>1.1062895183753148</v>
      </c>
      <c r="ET163" s="560">
        <f>-(VLOOKUP(Sheet1!BQ165,Lookup!$O$4:$Q$262,2)-VLOOKUP(Sheet1!BQ164,Lookup!$O$4:$Q$262,2))/1000000</f>
        <v>0.55315756655133885</v>
      </c>
      <c r="EU163" s="560">
        <f>-(VLOOKUP(Sheet1!BR165,Lookup!$O$4:$Q$262,3)-VLOOKUP(Sheet1!BR164,Lookup!$O$4:$Q$262,3))/1000000</f>
        <v>0.5531319518239759</v>
      </c>
      <c r="EV163" s="560"/>
      <c r="EW163" s="560"/>
      <c r="EX163" s="560"/>
      <c r="EY163" s="560"/>
      <c r="EZ163" s="560"/>
      <c r="FA163" s="560"/>
      <c r="FB163" s="560"/>
      <c r="FC163" s="560"/>
      <c r="FD163" s="594" t="e">
        <f t="shared" si="328"/>
        <v>#N/A</v>
      </c>
      <c r="FE163" s="594" t="e">
        <f t="shared" si="329"/>
        <v>#N/A</v>
      </c>
      <c r="FF163" s="595" t="e">
        <f t="shared" si="330"/>
        <v>#N/A</v>
      </c>
      <c r="FG163" s="596" t="s">
        <v>692</v>
      </c>
      <c r="FH163" s="596" t="s">
        <v>692</v>
      </c>
      <c r="FI163" s="594" t="e">
        <v>#N/A</v>
      </c>
      <c r="FJ163" s="594" t="e">
        <v>#N/A</v>
      </c>
      <c r="FK163" s="560"/>
      <c r="FL163" s="560"/>
      <c r="FM163" s="560"/>
      <c r="FN163" s="560"/>
      <c r="FO163" s="560">
        <f>O163+((Sheet1!CS165)*GPMtoMGD)</f>
        <v>68.23</v>
      </c>
      <c r="FP163" s="560">
        <f>IF(Sheet1!AA165+AQ163&lt;=Calculation!N163,AQ163,Calculation!N163-Sheet1!AA165)</f>
        <v>34.338844444444447</v>
      </c>
      <c r="FQ163" s="560">
        <f>(Sheet1!BP165+Sheet1!BO165)/694.4</f>
        <v>3.2006048387096775</v>
      </c>
      <c r="FR163" s="560"/>
      <c r="FS163" s="560"/>
      <c r="FT163" s="560"/>
      <c r="FU163" s="560"/>
      <c r="FV163" s="695">
        <f t="shared" si="350"/>
        <v>41827</v>
      </c>
      <c r="FW163" s="695">
        <f t="shared" si="351"/>
        <v>41934</v>
      </c>
      <c r="FX163" s="560"/>
      <c r="FY163" s="560"/>
      <c r="FZ163" s="560"/>
      <c r="GA163" s="560"/>
      <c r="GB163" s="560" t="str">
        <f t="shared" si="352"/>
        <v>n</v>
      </c>
      <c r="GC163" s="564">
        <f t="shared" si="353"/>
        <v>41691</v>
      </c>
      <c r="GD163" s="695">
        <f t="shared" si="354"/>
        <v>41807</v>
      </c>
      <c r="GE163" s="560">
        <v>6518.9</v>
      </c>
      <c r="GF163" s="695">
        <f t="shared" si="355"/>
        <v>41808</v>
      </c>
      <c r="GG163" s="560">
        <f t="shared" si="374"/>
        <v>3259</v>
      </c>
      <c r="GH163" s="564">
        <f t="shared" si="356"/>
        <v>41934</v>
      </c>
      <c r="GJ163" s="545">
        <f t="shared" si="357"/>
        <v>39.502222222222223</v>
      </c>
      <c r="GK163" s="560" t="str">
        <f t="shared" si="331"/>
        <v>PP</v>
      </c>
      <c r="GL163" s="560">
        <f t="shared" si="358"/>
        <v>26.933333333333334</v>
      </c>
      <c r="GM163" s="560" t="str">
        <f t="shared" si="359"/>
        <v/>
      </c>
      <c r="GN163" s="560">
        <f>IF(GK163="P",Lookup!$M$12,IF(GK163="PP",Lookup!$M$13,IF(GK163="PPP",Lookup!$M$14,IF(GK163="T",Lookup!$M$15,IF(GK163="TP",Lookup!$M$16,IF(GK163="TPP",Lookup!$M$17,IF(GK163="TPPP",Lookup!$M$18,0)))))))*GJ163</f>
        <v>0</v>
      </c>
      <c r="GO163" s="560">
        <f t="shared" si="360"/>
        <v>0</v>
      </c>
      <c r="GP163" s="560">
        <f t="shared" si="332"/>
        <v>8333.3271666666678</v>
      </c>
      <c r="GQ163" s="560">
        <f t="shared" si="368"/>
        <v>2716.2083333333335</v>
      </c>
      <c r="GR163" s="560"/>
      <c r="GS163" s="560">
        <f t="shared" si="361"/>
        <v>12.568888888888889</v>
      </c>
      <c r="GT163" s="560" t="str">
        <f t="shared" si="362"/>
        <v/>
      </c>
      <c r="GU163" s="560">
        <f>IF(GK163="P",Lookup!$N$12,IF(GK163="PP",Lookup!$N$13,IF(GK163="PPP",Lookup!$N$14,IF(GK163="T",Lookup!$N$15,IF(GK163="TP",Lookup!$N$16,IF(GK163="TPP",Lookup!$N$17,IF(GK163="TPPP",Lookup!$N$18,0)))))))*GJ163</f>
        <v>19.751111111111111</v>
      </c>
      <c r="GV163" s="560">
        <f t="shared" si="363"/>
        <v>0</v>
      </c>
      <c r="GW163" s="560">
        <f t="shared" si="333"/>
        <v>3888.8860111111112</v>
      </c>
      <c r="GX163" s="560">
        <f t="shared" si="369"/>
        <v>1267.5638888888889</v>
      </c>
      <c r="GY163" s="560"/>
      <c r="GZ163" s="560">
        <f t="shared" si="364"/>
        <v>0</v>
      </c>
      <c r="HA163" s="560" t="str">
        <f t="shared" si="365"/>
        <v>P</v>
      </c>
      <c r="HB163" s="560">
        <f>IF(GK163="P",Lookup!$N$12,IF(GK163="PP",Lookup!$N$13,IF(GK163="PPP",Lookup!$N$14,IF(GK163="T",Lookup!$N$15,IF(GK163="TP",Lookup!$N$16,IF(GK163="TPP",Lookup!$N$17,IF(GK163="TPPP",Lookup!$N$18,0)))))))*GJ163</f>
        <v>19.751111111111111</v>
      </c>
      <c r="HC163" s="545">
        <f t="shared" si="334"/>
        <v>19.751111111111111</v>
      </c>
      <c r="HD163" s="560">
        <f t="shared" si="335"/>
        <v>3070.5473699448712</v>
      </c>
      <c r="HE163" s="560">
        <f t="shared" si="370"/>
        <v>1000.8303031111053</v>
      </c>
      <c r="HF163" s="560"/>
      <c r="HG163" s="560">
        <f t="shared" si="366"/>
        <v>0</v>
      </c>
      <c r="HH163" s="560" t="str">
        <f t="shared" si="367"/>
        <v>P</v>
      </c>
      <c r="HI163" s="560">
        <f>IF(GK163="P",Lookup!$N$12,IF(GK163="PP",Lookup!$N$13,IF(GK163="PPP",Lookup!$N$14,IF(GK163="T",Lookup!$N$15,IF(GK163="TP",Lookup!$N$16,IF(GK163="TPP",Lookup!$N$17,IF(GK163="TPPP",Lookup!$N$18,0)))))))*GJ163</f>
        <v>19.751111111111111</v>
      </c>
      <c r="HJ163" s="545">
        <f t="shared" si="336"/>
        <v>19.751111111111111</v>
      </c>
      <c r="HK163" s="560">
        <f t="shared" si="337"/>
        <v>2137.9693272743957</v>
      </c>
      <c r="HL163" s="560">
        <f t="shared" si="371"/>
        <v>696.86092805553972</v>
      </c>
      <c r="HM163" s="560"/>
    </row>
    <row r="164" spans="1:221">
      <c r="A164" s="580" t="s">
        <v>4</v>
      </c>
      <c r="B164" s="556">
        <v>41792</v>
      </c>
      <c r="C164" s="561">
        <v>0</v>
      </c>
      <c r="D164" s="529">
        <f t="shared" si="372"/>
        <v>300</v>
      </c>
      <c r="E164" s="529">
        <f t="shared" si="373"/>
        <v>250</v>
      </c>
      <c r="F164" s="529">
        <v>250</v>
      </c>
      <c r="G164" s="560">
        <f>DR164+Sheet1!CZ166</f>
        <v>821.25113464447736</v>
      </c>
      <c r="H164" s="914">
        <f t="shared" si="338"/>
        <v>263.89353343419015</v>
      </c>
      <c r="I164" s="559">
        <f>MAX(Sheet1!Z166-AT164+(Sheet1!DA166-E164)*CFStoMGD,0)</f>
        <v>509.03519999999997</v>
      </c>
      <c r="J164" s="562">
        <f>IF(AND(B164&gt;=Calculation!GC164,B164&lt;=Calculation!GD164),IF(Sheet1!DB166&gt;=Calculation!D164,64.64,0),MAX(Sheet1!Z166-AT164+(Sheet1!DB166-D164)*CFStoMGD,0))</f>
        <v>64.64</v>
      </c>
      <c r="K164" s="904">
        <f t="shared" si="273"/>
        <v>64.64</v>
      </c>
      <c r="L164" s="560">
        <f>Sheet1!AA166+Sheet1!AB166-Sheet1!L166+(Sheet1!DA166-F164)*CFStoMGD</f>
        <v>532.40519999999992</v>
      </c>
      <c r="M164" s="560">
        <f t="shared" si="274"/>
        <v>541.47386810287401</v>
      </c>
      <c r="N164" s="910">
        <f>IF(Sheet1!DA166&gt;=F164,MIN(73,MIN(MAX(L164,0),MAX(M164,0))),0)</f>
        <v>73</v>
      </c>
      <c r="O164" s="563">
        <f>Sheet1!AA166+Sheet1!AB166</f>
        <v>68.289999999999992</v>
      </c>
      <c r="P164" s="563">
        <f t="shared" si="275"/>
        <v>105.64462999999999</v>
      </c>
      <c r="Q164" s="898">
        <f t="shared" si="339"/>
        <v>59.209999999999994</v>
      </c>
      <c r="R164" s="829">
        <f t="shared" si="276"/>
        <v>9.0437444543034609</v>
      </c>
      <c r="S164" s="898">
        <f t="shared" si="340"/>
        <v>9.08</v>
      </c>
      <c r="T164" s="898">
        <f t="shared" si="341"/>
        <v>55.56</v>
      </c>
      <c r="U164" s="898">
        <f t="shared" si="342"/>
        <v>0</v>
      </c>
      <c r="V164" s="898"/>
      <c r="W164" s="898">
        <f t="shared" si="343"/>
        <v>55.596255545696536</v>
      </c>
      <c r="X164" s="898">
        <f t="shared" si="344"/>
        <v>64.64</v>
      </c>
      <c r="Y164" s="898" t="str">
        <f t="shared" si="345"/>
        <v>FALSE</v>
      </c>
      <c r="Z164" s="898">
        <f t="shared" si="346"/>
        <v>68.289999999999992</v>
      </c>
      <c r="AA164" s="898">
        <f t="shared" si="347"/>
        <v>68.289999999999992</v>
      </c>
      <c r="AB164" s="898" t="str">
        <f t="shared" si="348"/>
        <v/>
      </c>
      <c r="AC164" s="563">
        <f>Sheet1!Y166*MGDtoCFS</f>
        <v>36.060569999999998</v>
      </c>
      <c r="AD164" s="563">
        <f>Sheet1!Z166*MGDtoCFS</f>
        <v>69.491240000000005</v>
      </c>
      <c r="AE164" s="563">
        <f>Sheet1!AA166*MGDtoCFS</f>
        <v>36.184330000000003</v>
      </c>
      <c r="AF164" s="563">
        <f>Sheet1!AB166*MGDtoCFS</f>
        <v>69.460299999999989</v>
      </c>
      <c r="AG164" s="563">
        <f>Sheet1!L166*MGDtoCFS</f>
        <v>0</v>
      </c>
      <c r="AH164" s="545">
        <f t="shared" si="277"/>
        <v>0</v>
      </c>
      <c r="AI164" s="560">
        <f t="shared" si="278"/>
        <v>0</v>
      </c>
      <c r="AJ164" s="560">
        <f t="shared" si="279"/>
        <v>55.596255545696536</v>
      </c>
      <c r="AK164" s="560">
        <f t="shared" si="280"/>
        <v>86.007407329192532</v>
      </c>
      <c r="AL164" s="560">
        <f>(VLOOKUP(Sheet1!DC166,hhdcap_wcm,4)-(((VLOOKUP(Sheet1!DC166,hhdcap_wcm,3)-Sheet1!DC166)/(VLOOKUP(Sheet1!DC166,hhdcap_wcm,3)-VLOOKUP(Sheet1!DC166,hhdcap_wcm,1)))*(VLOOKUP(Sheet1!DC166,hhdcap_wcm,4)-VLOOKUP(Sheet1!DC166,hhdcap_wcm,2))))</f>
        <v>49416.600000119492</v>
      </c>
      <c r="AM164" s="560">
        <f t="shared" si="281"/>
        <v>-11.400000000001455</v>
      </c>
      <c r="AN164" s="560">
        <f t="shared" si="282"/>
        <v>5776.5619311567862</v>
      </c>
      <c r="AO164" s="560">
        <f t="shared" si="283"/>
        <v>17722.492004789019</v>
      </c>
      <c r="AP164" s="560">
        <f>Sheet1!BA166+Sheet1!BB166+Sheet1!BN166+CD164</f>
        <v>36</v>
      </c>
      <c r="AQ164" s="560">
        <f>Sheet1!BN166+(DO164*Sheet1!BN166)</f>
        <v>34.262644188110023</v>
      </c>
      <c r="AR164" s="560">
        <f>Sheet1!BA166+CD164</f>
        <v>0</v>
      </c>
      <c r="AS164" s="560">
        <f>Sheet1!BA166+Sheet1!BB166+CD164</f>
        <v>1.6</v>
      </c>
      <c r="AT164" s="698">
        <f>0</f>
        <v>0</v>
      </c>
      <c r="AU164" s="560">
        <f>IF(EB164&lt;K164,0,MAX(Sheet1!AA166+AQ164-15/36*K164-N164,Sheet1!EH166,0))</f>
        <v>0</v>
      </c>
      <c r="AV164" s="560">
        <f>IF(OR(B164&gt;=GD164,B164&lt;GC164),0,15/36*K164-MAX(0,64.6-(137.6-(Sheet1!AA166+Sheet1!AB166))))</f>
        <v>26.933333333333334</v>
      </c>
      <c r="AW164" s="698">
        <f>Sheet1!DB166-110</f>
        <v>652</v>
      </c>
      <c r="AX164" s="698">
        <f>Sheet1!DA166-265</f>
        <v>703</v>
      </c>
      <c r="AY164" s="698">
        <f t="shared" si="284"/>
        <v>13.790000000000006</v>
      </c>
      <c r="AZ164" s="698">
        <v>0</v>
      </c>
      <c r="BA164" s="698">
        <f t="shared" si="285"/>
        <v>0</v>
      </c>
      <c r="BB164" s="560">
        <f t="shared" si="286"/>
        <v>2716.2083333333335</v>
      </c>
      <c r="BC164" s="560"/>
      <c r="BD164" s="560">
        <f ca="1">IF(B164&gt;Summary!$A$1,#N/A,BB164*MGtoAF)</f>
        <v>8333.3271666666678</v>
      </c>
      <c r="BE164" s="560">
        <f>Sheet1!BG166+Sheet1!BH166+Sheet1!BI166-BM164</f>
        <v>0</v>
      </c>
      <c r="BF164" s="560">
        <f t="shared" si="287"/>
        <v>0</v>
      </c>
      <c r="BG164" s="560">
        <f>IF(Sheet1!EP166="FM",BM164,0)</f>
        <v>0</v>
      </c>
      <c r="BH164" s="560">
        <f t="shared" si="288"/>
        <v>0</v>
      </c>
      <c r="BI164" s="560">
        <f>IF(Sheet1!EP166="OTHER",BM164,0)</f>
        <v>0</v>
      </c>
      <c r="BJ164" s="560">
        <f t="shared" si="289"/>
        <v>0</v>
      </c>
      <c r="BK164" s="560">
        <f t="shared" si="290"/>
        <v>0</v>
      </c>
      <c r="BL164" s="560">
        <f t="shared" si="291"/>
        <v>0</v>
      </c>
      <c r="BM164" s="560">
        <f>IF(OR(Sheet1!EP166="FM", Sheet1!EP166="OTHER"),SUM(Sheet1!BG166:'Sheet1'!BI166),0)</f>
        <v>0</v>
      </c>
      <c r="BN164" s="545">
        <f>IF(AND($B164&gt;=$FV164,$B164&lt;=$FW164),MAX(BF164,Sheet1!EI166,0),MAX(BF164-(7/36)*$K164,0))</f>
        <v>0</v>
      </c>
      <c r="BO164" s="560">
        <f t="shared" si="292"/>
        <v>12.568888888888889</v>
      </c>
      <c r="BP164" s="545">
        <f t="shared" si="293"/>
        <v>0</v>
      </c>
      <c r="BQ164" s="545">
        <f>IF(AND($O164&gt;0,Sheet1!EM166=1),(1-($O164-Sheet1!$L166)/$O164)*BL164,0)</f>
        <v>0</v>
      </c>
      <c r="BR164" s="545">
        <f>IF(AND(Sheet1!$L166=0,Sheet1!$L165=0, Calculation!BK164&lt;Sheet1!$EI166-0.1,Sheet1!$EI166=Sheet1!$EI165,Sheet1!$EI166=Sheet1!$EI167),Sheet1!$EI166,BL164-BQ164)</f>
        <v>0</v>
      </c>
      <c r="BS164" s="560"/>
      <c r="BT164" s="560"/>
      <c r="BU164" s="560">
        <f t="shared" si="294"/>
        <v>1267.5638888888889</v>
      </c>
      <c r="BV164" s="560"/>
      <c r="BW164" s="560">
        <f ca="1">IF(B164&gt;Summary!$A$1,#N/A,BU164*MGtoAF)</f>
        <v>3888.8860111111112</v>
      </c>
      <c r="BX164" s="560">
        <f>Sheet1!BC166+Sheet1!BD166+Sheet1!BE166+Sheet1!BF166-CG164-CH164</f>
        <v>2</v>
      </c>
      <c r="BY164" s="560">
        <f t="shared" si="295"/>
        <v>1.9920141969831411</v>
      </c>
      <c r="BZ164" s="560">
        <f>IF(Sheet1!EQ166="FM",CH164,0)</f>
        <v>0</v>
      </c>
      <c r="CA164" s="560">
        <f t="shared" si="296"/>
        <v>0</v>
      </c>
      <c r="CB164" s="560">
        <f>IF(Sheet1!EQ166="OTHER",CH164,0)</f>
        <v>0</v>
      </c>
      <c r="CC164" s="560">
        <f t="shared" si="297"/>
        <v>0</v>
      </c>
      <c r="CD164" s="560">
        <f t="shared" si="298"/>
        <v>0</v>
      </c>
      <c r="CE164" s="560">
        <f t="shared" si="299"/>
        <v>2</v>
      </c>
      <c r="CF164" s="560">
        <f t="shared" si="300"/>
        <v>1.9920141969831411</v>
      </c>
      <c r="CG164" s="560">
        <f>IF(Sheet1!EQ166="CWA",SUM(Sheet1!BC166:'Sheet1'!BF166),0)</f>
        <v>0</v>
      </c>
      <c r="CH164" s="560">
        <f>IF(OR(Sheet1!EQ166="FM", Sheet1!EQ166="OTHER"),SUM(Sheet1!BC166:'Sheet1'!BF166),0)</f>
        <v>0</v>
      </c>
      <c r="CI164" s="545">
        <f>IF(AND($B164&gt;=$FV164,$B164&lt;=$FW164),MAX(CF164,Sheet1!EJ166,0),MAX(CF164-(7/36)*$K164,0))</f>
        <v>0</v>
      </c>
      <c r="CJ164" s="560">
        <f t="shared" si="301"/>
        <v>10.576874691905747</v>
      </c>
      <c r="CK164" s="545">
        <f t="shared" si="302"/>
        <v>1.9920141969831411</v>
      </c>
      <c r="CL164" s="545">
        <f>IF(AND($O164&gt;0,Sheet1!EN166=1),(1-($O164-Sheet1!$L166)/$O164)*CF164,0)</f>
        <v>0</v>
      </c>
      <c r="CM164" s="545">
        <f>IF(AND(Sheet1!$L166=0,Sheet1!$L165=0, Calculation!CE164&lt;Sheet1!EJ166-0.1,Sheet1!EJ166=Sheet1!EJ165,Sheet1!EJ166=Sheet1!EJ167),Sheet1!EJ166,CF164-CL164)</f>
        <v>1.9920141969831411</v>
      </c>
      <c r="CN164" s="545"/>
      <c r="CO164" s="560"/>
      <c r="CP164" s="560">
        <f t="shared" si="303"/>
        <v>1050.9094000252333</v>
      </c>
      <c r="CQ164" s="560"/>
      <c r="CR164" s="560">
        <f ca="1">IF(B164&gt;Summary!$A$1,#N/A,CP164*MGtoAF)</f>
        <v>3224.1900392774155</v>
      </c>
      <c r="CS164" s="560">
        <f>Sheet1!BK166+Sheet1!BL166+Sheet1!BM166-Sheet1!ER166-DA164</f>
        <v>7.08</v>
      </c>
      <c r="CT164" s="560">
        <f t="shared" si="304"/>
        <v>7.0517302573203198</v>
      </c>
      <c r="CU164" s="560">
        <f>IF(Sheet1!ER166="FM",DA164,0)</f>
        <v>0</v>
      </c>
      <c r="CV164" s="560">
        <f t="shared" si="305"/>
        <v>0</v>
      </c>
      <c r="CW164" s="560">
        <f>IF(Sheet1!ER166="OTHER",DA164,0)</f>
        <v>0</v>
      </c>
      <c r="CX164" s="560">
        <f t="shared" si="306"/>
        <v>0</v>
      </c>
      <c r="CY164" s="560">
        <f t="shared" si="307"/>
        <v>7.08</v>
      </c>
      <c r="CZ164" s="560">
        <f t="shared" si="308"/>
        <v>7.0517302573203198</v>
      </c>
      <c r="DA164" s="560">
        <f>IF(OR(Sheet1!ER166="FM", Sheet1!ER166="OTHER"),SUM(Sheet1!BK166:'Sheet1'!BM166),0)</f>
        <v>0</v>
      </c>
      <c r="DB164" s="545">
        <f>IF(AND($B164&gt;=$FV164,$B164&lt;=$FW164),MAX($CT164,Sheet1!EK166,0),MAX($CT164-(7/36)*$K164,0))</f>
        <v>0</v>
      </c>
      <c r="DC164" s="560">
        <f t="shared" si="309"/>
        <v>5.5171586315685692</v>
      </c>
      <c r="DD164" s="545">
        <f t="shared" si="310"/>
        <v>7.0517302573203198</v>
      </c>
      <c r="DE164" s="545">
        <f>IF(AND($O164&gt;0,Sheet1!EO166=1),(1-($O164-Sheet1!$L166)/$O164)*CZ164,0)</f>
        <v>0</v>
      </c>
      <c r="DF164" s="545">
        <f>IF(AND(Sheet1!$L166=0,Sheet1!$L165=0, Calculation!CY164&lt;Sheet1!$EK166-0.1,Sheet1!$EK166=Sheet1!$EK165,Sheet1!$EK166=Sheet1!$EK167),Sheet1!$EK166,CZ164-DE164)</f>
        <v>7.0517302573203198</v>
      </c>
      <c r="DG164" s="545"/>
      <c r="DH164" s="560">
        <f t="shared" si="311"/>
        <v>9.08</v>
      </c>
      <c r="DI164" s="560">
        <f t="shared" si="312"/>
        <v>741.88030890933044</v>
      </c>
      <c r="DJ164" s="698">
        <f t="shared" si="313"/>
        <v>9.0437444543034609</v>
      </c>
      <c r="DK164" s="560">
        <f ca="1">IF(B164&gt;Summary!$A$1,#N/A,DI164*MGtoAF)</f>
        <v>2276.0887877338259</v>
      </c>
      <c r="DL164" s="698">
        <f t="shared" si="314"/>
        <v>9.08</v>
      </c>
      <c r="DM164" s="560">
        <f t="shared" si="315"/>
        <v>45.08</v>
      </c>
      <c r="DN164" s="560">
        <f>Sheet1!AB166-DM164</f>
        <v>-0.17999999999999972</v>
      </c>
      <c r="DO164" s="823">
        <f t="shared" si="316"/>
        <v>-3.9929015084294523E-3</v>
      </c>
      <c r="DP164" s="560">
        <f>(VLOOKUP(Sheet1!DC166,hhdcap_wcm,4)-(((VLOOKUP(Sheet1!DC166,hhdcap_wcm,3)-Sheet1!DC166)/(VLOOKUP(Sheet1!DC166,hhdcap_wcm,3)-VLOOKUP(Sheet1!DC166,hhdcap_wcm,1)))*(VLOOKUP(Sheet1!DC166,hhdcap_wcm,4)-VLOOKUP(Sheet1!DC166,hhdcap_wcm,2))))</f>
        <v>49416.600000119492</v>
      </c>
      <c r="DQ164" s="560">
        <f t="shared" si="317"/>
        <v>-11.400000000001455</v>
      </c>
      <c r="DR164" s="560">
        <f t="shared" si="318"/>
        <v>-5.7488653555226694</v>
      </c>
      <c r="DS164" s="560">
        <f>Sheet1!EA166*AFtoMG</f>
        <v>0</v>
      </c>
      <c r="DT164" s="560">
        <f>Sheet1!EB166*AFtoMG</f>
        <v>0</v>
      </c>
      <c r="DU164" s="560">
        <f>Sheet1!EC166*AFtoMG</f>
        <v>0</v>
      </c>
      <c r="DV164" s="560">
        <f>Sheet1!ED166*AFtoMG</f>
        <v>0</v>
      </c>
      <c r="DW164" s="560">
        <f t="shared" si="319"/>
        <v>0</v>
      </c>
      <c r="DX164" s="560">
        <f t="shared" si="320"/>
        <v>0</v>
      </c>
      <c r="DY164" s="560">
        <f t="shared" si="321"/>
        <v>5776.5619311567862</v>
      </c>
      <c r="DZ164" s="560">
        <f t="shared" si="322"/>
        <v>17722.492004789019</v>
      </c>
      <c r="EA164" s="560"/>
      <c r="EB164" s="545">
        <f>IF(OR(B164&lt;FV164,B164&gt;FW164),(MIN(BF164+BY164+CT164+MAX(Sheet1!AA166+AQ164-73,0),K164)),0)</f>
        <v>9.0437444543034609</v>
      </c>
      <c r="EC164" s="560"/>
      <c r="ED164" s="560">
        <f t="shared" si="323"/>
        <v>9.0437444543034609</v>
      </c>
      <c r="EE164" s="560"/>
      <c r="EF164" s="560">
        <f>Sheet1!EH166+Sheet1!EI166+Sheet1!EJ166+Sheet1!EK166</f>
        <v>9.08</v>
      </c>
      <c r="EG164" s="560"/>
      <c r="EH164" s="545">
        <f t="shared" si="324"/>
        <v>0</v>
      </c>
      <c r="EI164" s="560">
        <f>IF(Sheet1!ET166=1,SUM('Calculations II'!AT164:BA164)+'Calculations II'!BC164+Sheet1!BV166+'Calculations II'!BE164+AP164,SUM('Calculations II'!AT164:BA164)+'Calculations II'!BC164+Sheet1!BV166+'Calculations II'!BE164+AP164)</f>
        <v>65.383455999999995</v>
      </c>
      <c r="EJ164" s="560">
        <f>Sheet1!AA166+Sheet1!AB166+'Calculations II'!BC164</f>
        <v>68.289999999999992</v>
      </c>
      <c r="EK164" s="560"/>
      <c r="EL164" s="560"/>
      <c r="EM164" s="560">
        <f t="shared" si="325"/>
        <v>41792</v>
      </c>
      <c r="EN164" s="560">
        <f t="shared" si="326"/>
        <v>55.596255545696536</v>
      </c>
      <c r="EO164" s="560">
        <f t="shared" si="327"/>
        <v>86.007407329192532</v>
      </c>
      <c r="EP164" s="560">
        <v>0</v>
      </c>
      <c r="EQ164" s="560">
        <v>0</v>
      </c>
      <c r="ER164" s="560">
        <v>0</v>
      </c>
      <c r="ES164" s="545">
        <f t="shared" si="349"/>
        <v>-0.96799052102996408</v>
      </c>
      <c r="ET164" s="560">
        <f>-(VLOOKUP(Sheet1!BQ166,Lookup!$O$4:$Q$262,2)-VLOOKUP(Sheet1!BQ165,Lookup!$O$4:$Q$262,2))/1000000</f>
        <v>-0.41485856920598818</v>
      </c>
      <c r="EU164" s="560">
        <f>-(VLOOKUP(Sheet1!BR166,Lookup!$O$4:$Q$262,3)-VLOOKUP(Sheet1!BR165,Lookup!$O$4:$Q$262,3))/1000000</f>
        <v>-0.5531319518239759</v>
      </c>
      <c r="EV164" s="560"/>
      <c r="EW164" s="560"/>
      <c r="EX164" s="560"/>
      <c r="EY164" s="560"/>
      <c r="EZ164" s="560"/>
      <c r="FA164" s="560"/>
      <c r="FB164" s="560"/>
      <c r="FC164" s="560"/>
      <c r="FD164" s="594" t="e">
        <f t="shared" si="328"/>
        <v>#N/A</v>
      </c>
      <c r="FE164" s="594" t="e">
        <f t="shared" si="329"/>
        <v>#N/A</v>
      </c>
      <c r="FF164" s="595" t="e">
        <f t="shared" si="330"/>
        <v>#N/A</v>
      </c>
      <c r="FG164" s="596" t="s">
        <v>692</v>
      </c>
      <c r="FH164" s="596" t="s">
        <v>692</v>
      </c>
      <c r="FI164" s="594" t="e">
        <v>#N/A</v>
      </c>
      <c r="FJ164" s="594" t="e">
        <v>#N/A</v>
      </c>
      <c r="FK164" s="560">
        <v>25000</v>
      </c>
      <c r="FL164" s="560"/>
      <c r="FM164" s="560"/>
      <c r="FN164" s="560"/>
      <c r="FO164" s="560">
        <f>O164+((Sheet1!CS166)*GPMtoMGD)</f>
        <v>68.289999999999992</v>
      </c>
      <c r="FP164" s="560">
        <f>IF(Sheet1!AA166+AQ164&lt;=Calculation!N164,AQ164,Calculation!N164-Sheet1!AA166)</f>
        <v>34.262644188110023</v>
      </c>
      <c r="FQ164" s="560">
        <f>(Sheet1!BP166+Sheet1!BO166)/694.4</f>
        <v>2.5632200460829497</v>
      </c>
      <c r="FR164" s="560"/>
      <c r="FS164" s="560"/>
      <c r="FT164" s="560"/>
      <c r="FU164" s="560"/>
      <c r="FV164" s="695">
        <f t="shared" si="350"/>
        <v>41827</v>
      </c>
      <c r="FW164" s="695">
        <f t="shared" si="351"/>
        <v>41934</v>
      </c>
      <c r="FX164" s="560"/>
      <c r="FY164" s="560"/>
      <c r="FZ164" s="560"/>
      <c r="GA164" s="560"/>
      <c r="GB164" s="560" t="str">
        <f t="shared" si="352"/>
        <v>n</v>
      </c>
      <c r="GC164" s="564">
        <f t="shared" si="353"/>
        <v>41691</v>
      </c>
      <c r="GD164" s="695">
        <f t="shared" si="354"/>
        <v>41807</v>
      </c>
      <c r="GE164" s="560">
        <v>6518.9</v>
      </c>
      <c r="GF164" s="695">
        <f t="shared" si="355"/>
        <v>41808</v>
      </c>
      <c r="GG164" s="560">
        <f t="shared" si="374"/>
        <v>3259</v>
      </c>
      <c r="GH164" s="564">
        <f t="shared" si="356"/>
        <v>41934</v>
      </c>
      <c r="GJ164" s="545">
        <f t="shared" si="357"/>
        <v>39.502222222222223</v>
      </c>
      <c r="GK164" s="560" t="str">
        <f t="shared" si="331"/>
        <v>PP</v>
      </c>
      <c r="GL164" s="560">
        <f t="shared" si="358"/>
        <v>26.933333333333334</v>
      </c>
      <c r="GM164" s="560" t="str">
        <f t="shared" si="359"/>
        <v/>
      </c>
      <c r="GN164" s="560">
        <f>IF(GK164="P",Lookup!$M$12,IF(GK164="PP",Lookup!$M$13,IF(GK164="PPP",Lookup!$M$14,IF(GK164="T",Lookup!$M$15,IF(GK164="TP",Lookup!$M$16,IF(GK164="TPP",Lookup!$M$17,IF(GK164="TPPP",Lookup!$M$18,0)))))))*GJ164</f>
        <v>0</v>
      </c>
      <c r="GO164" s="560">
        <f t="shared" si="360"/>
        <v>0</v>
      </c>
      <c r="GP164" s="560">
        <f t="shared" si="332"/>
        <v>8333.3271666666678</v>
      </c>
      <c r="GQ164" s="560">
        <f t="shared" si="368"/>
        <v>2716.2083333333335</v>
      </c>
      <c r="GR164" s="560"/>
      <c r="GS164" s="560">
        <f t="shared" si="361"/>
        <v>12.568888888888889</v>
      </c>
      <c r="GT164" s="560" t="str">
        <f t="shared" si="362"/>
        <v/>
      </c>
      <c r="GU164" s="560">
        <f>IF(GK164="P",Lookup!$N$12,IF(GK164="PP",Lookup!$N$13,IF(GK164="PPP",Lookup!$N$14,IF(GK164="T",Lookup!$N$15,IF(GK164="TP",Lookup!$N$16,IF(GK164="TPP",Lookup!$N$17,IF(GK164="TPPP",Lookup!$N$18,0)))))))*GJ164</f>
        <v>19.751111111111111</v>
      </c>
      <c r="GV164" s="560">
        <f t="shared" si="363"/>
        <v>0</v>
      </c>
      <c r="GW164" s="560">
        <f t="shared" si="333"/>
        <v>3888.8860111111112</v>
      </c>
      <c r="GX164" s="560">
        <f t="shared" si="369"/>
        <v>1267.5638888888889</v>
      </c>
      <c r="GY164" s="560"/>
      <c r="GZ164" s="560">
        <f t="shared" si="364"/>
        <v>0</v>
      </c>
      <c r="HA164" s="560" t="str">
        <f t="shared" si="365"/>
        <v>P</v>
      </c>
      <c r="HB164" s="560">
        <f>IF(GK164="P",Lookup!$N$12,IF(GK164="PP",Lookup!$N$13,IF(GK164="PPP",Lookup!$N$14,IF(GK164="T",Lookup!$N$15,IF(GK164="TP",Lookup!$N$16,IF(GK164="TPP",Lookup!$N$17,IF(GK164="TPPP",Lookup!$N$18,0)))))))*GJ164</f>
        <v>19.751111111111111</v>
      </c>
      <c r="HC164" s="545">
        <f t="shared" si="334"/>
        <v>19.751111111111111</v>
      </c>
      <c r="HD164" s="560">
        <f t="shared" si="335"/>
        <v>3163.5936303885264</v>
      </c>
      <c r="HE164" s="560">
        <f t="shared" si="370"/>
        <v>1031.1582889141221</v>
      </c>
      <c r="HF164" s="560"/>
      <c r="HG164" s="560">
        <f t="shared" si="366"/>
        <v>0</v>
      </c>
      <c r="HH164" s="560" t="str">
        <f t="shared" si="367"/>
        <v>P</v>
      </c>
      <c r="HI164" s="560">
        <f>IF(GK164="P",Lookup!$N$12,IF(GK164="PP",Lookup!$N$13,IF(GK164="PPP",Lookup!$N$14,IF(GK164="T",Lookup!$N$15,IF(GK164="TP",Lookup!$N$16,IF(GK164="TPP",Lookup!$N$17,IF(GK164="TPPP",Lookup!$N$18,0)))))))*GJ164</f>
        <v>19.751111111111111</v>
      </c>
      <c r="HJ164" s="545">
        <f t="shared" si="336"/>
        <v>19.751111111111111</v>
      </c>
      <c r="HK164" s="560">
        <f t="shared" si="337"/>
        <v>2215.4923788449369</v>
      </c>
      <c r="HL164" s="560">
        <f t="shared" si="371"/>
        <v>722.12919779821937</v>
      </c>
      <c r="HM164" s="560"/>
    </row>
    <row r="165" spans="1:221">
      <c r="A165" s="580" t="s">
        <v>5</v>
      </c>
      <c r="B165" s="556">
        <v>41793</v>
      </c>
      <c r="C165" s="561">
        <v>0</v>
      </c>
      <c r="D165" s="529">
        <f t="shared" si="372"/>
        <v>300</v>
      </c>
      <c r="E165" s="529">
        <f t="shared" si="373"/>
        <v>250</v>
      </c>
      <c r="F165" s="529">
        <v>250</v>
      </c>
      <c r="G165" s="560">
        <f>DR165+Sheet1!CZ167</f>
        <v>794.25567322226186</v>
      </c>
      <c r="H165" s="914">
        <f t="shared" si="338"/>
        <v>246.44366717087007</v>
      </c>
      <c r="I165" s="559">
        <f>MAX(Sheet1!Z167-AT165+(Sheet1!DA167-E165)*CFStoMGD,0)</f>
        <v>500.61199999999997</v>
      </c>
      <c r="J165" s="562">
        <f>IF(AND(B165&gt;=Calculation!GC165,B165&lt;=Calculation!GD165),IF(Sheet1!DB167&gt;=Calculation!D165,64.64,0),MAX(Sheet1!Z167-AT165+(Sheet1!DB167-D165)*CFStoMGD,0))</f>
        <v>64.64</v>
      </c>
      <c r="K165" s="904">
        <f t="shared" si="273"/>
        <v>64.64</v>
      </c>
      <c r="L165" s="560">
        <f>Sheet1!AA167+Sheet1!AB167-Sheet1!L167+(Sheet1!DA167-F165)*CFStoMGD</f>
        <v>525.31200000000001</v>
      </c>
      <c r="M165" s="560">
        <f t="shared" si="274"/>
        <v>523.67500451428748</v>
      </c>
      <c r="N165" s="910">
        <f>IF(Sheet1!DA167&gt;=F165,MIN(73,MIN(MAX(L165,0),MAX(M165,0))),0)</f>
        <v>73</v>
      </c>
      <c r="O165" s="563">
        <f>Sheet1!AA167+Sheet1!AB167</f>
        <v>69.599999999999994</v>
      </c>
      <c r="P165" s="563">
        <f t="shared" si="275"/>
        <v>107.6712</v>
      </c>
      <c r="Q165" s="898">
        <f t="shared" si="339"/>
        <v>60.33</v>
      </c>
      <c r="R165" s="829">
        <f t="shared" si="276"/>
        <v>9.2740060501296462</v>
      </c>
      <c r="S165" s="898">
        <f t="shared" si="340"/>
        <v>9.27</v>
      </c>
      <c r="T165" s="898">
        <f t="shared" si="341"/>
        <v>55.370000000000005</v>
      </c>
      <c r="U165" s="898">
        <f t="shared" si="342"/>
        <v>0</v>
      </c>
      <c r="V165" s="898"/>
      <c r="W165" s="898">
        <f t="shared" si="343"/>
        <v>55.365993949870358</v>
      </c>
      <c r="X165" s="898">
        <f t="shared" si="344"/>
        <v>64.64</v>
      </c>
      <c r="Y165" s="898" t="str">
        <f t="shared" si="345"/>
        <v>FALSE</v>
      </c>
      <c r="Z165" s="898">
        <f t="shared" si="346"/>
        <v>69.599999999999994</v>
      </c>
      <c r="AA165" s="898">
        <f t="shared" si="347"/>
        <v>69.599999999999994</v>
      </c>
      <c r="AB165" s="898" t="str">
        <f t="shared" si="348"/>
        <v/>
      </c>
      <c r="AC165" s="563">
        <f>Sheet1!Y167*MGDtoCFS</f>
        <v>36.184330000000003</v>
      </c>
      <c r="AD165" s="563">
        <f>Sheet1!Z167*MGDtoCFS</f>
        <v>69.460299999999989</v>
      </c>
      <c r="AE165" s="563">
        <f>Sheet1!AA167*MGDtoCFS</f>
        <v>36.045099999999998</v>
      </c>
      <c r="AF165" s="563">
        <f>Sheet1!AB167*MGDtoCFS</f>
        <v>71.626099999999994</v>
      </c>
      <c r="AG165" s="563">
        <f>Sheet1!L167*MGDtoCFS</f>
        <v>0</v>
      </c>
      <c r="AH165" s="545">
        <f t="shared" si="277"/>
        <v>0</v>
      </c>
      <c r="AI165" s="560">
        <f t="shared" si="278"/>
        <v>0</v>
      </c>
      <c r="AJ165" s="560">
        <f t="shared" si="279"/>
        <v>55.365993949870358</v>
      </c>
      <c r="AK165" s="560">
        <f t="shared" si="280"/>
        <v>85.651192640449437</v>
      </c>
      <c r="AL165" s="560">
        <f>(VLOOKUP(Sheet1!DC167,hhdcap_wcm,4)-(((VLOOKUP(Sheet1!DC167,hhdcap_wcm,3)-Sheet1!DC167)/(VLOOKUP(Sheet1!DC167,hhdcap_wcm,3)-VLOOKUP(Sheet1!DC167,hhdcap_wcm,1)))*(VLOOKUP(Sheet1!DC167,hhdcap_wcm,4)-VLOOKUP(Sheet1!DC167,hhdcap_wcm,2))))</f>
        <v>49359.600000119237</v>
      </c>
      <c r="AM165" s="560">
        <f t="shared" si="281"/>
        <v>-57.000000000254659</v>
      </c>
      <c r="AN165" s="560">
        <f t="shared" si="282"/>
        <v>5831.9279251066564</v>
      </c>
      <c r="AO165" s="560">
        <f t="shared" si="283"/>
        <v>17892.354874227221</v>
      </c>
      <c r="AP165" s="560">
        <f>Sheet1!BA167+Sheet1!BB167+Sheet1!BN167+CD165</f>
        <v>37.01</v>
      </c>
      <c r="AQ165" s="560">
        <f>Sheet1!BN167+(DO165*Sheet1!BN167)</f>
        <v>35.415298184961102</v>
      </c>
      <c r="AR165" s="560">
        <f>Sheet1!BA167+CD165</f>
        <v>0</v>
      </c>
      <c r="AS165" s="560">
        <f>Sheet1!BA167+Sheet1!BB167+CD165</f>
        <v>1.61</v>
      </c>
      <c r="AT165" s="698">
        <f>0</f>
        <v>0</v>
      </c>
      <c r="AU165" s="560">
        <f>IF(EB165&lt;K165,0,MAX(Sheet1!AA167+AQ165-15/36*K165-N165,Sheet1!EH167,0))</f>
        <v>0</v>
      </c>
      <c r="AV165" s="560">
        <f>IF(OR(B165&gt;=GD165,B165&lt;GC165),0,15/36*K165-MAX(0,64.6-(137.6-(Sheet1!AA167+Sheet1!AB167))))</f>
        <v>26.933333333333334</v>
      </c>
      <c r="AW165" s="698">
        <f>Sheet1!DB167-110</f>
        <v>644</v>
      </c>
      <c r="AX165" s="698">
        <f>Sheet1!DA167-265</f>
        <v>690</v>
      </c>
      <c r="AY165" s="698">
        <f t="shared" si="284"/>
        <v>12.670000000000002</v>
      </c>
      <c r="AZ165" s="698">
        <v>0</v>
      </c>
      <c r="BA165" s="698">
        <f t="shared" si="285"/>
        <v>0</v>
      </c>
      <c r="BB165" s="560">
        <f t="shared" si="286"/>
        <v>2716.2083333333335</v>
      </c>
      <c r="BC165" s="560"/>
      <c r="BD165" s="560">
        <f ca="1">IF(B165&gt;Summary!$A$1,#N/A,BB165*MGtoAF)</f>
        <v>8333.3271666666678</v>
      </c>
      <c r="BE165" s="560">
        <f>Sheet1!BG167+Sheet1!BH167+Sheet1!BI167-BM165</f>
        <v>0</v>
      </c>
      <c r="BF165" s="560">
        <f t="shared" si="287"/>
        <v>0</v>
      </c>
      <c r="BG165" s="560">
        <f>IF(Sheet1!EP167="FM",BM165,0)</f>
        <v>0</v>
      </c>
      <c r="BH165" s="560">
        <f t="shared" si="288"/>
        <v>0</v>
      </c>
      <c r="BI165" s="560">
        <f>IF(Sheet1!EP167="OTHER",BM165,0)</f>
        <v>0</v>
      </c>
      <c r="BJ165" s="560">
        <f t="shared" si="289"/>
        <v>0</v>
      </c>
      <c r="BK165" s="560">
        <f t="shared" si="290"/>
        <v>0</v>
      </c>
      <c r="BL165" s="560">
        <f t="shared" si="291"/>
        <v>0</v>
      </c>
      <c r="BM165" s="560">
        <f>IF(OR(Sheet1!EP167="FM", Sheet1!EP167="OTHER"),SUM(Sheet1!BG167:'Sheet1'!BI167),0)</f>
        <v>0</v>
      </c>
      <c r="BN165" s="545">
        <f>IF(AND($B165&gt;=$FV165,$B165&lt;=$FW165),MAX(BF165,Sheet1!EI167,0),MAX(BF165-(7/36)*$K165,0))</f>
        <v>0</v>
      </c>
      <c r="BO165" s="560">
        <f t="shared" si="292"/>
        <v>12.568888888888889</v>
      </c>
      <c r="BP165" s="545">
        <f t="shared" si="293"/>
        <v>0</v>
      </c>
      <c r="BQ165" s="545">
        <f>IF(AND($O165&gt;0,Sheet1!EM167=1),(1-($O165-Sheet1!$L167)/$O165)*BL165,0)</f>
        <v>0</v>
      </c>
      <c r="BR165" s="545">
        <f>IF(AND(Sheet1!$L167=0,Sheet1!$L166=0, Calculation!BK165&lt;Sheet1!$EI167-0.1,Sheet1!$EI167=Sheet1!$EI166,Sheet1!$EI167=Sheet1!$EI168),Sheet1!$EI167,BL165-BQ165)</f>
        <v>0</v>
      </c>
      <c r="BS165" s="560"/>
      <c r="BT165" s="560"/>
      <c r="BU165" s="560">
        <f t="shared" si="294"/>
        <v>1267.5638888888889</v>
      </c>
      <c r="BV165" s="560"/>
      <c r="BW165" s="560">
        <f ca="1">IF(B165&gt;Summary!$A$1,#N/A,BU165*MGtoAF)</f>
        <v>3888.8860111111112</v>
      </c>
      <c r="BX165" s="560">
        <f>Sheet1!BC167+Sheet1!BD167+Sheet1!BE167+Sheet1!BF167-CG165-CH165</f>
        <v>2.27</v>
      </c>
      <c r="BY165" s="560">
        <f t="shared" si="295"/>
        <v>2.2709809853068279</v>
      </c>
      <c r="BZ165" s="560">
        <f>IF(Sheet1!EQ167="FM",CH165,0)</f>
        <v>0</v>
      </c>
      <c r="CA165" s="560">
        <f t="shared" si="296"/>
        <v>0</v>
      </c>
      <c r="CB165" s="560">
        <f>IF(Sheet1!EQ167="OTHER",CH165,0)</f>
        <v>0</v>
      </c>
      <c r="CC165" s="560">
        <f t="shared" si="297"/>
        <v>0</v>
      </c>
      <c r="CD165" s="560">
        <f t="shared" si="298"/>
        <v>0</v>
      </c>
      <c r="CE165" s="560">
        <f t="shared" si="299"/>
        <v>2.27</v>
      </c>
      <c r="CF165" s="560">
        <f t="shared" si="300"/>
        <v>2.2709809853068279</v>
      </c>
      <c r="CG165" s="560">
        <f>IF(Sheet1!EQ167="CWA",SUM(Sheet1!BC167:'Sheet1'!BF167),0)</f>
        <v>0</v>
      </c>
      <c r="CH165" s="560">
        <f>IF(OR(Sheet1!EQ167="FM", Sheet1!EQ167="OTHER"),SUM(Sheet1!BC167:'Sheet1'!BF167),0)</f>
        <v>0</v>
      </c>
      <c r="CI165" s="545">
        <f>IF(AND($B165&gt;=$FV165,$B165&lt;=$FW165),MAX(CF165,Sheet1!EJ167,0),MAX(CF165-(7/36)*$K165,0))</f>
        <v>0</v>
      </c>
      <c r="CJ165" s="560">
        <f t="shared" si="301"/>
        <v>10.297907903582061</v>
      </c>
      <c r="CK165" s="545">
        <f t="shared" si="302"/>
        <v>2.2709809853068279</v>
      </c>
      <c r="CL165" s="545">
        <f>IF(AND($O165&gt;0,Sheet1!EN167=1),(1-($O165-Sheet1!$L167)/$O165)*CF165,0)</f>
        <v>0</v>
      </c>
      <c r="CM165" s="545">
        <f>IF(AND(Sheet1!$L167=0,Sheet1!$L166=0, Calculation!CE165&lt;Sheet1!EJ167-0.1,Sheet1!EJ167=Sheet1!EJ166,Sheet1!EJ167=Sheet1!EJ168),Sheet1!EJ167,CF165-CL165)</f>
        <v>2.2709809853068279</v>
      </c>
      <c r="CN165" s="545"/>
      <c r="CO165" s="560"/>
      <c r="CP165" s="560">
        <f t="shared" si="303"/>
        <v>1080.9584190399264</v>
      </c>
      <c r="CQ165" s="560"/>
      <c r="CR165" s="560">
        <f ca="1">IF(B165&gt;Summary!$A$1,#N/A,CP165*MGtoAF)</f>
        <v>3316.3804296144945</v>
      </c>
      <c r="CS165" s="560">
        <f>Sheet1!BK167+Sheet1!BL167+Sheet1!BM167-Sheet1!ER167-DA165</f>
        <v>7</v>
      </c>
      <c r="CT165" s="560">
        <f t="shared" si="304"/>
        <v>7.0030250648228174</v>
      </c>
      <c r="CU165" s="560">
        <f>IF(Sheet1!ER167="FM",DA165,0)</f>
        <v>0</v>
      </c>
      <c r="CV165" s="560">
        <f t="shared" si="305"/>
        <v>0</v>
      </c>
      <c r="CW165" s="560">
        <f>IF(Sheet1!ER167="OTHER",DA165,0)</f>
        <v>0</v>
      </c>
      <c r="CX165" s="560">
        <f t="shared" si="306"/>
        <v>0</v>
      </c>
      <c r="CY165" s="560">
        <f t="shared" si="307"/>
        <v>7</v>
      </c>
      <c r="CZ165" s="560">
        <f t="shared" si="308"/>
        <v>7.0030250648228174</v>
      </c>
      <c r="DA165" s="560">
        <f>IF(OR(Sheet1!ER167="FM", Sheet1!ER167="OTHER"),SUM(Sheet1!BK167:'Sheet1'!BM167),0)</f>
        <v>0</v>
      </c>
      <c r="DB165" s="545">
        <f>IF(AND($B165&gt;=$FV165,$B165&lt;=$FW165),MAX($CT165,Sheet1!EK167,0),MAX($CT165-(7/36)*$K165,0))</f>
        <v>0</v>
      </c>
      <c r="DC165" s="560">
        <f t="shared" si="309"/>
        <v>5.5658638240660716</v>
      </c>
      <c r="DD165" s="545">
        <f t="shared" si="310"/>
        <v>7.0030250648228174</v>
      </c>
      <c r="DE165" s="545">
        <f>IF(AND($O165&gt;0,Sheet1!EO167=1),(1-($O165-Sheet1!$L167)/$O165)*CZ165,0)</f>
        <v>0</v>
      </c>
      <c r="DF165" s="545">
        <f>IF(AND(Sheet1!$L167=0,Sheet1!$L166=0, Calculation!CY165&lt;Sheet1!$EK167-0.1,Sheet1!$EK167=Sheet1!$EK166,Sheet1!$EK167=Sheet1!$EK168),Sheet1!$EK167,CZ165-DE165)</f>
        <v>7.0030250648228174</v>
      </c>
      <c r="DG165" s="545"/>
      <c r="DH165" s="560">
        <f t="shared" si="311"/>
        <v>9.27</v>
      </c>
      <c r="DI165" s="560">
        <f t="shared" si="312"/>
        <v>767.19728384450764</v>
      </c>
      <c r="DJ165" s="698">
        <f t="shared" si="313"/>
        <v>9.2740060501296462</v>
      </c>
      <c r="DK165" s="560">
        <f ca="1">IF(B165&gt;Summary!$A$1,#N/A,DI165*MGtoAF)</f>
        <v>2353.7612668349493</v>
      </c>
      <c r="DL165" s="698">
        <f t="shared" si="314"/>
        <v>9.27</v>
      </c>
      <c r="DM165" s="560">
        <f t="shared" si="315"/>
        <v>46.28</v>
      </c>
      <c r="DN165" s="560">
        <f>Sheet1!AB167-DM165</f>
        <v>1.9999999999996021E-2</v>
      </c>
      <c r="DO165" s="823">
        <f t="shared" si="316"/>
        <v>4.3215211754529001E-4</v>
      </c>
      <c r="DP165" s="560">
        <f>(VLOOKUP(Sheet1!DC167,hhdcap_wcm,4)-(((VLOOKUP(Sheet1!DC167,hhdcap_wcm,3)-Sheet1!DC167)/(VLOOKUP(Sheet1!DC167,hhdcap_wcm,3)-VLOOKUP(Sheet1!DC167,hhdcap_wcm,1)))*(VLOOKUP(Sheet1!DC167,hhdcap_wcm,4)-VLOOKUP(Sheet1!DC167,hhdcap_wcm,2))))</f>
        <v>49359.600000119237</v>
      </c>
      <c r="DQ165" s="560">
        <f t="shared" si="317"/>
        <v>-57.000000000254659</v>
      </c>
      <c r="DR165" s="560">
        <f t="shared" si="318"/>
        <v>-28.744326777738099</v>
      </c>
      <c r="DS165" s="560">
        <f>Sheet1!EA167*AFtoMG</f>
        <v>0</v>
      </c>
      <c r="DT165" s="560">
        <f>Sheet1!EB167*AFtoMG</f>
        <v>0</v>
      </c>
      <c r="DU165" s="560">
        <f>Sheet1!EC167*AFtoMG</f>
        <v>0</v>
      </c>
      <c r="DV165" s="560">
        <f>Sheet1!ED167*AFtoMG</f>
        <v>0</v>
      </c>
      <c r="DW165" s="560">
        <f t="shared" si="319"/>
        <v>0</v>
      </c>
      <c r="DX165" s="560">
        <f t="shared" si="320"/>
        <v>0</v>
      </c>
      <c r="DY165" s="560">
        <f t="shared" si="321"/>
        <v>5831.9279251066564</v>
      </c>
      <c r="DZ165" s="560">
        <f t="shared" si="322"/>
        <v>17892.354874227221</v>
      </c>
      <c r="EA165" s="560"/>
      <c r="EB165" s="545">
        <f>IF(OR(B165&lt;FV165,B165&gt;FW165),(MIN(BF165+BY165+CT165+MAX(Sheet1!AA167+AQ165-73,0),K165)),0)</f>
        <v>9.2740060501296462</v>
      </c>
      <c r="EC165" s="560"/>
      <c r="ED165" s="560">
        <f t="shared" si="323"/>
        <v>9.2740060501296462</v>
      </c>
      <c r="EE165" s="560"/>
      <c r="EF165" s="560">
        <f>Sheet1!EH167+Sheet1!EI167+Sheet1!EJ167+Sheet1!EK167</f>
        <v>9.27</v>
      </c>
      <c r="EG165" s="560"/>
      <c r="EH165" s="545">
        <f t="shared" si="324"/>
        <v>0</v>
      </c>
      <c r="EI165" s="560">
        <f>IF(Sheet1!ET167=1,SUM('Calculations II'!AT165:BA165)+'Calculations II'!BC165+Sheet1!BV167+'Calculations II'!BE165+AP165,SUM('Calculations II'!AT165:BA165)+'Calculations II'!BC165+Sheet1!BV167+'Calculations II'!BE165+AP165)</f>
        <v>65.880399999999995</v>
      </c>
      <c r="EJ165" s="560">
        <f>Sheet1!AA167+Sheet1!AB167+'Calculations II'!BC165</f>
        <v>69.599999999999994</v>
      </c>
      <c r="EK165" s="560"/>
      <c r="EL165" s="560"/>
      <c r="EM165" s="560">
        <f t="shared" si="325"/>
        <v>41793</v>
      </c>
      <c r="EN165" s="560">
        <f t="shared" si="326"/>
        <v>55.365993949870358</v>
      </c>
      <c r="EO165" s="560">
        <f t="shared" si="327"/>
        <v>85.651192640449437</v>
      </c>
      <c r="EP165" s="560">
        <v>0</v>
      </c>
      <c r="EQ165" s="560">
        <v>0</v>
      </c>
      <c r="ER165" s="560">
        <v>0</v>
      </c>
      <c r="ES165" s="545">
        <f t="shared" si="349"/>
        <v>-1.1064688285613209</v>
      </c>
      <c r="ET165" s="560">
        <f>-(VLOOKUP(Sheet1!BQ167,Lookup!$O$4:$Q$262,2)-VLOOKUP(Sheet1!BQ166,Lookup!$O$4:$Q$262,2))/1000000</f>
        <v>-0.55323441428066045</v>
      </c>
      <c r="EU165" s="560">
        <f>-(VLOOKUP(Sheet1!BR167,Lookup!$O$4:$Q$262,3)-VLOOKUP(Sheet1!BR166,Lookup!$O$4:$Q$262,3))/1000000</f>
        <v>-0.55323441428066045</v>
      </c>
      <c r="EV165" s="560"/>
      <c r="EW165" s="560"/>
      <c r="EX165" s="560"/>
      <c r="EY165" s="560"/>
      <c r="EZ165" s="560"/>
      <c r="FA165" s="560"/>
      <c r="FB165" s="560"/>
      <c r="FC165" s="560"/>
      <c r="FD165" s="594" t="e">
        <f t="shared" si="328"/>
        <v>#N/A</v>
      </c>
      <c r="FE165" s="594" t="e">
        <f t="shared" si="329"/>
        <v>#N/A</v>
      </c>
      <c r="FF165" s="595" t="e">
        <f t="shared" si="330"/>
        <v>#N/A</v>
      </c>
      <c r="FG165" s="596" t="s">
        <v>692</v>
      </c>
      <c r="FH165" s="596" t="s">
        <v>692</v>
      </c>
      <c r="FI165" s="594" t="e">
        <v>#N/A</v>
      </c>
      <c r="FJ165" s="594" t="e">
        <v>#N/A</v>
      </c>
      <c r="FK165" s="560">
        <v>24950</v>
      </c>
      <c r="FL165" s="560"/>
      <c r="FM165" s="560"/>
      <c r="FN165" s="560"/>
      <c r="FO165" s="560">
        <f>O165+((Sheet1!CS167)*GPMtoMGD)</f>
        <v>69.599999999999994</v>
      </c>
      <c r="FP165" s="560">
        <f>IF(Sheet1!AA167+AQ165&lt;=Calculation!N165,AQ165,Calculation!N165-Sheet1!AA167)</f>
        <v>35.415298184961102</v>
      </c>
      <c r="FQ165" s="560">
        <f>(Sheet1!BP167+Sheet1!BO167)/694.4</f>
        <v>2.0754608294930876</v>
      </c>
      <c r="FR165" s="560"/>
      <c r="FS165" s="560"/>
      <c r="FT165" s="560"/>
      <c r="FU165" s="560"/>
      <c r="FV165" s="695">
        <f t="shared" si="350"/>
        <v>41827</v>
      </c>
      <c r="FW165" s="695">
        <f t="shared" si="351"/>
        <v>41934</v>
      </c>
      <c r="FX165" s="560"/>
      <c r="FY165" s="560"/>
      <c r="FZ165" s="560"/>
      <c r="GA165" s="560"/>
      <c r="GB165" s="560" t="str">
        <f t="shared" si="352"/>
        <v>n</v>
      </c>
      <c r="GC165" s="564">
        <f t="shared" si="353"/>
        <v>41691</v>
      </c>
      <c r="GD165" s="695">
        <f t="shared" si="354"/>
        <v>41807</v>
      </c>
      <c r="GE165" s="560">
        <v>6518.9</v>
      </c>
      <c r="GF165" s="695">
        <f t="shared" si="355"/>
        <v>41808</v>
      </c>
      <c r="GG165" s="560">
        <f t="shared" si="374"/>
        <v>3259</v>
      </c>
      <c r="GH165" s="564">
        <f t="shared" si="356"/>
        <v>41934</v>
      </c>
      <c r="GJ165" s="545">
        <f t="shared" si="357"/>
        <v>39.502222222222223</v>
      </c>
      <c r="GK165" s="560" t="str">
        <f t="shared" si="331"/>
        <v>PP</v>
      </c>
      <c r="GL165" s="560">
        <f t="shared" si="358"/>
        <v>26.933333333333334</v>
      </c>
      <c r="GM165" s="560" t="str">
        <f t="shared" si="359"/>
        <v/>
      </c>
      <c r="GN165" s="560">
        <f>IF(GK165="P",Lookup!$M$12,IF(GK165="PP",Lookup!$M$13,IF(GK165="PPP",Lookup!$M$14,IF(GK165="T",Lookup!$M$15,IF(GK165="TP",Lookup!$M$16,IF(GK165="TPP",Lookup!$M$17,IF(GK165="TPPP",Lookup!$M$18,0)))))))*GJ165</f>
        <v>0</v>
      </c>
      <c r="GO165" s="560">
        <f t="shared" si="360"/>
        <v>0</v>
      </c>
      <c r="GP165" s="560">
        <f t="shared" si="332"/>
        <v>8333.3271666666678</v>
      </c>
      <c r="GQ165" s="560">
        <f t="shared" si="368"/>
        <v>2716.2083333333335</v>
      </c>
      <c r="GR165" s="560"/>
      <c r="GS165" s="560">
        <f t="shared" si="361"/>
        <v>12.568888888888889</v>
      </c>
      <c r="GT165" s="560" t="str">
        <f t="shared" si="362"/>
        <v/>
      </c>
      <c r="GU165" s="560">
        <f>IF(GK165="P",Lookup!$N$12,IF(GK165="PP",Lookup!$N$13,IF(GK165="PPP",Lookup!$N$14,IF(GK165="T",Lookup!$N$15,IF(GK165="TP",Lookup!$N$16,IF(GK165="TPP",Lookup!$N$17,IF(GK165="TPPP",Lookup!$N$18,0)))))))*GJ165</f>
        <v>19.751111111111111</v>
      </c>
      <c r="GV165" s="560">
        <f t="shared" si="363"/>
        <v>0</v>
      </c>
      <c r="GW165" s="560">
        <f t="shared" si="333"/>
        <v>3888.8860111111112</v>
      </c>
      <c r="GX165" s="560">
        <f t="shared" si="369"/>
        <v>1267.5638888888889</v>
      </c>
      <c r="GY165" s="560"/>
      <c r="GZ165" s="560">
        <f t="shared" si="364"/>
        <v>0</v>
      </c>
      <c r="HA165" s="560" t="str">
        <f t="shared" si="365"/>
        <v>P</v>
      </c>
      <c r="HB165" s="560">
        <f>IF(GK165="P",Lookup!$N$12,IF(GK165="PP",Lookup!$N$13,IF(GK165="PPP",Lookup!$N$14,IF(GK165="T",Lookup!$N$15,IF(GK165="TP",Lookup!$N$16,IF(GK165="TPP",Lookup!$N$17,IF(GK165="TPPP",Lookup!$N$18,0)))))))*GJ165</f>
        <v>19.751111111111111</v>
      </c>
      <c r="HC165" s="545">
        <f t="shared" si="334"/>
        <v>19.751111111111111</v>
      </c>
      <c r="HD165" s="560">
        <f t="shared" si="335"/>
        <v>3255.7840207256054</v>
      </c>
      <c r="HE165" s="560">
        <f t="shared" si="370"/>
        <v>1061.2073079288152</v>
      </c>
      <c r="HF165" s="560"/>
      <c r="HG165" s="560">
        <f t="shared" si="366"/>
        <v>0</v>
      </c>
      <c r="HH165" s="560" t="str">
        <f t="shared" si="367"/>
        <v>P</v>
      </c>
      <c r="HI165" s="560">
        <f>IF(GK165="P",Lookup!$N$12,IF(GK165="PP",Lookup!$N$13,IF(GK165="PPP",Lookup!$N$14,IF(GK165="T",Lookup!$N$15,IF(GK165="TP",Lookup!$N$16,IF(GK165="TPP",Lookup!$N$17,IF(GK165="TPPP",Lookup!$N$18,0)))))))*GJ165</f>
        <v>19.751111111111111</v>
      </c>
      <c r="HJ165" s="545">
        <f t="shared" si="336"/>
        <v>19.751111111111111</v>
      </c>
      <c r="HK165" s="560">
        <f t="shared" si="337"/>
        <v>2293.1648579460607</v>
      </c>
      <c r="HL165" s="560">
        <f t="shared" si="371"/>
        <v>747.44617273339657</v>
      </c>
      <c r="HM165" s="560"/>
    </row>
    <row r="166" spans="1:221">
      <c r="A166" s="580" t="s">
        <v>6</v>
      </c>
      <c r="B166" s="556">
        <v>41794</v>
      </c>
      <c r="C166" s="561">
        <v>0</v>
      </c>
      <c r="D166" s="529">
        <f t="shared" si="372"/>
        <v>300</v>
      </c>
      <c r="E166" s="529">
        <f t="shared" si="373"/>
        <v>250</v>
      </c>
      <c r="F166" s="529">
        <v>250</v>
      </c>
      <c r="G166" s="560">
        <f>DR166+Sheet1!CZ168</f>
        <v>730.0090771558223</v>
      </c>
      <c r="H166" s="914">
        <f t="shared" si="338"/>
        <v>204.91466747352354</v>
      </c>
      <c r="I166" s="559">
        <f>MAX(Sheet1!Z168-AT166+(Sheet1!DA168-E166)*CFStoMGD,0)</f>
        <v>477.44880000000001</v>
      </c>
      <c r="J166" s="562">
        <f>IF(AND(B166&gt;=Calculation!GC166,B166&lt;=Calculation!GD166),IF(Sheet1!DB168&gt;=Calculation!D166,64.64,0),MAX(Sheet1!Z168-AT166+(Sheet1!DB168-D166)*CFStoMGD,0))</f>
        <v>64.64</v>
      </c>
      <c r="K166" s="904">
        <f t="shared" si="273"/>
        <v>64.64</v>
      </c>
      <c r="L166" s="560">
        <f>Sheet1!AA168+Sheet1!AB168-Sheet1!L168+(Sheet1!DA168-F166)*CFStoMGD</f>
        <v>502.34879999999998</v>
      </c>
      <c r="M166" s="560">
        <f t="shared" si="274"/>
        <v>481.31542482299403</v>
      </c>
      <c r="N166" s="910">
        <f>IF(Sheet1!DA168&gt;=F166,MIN(73,MIN(MAX(L166,0),MAX(M166,0))),0)</f>
        <v>73</v>
      </c>
      <c r="O166" s="563">
        <f>Sheet1!AA168+Sheet1!AB168</f>
        <v>71.2</v>
      </c>
      <c r="P166" s="563">
        <f t="shared" si="275"/>
        <v>110.1464</v>
      </c>
      <c r="Q166" s="898">
        <f t="shared" si="339"/>
        <v>61.650000000000006</v>
      </c>
      <c r="R166" s="829">
        <f t="shared" si="276"/>
        <v>9.5440349781386633</v>
      </c>
      <c r="S166" s="898">
        <f t="shared" si="340"/>
        <v>9.5499999999999989</v>
      </c>
      <c r="T166" s="898">
        <f t="shared" si="341"/>
        <v>55.09</v>
      </c>
      <c r="U166" s="898">
        <f t="shared" si="342"/>
        <v>0</v>
      </c>
      <c r="V166" s="898"/>
      <c r="W166" s="898">
        <f t="shared" si="343"/>
        <v>55.095965021861339</v>
      </c>
      <c r="X166" s="898">
        <f t="shared" si="344"/>
        <v>64.64</v>
      </c>
      <c r="Y166" s="898" t="str">
        <f t="shared" si="345"/>
        <v>FALSE</v>
      </c>
      <c r="Z166" s="898">
        <f t="shared" si="346"/>
        <v>71.2</v>
      </c>
      <c r="AA166" s="898">
        <f t="shared" si="347"/>
        <v>71.2</v>
      </c>
      <c r="AB166" s="898" t="str">
        <f t="shared" si="348"/>
        <v/>
      </c>
      <c r="AC166" s="563">
        <f>Sheet1!Y168*MGDtoCFS</f>
        <v>36.045099999999998</v>
      </c>
      <c r="AD166" s="563">
        <f>Sheet1!Z168*MGDtoCFS</f>
        <v>71.626099999999994</v>
      </c>
      <c r="AE166" s="563">
        <f>Sheet1!AA168*MGDtoCFS</f>
        <v>35.8904</v>
      </c>
      <c r="AF166" s="563">
        <f>Sheet1!AB168*MGDtoCFS</f>
        <v>74.256</v>
      </c>
      <c r="AG166" s="563">
        <f>Sheet1!L168*MGDtoCFS</f>
        <v>0</v>
      </c>
      <c r="AH166" s="545">
        <f t="shared" si="277"/>
        <v>0</v>
      </c>
      <c r="AI166" s="560">
        <f t="shared" si="278"/>
        <v>0</v>
      </c>
      <c r="AJ166" s="560">
        <f t="shared" si="279"/>
        <v>55.095965021861339</v>
      </c>
      <c r="AK166" s="560">
        <f t="shared" si="280"/>
        <v>85.233457888819487</v>
      </c>
      <c r="AL166" s="560">
        <f>(VLOOKUP(Sheet1!DC168,hhdcap_wcm,4)-(((VLOOKUP(Sheet1!DC168,hhdcap_wcm,3)-Sheet1!DC168)/(VLOOKUP(Sheet1!DC168,hhdcap_wcm,3)-VLOOKUP(Sheet1!DC168,hhdcap_wcm,1)))*(VLOOKUP(Sheet1!DC168,hhdcap_wcm,4)-VLOOKUP(Sheet1!DC168,hhdcap_wcm,2))))</f>
        <v>49268.400000119233</v>
      </c>
      <c r="AM166" s="560">
        <f t="shared" si="281"/>
        <v>-91.200000000004366</v>
      </c>
      <c r="AN166" s="560">
        <f t="shared" si="282"/>
        <v>5887.0238901285184</v>
      </c>
      <c r="AO166" s="560">
        <f t="shared" si="283"/>
        <v>18061.389294914294</v>
      </c>
      <c r="AP166" s="560">
        <f>Sheet1!BA168+Sheet1!BB168+Sheet1!BN168+CD166</f>
        <v>38.479999999999997</v>
      </c>
      <c r="AQ166" s="560">
        <f>Sheet1!BN168+(DO166*Sheet1!BN168)</f>
        <v>36.876951905059343</v>
      </c>
      <c r="AR166" s="560">
        <f>Sheet1!BA168+CD166</f>
        <v>0</v>
      </c>
      <c r="AS166" s="560">
        <f>Sheet1!BA168+Sheet1!BB168+CD166</f>
        <v>1.58</v>
      </c>
      <c r="AT166" s="698">
        <f>0</f>
        <v>0</v>
      </c>
      <c r="AU166" s="560">
        <f>IF(EB166&lt;K166,0,MAX(Sheet1!AA168+AQ166-15/36*K166-N166,Sheet1!EH168,0))</f>
        <v>0</v>
      </c>
      <c r="AV166" s="560">
        <f>IF(OR(B166&gt;=GD166,B166&lt;GC166),0,15/36*K166-MAX(0,64.6-(137.6-(Sheet1!AA168+Sheet1!AB168))))</f>
        <v>26.933333333333334</v>
      </c>
      <c r="AW166" s="698">
        <f>Sheet1!DB168-110</f>
        <v>599</v>
      </c>
      <c r="AX166" s="698">
        <f>Sheet1!DA168-265</f>
        <v>652</v>
      </c>
      <c r="AY166" s="698">
        <f t="shared" si="284"/>
        <v>11.349999999999994</v>
      </c>
      <c r="AZ166" s="698">
        <v>0</v>
      </c>
      <c r="BA166" s="698">
        <f t="shared" si="285"/>
        <v>0</v>
      </c>
      <c r="BB166" s="560">
        <f t="shared" si="286"/>
        <v>2716.2083333333335</v>
      </c>
      <c r="BC166" s="560"/>
      <c r="BD166" s="560">
        <f ca="1">IF(B166&gt;Summary!$A$1,#N/A,BB166*MGtoAF)</f>
        <v>8333.3271666666678</v>
      </c>
      <c r="BE166" s="560">
        <f>Sheet1!BG168+Sheet1!BH168+Sheet1!BI168-BM166</f>
        <v>0</v>
      </c>
      <c r="BF166" s="560">
        <f t="shared" si="287"/>
        <v>0</v>
      </c>
      <c r="BG166" s="560">
        <f>IF(Sheet1!EP168="FM",BM166,0)</f>
        <v>0</v>
      </c>
      <c r="BH166" s="560">
        <f t="shared" si="288"/>
        <v>0</v>
      </c>
      <c r="BI166" s="560">
        <f>IF(Sheet1!EP168="OTHER",BM166,0)</f>
        <v>0</v>
      </c>
      <c r="BJ166" s="560">
        <f t="shared" si="289"/>
        <v>0</v>
      </c>
      <c r="BK166" s="560">
        <f t="shared" si="290"/>
        <v>0</v>
      </c>
      <c r="BL166" s="560">
        <f t="shared" si="291"/>
        <v>0</v>
      </c>
      <c r="BM166" s="560">
        <f>IF(OR(Sheet1!EP168="FM", Sheet1!EP168="OTHER"),SUM(Sheet1!BG168:'Sheet1'!BI168),0)</f>
        <v>0</v>
      </c>
      <c r="BN166" s="545">
        <f>IF(AND($B166&gt;=$FV166,$B166&lt;=$FW166),MAX(BF166,Sheet1!EI168,0),MAX(BF166-(7/36)*$K166,0))</f>
        <v>0</v>
      </c>
      <c r="BO166" s="560">
        <f t="shared" si="292"/>
        <v>12.568888888888889</v>
      </c>
      <c r="BP166" s="545">
        <f t="shared" si="293"/>
        <v>0</v>
      </c>
      <c r="BQ166" s="545">
        <f>IF(AND($O166&gt;0,Sheet1!EM168=1),(1-($O166-Sheet1!$L168)/$O166)*BL166,0)</f>
        <v>0</v>
      </c>
      <c r="BR166" s="545">
        <f>IF(AND(Sheet1!$L168=0,Sheet1!$L167=0, Calculation!BK166&lt;Sheet1!$EI168-0.1,Sheet1!$EI168=Sheet1!$EI167,Sheet1!$EI168=Sheet1!$EI169),Sheet1!$EI168,BL166-BQ166)</f>
        <v>0</v>
      </c>
      <c r="BS166" s="560"/>
      <c r="BT166" s="560"/>
      <c r="BU166" s="560">
        <f t="shared" si="294"/>
        <v>1267.5638888888889</v>
      </c>
      <c r="BV166" s="560"/>
      <c r="BW166" s="560">
        <f ca="1">IF(B166&gt;Summary!$A$1,#N/A,BU166*MGtoAF)</f>
        <v>3888.8860111111112</v>
      </c>
      <c r="BX166" s="560">
        <f>Sheet1!BC168+Sheet1!BD168+Sheet1!BE168+Sheet1!BF168-CG166-CH166</f>
        <v>2.5099999999999998</v>
      </c>
      <c r="BY166" s="560">
        <f t="shared" si="295"/>
        <v>2.5084322298563397</v>
      </c>
      <c r="BZ166" s="560">
        <f>IF(Sheet1!EQ168="FM",CH166,0)</f>
        <v>0</v>
      </c>
      <c r="CA166" s="560">
        <f t="shared" si="296"/>
        <v>0</v>
      </c>
      <c r="CB166" s="560">
        <f>IF(Sheet1!EQ168="OTHER",CH166,0)</f>
        <v>0</v>
      </c>
      <c r="CC166" s="560">
        <f t="shared" si="297"/>
        <v>0</v>
      </c>
      <c r="CD166" s="560">
        <f t="shared" si="298"/>
        <v>0</v>
      </c>
      <c r="CE166" s="560">
        <f t="shared" si="299"/>
        <v>2.5099999999999998</v>
      </c>
      <c r="CF166" s="560">
        <f t="shared" si="300"/>
        <v>2.5084322298563397</v>
      </c>
      <c r="CG166" s="560">
        <f>IF(Sheet1!EQ168="CWA",SUM(Sheet1!BC168:'Sheet1'!BF168),0)</f>
        <v>0</v>
      </c>
      <c r="CH166" s="560">
        <f>IF(OR(Sheet1!EQ168="FM", Sheet1!EQ168="OTHER"),SUM(Sheet1!BC168:'Sheet1'!BF168),0)</f>
        <v>0</v>
      </c>
      <c r="CI166" s="545">
        <f>IF(AND($B166&gt;=$FV166,$B166&lt;=$FW166),MAX(CF166,Sheet1!EJ168,0),MAX(CF166-(7/36)*$K166,0))</f>
        <v>0</v>
      </c>
      <c r="CJ166" s="560">
        <f t="shared" si="301"/>
        <v>10.06045665903255</v>
      </c>
      <c r="CK166" s="545">
        <f t="shared" si="302"/>
        <v>2.5084322298563397</v>
      </c>
      <c r="CL166" s="545">
        <f>IF(AND($O166&gt;0,Sheet1!EN168=1),(1-($O166-Sheet1!$L168)/$O166)*CF166,0)</f>
        <v>0</v>
      </c>
      <c r="CM166" s="545">
        <f>IF(AND(Sheet1!$L168=0,Sheet1!$L167=0, Calculation!CE166&lt;Sheet1!EJ168-0.1,Sheet1!EJ168=Sheet1!EJ167,Sheet1!EJ168=Sheet1!EJ169),Sheet1!EJ168,CF166-CL166)</f>
        <v>2.5084322298563397</v>
      </c>
      <c r="CN166" s="545"/>
      <c r="CO166" s="560"/>
      <c r="CP166" s="560">
        <f t="shared" si="303"/>
        <v>1110.7699868100701</v>
      </c>
      <c r="CQ166" s="560"/>
      <c r="CR166" s="560">
        <f ca="1">IF(B166&gt;Summary!$A$1,#N/A,CP166*MGtoAF)</f>
        <v>3407.8423195332953</v>
      </c>
      <c r="CS166" s="560">
        <f>Sheet1!BK168+Sheet1!BL168+Sheet1!BM168-Sheet1!ER168-DA166</f>
        <v>7.0399999999999991</v>
      </c>
      <c r="CT166" s="560">
        <f t="shared" si="304"/>
        <v>7.0356027482823231</v>
      </c>
      <c r="CU166" s="560">
        <f>IF(Sheet1!ER168="FM",DA166,0)</f>
        <v>0</v>
      </c>
      <c r="CV166" s="560">
        <f t="shared" si="305"/>
        <v>0</v>
      </c>
      <c r="CW166" s="560">
        <f>IF(Sheet1!ER168="OTHER",DA166,0)</f>
        <v>0</v>
      </c>
      <c r="CX166" s="560">
        <f t="shared" si="306"/>
        <v>0</v>
      </c>
      <c r="CY166" s="560">
        <f t="shared" si="307"/>
        <v>7.0399999999999991</v>
      </c>
      <c r="CZ166" s="560">
        <f t="shared" si="308"/>
        <v>7.0356027482823231</v>
      </c>
      <c r="DA166" s="560">
        <f>IF(OR(Sheet1!ER168="FM", Sheet1!ER168="OTHER"),SUM(Sheet1!BK168:'Sheet1'!BM168),0)</f>
        <v>0</v>
      </c>
      <c r="DB166" s="545">
        <f>IF(AND($B166&gt;=$FV166,$B166&lt;=$FW166),MAX($CT166,Sheet1!EK168,0),MAX($CT166-(7/36)*$K166,0))</f>
        <v>0</v>
      </c>
      <c r="DC166" s="560">
        <f t="shared" si="309"/>
        <v>5.5332861406065659</v>
      </c>
      <c r="DD166" s="545">
        <f t="shared" si="310"/>
        <v>7.0356027482823231</v>
      </c>
      <c r="DE166" s="545">
        <f>IF(AND($O166&gt;0,Sheet1!EO168=1),(1-($O166-Sheet1!$L168)/$O166)*CZ166,0)</f>
        <v>0</v>
      </c>
      <c r="DF166" s="545">
        <f>IF(AND(Sheet1!$L168=0,Sheet1!$L167=0, Calculation!CY166&lt;Sheet1!$EK168-0.1,Sheet1!$EK168=Sheet1!$EK167,Sheet1!$EK168=Sheet1!$EK169),Sheet1!$EK168,CZ166-DE166)</f>
        <v>7.0356027482823231</v>
      </c>
      <c r="DG166" s="545"/>
      <c r="DH166" s="560">
        <f t="shared" si="311"/>
        <v>9.5499999999999989</v>
      </c>
      <c r="DI166" s="560">
        <f t="shared" si="312"/>
        <v>792.48168109622532</v>
      </c>
      <c r="DJ166" s="698">
        <f t="shared" si="313"/>
        <v>9.5440349781386633</v>
      </c>
      <c r="DK166" s="560">
        <f ca="1">IF(B166&gt;Summary!$A$1,#N/A,DI166*MGtoAF)</f>
        <v>2431.3337976032194</v>
      </c>
      <c r="DL166" s="698">
        <f t="shared" si="314"/>
        <v>9.5499999999999989</v>
      </c>
      <c r="DM166" s="560">
        <f t="shared" si="315"/>
        <v>48.029999999999994</v>
      </c>
      <c r="DN166" s="560">
        <f>Sheet1!AB168-DM166</f>
        <v>-2.9999999999994031E-2</v>
      </c>
      <c r="DO166" s="823">
        <f t="shared" si="316"/>
        <v>-6.2460961898800824E-4</v>
      </c>
      <c r="DP166" s="560">
        <f>(VLOOKUP(Sheet1!DC168,hhdcap_wcm,4)-(((VLOOKUP(Sheet1!DC168,hhdcap_wcm,3)-Sheet1!DC168)/(VLOOKUP(Sheet1!DC168,hhdcap_wcm,3)-VLOOKUP(Sheet1!DC168,hhdcap_wcm,1)))*(VLOOKUP(Sheet1!DC168,hhdcap_wcm,4)-VLOOKUP(Sheet1!DC168,hhdcap_wcm,2))))</f>
        <v>49268.400000119233</v>
      </c>
      <c r="DQ166" s="560">
        <f t="shared" si="317"/>
        <v>-91.200000000004366</v>
      </c>
      <c r="DR166" s="560">
        <f t="shared" si="318"/>
        <v>-45.990922844177689</v>
      </c>
      <c r="DS166" s="560">
        <f>Sheet1!EA168*AFtoMG</f>
        <v>0</v>
      </c>
      <c r="DT166" s="560">
        <f>Sheet1!EB168*AFtoMG</f>
        <v>0</v>
      </c>
      <c r="DU166" s="560">
        <f>Sheet1!EC168*AFtoMG</f>
        <v>0</v>
      </c>
      <c r="DV166" s="560">
        <f>Sheet1!ED168*AFtoMG</f>
        <v>0</v>
      </c>
      <c r="DW166" s="560">
        <f t="shared" si="319"/>
        <v>0</v>
      </c>
      <c r="DX166" s="560">
        <f t="shared" si="320"/>
        <v>0</v>
      </c>
      <c r="DY166" s="560">
        <f t="shared" si="321"/>
        <v>5887.0238901285184</v>
      </c>
      <c r="DZ166" s="560">
        <f t="shared" si="322"/>
        <v>18061.389294914294</v>
      </c>
      <c r="EA166" s="560"/>
      <c r="EB166" s="545">
        <f>IF(OR(B166&lt;FV166,B166&gt;FW166),(MIN(BF166+BY166+CT166+MAX(Sheet1!AA168+AQ166-73,0),K166)),0)</f>
        <v>9.5440349781386633</v>
      </c>
      <c r="EC166" s="560"/>
      <c r="ED166" s="560">
        <f t="shared" si="323"/>
        <v>9.5440349781386633</v>
      </c>
      <c r="EE166" s="560"/>
      <c r="EF166" s="560">
        <f>Sheet1!EH168+Sheet1!EI168+Sheet1!EJ168+Sheet1!EK168</f>
        <v>9.5499999999999989</v>
      </c>
      <c r="EG166" s="560"/>
      <c r="EH166" s="545">
        <f t="shared" si="324"/>
        <v>0</v>
      </c>
      <c r="EI166" s="560">
        <f>IF(Sheet1!ET168=1,SUM('Calculations II'!AT166:BA166)+'Calculations II'!BC166+Sheet1!BV168+'Calculations II'!BE166+AP166,SUM('Calculations II'!AT166:BA166)+'Calculations II'!BC166+Sheet1!BV168+'Calculations II'!BE166+AP166)</f>
        <v>70.235199999999992</v>
      </c>
      <c r="EJ166" s="560">
        <f>Sheet1!AA168+Sheet1!AB168+'Calculations II'!BC166</f>
        <v>71.2</v>
      </c>
      <c r="EK166" s="560"/>
      <c r="EL166" s="560"/>
      <c r="EM166" s="560">
        <f t="shared" si="325"/>
        <v>41794</v>
      </c>
      <c r="EN166" s="560">
        <f t="shared" si="326"/>
        <v>55.095965021861339</v>
      </c>
      <c r="EO166" s="560">
        <f t="shared" si="327"/>
        <v>85.233457888819487</v>
      </c>
      <c r="EP166" s="560">
        <v>0</v>
      </c>
      <c r="EQ166" s="560">
        <v>0</v>
      </c>
      <c r="ER166" s="560">
        <v>0</v>
      </c>
      <c r="ES166" s="545">
        <f t="shared" si="349"/>
        <v>2.4892666908205601</v>
      </c>
      <c r="ET166" s="560">
        <f>-(VLOOKUP(Sheet1!BQ168,Lookup!$O$4:$Q$262,2)-VLOOKUP(Sheet1!BQ167,Lookup!$O$4:$Q$262,2))/1000000</f>
        <v>1.24463334541028</v>
      </c>
      <c r="EU166" s="560">
        <f>-(VLOOKUP(Sheet1!BR168,Lookup!$O$4:$Q$262,3)-VLOOKUP(Sheet1!BR167,Lookup!$O$4:$Q$262,3))/1000000</f>
        <v>1.24463334541028</v>
      </c>
      <c r="EV166" s="560"/>
      <c r="EW166" s="560"/>
      <c r="EX166" s="560"/>
      <c r="EY166" s="560"/>
      <c r="EZ166" s="560"/>
      <c r="FA166" s="560"/>
      <c r="FB166" s="560"/>
      <c r="FC166" s="560"/>
      <c r="FD166" s="594" t="e">
        <f t="shared" si="328"/>
        <v>#N/A</v>
      </c>
      <c r="FE166" s="594" t="e">
        <f t="shared" si="329"/>
        <v>#N/A</v>
      </c>
      <c r="FF166" s="595" t="e">
        <f t="shared" si="330"/>
        <v>#N/A</v>
      </c>
      <c r="FG166" s="596" t="s">
        <v>692</v>
      </c>
      <c r="FH166" s="596" t="s">
        <v>692</v>
      </c>
      <c r="FI166" s="594" t="e">
        <v>#N/A</v>
      </c>
      <c r="FJ166" s="594" t="e">
        <v>#N/A</v>
      </c>
      <c r="FK166" s="560">
        <v>24900</v>
      </c>
      <c r="FL166" s="560"/>
      <c r="FM166" s="560"/>
      <c r="FN166" s="560"/>
      <c r="FO166" s="560">
        <f>O166+((Sheet1!CS168)*GPMtoMGD)</f>
        <v>71.2</v>
      </c>
      <c r="FP166" s="560">
        <f>IF(Sheet1!AA168+AQ166&lt;=Calculation!N166,AQ166,Calculation!N166-Sheet1!AA168)</f>
        <v>36.876951905059343</v>
      </c>
      <c r="FQ166" s="560">
        <f>(Sheet1!BP168+Sheet1!BO168)/694.4</f>
        <v>3.4524769585253461</v>
      </c>
      <c r="FR166" s="560"/>
      <c r="FS166" s="560"/>
      <c r="FT166" s="560"/>
      <c r="FU166" s="560"/>
      <c r="FV166" s="695">
        <f t="shared" si="350"/>
        <v>41827</v>
      </c>
      <c r="FW166" s="695">
        <f t="shared" si="351"/>
        <v>41934</v>
      </c>
      <c r="FX166" s="560"/>
      <c r="FY166" s="560"/>
      <c r="FZ166" s="560"/>
      <c r="GA166" s="560"/>
      <c r="GB166" s="560" t="str">
        <f t="shared" si="352"/>
        <v>n</v>
      </c>
      <c r="GC166" s="564">
        <f t="shared" si="353"/>
        <v>41691</v>
      </c>
      <c r="GD166" s="695">
        <f t="shared" si="354"/>
        <v>41807</v>
      </c>
      <c r="GE166" s="560">
        <v>6518.9</v>
      </c>
      <c r="GF166" s="695">
        <f t="shared" si="355"/>
        <v>41808</v>
      </c>
      <c r="GG166" s="560">
        <f t="shared" si="374"/>
        <v>3259</v>
      </c>
      <c r="GH166" s="564">
        <f t="shared" si="356"/>
        <v>41934</v>
      </c>
      <c r="GJ166" s="545">
        <f t="shared" si="357"/>
        <v>39.502222222222223</v>
      </c>
      <c r="GK166" s="560" t="str">
        <f t="shared" si="331"/>
        <v>PP</v>
      </c>
      <c r="GL166" s="560">
        <f t="shared" si="358"/>
        <v>26.933333333333334</v>
      </c>
      <c r="GM166" s="560" t="str">
        <f t="shared" si="359"/>
        <v/>
      </c>
      <c r="GN166" s="560">
        <f>IF(GK166="P",Lookup!$M$12,IF(GK166="PP",Lookup!$M$13,IF(GK166="PPP",Lookup!$M$14,IF(GK166="T",Lookup!$M$15,IF(GK166="TP",Lookup!$M$16,IF(GK166="TPP",Lookup!$M$17,IF(GK166="TPPP",Lookup!$M$18,0)))))))*GJ166</f>
        <v>0</v>
      </c>
      <c r="GO166" s="560">
        <f t="shared" si="360"/>
        <v>0</v>
      </c>
      <c r="GP166" s="560">
        <f t="shared" si="332"/>
        <v>8333.3271666666678</v>
      </c>
      <c r="GQ166" s="560">
        <f t="shared" si="368"/>
        <v>2716.2083333333335</v>
      </c>
      <c r="GR166" s="560"/>
      <c r="GS166" s="560">
        <f t="shared" si="361"/>
        <v>12.568888888888889</v>
      </c>
      <c r="GT166" s="560" t="str">
        <f t="shared" si="362"/>
        <v/>
      </c>
      <c r="GU166" s="560">
        <f>IF(GK166="P",Lookup!$N$12,IF(GK166="PP",Lookup!$N$13,IF(GK166="PPP",Lookup!$N$14,IF(GK166="T",Lookup!$N$15,IF(GK166="TP",Lookup!$N$16,IF(GK166="TPP",Lookup!$N$17,IF(GK166="TPPP",Lookup!$N$18,0)))))))*GJ166</f>
        <v>19.751111111111111</v>
      </c>
      <c r="GV166" s="560">
        <f t="shared" si="363"/>
        <v>0</v>
      </c>
      <c r="GW166" s="560">
        <f t="shared" si="333"/>
        <v>3888.8860111111112</v>
      </c>
      <c r="GX166" s="560">
        <f t="shared" si="369"/>
        <v>1267.5638888888889</v>
      </c>
      <c r="GY166" s="560"/>
      <c r="GZ166" s="560">
        <f t="shared" si="364"/>
        <v>0</v>
      </c>
      <c r="HA166" s="560" t="str">
        <f t="shared" si="365"/>
        <v>P</v>
      </c>
      <c r="HB166" s="560">
        <f>IF(GK166="P",Lookup!$N$12,IF(GK166="PP",Lookup!$N$13,IF(GK166="PPP",Lookup!$N$14,IF(GK166="T",Lookup!$N$15,IF(GK166="TP",Lookup!$N$16,IF(GK166="TPP",Lookup!$N$17,IF(GK166="TPPP",Lookup!$N$18,0)))))))*GJ166</f>
        <v>19.751111111111111</v>
      </c>
      <c r="HC166" s="545">
        <f t="shared" si="334"/>
        <v>19.751111111111111</v>
      </c>
      <c r="HD166" s="560">
        <f t="shared" si="335"/>
        <v>3347.2459106444062</v>
      </c>
      <c r="HE166" s="560">
        <f t="shared" si="370"/>
        <v>1091.0188756989589</v>
      </c>
      <c r="HF166" s="560"/>
      <c r="HG166" s="560">
        <f t="shared" si="366"/>
        <v>0</v>
      </c>
      <c r="HH166" s="560" t="str">
        <f t="shared" si="367"/>
        <v>P</v>
      </c>
      <c r="HI166" s="560">
        <f>IF(GK166="P",Lookup!$N$12,IF(GK166="PP",Lookup!$N$13,IF(GK166="PPP",Lookup!$N$14,IF(GK166="T",Lookup!$N$15,IF(GK166="TP",Lookup!$N$16,IF(GK166="TPP",Lookup!$N$17,IF(GK166="TPPP",Lookup!$N$18,0)))))))*GJ166</f>
        <v>19.751111111111111</v>
      </c>
      <c r="HJ166" s="545">
        <f t="shared" si="336"/>
        <v>19.751111111111111</v>
      </c>
      <c r="HK166" s="560">
        <f t="shared" si="337"/>
        <v>2370.7373887143303</v>
      </c>
      <c r="HL166" s="560">
        <f t="shared" si="371"/>
        <v>772.73056998511424</v>
      </c>
      <c r="HM166" s="560"/>
    </row>
    <row r="167" spans="1:221">
      <c r="A167" s="580" t="s">
        <v>7</v>
      </c>
      <c r="B167" s="556">
        <v>41795</v>
      </c>
      <c r="C167" s="561">
        <v>0</v>
      </c>
      <c r="D167" s="529">
        <f t="shared" si="372"/>
        <v>300</v>
      </c>
      <c r="E167" s="529">
        <f t="shared" si="373"/>
        <v>250</v>
      </c>
      <c r="F167" s="529">
        <v>250</v>
      </c>
      <c r="G167" s="560">
        <f>DR167+Sheet1!CZ169</f>
        <v>642.24659606656803</v>
      </c>
      <c r="H167" s="914">
        <f t="shared" si="338"/>
        <v>148.18499969742956</v>
      </c>
      <c r="I167" s="559">
        <f>MAX(Sheet1!Z169-AT167+(Sheet1!DA169-E167)*CFStoMGD,0)</f>
        <v>423.55840000000001</v>
      </c>
      <c r="J167" s="562">
        <f>IF(AND(B167&gt;=Calculation!GC167,B167&lt;=Calculation!GD167),IF(Sheet1!DB169&gt;=Calculation!D167,64.64,0),MAX(Sheet1!Z169-AT167+(Sheet1!DB169-D167)*CFStoMGD,0))</f>
        <v>64.64</v>
      </c>
      <c r="K167" s="904">
        <f t="shared" si="273"/>
        <v>64.64</v>
      </c>
      <c r="L167" s="560">
        <f>Sheet1!AA169+Sheet1!AB169-Sheet1!L169+(Sheet1!DA169-F167)*CFStoMGD</f>
        <v>448.85840000000002</v>
      </c>
      <c r="M167" s="560">
        <f t="shared" si="274"/>
        <v>423.45116369137816</v>
      </c>
      <c r="N167" s="910">
        <f>IF(Sheet1!DA169&gt;=F167,MIN(73,MIN(MAX(L167,0),MAX(M167,0))),0)</f>
        <v>73</v>
      </c>
      <c r="O167" s="563">
        <f>Sheet1!AA169+Sheet1!AB169</f>
        <v>73.3</v>
      </c>
      <c r="P167" s="563">
        <f t="shared" si="275"/>
        <v>113.3951</v>
      </c>
      <c r="Q167" s="898">
        <f t="shared" si="339"/>
        <v>63.83</v>
      </c>
      <c r="R167" s="829">
        <f t="shared" si="276"/>
        <v>9.4738047408597819</v>
      </c>
      <c r="S167" s="898">
        <f t="shared" si="340"/>
        <v>9.4699999999999989</v>
      </c>
      <c r="T167" s="898">
        <f t="shared" si="341"/>
        <v>55.17</v>
      </c>
      <c r="U167" s="898">
        <f t="shared" si="342"/>
        <v>0</v>
      </c>
      <c r="V167" s="898"/>
      <c r="W167" s="898">
        <f t="shared" si="343"/>
        <v>55.166195259140217</v>
      </c>
      <c r="X167" s="898">
        <f t="shared" si="344"/>
        <v>64.64</v>
      </c>
      <c r="Y167" s="898" t="str">
        <f t="shared" si="345"/>
        <v>FALSE</v>
      </c>
      <c r="Z167" s="898">
        <f t="shared" si="346"/>
        <v>73.3</v>
      </c>
      <c r="AA167" s="898">
        <f t="shared" si="347"/>
        <v>73.3</v>
      </c>
      <c r="AB167" s="898" t="str">
        <f t="shared" si="348"/>
        <v/>
      </c>
      <c r="AC167" s="563">
        <f>Sheet1!Y169*MGDtoCFS</f>
        <v>35.8904</v>
      </c>
      <c r="AD167" s="563">
        <f>Sheet1!Z169*MGDtoCFS</f>
        <v>74.256</v>
      </c>
      <c r="AE167" s="563">
        <f>Sheet1!AA169*MGDtoCFS</f>
        <v>36.354500000000002</v>
      </c>
      <c r="AF167" s="563">
        <f>Sheet1!AB169*MGDtoCFS</f>
        <v>77.040599999999998</v>
      </c>
      <c r="AG167" s="563">
        <f>Sheet1!L169*MGDtoCFS</f>
        <v>0</v>
      </c>
      <c r="AH167" s="545">
        <f t="shared" si="277"/>
        <v>0</v>
      </c>
      <c r="AI167" s="560">
        <f t="shared" si="278"/>
        <v>0</v>
      </c>
      <c r="AJ167" s="560">
        <f t="shared" si="279"/>
        <v>55.166195259140217</v>
      </c>
      <c r="AK167" s="560">
        <f t="shared" si="280"/>
        <v>85.342104065889913</v>
      </c>
      <c r="AL167" s="560">
        <f>(VLOOKUP(Sheet1!DC169,hhdcap_wcm,4)-(((VLOOKUP(Sheet1!DC169,hhdcap_wcm,3)-Sheet1!DC169)/(VLOOKUP(Sheet1!DC169,hhdcap_wcm,3)-VLOOKUP(Sheet1!DC169,hhdcap_wcm,1)))*(VLOOKUP(Sheet1!DC169,hhdcap_wcm,4)-VLOOKUP(Sheet1!DC169,hhdcap_wcm,2))))</f>
        <v>49302.600000119237</v>
      </c>
      <c r="AM167" s="560">
        <f t="shared" si="281"/>
        <v>34.200000000004366</v>
      </c>
      <c r="AN167" s="560">
        <f t="shared" si="282"/>
        <v>5941.8900853876576</v>
      </c>
      <c r="AO167" s="560">
        <f t="shared" si="283"/>
        <v>18229.718781969335</v>
      </c>
      <c r="AP167" s="560">
        <f>Sheet1!BA169+Sheet1!BB169+Sheet1!BN169+CD167</f>
        <v>40.31</v>
      </c>
      <c r="AQ167" s="560">
        <f>Sheet1!BN169+(DO167*Sheet1!BN169)</f>
        <v>38.715548413017274</v>
      </c>
      <c r="AR167" s="560">
        <f>Sheet1!BA169+CD167</f>
        <v>0</v>
      </c>
      <c r="AS167" s="560">
        <f>Sheet1!BA169+Sheet1!BB169+CD167</f>
        <v>1.61</v>
      </c>
      <c r="AT167" s="698">
        <f>0</f>
        <v>0</v>
      </c>
      <c r="AU167" s="560">
        <f>IF(EB167&lt;K167,0,MAX(Sheet1!AA169+AQ167-15/36*K167-N167,Sheet1!EH169,0))</f>
        <v>0</v>
      </c>
      <c r="AV167" s="560">
        <f>IF(OR(B167&gt;=GD167,B167&lt;GC167),0,15/36*K167-MAX(0,64.6-(137.6-(Sheet1!AA169+Sheet1!AB169))))</f>
        <v>26.633333333333336</v>
      </c>
      <c r="AW167" s="698">
        <f>Sheet1!DB169-110</f>
        <v>433</v>
      </c>
      <c r="AX167" s="698">
        <f>Sheet1!DA169-265</f>
        <v>566</v>
      </c>
      <c r="AY167" s="698">
        <f t="shared" si="284"/>
        <v>9.1700000000000017</v>
      </c>
      <c r="AZ167" s="698">
        <v>0</v>
      </c>
      <c r="BA167" s="698">
        <f t="shared" si="285"/>
        <v>0</v>
      </c>
      <c r="BB167" s="560">
        <f t="shared" si="286"/>
        <v>2716.2083333333335</v>
      </c>
      <c r="BC167" s="560"/>
      <c r="BD167" s="560">
        <f ca="1">IF(B167&gt;Summary!$A$1,#N/A,BB167*MGtoAF)</f>
        <v>8333.3271666666678</v>
      </c>
      <c r="BE167" s="560">
        <f>Sheet1!BG169+Sheet1!BH169+Sheet1!BI169-BM167</f>
        <v>0</v>
      </c>
      <c r="BF167" s="560">
        <f t="shared" si="287"/>
        <v>0</v>
      </c>
      <c r="BG167" s="560">
        <f>IF(Sheet1!EP169="FM",BM167,0)</f>
        <v>0</v>
      </c>
      <c r="BH167" s="560">
        <f t="shared" si="288"/>
        <v>0</v>
      </c>
      <c r="BI167" s="560">
        <f>IF(Sheet1!EP169="OTHER",BM167,0)</f>
        <v>0</v>
      </c>
      <c r="BJ167" s="560">
        <f t="shared" si="289"/>
        <v>0</v>
      </c>
      <c r="BK167" s="560">
        <f t="shared" si="290"/>
        <v>0</v>
      </c>
      <c r="BL167" s="560">
        <f t="shared" si="291"/>
        <v>0</v>
      </c>
      <c r="BM167" s="560">
        <f>IF(OR(Sheet1!EP169="FM", Sheet1!EP169="OTHER"),SUM(Sheet1!BG169:'Sheet1'!BI169),0)</f>
        <v>0</v>
      </c>
      <c r="BN167" s="545">
        <f>IF(AND($B167&gt;=$FV167,$B167&lt;=$FW167),MAX(BF167,Sheet1!EI169,0),MAX(BF167-(7/36)*$K167,0))</f>
        <v>0</v>
      </c>
      <c r="BO167" s="560">
        <f t="shared" si="292"/>
        <v>12.568888888888889</v>
      </c>
      <c r="BP167" s="545">
        <f t="shared" si="293"/>
        <v>0</v>
      </c>
      <c r="BQ167" s="545">
        <f>IF(AND($O167&gt;0,Sheet1!EM169=1),(1-($O167-Sheet1!$L169)/$O167)*BL167,0)</f>
        <v>0</v>
      </c>
      <c r="BR167" s="545">
        <f>IF(AND(Sheet1!$L169=0,Sheet1!$L168=0, Calculation!BK167&lt;Sheet1!$EI169-0.1,Sheet1!$EI169=Sheet1!$EI168,Sheet1!$EI169=Sheet1!$EI170),Sheet1!$EI169,BL167-BQ167)</f>
        <v>0</v>
      </c>
      <c r="BS167" s="560"/>
      <c r="BT167" s="560"/>
      <c r="BU167" s="560">
        <f t="shared" si="294"/>
        <v>1267.5638888888889</v>
      </c>
      <c r="BV167" s="560"/>
      <c r="BW167" s="560">
        <f ca="1">IF(B167&gt;Summary!$A$1,#N/A,BU167*MGtoAF)</f>
        <v>3888.8860111111112</v>
      </c>
      <c r="BX167" s="560">
        <f>Sheet1!BC169+Sheet1!BD169+Sheet1!BE169+Sheet1!BF169-CG167-CH167</f>
        <v>2.5</v>
      </c>
      <c r="BY167" s="560">
        <f t="shared" si="295"/>
        <v>2.5010044194455601</v>
      </c>
      <c r="BZ167" s="560">
        <f>IF(Sheet1!EQ169="FM",CH167,0)</f>
        <v>0</v>
      </c>
      <c r="CA167" s="560">
        <f t="shared" si="296"/>
        <v>0</v>
      </c>
      <c r="CB167" s="560">
        <f>IF(Sheet1!EQ169="OTHER",CH167,0)</f>
        <v>0</v>
      </c>
      <c r="CC167" s="560">
        <f t="shared" si="297"/>
        <v>0</v>
      </c>
      <c r="CD167" s="560">
        <f t="shared" si="298"/>
        <v>0</v>
      </c>
      <c r="CE167" s="560">
        <f t="shared" si="299"/>
        <v>2.5</v>
      </c>
      <c r="CF167" s="560">
        <f t="shared" si="300"/>
        <v>2.5010044194455601</v>
      </c>
      <c r="CG167" s="560">
        <f>IF(Sheet1!EQ169="CWA",SUM(Sheet1!BC169:'Sheet1'!BF169),0)</f>
        <v>0</v>
      </c>
      <c r="CH167" s="560">
        <f>IF(OR(Sheet1!EQ169="FM", Sheet1!EQ169="OTHER"),SUM(Sheet1!BC169:'Sheet1'!BF169),0)</f>
        <v>0</v>
      </c>
      <c r="CI167" s="545">
        <f>IF(AND($B167&gt;=$FV167,$B167&lt;=$FW167),MAX(CF167,Sheet1!EJ169,0),MAX(CF167-(7/36)*$K167,0))</f>
        <v>0</v>
      </c>
      <c r="CJ167" s="560">
        <f t="shared" si="301"/>
        <v>10.067884469443328</v>
      </c>
      <c r="CK167" s="545">
        <f t="shared" si="302"/>
        <v>2.5010044194455601</v>
      </c>
      <c r="CL167" s="545">
        <f>IF(AND($O167&gt;0,Sheet1!EN169=1),(1-($O167-Sheet1!$L169)/$O167)*CF167,0)</f>
        <v>0</v>
      </c>
      <c r="CM167" s="545">
        <f>IF(AND(Sheet1!$L169=0,Sheet1!$L168=0, Calculation!CE167&lt;Sheet1!EJ169-0.1,Sheet1!EJ169=Sheet1!EJ168,Sheet1!EJ169=Sheet1!EJ170),Sheet1!EJ169,CF167-CL167)</f>
        <v>2.5010044194455601</v>
      </c>
      <c r="CN167" s="545"/>
      <c r="CO167" s="560"/>
      <c r="CP167" s="560">
        <f t="shared" si="303"/>
        <v>1140.4389823906245</v>
      </c>
      <c r="CQ167" s="560"/>
      <c r="CR167" s="560">
        <f ca="1">IF(B167&gt;Summary!$A$1,#N/A,CP167*MGtoAF)</f>
        <v>3498.8667979744359</v>
      </c>
      <c r="CS167" s="560">
        <f>Sheet1!BK169+Sheet1!BL169+Sheet1!BM169-Sheet1!ER169-DA167</f>
        <v>6.97</v>
      </c>
      <c r="CT167" s="560">
        <f t="shared" si="304"/>
        <v>6.9728003214142218</v>
      </c>
      <c r="CU167" s="560">
        <f>IF(Sheet1!ER169="FM",DA167,0)</f>
        <v>0</v>
      </c>
      <c r="CV167" s="560">
        <f t="shared" si="305"/>
        <v>0</v>
      </c>
      <c r="CW167" s="560">
        <f>IF(Sheet1!ER169="OTHER",DA167,0)</f>
        <v>0</v>
      </c>
      <c r="CX167" s="560">
        <f t="shared" si="306"/>
        <v>0</v>
      </c>
      <c r="CY167" s="560">
        <f t="shared" si="307"/>
        <v>6.97</v>
      </c>
      <c r="CZ167" s="560">
        <f t="shared" si="308"/>
        <v>6.9728003214142218</v>
      </c>
      <c r="DA167" s="560">
        <f>IF(OR(Sheet1!ER169="FM", Sheet1!ER169="OTHER"),SUM(Sheet1!BK169:'Sheet1'!BM169),0)</f>
        <v>0</v>
      </c>
      <c r="DB167" s="545">
        <f>IF(AND($B167&gt;=$FV167,$B167&lt;=$FW167),MAX($CT167,Sheet1!EK169,0),MAX($CT167-(7/36)*$K167,0))</f>
        <v>0</v>
      </c>
      <c r="DC167" s="560">
        <f t="shared" si="309"/>
        <v>5.5960885674746672</v>
      </c>
      <c r="DD167" s="545">
        <f t="shared" si="310"/>
        <v>6.9728003214142218</v>
      </c>
      <c r="DE167" s="545">
        <f>IF(AND($O167&gt;0,Sheet1!EO169=1),(1-($O167-Sheet1!$L169)/$O167)*CZ167,0)</f>
        <v>0</v>
      </c>
      <c r="DF167" s="545">
        <f>IF(AND(Sheet1!$L169=0,Sheet1!$L168=0, Calculation!CY167&lt;Sheet1!$EK169-0.1,Sheet1!$EK169=Sheet1!$EK168,Sheet1!$EK169=Sheet1!$EK170),Sheet1!$EK169,CZ167-DE167)</f>
        <v>6.9728003214142218</v>
      </c>
      <c r="DG167" s="545"/>
      <c r="DH167" s="560">
        <f t="shared" si="311"/>
        <v>9.4699999999999989</v>
      </c>
      <c r="DI167" s="560">
        <f t="shared" si="312"/>
        <v>817.67888077481109</v>
      </c>
      <c r="DJ167" s="698">
        <f t="shared" si="313"/>
        <v>9.4738047408597819</v>
      </c>
      <c r="DK167" s="560">
        <f ca="1">IF(B167&gt;Summary!$A$1,#N/A,DI167*MGtoAF)</f>
        <v>2508.6388062171204</v>
      </c>
      <c r="DL167" s="698">
        <f t="shared" si="314"/>
        <v>9.4699999999999989</v>
      </c>
      <c r="DM167" s="560">
        <f t="shared" si="315"/>
        <v>49.78</v>
      </c>
      <c r="DN167" s="560">
        <f>Sheet1!AB169-DM167</f>
        <v>1.9999999999996021E-2</v>
      </c>
      <c r="DO167" s="823">
        <f t="shared" si="316"/>
        <v>4.017677782241065E-4</v>
      </c>
      <c r="DP167" s="560">
        <f>(VLOOKUP(Sheet1!DC169,hhdcap_wcm,4)-(((VLOOKUP(Sheet1!DC169,hhdcap_wcm,3)-Sheet1!DC169)/(VLOOKUP(Sheet1!DC169,hhdcap_wcm,3)-VLOOKUP(Sheet1!DC169,hhdcap_wcm,1)))*(VLOOKUP(Sheet1!DC169,hhdcap_wcm,4)-VLOOKUP(Sheet1!DC169,hhdcap_wcm,2))))</f>
        <v>49302.600000119237</v>
      </c>
      <c r="DQ167" s="560">
        <f t="shared" si="317"/>
        <v>34.200000000004366</v>
      </c>
      <c r="DR167" s="560">
        <f t="shared" si="318"/>
        <v>17.24659606656801</v>
      </c>
      <c r="DS167" s="560">
        <f>Sheet1!EA169*AFtoMG</f>
        <v>0</v>
      </c>
      <c r="DT167" s="560">
        <f>Sheet1!EB169*AFtoMG</f>
        <v>0</v>
      </c>
      <c r="DU167" s="560">
        <f>Sheet1!EC169*AFtoMG</f>
        <v>0</v>
      </c>
      <c r="DV167" s="560">
        <f>Sheet1!ED169*AFtoMG</f>
        <v>0</v>
      </c>
      <c r="DW167" s="560">
        <f t="shared" si="319"/>
        <v>0</v>
      </c>
      <c r="DX167" s="560">
        <f t="shared" si="320"/>
        <v>0</v>
      </c>
      <c r="DY167" s="560">
        <f t="shared" si="321"/>
        <v>5941.8900853876576</v>
      </c>
      <c r="DZ167" s="560">
        <f t="shared" si="322"/>
        <v>18229.718781969335</v>
      </c>
      <c r="EA167" s="560"/>
      <c r="EB167" s="545">
        <f>IF(OR(B167&lt;FV167,B167&gt;FW167),(MIN(BF167+BY167+CT167+MAX(Sheet1!AA169+AQ167-73,0),K167)),0)</f>
        <v>9.4738047408597819</v>
      </c>
      <c r="EC167" s="560"/>
      <c r="ED167" s="560">
        <f t="shared" si="323"/>
        <v>9.4738047408597819</v>
      </c>
      <c r="EE167" s="560"/>
      <c r="EF167" s="560">
        <f>Sheet1!EH169+Sheet1!EI169+Sheet1!EJ169+Sheet1!EK169</f>
        <v>9.4699999999999989</v>
      </c>
      <c r="EG167" s="560"/>
      <c r="EH167" s="545">
        <f t="shared" si="324"/>
        <v>0</v>
      </c>
      <c r="EI167" s="560">
        <f>IF(Sheet1!ET169=1,SUM('Calculations II'!AT167:BA167)+'Calculations II'!BC167+Sheet1!BV169+'Calculations II'!BE167+AP167,SUM('Calculations II'!AT167:BA167)+'Calculations II'!BC167+Sheet1!BV169+'Calculations II'!BE167+AP167)</f>
        <v>68.566224000000005</v>
      </c>
      <c r="EJ167" s="560">
        <f>Sheet1!AA169+Sheet1!AB169+'Calculations II'!BC167</f>
        <v>73.3</v>
      </c>
      <c r="EK167" s="560"/>
      <c r="EL167" s="560"/>
      <c r="EM167" s="560">
        <f t="shared" si="325"/>
        <v>41795</v>
      </c>
      <c r="EN167" s="560">
        <f t="shared" si="326"/>
        <v>55.166195259140217</v>
      </c>
      <c r="EO167" s="560">
        <f t="shared" si="327"/>
        <v>85.342104065889913</v>
      </c>
      <c r="EP167" s="560">
        <v>0</v>
      </c>
      <c r="EQ167" s="560">
        <v>0</v>
      </c>
      <c r="ER167" s="560">
        <v>0</v>
      </c>
      <c r="ES167" s="545">
        <f t="shared" si="349"/>
        <v>-2.0743184653391689</v>
      </c>
      <c r="ET167" s="560">
        <f>-(VLOOKUP(Sheet1!BQ169,Lookup!$O$4:$Q$262,2)-VLOOKUP(Sheet1!BQ168,Lookup!$O$4:$Q$262,2))/1000000</f>
        <v>-1.1063151354674996</v>
      </c>
      <c r="EU167" s="560">
        <f>-(VLOOKUP(Sheet1!BR169,Lookup!$O$4:$Q$262,3)-VLOOKUP(Sheet1!BR168,Lookup!$O$4:$Q$262,3))/1000000</f>
        <v>-0.96800332987166937</v>
      </c>
      <c r="EV167" s="560"/>
      <c r="EW167" s="560"/>
      <c r="EX167" s="560"/>
      <c r="EY167" s="560"/>
      <c r="EZ167" s="560"/>
      <c r="FA167" s="560"/>
      <c r="FB167" s="560"/>
      <c r="FC167" s="560"/>
      <c r="FD167" s="594" t="e">
        <f t="shared" si="328"/>
        <v>#N/A</v>
      </c>
      <c r="FE167" s="594" t="e">
        <f t="shared" si="329"/>
        <v>#N/A</v>
      </c>
      <c r="FF167" s="595" t="e">
        <f t="shared" si="330"/>
        <v>#N/A</v>
      </c>
      <c r="FG167" s="596" t="s">
        <v>692</v>
      </c>
      <c r="FH167" s="596" t="s">
        <v>692</v>
      </c>
      <c r="FI167" s="594" t="e">
        <v>#N/A</v>
      </c>
      <c r="FJ167" s="594" t="e">
        <v>#N/A</v>
      </c>
      <c r="FK167" s="560">
        <v>24850</v>
      </c>
      <c r="FL167" s="560"/>
      <c r="FM167" s="560"/>
      <c r="FN167" s="560"/>
      <c r="FO167" s="560">
        <f>O167+((Sheet1!CS169)*GPMtoMGD)</f>
        <v>73.3</v>
      </c>
      <c r="FP167" s="560">
        <f>IF(Sheet1!AA169+AQ167&lt;=Calculation!N167,AQ167,Calculation!N167-Sheet1!AA169)</f>
        <v>38.715548413017274</v>
      </c>
      <c r="FQ167" s="560">
        <f>(Sheet1!BP169+Sheet1!BO169)/694.4</f>
        <v>2.5470910138248848</v>
      </c>
      <c r="FR167" s="560"/>
      <c r="FS167" s="560"/>
      <c r="FT167" s="560"/>
      <c r="FU167" s="560"/>
      <c r="FV167" s="695">
        <f t="shared" si="350"/>
        <v>41827</v>
      </c>
      <c r="FW167" s="695">
        <f t="shared" si="351"/>
        <v>41934</v>
      </c>
      <c r="FX167" s="560"/>
      <c r="FY167" s="560"/>
      <c r="FZ167" s="560"/>
      <c r="GA167" s="560"/>
      <c r="GB167" s="560" t="str">
        <f t="shared" si="352"/>
        <v>n</v>
      </c>
      <c r="GC167" s="564">
        <f t="shared" si="353"/>
        <v>41691</v>
      </c>
      <c r="GD167" s="695">
        <f t="shared" si="354"/>
        <v>41807</v>
      </c>
      <c r="GE167" s="560">
        <v>6518.9</v>
      </c>
      <c r="GF167" s="695">
        <f t="shared" si="355"/>
        <v>41808</v>
      </c>
      <c r="GG167" s="560">
        <f t="shared" si="374"/>
        <v>3259</v>
      </c>
      <c r="GH167" s="564">
        <f t="shared" si="356"/>
        <v>41934</v>
      </c>
      <c r="GJ167" s="545">
        <f t="shared" si="357"/>
        <v>39.202222222222225</v>
      </c>
      <c r="GK167" s="560" t="str">
        <f t="shared" si="331"/>
        <v>PP</v>
      </c>
      <c r="GL167" s="560">
        <f t="shared" si="358"/>
        <v>26.633333333333336</v>
      </c>
      <c r="GM167" s="560" t="str">
        <f t="shared" si="359"/>
        <v/>
      </c>
      <c r="GN167" s="560">
        <f>IF(GK167="P",Lookup!$M$12,IF(GK167="PP",Lookup!$M$13,IF(GK167="PPP",Lookup!$M$14,IF(GK167="T",Lookup!$M$15,IF(GK167="TP",Lookup!$M$16,IF(GK167="TPP",Lookup!$M$17,IF(GK167="TPPP",Lookup!$M$18,0)))))))*GJ167</f>
        <v>0</v>
      </c>
      <c r="GO167" s="560">
        <f t="shared" si="360"/>
        <v>0</v>
      </c>
      <c r="GP167" s="560">
        <f t="shared" si="332"/>
        <v>8333.3271666666678</v>
      </c>
      <c r="GQ167" s="560">
        <f t="shared" si="368"/>
        <v>2716.2083333333335</v>
      </c>
      <c r="GR167" s="560"/>
      <c r="GS167" s="560">
        <f t="shared" si="361"/>
        <v>12.568888888888889</v>
      </c>
      <c r="GT167" s="560" t="str">
        <f t="shared" si="362"/>
        <v/>
      </c>
      <c r="GU167" s="560">
        <f>IF(GK167="P",Lookup!$N$12,IF(GK167="PP",Lookup!$N$13,IF(GK167="PPP",Lookup!$N$14,IF(GK167="T",Lookup!$N$15,IF(GK167="TP",Lookup!$N$16,IF(GK167="TPP",Lookup!$N$17,IF(GK167="TPPP",Lookup!$N$18,0)))))))*GJ167</f>
        <v>19.601111111111113</v>
      </c>
      <c r="GV167" s="560">
        <f t="shared" si="363"/>
        <v>0</v>
      </c>
      <c r="GW167" s="560">
        <f t="shared" si="333"/>
        <v>3888.8860111111112</v>
      </c>
      <c r="GX167" s="560">
        <f t="shared" si="369"/>
        <v>1267.5638888888889</v>
      </c>
      <c r="GY167" s="560"/>
      <c r="GZ167" s="560">
        <f t="shared" si="364"/>
        <v>0</v>
      </c>
      <c r="HA167" s="560" t="str">
        <f t="shared" si="365"/>
        <v>P</v>
      </c>
      <c r="HB167" s="560">
        <f>IF(GK167="P",Lookup!$N$12,IF(GK167="PP",Lookup!$N$13,IF(GK167="PPP",Lookup!$N$14,IF(GK167="T",Lookup!$N$15,IF(GK167="TP",Lookup!$N$16,IF(GK167="TPP",Lookup!$N$17,IF(GK167="TPPP",Lookup!$N$18,0)))))))*GJ167</f>
        <v>19.601111111111113</v>
      </c>
      <c r="HC167" s="545">
        <f t="shared" si="334"/>
        <v>19.601111111111113</v>
      </c>
      <c r="HD167" s="560">
        <f t="shared" si="335"/>
        <v>3438.7305890855469</v>
      </c>
      <c r="HE167" s="560">
        <f t="shared" si="370"/>
        <v>1120.8378712795134</v>
      </c>
      <c r="HF167" s="560"/>
      <c r="HG167" s="560">
        <f t="shared" si="366"/>
        <v>0</v>
      </c>
      <c r="HH167" s="560" t="str">
        <f t="shared" si="367"/>
        <v>P</v>
      </c>
      <c r="HI167" s="560">
        <f>IF(GK167="P",Lookup!$N$12,IF(GK167="PP",Lookup!$N$13,IF(GK167="PPP",Lookup!$N$14,IF(GK167="T",Lookup!$N$15,IF(GK167="TP",Lookup!$N$16,IF(GK167="TPP",Lookup!$N$17,IF(GK167="TPPP",Lookup!$N$18,0)))))))*GJ167</f>
        <v>19.601111111111113</v>
      </c>
      <c r="HJ167" s="545">
        <f t="shared" si="336"/>
        <v>19.601111111111113</v>
      </c>
      <c r="HK167" s="560">
        <f t="shared" si="337"/>
        <v>2448.5025973282318</v>
      </c>
      <c r="HL167" s="560">
        <f t="shared" si="371"/>
        <v>798.0777696637</v>
      </c>
      <c r="HM167" s="560"/>
    </row>
    <row r="168" spans="1:221">
      <c r="A168" s="580" t="s">
        <v>8</v>
      </c>
      <c r="B168" s="556">
        <v>41796</v>
      </c>
      <c r="C168" s="561">
        <v>0</v>
      </c>
      <c r="D168" s="529">
        <f t="shared" si="372"/>
        <v>300</v>
      </c>
      <c r="E168" s="529">
        <f t="shared" si="373"/>
        <v>250</v>
      </c>
      <c r="F168" s="529">
        <v>250</v>
      </c>
      <c r="G168" s="560">
        <f>DR168+Sheet1!CZ170</f>
        <v>716.98184568795182</v>
      </c>
      <c r="H168" s="914">
        <f t="shared" si="338"/>
        <v>196.49386505269206</v>
      </c>
      <c r="I168" s="559">
        <f>MAX(Sheet1!Z170-AT168+(Sheet1!DA170-E168)*CFStoMGD,0)</f>
        <v>360.71839999999997</v>
      </c>
      <c r="J168" s="562">
        <f>IF(AND(B168&gt;=Calculation!GC168,B168&lt;=Calculation!GD168),IF(Sheet1!DB170&gt;=Calculation!D168,64.64,0),MAX(Sheet1!Z170-AT168+(Sheet1!DB170-D168)*CFStoMGD,0))</f>
        <v>64.64</v>
      </c>
      <c r="K168" s="904">
        <f t="shared" si="273"/>
        <v>64.64</v>
      </c>
      <c r="L168" s="560">
        <f>Sheet1!AA170+Sheet1!AB170-Sheet1!L170+(Sheet1!DA170-F168)*CFStoMGD</f>
        <v>387.3184</v>
      </c>
      <c r="M168" s="560">
        <f t="shared" si="274"/>
        <v>472.72620635374591</v>
      </c>
      <c r="N168" s="910">
        <f>IF(Sheet1!DA170&gt;=F168,MIN(73,MIN(MAX(L168,0),MAX(M168,0))),0)</f>
        <v>73</v>
      </c>
      <c r="O168" s="563">
        <f>Sheet1!AA170+Sheet1!AB170</f>
        <v>76.400000000000006</v>
      </c>
      <c r="P168" s="563">
        <f t="shared" si="275"/>
        <v>118.1908</v>
      </c>
      <c r="Q168" s="898">
        <f t="shared" si="339"/>
        <v>65.760000000000005</v>
      </c>
      <c r="R168" s="829">
        <f t="shared" si="276"/>
        <v>10.611809235427707</v>
      </c>
      <c r="S168" s="898">
        <f t="shared" si="340"/>
        <v>10.64</v>
      </c>
      <c r="T168" s="898">
        <f t="shared" si="341"/>
        <v>54</v>
      </c>
      <c r="U168" s="898">
        <f t="shared" si="342"/>
        <v>0</v>
      </c>
      <c r="V168" s="898"/>
      <c r="W168" s="898">
        <f t="shared" si="343"/>
        <v>54.028190764572294</v>
      </c>
      <c r="X168" s="898">
        <f t="shared" si="344"/>
        <v>64.64</v>
      </c>
      <c r="Y168" s="898" t="str">
        <f t="shared" si="345"/>
        <v>FALSE</v>
      </c>
      <c r="Z168" s="898">
        <f t="shared" si="346"/>
        <v>76.400000000000006</v>
      </c>
      <c r="AA168" s="898">
        <f t="shared" si="347"/>
        <v>76.400000000000006</v>
      </c>
      <c r="AB168" s="898" t="str">
        <f t="shared" si="348"/>
        <v/>
      </c>
      <c r="AC168" s="563">
        <f>Sheet1!Y170*MGDtoCFS</f>
        <v>36.354500000000002</v>
      </c>
      <c r="AD168" s="563">
        <f>Sheet1!Z170*MGDtoCFS</f>
        <v>77.040599999999998</v>
      </c>
      <c r="AE168" s="563">
        <f>Sheet1!AA170*MGDtoCFS</f>
        <v>36.663899999999998</v>
      </c>
      <c r="AF168" s="563">
        <f>Sheet1!AB170*MGDtoCFS</f>
        <v>81.526899999999998</v>
      </c>
      <c r="AG168" s="563">
        <f>Sheet1!L170*MGDtoCFS</f>
        <v>0</v>
      </c>
      <c r="AH168" s="545">
        <f t="shared" si="277"/>
        <v>0</v>
      </c>
      <c r="AI168" s="560">
        <f t="shared" si="278"/>
        <v>0</v>
      </c>
      <c r="AJ168" s="560">
        <f t="shared" si="279"/>
        <v>54.028190764572294</v>
      </c>
      <c r="AK168" s="560">
        <f t="shared" si="280"/>
        <v>83.58161111279334</v>
      </c>
      <c r="AL168" s="560">
        <f>(VLOOKUP(Sheet1!DC170,hhdcap_wcm,4)-(((VLOOKUP(Sheet1!DC170,hhdcap_wcm,3)-Sheet1!DC170)/(VLOOKUP(Sheet1!DC170,hhdcap_wcm,3)-VLOOKUP(Sheet1!DC170,hhdcap_wcm,1)))*(VLOOKUP(Sheet1!DC170,hhdcap_wcm,4)-VLOOKUP(Sheet1!DC170,hhdcap_wcm,2))))</f>
        <v>49485.000000118445</v>
      </c>
      <c r="AM168" s="560">
        <f t="shared" si="281"/>
        <v>182.39999999920838</v>
      </c>
      <c r="AN168" s="560">
        <f t="shared" si="282"/>
        <v>5992.5182761522301</v>
      </c>
      <c r="AO168" s="560">
        <f t="shared" si="283"/>
        <v>18385.046071235043</v>
      </c>
      <c r="AP168" s="560">
        <f>Sheet1!BA170+Sheet1!BB170+Sheet1!BN170+CD168</f>
        <v>42.2</v>
      </c>
      <c r="AQ168" s="560">
        <f>Sheet1!BN170+(DO168*Sheet1!BN170)</f>
        <v>40.49242997728993</v>
      </c>
      <c r="AR168" s="560">
        <f>Sheet1!BA170+CD168</f>
        <v>0</v>
      </c>
      <c r="AS168" s="560">
        <f>Sheet1!BA170+Sheet1!BB170+CD168</f>
        <v>1.6</v>
      </c>
      <c r="AT168" s="698">
        <f>0</f>
        <v>0</v>
      </c>
      <c r="AU168" s="560">
        <f>IF(EB168&lt;K168,0,MAX(Sheet1!AA170+AQ168-15/36*K168-N168,Sheet1!EH170,0))</f>
        <v>0</v>
      </c>
      <c r="AV168" s="560">
        <f>IF(OR(B168&gt;=GD168,B168&lt;GC168),0,15/36*K168-MAX(0,64.6-(137.6-(Sheet1!AA170+Sheet1!AB170))))</f>
        <v>23.533333333333328</v>
      </c>
      <c r="AW168" s="698">
        <f>Sheet1!DB170-110</f>
        <v>426</v>
      </c>
      <c r="AX168" s="698">
        <f>Sheet1!DA170-265</f>
        <v>466</v>
      </c>
      <c r="AY168" s="698">
        <f t="shared" si="284"/>
        <v>7.2399999999999949</v>
      </c>
      <c r="AZ168" s="698">
        <v>0</v>
      </c>
      <c r="BA168" s="698">
        <f t="shared" si="285"/>
        <v>0</v>
      </c>
      <c r="BB168" s="560">
        <f t="shared" si="286"/>
        <v>2716.2083333333335</v>
      </c>
      <c r="BC168" s="560"/>
      <c r="BD168" s="560">
        <f ca="1">IF(B168&gt;Summary!$A$1,#N/A,BB168*MGtoAF)</f>
        <v>8333.3271666666678</v>
      </c>
      <c r="BE168" s="560">
        <f>Sheet1!BG170+Sheet1!BH170+Sheet1!BI170-BM168</f>
        <v>0</v>
      </c>
      <c r="BF168" s="560">
        <f t="shared" si="287"/>
        <v>0</v>
      </c>
      <c r="BG168" s="560">
        <f>IF(Sheet1!EP170="FM",BM168,0)</f>
        <v>0</v>
      </c>
      <c r="BH168" s="560">
        <f t="shared" si="288"/>
        <v>0</v>
      </c>
      <c r="BI168" s="560">
        <f>IF(Sheet1!EP170="OTHER",BM168,0)</f>
        <v>0</v>
      </c>
      <c r="BJ168" s="560">
        <f t="shared" si="289"/>
        <v>0</v>
      </c>
      <c r="BK168" s="560">
        <f t="shared" si="290"/>
        <v>0</v>
      </c>
      <c r="BL168" s="560">
        <f t="shared" si="291"/>
        <v>0</v>
      </c>
      <c r="BM168" s="560">
        <f>IF(OR(Sheet1!EP170="FM", Sheet1!EP170="OTHER"),SUM(Sheet1!BG170:'Sheet1'!BI170),0)</f>
        <v>0</v>
      </c>
      <c r="BN168" s="545">
        <f>IF(AND($B168&gt;=$FV168,$B168&lt;=$FW168),MAX(BF168,Sheet1!EI170,0),MAX(BF168-(7/36)*$K168,0))</f>
        <v>0</v>
      </c>
      <c r="BO168" s="560">
        <f t="shared" si="292"/>
        <v>12.568888888888889</v>
      </c>
      <c r="BP168" s="545">
        <f t="shared" si="293"/>
        <v>0</v>
      </c>
      <c r="BQ168" s="545">
        <f>IF(AND($O168&gt;0,Sheet1!EM170=1),(1-($O168-Sheet1!$L170)/$O168)*BL168,0)</f>
        <v>0</v>
      </c>
      <c r="BR168" s="545">
        <f>IF(AND(Sheet1!$L170=0,Sheet1!$L169=0, Calculation!BK168&lt;Sheet1!$EI170-0.1,Sheet1!$EI170=Sheet1!$EI169,Sheet1!$EI170=Sheet1!$EI171),Sheet1!$EI170,BL168-BQ168)</f>
        <v>0</v>
      </c>
      <c r="BS168" s="560"/>
      <c r="BT168" s="560"/>
      <c r="BU168" s="560">
        <f t="shared" si="294"/>
        <v>1267.5638888888889</v>
      </c>
      <c r="BV168" s="560"/>
      <c r="BW168" s="560">
        <f ca="1">IF(B168&gt;Summary!$A$1,#N/A,BU168*MGtoAF)</f>
        <v>3888.8860111111112</v>
      </c>
      <c r="BX168" s="560">
        <f>Sheet1!BC170+Sheet1!BD170+Sheet1!BE170+Sheet1!BF170-CG168-CH168</f>
        <v>2.82</v>
      </c>
      <c r="BY168" s="560">
        <f t="shared" si="295"/>
        <v>2.8125283875851625</v>
      </c>
      <c r="BZ168" s="560">
        <f>IF(Sheet1!EQ170="FM",CH168,0)</f>
        <v>0</v>
      </c>
      <c r="CA168" s="560">
        <f t="shared" si="296"/>
        <v>0</v>
      </c>
      <c r="CB168" s="560">
        <f>IF(Sheet1!EQ170="OTHER",CH168,0)</f>
        <v>0</v>
      </c>
      <c r="CC168" s="560">
        <f t="shared" si="297"/>
        <v>0</v>
      </c>
      <c r="CD168" s="560">
        <f t="shared" si="298"/>
        <v>0</v>
      </c>
      <c r="CE168" s="560">
        <f t="shared" si="299"/>
        <v>2.82</v>
      </c>
      <c r="CF168" s="560">
        <f t="shared" si="300"/>
        <v>2.8125283875851625</v>
      </c>
      <c r="CG168" s="560">
        <f>IF(Sheet1!EQ170="CWA",SUM(Sheet1!BC170:'Sheet1'!BF170),0)</f>
        <v>0</v>
      </c>
      <c r="CH168" s="560">
        <f>IF(OR(Sheet1!EQ170="FM", Sheet1!EQ170="OTHER"),SUM(Sheet1!BC170:'Sheet1'!BF170),0)</f>
        <v>0</v>
      </c>
      <c r="CI168" s="545">
        <f>IF(AND($B168&gt;=$FV168,$B168&lt;=$FW168),MAX(CF168,Sheet1!EJ170,0),MAX(CF168-(7/36)*$K168,0))</f>
        <v>0</v>
      </c>
      <c r="CJ168" s="560">
        <f t="shared" si="301"/>
        <v>9.7563605013037265</v>
      </c>
      <c r="CK168" s="545">
        <f t="shared" si="302"/>
        <v>2.8125283875851625</v>
      </c>
      <c r="CL168" s="545">
        <f>IF(AND($O168&gt;0,Sheet1!EN170=1),(1-($O168-Sheet1!$L170)/$O168)*CF168,0)</f>
        <v>0</v>
      </c>
      <c r="CM168" s="545">
        <f>IF(AND(Sheet1!$L170=0,Sheet1!$L169=0, Calculation!CE168&lt;Sheet1!EJ170-0.1,Sheet1!EJ170=Sheet1!EJ169,Sheet1!EJ170=Sheet1!EJ171),Sheet1!EJ170,CF168-CL168)</f>
        <v>2.8125283875851625</v>
      </c>
      <c r="CN168" s="545"/>
      <c r="CO168" s="560"/>
      <c r="CP168" s="560">
        <f t="shared" si="303"/>
        <v>1168.2464540030394</v>
      </c>
      <c r="CQ168" s="560"/>
      <c r="CR168" s="560">
        <f ca="1">IF(B168&gt;Summary!$A$1,#N/A,CP168*MGtoAF)</f>
        <v>3584.1801208813249</v>
      </c>
      <c r="CS168" s="560">
        <f>Sheet1!BK170+Sheet1!BL170+Sheet1!BM170-Sheet1!ER170-DA168</f>
        <v>7.82</v>
      </c>
      <c r="CT168" s="560">
        <f t="shared" si="304"/>
        <v>7.7992808478425442</v>
      </c>
      <c r="CU168" s="560">
        <f>IF(Sheet1!ER170="FM",DA168,0)</f>
        <v>0</v>
      </c>
      <c r="CV168" s="560">
        <f t="shared" si="305"/>
        <v>0</v>
      </c>
      <c r="CW168" s="560">
        <f>IF(Sheet1!ER170="OTHER",DA168,0)</f>
        <v>0</v>
      </c>
      <c r="CX168" s="560">
        <f t="shared" si="306"/>
        <v>0</v>
      </c>
      <c r="CY168" s="560">
        <f t="shared" si="307"/>
        <v>7.82</v>
      </c>
      <c r="CZ168" s="560">
        <f t="shared" si="308"/>
        <v>7.7992808478425442</v>
      </c>
      <c r="DA168" s="560">
        <f>IF(OR(Sheet1!ER170="FM", Sheet1!ER170="OTHER"),SUM(Sheet1!BK170:'Sheet1'!BM170),0)</f>
        <v>0</v>
      </c>
      <c r="DB168" s="545">
        <f>IF(AND($B168&gt;=$FV168,$B168&lt;=$FW168),MAX($CT168,Sheet1!EK170,0),MAX($CT168-(7/36)*$K168,0))</f>
        <v>0</v>
      </c>
      <c r="DC168" s="560">
        <f t="shared" si="309"/>
        <v>4.7696080410463448</v>
      </c>
      <c r="DD168" s="545">
        <f t="shared" si="310"/>
        <v>7.7992808478425442</v>
      </c>
      <c r="DE168" s="545">
        <f>IF(AND($O168&gt;0,Sheet1!EO170=1),(1-($O168-Sheet1!$L170)/$O168)*CZ168,0)</f>
        <v>0</v>
      </c>
      <c r="DF168" s="545">
        <f>IF(AND(Sheet1!$L170=0,Sheet1!$L169=0, Calculation!CY168&lt;Sheet1!$EK170-0.1,Sheet1!$EK170=Sheet1!$EK169,Sheet1!$EK170=Sheet1!$EK171),Sheet1!$EK170,CZ168-DE168)</f>
        <v>7.7992808478425442</v>
      </c>
      <c r="DG168" s="545"/>
      <c r="DH168" s="560">
        <f t="shared" si="311"/>
        <v>10.64</v>
      </c>
      <c r="DI168" s="560">
        <f t="shared" si="312"/>
        <v>840.49959992696859</v>
      </c>
      <c r="DJ168" s="698">
        <f t="shared" si="313"/>
        <v>10.611809235427707</v>
      </c>
      <c r="DK168" s="560">
        <f ca="1">IF(B168&gt;Summary!$A$1,#N/A,DI168*MGtoAF)</f>
        <v>2578.6527725759397</v>
      </c>
      <c r="DL168" s="698">
        <f t="shared" si="314"/>
        <v>10.64</v>
      </c>
      <c r="DM168" s="560">
        <f t="shared" si="315"/>
        <v>52.84</v>
      </c>
      <c r="DN168" s="560">
        <f>Sheet1!AB170-DM168</f>
        <v>-0.14000000000000057</v>
      </c>
      <c r="DO168" s="823">
        <f t="shared" si="316"/>
        <v>-2.649507948523856E-3</v>
      </c>
      <c r="DP168" s="560">
        <f>(VLOOKUP(Sheet1!DC170,hhdcap_wcm,4)-(((VLOOKUP(Sheet1!DC170,hhdcap_wcm,3)-Sheet1!DC170)/(VLOOKUP(Sheet1!DC170,hhdcap_wcm,3)-VLOOKUP(Sheet1!DC170,hhdcap_wcm,1)))*(VLOOKUP(Sheet1!DC170,hhdcap_wcm,4)-VLOOKUP(Sheet1!DC170,hhdcap_wcm,2))))</f>
        <v>49485.000000118445</v>
      </c>
      <c r="DQ168" s="560">
        <f t="shared" si="317"/>
        <v>182.39999999920838</v>
      </c>
      <c r="DR168" s="560">
        <f t="shared" si="318"/>
        <v>91.981845687951761</v>
      </c>
      <c r="DS168" s="560">
        <f>Sheet1!EA170*AFtoMG</f>
        <v>0</v>
      </c>
      <c r="DT168" s="560">
        <f>Sheet1!EB170*AFtoMG</f>
        <v>0</v>
      </c>
      <c r="DU168" s="560">
        <f>Sheet1!EC170*AFtoMG</f>
        <v>0</v>
      </c>
      <c r="DV168" s="560">
        <f>Sheet1!ED170*AFtoMG</f>
        <v>0</v>
      </c>
      <c r="DW168" s="560">
        <f t="shared" si="319"/>
        <v>0</v>
      </c>
      <c r="DX168" s="560">
        <f t="shared" si="320"/>
        <v>0</v>
      </c>
      <c r="DY168" s="560">
        <f t="shared" si="321"/>
        <v>5992.5182761522301</v>
      </c>
      <c r="DZ168" s="560">
        <f t="shared" si="322"/>
        <v>18385.046071235043</v>
      </c>
      <c r="EA168" s="560"/>
      <c r="EB168" s="545">
        <f>IF(OR(B168&lt;FV168,B168&gt;FW168),(MIN(BF168+BY168+CT168+MAX(Sheet1!AA170+AQ168-73,0),K168)),0)</f>
        <v>10.611809235427707</v>
      </c>
      <c r="EC168" s="560"/>
      <c r="ED168" s="560">
        <f t="shared" si="323"/>
        <v>10.611809235427707</v>
      </c>
      <c r="EE168" s="560"/>
      <c r="EF168" s="560">
        <f>Sheet1!EH170+Sheet1!EI170+Sheet1!EJ170+Sheet1!EK170</f>
        <v>10.64</v>
      </c>
      <c r="EG168" s="560"/>
      <c r="EH168" s="545">
        <f t="shared" si="324"/>
        <v>0</v>
      </c>
      <c r="EI168" s="560">
        <f>IF(Sheet1!ET170=1,SUM('Calculations II'!AT168:BA168)+'Calculations II'!BC168+Sheet1!BV170+'Calculations II'!BE168+AP168,SUM('Calculations II'!AT168:BA168)+'Calculations II'!BC168+Sheet1!BV170+'Calculations II'!BE168+AP168)</f>
        <v>68.921744000000004</v>
      </c>
      <c r="EJ168" s="560">
        <f>Sheet1!AA170+Sheet1!AB170+'Calculations II'!BC168</f>
        <v>76.400000000000006</v>
      </c>
      <c r="EK168" s="560"/>
      <c r="EL168" s="560"/>
      <c r="EM168" s="560">
        <f t="shared" si="325"/>
        <v>41796</v>
      </c>
      <c r="EN168" s="560">
        <f t="shared" si="326"/>
        <v>54.028190764572294</v>
      </c>
      <c r="EO168" s="560">
        <f t="shared" si="327"/>
        <v>83.58161111279334</v>
      </c>
      <c r="EP168" s="560">
        <v>0</v>
      </c>
      <c r="EQ168" s="560">
        <v>0</v>
      </c>
      <c r="ER168" s="560">
        <v>0</v>
      </c>
      <c r="ES168" s="545">
        <f t="shared" si="349"/>
        <v>-3.4587943025602099</v>
      </c>
      <c r="ET168" s="560">
        <f>-(VLOOKUP(Sheet1!BQ170,Lookup!$O$4:$Q$262,2)-VLOOKUP(Sheet1!BQ169,Lookup!$O$4:$Q$262,2))/1000000</f>
        <v>-1.66024124848219</v>
      </c>
      <c r="EU168" s="560">
        <f>-(VLOOKUP(Sheet1!BR170,Lookup!$O$4:$Q$262,3)-VLOOKUP(Sheet1!BR169,Lookup!$O$4:$Q$262,3))/1000000</f>
        <v>-1.7985530540780201</v>
      </c>
      <c r="EV168" s="560"/>
      <c r="EW168" s="560"/>
      <c r="EX168" s="560"/>
      <c r="EY168" s="560"/>
      <c r="EZ168" s="560"/>
      <c r="FA168" s="560"/>
      <c r="FB168" s="560"/>
      <c r="FC168" s="560"/>
      <c r="FD168" s="594" t="e">
        <f t="shared" si="328"/>
        <v>#N/A</v>
      </c>
      <c r="FE168" s="594" t="e">
        <f t="shared" si="329"/>
        <v>#N/A</v>
      </c>
      <c r="FF168" s="595" t="e">
        <f t="shared" si="330"/>
        <v>#N/A</v>
      </c>
      <c r="FG168" s="596" t="s">
        <v>692</v>
      </c>
      <c r="FH168" s="596" t="s">
        <v>692</v>
      </c>
      <c r="FI168" s="594" t="e">
        <v>#N/A</v>
      </c>
      <c r="FJ168" s="594" t="e">
        <v>#N/A</v>
      </c>
      <c r="FK168" s="560">
        <v>24800</v>
      </c>
      <c r="FL168" s="560"/>
      <c r="FM168" s="560"/>
      <c r="FN168" s="560"/>
      <c r="FO168" s="560">
        <f>O168+((Sheet1!CS170)*GPMtoMGD)</f>
        <v>76.400000000000006</v>
      </c>
      <c r="FP168" s="560">
        <f>IF(Sheet1!AA170+AQ168&lt;=Calculation!N168,AQ168,Calculation!N168-Sheet1!AA170)</f>
        <v>40.49242997728993</v>
      </c>
      <c r="FQ168" s="560">
        <f>(Sheet1!BP170+Sheet1!BO170)/694.4</f>
        <v>2.9853110599078341</v>
      </c>
      <c r="FR168" s="560"/>
      <c r="FS168" s="560"/>
      <c r="FT168" s="560"/>
      <c r="FU168" s="560"/>
      <c r="FV168" s="695">
        <f t="shared" si="350"/>
        <v>41827</v>
      </c>
      <c r="FW168" s="695">
        <f t="shared" si="351"/>
        <v>41934</v>
      </c>
      <c r="FX168" s="560"/>
      <c r="FY168" s="560"/>
      <c r="FZ168" s="560"/>
      <c r="GA168" s="560"/>
      <c r="GB168" s="560" t="str">
        <f t="shared" si="352"/>
        <v>n</v>
      </c>
      <c r="GC168" s="564">
        <f t="shared" si="353"/>
        <v>41691</v>
      </c>
      <c r="GD168" s="695">
        <f t="shared" si="354"/>
        <v>41807</v>
      </c>
      <c r="GE168" s="560">
        <v>6518.9</v>
      </c>
      <c r="GF168" s="695">
        <f t="shared" si="355"/>
        <v>41808</v>
      </c>
      <c r="GG168" s="560">
        <f t="shared" si="374"/>
        <v>3259</v>
      </c>
      <c r="GH168" s="564">
        <f t="shared" si="356"/>
        <v>41934</v>
      </c>
      <c r="GJ168" s="545">
        <f t="shared" si="357"/>
        <v>36.102222222222217</v>
      </c>
      <c r="GK168" s="560" t="str">
        <f t="shared" si="331"/>
        <v>PP</v>
      </c>
      <c r="GL168" s="560">
        <f t="shared" si="358"/>
        <v>23.533333333333328</v>
      </c>
      <c r="GM168" s="560" t="str">
        <f t="shared" si="359"/>
        <v/>
      </c>
      <c r="GN168" s="560">
        <f>IF(GK168="P",Lookup!$M$12,IF(GK168="PP",Lookup!$M$13,IF(GK168="PPP",Lookup!$M$14,IF(GK168="T",Lookup!$M$15,IF(GK168="TP",Lookup!$M$16,IF(GK168="TPP",Lookup!$M$17,IF(GK168="TPPP",Lookup!$M$18,0)))))))*GJ168</f>
        <v>0</v>
      </c>
      <c r="GO168" s="560">
        <f t="shared" si="360"/>
        <v>0</v>
      </c>
      <c r="GP168" s="560">
        <f t="shared" si="332"/>
        <v>8333.3271666666678</v>
      </c>
      <c r="GQ168" s="560">
        <f t="shared" si="368"/>
        <v>2716.2083333333335</v>
      </c>
      <c r="GR168" s="560"/>
      <c r="GS168" s="560">
        <f t="shared" si="361"/>
        <v>12.568888888888889</v>
      </c>
      <c r="GT168" s="560" t="str">
        <f t="shared" si="362"/>
        <v/>
      </c>
      <c r="GU168" s="560">
        <f>IF(GK168="P",Lookup!$N$12,IF(GK168="PP",Lookup!$N$13,IF(GK168="PPP",Lookup!$N$14,IF(GK168="T",Lookup!$N$15,IF(GK168="TP",Lookup!$N$16,IF(GK168="TPP",Lookup!$N$17,IF(GK168="TPPP",Lookup!$N$18,0)))))))*GJ168</f>
        <v>18.051111111111108</v>
      </c>
      <c r="GV168" s="560">
        <f t="shared" si="363"/>
        <v>0</v>
      </c>
      <c r="GW168" s="560">
        <f t="shared" si="333"/>
        <v>3888.8860111111112</v>
      </c>
      <c r="GX168" s="560">
        <f t="shared" si="369"/>
        <v>1267.5638888888889</v>
      </c>
      <c r="GY168" s="560"/>
      <c r="GZ168" s="560">
        <f t="shared" si="364"/>
        <v>0</v>
      </c>
      <c r="HA168" s="560" t="str">
        <f t="shared" si="365"/>
        <v>P</v>
      </c>
      <c r="HB168" s="560">
        <f>IF(GK168="P",Lookup!$N$12,IF(GK168="PP",Lookup!$N$13,IF(GK168="PPP",Lookup!$N$14,IF(GK168="T",Lookup!$N$15,IF(GK168="TP",Lookup!$N$16,IF(GK168="TPP",Lookup!$N$17,IF(GK168="TPPP",Lookup!$N$18,0)))))))*GJ168</f>
        <v>18.051111111111108</v>
      </c>
      <c r="HC168" s="545">
        <f t="shared" si="334"/>
        <v>18.051111111111108</v>
      </c>
      <c r="HD168" s="560">
        <f t="shared" si="335"/>
        <v>3528.7993119924358</v>
      </c>
      <c r="HE168" s="560">
        <f t="shared" si="370"/>
        <v>1150.1953428919282</v>
      </c>
      <c r="HF168" s="560"/>
      <c r="HG168" s="560">
        <f t="shared" si="366"/>
        <v>0</v>
      </c>
      <c r="HH168" s="560" t="str">
        <f t="shared" si="367"/>
        <v>P</v>
      </c>
      <c r="HI168" s="560">
        <f>IF(GK168="P",Lookup!$N$12,IF(GK168="PP",Lookup!$N$13,IF(GK168="PPP",Lookup!$N$14,IF(GK168="T",Lookup!$N$15,IF(GK168="TP",Lookup!$N$16,IF(GK168="TPP",Lookup!$N$17,IF(GK168="TPPP",Lookup!$N$18,0)))))))*GJ168</f>
        <v>18.051111111111108</v>
      </c>
      <c r="HJ168" s="545">
        <f t="shared" si="336"/>
        <v>18.051111111111108</v>
      </c>
      <c r="HK168" s="560">
        <f t="shared" si="337"/>
        <v>2523.2719636870506</v>
      </c>
      <c r="HL168" s="560">
        <f t="shared" si="371"/>
        <v>822.44848881585744</v>
      </c>
      <c r="HM168" s="560"/>
    </row>
    <row r="169" spans="1:221">
      <c r="A169" s="580" t="s">
        <v>9</v>
      </c>
      <c r="B169" s="556">
        <v>41797</v>
      </c>
      <c r="C169" s="561">
        <v>0</v>
      </c>
      <c r="D169" s="529">
        <f t="shared" si="372"/>
        <v>300</v>
      </c>
      <c r="E169" s="529">
        <f t="shared" si="373"/>
        <v>250</v>
      </c>
      <c r="F169" s="529">
        <v>250</v>
      </c>
      <c r="G169" s="560">
        <f>DR169+Sheet1!CZ171</f>
        <v>625</v>
      </c>
      <c r="H169" s="914">
        <f t="shared" si="338"/>
        <v>137.0368</v>
      </c>
      <c r="I169" s="559">
        <f>MAX(Sheet1!Z171-AT169+(Sheet1!DA171-E169)*CFStoMGD,0)</f>
        <v>355.86159999999995</v>
      </c>
      <c r="J169" s="562">
        <f>IF(AND(B169&gt;=Calculation!GC169,B169&lt;=Calculation!GD169),IF(Sheet1!DB171&gt;=Calculation!D169,64.64,0),MAX(Sheet1!Z171-AT169+(Sheet1!DB171-D169)*CFStoMGD,0))</f>
        <v>64.64</v>
      </c>
      <c r="K169" s="904">
        <f t="shared" si="273"/>
        <v>64.64</v>
      </c>
      <c r="L169" s="560">
        <f>Sheet1!AA171+Sheet1!AB171-Sheet1!L171+(Sheet1!DA171-F169)*CFStoMGD</f>
        <v>380.66159999999996</v>
      </c>
      <c r="M169" s="560">
        <f t="shared" si="274"/>
        <v>412.08000000000004</v>
      </c>
      <c r="N169" s="910">
        <f>IF(Sheet1!DA171&gt;=F169,MIN(73,MIN(MAX(L169,0),MAX(M169,0))),0)</f>
        <v>73</v>
      </c>
      <c r="O169" s="563">
        <f>Sheet1!AA171+Sheet1!AB171</f>
        <v>77.5</v>
      </c>
      <c r="P169" s="563">
        <f t="shared" si="275"/>
        <v>119.89249999999998</v>
      </c>
      <c r="Q169" s="898">
        <f t="shared" si="339"/>
        <v>66.459999999999994</v>
      </c>
      <c r="R169" s="829">
        <f t="shared" si="276"/>
        <v>11.031813125695217</v>
      </c>
      <c r="S169" s="898">
        <f t="shared" si="340"/>
        <v>11.040000000000001</v>
      </c>
      <c r="T169" s="898">
        <f t="shared" si="341"/>
        <v>53.6</v>
      </c>
      <c r="U169" s="898">
        <f t="shared" si="342"/>
        <v>0</v>
      </c>
      <c r="V169" s="898"/>
      <c r="W169" s="898">
        <f t="shared" si="343"/>
        <v>53.608186874304785</v>
      </c>
      <c r="X169" s="898">
        <f t="shared" si="344"/>
        <v>64.64</v>
      </c>
      <c r="Y169" s="898" t="str">
        <f t="shared" si="345"/>
        <v>FALSE</v>
      </c>
      <c r="Z169" s="898">
        <f t="shared" si="346"/>
        <v>77.5</v>
      </c>
      <c r="AA169" s="898">
        <f t="shared" si="347"/>
        <v>77.5</v>
      </c>
      <c r="AB169" s="898" t="str">
        <f t="shared" si="348"/>
        <v/>
      </c>
      <c r="AC169" s="563">
        <f>Sheet1!Y171*MGDtoCFS</f>
        <v>36.663899999999998</v>
      </c>
      <c r="AD169" s="563">
        <f>Sheet1!Z171*MGDtoCFS</f>
        <v>81.526899999999998</v>
      </c>
      <c r="AE169" s="563">
        <f>Sheet1!AA171*MGDtoCFS</f>
        <v>36.5092</v>
      </c>
      <c r="AF169" s="563">
        <f>Sheet1!AB171*MGDtoCFS</f>
        <v>83.383299999999991</v>
      </c>
      <c r="AG169" s="563">
        <f>Sheet1!L171*MGDtoCFS</f>
        <v>0</v>
      </c>
      <c r="AH169" s="545">
        <f t="shared" si="277"/>
        <v>0</v>
      </c>
      <c r="AI169" s="560">
        <f t="shared" si="278"/>
        <v>0</v>
      </c>
      <c r="AJ169" s="560">
        <f t="shared" si="279"/>
        <v>53.608186874304785</v>
      </c>
      <c r="AK169" s="560">
        <f t="shared" si="280"/>
        <v>82.931865094549494</v>
      </c>
      <c r="AL169" s="560">
        <f>(VLOOKUP(Sheet1!DC171,hhdcap_wcm,4)-(((VLOOKUP(Sheet1!DC171,hhdcap_wcm,3)-Sheet1!DC171)/(VLOOKUP(Sheet1!DC171,hhdcap_wcm,3)-VLOOKUP(Sheet1!DC171,hhdcap_wcm,1)))*(VLOOKUP(Sheet1!DC171,hhdcap_wcm,4)-VLOOKUP(Sheet1!DC171,hhdcap_wcm,2))))</f>
        <v>49485.000000118445</v>
      </c>
      <c r="AM169" s="560">
        <f t="shared" si="281"/>
        <v>0</v>
      </c>
      <c r="AN169" s="560">
        <f t="shared" si="282"/>
        <v>6041.626463026535</v>
      </c>
      <c r="AO169" s="560">
        <f t="shared" si="283"/>
        <v>18535.70998856541</v>
      </c>
      <c r="AP169" s="560">
        <f>Sheet1!BA171+Sheet1!BB171+Sheet1!BN171+CD169</f>
        <v>42.9</v>
      </c>
      <c r="AQ169" s="560">
        <f>Sheet1!BN171+(DO169*Sheet1!BN171)</f>
        <v>41.269373377827215</v>
      </c>
      <c r="AR169" s="560">
        <f>Sheet1!BA171+CD169</f>
        <v>0</v>
      </c>
      <c r="AS169" s="560">
        <f>Sheet1!BA171+Sheet1!BB171+CD169</f>
        <v>1.6</v>
      </c>
      <c r="AT169" s="698">
        <f>0</f>
        <v>0</v>
      </c>
      <c r="AU169" s="560">
        <f>IF(EB169&lt;K169,0,MAX(Sheet1!AA171+AQ169-15/36*K169-N169,Sheet1!EH171,0))</f>
        <v>0</v>
      </c>
      <c r="AV169" s="560">
        <f>IF(OR(B169&gt;=GD169,B169&lt;GC169),0,15/36*K169-MAX(0,64.6-(137.6-(Sheet1!AA171+Sheet1!AB171))))</f>
        <v>22.433333333333334</v>
      </c>
      <c r="AW169" s="698">
        <f>Sheet1!DB171-110</f>
        <v>426</v>
      </c>
      <c r="AX169" s="698">
        <f>Sheet1!DA171-265</f>
        <v>454</v>
      </c>
      <c r="AY169" s="698">
        <f t="shared" si="284"/>
        <v>6.5400000000000063</v>
      </c>
      <c r="AZ169" s="698">
        <v>0</v>
      </c>
      <c r="BA169" s="698">
        <f t="shared" si="285"/>
        <v>0</v>
      </c>
      <c r="BB169" s="560">
        <f t="shared" si="286"/>
        <v>2716.2083333333335</v>
      </c>
      <c r="BC169" s="560"/>
      <c r="BD169" s="560">
        <f ca="1">IF(B169&gt;Summary!$A$1,#N/A,BB169*MGtoAF)</f>
        <v>8333.3271666666678</v>
      </c>
      <c r="BE169" s="560">
        <f>Sheet1!BG171+Sheet1!BH171+Sheet1!BI171-BM169</f>
        <v>0</v>
      </c>
      <c r="BF169" s="560">
        <f t="shared" si="287"/>
        <v>0</v>
      </c>
      <c r="BG169" s="560">
        <f>IF(Sheet1!EP171="FM",BM169,0)</f>
        <v>0</v>
      </c>
      <c r="BH169" s="560">
        <f t="shared" si="288"/>
        <v>0</v>
      </c>
      <c r="BI169" s="560">
        <f>IF(Sheet1!EP171="OTHER",BM169,0)</f>
        <v>0</v>
      </c>
      <c r="BJ169" s="560">
        <f t="shared" si="289"/>
        <v>0</v>
      </c>
      <c r="BK169" s="560">
        <f t="shared" si="290"/>
        <v>0</v>
      </c>
      <c r="BL169" s="560">
        <f t="shared" si="291"/>
        <v>0</v>
      </c>
      <c r="BM169" s="560">
        <f>IF(OR(Sheet1!EP171="FM", Sheet1!EP171="OTHER"),SUM(Sheet1!BG171:'Sheet1'!BI171),0)</f>
        <v>0</v>
      </c>
      <c r="BN169" s="545">
        <f>IF(AND($B169&gt;=$FV169,$B169&lt;=$FW169),MAX(BF169,Sheet1!EI171,0),MAX(BF169-(7/36)*$K169,0))</f>
        <v>0</v>
      </c>
      <c r="BO169" s="560">
        <f t="shared" si="292"/>
        <v>12.568888888888889</v>
      </c>
      <c r="BP169" s="545">
        <f t="shared" si="293"/>
        <v>0</v>
      </c>
      <c r="BQ169" s="545">
        <f>IF(AND($O169&gt;0,Sheet1!EM171=1),(1-($O169-Sheet1!$L171)/$O169)*BL169,0)</f>
        <v>0</v>
      </c>
      <c r="BR169" s="545">
        <f>IF(AND(Sheet1!$L171=0,Sheet1!$L170=0, Calculation!BK169&lt;Sheet1!$EI171-0.1,Sheet1!$EI171=Sheet1!$EI170,Sheet1!$EI171=Sheet1!$EI172),Sheet1!$EI171,BL169-BQ169)</f>
        <v>0</v>
      </c>
      <c r="BS169" s="560"/>
      <c r="BT169" s="560"/>
      <c r="BU169" s="560">
        <f t="shared" si="294"/>
        <v>1267.5638888888889</v>
      </c>
      <c r="BV169" s="560"/>
      <c r="BW169" s="560">
        <f ca="1">IF(B169&gt;Summary!$A$1,#N/A,BU169*MGtoAF)</f>
        <v>3888.8860111111112</v>
      </c>
      <c r="BX169" s="560">
        <f>Sheet1!BC171+Sheet1!BD171+Sheet1!BE171+Sheet1!BF171-CG169-CH169</f>
        <v>3</v>
      </c>
      <c r="BY169" s="560">
        <f t="shared" si="295"/>
        <v>2.9977753058954395</v>
      </c>
      <c r="BZ169" s="560">
        <f>IF(Sheet1!EQ171="FM",CH169,0)</f>
        <v>0</v>
      </c>
      <c r="CA169" s="560">
        <f t="shared" si="296"/>
        <v>0</v>
      </c>
      <c r="CB169" s="560">
        <f>IF(Sheet1!EQ171="OTHER",CH169,0)</f>
        <v>0</v>
      </c>
      <c r="CC169" s="560">
        <f t="shared" si="297"/>
        <v>0</v>
      </c>
      <c r="CD169" s="560">
        <f t="shared" si="298"/>
        <v>0</v>
      </c>
      <c r="CE169" s="560">
        <f t="shared" si="299"/>
        <v>3</v>
      </c>
      <c r="CF169" s="560">
        <f t="shared" si="300"/>
        <v>2.9977753058954395</v>
      </c>
      <c r="CG169" s="560">
        <f>IF(Sheet1!EQ171="CWA",SUM(Sheet1!BC171:'Sheet1'!BF171),0)</f>
        <v>0</v>
      </c>
      <c r="CH169" s="560">
        <f>IF(OR(Sheet1!EQ171="FM", Sheet1!EQ171="OTHER"),SUM(Sheet1!BC171:'Sheet1'!BF171),0)</f>
        <v>0</v>
      </c>
      <c r="CI169" s="545">
        <f>IF(AND($B169&gt;=$FV169,$B169&lt;=$FW169),MAX(CF169,Sheet1!EJ171,0),MAX(CF169-(7/36)*$K169,0))</f>
        <v>0</v>
      </c>
      <c r="CJ169" s="560">
        <f t="shared" si="301"/>
        <v>9.5711135829934495</v>
      </c>
      <c r="CK169" s="545">
        <f t="shared" si="302"/>
        <v>2.9977753058954395</v>
      </c>
      <c r="CL169" s="545">
        <f>IF(AND($O169&gt;0,Sheet1!EN171=1),(1-($O169-Sheet1!$L171)/$O169)*CF169,0)</f>
        <v>0</v>
      </c>
      <c r="CM169" s="545">
        <f>IF(AND(Sheet1!$L171=0,Sheet1!$L170=0, Calculation!CE169&lt;Sheet1!EJ171-0.1,Sheet1!EJ171=Sheet1!EJ170,Sheet1!EJ171=Sheet1!EJ172),Sheet1!EJ171,CF169-CL169)</f>
        <v>2.9977753058954395</v>
      </c>
      <c r="CN169" s="545"/>
      <c r="CO169" s="560"/>
      <c r="CP169" s="560">
        <f t="shared" si="303"/>
        <v>1195.3186786971439</v>
      </c>
      <c r="CQ169" s="560"/>
      <c r="CR169" s="560">
        <f ca="1">IF(B169&gt;Summary!$A$1,#N/A,CP169*MGtoAF)</f>
        <v>3667.2377062428377</v>
      </c>
      <c r="CS169" s="560">
        <f>Sheet1!BK171+Sheet1!BL171+Sheet1!BM171-Sheet1!ER171-DA169</f>
        <v>8.0400000000000009</v>
      </c>
      <c r="CT169" s="560">
        <f t="shared" si="304"/>
        <v>8.0340378197997779</v>
      </c>
      <c r="CU169" s="560">
        <f>IF(Sheet1!ER171="FM",DA169,0)</f>
        <v>0</v>
      </c>
      <c r="CV169" s="560">
        <f t="shared" si="305"/>
        <v>0</v>
      </c>
      <c r="CW169" s="560">
        <f>IF(Sheet1!ER171="OTHER",DA169,0)</f>
        <v>0</v>
      </c>
      <c r="CX169" s="560">
        <f t="shared" si="306"/>
        <v>0</v>
      </c>
      <c r="CY169" s="560">
        <f t="shared" si="307"/>
        <v>8.0400000000000009</v>
      </c>
      <c r="CZ169" s="560">
        <f t="shared" si="308"/>
        <v>8.0340378197997779</v>
      </c>
      <c r="DA169" s="560">
        <f>IF(OR(Sheet1!ER171="FM", Sheet1!ER171="OTHER"),SUM(Sheet1!BK171:'Sheet1'!BM171),0)</f>
        <v>0</v>
      </c>
      <c r="DB169" s="545">
        <f>IF(AND($B169&gt;=$FV169,$B169&lt;=$FW169),MAX($CT169,Sheet1!EK171,0),MAX($CT169-(7/36)*$K169,0))</f>
        <v>0</v>
      </c>
      <c r="DC169" s="560">
        <f t="shared" si="309"/>
        <v>4.5348510690891111</v>
      </c>
      <c r="DD169" s="545">
        <f t="shared" si="310"/>
        <v>8.0340378197997779</v>
      </c>
      <c r="DE169" s="545">
        <f>IF(AND($O169&gt;0,Sheet1!EO171=1),(1-($O169-Sheet1!$L171)/$O169)*CZ169,0)</f>
        <v>0</v>
      </c>
      <c r="DF169" s="545">
        <f>IF(AND(Sheet1!$L171=0,Sheet1!$L170=0, Calculation!CY169&lt;Sheet1!$EK171-0.1,Sheet1!$EK171=Sheet1!$EK170,Sheet1!$EK171=Sheet1!$EK172),Sheet1!$EK171,CZ169-DE169)</f>
        <v>8.0340378197997779</v>
      </c>
      <c r="DG169" s="545"/>
      <c r="DH169" s="560">
        <f t="shared" si="311"/>
        <v>11.040000000000001</v>
      </c>
      <c r="DI169" s="560">
        <f t="shared" si="312"/>
        <v>862.53556210716874</v>
      </c>
      <c r="DJ169" s="698">
        <f t="shared" si="313"/>
        <v>11.031813125695217</v>
      </c>
      <c r="DK169" s="560">
        <f ca="1">IF(B169&gt;Summary!$A$1,#N/A,DI169*MGtoAF)</f>
        <v>2646.2591045447939</v>
      </c>
      <c r="DL169" s="698">
        <f t="shared" si="314"/>
        <v>11.040000000000001</v>
      </c>
      <c r="DM169" s="560">
        <f t="shared" si="315"/>
        <v>53.94</v>
      </c>
      <c r="DN169" s="560">
        <f>Sheet1!AB171-DM169</f>
        <v>-3.9999999999999147E-2</v>
      </c>
      <c r="DO169" s="823">
        <f t="shared" si="316"/>
        <v>-7.4156470152019188E-4</v>
      </c>
      <c r="DP169" s="560">
        <f>(VLOOKUP(Sheet1!DC171,hhdcap_wcm,4)-(((VLOOKUP(Sheet1!DC171,hhdcap_wcm,3)-Sheet1!DC171)/(VLOOKUP(Sheet1!DC171,hhdcap_wcm,3)-VLOOKUP(Sheet1!DC171,hhdcap_wcm,1)))*(VLOOKUP(Sheet1!DC171,hhdcap_wcm,4)-VLOOKUP(Sheet1!DC171,hhdcap_wcm,2))))</f>
        <v>49485.000000118445</v>
      </c>
      <c r="DQ169" s="560">
        <f t="shared" si="317"/>
        <v>0</v>
      </c>
      <c r="DR169" s="560">
        <f t="shared" si="318"/>
        <v>0</v>
      </c>
      <c r="DS169" s="560">
        <f>Sheet1!EA171*AFtoMG</f>
        <v>0</v>
      </c>
      <c r="DT169" s="560">
        <f>Sheet1!EB171*AFtoMG</f>
        <v>0</v>
      </c>
      <c r="DU169" s="560">
        <f>Sheet1!EC171*AFtoMG</f>
        <v>0</v>
      </c>
      <c r="DV169" s="560">
        <f>Sheet1!ED171*AFtoMG</f>
        <v>0</v>
      </c>
      <c r="DW169" s="560">
        <f t="shared" si="319"/>
        <v>0</v>
      </c>
      <c r="DX169" s="560">
        <f t="shared" si="320"/>
        <v>0</v>
      </c>
      <c r="DY169" s="560">
        <f t="shared" si="321"/>
        <v>6041.626463026535</v>
      </c>
      <c r="DZ169" s="560">
        <f t="shared" si="322"/>
        <v>18535.70998856541</v>
      </c>
      <c r="EA169" s="560"/>
      <c r="EB169" s="545">
        <f>IF(OR(B169&lt;FV169,B169&gt;FW169),(MIN(BF169+BY169+CT169+MAX(Sheet1!AA171+AQ169-73,0),K169)),0)</f>
        <v>11.031813125695217</v>
      </c>
      <c r="EC169" s="560"/>
      <c r="ED169" s="560">
        <f t="shared" si="323"/>
        <v>11.031813125695217</v>
      </c>
      <c r="EE169" s="560"/>
      <c r="EF169" s="560">
        <f>Sheet1!EH171+Sheet1!EI171+Sheet1!EJ171+Sheet1!EK171</f>
        <v>11.040000000000001</v>
      </c>
      <c r="EG169" s="560"/>
      <c r="EH169" s="545">
        <f t="shared" si="324"/>
        <v>0</v>
      </c>
      <c r="EI169" s="560">
        <f>IF(Sheet1!ET171=1,SUM('Calculations II'!AT169:BA169)+'Calculations II'!BC169+Sheet1!BV171+'Calculations II'!BE169+AP169,SUM('Calculations II'!AT169:BA169)+'Calculations II'!BC169+Sheet1!BV171+'Calculations II'!BE169+AP169)</f>
        <v>69.324224000000001</v>
      </c>
      <c r="EJ169" s="560">
        <f>Sheet1!AA171+Sheet1!AB171+'Calculations II'!BC169</f>
        <v>77.5</v>
      </c>
      <c r="EK169" s="560"/>
      <c r="EL169" s="560"/>
      <c r="EM169" s="560">
        <f t="shared" si="325"/>
        <v>41797</v>
      </c>
      <c r="EN169" s="560">
        <f t="shared" si="326"/>
        <v>53.608186874304785</v>
      </c>
      <c r="EO169" s="560">
        <f t="shared" si="327"/>
        <v>82.931865094549494</v>
      </c>
      <c r="EP169" s="560">
        <v>0</v>
      </c>
      <c r="EQ169" s="560">
        <v>0</v>
      </c>
      <c r="ER169" s="560">
        <v>0</v>
      </c>
      <c r="ES169" s="545">
        <f t="shared" si="349"/>
        <v>-4.2916888430623192</v>
      </c>
      <c r="ET169" s="560">
        <f>-(VLOOKUP(Sheet1!BQ171,Lookup!$O$4:$Q$262,2)-VLOOKUP(Sheet1!BQ170,Lookup!$O$4:$Q$262,2))/1000000</f>
        <v>-2.2150900131204536</v>
      </c>
      <c r="EU169" s="560">
        <f>-(VLOOKUP(Sheet1!BR171,Lookup!$O$4:$Q$262,3)-VLOOKUP(Sheet1!BR170,Lookup!$O$4:$Q$262,3))/1000000</f>
        <v>-2.0765988299418652</v>
      </c>
      <c r="EV169" s="560"/>
      <c r="EW169" s="560"/>
      <c r="EX169" s="560"/>
      <c r="EY169" s="560"/>
      <c r="EZ169" s="560"/>
      <c r="FA169" s="560"/>
      <c r="FB169" s="560"/>
      <c r="FC169" s="560"/>
      <c r="FD169" s="594" t="e">
        <f t="shared" si="328"/>
        <v>#N/A</v>
      </c>
      <c r="FE169" s="594" t="e">
        <f t="shared" si="329"/>
        <v>#N/A</v>
      </c>
      <c r="FF169" s="595" t="e">
        <f t="shared" si="330"/>
        <v>#N/A</v>
      </c>
      <c r="FG169" s="596" t="s">
        <v>692</v>
      </c>
      <c r="FH169" s="596" t="s">
        <v>692</v>
      </c>
      <c r="FI169" s="594" t="e">
        <v>#N/A</v>
      </c>
      <c r="FJ169" s="594" t="e">
        <v>#N/A</v>
      </c>
      <c r="FK169" s="560">
        <v>24750</v>
      </c>
      <c r="FL169" s="560"/>
      <c r="FM169" s="560"/>
      <c r="FN169" s="560"/>
      <c r="FO169" s="560">
        <f>O169+((Sheet1!CS171)*GPMtoMGD)</f>
        <v>77.5</v>
      </c>
      <c r="FP169" s="560">
        <f>IF(Sheet1!AA171+AQ169&lt;=Calculation!N169,AQ169,Calculation!N169-Sheet1!AA171)</f>
        <v>41.269373377827215</v>
      </c>
      <c r="FQ169" s="560">
        <f>(Sheet1!BP171+Sheet1!BO171)/694.4</f>
        <v>3.0027361751152073</v>
      </c>
      <c r="FR169" s="560"/>
      <c r="FS169" s="560"/>
      <c r="FT169" s="560"/>
      <c r="FU169" s="560"/>
      <c r="FV169" s="695">
        <f t="shared" si="350"/>
        <v>41827</v>
      </c>
      <c r="FW169" s="695">
        <f t="shared" si="351"/>
        <v>41934</v>
      </c>
      <c r="FX169" s="560"/>
      <c r="FY169" s="560"/>
      <c r="FZ169" s="560"/>
      <c r="GA169" s="560"/>
      <c r="GB169" s="560" t="str">
        <f t="shared" si="352"/>
        <v>n</v>
      </c>
      <c r="GC169" s="564">
        <f t="shared" si="353"/>
        <v>41691</v>
      </c>
      <c r="GD169" s="695">
        <f t="shared" si="354"/>
        <v>41807</v>
      </c>
      <c r="GE169" s="560">
        <v>6518.9</v>
      </c>
      <c r="GF169" s="695">
        <f t="shared" si="355"/>
        <v>41808</v>
      </c>
      <c r="GG169" s="560">
        <f t="shared" si="374"/>
        <v>3259</v>
      </c>
      <c r="GH169" s="564">
        <f t="shared" si="356"/>
        <v>41934</v>
      </c>
      <c r="GJ169" s="545">
        <f t="shared" si="357"/>
        <v>35.002222222222223</v>
      </c>
      <c r="GK169" s="560" t="str">
        <f t="shared" si="331"/>
        <v>PP</v>
      </c>
      <c r="GL169" s="560">
        <f t="shared" si="358"/>
        <v>22.433333333333334</v>
      </c>
      <c r="GM169" s="560" t="str">
        <f t="shared" si="359"/>
        <v/>
      </c>
      <c r="GN169" s="560">
        <f>IF(GK169="P",Lookup!$M$12,IF(GK169="PP",Lookup!$M$13,IF(GK169="PPP",Lookup!$M$14,IF(GK169="T",Lookup!$M$15,IF(GK169="TP",Lookup!$M$16,IF(GK169="TPP",Lookup!$M$17,IF(GK169="TPPP",Lookup!$M$18,0)))))))*GJ169</f>
        <v>0</v>
      </c>
      <c r="GO169" s="560">
        <f t="shared" si="360"/>
        <v>0</v>
      </c>
      <c r="GP169" s="560">
        <f t="shared" si="332"/>
        <v>8333.3271666666678</v>
      </c>
      <c r="GQ169" s="560">
        <f t="shared" si="368"/>
        <v>2716.2083333333335</v>
      </c>
      <c r="GR169" s="560"/>
      <c r="GS169" s="560">
        <f t="shared" si="361"/>
        <v>12.568888888888889</v>
      </c>
      <c r="GT169" s="560" t="str">
        <f t="shared" si="362"/>
        <v/>
      </c>
      <c r="GU169" s="560">
        <f>IF(GK169="P",Lookup!$N$12,IF(GK169="PP",Lookup!$N$13,IF(GK169="PPP",Lookup!$N$14,IF(GK169="T",Lookup!$N$15,IF(GK169="TP",Lookup!$N$16,IF(GK169="TPP",Lookup!$N$17,IF(GK169="TPPP",Lookup!$N$18,0)))))))*GJ169</f>
        <v>17.501111111111111</v>
      </c>
      <c r="GV169" s="560">
        <f t="shared" si="363"/>
        <v>0</v>
      </c>
      <c r="GW169" s="560">
        <f t="shared" si="333"/>
        <v>3888.8860111111112</v>
      </c>
      <c r="GX169" s="560">
        <f t="shared" si="369"/>
        <v>1267.5638888888889</v>
      </c>
      <c r="GY169" s="560"/>
      <c r="GZ169" s="560">
        <f t="shared" si="364"/>
        <v>0</v>
      </c>
      <c r="HA169" s="560" t="str">
        <f t="shared" si="365"/>
        <v>P</v>
      </c>
      <c r="HB169" s="560">
        <f>IF(GK169="P",Lookup!$N$12,IF(GK169="PP",Lookup!$N$13,IF(GK169="PPP",Lookup!$N$14,IF(GK169="T",Lookup!$N$15,IF(GK169="TP",Lookup!$N$16,IF(GK169="TPP",Lookup!$N$17,IF(GK169="TPPP",Lookup!$N$18,0)))))))*GJ169</f>
        <v>17.501111111111111</v>
      </c>
      <c r="HC169" s="545">
        <f t="shared" si="334"/>
        <v>17.501111111111111</v>
      </c>
      <c r="HD169" s="560">
        <f t="shared" si="335"/>
        <v>3613.5442973539484</v>
      </c>
      <c r="HE169" s="560">
        <f t="shared" si="370"/>
        <v>1177.8175675860327</v>
      </c>
      <c r="HF169" s="560"/>
      <c r="HG169" s="560">
        <f t="shared" si="366"/>
        <v>0</v>
      </c>
      <c r="HH169" s="560" t="str">
        <f t="shared" si="367"/>
        <v>P</v>
      </c>
      <c r="HI169" s="560">
        <f>IF(GK169="P",Lookup!$N$12,IF(GK169="PP",Lookup!$N$13,IF(GK169="PPP",Lookup!$N$14,IF(GK169="T",Lookup!$N$15,IF(GK169="TP",Lookup!$N$16,IF(GK169="TPP",Lookup!$N$17,IF(GK169="TPPP",Lookup!$N$18,0)))))))*GJ169</f>
        <v>17.501111111111111</v>
      </c>
      <c r="HJ169" s="545">
        <f t="shared" si="336"/>
        <v>17.501111111111111</v>
      </c>
      <c r="HK169" s="560">
        <f t="shared" si="337"/>
        <v>2592.5656956559051</v>
      </c>
      <c r="HL169" s="560">
        <f t="shared" si="371"/>
        <v>845.03445099605767</v>
      </c>
      <c r="HM169" s="560"/>
    </row>
    <row r="170" spans="1:221">
      <c r="A170" s="580" t="s">
        <v>3</v>
      </c>
      <c r="B170" s="556">
        <v>41798</v>
      </c>
      <c r="C170" s="561">
        <v>0</v>
      </c>
      <c r="D170" s="529">
        <f t="shared" si="372"/>
        <v>300</v>
      </c>
      <c r="E170" s="529">
        <f t="shared" si="373"/>
        <v>250</v>
      </c>
      <c r="F170" s="529">
        <v>250</v>
      </c>
      <c r="G170" s="560">
        <f>DR170+Sheet1!CZ172</f>
        <v>630.69843671205388</v>
      </c>
      <c r="H170" s="914">
        <f t="shared" si="338"/>
        <v>140.72026949067163</v>
      </c>
      <c r="I170" s="559">
        <f>MAX(Sheet1!Z172-AT170+(Sheet1!DA172-E170)*CFStoMGD,0)</f>
        <v>335.08399999999995</v>
      </c>
      <c r="J170" s="562">
        <f>IF(AND(B170&gt;=Calculation!GC170,B170&lt;=Calculation!GD170),IF(Sheet1!DB172&gt;=Calculation!D170,64.64,0),MAX(Sheet1!Z172-AT170+(Sheet1!DB172-D170)*CFStoMGD,0))</f>
        <v>64.64</v>
      </c>
      <c r="K170" s="904">
        <f t="shared" si="273"/>
        <v>64.64</v>
      </c>
      <c r="L170" s="560">
        <f>Sheet1!AA172+Sheet1!AB172-Sheet1!L172+(Sheet1!DA172-F170)*CFStoMGD</f>
        <v>358.72399999999993</v>
      </c>
      <c r="M170" s="560">
        <f t="shared" si="274"/>
        <v>415.8371388804851</v>
      </c>
      <c r="N170" s="910">
        <f>IF(Sheet1!DA172&gt;=F170,MIN(73,MIN(MAX(L170,0),MAX(M170,0))),0)</f>
        <v>73</v>
      </c>
      <c r="O170" s="563">
        <f>Sheet1!AA172+Sheet1!AB172</f>
        <v>77.539999999999992</v>
      </c>
      <c r="P170" s="563">
        <f t="shared" si="275"/>
        <v>119.95438</v>
      </c>
      <c r="Q170" s="898">
        <f t="shared" si="339"/>
        <v>66.529999999999987</v>
      </c>
      <c r="R170" s="829">
        <f t="shared" si="276"/>
        <v>10.979427989633468</v>
      </c>
      <c r="S170" s="898">
        <f t="shared" si="340"/>
        <v>11.01</v>
      </c>
      <c r="T170" s="898">
        <f t="shared" si="341"/>
        <v>53.63</v>
      </c>
      <c r="U170" s="898">
        <f t="shared" si="342"/>
        <v>0</v>
      </c>
      <c r="V170" s="898"/>
      <c r="W170" s="898">
        <f t="shared" si="343"/>
        <v>53.660572010366536</v>
      </c>
      <c r="X170" s="898">
        <f t="shared" si="344"/>
        <v>64.64</v>
      </c>
      <c r="Y170" s="898" t="str">
        <f t="shared" si="345"/>
        <v>FALSE</v>
      </c>
      <c r="Z170" s="898">
        <f t="shared" si="346"/>
        <v>77.539999999999992</v>
      </c>
      <c r="AA170" s="898">
        <f t="shared" si="347"/>
        <v>77.539999999999992</v>
      </c>
      <c r="AB170" s="898" t="str">
        <f t="shared" si="348"/>
        <v/>
      </c>
      <c r="AC170" s="563">
        <f>Sheet1!Y172*MGDtoCFS</f>
        <v>36.5092</v>
      </c>
      <c r="AD170" s="563">
        <f>Sheet1!Z172*MGDtoCFS</f>
        <v>83.383299999999991</v>
      </c>
      <c r="AE170" s="563">
        <f>Sheet1!AA172*MGDtoCFS</f>
        <v>36.617490000000004</v>
      </c>
      <c r="AF170" s="563">
        <f>Sheet1!AB172*MGDtoCFS</f>
        <v>83.336889999999997</v>
      </c>
      <c r="AG170" s="563">
        <f>Sheet1!L172*MGDtoCFS</f>
        <v>0</v>
      </c>
      <c r="AH170" s="545">
        <f t="shared" si="277"/>
        <v>0</v>
      </c>
      <c r="AI170" s="560">
        <f t="shared" si="278"/>
        <v>0</v>
      </c>
      <c r="AJ170" s="560">
        <f t="shared" si="279"/>
        <v>53.660572010366536</v>
      </c>
      <c r="AK170" s="560">
        <f t="shared" si="280"/>
        <v>83.012904900037029</v>
      </c>
      <c r="AL170" s="560">
        <f>(VLOOKUP(Sheet1!DC172,hhdcap_wcm,4)-(((VLOOKUP(Sheet1!DC172,hhdcap_wcm,3)-Sheet1!DC172)/(VLOOKUP(Sheet1!DC172,hhdcap_wcm,3)-VLOOKUP(Sheet1!DC172,hhdcap_wcm,1)))*(VLOOKUP(Sheet1!DC172,hhdcap_wcm,4)-VLOOKUP(Sheet1!DC172,hhdcap_wcm,2))))</f>
        <v>49496.300000118448</v>
      </c>
      <c r="AM170" s="560">
        <f t="shared" si="281"/>
        <v>11.30000000000291</v>
      </c>
      <c r="AN170" s="560">
        <f t="shared" si="282"/>
        <v>6090.7470350369022</v>
      </c>
      <c r="AO170" s="560">
        <f t="shared" si="283"/>
        <v>18686.411903493216</v>
      </c>
      <c r="AP170" s="560">
        <f>Sheet1!BA172+Sheet1!BB172+Sheet1!BN172+CD170</f>
        <v>43.01</v>
      </c>
      <c r="AQ170" s="560">
        <f>Sheet1!BN172+(DO170*Sheet1!BN172)</f>
        <v>41.2850425768234</v>
      </c>
      <c r="AR170" s="560">
        <f>Sheet1!BA172+CD170</f>
        <v>0</v>
      </c>
      <c r="AS170" s="560">
        <f>Sheet1!BA172+Sheet1!BB172+CD170</f>
        <v>1.61</v>
      </c>
      <c r="AT170" s="698">
        <f>0</f>
        <v>0</v>
      </c>
      <c r="AU170" s="560">
        <f>IF(EB170&lt;K170,0,MAX(Sheet1!AA172+AQ170-15/36*K170-N170,Sheet1!EH172,0))</f>
        <v>0</v>
      </c>
      <c r="AV170" s="560">
        <f>IF(OR(B170&gt;=GD170,B170&lt;GC170),0,15/36*K170-MAX(0,64.6-(137.6-(Sheet1!AA172+Sheet1!AB172))))</f>
        <v>22.393333333333342</v>
      </c>
      <c r="AW170" s="698">
        <f>Sheet1!DB172-110</f>
        <v>423</v>
      </c>
      <c r="AX170" s="698">
        <f>Sheet1!DA172-265</f>
        <v>420</v>
      </c>
      <c r="AY170" s="698">
        <f t="shared" si="284"/>
        <v>6.4700000000000131</v>
      </c>
      <c r="AZ170" s="698">
        <v>0</v>
      </c>
      <c r="BA170" s="698">
        <f t="shared" si="285"/>
        <v>0</v>
      </c>
      <c r="BB170" s="560">
        <f t="shared" si="286"/>
        <v>2716.2083333333335</v>
      </c>
      <c r="BC170" s="560"/>
      <c r="BD170" s="560">
        <f ca="1">IF(B170&gt;Summary!$A$1,#N/A,BB170*MGtoAF)</f>
        <v>8333.3271666666678</v>
      </c>
      <c r="BE170" s="560">
        <f>Sheet1!BG172+Sheet1!BH172+Sheet1!BI172-BM170</f>
        <v>0</v>
      </c>
      <c r="BF170" s="560">
        <f t="shared" si="287"/>
        <v>0</v>
      </c>
      <c r="BG170" s="560">
        <f>IF(Sheet1!EP172="FM",BM170,0)</f>
        <v>0</v>
      </c>
      <c r="BH170" s="560">
        <f t="shared" si="288"/>
        <v>0</v>
      </c>
      <c r="BI170" s="560">
        <f>IF(Sheet1!EP172="OTHER",BM170,0)</f>
        <v>0</v>
      </c>
      <c r="BJ170" s="560">
        <f t="shared" si="289"/>
        <v>0</v>
      </c>
      <c r="BK170" s="560">
        <f t="shared" si="290"/>
        <v>0</v>
      </c>
      <c r="BL170" s="560">
        <f t="shared" si="291"/>
        <v>0</v>
      </c>
      <c r="BM170" s="560">
        <f>IF(OR(Sheet1!EP172="FM", Sheet1!EP172="OTHER"),SUM(Sheet1!BG172:'Sheet1'!BI172),0)</f>
        <v>0</v>
      </c>
      <c r="BN170" s="545">
        <f>IF(AND($B170&gt;=$FV170,$B170&lt;=$FW170),MAX(BF170,Sheet1!EI172,0),MAX(BF170-(7/36)*$K170,0))</f>
        <v>0</v>
      </c>
      <c r="BO170" s="560">
        <f t="shared" si="292"/>
        <v>12.568888888888889</v>
      </c>
      <c r="BP170" s="545">
        <f t="shared" si="293"/>
        <v>0</v>
      </c>
      <c r="BQ170" s="545">
        <f>IF(AND($O170&gt;0,Sheet1!EM172=1),(1-($O170-Sheet1!$L172)/$O170)*BL170,0)</f>
        <v>0</v>
      </c>
      <c r="BR170" s="545">
        <f>IF(AND(Sheet1!$L172=0,Sheet1!$L171=0, Calculation!BK170&lt;Sheet1!$EI172-0.1,Sheet1!$EI172=Sheet1!$EI171,Sheet1!$EI172=Sheet1!$EI173),Sheet1!$EI172,BL170-BQ170)</f>
        <v>0</v>
      </c>
      <c r="BS170" s="560"/>
      <c r="BT170" s="560"/>
      <c r="BU170" s="560">
        <f t="shared" si="294"/>
        <v>1267.5638888888889</v>
      </c>
      <c r="BV170" s="560"/>
      <c r="BW170" s="560">
        <f ca="1">IF(B170&gt;Summary!$A$1,#N/A,BU170*MGtoAF)</f>
        <v>3888.8860111111112</v>
      </c>
      <c r="BX170" s="560">
        <f>Sheet1!BC172+Sheet1!BD172+Sheet1!BE172+Sheet1!BF172-CG170-CH170</f>
        <v>2.99</v>
      </c>
      <c r="BY170" s="560">
        <f t="shared" si="295"/>
        <v>2.9816975194372457</v>
      </c>
      <c r="BZ170" s="560">
        <f>IF(Sheet1!EQ172="FM",CH170,0)</f>
        <v>0</v>
      </c>
      <c r="CA170" s="560">
        <f t="shared" si="296"/>
        <v>0</v>
      </c>
      <c r="CB170" s="560">
        <f>IF(Sheet1!EQ172="OTHER",CH170,0)</f>
        <v>0</v>
      </c>
      <c r="CC170" s="560">
        <f t="shared" si="297"/>
        <v>0</v>
      </c>
      <c r="CD170" s="560">
        <f t="shared" si="298"/>
        <v>0</v>
      </c>
      <c r="CE170" s="560">
        <f t="shared" si="299"/>
        <v>2.99</v>
      </c>
      <c r="CF170" s="560">
        <f t="shared" si="300"/>
        <v>2.9816975194372457</v>
      </c>
      <c r="CG170" s="560">
        <f>IF(Sheet1!EQ172="CWA",SUM(Sheet1!BC172:'Sheet1'!BF172),0)</f>
        <v>0</v>
      </c>
      <c r="CH170" s="560">
        <f>IF(OR(Sheet1!EQ172="FM", Sheet1!EQ172="OTHER"),SUM(Sheet1!BC172:'Sheet1'!BF172),0)</f>
        <v>0</v>
      </c>
      <c r="CI170" s="545">
        <f>IF(AND($B170&gt;=$FV170,$B170&lt;=$FW170),MAX(CF170,Sheet1!EJ172,0),MAX(CF170-(7/36)*$K170,0))</f>
        <v>0</v>
      </c>
      <c r="CJ170" s="560">
        <f t="shared" si="301"/>
        <v>9.5871913694516433</v>
      </c>
      <c r="CK170" s="545">
        <f t="shared" si="302"/>
        <v>2.9816975194372457</v>
      </c>
      <c r="CL170" s="545">
        <f>IF(AND($O170&gt;0,Sheet1!EN172=1),(1-($O170-Sheet1!$L172)/$O170)*CF170,0)</f>
        <v>0</v>
      </c>
      <c r="CM170" s="545">
        <f>IF(AND(Sheet1!$L172=0,Sheet1!$L171=0, Calculation!CE170&lt;Sheet1!EJ172-0.1,Sheet1!EJ172=Sheet1!EJ171,Sheet1!EJ172=Sheet1!EJ173),Sheet1!EJ172,CF170-CL170)</f>
        <v>2.9816975194372457</v>
      </c>
      <c r="CN170" s="545"/>
      <c r="CO170" s="560"/>
      <c r="CP170" s="560">
        <f t="shared" si="303"/>
        <v>1222.3869811777067</v>
      </c>
      <c r="CQ170" s="560"/>
      <c r="CR170" s="560">
        <f ca="1">IF(B170&gt;Summary!$A$1,#N/A,CP170*MGtoAF)</f>
        <v>3750.2832582532042</v>
      </c>
      <c r="CS170" s="560">
        <f>Sheet1!BK172+Sheet1!BL172+Sheet1!BM172-Sheet1!ER172-DA170</f>
        <v>8.02</v>
      </c>
      <c r="CT170" s="560">
        <f t="shared" si="304"/>
        <v>7.9977304701962231</v>
      </c>
      <c r="CU170" s="560">
        <f>IF(Sheet1!ER172="FM",DA170,0)</f>
        <v>0</v>
      </c>
      <c r="CV170" s="560">
        <f t="shared" si="305"/>
        <v>0</v>
      </c>
      <c r="CW170" s="560">
        <f>IF(Sheet1!ER172="OTHER",DA170,0)</f>
        <v>0</v>
      </c>
      <c r="CX170" s="560">
        <f t="shared" si="306"/>
        <v>0</v>
      </c>
      <c r="CY170" s="560">
        <f t="shared" si="307"/>
        <v>8.02</v>
      </c>
      <c r="CZ170" s="560">
        <f t="shared" si="308"/>
        <v>7.9977304701962231</v>
      </c>
      <c r="DA170" s="560">
        <f>IF(OR(Sheet1!ER172="FM", Sheet1!ER172="OTHER"),SUM(Sheet1!BK172:'Sheet1'!BM172),0)</f>
        <v>0</v>
      </c>
      <c r="DB170" s="545">
        <f>IF(AND($B170&gt;=$FV170,$B170&lt;=$FW170),MAX($CT170,Sheet1!EK172,0),MAX($CT170-(7/36)*$K170,0))</f>
        <v>0</v>
      </c>
      <c r="DC170" s="560">
        <f t="shared" si="309"/>
        <v>4.5711584186926659</v>
      </c>
      <c r="DD170" s="545">
        <f t="shared" si="310"/>
        <v>7.9977304701962231</v>
      </c>
      <c r="DE170" s="545">
        <f>IF(AND($O170&gt;0,Sheet1!EO172=1),(1-($O170-Sheet1!$L172)/$O170)*CZ170,0)</f>
        <v>0</v>
      </c>
      <c r="DF170" s="545">
        <f>IF(AND(Sheet1!$L172=0,Sheet1!$L171=0, Calculation!CY170&lt;Sheet1!$EK172-0.1,Sheet1!$EK172=Sheet1!$EK171,Sheet1!$EK172=Sheet1!$EK173),Sheet1!$EK172,CZ170-DE170)</f>
        <v>7.9977304701962231</v>
      </c>
      <c r="DG170" s="545"/>
      <c r="DH170" s="560">
        <f t="shared" si="311"/>
        <v>11.01</v>
      </c>
      <c r="DI170" s="560">
        <f t="shared" si="312"/>
        <v>884.58783163697251</v>
      </c>
      <c r="DJ170" s="698">
        <f t="shared" si="313"/>
        <v>10.979427989633468</v>
      </c>
      <c r="DK170" s="560">
        <f ca="1">IF(B170&gt;Summary!$A$1,#N/A,DI170*MGtoAF)</f>
        <v>2713.9154674622318</v>
      </c>
      <c r="DL170" s="698">
        <f t="shared" si="314"/>
        <v>11.01</v>
      </c>
      <c r="DM170" s="560">
        <f t="shared" si="315"/>
        <v>54.019999999999996</v>
      </c>
      <c r="DN170" s="560">
        <f>Sheet1!AB172-DM170</f>
        <v>-0.14999999999999858</v>
      </c>
      <c r="DO170" s="823">
        <f t="shared" si="316"/>
        <v>-2.7767493520917917E-3</v>
      </c>
      <c r="DP170" s="560">
        <f>(VLOOKUP(Sheet1!DC172,hhdcap_wcm,4)-(((VLOOKUP(Sheet1!DC172,hhdcap_wcm,3)-Sheet1!DC172)/(VLOOKUP(Sheet1!DC172,hhdcap_wcm,3)-VLOOKUP(Sheet1!DC172,hhdcap_wcm,1)))*(VLOOKUP(Sheet1!DC172,hhdcap_wcm,4)-VLOOKUP(Sheet1!DC172,hhdcap_wcm,2))))</f>
        <v>49496.300000118448</v>
      </c>
      <c r="DQ170" s="560">
        <f t="shared" si="317"/>
        <v>11.30000000000291</v>
      </c>
      <c r="DR170" s="560">
        <f t="shared" si="318"/>
        <v>5.6984367120539128</v>
      </c>
      <c r="DS170" s="560">
        <f>Sheet1!EA172*AFtoMG</f>
        <v>0</v>
      </c>
      <c r="DT170" s="560">
        <f>Sheet1!EB172*AFtoMG</f>
        <v>0</v>
      </c>
      <c r="DU170" s="560">
        <f>Sheet1!EC172*AFtoMG</f>
        <v>0</v>
      </c>
      <c r="DV170" s="560">
        <f>Sheet1!ED172*AFtoMG</f>
        <v>0</v>
      </c>
      <c r="DW170" s="560">
        <f t="shared" si="319"/>
        <v>0</v>
      </c>
      <c r="DX170" s="560">
        <f t="shared" si="320"/>
        <v>0</v>
      </c>
      <c r="DY170" s="560">
        <f t="shared" si="321"/>
        <v>6090.7470350369022</v>
      </c>
      <c r="DZ170" s="560">
        <f t="shared" si="322"/>
        <v>18686.411903493216</v>
      </c>
      <c r="EA170" s="560"/>
      <c r="EB170" s="545">
        <f>IF(OR(B170&lt;FV170,B170&gt;FW170),(MIN(BF170+BY170+CT170+MAX(Sheet1!AA172+AQ170-73,0),K170)),0)</f>
        <v>10.979427989633468</v>
      </c>
      <c r="EC170" s="560"/>
      <c r="ED170" s="560">
        <f t="shared" si="323"/>
        <v>10.979427989633468</v>
      </c>
      <c r="EE170" s="560"/>
      <c r="EF170" s="560">
        <f>Sheet1!EH172+Sheet1!EI172+Sheet1!EJ172+Sheet1!EK172</f>
        <v>11.01</v>
      </c>
      <c r="EG170" s="560"/>
      <c r="EH170" s="545">
        <f t="shared" si="324"/>
        <v>0</v>
      </c>
      <c r="EI170" s="560">
        <f>IF(Sheet1!ET172=1,SUM('Calculations II'!AT170:BA170)+'Calculations II'!BC170+Sheet1!BV172+'Calculations II'!BE170+AP170,SUM('Calculations II'!AT170:BA170)+'Calculations II'!BC170+Sheet1!BV172+'Calculations II'!BE170+AP170)</f>
        <v>72.494720000000001</v>
      </c>
      <c r="EJ170" s="560">
        <f>Sheet1!AA172+Sheet1!AB172+'Calculations II'!BC170</f>
        <v>77.539999999999992</v>
      </c>
      <c r="EK170" s="560"/>
      <c r="EL170" s="560"/>
      <c r="EM170" s="560">
        <f t="shared" si="325"/>
        <v>41798</v>
      </c>
      <c r="EN170" s="560">
        <f t="shared" si="326"/>
        <v>53.660572010366536</v>
      </c>
      <c r="EO170" s="560">
        <f t="shared" si="327"/>
        <v>83.012904900037029</v>
      </c>
      <c r="EP170" s="560">
        <v>0</v>
      </c>
      <c r="EQ170" s="560">
        <v>0</v>
      </c>
      <c r="ER170" s="560">
        <v>0</v>
      </c>
      <c r="ES170" s="545">
        <f t="shared" si="349"/>
        <v>-1.3850720483534373</v>
      </c>
      <c r="ET170" s="560">
        <f>-(VLOOKUP(Sheet1!BQ172,Lookup!$O$4:$Q$262,2)-VLOOKUP(Sheet1!BQ171,Lookup!$O$4:$Q$262,2))/1000000</f>
        <v>-0.69255204612907395</v>
      </c>
      <c r="EU170" s="560">
        <f>-(VLOOKUP(Sheet1!BR172,Lookup!$O$4:$Q$262,3)-VLOOKUP(Sheet1!BR171,Lookup!$O$4:$Q$262,3))/1000000</f>
        <v>-0.69252000222436338</v>
      </c>
      <c r="EV170" s="560"/>
      <c r="EW170" s="560"/>
      <c r="EX170" s="560"/>
      <c r="EY170" s="560"/>
      <c r="EZ170" s="560"/>
      <c r="FA170" s="560"/>
      <c r="FB170" s="560"/>
      <c r="FC170" s="560"/>
      <c r="FD170" s="594" t="e">
        <f t="shared" si="328"/>
        <v>#N/A</v>
      </c>
      <c r="FE170" s="594" t="e">
        <f t="shared" si="329"/>
        <v>#N/A</v>
      </c>
      <c r="FF170" s="595" t="e">
        <f t="shared" si="330"/>
        <v>#N/A</v>
      </c>
      <c r="FG170" s="596" t="s">
        <v>692</v>
      </c>
      <c r="FH170" s="596" t="s">
        <v>692</v>
      </c>
      <c r="FI170" s="594" t="e">
        <v>#N/A</v>
      </c>
      <c r="FJ170" s="594" t="e">
        <v>#N/A</v>
      </c>
      <c r="FK170" s="560">
        <v>24700</v>
      </c>
      <c r="FL170" s="560"/>
      <c r="FM170" s="560"/>
      <c r="FN170" s="560"/>
      <c r="FO170" s="560">
        <f>O170+((Sheet1!CS172)*GPMtoMGD)</f>
        <v>77.539999999999992</v>
      </c>
      <c r="FP170" s="560">
        <f>IF(Sheet1!AA172+AQ170&lt;=Calculation!N170,AQ170,Calculation!N170-Sheet1!AA172)</f>
        <v>41.2850425768234</v>
      </c>
      <c r="FQ170" s="560">
        <f>(Sheet1!BP172+Sheet1!BO172)/694.4</f>
        <v>3.5770449308755761</v>
      </c>
      <c r="FR170" s="560"/>
      <c r="FS170" s="560"/>
      <c r="FT170" s="560"/>
      <c r="FU170" s="560"/>
      <c r="FV170" s="695">
        <f t="shared" si="350"/>
        <v>41827</v>
      </c>
      <c r="FW170" s="695">
        <f t="shared" si="351"/>
        <v>41934</v>
      </c>
      <c r="FX170" s="560"/>
      <c r="FY170" s="560"/>
      <c r="FZ170" s="560"/>
      <c r="GA170" s="560"/>
      <c r="GB170" s="560" t="str">
        <f t="shared" si="352"/>
        <v>n</v>
      </c>
      <c r="GC170" s="564">
        <f t="shared" si="353"/>
        <v>41691</v>
      </c>
      <c r="GD170" s="695">
        <f t="shared" si="354"/>
        <v>41807</v>
      </c>
      <c r="GE170" s="560">
        <v>6518.9</v>
      </c>
      <c r="GF170" s="695">
        <f t="shared" si="355"/>
        <v>41808</v>
      </c>
      <c r="GG170" s="560">
        <f t="shared" si="374"/>
        <v>3259</v>
      </c>
      <c r="GH170" s="564">
        <f t="shared" si="356"/>
        <v>41934</v>
      </c>
      <c r="GJ170" s="545">
        <f t="shared" si="357"/>
        <v>34.962222222222231</v>
      </c>
      <c r="GK170" s="560" t="str">
        <f t="shared" si="331"/>
        <v>PP</v>
      </c>
      <c r="GL170" s="560">
        <f t="shared" si="358"/>
        <v>22.393333333333342</v>
      </c>
      <c r="GM170" s="560" t="str">
        <f t="shared" si="359"/>
        <v/>
      </c>
      <c r="GN170" s="560">
        <f>IF(GK170="P",Lookup!$M$12,IF(GK170="PP",Lookup!$M$13,IF(GK170="PPP",Lookup!$M$14,IF(GK170="T",Lookup!$M$15,IF(GK170="TP",Lookup!$M$16,IF(GK170="TPP",Lookup!$M$17,IF(GK170="TPPP",Lookup!$M$18,0)))))))*GJ170</f>
        <v>0</v>
      </c>
      <c r="GO170" s="560">
        <f t="shared" si="360"/>
        <v>0</v>
      </c>
      <c r="GP170" s="560">
        <f t="shared" si="332"/>
        <v>8333.3271666666678</v>
      </c>
      <c r="GQ170" s="560">
        <f t="shared" si="368"/>
        <v>2716.2083333333335</v>
      </c>
      <c r="GR170" s="560"/>
      <c r="GS170" s="560">
        <f t="shared" si="361"/>
        <v>12.568888888888889</v>
      </c>
      <c r="GT170" s="560" t="str">
        <f t="shared" si="362"/>
        <v/>
      </c>
      <c r="GU170" s="560">
        <f>IF(GK170="P",Lookup!$N$12,IF(GK170="PP",Lookup!$N$13,IF(GK170="PPP",Lookup!$N$14,IF(GK170="T",Lookup!$N$15,IF(GK170="TP",Lookup!$N$16,IF(GK170="TPP",Lookup!$N$17,IF(GK170="TPPP",Lookup!$N$18,0)))))))*GJ170</f>
        <v>17.481111111111115</v>
      </c>
      <c r="GV170" s="560">
        <f t="shared" si="363"/>
        <v>0</v>
      </c>
      <c r="GW170" s="560">
        <f t="shared" si="333"/>
        <v>3888.8860111111112</v>
      </c>
      <c r="GX170" s="560">
        <f t="shared" si="369"/>
        <v>1267.5638888888889</v>
      </c>
      <c r="GY170" s="560"/>
      <c r="GZ170" s="560">
        <f t="shared" si="364"/>
        <v>0</v>
      </c>
      <c r="HA170" s="560" t="str">
        <f t="shared" si="365"/>
        <v>P</v>
      </c>
      <c r="HB170" s="560">
        <f>IF(GK170="P",Lookup!$N$12,IF(GK170="PP",Lookup!$N$13,IF(GK170="PPP",Lookup!$N$14,IF(GK170="T",Lookup!$N$15,IF(GK170="TP",Lookup!$N$16,IF(GK170="TPP",Lookup!$N$17,IF(GK170="TPPP",Lookup!$N$18,0)))))))*GJ170</f>
        <v>17.481111111111115</v>
      </c>
      <c r="HC170" s="545">
        <f t="shared" si="334"/>
        <v>17.481111111111115</v>
      </c>
      <c r="HD170" s="560">
        <f t="shared" si="335"/>
        <v>3696.651209364315</v>
      </c>
      <c r="HE170" s="560">
        <f t="shared" si="370"/>
        <v>1204.9058700665955</v>
      </c>
      <c r="HF170" s="560"/>
      <c r="HG170" s="560">
        <f t="shared" si="366"/>
        <v>0</v>
      </c>
      <c r="HH170" s="560" t="str">
        <f t="shared" si="367"/>
        <v>P</v>
      </c>
      <c r="HI170" s="560">
        <f>IF(GK170="P",Lookup!$N$12,IF(GK170="PP",Lookup!$N$13,IF(GK170="PPP",Lookup!$N$14,IF(GK170="T",Lookup!$N$15,IF(GK170="TP",Lookup!$N$16,IF(GK170="TPP",Lookup!$N$17,IF(GK170="TPPP",Lookup!$N$18,0)))))))*GJ170</f>
        <v>17.481111111111115</v>
      </c>
      <c r="HJ170" s="545">
        <f t="shared" si="336"/>
        <v>17.481111111111115</v>
      </c>
      <c r="HK170" s="560">
        <f t="shared" si="337"/>
        <v>2660.2834185733427</v>
      </c>
      <c r="HL170" s="560">
        <f t="shared" si="371"/>
        <v>867.10672052586142</v>
      </c>
      <c r="HM170" s="560"/>
    </row>
    <row r="171" spans="1:221">
      <c r="A171" s="580" t="s">
        <v>4</v>
      </c>
      <c r="B171" s="556">
        <v>41799</v>
      </c>
      <c r="C171" s="561">
        <v>0</v>
      </c>
      <c r="D171" s="529">
        <f t="shared" si="372"/>
        <v>300</v>
      </c>
      <c r="E171" s="529">
        <f t="shared" si="373"/>
        <v>250</v>
      </c>
      <c r="F171" s="529">
        <v>250</v>
      </c>
      <c r="G171" s="560">
        <f>DR171+Sheet1!CZ173</f>
        <v>590.80383257743279</v>
      </c>
      <c r="H171" s="914">
        <f t="shared" si="338"/>
        <v>114.93239737805254</v>
      </c>
      <c r="I171" s="559">
        <f>MAX(Sheet1!Z173-AT171+(Sheet1!DA173-E171)*CFStoMGD,0)</f>
        <v>316.95479999999998</v>
      </c>
      <c r="J171" s="562">
        <f>IF(AND(B171&gt;=Calculation!GC171,B171&lt;=Calculation!GD171),IF(Sheet1!DB173&gt;=Calculation!D171,64.64,0),MAX(Sheet1!Z173-AT171+(Sheet1!DB173-D171)*CFStoMGD,0))</f>
        <v>64.64</v>
      </c>
      <c r="K171" s="904">
        <f t="shared" ref="K171:K234" si="375">MAX(MIN(H171:J171,64.64),0)</f>
        <v>64.64</v>
      </c>
      <c r="L171" s="560">
        <f>Sheet1!AA173+Sheet1!AB173-Sheet1!L173+(Sheet1!DA173-F171)*CFStoMGD</f>
        <v>338.44480000000027</v>
      </c>
      <c r="M171" s="560">
        <f t="shared" ref="M171:M234" si="376">1.02*CFStoMGD*G171</f>
        <v>389.53350932561364</v>
      </c>
      <c r="N171" s="910">
        <f>IF(Sheet1!DA173&gt;=F171,MIN(73,MIN(MAX(L171,0),MAX(M171,0))),0)</f>
        <v>73</v>
      </c>
      <c r="O171" s="563">
        <f>Sheet1!AA173+Sheet1!AB173</f>
        <v>76.429999999999993</v>
      </c>
      <c r="P171" s="563">
        <f t="shared" ref="P171:P234" si="377">AE171+AF171</f>
        <v>118.23720999999999</v>
      </c>
      <c r="Q171" s="898">
        <f t="shared" si="339"/>
        <v>66.149999999999991</v>
      </c>
      <c r="R171" s="829">
        <f t="shared" ref="R171:R234" si="378">IF(AND(B171&gt;=GF171,B171&lt;=GH171),MAX(EB171,EF171),EB171)</f>
        <v>10.287804137407477</v>
      </c>
      <c r="S171" s="898">
        <f t="shared" si="340"/>
        <v>10.280000000000001</v>
      </c>
      <c r="T171" s="898">
        <f t="shared" si="341"/>
        <v>54.36</v>
      </c>
      <c r="U171" s="898">
        <f t="shared" si="342"/>
        <v>0</v>
      </c>
      <c r="V171" s="898"/>
      <c r="W171" s="898">
        <f t="shared" si="343"/>
        <v>54.352195862592524</v>
      </c>
      <c r="X171" s="898">
        <f t="shared" si="344"/>
        <v>64.64</v>
      </c>
      <c r="Y171" s="898" t="str">
        <f t="shared" si="345"/>
        <v>FALSE</v>
      </c>
      <c r="Z171" s="898">
        <f t="shared" si="346"/>
        <v>76.429999999999993</v>
      </c>
      <c r="AA171" s="898">
        <f t="shared" si="347"/>
        <v>76.429999999999993</v>
      </c>
      <c r="AB171" s="898" t="str">
        <f t="shared" si="348"/>
        <v/>
      </c>
      <c r="AC171" s="563">
        <f>Sheet1!Y173*MGDtoCFS</f>
        <v>36.617490000000004</v>
      </c>
      <c r="AD171" s="563">
        <f>Sheet1!Z173*MGDtoCFS</f>
        <v>83.336889999999997</v>
      </c>
      <c r="AE171" s="563">
        <f>Sheet1!AA173*MGDtoCFS</f>
        <v>36.663899999999998</v>
      </c>
      <c r="AF171" s="563">
        <f>Sheet1!AB173*MGDtoCFS</f>
        <v>81.573309999999992</v>
      </c>
      <c r="AG171" s="563">
        <f>Sheet1!L173*MGDtoCFS</f>
        <v>1.6552899999995496</v>
      </c>
      <c r="AH171" s="545">
        <f t="shared" ref="AH171:AH234" si="379">AU171+BN171+CI171+DB171</f>
        <v>0</v>
      </c>
      <c r="AI171" s="560">
        <f t="shared" ref="AI171:AI234" si="380">AH171*MGDtoCFS</f>
        <v>0</v>
      </c>
      <c r="AJ171" s="560">
        <f t="shared" ref="AJ171:AJ234" si="381">IF(B171&gt;=GC171,IF(B171&lt;=GD171,K171-EB171,0),0)</f>
        <v>54.352195862592524</v>
      </c>
      <c r="AK171" s="560">
        <f t="shared" ref="AK171:AK234" si="382">AJ171*MGDtoCFS</f>
        <v>84.082846999430629</v>
      </c>
      <c r="AL171" s="560">
        <f>(VLOOKUP(Sheet1!DC173,hhdcap_wcm,4)-(((VLOOKUP(Sheet1!DC173,hhdcap_wcm,3)-Sheet1!DC173)/(VLOOKUP(Sheet1!DC173,hhdcap_wcm,3)-VLOOKUP(Sheet1!DC173,hhdcap_wcm,1)))*(VLOOKUP(Sheet1!DC173,hhdcap_wcm,4)-VLOOKUP(Sheet1!DC173,hhdcap_wcm,2))))</f>
        <v>49462.200000119497</v>
      </c>
      <c r="AM171" s="560">
        <f t="shared" ref="AM171:AM234" si="383">AL171-AL170</f>
        <v>-34.099999998950807</v>
      </c>
      <c r="AN171" s="560">
        <f t="shared" ref="AN171:AN234" si="384">(IF(AND(B171&gt;=GC171,B171&lt;GF171),MIN(BB171+BU171+CP171+DI171,GE171),IF(B171=GF171,GG171,IF(AND(B171&gt;GF171,B171&lt;GH171),BB171+BU171+CP171+DI171,IF(B171&gt;=GH171,0,0)))))</f>
        <v>6141.6692308994934</v>
      </c>
      <c r="AO171" s="560">
        <f t="shared" ref="AO171:AO234" si="385">AN171*MGtoAF</f>
        <v>18842.641200399645</v>
      </c>
      <c r="AP171" s="560">
        <f>Sheet1!BA173+Sheet1!BB173+Sheet1!BN173+CD171</f>
        <v>42.41</v>
      </c>
      <c r="AQ171" s="560">
        <f>Sheet1!BN173+(DO171*Sheet1!BN173)</f>
        <v>40.830973619282595</v>
      </c>
      <c r="AR171" s="560">
        <f>Sheet1!BA173+CD171</f>
        <v>0</v>
      </c>
      <c r="AS171" s="560">
        <f>Sheet1!BA173+Sheet1!BB173+CD171</f>
        <v>1.61</v>
      </c>
      <c r="AT171" s="698">
        <f>0</f>
        <v>0</v>
      </c>
      <c r="AU171" s="560">
        <f>IF(EB171&lt;K171,0,MAX(Sheet1!AA173+AQ171-15/36*K171-N171,Sheet1!EH173,0))</f>
        <v>0</v>
      </c>
      <c r="AV171" s="560">
        <f>IF(OR(B171&gt;=GD171,B171&lt;GC171),0,15/36*K171-MAX(0,64.6-(137.6-(Sheet1!AA173+Sheet1!AB173))))</f>
        <v>23.503333333333341</v>
      </c>
      <c r="AW171" s="698">
        <f>Sheet1!DB173-110</f>
        <v>417</v>
      </c>
      <c r="AX171" s="698">
        <f>Sheet1!DA173-265</f>
        <v>392</v>
      </c>
      <c r="AY171" s="698">
        <f t="shared" ref="AY171:AY234" si="386">N171-Q171</f>
        <v>6.8500000000000085</v>
      </c>
      <c r="AZ171" s="698">
        <v>0</v>
      </c>
      <c r="BA171" s="698">
        <f t="shared" ref="BA171:BA234" si="387">IF(AZ171&lt;=0,0,AZ171/1.547)</f>
        <v>0</v>
      </c>
      <c r="BB171" s="560">
        <f t="shared" ref="BB171:BB234" si="388">GO171+GQ171</f>
        <v>2716.2083333333335</v>
      </c>
      <c r="BC171" s="560"/>
      <c r="BD171" s="560">
        <f ca="1">IF(B171&gt;Summary!$A$1,#N/A,BB171*MGtoAF)</f>
        <v>8333.3271666666678</v>
      </c>
      <c r="BE171" s="560">
        <f>Sheet1!BG173+Sheet1!BH173+Sheet1!BI173-BM171</f>
        <v>0</v>
      </c>
      <c r="BF171" s="560">
        <f t="shared" ref="BF171:BF234" si="389">BE171+(DO171*BE171)</f>
        <v>0</v>
      </c>
      <c r="BG171" s="560">
        <f>IF(Sheet1!EP173="FM",BM171,0)</f>
        <v>0</v>
      </c>
      <c r="BH171" s="560">
        <f t="shared" ref="BH171:BH234" si="390">BG171+(DO171*BG171)</f>
        <v>0</v>
      </c>
      <c r="BI171" s="560">
        <f>IF(Sheet1!EP173="OTHER",BM171,0)</f>
        <v>0</v>
      </c>
      <c r="BJ171" s="560">
        <f t="shared" ref="BJ171:BJ234" si="391">BI171+(DO171*BI171)</f>
        <v>0</v>
      </c>
      <c r="BK171" s="560">
        <f t="shared" ref="BK171:BK234" si="392">MAX(BE171,BG171,BI171)</f>
        <v>0</v>
      </c>
      <c r="BL171" s="560">
        <f t="shared" ref="BL171:BL234" si="393">MAX(BF171,BH171,BJ171)</f>
        <v>0</v>
      </c>
      <c r="BM171" s="560">
        <f>IF(OR(Sheet1!EP173="FM", Sheet1!EP173="OTHER"),SUM(Sheet1!BG173:'Sheet1'!BI173),0)</f>
        <v>0</v>
      </c>
      <c r="BN171" s="545">
        <f>IF(AND($B171&gt;=$FV171,$B171&lt;=$FW171),MAX(BF171,Sheet1!EI173,0),MAX(BF171-(7/36)*$K171,0))</f>
        <v>0</v>
      </c>
      <c r="BO171" s="560">
        <f t="shared" ref="BO171:BO234" si="394">IF(B171&gt;=GC171,IF(B171&lt;=GD171,(7/36)*K171-BF171,0),0)</f>
        <v>12.568888888888889</v>
      </c>
      <c r="BP171" s="545">
        <f t="shared" ref="BP171:BP234" si="395">MAX(BL171-BN171,0)</f>
        <v>0</v>
      </c>
      <c r="BQ171" s="545">
        <f>IF(AND($O171&gt;0,Sheet1!EM173=1),(1-($O171-Sheet1!$L173)/$O171)*BL171,0)</f>
        <v>0</v>
      </c>
      <c r="BR171" s="545">
        <f>IF(AND(Sheet1!$L173=0,Sheet1!$L172=0, Calculation!BK171&lt;Sheet1!$EI173-0.1,Sheet1!$EI173=Sheet1!$EI172,Sheet1!$EI173=Sheet1!$EI174),Sheet1!$EI173,BL171-BQ171)</f>
        <v>0</v>
      </c>
      <c r="BS171" s="560"/>
      <c r="BT171" s="560"/>
      <c r="BU171" s="560">
        <f t="shared" ref="BU171:BU234" si="396">GV171+GX171</f>
        <v>1267.5638888888889</v>
      </c>
      <c r="BV171" s="560"/>
      <c r="BW171" s="560">
        <f ca="1">IF(B171&gt;Summary!$A$1,#N/A,BU171*MGtoAF)</f>
        <v>3888.8860111111112</v>
      </c>
      <c r="BX171" s="560">
        <f>Sheet1!BC173+Sheet1!BD173+Sheet1!BE173+Sheet1!BF173-CG171-CH171</f>
        <v>2.99</v>
      </c>
      <c r="BY171" s="560">
        <f t="shared" ref="BY171:BY234" si="397">BX171+(DO171*BX171)</f>
        <v>2.9922698804327199</v>
      </c>
      <c r="BZ171" s="560">
        <f>IF(Sheet1!EQ173="FM",CH171,0)</f>
        <v>0</v>
      </c>
      <c r="CA171" s="560">
        <f t="shared" ref="CA171:CA234" si="398">BZ171+(DO171*BZ171)</f>
        <v>0</v>
      </c>
      <c r="CB171" s="560">
        <f>IF(Sheet1!EQ173="OTHER",CH171,0)</f>
        <v>0</v>
      </c>
      <c r="CC171" s="560">
        <f t="shared" ref="CC171:CC234" si="399">CB171+(DO171*CB171)</f>
        <v>0</v>
      </c>
      <c r="CD171" s="560">
        <f t="shared" ref="CD171:CD234" si="400">CG171</f>
        <v>0</v>
      </c>
      <c r="CE171" s="560">
        <f t="shared" ref="CE171:CE234" si="401">MAX(BX171,BZ171,CB171)</f>
        <v>2.99</v>
      </c>
      <c r="CF171" s="560">
        <f t="shared" ref="CF171:CF234" si="402">MAX(BY171,CA171, CC171)</f>
        <v>2.9922698804327199</v>
      </c>
      <c r="CG171" s="560">
        <f>IF(Sheet1!EQ173="CWA",SUM(Sheet1!BC173:'Sheet1'!BF173),0)</f>
        <v>0</v>
      </c>
      <c r="CH171" s="560">
        <f>IF(OR(Sheet1!EQ173="FM", Sheet1!EQ173="OTHER"),SUM(Sheet1!BC173:'Sheet1'!BF173),0)</f>
        <v>0</v>
      </c>
      <c r="CI171" s="545">
        <f>IF(AND($B171&gt;=$FV171,$B171&lt;=$FW171),MAX(CF171,Sheet1!EJ173,0),MAX(CF171-(7/36)*$K171,0))</f>
        <v>0</v>
      </c>
      <c r="CJ171" s="560">
        <f t="shared" ref="CJ171:CJ234" si="403">IF(B171&gt;=GC171,IF(B171&lt;=GD171,(7/36)*K171-BY171,0),0)</f>
        <v>9.57661900845617</v>
      </c>
      <c r="CK171" s="545">
        <f t="shared" ref="CK171:CK234" si="404">MAX(CF171-CI171,0)</f>
        <v>2.9922698804327199</v>
      </c>
      <c r="CL171" s="545">
        <f>IF(AND($O171&gt;0,Sheet1!EN173=1),(1-($O171-Sheet1!$L173)/$O171)*CF171,0)</f>
        <v>0</v>
      </c>
      <c r="CM171" s="545">
        <f>IF(AND(Sheet1!$L173=0,Sheet1!$L172=0, Calculation!CE171&lt;Sheet1!EJ173-0.1,Sheet1!EJ173=Sheet1!EJ172,Sheet1!EJ173=Sheet1!EJ174),Sheet1!EJ173,CF171-CL171)</f>
        <v>2.9922698804327199</v>
      </c>
      <c r="CN171" s="545"/>
      <c r="CO171" s="560"/>
      <c r="CP171" s="560">
        <f t="shared" ref="CP171:CP234" si="405">HC171+HE171</f>
        <v>1249.999711297274</v>
      </c>
      <c r="CQ171" s="560"/>
      <c r="CR171" s="560">
        <f ca="1">IF(B171&gt;Summary!$A$1,#N/A,CP171*MGtoAF)</f>
        <v>3834.9991142600365</v>
      </c>
      <c r="CS171" s="560">
        <f>Sheet1!BK173+Sheet1!BL173+Sheet1!BM173-Sheet1!ER173-DA171</f>
        <v>7.29</v>
      </c>
      <c r="CT171" s="560">
        <f t="shared" ref="CT171:CT234" si="406">CS171+(DO171*CS171)</f>
        <v>7.2955342569747579</v>
      </c>
      <c r="CU171" s="560">
        <f>IF(Sheet1!ER173="FM",DA171,0)</f>
        <v>0</v>
      </c>
      <c r="CV171" s="560">
        <f t="shared" ref="CV171:CV234" si="407">CU171+(DO171*CU171)</f>
        <v>0</v>
      </c>
      <c r="CW171" s="560">
        <f>IF(Sheet1!ER173="OTHER",DA171,0)</f>
        <v>0</v>
      </c>
      <c r="CX171" s="560">
        <f t="shared" ref="CX171:CX234" si="408">CW171+(DO171*CW171)</f>
        <v>0</v>
      </c>
      <c r="CY171" s="560">
        <f t="shared" ref="CY171:CY234" si="409">MAX(CS171,CU171)</f>
        <v>7.29</v>
      </c>
      <c r="CZ171" s="560">
        <f t="shared" ref="CZ171:CZ234" si="410">MAX(CT171,CV171)</f>
        <v>7.2955342569747579</v>
      </c>
      <c r="DA171" s="560">
        <f>IF(OR(Sheet1!ER173="FM", Sheet1!ER173="OTHER"),SUM(Sheet1!BK173:'Sheet1'!BM173),0)</f>
        <v>0</v>
      </c>
      <c r="DB171" s="545">
        <f>IF(AND($B171&gt;=$FV171,$B171&lt;=$FW171),MAX($CT171,Sheet1!EK173,0),MAX($CT171-(7/36)*$K171,0))</f>
        <v>0</v>
      </c>
      <c r="DC171" s="560">
        <f t="shared" ref="DC171:DC234" si="411">IF(B171&gt;=GC171,IF(B171&lt;=GD171,(7/36)*K171-CT171,0),0)</f>
        <v>5.2733546319141311</v>
      </c>
      <c r="DD171" s="545">
        <f t="shared" ref="DD171:DD234" si="412">MAX(CZ171-DB171,0)</f>
        <v>7.2955342569747579</v>
      </c>
      <c r="DE171" s="545">
        <f>IF(AND($O171&gt;0,Sheet1!EO173=1),(1-($O171-Sheet1!$L173)/$O171)*CZ171,0)</f>
        <v>0</v>
      </c>
      <c r="DF171" s="545">
        <f>IF(AND(Sheet1!$L173=0,Sheet1!$L172=0, Calculation!CY171&lt;Sheet1!$EK173-0.1,Sheet1!$EK173=Sheet1!$EK172,Sheet1!$EK173=Sheet1!$EK174),Sheet1!$EK173,CZ171-DE171)</f>
        <v>7.2955342569747579</v>
      </c>
      <c r="DG171" s="545"/>
      <c r="DH171" s="560">
        <f t="shared" ref="DH171:DH234" si="413">BK171+CE171+CY171</f>
        <v>10.280000000000001</v>
      </c>
      <c r="DI171" s="560">
        <f t="shared" ref="DI171:DI234" si="414">HJ171+HL171</f>
        <v>907.89729737999778</v>
      </c>
      <c r="DJ171" s="698">
        <f t="shared" ref="DJ171:DJ234" si="415">BL171+CF171+CZ171</f>
        <v>10.287804137407477</v>
      </c>
      <c r="DK171" s="560">
        <f ca="1">IF(B171&gt;Summary!$A$1,#N/A,DI171*MGtoAF)</f>
        <v>2785.4289083618332</v>
      </c>
      <c r="DL171" s="698">
        <f t="shared" ref="DL171:DL234" si="416">CY171+CE171+BK171</f>
        <v>10.280000000000001</v>
      </c>
      <c r="DM171" s="560">
        <f t="shared" ref="DM171:DM234" si="417">DL171+AP171</f>
        <v>52.69</v>
      </c>
      <c r="DN171" s="560">
        <f>Sheet1!AB173-DM171</f>
        <v>3.9999999999999147E-2</v>
      </c>
      <c r="DO171" s="823">
        <f t="shared" ref="DO171:DO234" si="418">IF(DM171=0,0,DN171/DM171)</f>
        <v>7.5915733535773669E-4</v>
      </c>
      <c r="DP171" s="560">
        <f>(VLOOKUP(Sheet1!DC173,hhdcap_wcm,4)-(((VLOOKUP(Sheet1!DC173,hhdcap_wcm,3)-Sheet1!DC173)/(VLOOKUP(Sheet1!DC173,hhdcap_wcm,3)-VLOOKUP(Sheet1!DC173,hhdcap_wcm,1)))*(VLOOKUP(Sheet1!DC173,hhdcap_wcm,4)-VLOOKUP(Sheet1!DC173,hhdcap_wcm,2))))</f>
        <v>49462.200000119497</v>
      </c>
      <c r="DQ171" s="560">
        <f t="shared" ref="DQ171:DQ234" si="419">DP171-DP170</f>
        <v>-34.099999998950807</v>
      </c>
      <c r="DR171" s="560">
        <f t="shared" ref="DR171:DR234" si="420">DQ171*AFtoCFS</f>
        <v>-17.196167422567221</v>
      </c>
      <c r="DS171" s="560">
        <f>Sheet1!EA173*AFtoMG</f>
        <v>0</v>
      </c>
      <c r="DT171" s="560">
        <f>Sheet1!EB173*AFtoMG</f>
        <v>0</v>
      </c>
      <c r="DU171" s="560">
        <f>Sheet1!EC173*AFtoMG</f>
        <v>0</v>
      </c>
      <c r="DV171" s="560">
        <f>Sheet1!ED173*AFtoMG</f>
        <v>0</v>
      </c>
      <c r="DW171" s="560">
        <f t="shared" ref="DW171:DW234" si="421">SUM(DS171:DV171)</f>
        <v>0</v>
      </c>
      <c r="DX171" s="560">
        <f t="shared" ref="DX171:DX234" si="422">DW171*MGtoAF</f>
        <v>0</v>
      </c>
      <c r="DY171" s="560">
        <f t="shared" ref="DY171:DY234" si="423">AN171</f>
        <v>6141.6692308994934</v>
      </c>
      <c r="DZ171" s="560">
        <f t="shared" ref="DZ171:DZ234" si="424">DY171*MGtoAF</f>
        <v>18842.641200399645</v>
      </c>
      <c r="EA171" s="560"/>
      <c r="EB171" s="545">
        <f>IF(OR(B171&lt;FV171,B171&gt;FW171),(MIN(BF171+BY171+CT171+MAX(Sheet1!AA173+AQ171-73,0),K171)),0)</f>
        <v>10.287804137407477</v>
      </c>
      <c r="EC171" s="560"/>
      <c r="ED171" s="560">
        <f t="shared" ref="ED171:ED234" si="425">CT171+BF171+BY171</f>
        <v>10.287804137407477</v>
      </c>
      <c r="EE171" s="560"/>
      <c r="EF171" s="560">
        <f>Sheet1!EH173+Sheet1!EI173+Sheet1!EJ173+Sheet1!EK173</f>
        <v>10.280000000000001</v>
      </c>
      <c r="EG171" s="560"/>
      <c r="EH171" s="545">
        <f t="shared" ref="EH171:EH234" si="426">EB171-BP171-CK171-DD171</f>
        <v>0</v>
      </c>
      <c r="EI171" s="560">
        <f>IF(Sheet1!ET173=1,SUM('Calculations II'!AT171:BA171)+'Calculations II'!BC171+Sheet1!BV173+'Calculations II'!BE171+AP171,SUM('Calculations II'!AT171:BA171)+'Calculations II'!BC171+Sheet1!BV173+'Calculations II'!BE171+AP171)</f>
        <v>68.69896</v>
      </c>
      <c r="EJ171" s="560">
        <f>Sheet1!AA173+Sheet1!AB173+'Calculations II'!BC171</f>
        <v>76.429999999999993</v>
      </c>
      <c r="EK171" s="560"/>
      <c r="EL171" s="560"/>
      <c r="EM171" s="560">
        <f t="shared" ref="EM171:EM234" si="427">B171</f>
        <v>41799</v>
      </c>
      <c r="EN171" s="560">
        <f t="shared" ref="EN171:EN234" si="428">AJ171-AH171</f>
        <v>54.352195862592524</v>
      </c>
      <c r="EO171" s="560">
        <f t="shared" ref="EO171:EO234" si="429">AK171-AI171</f>
        <v>84.082846999430629</v>
      </c>
      <c r="EP171" s="560">
        <v>0</v>
      </c>
      <c r="EQ171" s="560">
        <v>0</v>
      </c>
      <c r="ER171" s="560">
        <v>0</v>
      </c>
      <c r="ES171" s="545">
        <f t="shared" si="349"/>
        <v>-4.4343842113689593</v>
      </c>
      <c r="ET171" s="560">
        <f>-(VLOOKUP(Sheet1!BQ173,Lookup!$O$4:$Q$262,2)-VLOOKUP(Sheet1!BQ172,Lookup!$O$4:$Q$262,2))/1000000</f>
        <v>-2.2172433883472085</v>
      </c>
      <c r="EU171" s="560">
        <f>-(VLOOKUP(Sheet1!BR173,Lookup!$O$4:$Q$262,3)-VLOOKUP(Sheet1!BR172,Lookup!$O$4:$Q$262,3))/1000000</f>
        <v>-2.2171408230217509</v>
      </c>
      <c r="EV171" s="560"/>
      <c r="EW171" s="560"/>
      <c r="EX171" s="560"/>
      <c r="EY171" s="560"/>
      <c r="EZ171" s="560"/>
      <c r="FA171" s="560"/>
      <c r="FB171" s="560"/>
      <c r="FC171" s="560"/>
      <c r="FD171" s="594" t="e">
        <f t="shared" ref="FD171:FD192" si="430">VLOOKUP(FJ170,hhdelev_wcm,4) -(((VLOOKUP(FJ170,hhdelev_wcm,3)-FJ170)/(VLOOKUP(FJ170,hhdelev_wcm,3)-VLOOKUP(FJ170,hhdelev_wcm,1)))*(VLOOKUP(FJ170,hhdelev_wcm,4)-VLOOKUP(FJ170,hhdelev_wcm,2)))</f>
        <v>#N/A</v>
      </c>
      <c r="FE171" s="594" t="e">
        <f t="shared" ref="FE171:FE234" si="431">MAX((FE170-FI171*1.983),0)</f>
        <v>#N/A</v>
      </c>
      <c r="FF171" s="595" t="e">
        <f t="shared" ref="FF171:FF234" si="432">IF(DP171-AO171-FE171-1220&lt;0,0,DP171-AO171-FE171-1220)</f>
        <v>#N/A</v>
      </c>
      <c r="FG171" s="596" t="s">
        <v>692</v>
      </c>
      <c r="FH171" s="596" t="s">
        <v>692</v>
      </c>
      <c r="FI171" s="594" t="e">
        <v>#N/A</v>
      </c>
      <c r="FJ171" s="594" t="e">
        <v>#N/A</v>
      </c>
      <c r="FK171" s="560">
        <v>24650</v>
      </c>
      <c r="FL171" s="560"/>
      <c r="FM171" s="560"/>
      <c r="FN171" s="560"/>
      <c r="FO171" s="560">
        <f>O171+((Sheet1!CS173)*GPMtoMGD)</f>
        <v>76.429999999999993</v>
      </c>
      <c r="FP171" s="560">
        <f>IF(Sheet1!AA173+AQ171&lt;=Calculation!N171,AQ171,Calculation!N171-Sheet1!AA173)</f>
        <v>40.830973619282595</v>
      </c>
      <c r="FQ171" s="560">
        <f>(Sheet1!BP173+Sheet1!BO173)/694.4</f>
        <v>3.1444412442396312</v>
      </c>
      <c r="FR171" s="560"/>
      <c r="FS171" s="560"/>
      <c r="FT171" s="560"/>
      <c r="FU171" s="560"/>
      <c r="FV171" s="695">
        <f t="shared" si="350"/>
        <v>41827</v>
      </c>
      <c r="FW171" s="695">
        <f t="shared" si="351"/>
        <v>41934</v>
      </c>
      <c r="FX171" s="560"/>
      <c r="FY171" s="560"/>
      <c r="FZ171" s="560"/>
      <c r="GA171" s="560"/>
      <c r="GB171" s="560" t="str">
        <f t="shared" si="352"/>
        <v>n</v>
      </c>
      <c r="GC171" s="564">
        <f t="shared" si="353"/>
        <v>41691</v>
      </c>
      <c r="GD171" s="695">
        <f t="shared" si="354"/>
        <v>41807</v>
      </c>
      <c r="GE171" s="560">
        <v>6518.9</v>
      </c>
      <c r="GF171" s="695">
        <f t="shared" si="355"/>
        <v>41808</v>
      </c>
      <c r="GG171" s="560">
        <f t="shared" si="374"/>
        <v>3259</v>
      </c>
      <c r="GH171" s="564">
        <f t="shared" si="356"/>
        <v>41934</v>
      </c>
      <c r="GJ171" s="545">
        <f t="shared" si="357"/>
        <v>36.07222222222223</v>
      </c>
      <c r="GK171" s="560" t="str">
        <f t="shared" ref="GK171:GK234" si="433">CONCATENATE(GM171,HA171,GT171,HH171)</f>
        <v>PP</v>
      </c>
      <c r="GL171" s="560">
        <f t="shared" si="358"/>
        <v>23.503333333333341</v>
      </c>
      <c r="GM171" s="560" t="str">
        <f t="shared" si="359"/>
        <v/>
      </c>
      <c r="GN171" s="560">
        <f>IF(GK171="P",Lookup!$M$12,IF(GK171="PP",Lookup!$M$13,IF(GK171="PPP",Lookup!$M$14,IF(GK171="T",Lookup!$M$15,IF(GK171="TP",Lookup!$M$16,IF(GK171="TPP",Lookup!$M$17,IF(GK171="TPPP",Lookup!$M$18,0)))))))*GJ171</f>
        <v>0</v>
      </c>
      <c r="GO171" s="560">
        <f t="shared" si="360"/>
        <v>0</v>
      </c>
      <c r="GP171" s="560">
        <f t="shared" ref="GP171:GP234" si="434">GQ171*MGtoAF</f>
        <v>8333.3271666666678</v>
      </c>
      <c r="GQ171" s="560">
        <f>(IF(AND(GB170="Y",B171=GD171),2716.2,(IF(AND(B171&lt;GF171,B171&gt;=GC171),MIN(BB170+AV171-AU171,15/36*GE171),IF(B171=GF171,15/36*GG171,IF(AND(B171&gt;GF171,B171&lt;GH171),MIN(BB170+AV171-AU171,15/36*GG171),IF(B171&gt;=GH171,0,0)))))))+DS171</f>
        <v>2716.2083333333335</v>
      </c>
      <c r="GR171" s="560"/>
      <c r="GS171" s="560">
        <f t="shared" si="361"/>
        <v>12.568888888888889</v>
      </c>
      <c r="GT171" s="560" t="str">
        <f t="shared" si="362"/>
        <v/>
      </c>
      <c r="GU171" s="560">
        <f>IF(GK171="P",Lookup!$N$12,IF(GK171="PP",Lookup!$N$13,IF(GK171="PPP",Lookup!$N$14,IF(GK171="T",Lookup!$N$15,IF(GK171="TP",Lookup!$N$16,IF(GK171="TPP",Lookup!$N$17,IF(GK171="TPPP",Lookup!$N$18,0)))))))*GJ171</f>
        <v>18.036111111111115</v>
      </c>
      <c r="GV171" s="560">
        <f t="shared" si="363"/>
        <v>0</v>
      </c>
      <c r="GW171" s="560">
        <f t="shared" ref="GW171:GW234" si="435">GX171*MGtoAF</f>
        <v>3888.8860111111112</v>
      </c>
      <c r="GX171" s="560">
        <f t="shared" si="369"/>
        <v>1267.5638888888889</v>
      </c>
      <c r="GY171" s="560"/>
      <c r="GZ171" s="560">
        <f t="shared" si="364"/>
        <v>0</v>
      </c>
      <c r="HA171" s="560" t="str">
        <f t="shared" si="365"/>
        <v>P</v>
      </c>
      <c r="HB171" s="560">
        <f>IF(GK171="P",Lookup!$N$12,IF(GK171="PP",Lookup!$N$13,IF(GK171="PPP",Lookup!$N$14,IF(GK171="T",Lookup!$N$15,IF(GK171="TP",Lookup!$N$16,IF(GK171="TPP",Lookup!$N$17,IF(GK171="TPPP",Lookup!$N$18,0)))))))*GJ171</f>
        <v>18.036111111111115</v>
      </c>
      <c r="HC171" s="545">
        <f t="shared" ref="HC171:HC234" si="436">IF(HA171="P",MIN(HB171,7/36*GE171-HE171),0)</f>
        <v>18.036111111111115</v>
      </c>
      <c r="HD171" s="560">
        <f t="shared" ref="HD171:HD234" si="437">HE171*MGtoAF</f>
        <v>3779.6643253711477</v>
      </c>
      <c r="HE171" s="560">
        <f t="shared" si="370"/>
        <v>1231.9636001861629</v>
      </c>
      <c r="HF171" s="560"/>
      <c r="HG171" s="560">
        <f t="shared" si="366"/>
        <v>0</v>
      </c>
      <c r="HH171" s="560" t="str">
        <f t="shared" si="367"/>
        <v>P</v>
      </c>
      <c r="HI171" s="560">
        <f>IF(GK171="P",Lookup!$N$12,IF(GK171="PP",Lookup!$N$13,IF(GK171="PPP",Lookup!$N$14,IF(GK171="T",Lookup!$N$15,IF(GK171="TP",Lookup!$N$16,IF(GK171="TPP",Lookup!$N$17,IF(GK171="TPPP",Lookup!$N$18,0)))))))*GJ171</f>
        <v>18.036111111111115</v>
      </c>
      <c r="HJ171" s="545">
        <f t="shared" ref="HJ171:HJ234" si="438">IF(HH171="P",MIN(HI171,7/36*GE171-HL171),0)</f>
        <v>18.036111111111115</v>
      </c>
      <c r="HK171" s="560">
        <f t="shared" ref="HK171:HK234" si="439">HL171*MGtoAF</f>
        <v>2730.0941194729444</v>
      </c>
      <c r="HL171" s="560">
        <f t="shared" si="371"/>
        <v>889.86118626888663</v>
      </c>
      <c r="HM171" s="560"/>
    </row>
    <row r="172" spans="1:221" s="696" customFormat="1">
      <c r="A172" s="580" t="s">
        <v>5</v>
      </c>
      <c r="B172" s="556">
        <v>41800</v>
      </c>
      <c r="C172" s="809">
        <v>0</v>
      </c>
      <c r="D172" s="691">
        <f t="shared" si="372"/>
        <v>300</v>
      </c>
      <c r="E172" s="691">
        <f t="shared" si="373"/>
        <v>250</v>
      </c>
      <c r="F172" s="691">
        <v>250</v>
      </c>
      <c r="G172" s="698">
        <f>DR172+Sheet1!CZ174</f>
        <v>567.75794251121295</v>
      </c>
      <c r="H172" s="914">
        <f t="shared" si="338"/>
        <v>100.03553403924805</v>
      </c>
      <c r="I172" s="810">
        <f>MAX(Sheet1!Z174-AT172+(Sheet1!DA174-E172)*CFStoMGD,0)</f>
        <v>315.81479999999999</v>
      </c>
      <c r="J172" s="811">
        <f>IF(AND(B172&gt;=Calculation!GC172,B172&lt;=Calculation!GD172),IF(Sheet1!DB174&gt;=Calculation!D172,64.64,0),MAX(Sheet1!Z174-AT172+(Sheet1!DB174-D172)*CFStoMGD,0))</f>
        <v>64.64</v>
      </c>
      <c r="K172" s="904">
        <f t="shared" si="375"/>
        <v>64.64</v>
      </c>
      <c r="L172" s="698">
        <f>Sheet1!AA174+Sheet1!AB174-Sheet1!L174+(Sheet1!DA174-F172)*CFStoMGD</f>
        <v>336.41479999999996</v>
      </c>
      <c r="M172" s="698">
        <f t="shared" si="376"/>
        <v>374.33870872003303</v>
      </c>
      <c r="N172" s="910">
        <f>IF(Sheet1!DA174&gt;=F172,MIN(73,MIN(MAX(L172,0),MAX(M172,0))),0)</f>
        <v>73</v>
      </c>
      <c r="O172" s="812">
        <f>Sheet1!AA174+Sheet1!AB174</f>
        <v>73.33</v>
      </c>
      <c r="P172" s="812">
        <f t="shared" si="377"/>
        <v>113.44150999999999</v>
      </c>
      <c r="Q172" s="898">
        <f t="shared" si="339"/>
        <v>63.31</v>
      </c>
      <c r="R172" s="829">
        <f t="shared" si="378"/>
        <v>9.9930477963997539</v>
      </c>
      <c r="S172" s="898">
        <f t="shared" si="340"/>
        <v>10.02</v>
      </c>
      <c r="T172" s="898">
        <f t="shared" si="341"/>
        <v>54.620000000000005</v>
      </c>
      <c r="U172" s="898">
        <f t="shared" si="342"/>
        <v>0</v>
      </c>
      <c r="V172" s="898"/>
      <c r="W172" s="898">
        <f t="shared" si="343"/>
        <v>54.64695220360025</v>
      </c>
      <c r="X172" s="898">
        <f t="shared" si="344"/>
        <v>64.64</v>
      </c>
      <c r="Y172" s="898" t="str">
        <f t="shared" si="345"/>
        <v>FALSE</v>
      </c>
      <c r="Z172" s="898">
        <f t="shared" si="346"/>
        <v>73.33</v>
      </c>
      <c r="AA172" s="898">
        <f t="shared" si="347"/>
        <v>73.33</v>
      </c>
      <c r="AB172" s="898" t="str">
        <f t="shared" si="348"/>
        <v/>
      </c>
      <c r="AC172" s="812">
        <f>Sheet1!Y174*MGDtoCFS</f>
        <v>36.663899999999998</v>
      </c>
      <c r="AD172" s="812">
        <f>Sheet1!Z174*MGDtoCFS</f>
        <v>81.573309999999992</v>
      </c>
      <c r="AE172" s="812">
        <f>Sheet1!AA174*MGDtoCFS</f>
        <v>38.876109999999997</v>
      </c>
      <c r="AF172" s="812">
        <f>Sheet1!AB174*MGDtoCFS</f>
        <v>74.565399999999997</v>
      </c>
      <c r="AG172" s="812">
        <f>Sheet1!L174*MGDtoCFS</f>
        <v>0</v>
      </c>
      <c r="AH172" s="799">
        <f t="shared" si="379"/>
        <v>0</v>
      </c>
      <c r="AI172" s="698">
        <f t="shared" si="380"/>
        <v>0</v>
      </c>
      <c r="AJ172" s="698">
        <f t="shared" si="381"/>
        <v>54.64695220360025</v>
      </c>
      <c r="AK172" s="698">
        <f t="shared" si="382"/>
        <v>84.538835058969582</v>
      </c>
      <c r="AL172" s="698">
        <f>(VLOOKUP(Sheet1!DC174,hhdcap_wcm,4)-(((VLOOKUP(Sheet1!DC174,hhdcap_wcm,3)-Sheet1!DC174)/(VLOOKUP(Sheet1!DC174,hhdcap_wcm,3)-VLOOKUP(Sheet1!DC174,hhdcap_wcm,1)))*(VLOOKUP(Sheet1!DC174,hhdcap_wcm,4)-VLOOKUP(Sheet1!DC174,hhdcap_wcm,2))))</f>
        <v>49382.400000119233</v>
      </c>
      <c r="AM172" s="698">
        <f t="shared" si="383"/>
        <v>-79.800000000264845</v>
      </c>
      <c r="AN172" s="698">
        <f>(IF(AND(B172&gt;=GC172,B172&lt;GF172),MIN(BB172+BU172+CP172+DI172,GE172),IF(B172=GF172,GG172,IF(AND(B172&gt;GF172,B172&lt;GH172),BB172+BU172+CP172+DI172,IF(B172&gt;=GH172,0,0)))))</f>
        <v>6184.3773180710805</v>
      </c>
      <c r="AO172" s="698">
        <f t="shared" si="385"/>
        <v>18973.669611842077</v>
      </c>
      <c r="AP172" s="698">
        <f>Sheet1!BA174+Sheet1!BB174+Sheet1!BN174+CD172</f>
        <v>38.31</v>
      </c>
      <c r="AQ172" s="560">
        <f>Sheet1!BN174+(DO172*Sheet1!BN174)</f>
        <v>36.601282847092911</v>
      </c>
      <c r="AR172" s="698">
        <f>Sheet1!BA174+CD172</f>
        <v>0</v>
      </c>
      <c r="AS172" s="560">
        <f>Sheet1!BA174+Sheet1!BB174+CD172</f>
        <v>1.61</v>
      </c>
      <c r="AT172" s="698">
        <f>0</f>
        <v>0</v>
      </c>
      <c r="AU172" s="698">
        <f>IF(EB172&lt;K172,0,MAX(Sheet1!AA174+AQ172-15/36*K172-N172,Sheet1!EH174,0))</f>
        <v>0</v>
      </c>
      <c r="AV172" s="698">
        <f>IF(OR(B172&gt;=GD172,B172&lt;GC172),0,15/36*K172-MAX(0,64.6-(137.6-(Sheet1!AA174+Sheet1!AB174))))</f>
        <v>26.603333333333335</v>
      </c>
      <c r="AW172" s="698">
        <f>Sheet1!DB174-110</f>
        <v>417</v>
      </c>
      <c r="AX172" s="698">
        <f>Sheet1!DA174-265</f>
        <v>392</v>
      </c>
      <c r="AY172" s="698">
        <f t="shared" si="386"/>
        <v>9.6899999999999977</v>
      </c>
      <c r="AZ172" s="698">
        <v>0</v>
      </c>
      <c r="BA172" s="698">
        <f t="shared" si="387"/>
        <v>0</v>
      </c>
      <c r="BB172" s="698">
        <f t="shared" si="388"/>
        <v>2716.2083333333335</v>
      </c>
      <c r="BC172" s="698"/>
      <c r="BD172" s="698">
        <f ca="1">IF(B172&gt;Summary!$A$1,#N/A,BB172*MGtoAF)</f>
        <v>8333.3271666666678</v>
      </c>
      <c r="BE172" s="698">
        <f>Sheet1!BG174+Sheet1!BH174+Sheet1!BI174-BM172</f>
        <v>0</v>
      </c>
      <c r="BF172" s="698">
        <f t="shared" si="389"/>
        <v>0</v>
      </c>
      <c r="BG172" s="698">
        <f>IF(Sheet1!EP174="FM",BM172,0)</f>
        <v>0</v>
      </c>
      <c r="BH172" s="698">
        <f t="shared" si="390"/>
        <v>0</v>
      </c>
      <c r="BI172" s="698">
        <f>IF(Sheet1!EP174="OTHER",BM172,0)</f>
        <v>0</v>
      </c>
      <c r="BJ172" s="698">
        <f t="shared" si="391"/>
        <v>0</v>
      </c>
      <c r="BK172" s="698">
        <f t="shared" si="392"/>
        <v>0</v>
      </c>
      <c r="BL172" s="698">
        <f t="shared" si="393"/>
        <v>0</v>
      </c>
      <c r="BM172" s="698">
        <f>IF(OR(Sheet1!EP174="FM", Sheet1!EP174="OTHER"),SUM(Sheet1!BG174:'Sheet1'!BI174),0)</f>
        <v>0</v>
      </c>
      <c r="BN172" s="799">
        <f>IF(AND($B172&gt;=$FV172,$B172&lt;=$FW172),MAX(BF172,Sheet1!EI174,0),MAX(BF172-(7/36)*$K172,0))</f>
        <v>0</v>
      </c>
      <c r="BO172" s="698">
        <f t="shared" si="394"/>
        <v>12.568888888888889</v>
      </c>
      <c r="BP172" s="799">
        <f t="shared" si="395"/>
        <v>0</v>
      </c>
      <c r="BQ172" s="799">
        <f>IF(AND($O172&gt;0,Sheet1!EM174=1),(1-($O172-Sheet1!$L174)/$O172)*BL172,0)</f>
        <v>0</v>
      </c>
      <c r="BR172" s="799">
        <f>IF(AND(Sheet1!$L174=0,Sheet1!$L173=0, Calculation!BK172&lt;Sheet1!$EI174-0.1,Sheet1!$EI174=Sheet1!$EI173,Sheet1!$EI174=Sheet1!$EI175),Sheet1!$EI174,BL172-BQ172)</f>
        <v>0</v>
      </c>
      <c r="BS172" s="698"/>
      <c r="BT172" s="698"/>
      <c r="BU172" s="698">
        <f t="shared" si="396"/>
        <v>1267.5638888888889</v>
      </c>
      <c r="BV172" s="698"/>
      <c r="BW172" s="698">
        <f ca="1">IF(B172&gt;Summary!$A$1,#N/A,BU172*MGtoAF)</f>
        <v>3888.8860111111112</v>
      </c>
      <c r="BX172" s="698">
        <f>Sheet1!BC174+Sheet1!BD174+Sheet1!BE174+Sheet1!BF174-CG172-CH172</f>
        <v>2.99</v>
      </c>
      <c r="BY172" s="698">
        <f t="shared" si="397"/>
        <v>2.9819573763707847</v>
      </c>
      <c r="BZ172" s="698">
        <f>IF(Sheet1!EQ174="FM",CH172,0)</f>
        <v>0</v>
      </c>
      <c r="CA172" s="698">
        <f t="shared" si="398"/>
        <v>0</v>
      </c>
      <c r="CB172" s="698">
        <f>IF(Sheet1!EQ174="OTHER",CH172,0)</f>
        <v>0</v>
      </c>
      <c r="CC172" s="698">
        <f t="shared" si="399"/>
        <v>0</v>
      </c>
      <c r="CD172" s="698">
        <f t="shared" si="400"/>
        <v>0</v>
      </c>
      <c r="CE172" s="698">
        <f t="shared" si="401"/>
        <v>2.99</v>
      </c>
      <c r="CF172" s="698">
        <f t="shared" si="402"/>
        <v>2.9819573763707847</v>
      </c>
      <c r="CG172" s="698">
        <f>IF(Sheet1!EQ174="CWA",SUM(Sheet1!BC174:'Sheet1'!BF174),0)</f>
        <v>0</v>
      </c>
      <c r="CH172" s="698">
        <f>IF(OR(Sheet1!EQ174="FM", Sheet1!EQ174="OTHER"),SUM(Sheet1!BC174:'Sheet1'!BF174),0)</f>
        <v>0</v>
      </c>
      <c r="CI172" s="799">
        <f>IF(AND($B172&gt;=$FV172,$B172&lt;=$FW172),MAX(CF172,Sheet1!EJ174,0),MAX(CF172-(7/36)*$K172,0))</f>
        <v>0</v>
      </c>
      <c r="CJ172" s="698">
        <f t="shared" si="403"/>
        <v>9.5869315125181043</v>
      </c>
      <c r="CK172" s="799">
        <f t="shared" si="404"/>
        <v>2.9819573763707847</v>
      </c>
      <c r="CL172" s="799">
        <f>IF(AND($O172&gt;0,Sheet1!EN174=1),(1-($O172-Sheet1!$L174)/$O172)*CF172,0)</f>
        <v>0</v>
      </c>
      <c r="CM172" s="799">
        <f>IF(AND(Sheet1!$L174=0,Sheet1!$L173=0, Calculation!CE172&lt;Sheet1!EJ174-0.1,Sheet1!EJ174=Sheet1!EJ173,Sheet1!EJ174=Sheet1!EJ175),Sheet1!EJ174,CF172-CL172)</f>
        <v>2.9819573763707847</v>
      </c>
      <c r="CN172" s="799"/>
      <c r="CO172" s="698"/>
      <c r="CP172" s="698">
        <f t="shared" si="405"/>
        <v>1267.5638888888889</v>
      </c>
      <c r="CQ172" s="698"/>
      <c r="CR172" s="698">
        <f ca="1">IF(B172&gt;Summary!$A$1,#N/A,CP172*MGtoAF)</f>
        <v>3888.8860111111112</v>
      </c>
      <c r="CS172" s="698">
        <f>Sheet1!BK174+Sheet1!BL174+Sheet1!BM174-Sheet1!ER174-DA172</f>
        <v>7.03</v>
      </c>
      <c r="CT172" s="698">
        <f t="shared" si="406"/>
        <v>7.0110904200289683</v>
      </c>
      <c r="CU172" s="698">
        <f>IF(Sheet1!ER174="FM",DA172,0)</f>
        <v>0</v>
      </c>
      <c r="CV172" s="698">
        <f t="shared" si="407"/>
        <v>0</v>
      </c>
      <c r="CW172" s="698">
        <f>IF(Sheet1!ER174="OTHER",DA172,0)</f>
        <v>0</v>
      </c>
      <c r="CX172" s="698">
        <f t="shared" si="408"/>
        <v>0</v>
      </c>
      <c r="CY172" s="698">
        <f t="shared" si="409"/>
        <v>7.03</v>
      </c>
      <c r="CZ172" s="698">
        <f t="shared" si="410"/>
        <v>7.0110904200289683</v>
      </c>
      <c r="DA172" s="698">
        <f>IF(OR(Sheet1!ER174="FM", Sheet1!ER174="OTHER"),SUM(Sheet1!BK174:'Sheet1'!BM174),0)</f>
        <v>0</v>
      </c>
      <c r="DB172" s="799">
        <f>IF(AND($B172&gt;=$FV172,$B172&lt;=$FW172),MAX($CT172,Sheet1!EK174,0),MAX($CT172-(7/36)*$K172,0))</f>
        <v>0</v>
      </c>
      <c r="DC172" s="698">
        <f t="shared" si="411"/>
        <v>5.5577984688599207</v>
      </c>
      <c r="DD172" s="799">
        <f t="shared" si="412"/>
        <v>7.0110904200289683</v>
      </c>
      <c r="DE172" s="799">
        <f>IF(AND($O172&gt;0,Sheet1!EO174=1),(1-($O172-Sheet1!$L174)/$O172)*CZ172,0)</f>
        <v>0</v>
      </c>
      <c r="DF172" s="799">
        <f>IF(AND(Sheet1!$L174=0,Sheet1!$L173=0, Calculation!CY172&lt;Sheet1!$EK174-0.1,Sheet1!$EK174=Sheet1!$EK173,Sheet1!$EK174=Sheet1!$EK175),Sheet1!$EK174,CZ172-DE172)</f>
        <v>7.0110904200289683</v>
      </c>
      <c r="DG172" s="799"/>
      <c r="DH172" s="698">
        <f t="shared" si="413"/>
        <v>10.02</v>
      </c>
      <c r="DI172" s="698">
        <f t="shared" si="414"/>
        <v>933.0412069599688</v>
      </c>
      <c r="DJ172" s="698">
        <f t="shared" si="415"/>
        <v>9.9930477963997539</v>
      </c>
      <c r="DK172" s="698">
        <f ca="1">IF(B172&gt;Summary!$A$1,#N/A,DI172*MGtoAF)</f>
        <v>2862.5704229531843</v>
      </c>
      <c r="DL172" s="698">
        <f t="shared" si="416"/>
        <v>10.02</v>
      </c>
      <c r="DM172" s="698">
        <f t="shared" si="417"/>
        <v>48.33</v>
      </c>
      <c r="DN172" s="698">
        <f>Sheet1!AB174-DM172</f>
        <v>-0.12999999999999545</v>
      </c>
      <c r="DO172" s="824">
        <f t="shared" si="418"/>
        <v>-2.6898406786674003E-3</v>
      </c>
      <c r="DP172" s="698">
        <f>(VLOOKUP(Sheet1!DC174,hhdcap_wcm,4)-(((VLOOKUP(Sheet1!DC174,hhdcap_wcm,3)-Sheet1!DC174)/(VLOOKUP(Sheet1!DC174,hhdcap_wcm,3)-VLOOKUP(Sheet1!DC174,hhdcap_wcm,1)))*(VLOOKUP(Sheet1!DC174,hhdcap_wcm,4)-VLOOKUP(Sheet1!DC174,hhdcap_wcm,2))))</f>
        <v>49382.400000119233</v>
      </c>
      <c r="DQ172" s="698">
        <f t="shared" si="419"/>
        <v>-79.800000000264845</v>
      </c>
      <c r="DR172" s="698">
        <f t="shared" si="420"/>
        <v>-40.242057488787104</v>
      </c>
      <c r="DS172" s="698">
        <f>Sheet1!EA174*AFtoMG</f>
        <v>0</v>
      </c>
      <c r="DT172" s="698">
        <f>Sheet1!EB174*AFtoMG</f>
        <v>0</v>
      </c>
      <c r="DU172" s="698">
        <f>Sheet1!EC174*AFtoMG</f>
        <v>0</v>
      </c>
      <c r="DV172" s="698">
        <f>Sheet1!ED174*AFtoMG</f>
        <v>0</v>
      </c>
      <c r="DW172" s="698">
        <f t="shared" si="421"/>
        <v>0</v>
      </c>
      <c r="DX172" s="698">
        <f t="shared" si="422"/>
        <v>0</v>
      </c>
      <c r="DY172" s="698">
        <f t="shared" si="423"/>
        <v>6184.3773180710805</v>
      </c>
      <c r="DZ172" s="698">
        <f t="shared" si="424"/>
        <v>18973.669611842077</v>
      </c>
      <c r="EA172" s="698"/>
      <c r="EB172" s="799">
        <f>IF(OR(B172&lt;FV172,B172&gt;FW172),(MIN(BF172+BY172+CT172+MAX(Sheet1!AA174+AQ172-73,0),K172)),0)</f>
        <v>9.9930477963997539</v>
      </c>
      <c r="EC172" s="698"/>
      <c r="ED172" s="698">
        <f t="shared" si="425"/>
        <v>9.9930477963997539</v>
      </c>
      <c r="EE172" s="698"/>
      <c r="EF172" s="698">
        <f>Sheet1!EH174+Sheet1!EI174+Sheet1!EJ174+Sheet1!EK174</f>
        <v>10.02</v>
      </c>
      <c r="EG172" s="698"/>
      <c r="EH172" s="799">
        <f t="shared" si="426"/>
        <v>0</v>
      </c>
      <c r="EI172" s="560">
        <f>IF(Sheet1!ET174=1,SUM('Calculations II'!AT172:BA172)+'Calculations II'!BC172+Sheet1!BV174+'Calculations II'!BE172+AP172,SUM('Calculations II'!AT172:BA172)+'Calculations II'!BC172+Sheet1!BV174+'Calculations II'!BE172+AP172)</f>
        <v>67.848800000000011</v>
      </c>
      <c r="EJ172" s="698">
        <f>Sheet1!AA174+Sheet1!AB174+'Calculations II'!BC172</f>
        <v>73.33</v>
      </c>
      <c r="EK172" s="698"/>
      <c r="EL172" s="698"/>
      <c r="EM172" s="698">
        <f t="shared" si="427"/>
        <v>41800</v>
      </c>
      <c r="EN172" s="698">
        <f t="shared" si="428"/>
        <v>54.64695220360025</v>
      </c>
      <c r="EO172" s="698">
        <f t="shared" si="429"/>
        <v>84.538835058969582</v>
      </c>
      <c r="EP172" s="560">
        <v>0</v>
      </c>
      <c r="EQ172" s="560">
        <v>0</v>
      </c>
      <c r="ER172" s="560">
        <v>0</v>
      </c>
      <c r="ES172" s="545">
        <f t="shared" si="349"/>
        <v>-2.0797459516769945</v>
      </c>
      <c r="ET172" s="698">
        <f>-(VLOOKUP(Sheet1!BQ174,Lookup!$O$4:$Q$262,2)-VLOOKUP(Sheet1!BQ173,Lookup!$O$4:$Q$262,2))/1000000</f>
        <v>-0.97056007963411883</v>
      </c>
      <c r="EU172" s="698">
        <f>-(VLOOKUP(Sheet1!BR174,Lookup!$O$4:$Q$262,3)-VLOOKUP(Sheet1!BR173,Lookup!$O$4:$Q$262,3))/1000000</f>
        <v>-1.1091858720428758</v>
      </c>
      <c r="EV172" s="698"/>
      <c r="EW172" s="698"/>
      <c r="EX172" s="698"/>
      <c r="EY172" s="698"/>
      <c r="EZ172" s="698"/>
      <c r="FA172" s="698"/>
      <c r="FB172" s="698"/>
      <c r="FC172" s="698"/>
      <c r="FD172" s="813" t="e">
        <f t="shared" si="430"/>
        <v>#N/A</v>
      </c>
      <c r="FE172" s="813" t="e">
        <f t="shared" si="431"/>
        <v>#N/A</v>
      </c>
      <c r="FF172" s="814" t="e">
        <f t="shared" si="432"/>
        <v>#N/A</v>
      </c>
      <c r="FG172" s="815" t="s">
        <v>692</v>
      </c>
      <c r="FH172" s="815" t="s">
        <v>692</v>
      </c>
      <c r="FI172" s="813" t="e">
        <v>#N/A</v>
      </c>
      <c r="FJ172" s="594" t="e">
        <v>#N/A</v>
      </c>
      <c r="FK172" s="698">
        <v>24600</v>
      </c>
      <c r="FL172" s="698"/>
      <c r="FM172" s="698"/>
      <c r="FN172" s="698"/>
      <c r="FO172" s="698">
        <f>O172+((Sheet1!CS174)*GPMtoMGD)</f>
        <v>73.33</v>
      </c>
      <c r="FP172" s="698">
        <f>IF(Sheet1!AA174+AQ172&lt;=Calculation!N172,AQ172,Calculation!N172-Sheet1!AA174)</f>
        <v>36.601282847092911</v>
      </c>
      <c r="FQ172" s="698">
        <f>(Sheet1!BP174+Sheet1!BO174)/694.4</f>
        <v>2.7432315668202767</v>
      </c>
      <c r="FR172" s="698"/>
      <c r="FS172" s="698"/>
      <c r="FT172" s="698"/>
      <c r="FU172" s="698"/>
      <c r="FV172" s="695">
        <f t="shared" si="350"/>
        <v>41827</v>
      </c>
      <c r="FW172" s="695">
        <f t="shared" si="351"/>
        <v>41934</v>
      </c>
      <c r="FX172" s="698"/>
      <c r="FY172" s="698"/>
      <c r="FZ172" s="698"/>
      <c r="GA172" s="698"/>
      <c r="GB172" s="698" t="str">
        <f t="shared" si="352"/>
        <v>n</v>
      </c>
      <c r="GC172" s="564">
        <f t="shared" si="353"/>
        <v>41691</v>
      </c>
      <c r="GD172" s="695">
        <f t="shared" si="354"/>
        <v>41807</v>
      </c>
      <c r="GE172" s="698">
        <v>6518.9</v>
      </c>
      <c r="GF172" s="695">
        <f t="shared" si="355"/>
        <v>41808</v>
      </c>
      <c r="GG172" s="698">
        <f t="shared" si="374"/>
        <v>3259</v>
      </c>
      <c r="GH172" s="817">
        <f t="shared" si="356"/>
        <v>41934</v>
      </c>
      <c r="GI172" s="818"/>
      <c r="GJ172" s="799">
        <f t="shared" si="357"/>
        <v>39.172222222222224</v>
      </c>
      <c r="GK172" s="698" t="str">
        <f t="shared" si="433"/>
        <v>PP</v>
      </c>
      <c r="GL172" s="698">
        <f t="shared" si="358"/>
        <v>26.603333333333335</v>
      </c>
      <c r="GM172" s="698" t="str">
        <f t="shared" si="359"/>
        <v/>
      </c>
      <c r="GN172" s="698">
        <f>IF(GK172="P",Lookup!$M$12,IF(GK172="PP",Lookup!$M$13,IF(GK172="PPP",Lookup!$M$14,IF(GK172="T",Lookup!$M$15,IF(GK172="TP",Lookup!$M$16,IF(GK172="TPP",Lookup!$M$17,IF(GK172="TPPP",Lookup!$M$18,0)))))))*GJ172</f>
        <v>0</v>
      </c>
      <c r="GO172" s="698">
        <f t="shared" si="360"/>
        <v>0</v>
      </c>
      <c r="GP172" s="698">
        <f t="shared" ref="GP172" si="440">GQ172*MGtoAF</f>
        <v>8333.3271666666678</v>
      </c>
      <c r="GQ172" s="698">
        <f t="shared" si="368"/>
        <v>2716.2083333333335</v>
      </c>
      <c r="GR172" s="698"/>
      <c r="GS172" s="698">
        <f t="shared" si="361"/>
        <v>12.568888888888889</v>
      </c>
      <c r="GT172" s="698" t="str">
        <f t="shared" si="362"/>
        <v/>
      </c>
      <c r="GU172" s="698">
        <f>IF(GK172="P",Lookup!$N$12,IF(GK172="PP",Lookup!$N$13,IF(GK172="PPP",Lookup!$N$14,IF(GK172="T",Lookup!$N$15,IF(GK172="TP",Lookup!$N$16,IF(GK172="TPP",Lookup!$N$17,IF(GK172="TPPP",Lookup!$N$18,0)))))))*GJ172</f>
        <v>19.586111111111112</v>
      </c>
      <c r="GV172" s="698">
        <f t="shared" si="363"/>
        <v>0</v>
      </c>
      <c r="GW172" s="698">
        <f t="shared" si="435"/>
        <v>3888.8860111111112</v>
      </c>
      <c r="GX172" s="698">
        <f t="shared" si="369"/>
        <v>1267.5638888888889</v>
      </c>
      <c r="GY172" s="698"/>
      <c r="GZ172" s="698">
        <f t="shared" si="364"/>
        <v>0</v>
      </c>
      <c r="HA172" s="698" t="str">
        <f t="shared" si="365"/>
        <v>P</v>
      </c>
      <c r="HB172" s="698">
        <f>IF(GK172="P",Lookup!$N$12,IF(GK172="PP",Lookup!$N$13,IF(GK172="PPP",Lookup!$N$14,IF(GK172="T",Lookup!$N$15,IF(GK172="TP",Lookup!$N$16,IF(GK172="TPP",Lookup!$N$17,IF(GK172="TPPP",Lookup!$N$18,0)))))))*GJ172</f>
        <v>19.586111111111112</v>
      </c>
      <c r="HC172" s="799">
        <f t="shared" si="436"/>
        <v>7.977246079096858</v>
      </c>
      <c r="HD172" s="698">
        <f t="shared" si="437"/>
        <v>3864.4118201404422</v>
      </c>
      <c r="HE172" s="698">
        <f t="shared" si="370"/>
        <v>1259.586642809792</v>
      </c>
      <c r="HF172" s="698"/>
      <c r="HG172" s="698">
        <f t="shared" si="366"/>
        <v>0</v>
      </c>
      <c r="HH172" s="698" t="str">
        <f t="shared" si="367"/>
        <v>P</v>
      </c>
      <c r="HI172" s="698">
        <f>IF(GK172="P",Lookup!$N$12,IF(GK172="PP",Lookup!$N$13,IF(GK172="PPP",Lookup!$N$14,IF(GK172="T",Lookup!$N$15,IF(GK172="TP",Lookup!$N$16,IF(GK172="TPP",Lookup!$N$17,IF(GK172="TPPP",Lookup!$N$18,0)))))))*GJ172</f>
        <v>19.586111111111112</v>
      </c>
      <c r="HJ172" s="799">
        <f t="shared" si="438"/>
        <v>19.586111111111112</v>
      </c>
      <c r="HK172" s="698">
        <f t="shared" si="439"/>
        <v>2802.4802340642955</v>
      </c>
      <c r="HL172" s="698">
        <f t="shared" si="371"/>
        <v>913.4550958488577</v>
      </c>
      <c r="HM172" s="698"/>
    </row>
    <row r="173" spans="1:221">
      <c r="A173" s="580" t="s">
        <v>6</v>
      </c>
      <c r="B173" s="556">
        <v>41801</v>
      </c>
      <c r="C173" s="561">
        <v>0</v>
      </c>
      <c r="D173" s="529">
        <f t="shared" si="372"/>
        <v>300</v>
      </c>
      <c r="E173" s="529">
        <f t="shared" si="373"/>
        <v>250</v>
      </c>
      <c r="F173" s="529">
        <v>250</v>
      </c>
      <c r="G173" s="560">
        <f>DR173+Sheet1!CZ175</f>
        <v>540.76248108926166</v>
      </c>
      <c r="H173" s="914">
        <f t="shared" si="338"/>
        <v>82.585667776098731</v>
      </c>
      <c r="I173" s="559">
        <f>MAX(Sheet1!Z175-AT173+(Sheet1!DA175-E173)*CFStoMGD,0)</f>
        <v>322.27359999999999</v>
      </c>
      <c r="J173" s="562">
        <f>IF(AND(B173&gt;=Calculation!GC173,B173&lt;=Calculation!GD173),IF(Sheet1!DB175&gt;=Calculation!D173,64.64,0),MAX(Sheet1!Z175-AT173+(Sheet1!DB175-D173)*CFStoMGD,0))</f>
        <v>64.64</v>
      </c>
      <c r="K173" s="904">
        <f t="shared" si="375"/>
        <v>64.64</v>
      </c>
      <c r="L173" s="560">
        <f>Sheet1!AA175+Sheet1!AB175-Sheet1!L175+(Sheet1!DA175-F173)*CFStoMGD</f>
        <v>346.16359999999997</v>
      </c>
      <c r="M173" s="560">
        <f t="shared" si="376"/>
        <v>356.53984513162072</v>
      </c>
      <c r="N173" s="910">
        <f>IF(Sheet1!DA175&gt;=F173,MIN(73,MIN(MAX(L173,0),MAX(M173,0))),0)</f>
        <v>73</v>
      </c>
      <c r="O173" s="563">
        <f>Sheet1!AA175+Sheet1!AB175</f>
        <v>72.09</v>
      </c>
      <c r="P173" s="563">
        <f t="shared" si="377"/>
        <v>111.52323</v>
      </c>
      <c r="Q173" s="898">
        <f t="shared" si="339"/>
        <v>61.95</v>
      </c>
      <c r="R173" s="829">
        <f t="shared" si="378"/>
        <v>10.070152019002377</v>
      </c>
      <c r="S173" s="898">
        <f t="shared" si="340"/>
        <v>10.14</v>
      </c>
      <c r="T173" s="898">
        <f t="shared" si="341"/>
        <v>54.5</v>
      </c>
      <c r="U173" s="898">
        <f t="shared" si="342"/>
        <v>0</v>
      </c>
      <c r="V173" s="898"/>
      <c r="W173" s="898">
        <f t="shared" si="343"/>
        <v>54.569847980997622</v>
      </c>
      <c r="X173" s="898">
        <f t="shared" si="344"/>
        <v>64.64</v>
      </c>
      <c r="Y173" s="898" t="str">
        <f t="shared" si="345"/>
        <v>FALSE</v>
      </c>
      <c r="Z173" s="898">
        <f t="shared" si="346"/>
        <v>72.09</v>
      </c>
      <c r="AA173" s="898">
        <f t="shared" si="347"/>
        <v>72.09</v>
      </c>
      <c r="AB173" s="898" t="str">
        <f t="shared" si="348"/>
        <v/>
      </c>
      <c r="AC173" s="563">
        <f>Sheet1!Y175*MGDtoCFS</f>
        <v>38.876109999999997</v>
      </c>
      <c r="AD173" s="563">
        <f>Sheet1!Z175*MGDtoCFS</f>
        <v>74.565399999999997</v>
      </c>
      <c r="AE173" s="563">
        <f>Sheet1!AA175*MGDtoCFS</f>
        <v>46.843159999999997</v>
      </c>
      <c r="AF173" s="563">
        <f>Sheet1!AB175*MGDtoCFS</f>
        <v>64.680070000000001</v>
      </c>
      <c r="AG173" s="563">
        <f>Sheet1!L175*MGDtoCFS</f>
        <v>0</v>
      </c>
      <c r="AH173" s="545">
        <f t="shared" si="379"/>
        <v>0</v>
      </c>
      <c r="AI173" s="560">
        <f t="shared" si="380"/>
        <v>0</v>
      </c>
      <c r="AJ173" s="560">
        <f t="shared" si="381"/>
        <v>54.569847980997622</v>
      </c>
      <c r="AK173" s="560">
        <f t="shared" si="382"/>
        <v>84.419554826603317</v>
      </c>
      <c r="AL173" s="560">
        <f>(VLOOKUP(Sheet1!DC175,hhdcap_wcm,4)-(((VLOOKUP(Sheet1!DC175,hhdcap_wcm,3)-Sheet1!DC175)/(VLOOKUP(Sheet1!DC175,hhdcap_wcm,3)-VLOOKUP(Sheet1!DC175,hhdcap_wcm,1)))*(VLOOKUP(Sheet1!DC175,hhdcap_wcm,4)-VLOOKUP(Sheet1!DC175,hhdcap_wcm,2))))</f>
        <v>49257.000000119238</v>
      </c>
      <c r="AM173" s="560">
        <f t="shared" si="383"/>
        <v>-125.39999999999418</v>
      </c>
      <c r="AN173" s="560">
        <f>(IF(AND(B173&gt;=GC173,B173&lt;GF173),MIN(BB173+BU173+CP173+DI173,GE173),IF(B173=GF173,GG173,IF(AND(B173&gt;GF173,B173&lt;GH173),BB173+BU173+CP173+DI173,IF(B173&gt;=GH173,0,0)))))</f>
        <v>6238.9471660520776</v>
      </c>
      <c r="AO173" s="560">
        <f t="shared" si="385"/>
        <v>19141.089905447774</v>
      </c>
      <c r="AP173" s="560">
        <f>Sheet1!BA175+Sheet1!BB175+Sheet1!BN175+CD173</f>
        <v>31.959999999999997</v>
      </c>
      <c r="AQ173" s="560">
        <f>Sheet1!BN175+(DO173*Sheet1!BN175)</f>
        <v>30.190593824228031</v>
      </c>
      <c r="AR173" s="560">
        <f>Sheet1!BA175+CD173</f>
        <v>0</v>
      </c>
      <c r="AS173" s="560">
        <f>Sheet1!BA175+Sheet1!BB175+CD173</f>
        <v>1.56</v>
      </c>
      <c r="AT173" s="698">
        <f>0</f>
        <v>0</v>
      </c>
      <c r="AU173" s="560">
        <f>IF(EB173&lt;K173,0,MAX(Sheet1!AA175+AQ173-15/36*K173-N173,Sheet1!EH175,0))</f>
        <v>0</v>
      </c>
      <c r="AV173" s="560">
        <f>IF(OR(B173&gt;=GD173,B173&lt;GC173),0,15/36*K173-MAX(0,64.6-(137.6-(Sheet1!AA175+Sheet1!AB175))))</f>
        <v>26.933333333333334</v>
      </c>
      <c r="AW173" s="698">
        <f>Sheet1!DB175-110</f>
        <v>411</v>
      </c>
      <c r="AX173" s="698">
        <f>Sheet1!DA175-265</f>
        <v>409</v>
      </c>
      <c r="AY173" s="698">
        <f t="shared" si="386"/>
        <v>11.049999999999997</v>
      </c>
      <c r="AZ173" s="698">
        <v>0</v>
      </c>
      <c r="BA173" s="698">
        <f t="shared" si="387"/>
        <v>0</v>
      </c>
      <c r="BB173" s="560">
        <f t="shared" si="388"/>
        <v>2716.2083333333335</v>
      </c>
      <c r="BC173" s="560"/>
      <c r="BD173" s="560">
        <f ca="1">IF(B173&gt;Summary!$A$1,#N/A,BB173*MGtoAF)</f>
        <v>8333.3271666666678</v>
      </c>
      <c r="BE173" s="560">
        <f>Sheet1!BG175+Sheet1!BH175+Sheet1!BI175-BM173</f>
        <v>0</v>
      </c>
      <c r="BF173" s="560">
        <f t="shared" si="389"/>
        <v>0</v>
      </c>
      <c r="BG173" s="560">
        <f>IF(Sheet1!EP175="FM",BM173,0)</f>
        <v>0</v>
      </c>
      <c r="BH173" s="560">
        <f t="shared" si="390"/>
        <v>0</v>
      </c>
      <c r="BI173" s="560">
        <f>IF(Sheet1!EP175="OTHER",BM173,0)</f>
        <v>0</v>
      </c>
      <c r="BJ173" s="560">
        <f t="shared" si="391"/>
        <v>0</v>
      </c>
      <c r="BK173" s="560">
        <f t="shared" si="392"/>
        <v>0</v>
      </c>
      <c r="BL173" s="560">
        <f t="shared" si="393"/>
        <v>0</v>
      </c>
      <c r="BM173" s="560">
        <f>IF(OR(Sheet1!EP175="FM", Sheet1!EP175="OTHER"),SUM(Sheet1!BG175:'Sheet1'!BI175),0)</f>
        <v>0</v>
      </c>
      <c r="BN173" s="545">
        <f>IF(AND($B173&gt;=$FV173,$B173&lt;=$FW173),MAX(BF173,Sheet1!EI175,0),MAX(BF173-(7/36)*$K173,0))</f>
        <v>0</v>
      </c>
      <c r="BO173" s="560">
        <f t="shared" si="394"/>
        <v>12.568888888888889</v>
      </c>
      <c r="BP173" s="545">
        <f t="shared" si="395"/>
        <v>0</v>
      </c>
      <c r="BQ173" s="545">
        <f>IF(AND($O173&gt;0,Sheet1!EM175=1),(1-($O173-Sheet1!$L175)/$O173)*BL173,0)</f>
        <v>0</v>
      </c>
      <c r="BR173" s="545">
        <f>IF(AND(Sheet1!$L175=0,Sheet1!$L174=0, Calculation!BK173&lt;Sheet1!$EI175-0.1,Sheet1!$EI175=Sheet1!$EI174,Sheet1!$EI175=Sheet1!$EI176),Sheet1!$EI175,BL173-BQ173)</f>
        <v>0</v>
      </c>
      <c r="BS173" s="560"/>
      <c r="BT173" s="560"/>
      <c r="BU173" s="560">
        <f t="shared" si="396"/>
        <v>1267.5638888888889</v>
      </c>
      <c r="BV173" s="560"/>
      <c r="BW173" s="560">
        <f ca="1">IF(B173&gt;Summary!$A$1,#N/A,BU173*MGtoAF)</f>
        <v>3888.8860111111112</v>
      </c>
      <c r="BX173" s="560">
        <f>Sheet1!BC175+Sheet1!BD175+Sheet1!BE175+Sheet1!BF175-CG173-CH173</f>
        <v>3.13</v>
      </c>
      <c r="BY173" s="560">
        <f t="shared" si="397"/>
        <v>3.1084394299287417</v>
      </c>
      <c r="BZ173" s="560">
        <f>IF(Sheet1!EQ175="FM",CH173,0)</f>
        <v>0</v>
      </c>
      <c r="CA173" s="560">
        <f t="shared" si="398"/>
        <v>0</v>
      </c>
      <c r="CB173" s="560">
        <f>IF(Sheet1!EQ175="OTHER",CH173,0)</f>
        <v>0</v>
      </c>
      <c r="CC173" s="560">
        <f t="shared" si="399"/>
        <v>0</v>
      </c>
      <c r="CD173" s="560">
        <f t="shared" si="400"/>
        <v>0</v>
      </c>
      <c r="CE173" s="560">
        <f t="shared" si="401"/>
        <v>3.13</v>
      </c>
      <c r="CF173" s="560">
        <f t="shared" si="402"/>
        <v>3.1084394299287417</v>
      </c>
      <c r="CG173" s="560">
        <f>IF(Sheet1!EQ175="CWA",SUM(Sheet1!BC175:'Sheet1'!BF175),0)</f>
        <v>0</v>
      </c>
      <c r="CH173" s="560">
        <f>IF(OR(Sheet1!EQ175="FM", Sheet1!EQ175="OTHER"),SUM(Sheet1!BC175:'Sheet1'!BF175),0)</f>
        <v>0</v>
      </c>
      <c r="CI173" s="545">
        <f>IF(AND($B173&gt;=$FV173,$B173&lt;=$FW173),MAX(CF173,Sheet1!EJ175,0),MAX(CF173-(7/36)*$K173,0))</f>
        <v>0</v>
      </c>
      <c r="CJ173" s="560">
        <f t="shared" si="403"/>
        <v>9.4604494589601469</v>
      </c>
      <c r="CK173" s="545">
        <f t="shared" si="404"/>
        <v>3.1084394299287417</v>
      </c>
      <c r="CL173" s="545">
        <f>IF(AND($O173&gt;0,Sheet1!EN175=1),(1-($O173-Sheet1!$L175)/$O173)*CF173,0)</f>
        <v>0</v>
      </c>
      <c r="CM173" s="545">
        <f>IF(AND(Sheet1!$L175=0,Sheet1!$L174=0, Calculation!CE173&lt;Sheet1!EJ175-0.1,Sheet1!EJ175=Sheet1!EJ174,Sheet1!EJ175=Sheet1!EJ176),Sheet1!EJ175,CF173-CL173)</f>
        <v>3.1084394299287417</v>
      </c>
      <c r="CN173" s="545"/>
      <c r="CO173" s="560"/>
      <c r="CP173" s="560">
        <f t="shared" si="405"/>
        <v>1267.5638888888889</v>
      </c>
      <c r="CQ173" s="560"/>
      <c r="CR173" s="560">
        <f ca="1">IF(B173&gt;Summary!$A$1,#N/A,CP173*MGtoAF)</f>
        <v>3888.8860111111112</v>
      </c>
      <c r="CS173" s="560">
        <f>Sheet1!BK175+Sheet1!BL175+Sheet1!BM175-Sheet1!ER175-DA173</f>
        <v>7.01</v>
      </c>
      <c r="CT173" s="560">
        <f t="shared" si="406"/>
        <v>6.9617125890736355</v>
      </c>
      <c r="CU173" s="560">
        <f>IF(Sheet1!ER175="FM",DA173,0)</f>
        <v>0</v>
      </c>
      <c r="CV173" s="560">
        <f t="shared" si="407"/>
        <v>0</v>
      </c>
      <c r="CW173" s="560">
        <f>IF(Sheet1!ER175="OTHER",DA173,0)</f>
        <v>0</v>
      </c>
      <c r="CX173" s="560">
        <f t="shared" si="408"/>
        <v>0</v>
      </c>
      <c r="CY173" s="560">
        <f t="shared" si="409"/>
        <v>7.01</v>
      </c>
      <c r="CZ173" s="560">
        <f t="shared" si="410"/>
        <v>6.9617125890736355</v>
      </c>
      <c r="DA173" s="560">
        <f>IF(OR(Sheet1!ER175="FM", Sheet1!ER175="OTHER"),SUM(Sheet1!BK175:'Sheet1'!BM175),0)</f>
        <v>0</v>
      </c>
      <c r="DB173" s="545">
        <f>IF(AND($B173&gt;=$FV173,$B173&lt;=$FW173),MAX($CT173,Sheet1!EK175,0),MAX($CT173-(7/36)*$K173,0))</f>
        <v>0</v>
      </c>
      <c r="DC173" s="560">
        <f t="shared" si="411"/>
        <v>5.6071762998152535</v>
      </c>
      <c r="DD173" s="545">
        <f t="shared" si="412"/>
        <v>6.9617125890736355</v>
      </c>
      <c r="DE173" s="545">
        <f>IF(AND($O173&gt;0,Sheet1!EO175=1),(1-($O173-Sheet1!$L175)/$O173)*CZ173,0)</f>
        <v>0</v>
      </c>
      <c r="DF173" s="545">
        <f>IF(AND(Sheet1!$L175=0,Sheet1!$L174=0, Calculation!CY173&lt;Sheet1!$EK175-0.1,Sheet1!$EK175=Sheet1!$EK174,Sheet1!$EK175=Sheet1!$EK176),Sheet1!$EK175,CZ173-DE173)</f>
        <v>6.9617125890736355</v>
      </c>
      <c r="DG173" s="545"/>
      <c r="DH173" s="560">
        <f t="shared" si="413"/>
        <v>10.14</v>
      </c>
      <c r="DI173" s="560">
        <f t="shared" si="414"/>
        <v>987.61105494096637</v>
      </c>
      <c r="DJ173" s="698">
        <f t="shared" si="415"/>
        <v>10.070152019002377</v>
      </c>
      <c r="DK173" s="560">
        <f ca="1">IF(B173&gt;Summary!$A$1,#N/A,DI173*MGtoAF)</f>
        <v>3029.9907165588847</v>
      </c>
      <c r="DL173" s="698">
        <f t="shared" si="416"/>
        <v>10.14</v>
      </c>
      <c r="DM173" s="560">
        <f t="shared" si="417"/>
        <v>42.099999999999994</v>
      </c>
      <c r="DN173" s="560">
        <f>Sheet1!AB175-DM173</f>
        <v>-0.28999999999999204</v>
      </c>
      <c r="DO173" s="823">
        <f t="shared" si="418"/>
        <v>-6.8883610451304532E-3</v>
      </c>
      <c r="DP173" s="560">
        <f>(VLOOKUP(Sheet1!DC175,hhdcap_wcm,4)-(((VLOOKUP(Sheet1!DC175,hhdcap_wcm,3)-Sheet1!DC175)/(VLOOKUP(Sheet1!DC175,hhdcap_wcm,3)-VLOOKUP(Sheet1!DC175,hhdcap_wcm,1)))*(VLOOKUP(Sheet1!DC175,hhdcap_wcm,4)-VLOOKUP(Sheet1!DC175,hhdcap_wcm,2))))</f>
        <v>49257.000000119238</v>
      </c>
      <c r="DQ173" s="560">
        <f t="shared" si="419"/>
        <v>-125.39999999999418</v>
      </c>
      <c r="DR173" s="560">
        <f t="shared" si="420"/>
        <v>-63.237518910738359</v>
      </c>
      <c r="DS173" s="560">
        <f>Sheet1!EA175*AFtoMG</f>
        <v>0</v>
      </c>
      <c r="DT173" s="560">
        <f>Sheet1!EB175*AFtoMG</f>
        <v>0</v>
      </c>
      <c r="DU173" s="560">
        <f>Sheet1!EC175*AFtoMG</f>
        <v>0</v>
      </c>
      <c r="DV173" s="560">
        <f>Sheet1!ED175*AFtoMG</f>
        <v>0</v>
      </c>
      <c r="DW173" s="560">
        <f t="shared" si="421"/>
        <v>0</v>
      </c>
      <c r="DX173" s="560">
        <f t="shared" si="422"/>
        <v>0</v>
      </c>
      <c r="DY173" s="560">
        <f t="shared" si="423"/>
        <v>6238.9471660520776</v>
      </c>
      <c r="DZ173" s="560">
        <f t="shared" si="424"/>
        <v>19141.089905447774</v>
      </c>
      <c r="EA173" s="560"/>
      <c r="EB173" s="545">
        <f>IF(OR(B173&lt;FV173,B173&gt;FW173),(MIN(BF173+BY173+CT173+MAX(Sheet1!AA175+AQ173-73,0),K173)),0)</f>
        <v>10.070152019002377</v>
      </c>
      <c r="EC173" s="560"/>
      <c r="ED173" s="560">
        <f t="shared" si="425"/>
        <v>10.070152019002377</v>
      </c>
      <c r="EE173" s="560"/>
      <c r="EF173" s="560">
        <f>Sheet1!EH175+Sheet1!EI175+Sheet1!EJ175+Sheet1!EK175</f>
        <v>10.14</v>
      </c>
      <c r="EG173" s="560"/>
      <c r="EH173" s="545">
        <f t="shared" si="426"/>
        <v>0</v>
      </c>
      <c r="EI173" s="560">
        <f>IF(Sheet1!ET175=1,SUM('Calculations II'!AT173:BA173)+'Calculations II'!BC173+Sheet1!BV175+'Calculations II'!BE173+AP173,SUM('Calculations II'!AT173:BA173)+'Calculations II'!BC173+Sheet1!BV175+'Calculations II'!BE173+AP173)</f>
        <v>72.400255999999999</v>
      </c>
      <c r="EJ173" s="560">
        <f>Sheet1!AA175+Sheet1!AB175+'Calculations II'!BC173</f>
        <v>72.09</v>
      </c>
      <c r="EK173" s="560"/>
      <c r="EL173" s="560"/>
      <c r="EM173" s="560">
        <f t="shared" si="427"/>
        <v>41801</v>
      </c>
      <c r="EN173" s="560">
        <f t="shared" si="428"/>
        <v>54.569847980997622</v>
      </c>
      <c r="EO173" s="560">
        <f t="shared" si="429"/>
        <v>84.419554826603317</v>
      </c>
      <c r="EP173" s="560">
        <v>0</v>
      </c>
      <c r="EQ173" s="560">
        <v>0</v>
      </c>
      <c r="ER173" s="560">
        <v>0</v>
      </c>
      <c r="ES173" s="545">
        <f t="shared" si="349"/>
        <v>3.7430246568228567</v>
      </c>
      <c r="ET173" s="560">
        <f>-(VLOOKUP(Sheet1!BQ175,Lookup!$O$4:$Q$262,2)-VLOOKUP(Sheet1!BQ174,Lookup!$O$4:$Q$262,2))/1000000</f>
        <v>1.80221866542257</v>
      </c>
      <c r="EU173" s="560">
        <f>-(VLOOKUP(Sheet1!BR175,Lookup!$O$4:$Q$262,3)-VLOOKUP(Sheet1!BR174,Lookup!$O$4:$Q$262,3))/1000000</f>
        <v>1.9408059914002866</v>
      </c>
      <c r="EV173" s="560"/>
      <c r="EW173" s="560"/>
      <c r="EX173" s="560"/>
      <c r="EY173" s="560"/>
      <c r="EZ173" s="560"/>
      <c r="FA173" s="560"/>
      <c r="FB173" s="560"/>
      <c r="FC173" s="560"/>
      <c r="FD173" s="594" t="e">
        <f t="shared" si="430"/>
        <v>#N/A</v>
      </c>
      <c r="FE173" s="594" t="e">
        <f t="shared" si="431"/>
        <v>#N/A</v>
      </c>
      <c r="FF173" s="595" t="e">
        <f t="shared" si="432"/>
        <v>#N/A</v>
      </c>
      <c r="FG173" s="596" t="s">
        <v>692</v>
      </c>
      <c r="FH173" s="596" t="s">
        <v>692</v>
      </c>
      <c r="FI173" s="594" t="e">
        <v>#N/A</v>
      </c>
      <c r="FJ173" s="594" t="e">
        <v>#N/A</v>
      </c>
      <c r="FK173" s="560">
        <v>24550</v>
      </c>
      <c r="FL173" s="560"/>
      <c r="FM173" s="560"/>
      <c r="FN173" s="560"/>
      <c r="FO173" s="560">
        <f>O173+((Sheet1!CS175)*GPMtoMGD)</f>
        <v>72.09</v>
      </c>
      <c r="FP173" s="560">
        <f>IF(Sheet1!AA175+AQ173&lt;=Calculation!N173,AQ173,Calculation!N173-Sheet1!AA175)</f>
        <v>30.190593824228031</v>
      </c>
      <c r="FQ173" s="560">
        <f>(Sheet1!BP175+Sheet1!BO175)/694.4</f>
        <v>3.1421370967741939</v>
      </c>
      <c r="FR173" s="560"/>
      <c r="FS173" s="560"/>
      <c r="FT173" s="560"/>
      <c r="FU173" s="560"/>
      <c r="FV173" s="695">
        <f t="shared" si="350"/>
        <v>41827</v>
      </c>
      <c r="FW173" s="695">
        <f t="shared" si="351"/>
        <v>41934</v>
      </c>
      <c r="FX173" s="560"/>
      <c r="FY173" s="560"/>
      <c r="FZ173" s="560"/>
      <c r="GA173" s="560"/>
      <c r="GB173" s="560" t="str">
        <f t="shared" si="352"/>
        <v>n</v>
      </c>
      <c r="GC173" s="564">
        <f t="shared" si="353"/>
        <v>41691</v>
      </c>
      <c r="GD173" s="695">
        <f t="shared" si="354"/>
        <v>41807</v>
      </c>
      <c r="GE173" s="560">
        <v>6518.9</v>
      </c>
      <c r="GF173" s="695">
        <f t="shared" si="355"/>
        <v>41808</v>
      </c>
      <c r="GG173" s="560">
        <f t="shared" si="374"/>
        <v>3259</v>
      </c>
      <c r="GH173" s="564">
        <f t="shared" si="356"/>
        <v>41934</v>
      </c>
      <c r="GJ173" s="545">
        <f t="shared" si="357"/>
        <v>48.962671681182371</v>
      </c>
      <c r="GK173" s="560" t="str">
        <f t="shared" si="433"/>
        <v>P</v>
      </c>
      <c r="GL173" s="560">
        <f t="shared" si="358"/>
        <v>26.933333333333334</v>
      </c>
      <c r="GM173" s="560" t="str">
        <f t="shared" si="359"/>
        <v/>
      </c>
      <c r="GN173" s="560">
        <f>IF(GK173="P",Lookup!$M$12,IF(GK173="PP",Lookup!$M$13,IF(GK173="PPP",Lookup!$M$14,IF(GK173="T",Lookup!$M$15,IF(GK173="TP",Lookup!$M$16,IF(GK173="TPP",Lookup!$M$17,IF(GK173="TPPP",Lookup!$M$18,0)))))))*GJ173</f>
        <v>0</v>
      </c>
      <c r="GO173" s="560">
        <f t="shared" si="360"/>
        <v>0</v>
      </c>
      <c r="GP173" s="560">
        <f t="shared" si="434"/>
        <v>8333.3271666666678</v>
      </c>
      <c r="GQ173" s="560">
        <f>(IF(AND(GB172="Y",B173=GD173),2716.2,(IF(AND(B173&lt;GF173,B173&gt;=GC173),MIN(BB172+AV173-AU173,15/36*GE173),IF(B173=GF173,15/36*GG173,IF(AND(B173&gt;GF173,B173&lt;GH173),MIN(BB172+AV173-AU173,15/36*GG173),IF(B173&gt;=GH173,0,0)))))))+DS173</f>
        <v>2716.2083333333335</v>
      </c>
      <c r="GR173" s="560"/>
      <c r="GS173" s="560">
        <f t="shared" si="361"/>
        <v>12.568888888888889</v>
      </c>
      <c r="GT173" s="560" t="str">
        <f t="shared" si="362"/>
        <v/>
      </c>
      <c r="GU173" s="560">
        <f>IF(GK173="P",Lookup!$N$12,IF(GK173="PP",Lookup!$N$13,IF(GK173="PPP",Lookup!$N$14,IF(GK173="T",Lookup!$N$15,IF(GK173="TP",Lookup!$N$16,IF(GK173="TPP",Lookup!$N$17,IF(GK173="TPPP",Lookup!$N$18,0)))))))*GJ173</f>
        <v>48.962671681182371</v>
      </c>
      <c r="GV173" s="560">
        <f t="shared" si="363"/>
        <v>0</v>
      </c>
      <c r="GW173" s="560">
        <f t="shared" si="435"/>
        <v>3888.8860111111112</v>
      </c>
      <c r="GX173" s="560">
        <f t="shared" si="369"/>
        <v>1267.5638888888889</v>
      </c>
      <c r="GY173" s="560"/>
      <c r="GZ173" s="560">
        <f t="shared" si="364"/>
        <v>9.4604494589601469</v>
      </c>
      <c r="HA173" s="560" t="str">
        <f t="shared" si="365"/>
        <v/>
      </c>
      <c r="HB173" s="560">
        <f>IF(GK173="P",Lookup!$N$12,IF(GK173="PP",Lookup!$N$13,IF(GK173="PPP",Lookup!$N$14,IF(GK173="T",Lookup!$N$15,IF(GK173="TP",Lookup!$N$16,IF(GK173="TPP",Lookup!$N$17,IF(GK173="TPPP",Lookup!$N$18,0)))))))*GJ173</f>
        <v>48.962671681182371</v>
      </c>
      <c r="HC173" s="545">
        <f t="shared" si="436"/>
        <v>0</v>
      </c>
      <c r="HD173" s="560">
        <f t="shared" si="437"/>
        <v>3888.8860111111112</v>
      </c>
      <c r="HE173" s="560">
        <f t="shared" si="370"/>
        <v>1267.5638888888889</v>
      </c>
      <c r="HF173" s="560"/>
      <c r="HG173" s="560">
        <f t="shared" si="366"/>
        <v>0</v>
      </c>
      <c r="HH173" s="560" t="str">
        <f t="shared" si="367"/>
        <v>P</v>
      </c>
      <c r="HI173" s="560">
        <f>IF(GK173="P",Lookup!$N$12,IF(GK173="PP",Lookup!$N$13,IF(GK173="PPP",Lookup!$N$14,IF(GK173="T",Lookup!$N$15,IF(GK173="TP",Lookup!$N$16,IF(GK173="TPP",Lookup!$N$17,IF(GK173="TPPP",Lookup!$N$18,0)))))))*GJ173</f>
        <v>48.962671681182371</v>
      </c>
      <c r="HJ173" s="545">
        <f t="shared" si="438"/>
        <v>48.962671681182371</v>
      </c>
      <c r="HK173" s="560">
        <f t="shared" si="439"/>
        <v>2879.7732398410176</v>
      </c>
      <c r="HL173" s="560">
        <f t="shared" si="371"/>
        <v>938.64838325978405</v>
      </c>
      <c r="HM173" s="560"/>
    </row>
    <row r="174" spans="1:221">
      <c r="A174" s="580" t="s">
        <v>7</v>
      </c>
      <c r="B174" s="556">
        <v>41802</v>
      </c>
      <c r="C174" s="561">
        <v>0</v>
      </c>
      <c r="D174" s="529">
        <f t="shared" si="372"/>
        <v>300</v>
      </c>
      <c r="E174" s="529">
        <f t="shared" si="373"/>
        <v>250</v>
      </c>
      <c r="F174" s="529">
        <v>250</v>
      </c>
      <c r="G174" s="560">
        <f>DR174+Sheet1!CZ176</f>
        <v>494.71406959099744</v>
      </c>
      <c r="H174" s="1082">
        <f t="shared" ref="H174:H180" si="441">MAX((G174-D174)*CFStoMGD,0)</f>
        <v>125.86317458362075</v>
      </c>
      <c r="I174" s="1102">
        <f>Sheet1!DA176-E174</f>
        <v>407</v>
      </c>
      <c r="J174" s="1103">
        <f>Sheet1!DB176-Calculation!D174</f>
        <v>164</v>
      </c>
      <c r="K174" s="904">
        <f t="shared" si="375"/>
        <v>64.64</v>
      </c>
      <c r="L174" s="560">
        <f>Sheet1!AA176+Sheet1!AB176-Sheet1!L176+(Sheet1!DA176-F174)*CFStoMGD</f>
        <v>335.40479999999997</v>
      </c>
      <c r="M174" s="560">
        <f t="shared" si="376"/>
        <v>326.17883807529319</v>
      </c>
      <c r="N174" s="910">
        <f>IF(Sheet1!DA176&gt;=F174,MIN(73,MIN(MAX(L174,0),MAX(M174,0))),0)</f>
        <v>73</v>
      </c>
      <c r="O174" s="563">
        <f>Sheet1!AA176+Sheet1!AB176</f>
        <v>72.319999999999993</v>
      </c>
      <c r="P174" s="563">
        <f t="shared" si="377"/>
        <v>111.87904</v>
      </c>
      <c r="Q174" s="898">
        <f t="shared" si="339"/>
        <v>62.169999999999995</v>
      </c>
      <c r="R174" s="829">
        <f t="shared" si="378"/>
        <v>10.10776699029126</v>
      </c>
      <c r="S174" s="898">
        <f t="shared" si="340"/>
        <v>10.15</v>
      </c>
      <c r="T174" s="898">
        <f t="shared" si="341"/>
        <v>54.49</v>
      </c>
      <c r="U174" s="898">
        <f t="shared" si="342"/>
        <v>0</v>
      </c>
      <c r="V174" s="898"/>
      <c r="W174" s="898">
        <f t="shared" si="343"/>
        <v>54.53223300970874</v>
      </c>
      <c r="X174" s="898">
        <f t="shared" si="344"/>
        <v>64.64</v>
      </c>
      <c r="Y174" s="898" t="str">
        <f t="shared" si="345"/>
        <v>FALSE</v>
      </c>
      <c r="Z174" s="898">
        <f t="shared" si="346"/>
        <v>72.319999999999993</v>
      </c>
      <c r="AA174" s="898">
        <f t="shared" si="347"/>
        <v>72.319999999999993</v>
      </c>
      <c r="AB174" s="898" t="str">
        <f t="shared" si="348"/>
        <v/>
      </c>
      <c r="AC174" s="563">
        <f>Sheet1!Y176*MGDtoCFS</f>
        <v>46.843159999999997</v>
      </c>
      <c r="AD174" s="563">
        <f>Sheet1!Z176*MGDtoCFS</f>
        <v>64.680070000000001</v>
      </c>
      <c r="AE174" s="563">
        <f>Sheet1!AA176*MGDtoCFS</f>
        <v>56.341740000000001</v>
      </c>
      <c r="AF174" s="563">
        <f>Sheet1!AB176*MGDtoCFS</f>
        <v>55.537299999999995</v>
      </c>
      <c r="AG174" s="563">
        <f>Sheet1!L176*MGDtoCFS</f>
        <v>0</v>
      </c>
      <c r="AH174" s="545">
        <f t="shared" si="379"/>
        <v>0</v>
      </c>
      <c r="AI174" s="560">
        <f t="shared" si="380"/>
        <v>0</v>
      </c>
      <c r="AJ174" s="560">
        <f t="shared" si="381"/>
        <v>54.53223300970874</v>
      </c>
      <c r="AK174" s="560">
        <f t="shared" si="382"/>
        <v>84.361364466019424</v>
      </c>
      <c r="AL174" s="560">
        <f>(VLOOKUP(Sheet1!DC176,hhdcap_wcm,4)-(((VLOOKUP(Sheet1!DC176,hhdcap_wcm,3)-Sheet1!DC176)/(VLOOKUP(Sheet1!DC176,hhdcap_wcm,3)-VLOOKUP(Sheet1!DC176,hhdcap_wcm,1)))*(VLOOKUP(Sheet1!DC176,hhdcap_wcm,4)-VLOOKUP(Sheet1!DC176,hhdcap_wcm,2))))</f>
        <v>49155.300000118186</v>
      </c>
      <c r="AM174" s="560">
        <f t="shared" si="383"/>
        <v>-101.7000000010521</v>
      </c>
      <c r="AN174" s="560">
        <f>(IF(AND(B174&gt;=GC174,B174&lt;GF174),MIN(BB174+BU174+CP174+DI174,GE174),IF(B174=GF174,GG174,IF(AND(B174&gt;GF174,B174&lt;GH174),BB174+BU174+CP174+DI174,IF(B174&gt;=GH174,0,0)))))</f>
        <v>6293.4793990617873</v>
      </c>
      <c r="AO174" s="560">
        <f t="shared" si="385"/>
        <v>19308.394796321565</v>
      </c>
      <c r="AP174" s="560">
        <f>Sheet1!BA176+Sheet1!BB176+Sheet1!BN176+CD174</f>
        <v>25.900000000000002</v>
      </c>
      <c r="AQ174" s="560">
        <f>Sheet1!BN176+(DO174*Sheet1!BN176)</f>
        <v>24.198890429958389</v>
      </c>
      <c r="AR174" s="560">
        <f>Sheet1!BA176+CD174</f>
        <v>0</v>
      </c>
      <c r="AS174" s="560">
        <f>Sheet1!BA176+Sheet1!BB176+CD174</f>
        <v>1.6</v>
      </c>
      <c r="AT174" s="698">
        <f>0</f>
        <v>0</v>
      </c>
      <c r="AU174" s="560">
        <f>IF(EB174&lt;K174,0,MAX(Sheet1!AA176+AQ174-15/36*K174-N174,Sheet1!EH176,0))</f>
        <v>0</v>
      </c>
      <c r="AV174" s="560">
        <f>IF(OR(B174&gt;=GD174,B174&lt;GC174),0,15/36*K174-MAX(0,64.6-(137.6-(Sheet1!AA176+Sheet1!AB176))))</f>
        <v>26.933333333333334</v>
      </c>
      <c r="AW174" s="698">
        <f>Sheet1!DB176-110</f>
        <v>354</v>
      </c>
      <c r="AX174" s="698">
        <f>Sheet1!DA176-265</f>
        <v>392</v>
      </c>
      <c r="AY174" s="698">
        <f t="shared" si="386"/>
        <v>10.830000000000005</v>
      </c>
      <c r="AZ174" s="698">
        <v>0</v>
      </c>
      <c r="BA174" s="698">
        <f t="shared" si="387"/>
        <v>0</v>
      </c>
      <c r="BB174" s="560">
        <f t="shared" si="388"/>
        <v>2716.2083333333335</v>
      </c>
      <c r="BC174" s="560"/>
      <c r="BD174" s="560">
        <f ca="1">IF(B174&gt;Summary!$A$1,#N/A,BB174*MGtoAF)</f>
        <v>8333.3271666666678</v>
      </c>
      <c r="BE174" s="560">
        <f>Sheet1!BG176+Sheet1!BH176+Sheet1!BI176-BM174</f>
        <v>0</v>
      </c>
      <c r="BF174" s="560">
        <f t="shared" si="389"/>
        <v>0</v>
      </c>
      <c r="BG174" s="560">
        <f>IF(Sheet1!EP176="FM",BM174,0)</f>
        <v>0</v>
      </c>
      <c r="BH174" s="560">
        <f t="shared" si="390"/>
        <v>0</v>
      </c>
      <c r="BI174" s="560">
        <f>IF(Sheet1!EP176="OTHER",BM174,0)</f>
        <v>0</v>
      </c>
      <c r="BJ174" s="560">
        <f t="shared" si="391"/>
        <v>0</v>
      </c>
      <c r="BK174" s="560">
        <f t="shared" si="392"/>
        <v>0</v>
      </c>
      <c r="BL174" s="560">
        <f t="shared" si="393"/>
        <v>0</v>
      </c>
      <c r="BM174" s="560">
        <f>IF(OR(Sheet1!EP176="FM", Sheet1!EP176="OTHER"),SUM(Sheet1!BG176:'Sheet1'!BI176),0)</f>
        <v>0</v>
      </c>
      <c r="BN174" s="545">
        <f>IF(AND($B174&gt;=$FV174,$B174&lt;=$FW174),MAX(BF174,Sheet1!EI176,0),MAX(BF174-(7/36)*$K174,0))</f>
        <v>0</v>
      </c>
      <c r="BO174" s="560">
        <f t="shared" si="394"/>
        <v>12.568888888888889</v>
      </c>
      <c r="BP174" s="545">
        <f t="shared" si="395"/>
        <v>0</v>
      </c>
      <c r="BQ174" s="545">
        <f>IF(AND($O174&gt;0,Sheet1!EM176=1),(1-($O174-Sheet1!$L176)/$O174)*BL174,0)</f>
        <v>0</v>
      </c>
      <c r="BR174" s="545">
        <f>IF(AND(Sheet1!$L176=0,Sheet1!$L175=0, Calculation!BK174&lt;Sheet1!$EI176-0.1,Sheet1!$EI176=Sheet1!$EI175,Sheet1!$EI176=Sheet1!$EI177),Sheet1!$EI176,BL174-BQ174)</f>
        <v>0</v>
      </c>
      <c r="BS174" s="560"/>
      <c r="BT174" s="560"/>
      <c r="BU174" s="560">
        <f t="shared" si="396"/>
        <v>1267.5638888888889</v>
      </c>
      <c r="BV174" s="560"/>
      <c r="BW174" s="560">
        <f ca="1">IF(B174&gt;Summary!$A$1,#N/A,BU174*MGtoAF)</f>
        <v>3888.8860111111112</v>
      </c>
      <c r="BX174" s="560">
        <f>Sheet1!BC176+Sheet1!BD176+Sheet1!BE176+Sheet1!BF176-CG174-CH174</f>
        <v>2.99</v>
      </c>
      <c r="BY174" s="560">
        <f t="shared" si="397"/>
        <v>2.9775589459084602</v>
      </c>
      <c r="BZ174" s="560">
        <f>IF(Sheet1!EQ176="FM",CH174,0)</f>
        <v>0</v>
      </c>
      <c r="CA174" s="560">
        <f t="shared" si="398"/>
        <v>0</v>
      </c>
      <c r="CB174" s="560">
        <f>IF(Sheet1!EQ176="OTHER",CH174,0)</f>
        <v>0</v>
      </c>
      <c r="CC174" s="560">
        <f t="shared" si="399"/>
        <v>0</v>
      </c>
      <c r="CD174" s="560">
        <f t="shared" si="400"/>
        <v>0</v>
      </c>
      <c r="CE174" s="560">
        <f t="shared" si="401"/>
        <v>2.99</v>
      </c>
      <c r="CF174" s="560">
        <f t="shared" si="402"/>
        <v>2.9775589459084602</v>
      </c>
      <c r="CG174" s="560">
        <f>IF(Sheet1!EQ176="CWA",SUM(Sheet1!BC176:'Sheet1'!BF176),0)</f>
        <v>0</v>
      </c>
      <c r="CH174" s="560">
        <f>IF(OR(Sheet1!EQ176="FM", Sheet1!EQ176="OTHER"),SUM(Sheet1!BC176:'Sheet1'!BF176),0)</f>
        <v>0</v>
      </c>
      <c r="CI174" s="545">
        <f>IF(AND($B174&gt;=$FV174,$B174&lt;=$FW174),MAX(CF174,Sheet1!EJ176,0),MAX(CF174-(7/36)*$K174,0))</f>
        <v>0</v>
      </c>
      <c r="CJ174" s="560">
        <f t="shared" si="403"/>
        <v>9.5913299429804297</v>
      </c>
      <c r="CK174" s="545">
        <f t="shared" si="404"/>
        <v>2.9775589459084602</v>
      </c>
      <c r="CL174" s="545">
        <f>IF(AND($O174&gt;0,Sheet1!EN176=1),(1-($O174-Sheet1!$L176)/$O174)*CF174,0)</f>
        <v>0</v>
      </c>
      <c r="CM174" s="545">
        <f>IF(AND(Sheet1!$L176=0,Sheet1!$L175=0, Calculation!CE174&lt;Sheet1!EJ176-0.1,Sheet1!EJ176=Sheet1!EJ175,Sheet1!EJ176=Sheet1!EJ177),Sheet1!EJ176,CF174-CL174)</f>
        <v>2.9775589459084602</v>
      </c>
      <c r="CN174" s="545"/>
      <c r="CO174" s="560"/>
      <c r="CP174" s="560">
        <f t="shared" si="405"/>
        <v>1267.5638888888889</v>
      </c>
      <c r="CQ174" s="560"/>
      <c r="CR174" s="560">
        <f ca="1">IF(B174&gt;Summary!$A$1,#N/A,CP174*MGtoAF)</f>
        <v>3888.8860111111112</v>
      </c>
      <c r="CS174" s="560">
        <f>Sheet1!BK176+Sheet1!BL176+Sheet1!BM176-Sheet1!ER176-DA174</f>
        <v>7.16</v>
      </c>
      <c r="CT174" s="560">
        <f t="shared" si="406"/>
        <v>7.1302080443828011</v>
      </c>
      <c r="CU174" s="560">
        <f>IF(Sheet1!ER176="FM",DA174,0)</f>
        <v>0</v>
      </c>
      <c r="CV174" s="560">
        <f t="shared" si="407"/>
        <v>0</v>
      </c>
      <c r="CW174" s="560">
        <f>IF(Sheet1!ER176="OTHER",DA174,0)</f>
        <v>0</v>
      </c>
      <c r="CX174" s="560">
        <f t="shared" si="408"/>
        <v>0</v>
      </c>
      <c r="CY174" s="560">
        <f t="shared" si="409"/>
        <v>7.16</v>
      </c>
      <c r="CZ174" s="560">
        <f t="shared" si="410"/>
        <v>7.1302080443828011</v>
      </c>
      <c r="DA174" s="560">
        <f>IF(OR(Sheet1!ER176="FM", Sheet1!ER176="OTHER"),SUM(Sheet1!BK176:'Sheet1'!BM176),0)</f>
        <v>0</v>
      </c>
      <c r="DB174" s="545">
        <f>IF(AND($B174&gt;=$FV174,$B174&lt;=$FW174),MAX($CT174,Sheet1!EK176,0),MAX($CT174-(7/36)*$K174,0))</f>
        <v>0</v>
      </c>
      <c r="DC174" s="560">
        <f t="shared" si="411"/>
        <v>5.4386808445060879</v>
      </c>
      <c r="DD174" s="545">
        <f t="shared" si="412"/>
        <v>7.1302080443828011</v>
      </c>
      <c r="DE174" s="545">
        <f>IF(AND($O174&gt;0,Sheet1!EO176=1),(1-($O174-Sheet1!$L176)/$O174)*CZ174,0)</f>
        <v>0</v>
      </c>
      <c r="DF174" s="545">
        <f>IF(AND(Sheet1!$L176=0,Sheet1!$L175=0, Calculation!CY174&lt;Sheet1!$EK176-0.1,Sheet1!$EK176=Sheet1!$EK175,Sheet1!$EK176=Sheet1!$EK177),Sheet1!$EK176,CZ174-DE174)</f>
        <v>7.1302080443828011</v>
      </c>
      <c r="DG174" s="545"/>
      <c r="DH174" s="560">
        <f t="shared" si="413"/>
        <v>10.15</v>
      </c>
      <c r="DI174" s="560">
        <f t="shared" si="414"/>
        <v>1042.1432879506751</v>
      </c>
      <c r="DJ174" s="698">
        <f t="shared" si="415"/>
        <v>10.10776699029126</v>
      </c>
      <c r="DK174" s="560">
        <f ca="1">IF(B174&gt;Summary!$A$1,#N/A,DI174*MGtoAF)</f>
        <v>3197.2956074326712</v>
      </c>
      <c r="DL174" s="698">
        <f t="shared" si="416"/>
        <v>10.15</v>
      </c>
      <c r="DM174" s="560">
        <f t="shared" si="417"/>
        <v>36.050000000000004</v>
      </c>
      <c r="DN174" s="560">
        <f>Sheet1!AB176-DM174</f>
        <v>-0.15000000000000568</v>
      </c>
      <c r="DO174" s="823">
        <f t="shared" si="418"/>
        <v>-4.160887656033444E-3</v>
      </c>
      <c r="DP174" s="560">
        <f>(VLOOKUP(Sheet1!DC176,hhdcap_wcm,4)-(((VLOOKUP(Sheet1!DC176,hhdcap_wcm,3)-Sheet1!DC176)/(VLOOKUP(Sheet1!DC176,hhdcap_wcm,3)-VLOOKUP(Sheet1!DC176,hhdcap_wcm,1)))*(VLOOKUP(Sheet1!DC176,hhdcap_wcm,4)-VLOOKUP(Sheet1!DC176,hhdcap_wcm,2))))</f>
        <v>49155.300000118186</v>
      </c>
      <c r="DQ174" s="560">
        <f t="shared" si="419"/>
        <v>-101.7000000010521</v>
      </c>
      <c r="DR174" s="560">
        <f t="shared" si="420"/>
        <v>-51.285930409002567</v>
      </c>
      <c r="DS174" s="560">
        <f>Sheet1!EA176*AFtoMG</f>
        <v>0</v>
      </c>
      <c r="DT174" s="560">
        <f>Sheet1!EB176*AFtoMG</f>
        <v>0</v>
      </c>
      <c r="DU174" s="560">
        <f>Sheet1!EC176*AFtoMG</f>
        <v>0</v>
      </c>
      <c r="DV174" s="560">
        <f>Sheet1!ED176*AFtoMG</f>
        <v>0</v>
      </c>
      <c r="DW174" s="560">
        <f t="shared" si="421"/>
        <v>0</v>
      </c>
      <c r="DX174" s="560">
        <f t="shared" si="422"/>
        <v>0</v>
      </c>
      <c r="DY174" s="560">
        <f t="shared" si="423"/>
        <v>6293.4793990617873</v>
      </c>
      <c r="DZ174" s="560">
        <f t="shared" si="424"/>
        <v>19308.394796321565</v>
      </c>
      <c r="EA174" s="560"/>
      <c r="EB174" s="545">
        <f>IF(OR(B174&lt;FV174,B174&gt;FW174),(MIN(BF174+BY174+CT174+MAX(Sheet1!AA176+AQ174-73,0),K174)),0)</f>
        <v>10.10776699029126</v>
      </c>
      <c r="EC174" s="560"/>
      <c r="ED174" s="560">
        <f t="shared" si="425"/>
        <v>10.10776699029126</v>
      </c>
      <c r="EE174" s="560"/>
      <c r="EF174" s="560">
        <f>Sheet1!EH176+Sheet1!EI176+Sheet1!EJ176+Sheet1!EK176</f>
        <v>10.15</v>
      </c>
      <c r="EG174" s="560"/>
      <c r="EH174" s="545">
        <f t="shared" si="426"/>
        <v>0</v>
      </c>
      <c r="EI174" s="560">
        <f>IF(Sheet1!ET176=1,SUM('Calculations II'!AT174:BA174)+'Calculations II'!BC174+Sheet1!BV176+'Calculations II'!BE174+AP174,SUM('Calculations II'!AT174:BA174)+'Calculations II'!BC174+Sheet1!BV176+'Calculations II'!BE174+AP174)</f>
        <v>65.693072000000001</v>
      </c>
      <c r="EJ174" s="560">
        <f>Sheet1!AA176+Sheet1!AB176+'Calculations II'!BC174</f>
        <v>72.319999999999993</v>
      </c>
      <c r="EK174" s="560"/>
      <c r="EL174" s="560"/>
      <c r="EM174" s="560">
        <f t="shared" si="427"/>
        <v>41802</v>
      </c>
      <c r="EN174" s="560">
        <f t="shared" si="428"/>
        <v>54.53223300970874</v>
      </c>
      <c r="EO174" s="560">
        <f t="shared" si="429"/>
        <v>84.361364466019424</v>
      </c>
      <c r="EP174" s="560">
        <v>0</v>
      </c>
      <c r="EQ174" s="560">
        <v>0</v>
      </c>
      <c r="ER174" s="560">
        <v>0</v>
      </c>
      <c r="ES174" s="545">
        <f t="shared" si="349"/>
        <v>-3.604353980186306</v>
      </c>
      <c r="ET174" s="560">
        <f>-(VLOOKUP(Sheet1!BQ176,Lookup!$O$4:$Q$262,2)-VLOOKUP(Sheet1!BQ175,Lookup!$O$4:$Q$262,2))/1000000</f>
        <v>-1.80221866542257</v>
      </c>
      <c r="EU174" s="560">
        <f>-(VLOOKUP(Sheet1!BR176,Lookup!$O$4:$Q$262,3)-VLOOKUP(Sheet1!BR175,Lookup!$O$4:$Q$262,3))/1000000</f>
        <v>-1.802135314763736</v>
      </c>
      <c r="EV174" s="560"/>
      <c r="EW174" s="560"/>
      <c r="EX174" s="560"/>
      <c r="EY174" s="560"/>
      <c r="EZ174" s="560"/>
      <c r="FA174" s="560"/>
      <c r="FB174" s="560"/>
      <c r="FC174" s="560"/>
      <c r="FD174" s="594" t="e">
        <f t="shared" si="430"/>
        <v>#N/A</v>
      </c>
      <c r="FE174" s="594" t="e">
        <f t="shared" si="431"/>
        <v>#N/A</v>
      </c>
      <c r="FF174" s="595" t="e">
        <f t="shared" si="432"/>
        <v>#N/A</v>
      </c>
      <c r="FG174" s="596" t="s">
        <v>692</v>
      </c>
      <c r="FH174" s="596" t="s">
        <v>692</v>
      </c>
      <c r="FI174" s="594" t="e">
        <v>#N/A</v>
      </c>
      <c r="FJ174" s="594" t="e">
        <v>#N/A</v>
      </c>
      <c r="FK174" s="560">
        <v>24500</v>
      </c>
      <c r="FL174" s="560"/>
      <c r="FM174" s="560"/>
      <c r="FN174" s="560"/>
      <c r="FO174" s="560">
        <f>O174+((Sheet1!CS176)*GPMtoMGD)</f>
        <v>72.319999999999993</v>
      </c>
      <c r="FP174" s="560">
        <f>IF(Sheet1!AA176+AQ174&lt;=Calculation!N174,AQ174,Calculation!N174-Sheet1!AA176)</f>
        <v>24.198890429958389</v>
      </c>
      <c r="FQ174" s="560">
        <f>(Sheet1!BP176+Sheet1!BO176)/694.4</f>
        <v>2.4948156682027651</v>
      </c>
      <c r="FR174" s="560"/>
      <c r="FS174" s="560"/>
      <c r="FT174" s="560"/>
      <c r="FU174" s="560"/>
      <c r="FV174" s="695">
        <f t="shared" si="350"/>
        <v>41827</v>
      </c>
      <c r="FW174" s="695">
        <f t="shared" si="351"/>
        <v>41934</v>
      </c>
      <c r="FX174" s="560"/>
      <c r="FY174" s="560"/>
      <c r="FZ174" s="560"/>
      <c r="GA174" s="560"/>
      <c r="GB174" s="560" t="str">
        <f t="shared" si="352"/>
        <v>n</v>
      </c>
      <c r="GC174" s="564">
        <f t="shared" si="353"/>
        <v>41691</v>
      </c>
      <c r="GD174" s="695">
        <f t="shared" si="354"/>
        <v>41807</v>
      </c>
      <c r="GE174" s="560">
        <v>6518.9</v>
      </c>
      <c r="GF174" s="695">
        <f t="shared" si="355"/>
        <v>41808</v>
      </c>
      <c r="GG174" s="560">
        <f t="shared" si="374"/>
        <v>3259</v>
      </c>
      <c r="GH174" s="564">
        <f t="shared" si="356"/>
        <v>41934</v>
      </c>
      <c r="GJ174" s="545">
        <f t="shared" si="357"/>
        <v>49.093552165202652</v>
      </c>
      <c r="GK174" s="560" t="str">
        <f t="shared" si="433"/>
        <v>P</v>
      </c>
      <c r="GL174" s="560">
        <f t="shared" si="358"/>
        <v>26.933333333333334</v>
      </c>
      <c r="GM174" s="560" t="str">
        <f t="shared" si="359"/>
        <v/>
      </c>
      <c r="GN174" s="560">
        <f>IF(GK174="P",Lookup!$M$12,IF(GK174="PP",Lookup!$M$13,IF(GK174="PPP",Lookup!$M$14,IF(GK174="T",Lookup!$M$15,IF(GK174="TP",Lookup!$M$16,IF(GK174="TPP",Lookup!$M$17,IF(GK174="TPPP",Lookup!$M$18,0)))))))*GJ174</f>
        <v>0</v>
      </c>
      <c r="GO174" s="560">
        <f t="shared" si="360"/>
        <v>0</v>
      </c>
      <c r="GP174" s="560">
        <f t="shared" si="434"/>
        <v>8333.3271666666678</v>
      </c>
      <c r="GQ174" s="560">
        <f t="shared" si="368"/>
        <v>2716.2083333333335</v>
      </c>
      <c r="GR174" s="560"/>
      <c r="GS174" s="560">
        <f t="shared" si="361"/>
        <v>12.568888888888889</v>
      </c>
      <c r="GT174" s="560" t="str">
        <f t="shared" si="362"/>
        <v/>
      </c>
      <c r="GU174" s="560">
        <f>IF(GK174="P",Lookup!$N$12,IF(GK174="PP",Lookup!$N$13,IF(GK174="PPP",Lookup!$N$14,IF(GK174="T",Lookup!$N$15,IF(GK174="TP",Lookup!$N$16,IF(GK174="TPP",Lookup!$N$17,IF(GK174="TPPP",Lookup!$N$18,0)))))))*GJ174</f>
        <v>49.093552165202652</v>
      </c>
      <c r="GV174" s="560">
        <f t="shared" si="363"/>
        <v>0</v>
      </c>
      <c r="GW174" s="560">
        <f t="shared" si="435"/>
        <v>3888.8860111111112</v>
      </c>
      <c r="GX174" s="560">
        <f t="shared" si="369"/>
        <v>1267.5638888888889</v>
      </c>
      <c r="GY174" s="560"/>
      <c r="GZ174" s="560">
        <f t="shared" si="364"/>
        <v>9.5913299429804297</v>
      </c>
      <c r="HA174" s="560" t="str">
        <f t="shared" si="365"/>
        <v/>
      </c>
      <c r="HB174" s="560">
        <f>IF(GK174="P",Lookup!$N$12,IF(GK174="PP",Lookup!$N$13,IF(GK174="PPP",Lookup!$N$14,IF(GK174="T",Lookup!$N$15,IF(GK174="TP",Lookup!$N$16,IF(GK174="TPP",Lookup!$N$17,IF(GK174="TPPP",Lookup!$N$18,0)))))))*GJ174</f>
        <v>49.093552165202652</v>
      </c>
      <c r="HC174" s="545">
        <f t="shared" si="436"/>
        <v>0</v>
      </c>
      <c r="HD174" s="560">
        <f t="shared" si="437"/>
        <v>3888.8860111111112</v>
      </c>
      <c r="HE174" s="560">
        <f t="shared" si="370"/>
        <v>1267.5638888888889</v>
      </c>
      <c r="HF174" s="560"/>
      <c r="HG174" s="560">
        <f t="shared" si="366"/>
        <v>0</v>
      </c>
      <c r="HH174" s="560" t="str">
        <f t="shared" si="367"/>
        <v>P</v>
      </c>
      <c r="HI174" s="560">
        <f>IF(GK174="P",Lookup!$N$12,IF(GK174="PP",Lookup!$N$13,IF(GK174="PPP",Lookup!$N$14,IF(GK174="T",Lookup!$N$15,IF(GK174="TP",Lookup!$N$16,IF(GK174="TPP",Lookup!$N$17,IF(GK174="TPPP",Lookup!$N$18,0)))))))*GJ174</f>
        <v>49.093552165202652</v>
      </c>
      <c r="HJ174" s="545">
        <f t="shared" si="438"/>
        <v>49.093552165202652</v>
      </c>
      <c r="HK174" s="560">
        <f t="shared" si="439"/>
        <v>3046.6765893898296</v>
      </c>
      <c r="HL174" s="560">
        <f t="shared" si="371"/>
        <v>993.04973578547242</v>
      </c>
      <c r="HM174" s="560"/>
    </row>
    <row r="175" spans="1:221">
      <c r="A175" s="580" t="s">
        <v>8</v>
      </c>
      <c r="B175" s="556">
        <v>41803</v>
      </c>
      <c r="C175" s="561">
        <v>0</v>
      </c>
      <c r="D175" s="529">
        <f t="shared" si="372"/>
        <v>300</v>
      </c>
      <c r="E175" s="529">
        <f t="shared" si="373"/>
        <v>250</v>
      </c>
      <c r="F175" s="529">
        <v>250</v>
      </c>
      <c r="G175" s="560">
        <f>DR175+Sheet1!CZ177</f>
        <v>711.02571860869921</v>
      </c>
      <c r="H175" s="1082">
        <f t="shared" si="441"/>
        <v>265.68702450866317</v>
      </c>
      <c r="I175" s="559">
        <f>Sheet1!DA177-E175</f>
        <v>435</v>
      </c>
      <c r="J175" s="562">
        <f>Sheet1!DB177-Calculation!D175</f>
        <v>155</v>
      </c>
      <c r="K175" s="904">
        <f t="shared" si="375"/>
        <v>64.64</v>
      </c>
      <c r="L175" s="560">
        <f>Sheet1!AA177+Sheet1!AB177-Sheet1!L177+(Sheet1!DA177-F175)*CFStoMGD</f>
        <v>353.30399999999997</v>
      </c>
      <c r="M175" s="560">
        <f t="shared" si="376"/>
        <v>468.79916499883643</v>
      </c>
      <c r="N175" s="910">
        <f>IF(Sheet1!DA177&gt;=F175,MIN(73,MIN(MAX(L175,0),MAX(M175,0))),0)</f>
        <v>73</v>
      </c>
      <c r="O175" s="563">
        <f>Sheet1!AA177+Sheet1!AB177</f>
        <v>72.12</v>
      </c>
      <c r="P175" s="563">
        <f t="shared" si="377"/>
        <v>111.56964000000001</v>
      </c>
      <c r="Q175" s="898">
        <f t="shared" si="339"/>
        <v>61.240000000000009</v>
      </c>
      <c r="R175" s="829">
        <f t="shared" si="378"/>
        <v>10.825418060200672</v>
      </c>
      <c r="S175" s="898">
        <f t="shared" si="340"/>
        <v>10.879999999999999</v>
      </c>
      <c r="T175" s="898">
        <f t="shared" si="341"/>
        <v>53.760000000000005</v>
      </c>
      <c r="U175" s="898">
        <f t="shared" si="342"/>
        <v>0</v>
      </c>
      <c r="V175" s="898"/>
      <c r="W175" s="898">
        <f t="shared" si="343"/>
        <v>53.814581939799325</v>
      </c>
      <c r="X175" s="898">
        <f t="shared" si="344"/>
        <v>64.64</v>
      </c>
      <c r="Y175" s="898" t="str">
        <f t="shared" si="345"/>
        <v>FALSE</v>
      </c>
      <c r="Z175" s="898">
        <f t="shared" si="346"/>
        <v>72.12</v>
      </c>
      <c r="AA175" s="898">
        <f t="shared" si="347"/>
        <v>72.12</v>
      </c>
      <c r="AB175" s="898" t="str">
        <f t="shared" si="348"/>
        <v/>
      </c>
      <c r="AC175" s="563">
        <f>Sheet1!Y177*MGDtoCFS</f>
        <v>56.341740000000001</v>
      </c>
      <c r="AD175" s="563">
        <f>Sheet1!Z177*MGDtoCFS</f>
        <v>55.537299999999995</v>
      </c>
      <c r="AE175" s="563">
        <f>Sheet1!AA177*MGDtoCFS</f>
        <v>56.341740000000001</v>
      </c>
      <c r="AF175" s="563">
        <f>Sheet1!AB177*MGDtoCFS</f>
        <v>55.227900000000005</v>
      </c>
      <c r="AG175" s="563">
        <f>Sheet1!L177*MGDtoCFS</f>
        <v>0</v>
      </c>
      <c r="AH175" s="545">
        <f t="shared" si="379"/>
        <v>0</v>
      </c>
      <c r="AI175" s="560">
        <f t="shared" si="380"/>
        <v>0</v>
      </c>
      <c r="AJ175" s="560">
        <f t="shared" si="381"/>
        <v>53.814581939799325</v>
      </c>
      <c r="AK175" s="560">
        <f t="shared" si="382"/>
        <v>83.251158260869559</v>
      </c>
      <c r="AL175" s="560">
        <f>(VLOOKUP(Sheet1!DC177,hhdcap_wcm,4)-(((VLOOKUP(Sheet1!DC177,hhdcap_wcm,3)-Sheet1!DC177)/(VLOOKUP(Sheet1!DC177,hhdcap_wcm,3)-VLOOKUP(Sheet1!DC177,hhdcap_wcm,1)))*(VLOOKUP(Sheet1!DC177,hhdcap_wcm,4)-VLOOKUP(Sheet1!DC177,hhdcap_wcm,2))))</f>
        <v>49359.600000119237</v>
      </c>
      <c r="AM175" s="560">
        <f t="shared" si="383"/>
        <v>204.30000000105065</v>
      </c>
      <c r="AN175" s="560">
        <f t="shared" si="384"/>
        <v>6347.293981001586</v>
      </c>
      <c r="AO175" s="560">
        <f t="shared" si="385"/>
        <v>19473.497933712864</v>
      </c>
      <c r="AP175" s="560">
        <f>Sheet1!BA177+Sheet1!BB177+Sheet1!BN177+CD175</f>
        <v>25</v>
      </c>
      <c r="AQ175" s="560">
        <f>Sheet1!BN177+(DO175*Sheet1!BN177)</f>
        <v>23.282608695652176</v>
      </c>
      <c r="AR175" s="560">
        <f>Sheet1!BA177+CD175</f>
        <v>0</v>
      </c>
      <c r="AS175" s="560">
        <f>Sheet1!BA177+Sheet1!BB177+CD175</f>
        <v>1.6</v>
      </c>
      <c r="AT175" s="698">
        <f>0</f>
        <v>0</v>
      </c>
      <c r="AU175" s="560">
        <f>IF(EB175&lt;K175,0,MAX(Sheet1!AA177+AQ175-15/36*K175-N175,Sheet1!EH177,0))</f>
        <v>0</v>
      </c>
      <c r="AV175" s="560">
        <f>IF(OR(B175&gt;=GD175,B175&lt;GC175),0,15/36*K175-MAX(0,64.6-(137.6-(Sheet1!AA177+Sheet1!AB177))))</f>
        <v>26.933333333333334</v>
      </c>
      <c r="AW175" s="698">
        <f>Sheet1!DB177-110</f>
        <v>345</v>
      </c>
      <c r="AX175" s="698">
        <f>Sheet1!DA177-265</f>
        <v>420</v>
      </c>
      <c r="AY175" s="698">
        <f t="shared" si="386"/>
        <v>11.759999999999991</v>
      </c>
      <c r="AZ175" s="698">
        <v>0</v>
      </c>
      <c r="BA175" s="698">
        <f t="shared" si="387"/>
        <v>0</v>
      </c>
      <c r="BB175" s="560">
        <f t="shared" si="388"/>
        <v>2716.2083333333335</v>
      </c>
      <c r="BC175" s="560"/>
      <c r="BD175" s="560">
        <f ca="1">IF(B175&gt;Summary!$A$1,#N/A,BB175*MGtoAF)</f>
        <v>8333.3271666666678</v>
      </c>
      <c r="BE175" s="560">
        <f>Sheet1!BG177+Sheet1!BH177+Sheet1!BI177-BM175</f>
        <v>0</v>
      </c>
      <c r="BF175" s="560">
        <f t="shared" si="389"/>
        <v>0</v>
      </c>
      <c r="BG175" s="560">
        <f>IF(Sheet1!EP177="FM",BM175,0)</f>
        <v>0</v>
      </c>
      <c r="BH175" s="560">
        <f t="shared" si="390"/>
        <v>0</v>
      </c>
      <c r="BI175" s="560">
        <f>IF(Sheet1!EP177="OTHER",BM175,0)</f>
        <v>0</v>
      </c>
      <c r="BJ175" s="560">
        <f t="shared" si="391"/>
        <v>0</v>
      </c>
      <c r="BK175" s="560">
        <f t="shared" si="392"/>
        <v>0</v>
      </c>
      <c r="BL175" s="560">
        <f t="shared" si="393"/>
        <v>0</v>
      </c>
      <c r="BM175" s="560">
        <f>IF(OR(Sheet1!EP177="FM", Sheet1!EP177="OTHER"),SUM(Sheet1!BG177:'Sheet1'!BI177),0)</f>
        <v>0</v>
      </c>
      <c r="BN175" s="545">
        <f>IF(AND($B175&gt;=$FV175,$B175&lt;=$FW175),MAX(BF175,Sheet1!EI177,0),MAX(BF175-(7/36)*$K175,0))</f>
        <v>0</v>
      </c>
      <c r="BO175" s="560">
        <f t="shared" si="394"/>
        <v>12.568888888888889</v>
      </c>
      <c r="BP175" s="545">
        <f t="shared" si="395"/>
        <v>0</v>
      </c>
      <c r="BQ175" s="545">
        <f>IF(AND($O175&gt;0,Sheet1!EM177=1),(1-($O175-Sheet1!$L177)/$O175)*BL175,0)</f>
        <v>0</v>
      </c>
      <c r="BR175" s="545">
        <f>IF(AND(Sheet1!$L177=0,Sheet1!$L176=0, Calculation!BK175&lt;Sheet1!$EI177-0.1,Sheet1!$EI177=Sheet1!$EI176,Sheet1!$EI177=Sheet1!$EI178),Sheet1!$EI177,BL175-BQ175)</f>
        <v>0</v>
      </c>
      <c r="BS175" s="560"/>
      <c r="BT175" s="560"/>
      <c r="BU175" s="560">
        <f t="shared" si="396"/>
        <v>1267.5638888888889</v>
      </c>
      <c r="BV175" s="560"/>
      <c r="BW175" s="560">
        <f ca="1">IF(B175&gt;Summary!$A$1,#N/A,BU175*MGtoAF)</f>
        <v>3888.8860111111112</v>
      </c>
      <c r="BX175" s="560">
        <f>Sheet1!BC177+Sheet1!BD177+Sheet1!BE177+Sheet1!BF177-CG175-CH175</f>
        <v>3.3</v>
      </c>
      <c r="BY175" s="560">
        <f t="shared" si="397"/>
        <v>3.2834448160535121</v>
      </c>
      <c r="BZ175" s="560">
        <f>IF(Sheet1!EQ177="FM",CH175,0)</f>
        <v>0</v>
      </c>
      <c r="CA175" s="560">
        <f t="shared" si="398"/>
        <v>0</v>
      </c>
      <c r="CB175" s="560">
        <f>IF(Sheet1!EQ177="OTHER",CH175,0)</f>
        <v>0</v>
      </c>
      <c r="CC175" s="560">
        <f t="shared" si="399"/>
        <v>0</v>
      </c>
      <c r="CD175" s="560">
        <f t="shared" si="400"/>
        <v>0</v>
      </c>
      <c r="CE175" s="560">
        <f t="shared" si="401"/>
        <v>3.3</v>
      </c>
      <c r="CF175" s="560">
        <f t="shared" si="402"/>
        <v>3.2834448160535121</v>
      </c>
      <c r="CG175" s="560">
        <f>IF(Sheet1!EQ177="CWA",SUM(Sheet1!BC177:'Sheet1'!BF177),0)</f>
        <v>0</v>
      </c>
      <c r="CH175" s="560">
        <f>IF(OR(Sheet1!EQ177="FM", Sheet1!EQ177="OTHER"),SUM(Sheet1!BC177:'Sheet1'!BF177),0)</f>
        <v>0</v>
      </c>
      <c r="CI175" s="545">
        <f>IF(AND($B175&gt;=$FV175,$B175&lt;=$FW175),MAX(CF175,Sheet1!EJ177,0),MAX(CF175-(7/36)*$K175,0))</f>
        <v>0</v>
      </c>
      <c r="CJ175" s="560">
        <f t="shared" si="403"/>
        <v>9.2854440728353769</v>
      </c>
      <c r="CK175" s="545">
        <f t="shared" si="404"/>
        <v>3.2834448160535121</v>
      </c>
      <c r="CL175" s="545">
        <f>IF(AND($O175&gt;0,Sheet1!EN177=1),(1-($O175-Sheet1!$L177)/$O175)*CF175,0)</f>
        <v>0</v>
      </c>
      <c r="CM175" s="545">
        <f>IF(AND(Sheet1!$L177=0,Sheet1!$L176=0, Calculation!CE175&lt;Sheet1!EJ177-0.1,Sheet1!EJ177=Sheet1!EJ176,Sheet1!EJ177=Sheet1!EJ178),Sheet1!EJ177,CF175-CL175)</f>
        <v>3.2834448160535121</v>
      </c>
      <c r="CN175" s="545"/>
      <c r="CO175" s="560"/>
      <c r="CP175" s="560">
        <f t="shared" si="405"/>
        <v>1267.5638888888889</v>
      </c>
      <c r="CQ175" s="560"/>
      <c r="CR175" s="560">
        <f ca="1">IF(B175&gt;Summary!$A$1,#N/A,CP175*MGtoAF)</f>
        <v>3888.8860111111112</v>
      </c>
      <c r="CS175" s="560">
        <f>Sheet1!BK177+Sheet1!BL177+Sheet1!BM177-Sheet1!ER177-DA175</f>
        <v>7.58</v>
      </c>
      <c r="CT175" s="560">
        <f t="shared" si="406"/>
        <v>7.541973244147159</v>
      </c>
      <c r="CU175" s="560">
        <f>IF(Sheet1!ER177="FM",DA175,0)</f>
        <v>0</v>
      </c>
      <c r="CV175" s="560">
        <f t="shared" si="407"/>
        <v>0</v>
      </c>
      <c r="CW175" s="560">
        <f>IF(Sheet1!ER177="OTHER",DA175,0)</f>
        <v>0</v>
      </c>
      <c r="CX175" s="560">
        <f t="shared" si="408"/>
        <v>0</v>
      </c>
      <c r="CY175" s="560">
        <f t="shared" si="409"/>
        <v>7.58</v>
      </c>
      <c r="CZ175" s="560">
        <f t="shared" si="410"/>
        <v>7.541973244147159</v>
      </c>
      <c r="DA175" s="560">
        <f>IF(OR(Sheet1!ER177="FM", Sheet1!ER177="OTHER"),SUM(Sheet1!BK177:'Sheet1'!BM177),0)</f>
        <v>0</v>
      </c>
      <c r="DB175" s="545">
        <f>IF(AND($B175&gt;=$FV175,$B175&lt;=$FW175),MAX($CT175,Sheet1!EK177,0),MAX($CT175-(7/36)*$K175,0))</f>
        <v>0</v>
      </c>
      <c r="DC175" s="560">
        <f t="shared" si="411"/>
        <v>5.02691564474173</v>
      </c>
      <c r="DD175" s="545">
        <f t="shared" si="412"/>
        <v>7.541973244147159</v>
      </c>
      <c r="DE175" s="545">
        <f>IF(AND($O175&gt;0,Sheet1!EO177=1),(1-($O175-Sheet1!$L177)/$O175)*CZ175,0)</f>
        <v>0</v>
      </c>
      <c r="DF175" s="545">
        <f>IF(AND(Sheet1!$L177=0,Sheet1!$L176=0, Calculation!CY175&lt;Sheet1!$EK177-0.1,Sheet1!$EK177=Sheet1!$EK176,Sheet1!$EK177=Sheet1!$EK178),Sheet1!$EK177,CZ175-DE175)</f>
        <v>7.541973244147159</v>
      </c>
      <c r="DG175" s="545"/>
      <c r="DH175" s="560">
        <f t="shared" si="413"/>
        <v>10.879999999999999</v>
      </c>
      <c r="DI175" s="560">
        <f t="shared" si="414"/>
        <v>1095.9578698904743</v>
      </c>
      <c r="DJ175" s="698">
        <f t="shared" si="415"/>
        <v>10.825418060200672</v>
      </c>
      <c r="DK175" s="560">
        <f ca="1">IF(B175&gt;Summary!$A$1,#N/A,DI175*MGtoAF)</f>
        <v>3362.398744823975</v>
      </c>
      <c r="DL175" s="698">
        <f t="shared" si="416"/>
        <v>10.879999999999999</v>
      </c>
      <c r="DM175" s="560">
        <f t="shared" si="417"/>
        <v>35.879999999999995</v>
      </c>
      <c r="DN175" s="560">
        <f>Sheet1!AB177-DM175</f>
        <v>-0.17999999999999261</v>
      </c>
      <c r="DO175" s="823">
        <f t="shared" si="418"/>
        <v>-5.0167224080265504E-3</v>
      </c>
      <c r="DP175" s="560">
        <f>(VLOOKUP(Sheet1!DC177,hhdcap_wcm,4)-(((VLOOKUP(Sheet1!DC177,hhdcap_wcm,3)-Sheet1!DC177)/(VLOOKUP(Sheet1!DC177,hhdcap_wcm,3)-VLOOKUP(Sheet1!DC177,hhdcap_wcm,1)))*(VLOOKUP(Sheet1!DC177,hhdcap_wcm,4)-VLOOKUP(Sheet1!DC177,hhdcap_wcm,2))))</f>
        <v>49359.600000119237</v>
      </c>
      <c r="DQ175" s="560">
        <f t="shared" si="419"/>
        <v>204.30000000105065</v>
      </c>
      <c r="DR175" s="560">
        <f t="shared" si="420"/>
        <v>103.02571860869925</v>
      </c>
      <c r="DS175" s="560">
        <f>Sheet1!EA177*AFtoMG</f>
        <v>0</v>
      </c>
      <c r="DT175" s="560">
        <f>Sheet1!EB177*AFtoMG</f>
        <v>0</v>
      </c>
      <c r="DU175" s="560">
        <f>Sheet1!EC177*AFtoMG</f>
        <v>0</v>
      </c>
      <c r="DV175" s="560">
        <f>Sheet1!ED177*AFtoMG</f>
        <v>0</v>
      </c>
      <c r="DW175" s="560">
        <f t="shared" si="421"/>
        <v>0</v>
      </c>
      <c r="DX175" s="560">
        <f t="shared" si="422"/>
        <v>0</v>
      </c>
      <c r="DY175" s="560">
        <f t="shared" si="423"/>
        <v>6347.293981001586</v>
      </c>
      <c r="DZ175" s="560">
        <f t="shared" si="424"/>
        <v>19473.497933712864</v>
      </c>
      <c r="EA175" s="560"/>
      <c r="EB175" s="545">
        <f>IF(OR(B175&lt;FV175,B175&gt;FW175),(MIN(BF175+BY175+CT175+MAX(Sheet1!AA177+AQ175-73,0),K175)),0)</f>
        <v>10.825418060200672</v>
      </c>
      <c r="EC175" s="560"/>
      <c r="ED175" s="560">
        <f t="shared" si="425"/>
        <v>10.825418060200672</v>
      </c>
      <c r="EE175" s="560"/>
      <c r="EF175" s="560">
        <f>Sheet1!EH177+Sheet1!EI177+Sheet1!EJ177+Sheet1!EK177</f>
        <v>10.879999999999999</v>
      </c>
      <c r="EG175" s="560"/>
      <c r="EH175" s="545">
        <f t="shared" si="426"/>
        <v>0</v>
      </c>
      <c r="EI175" s="560">
        <f>IF(Sheet1!ET177=1,SUM('Calculations II'!AT175:BA175)+'Calculations II'!BC175+Sheet1!BV177+'Calculations II'!BE175+AP175,SUM('Calculations II'!AT175:BA175)+'Calculations II'!BC175+Sheet1!BV177+'Calculations II'!BE175+AP175)</f>
        <v>65.284176000000002</v>
      </c>
      <c r="EJ175" s="560">
        <f>Sheet1!AA177+Sheet1!AB177+'Calculations II'!BC175</f>
        <v>72.12</v>
      </c>
      <c r="EK175" s="560"/>
      <c r="EL175" s="560"/>
      <c r="EM175" s="560">
        <f t="shared" si="427"/>
        <v>41803</v>
      </c>
      <c r="EN175" s="560">
        <f t="shared" si="428"/>
        <v>53.814581939799325</v>
      </c>
      <c r="EO175" s="560">
        <f t="shared" si="429"/>
        <v>83.251158260869559</v>
      </c>
      <c r="EP175" s="560">
        <v>0</v>
      </c>
      <c r="EQ175" s="560">
        <v>0</v>
      </c>
      <c r="ER175" s="560">
        <v>0</v>
      </c>
      <c r="ES175" s="545">
        <f t="shared" si="349"/>
        <v>-3.0515308703800104</v>
      </c>
      <c r="ET175" s="560">
        <f>-(VLOOKUP(Sheet1!BQ177,Lookup!$O$4:$Q$262,2)-VLOOKUP(Sheet1!BQ176,Lookup!$O$4:$Q$262,2))/1000000</f>
        <v>-1.5258007086850927</v>
      </c>
      <c r="EU175" s="560">
        <f>-(VLOOKUP(Sheet1!BR177,Lookup!$O$4:$Q$262,3)-VLOOKUP(Sheet1!BR176,Lookup!$O$4:$Q$262,3))/1000000</f>
        <v>-1.5257301616949179</v>
      </c>
      <c r="EV175" s="560"/>
      <c r="EW175" s="560"/>
      <c r="EX175" s="560"/>
      <c r="EY175" s="560"/>
      <c r="EZ175" s="560"/>
      <c r="FA175" s="560"/>
      <c r="FB175" s="560"/>
      <c r="FC175" s="560"/>
      <c r="FD175" s="594" t="e">
        <f t="shared" si="430"/>
        <v>#N/A</v>
      </c>
      <c r="FE175" s="594" t="e">
        <f t="shared" si="431"/>
        <v>#N/A</v>
      </c>
      <c r="FF175" s="595" t="e">
        <f t="shared" si="432"/>
        <v>#N/A</v>
      </c>
      <c r="FG175" s="596" t="s">
        <v>692</v>
      </c>
      <c r="FH175" s="596" t="s">
        <v>692</v>
      </c>
      <c r="FI175" s="594" t="e">
        <v>#N/A</v>
      </c>
      <c r="FJ175" s="594" t="e">
        <v>#N/A</v>
      </c>
      <c r="FK175" s="560">
        <v>24450</v>
      </c>
      <c r="FL175" s="560"/>
      <c r="FM175" s="560"/>
      <c r="FN175" s="560"/>
      <c r="FO175" s="560">
        <f>O175+((Sheet1!CS177)*GPMtoMGD)</f>
        <v>72.12</v>
      </c>
      <c r="FP175" s="560">
        <f>IF(Sheet1!AA177+AQ175&lt;=Calculation!N175,AQ175,Calculation!N175-Sheet1!AA177)</f>
        <v>23.282608695652176</v>
      </c>
      <c r="FQ175" s="560">
        <f>(Sheet1!BP177+Sheet1!BO177)/694.4</f>
        <v>2.0764688940092166</v>
      </c>
      <c r="FR175" s="560"/>
      <c r="FS175" s="560"/>
      <c r="FT175" s="560"/>
      <c r="FU175" s="560"/>
      <c r="FV175" s="695">
        <f t="shared" si="350"/>
        <v>41827</v>
      </c>
      <c r="FW175" s="695">
        <f t="shared" si="351"/>
        <v>41934</v>
      </c>
      <c r="FX175" s="560"/>
      <c r="FY175" s="560"/>
      <c r="FZ175" s="560"/>
      <c r="GA175" s="560"/>
      <c r="GB175" s="560" t="str">
        <f t="shared" si="352"/>
        <v>n</v>
      </c>
      <c r="GC175" s="564">
        <f t="shared" si="353"/>
        <v>41691</v>
      </c>
      <c r="GD175" s="695">
        <f t="shared" si="354"/>
        <v>41807</v>
      </c>
      <c r="GE175" s="560">
        <v>6518.9</v>
      </c>
      <c r="GF175" s="695">
        <f t="shared" si="355"/>
        <v>41808</v>
      </c>
      <c r="GG175" s="560">
        <f t="shared" si="374"/>
        <v>3259</v>
      </c>
      <c r="GH175" s="564">
        <f t="shared" si="356"/>
        <v>41934</v>
      </c>
      <c r="GJ175" s="545">
        <f t="shared" si="357"/>
        <v>48.787666295057605</v>
      </c>
      <c r="GK175" s="560" t="str">
        <f t="shared" si="433"/>
        <v>P</v>
      </c>
      <c r="GL175" s="560">
        <f t="shared" si="358"/>
        <v>26.933333333333334</v>
      </c>
      <c r="GM175" s="560" t="str">
        <f t="shared" si="359"/>
        <v/>
      </c>
      <c r="GN175" s="560">
        <f>IF(GK175="P",Lookup!$M$12,IF(GK175="PP",Lookup!$M$13,IF(GK175="PPP",Lookup!$M$14,IF(GK175="T",Lookup!$M$15,IF(GK175="TP",Lookup!$M$16,IF(GK175="TPP",Lookup!$M$17,IF(GK175="TPPP",Lookup!$M$18,0)))))))*GJ175</f>
        <v>0</v>
      </c>
      <c r="GO175" s="560">
        <f t="shared" si="360"/>
        <v>0</v>
      </c>
      <c r="GP175" s="560">
        <f t="shared" si="434"/>
        <v>8333.3271666666678</v>
      </c>
      <c r="GQ175" s="560">
        <f t="shared" si="368"/>
        <v>2716.2083333333335</v>
      </c>
      <c r="GR175" s="560"/>
      <c r="GS175" s="560">
        <f t="shared" si="361"/>
        <v>12.568888888888889</v>
      </c>
      <c r="GT175" s="560" t="str">
        <f t="shared" si="362"/>
        <v/>
      </c>
      <c r="GU175" s="560">
        <f>IF(GK175="P",Lookup!$N$12,IF(GK175="PP",Lookup!$N$13,IF(GK175="PPP",Lookup!$N$14,IF(GK175="T",Lookup!$N$15,IF(GK175="TP",Lookup!$N$16,IF(GK175="TPP",Lookup!$N$17,IF(GK175="TPPP",Lookup!$N$18,0)))))))*GJ175</f>
        <v>48.787666295057605</v>
      </c>
      <c r="GV175" s="560">
        <f t="shared" si="363"/>
        <v>0</v>
      </c>
      <c r="GW175" s="560">
        <f t="shared" si="435"/>
        <v>3888.8860111111112</v>
      </c>
      <c r="GX175" s="560">
        <f t="shared" si="369"/>
        <v>1267.5638888888889</v>
      </c>
      <c r="GY175" s="560"/>
      <c r="GZ175" s="560">
        <f t="shared" si="364"/>
        <v>9.2854440728353769</v>
      </c>
      <c r="HA175" s="560" t="str">
        <f t="shared" si="365"/>
        <v/>
      </c>
      <c r="HB175" s="560">
        <f>IF(GK175="P",Lookup!$N$12,IF(GK175="PP",Lookup!$N$13,IF(GK175="PPP",Lookup!$N$14,IF(GK175="T",Lookup!$N$15,IF(GK175="TP",Lookup!$N$16,IF(GK175="TPP",Lookup!$N$17,IF(GK175="TPPP",Lookup!$N$18,0)))))))*GJ175</f>
        <v>48.787666295057605</v>
      </c>
      <c r="HC175" s="545">
        <f t="shared" si="436"/>
        <v>0</v>
      </c>
      <c r="HD175" s="560">
        <f t="shared" si="437"/>
        <v>3888.8860111111112</v>
      </c>
      <c r="HE175" s="560">
        <f t="shared" si="370"/>
        <v>1267.5638888888889</v>
      </c>
      <c r="HF175" s="560"/>
      <c r="HG175" s="560">
        <f t="shared" si="366"/>
        <v>0</v>
      </c>
      <c r="HH175" s="560" t="str">
        <f t="shared" si="367"/>
        <v>P</v>
      </c>
      <c r="HI175" s="560">
        <f>IF(GK175="P",Lookup!$N$12,IF(GK175="PP",Lookup!$N$13,IF(GK175="PPP",Lookup!$N$14,IF(GK175="T",Lookup!$N$15,IF(GK175="TP",Lookup!$N$16,IF(GK175="TPP",Lookup!$N$17,IF(GK175="TPPP",Lookup!$N$18,0)))))))*GJ175</f>
        <v>48.787666295057605</v>
      </c>
      <c r="HJ175" s="545">
        <f t="shared" si="438"/>
        <v>48.787666295057605</v>
      </c>
      <c r="HK175" s="560">
        <f t="shared" si="439"/>
        <v>3212.7181846307385</v>
      </c>
      <c r="HL175" s="560">
        <f t="shared" si="371"/>
        <v>1047.1702035954168</v>
      </c>
      <c r="HM175" s="560"/>
    </row>
    <row r="176" spans="1:221">
      <c r="A176" s="580" t="s">
        <v>9</v>
      </c>
      <c r="B176" s="556">
        <v>41804</v>
      </c>
      <c r="C176" s="561">
        <v>0</v>
      </c>
      <c r="D176" s="529">
        <f t="shared" si="372"/>
        <v>300</v>
      </c>
      <c r="E176" s="529">
        <f t="shared" si="373"/>
        <v>250</v>
      </c>
      <c r="F176" s="529">
        <v>250</v>
      </c>
      <c r="G176" s="560">
        <f>DR176+Sheet1!CZ178</f>
        <v>630.99546142221914</v>
      </c>
      <c r="H176" s="1082">
        <f t="shared" si="441"/>
        <v>213.95546626332245</v>
      </c>
      <c r="I176" s="559">
        <f>Sheet1!DA178-E176</f>
        <v>391</v>
      </c>
      <c r="J176" s="562">
        <f>Sheet1!DB178-Calculation!D176</f>
        <v>152</v>
      </c>
      <c r="K176" s="904">
        <f t="shared" si="375"/>
        <v>64.64</v>
      </c>
      <c r="L176" s="560">
        <f>Sheet1!AA178+Sheet1!AB178-Sheet1!L178+(Sheet1!DA178-F176)*CFStoMGD</f>
        <v>320.7124</v>
      </c>
      <c r="M176" s="560">
        <f t="shared" si="376"/>
        <v>416.0329755885889</v>
      </c>
      <c r="N176" s="910">
        <f>IF(Sheet1!DA178&gt;=F176,MIN(73,MIN(MAX(L176,0),MAX(M176,0))),0)</f>
        <v>73</v>
      </c>
      <c r="O176" s="563">
        <f>Sheet1!AA178+Sheet1!AB178</f>
        <v>67.97</v>
      </c>
      <c r="P176" s="563">
        <f t="shared" si="377"/>
        <v>105.14958999999999</v>
      </c>
      <c r="Q176" s="898">
        <f t="shared" si="339"/>
        <v>56.55</v>
      </c>
      <c r="R176" s="829">
        <f t="shared" si="378"/>
        <v>11.376245210727969</v>
      </c>
      <c r="S176" s="898">
        <f t="shared" si="340"/>
        <v>11.419999999999998</v>
      </c>
      <c r="T176" s="898">
        <f t="shared" si="341"/>
        <v>53.22</v>
      </c>
      <c r="U176" s="898">
        <f t="shared" si="342"/>
        <v>0</v>
      </c>
      <c r="V176" s="898"/>
      <c r="W176" s="898">
        <f t="shared" si="343"/>
        <v>53.263754789272028</v>
      </c>
      <c r="X176" s="898">
        <f t="shared" si="344"/>
        <v>64.64</v>
      </c>
      <c r="Y176" s="898" t="str">
        <f t="shared" si="345"/>
        <v>FALSE</v>
      </c>
      <c r="Z176" s="898">
        <f t="shared" si="346"/>
        <v>67.97</v>
      </c>
      <c r="AA176" s="898">
        <f t="shared" si="347"/>
        <v>67.97</v>
      </c>
      <c r="AB176" s="898" t="str">
        <f t="shared" si="348"/>
        <v/>
      </c>
      <c r="AC176" s="563">
        <f>Sheet1!Y178*MGDtoCFS</f>
        <v>56.341740000000001</v>
      </c>
      <c r="AD176" s="563">
        <f>Sheet1!Z178*MGDtoCFS</f>
        <v>55.227900000000005</v>
      </c>
      <c r="AE176" s="563">
        <f>Sheet1!AA178*MGDtoCFS</f>
        <v>56.883189999999999</v>
      </c>
      <c r="AF176" s="563">
        <f>Sheet1!AB178*MGDtoCFS</f>
        <v>48.266399999999997</v>
      </c>
      <c r="AG176" s="563">
        <f>Sheet1!L178*MGDtoCFS</f>
        <v>0</v>
      </c>
      <c r="AH176" s="545">
        <f t="shared" si="379"/>
        <v>0</v>
      </c>
      <c r="AI176" s="560">
        <f t="shared" si="380"/>
        <v>0</v>
      </c>
      <c r="AJ176" s="560">
        <f t="shared" si="381"/>
        <v>53.263754789272028</v>
      </c>
      <c r="AK176" s="560">
        <f t="shared" si="382"/>
        <v>82.399028659003818</v>
      </c>
      <c r="AL176" s="560">
        <f>(VLOOKUP(Sheet1!DC178,hhdcap_wcm,4)-(((VLOOKUP(Sheet1!DC178,hhdcap_wcm,3)-Sheet1!DC178)/(VLOOKUP(Sheet1!DC178,hhdcap_wcm,3)-VLOOKUP(Sheet1!DC178,hhdcap_wcm,1)))*(VLOOKUP(Sheet1!DC178,hhdcap_wcm,4)-VLOOKUP(Sheet1!DC178,hhdcap_wcm,2))))</f>
        <v>49405.200000119497</v>
      </c>
      <c r="AM176" s="560">
        <f t="shared" si="383"/>
        <v>45.600000000260479</v>
      </c>
      <c r="AN176" s="560">
        <f t="shared" si="384"/>
        <v>6400.5577357908578</v>
      </c>
      <c r="AO176" s="560">
        <f t="shared" si="385"/>
        <v>19636.911133406353</v>
      </c>
      <c r="AP176" s="560">
        <f>Sheet1!BA178+Sheet1!BB178+Sheet1!BN178+CD176</f>
        <v>19.900000000000002</v>
      </c>
      <c r="AQ176" s="560">
        <f>Sheet1!BN178+(DO176*Sheet1!BN178)</f>
        <v>18.229885057471265</v>
      </c>
      <c r="AR176" s="560">
        <f>Sheet1!BA178+CD176</f>
        <v>0</v>
      </c>
      <c r="AS176" s="560">
        <f>Sheet1!BA178+Sheet1!BB178+CD176</f>
        <v>1.6</v>
      </c>
      <c r="AT176" s="698">
        <f>0</f>
        <v>0</v>
      </c>
      <c r="AU176" s="560">
        <f>IF(EB176&lt;K176,0,MAX(Sheet1!AA178+AQ176-15/36*K176-N176,Sheet1!EH178,0))</f>
        <v>0</v>
      </c>
      <c r="AV176" s="560">
        <f>IF(OR(B176&gt;=GD176,B176&lt;GC176),0,15/36*K176-MAX(0,64.6-(137.6-(Sheet1!AA178+Sheet1!AB178))))</f>
        <v>26.933333333333334</v>
      </c>
      <c r="AW176" s="698">
        <f>Sheet1!DB178-110</f>
        <v>342</v>
      </c>
      <c r="AX176" s="698">
        <f>Sheet1!DA178-265</f>
        <v>376</v>
      </c>
      <c r="AY176" s="698">
        <f t="shared" si="386"/>
        <v>16.450000000000003</v>
      </c>
      <c r="AZ176" s="698">
        <v>0</v>
      </c>
      <c r="BA176" s="698">
        <f t="shared" si="387"/>
        <v>0</v>
      </c>
      <c r="BB176" s="560">
        <f t="shared" si="388"/>
        <v>2716.2083333333335</v>
      </c>
      <c r="BC176" s="560"/>
      <c r="BD176" s="560">
        <f ca="1">IF(B176&gt;Summary!$A$1,#N/A,BB176*MGtoAF)</f>
        <v>8333.3271666666678</v>
      </c>
      <c r="BE176" s="560">
        <f>Sheet1!BG178+Sheet1!BH178+Sheet1!BI178-BM176</f>
        <v>0</v>
      </c>
      <c r="BF176" s="560">
        <f t="shared" si="389"/>
        <v>0</v>
      </c>
      <c r="BG176" s="560">
        <f>IF(Sheet1!EP178="FM",BM176,0)</f>
        <v>0</v>
      </c>
      <c r="BH176" s="560">
        <f t="shared" si="390"/>
        <v>0</v>
      </c>
      <c r="BI176" s="560">
        <f>IF(Sheet1!EP178="OTHER",BM176,0)</f>
        <v>0</v>
      </c>
      <c r="BJ176" s="560">
        <f t="shared" si="391"/>
        <v>0</v>
      </c>
      <c r="BK176" s="560">
        <f t="shared" si="392"/>
        <v>0</v>
      </c>
      <c r="BL176" s="560">
        <f t="shared" si="393"/>
        <v>0</v>
      </c>
      <c r="BM176" s="560">
        <f>IF(OR(Sheet1!EP178="FM", Sheet1!EP178="OTHER"),SUM(Sheet1!BG178:'Sheet1'!BI178),0)</f>
        <v>0</v>
      </c>
      <c r="BN176" s="545">
        <f>IF(AND($B176&gt;=$FV176,$B176&lt;=$FW176),MAX(BF176,Sheet1!EI178,0),MAX(BF176-(7/36)*$K176,0))</f>
        <v>0</v>
      </c>
      <c r="BO176" s="560">
        <f t="shared" si="394"/>
        <v>12.568888888888889</v>
      </c>
      <c r="BP176" s="545">
        <f t="shared" si="395"/>
        <v>0</v>
      </c>
      <c r="BQ176" s="545">
        <f>IF(AND($O176&gt;0,Sheet1!EM178=1),(1-($O176-Sheet1!$L178)/$O176)*BL176,0)</f>
        <v>0</v>
      </c>
      <c r="BR176" s="545">
        <f>IF(AND(Sheet1!$L178=0,Sheet1!$L177=0, Calculation!BK176&lt;Sheet1!$EI178-0.1,Sheet1!$EI178=Sheet1!$EI177,Sheet1!$EI178=Sheet1!$EI179),Sheet1!$EI178,BL176-BQ176)</f>
        <v>0</v>
      </c>
      <c r="BS176" s="560"/>
      <c r="BT176" s="560"/>
      <c r="BU176" s="560">
        <f t="shared" si="396"/>
        <v>1267.5638888888889</v>
      </c>
      <c r="BV176" s="560"/>
      <c r="BW176" s="560">
        <f ca="1">IF(B176&gt;Summary!$A$1,#N/A,BU176*MGtoAF)</f>
        <v>3888.8860111111112</v>
      </c>
      <c r="BX176" s="560">
        <f>Sheet1!BC178+Sheet1!BD178+Sheet1!BE178+Sheet1!BF178-CG176-CH176</f>
        <v>3.38</v>
      </c>
      <c r="BY176" s="560">
        <f t="shared" si="397"/>
        <v>3.3670498084291185</v>
      </c>
      <c r="BZ176" s="560">
        <f>IF(Sheet1!EQ178="FM",CH176,0)</f>
        <v>0</v>
      </c>
      <c r="CA176" s="560">
        <f t="shared" si="398"/>
        <v>0</v>
      </c>
      <c r="CB176" s="560">
        <f>IF(Sheet1!EQ178="OTHER",CH176,0)</f>
        <v>0</v>
      </c>
      <c r="CC176" s="560">
        <f t="shared" si="399"/>
        <v>0</v>
      </c>
      <c r="CD176" s="560">
        <f t="shared" si="400"/>
        <v>0</v>
      </c>
      <c r="CE176" s="560">
        <f t="shared" si="401"/>
        <v>3.38</v>
      </c>
      <c r="CF176" s="560">
        <f t="shared" si="402"/>
        <v>3.3670498084291185</v>
      </c>
      <c r="CG176" s="560">
        <f>IF(Sheet1!EQ178="CWA",SUM(Sheet1!BC178:'Sheet1'!BF178),0)</f>
        <v>0</v>
      </c>
      <c r="CH176" s="560">
        <f>IF(OR(Sheet1!EQ178="FM", Sheet1!EQ178="OTHER"),SUM(Sheet1!BC178:'Sheet1'!BF178),0)</f>
        <v>0</v>
      </c>
      <c r="CI176" s="545">
        <f>IF(AND($B176&gt;=$FV176,$B176&lt;=$FW176),MAX(CF176,Sheet1!EJ178,0),MAX(CF176-(7/36)*$K176,0))</f>
        <v>0</v>
      </c>
      <c r="CJ176" s="560">
        <f t="shared" si="403"/>
        <v>9.2018390804597701</v>
      </c>
      <c r="CK176" s="545">
        <f t="shared" si="404"/>
        <v>3.3670498084291185</v>
      </c>
      <c r="CL176" s="545">
        <f>IF(AND($O176&gt;0,Sheet1!EN178=1),(1-($O176-Sheet1!$L178)/$O176)*CF176,0)</f>
        <v>0</v>
      </c>
      <c r="CM176" s="545">
        <f>IF(AND(Sheet1!$L178=0,Sheet1!$L177=0, Calculation!CE176&lt;Sheet1!EJ178-0.1,Sheet1!EJ178=Sheet1!EJ177,Sheet1!EJ178=Sheet1!EJ179),Sheet1!EJ178,CF176-CL176)</f>
        <v>3.3670498084291185</v>
      </c>
      <c r="CN176" s="545"/>
      <c r="CO176" s="560"/>
      <c r="CP176" s="560">
        <f t="shared" si="405"/>
        <v>1267.5638888888889</v>
      </c>
      <c r="CQ176" s="560"/>
      <c r="CR176" s="560">
        <f ca="1">IF(B176&gt;Summary!$A$1,#N/A,CP176*MGtoAF)</f>
        <v>3888.8860111111112</v>
      </c>
      <c r="CS176" s="560">
        <f>Sheet1!BK178+Sheet1!BL178+Sheet1!BM178-Sheet1!ER178-DA176</f>
        <v>8.0399999999999991</v>
      </c>
      <c r="CT176" s="560">
        <f t="shared" si="406"/>
        <v>8.0091954022988503</v>
      </c>
      <c r="CU176" s="560">
        <f>IF(Sheet1!ER178="FM",DA176,0)</f>
        <v>0</v>
      </c>
      <c r="CV176" s="560">
        <f t="shared" si="407"/>
        <v>0</v>
      </c>
      <c r="CW176" s="560">
        <f>IF(Sheet1!ER178="OTHER",DA176,0)</f>
        <v>0</v>
      </c>
      <c r="CX176" s="560">
        <f t="shared" si="408"/>
        <v>0</v>
      </c>
      <c r="CY176" s="560">
        <f t="shared" si="409"/>
        <v>8.0399999999999991</v>
      </c>
      <c r="CZ176" s="560">
        <f t="shared" si="410"/>
        <v>8.0091954022988503</v>
      </c>
      <c r="DA176" s="560">
        <f>IF(OR(Sheet1!ER178="FM", Sheet1!ER178="OTHER"),SUM(Sheet1!BK178:'Sheet1'!BM178),0)</f>
        <v>0</v>
      </c>
      <c r="DB176" s="545">
        <f>IF(AND($B176&gt;=$FV176,$B176&lt;=$FW176),MAX($CT176,Sheet1!EK178,0),MAX($CT176-(7/36)*$K176,0))</f>
        <v>0</v>
      </c>
      <c r="DC176" s="560">
        <f t="shared" si="411"/>
        <v>4.5596934865900387</v>
      </c>
      <c r="DD176" s="545">
        <f t="shared" si="412"/>
        <v>8.0091954022988503</v>
      </c>
      <c r="DE176" s="545">
        <f>IF(AND($O176&gt;0,Sheet1!EO178=1),(1-($O176-Sheet1!$L178)/$O176)*CZ176,0)</f>
        <v>0</v>
      </c>
      <c r="DF176" s="545">
        <f>IF(AND(Sheet1!$L178=0,Sheet1!$L177=0, Calculation!CY176&lt;Sheet1!$EK178-0.1,Sheet1!$EK178=Sheet1!$EK177,Sheet1!$EK178=Sheet1!$EK179),Sheet1!$EK178,CZ176-DE176)</f>
        <v>8.0091954022988503</v>
      </c>
      <c r="DG176" s="545"/>
      <c r="DH176" s="560">
        <f t="shared" si="413"/>
        <v>11.419999999999998</v>
      </c>
      <c r="DI176" s="560">
        <f t="shared" si="414"/>
        <v>1149.2216246797464</v>
      </c>
      <c r="DJ176" s="698">
        <f t="shared" si="415"/>
        <v>11.376245210727969</v>
      </c>
      <c r="DK176" s="560">
        <f ca="1">IF(B176&gt;Summary!$A$1,#N/A,DI176*MGtoAF)</f>
        <v>3525.8119445174621</v>
      </c>
      <c r="DL176" s="698">
        <f t="shared" si="416"/>
        <v>11.419999999999998</v>
      </c>
      <c r="DM176" s="560">
        <f t="shared" si="417"/>
        <v>31.32</v>
      </c>
      <c r="DN176" s="560">
        <f>Sheet1!AB178-DM176</f>
        <v>-0.12000000000000099</v>
      </c>
      <c r="DO176" s="823">
        <f t="shared" si="418"/>
        <v>-3.8314176245211047E-3</v>
      </c>
      <c r="DP176" s="560">
        <f>(VLOOKUP(Sheet1!DC178,hhdcap_wcm,4)-(((VLOOKUP(Sheet1!DC178,hhdcap_wcm,3)-Sheet1!DC178)/(VLOOKUP(Sheet1!DC178,hhdcap_wcm,3)-VLOOKUP(Sheet1!DC178,hhdcap_wcm,1)))*(VLOOKUP(Sheet1!DC178,hhdcap_wcm,4)-VLOOKUP(Sheet1!DC178,hhdcap_wcm,2))))</f>
        <v>49405.200000119497</v>
      </c>
      <c r="DQ176" s="560">
        <f t="shared" si="419"/>
        <v>45.600000000260479</v>
      </c>
      <c r="DR176" s="560">
        <f t="shared" si="420"/>
        <v>22.995461422219098</v>
      </c>
      <c r="DS176" s="560">
        <f>Sheet1!EA178*AFtoMG</f>
        <v>0</v>
      </c>
      <c r="DT176" s="560">
        <f>Sheet1!EB178*AFtoMG</f>
        <v>0</v>
      </c>
      <c r="DU176" s="560">
        <f>Sheet1!EC178*AFtoMG</f>
        <v>0</v>
      </c>
      <c r="DV176" s="560">
        <f>Sheet1!ED178*AFtoMG</f>
        <v>0</v>
      </c>
      <c r="DW176" s="560">
        <f t="shared" si="421"/>
        <v>0</v>
      </c>
      <c r="DX176" s="560">
        <f t="shared" si="422"/>
        <v>0</v>
      </c>
      <c r="DY176" s="560">
        <f t="shared" si="423"/>
        <v>6400.5577357908578</v>
      </c>
      <c r="DZ176" s="560">
        <f t="shared" si="424"/>
        <v>19636.911133406353</v>
      </c>
      <c r="EA176" s="560"/>
      <c r="EB176" s="545">
        <f>IF(OR(B176&lt;FV176,B176&gt;FW176),(MIN(BF176+BY176+CT176+MAX(Sheet1!AA178+AQ176-73,0),K176)),0)</f>
        <v>11.376245210727969</v>
      </c>
      <c r="EC176" s="560"/>
      <c r="ED176" s="560">
        <f t="shared" si="425"/>
        <v>11.376245210727969</v>
      </c>
      <c r="EE176" s="560"/>
      <c r="EF176" s="560">
        <f>Sheet1!EH178+Sheet1!EI178+Sheet1!EJ178+Sheet1!EK178</f>
        <v>11.419999999999998</v>
      </c>
      <c r="EG176" s="560"/>
      <c r="EH176" s="545">
        <f t="shared" si="426"/>
        <v>0</v>
      </c>
      <c r="EI176" s="560">
        <f>IF(Sheet1!ET178=1,SUM('Calculations II'!AT176:BA176)+'Calculations II'!BC176+Sheet1!BV178+'Calculations II'!BE176+AP176,SUM('Calculations II'!AT176:BA176)+'Calculations II'!BC176+Sheet1!BV178+'Calculations II'!BE176+AP176)</f>
        <v>62.804063999999997</v>
      </c>
      <c r="EJ176" s="560">
        <f>Sheet1!AA178+Sheet1!AB178+'Calculations II'!BC176</f>
        <v>67.97</v>
      </c>
      <c r="EK176" s="560"/>
      <c r="EL176" s="560"/>
      <c r="EM176" s="560">
        <f t="shared" si="427"/>
        <v>41804</v>
      </c>
      <c r="EN176" s="560">
        <f t="shared" si="428"/>
        <v>53.263754789272028</v>
      </c>
      <c r="EO176" s="560">
        <f t="shared" si="429"/>
        <v>82.399028659003818</v>
      </c>
      <c r="EP176" s="560">
        <v>0</v>
      </c>
      <c r="EQ176" s="560">
        <v>0</v>
      </c>
      <c r="ER176" s="560">
        <v>0</v>
      </c>
      <c r="ES176" s="545">
        <f t="shared" si="349"/>
        <v>-0.83250507074517377</v>
      </c>
      <c r="ET176" s="560">
        <f>-(VLOOKUP(Sheet1!BQ178,Lookup!$O$4:$Q$262,2)-VLOOKUP(Sheet1!BQ177,Lookup!$O$4:$Q$262,2))/1000000</f>
        <v>-0.41626215696859359</v>
      </c>
      <c r="EU176" s="560">
        <f>-(VLOOKUP(Sheet1!BR178,Lookup!$O$4:$Q$262,3)-VLOOKUP(Sheet1!BR177,Lookup!$O$4:$Q$262,3))/1000000</f>
        <v>-0.41624291377658024</v>
      </c>
      <c r="EV176" s="560"/>
      <c r="EW176" s="560"/>
      <c r="EX176" s="560"/>
      <c r="EY176" s="560"/>
      <c r="EZ176" s="560"/>
      <c r="FA176" s="560"/>
      <c r="FB176" s="560"/>
      <c r="FC176" s="560"/>
      <c r="FD176" s="594" t="e">
        <f t="shared" si="430"/>
        <v>#N/A</v>
      </c>
      <c r="FE176" s="594" t="e">
        <f t="shared" si="431"/>
        <v>#N/A</v>
      </c>
      <c r="FF176" s="595" t="e">
        <f t="shared" si="432"/>
        <v>#N/A</v>
      </c>
      <c r="FG176" s="596" t="s">
        <v>692</v>
      </c>
      <c r="FH176" s="596" t="s">
        <v>692</v>
      </c>
      <c r="FI176" s="594" t="e">
        <v>#N/A</v>
      </c>
      <c r="FJ176" s="594" t="e">
        <v>#N/A</v>
      </c>
      <c r="FK176" s="560">
        <v>24400</v>
      </c>
      <c r="FL176" s="560"/>
      <c r="FM176" s="560"/>
      <c r="FN176" s="560"/>
      <c r="FO176" s="560">
        <f>O176+((Sheet1!CS178)*GPMtoMGD)</f>
        <v>67.97</v>
      </c>
      <c r="FP176" s="560">
        <f>IF(Sheet1!AA178+AQ176&lt;=Calculation!N176,AQ176,Calculation!N176-Sheet1!AA178)</f>
        <v>18.229885057471265</v>
      </c>
      <c r="FQ176" s="560">
        <f>(Sheet1!BP178+Sheet1!BO178)/694.4</f>
        <v>3.23991935483871</v>
      </c>
      <c r="FR176" s="560"/>
      <c r="FS176" s="560"/>
      <c r="FT176" s="560"/>
      <c r="FU176" s="560"/>
      <c r="FV176" s="695">
        <f t="shared" si="350"/>
        <v>41827</v>
      </c>
      <c r="FW176" s="695">
        <f t="shared" si="351"/>
        <v>41934</v>
      </c>
      <c r="FX176" s="560"/>
      <c r="FY176" s="560"/>
      <c r="FZ176" s="560"/>
      <c r="GA176" s="560"/>
      <c r="GB176" s="560" t="str">
        <f t="shared" si="352"/>
        <v>n</v>
      </c>
      <c r="GC176" s="564">
        <f t="shared" si="353"/>
        <v>41691</v>
      </c>
      <c r="GD176" s="695">
        <f t="shared" si="354"/>
        <v>41807</v>
      </c>
      <c r="GE176" s="560">
        <v>6518.9</v>
      </c>
      <c r="GF176" s="695">
        <f t="shared" si="355"/>
        <v>41808</v>
      </c>
      <c r="GG176" s="560">
        <f t="shared" si="374"/>
        <v>3259</v>
      </c>
      <c r="GH176" s="564">
        <f t="shared" si="356"/>
        <v>41934</v>
      </c>
      <c r="GJ176" s="545">
        <f t="shared" si="357"/>
        <v>48.704061302681993</v>
      </c>
      <c r="GK176" s="560" t="str">
        <f t="shared" si="433"/>
        <v>P</v>
      </c>
      <c r="GL176" s="560">
        <f t="shared" si="358"/>
        <v>26.933333333333334</v>
      </c>
      <c r="GM176" s="560" t="str">
        <f t="shared" si="359"/>
        <v/>
      </c>
      <c r="GN176" s="560">
        <f>IF(GK176="P",Lookup!$M$12,IF(GK176="PP",Lookup!$M$13,IF(GK176="PPP",Lookup!$M$14,IF(GK176="T",Lookup!$M$15,IF(GK176="TP",Lookup!$M$16,IF(GK176="TPP",Lookup!$M$17,IF(GK176="TPPP",Lookup!$M$18,0)))))))*GJ176</f>
        <v>0</v>
      </c>
      <c r="GO176" s="560">
        <f t="shared" si="360"/>
        <v>0</v>
      </c>
      <c r="GP176" s="560">
        <f t="shared" si="434"/>
        <v>8333.3271666666678</v>
      </c>
      <c r="GQ176" s="560">
        <f t="shared" si="368"/>
        <v>2716.2083333333335</v>
      </c>
      <c r="GR176" s="560"/>
      <c r="GS176" s="560">
        <f t="shared" si="361"/>
        <v>12.568888888888889</v>
      </c>
      <c r="GT176" s="560" t="str">
        <f t="shared" si="362"/>
        <v/>
      </c>
      <c r="GU176" s="560">
        <f>IF(GK176="P",Lookup!$N$12,IF(GK176="PP",Lookup!$N$13,IF(GK176="PPP",Lookup!$N$14,IF(GK176="T",Lookup!$N$15,IF(GK176="TP",Lookup!$N$16,IF(GK176="TPP",Lookup!$N$17,IF(GK176="TPPP",Lookup!$N$18,0)))))))*GJ176</f>
        <v>48.704061302681993</v>
      </c>
      <c r="GV176" s="560">
        <f t="shared" si="363"/>
        <v>0</v>
      </c>
      <c r="GW176" s="560">
        <f t="shared" si="435"/>
        <v>3888.8860111111112</v>
      </c>
      <c r="GX176" s="560">
        <f t="shared" si="369"/>
        <v>1267.5638888888889</v>
      </c>
      <c r="GY176" s="560"/>
      <c r="GZ176" s="560">
        <f t="shared" si="364"/>
        <v>9.2018390804597701</v>
      </c>
      <c r="HA176" s="560" t="str">
        <f t="shared" si="365"/>
        <v/>
      </c>
      <c r="HB176" s="560">
        <f>IF(GK176="P",Lookup!$N$12,IF(GK176="PP",Lookup!$N$13,IF(GK176="PPP",Lookup!$N$14,IF(GK176="T",Lookup!$N$15,IF(GK176="TP",Lookup!$N$16,IF(GK176="TPP",Lookup!$N$17,IF(GK176="TPPP",Lookup!$N$18,0)))))))*GJ176</f>
        <v>48.704061302681993</v>
      </c>
      <c r="HC176" s="545">
        <f t="shared" si="436"/>
        <v>0</v>
      </c>
      <c r="HD176" s="560">
        <f t="shared" si="437"/>
        <v>3888.8860111111112</v>
      </c>
      <c r="HE176" s="560">
        <f t="shared" si="370"/>
        <v>1267.5638888888889</v>
      </c>
      <c r="HF176" s="560"/>
      <c r="HG176" s="560">
        <f t="shared" si="366"/>
        <v>0</v>
      </c>
      <c r="HH176" s="560" t="str">
        <f t="shared" si="367"/>
        <v>P</v>
      </c>
      <c r="HI176" s="560">
        <f>IF(GK176="P",Lookup!$N$12,IF(GK176="PP",Lookup!$N$13,IF(GK176="PPP",Lookup!$N$14,IF(GK176="T",Lookup!$N$15,IF(GK176="TP",Lookup!$N$16,IF(GK176="TPP",Lookup!$N$17,IF(GK176="TPPP",Lookup!$N$18,0)))))))*GJ176</f>
        <v>48.704061302681993</v>
      </c>
      <c r="HJ176" s="545">
        <f t="shared" si="438"/>
        <v>48.704061302681993</v>
      </c>
      <c r="HK176" s="560">
        <f t="shared" si="439"/>
        <v>3376.3878844408337</v>
      </c>
      <c r="HL176" s="560">
        <f t="shared" si="371"/>
        <v>1100.5175633770643</v>
      </c>
      <c r="HM176" s="560"/>
    </row>
    <row r="177" spans="1:221">
      <c r="A177" s="580" t="s">
        <v>3</v>
      </c>
      <c r="B177" s="556">
        <v>41805</v>
      </c>
      <c r="C177" s="561">
        <v>0</v>
      </c>
      <c r="D177" s="529">
        <f t="shared" si="372"/>
        <v>300</v>
      </c>
      <c r="E177" s="529">
        <f t="shared" si="373"/>
        <v>250</v>
      </c>
      <c r="F177" s="529">
        <v>250</v>
      </c>
      <c r="G177" s="560">
        <f>DR177+Sheet1!CZ179</f>
        <v>571.24205748812301</v>
      </c>
      <c r="H177" s="1082">
        <f t="shared" si="441"/>
        <v>175.33086596032271</v>
      </c>
      <c r="I177" s="559">
        <f>Sheet1!DA179-E177</f>
        <v>418</v>
      </c>
      <c r="J177" s="562">
        <f>Sheet1!DB179-Calculation!D177</f>
        <v>173</v>
      </c>
      <c r="K177" s="904">
        <f t="shared" si="375"/>
        <v>64.64</v>
      </c>
      <c r="L177" s="560">
        <f>Sheet1!AA179+Sheet1!AB179-Sheet1!L179+(Sheet1!DA179-F177)*CFStoMGD</f>
        <v>334.49520000000001</v>
      </c>
      <c r="M177" s="560">
        <f t="shared" si="376"/>
        <v>376.6358832795292</v>
      </c>
      <c r="N177" s="910">
        <f>IF(Sheet1!DA179&gt;=F177,MIN(73,MIN(MAX(L177,0),MAX(M177,0))),0)</f>
        <v>73</v>
      </c>
      <c r="O177" s="563">
        <f>Sheet1!AA179+Sheet1!AB179</f>
        <v>64.3</v>
      </c>
      <c r="P177" s="563">
        <f t="shared" si="377"/>
        <v>99.472099999999983</v>
      </c>
      <c r="Q177" s="898">
        <f t="shared" si="339"/>
        <v>53.54</v>
      </c>
      <c r="R177" s="829">
        <f t="shared" si="378"/>
        <v>10.810448760884126</v>
      </c>
      <c r="S177" s="898">
        <f t="shared" si="340"/>
        <v>10.76</v>
      </c>
      <c r="T177" s="898">
        <f t="shared" si="341"/>
        <v>53.88</v>
      </c>
      <c r="U177" s="898">
        <f t="shared" si="342"/>
        <v>0</v>
      </c>
      <c r="V177" s="898"/>
      <c r="W177" s="898">
        <f t="shared" si="343"/>
        <v>53.829551239115872</v>
      </c>
      <c r="X177" s="898">
        <f t="shared" si="344"/>
        <v>64.64</v>
      </c>
      <c r="Y177" s="898" t="str">
        <f t="shared" si="345"/>
        <v>FALSE</v>
      </c>
      <c r="Z177" s="898">
        <f t="shared" si="346"/>
        <v>64.3</v>
      </c>
      <c r="AA177" s="898">
        <f t="shared" si="347"/>
        <v>64.3</v>
      </c>
      <c r="AB177" s="898" t="str">
        <f t="shared" si="348"/>
        <v/>
      </c>
      <c r="AC177" s="563">
        <f>Sheet1!Y179*MGDtoCFS</f>
        <v>56.883189999999999</v>
      </c>
      <c r="AD177" s="563">
        <f>Sheet1!Z179*MGDtoCFS</f>
        <v>48.266399999999997</v>
      </c>
      <c r="AE177" s="563">
        <f>Sheet1!AA179*MGDtoCFS</f>
        <v>53.062099999999994</v>
      </c>
      <c r="AF177" s="563">
        <f>Sheet1!AB179*MGDtoCFS</f>
        <v>46.41</v>
      </c>
      <c r="AG177" s="563">
        <f>Sheet1!L179*MGDtoCFS</f>
        <v>0</v>
      </c>
      <c r="AH177" s="545">
        <f t="shared" si="379"/>
        <v>0</v>
      </c>
      <c r="AI177" s="560">
        <f t="shared" si="380"/>
        <v>0</v>
      </c>
      <c r="AJ177" s="560">
        <f t="shared" si="381"/>
        <v>53.829551239115872</v>
      </c>
      <c r="AK177" s="560">
        <f t="shared" si="382"/>
        <v>83.274315766912252</v>
      </c>
      <c r="AL177" s="560">
        <f>(VLOOKUP(Sheet1!DC179,hhdcap_wcm,4)-(((VLOOKUP(Sheet1!DC179,hhdcap_wcm,3)-Sheet1!DC179)/(VLOOKUP(Sheet1!DC179,hhdcap_wcm,3)-VLOOKUP(Sheet1!DC179,hhdcap_wcm,1)))*(VLOOKUP(Sheet1!DC179,hhdcap_wcm,4)-VLOOKUP(Sheet1!DC179,hhdcap_wcm,2))))</f>
        <v>49485.000000118445</v>
      </c>
      <c r="AM177" s="560">
        <f t="shared" si="383"/>
        <v>79.799999998947897</v>
      </c>
      <c r="AN177" s="560">
        <f t="shared" si="384"/>
        <v>6454.3872870299738</v>
      </c>
      <c r="AO177" s="560">
        <f t="shared" si="385"/>
        <v>19802.060196607959</v>
      </c>
      <c r="AP177" s="560">
        <f>Sheet1!BA179+Sheet1!BB179+Sheet1!BN179+CD177</f>
        <v>19.100000000000001</v>
      </c>
      <c r="AQ177" s="560">
        <f>Sheet1!BN179+(DO177*Sheet1!BN179)</f>
        <v>17.582049564634964</v>
      </c>
      <c r="AR177" s="560">
        <f>Sheet1!BA179+CD177</f>
        <v>0</v>
      </c>
      <c r="AS177" s="560">
        <f>Sheet1!BA179+Sheet1!BB179+CD177</f>
        <v>1.6</v>
      </c>
      <c r="AT177" s="698">
        <f>0</f>
        <v>0</v>
      </c>
      <c r="AU177" s="560">
        <f>IF(EB177&lt;K177,0,MAX(Sheet1!AA179+AQ177-15/36*K177-N177,Sheet1!EH179,0))</f>
        <v>0</v>
      </c>
      <c r="AV177" s="560">
        <f>IF(OR(B177&gt;=GD177,B177&lt;GC177),0,15/36*K177-MAX(0,64.6-(137.6-(Sheet1!AA179+Sheet1!AB179))))</f>
        <v>26.933333333333334</v>
      </c>
      <c r="AW177" s="698">
        <f>Sheet1!DB179-110</f>
        <v>363</v>
      </c>
      <c r="AX177" s="698">
        <f>Sheet1!DA179-265</f>
        <v>403</v>
      </c>
      <c r="AY177" s="698">
        <f t="shared" si="386"/>
        <v>19.46</v>
      </c>
      <c r="AZ177" s="698">
        <v>0</v>
      </c>
      <c r="BA177" s="698">
        <f t="shared" si="387"/>
        <v>0</v>
      </c>
      <c r="BB177" s="560">
        <f t="shared" si="388"/>
        <v>2716.2083333333335</v>
      </c>
      <c r="BC177" s="560"/>
      <c r="BD177" s="560">
        <f ca="1">IF(B177&gt;Summary!$A$1,#N/A,BB177*MGtoAF)</f>
        <v>8333.3271666666678</v>
      </c>
      <c r="BE177" s="560">
        <f>Sheet1!BG179+Sheet1!BH179+Sheet1!BI179-BM177</f>
        <v>0</v>
      </c>
      <c r="BF177" s="560">
        <f t="shared" si="389"/>
        <v>0</v>
      </c>
      <c r="BG177" s="560">
        <f>IF(Sheet1!EP179="FM",BM177,0)</f>
        <v>0</v>
      </c>
      <c r="BH177" s="560">
        <f t="shared" si="390"/>
        <v>0</v>
      </c>
      <c r="BI177" s="560">
        <f>IF(Sheet1!EP179="OTHER",BM177,0)</f>
        <v>0</v>
      </c>
      <c r="BJ177" s="560">
        <f t="shared" si="391"/>
        <v>0</v>
      </c>
      <c r="BK177" s="560">
        <f t="shared" si="392"/>
        <v>0</v>
      </c>
      <c r="BL177" s="560">
        <f t="shared" si="393"/>
        <v>0</v>
      </c>
      <c r="BM177" s="560">
        <f>IF(OR(Sheet1!EP179="FM", Sheet1!EP179="OTHER"),SUM(Sheet1!BG179:'Sheet1'!BI179),0)</f>
        <v>0</v>
      </c>
      <c r="BN177" s="545">
        <f>IF(AND($B177&gt;=$FV177,$B177&lt;=$FW177),MAX(BF177,Sheet1!EI179,0),MAX(BF177-(7/36)*$K177,0))</f>
        <v>0</v>
      </c>
      <c r="BO177" s="560">
        <f t="shared" si="394"/>
        <v>12.568888888888889</v>
      </c>
      <c r="BP177" s="545">
        <f t="shared" si="395"/>
        <v>0</v>
      </c>
      <c r="BQ177" s="545">
        <f>IF(AND($O177&gt;0,Sheet1!EM179=1),(1-($O177-Sheet1!$L179)/$O177)*BL177,0)</f>
        <v>0</v>
      </c>
      <c r="BR177" s="545">
        <f>IF(AND(Sheet1!$L179=0,Sheet1!$L178=0, Calculation!BK177&lt;Sheet1!$EI179-0.1,Sheet1!$EI179=Sheet1!$EI178,Sheet1!$EI179=Sheet1!$EI180),Sheet1!$EI179,BL177-BQ177)</f>
        <v>0</v>
      </c>
      <c r="BS177" s="560"/>
      <c r="BT177" s="560"/>
      <c r="BU177" s="560">
        <f t="shared" si="396"/>
        <v>1267.5638888888889</v>
      </c>
      <c r="BV177" s="560"/>
      <c r="BW177" s="560">
        <f ca="1">IF(B177&gt;Summary!$A$1,#N/A,BU177*MGtoAF)</f>
        <v>3888.8860111111112</v>
      </c>
      <c r="BX177" s="560">
        <f>Sheet1!BC179+Sheet1!BD179+Sheet1!BE179+Sheet1!BF179-CG177-CH177</f>
        <v>2.6799999999999997</v>
      </c>
      <c r="BY177" s="560">
        <f t="shared" si="397"/>
        <v>2.6925653047555254</v>
      </c>
      <c r="BZ177" s="560">
        <f>IF(Sheet1!EQ179="FM",CH177,0)</f>
        <v>0</v>
      </c>
      <c r="CA177" s="560">
        <f t="shared" si="398"/>
        <v>0</v>
      </c>
      <c r="CB177" s="560">
        <f>IF(Sheet1!EQ179="OTHER",CH177,0)</f>
        <v>0</v>
      </c>
      <c r="CC177" s="560">
        <f t="shared" si="399"/>
        <v>0</v>
      </c>
      <c r="CD177" s="560">
        <f t="shared" si="400"/>
        <v>0</v>
      </c>
      <c r="CE177" s="560">
        <f t="shared" si="401"/>
        <v>2.6799999999999997</v>
      </c>
      <c r="CF177" s="560">
        <f t="shared" si="402"/>
        <v>2.6925653047555254</v>
      </c>
      <c r="CG177" s="560">
        <f>IF(Sheet1!EQ179="CWA",SUM(Sheet1!BC179:'Sheet1'!BF179),0)</f>
        <v>0</v>
      </c>
      <c r="CH177" s="560">
        <f>IF(OR(Sheet1!EQ179="FM", Sheet1!EQ179="OTHER"),SUM(Sheet1!BC179:'Sheet1'!BF179),0)</f>
        <v>0</v>
      </c>
      <c r="CI177" s="545">
        <f>IF(AND($B177&gt;=$FV177,$B177&lt;=$FW177),MAX(CF177,Sheet1!EJ179,0),MAX(CF177-(7/36)*$K177,0))</f>
        <v>0</v>
      </c>
      <c r="CJ177" s="560">
        <f t="shared" si="403"/>
        <v>9.8763235841333632</v>
      </c>
      <c r="CK177" s="545">
        <f t="shared" si="404"/>
        <v>2.6925653047555254</v>
      </c>
      <c r="CL177" s="545">
        <f>IF(AND($O177&gt;0,Sheet1!EN179=1),(1-($O177-Sheet1!$L179)/$O177)*CF177,0)</f>
        <v>0</v>
      </c>
      <c r="CM177" s="545">
        <f>IF(AND(Sheet1!$L179=0,Sheet1!$L178=0, Calculation!CE177&lt;Sheet1!EJ179-0.1,Sheet1!EJ179=Sheet1!EJ178,Sheet1!EJ179=Sheet1!EJ180),Sheet1!EJ179,CF177-CL177)</f>
        <v>2.6925653047555254</v>
      </c>
      <c r="CN177" s="545"/>
      <c r="CO177" s="560"/>
      <c r="CP177" s="560">
        <f t="shared" si="405"/>
        <v>1267.5638888888889</v>
      </c>
      <c r="CQ177" s="560"/>
      <c r="CR177" s="560">
        <f ca="1">IF(B177&gt;Summary!$A$1,#N/A,CP177*MGtoAF)</f>
        <v>3888.8860111111112</v>
      </c>
      <c r="CS177" s="560">
        <f>Sheet1!BK179+Sheet1!BL179+Sheet1!BM179-Sheet1!ER179-DA177</f>
        <v>8.08</v>
      </c>
      <c r="CT177" s="560">
        <f t="shared" si="406"/>
        <v>8.1178834561286006</v>
      </c>
      <c r="CU177" s="560">
        <f>IF(Sheet1!ER179="FM",DA177,0)</f>
        <v>0</v>
      </c>
      <c r="CV177" s="560">
        <f t="shared" si="407"/>
        <v>0</v>
      </c>
      <c r="CW177" s="560">
        <f>IF(Sheet1!ER179="OTHER",DA177,0)</f>
        <v>0</v>
      </c>
      <c r="CX177" s="560">
        <f t="shared" si="408"/>
        <v>0</v>
      </c>
      <c r="CY177" s="560">
        <f t="shared" si="409"/>
        <v>8.08</v>
      </c>
      <c r="CZ177" s="560">
        <f t="shared" si="410"/>
        <v>8.1178834561286006</v>
      </c>
      <c r="DA177" s="560">
        <f>IF(OR(Sheet1!ER179="FM", Sheet1!ER179="OTHER"),SUM(Sheet1!BK179:'Sheet1'!BM179),0)</f>
        <v>0</v>
      </c>
      <c r="DB177" s="545">
        <f>IF(AND($B177&gt;=$FV177,$B177&lt;=$FW177),MAX($CT177,Sheet1!EK179,0),MAX($CT177-(7/36)*$K177,0))</f>
        <v>0</v>
      </c>
      <c r="DC177" s="560">
        <f t="shared" si="411"/>
        <v>4.4510054327602884</v>
      </c>
      <c r="DD177" s="545">
        <f t="shared" si="412"/>
        <v>8.1178834561286006</v>
      </c>
      <c r="DE177" s="545">
        <f>IF(AND($O177&gt;0,Sheet1!EO179=1),(1-($O177-Sheet1!$L179)/$O177)*CZ177,0)</f>
        <v>0</v>
      </c>
      <c r="DF177" s="545">
        <f>IF(AND(Sheet1!$L179=0,Sheet1!$L178=0, Calculation!CY177&lt;Sheet1!$EK179-0.1,Sheet1!$EK179=Sheet1!$EK178,Sheet1!$EK179=Sheet1!$EK180),Sheet1!$EK179,CZ177-DE177)</f>
        <v>8.1178834561286006</v>
      </c>
      <c r="DG177" s="545"/>
      <c r="DH177" s="560">
        <f t="shared" si="413"/>
        <v>10.76</v>
      </c>
      <c r="DI177" s="560">
        <f t="shared" si="414"/>
        <v>1203.0511759188621</v>
      </c>
      <c r="DJ177" s="698">
        <f t="shared" si="415"/>
        <v>10.810448760884126</v>
      </c>
      <c r="DK177" s="560">
        <f ca="1">IF(B177&gt;Summary!$A$1,#N/A,DI177*MGtoAF)</f>
        <v>3690.9610077190691</v>
      </c>
      <c r="DL177" s="698">
        <f t="shared" si="416"/>
        <v>10.76</v>
      </c>
      <c r="DM177" s="560">
        <f t="shared" si="417"/>
        <v>29.86</v>
      </c>
      <c r="DN177" s="560">
        <f>Sheet1!AB179-DM177</f>
        <v>0.14000000000000057</v>
      </c>
      <c r="DO177" s="823">
        <f t="shared" si="418"/>
        <v>4.6885465505693428E-3</v>
      </c>
      <c r="DP177" s="560">
        <f>(VLOOKUP(Sheet1!DC179,hhdcap_wcm,4)-(((VLOOKUP(Sheet1!DC179,hhdcap_wcm,3)-Sheet1!DC179)/(VLOOKUP(Sheet1!DC179,hhdcap_wcm,3)-VLOOKUP(Sheet1!DC179,hhdcap_wcm,1)))*(VLOOKUP(Sheet1!DC179,hhdcap_wcm,4)-VLOOKUP(Sheet1!DC179,hhdcap_wcm,2))))</f>
        <v>49485.000000118445</v>
      </c>
      <c r="DQ177" s="560">
        <f t="shared" si="419"/>
        <v>79.799999998947897</v>
      </c>
      <c r="DR177" s="560">
        <f t="shared" si="420"/>
        <v>40.242057488122988</v>
      </c>
      <c r="DS177" s="560">
        <f>Sheet1!EA179*AFtoMG</f>
        <v>0</v>
      </c>
      <c r="DT177" s="560">
        <f>Sheet1!EB179*AFtoMG</f>
        <v>0</v>
      </c>
      <c r="DU177" s="560">
        <f>Sheet1!EC179*AFtoMG</f>
        <v>0</v>
      </c>
      <c r="DV177" s="560">
        <f>Sheet1!ED179*AFtoMG</f>
        <v>0</v>
      </c>
      <c r="DW177" s="560">
        <f t="shared" si="421"/>
        <v>0</v>
      </c>
      <c r="DX177" s="560">
        <f t="shared" si="422"/>
        <v>0</v>
      </c>
      <c r="DY177" s="560">
        <f t="shared" si="423"/>
        <v>6454.3872870299738</v>
      </c>
      <c r="DZ177" s="560">
        <f t="shared" si="424"/>
        <v>19802.060196607959</v>
      </c>
      <c r="EA177" s="560"/>
      <c r="EB177" s="545">
        <f>IF(OR(B177&lt;FV177,B177&gt;FW177),(MIN(BF177+BY177+CT177+MAX(Sheet1!AA179+AQ177-73,0),K177)),0)</f>
        <v>10.810448760884126</v>
      </c>
      <c r="EC177" s="560"/>
      <c r="ED177" s="560">
        <f t="shared" si="425"/>
        <v>10.810448760884126</v>
      </c>
      <c r="EE177" s="560"/>
      <c r="EF177" s="560">
        <f>Sheet1!EH179+Sheet1!EI179+Sheet1!EJ179+Sheet1!EK179</f>
        <v>10.76</v>
      </c>
      <c r="EG177" s="560"/>
      <c r="EH177" s="545">
        <f t="shared" si="426"/>
        <v>0</v>
      </c>
      <c r="EI177" s="560">
        <f>IF(Sheet1!ET179=1,SUM('Calculations II'!AT177:BA177)+'Calculations II'!BC177+Sheet1!BV179+'Calculations II'!BE177+AP177,SUM('Calculations II'!AT177:BA177)+'Calculations II'!BC177+Sheet1!BV179+'Calculations II'!BE177+AP177)</f>
        <v>61.051423999999997</v>
      </c>
      <c r="EJ177" s="560">
        <f>Sheet1!AA179+Sheet1!AB179+'Calculations II'!BC177</f>
        <v>64.3</v>
      </c>
      <c r="EK177" s="560"/>
      <c r="EL177" s="560"/>
      <c r="EM177" s="560">
        <f t="shared" si="427"/>
        <v>41805</v>
      </c>
      <c r="EN177" s="560">
        <f t="shared" si="428"/>
        <v>53.829551239115872</v>
      </c>
      <c r="EO177" s="560">
        <f t="shared" si="429"/>
        <v>83.274315766912252</v>
      </c>
      <c r="EP177" s="560">
        <v>0</v>
      </c>
      <c r="EQ177" s="560">
        <v>0</v>
      </c>
      <c r="ER177" s="560">
        <v>0</v>
      </c>
      <c r="ES177" s="545">
        <f t="shared" si="349"/>
        <v>0.83250507074517377</v>
      </c>
      <c r="ET177" s="560">
        <f>-(VLOOKUP(Sheet1!BQ179,Lookup!$O$4:$Q$262,2)-VLOOKUP(Sheet1!BQ178,Lookup!$O$4:$Q$262,2))/1000000</f>
        <v>0.41626215696859359</v>
      </c>
      <c r="EU177" s="560">
        <f>-(VLOOKUP(Sheet1!BR179,Lookup!$O$4:$Q$262,3)-VLOOKUP(Sheet1!BR178,Lookup!$O$4:$Q$262,3))/1000000</f>
        <v>0.41624291377658024</v>
      </c>
      <c r="EV177" s="560"/>
      <c r="EW177" s="560"/>
      <c r="EX177" s="560"/>
      <c r="EY177" s="560"/>
      <c r="EZ177" s="560"/>
      <c r="FA177" s="560"/>
      <c r="FB177" s="560"/>
      <c r="FC177" s="560"/>
      <c r="FD177" s="594" t="e">
        <f t="shared" si="430"/>
        <v>#N/A</v>
      </c>
      <c r="FE177" s="594" t="e">
        <f t="shared" si="431"/>
        <v>#N/A</v>
      </c>
      <c r="FF177" s="595" t="e">
        <f t="shared" si="432"/>
        <v>#N/A</v>
      </c>
      <c r="FG177" s="596" t="s">
        <v>692</v>
      </c>
      <c r="FH177" s="596" t="s">
        <v>692</v>
      </c>
      <c r="FI177" s="594" t="e">
        <v>#N/A</v>
      </c>
      <c r="FJ177" s="594" t="e">
        <v>#N/A</v>
      </c>
      <c r="FK177" s="560">
        <v>24350</v>
      </c>
      <c r="FL177" s="560"/>
      <c r="FM177" s="560"/>
      <c r="FN177" s="560"/>
      <c r="FO177" s="560">
        <f>O177+((Sheet1!CS179)*GPMtoMGD)</f>
        <v>64.3</v>
      </c>
      <c r="FP177" s="560">
        <f>IF(Sheet1!AA179+AQ177&lt;=Calculation!N177,AQ177,Calculation!N177-Sheet1!AA179)</f>
        <v>17.582049564634964</v>
      </c>
      <c r="FQ177" s="560">
        <f>(Sheet1!BP179+Sheet1!BO179)/694.4</f>
        <v>1.871975806451613</v>
      </c>
      <c r="FR177" s="560"/>
      <c r="FS177" s="560"/>
      <c r="FT177" s="560"/>
      <c r="FU177" s="560"/>
      <c r="FV177" s="695">
        <f t="shared" si="350"/>
        <v>41827</v>
      </c>
      <c r="FW177" s="695">
        <f t="shared" si="351"/>
        <v>41934</v>
      </c>
      <c r="FX177" s="560"/>
      <c r="FY177" s="560"/>
      <c r="FZ177" s="560"/>
      <c r="GA177" s="560"/>
      <c r="GB177" s="560" t="str">
        <f t="shared" si="352"/>
        <v>n</v>
      </c>
      <c r="GC177" s="564">
        <f t="shared" si="353"/>
        <v>41691</v>
      </c>
      <c r="GD177" s="695">
        <f t="shared" si="354"/>
        <v>41807</v>
      </c>
      <c r="GE177" s="560">
        <v>6518.9</v>
      </c>
      <c r="GF177" s="695">
        <f t="shared" si="355"/>
        <v>41808</v>
      </c>
      <c r="GG177" s="560">
        <f t="shared" si="374"/>
        <v>3259</v>
      </c>
      <c r="GH177" s="564">
        <f t="shared" si="356"/>
        <v>41934</v>
      </c>
      <c r="GJ177" s="545">
        <f t="shared" si="357"/>
        <v>49.378545806355589</v>
      </c>
      <c r="GK177" s="560" t="str">
        <f t="shared" si="433"/>
        <v>P</v>
      </c>
      <c r="GL177" s="560">
        <f t="shared" si="358"/>
        <v>26.933333333333334</v>
      </c>
      <c r="GM177" s="560" t="str">
        <f t="shared" si="359"/>
        <v/>
      </c>
      <c r="GN177" s="560">
        <f>IF(GK177="P",Lookup!$M$12,IF(GK177="PP",Lookup!$M$13,IF(GK177="PPP",Lookup!$M$14,IF(GK177="T",Lookup!$M$15,IF(GK177="TP",Lookup!$M$16,IF(GK177="TPP",Lookup!$M$17,IF(GK177="TPPP",Lookup!$M$18,0)))))))*GJ177</f>
        <v>0</v>
      </c>
      <c r="GO177" s="560">
        <f t="shared" si="360"/>
        <v>0</v>
      </c>
      <c r="GP177" s="560">
        <f t="shared" si="434"/>
        <v>8333.3271666666678</v>
      </c>
      <c r="GQ177" s="560">
        <f t="shared" si="368"/>
        <v>2716.2083333333335</v>
      </c>
      <c r="GR177" s="560"/>
      <c r="GS177" s="560">
        <f t="shared" si="361"/>
        <v>12.568888888888889</v>
      </c>
      <c r="GT177" s="560" t="str">
        <f t="shared" si="362"/>
        <v/>
      </c>
      <c r="GU177" s="560">
        <f>IF(GK177="P",Lookup!$N$12,IF(GK177="PP",Lookup!$N$13,IF(GK177="PPP",Lookup!$N$14,IF(GK177="T",Lookup!$N$15,IF(GK177="TP",Lookup!$N$16,IF(GK177="TPP",Lookup!$N$17,IF(GK177="TPPP",Lookup!$N$18,0)))))))*GJ177</f>
        <v>49.378545806355589</v>
      </c>
      <c r="GV177" s="560">
        <f t="shared" si="363"/>
        <v>0</v>
      </c>
      <c r="GW177" s="560">
        <f t="shared" si="435"/>
        <v>3888.8860111111112</v>
      </c>
      <c r="GX177" s="560">
        <f t="shared" si="369"/>
        <v>1267.5638888888889</v>
      </c>
      <c r="GY177" s="560"/>
      <c r="GZ177" s="560">
        <f t="shared" si="364"/>
        <v>9.8763235841333632</v>
      </c>
      <c r="HA177" s="560" t="str">
        <f t="shared" si="365"/>
        <v/>
      </c>
      <c r="HB177" s="560">
        <f>IF(GK177="P",Lookup!$N$12,IF(GK177="PP",Lookup!$N$13,IF(GK177="PPP",Lookup!$N$14,IF(GK177="T",Lookup!$N$15,IF(GK177="TP",Lookup!$N$16,IF(GK177="TPP",Lookup!$N$17,IF(GK177="TPPP",Lookup!$N$18,0)))))))*GJ177</f>
        <v>49.378545806355589</v>
      </c>
      <c r="HC177" s="545">
        <f t="shared" si="436"/>
        <v>0</v>
      </c>
      <c r="HD177" s="560">
        <f t="shared" si="437"/>
        <v>3888.8860111111112</v>
      </c>
      <c r="HE177" s="560">
        <f t="shared" si="370"/>
        <v>1267.5638888888889</v>
      </c>
      <c r="HF177" s="560"/>
      <c r="HG177" s="560">
        <f t="shared" si="366"/>
        <v>0</v>
      </c>
      <c r="HH177" s="560" t="str">
        <f t="shared" si="367"/>
        <v>P</v>
      </c>
      <c r="HI177" s="560">
        <f>IF(GK177="P",Lookup!$N$12,IF(GK177="PP",Lookup!$N$13,IF(GK177="PPP",Lookup!$N$14,IF(GK177="T",Lookup!$N$15,IF(GK177="TP",Lookup!$N$16,IF(GK177="TPP",Lookup!$N$17,IF(GK177="TPPP",Lookup!$N$18,0)))))))*GJ177</f>
        <v>49.378545806355589</v>
      </c>
      <c r="HJ177" s="545">
        <f t="shared" si="438"/>
        <v>49.378545806355589</v>
      </c>
      <c r="HK177" s="560">
        <f t="shared" si="439"/>
        <v>3539.4676291851702</v>
      </c>
      <c r="HL177" s="560">
        <f t="shared" si="371"/>
        <v>1153.6726301125066</v>
      </c>
      <c r="HM177" s="560"/>
    </row>
    <row r="178" spans="1:221">
      <c r="A178" s="580" t="s">
        <v>4</v>
      </c>
      <c r="B178" s="556">
        <v>41806</v>
      </c>
      <c r="C178" s="561">
        <v>0</v>
      </c>
      <c r="D178" s="529">
        <f t="shared" si="372"/>
        <v>300</v>
      </c>
      <c r="E178" s="529">
        <f t="shared" si="373"/>
        <v>250</v>
      </c>
      <c r="F178" s="529">
        <v>250</v>
      </c>
      <c r="G178" s="560">
        <f>DR178+Sheet1!CZ180</f>
        <v>699.47755925418517</v>
      </c>
      <c r="H178" s="1082">
        <f t="shared" si="441"/>
        <v>258.22229430190527</v>
      </c>
      <c r="I178" s="559">
        <f>Sheet1!DA180-E178</f>
        <v>504</v>
      </c>
      <c r="J178" s="562">
        <f>Sheet1!DB180-Calculation!D178</f>
        <v>311</v>
      </c>
      <c r="K178" s="904">
        <f t="shared" si="375"/>
        <v>64.64</v>
      </c>
      <c r="L178" s="560">
        <f>Sheet1!AA180+Sheet1!AB180-Sheet1!L180+(Sheet1!DA180-F178)*CFStoMGD</f>
        <v>388.99559999999997</v>
      </c>
      <c r="M178" s="560">
        <f t="shared" si="376"/>
        <v>461.18514018794343</v>
      </c>
      <c r="N178" s="910">
        <f>IF(Sheet1!DA180&gt;=F178,MIN(73,MIN(MAX(L178,0),MAX(M178,0))),0)</f>
        <v>73</v>
      </c>
      <c r="O178" s="563">
        <f>Sheet1!AA180+Sheet1!AB180</f>
        <v>63.21</v>
      </c>
      <c r="P178" s="563">
        <f t="shared" si="377"/>
        <v>97.785869999999989</v>
      </c>
      <c r="Q178" s="898">
        <f t="shared" si="339"/>
        <v>52.21</v>
      </c>
      <c r="R178" s="829">
        <f t="shared" si="378"/>
        <v>10.928104575163399</v>
      </c>
      <c r="S178" s="898">
        <f t="shared" si="340"/>
        <v>11</v>
      </c>
      <c r="T178" s="898">
        <f t="shared" si="341"/>
        <v>53.64</v>
      </c>
      <c r="U178" s="898">
        <f t="shared" si="342"/>
        <v>0</v>
      </c>
      <c r="V178" s="898"/>
      <c r="W178" s="898">
        <f t="shared" si="343"/>
        <v>53.711895424836598</v>
      </c>
      <c r="X178" s="898">
        <f t="shared" si="344"/>
        <v>64.64</v>
      </c>
      <c r="Y178" s="898" t="str">
        <f t="shared" si="345"/>
        <v>FALSE</v>
      </c>
      <c r="Z178" s="898">
        <f t="shared" si="346"/>
        <v>63.21</v>
      </c>
      <c r="AA178" s="898">
        <f t="shared" si="347"/>
        <v>63.21</v>
      </c>
      <c r="AB178" s="898" t="str">
        <f t="shared" si="348"/>
        <v/>
      </c>
      <c r="AC178" s="563">
        <f>Sheet1!Y180*MGDtoCFS</f>
        <v>53.062099999999994</v>
      </c>
      <c r="AD178" s="563">
        <f>Sheet1!Z180*MGDtoCFS</f>
        <v>46.41</v>
      </c>
      <c r="AE178" s="563">
        <f>Sheet1!AA180*MGDtoCFS</f>
        <v>50.757069999999999</v>
      </c>
      <c r="AF178" s="563">
        <f>Sheet1!AB180*MGDtoCFS</f>
        <v>47.028799999999997</v>
      </c>
      <c r="AG178" s="563">
        <f>Sheet1!L180*MGDtoCFS</f>
        <v>0</v>
      </c>
      <c r="AH178" s="545">
        <f t="shared" si="379"/>
        <v>0</v>
      </c>
      <c r="AI178" s="560">
        <f t="shared" si="380"/>
        <v>0</v>
      </c>
      <c r="AJ178" s="560">
        <f t="shared" si="381"/>
        <v>53.711895424836598</v>
      </c>
      <c r="AK178" s="560">
        <f t="shared" si="382"/>
        <v>83.092302222222216</v>
      </c>
      <c r="AL178" s="560">
        <f>(VLOOKUP(Sheet1!DC180,hhdcap_wcm,4)-(((VLOOKUP(Sheet1!DC180,hhdcap_wcm,3)-Sheet1!DC180)/(VLOOKUP(Sheet1!DC180,hhdcap_wcm,3)-VLOOKUP(Sheet1!DC180,hhdcap_wcm,1)))*(VLOOKUP(Sheet1!DC180,hhdcap_wcm,4)-VLOOKUP(Sheet1!DC180,hhdcap_wcm,2))))</f>
        <v>49666.400000119495</v>
      </c>
      <c r="AM178" s="560">
        <f t="shared" si="383"/>
        <v>181.40000000104919</v>
      </c>
      <c r="AN178" s="560">
        <f t="shared" si="384"/>
        <v>6508.0991824548109</v>
      </c>
      <c r="AO178" s="560">
        <f t="shared" si="385"/>
        <v>19966.848291771359</v>
      </c>
      <c r="AP178" s="560">
        <f>Sheet1!BA180+Sheet1!BB180+Sheet1!BN180+CD178</f>
        <v>19.600000000000001</v>
      </c>
      <c r="AQ178" s="560">
        <f>Sheet1!BN180+(DO178*Sheet1!BN180)</f>
        <v>17.882352941176467</v>
      </c>
      <c r="AR178" s="560">
        <f>Sheet1!BA180+CD178</f>
        <v>0</v>
      </c>
      <c r="AS178" s="560">
        <f>Sheet1!BA180+Sheet1!BB180+CD178</f>
        <v>1.6</v>
      </c>
      <c r="AT178" s="698">
        <f>0</f>
        <v>0</v>
      </c>
      <c r="AU178" s="560">
        <f>IF(EB178&lt;K178,0,MAX(Sheet1!AA180+AQ178-15/36*K178-N178,Sheet1!EH180,0))</f>
        <v>0</v>
      </c>
      <c r="AV178" s="560">
        <f>IF(OR(B178&gt;=GD178,B178&lt;GC178),0,15/36*K178-MAX(0,64.6-(137.6-(Sheet1!AA180+Sheet1!AB180))))</f>
        <v>26.933333333333334</v>
      </c>
      <c r="AW178" s="698">
        <f>Sheet1!DB180-110</f>
        <v>501</v>
      </c>
      <c r="AX178" s="698">
        <f>Sheet1!DA180-265</f>
        <v>489</v>
      </c>
      <c r="AY178" s="698">
        <f t="shared" si="386"/>
        <v>20.79</v>
      </c>
      <c r="AZ178" s="698">
        <v>0</v>
      </c>
      <c r="BA178" s="698">
        <f t="shared" si="387"/>
        <v>0</v>
      </c>
      <c r="BB178" s="560">
        <f t="shared" si="388"/>
        <v>2716.2083333333335</v>
      </c>
      <c r="BC178" s="560"/>
      <c r="BD178" s="560">
        <f ca="1">IF(B178&gt;Summary!$A$1,#N/A,BB178*MGtoAF)</f>
        <v>8333.3271666666678</v>
      </c>
      <c r="BE178" s="560">
        <f>Sheet1!BG180+Sheet1!BH180+Sheet1!BI180-BM178</f>
        <v>0</v>
      </c>
      <c r="BF178" s="560">
        <f t="shared" si="389"/>
        <v>0</v>
      </c>
      <c r="BG178" s="560">
        <f>IF(Sheet1!EP180="FM",BM178,0)</f>
        <v>0</v>
      </c>
      <c r="BH178" s="560">
        <f t="shared" si="390"/>
        <v>0</v>
      </c>
      <c r="BI178" s="560">
        <f>IF(Sheet1!EP180="OTHER",BM178,0)</f>
        <v>0</v>
      </c>
      <c r="BJ178" s="560">
        <f t="shared" si="391"/>
        <v>0</v>
      </c>
      <c r="BK178" s="560">
        <f t="shared" si="392"/>
        <v>0</v>
      </c>
      <c r="BL178" s="560">
        <f t="shared" si="393"/>
        <v>0</v>
      </c>
      <c r="BM178" s="560">
        <f>IF(OR(Sheet1!EP180="FM", Sheet1!EP180="OTHER"),SUM(Sheet1!BG180:'Sheet1'!BI180),0)</f>
        <v>0</v>
      </c>
      <c r="BN178" s="545">
        <f>IF(AND($B178&gt;=$FV178,$B178&lt;=$FW178),MAX(BF178,Sheet1!EI180,0),MAX(BF178-(7/36)*$K178,0))</f>
        <v>0</v>
      </c>
      <c r="BO178" s="560">
        <f t="shared" si="394"/>
        <v>12.568888888888889</v>
      </c>
      <c r="BP178" s="545">
        <f t="shared" si="395"/>
        <v>0</v>
      </c>
      <c r="BQ178" s="545">
        <f>IF(AND($O178&gt;0,Sheet1!EM180=1),(1-($O178-Sheet1!$L180)/$O178)*BL178,0)</f>
        <v>0</v>
      </c>
      <c r="BR178" s="545">
        <f>IF(AND(Sheet1!$L180=0,Sheet1!$L179=0, Calculation!BK178&lt;Sheet1!$EI180-0.1,Sheet1!$EI180=Sheet1!$EI179,Sheet1!$EI180=Sheet1!$EI181),Sheet1!$EI180,BL178-BQ178)</f>
        <v>0</v>
      </c>
      <c r="BS178" s="560"/>
      <c r="BT178" s="560"/>
      <c r="BU178" s="560">
        <f t="shared" si="396"/>
        <v>1267.5638888888889</v>
      </c>
      <c r="BV178" s="560"/>
      <c r="BW178" s="560">
        <f ca="1">IF(B178&gt;Summary!$A$1,#N/A,BU178*MGtoAF)</f>
        <v>3888.8860111111112</v>
      </c>
      <c r="BX178" s="560">
        <f>Sheet1!BC180+Sheet1!BD180+Sheet1!BE180+Sheet1!BF180-CG178-CH178</f>
        <v>2.99</v>
      </c>
      <c r="BY178" s="560">
        <f t="shared" si="397"/>
        <v>2.9704575163398692</v>
      </c>
      <c r="BZ178" s="560">
        <f>IF(Sheet1!EQ180="FM",CH178,0)</f>
        <v>0</v>
      </c>
      <c r="CA178" s="560">
        <f t="shared" si="398"/>
        <v>0</v>
      </c>
      <c r="CB178" s="560">
        <f>IF(Sheet1!EQ180="OTHER",CH178,0)</f>
        <v>0</v>
      </c>
      <c r="CC178" s="560">
        <f t="shared" si="399"/>
        <v>0</v>
      </c>
      <c r="CD178" s="560">
        <f t="shared" si="400"/>
        <v>0</v>
      </c>
      <c r="CE178" s="560">
        <f t="shared" si="401"/>
        <v>2.99</v>
      </c>
      <c r="CF178" s="560">
        <f t="shared" si="402"/>
        <v>2.9704575163398692</v>
      </c>
      <c r="CG178" s="560">
        <f>IF(Sheet1!EQ180="CWA",SUM(Sheet1!BC180:'Sheet1'!BF180),0)</f>
        <v>0</v>
      </c>
      <c r="CH178" s="560">
        <f>IF(OR(Sheet1!EQ180="FM", Sheet1!EQ180="OTHER"),SUM(Sheet1!BC180:'Sheet1'!BF180),0)</f>
        <v>0</v>
      </c>
      <c r="CI178" s="545">
        <f>IF(AND($B178&gt;=$FV178,$B178&lt;=$FW178),MAX(CF178,Sheet1!EJ180,0),MAX(CF178-(7/36)*$K178,0))</f>
        <v>0</v>
      </c>
      <c r="CJ178" s="560">
        <f t="shared" si="403"/>
        <v>9.5984313725490189</v>
      </c>
      <c r="CK178" s="545">
        <f t="shared" si="404"/>
        <v>2.9704575163398692</v>
      </c>
      <c r="CL178" s="545">
        <f>IF(AND($O178&gt;0,Sheet1!EN180=1),(1-($O178-Sheet1!$L180)/$O178)*CF178,0)</f>
        <v>0</v>
      </c>
      <c r="CM178" s="545">
        <f>IF(AND(Sheet1!$L180=0,Sheet1!$L179=0, Calculation!CE178&lt;Sheet1!EJ180-0.1,Sheet1!EJ180=Sheet1!EJ179,Sheet1!EJ180=Sheet1!EJ181),Sheet1!EJ180,CF178-CL178)</f>
        <v>2.9704575163398692</v>
      </c>
      <c r="CN178" s="545"/>
      <c r="CO178" s="560"/>
      <c r="CP178" s="560">
        <f t="shared" si="405"/>
        <v>1267.5638888888889</v>
      </c>
      <c r="CQ178" s="560"/>
      <c r="CR178" s="560">
        <f ca="1">IF(B178&gt;Summary!$A$1,#N/A,CP178*MGtoAF)</f>
        <v>3888.8860111111112</v>
      </c>
      <c r="CS178" s="560">
        <f>Sheet1!BK180+Sheet1!BL180+Sheet1!BM180-Sheet1!ER180-DA178</f>
        <v>8.01</v>
      </c>
      <c r="CT178" s="560">
        <f t="shared" si="406"/>
        <v>7.9576470588235289</v>
      </c>
      <c r="CU178" s="560">
        <f>IF(Sheet1!ER180="FM",DA178,0)</f>
        <v>0</v>
      </c>
      <c r="CV178" s="560">
        <f t="shared" si="407"/>
        <v>0</v>
      </c>
      <c r="CW178" s="560">
        <f>IF(Sheet1!ER180="OTHER",DA178,0)</f>
        <v>0</v>
      </c>
      <c r="CX178" s="560">
        <f t="shared" si="408"/>
        <v>0</v>
      </c>
      <c r="CY178" s="560">
        <f t="shared" si="409"/>
        <v>8.01</v>
      </c>
      <c r="CZ178" s="560">
        <f t="shared" si="410"/>
        <v>7.9576470588235289</v>
      </c>
      <c r="DA178" s="560">
        <f>IF(OR(Sheet1!ER180="FM", Sheet1!ER180="OTHER"),SUM(Sheet1!BK180:'Sheet1'!BM180),0)</f>
        <v>0</v>
      </c>
      <c r="DB178" s="545">
        <f>IF(AND($B178&gt;=$FV178,$B178&lt;=$FW178),MAX($CT178,Sheet1!EK180,0),MAX($CT178-(7/36)*$K178,0))</f>
        <v>0</v>
      </c>
      <c r="DC178" s="560">
        <f t="shared" si="411"/>
        <v>4.6112418300653601</v>
      </c>
      <c r="DD178" s="545">
        <f t="shared" si="412"/>
        <v>7.9576470588235289</v>
      </c>
      <c r="DE178" s="545">
        <f>IF(AND($O178&gt;0,Sheet1!EO180=1),(1-($O178-Sheet1!$L180)/$O178)*CZ178,0)</f>
        <v>0</v>
      </c>
      <c r="DF178" s="545">
        <f>IF(AND(Sheet1!$L180=0,Sheet1!$L179=0, Calculation!CY178&lt;Sheet1!$EK180-0.1,Sheet1!$EK180=Sheet1!$EK179,Sheet1!$EK180=Sheet1!$EK181),Sheet1!$EK180,CZ178-DE178)</f>
        <v>7.9576470588235289</v>
      </c>
      <c r="DG178" s="545"/>
      <c r="DH178" s="560">
        <f t="shared" si="413"/>
        <v>11</v>
      </c>
      <c r="DI178" s="560">
        <f t="shared" si="414"/>
        <v>1256.7630713436988</v>
      </c>
      <c r="DJ178" s="698">
        <f t="shared" si="415"/>
        <v>10.928104575163399</v>
      </c>
      <c r="DK178" s="560">
        <f ca="1">IF(B178&gt;Summary!$A$1,#N/A,DI178*MGtoAF)</f>
        <v>3855.7491028824679</v>
      </c>
      <c r="DL178" s="698">
        <f t="shared" si="416"/>
        <v>11</v>
      </c>
      <c r="DM178" s="560">
        <f t="shared" si="417"/>
        <v>30.6</v>
      </c>
      <c r="DN178" s="560">
        <f>Sheet1!AB180-DM178</f>
        <v>-0.20000000000000284</v>
      </c>
      <c r="DO178" s="823">
        <f t="shared" si="418"/>
        <v>-6.5359477124183937E-3</v>
      </c>
      <c r="DP178" s="560">
        <f>(VLOOKUP(Sheet1!DC180,hhdcap_wcm,4)-(((VLOOKUP(Sheet1!DC180,hhdcap_wcm,3)-Sheet1!DC180)/(VLOOKUP(Sheet1!DC180,hhdcap_wcm,3)-VLOOKUP(Sheet1!DC180,hhdcap_wcm,1)))*(VLOOKUP(Sheet1!DC180,hhdcap_wcm,4)-VLOOKUP(Sheet1!DC180,hhdcap_wcm,2))))</f>
        <v>49666.400000119495</v>
      </c>
      <c r="DQ178" s="560">
        <f t="shared" si="419"/>
        <v>181.40000000104919</v>
      </c>
      <c r="DR178" s="560">
        <f t="shared" si="420"/>
        <v>91.477559254185152</v>
      </c>
      <c r="DS178" s="560">
        <f>Sheet1!EA180*AFtoMG</f>
        <v>0</v>
      </c>
      <c r="DT178" s="560">
        <f>Sheet1!EB180*AFtoMG</f>
        <v>0</v>
      </c>
      <c r="DU178" s="560">
        <f>Sheet1!EC180*AFtoMG</f>
        <v>0</v>
      </c>
      <c r="DV178" s="560">
        <f>Sheet1!ED180*AFtoMG</f>
        <v>0</v>
      </c>
      <c r="DW178" s="560">
        <f t="shared" si="421"/>
        <v>0</v>
      </c>
      <c r="DX178" s="560">
        <f t="shared" si="422"/>
        <v>0</v>
      </c>
      <c r="DY178" s="560">
        <f t="shared" si="423"/>
        <v>6508.0991824548109</v>
      </c>
      <c r="DZ178" s="560">
        <f t="shared" si="424"/>
        <v>19966.848291771359</v>
      </c>
      <c r="EA178" s="560"/>
      <c r="EB178" s="545">
        <f>IF(OR(B178&lt;FV178,B178&gt;FW178),(MIN(BF178+BY178+CT178+MAX(Sheet1!AA180+AQ178-73,0),K178)),0)</f>
        <v>10.928104575163399</v>
      </c>
      <c r="EC178" s="560"/>
      <c r="ED178" s="560">
        <f t="shared" si="425"/>
        <v>10.928104575163399</v>
      </c>
      <c r="EE178" s="560"/>
      <c r="EF178" s="560">
        <f>Sheet1!EH180+Sheet1!EI180+Sheet1!EJ180+Sheet1!EK180</f>
        <v>11</v>
      </c>
      <c r="EG178" s="560"/>
      <c r="EH178" s="545">
        <f t="shared" si="426"/>
        <v>0</v>
      </c>
      <c r="EI178" s="560">
        <f>IF(Sheet1!ET180=1,SUM('Calculations II'!AT178:BA178)+'Calculations II'!BC178+Sheet1!BV180+'Calculations II'!BE178+AP178,SUM('Calculations II'!AT178:BA178)+'Calculations II'!BC178+Sheet1!BV180+'Calculations II'!BE178+AP178)</f>
        <v>65.733648000000002</v>
      </c>
      <c r="EJ178" s="560">
        <f>Sheet1!AA180+Sheet1!AB180+'Calculations II'!BC178</f>
        <v>63.21</v>
      </c>
      <c r="EK178" s="560"/>
      <c r="EL178" s="560"/>
      <c r="EM178" s="560">
        <f t="shared" si="427"/>
        <v>41806</v>
      </c>
      <c r="EN178" s="560">
        <f t="shared" si="428"/>
        <v>53.711895424836598</v>
      </c>
      <c r="EO178" s="560">
        <f t="shared" si="429"/>
        <v>83.092302222222216</v>
      </c>
      <c r="EP178" s="560">
        <v>0</v>
      </c>
      <c r="EQ178" s="560">
        <v>0</v>
      </c>
      <c r="ER178" s="560">
        <v>0</v>
      </c>
      <c r="ES178" s="545">
        <f t="shared" si="349"/>
        <v>6.1015099036983029</v>
      </c>
      <c r="ET178" s="560">
        <f>-(VLOOKUP(Sheet1!BQ180,Lookup!$O$4:$Q$262,2)-VLOOKUP(Sheet1!BQ179,Lookup!$O$4:$Q$262,2))/1000000</f>
        <v>3.0508254898974152</v>
      </c>
      <c r="EU178" s="560">
        <f>-(VLOOKUP(Sheet1!BR180,Lookup!$O$4:$Q$262,3)-VLOOKUP(Sheet1!BR179,Lookup!$O$4:$Q$262,3))/1000000</f>
        <v>3.0506844138008877</v>
      </c>
      <c r="EV178" s="560"/>
      <c r="EW178" s="560"/>
      <c r="EX178" s="560"/>
      <c r="EY178" s="560"/>
      <c r="EZ178" s="560"/>
      <c r="FA178" s="560"/>
      <c r="FB178" s="560"/>
      <c r="FC178" s="560"/>
      <c r="FD178" s="594" t="e">
        <f t="shared" si="430"/>
        <v>#N/A</v>
      </c>
      <c r="FE178" s="594" t="e">
        <f t="shared" si="431"/>
        <v>#N/A</v>
      </c>
      <c r="FF178" s="595" t="e">
        <f t="shared" si="432"/>
        <v>#N/A</v>
      </c>
      <c r="FG178" s="596" t="s">
        <v>692</v>
      </c>
      <c r="FH178" s="596" t="s">
        <v>692</v>
      </c>
      <c r="FI178" s="594" t="e">
        <v>#N/A</v>
      </c>
      <c r="FJ178" s="594" t="e">
        <v>#N/A</v>
      </c>
      <c r="FK178" s="560">
        <v>24300</v>
      </c>
      <c r="FL178" s="560"/>
      <c r="FM178" s="560"/>
      <c r="FN178" s="560"/>
      <c r="FO178" s="560">
        <f>O178+((Sheet1!CS180)*GPMtoMGD)</f>
        <v>63.21</v>
      </c>
      <c r="FP178" s="560">
        <f>IF(Sheet1!AA180+AQ178&lt;=Calculation!N178,AQ178,Calculation!N178-Sheet1!AA180)</f>
        <v>17.882352941176467</v>
      </c>
      <c r="FQ178" s="560">
        <f>(Sheet1!BP180+Sheet1!BO180)/694.4</f>
        <v>2.5108006912442398</v>
      </c>
      <c r="FR178" s="560"/>
      <c r="FS178" s="560"/>
      <c r="FT178" s="560"/>
      <c r="FU178" s="560"/>
      <c r="FV178" s="695">
        <f t="shared" si="350"/>
        <v>41827</v>
      </c>
      <c r="FW178" s="695">
        <f t="shared" si="351"/>
        <v>41934</v>
      </c>
      <c r="FX178" s="560"/>
      <c r="FY178" s="560"/>
      <c r="FZ178" s="560"/>
      <c r="GA178" s="560"/>
      <c r="GB178" s="560" t="str">
        <f t="shared" si="352"/>
        <v>n</v>
      </c>
      <c r="GC178" s="564">
        <f t="shared" si="353"/>
        <v>41691</v>
      </c>
      <c r="GD178" s="695">
        <f t="shared" si="354"/>
        <v>41807</v>
      </c>
      <c r="GE178" s="560">
        <v>6518.9</v>
      </c>
      <c r="GF178" s="695">
        <f t="shared" si="355"/>
        <v>41808</v>
      </c>
      <c r="GG178" s="560">
        <f t="shared" si="374"/>
        <v>3259</v>
      </c>
      <c r="GH178" s="564">
        <f t="shared" si="356"/>
        <v>41934</v>
      </c>
      <c r="GJ178" s="545">
        <f t="shared" si="357"/>
        <v>49.100653594771245</v>
      </c>
      <c r="GK178" s="560" t="str">
        <f t="shared" si="433"/>
        <v>P</v>
      </c>
      <c r="GL178" s="560">
        <f t="shared" si="358"/>
        <v>26.933333333333334</v>
      </c>
      <c r="GM178" s="560" t="str">
        <f t="shared" si="359"/>
        <v/>
      </c>
      <c r="GN178" s="560">
        <f>IF(GK178="P",Lookup!$M$12,IF(GK178="PP",Lookup!$M$13,IF(GK178="PPP",Lookup!$M$14,IF(GK178="T",Lookup!$M$15,IF(GK178="TP",Lookup!$M$16,IF(GK178="TPP",Lookup!$M$17,IF(GK178="TPPP",Lookup!$M$18,0)))))))*GJ178</f>
        <v>0</v>
      </c>
      <c r="GO178" s="560">
        <f t="shared" si="360"/>
        <v>0</v>
      </c>
      <c r="GP178" s="560">
        <f t="shared" si="434"/>
        <v>8333.3271666666678</v>
      </c>
      <c r="GQ178" s="560">
        <f t="shared" si="368"/>
        <v>2716.2083333333335</v>
      </c>
      <c r="GR178" s="560"/>
      <c r="GS178" s="560">
        <f t="shared" si="361"/>
        <v>12.568888888888889</v>
      </c>
      <c r="GT178" s="560" t="str">
        <f t="shared" si="362"/>
        <v/>
      </c>
      <c r="GU178" s="560">
        <f>IF(GK178="P",Lookup!$N$12,IF(GK178="PP",Lookup!$N$13,IF(GK178="PPP",Lookup!$N$14,IF(GK178="T",Lookup!$N$15,IF(GK178="TP",Lookup!$N$16,IF(GK178="TPP",Lookup!$N$17,IF(GK178="TPPP",Lookup!$N$18,0)))))))*GJ178</f>
        <v>49.100653594771245</v>
      </c>
      <c r="GV178" s="560">
        <f t="shared" si="363"/>
        <v>0</v>
      </c>
      <c r="GW178" s="560">
        <f t="shared" si="435"/>
        <v>3888.8860111111112</v>
      </c>
      <c r="GX178" s="560">
        <f t="shared" si="369"/>
        <v>1267.5638888888889</v>
      </c>
      <c r="GY178" s="560"/>
      <c r="GZ178" s="560">
        <f t="shared" si="364"/>
        <v>9.5984313725490189</v>
      </c>
      <c r="HA178" s="560" t="str">
        <f t="shared" si="365"/>
        <v/>
      </c>
      <c r="HB178" s="560">
        <f>IF(GK178="P",Lookup!$N$12,IF(GK178="PP",Lookup!$N$13,IF(GK178="PPP",Lookup!$N$14,IF(GK178="T",Lookup!$N$15,IF(GK178="TP",Lookup!$N$16,IF(GK178="TPP",Lookup!$N$17,IF(GK178="TPPP",Lookup!$N$18,0)))))))*GJ178</f>
        <v>49.100653594771245</v>
      </c>
      <c r="HC178" s="545">
        <f t="shared" si="436"/>
        <v>0</v>
      </c>
      <c r="HD178" s="560">
        <f t="shared" si="437"/>
        <v>3888.8860111111112</v>
      </c>
      <c r="HE178" s="560">
        <f t="shared" si="370"/>
        <v>1267.5638888888889</v>
      </c>
      <c r="HF178" s="560"/>
      <c r="HG178" s="560">
        <f t="shared" si="366"/>
        <v>0</v>
      </c>
      <c r="HH178" s="560" t="str">
        <f t="shared" si="367"/>
        <v>P</v>
      </c>
      <c r="HI178" s="560">
        <f>IF(GK178="P",Lookup!$N$12,IF(GK178="PP",Lookup!$N$13,IF(GK178="PPP",Lookup!$N$14,IF(GK178="T",Lookup!$N$15,IF(GK178="TP",Lookup!$N$16,IF(GK178="TPP",Lookup!$N$17,IF(GK178="TPPP",Lookup!$N$18,0)))))))*GJ178</f>
        <v>49.100653594771245</v>
      </c>
      <c r="HJ178" s="545">
        <f t="shared" si="438"/>
        <v>49.100653594771245</v>
      </c>
      <c r="HK178" s="560">
        <f t="shared" si="439"/>
        <v>3705.1082976537095</v>
      </c>
      <c r="HL178" s="560">
        <f t="shared" si="371"/>
        <v>1207.6624177489275</v>
      </c>
      <c r="HM178" s="560"/>
    </row>
    <row r="179" spans="1:221">
      <c r="A179" s="580" t="s">
        <v>5</v>
      </c>
      <c r="B179" s="556">
        <v>41807</v>
      </c>
      <c r="C179" s="561">
        <v>0</v>
      </c>
      <c r="D179" s="529">
        <f t="shared" si="372"/>
        <v>300</v>
      </c>
      <c r="E179" s="529">
        <f t="shared" si="373"/>
        <v>250</v>
      </c>
      <c r="F179" s="529">
        <v>250</v>
      </c>
      <c r="G179" s="560">
        <f>DR179+Sheet1!CZ181</f>
        <v>663.74886535552264</v>
      </c>
      <c r="H179" s="1082">
        <f t="shared" si="441"/>
        <v>235.12726656580983</v>
      </c>
      <c r="I179" s="559">
        <f>Sheet1!DA181-E179</f>
        <v>575</v>
      </c>
      <c r="J179" s="562">
        <f>Sheet1!DB181-Calculation!D179</f>
        <v>304</v>
      </c>
      <c r="K179" s="904">
        <f t="shared" si="375"/>
        <v>64.64</v>
      </c>
      <c r="L179" s="560">
        <f>Sheet1!AA181+Sheet1!AB181-Sheet1!L181+(Sheet1!DA181-F179)*CFStoMGD</f>
        <v>437.48</v>
      </c>
      <c r="M179" s="560">
        <f t="shared" si="376"/>
        <v>437.62821189712605</v>
      </c>
      <c r="N179" s="910">
        <f>IF(Sheet1!DA181&gt;=F179,MIN(73,MIN(MAX(L179,0),MAX(M179,0))),0)</f>
        <v>73</v>
      </c>
      <c r="O179" s="563">
        <f>Sheet1!AA181+Sheet1!AB181</f>
        <v>65.8</v>
      </c>
      <c r="P179" s="563">
        <f t="shared" si="377"/>
        <v>101.79259999999999</v>
      </c>
      <c r="Q179" s="898">
        <f t="shared" si="339"/>
        <v>54.849999999999994</v>
      </c>
      <c r="R179" s="829">
        <f t="shared" si="378"/>
        <v>10.936743341404359</v>
      </c>
      <c r="S179" s="898">
        <f t="shared" si="340"/>
        <v>10.95</v>
      </c>
      <c r="T179" s="898">
        <f t="shared" si="341"/>
        <v>53.69</v>
      </c>
      <c r="U179" s="898">
        <f t="shared" si="342"/>
        <v>0</v>
      </c>
      <c r="V179" s="898"/>
      <c r="W179" s="898">
        <f t="shared" si="343"/>
        <v>53.703256658595642</v>
      </c>
      <c r="X179" s="898">
        <f t="shared" si="344"/>
        <v>64.64</v>
      </c>
      <c r="Y179" s="898" t="str">
        <f t="shared" si="345"/>
        <v>FALSE</v>
      </c>
      <c r="Z179" s="898">
        <f t="shared" si="346"/>
        <v>65.8</v>
      </c>
      <c r="AA179" s="898">
        <f t="shared" si="347"/>
        <v>65.8</v>
      </c>
      <c r="AB179" s="898" t="str">
        <f t="shared" si="348"/>
        <v/>
      </c>
      <c r="AC179" s="563">
        <f>Sheet1!Y181*MGDtoCFS</f>
        <v>50.757069999999999</v>
      </c>
      <c r="AD179" s="563">
        <f>Sheet1!Z181*MGDtoCFS</f>
        <v>47.028799999999997</v>
      </c>
      <c r="AE179" s="563">
        <f>Sheet1!AA181*MGDtoCFS</f>
        <v>50.741599999999991</v>
      </c>
      <c r="AF179" s="563">
        <f>Sheet1!AB181*MGDtoCFS</f>
        <v>51.050999999999995</v>
      </c>
      <c r="AG179" s="563">
        <f>Sheet1!L181*MGDtoCFS</f>
        <v>0</v>
      </c>
      <c r="AH179" s="545">
        <f t="shared" si="379"/>
        <v>0</v>
      </c>
      <c r="AI179" s="560">
        <f t="shared" si="380"/>
        <v>0</v>
      </c>
      <c r="AJ179" s="560">
        <f t="shared" si="381"/>
        <v>53.703256658595642</v>
      </c>
      <c r="AK179" s="560">
        <f t="shared" si="382"/>
        <v>83.078938050847455</v>
      </c>
      <c r="AL179" s="560">
        <f>(VLOOKUP(Sheet1!DC181,hhdcap_wcm,4)-(((VLOOKUP(Sheet1!DC181,hhdcap_wcm,3)-Sheet1!DC181)/(VLOOKUP(Sheet1!DC181,hhdcap_wcm,3)-VLOOKUP(Sheet1!DC181,hhdcap_wcm,1)))*(VLOOKUP(Sheet1!DC181,hhdcap_wcm,4)-VLOOKUP(Sheet1!DC181,hhdcap_wcm,2))))</f>
        <v>49677.800000119496</v>
      </c>
      <c r="AM179" s="560">
        <f t="shared" si="383"/>
        <v>11.400000000001455</v>
      </c>
      <c r="AN179" s="560">
        <f t="shared" si="384"/>
        <v>6518.9</v>
      </c>
      <c r="AO179" s="560">
        <f t="shared" si="385"/>
        <v>19999.985199999999</v>
      </c>
      <c r="AP179" s="560">
        <f>Sheet1!BA181+Sheet1!BB181+Sheet1!BN181+CD179</f>
        <v>22.09</v>
      </c>
      <c r="AQ179" s="560">
        <f>Sheet1!BN181+(DO179*Sheet1!BN181)</f>
        <v>20.475181598062953</v>
      </c>
      <c r="AR179" s="560">
        <f>Sheet1!BA181+CD179</f>
        <v>0</v>
      </c>
      <c r="AS179" s="560">
        <f>Sheet1!BA181+Sheet1!BB181+CD179</f>
        <v>1.59</v>
      </c>
      <c r="AT179" s="698">
        <f>0</f>
        <v>0</v>
      </c>
      <c r="AU179" s="560">
        <f>IF(EB179&lt;K179,0,MAX(Sheet1!AA181+AQ179-15/36*K179-N179,Sheet1!EH181,0))</f>
        <v>0</v>
      </c>
      <c r="AV179" s="560">
        <f>IF(OR(B179&gt;=GD179,B179&lt;GC179),0,15/36*K179-MAX(0,64.6-(137.6-(Sheet1!AA181+Sheet1!AB181))))</f>
        <v>0</v>
      </c>
      <c r="AW179" s="698">
        <f>Sheet1!DB181-110</f>
        <v>494</v>
      </c>
      <c r="AX179" s="698">
        <f>Sheet1!DA181-265</f>
        <v>560</v>
      </c>
      <c r="AY179" s="698">
        <f t="shared" si="386"/>
        <v>18.150000000000006</v>
      </c>
      <c r="AZ179" s="698">
        <v>0</v>
      </c>
      <c r="BA179" s="698">
        <f t="shared" si="387"/>
        <v>0</v>
      </c>
      <c r="BB179" s="560">
        <f t="shared" si="388"/>
        <v>2716.2083333333335</v>
      </c>
      <c r="BC179" s="560"/>
      <c r="BD179" s="560">
        <f ca="1">IF(B179&gt;Summary!$A$1,#N/A,BB179*MGtoAF)</f>
        <v>8333.3271666666678</v>
      </c>
      <c r="BE179" s="560">
        <f>Sheet1!BG181+Sheet1!BH181+Sheet1!BI181-BM179</f>
        <v>0</v>
      </c>
      <c r="BF179" s="560">
        <f t="shared" si="389"/>
        <v>0</v>
      </c>
      <c r="BG179" s="560">
        <f>IF(Sheet1!EP181="FM",BM179,0)</f>
        <v>0</v>
      </c>
      <c r="BH179" s="560">
        <f t="shared" si="390"/>
        <v>0</v>
      </c>
      <c r="BI179" s="560">
        <f>IF(Sheet1!EP181="OTHER",BM179,0)</f>
        <v>0</v>
      </c>
      <c r="BJ179" s="560">
        <f t="shared" si="391"/>
        <v>0</v>
      </c>
      <c r="BK179" s="560">
        <f t="shared" si="392"/>
        <v>0</v>
      </c>
      <c r="BL179" s="560">
        <f t="shared" si="393"/>
        <v>0</v>
      </c>
      <c r="BM179" s="560">
        <f>IF(OR(Sheet1!EP181="FM", Sheet1!EP181="OTHER"),SUM(Sheet1!BG181:'Sheet1'!BI181),0)</f>
        <v>0</v>
      </c>
      <c r="BN179" s="545">
        <f>IF(AND($B179&gt;=$FV179,$B179&lt;=$FW179),MAX(BF179,Sheet1!EI181,0),MAX(BF179-(7/36)*$K179,0))</f>
        <v>0</v>
      </c>
      <c r="BO179" s="560">
        <f t="shared" si="394"/>
        <v>12.568888888888889</v>
      </c>
      <c r="BP179" s="545">
        <f t="shared" si="395"/>
        <v>0</v>
      </c>
      <c r="BQ179" s="545">
        <f>IF(AND($O179&gt;0,Sheet1!EM181=1),(1-($O179-Sheet1!$L181)/$O179)*BL179,0)</f>
        <v>0</v>
      </c>
      <c r="BR179" s="545">
        <f>IF(AND(Sheet1!$L181=0,Sheet1!$L180=0, Calculation!BK179&lt;Sheet1!$EI181-0.1,Sheet1!$EI181=Sheet1!$EI180,Sheet1!$EI181=Sheet1!$EI182),Sheet1!$EI181,BL179-BQ179)</f>
        <v>0</v>
      </c>
      <c r="BS179" s="560"/>
      <c r="BT179" s="560"/>
      <c r="BU179" s="560">
        <f t="shared" si="396"/>
        <v>1267.5638888888889</v>
      </c>
      <c r="BV179" s="560"/>
      <c r="BW179" s="560">
        <f ca="1">IF(B179&gt;Summary!$A$1,#N/A,BU179*MGtoAF)</f>
        <v>3888.8860111111112</v>
      </c>
      <c r="BX179" s="560">
        <f>Sheet1!BC181+Sheet1!BD181+Sheet1!BE181+Sheet1!BF181-CG179-CH179</f>
        <v>2.99</v>
      </c>
      <c r="BY179" s="560">
        <f t="shared" si="397"/>
        <v>2.9863801452784506</v>
      </c>
      <c r="BZ179" s="560">
        <f>IF(Sheet1!EQ181="FM",CH179,0)</f>
        <v>0</v>
      </c>
      <c r="CA179" s="560">
        <f t="shared" si="398"/>
        <v>0</v>
      </c>
      <c r="CB179" s="560">
        <f>IF(Sheet1!EQ181="OTHER",CH179,0)</f>
        <v>0</v>
      </c>
      <c r="CC179" s="560">
        <f t="shared" si="399"/>
        <v>0</v>
      </c>
      <c r="CD179" s="560">
        <f t="shared" si="400"/>
        <v>0</v>
      </c>
      <c r="CE179" s="560">
        <f t="shared" si="401"/>
        <v>2.99</v>
      </c>
      <c r="CF179" s="560">
        <f t="shared" si="402"/>
        <v>2.9863801452784506</v>
      </c>
      <c r="CG179" s="560">
        <f>IF(Sheet1!EQ181="CWA",SUM(Sheet1!BC181:'Sheet1'!BF181),0)</f>
        <v>0</v>
      </c>
      <c r="CH179" s="560">
        <f>IF(OR(Sheet1!EQ181="FM", Sheet1!EQ181="OTHER"),SUM(Sheet1!BC181:'Sheet1'!BF181),0)</f>
        <v>0</v>
      </c>
      <c r="CI179" s="545">
        <f>IF(AND($B179&gt;=$FV179,$B179&lt;=$FW179),MAX(CF179,Sheet1!EJ181,0),MAX(CF179-(7/36)*$K179,0))</f>
        <v>0</v>
      </c>
      <c r="CJ179" s="560">
        <f t="shared" si="403"/>
        <v>9.5825087436104379</v>
      </c>
      <c r="CK179" s="545">
        <f t="shared" si="404"/>
        <v>2.9863801452784506</v>
      </c>
      <c r="CL179" s="545">
        <f>IF(AND($O179&gt;0,Sheet1!EN181=1),(1-($O179-Sheet1!$L181)/$O179)*CF179,0)</f>
        <v>0</v>
      </c>
      <c r="CM179" s="545">
        <f>IF(AND(Sheet1!$L181=0,Sheet1!$L180=0, Calculation!CE179&lt;Sheet1!EJ181-0.1,Sheet1!EJ181=Sheet1!EJ180,Sheet1!EJ181=Sheet1!EJ182),Sheet1!EJ181,CF179-CL179)</f>
        <v>2.9863801452784506</v>
      </c>
      <c r="CN179" s="545"/>
      <c r="CO179" s="560"/>
      <c r="CP179" s="560">
        <f t="shared" si="405"/>
        <v>1267.5638888888889</v>
      </c>
      <c r="CQ179" s="560"/>
      <c r="CR179" s="560">
        <f ca="1">IF(B179&gt;Summary!$A$1,#N/A,CP179*MGtoAF)</f>
        <v>3888.8860111111112</v>
      </c>
      <c r="CS179" s="560">
        <f>Sheet1!BK181+Sheet1!BL181+Sheet1!BM181-Sheet1!ER181-DA179</f>
        <v>7.96</v>
      </c>
      <c r="CT179" s="560">
        <f t="shared" si="406"/>
        <v>7.9503631961259078</v>
      </c>
      <c r="CU179" s="560">
        <f>IF(Sheet1!ER181="FM",DA179,0)</f>
        <v>0</v>
      </c>
      <c r="CV179" s="560">
        <f t="shared" si="407"/>
        <v>0</v>
      </c>
      <c r="CW179" s="560">
        <f>IF(Sheet1!ER181="OTHER",DA179,0)</f>
        <v>0</v>
      </c>
      <c r="CX179" s="560">
        <f t="shared" si="408"/>
        <v>0</v>
      </c>
      <c r="CY179" s="560">
        <f t="shared" si="409"/>
        <v>7.96</v>
      </c>
      <c r="CZ179" s="560">
        <f t="shared" si="410"/>
        <v>7.9503631961259078</v>
      </c>
      <c r="DA179" s="560">
        <f>IF(OR(Sheet1!ER181="FM", Sheet1!ER181="OTHER"),SUM(Sheet1!BK181:'Sheet1'!BM181),0)</f>
        <v>0</v>
      </c>
      <c r="DB179" s="545">
        <f>IF(AND($B179&gt;=$FV179,$B179&lt;=$FW179),MAX($CT179,Sheet1!EK181,0),MAX($CT179-(7/36)*$K179,0))</f>
        <v>0</v>
      </c>
      <c r="DC179" s="560">
        <f t="shared" si="411"/>
        <v>4.6185256927629812</v>
      </c>
      <c r="DD179" s="545">
        <f t="shared" si="412"/>
        <v>7.9503631961259078</v>
      </c>
      <c r="DE179" s="545">
        <f>IF(AND($O179&gt;0,Sheet1!EO181=1),(1-($O179-Sheet1!$L181)/$O179)*CZ179,0)</f>
        <v>0</v>
      </c>
      <c r="DF179" s="545">
        <f>IF(AND(Sheet1!$L181=0,Sheet1!$L180=0, Calculation!CY179&lt;Sheet1!$EK181-0.1,Sheet1!$EK181=Sheet1!$EK180,Sheet1!$EK181=Sheet1!$EK182),Sheet1!$EK181,CZ179-DE179)</f>
        <v>7.9503631961259078</v>
      </c>
      <c r="DG179" s="545"/>
      <c r="DH179" s="560">
        <f t="shared" si="413"/>
        <v>10.95</v>
      </c>
      <c r="DI179" s="560">
        <f t="shared" si="414"/>
        <v>1267.5638888888889</v>
      </c>
      <c r="DJ179" s="698">
        <f t="shared" si="415"/>
        <v>10.936743341404359</v>
      </c>
      <c r="DK179" s="560">
        <f ca="1">IF(B179&gt;Summary!$A$1,#N/A,DI179*MGtoAF)</f>
        <v>3888.8860111111112</v>
      </c>
      <c r="DL179" s="698">
        <f t="shared" si="416"/>
        <v>10.95</v>
      </c>
      <c r="DM179" s="560">
        <f t="shared" si="417"/>
        <v>33.04</v>
      </c>
      <c r="DN179" s="560">
        <f>Sheet1!AB181-DM179</f>
        <v>-3.9999999999999147E-2</v>
      </c>
      <c r="DO179" s="823">
        <f t="shared" si="418"/>
        <v>-1.2106537530266086E-3</v>
      </c>
      <c r="DP179" s="560">
        <f>(VLOOKUP(Sheet1!DC181,hhdcap_wcm,4)-(((VLOOKUP(Sheet1!DC181,hhdcap_wcm,3)-Sheet1!DC181)/(VLOOKUP(Sheet1!DC181,hhdcap_wcm,3)-VLOOKUP(Sheet1!DC181,hhdcap_wcm,1)))*(VLOOKUP(Sheet1!DC181,hhdcap_wcm,4)-VLOOKUP(Sheet1!DC181,hhdcap_wcm,2))))</f>
        <v>49677.800000119496</v>
      </c>
      <c r="DQ179" s="560">
        <f t="shared" si="419"/>
        <v>11.400000000001455</v>
      </c>
      <c r="DR179" s="560">
        <f t="shared" si="420"/>
        <v>5.7488653555226694</v>
      </c>
      <c r="DS179" s="560">
        <f>Sheet1!EA181*AFtoMG</f>
        <v>0</v>
      </c>
      <c r="DT179" s="560">
        <f>Sheet1!EB181*AFtoMG</f>
        <v>0</v>
      </c>
      <c r="DU179" s="560">
        <f>Sheet1!EC181*AFtoMG</f>
        <v>0</v>
      </c>
      <c r="DV179" s="560">
        <f>Sheet1!ED181*AFtoMG</f>
        <v>0</v>
      </c>
      <c r="DW179" s="560">
        <f t="shared" si="421"/>
        <v>0</v>
      </c>
      <c r="DX179" s="560">
        <f t="shared" si="422"/>
        <v>0</v>
      </c>
      <c r="DY179" s="560">
        <f t="shared" si="423"/>
        <v>6518.9</v>
      </c>
      <c r="DZ179" s="560">
        <f t="shared" si="424"/>
        <v>19999.985199999999</v>
      </c>
      <c r="EA179" s="560"/>
      <c r="EB179" s="545">
        <f>IF(OR(B179&lt;FV179,B179&gt;FW179),(MIN(BF179+BY179+CT179+MAX(Sheet1!AA181+AQ179-73,0),K179)),0)</f>
        <v>10.936743341404359</v>
      </c>
      <c r="EC179" s="560"/>
      <c r="ED179" s="560">
        <f t="shared" si="425"/>
        <v>10.936743341404359</v>
      </c>
      <c r="EE179" s="560"/>
      <c r="EF179" s="560">
        <f>Sheet1!EH181+Sheet1!EI181+Sheet1!EJ181+Sheet1!EK181</f>
        <v>10.95</v>
      </c>
      <c r="EG179" s="560"/>
      <c r="EH179" s="545">
        <f t="shared" si="426"/>
        <v>0</v>
      </c>
      <c r="EI179" s="560">
        <f>IF(Sheet1!ET181=1,SUM('Calculations II'!AT179:BA179)+'Calculations II'!BC179+Sheet1!BV181+'Calculations II'!BE179+AP179,SUM('Calculations II'!AT179:BA179)+'Calculations II'!BC179+Sheet1!BV181+'Calculations II'!BE179+AP179)</f>
        <v>62.579040000000006</v>
      </c>
      <c r="EJ179" s="560">
        <f>Sheet1!AA181+Sheet1!AB181+'Calculations II'!BC179</f>
        <v>65.8</v>
      </c>
      <c r="EK179" s="560"/>
      <c r="EL179" s="560"/>
      <c r="EM179" s="560">
        <f t="shared" si="427"/>
        <v>41807</v>
      </c>
      <c r="EN179" s="560">
        <f t="shared" si="428"/>
        <v>53.703256658595642</v>
      </c>
      <c r="EO179" s="560">
        <f t="shared" si="429"/>
        <v>83.078938050847455</v>
      </c>
      <c r="EP179" s="560">
        <v>0</v>
      </c>
      <c r="EQ179" s="560">
        <v>0</v>
      </c>
      <c r="ER179" s="560">
        <v>0</v>
      </c>
      <c r="ES179" s="545">
        <f t="shared" si="349"/>
        <v>1.3858412084824181</v>
      </c>
      <c r="ET179" s="560">
        <f>-(VLOOKUP(Sheet1!BQ181,Lookup!$O$4:$Q$262,2)-VLOOKUP(Sheet1!BQ180,Lookup!$O$4:$Q$262,2))/1000000</f>
        <v>0.69293663062756505</v>
      </c>
      <c r="EU179" s="560">
        <f>-(VLOOKUP(Sheet1!BR181,Lookup!$O$4:$Q$262,3)-VLOOKUP(Sheet1!BR180,Lookup!$O$4:$Q$262,3))/1000000</f>
        <v>0.69290457785485315</v>
      </c>
      <c r="EV179" s="560"/>
      <c r="EW179" s="560"/>
      <c r="EX179" s="560"/>
      <c r="EY179" s="560"/>
      <c r="EZ179" s="560"/>
      <c r="FA179" s="560"/>
      <c r="FB179" s="560"/>
      <c r="FC179" s="560"/>
      <c r="FD179" s="594" t="e">
        <f t="shared" si="430"/>
        <v>#N/A</v>
      </c>
      <c r="FE179" s="594" t="e">
        <f t="shared" si="431"/>
        <v>#N/A</v>
      </c>
      <c r="FF179" s="595" t="e">
        <f t="shared" si="432"/>
        <v>#N/A</v>
      </c>
      <c r="FG179" s="596" t="s">
        <v>692</v>
      </c>
      <c r="FH179" s="596" t="s">
        <v>692</v>
      </c>
      <c r="FI179" s="594" t="e">
        <v>#N/A</v>
      </c>
      <c r="FJ179" s="594" t="e">
        <v>#N/A</v>
      </c>
      <c r="FK179" s="560">
        <v>24250</v>
      </c>
      <c r="FL179" s="560"/>
      <c r="FM179" s="560"/>
      <c r="FN179" s="560"/>
      <c r="FO179" s="560">
        <f>O179+((Sheet1!CS181)*GPMtoMGD)</f>
        <v>65.8</v>
      </c>
      <c r="FP179" s="560">
        <f>IF(Sheet1!AA181+AQ179&lt;=Calculation!N179,AQ179,Calculation!N179-Sheet1!AA181)</f>
        <v>20.475181598062953</v>
      </c>
      <c r="FQ179" s="560">
        <f>(Sheet1!BP181+Sheet1!BO181)/694.4</f>
        <v>2.8590149769585254</v>
      </c>
      <c r="FR179" s="560"/>
      <c r="FS179" s="560"/>
      <c r="FT179" s="560"/>
      <c r="FU179" s="560"/>
      <c r="FV179" s="695">
        <f t="shared" si="350"/>
        <v>41827</v>
      </c>
      <c r="FW179" s="695">
        <f t="shared" si="351"/>
        <v>41934</v>
      </c>
      <c r="FX179" s="560"/>
      <c r="FY179" s="560"/>
      <c r="FZ179" s="560"/>
      <c r="GA179" s="560"/>
      <c r="GB179" s="560" t="str">
        <f t="shared" si="352"/>
        <v>n</v>
      </c>
      <c r="GC179" s="564">
        <f t="shared" si="353"/>
        <v>41691</v>
      </c>
      <c r="GD179" s="695">
        <f t="shared" si="354"/>
        <v>41807</v>
      </c>
      <c r="GE179" s="560">
        <v>6518.9</v>
      </c>
      <c r="GF179" s="695">
        <f t="shared" si="355"/>
        <v>41808</v>
      </c>
      <c r="GG179" s="560">
        <f t="shared" si="374"/>
        <v>3259</v>
      </c>
      <c r="GH179" s="564">
        <f t="shared" si="356"/>
        <v>41934</v>
      </c>
      <c r="GJ179" s="545">
        <f t="shared" si="357"/>
        <v>10.807456882536943</v>
      </c>
      <c r="GK179" s="560" t="str">
        <f t="shared" si="433"/>
        <v>P</v>
      </c>
      <c r="GL179" s="560">
        <f t="shared" si="358"/>
        <v>0</v>
      </c>
      <c r="GM179" s="560" t="str">
        <f t="shared" si="359"/>
        <v/>
      </c>
      <c r="GN179" s="560">
        <f>IF(GK179="P",Lookup!$M$12,IF(GK179="PP",Lookup!$M$13,IF(GK179="PPP",Lookup!$M$14,IF(GK179="T",Lookup!$M$15,IF(GK179="TP",Lookup!$M$16,IF(GK179="TPP",Lookup!$M$17,IF(GK179="TPPP",Lookup!$M$18,0)))))))*GJ179</f>
        <v>0</v>
      </c>
      <c r="GO179" s="560">
        <f t="shared" si="360"/>
        <v>0</v>
      </c>
      <c r="GP179" s="560">
        <f t="shared" si="434"/>
        <v>8333.3271666666678</v>
      </c>
      <c r="GQ179" s="560">
        <f t="shared" si="368"/>
        <v>2716.2083333333335</v>
      </c>
      <c r="GR179" s="560"/>
      <c r="GS179" s="560">
        <f t="shared" si="361"/>
        <v>12.568888888888889</v>
      </c>
      <c r="GT179" s="560" t="str">
        <f t="shared" si="362"/>
        <v/>
      </c>
      <c r="GU179" s="560">
        <f>IF(GK179="P",Lookup!$N$12,IF(GK179="PP",Lookup!$N$13,IF(GK179="PPP",Lookup!$N$14,IF(GK179="T",Lookup!$N$15,IF(GK179="TP",Lookup!$N$16,IF(GK179="TPP",Lookup!$N$17,IF(GK179="TPPP",Lookup!$N$18,0)))))))*GJ179</f>
        <v>10.807456882536943</v>
      </c>
      <c r="GV179" s="560">
        <f t="shared" si="363"/>
        <v>0</v>
      </c>
      <c r="GW179" s="560">
        <f t="shared" si="435"/>
        <v>3888.8860111111112</v>
      </c>
      <c r="GX179" s="560">
        <f t="shared" si="369"/>
        <v>1267.5638888888889</v>
      </c>
      <c r="GY179" s="560"/>
      <c r="GZ179" s="560">
        <f t="shared" si="364"/>
        <v>9.5825087436104379</v>
      </c>
      <c r="HA179" s="560" t="str">
        <f t="shared" si="365"/>
        <v/>
      </c>
      <c r="HB179" s="560">
        <f>IF(GK179="P",Lookup!$N$12,IF(GK179="PP",Lookup!$N$13,IF(GK179="PPP",Lookup!$N$14,IF(GK179="T",Lookup!$N$15,IF(GK179="TP",Lookup!$N$16,IF(GK179="TPP",Lookup!$N$17,IF(GK179="TPPP",Lookup!$N$18,0)))))))*GJ179</f>
        <v>10.807456882536943</v>
      </c>
      <c r="HC179" s="545">
        <f t="shared" si="436"/>
        <v>0</v>
      </c>
      <c r="HD179" s="560">
        <f t="shared" si="437"/>
        <v>3888.8860111111112</v>
      </c>
      <c r="HE179" s="560">
        <f t="shared" si="370"/>
        <v>1267.5638888888889</v>
      </c>
      <c r="HF179" s="560"/>
      <c r="HG179" s="560">
        <f t="shared" si="366"/>
        <v>0</v>
      </c>
      <c r="HH179" s="560" t="str">
        <f t="shared" si="367"/>
        <v>P</v>
      </c>
      <c r="HI179" s="560">
        <f>IF(GK179="P",Lookup!$N$12,IF(GK179="PP",Lookup!$N$13,IF(GK179="PPP",Lookup!$N$14,IF(GK179="T",Lookup!$N$15,IF(GK179="TP",Lookup!$N$16,IF(GK179="TPP",Lookup!$N$17,IF(GK179="TPPP",Lookup!$N$18,0)))))))*GJ179</f>
        <v>10.807456882536943</v>
      </c>
      <c r="HJ179" s="545">
        <f t="shared" si="438"/>
        <v>6.1822918524271699</v>
      </c>
      <c r="HK179" s="560">
        <f t="shared" si="439"/>
        <v>3869.9187397078645</v>
      </c>
      <c r="HL179" s="560">
        <f t="shared" si="371"/>
        <v>1261.3815970364617</v>
      </c>
      <c r="HM179" s="560"/>
    </row>
    <row r="180" spans="1:221">
      <c r="A180" s="580" t="s">
        <v>6</v>
      </c>
      <c r="B180" s="556">
        <v>41808</v>
      </c>
      <c r="C180" s="561">
        <v>0</v>
      </c>
      <c r="D180" s="529">
        <f t="shared" si="372"/>
        <v>300</v>
      </c>
      <c r="E180" s="529">
        <f t="shared" si="373"/>
        <v>250</v>
      </c>
      <c r="F180" s="529">
        <v>250</v>
      </c>
      <c r="G180" s="560">
        <f>DR180+Sheet1!CZ182</f>
        <v>602.25113464447736</v>
      </c>
      <c r="H180" s="1082">
        <f t="shared" si="441"/>
        <v>195.37513343419016</v>
      </c>
      <c r="I180" s="559">
        <f>Sheet1!DA182-E180</f>
        <v>551</v>
      </c>
      <c r="J180" s="562">
        <f>Sheet1!DB182-Calculation!D180</f>
        <v>298</v>
      </c>
      <c r="K180" s="904">
        <f t="shared" si="375"/>
        <v>64.64</v>
      </c>
      <c r="L180" s="560">
        <f>Sheet1!AA182+Sheet1!AB182-Sheet1!L182+(Sheet1!DA182-F180)*CFStoMGD</f>
        <v>423.76639999999998</v>
      </c>
      <c r="M180" s="560">
        <f t="shared" si="376"/>
        <v>397.08103610287401</v>
      </c>
      <c r="N180" s="910">
        <f>IF(Sheet1!DA182&gt;=F180,MIN(73,MIN(MAX(L180,0),MAX(M180,0))),0)</f>
        <v>73</v>
      </c>
      <c r="O180" s="563">
        <f>Sheet1!AA182+Sheet1!AB182</f>
        <v>67.599999999999994</v>
      </c>
      <c r="P180" s="563">
        <f t="shared" si="377"/>
        <v>104.5772</v>
      </c>
      <c r="Q180" s="898">
        <f t="shared" si="339"/>
        <v>2.9599999999999937</v>
      </c>
      <c r="R180" s="829">
        <f t="shared" si="378"/>
        <v>10.99</v>
      </c>
      <c r="S180" s="898">
        <f t="shared" si="340"/>
        <v>64.64</v>
      </c>
      <c r="T180" s="898">
        <f t="shared" si="341"/>
        <v>0</v>
      </c>
      <c r="U180" s="898">
        <f t="shared" si="342"/>
        <v>0</v>
      </c>
      <c r="V180" s="898"/>
      <c r="W180" s="898">
        <f t="shared" si="343"/>
        <v>53.671998856162425</v>
      </c>
      <c r="X180" s="898">
        <f t="shared" si="344"/>
        <v>64.64</v>
      </c>
      <c r="Y180" s="898" t="str">
        <f t="shared" si="345"/>
        <v>FALSE</v>
      </c>
      <c r="Z180" s="898">
        <f t="shared" si="346"/>
        <v>67.599999999999994</v>
      </c>
      <c r="AA180" s="898">
        <f t="shared" si="347"/>
        <v>67.599999999999994</v>
      </c>
      <c r="AB180" s="898" t="str">
        <f t="shared" si="348"/>
        <v/>
      </c>
      <c r="AC180" s="563">
        <f>Sheet1!Y182*MGDtoCFS</f>
        <v>50.741599999999991</v>
      </c>
      <c r="AD180" s="563">
        <f>Sheet1!Z182*MGDtoCFS</f>
        <v>51.050999999999995</v>
      </c>
      <c r="AE180" s="563">
        <f>Sheet1!AA182*MGDtoCFS</f>
        <v>50.5869</v>
      </c>
      <c r="AF180" s="563">
        <f>Sheet1!AB182*MGDtoCFS</f>
        <v>53.990299999999998</v>
      </c>
      <c r="AG180" s="563">
        <f>Sheet1!L182*MGDtoCFS</f>
        <v>0</v>
      </c>
      <c r="AH180" s="545">
        <f t="shared" si="379"/>
        <v>0</v>
      </c>
      <c r="AI180" s="560">
        <f t="shared" si="380"/>
        <v>0</v>
      </c>
      <c r="AJ180" s="560">
        <f t="shared" si="381"/>
        <v>0</v>
      </c>
      <c r="AK180" s="560">
        <f t="shared" si="382"/>
        <v>0</v>
      </c>
      <c r="AL180" s="560">
        <f>(VLOOKUP(Sheet1!DC182,hhdcap_wcm,4)-(((VLOOKUP(Sheet1!DC182,hhdcap_wcm,3)-Sheet1!DC182)/(VLOOKUP(Sheet1!DC182,hhdcap_wcm,3)-VLOOKUP(Sheet1!DC182,hhdcap_wcm,1)))*(VLOOKUP(Sheet1!DC182,hhdcap_wcm,4)-VLOOKUP(Sheet1!DC182,hhdcap_wcm,2))))</f>
        <v>49666.400000119495</v>
      </c>
      <c r="AM180" s="560">
        <f t="shared" si="383"/>
        <v>-11.400000000001455</v>
      </c>
      <c r="AN180" s="560">
        <f t="shared" si="384"/>
        <v>3259</v>
      </c>
      <c r="AO180" s="560">
        <f t="shared" si="385"/>
        <v>9998.612000000001</v>
      </c>
      <c r="AP180" s="560">
        <f>Sheet1!BA182+Sheet1!BB182+Sheet1!BN182+CD180</f>
        <v>23.98</v>
      </c>
      <c r="AQ180" s="560">
        <f>Sheet1!BN182+(DO180*Sheet1!BN182)</f>
        <v>22.554761223906208</v>
      </c>
      <c r="AR180" s="560">
        <f>Sheet1!BA182+CD180</f>
        <v>0</v>
      </c>
      <c r="AS180" s="560">
        <f>Sheet1!BA182+Sheet1!BB182+CD180</f>
        <v>1.38</v>
      </c>
      <c r="AT180" s="698">
        <f>0</f>
        <v>0</v>
      </c>
      <c r="AU180" s="560">
        <f>IF(EB180&lt;K180,0,MAX(Sheet1!AA182+AQ180-15/36*K180-N180,Sheet1!EH182,0))</f>
        <v>0</v>
      </c>
      <c r="AV180" s="560">
        <f>IF(OR(B180&gt;=GD180,B180&lt;GC180),0,15/36*K180-MAX(0,64.6-(137.6-(Sheet1!AA182+Sheet1!AB182))))</f>
        <v>0</v>
      </c>
      <c r="AW180" s="698">
        <f>Sheet1!DB182-110</f>
        <v>488</v>
      </c>
      <c r="AX180" s="698">
        <f>Sheet1!DA182-265</f>
        <v>536</v>
      </c>
      <c r="AY180" s="698">
        <f t="shared" si="386"/>
        <v>70.040000000000006</v>
      </c>
      <c r="AZ180" s="698">
        <v>0</v>
      </c>
      <c r="BA180" s="698">
        <f t="shared" si="387"/>
        <v>0</v>
      </c>
      <c r="BB180" s="560">
        <f t="shared" si="388"/>
        <v>1357.9166666666667</v>
      </c>
      <c r="BC180" s="560"/>
      <c r="BD180" s="560">
        <f ca="1">IF(B180&gt;Summary!$A$1,#N/A,BB180*MGtoAF)</f>
        <v>4166.088333333334</v>
      </c>
      <c r="BE180" s="560">
        <f>Sheet1!BG182+Sheet1!BH182+Sheet1!BI182-BM180</f>
        <v>0</v>
      </c>
      <c r="BF180" s="560">
        <f t="shared" si="389"/>
        <v>0</v>
      </c>
      <c r="BG180" s="560">
        <f>IF(Sheet1!EP182="FM",BM180,0)</f>
        <v>0</v>
      </c>
      <c r="BH180" s="560">
        <f t="shared" si="390"/>
        <v>0</v>
      </c>
      <c r="BI180" s="560">
        <f>IF(Sheet1!EP182="OTHER",BM180,0)</f>
        <v>0</v>
      </c>
      <c r="BJ180" s="560">
        <f t="shared" si="391"/>
        <v>0</v>
      </c>
      <c r="BK180" s="560">
        <f t="shared" si="392"/>
        <v>0</v>
      </c>
      <c r="BL180" s="560">
        <f t="shared" si="393"/>
        <v>0</v>
      </c>
      <c r="BM180" s="560">
        <f>IF(OR(Sheet1!EP182="FM", Sheet1!EP182="OTHER"),SUM(Sheet1!BG182:'Sheet1'!BI182),0)</f>
        <v>0</v>
      </c>
      <c r="BN180" s="545">
        <f>IF(AND($B180&gt;=$FV180,$B180&lt;=$FW180),MAX(BF180,Sheet1!EI182,0),MAX(BF180-(7/36)*$K180,0))</f>
        <v>0</v>
      </c>
      <c r="BO180" s="560">
        <f t="shared" si="394"/>
        <v>0</v>
      </c>
      <c r="BP180" s="545">
        <f t="shared" si="395"/>
        <v>0</v>
      </c>
      <c r="BQ180" s="545">
        <f>IF(AND($O180&gt;0,Sheet1!EM182=1),(1-($O180-Sheet1!$L182)/$O180)*BL180,0)</f>
        <v>0</v>
      </c>
      <c r="BR180" s="545">
        <f>IF(AND(Sheet1!$L182=0,Sheet1!$L181=0, Calculation!BK180&lt;Sheet1!$EI182-0.1,Sheet1!$EI182=Sheet1!$EI181,Sheet1!$EI182=Sheet1!$EI183),Sheet1!$EI182,BL180-BQ180)</f>
        <v>0</v>
      </c>
      <c r="BS180" s="560"/>
      <c r="BT180" s="560"/>
      <c r="BU180" s="560">
        <f t="shared" si="396"/>
        <v>633.69444444444446</v>
      </c>
      <c r="BV180" s="560"/>
      <c r="BW180" s="560">
        <f ca="1">IF(B180&gt;Summary!$A$1,#N/A,BU180*MGtoAF)</f>
        <v>1944.1745555555556</v>
      </c>
      <c r="BX180" s="560">
        <f>Sheet1!BC182+Sheet1!BD182+Sheet1!BE182+Sheet1!BF182-CG180-CH180</f>
        <v>2.99</v>
      </c>
      <c r="BY180" s="560">
        <f t="shared" si="397"/>
        <v>2.9840148698884761</v>
      </c>
      <c r="BZ180" s="560">
        <f>IF(Sheet1!EQ182="FM",CH180,0)</f>
        <v>0</v>
      </c>
      <c r="CA180" s="560">
        <f t="shared" si="398"/>
        <v>0</v>
      </c>
      <c r="CB180" s="560">
        <f>IF(Sheet1!EQ182="OTHER",CH180,0)</f>
        <v>0</v>
      </c>
      <c r="CC180" s="560">
        <f t="shared" si="399"/>
        <v>0</v>
      </c>
      <c r="CD180" s="560">
        <f t="shared" si="400"/>
        <v>0</v>
      </c>
      <c r="CE180" s="560">
        <f t="shared" si="401"/>
        <v>2.99</v>
      </c>
      <c r="CF180" s="560">
        <f t="shared" si="402"/>
        <v>2.9840148698884761</v>
      </c>
      <c r="CG180" s="560">
        <f>IF(Sheet1!EQ182="CWA",SUM(Sheet1!BC182:'Sheet1'!BF182),0)</f>
        <v>0</v>
      </c>
      <c r="CH180" s="560">
        <f>IF(OR(Sheet1!EQ182="FM", Sheet1!EQ182="OTHER"),SUM(Sheet1!BC182:'Sheet1'!BF182),0)</f>
        <v>0</v>
      </c>
      <c r="CI180" s="545">
        <f>IF(AND($B180&gt;=$FV180,$B180&lt;=$FW180),MAX(CF180,Sheet1!EJ182,0),MAX(CF180-(7/36)*$K180,0))</f>
        <v>0</v>
      </c>
      <c r="CJ180" s="560">
        <f t="shared" si="403"/>
        <v>0</v>
      </c>
      <c r="CK180" s="545">
        <f t="shared" si="404"/>
        <v>2.9840148698884761</v>
      </c>
      <c r="CL180" s="545">
        <f>IF(AND($O180&gt;0,Sheet1!EN182=1),(1-($O180-Sheet1!$L182)/$O180)*CF180,0)</f>
        <v>0</v>
      </c>
      <c r="CM180" s="545">
        <f>IF(AND(Sheet1!$L182=0,Sheet1!$L181=0, Calculation!CE180&lt;Sheet1!EJ182-0.1,Sheet1!EJ182=Sheet1!EJ181,Sheet1!EJ182=Sheet1!EJ183),Sheet1!EJ182,CF180-CL180)</f>
        <v>2.9840148698884761</v>
      </c>
      <c r="CN180" s="545"/>
      <c r="CO180" s="560"/>
      <c r="CP180" s="560">
        <f t="shared" si="405"/>
        <v>633.69444444444446</v>
      </c>
      <c r="CQ180" s="560"/>
      <c r="CR180" s="560">
        <f ca="1">IF(B180&gt;Summary!$A$1,#N/A,CP180*MGtoAF)</f>
        <v>1944.1745555555556</v>
      </c>
      <c r="CS180" s="560">
        <f>Sheet1!BK182+Sheet1!BL182+Sheet1!BM182-Sheet1!ER182-DA180</f>
        <v>8</v>
      </c>
      <c r="CT180" s="560">
        <f t="shared" si="406"/>
        <v>7.9839862739490988</v>
      </c>
      <c r="CU180" s="560">
        <f>IF(Sheet1!ER182="FM",DA180,0)</f>
        <v>0</v>
      </c>
      <c r="CV180" s="560">
        <f t="shared" si="407"/>
        <v>0</v>
      </c>
      <c r="CW180" s="560">
        <f>IF(Sheet1!ER182="OTHER",DA180,0)</f>
        <v>0</v>
      </c>
      <c r="CX180" s="560">
        <f t="shared" si="408"/>
        <v>0</v>
      </c>
      <c r="CY180" s="560">
        <f t="shared" si="409"/>
        <v>8</v>
      </c>
      <c r="CZ180" s="560">
        <f t="shared" si="410"/>
        <v>7.9839862739490988</v>
      </c>
      <c r="DA180" s="560">
        <f>IF(OR(Sheet1!ER182="FM", Sheet1!ER182="OTHER"),SUM(Sheet1!BK182:'Sheet1'!BM182),0)</f>
        <v>0</v>
      </c>
      <c r="DB180" s="545">
        <f>IF(AND($B180&gt;=$FV180,$B180&lt;=$FW180),MAX($CT180,Sheet1!EK182,0),MAX($CT180-(7/36)*$K180,0))</f>
        <v>0</v>
      </c>
      <c r="DC180" s="560">
        <f t="shared" si="411"/>
        <v>0</v>
      </c>
      <c r="DD180" s="545">
        <f t="shared" si="412"/>
        <v>7.9839862739490988</v>
      </c>
      <c r="DE180" s="545">
        <f>IF(AND($O180&gt;0,Sheet1!EO182=1),(1-($O180-Sheet1!$L182)/$O180)*CZ180,0)</f>
        <v>0</v>
      </c>
      <c r="DF180" s="545">
        <f>IF(AND(Sheet1!$L182=0,Sheet1!$L181=0, Calculation!CY180&lt;Sheet1!$EK182-0.1,Sheet1!$EK182=Sheet1!$EK181,Sheet1!$EK182=Sheet1!$EK183),Sheet1!$EK182,CZ180-DE180)</f>
        <v>7.9839862739490988</v>
      </c>
      <c r="DG180" s="545"/>
      <c r="DH180" s="560">
        <f t="shared" si="413"/>
        <v>10.99</v>
      </c>
      <c r="DI180" s="560">
        <f t="shared" si="414"/>
        <v>633.69444444444446</v>
      </c>
      <c r="DJ180" s="698">
        <f t="shared" si="415"/>
        <v>10.968001143837576</v>
      </c>
      <c r="DK180" s="560">
        <f ca="1">IF(B180&gt;Summary!$A$1,#N/A,DI180*MGtoAF)</f>
        <v>1944.1745555555556</v>
      </c>
      <c r="DL180" s="698">
        <f t="shared" si="416"/>
        <v>10.99</v>
      </c>
      <c r="DM180" s="560">
        <f t="shared" si="417"/>
        <v>34.97</v>
      </c>
      <c r="DN180" s="560">
        <f>Sheet1!AB182-DM180</f>
        <v>-7.0000000000000284E-2</v>
      </c>
      <c r="DO180" s="823">
        <f t="shared" si="418"/>
        <v>-2.0017157563626048E-3</v>
      </c>
      <c r="DP180" s="560">
        <f>(VLOOKUP(Sheet1!DC182,hhdcap_wcm,4)-(((VLOOKUP(Sheet1!DC182,hhdcap_wcm,3)-Sheet1!DC182)/(VLOOKUP(Sheet1!DC182,hhdcap_wcm,3)-VLOOKUP(Sheet1!DC182,hhdcap_wcm,1)))*(VLOOKUP(Sheet1!DC182,hhdcap_wcm,4)-VLOOKUP(Sheet1!DC182,hhdcap_wcm,2))))</f>
        <v>49666.400000119495</v>
      </c>
      <c r="DQ180" s="560">
        <f t="shared" si="419"/>
        <v>-11.400000000001455</v>
      </c>
      <c r="DR180" s="560">
        <f t="shared" si="420"/>
        <v>-5.7488653555226694</v>
      </c>
      <c r="DS180" s="560">
        <f>Sheet1!EA182*AFtoMG</f>
        <v>0</v>
      </c>
      <c r="DT180" s="560">
        <f>Sheet1!EB182*AFtoMG</f>
        <v>0</v>
      </c>
      <c r="DU180" s="560">
        <f>Sheet1!EC182*AFtoMG</f>
        <v>0</v>
      </c>
      <c r="DV180" s="560">
        <f>Sheet1!ED182*AFtoMG</f>
        <v>0</v>
      </c>
      <c r="DW180" s="560">
        <f t="shared" si="421"/>
        <v>0</v>
      </c>
      <c r="DX180" s="560">
        <f t="shared" si="422"/>
        <v>0</v>
      </c>
      <c r="DY180" s="560">
        <f t="shared" si="423"/>
        <v>3259</v>
      </c>
      <c r="DZ180" s="560">
        <f t="shared" si="424"/>
        <v>9998.612000000001</v>
      </c>
      <c r="EA180" s="560"/>
      <c r="EB180" s="545">
        <f>IF(OR(B180&lt;FV180,B180&gt;FW180),(MIN(BF180+BY180+CT180+MAX(Sheet1!AA182+AQ180-73,0),K180)),0)</f>
        <v>10.968001143837576</v>
      </c>
      <c r="EC180" s="560"/>
      <c r="ED180" s="560">
        <f t="shared" si="425"/>
        <v>10.968001143837576</v>
      </c>
      <c r="EE180" s="560"/>
      <c r="EF180" s="560">
        <f>Sheet1!EH182+Sheet1!EI182+Sheet1!EJ182+Sheet1!EK182</f>
        <v>10.99</v>
      </c>
      <c r="EG180" s="560"/>
      <c r="EH180" s="545">
        <f t="shared" si="426"/>
        <v>0</v>
      </c>
      <c r="EI180" s="560">
        <f>IF(Sheet1!ET182=1,SUM('Calculations II'!AT180:BA180)+'Calculations II'!BC180+Sheet1!BV182+'Calculations II'!BE180+AP180,SUM('Calculations II'!AT180:BA180)+'Calculations II'!BC180+Sheet1!BV182+'Calculations II'!BE180+AP180)</f>
        <v>67.614623999999992</v>
      </c>
      <c r="EJ180" s="560">
        <f>Sheet1!AA182+Sheet1!AB182+'Calculations II'!BC180</f>
        <v>67.599999999999994</v>
      </c>
      <c r="EK180" s="560"/>
      <c r="EL180" s="560"/>
      <c r="EM180" s="560">
        <f t="shared" si="427"/>
        <v>41808</v>
      </c>
      <c r="EN180" s="560">
        <f t="shared" si="428"/>
        <v>0</v>
      </c>
      <c r="EO180" s="560">
        <f t="shared" si="429"/>
        <v>0</v>
      </c>
      <c r="EP180" s="560">
        <v>0</v>
      </c>
      <c r="EQ180" s="560">
        <v>0</v>
      </c>
      <c r="ER180" s="560">
        <v>0</v>
      </c>
      <c r="ES180" s="545">
        <f t="shared" si="349"/>
        <v>4.7094629207434915</v>
      </c>
      <c r="ET180" s="560">
        <f>-(VLOOKUP(Sheet1!BQ182,Lookup!$O$4:$Q$262,2)-VLOOKUP(Sheet1!BQ181,Lookup!$O$4:$Q$262,2))/1000000</f>
        <v>2.3547859362660462</v>
      </c>
      <c r="EU180" s="560">
        <f>-(VLOOKUP(Sheet1!BR182,Lookup!$O$4:$Q$262,3)-VLOOKUP(Sheet1!BR181,Lookup!$O$4:$Q$262,3))/1000000</f>
        <v>2.3546769844774453</v>
      </c>
      <c r="EV180" s="560"/>
      <c r="EW180" s="560"/>
      <c r="EX180" s="560"/>
      <c r="EY180" s="560"/>
      <c r="EZ180" s="560"/>
      <c r="FA180" s="560"/>
      <c r="FB180" s="560"/>
      <c r="FC180" s="560"/>
      <c r="FD180" s="594" t="e">
        <f t="shared" si="430"/>
        <v>#N/A</v>
      </c>
      <c r="FE180" s="594" t="e">
        <f t="shared" si="431"/>
        <v>#N/A</v>
      </c>
      <c r="FF180" s="595" t="e">
        <f t="shared" si="432"/>
        <v>#N/A</v>
      </c>
      <c r="FG180" s="596" t="s">
        <v>692</v>
      </c>
      <c r="FH180" s="596" t="s">
        <v>692</v>
      </c>
      <c r="FI180" s="594" t="e">
        <v>#N/A</v>
      </c>
      <c r="FJ180" s="594" t="e">
        <v>#N/A</v>
      </c>
      <c r="FK180" s="560">
        <v>24200</v>
      </c>
      <c r="FL180" s="560"/>
      <c r="FM180" s="560"/>
      <c r="FN180" s="560"/>
      <c r="FO180" s="560">
        <f>O180+((Sheet1!CS182)*GPMtoMGD)</f>
        <v>67.599999999999994</v>
      </c>
      <c r="FP180" s="560">
        <f>IF(Sheet1!AA182+AQ180&lt;=Calculation!N180,AQ180,Calculation!N180-Sheet1!AA182)</f>
        <v>22.554761223906208</v>
      </c>
      <c r="FQ180" s="560">
        <f>(Sheet1!BP182+Sheet1!BO182)/694.4</f>
        <v>2.4409562211981566</v>
      </c>
      <c r="FR180" s="560"/>
      <c r="FS180" s="560"/>
      <c r="FT180" s="560"/>
      <c r="FU180" s="560"/>
      <c r="FV180" s="695">
        <f t="shared" si="350"/>
        <v>41827</v>
      </c>
      <c r="FW180" s="695">
        <f t="shared" si="351"/>
        <v>41934</v>
      </c>
      <c r="FX180" s="560"/>
      <c r="FY180" s="560"/>
      <c r="FZ180" s="560"/>
      <c r="GA180" s="560"/>
      <c r="GB180" s="560" t="str">
        <f t="shared" si="352"/>
        <v>n</v>
      </c>
      <c r="GC180" s="564">
        <f t="shared" si="353"/>
        <v>41691</v>
      </c>
      <c r="GD180" s="695">
        <f t="shared" si="354"/>
        <v>41807</v>
      </c>
      <c r="GE180" s="560">
        <v>6518.9</v>
      </c>
      <c r="GF180" s="695">
        <f t="shared" si="355"/>
        <v>41808</v>
      </c>
      <c r="GG180" s="560">
        <f t="shared" si="374"/>
        <v>3259</v>
      </c>
      <c r="GH180" s="564">
        <f t="shared" si="356"/>
        <v>41934</v>
      </c>
      <c r="GJ180" s="545">
        <f t="shared" si="357"/>
        <v>0</v>
      </c>
      <c r="GK180" s="560" t="str">
        <f t="shared" si="433"/>
        <v/>
      </c>
      <c r="GL180" s="560">
        <f t="shared" si="358"/>
        <v>0</v>
      </c>
      <c r="GM180" s="560" t="str">
        <f t="shared" si="359"/>
        <v/>
      </c>
      <c r="GN180" s="560">
        <f>IF(GK180="P",Lookup!$M$12,IF(GK180="PP",Lookup!$M$13,IF(GK180="PPP",Lookup!$M$14,IF(GK180="T",Lookup!$M$15,IF(GK180="TP",Lookup!$M$16,IF(GK180="TPP",Lookup!$M$17,IF(GK180="TPPP",Lookup!$M$18,0)))))))*GJ180</f>
        <v>0</v>
      </c>
      <c r="GO180" s="560">
        <f t="shared" si="360"/>
        <v>0</v>
      </c>
      <c r="GP180" s="560">
        <f t="shared" si="434"/>
        <v>4166.088333333334</v>
      </c>
      <c r="GQ180" s="560">
        <f t="shared" si="368"/>
        <v>1357.9166666666667</v>
      </c>
      <c r="GR180" s="560"/>
      <c r="GS180" s="560">
        <f t="shared" si="361"/>
        <v>0</v>
      </c>
      <c r="GT180" s="560" t="str">
        <f t="shared" si="362"/>
        <v/>
      </c>
      <c r="GU180" s="560">
        <f>IF(GK180="P",Lookup!$N$12,IF(GK180="PP",Lookup!$N$13,IF(GK180="PPP",Lookup!$N$14,IF(GK180="T",Lookup!$N$15,IF(GK180="TP",Lookup!$N$16,IF(GK180="TPP",Lookup!$N$17,IF(GK180="TPPP",Lookup!$N$18,0)))))))*GJ180</f>
        <v>0</v>
      </c>
      <c r="GV180" s="560">
        <f t="shared" si="363"/>
        <v>0</v>
      </c>
      <c r="GW180" s="560">
        <f t="shared" si="435"/>
        <v>1944.1745555555556</v>
      </c>
      <c r="GX180" s="560">
        <f t="shared" si="369"/>
        <v>633.69444444444446</v>
      </c>
      <c r="GY180" s="560"/>
      <c r="GZ180" s="560">
        <f t="shared" si="364"/>
        <v>0</v>
      </c>
      <c r="HA180" s="560" t="str">
        <f t="shared" si="365"/>
        <v/>
      </c>
      <c r="HB180" s="560">
        <f>IF(GK180="P",Lookup!$N$12,IF(GK180="PP",Lookup!$N$13,IF(GK180="PPP",Lookup!$N$14,IF(GK180="T",Lookup!$N$15,IF(GK180="TP",Lookup!$N$16,IF(GK180="TPP",Lookup!$N$17,IF(GK180="TPPP",Lookup!$N$18,0)))))))*GJ180</f>
        <v>0</v>
      </c>
      <c r="HC180" s="545">
        <f t="shared" si="436"/>
        <v>0</v>
      </c>
      <c r="HD180" s="560">
        <f t="shared" si="437"/>
        <v>1944.1745555555556</v>
      </c>
      <c r="HE180" s="560">
        <f t="shared" si="370"/>
        <v>633.69444444444446</v>
      </c>
      <c r="HF180" s="560"/>
      <c r="HG180" s="560">
        <f t="shared" si="366"/>
        <v>0</v>
      </c>
      <c r="HH180" s="560" t="str">
        <f t="shared" si="367"/>
        <v/>
      </c>
      <c r="HI180" s="560">
        <f>IF(GK180="P",Lookup!$N$12,IF(GK180="PP",Lookup!$N$13,IF(GK180="PPP",Lookup!$N$14,IF(GK180="T",Lookup!$N$15,IF(GK180="TP",Lookup!$N$16,IF(GK180="TPP",Lookup!$N$17,IF(GK180="TPPP",Lookup!$N$18,0)))))))*GJ180</f>
        <v>0</v>
      </c>
      <c r="HJ180" s="545">
        <f t="shared" si="438"/>
        <v>0</v>
      </c>
      <c r="HK180" s="560">
        <f t="shared" si="439"/>
        <v>1944.1745555555556</v>
      </c>
      <c r="HL180" s="560">
        <f t="shared" si="371"/>
        <v>633.69444444444446</v>
      </c>
      <c r="HM180" s="560"/>
    </row>
    <row r="181" spans="1:221">
      <c r="A181" s="580" t="s">
        <v>7</v>
      </c>
      <c r="B181" s="556">
        <v>41809</v>
      </c>
      <c r="C181" s="561">
        <v>0</v>
      </c>
      <c r="D181" s="529">
        <f t="shared" si="372"/>
        <v>300</v>
      </c>
      <c r="E181" s="529">
        <f t="shared" si="373"/>
        <v>250</v>
      </c>
      <c r="F181" s="529">
        <v>250</v>
      </c>
      <c r="G181" s="560">
        <f>DR181+Sheet1!CZ183</f>
        <v>451.53605647995005</v>
      </c>
      <c r="H181" s="1082">
        <f t="shared" ref="H181:H229" si="442">MAX((G181-D181)*CFStoMGD,0)</f>
        <v>97.952906908639704</v>
      </c>
      <c r="I181" s="559">
        <f>Sheet1!DA183-E181</f>
        <v>522</v>
      </c>
      <c r="J181" s="562">
        <f>Sheet1!DB183-Calculation!D181</f>
        <v>236</v>
      </c>
      <c r="K181" s="904">
        <f t="shared" si="375"/>
        <v>64.64</v>
      </c>
      <c r="L181" s="560">
        <f>Sheet1!AA183+Sheet1!AB183-Sheet1!L183+(Sheet1!DA183-F181)*CFStoMGD</f>
        <v>408.2208</v>
      </c>
      <c r="M181" s="560">
        <f t="shared" si="376"/>
        <v>297.71036504681251</v>
      </c>
      <c r="N181" s="910">
        <f>IF(Sheet1!DA183&gt;=F181,MIN(73,MIN(MAX(L181,0),MAX(M181,0))),0)</f>
        <v>73</v>
      </c>
      <c r="O181" s="563">
        <f>Sheet1!AA183+Sheet1!AB183</f>
        <v>70.8</v>
      </c>
      <c r="P181" s="563">
        <f t="shared" si="377"/>
        <v>109.52759999999999</v>
      </c>
      <c r="Q181" s="898">
        <f t="shared" si="339"/>
        <v>6.1599999999999966</v>
      </c>
      <c r="R181" s="829">
        <f t="shared" si="378"/>
        <v>11.01</v>
      </c>
      <c r="S181" s="898">
        <f t="shared" si="340"/>
        <v>64.64</v>
      </c>
      <c r="T181" s="898">
        <f t="shared" si="341"/>
        <v>0</v>
      </c>
      <c r="U181" s="898">
        <f t="shared" si="342"/>
        <v>0</v>
      </c>
      <c r="V181" s="898"/>
      <c r="W181" s="898">
        <f t="shared" si="343"/>
        <v>53.689883449883453</v>
      </c>
      <c r="X181" s="898">
        <f t="shared" si="344"/>
        <v>64.64</v>
      </c>
      <c r="Y181" s="898" t="str">
        <f t="shared" si="345"/>
        <v>FALSE</v>
      </c>
      <c r="Z181" s="898">
        <f t="shared" si="346"/>
        <v>70.8</v>
      </c>
      <c r="AA181" s="898">
        <f t="shared" si="347"/>
        <v>70.8</v>
      </c>
      <c r="AB181" s="898" t="str">
        <f t="shared" si="348"/>
        <v/>
      </c>
      <c r="AC181" s="563">
        <f>Sheet1!Y183*MGDtoCFS</f>
        <v>50.5869</v>
      </c>
      <c r="AD181" s="563">
        <f>Sheet1!Z183*MGDtoCFS</f>
        <v>53.990299999999998</v>
      </c>
      <c r="AE181" s="563">
        <f>Sheet1!AA183*MGDtoCFS</f>
        <v>50.122799999999998</v>
      </c>
      <c r="AF181" s="563">
        <f>Sheet1!AB183*MGDtoCFS</f>
        <v>59.404799999999994</v>
      </c>
      <c r="AG181" s="563">
        <f>Sheet1!L183*MGDtoCFS</f>
        <v>0</v>
      </c>
      <c r="AH181" s="545">
        <f t="shared" si="379"/>
        <v>0</v>
      </c>
      <c r="AI181" s="560">
        <f t="shared" si="380"/>
        <v>0</v>
      </c>
      <c r="AJ181" s="560">
        <f t="shared" si="381"/>
        <v>0</v>
      </c>
      <c r="AK181" s="560">
        <f t="shared" si="382"/>
        <v>0</v>
      </c>
      <c r="AL181" s="560">
        <f>(VLOOKUP(Sheet1!DC183,hhdcap_wcm,4)-(((VLOOKUP(Sheet1!DC183,hhdcap_wcm,3)-Sheet1!DC183)/(VLOOKUP(Sheet1!DC183,hhdcap_wcm,3)-VLOOKUP(Sheet1!DC183,hhdcap_wcm,1)))*(VLOOKUP(Sheet1!DC183,hhdcap_wcm,4)-VLOOKUP(Sheet1!DC183,hhdcap_wcm,2))))</f>
        <v>49348.200000119235</v>
      </c>
      <c r="AM181" s="560">
        <f t="shared" si="383"/>
        <v>-318.20000000025902</v>
      </c>
      <c r="AN181" s="560">
        <f t="shared" si="384"/>
        <v>3259</v>
      </c>
      <c r="AO181" s="560">
        <f t="shared" si="385"/>
        <v>9998.612000000001</v>
      </c>
      <c r="AP181" s="560">
        <f>Sheet1!BA183+Sheet1!BB183+Sheet1!BN183+CD181</f>
        <v>27.6</v>
      </c>
      <c r="AQ181" s="560">
        <f>Sheet1!BN183+(DO181*Sheet1!BN183)</f>
        <v>25.858585858585858</v>
      </c>
      <c r="AR181" s="560">
        <f>Sheet1!BA183+CD181</f>
        <v>0</v>
      </c>
      <c r="AS181" s="560">
        <f>Sheet1!BA183+Sheet1!BB183+CD181</f>
        <v>1.6</v>
      </c>
      <c r="AT181" s="698">
        <f>0</f>
        <v>0</v>
      </c>
      <c r="AU181" s="560">
        <f>IF(EB181&lt;K181,0,MAX(Sheet1!AA183+AQ181-15/36*K181-N181,Sheet1!EH183,0))</f>
        <v>0</v>
      </c>
      <c r="AV181" s="560">
        <f>IF(OR(B181&gt;=GD181,B181&lt;GC181),0,15/36*K181-MAX(0,64.6-(137.6-(Sheet1!AA183+Sheet1!AB183))))</f>
        <v>0</v>
      </c>
      <c r="AW181" s="698">
        <f>Sheet1!DB183-110</f>
        <v>426</v>
      </c>
      <c r="AX181" s="698">
        <f>Sheet1!DA183-265</f>
        <v>507</v>
      </c>
      <c r="AY181" s="698">
        <f t="shared" si="386"/>
        <v>66.84</v>
      </c>
      <c r="AZ181" s="698">
        <v>0</v>
      </c>
      <c r="BA181" s="698">
        <f t="shared" si="387"/>
        <v>0</v>
      </c>
      <c r="BB181" s="560">
        <f>GO181+GQ181</f>
        <v>1357.9166666666667</v>
      </c>
      <c r="BC181" s="560"/>
      <c r="BD181" s="560">
        <f ca="1">IF(B181&gt;Summary!$A$1,#N/A,BB181*MGtoAF)</f>
        <v>4166.088333333334</v>
      </c>
      <c r="BE181" s="560">
        <f>Sheet1!BG183+Sheet1!BH183+Sheet1!BI183-BM181</f>
        <v>0</v>
      </c>
      <c r="BF181" s="560">
        <f t="shared" si="389"/>
        <v>0</v>
      </c>
      <c r="BG181" s="560">
        <f>IF(Sheet1!EP183="FM",BM181,0)</f>
        <v>0</v>
      </c>
      <c r="BH181" s="560">
        <f t="shared" si="390"/>
        <v>0</v>
      </c>
      <c r="BI181" s="560">
        <f>IF(Sheet1!EP183="OTHER",BM181,0)</f>
        <v>0</v>
      </c>
      <c r="BJ181" s="560">
        <f t="shared" si="391"/>
        <v>0</v>
      </c>
      <c r="BK181" s="560">
        <f t="shared" si="392"/>
        <v>0</v>
      </c>
      <c r="BL181" s="560">
        <f t="shared" si="393"/>
        <v>0</v>
      </c>
      <c r="BM181" s="560">
        <f>IF(OR(Sheet1!EP183="FM", Sheet1!EP183="OTHER"),SUM(Sheet1!BG183:'Sheet1'!BI183),0)</f>
        <v>0</v>
      </c>
      <c r="BN181" s="545">
        <f>IF(AND($B181&gt;=$FV181,$B181&lt;=$FW181),MAX(BF181,Sheet1!EI183,0),MAX(BF181-(7/36)*$K181,0))</f>
        <v>0</v>
      </c>
      <c r="BO181" s="560">
        <f t="shared" si="394"/>
        <v>0</v>
      </c>
      <c r="BP181" s="545">
        <f t="shared" si="395"/>
        <v>0</v>
      </c>
      <c r="BQ181" s="545">
        <f>IF(AND($O181&gt;0,Sheet1!EM183=1),(1-($O181-Sheet1!$L183)/$O181)*BL181,0)</f>
        <v>0</v>
      </c>
      <c r="BR181" s="545">
        <f>IF(AND(Sheet1!$L183=0,Sheet1!$L182=0, Calculation!BK181&lt;Sheet1!$EI183-0.1,Sheet1!$EI183=Sheet1!$EI182,Sheet1!$EI183=Sheet1!$EI184),Sheet1!$EI183,BL181-BQ181)</f>
        <v>0</v>
      </c>
      <c r="BS181" s="560"/>
      <c r="BT181" s="560"/>
      <c r="BU181" s="560">
        <f t="shared" si="396"/>
        <v>633.69444444444446</v>
      </c>
      <c r="BV181" s="560"/>
      <c r="BW181" s="560">
        <f ca="1">IF(B181&gt;Summary!$A$1,#N/A,BU181*MGtoAF)</f>
        <v>1944.1745555555556</v>
      </c>
      <c r="BX181" s="560">
        <f>Sheet1!BC183+Sheet1!BD183+Sheet1!BE183+Sheet1!BF183-CG181-CH181</f>
        <v>2.9800000000000004</v>
      </c>
      <c r="BY181" s="560">
        <f t="shared" si="397"/>
        <v>2.9637917637917641</v>
      </c>
      <c r="BZ181" s="560">
        <f>IF(Sheet1!EQ183="FM",CH181,0)</f>
        <v>0</v>
      </c>
      <c r="CA181" s="560">
        <f t="shared" si="398"/>
        <v>0</v>
      </c>
      <c r="CB181" s="560">
        <f>IF(Sheet1!EQ183="OTHER",CH181,0)</f>
        <v>0</v>
      </c>
      <c r="CC181" s="560">
        <f t="shared" si="399"/>
        <v>0</v>
      </c>
      <c r="CD181" s="560">
        <f t="shared" si="400"/>
        <v>0</v>
      </c>
      <c r="CE181" s="560">
        <f t="shared" si="401"/>
        <v>2.9800000000000004</v>
      </c>
      <c r="CF181" s="560">
        <f t="shared" si="402"/>
        <v>2.9637917637917641</v>
      </c>
      <c r="CG181" s="560">
        <f>IF(Sheet1!EQ183="CWA",SUM(Sheet1!BC183:'Sheet1'!BF183),0)</f>
        <v>0</v>
      </c>
      <c r="CH181" s="560">
        <f>IF(OR(Sheet1!EQ183="FM", Sheet1!EQ183="OTHER"),SUM(Sheet1!BC183:'Sheet1'!BF183),0)</f>
        <v>0</v>
      </c>
      <c r="CI181" s="545">
        <f>IF(AND($B181&gt;=$FV181,$B181&lt;=$FW181),MAX(CF181,Sheet1!EJ183,0),MAX(CF181-(7/36)*$K181,0))</f>
        <v>0</v>
      </c>
      <c r="CJ181" s="560">
        <f t="shared" si="403"/>
        <v>0</v>
      </c>
      <c r="CK181" s="545">
        <f t="shared" si="404"/>
        <v>2.9637917637917641</v>
      </c>
      <c r="CL181" s="545">
        <f>IF(AND($O181&gt;0,Sheet1!EN183=1),(1-($O181-Sheet1!$L183)/$O181)*CF181,0)</f>
        <v>0</v>
      </c>
      <c r="CM181" s="545">
        <f>IF(AND(Sheet1!$L183=0,Sheet1!$L182=0, Calculation!CE181&lt;Sheet1!EJ183-0.1,Sheet1!EJ183=Sheet1!EJ182,Sheet1!EJ183=Sheet1!EJ184),Sheet1!EJ183,CF181-CL181)</f>
        <v>2.9637917637917641</v>
      </c>
      <c r="CN181" s="545"/>
      <c r="CO181" s="560"/>
      <c r="CP181" s="560">
        <f t="shared" si="405"/>
        <v>633.69444444444446</v>
      </c>
      <c r="CQ181" s="560"/>
      <c r="CR181" s="560">
        <f ca="1">IF(B181&gt;Summary!$A$1,#N/A,CP181*MGtoAF)</f>
        <v>1944.1745555555556</v>
      </c>
      <c r="CS181" s="560">
        <f>Sheet1!BK183+Sheet1!BL183+Sheet1!BM183-Sheet1!ER183-DA181</f>
        <v>8.0299999999999994</v>
      </c>
      <c r="CT181" s="560">
        <f t="shared" si="406"/>
        <v>7.9863247863247855</v>
      </c>
      <c r="CU181" s="560">
        <f>IF(Sheet1!ER183="FM",DA181,0)</f>
        <v>0</v>
      </c>
      <c r="CV181" s="560">
        <f t="shared" si="407"/>
        <v>0</v>
      </c>
      <c r="CW181" s="560">
        <f>IF(Sheet1!ER183="OTHER",DA181,0)</f>
        <v>0</v>
      </c>
      <c r="CX181" s="560">
        <f t="shared" si="408"/>
        <v>0</v>
      </c>
      <c r="CY181" s="560">
        <f t="shared" si="409"/>
        <v>8.0299999999999994</v>
      </c>
      <c r="CZ181" s="560">
        <f t="shared" si="410"/>
        <v>7.9863247863247855</v>
      </c>
      <c r="DA181" s="560">
        <f>IF(OR(Sheet1!ER183="FM", Sheet1!ER183="OTHER"),SUM(Sheet1!BK183:'Sheet1'!BM183),0)</f>
        <v>0</v>
      </c>
      <c r="DB181" s="545">
        <f>IF(AND($B181&gt;=$FV181,$B181&lt;=$FW181),MAX($CT181,Sheet1!EK183,0),MAX($CT181-(7/36)*$K181,0))</f>
        <v>0</v>
      </c>
      <c r="DC181" s="560">
        <f t="shared" si="411"/>
        <v>0</v>
      </c>
      <c r="DD181" s="545">
        <f t="shared" si="412"/>
        <v>7.9863247863247855</v>
      </c>
      <c r="DE181" s="545">
        <f>IF(AND($O181&gt;0,Sheet1!EO183=1),(1-($O181-Sheet1!$L183)/$O181)*CZ181,0)</f>
        <v>0</v>
      </c>
      <c r="DF181" s="545">
        <f>IF(AND(Sheet1!$L183=0,Sheet1!$L182=0, Calculation!CY181&lt;Sheet1!$EK183-0.1,Sheet1!$EK183=Sheet1!$EK182,Sheet1!$EK183=Sheet1!$EK184),Sheet1!$EK183,CZ181-DE181)</f>
        <v>7.9863247863247855</v>
      </c>
      <c r="DG181" s="545"/>
      <c r="DH181" s="560">
        <f t="shared" si="413"/>
        <v>11.01</v>
      </c>
      <c r="DI181" s="560">
        <f t="shared" si="414"/>
        <v>633.69444444444446</v>
      </c>
      <c r="DJ181" s="698">
        <f t="shared" si="415"/>
        <v>10.950116550116549</v>
      </c>
      <c r="DK181" s="560">
        <f ca="1">IF(B181&gt;Summary!$A$1,#N/A,DI181*MGtoAF)</f>
        <v>1944.1745555555556</v>
      </c>
      <c r="DL181" s="698">
        <f t="shared" si="416"/>
        <v>11.01</v>
      </c>
      <c r="DM181" s="560">
        <f t="shared" si="417"/>
        <v>38.61</v>
      </c>
      <c r="DN181" s="560">
        <f>Sheet1!AB183-DM181</f>
        <v>-0.21000000000000085</v>
      </c>
      <c r="DO181" s="823">
        <f t="shared" si="418"/>
        <v>-5.4390054390054616E-3</v>
      </c>
      <c r="DP181" s="560">
        <f>(VLOOKUP(Sheet1!DC183,hhdcap_wcm,4)-(((VLOOKUP(Sheet1!DC183,hhdcap_wcm,3)-Sheet1!DC183)/(VLOOKUP(Sheet1!DC183,hhdcap_wcm,3)-VLOOKUP(Sheet1!DC183,hhdcap_wcm,1)))*(VLOOKUP(Sheet1!DC183,hhdcap_wcm,4)-VLOOKUP(Sheet1!DC183,hhdcap_wcm,2))))</f>
        <v>49348.200000119235</v>
      </c>
      <c r="DQ181" s="560">
        <f t="shared" si="419"/>
        <v>-318.20000000025902</v>
      </c>
      <c r="DR181" s="560">
        <f t="shared" si="420"/>
        <v>-160.46394352004992</v>
      </c>
      <c r="DS181" s="560">
        <f>Sheet1!EA183*AFtoMG</f>
        <v>0</v>
      </c>
      <c r="DT181" s="560">
        <f>Sheet1!EB183*AFtoMG</f>
        <v>0</v>
      </c>
      <c r="DU181" s="560">
        <f>Sheet1!EC183*AFtoMG</f>
        <v>0</v>
      </c>
      <c r="DV181" s="560">
        <f>Sheet1!ED183*AFtoMG</f>
        <v>0</v>
      </c>
      <c r="DW181" s="560">
        <f t="shared" si="421"/>
        <v>0</v>
      </c>
      <c r="DX181" s="560">
        <f t="shared" si="422"/>
        <v>0</v>
      </c>
      <c r="DY181" s="560">
        <f t="shared" si="423"/>
        <v>3259</v>
      </c>
      <c r="DZ181" s="560">
        <f t="shared" si="424"/>
        <v>9998.612000000001</v>
      </c>
      <c r="EA181" s="560"/>
      <c r="EB181" s="545">
        <f>IF(OR(B181&lt;FV181,B181&gt;FW181),(MIN(BF181+BY181+CT181+MAX(Sheet1!AA183+AQ181-73,0),K181)),0)</f>
        <v>10.950116550116549</v>
      </c>
      <c r="EC181" s="560"/>
      <c r="ED181" s="560">
        <f t="shared" si="425"/>
        <v>10.950116550116549</v>
      </c>
      <c r="EE181" s="560"/>
      <c r="EF181" s="560">
        <f>Sheet1!EH183+Sheet1!EI183+Sheet1!EJ183+Sheet1!EK183</f>
        <v>11.01</v>
      </c>
      <c r="EG181" s="560"/>
      <c r="EH181" s="545">
        <f t="shared" si="426"/>
        <v>0</v>
      </c>
      <c r="EI181" s="560">
        <f>IF(Sheet1!ET183=1,SUM('Calculations II'!AT181:BA181)+'Calculations II'!BC181+Sheet1!BV183+'Calculations II'!BE181+AP181,SUM('Calculations II'!AT181:BA181)+'Calculations II'!BC181+Sheet1!BV183+'Calculations II'!BE181+AP181)</f>
        <v>67.823424000000003</v>
      </c>
      <c r="EJ181" s="560">
        <f>Sheet1!AA183+Sheet1!AB183+'Calculations II'!BC181</f>
        <v>70.8</v>
      </c>
      <c r="EK181" s="560"/>
      <c r="EL181" s="560"/>
      <c r="EM181" s="560">
        <f t="shared" si="427"/>
        <v>41809</v>
      </c>
      <c r="EN181" s="560">
        <f t="shared" si="428"/>
        <v>0</v>
      </c>
      <c r="EO181" s="560">
        <f t="shared" si="429"/>
        <v>0</v>
      </c>
      <c r="EP181" s="560">
        <v>0</v>
      </c>
      <c r="EQ181" s="560">
        <v>0</v>
      </c>
      <c r="ER181" s="560">
        <v>0</v>
      </c>
      <c r="ES181" s="545">
        <f t="shared" si="349"/>
        <v>0.41536461370956151</v>
      </c>
      <c r="ET181" s="560">
        <f>-(VLOOKUP(Sheet1!BQ183,Lookup!$O$4:$Q$262,2)-VLOOKUP(Sheet1!BQ182,Lookup!$O$4:$Q$262,2))/1000000</f>
        <v>0.27691187833922354</v>
      </c>
      <c r="EU181" s="560">
        <f>-(VLOOKUP(Sheet1!BR183,Lookup!$O$4:$Q$262,3)-VLOOKUP(Sheet1!BR182,Lookup!$O$4:$Q$262,3))/1000000</f>
        <v>0.13845273537033798</v>
      </c>
      <c r="EV181" s="560"/>
      <c r="EW181" s="560"/>
      <c r="EX181" s="560"/>
      <c r="EY181" s="560"/>
      <c r="EZ181" s="560"/>
      <c r="FA181" s="560"/>
      <c r="FB181" s="560"/>
      <c r="FC181" s="560"/>
      <c r="FD181" s="594" t="e">
        <f t="shared" si="430"/>
        <v>#N/A</v>
      </c>
      <c r="FE181" s="594" t="e">
        <f t="shared" si="431"/>
        <v>#N/A</v>
      </c>
      <c r="FF181" s="595" t="e">
        <f t="shared" si="432"/>
        <v>#N/A</v>
      </c>
      <c r="FG181" s="596" t="s">
        <v>692</v>
      </c>
      <c r="FH181" s="596" t="s">
        <v>692</v>
      </c>
      <c r="FI181" s="594" t="e">
        <v>#N/A</v>
      </c>
      <c r="FJ181" s="594" t="e">
        <v>#N/A</v>
      </c>
      <c r="FK181" s="560">
        <v>24150</v>
      </c>
      <c r="FL181" s="560"/>
      <c r="FM181" s="560"/>
      <c r="FN181" s="560"/>
      <c r="FO181" s="560">
        <f>O181+((Sheet1!CS183)*GPMtoMGD)</f>
        <v>70.8</v>
      </c>
      <c r="FP181" s="560">
        <f>IF(Sheet1!AA183+AQ181&lt;=Calculation!N181,AQ181,Calculation!N181-Sheet1!AA183)</f>
        <v>25.858585858585858</v>
      </c>
      <c r="FQ181" s="560">
        <f>(Sheet1!BP183+Sheet1!BO183)/694.4</f>
        <v>3.5627880184331797</v>
      </c>
      <c r="FR181" s="560"/>
      <c r="FS181" s="560"/>
      <c r="FT181" s="560"/>
      <c r="FU181" s="560"/>
      <c r="FV181" s="695">
        <f t="shared" si="350"/>
        <v>41827</v>
      </c>
      <c r="FW181" s="695">
        <f t="shared" si="351"/>
        <v>41934</v>
      </c>
      <c r="FX181" s="560"/>
      <c r="FY181" s="560"/>
      <c r="FZ181" s="560"/>
      <c r="GA181" s="560"/>
      <c r="GB181" s="560" t="str">
        <f t="shared" si="352"/>
        <v>n</v>
      </c>
      <c r="GC181" s="564">
        <f t="shared" si="353"/>
        <v>41691</v>
      </c>
      <c r="GD181" s="695">
        <f t="shared" si="354"/>
        <v>41807</v>
      </c>
      <c r="GE181" s="560">
        <v>6518.9</v>
      </c>
      <c r="GF181" s="695">
        <f t="shared" si="355"/>
        <v>41808</v>
      </c>
      <c r="GG181" s="560">
        <f t="shared" si="374"/>
        <v>3259</v>
      </c>
      <c r="GH181" s="564">
        <f t="shared" si="356"/>
        <v>41934</v>
      </c>
      <c r="GJ181" s="545">
        <f t="shared" si="357"/>
        <v>0</v>
      </c>
      <c r="GK181" s="560" t="str">
        <f t="shared" si="433"/>
        <v/>
      </c>
      <c r="GL181" s="560">
        <f t="shared" si="358"/>
        <v>0</v>
      </c>
      <c r="GM181" s="560" t="str">
        <f t="shared" si="359"/>
        <v/>
      </c>
      <c r="GN181" s="560">
        <f>IF(GK181="P",Lookup!$M$12,IF(GK181="PP",Lookup!$M$13,IF(GK181="PPP",Lookup!$M$14,IF(GK181="T",Lookup!$M$15,IF(GK181="TP",Lookup!$M$16,IF(GK181="TPP",Lookup!$M$17,IF(GK181="TPPP",Lookup!$M$18,0)))))))*GJ181</f>
        <v>0</v>
      </c>
      <c r="GO181" s="560">
        <f t="shared" si="360"/>
        <v>0</v>
      </c>
      <c r="GP181" s="560">
        <f t="shared" si="434"/>
        <v>4166.088333333334</v>
      </c>
      <c r="GQ181" s="560">
        <f t="shared" si="368"/>
        <v>1357.9166666666667</v>
      </c>
      <c r="GR181" s="560"/>
      <c r="GS181" s="560">
        <f t="shared" si="361"/>
        <v>0</v>
      </c>
      <c r="GT181" s="560" t="str">
        <f t="shared" si="362"/>
        <v/>
      </c>
      <c r="GU181" s="560">
        <f>IF(GK181="P",Lookup!$N$12,IF(GK181="PP",Lookup!$N$13,IF(GK181="PPP",Lookup!$N$14,IF(GK181="T",Lookup!$N$15,IF(GK181="TP",Lookup!$N$16,IF(GK181="TPP",Lookup!$N$17,IF(GK181="TPPP",Lookup!$N$18,0)))))))*GJ181</f>
        <v>0</v>
      </c>
      <c r="GV181" s="560">
        <f t="shared" si="363"/>
        <v>0</v>
      </c>
      <c r="GW181" s="560">
        <f t="shared" si="435"/>
        <v>1944.1745555555556</v>
      </c>
      <c r="GX181" s="560">
        <f t="shared" si="369"/>
        <v>633.69444444444446</v>
      </c>
      <c r="GY181" s="560"/>
      <c r="GZ181" s="560">
        <f t="shared" si="364"/>
        <v>0</v>
      </c>
      <c r="HA181" s="560" t="str">
        <f t="shared" si="365"/>
        <v/>
      </c>
      <c r="HB181" s="560">
        <f>IF(GK181="P",Lookup!$N$12,IF(GK181="PP",Lookup!$N$13,IF(GK181="PPP",Lookup!$N$14,IF(GK181="T",Lookup!$N$15,IF(GK181="TP",Lookup!$N$16,IF(GK181="TPP",Lookup!$N$17,IF(GK181="TPPP",Lookup!$N$18,0)))))))*GJ181</f>
        <v>0</v>
      </c>
      <c r="HC181" s="545">
        <f t="shared" si="436"/>
        <v>0</v>
      </c>
      <c r="HD181" s="560">
        <f t="shared" si="437"/>
        <v>1944.1745555555556</v>
      </c>
      <c r="HE181" s="560">
        <f t="shared" si="370"/>
        <v>633.69444444444446</v>
      </c>
      <c r="HF181" s="560"/>
      <c r="HG181" s="560">
        <f t="shared" si="366"/>
        <v>0</v>
      </c>
      <c r="HH181" s="560" t="str">
        <f t="shared" si="367"/>
        <v/>
      </c>
      <c r="HI181" s="560">
        <f>IF(GK181="P",Lookup!$N$12,IF(GK181="PP",Lookup!$N$13,IF(GK181="PPP",Lookup!$N$14,IF(GK181="T",Lookup!$N$15,IF(GK181="TP",Lookup!$N$16,IF(GK181="TPP",Lookup!$N$17,IF(GK181="TPPP",Lookup!$N$18,0)))))))*GJ181</f>
        <v>0</v>
      </c>
      <c r="HJ181" s="545">
        <f t="shared" si="438"/>
        <v>0</v>
      </c>
      <c r="HK181" s="560">
        <f t="shared" si="439"/>
        <v>1944.1745555555556</v>
      </c>
      <c r="HL181" s="560">
        <f t="shared" si="371"/>
        <v>633.69444444444446</v>
      </c>
      <c r="HM181" s="560"/>
    </row>
    <row r="182" spans="1:221">
      <c r="A182" s="580" t="s">
        <v>8</v>
      </c>
      <c r="B182" s="556">
        <v>41810</v>
      </c>
      <c r="C182" s="561">
        <v>0</v>
      </c>
      <c r="D182" s="529">
        <f t="shared" si="372"/>
        <v>300</v>
      </c>
      <c r="E182" s="529">
        <f t="shared" si="373"/>
        <v>250</v>
      </c>
      <c r="F182" s="529">
        <v>250</v>
      </c>
      <c r="G182" s="560">
        <f>DR182+Sheet1!CZ184</f>
        <v>496.00907715582599</v>
      </c>
      <c r="H182" s="1082">
        <f t="shared" si="442"/>
        <v>126.70026747352591</v>
      </c>
      <c r="I182" s="559">
        <f>Sheet1!DA184-E182</f>
        <v>464</v>
      </c>
      <c r="J182" s="562">
        <f>Sheet1!DB184-Calculation!D182</f>
        <v>170</v>
      </c>
      <c r="K182" s="904">
        <f t="shared" si="375"/>
        <v>64.64</v>
      </c>
      <c r="L182" s="560">
        <f>Sheet1!AA184+Sheet1!AB184-Sheet1!L184+(Sheet1!DA184-F182)*CFStoMGD</f>
        <v>373.12959999999998</v>
      </c>
      <c r="M182" s="560">
        <f t="shared" si="376"/>
        <v>327.03267282299646</v>
      </c>
      <c r="N182" s="910">
        <f>IF(Sheet1!DA184&gt;=F182,MIN(73,MIN(MAX(L182,0),MAX(M182,0))),0)</f>
        <v>73</v>
      </c>
      <c r="O182" s="563">
        <f>Sheet1!AA184+Sheet1!AB184</f>
        <v>73.199999999999989</v>
      </c>
      <c r="P182" s="563">
        <f t="shared" si="377"/>
        <v>113.24039999999999</v>
      </c>
      <c r="Q182" s="898">
        <f t="shared" si="339"/>
        <v>8.5599999999999881</v>
      </c>
      <c r="R182" s="829">
        <f t="shared" si="378"/>
        <v>11.5</v>
      </c>
      <c r="S182" s="898">
        <f t="shared" si="340"/>
        <v>64.64</v>
      </c>
      <c r="T182" s="898">
        <f t="shared" si="341"/>
        <v>0</v>
      </c>
      <c r="U182" s="898">
        <f t="shared" si="342"/>
        <v>0</v>
      </c>
      <c r="V182" s="898"/>
      <c r="W182" s="898">
        <f t="shared" si="343"/>
        <v>53.302667315648577</v>
      </c>
      <c r="X182" s="898">
        <f t="shared" si="344"/>
        <v>64.64</v>
      </c>
      <c r="Y182" s="898" t="str">
        <f t="shared" si="345"/>
        <v>FALSE</v>
      </c>
      <c r="Z182" s="898">
        <f t="shared" si="346"/>
        <v>73.199999999999989</v>
      </c>
      <c r="AA182" s="898">
        <f t="shared" si="347"/>
        <v>73.199999999999989</v>
      </c>
      <c r="AB182" s="898" t="str">
        <f t="shared" si="348"/>
        <v/>
      </c>
      <c r="AC182" s="563">
        <f>Sheet1!Y184*MGDtoCFS</f>
        <v>50.122799999999998</v>
      </c>
      <c r="AD182" s="563">
        <f>Sheet1!Z184*MGDtoCFS</f>
        <v>59.404799999999994</v>
      </c>
      <c r="AE182" s="563">
        <f>Sheet1!AA184*MGDtoCFS</f>
        <v>49.968099999999993</v>
      </c>
      <c r="AF182" s="563">
        <f>Sheet1!AB184*MGDtoCFS</f>
        <v>63.272299999999994</v>
      </c>
      <c r="AG182" s="563">
        <f>Sheet1!L184*MGDtoCFS</f>
        <v>0</v>
      </c>
      <c r="AH182" s="545">
        <f t="shared" si="379"/>
        <v>0</v>
      </c>
      <c r="AI182" s="560">
        <f t="shared" si="380"/>
        <v>0</v>
      </c>
      <c r="AJ182" s="560">
        <f t="shared" si="381"/>
        <v>0</v>
      </c>
      <c r="AK182" s="560">
        <f t="shared" si="382"/>
        <v>0</v>
      </c>
      <c r="AL182" s="560">
        <f>(VLOOKUP(Sheet1!DC184,hhdcap_wcm,4)-(((VLOOKUP(Sheet1!DC184,hhdcap_wcm,3)-Sheet1!DC184)/(VLOOKUP(Sheet1!DC184,hhdcap_wcm,3)-VLOOKUP(Sheet1!DC184,hhdcap_wcm,1)))*(VLOOKUP(Sheet1!DC184,hhdcap_wcm,4)-VLOOKUP(Sheet1!DC184,hhdcap_wcm,2))))</f>
        <v>49257.000000119238</v>
      </c>
      <c r="AM182" s="560">
        <f t="shared" si="383"/>
        <v>-91.19999999999709</v>
      </c>
      <c r="AN182" s="560">
        <f t="shared" si="384"/>
        <v>3259</v>
      </c>
      <c r="AO182" s="560">
        <f t="shared" si="385"/>
        <v>9998.612000000001</v>
      </c>
      <c r="AP182" s="560">
        <f>Sheet1!BA184+Sheet1!BB184+Sheet1!BN184+CD182</f>
        <v>29.700000000000003</v>
      </c>
      <c r="AQ182" s="560">
        <f>Sheet1!BN184+(DO182*Sheet1!BN184)</f>
        <v>27.97006570941835</v>
      </c>
      <c r="AR182" s="560">
        <f>Sheet1!BA184+CD182</f>
        <v>0</v>
      </c>
      <c r="AS182" s="560">
        <f>Sheet1!BA184+Sheet1!BB184+CD182</f>
        <v>1.6</v>
      </c>
      <c r="AT182" s="698">
        <f>0</f>
        <v>0</v>
      </c>
      <c r="AU182" s="560">
        <f>IF(EB182&lt;K182,0,MAX(Sheet1!AA184+AQ182-15/36*K182-N182,Sheet1!EH184,0))</f>
        <v>0</v>
      </c>
      <c r="AV182" s="560">
        <f>IF(OR(B182&gt;=GD182,B182&lt;GC182),0,15/36*K182-MAX(0,64.6-(137.6-(Sheet1!AA184+Sheet1!AB184))))</f>
        <v>0</v>
      </c>
      <c r="AW182" s="698">
        <f>Sheet1!DB184-110</f>
        <v>360</v>
      </c>
      <c r="AX182" s="698">
        <f>Sheet1!DA184-265</f>
        <v>449</v>
      </c>
      <c r="AY182" s="698">
        <f t="shared" si="386"/>
        <v>64.440000000000012</v>
      </c>
      <c r="AZ182" s="698">
        <v>0</v>
      </c>
      <c r="BA182" s="698">
        <f t="shared" si="387"/>
        <v>0</v>
      </c>
      <c r="BB182" s="560">
        <f t="shared" si="388"/>
        <v>1357.9166666666667</v>
      </c>
      <c r="BC182" s="560"/>
      <c r="BD182" s="560">
        <f ca="1">IF(B182&gt;Summary!$A$1,#N/A,BB182*MGtoAF)</f>
        <v>4166.088333333334</v>
      </c>
      <c r="BE182" s="560">
        <f>Sheet1!BG184+Sheet1!BH184+Sheet1!BI184-BM182</f>
        <v>0</v>
      </c>
      <c r="BF182" s="560">
        <f t="shared" si="389"/>
        <v>0</v>
      </c>
      <c r="BG182" s="560">
        <f>IF(Sheet1!EP184="FM",BM182,0)</f>
        <v>0</v>
      </c>
      <c r="BH182" s="560">
        <f t="shared" si="390"/>
        <v>0</v>
      </c>
      <c r="BI182" s="560">
        <f>IF(Sheet1!EP184="OTHER",BM182,0)</f>
        <v>0</v>
      </c>
      <c r="BJ182" s="560">
        <f t="shared" si="391"/>
        <v>0</v>
      </c>
      <c r="BK182" s="560">
        <f t="shared" si="392"/>
        <v>0</v>
      </c>
      <c r="BL182" s="560">
        <f t="shared" si="393"/>
        <v>0</v>
      </c>
      <c r="BM182" s="560">
        <f>IF(OR(Sheet1!EP184="FM", Sheet1!EP184="OTHER"),SUM(Sheet1!BG184:'Sheet1'!BI184),0)</f>
        <v>0</v>
      </c>
      <c r="BN182" s="545">
        <f>IF(AND($B182&gt;=$FV182,$B182&lt;=$FW182),MAX(BF182,Sheet1!EI184,0),MAX(BF182-(7/36)*$K182,0))</f>
        <v>0</v>
      </c>
      <c r="BO182" s="560">
        <f t="shared" si="394"/>
        <v>0</v>
      </c>
      <c r="BP182" s="545">
        <f t="shared" si="395"/>
        <v>0</v>
      </c>
      <c r="BQ182" s="545">
        <f>IF(AND($O182&gt;0,Sheet1!EM184=1),(1-($O182-Sheet1!$L184)/$O182)*BL182,0)</f>
        <v>0</v>
      </c>
      <c r="BR182" s="545">
        <f>IF(AND(Sheet1!$L184=0,Sheet1!$L183=0, Calculation!BK182&lt;Sheet1!$EI184-0.1,Sheet1!$EI184=Sheet1!$EI183,Sheet1!$EI184=Sheet1!$EI185),Sheet1!$EI184,BL182-BQ182)</f>
        <v>0</v>
      </c>
      <c r="BS182" s="560"/>
      <c r="BT182" s="560"/>
      <c r="BU182" s="560">
        <f t="shared" si="396"/>
        <v>633.69444444444446</v>
      </c>
      <c r="BV182" s="560"/>
      <c r="BW182" s="560">
        <f ca="1">IF(B182&gt;Summary!$A$1,#N/A,BU182*MGtoAF)</f>
        <v>1944.1745555555556</v>
      </c>
      <c r="BX182" s="560">
        <f>Sheet1!BC184+Sheet1!BD184+Sheet1!BE184+Sheet1!BF184-CG182-CH182</f>
        <v>2.9400000000000004</v>
      </c>
      <c r="BY182" s="560">
        <f t="shared" si="397"/>
        <v>2.9264054514480411</v>
      </c>
      <c r="BZ182" s="560">
        <f>IF(Sheet1!EQ184="FM",CH182,0)</f>
        <v>0</v>
      </c>
      <c r="CA182" s="560">
        <f t="shared" si="398"/>
        <v>0</v>
      </c>
      <c r="CB182" s="560">
        <f>IF(Sheet1!EQ184="OTHER",CH182,0)</f>
        <v>0</v>
      </c>
      <c r="CC182" s="560">
        <f t="shared" si="399"/>
        <v>0</v>
      </c>
      <c r="CD182" s="560">
        <f t="shared" si="400"/>
        <v>0</v>
      </c>
      <c r="CE182" s="560">
        <f t="shared" si="401"/>
        <v>2.9400000000000004</v>
      </c>
      <c r="CF182" s="560">
        <f t="shared" si="402"/>
        <v>2.9264054514480411</v>
      </c>
      <c r="CG182" s="560">
        <f>IF(Sheet1!EQ184="CWA",SUM(Sheet1!BC184:'Sheet1'!BF184),0)</f>
        <v>0</v>
      </c>
      <c r="CH182" s="560">
        <f>IF(OR(Sheet1!EQ184="FM", Sheet1!EQ184="OTHER"),SUM(Sheet1!BC184:'Sheet1'!BF184),0)</f>
        <v>0</v>
      </c>
      <c r="CI182" s="545">
        <f>IF(AND($B182&gt;=$FV182,$B182&lt;=$FW182),MAX(CF182,Sheet1!EJ184,0),MAX(CF182-(7/36)*$K182,0))</f>
        <v>0</v>
      </c>
      <c r="CJ182" s="560">
        <f t="shared" si="403"/>
        <v>0</v>
      </c>
      <c r="CK182" s="545">
        <f t="shared" si="404"/>
        <v>2.9264054514480411</v>
      </c>
      <c r="CL182" s="545">
        <f>IF(AND($O182&gt;0,Sheet1!EN184=1),(1-($O182-Sheet1!$L184)/$O182)*CF182,0)</f>
        <v>0</v>
      </c>
      <c r="CM182" s="545">
        <f>IF(AND(Sheet1!$L184=0,Sheet1!$L183=0, Calculation!CE182&lt;Sheet1!EJ184-0.1,Sheet1!EJ184=Sheet1!EJ183,Sheet1!EJ184=Sheet1!EJ185),Sheet1!EJ184,CF182-CL182)</f>
        <v>2.9264054514480411</v>
      </c>
      <c r="CN182" s="545"/>
      <c r="CO182" s="560"/>
      <c r="CP182" s="560">
        <f t="shared" si="405"/>
        <v>633.69444444444446</v>
      </c>
      <c r="CQ182" s="560"/>
      <c r="CR182" s="560">
        <f ca="1">IF(B182&gt;Summary!$A$1,#N/A,CP182*MGtoAF)</f>
        <v>1944.1745555555556</v>
      </c>
      <c r="CS182" s="560">
        <f>Sheet1!BK184+Sheet1!BL184+Sheet1!BM184-Sheet1!ER184-DA182</f>
        <v>8.4499999999999993</v>
      </c>
      <c r="CT182" s="560">
        <f t="shared" si="406"/>
        <v>8.4109272329033811</v>
      </c>
      <c r="CU182" s="560">
        <f>IF(Sheet1!ER184="FM",DA182,0)</f>
        <v>0</v>
      </c>
      <c r="CV182" s="560">
        <f t="shared" si="407"/>
        <v>0</v>
      </c>
      <c r="CW182" s="560">
        <f>IF(Sheet1!ER184="OTHER",DA182,0)</f>
        <v>0</v>
      </c>
      <c r="CX182" s="560">
        <f t="shared" si="408"/>
        <v>0</v>
      </c>
      <c r="CY182" s="560">
        <f t="shared" si="409"/>
        <v>8.4499999999999993</v>
      </c>
      <c r="CZ182" s="560">
        <f t="shared" si="410"/>
        <v>8.4109272329033811</v>
      </c>
      <c r="DA182" s="560">
        <f>IF(OR(Sheet1!ER184="FM", Sheet1!ER184="OTHER"),SUM(Sheet1!BK184:'Sheet1'!BM184),0)</f>
        <v>0</v>
      </c>
      <c r="DB182" s="545">
        <f>IF(AND($B182&gt;=$FV182,$B182&lt;=$FW182),MAX($CT182,Sheet1!EK184,0),MAX($CT182-(7/36)*$K182,0))</f>
        <v>0</v>
      </c>
      <c r="DC182" s="560">
        <f t="shared" si="411"/>
        <v>0</v>
      </c>
      <c r="DD182" s="545">
        <f t="shared" si="412"/>
        <v>8.4109272329033811</v>
      </c>
      <c r="DE182" s="545">
        <f>IF(AND($O182&gt;0,Sheet1!EO184=1),(1-($O182-Sheet1!$L184)/$O182)*CZ182,0)</f>
        <v>0</v>
      </c>
      <c r="DF182" s="545">
        <f>IF(AND(Sheet1!$L184=0,Sheet1!$L183=0, Calculation!CY182&lt;Sheet1!$EK184-0.1,Sheet1!$EK184=Sheet1!$EK183,Sheet1!$EK184=Sheet1!$EK185),Sheet1!$EK184,CZ182-DE182)</f>
        <v>8.4109272329033811</v>
      </c>
      <c r="DG182" s="545"/>
      <c r="DH182" s="560">
        <f t="shared" si="413"/>
        <v>11.39</v>
      </c>
      <c r="DI182" s="560">
        <f t="shared" si="414"/>
        <v>633.69444444444446</v>
      </c>
      <c r="DJ182" s="698">
        <f t="shared" si="415"/>
        <v>11.337332684351422</v>
      </c>
      <c r="DK182" s="560">
        <f ca="1">IF(B182&gt;Summary!$A$1,#N/A,DI182*MGtoAF)</f>
        <v>1944.1745555555556</v>
      </c>
      <c r="DL182" s="698">
        <f t="shared" si="416"/>
        <v>11.39</v>
      </c>
      <c r="DM182" s="560">
        <f t="shared" si="417"/>
        <v>41.09</v>
      </c>
      <c r="DN182" s="560">
        <f>Sheet1!AB184-DM182</f>
        <v>-0.19000000000000483</v>
      </c>
      <c r="DO182" s="823">
        <f t="shared" si="418"/>
        <v>-4.6239961061086592E-3</v>
      </c>
      <c r="DP182" s="560">
        <f>(VLOOKUP(Sheet1!DC184,hhdcap_wcm,4)-(((VLOOKUP(Sheet1!DC184,hhdcap_wcm,3)-Sheet1!DC184)/(VLOOKUP(Sheet1!DC184,hhdcap_wcm,3)-VLOOKUP(Sheet1!DC184,hhdcap_wcm,1)))*(VLOOKUP(Sheet1!DC184,hhdcap_wcm,4)-VLOOKUP(Sheet1!DC184,hhdcap_wcm,2))))</f>
        <v>49257.000000119238</v>
      </c>
      <c r="DQ182" s="560">
        <f t="shared" si="419"/>
        <v>-91.19999999999709</v>
      </c>
      <c r="DR182" s="560">
        <f t="shared" si="420"/>
        <v>-45.990922844174015</v>
      </c>
      <c r="DS182" s="560">
        <f>Sheet1!EA184*AFtoMG</f>
        <v>0</v>
      </c>
      <c r="DT182" s="560">
        <f>Sheet1!EB184*AFtoMG</f>
        <v>0</v>
      </c>
      <c r="DU182" s="560">
        <f>Sheet1!EC184*AFtoMG</f>
        <v>0</v>
      </c>
      <c r="DV182" s="560">
        <f>Sheet1!ED184*AFtoMG</f>
        <v>0</v>
      </c>
      <c r="DW182" s="560">
        <f t="shared" si="421"/>
        <v>0</v>
      </c>
      <c r="DX182" s="560">
        <f t="shared" si="422"/>
        <v>0</v>
      </c>
      <c r="DY182" s="560">
        <f t="shared" si="423"/>
        <v>3259</v>
      </c>
      <c r="DZ182" s="560">
        <f t="shared" si="424"/>
        <v>9998.612000000001</v>
      </c>
      <c r="EA182" s="560"/>
      <c r="EB182" s="545">
        <f>IF(OR(B182&lt;FV182,B182&gt;FW182),(MIN(BF182+BY182+CT182+MAX(Sheet1!AA184+AQ182-73,0),K182)),0)</f>
        <v>11.337332684351422</v>
      </c>
      <c r="EC182" s="560"/>
      <c r="ED182" s="560">
        <f t="shared" si="425"/>
        <v>11.337332684351422</v>
      </c>
      <c r="EE182" s="560"/>
      <c r="EF182" s="560">
        <f>Sheet1!EH184+Sheet1!EI184+Sheet1!EJ184+Sheet1!EK184</f>
        <v>11.5</v>
      </c>
      <c r="EG182" s="560"/>
      <c r="EH182" s="545">
        <f t="shared" si="426"/>
        <v>0</v>
      </c>
      <c r="EI182" s="560">
        <f>IF(Sheet1!ET184=1,SUM('Calculations II'!AT182:BA182)+'Calculations II'!BC182+Sheet1!BV184+'Calculations II'!BE182+AP182,SUM('Calculations II'!AT182:BA182)+'Calculations II'!BC182+Sheet1!BV184+'Calculations II'!BE182+AP182)</f>
        <v>69.345967999999999</v>
      </c>
      <c r="EJ182" s="560">
        <f>Sheet1!AA184+Sheet1!AB184+'Calculations II'!BC182</f>
        <v>73.199999999999989</v>
      </c>
      <c r="EK182" s="560"/>
      <c r="EL182" s="560"/>
      <c r="EM182" s="560">
        <f t="shared" si="427"/>
        <v>41810</v>
      </c>
      <c r="EN182" s="560">
        <f t="shared" si="428"/>
        <v>0</v>
      </c>
      <c r="EO182" s="560">
        <f t="shared" si="429"/>
        <v>0</v>
      </c>
      <c r="EP182" s="560">
        <v>0</v>
      </c>
      <c r="EQ182" s="560">
        <v>0</v>
      </c>
      <c r="ER182" s="560">
        <v>0</v>
      </c>
      <c r="ES182" s="545">
        <f t="shared" si="349"/>
        <v>0.13844632791959494</v>
      </c>
      <c r="ET182" s="560">
        <f>-(VLOOKUP(Sheet1!BQ184,Lookup!$O$4:$Q$262,2)-VLOOKUP(Sheet1!BQ183,Lookup!$O$4:$Q$262,2))/1000000</f>
        <v>0</v>
      </c>
      <c r="EU182" s="560">
        <f>-(VLOOKUP(Sheet1!BR184,Lookup!$O$4:$Q$262,3)-VLOOKUP(Sheet1!BR183,Lookup!$O$4:$Q$262,3))/1000000</f>
        <v>0.13844632791959494</v>
      </c>
      <c r="EV182" s="560"/>
      <c r="EW182" s="560"/>
      <c r="EX182" s="560"/>
      <c r="EY182" s="560"/>
      <c r="EZ182" s="560"/>
      <c r="FA182" s="560"/>
      <c r="FB182" s="560"/>
      <c r="FC182" s="560"/>
      <c r="FD182" s="594" t="e">
        <f t="shared" si="430"/>
        <v>#N/A</v>
      </c>
      <c r="FE182" s="594" t="e">
        <f t="shared" si="431"/>
        <v>#N/A</v>
      </c>
      <c r="FF182" s="595" t="e">
        <f t="shared" si="432"/>
        <v>#N/A</v>
      </c>
      <c r="FG182" s="596" t="s">
        <v>692</v>
      </c>
      <c r="FH182" s="596" t="s">
        <v>692</v>
      </c>
      <c r="FI182" s="594" t="e">
        <v>#N/A</v>
      </c>
      <c r="FJ182" s="594" t="e">
        <v>#N/A</v>
      </c>
      <c r="FK182" s="560">
        <v>24100</v>
      </c>
      <c r="FL182" s="560"/>
      <c r="FM182" s="560"/>
      <c r="FN182" s="560"/>
      <c r="FO182" s="560">
        <f>O182+((Sheet1!CS184)*GPMtoMGD)</f>
        <v>73.199999999999989</v>
      </c>
      <c r="FP182" s="560">
        <f>IF(Sheet1!AA184+AQ182&lt;=Calculation!N182,AQ182,Calculation!N182-Sheet1!AA184)</f>
        <v>27.97006570941835</v>
      </c>
      <c r="FQ182" s="560">
        <f>(Sheet1!BP184+Sheet1!BO184)/694.4</f>
        <v>2.5240495391705071</v>
      </c>
      <c r="FR182" s="560"/>
      <c r="FS182" s="560"/>
      <c r="FT182" s="560"/>
      <c r="FU182" s="560"/>
      <c r="FV182" s="695">
        <f t="shared" si="350"/>
        <v>41827</v>
      </c>
      <c r="FW182" s="695">
        <f t="shared" si="351"/>
        <v>41934</v>
      </c>
      <c r="FX182" s="560"/>
      <c r="FY182" s="560"/>
      <c r="FZ182" s="560"/>
      <c r="GA182" s="560"/>
      <c r="GB182" s="560" t="str">
        <f t="shared" si="352"/>
        <v>n</v>
      </c>
      <c r="GC182" s="564">
        <f t="shared" si="353"/>
        <v>41691</v>
      </c>
      <c r="GD182" s="695">
        <f t="shared" si="354"/>
        <v>41807</v>
      </c>
      <c r="GE182" s="560">
        <v>6518.9</v>
      </c>
      <c r="GF182" s="695">
        <f t="shared" si="355"/>
        <v>41808</v>
      </c>
      <c r="GG182" s="560">
        <f t="shared" si="374"/>
        <v>3259</v>
      </c>
      <c r="GH182" s="564">
        <f t="shared" si="356"/>
        <v>41934</v>
      </c>
      <c r="GJ182" s="545">
        <f t="shared" si="357"/>
        <v>0</v>
      </c>
      <c r="GK182" s="560" t="str">
        <f t="shared" si="433"/>
        <v/>
      </c>
      <c r="GL182" s="560">
        <f t="shared" si="358"/>
        <v>0</v>
      </c>
      <c r="GM182" s="560" t="str">
        <f t="shared" si="359"/>
        <v/>
      </c>
      <c r="GN182" s="560">
        <f>IF(GK182="P",Lookup!$M$12,IF(GK182="PP",Lookup!$M$13,IF(GK182="PPP",Lookup!$M$14,IF(GK182="T",Lookup!$M$15,IF(GK182="TP",Lookup!$M$16,IF(GK182="TPP",Lookup!$M$17,IF(GK182="TPPP",Lookup!$M$18,0)))))))*GJ182</f>
        <v>0</v>
      </c>
      <c r="GO182" s="560">
        <f t="shared" si="360"/>
        <v>0</v>
      </c>
      <c r="GP182" s="560">
        <f t="shared" si="434"/>
        <v>4166.088333333334</v>
      </c>
      <c r="GQ182" s="560">
        <f t="shared" si="368"/>
        <v>1357.9166666666667</v>
      </c>
      <c r="GR182" s="560"/>
      <c r="GS182" s="560">
        <f t="shared" si="361"/>
        <v>0</v>
      </c>
      <c r="GT182" s="560" t="str">
        <f t="shared" si="362"/>
        <v/>
      </c>
      <c r="GU182" s="560">
        <f>IF(GK182="P",Lookup!$N$12,IF(GK182="PP",Lookup!$N$13,IF(GK182="PPP",Lookup!$N$14,IF(GK182="T",Lookup!$N$15,IF(GK182="TP",Lookup!$N$16,IF(GK182="TPP",Lookup!$N$17,IF(GK182="TPPP",Lookup!$N$18,0)))))))*GJ182</f>
        <v>0</v>
      </c>
      <c r="GV182" s="560">
        <f t="shared" si="363"/>
        <v>0</v>
      </c>
      <c r="GW182" s="560">
        <f t="shared" si="435"/>
        <v>1944.1745555555556</v>
      </c>
      <c r="GX182" s="560">
        <f t="shared" si="369"/>
        <v>633.69444444444446</v>
      </c>
      <c r="GY182" s="560"/>
      <c r="GZ182" s="560">
        <f t="shared" si="364"/>
        <v>0</v>
      </c>
      <c r="HA182" s="560" t="str">
        <f t="shared" si="365"/>
        <v/>
      </c>
      <c r="HB182" s="560">
        <f>IF(GK182="P",Lookup!$N$12,IF(GK182="PP",Lookup!$N$13,IF(GK182="PPP",Lookup!$N$14,IF(GK182="T",Lookup!$N$15,IF(GK182="TP",Lookup!$N$16,IF(GK182="TPP",Lookup!$N$17,IF(GK182="TPPP",Lookup!$N$18,0)))))))*GJ182</f>
        <v>0</v>
      </c>
      <c r="HC182" s="545">
        <f t="shared" si="436"/>
        <v>0</v>
      </c>
      <c r="HD182" s="560">
        <f t="shared" si="437"/>
        <v>1944.1745555555556</v>
      </c>
      <c r="HE182" s="560">
        <f t="shared" si="370"/>
        <v>633.69444444444446</v>
      </c>
      <c r="HF182" s="560"/>
      <c r="HG182" s="560">
        <f t="shared" si="366"/>
        <v>0</v>
      </c>
      <c r="HH182" s="560" t="str">
        <f t="shared" si="367"/>
        <v/>
      </c>
      <c r="HI182" s="560">
        <f>IF(GK182="P",Lookup!$N$12,IF(GK182="PP",Lookup!$N$13,IF(GK182="PPP",Lookup!$N$14,IF(GK182="T",Lookup!$N$15,IF(GK182="TP",Lookup!$N$16,IF(GK182="TPP",Lookup!$N$17,IF(GK182="TPPP",Lookup!$N$18,0)))))))*GJ182</f>
        <v>0</v>
      </c>
      <c r="HJ182" s="545">
        <f t="shared" si="438"/>
        <v>0</v>
      </c>
      <c r="HK182" s="560">
        <f t="shared" si="439"/>
        <v>1944.1745555555556</v>
      </c>
      <c r="HL182" s="560">
        <f t="shared" si="371"/>
        <v>633.69444444444446</v>
      </c>
      <c r="HM182" s="560"/>
    </row>
    <row r="183" spans="1:221">
      <c r="A183" s="580" t="s">
        <v>9</v>
      </c>
      <c r="B183" s="556">
        <v>41811</v>
      </c>
      <c r="C183" s="561">
        <v>0</v>
      </c>
      <c r="D183" s="529">
        <f t="shared" si="372"/>
        <v>300</v>
      </c>
      <c r="E183" s="529">
        <f t="shared" si="373"/>
        <v>250</v>
      </c>
      <c r="F183" s="529">
        <v>250</v>
      </c>
      <c r="G183" s="560">
        <f>DR183+Sheet1!CZ185</f>
        <v>428.53555219246084</v>
      </c>
      <c r="H183" s="1082">
        <f t="shared" si="442"/>
        <v>83.085380937206679</v>
      </c>
      <c r="I183" s="559">
        <f>Sheet1!DA185-E183</f>
        <v>522</v>
      </c>
      <c r="J183" s="562">
        <f>Sheet1!DB185-Calculation!D183</f>
        <v>164</v>
      </c>
      <c r="K183" s="904">
        <f t="shared" si="375"/>
        <v>64.64</v>
      </c>
      <c r="L183" s="560">
        <f>Sheet1!AA185+Sheet1!AB185-Sheet1!L185+(Sheet1!DA185-F183)*CFStoMGD</f>
        <v>410.62079999999997</v>
      </c>
      <c r="M183" s="560">
        <f t="shared" si="376"/>
        <v>282.54548855595084</v>
      </c>
      <c r="N183" s="910">
        <f>IF(Sheet1!DA185&gt;=F183,MIN(73,MIN(MAX(L183,0),MAX(M183,0))),0)</f>
        <v>73</v>
      </c>
      <c r="O183" s="563">
        <f>Sheet1!AA185+Sheet1!AB185</f>
        <v>73.2</v>
      </c>
      <c r="P183" s="563">
        <f t="shared" si="377"/>
        <v>113.24039999999999</v>
      </c>
      <c r="Q183" s="898">
        <f t="shared" si="339"/>
        <v>8.5600000000000023</v>
      </c>
      <c r="R183" s="829">
        <f t="shared" si="378"/>
        <v>11.500729217306757</v>
      </c>
      <c r="S183" s="898">
        <f t="shared" si="340"/>
        <v>64.64</v>
      </c>
      <c r="T183" s="898">
        <f t="shared" si="341"/>
        <v>0</v>
      </c>
      <c r="U183" s="898">
        <f t="shared" si="342"/>
        <v>0</v>
      </c>
      <c r="V183" s="898"/>
      <c r="W183" s="898">
        <f t="shared" si="343"/>
        <v>53.139270782693245</v>
      </c>
      <c r="X183" s="898">
        <f t="shared" si="344"/>
        <v>64.64</v>
      </c>
      <c r="Y183" s="898" t="str">
        <f t="shared" si="345"/>
        <v>FALSE</v>
      </c>
      <c r="Z183" s="898">
        <f t="shared" si="346"/>
        <v>73.2</v>
      </c>
      <c r="AA183" s="898">
        <f t="shared" si="347"/>
        <v>73.2</v>
      </c>
      <c r="AB183" s="898" t="str">
        <f t="shared" si="348"/>
        <v/>
      </c>
      <c r="AC183" s="563">
        <f>Sheet1!Y185*MGDtoCFS</f>
        <v>49.968099999999993</v>
      </c>
      <c r="AD183" s="563">
        <f>Sheet1!Z185*MGDtoCFS</f>
        <v>63.272299999999994</v>
      </c>
      <c r="AE183" s="563">
        <f>Sheet1!AA185*MGDtoCFS</f>
        <v>49.813400000000001</v>
      </c>
      <c r="AF183" s="563">
        <f>Sheet1!AB185*MGDtoCFS</f>
        <v>63.427</v>
      </c>
      <c r="AG183" s="563">
        <f>Sheet1!L185*MGDtoCFS</f>
        <v>0</v>
      </c>
      <c r="AH183" s="545">
        <f t="shared" si="379"/>
        <v>0</v>
      </c>
      <c r="AI183" s="560">
        <f t="shared" si="380"/>
        <v>0</v>
      </c>
      <c r="AJ183" s="560">
        <f t="shared" si="381"/>
        <v>0</v>
      </c>
      <c r="AK183" s="560">
        <f t="shared" si="382"/>
        <v>0</v>
      </c>
      <c r="AL183" s="560">
        <f>(VLOOKUP(Sheet1!DC185,hhdcap_wcm,4)-(((VLOOKUP(Sheet1!DC185,hhdcap_wcm,3)-Sheet1!DC185)/(VLOOKUP(Sheet1!DC185,hhdcap_wcm,3)-VLOOKUP(Sheet1!DC185,hhdcap_wcm,1)))*(VLOOKUP(Sheet1!DC185,hhdcap_wcm,4)-VLOOKUP(Sheet1!DC185,hhdcap_wcm,2))))</f>
        <v>49032.000000116888</v>
      </c>
      <c r="AM183" s="560">
        <f t="shared" si="383"/>
        <v>-225.00000000235013</v>
      </c>
      <c r="AN183" s="560">
        <f t="shared" si="384"/>
        <v>3259</v>
      </c>
      <c r="AO183" s="560">
        <f t="shared" si="385"/>
        <v>9998.612000000001</v>
      </c>
      <c r="AP183" s="560">
        <f>Sheet1!BA185+Sheet1!BB185+Sheet1!BN185+CD183</f>
        <v>29.6</v>
      </c>
      <c r="AQ183" s="560">
        <f>Sheet1!BN185+(DO183*Sheet1!BN185)</f>
        <v>27.904715605250363</v>
      </c>
      <c r="AR183" s="560">
        <f>Sheet1!BA185+CD183</f>
        <v>0</v>
      </c>
      <c r="AS183" s="560">
        <f>Sheet1!BA185+Sheet1!BB185+CD183</f>
        <v>1.6</v>
      </c>
      <c r="AT183" s="698">
        <f>0</f>
        <v>0</v>
      </c>
      <c r="AU183" s="560">
        <f>IF(EB183&lt;K183,0,MAX(Sheet1!AA185+AQ183-15/36*K183-N183,Sheet1!EH185,0))</f>
        <v>0</v>
      </c>
      <c r="AV183" s="560">
        <f>IF(OR(B183&gt;=GD183,B183&lt;GC183),0,15/36*K183-MAX(0,64.6-(137.6-(Sheet1!AA185+Sheet1!AB185))))</f>
        <v>0</v>
      </c>
      <c r="AW183" s="698">
        <f>Sheet1!DB185-110</f>
        <v>354</v>
      </c>
      <c r="AX183" s="698">
        <f>Sheet1!DA185-265</f>
        <v>507</v>
      </c>
      <c r="AY183" s="698">
        <f t="shared" si="386"/>
        <v>64.44</v>
      </c>
      <c r="AZ183" s="698">
        <v>0</v>
      </c>
      <c r="BA183" s="698">
        <f t="shared" si="387"/>
        <v>0</v>
      </c>
      <c r="BB183" s="560">
        <f t="shared" si="388"/>
        <v>1357.9166666666667</v>
      </c>
      <c r="BC183" s="560"/>
      <c r="BD183" s="560">
        <f ca="1">IF(B183&gt;Summary!$A$1,#N/A,BB183*MGtoAF)</f>
        <v>4166.088333333334</v>
      </c>
      <c r="BE183" s="560">
        <f>Sheet1!BG185+Sheet1!BH185+Sheet1!BI185-BM183</f>
        <v>0</v>
      </c>
      <c r="BF183" s="560">
        <f t="shared" si="389"/>
        <v>0</v>
      </c>
      <c r="BG183" s="560">
        <f>IF(Sheet1!EP185="FM",BM183,0)</f>
        <v>0</v>
      </c>
      <c r="BH183" s="560">
        <f t="shared" si="390"/>
        <v>0</v>
      </c>
      <c r="BI183" s="560">
        <f>IF(Sheet1!EP185="OTHER",BM183,0)</f>
        <v>0</v>
      </c>
      <c r="BJ183" s="560">
        <f t="shared" si="391"/>
        <v>0</v>
      </c>
      <c r="BK183" s="560">
        <f t="shared" si="392"/>
        <v>0</v>
      </c>
      <c r="BL183" s="560">
        <f t="shared" si="393"/>
        <v>0</v>
      </c>
      <c r="BM183" s="560">
        <f>IF(OR(Sheet1!EP185="FM", Sheet1!EP185="OTHER"),SUM(Sheet1!BG185:'Sheet1'!BI185),0)</f>
        <v>0</v>
      </c>
      <c r="BN183" s="545">
        <f>IF(AND($B183&gt;=$FV183,$B183&lt;=$FW183),MAX(BF183,Sheet1!EI185,0),MAX(BF183-(7/36)*$K183,0))</f>
        <v>0</v>
      </c>
      <c r="BO183" s="560">
        <f t="shared" si="394"/>
        <v>0</v>
      </c>
      <c r="BP183" s="545">
        <f t="shared" si="395"/>
        <v>0</v>
      </c>
      <c r="BQ183" s="545">
        <f>IF(AND($O183&gt;0,Sheet1!EM185=1),(1-($O183-Sheet1!$L185)/$O183)*BL183,0)</f>
        <v>0</v>
      </c>
      <c r="BR183" s="545">
        <f>IF(AND(Sheet1!$L185=0,Sheet1!$L184=0, Calculation!BK183&lt;Sheet1!$EI185-0.1,Sheet1!$EI185=Sheet1!$EI184,Sheet1!$EI185=Sheet1!$EI186),Sheet1!$EI185,BL183-BQ183)</f>
        <v>0</v>
      </c>
      <c r="BS183" s="560"/>
      <c r="BT183" s="560"/>
      <c r="BU183" s="560">
        <f t="shared" si="396"/>
        <v>633.69444444444446</v>
      </c>
      <c r="BV183" s="560"/>
      <c r="BW183" s="560">
        <f ca="1">IF(B183&gt;Summary!$A$1,#N/A,BU183*MGtoAF)</f>
        <v>1944.1745555555556</v>
      </c>
      <c r="BX183" s="560">
        <f>Sheet1!BC185+Sheet1!BD185+Sheet1!BE185+Sheet1!BF185-CG183-CH183</f>
        <v>2.99</v>
      </c>
      <c r="BY183" s="560">
        <f t="shared" si="397"/>
        <v>2.9798249878463783</v>
      </c>
      <c r="BZ183" s="560">
        <f>IF(Sheet1!EQ185="FM",CH183,0)</f>
        <v>0</v>
      </c>
      <c r="CA183" s="560">
        <f t="shared" si="398"/>
        <v>0</v>
      </c>
      <c r="CB183" s="560">
        <f>IF(Sheet1!EQ185="OTHER",CH183,0)</f>
        <v>0</v>
      </c>
      <c r="CC183" s="560">
        <f t="shared" si="399"/>
        <v>0</v>
      </c>
      <c r="CD183" s="560">
        <f t="shared" si="400"/>
        <v>0</v>
      </c>
      <c r="CE183" s="560">
        <f t="shared" si="401"/>
        <v>2.99</v>
      </c>
      <c r="CF183" s="560">
        <f t="shared" si="402"/>
        <v>2.9798249878463783</v>
      </c>
      <c r="CG183" s="560">
        <f>IF(Sheet1!EQ185="CWA",SUM(Sheet1!BC185:'Sheet1'!BF185),0)</f>
        <v>0</v>
      </c>
      <c r="CH183" s="560">
        <f>IF(OR(Sheet1!EQ185="FM", Sheet1!EQ185="OTHER"),SUM(Sheet1!BC185:'Sheet1'!BF185),0)</f>
        <v>0</v>
      </c>
      <c r="CI183" s="545">
        <f>IF(AND($B183&gt;=$FV183,$B183&lt;=$FW183),MAX(CF183,Sheet1!EJ185,0),MAX(CF183-(7/36)*$K183,0))</f>
        <v>0</v>
      </c>
      <c r="CJ183" s="560">
        <f t="shared" si="403"/>
        <v>0</v>
      </c>
      <c r="CK183" s="545">
        <f t="shared" si="404"/>
        <v>2.9798249878463783</v>
      </c>
      <c r="CL183" s="545">
        <f>IF(AND($O183&gt;0,Sheet1!EN185=1),(1-($O183-Sheet1!$L185)/$O183)*CF183,0)</f>
        <v>0</v>
      </c>
      <c r="CM183" s="545">
        <f>IF(AND(Sheet1!$L185=0,Sheet1!$L184=0, Calculation!CE183&lt;Sheet1!EJ185-0.1,Sheet1!EJ185=Sheet1!EJ184,Sheet1!EJ185=Sheet1!EJ186),Sheet1!EJ185,CF183-CL183)</f>
        <v>2.9798249878463783</v>
      </c>
      <c r="CN183" s="545"/>
      <c r="CO183" s="560"/>
      <c r="CP183" s="560">
        <f t="shared" si="405"/>
        <v>633.69444444444446</v>
      </c>
      <c r="CQ183" s="560"/>
      <c r="CR183" s="560">
        <f ca="1">IF(B183&gt;Summary!$A$1,#N/A,CP183*MGtoAF)</f>
        <v>1944.1745555555556</v>
      </c>
      <c r="CS183" s="560">
        <f>Sheet1!BK185+Sheet1!BL185+Sheet1!BM185-Sheet1!ER185-DA183</f>
        <v>8.5500000000000007</v>
      </c>
      <c r="CT183" s="560">
        <f t="shared" si="406"/>
        <v>8.5209042294603794</v>
      </c>
      <c r="CU183" s="560">
        <f>IF(Sheet1!ER185="FM",DA183,0)</f>
        <v>0</v>
      </c>
      <c r="CV183" s="560">
        <f t="shared" si="407"/>
        <v>0</v>
      </c>
      <c r="CW183" s="560">
        <f>IF(Sheet1!ER185="OTHER",DA183,0)</f>
        <v>0</v>
      </c>
      <c r="CX183" s="560">
        <f t="shared" si="408"/>
        <v>0</v>
      </c>
      <c r="CY183" s="560">
        <f t="shared" si="409"/>
        <v>8.5500000000000007</v>
      </c>
      <c r="CZ183" s="560">
        <f t="shared" si="410"/>
        <v>8.5209042294603794</v>
      </c>
      <c r="DA183" s="560">
        <f>IF(OR(Sheet1!ER185="FM", Sheet1!ER185="OTHER"),SUM(Sheet1!BK185:'Sheet1'!BM185),0)</f>
        <v>0</v>
      </c>
      <c r="DB183" s="545">
        <f>IF(AND($B183&gt;=$FV183,$B183&lt;=$FW183),MAX($CT183,Sheet1!EK185,0),MAX($CT183-(7/36)*$K183,0))</f>
        <v>0</v>
      </c>
      <c r="DC183" s="560">
        <f t="shared" si="411"/>
        <v>0</v>
      </c>
      <c r="DD183" s="545">
        <f t="shared" si="412"/>
        <v>8.5209042294603794</v>
      </c>
      <c r="DE183" s="545">
        <f>IF(AND($O183&gt;0,Sheet1!EO185=1),(1-($O183-Sheet1!$L185)/$O183)*CZ183,0)</f>
        <v>0</v>
      </c>
      <c r="DF183" s="545">
        <f>IF(AND(Sheet1!$L185=0,Sheet1!$L184=0, Calculation!CY183&lt;Sheet1!$EK185-0.1,Sheet1!$EK185=Sheet1!$EK184,Sheet1!$EK185=Sheet1!$EK186),Sheet1!$EK185,CZ183-DE183)</f>
        <v>8.5209042294603794</v>
      </c>
      <c r="DG183" s="545"/>
      <c r="DH183" s="560">
        <f t="shared" si="413"/>
        <v>11.540000000000001</v>
      </c>
      <c r="DI183" s="560">
        <f t="shared" si="414"/>
        <v>633.69444444444446</v>
      </c>
      <c r="DJ183" s="698">
        <f t="shared" si="415"/>
        <v>11.500729217306757</v>
      </c>
      <c r="DK183" s="560">
        <f ca="1">IF(B183&gt;Summary!$A$1,#N/A,DI183*MGtoAF)</f>
        <v>1944.1745555555556</v>
      </c>
      <c r="DL183" s="698">
        <f t="shared" si="416"/>
        <v>11.540000000000001</v>
      </c>
      <c r="DM183" s="560">
        <f t="shared" si="417"/>
        <v>41.14</v>
      </c>
      <c r="DN183" s="560">
        <f>Sheet1!AB185-DM183</f>
        <v>-0.14000000000000057</v>
      </c>
      <c r="DO183" s="823">
        <f t="shared" si="418"/>
        <v>-3.4030140982012776E-3</v>
      </c>
      <c r="DP183" s="560">
        <f>(VLOOKUP(Sheet1!DC185,hhdcap_wcm,4)-(((VLOOKUP(Sheet1!DC185,hhdcap_wcm,3)-Sheet1!DC185)/(VLOOKUP(Sheet1!DC185,hhdcap_wcm,3)-VLOOKUP(Sheet1!DC185,hhdcap_wcm,1)))*(VLOOKUP(Sheet1!DC185,hhdcap_wcm,4)-VLOOKUP(Sheet1!DC185,hhdcap_wcm,2))))</f>
        <v>49032.000000116888</v>
      </c>
      <c r="DQ183" s="560">
        <f t="shared" si="419"/>
        <v>-225.00000000235013</v>
      </c>
      <c r="DR183" s="560">
        <f t="shared" si="420"/>
        <v>-113.46444780753913</v>
      </c>
      <c r="DS183" s="560">
        <f>Sheet1!EA185*AFtoMG</f>
        <v>0</v>
      </c>
      <c r="DT183" s="560">
        <f>Sheet1!EB185*AFtoMG</f>
        <v>0</v>
      </c>
      <c r="DU183" s="560">
        <f>Sheet1!EC185*AFtoMG</f>
        <v>0</v>
      </c>
      <c r="DV183" s="560">
        <f>Sheet1!ED185*AFtoMG</f>
        <v>0</v>
      </c>
      <c r="DW183" s="560">
        <f t="shared" si="421"/>
        <v>0</v>
      </c>
      <c r="DX183" s="560">
        <f t="shared" si="422"/>
        <v>0</v>
      </c>
      <c r="DY183" s="560">
        <f t="shared" si="423"/>
        <v>3259</v>
      </c>
      <c r="DZ183" s="560">
        <f t="shared" si="424"/>
        <v>9998.612000000001</v>
      </c>
      <c r="EA183" s="560"/>
      <c r="EB183" s="545">
        <f>IF(OR(B183&lt;FV183,B183&gt;FW183),(MIN(BF183+BY183+CT183+MAX(Sheet1!AA185+AQ183-73,0),K183)),0)</f>
        <v>11.500729217306757</v>
      </c>
      <c r="EC183" s="560"/>
      <c r="ED183" s="560">
        <f t="shared" si="425"/>
        <v>11.500729217306757</v>
      </c>
      <c r="EE183" s="560"/>
      <c r="EF183" s="560">
        <f>Sheet1!EH185+Sheet1!EI185+Sheet1!EJ185+Sheet1!EK185</f>
        <v>11.5</v>
      </c>
      <c r="EG183" s="560"/>
      <c r="EH183" s="545">
        <f t="shared" si="426"/>
        <v>0</v>
      </c>
      <c r="EI183" s="560">
        <f>IF(Sheet1!ET185=1,SUM('Calculations II'!AT183:BA183)+'Calculations II'!BC183+Sheet1!BV185+'Calculations II'!BE183+AP183,SUM('Calculations II'!AT183:BA183)+'Calculations II'!BC183+Sheet1!BV185+'Calculations II'!BE183+AP183)</f>
        <v>73.794975999999991</v>
      </c>
      <c r="EJ183" s="560">
        <f>Sheet1!AA185+Sheet1!AB185+'Calculations II'!BC183</f>
        <v>73.2</v>
      </c>
      <c r="EK183" s="560"/>
      <c r="EL183" s="560"/>
      <c r="EM183" s="560">
        <f t="shared" si="427"/>
        <v>41811</v>
      </c>
      <c r="EN183" s="560">
        <f t="shared" si="428"/>
        <v>0</v>
      </c>
      <c r="EO183" s="560">
        <f t="shared" si="429"/>
        <v>0</v>
      </c>
      <c r="EP183" s="560">
        <v>0</v>
      </c>
      <c r="EQ183" s="560">
        <v>0</v>
      </c>
      <c r="ER183" s="560">
        <v>0</v>
      </c>
      <c r="ES183" s="545">
        <f t="shared" si="349"/>
        <v>4.5669862359547171</v>
      </c>
      <c r="ET183" s="560">
        <f>-(VLOOKUP(Sheet1!BQ185,Lookup!$O$4:$Q$262,2)-VLOOKUP(Sheet1!BQ184,Lookup!$O$4:$Q$262,2))/1000000</f>
        <v>2.3527162819371559</v>
      </c>
      <c r="EU183" s="560">
        <f>-(VLOOKUP(Sheet1!BR185,Lookup!$O$4:$Q$262,3)-VLOOKUP(Sheet1!BR184,Lookup!$O$4:$Q$262,3))/1000000</f>
        <v>2.2142699540175608</v>
      </c>
      <c r="EV183" s="560"/>
      <c r="EW183" s="560"/>
      <c r="EX183" s="560"/>
      <c r="EY183" s="560"/>
      <c r="EZ183" s="560"/>
      <c r="FA183" s="560"/>
      <c r="FB183" s="560"/>
      <c r="FC183" s="560"/>
      <c r="FD183" s="594" t="e">
        <f t="shared" si="430"/>
        <v>#N/A</v>
      </c>
      <c r="FE183" s="594" t="e">
        <f t="shared" si="431"/>
        <v>#N/A</v>
      </c>
      <c r="FF183" s="595" t="e">
        <f t="shared" si="432"/>
        <v>#N/A</v>
      </c>
      <c r="FG183" s="596" t="s">
        <v>692</v>
      </c>
      <c r="FH183" s="596" t="s">
        <v>692</v>
      </c>
      <c r="FI183" s="594" t="e">
        <v>#N/A</v>
      </c>
      <c r="FJ183" s="594" t="e">
        <v>#N/A</v>
      </c>
      <c r="FK183" s="560">
        <v>24050</v>
      </c>
      <c r="FL183" s="560"/>
      <c r="FM183" s="560"/>
      <c r="FN183" s="560"/>
      <c r="FO183" s="560">
        <f>O183+((Sheet1!CS185)*GPMtoMGD)</f>
        <v>73.2</v>
      </c>
      <c r="FP183" s="560">
        <f>IF(Sheet1!AA185+AQ183&lt;=Calculation!N183,AQ183,Calculation!N183-Sheet1!AA185)</f>
        <v>27.904715605250363</v>
      </c>
      <c r="FQ183" s="560">
        <f>(Sheet1!BP185+Sheet1!BO185)/694.4</f>
        <v>3.882488479262673</v>
      </c>
      <c r="FR183" s="560"/>
      <c r="FS183" s="560"/>
      <c r="FT183" s="560"/>
      <c r="FU183" s="560"/>
      <c r="FV183" s="695">
        <f t="shared" si="350"/>
        <v>41827</v>
      </c>
      <c r="FW183" s="695">
        <f t="shared" si="351"/>
        <v>41934</v>
      </c>
      <c r="FX183" s="560"/>
      <c r="FY183" s="560"/>
      <c r="FZ183" s="560"/>
      <c r="GA183" s="560"/>
      <c r="GB183" s="560" t="str">
        <f t="shared" si="352"/>
        <v>n</v>
      </c>
      <c r="GC183" s="564">
        <f t="shared" si="353"/>
        <v>41691</v>
      </c>
      <c r="GD183" s="695">
        <f t="shared" si="354"/>
        <v>41807</v>
      </c>
      <c r="GE183" s="560">
        <v>6518.9</v>
      </c>
      <c r="GF183" s="695">
        <f t="shared" si="355"/>
        <v>41808</v>
      </c>
      <c r="GG183" s="560">
        <f t="shared" si="374"/>
        <v>3259</v>
      </c>
      <c r="GH183" s="564">
        <f t="shared" si="356"/>
        <v>41934</v>
      </c>
      <c r="GJ183" s="545">
        <f t="shared" si="357"/>
        <v>0</v>
      </c>
      <c r="GK183" s="560" t="str">
        <f t="shared" si="433"/>
        <v/>
      </c>
      <c r="GL183" s="560">
        <f t="shared" si="358"/>
        <v>0</v>
      </c>
      <c r="GM183" s="560" t="str">
        <f t="shared" si="359"/>
        <v/>
      </c>
      <c r="GN183" s="560">
        <f>IF(GK183="P",Lookup!$M$12,IF(GK183="PP",Lookup!$M$13,IF(GK183="PPP",Lookup!$M$14,IF(GK183="T",Lookup!$M$15,IF(GK183="TP",Lookup!$M$16,IF(GK183="TPP",Lookup!$M$17,IF(GK183="TPPP",Lookup!$M$18,0)))))))*GJ183</f>
        <v>0</v>
      </c>
      <c r="GO183" s="560">
        <f t="shared" si="360"/>
        <v>0</v>
      </c>
      <c r="GP183" s="560">
        <f t="shared" si="434"/>
        <v>4166.088333333334</v>
      </c>
      <c r="GQ183" s="560">
        <f t="shared" si="368"/>
        <v>1357.9166666666667</v>
      </c>
      <c r="GR183" s="560"/>
      <c r="GS183" s="560">
        <f t="shared" si="361"/>
        <v>0</v>
      </c>
      <c r="GT183" s="560" t="str">
        <f t="shared" si="362"/>
        <v/>
      </c>
      <c r="GU183" s="560">
        <f>IF(GK183="P",Lookup!$N$12,IF(GK183="PP",Lookup!$N$13,IF(GK183="PPP",Lookup!$N$14,IF(GK183="T",Lookup!$N$15,IF(GK183="TP",Lookup!$N$16,IF(GK183="TPP",Lookup!$N$17,IF(GK183="TPPP",Lookup!$N$18,0)))))))*GJ183</f>
        <v>0</v>
      </c>
      <c r="GV183" s="560">
        <f t="shared" si="363"/>
        <v>0</v>
      </c>
      <c r="GW183" s="560">
        <f t="shared" si="435"/>
        <v>1944.1745555555556</v>
      </c>
      <c r="GX183" s="560">
        <f t="shared" si="369"/>
        <v>633.69444444444446</v>
      </c>
      <c r="GY183" s="560"/>
      <c r="GZ183" s="560">
        <f t="shared" si="364"/>
        <v>0</v>
      </c>
      <c r="HA183" s="560" t="str">
        <f t="shared" si="365"/>
        <v/>
      </c>
      <c r="HB183" s="560">
        <f>IF(GK183="P",Lookup!$N$12,IF(GK183="PP",Lookup!$N$13,IF(GK183="PPP",Lookup!$N$14,IF(GK183="T",Lookup!$N$15,IF(GK183="TP",Lookup!$N$16,IF(GK183="TPP",Lookup!$N$17,IF(GK183="TPPP",Lookup!$N$18,0)))))))*GJ183</f>
        <v>0</v>
      </c>
      <c r="HC183" s="545">
        <f t="shared" si="436"/>
        <v>0</v>
      </c>
      <c r="HD183" s="560">
        <f t="shared" si="437"/>
        <v>1944.1745555555556</v>
      </c>
      <c r="HE183" s="560">
        <f t="shared" si="370"/>
        <v>633.69444444444446</v>
      </c>
      <c r="HF183" s="560"/>
      <c r="HG183" s="560">
        <f t="shared" si="366"/>
        <v>0</v>
      </c>
      <c r="HH183" s="560" t="str">
        <f t="shared" si="367"/>
        <v/>
      </c>
      <c r="HI183" s="560">
        <f>IF(GK183="P",Lookup!$N$12,IF(GK183="PP",Lookup!$N$13,IF(GK183="PPP",Lookup!$N$14,IF(GK183="T",Lookup!$N$15,IF(GK183="TP",Lookup!$N$16,IF(GK183="TPP",Lookup!$N$17,IF(GK183="TPPP",Lookup!$N$18,0)))))))*GJ183</f>
        <v>0</v>
      </c>
      <c r="HJ183" s="545">
        <f t="shared" si="438"/>
        <v>0</v>
      </c>
      <c r="HK183" s="560">
        <f t="shared" si="439"/>
        <v>1944.1745555555556</v>
      </c>
      <c r="HL183" s="560">
        <f t="shared" si="371"/>
        <v>633.69444444444446</v>
      </c>
      <c r="HM183" s="560"/>
    </row>
    <row r="184" spans="1:221">
      <c r="A184" s="580" t="s">
        <v>3</v>
      </c>
      <c r="B184" s="556">
        <v>41812</v>
      </c>
      <c r="C184" s="561">
        <v>0</v>
      </c>
      <c r="D184" s="529">
        <f t="shared" si="372"/>
        <v>300</v>
      </c>
      <c r="E184" s="529">
        <f t="shared" si="373"/>
        <v>250</v>
      </c>
      <c r="F184" s="529">
        <v>250</v>
      </c>
      <c r="G184" s="560">
        <f>DR184+Sheet1!CZ186</f>
        <v>640.24004034291477</v>
      </c>
      <c r="H184" s="1082">
        <f t="shared" si="442"/>
        <v>219.9311620776601</v>
      </c>
      <c r="I184" s="559">
        <f>Sheet1!DA186-E184</f>
        <v>510</v>
      </c>
      <c r="J184" s="562">
        <f>Sheet1!DB186-Calculation!D184</f>
        <v>233</v>
      </c>
      <c r="K184" s="904">
        <f t="shared" si="375"/>
        <v>64.64</v>
      </c>
      <c r="L184" s="560">
        <f>Sheet1!AA186+Sheet1!AB186-Sheet1!L186+(Sheet1!DA186-F184)*CFStoMGD</f>
        <v>402.964</v>
      </c>
      <c r="M184" s="560">
        <f t="shared" si="376"/>
        <v>422.12818531921334</v>
      </c>
      <c r="N184" s="910">
        <f>IF(Sheet1!DA186&gt;=F184,MIN(73,MIN(MAX(L184,0),MAX(M184,0))),0)</f>
        <v>73</v>
      </c>
      <c r="O184" s="563">
        <f>Sheet1!AA186+Sheet1!AB186</f>
        <v>73.3</v>
      </c>
      <c r="P184" s="563">
        <f t="shared" si="377"/>
        <v>113.39509999999999</v>
      </c>
      <c r="Q184" s="898">
        <f t="shared" si="339"/>
        <v>8.6599999999999966</v>
      </c>
      <c r="R184" s="829">
        <f t="shared" si="378"/>
        <v>11.529383195726082</v>
      </c>
      <c r="S184" s="898">
        <f t="shared" si="340"/>
        <v>64.64</v>
      </c>
      <c r="T184" s="898">
        <f t="shared" si="341"/>
        <v>0</v>
      </c>
      <c r="U184" s="898">
        <f t="shared" si="342"/>
        <v>0</v>
      </c>
      <c r="V184" s="898"/>
      <c r="W184" s="898">
        <f t="shared" si="343"/>
        <v>53.110616804273917</v>
      </c>
      <c r="X184" s="898">
        <f t="shared" si="344"/>
        <v>64.64</v>
      </c>
      <c r="Y184" s="898" t="str">
        <f t="shared" si="345"/>
        <v>FALSE</v>
      </c>
      <c r="Z184" s="898">
        <f t="shared" si="346"/>
        <v>73.3</v>
      </c>
      <c r="AA184" s="898">
        <f t="shared" si="347"/>
        <v>73.3</v>
      </c>
      <c r="AB184" s="898" t="str">
        <f t="shared" si="348"/>
        <v/>
      </c>
      <c r="AC184" s="563">
        <f>Sheet1!Y186*MGDtoCFS</f>
        <v>49.813400000000001</v>
      </c>
      <c r="AD184" s="563">
        <f>Sheet1!Z186*MGDtoCFS</f>
        <v>63.427</v>
      </c>
      <c r="AE184" s="563">
        <f>Sheet1!AA186*MGDtoCFS</f>
        <v>49.968099999999993</v>
      </c>
      <c r="AF184" s="563">
        <f>Sheet1!AB186*MGDtoCFS</f>
        <v>63.427</v>
      </c>
      <c r="AG184" s="563">
        <f>Sheet1!L186*MGDtoCFS</f>
        <v>0</v>
      </c>
      <c r="AH184" s="545">
        <f t="shared" si="379"/>
        <v>0</v>
      </c>
      <c r="AI184" s="560">
        <f t="shared" si="380"/>
        <v>0</v>
      </c>
      <c r="AJ184" s="560">
        <f t="shared" si="381"/>
        <v>0</v>
      </c>
      <c r="AK184" s="560">
        <f t="shared" si="382"/>
        <v>0</v>
      </c>
      <c r="AL184" s="560">
        <f>(VLOOKUP(Sheet1!DC186,hhdcap_wcm,4)-(((VLOOKUP(Sheet1!DC186,hhdcap_wcm,3)-Sheet1!DC186)/(VLOOKUP(Sheet1!DC186,hhdcap_wcm,3)-VLOOKUP(Sheet1!DC186,hhdcap_wcm,1)))*(VLOOKUP(Sheet1!DC186,hhdcap_wcm,4)-VLOOKUP(Sheet1!DC186,hhdcap_wcm,2))))</f>
        <v>49088.000000116888</v>
      </c>
      <c r="AM184" s="560">
        <f t="shared" si="383"/>
        <v>56</v>
      </c>
      <c r="AN184" s="560">
        <f t="shared" si="384"/>
        <v>3259</v>
      </c>
      <c r="AO184" s="560">
        <f t="shared" si="385"/>
        <v>9998.612000000001</v>
      </c>
      <c r="AP184" s="560">
        <f>Sheet1!BA186+Sheet1!BB186+Sheet1!BN186+CD184</f>
        <v>29.6</v>
      </c>
      <c r="AQ184" s="560">
        <f>Sheet1!BN186+(DO184*Sheet1!BN186)</f>
        <v>27.877610490529385</v>
      </c>
      <c r="AR184" s="560">
        <f>Sheet1!BA186+CD184</f>
        <v>0</v>
      </c>
      <c r="AS184" s="560">
        <f>Sheet1!BA186+Sheet1!BB186+CD184</f>
        <v>1.6</v>
      </c>
      <c r="AT184" s="698">
        <f>0</f>
        <v>0</v>
      </c>
      <c r="AU184" s="560">
        <f>IF(EB184&lt;K184,0,MAX(Sheet1!AA186+AQ184-15/36*K184-N184,Sheet1!EH186,0))</f>
        <v>0</v>
      </c>
      <c r="AV184" s="560">
        <f>IF(OR(B184&gt;=GD184,B184&lt;GC184),0,15/36*K184-MAX(0,64.6-(137.6-(Sheet1!AA186+Sheet1!AB186))))</f>
        <v>0</v>
      </c>
      <c r="AW184" s="698">
        <f>Sheet1!DB186-110</f>
        <v>423</v>
      </c>
      <c r="AX184" s="698">
        <f>Sheet1!DA186-265</f>
        <v>495</v>
      </c>
      <c r="AY184" s="698">
        <f t="shared" si="386"/>
        <v>64.34</v>
      </c>
      <c r="AZ184" s="698">
        <v>0</v>
      </c>
      <c r="BA184" s="698">
        <f t="shared" si="387"/>
        <v>0</v>
      </c>
      <c r="BB184" s="560">
        <f t="shared" si="388"/>
        <v>1357.9166666666667</v>
      </c>
      <c r="BC184" s="560"/>
      <c r="BD184" s="560">
        <f ca="1">IF(B184&gt;Summary!$A$1,#N/A,BB184*MGtoAF)</f>
        <v>4166.088333333334</v>
      </c>
      <c r="BE184" s="560">
        <f>Sheet1!BG186+Sheet1!BH186+Sheet1!BI186-BM184</f>
        <v>0</v>
      </c>
      <c r="BF184" s="560">
        <f t="shared" si="389"/>
        <v>0</v>
      </c>
      <c r="BG184" s="560">
        <f>IF(Sheet1!EP186="FM",BM184,0)</f>
        <v>0</v>
      </c>
      <c r="BH184" s="560">
        <f t="shared" si="390"/>
        <v>0</v>
      </c>
      <c r="BI184" s="560">
        <f>IF(Sheet1!EP186="OTHER",BM184,0)</f>
        <v>0</v>
      </c>
      <c r="BJ184" s="560">
        <f t="shared" si="391"/>
        <v>0</v>
      </c>
      <c r="BK184" s="560">
        <f t="shared" si="392"/>
        <v>0</v>
      </c>
      <c r="BL184" s="560">
        <f t="shared" si="393"/>
        <v>0</v>
      </c>
      <c r="BM184" s="560">
        <f>IF(OR(Sheet1!EP186="FM", Sheet1!EP186="OTHER"),SUM(Sheet1!BG186:'Sheet1'!BI186),0)</f>
        <v>0</v>
      </c>
      <c r="BN184" s="545">
        <f>IF(AND($B184&gt;=$FV184,$B184&lt;=$FW184),MAX(BF184,Sheet1!EI186,0),MAX(BF184-(7/36)*$K184,0))</f>
        <v>0</v>
      </c>
      <c r="BO184" s="560">
        <f t="shared" si="394"/>
        <v>0</v>
      </c>
      <c r="BP184" s="545">
        <f t="shared" si="395"/>
        <v>0</v>
      </c>
      <c r="BQ184" s="545">
        <f>IF(AND($O184&gt;0,Sheet1!EM186=1),(1-($O184-Sheet1!$L186)/$O184)*BL184,0)</f>
        <v>0</v>
      </c>
      <c r="BR184" s="545">
        <f>IF(AND(Sheet1!$L186=0,Sheet1!$L185=0, Calculation!BK184&lt;Sheet1!$EI186-0.1,Sheet1!$EI186=Sheet1!$EI185,Sheet1!$EI186=Sheet1!$EI187),Sheet1!$EI186,BL184-BQ184)</f>
        <v>0</v>
      </c>
      <c r="BS184" s="560"/>
      <c r="BT184" s="560"/>
      <c r="BU184" s="560">
        <f t="shared" si="396"/>
        <v>633.69444444444446</v>
      </c>
      <c r="BV184" s="560"/>
      <c r="BW184" s="560">
        <f ca="1">IF(B184&gt;Summary!$A$1,#N/A,BU184*MGtoAF)</f>
        <v>1944.1745555555556</v>
      </c>
      <c r="BX184" s="560">
        <f>Sheet1!BC186+Sheet1!BD186+Sheet1!BE186+Sheet1!BF186-CG184-CH184</f>
        <v>2.99</v>
      </c>
      <c r="BY184" s="560">
        <f t="shared" si="397"/>
        <v>2.9769305488101021</v>
      </c>
      <c r="BZ184" s="560">
        <f>IF(Sheet1!EQ186="FM",CH184,0)</f>
        <v>0</v>
      </c>
      <c r="CA184" s="560">
        <f t="shared" si="398"/>
        <v>0</v>
      </c>
      <c r="CB184" s="560">
        <f>IF(Sheet1!EQ186="OTHER",CH184,0)</f>
        <v>0</v>
      </c>
      <c r="CC184" s="560">
        <f t="shared" si="399"/>
        <v>0</v>
      </c>
      <c r="CD184" s="560">
        <f t="shared" si="400"/>
        <v>0</v>
      </c>
      <c r="CE184" s="560">
        <f t="shared" si="401"/>
        <v>2.99</v>
      </c>
      <c r="CF184" s="560">
        <f t="shared" si="402"/>
        <v>2.9769305488101021</v>
      </c>
      <c r="CG184" s="560">
        <f>IF(Sheet1!EQ186="CWA",SUM(Sheet1!BC186:'Sheet1'!BF186),0)</f>
        <v>0</v>
      </c>
      <c r="CH184" s="560">
        <f>IF(OR(Sheet1!EQ186="FM", Sheet1!EQ186="OTHER"),SUM(Sheet1!BC186:'Sheet1'!BF186),0)</f>
        <v>0</v>
      </c>
      <c r="CI184" s="545">
        <f>IF(AND($B184&gt;=$FV184,$B184&lt;=$FW184),MAX(CF184,Sheet1!EJ186,0),MAX(CF184-(7/36)*$K184,0))</f>
        <v>0</v>
      </c>
      <c r="CJ184" s="560">
        <f t="shared" si="403"/>
        <v>0</v>
      </c>
      <c r="CK184" s="545">
        <f t="shared" si="404"/>
        <v>2.9769305488101021</v>
      </c>
      <c r="CL184" s="545">
        <f>IF(AND($O184&gt;0,Sheet1!EN186=1),(1-($O184-Sheet1!$L186)/$O184)*CF184,0)</f>
        <v>0</v>
      </c>
      <c r="CM184" s="545">
        <f>IF(AND(Sheet1!$L186=0,Sheet1!$L185=0, Calculation!CE184&lt;Sheet1!EJ186-0.1,Sheet1!EJ186=Sheet1!EJ185,Sheet1!EJ186=Sheet1!EJ187),Sheet1!EJ186,CF184-CL184)</f>
        <v>2.9769305488101021</v>
      </c>
      <c r="CN184" s="545"/>
      <c r="CO184" s="560"/>
      <c r="CP184" s="560">
        <f t="shared" si="405"/>
        <v>633.69444444444446</v>
      </c>
      <c r="CQ184" s="560"/>
      <c r="CR184" s="560">
        <f ca="1">IF(B184&gt;Summary!$A$1,#N/A,CP184*MGtoAF)</f>
        <v>1944.1745555555556</v>
      </c>
      <c r="CS184" s="560">
        <f>Sheet1!BK186+Sheet1!BL186+Sheet1!BM186-Sheet1!ER186-DA184</f>
        <v>8.59</v>
      </c>
      <c r="CT184" s="560">
        <f t="shared" si="406"/>
        <v>8.5524526469159792</v>
      </c>
      <c r="CU184" s="560">
        <f>IF(Sheet1!ER186="FM",DA184,0)</f>
        <v>0</v>
      </c>
      <c r="CV184" s="560">
        <f t="shared" si="407"/>
        <v>0</v>
      </c>
      <c r="CW184" s="560">
        <f>IF(Sheet1!ER186="OTHER",DA184,0)</f>
        <v>0</v>
      </c>
      <c r="CX184" s="560">
        <f t="shared" si="408"/>
        <v>0</v>
      </c>
      <c r="CY184" s="560">
        <f t="shared" si="409"/>
        <v>8.59</v>
      </c>
      <c r="CZ184" s="560">
        <f t="shared" si="410"/>
        <v>8.5524526469159792</v>
      </c>
      <c r="DA184" s="560">
        <f>IF(OR(Sheet1!ER186="FM", Sheet1!ER186="OTHER"),SUM(Sheet1!BK186:'Sheet1'!BM186),0)</f>
        <v>0</v>
      </c>
      <c r="DB184" s="545">
        <f>IF(AND($B184&gt;=$FV184,$B184&lt;=$FW184),MAX($CT184,Sheet1!EK186,0),MAX($CT184-(7/36)*$K184,0))</f>
        <v>0</v>
      </c>
      <c r="DC184" s="560">
        <f t="shared" si="411"/>
        <v>0</v>
      </c>
      <c r="DD184" s="545">
        <f t="shared" si="412"/>
        <v>8.5524526469159792</v>
      </c>
      <c r="DE184" s="545">
        <f>IF(AND($O184&gt;0,Sheet1!EO186=1),(1-($O184-Sheet1!$L186)/$O184)*CZ184,0)</f>
        <v>0</v>
      </c>
      <c r="DF184" s="545">
        <f>IF(AND(Sheet1!$L186=0,Sheet1!$L185=0, Calculation!CY184&lt;Sheet1!$EK186-0.1,Sheet1!$EK186=Sheet1!$EK185,Sheet1!$EK186=Sheet1!$EK187),Sheet1!$EK186,CZ184-DE184)</f>
        <v>8.5524526469159792</v>
      </c>
      <c r="DG184" s="545"/>
      <c r="DH184" s="560">
        <f t="shared" si="413"/>
        <v>11.58</v>
      </c>
      <c r="DI184" s="560">
        <f t="shared" si="414"/>
        <v>633.69444444444446</v>
      </c>
      <c r="DJ184" s="698">
        <f t="shared" si="415"/>
        <v>11.529383195726082</v>
      </c>
      <c r="DK184" s="560">
        <f ca="1">IF(B184&gt;Summary!$A$1,#N/A,DI184*MGtoAF)</f>
        <v>1944.1745555555556</v>
      </c>
      <c r="DL184" s="698">
        <f t="shared" si="416"/>
        <v>11.58</v>
      </c>
      <c r="DM184" s="560">
        <f t="shared" si="417"/>
        <v>41.18</v>
      </c>
      <c r="DN184" s="560">
        <f>Sheet1!AB186-DM184</f>
        <v>-0.17999999999999972</v>
      </c>
      <c r="DO184" s="823">
        <f t="shared" si="418"/>
        <v>-4.3710539096648788E-3</v>
      </c>
      <c r="DP184" s="560">
        <f>(VLOOKUP(Sheet1!DC186,hhdcap_wcm,4)-(((VLOOKUP(Sheet1!DC186,hhdcap_wcm,3)-Sheet1!DC186)/(VLOOKUP(Sheet1!DC186,hhdcap_wcm,3)-VLOOKUP(Sheet1!DC186,hhdcap_wcm,1)))*(VLOOKUP(Sheet1!DC186,hhdcap_wcm,4)-VLOOKUP(Sheet1!DC186,hhdcap_wcm,2))))</f>
        <v>49088.000000116888</v>
      </c>
      <c r="DQ184" s="560">
        <f t="shared" si="419"/>
        <v>56</v>
      </c>
      <c r="DR184" s="560">
        <f t="shared" si="420"/>
        <v>28.240040342914771</v>
      </c>
      <c r="DS184" s="560">
        <f>Sheet1!EA186*AFtoMG</f>
        <v>0</v>
      </c>
      <c r="DT184" s="560">
        <f>Sheet1!EB186*AFtoMG</f>
        <v>0</v>
      </c>
      <c r="DU184" s="560">
        <f>Sheet1!EC186*AFtoMG</f>
        <v>0</v>
      </c>
      <c r="DV184" s="560">
        <f>Sheet1!ED186*AFtoMG</f>
        <v>0</v>
      </c>
      <c r="DW184" s="560">
        <f t="shared" si="421"/>
        <v>0</v>
      </c>
      <c r="DX184" s="560">
        <f t="shared" si="422"/>
        <v>0</v>
      </c>
      <c r="DY184" s="560">
        <f t="shared" si="423"/>
        <v>3259</v>
      </c>
      <c r="DZ184" s="560">
        <f t="shared" si="424"/>
        <v>9998.612000000001</v>
      </c>
      <c r="EA184" s="560"/>
      <c r="EB184" s="545">
        <f>IF(OR(B184&lt;FV184,B184&gt;FW184),(MIN(BF184+BY184+CT184+MAX(Sheet1!AA186+AQ184-73,0),K184)),0)</f>
        <v>11.529383195726082</v>
      </c>
      <c r="EC184" s="560"/>
      <c r="ED184" s="560">
        <f t="shared" si="425"/>
        <v>11.529383195726082</v>
      </c>
      <c r="EE184" s="560"/>
      <c r="EF184" s="560">
        <f>Sheet1!EH186+Sheet1!EI186+Sheet1!EJ186+Sheet1!EK186</f>
        <v>11.5</v>
      </c>
      <c r="EG184" s="560"/>
      <c r="EH184" s="545">
        <f t="shared" si="426"/>
        <v>0</v>
      </c>
      <c r="EI184" s="560">
        <f>IF(Sheet1!ET186=1,SUM('Calculations II'!AT184:BA184)+'Calculations II'!BC184+Sheet1!BV186+'Calculations II'!BE184+AP184,SUM('Calculations II'!AT184:BA184)+'Calculations II'!BC184+Sheet1!BV186+'Calculations II'!BE184+AP184)</f>
        <v>75.639104000000003</v>
      </c>
      <c r="EJ184" s="560">
        <f>Sheet1!AA186+Sheet1!AB186+'Calculations II'!BC184</f>
        <v>73.3</v>
      </c>
      <c r="EK184" s="560"/>
      <c r="EL184" s="560"/>
      <c r="EM184" s="560">
        <f t="shared" si="427"/>
        <v>41812</v>
      </c>
      <c r="EN184" s="560">
        <f t="shared" si="428"/>
        <v>0</v>
      </c>
      <c r="EO184" s="560">
        <f t="shared" si="429"/>
        <v>0</v>
      </c>
      <c r="EP184" s="560">
        <v>0</v>
      </c>
      <c r="EQ184" s="560">
        <v>0</v>
      </c>
      <c r="ER184" s="560">
        <v>0</v>
      </c>
      <c r="ES184" s="545">
        <f t="shared" si="349"/>
        <v>6.0838880923837868</v>
      </c>
      <c r="ET184" s="560">
        <f>-(VLOOKUP(Sheet1!BQ186,Lookup!$O$4:$Q$262,2)-VLOOKUP(Sheet1!BQ185,Lookup!$O$4:$Q$262,2))/1000000</f>
        <v>3.0419440461918934</v>
      </c>
      <c r="EU184" s="560">
        <f>-(VLOOKUP(Sheet1!BR186,Lookup!$O$4:$Q$262,3)-VLOOKUP(Sheet1!BR185,Lookup!$O$4:$Q$262,3))/1000000</f>
        <v>3.0419440461918934</v>
      </c>
      <c r="EV184" s="560"/>
      <c r="EW184" s="560"/>
      <c r="EX184" s="560"/>
      <c r="EY184" s="560"/>
      <c r="EZ184" s="560"/>
      <c r="FA184" s="560"/>
      <c r="FB184" s="560"/>
      <c r="FC184" s="560"/>
      <c r="FD184" s="594" t="e">
        <f t="shared" si="430"/>
        <v>#N/A</v>
      </c>
      <c r="FE184" s="594" t="e">
        <f t="shared" si="431"/>
        <v>#N/A</v>
      </c>
      <c r="FF184" s="595" t="e">
        <f t="shared" si="432"/>
        <v>#N/A</v>
      </c>
      <c r="FG184" s="596" t="s">
        <v>692</v>
      </c>
      <c r="FH184" s="596" t="s">
        <v>692</v>
      </c>
      <c r="FI184" s="594" t="e">
        <v>#N/A</v>
      </c>
      <c r="FJ184" s="594" t="e">
        <v>#N/A</v>
      </c>
      <c r="FK184" s="560">
        <v>24000</v>
      </c>
      <c r="FL184" s="560"/>
      <c r="FM184" s="560"/>
      <c r="FN184" s="560"/>
      <c r="FO184" s="560">
        <f>O184+((Sheet1!CS186)*GPMtoMGD)</f>
        <v>73.3</v>
      </c>
      <c r="FP184" s="560">
        <f>IF(Sheet1!AA186+AQ184&lt;=Calculation!N184,AQ184,Calculation!N184-Sheet1!AA186)</f>
        <v>27.877610490529385</v>
      </c>
      <c r="FQ184" s="560">
        <f>(Sheet1!BP186+Sheet1!BO186)/694.4</f>
        <v>3.3836405529953919</v>
      </c>
      <c r="FR184" s="560"/>
      <c r="FS184" s="560"/>
      <c r="FT184" s="560"/>
      <c r="FU184" s="560"/>
      <c r="FV184" s="695">
        <f t="shared" si="350"/>
        <v>41827</v>
      </c>
      <c r="FW184" s="695">
        <f t="shared" si="351"/>
        <v>41934</v>
      </c>
      <c r="FX184" s="560"/>
      <c r="FY184" s="560"/>
      <c r="FZ184" s="560"/>
      <c r="GA184" s="560"/>
      <c r="GB184" s="560" t="str">
        <f t="shared" si="352"/>
        <v>n</v>
      </c>
      <c r="GC184" s="564">
        <f t="shared" si="353"/>
        <v>41691</v>
      </c>
      <c r="GD184" s="695">
        <f t="shared" si="354"/>
        <v>41807</v>
      </c>
      <c r="GE184" s="560">
        <v>6518.9</v>
      </c>
      <c r="GF184" s="695">
        <f t="shared" si="355"/>
        <v>41808</v>
      </c>
      <c r="GG184" s="560">
        <f t="shared" si="374"/>
        <v>3259</v>
      </c>
      <c r="GH184" s="564">
        <f t="shared" si="356"/>
        <v>41934</v>
      </c>
      <c r="GJ184" s="545">
        <f t="shared" si="357"/>
        <v>0</v>
      </c>
      <c r="GK184" s="560" t="str">
        <f t="shared" si="433"/>
        <v/>
      </c>
      <c r="GL184" s="560">
        <f t="shared" si="358"/>
        <v>0</v>
      </c>
      <c r="GM184" s="560" t="str">
        <f t="shared" si="359"/>
        <v/>
      </c>
      <c r="GN184" s="560">
        <f>IF(GK184="P",Lookup!$M$12,IF(GK184="PP",Lookup!$M$13,IF(GK184="PPP",Lookup!$M$14,IF(GK184="T",Lookup!$M$15,IF(GK184="TP",Lookup!$M$16,IF(GK184="TPP",Lookup!$M$17,IF(GK184="TPPP",Lookup!$M$18,0)))))))*GJ184</f>
        <v>0</v>
      </c>
      <c r="GO184" s="560">
        <f t="shared" si="360"/>
        <v>0</v>
      </c>
      <c r="GP184" s="560">
        <f t="shared" si="434"/>
        <v>4166.088333333334</v>
      </c>
      <c r="GQ184" s="560">
        <f t="shared" si="368"/>
        <v>1357.9166666666667</v>
      </c>
      <c r="GR184" s="560"/>
      <c r="GS184" s="560">
        <f t="shared" si="361"/>
        <v>0</v>
      </c>
      <c r="GT184" s="560" t="str">
        <f t="shared" si="362"/>
        <v/>
      </c>
      <c r="GU184" s="560">
        <f>IF(GK184="P",Lookup!$N$12,IF(GK184="PP",Lookup!$N$13,IF(GK184="PPP",Lookup!$N$14,IF(GK184="T",Lookup!$N$15,IF(GK184="TP",Lookup!$N$16,IF(GK184="TPP",Lookup!$N$17,IF(GK184="TPPP",Lookup!$N$18,0)))))))*GJ184</f>
        <v>0</v>
      </c>
      <c r="GV184" s="560">
        <f t="shared" si="363"/>
        <v>0</v>
      </c>
      <c r="GW184" s="560">
        <f t="shared" si="435"/>
        <v>1944.1745555555556</v>
      </c>
      <c r="GX184" s="560">
        <f t="shared" si="369"/>
        <v>633.69444444444446</v>
      </c>
      <c r="GY184" s="560"/>
      <c r="GZ184" s="560">
        <f t="shared" si="364"/>
        <v>0</v>
      </c>
      <c r="HA184" s="560" t="str">
        <f t="shared" si="365"/>
        <v/>
      </c>
      <c r="HB184" s="560">
        <f>IF(GK184="P",Lookup!$N$12,IF(GK184="PP",Lookup!$N$13,IF(GK184="PPP",Lookup!$N$14,IF(GK184="T",Lookup!$N$15,IF(GK184="TP",Lookup!$N$16,IF(GK184="TPP",Lookup!$N$17,IF(GK184="TPPP",Lookup!$N$18,0)))))))*GJ184</f>
        <v>0</v>
      </c>
      <c r="HC184" s="545">
        <f t="shared" si="436"/>
        <v>0</v>
      </c>
      <c r="HD184" s="560">
        <f t="shared" si="437"/>
        <v>1944.1745555555556</v>
      </c>
      <c r="HE184" s="560">
        <f t="shared" si="370"/>
        <v>633.69444444444446</v>
      </c>
      <c r="HF184" s="560"/>
      <c r="HG184" s="560">
        <f t="shared" si="366"/>
        <v>0</v>
      </c>
      <c r="HH184" s="560" t="str">
        <f t="shared" si="367"/>
        <v/>
      </c>
      <c r="HI184" s="560">
        <f>IF(GK184="P",Lookup!$N$12,IF(GK184="PP",Lookup!$N$13,IF(GK184="PPP",Lookup!$N$14,IF(GK184="T",Lookup!$N$15,IF(GK184="TP",Lookup!$N$16,IF(GK184="TPP",Lookup!$N$17,IF(GK184="TPPP",Lookup!$N$18,0)))))))*GJ184</f>
        <v>0</v>
      </c>
      <c r="HJ184" s="545">
        <f t="shared" si="438"/>
        <v>0</v>
      </c>
      <c r="HK184" s="560">
        <f t="shared" si="439"/>
        <v>1944.1745555555556</v>
      </c>
      <c r="HL184" s="560">
        <f t="shared" si="371"/>
        <v>633.69444444444446</v>
      </c>
      <c r="HM184" s="560"/>
    </row>
    <row r="185" spans="1:221">
      <c r="A185" s="580" t="s">
        <v>4</v>
      </c>
      <c r="B185" s="556">
        <v>41813</v>
      </c>
      <c r="C185" s="561">
        <v>0</v>
      </c>
      <c r="D185" s="529">
        <f t="shared" si="372"/>
        <v>300</v>
      </c>
      <c r="E185" s="529">
        <f t="shared" si="373"/>
        <v>250</v>
      </c>
      <c r="F185" s="529">
        <v>250</v>
      </c>
      <c r="G185" s="560">
        <f>DR185+Sheet1!CZ187</f>
        <v>482.53555219364603</v>
      </c>
      <c r="H185" s="1082">
        <f t="shared" si="442"/>
        <v>117.99098093797279</v>
      </c>
      <c r="I185" s="559">
        <f>Sheet1!DA187-E185</f>
        <v>487</v>
      </c>
      <c r="J185" s="562">
        <f>Sheet1!DB187-Calculation!D185</f>
        <v>197</v>
      </c>
      <c r="K185" s="904">
        <f t="shared" si="375"/>
        <v>64.64</v>
      </c>
      <c r="L185" s="560">
        <f>Sheet1!AA187+Sheet1!AB187-Sheet1!L187+(Sheet1!DA187-F185)*CFStoMGD</f>
        <v>393.73679999999996</v>
      </c>
      <c r="M185" s="560">
        <f t="shared" si="376"/>
        <v>318.14920055673224</v>
      </c>
      <c r="N185" s="910">
        <f>IF(Sheet1!DA187&gt;=F185,MIN(73,MIN(MAX(L185,0),MAX(M185,0))),0)</f>
        <v>73</v>
      </c>
      <c r="O185" s="563">
        <f>Sheet1!AA187+Sheet1!AB187</f>
        <v>78.94</v>
      </c>
      <c r="P185" s="563">
        <f t="shared" si="377"/>
        <v>122.12017999999999</v>
      </c>
      <c r="Q185" s="898">
        <f t="shared" si="339"/>
        <v>14.299999999999997</v>
      </c>
      <c r="R185" s="829">
        <f t="shared" si="378"/>
        <v>12</v>
      </c>
      <c r="S185" s="898">
        <f t="shared" si="340"/>
        <v>64.64</v>
      </c>
      <c r="T185" s="898">
        <f t="shared" si="341"/>
        <v>0</v>
      </c>
      <c r="U185" s="898">
        <f t="shared" si="342"/>
        <v>0</v>
      </c>
      <c r="V185" s="898"/>
      <c r="W185" s="898">
        <f t="shared" si="343"/>
        <v>52.850038119440917</v>
      </c>
      <c r="X185" s="898">
        <f t="shared" si="344"/>
        <v>64.64</v>
      </c>
      <c r="Y185" s="898" t="str">
        <f t="shared" si="345"/>
        <v>FALSE</v>
      </c>
      <c r="Z185" s="898">
        <f t="shared" si="346"/>
        <v>78.94</v>
      </c>
      <c r="AA185" s="898">
        <f t="shared" si="347"/>
        <v>78.94</v>
      </c>
      <c r="AB185" s="898" t="str">
        <f t="shared" si="348"/>
        <v/>
      </c>
      <c r="AC185" s="563">
        <f>Sheet1!Y187*MGDtoCFS</f>
        <v>49.968099999999993</v>
      </c>
      <c r="AD185" s="563">
        <f>Sheet1!Z187*MGDtoCFS</f>
        <v>63.427</v>
      </c>
      <c r="AE185" s="563">
        <f>Sheet1!AA187*MGDtoCFS</f>
        <v>49.256479999999996</v>
      </c>
      <c r="AF185" s="563">
        <f>Sheet1!AB187*MGDtoCFS</f>
        <v>72.863699999999994</v>
      </c>
      <c r="AG185" s="563">
        <f>Sheet1!L187*MGDtoCFS</f>
        <v>0</v>
      </c>
      <c r="AH185" s="545">
        <f t="shared" si="379"/>
        <v>0</v>
      </c>
      <c r="AI185" s="560">
        <f t="shared" si="380"/>
        <v>0</v>
      </c>
      <c r="AJ185" s="560">
        <f t="shared" si="381"/>
        <v>0</v>
      </c>
      <c r="AK185" s="560">
        <f t="shared" si="382"/>
        <v>0</v>
      </c>
      <c r="AL185" s="560">
        <f>(VLOOKUP(Sheet1!DC187,hhdcap_wcm,4)-(((VLOOKUP(Sheet1!DC187,hhdcap_wcm,3)-Sheet1!DC187)/(VLOOKUP(Sheet1!DC187,hhdcap_wcm,3)-VLOOKUP(Sheet1!DC187,hhdcap_wcm,1)))*(VLOOKUP(Sheet1!DC187,hhdcap_wcm,4)-VLOOKUP(Sheet1!DC187,hhdcap_wcm,2))))</f>
        <v>48863.000000116888</v>
      </c>
      <c r="AM185" s="560">
        <f t="shared" si="383"/>
        <v>-225</v>
      </c>
      <c r="AN185" s="560">
        <f t="shared" si="384"/>
        <v>3259</v>
      </c>
      <c r="AO185" s="560">
        <f t="shared" si="385"/>
        <v>9998.612000000001</v>
      </c>
      <c r="AP185" s="560">
        <f>Sheet1!BA187+Sheet1!BB187+Sheet1!BN187+CD185</f>
        <v>35.4</v>
      </c>
      <c r="AQ185" s="560">
        <f>Sheet1!BN187+(DO185*Sheet1!BN187)</f>
        <v>33.714104193138496</v>
      </c>
      <c r="AR185" s="560">
        <f>Sheet1!BA187+CD185</f>
        <v>0</v>
      </c>
      <c r="AS185" s="560">
        <f>Sheet1!BA187+Sheet1!BB187+CD185</f>
        <v>1.6</v>
      </c>
      <c r="AT185" s="698">
        <f>0</f>
        <v>0</v>
      </c>
      <c r="AU185" s="560">
        <f>IF(EB185&lt;K185,0,MAX(Sheet1!AA187+AQ185-15/36*K185-N185,Sheet1!EH187,0))</f>
        <v>0</v>
      </c>
      <c r="AV185" s="560">
        <f>IF(OR(B185&gt;=GD185,B185&lt;GC185),0,15/36*K185-MAX(0,64.6-(137.6-(Sheet1!AA187+Sheet1!AB187))))</f>
        <v>0</v>
      </c>
      <c r="AW185" s="698">
        <f>Sheet1!DB187-110</f>
        <v>387</v>
      </c>
      <c r="AX185" s="698">
        <f>Sheet1!DA187-265</f>
        <v>472</v>
      </c>
      <c r="AY185" s="698">
        <f t="shared" si="386"/>
        <v>58.7</v>
      </c>
      <c r="AZ185" s="698">
        <v>0</v>
      </c>
      <c r="BA185" s="698">
        <f t="shared" si="387"/>
        <v>0</v>
      </c>
      <c r="BB185" s="560">
        <f t="shared" si="388"/>
        <v>1357.9166666666667</v>
      </c>
      <c r="BC185" s="560"/>
      <c r="BD185" s="560">
        <f ca="1">IF(B185&gt;Summary!$A$1,#N/A,BB185*MGtoAF)</f>
        <v>4166.088333333334</v>
      </c>
      <c r="BE185" s="560">
        <f>Sheet1!BG187+Sheet1!BH187+Sheet1!BI187-BM185</f>
        <v>0</v>
      </c>
      <c r="BF185" s="560">
        <f t="shared" si="389"/>
        <v>0</v>
      </c>
      <c r="BG185" s="560">
        <f>IF(Sheet1!EP187="FM",BM185,0)</f>
        <v>0</v>
      </c>
      <c r="BH185" s="560">
        <f t="shared" si="390"/>
        <v>0</v>
      </c>
      <c r="BI185" s="560">
        <f>IF(Sheet1!EP187="OTHER",BM185,0)</f>
        <v>0</v>
      </c>
      <c r="BJ185" s="560">
        <f t="shared" si="391"/>
        <v>0</v>
      </c>
      <c r="BK185" s="560">
        <f t="shared" si="392"/>
        <v>0</v>
      </c>
      <c r="BL185" s="560">
        <f t="shared" si="393"/>
        <v>0</v>
      </c>
      <c r="BM185" s="560">
        <f>IF(OR(Sheet1!EP187="FM", Sheet1!EP187="OTHER"),SUM(Sheet1!BG187:'Sheet1'!BI187),0)</f>
        <v>0</v>
      </c>
      <c r="BN185" s="545">
        <f>IF(AND($B185&gt;=$FV185,$B185&lt;=$FW185),MAX(BF185,Sheet1!EI187,0),MAX(BF185-(7/36)*$K185,0))</f>
        <v>0</v>
      </c>
      <c r="BO185" s="560">
        <f t="shared" si="394"/>
        <v>0</v>
      </c>
      <c r="BP185" s="545">
        <f t="shared" si="395"/>
        <v>0</v>
      </c>
      <c r="BQ185" s="545">
        <f>IF(AND($O185&gt;0,Sheet1!EM187=1),(1-($O185-Sheet1!$L187)/$O185)*BL185,0)</f>
        <v>0</v>
      </c>
      <c r="BR185" s="545">
        <f>IF(AND(Sheet1!$L187=0,Sheet1!$L186=0, Calculation!BK185&lt;Sheet1!$EI187-0.1,Sheet1!$EI187=Sheet1!$EI186,Sheet1!$EI187=Sheet1!$EI188),Sheet1!$EI187,BL185-BQ185)</f>
        <v>0</v>
      </c>
      <c r="BS185" s="560"/>
      <c r="BT185" s="560"/>
      <c r="BU185" s="560">
        <f t="shared" si="396"/>
        <v>633.69444444444446</v>
      </c>
      <c r="BV185" s="560"/>
      <c r="BW185" s="560">
        <f ca="1">IF(B185&gt;Summary!$A$1,#N/A,BU185*MGtoAF)</f>
        <v>1944.1745555555556</v>
      </c>
      <c r="BX185" s="560">
        <f>Sheet1!BC187+Sheet1!BD187+Sheet1!BE187+Sheet1!BF187-CG185-CH185</f>
        <v>3.32</v>
      </c>
      <c r="BY185" s="560">
        <f t="shared" si="397"/>
        <v>3.3115628970775095</v>
      </c>
      <c r="BZ185" s="560">
        <f>IF(Sheet1!EQ187="FM",CH185,0)</f>
        <v>0</v>
      </c>
      <c r="CA185" s="560">
        <f t="shared" si="398"/>
        <v>0</v>
      </c>
      <c r="CB185" s="560">
        <f>IF(Sheet1!EQ187="OTHER",CH185,0)</f>
        <v>0</v>
      </c>
      <c r="CC185" s="560">
        <f t="shared" si="399"/>
        <v>0</v>
      </c>
      <c r="CD185" s="560">
        <f t="shared" si="400"/>
        <v>0</v>
      </c>
      <c r="CE185" s="560">
        <f t="shared" si="401"/>
        <v>3.32</v>
      </c>
      <c r="CF185" s="560">
        <f t="shared" si="402"/>
        <v>3.3115628970775095</v>
      </c>
      <c r="CG185" s="560">
        <f>IF(Sheet1!EQ187="CWA",SUM(Sheet1!BC187:'Sheet1'!BF187),0)</f>
        <v>0</v>
      </c>
      <c r="CH185" s="560">
        <f>IF(OR(Sheet1!EQ187="FM", Sheet1!EQ187="OTHER"),SUM(Sheet1!BC187:'Sheet1'!BF187),0)</f>
        <v>0</v>
      </c>
      <c r="CI185" s="545">
        <f>IF(AND($B185&gt;=$FV185,$B185&lt;=$FW185),MAX(CF185,Sheet1!EJ187,0),MAX(CF185-(7/36)*$K185,0))</f>
        <v>0</v>
      </c>
      <c r="CJ185" s="560">
        <f t="shared" si="403"/>
        <v>0</v>
      </c>
      <c r="CK185" s="545">
        <f t="shared" si="404"/>
        <v>3.3115628970775095</v>
      </c>
      <c r="CL185" s="545">
        <f>IF(AND($O185&gt;0,Sheet1!EN187=1),(1-($O185-Sheet1!$L187)/$O185)*CF185,0)</f>
        <v>0</v>
      </c>
      <c r="CM185" s="545">
        <f>IF(AND(Sheet1!$L187=0,Sheet1!$L186=0, Calculation!CE185&lt;Sheet1!EJ187-0.1,Sheet1!EJ187=Sheet1!EJ186,Sheet1!EJ187=Sheet1!EJ188),Sheet1!EJ187,CF185-CL185)</f>
        <v>3.3115628970775095</v>
      </c>
      <c r="CN185" s="545"/>
      <c r="CO185" s="560"/>
      <c r="CP185" s="560">
        <f t="shared" si="405"/>
        <v>633.69444444444446</v>
      </c>
      <c r="CQ185" s="560"/>
      <c r="CR185" s="560">
        <f ca="1">IF(B185&gt;Summary!$A$1,#N/A,CP185*MGtoAF)</f>
        <v>1944.1745555555556</v>
      </c>
      <c r="CS185" s="560">
        <f>Sheet1!BK187+Sheet1!BL187+Sheet1!BM187-Sheet1!ER187-DA185</f>
        <v>8.5</v>
      </c>
      <c r="CT185" s="560">
        <f t="shared" si="406"/>
        <v>8.4783989834815756</v>
      </c>
      <c r="CU185" s="560">
        <f>IF(Sheet1!ER187="FM",DA185,0)</f>
        <v>0</v>
      </c>
      <c r="CV185" s="560">
        <f t="shared" si="407"/>
        <v>0</v>
      </c>
      <c r="CW185" s="560">
        <f>IF(Sheet1!ER187="OTHER",DA185,0)</f>
        <v>0</v>
      </c>
      <c r="CX185" s="560">
        <f t="shared" si="408"/>
        <v>0</v>
      </c>
      <c r="CY185" s="560">
        <f t="shared" si="409"/>
        <v>8.5</v>
      </c>
      <c r="CZ185" s="560">
        <f t="shared" si="410"/>
        <v>8.4783989834815756</v>
      </c>
      <c r="DA185" s="560">
        <f>IF(OR(Sheet1!ER187="FM", Sheet1!ER187="OTHER"),SUM(Sheet1!BK187:'Sheet1'!BM187),0)</f>
        <v>0</v>
      </c>
      <c r="DB185" s="545">
        <f>IF(AND($B185&gt;=$FV185,$B185&lt;=$FW185),MAX($CT185,Sheet1!EK187,0),MAX($CT185-(7/36)*$K185,0))</f>
        <v>0</v>
      </c>
      <c r="DC185" s="560">
        <f t="shared" si="411"/>
        <v>0</v>
      </c>
      <c r="DD185" s="545">
        <f t="shared" si="412"/>
        <v>8.4783989834815756</v>
      </c>
      <c r="DE185" s="545">
        <f>IF(AND($O185&gt;0,Sheet1!EO187=1),(1-($O185-Sheet1!$L187)/$O185)*CZ185,0)</f>
        <v>0</v>
      </c>
      <c r="DF185" s="545">
        <f>IF(AND(Sheet1!$L187=0,Sheet1!$L186=0, Calculation!CY185&lt;Sheet1!$EK187-0.1,Sheet1!$EK187=Sheet1!$EK186,Sheet1!$EK187=Sheet1!$EK188),Sheet1!$EK187,CZ185-DE185)</f>
        <v>8.4783989834815756</v>
      </c>
      <c r="DG185" s="545"/>
      <c r="DH185" s="560">
        <f t="shared" si="413"/>
        <v>11.82</v>
      </c>
      <c r="DI185" s="560">
        <f t="shared" si="414"/>
        <v>633.69444444444446</v>
      </c>
      <c r="DJ185" s="698">
        <f t="shared" si="415"/>
        <v>11.789961880559085</v>
      </c>
      <c r="DK185" s="560">
        <f ca="1">IF(B185&gt;Summary!$A$1,#N/A,DI185*MGtoAF)</f>
        <v>1944.1745555555556</v>
      </c>
      <c r="DL185" s="698">
        <f t="shared" si="416"/>
        <v>11.82</v>
      </c>
      <c r="DM185" s="560">
        <f t="shared" si="417"/>
        <v>47.22</v>
      </c>
      <c r="DN185" s="560">
        <f>Sheet1!AB187-DM185</f>
        <v>-0.11999999999999744</v>
      </c>
      <c r="DO185" s="823">
        <f t="shared" si="418"/>
        <v>-2.5412960609910514E-3</v>
      </c>
      <c r="DP185" s="560">
        <f>(VLOOKUP(Sheet1!DC187,hhdcap_wcm,4)-(((VLOOKUP(Sheet1!DC187,hhdcap_wcm,3)-Sheet1!DC187)/(VLOOKUP(Sheet1!DC187,hhdcap_wcm,3)-VLOOKUP(Sheet1!DC187,hhdcap_wcm,1)))*(VLOOKUP(Sheet1!DC187,hhdcap_wcm,4)-VLOOKUP(Sheet1!DC187,hhdcap_wcm,2))))</f>
        <v>48863.000000116888</v>
      </c>
      <c r="DQ185" s="560">
        <f t="shared" si="419"/>
        <v>-225</v>
      </c>
      <c r="DR185" s="560">
        <f t="shared" si="420"/>
        <v>-113.46444780635399</v>
      </c>
      <c r="DS185" s="560">
        <f>Sheet1!EA187*AFtoMG</f>
        <v>0</v>
      </c>
      <c r="DT185" s="560">
        <f>Sheet1!EB187*AFtoMG</f>
        <v>0</v>
      </c>
      <c r="DU185" s="560">
        <f>Sheet1!EC187*AFtoMG</f>
        <v>0</v>
      </c>
      <c r="DV185" s="560">
        <f>Sheet1!ED187*AFtoMG</f>
        <v>0</v>
      </c>
      <c r="DW185" s="560">
        <f t="shared" si="421"/>
        <v>0</v>
      </c>
      <c r="DX185" s="560">
        <f t="shared" si="422"/>
        <v>0</v>
      </c>
      <c r="DY185" s="560">
        <f t="shared" si="423"/>
        <v>3259</v>
      </c>
      <c r="DZ185" s="560">
        <f t="shared" si="424"/>
        <v>9998.612000000001</v>
      </c>
      <c r="EA185" s="560"/>
      <c r="EB185" s="545">
        <f>IF(OR(B185&lt;FV185,B185&gt;FW185),(MIN(BF185+BY185+CT185+MAX(Sheet1!AA187+AQ185-73,0),K185)),0)</f>
        <v>11.789961880559085</v>
      </c>
      <c r="EC185" s="560"/>
      <c r="ED185" s="560">
        <f t="shared" si="425"/>
        <v>11.789961880559085</v>
      </c>
      <c r="EE185" s="560"/>
      <c r="EF185" s="560">
        <f>Sheet1!EH187+Sheet1!EI187+Sheet1!EJ187+Sheet1!EK187</f>
        <v>12</v>
      </c>
      <c r="EG185" s="560"/>
      <c r="EH185" s="545">
        <f t="shared" si="426"/>
        <v>0</v>
      </c>
      <c r="EI185" s="560">
        <f>IF(Sheet1!ET187=1,SUM('Calculations II'!AT185:BA185)+'Calculations II'!BC185+Sheet1!BV187+'Calculations II'!BE185+AP185,SUM('Calculations II'!AT185:BA185)+'Calculations II'!BC185+Sheet1!BV187+'Calculations II'!BE185+AP185)</f>
        <v>73.953232</v>
      </c>
      <c r="EJ185" s="560">
        <f>Sheet1!AA187+Sheet1!AB187+'Calculations II'!BC185</f>
        <v>78.94</v>
      </c>
      <c r="EK185" s="560"/>
      <c r="EL185" s="560"/>
      <c r="EM185" s="560">
        <f t="shared" si="427"/>
        <v>41813</v>
      </c>
      <c r="EN185" s="560">
        <f t="shared" si="428"/>
        <v>0</v>
      </c>
      <c r="EO185" s="560">
        <f t="shared" si="429"/>
        <v>0</v>
      </c>
      <c r="EP185" s="560">
        <v>0</v>
      </c>
      <c r="EQ185" s="560">
        <v>0</v>
      </c>
      <c r="ER185" s="560">
        <v>0</v>
      </c>
      <c r="ES185" s="545">
        <f t="shared" si="349"/>
        <v>-0.69104037904130289</v>
      </c>
      <c r="ET185" s="560">
        <f>-(VLOOKUP(Sheet1!BQ187,Lookup!$O$4:$Q$262,2)-VLOOKUP(Sheet1!BQ186,Lookup!$O$4:$Q$262,2))/1000000</f>
        <v>-0.41462806858450918</v>
      </c>
      <c r="EU185" s="560">
        <f>-(VLOOKUP(Sheet1!BR187,Lookup!$O$4:$Q$262,3)-VLOOKUP(Sheet1!BR186,Lookup!$O$4:$Q$262,3))/1000000</f>
        <v>-0.27641231045679376</v>
      </c>
      <c r="EV185" s="560"/>
      <c r="EW185" s="560"/>
      <c r="EX185" s="560"/>
      <c r="EY185" s="560"/>
      <c r="EZ185" s="560"/>
      <c r="FA185" s="560"/>
      <c r="FB185" s="560"/>
      <c r="FC185" s="560"/>
      <c r="FD185" s="594" t="e">
        <f t="shared" si="430"/>
        <v>#N/A</v>
      </c>
      <c r="FE185" s="594" t="e">
        <f t="shared" si="431"/>
        <v>#N/A</v>
      </c>
      <c r="FF185" s="595" t="e">
        <f t="shared" si="432"/>
        <v>#N/A</v>
      </c>
      <c r="FG185" s="596" t="s">
        <v>692</v>
      </c>
      <c r="FH185" s="596" t="s">
        <v>692</v>
      </c>
      <c r="FI185" s="594" t="e">
        <v>#N/A</v>
      </c>
      <c r="FJ185" s="594" t="e">
        <v>#N/A</v>
      </c>
      <c r="FK185" s="560">
        <v>23950</v>
      </c>
      <c r="FL185" s="560"/>
      <c r="FM185" s="560"/>
      <c r="FN185" s="560"/>
      <c r="FO185" s="560">
        <f>O185+((Sheet1!CS187)*GPMtoMGD)</f>
        <v>78.94</v>
      </c>
      <c r="FP185" s="560">
        <f>IF(Sheet1!AA187+AQ185&lt;=Calculation!N185,AQ185,Calculation!N185-Sheet1!AA187)</f>
        <v>33.714104193138496</v>
      </c>
      <c r="FQ185" s="560">
        <f>(Sheet1!BP187+Sheet1!BO187)/694.4</f>
        <v>2.9573732718894008</v>
      </c>
      <c r="FR185" s="560"/>
      <c r="FS185" s="560"/>
      <c r="FT185" s="560"/>
      <c r="FU185" s="560"/>
      <c r="FV185" s="695">
        <f t="shared" si="350"/>
        <v>41827</v>
      </c>
      <c r="FW185" s="695">
        <f t="shared" si="351"/>
        <v>41934</v>
      </c>
      <c r="FX185" s="560"/>
      <c r="FY185" s="560"/>
      <c r="FZ185" s="560"/>
      <c r="GA185" s="560"/>
      <c r="GB185" s="560" t="str">
        <f t="shared" si="352"/>
        <v>n</v>
      </c>
      <c r="GC185" s="564">
        <f t="shared" si="353"/>
        <v>41691</v>
      </c>
      <c r="GD185" s="695">
        <f t="shared" si="354"/>
        <v>41807</v>
      </c>
      <c r="GE185" s="560">
        <v>6518.9</v>
      </c>
      <c r="GF185" s="695">
        <f t="shared" si="355"/>
        <v>41808</v>
      </c>
      <c r="GG185" s="560">
        <f t="shared" si="374"/>
        <v>3259</v>
      </c>
      <c r="GH185" s="564">
        <f t="shared" si="356"/>
        <v>41934</v>
      </c>
      <c r="GJ185" s="545">
        <f t="shared" si="357"/>
        <v>0</v>
      </c>
      <c r="GK185" s="560" t="str">
        <f t="shared" si="433"/>
        <v/>
      </c>
      <c r="GL185" s="560">
        <f t="shared" si="358"/>
        <v>0</v>
      </c>
      <c r="GM185" s="560" t="str">
        <f t="shared" si="359"/>
        <v/>
      </c>
      <c r="GN185" s="560">
        <f>IF(GK185="P",Lookup!$M$12,IF(GK185="PP",Lookup!$M$13,IF(GK185="PPP",Lookup!$M$14,IF(GK185="T",Lookup!$M$15,IF(GK185="TP",Lookup!$M$16,IF(GK185="TPP",Lookup!$M$17,IF(GK185="TPPP",Lookup!$M$18,0)))))))*GJ185</f>
        <v>0</v>
      </c>
      <c r="GO185" s="560">
        <f t="shared" si="360"/>
        <v>0</v>
      </c>
      <c r="GP185" s="560">
        <f t="shared" si="434"/>
        <v>4166.088333333334</v>
      </c>
      <c r="GQ185" s="560">
        <f t="shared" si="368"/>
        <v>1357.9166666666667</v>
      </c>
      <c r="GR185" s="560"/>
      <c r="GS185" s="560">
        <f t="shared" si="361"/>
        <v>0</v>
      </c>
      <c r="GT185" s="560" t="str">
        <f t="shared" si="362"/>
        <v/>
      </c>
      <c r="GU185" s="560">
        <f>IF(GK185="P",Lookup!$N$12,IF(GK185="PP",Lookup!$N$13,IF(GK185="PPP",Lookup!$N$14,IF(GK185="T",Lookup!$N$15,IF(GK185="TP",Lookup!$N$16,IF(GK185="TPP",Lookup!$N$17,IF(GK185="TPPP",Lookup!$N$18,0)))))))*GJ185</f>
        <v>0</v>
      </c>
      <c r="GV185" s="560">
        <f t="shared" si="363"/>
        <v>0</v>
      </c>
      <c r="GW185" s="560">
        <f t="shared" si="435"/>
        <v>1944.1745555555556</v>
      </c>
      <c r="GX185" s="560">
        <f t="shared" si="369"/>
        <v>633.69444444444446</v>
      </c>
      <c r="GY185" s="560"/>
      <c r="GZ185" s="560">
        <f t="shared" si="364"/>
        <v>0</v>
      </c>
      <c r="HA185" s="560" t="str">
        <f t="shared" si="365"/>
        <v/>
      </c>
      <c r="HB185" s="560">
        <f>IF(GK185="P",Lookup!$N$12,IF(GK185="PP",Lookup!$N$13,IF(GK185="PPP",Lookup!$N$14,IF(GK185="T",Lookup!$N$15,IF(GK185="TP",Lookup!$N$16,IF(GK185="TPP",Lookup!$N$17,IF(GK185="TPPP",Lookup!$N$18,0)))))))*GJ185</f>
        <v>0</v>
      </c>
      <c r="HC185" s="545">
        <f t="shared" si="436"/>
        <v>0</v>
      </c>
      <c r="HD185" s="560">
        <f t="shared" si="437"/>
        <v>1944.1745555555556</v>
      </c>
      <c r="HE185" s="560">
        <f t="shared" si="370"/>
        <v>633.69444444444446</v>
      </c>
      <c r="HF185" s="560"/>
      <c r="HG185" s="560">
        <f t="shared" si="366"/>
        <v>0</v>
      </c>
      <c r="HH185" s="560" t="str">
        <f t="shared" si="367"/>
        <v/>
      </c>
      <c r="HI185" s="560">
        <f>IF(GK185="P",Lookup!$N$12,IF(GK185="PP",Lookup!$N$13,IF(GK185="PPP",Lookup!$N$14,IF(GK185="T",Lookup!$N$15,IF(GK185="TP",Lookup!$N$16,IF(GK185="TPP",Lookup!$N$17,IF(GK185="TPPP",Lookup!$N$18,0)))))))*GJ185</f>
        <v>0</v>
      </c>
      <c r="HJ185" s="545">
        <f t="shared" si="438"/>
        <v>0</v>
      </c>
      <c r="HK185" s="560">
        <f t="shared" si="439"/>
        <v>1944.1745555555556</v>
      </c>
      <c r="HL185" s="560">
        <f t="shared" si="371"/>
        <v>633.69444444444446</v>
      </c>
      <c r="HM185" s="560"/>
    </row>
    <row r="186" spans="1:221">
      <c r="A186" s="580" t="s">
        <v>5</v>
      </c>
      <c r="B186" s="556">
        <v>41814</v>
      </c>
      <c r="C186" s="561">
        <v>0</v>
      </c>
      <c r="D186" s="529">
        <f t="shared" si="372"/>
        <v>300</v>
      </c>
      <c r="E186" s="529">
        <f t="shared" si="373"/>
        <v>250</v>
      </c>
      <c r="F186" s="529">
        <v>250</v>
      </c>
      <c r="G186" s="560">
        <f>DR186+Sheet1!CZ188</f>
        <v>429.84720121003136</v>
      </c>
      <c r="H186" s="1082">
        <f t="shared" si="442"/>
        <v>83.933230862164265</v>
      </c>
      <c r="I186" s="559">
        <f>Sheet1!DA188-E186</f>
        <v>481</v>
      </c>
      <c r="J186" s="562">
        <f>Sheet1!DB188-Calculation!D186</f>
        <v>193</v>
      </c>
      <c r="K186" s="904">
        <f t="shared" si="375"/>
        <v>64.64</v>
      </c>
      <c r="L186" s="560">
        <f>Sheet1!AA188+Sheet1!AB188-Sheet1!L188+(Sheet1!DA188-F186)*CFStoMGD</f>
        <v>393.51839999999993</v>
      </c>
      <c r="M186" s="560">
        <f t="shared" si="376"/>
        <v>283.41029547940758</v>
      </c>
      <c r="N186" s="910">
        <f>IF(Sheet1!DA188&gt;=F186,MIN(73,MIN(MAX(L186,0),MAX(M186,0))),0)</f>
        <v>73</v>
      </c>
      <c r="O186" s="563">
        <f>Sheet1!AA188+Sheet1!AB188</f>
        <v>82.6</v>
      </c>
      <c r="P186" s="563">
        <f t="shared" si="377"/>
        <v>127.78219999999999</v>
      </c>
      <c r="Q186" s="898">
        <f t="shared" si="339"/>
        <v>17.959999999999994</v>
      </c>
      <c r="R186" s="829">
        <f t="shared" si="378"/>
        <v>12</v>
      </c>
      <c r="S186" s="898">
        <f t="shared" si="340"/>
        <v>64.64</v>
      </c>
      <c r="T186" s="898">
        <f t="shared" si="341"/>
        <v>0</v>
      </c>
      <c r="U186" s="898">
        <f t="shared" si="342"/>
        <v>0</v>
      </c>
      <c r="V186" s="898"/>
      <c r="W186" s="898">
        <f t="shared" si="343"/>
        <v>52.755339348764224</v>
      </c>
      <c r="X186" s="898">
        <f t="shared" si="344"/>
        <v>64.64</v>
      </c>
      <c r="Y186" s="898" t="str">
        <f t="shared" si="345"/>
        <v>FALSE</v>
      </c>
      <c r="Z186" s="898">
        <f t="shared" si="346"/>
        <v>82.6</v>
      </c>
      <c r="AA186" s="898">
        <f t="shared" si="347"/>
        <v>82.6</v>
      </c>
      <c r="AB186" s="898" t="str">
        <f t="shared" si="348"/>
        <v/>
      </c>
      <c r="AC186" s="563">
        <f>Sheet1!Y188*MGDtoCFS</f>
        <v>49.256479999999996</v>
      </c>
      <c r="AD186" s="563">
        <f>Sheet1!Z188*MGDtoCFS</f>
        <v>72.863699999999994</v>
      </c>
      <c r="AE186" s="563">
        <f>Sheet1!AA188*MGDtoCFS</f>
        <v>48.885199999999998</v>
      </c>
      <c r="AF186" s="563">
        <f>Sheet1!AB188*MGDtoCFS</f>
        <v>78.896999999999991</v>
      </c>
      <c r="AG186" s="563">
        <f>Sheet1!L188*MGDtoCFS</f>
        <v>0</v>
      </c>
      <c r="AH186" s="545">
        <f t="shared" si="379"/>
        <v>0</v>
      </c>
      <c r="AI186" s="560">
        <f t="shared" si="380"/>
        <v>0</v>
      </c>
      <c r="AJ186" s="560">
        <f t="shared" si="381"/>
        <v>0</v>
      </c>
      <c r="AK186" s="560">
        <f t="shared" si="382"/>
        <v>0</v>
      </c>
      <c r="AL186" s="560">
        <f>(VLOOKUP(Sheet1!DC188,hhdcap_wcm,4)-(((VLOOKUP(Sheet1!DC188,hhdcap_wcm,3)-Sheet1!DC188)/(VLOOKUP(Sheet1!DC188,hhdcap_wcm,3)-VLOOKUP(Sheet1!DC188,hhdcap_wcm,1)))*(VLOOKUP(Sheet1!DC188,hhdcap_wcm,4)-VLOOKUP(Sheet1!DC188,hhdcap_wcm,2))))</f>
        <v>48547.40000011638</v>
      </c>
      <c r="AM186" s="560">
        <f t="shared" si="383"/>
        <v>-315.60000000050786</v>
      </c>
      <c r="AN186" s="560">
        <f t="shared" si="384"/>
        <v>3259</v>
      </c>
      <c r="AO186" s="560">
        <f t="shared" si="385"/>
        <v>9998.612000000001</v>
      </c>
      <c r="AP186" s="560">
        <f>Sheet1!BA188+Sheet1!BB188+Sheet1!BN188+CD186</f>
        <v>39.1</v>
      </c>
      <c r="AQ186" s="560">
        <f>Sheet1!BN188+(DO186*Sheet1!BN188)</f>
        <v>37.514711651628083</v>
      </c>
      <c r="AR186" s="560">
        <f>Sheet1!BA188+CD186</f>
        <v>0</v>
      </c>
      <c r="AS186" s="560">
        <f>Sheet1!BA188+Sheet1!BB188+CD186</f>
        <v>1.6</v>
      </c>
      <c r="AT186" s="698">
        <f>0</f>
        <v>0</v>
      </c>
      <c r="AU186" s="560">
        <f>IF(EB186&lt;K186,0,MAX(Sheet1!AA188+AQ186-15/36*K186-N186,Sheet1!EH188,0))</f>
        <v>0</v>
      </c>
      <c r="AV186" s="560">
        <f>IF(OR(B186&gt;=GD186,B186&lt;GC186),0,15/36*K186-MAX(0,64.6-(137.6-(Sheet1!AA188+Sheet1!AB188))))</f>
        <v>0</v>
      </c>
      <c r="AW186" s="698">
        <f>Sheet1!DB188-110</f>
        <v>383</v>
      </c>
      <c r="AX186" s="698">
        <f>Sheet1!DA188-265</f>
        <v>466</v>
      </c>
      <c r="AY186" s="698">
        <f t="shared" si="386"/>
        <v>55.040000000000006</v>
      </c>
      <c r="AZ186" s="698">
        <v>0</v>
      </c>
      <c r="BA186" s="698">
        <f t="shared" si="387"/>
        <v>0</v>
      </c>
      <c r="BB186" s="560">
        <f t="shared" si="388"/>
        <v>1357.9166666666667</v>
      </c>
      <c r="BC186" s="560"/>
      <c r="BD186" s="560">
        <f ca="1">IF(B186&gt;Summary!$A$1,#N/A,BB186*MGtoAF)</f>
        <v>4166.088333333334</v>
      </c>
      <c r="BE186" s="560">
        <f>Sheet1!BG188+Sheet1!BH188+Sheet1!BI188-BM186</f>
        <v>0</v>
      </c>
      <c r="BF186" s="560">
        <f t="shared" si="389"/>
        <v>0</v>
      </c>
      <c r="BG186" s="560">
        <f>IF(Sheet1!EP188="FM",BM186,0)</f>
        <v>0</v>
      </c>
      <c r="BH186" s="560">
        <f t="shared" si="390"/>
        <v>0</v>
      </c>
      <c r="BI186" s="560">
        <f>IF(Sheet1!EP188="OTHER",BM186,0)</f>
        <v>0</v>
      </c>
      <c r="BJ186" s="560">
        <f t="shared" si="391"/>
        <v>0</v>
      </c>
      <c r="BK186" s="560">
        <f t="shared" si="392"/>
        <v>0</v>
      </c>
      <c r="BL186" s="560">
        <f t="shared" si="393"/>
        <v>0</v>
      </c>
      <c r="BM186" s="560">
        <f>IF(OR(Sheet1!EP188="FM", Sheet1!EP188="OTHER"),SUM(Sheet1!BG188:'Sheet1'!BI188),0)</f>
        <v>0</v>
      </c>
      <c r="BN186" s="545">
        <f>IF(AND($B186&gt;=$FV186,$B186&lt;=$FW186),MAX(BF186,Sheet1!EI188,0),MAX(BF186-(7/36)*$K186,0))</f>
        <v>0</v>
      </c>
      <c r="BO186" s="560">
        <f t="shared" si="394"/>
        <v>0</v>
      </c>
      <c r="BP186" s="545">
        <f t="shared" si="395"/>
        <v>0</v>
      </c>
      <c r="BQ186" s="545">
        <f>IF(AND($O186&gt;0,Sheet1!EM188=1),(1-($O186-Sheet1!$L188)/$O186)*BL186,0)</f>
        <v>0</v>
      </c>
      <c r="BR186" s="545">
        <f>IF(AND(Sheet1!$L188=0,Sheet1!$L187=0, Calculation!BK186&lt;Sheet1!$EI188-0.1,Sheet1!$EI188=Sheet1!$EI187,Sheet1!$EI188=Sheet1!$EI189),Sheet1!$EI188,BL186-BQ186)</f>
        <v>0</v>
      </c>
      <c r="BS186" s="560"/>
      <c r="BT186" s="560"/>
      <c r="BU186" s="560">
        <f t="shared" si="396"/>
        <v>633.69444444444446</v>
      </c>
      <c r="BV186" s="560"/>
      <c r="BW186" s="560">
        <f ca="1">IF(B186&gt;Summary!$A$1,#N/A,BU186*MGtoAF)</f>
        <v>1944.1745555555556</v>
      </c>
      <c r="BX186" s="560">
        <f>Sheet1!BC188+Sheet1!BD188+Sheet1!BE188+Sheet1!BF188-CG186-CH186</f>
        <v>3.5</v>
      </c>
      <c r="BY186" s="560">
        <f t="shared" si="397"/>
        <v>3.501373087485288</v>
      </c>
      <c r="BZ186" s="560">
        <f>IF(Sheet1!EQ188="FM",CH186,0)</f>
        <v>0</v>
      </c>
      <c r="CA186" s="560">
        <f t="shared" si="398"/>
        <v>0</v>
      </c>
      <c r="CB186" s="560">
        <f>IF(Sheet1!EQ188="OTHER",CH186,0)</f>
        <v>0</v>
      </c>
      <c r="CC186" s="560">
        <f t="shared" si="399"/>
        <v>0</v>
      </c>
      <c r="CD186" s="560">
        <f t="shared" si="400"/>
        <v>0</v>
      </c>
      <c r="CE186" s="560">
        <f t="shared" si="401"/>
        <v>3.5</v>
      </c>
      <c r="CF186" s="560">
        <f t="shared" si="402"/>
        <v>3.501373087485288</v>
      </c>
      <c r="CG186" s="560">
        <f>IF(Sheet1!EQ188="CWA",SUM(Sheet1!BC188:'Sheet1'!BF188),0)</f>
        <v>0</v>
      </c>
      <c r="CH186" s="560">
        <f>IF(OR(Sheet1!EQ188="FM", Sheet1!EQ188="OTHER"),SUM(Sheet1!BC188:'Sheet1'!BF188),0)</f>
        <v>0</v>
      </c>
      <c r="CI186" s="545">
        <f>IF(AND($B186&gt;=$FV186,$B186&lt;=$FW186),MAX(CF186,Sheet1!EJ188,0),MAX(CF186-(7/36)*$K186,0))</f>
        <v>0</v>
      </c>
      <c r="CJ186" s="560">
        <f t="shared" si="403"/>
        <v>0</v>
      </c>
      <c r="CK186" s="545">
        <f t="shared" si="404"/>
        <v>3.501373087485288</v>
      </c>
      <c r="CL186" s="545">
        <f>IF(AND($O186&gt;0,Sheet1!EN188=1),(1-($O186-Sheet1!$L188)/$O186)*CF186,0)</f>
        <v>0</v>
      </c>
      <c r="CM186" s="545">
        <f>IF(AND(Sheet1!$L188=0,Sheet1!$L187=0, Calculation!CE186&lt;Sheet1!EJ188-0.1,Sheet1!EJ188=Sheet1!EJ187,Sheet1!EJ188=Sheet1!EJ189),Sheet1!EJ188,CF186-CL186)</f>
        <v>3.501373087485288</v>
      </c>
      <c r="CN186" s="545"/>
      <c r="CO186" s="560"/>
      <c r="CP186" s="560">
        <f t="shared" si="405"/>
        <v>633.69444444444446</v>
      </c>
      <c r="CQ186" s="560"/>
      <c r="CR186" s="560">
        <f ca="1">IF(B186&gt;Summary!$A$1,#N/A,CP186*MGtoAF)</f>
        <v>1944.1745555555556</v>
      </c>
      <c r="CS186" s="560">
        <f>Sheet1!BK188+Sheet1!BL188+Sheet1!BM188-Sheet1!ER188-DA186</f>
        <v>8.3800000000000008</v>
      </c>
      <c r="CT186" s="560">
        <f t="shared" si="406"/>
        <v>8.3832875637504909</v>
      </c>
      <c r="CU186" s="560">
        <f>IF(Sheet1!ER188="FM",DA186,0)</f>
        <v>0</v>
      </c>
      <c r="CV186" s="560">
        <f t="shared" si="407"/>
        <v>0</v>
      </c>
      <c r="CW186" s="560">
        <f>IF(Sheet1!ER188="OTHER",DA186,0)</f>
        <v>0</v>
      </c>
      <c r="CX186" s="560">
        <f t="shared" si="408"/>
        <v>0</v>
      </c>
      <c r="CY186" s="560">
        <f t="shared" si="409"/>
        <v>8.3800000000000008</v>
      </c>
      <c r="CZ186" s="560">
        <f t="shared" si="410"/>
        <v>8.3832875637504909</v>
      </c>
      <c r="DA186" s="560">
        <f>IF(OR(Sheet1!ER188="FM", Sheet1!ER188="OTHER"),SUM(Sheet1!BK188:'Sheet1'!BM188),0)</f>
        <v>0</v>
      </c>
      <c r="DB186" s="545">
        <f>IF(AND($B186&gt;=$FV186,$B186&lt;=$FW186),MAX($CT186,Sheet1!EK188,0),MAX($CT186-(7/36)*$K186,0))</f>
        <v>0</v>
      </c>
      <c r="DC186" s="560">
        <f t="shared" si="411"/>
        <v>0</v>
      </c>
      <c r="DD186" s="545">
        <f t="shared" si="412"/>
        <v>8.3832875637504909</v>
      </c>
      <c r="DE186" s="545">
        <f>IF(AND($O186&gt;0,Sheet1!EO188=1),(1-($O186-Sheet1!$L188)/$O186)*CZ186,0)</f>
        <v>0</v>
      </c>
      <c r="DF186" s="545">
        <f>IF(AND(Sheet1!$L188=0,Sheet1!$L187=0, Calculation!CY186&lt;Sheet1!$EK188-0.1,Sheet1!$EK188=Sheet1!$EK187,Sheet1!$EK188=Sheet1!$EK189),Sheet1!$EK188,CZ186-DE186)</f>
        <v>8.5</v>
      </c>
      <c r="DG186" s="545"/>
      <c r="DH186" s="560">
        <f t="shared" si="413"/>
        <v>11.88</v>
      </c>
      <c r="DI186" s="560">
        <f t="shared" si="414"/>
        <v>633.69444444444446</v>
      </c>
      <c r="DJ186" s="698">
        <f t="shared" si="415"/>
        <v>11.884660651235778</v>
      </c>
      <c r="DK186" s="560">
        <f ca="1">IF(B186&gt;Summary!$A$1,#N/A,DI186*MGtoAF)</f>
        <v>1944.1745555555556</v>
      </c>
      <c r="DL186" s="698">
        <f t="shared" si="416"/>
        <v>11.88</v>
      </c>
      <c r="DM186" s="560">
        <f t="shared" si="417"/>
        <v>50.980000000000004</v>
      </c>
      <c r="DN186" s="560">
        <f>Sheet1!AB188-DM186</f>
        <v>1.9999999999996021E-2</v>
      </c>
      <c r="DO186" s="823">
        <f t="shared" si="418"/>
        <v>3.9231071008230718E-4</v>
      </c>
      <c r="DP186" s="560">
        <f>(VLOOKUP(Sheet1!DC188,hhdcap_wcm,4)-(((VLOOKUP(Sheet1!DC188,hhdcap_wcm,3)-Sheet1!DC188)/(VLOOKUP(Sheet1!DC188,hhdcap_wcm,3)-VLOOKUP(Sheet1!DC188,hhdcap_wcm,1)))*(VLOOKUP(Sheet1!DC188,hhdcap_wcm,4)-VLOOKUP(Sheet1!DC188,hhdcap_wcm,2))))</f>
        <v>48547.40000011638</v>
      </c>
      <c r="DQ186" s="560">
        <f t="shared" si="419"/>
        <v>-315.60000000050786</v>
      </c>
      <c r="DR186" s="560">
        <f t="shared" si="420"/>
        <v>-159.15279878996864</v>
      </c>
      <c r="DS186" s="560">
        <f>Sheet1!EA188*AFtoMG</f>
        <v>0</v>
      </c>
      <c r="DT186" s="560">
        <f>Sheet1!EB188*AFtoMG</f>
        <v>0</v>
      </c>
      <c r="DU186" s="560">
        <f>Sheet1!EC188*AFtoMG</f>
        <v>0</v>
      </c>
      <c r="DV186" s="560">
        <f>Sheet1!ED188*AFtoMG</f>
        <v>0</v>
      </c>
      <c r="DW186" s="560">
        <f t="shared" si="421"/>
        <v>0</v>
      </c>
      <c r="DX186" s="560">
        <f t="shared" si="422"/>
        <v>0</v>
      </c>
      <c r="DY186" s="560">
        <f t="shared" si="423"/>
        <v>3259</v>
      </c>
      <c r="DZ186" s="560">
        <f t="shared" si="424"/>
        <v>9998.612000000001</v>
      </c>
      <c r="EA186" s="560"/>
      <c r="EB186" s="545">
        <f>IF(OR(B186&lt;FV186,B186&gt;FW186),(MIN(BF186+BY186+CT186+MAX(Sheet1!AA188+AQ186-73,0),K186)),0)</f>
        <v>11.884660651235778</v>
      </c>
      <c r="EC186" s="560"/>
      <c r="ED186" s="560">
        <f t="shared" si="425"/>
        <v>11.884660651235778</v>
      </c>
      <c r="EE186" s="560"/>
      <c r="EF186" s="560">
        <f>Sheet1!EH188+Sheet1!EI188+Sheet1!EJ188+Sheet1!EK188</f>
        <v>12</v>
      </c>
      <c r="EG186" s="560"/>
      <c r="EH186" s="545">
        <f t="shared" si="426"/>
        <v>0</v>
      </c>
      <c r="EI186" s="560">
        <f>IF(Sheet1!ET188=1,SUM('Calculations II'!AT186:BA186)+'Calculations II'!BC186+Sheet1!BV188+'Calculations II'!BE186+AP186,SUM('Calculations II'!AT186:BA186)+'Calculations II'!BC186+Sheet1!BV188+'Calculations II'!BE186+AP186)</f>
        <v>72.021647999999999</v>
      </c>
      <c r="EJ186" s="560">
        <f>Sheet1!AA188+Sheet1!AB188+'Calculations II'!BC186</f>
        <v>82.6</v>
      </c>
      <c r="EK186" s="560"/>
      <c r="EL186" s="560"/>
      <c r="EM186" s="560">
        <f t="shared" si="427"/>
        <v>41814</v>
      </c>
      <c r="EN186" s="560">
        <f t="shared" si="428"/>
        <v>0</v>
      </c>
      <c r="EO186" s="560">
        <f t="shared" si="429"/>
        <v>0</v>
      </c>
      <c r="EP186" s="560">
        <v>0</v>
      </c>
      <c r="EQ186" s="560">
        <v>0</v>
      </c>
      <c r="ER186" s="560">
        <v>0</v>
      </c>
      <c r="ES186" s="545">
        <f t="shared" si="349"/>
        <v>-6.63804465606359</v>
      </c>
      <c r="ET186" s="560">
        <f>-(VLOOKUP(Sheet1!BQ188,Lookup!$O$4:$Q$262,2)-VLOOKUP(Sheet1!BQ187,Lookup!$O$4:$Q$262,2))/1000000</f>
        <v>-3.3190991739874893</v>
      </c>
      <c r="EU186" s="560">
        <f>-(VLOOKUP(Sheet1!BR188,Lookup!$O$4:$Q$262,3)-VLOOKUP(Sheet1!BR187,Lookup!$O$4:$Q$262,3))/1000000</f>
        <v>-3.3189454820761011</v>
      </c>
      <c r="EV186" s="560"/>
      <c r="EW186" s="560"/>
      <c r="EX186" s="560"/>
      <c r="EY186" s="560"/>
      <c r="EZ186" s="560"/>
      <c r="FA186" s="560"/>
      <c r="FB186" s="560"/>
      <c r="FC186" s="560"/>
      <c r="FD186" s="594" t="e">
        <f t="shared" si="430"/>
        <v>#N/A</v>
      </c>
      <c r="FE186" s="594" t="e">
        <f t="shared" si="431"/>
        <v>#N/A</v>
      </c>
      <c r="FF186" s="595" t="e">
        <f t="shared" si="432"/>
        <v>#N/A</v>
      </c>
      <c r="FG186" s="596" t="s">
        <v>692</v>
      </c>
      <c r="FH186" s="596" t="s">
        <v>692</v>
      </c>
      <c r="FI186" s="594" t="e">
        <v>#N/A</v>
      </c>
      <c r="FJ186" s="594" t="e">
        <v>#N/A</v>
      </c>
      <c r="FK186" s="560">
        <v>23900</v>
      </c>
      <c r="FL186" s="560"/>
      <c r="FM186" s="560"/>
      <c r="FN186" s="560"/>
      <c r="FO186" s="560">
        <f>O186+((Sheet1!CS188)*GPMtoMGD)</f>
        <v>82.6</v>
      </c>
      <c r="FP186" s="560">
        <f>IF(Sheet1!AA188+AQ186&lt;=Calculation!N186,AQ186,Calculation!N186-Sheet1!AA188)</f>
        <v>37.514711651628083</v>
      </c>
      <c r="FQ186" s="560">
        <f>(Sheet1!BP188+Sheet1!BO188)/694.4</f>
        <v>3.3732718894009217</v>
      </c>
      <c r="FR186" s="560"/>
      <c r="FS186" s="560"/>
      <c r="FT186" s="560"/>
      <c r="FU186" s="560"/>
      <c r="FV186" s="695">
        <f t="shared" si="350"/>
        <v>41827</v>
      </c>
      <c r="FW186" s="695">
        <f t="shared" si="351"/>
        <v>41934</v>
      </c>
      <c r="FX186" s="560"/>
      <c r="FY186" s="560"/>
      <c r="FZ186" s="560"/>
      <c r="GA186" s="560"/>
      <c r="GB186" s="560" t="str">
        <f t="shared" si="352"/>
        <v>n</v>
      </c>
      <c r="GC186" s="564">
        <f t="shared" si="353"/>
        <v>41691</v>
      </c>
      <c r="GD186" s="695">
        <f t="shared" si="354"/>
        <v>41807</v>
      </c>
      <c r="GE186" s="560">
        <v>6518.9</v>
      </c>
      <c r="GF186" s="695">
        <f t="shared" si="355"/>
        <v>41808</v>
      </c>
      <c r="GG186" s="560">
        <f t="shared" si="374"/>
        <v>3259</v>
      </c>
      <c r="GH186" s="564">
        <f t="shared" si="356"/>
        <v>41934</v>
      </c>
      <c r="GJ186" s="545">
        <f t="shared" si="357"/>
        <v>0</v>
      </c>
      <c r="GK186" s="560" t="str">
        <f t="shared" si="433"/>
        <v/>
      </c>
      <c r="GL186" s="560">
        <f t="shared" si="358"/>
        <v>0</v>
      </c>
      <c r="GM186" s="560" t="str">
        <f t="shared" si="359"/>
        <v/>
      </c>
      <c r="GN186" s="560">
        <f>IF(GK186="P",Lookup!$M$12,IF(GK186="PP",Lookup!$M$13,IF(GK186="PPP",Lookup!$M$14,IF(GK186="T",Lookup!$M$15,IF(GK186="TP",Lookup!$M$16,IF(GK186="TPP",Lookup!$M$17,IF(GK186="TPPP",Lookup!$M$18,0)))))))*GJ186</f>
        <v>0</v>
      </c>
      <c r="GO186" s="560">
        <f t="shared" si="360"/>
        <v>0</v>
      </c>
      <c r="GP186" s="560">
        <f t="shared" si="434"/>
        <v>4166.088333333334</v>
      </c>
      <c r="GQ186" s="560">
        <f t="shared" si="368"/>
        <v>1357.9166666666667</v>
      </c>
      <c r="GR186" s="560"/>
      <c r="GS186" s="560">
        <f t="shared" si="361"/>
        <v>0</v>
      </c>
      <c r="GT186" s="560" t="str">
        <f t="shared" si="362"/>
        <v/>
      </c>
      <c r="GU186" s="560">
        <f>IF(GK186="P",Lookup!$N$12,IF(GK186="PP",Lookup!$N$13,IF(GK186="PPP",Lookup!$N$14,IF(GK186="T",Lookup!$N$15,IF(GK186="TP",Lookup!$N$16,IF(GK186="TPP",Lookup!$N$17,IF(GK186="TPPP",Lookup!$N$18,0)))))))*GJ186</f>
        <v>0</v>
      </c>
      <c r="GV186" s="560">
        <f t="shared" si="363"/>
        <v>0</v>
      </c>
      <c r="GW186" s="560">
        <f t="shared" si="435"/>
        <v>1944.1745555555556</v>
      </c>
      <c r="GX186" s="560">
        <f t="shared" si="369"/>
        <v>633.69444444444446</v>
      </c>
      <c r="GY186" s="560"/>
      <c r="GZ186" s="560">
        <f t="shared" si="364"/>
        <v>0</v>
      </c>
      <c r="HA186" s="560" t="str">
        <f t="shared" si="365"/>
        <v/>
      </c>
      <c r="HB186" s="560">
        <f>IF(GK186="P",Lookup!$N$12,IF(GK186="PP",Lookup!$N$13,IF(GK186="PPP",Lookup!$N$14,IF(GK186="T",Lookup!$N$15,IF(GK186="TP",Lookup!$N$16,IF(GK186="TPP",Lookup!$N$17,IF(GK186="TPPP",Lookup!$N$18,0)))))))*GJ186</f>
        <v>0</v>
      </c>
      <c r="HC186" s="545">
        <f t="shared" si="436"/>
        <v>0</v>
      </c>
      <c r="HD186" s="560">
        <f t="shared" si="437"/>
        <v>1944.1745555555556</v>
      </c>
      <c r="HE186" s="560">
        <f t="shared" si="370"/>
        <v>633.69444444444446</v>
      </c>
      <c r="HF186" s="560"/>
      <c r="HG186" s="560">
        <f t="shared" si="366"/>
        <v>0</v>
      </c>
      <c r="HH186" s="560" t="str">
        <f t="shared" si="367"/>
        <v/>
      </c>
      <c r="HI186" s="560">
        <f>IF(GK186="P",Lookup!$N$12,IF(GK186="PP",Lookup!$N$13,IF(GK186="PPP",Lookup!$N$14,IF(GK186="T",Lookup!$N$15,IF(GK186="TP",Lookup!$N$16,IF(GK186="TPP",Lookup!$N$17,IF(GK186="TPPP",Lookup!$N$18,0)))))))*GJ186</f>
        <v>0</v>
      </c>
      <c r="HJ186" s="545">
        <f t="shared" si="438"/>
        <v>0</v>
      </c>
      <c r="HK186" s="560">
        <f t="shared" si="439"/>
        <v>1944.1745555555556</v>
      </c>
      <c r="HL186" s="560">
        <f t="shared" si="371"/>
        <v>633.69444444444446</v>
      </c>
      <c r="HM186" s="560"/>
    </row>
    <row r="187" spans="1:221">
      <c r="A187" s="580" t="s">
        <v>6</v>
      </c>
      <c r="B187" s="556">
        <v>41815</v>
      </c>
      <c r="C187" s="561">
        <v>0</v>
      </c>
      <c r="D187" s="529">
        <f t="shared" si="372"/>
        <v>300</v>
      </c>
      <c r="E187" s="529">
        <f t="shared" si="373"/>
        <v>250</v>
      </c>
      <c r="F187" s="529">
        <v>250</v>
      </c>
      <c r="G187" s="560">
        <f>DR187+Sheet1!CZ189</f>
        <v>441.64750378201768</v>
      </c>
      <c r="H187" s="1082">
        <f t="shared" si="442"/>
        <v>91.560946444696228</v>
      </c>
      <c r="I187" s="559">
        <f>Sheet1!DA189-E187</f>
        <v>458</v>
      </c>
      <c r="J187" s="562">
        <f>Sheet1!DB189-Calculation!D187</f>
        <v>187</v>
      </c>
      <c r="K187" s="904">
        <f t="shared" si="375"/>
        <v>64.64</v>
      </c>
      <c r="L187" s="560">
        <f>Sheet1!AA189+Sheet1!AB189-Sheet1!L189+(Sheet1!DA189-F187)*CFStoMGD</f>
        <v>379.6112</v>
      </c>
      <c r="M187" s="560">
        <f t="shared" si="376"/>
        <v>291.19056537359018</v>
      </c>
      <c r="N187" s="910">
        <f>IF(Sheet1!DA189&gt;=F187,MIN(73,MIN(MAX(L187,0),MAX(M187,0))),0)</f>
        <v>73</v>
      </c>
      <c r="O187" s="563">
        <f>Sheet1!AA189+Sheet1!AB189</f>
        <v>83.56</v>
      </c>
      <c r="P187" s="563">
        <f t="shared" si="377"/>
        <v>129.26731999999998</v>
      </c>
      <c r="Q187" s="898">
        <f t="shared" si="339"/>
        <v>18.920000000000002</v>
      </c>
      <c r="R187" s="829">
        <f t="shared" si="378"/>
        <v>12</v>
      </c>
      <c r="S187" s="898">
        <f t="shared" si="340"/>
        <v>64.64</v>
      </c>
      <c r="T187" s="898">
        <f t="shared" si="341"/>
        <v>0</v>
      </c>
      <c r="U187" s="898">
        <f t="shared" si="342"/>
        <v>0</v>
      </c>
      <c r="V187" s="898"/>
      <c r="W187" s="898">
        <f t="shared" si="343"/>
        <v>52.757006802721094</v>
      </c>
      <c r="X187" s="898">
        <f t="shared" si="344"/>
        <v>64.64</v>
      </c>
      <c r="Y187" s="898" t="str">
        <f t="shared" si="345"/>
        <v>FALSE</v>
      </c>
      <c r="Z187" s="898">
        <f t="shared" si="346"/>
        <v>83.56</v>
      </c>
      <c r="AA187" s="898">
        <f t="shared" si="347"/>
        <v>83.56</v>
      </c>
      <c r="AB187" s="898" t="str">
        <f t="shared" si="348"/>
        <v/>
      </c>
      <c r="AC187" s="563">
        <f>Sheet1!Y189*MGDtoCFS</f>
        <v>48.885199999999998</v>
      </c>
      <c r="AD187" s="563">
        <f>Sheet1!Z189*MGDtoCFS</f>
        <v>78.896999999999991</v>
      </c>
      <c r="AE187" s="563">
        <f>Sheet1!AA189*MGDtoCFS</f>
        <v>54.39251999999999</v>
      </c>
      <c r="AF187" s="563">
        <f>Sheet1!AB189*MGDtoCFS</f>
        <v>74.874799999999993</v>
      </c>
      <c r="AG187" s="563">
        <f>Sheet1!L189*MGDtoCFS</f>
        <v>0</v>
      </c>
      <c r="AH187" s="545">
        <f t="shared" si="379"/>
        <v>0</v>
      </c>
      <c r="AI187" s="560">
        <f t="shared" si="380"/>
        <v>0</v>
      </c>
      <c r="AJ187" s="560">
        <f t="shared" si="381"/>
        <v>0</v>
      </c>
      <c r="AK187" s="560">
        <f t="shared" si="382"/>
        <v>0</v>
      </c>
      <c r="AL187" s="560">
        <f>(VLOOKUP(Sheet1!DC189,hhdcap_wcm,4)-(((VLOOKUP(Sheet1!DC189,hhdcap_wcm,3)-Sheet1!DC189)/(VLOOKUP(Sheet1!DC189,hhdcap_wcm,3)-VLOOKUP(Sheet1!DC189,hhdcap_wcm,1)))*(VLOOKUP(Sheet1!DC189,hhdcap_wcm,4)-VLOOKUP(Sheet1!DC189,hhdcap_wcm,2))))</f>
        <v>48255.200000116121</v>
      </c>
      <c r="AM187" s="560">
        <f t="shared" si="383"/>
        <v>-292.20000000025902</v>
      </c>
      <c r="AN187" s="560">
        <f t="shared" si="384"/>
        <v>3259</v>
      </c>
      <c r="AO187" s="560">
        <f t="shared" si="385"/>
        <v>9998.612000000001</v>
      </c>
      <c r="AP187" s="560">
        <f>Sheet1!BA189+Sheet1!BB189+Sheet1!BN189+CD187</f>
        <v>36.6</v>
      </c>
      <c r="AQ187" s="560">
        <f>Sheet1!BN189+(DO187*Sheet1!BN189)</f>
        <v>34.920634920634924</v>
      </c>
      <c r="AR187" s="560">
        <f>Sheet1!BA189+CD187</f>
        <v>0</v>
      </c>
      <c r="AS187" s="560">
        <f>Sheet1!BA189+Sheet1!BB189+CD187</f>
        <v>1.6</v>
      </c>
      <c r="AT187" s="698">
        <f>0</f>
        <v>0</v>
      </c>
      <c r="AU187" s="560">
        <f>IF(EB187&lt;K187,0,MAX(Sheet1!AA189+AQ187-15/36*K187-N187,Sheet1!EH189,0))</f>
        <v>0</v>
      </c>
      <c r="AV187" s="560">
        <f>IF(OR(B187&gt;=GD187,B187&lt;GC187),0,15/36*K187-MAX(0,64.6-(137.6-(Sheet1!AA189+Sheet1!AB189))))</f>
        <v>0</v>
      </c>
      <c r="AW187" s="698">
        <f>Sheet1!DB189-110</f>
        <v>377</v>
      </c>
      <c r="AX187" s="698">
        <f>Sheet1!DA189-265</f>
        <v>443</v>
      </c>
      <c r="AY187" s="698">
        <f t="shared" si="386"/>
        <v>54.08</v>
      </c>
      <c r="AZ187" s="698">
        <v>0</v>
      </c>
      <c r="BA187" s="698">
        <f t="shared" si="387"/>
        <v>0</v>
      </c>
      <c r="BB187" s="560">
        <f t="shared" si="388"/>
        <v>1357.9166666666667</v>
      </c>
      <c r="BC187" s="560"/>
      <c r="BD187" s="560">
        <f ca="1">IF(B187&gt;Summary!$A$1,#N/A,BB187*MGtoAF)</f>
        <v>4166.088333333334</v>
      </c>
      <c r="BE187" s="560">
        <f>Sheet1!BG189+Sheet1!BH189+Sheet1!BI189-BM187</f>
        <v>0</v>
      </c>
      <c r="BF187" s="560">
        <f t="shared" si="389"/>
        <v>0</v>
      </c>
      <c r="BG187" s="560">
        <f>IF(Sheet1!EP189="FM",BM187,0)</f>
        <v>0</v>
      </c>
      <c r="BH187" s="560">
        <f t="shared" si="390"/>
        <v>0</v>
      </c>
      <c r="BI187" s="560">
        <f>IF(Sheet1!EP189="OTHER",BM187,0)</f>
        <v>0</v>
      </c>
      <c r="BJ187" s="560">
        <f t="shared" si="391"/>
        <v>0</v>
      </c>
      <c r="BK187" s="560">
        <f t="shared" si="392"/>
        <v>0</v>
      </c>
      <c r="BL187" s="560">
        <f t="shared" si="393"/>
        <v>0</v>
      </c>
      <c r="BM187" s="560">
        <f>IF(OR(Sheet1!EP189="FM", Sheet1!EP189="OTHER"),SUM(Sheet1!BG189:'Sheet1'!BI189),0)</f>
        <v>0</v>
      </c>
      <c r="BN187" s="545">
        <f>IF(AND($B187&gt;=$FV187,$B187&lt;=$FW187),MAX(BF187,Sheet1!EI189,0),MAX(BF187-(7/36)*$K187,0))</f>
        <v>0</v>
      </c>
      <c r="BO187" s="560">
        <f t="shared" si="394"/>
        <v>0</v>
      </c>
      <c r="BP187" s="545">
        <f t="shared" si="395"/>
        <v>0</v>
      </c>
      <c r="BQ187" s="545">
        <f>IF(AND($O187&gt;0,Sheet1!EM189=1),(1-($O187-Sheet1!$L189)/$O187)*BL187,0)</f>
        <v>0</v>
      </c>
      <c r="BR187" s="545">
        <f>IF(AND(Sheet1!$L189=0,Sheet1!$L188=0, Calculation!BK187&lt;Sheet1!$EI189-0.1,Sheet1!$EI189=Sheet1!$EI188,Sheet1!$EI189=Sheet1!$EI190),Sheet1!$EI189,BL187-BQ187)</f>
        <v>0</v>
      </c>
      <c r="BS187" s="560"/>
      <c r="BT187" s="560"/>
      <c r="BU187" s="560">
        <f t="shared" si="396"/>
        <v>633.69444444444446</v>
      </c>
      <c r="BV187" s="560"/>
      <c r="BW187" s="560">
        <f ca="1">IF(B187&gt;Summary!$A$1,#N/A,BU187*MGtoAF)</f>
        <v>1944.1745555555556</v>
      </c>
      <c r="BX187" s="560">
        <f>Sheet1!BC189+Sheet1!BD189+Sheet1!BE189+Sheet1!BF189-CG187-CH187</f>
        <v>3.51</v>
      </c>
      <c r="BY187" s="560">
        <f t="shared" si="397"/>
        <v>3.5020408163265304</v>
      </c>
      <c r="BZ187" s="560">
        <f>IF(Sheet1!EQ189="FM",CH187,0)</f>
        <v>0</v>
      </c>
      <c r="CA187" s="560">
        <f t="shared" si="398"/>
        <v>0</v>
      </c>
      <c r="CB187" s="560">
        <f>IF(Sheet1!EQ189="OTHER",CH187,0)</f>
        <v>0</v>
      </c>
      <c r="CC187" s="560">
        <f t="shared" si="399"/>
        <v>0</v>
      </c>
      <c r="CD187" s="560">
        <f t="shared" si="400"/>
        <v>0</v>
      </c>
      <c r="CE187" s="560">
        <f t="shared" si="401"/>
        <v>3.51</v>
      </c>
      <c r="CF187" s="560">
        <f t="shared" si="402"/>
        <v>3.5020408163265304</v>
      </c>
      <c r="CG187" s="560">
        <f>IF(Sheet1!EQ189="CWA",SUM(Sheet1!BC189:'Sheet1'!BF189),0)</f>
        <v>0</v>
      </c>
      <c r="CH187" s="560">
        <f>IF(OR(Sheet1!EQ189="FM", Sheet1!EQ189="OTHER"),SUM(Sheet1!BC189:'Sheet1'!BF189),0)</f>
        <v>0</v>
      </c>
      <c r="CI187" s="545">
        <f>IF(AND($B187&gt;=$FV187,$B187&lt;=$FW187),MAX(CF187,Sheet1!EJ189,0),MAX(CF187-(7/36)*$K187,0))</f>
        <v>0</v>
      </c>
      <c r="CJ187" s="560">
        <f t="shared" si="403"/>
        <v>0</v>
      </c>
      <c r="CK187" s="545">
        <f t="shared" si="404"/>
        <v>3.5020408163265304</v>
      </c>
      <c r="CL187" s="545">
        <f>IF(AND($O187&gt;0,Sheet1!EN189=1),(1-($O187-Sheet1!$L189)/$O187)*CF187,0)</f>
        <v>0</v>
      </c>
      <c r="CM187" s="545">
        <f>IF(AND(Sheet1!$L189=0,Sheet1!$L188=0, Calculation!CE187&lt;Sheet1!EJ189-0.1,Sheet1!EJ189=Sheet1!EJ188,Sheet1!EJ189=Sheet1!EJ190),Sheet1!EJ189,CF187-CL187)</f>
        <v>3.5020408163265304</v>
      </c>
      <c r="CN187" s="545"/>
      <c r="CO187" s="560"/>
      <c r="CP187" s="560">
        <f t="shared" si="405"/>
        <v>633.69444444444446</v>
      </c>
      <c r="CQ187" s="560"/>
      <c r="CR187" s="560">
        <f ca="1">IF(B187&gt;Summary!$A$1,#N/A,CP187*MGtoAF)</f>
        <v>1944.1745555555556</v>
      </c>
      <c r="CS187" s="560">
        <f>Sheet1!BK189+Sheet1!BL189+Sheet1!BM189-Sheet1!ER189-DA187</f>
        <v>8.3999999999999986</v>
      </c>
      <c r="CT187" s="560">
        <f t="shared" si="406"/>
        <v>8.3809523809523796</v>
      </c>
      <c r="CU187" s="560">
        <f>IF(Sheet1!ER189="FM",DA187,0)</f>
        <v>0</v>
      </c>
      <c r="CV187" s="560">
        <f t="shared" si="407"/>
        <v>0</v>
      </c>
      <c r="CW187" s="560">
        <f>IF(Sheet1!ER189="OTHER",DA187,0)</f>
        <v>0</v>
      </c>
      <c r="CX187" s="560">
        <f t="shared" si="408"/>
        <v>0</v>
      </c>
      <c r="CY187" s="560">
        <f t="shared" si="409"/>
        <v>8.3999999999999986</v>
      </c>
      <c r="CZ187" s="560">
        <f t="shared" si="410"/>
        <v>8.3809523809523796</v>
      </c>
      <c r="DA187" s="560">
        <f>IF(OR(Sheet1!ER189="FM", Sheet1!ER189="OTHER"),SUM(Sheet1!BK189:'Sheet1'!BM189),0)</f>
        <v>0</v>
      </c>
      <c r="DB187" s="545">
        <f>IF(AND($B187&gt;=$FV187,$B187&lt;=$FW187),MAX($CT187,Sheet1!EK189,0),MAX($CT187-(7/36)*$K187,0))</f>
        <v>0</v>
      </c>
      <c r="DC187" s="560">
        <f t="shared" si="411"/>
        <v>0</v>
      </c>
      <c r="DD187" s="545">
        <f t="shared" si="412"/>
        <v>8.3809523809523796</v>
      </c>
      <c r="DE187" s="545">
        <f>IF(AND($O187&gt;0,Sheet1!EO189=1),(1-($O187-Sheet1!$L189)/$O187)*CZ187,0)</f>
        <v>0</v>
      </c>
      <c r="DF187" s="545">
        <f>IF(AND(Sheet1!$L189=0,Sheet1!$L188=0, Calculation!CY187&lt;Sheet1!$EK189-0.1,Sheet1!$EK189=Sheet1!$EK188,Sheet1!$EK189=Sheet1!$EK190),Sheet1!$EK189,CZ187-DE187)</f>
        <v>8.3809523809523796</v>
      </c>
      <c r="DG187" s="545"/>
      <c r="DH187" s="560">
        <f t="shared" si="413"/>
        <v>11.909999999999998</v>
      </c>
      <c r="DI187" s="560">
        <f t="shared" si="414"/>
        <v>633.69444444444446</v>
      </c>
      <c r="DJ187" s="698">
        <f t="shared" si="415"/>
        <v>11.88299319727891</v>
      </c>
      <c r="DK187" s="560">
        <f ca="1">IF(B187&gt;Summary!$A$1,#N/A,DI187*MGtoAF)</f>
        <v>1944.1745555555556</v>
      </c>
      <c r="DL187" s="698">
        <f t="shared" si="416"/>
        <v>11.909999999999998</v>
      </c>
      <c r="DM187" s="560">
        <f t="shared" si="417"/>
        <v>48.51</v>
      </c>
      <c r="DN187" s="560">
        <f>Sheet1!AB189-DM187</f>
        <v>-0.10999999999999943</v>
      </c>
      <c r="DO187" s="823">
        <f t="shared" si="418"/>
        <v>-2.2675736961451131E-3</v>
      </c>
      <c r="DP187" s="560">
        <f>(VLOOKUP(Sheet1!DC189,hhdcap_wcm,4)-(((VLOOKUP(Sheet1!DC189,hhdcap_wcm,3)-Sheet1!DC189)/(VLOOKUP(Sheet1!DC189,hhdcap_wcm,3)-VLOOKUP(Sheet1!DC189,hhdcap_wcm,1)))*(VLOOKUP(Sheet1!DC189,hhdcap_wcm,4)-VLOOKUP(Sheet1!DC189,hhdcap_wcm,2))))</f>
        <v>48255.200000116121</v>
      </c>
      <c r="DQ187" s="560">
        <f t="shared" si="419"/>
        <v>-292.20000000025902</v>
      </c>
      <c r="DR187" s="560">
        <f t="shared" si="420"/>
        <v>-147.35249621798235</v>
      </c>
      <c r="DS187" s="560">
        <f>Sheet1!EA189*AFtoMG</f>
        <v>0</v>
      </c>
      <c r="DT187" s="560">
        <f>Sheet1!EB189*AFtoMG</f>
        <v>0</v>
      </c>
      <c r="DU187" s="560">
        <f>Sheet1!EC189*AFtoMG</f>
        <v>0</v>
      </c>
      <c r="DV187" s="560">
        <f>Sheet1!ED189*AFtoMG</f>
        <v>0</v>
      </c>
      <c r="DW187" s="560">
        <f t="shared" si="421"/>
        <v>0</v>
      </c>
      <c r="DX187" s="560">
        <f t="shared" si="422"/>
        <v>0</v>
      </c>
      <c r="DY187" s="560">
        <f t="shared" si="423"/>
        <v>3259</v>
      </c>
      <c r="DZ187" s="560">
        <f t="shared" si="424"/>
        <v>9998.612000000001</v>
      </c>
      <c r="EA187" s="560"/>
      <c r="EB187" s="545">
        <f>IF(OR(B187&lt;FV187,B187&gt;FW187),(MIN(BF187+BY187+CT187+MAX(Sheet1!AA189+AQ187-73,0),K187)),0)</f>
        <v>11.88299319727891</v>
      </c>
      <c r="EC187" s="560"/>
      <c r="ED187" s="560">
        <f t="shared" si="425"/>
        <v>11.88299319727891</v>
      </c>
      <c r="EE187" s="560"/>
      <c r="EF187" s="560">
        <f>Sheet1!EH189+Sheet1!EI189+Sheet1!EJ189+Sheet1!EK189</f>
        <v>12</v>
      </c>
      <c r="EG187" s="560"/>
      <c r="EH187" s="545">
        <f t="shared" si="426"/>
        <v>0</v>
      </c>
      <c r="EI187" s="560">
        <f>IF(Sheet1!ET189=1,SUM('Calculations II'!AT187:BA187)+'Calculations II'!BC187+Sheet1!BV189+'Calculations II'!BE187+AP187,SUM('Calculations II'!AT187:BA187)+'Calculations II'!BC187+Sheet1!BV189+'Calculations II'!BE187+AP187)</f>
        <v>78.188608000000002</v>
      </c>
      <c r="EJ187" s="560">
        <f>Sheet1!AA189+Sheet1!AB189+'Calculations II'!BC187</f>
        <v>83.56</v>
      </c>
      <c r="EK187" s="560"/>
      <c r="EL187" s="560"/>
      <c r="EM187" s="560">
        <f t="shared" si="427"/>
        <v>41815</v>
      </c>
      <c r="EN187" s="560">
        <f t="shared" si="428"/>
        <v>0</v>
      </c>
      <c r="EO187" s="560">
        <f t="shared" si="429"/>
        <v>0</v>
      </c>
      <c r="EP187" s="560">
        <v>0</v>
      </c>
      <c r="EQ187" s="560">
        <v>0</v>
      </c>
      <c r="ER187" s="560">
        <v>0</v>
      </c>
      <c r="ES187" s="545">
        <f t="shared" si="349"/>
        <v>-0.83027435206788414</v>
      </c>
      <c r="ET187" s="560">
        <f>-(VLOOKUP(Sheet1!BQ189,Lookup!$O$4:$Q$262,2)-VLOOKUP(Sheet1!BQ188,Lookup!$O$4:$Q$262,2))/1000000</f>
        <v>-0.41514678477135303</v>
      </c>
      <c r="EU187" s="560">
        <f>-(VLOOKUP(Sheet1!BR189,Lookup!$O$4:$Q$262,3)-VLOOKUP(Sheet1!BR188,Lookup!$O$4:$Q$262,3))/1000000</f>
        <v>-0.41512756729653105</v>
      </c>
      <c r="EV187" s="560"/>
      <c r="EW187" s="560"/>
      <c r="EX187" s="560"/>
      <c r="EY187" s="560"/>
      <c r="EZ187" s="560"/>
      <c r="FA187" s="560"/>
      <c r="FB187" s="560"/>
      <c r="FC187" s="560"/>
      <c r="FD187" s="594" t="e">
        <f t="shared" si="430"/>
        <v>#N/A</v>
      </c>
      <c r="FE187" s="594" t="e">
        <f t="shared" si="431"/>
        <v>#N/A</v>
      </c>
      <c r="FF187" s="595" t="e">
        <f t="shared" si="432"/>
        <v>#N/A</v>
      </c>
      <c r="FG187" s="596" t="s">
        <v>692</v>
      </c>
      <c r="FH187" s="596" t="s">
        <v>692</v>
      </c>
      <c r="FI187" s="594" t="e">
        <v>#N/A</v>
      </c>
      <c r="FJ187" s="594" t="e">
        <v>#N/A</v>
      </c>
      <c r="FK187" s="560">
        <v>23850</v>
      </c>
      <c r="FL187" s="560"/>
      <c r="FM187" s="560"/>
      <c r="FN187" s="560"/>
      <c r="FO187" s="560">
        <f>O187+((Sheet1!CS189)*GPMtoMGD)</f>
        <v>83.56</v>
      </c>
      <c r="FP187" s="560">
        <f>IF(Sheet1!AA189+AQ187&lt;=Calculation!N187,AQ187,Calculation!N187-Sheet1!AA189)</f>
        <v>34.920634920634924</v>
      </c>
      <c r="FQ187" s="560">
        <f>(Sheet1!BP189+Sheet1!BO189)/694.4</f>
        <v>3.4619815668202767</v>
      </c>
      <c r="FR187" s="560"/>
      <c r="FS187" s="560"/>
      <c r="FT187" s="560"/>
      <c r="FU187" s="560"/>
      <c r="FV187" s="695">
        <f t="shared" si="350"/>
        <v>41827</v>
      </c>
      <c r="FW187" s="695">
        <f t="shared" si="351"/>
        <v>41934</v>
      </c>
      <c r="FX187" s="560"/>
      <c r="FY187" s="560"/>
      <c r="FZ187" s="560"/>
      <c r="GA187" s="560"/>
      <c r="GB187" s="560" t="str">
        <f t="shared" si="352"/>
        <v>n</v>
      </c>
      <c r="GC187" s="564">
        <f t="shared" si="353"/>
        <v>41691</v>
      </c>
      <c r="GD187" s="695">
        <f t="shared" si="354"/>
        <v>41807</v>
      </c>
      <c r="GE187" s="560">
        <v>6518.9</v>
      </c>
      <c r="GF187" s="695">
        <f t="shared" si="355"/>
        <v>41808</v>
      </c>
      <c r="GG187" s="560">
        <f t="shared" si="374"/>
        <v>3259</v>
      </c>
      <c r="GH187" s="564">
        <f t="shared" si="356"/>
        <v>41934</v>
      </c>
      <c r="GJ187" s="545">
        <f t="shared" si="357"/>
        <v>0</v>
      </c>
      <c r="GK187" s="560" t="str">
        <f t="shared" si="433"/>
        <v/>
      </c>
      <c r="GL187" s="560">
        <f t="shared" si="358"/>
        <v>0</v>
      </c>
      <c r="GM187" s="560" t="str">
        <f t="shared" si="359"/>
        <v/>
      </c>
      <c r="GN187" s="560">
        <f>IF(GK187="P",Lookup!$M$12,IF(GK187="PP",Lookup!$M$13,IF(GK187="PPP",Lookup!$M$14,IF(GK187="T",Lookup!$M$15,IF(GK187="TP",Lookup!$M$16,IF(GK187="TPP",Lookup!$M$17,IF(GK187="TPPP",Lookup!$M$18,0)))))))*GJ187</f>
        <v>0</v>
      </c>
      <c r="GO187" s="560">
        <f t="shared" si="360"/>
        <v>0</v>
      </c>
      <c r="GP187" s="560">
        <f t="shared" si="434"/>
        <v>4166.088333333334</v>
      </c>
      <c r="GQ187" s="560">
        <f t="shared" si="368"/>
        <v>1357.9166666666667</v>
      </c>
      <c r="GR187" s="560"/>
      <c r="GS187" s="560">
        <f t="shared" si="361"/>
        <v>0</v>
      </c>
      <c r="GT187" s="560" t="str">
        <f t="shared" si="362"/>
        <v/>
      </c>
      <c r="GU187" s="560">
        <f>IF(GK187="P",Lookup!$N$12,IF(GK187="PP",Lookup!$N$13,IF(GK187="PPP",Lookup!$N$14,IF(GK187="T",Lookup!$N$15,IF(GK187="TP",Lookup!$N$16,IF(GK187="TPP",Lookup!$N$17,IF(GK187="TPPP",Lookup!$N$18,0)))))))*GJ187</f>
        <v>0</v>
      </c>
      <c r="GV187" s="560">
        <f t="shared" si="363"/>
        <v>0</v>
      </c>
      <c r="GW187" s="560">
        <f t="shared" si="435"/>
        <v>1944.1745555555556</v>
      </c>
      <c r="GX187" s="560">
        <f t="shared" si="369"/>
        <v>633.69444444444446</v>
      </c>
      <c r="GY187" s="560"/>
      <c r="GZ187" s="560">
        <f t="shared" si="364"/>
        <v>0</v>
      </c>
      <c r="HA187" s="560" t="str">
        <f t="shared" si="365"/>
        <v/>
      </c>
      <c r="HB187" s="560">
        <f>IF(GK187="P",Lookup!$N$12,IF(GK187="PP",Lookup!$N$13,IF(GK187="PPP",Lookup!$N$14,IF(GK187="T",Lookup!$N$15,IF(GK187="TP",Lookup!$N$16,IF(GK187="TPP",Lookup!$N$17,IF(GK187="TPPP",Lookup!$N$18,0)))))))*GJ187</f>
        <v>0</v>
      </c>
      <c r="HC187" s="545">
        <f t="shared" si="436"/>
        <v>0</v>
      </c>
      <c r="HD187" s="560">
        <f t="shared" si="437"/>
        <v>1944.1745555555556</v>
      </c>
      <c r="HE187" s="560">
        <f t="shared" si="370"/>
        <v>633.69444444444446</v>
      </c>
      <c r="HF187" s="560"/>
      <c r="HG187" s="560">
        <f t="shared" si="366"/>
        <v>0</v>
      </c>
      <c r="HH187" s="560" t="str">
        <f t="shared" si="367"/>
        <v/>
      </c>
      <c r="HI187" s="560">
        <f>IF(GK187="P",Lookup!$N$12,IF(GK187="PP",Lookup!$N$13,IF(GK187="PPP",Lookup!$N$14,IF(GK187="T",Lookup!$N$15,IF(GK187="TP",Lookup!$N$16,IF(GK187="TPP",Lookup!$N$17,IF(GK187="TPPP",Lookup!$N$18,0)))))))*GJ187</f>
        <v>0</v>
      </c>
      <c r="HJ187" s="545">
        <f t="shared" si="438"/>
        <v>0</v>
      </c>
      <c r="HK187" s="560">
        <f t="shared" si="439"/>
        <v>1944.1745555555556</v>
      </c>
      <c r="HL187" s="560">
        <f t="shared" si="371"/>
        <v>633.69444444444446</v>
      </c>
      <c r="HM187" s="560"/>
    </row>
    <row r="188" spans="1:221">
      <c r="A188" s="580" t="s">
        <v>7</v>
      </c>
      <c r="B188" s="556">
        <v>41816</v>
      </c>
      <c r="C188" s="561">
        <v>0</v>
      </c>
      <c r="D188" s="529">
        <f t="shared" si="372"/>
        <v>300</v>
      </c>
      <c r="E188" s="529">
        <f t="shared" si="373"/>
        <v>250</v>
      </c>
      <c r="F188" s="529">
        <v>250</v>
      </c>
      <c r="G188" s="560">
        <f>DR188+Sheet1!CZ190</f>
        <v>430.85577407954963</v>
      </c>
      <c r="H188" s="1082">
        <f t="shared" si="442"/>
        <v>84.585172365020881</v>
      </c>
      <c r="I188" s="559">
        <f>Sheet1!DA190-E188</f>
        <v>469</v>
      </c>
      <c r="J188" s="562">
        <f>Sheet1!DB190-Calculation!D188</f>
        <v>190</v>
      </c>
      <c r="K188" s="904">
        <f t="shared" si="375"/>
        <v>64.64</v>
      </c>
      <c r="L188" s="560">
        <f>Sheet1!AA190+Sheet1!AB190-Sheet1!L190+(Sheet1!DA190-F188)*CFStoMGD</f>
        <v>386.78159999999997</v>
      </c>
      <c r="M188" s="560">
        <f t="shared" si="376"/>
        <v>284.07527581232131</v>
      </c>
      <c r="N188" s="910">
        <f>IF(Sheet1!DA190&gt;=F188,MIN(73,MIN(MAX(L188,0),MAX(M188,0))),0)</f>
        <v>73</v>
      </c>
      <c r="O188" s="563">
        <f>Sheet1!AA190+Sheet1!AB190</f>
        <v>83.62</v>
      </c>
      <c r="P188" s="563">
        <f t="shared" si="377"/>
        <v>129.36014</v>
      </c>
      <c r="Q188" s="898">
        <f t="shared" si="339"/>
        <v>18.980000000000004</v>
      </c>
      <c r="R188" s="829">
        <f t="shared" si="378"/>
        <v>12</v>
      </c>
      <c r="S188" s="898">
        <f t="shared" si="340"/>
        <v>64.64</v>
      </c>
      <c r="T188" s="898">
        <f t="shared" si="341"/>
        <v>0</v>
      </c>
      <c r="U188" s="898">
        <f t="shared" si="342"/>
        <v>0</v>
      </c>
      <c r="V188" s="898"/>
      <c r="W188" s="898">
        <f t="shared" si="343"/>
        <v>52.770940170940172</v>
      </c>
      <c r="X188" s="898">
        <f t="shared" si="344"/>
        <v>64.64</v>
      </c>
      <c r="Y188" s="898" t="str">
        <f t="shared" si="345"/>
        <v>FALSE</v>
      </c>
      <c r="Z188" s="898">
        <f t="shared" si="346"/>
        <v>83.62</v>
      </c>
      <c r="AA188" s="898">
        <f t="shared" si="347"/>
        <v>83.62</v>
      </c>
      <c r="AB188" s="898" t="str">
        <f t="shared" si="348"/>
        <v/>
      </c>
      <c r="AC188" s="563">
        <f>Sheet1!Y190*MGDtoCFS</f>
        <v>54.39251999999999</v>
      </c>
      <c r="AD188" s="563">
        <f>Sheet1!Z190*MGDtoCFS</f>
        <v>74.874799999999993</v>
      </c>
      <c r="AE188" s="563">
        <f>Sheet1!AA190*MGDtoCFS</f>
        <v>64.478960000000001</v>
      </c>
      <c r="AF188" s="563">
        <f>Sheet1!AB190*MGDtoCFS</f>
        <v>64.881180000000001</v>
      </c>
      <c r="AG188" s="563">
        <f>Sheet1!L190*MGDtoCFS</f>
        <v>0</v>
      </c>
      <c r="AH188" s="545">
        <f t="shared" si="379"/>
        <v>0</v>
      </c>
      <c r="AI188" s="560">
        <f t="shared" si="380"/>
        <v>0</v>
      </c>
      <c r="AJ188" s="560">
        <f t="shared" si="381"/>
        <v>0</v>
      </c>
      <c r="AK188" s="560">
        <f t="shared" si="382"/>
        <v>0</v>
      </c>
      <c r="AL188" s="560">
        <f>(VLOOKUP(Sheet1!DC190,hhdcap_wcm,4)-(((VLOOKUP(Sheet1!DC190,hhdcap_wcm,3)-Sheet1!DC190)/(VLOOKUP(Sheet1!DC190,hhdcap_wcm,3)-VLOOKUP(Sheet1!DC190,hhdcap_wcm,1)))*(VLOOKUP(Sheet1!DC190,hhdcap_wcm,4)-VLOOKUP(Sheet1!DC190,hhdcap_wcm,2))))</f>
        <v>47941.600000115868</v>
      </c>
      <c r="AM188" s="560">
        <f t="shared" si="383"/>
        <v>-313.6000000002532</v>
      </c>
      <c r="AN188" s="560">
        <f t="shared" si="384"/>
        <v>3259</v>
      </c>
      <c r="AO188" s="560">
        <f t="shared" si="385"/>
        <v>9998.612000000001</v>
      </c>
      <c r="AP188" s="560">
        <f>Sheet1!BA190+Sheet1!BB190+Sheet1!BN190+CD188</f>
        <v>30.200000000000003</v>
      </c>
      <c r="AQ188" s="560">
        <f>Sheet1!BN190+(DO188*Sheet1!BN190)</f>
        <v>28.477777777777774</v>
      </c>
      <c r="AR188" s="560">
        <f>Sheet1!BA190+CD188</f>
        <v>0</v>
      </c>
      <c r="AS188" s="560">
        <f>Sheet1!BA190+Sheet1!BB190+CD188</f>
        <v>1.6</v>
      </c>
      <c r="AT188" s="698">
        <f>0</f>
        <v>0</v>
      </c>
      <c r="AU188" s="560">
        <f>IF(EB188&lt;K188,0,MAX(Sheet1!AA190+AQ188-15/36*K188-N188,Sheet1!EH190,0))</f>
        <v>0</v>
      </c>
      <c r="AV188" s="560">
        <f>IF(OR(B188&gt;=GD188,B188&lt;GC188),0,15/36*K188-MAX(0,64.6-(137.6-(Sheet1!AA190+Sheet1!AB190))))</f>
        <v>0</v>
      </c>
      <c r="AW188" s="698">
        <f>Sheet1!DB190-110</f>
        <v>380</v>
      </c>
      <c r="AX188" s="698">
        <f>Sheet1!DA190-265</f>
        <v>454</v>
      </c>
      <c r="AY188" s="698">
        <f t="shared" si="386"/>
        <v>54.019999999999996</v>
      </c>
      <c r="AZ188" s="698">
        <v>0</v>
      </c>
      <c r="BA188" s="698">
        <f t="shared" si="387"/>
        <v>0</v>
      </c>
      <c r="BB188" s="560">
        <f t="shared" si="388"/>
        <v>1357.9166666666667</v>
      </c>
      <c r="BC188" s="560"/>
      <c r="BD188" s="560">
        <f ca="1">IF(B188&gt;Summary!$A$1,#N/A,BB188*MGtoAF)</f>
        <v>4166.088333333334</v>
      </c>
      <c r="BE188" s="560">
        <f>Sheet1!BG190+Sheet1!BH190+Sheet1!BI190-BM188</f>
        <v>0</v>
      </c>
      <c r="BF188" s="560">
        <f t="shared" si="389"/>
        <v>0</v>
      </c>
      <c r="BG188" s="560">
        <f>IF(Sheet1!EP190="FM",BM188,0)</f>
        <v>0</v>
      </c>
      <c r="BH188" s="560">
        <f t="shared" si="390"/>
        <v>0</v>
      </c>
      <c r="BI188" s="560">
        <f>IF(Sheet1!EP190="OTHER",BM188,0)</f>
        <v>0</v>
      </c>
      <c r="BJ188" s="560">
        <f t="shared" si="391"/>
        <v>0</v>
      </c>
      <c r="BK188" s="560">
        <f t="shared" si="392"/>
        <v>0</v>
      </c>
      <c r="BL188" s="560">
        <f t="shared" si="393"/>
        <v>0</v>
      </c>
      <c r="BM188" s="560">
        <f>IF(OR(Sheet1!EP190="FM", Sheet1!EP190="OTHER"),SUM(Sheet1!BG190:'Sheet1'!BI190),0)</f>
        <v>0</v>
      </c>
      <c r="BN188" s="545">
        <f>IF(AND($B188&gt;=$FV188,$B188&lt;=$FW188),MAX(BF188,Sheet1!EI190,0),MAX(BF188-(7/36)*$K188,0))</f>
        <v>0</v>
      </c>
      <c r="BO188" s="560">
        <f t="shared" si="394"/>
        <v>0</v>
      </c>
      <c r="BP188" s="545">
        <f t="shared" si="395"/>
        <v>0</v>
      </c>
      <c r="BQ188" s="545">
        <f>IF(AND($O188&gt;0,Sheet1!EM190=1),(1-($O188-Sheet1!$L190)/$O188)*BL188,0)</f>
        <v>0</v>
      </c>
      <c r="BR188" s="545">
        <f>IF(AND(Sheet1!$L190=0,Sheet1!$L189=0, Calculation!BK188&lt;Sheet1!$EI190-0.1,Sheet1!$EI190=Sheet1!$EI189,Sheet1!$EI190=Sheet1!$EI191),Sheet1!$EI190,BL188-BQ188)</f>
        <v>0</v>
      </c>
      <c r="BS188" s="560"/>
      <c r="BT188" s="560"/>
      <c r="BU188" s="560">
        <f t="shared" si="396"/>
        <v>633.69444444444446</v>
      </c>
      <c r="BV188" s="560"/>
      <c r="BW188" s="560">
        <f ca="1">IF(B188&gt;Summary!$A$1,#N/A,BU188*MGtoAF)</f>
        <v>1944.1745555555556</v>
      </c>
      <c r="BX188" s="560">
        <f>Sheet1!BC190+Sheet1!BD190+Sheet1!BE190+Sheet1!BF190-CG188-CH188</f>
        <v>3.51</v>
      </c>
      <c r="BY188" s="560">
        <f t="shared" si="397"/>
        <v>3.4949999999999992</v>
      </c>
      <c r="BZ188" s="560">
        <f>IF(Sheet1!EQ190="FM",CH188,0)</f>
        <v>0</v>
      </c>
      <c r="CA188" s="560">
        <f t="shared" si="398"/>
        <v>0</v>
      </c>
      <c r="CB188" s="560">
        <f>IF(Sheet1!EQ190="OTHER",CH188,0)</f>
        <v>0</v>
      </c>
      <c r="CC188" s="560">
        <f t="shared" si="399"/>
        <v>0</v>
      </c>
      <c r="CD188" s="560">
        <f t="shared" si="400"/>
        <v>0</v>
      </c>
      <c r="CE188" s="560">
        <f t="shared" si="401"/>
        <v>3.51</v>
      </c>
      <c r="CF188" s="560">
        <f t="shared" si="402"/>
        <v>3.4949999999999992</v>
      </c>
      <c r="CG188" s="560">
        <f>IF(Sheet1!EQ190="CWA",SUM(Sheet1!BC190:'Sheet1'!BF190),0)</f>
        <v>0</v>
      </c>
      <c r="CH188" s="560">
        <f>IF(OR(Sheet1!EQ190="FM", Sheet1!EQ190="OTHER"),SUM(Sheet1!BC190:'Sheet1'!BF190),0)</f>
        <v>0</v>
      </c>
      <c r="CI188" s="545">
        <f>IF(AND($B188&gt;=$FV188,$B188&lt;=$FW188),MAX(CF188,Sheet1!EJ190,0),MAX(CF188-(7/36)*$K188,0))</f>
        <v>0</v>
      </c>
      <c r="CJ188" s="560">
        <f t="shared" si="403"/>
        <v>0</v>
      </c>
      <c r="CK188" s="545">
        <f t="shared" si="404"/>
        <v>3.4949999999999992</v>
      </c>
      <c r="CL188" s="545">
        <f>IF(AND($O188&gt;0,Sheet1!EN190=1),(1-($O188-Sheet1!$L190)/$O188)*CF188,0)</f>
        <v>0</v>
      </c>
      <c r="CM188" s="545">
        <f>IF(AND(Sheet1!$L190=0,Sheet1!$L189=0, Calculation!CE188&lt;Sheet1!EJ190-0.1,Sheet1!EJ190=Sheet1!EJ189,Sheet1!EJ190=Sheet1!EJ191),Sheet1!EJ190,CF188-CL188)</f>
        <v>3.4949999999999992</v>
      </c>
      <c r="CN188" s="545"/>
      <c r="CO188" s="560"/>
      <c r="CP188" s="560">
        <f t="shared" si="405"/>
        <v>633.69444444444446</v>
      </c>
      <c r="CQ188" s="560"/>
      <c r="CR188" s="560">
        <f ca="1">IF(B188&gt;Summary!$A$1,#N/A,CP188*MGtoAF)</f>
        <v>1944.1745555555556</v>
      </c>
      <c r="CS188" s="560">
        <f>Sheet1!BK190+Sheet1!BL190+Sheet1!BM190-Sheet1!ER190-DA188</f>
        <v>8.41</v>
      </c>
      <c r="CT188" s="560">
        <f t="shared" si="406"/>
        <v>8.3740598290598278</v>
      </c>
      <c r="CU188" s="560">
        <f>IF(Sheet1!ER190="FM",DA188,0)</f>
        <v>0</v>
      </c>
      <c r="CV188" s="560">
        <f t="shared" si="407"/>
        <v>0</v>
      </c>
      <c r="CW188" s="560">
        <f>IF(Sheet1!ER190="OTHER",DA188,0)</f>
        <v>0</v>
      </c>
      <c r="CX188" s="560">
        <f t="shared" si="408"/>
        <v>0</v>
      </c>
      <c r="CY188" s="560">
        <f t="shared" si="409"/>
        <v>8.41</v>
      </c>
      <c r="CZ188" s="560">
        <f t="shared" si="410"/>
        <v>8.3740598290598278</v>
      </c>
      <c r="DA188" s="560">
        <f>IF(OR(Sheet1!ER190="FM", Sheet1!ER190="OTHER"),SUM(Sheet1!BK190:'Sheet1'!BM190),0)</f>
        <v>0</v>
      </c>
      <c r="DB188" s="545">
        <f>IF(AND($B188&gt;=$FV188,$B188&lt;=$FW188),MAX($CT188,Sheet1!EK190,0),MAX($CT188-(7/36)*$K188,0))</f>
        <v>0</v>
      </c>
      <c r="DC188" s="560">
        <f t="shared" si="411"/>
        <v>0</v>
      </c>
      <c r="DD188" s="545">
        <f t="shared" si="412"/>
        <v>8.3740598290598278</v>
      </c>
      <c r="DE188" s="545">
        <f>IF(AND($O188&gt;0,Sheet1!EO190=1),(1-($O188-Sheet1!$L190)/$O188)*CZ188,0)</f>
        <v>0</v>
      </c>
      <c r="DF188" s="545">
        <f>IF(AND(Sheet1!$L190=0,Sheet1!$L189=0, Calculation!CY188&lt;Sheet1!$EK190-0.1,Sheet1!$EK190=Sheet1!$EK189,Sheet1!$EK190=Sheet1!$EK191),Sheet1!$EK190,CZ188-DE188)</f>
        <v>8.3740598290598278</v>
      </c>
      <c r="DG188" s="545"/>
      <c r="DH188" s="560">
        <f t="shared" si="413"/>
        <v>11.92</v>
      </c>
      <c r="DI188" s="560">
        <f t="shared" si="414"/>
        <v>633.69444444444446</v>
      </c>
      <c r="DJ188" s="698">
        <f t="shared" si="415"/>
        <v>11.869059829059827</v>
      </c>
      <c r="DK188" s="560">
        <f ca="1">IF(B188&gt;Summary!$A$1,#N/A,DI188*MGtoAF)</f>
        <v>1944.1745555555556</v>
      </c>
      <c r="DL188" s="698">
        <f t="shared" si="416"/>
        <v>11.92</v>
      </c>
      <c r="DM188" s="560">
        <f t="shared" si="417"/>
        <v>42.120000000000005</v>
      </c>
      <c r="DN188" s="560">
        <f>Sheet1!AB190-DM188</f>
        <v>-0.18000000000000682</v>
      </c>
      <c r="DO188" s="823">
        <f t="shared" si="418"/>
        <v>-4.2735042735044353E-3</v>
      </c>
      <c r="DP188" s="560">
        <f>(VLOOKUP(Sheet1!DC190,hhdcap_wcm,4)-(((VLOOKUP(Sheet1!DC190,hhdcap_wcm,3)-Sheet1!DC190)/(VLOOKUP(Sheet1!DC190,hhdcap_wcm,3)-VLOOKUP(Sheet1!DC190,hhdcap_wcm,1)))*(VLOOKUP(Sheet1!DC190,hhdcap_wcm,4)-VLOOKUP(Sheet1!DC190,hhdcap_wcm,2))))</f>
        <v>47941.600000115868</v>
      </c>
      <c r="DQ188" s="560">
        <f t="shared" si="419"/>
        <v>-313.6000000002532</v>
      </c>
      <c r="DR188" s="560">
        <f t="shared" si="420"/>
        <v>-158.1442259204504</v>
      </c>
      <c r="DS188" s="560">
        <f>Sheet1!EA190*AFtoMG</f>
        <v>0</v>
      </c>
      <c r="DT188" s="560">
        <f>Sheet1!EB190*AFtoMG</f>
        <v>0</v>
      </c>
      <c r="DU188" s="560">
        <f>Sheet1!EC190*AFtoMG</f>
        <v>0</v>
      </c>
      <c r="DV188" s="560">
        <f>Sheet1!ED190*AFtoMG</f>
        <v>0</v>
      </c>
      <c r="DW188" s="560">
        <f t="shared" si="421"/>
        <v>0</v>
      </c>
      <c r="DX188" s="560">
        <f t="shared" si="422"/>
        <v>0</v>
      </c>
      <c r="DY188" s="560">
        <f t="shared" si="423"/>
        <v>3259</v>
      </c>
      <c r="DZ188" s="560">
        <f t="shared" si="424"/>
        <v>9998.612000000001</v>
      </c>
      <c r="EA188" s="560"/>
      <c r="EB188" s="545">
        <f>IF(OR(B188&lt;FV188,B188&gt;FW188),(MIN(BF188+BY188+CT188+MAX(Sheet1!AA190+AQ188-73,0),K188)),0)</f>
        <v>11.869059829059827</v>
      </c>
      <c r="EC188" s="560"/>
      <c r="ED188" s="560">
        <f t="shared" si="425"/>
        <v>11.869059829059827</v>
      </c>
      <c r="EE188" s="560"/>
      <c r="EF188" s="560">
        <f>Sheet1!EH190+Sheet1!EI190+Sheet1!EJ190+Sheet1!EK190</f>
        <v>12</v>
      </c>
      <c r="EG188" s="560"/>
      <c r="EH188" s="545">
        <f t="shared" si="426"/>
        <v>0</v>
      </c>
      <c r="EI188" s="560">
        <f>IF(Sheet1!ET190=1,SUM('Calculations II'!AT188:BA188)+'Calculations II'!BC188+Sheet1!BV190+'Calculations II'!BE188+AP188,SUM('Calculations II'!AT188:BA188)+'Calculations II'!BC188+Sheet1!BV190+'Calculations II'!BE188+AP188)</f>
        <v>70.977183999999994</v>
      </c>
      <c r="EJ188" s="560">
        <f>Sheet1!AA190+Sheet1!AB190+'Calculations II'!BC188</f>
        <v>83.62</v>
      </c>
      <c r="EK188" s="560"/>
      <c r="EL188" s="560"/>
      <c r="EM188" s="560">
        <f t="shared" si="427"/>
        <v>41816</v>
      </c>
      <c r="EN188" s="560">
        <f t="shared" si="428"/>
        <v>0</v>
      </c>
      <c r="EO188" s="560">
        <f t="shared" si="429"/>
        <v>0</v>
      </c>
      <c r="EP188" s="560">
        <v>0</v>
      </c>
      <c r="EQ188" s="560">
        <v>0</v>
      </c>
      <c r="ER188" s="560">
        <v>0</v>
      </c>
      <c r="ES188" s="545">
        <f t="shared" si="349"/>
        <v>-8.5862550651527787</v>
      </c>
      <c r="ET188" s="560">
        <f>-(VLOOKUP(Sheet1!BQ190,Lookup!$O$4:$Q$262,2)-VLOOKUP(Sheet1!BQ189,Lookup!$O$4:$Q$262,2))/1000000</f>
        <v>-4.2932268618082849</v>
      </c>
      <c r="EU188" s="560">
        <f>-(VLOOKUP(Sheet1!BR190,Lookup!$O$4:$Q$262,3)-VLOOKUP(Sheet1!BR189,Lookup!$O$4:$Q$262,3))/1000000</f>
        <v>-4.2930282033444938</v>
      </c>
      <c r="EV188" s="560"/>
      <c r="EW188" s="560"/>
      <c r="EX188" s="560"/>
      <c r="EY188" s="560"/>
      <c r="EZ188" s="560"/>
      <c r="FA188" s="560"/>
      <c r="FB188" s="560"/>
      <c r="FC188" s="560"/>
      <c r="FD188" s="594" t="e">
        <f t="shared" si="430"/>
        <v>#N/A</v>
      </c>
      <c r="FE188" s="594" t="e">
        <f t="shared" si="431"/>
        <v>#N/A</v>
      </c>
      <c r="FF188" s="595" t="e">
        <f t="shared" si="432"/>
        <v>#N/A</v>
      </c>
      <c r="FG188" s="596" t="s">
        <v>692</v>
      </c>
      <c r="FH188" s="596" t="s">
        <v>692</v>
      </c>
      <c r="FI188" s="594" t="e">
        <v>#N/A</v>
      </c>
      <c r="FJ188" s="594" t="e">
        <v>#N/A</v>
      </c>
      <c r="FK188" s="560">
        <v>23800</v>
      </c>
      <c r="FL188" s="560"/>
      <c r="FM188" s="560"/>
      <c r="FN188" s="560"/>
      <c r="FO188" s="560">
        <f>O188+((Sheet1!CS190)*GPMtoMGD)</f>
        <v>83.62</v>
      </c>
      <c r="FP188" s="560">
        <f>IF(Sheet1!AA190+AQ188&lt;=Calculation!N188,AQ188,Calculation!N188-Sheet1!AA190)</f>
        <v>28.477777777777774</v>
      </c>
      <c r="FQ188" s="560">
        <f>(Sheet1!BP190+Sheet1!BO190)/694.4</f>
        <v>2.6172235023041477</v>
      </c>
      <c r="FR188" s="560"/>
      <c r="FS188" s="560"/>
      <c r="FT188" s="560"/>
      <c r="FU188" s="560"/>
      <c r="FV188" s="695">
        <f t="shared" si="350"/>
        <v>41827</v>
      </c>
      <c r="FW188" s="695">
        <f t="shared" si="351"/>
        <v>41934</v>
      </c>
      <c r="FX188" s="560"/>
      <c r="FY188" s="560"/>
      <c r="FZ188" s="560"/>
      <c r="GA188" s="560"/>
      <c r="GB188" s="560" t="str">
        <f t="shared" si="352"/>
        <v>n</v>
      </c>
      <c r="GC188" s="564">
        <f t="shared" si="353"/>
        <v>41691</v>
      </c>
      <c r="GD188" s="695">
        <f t="shared" si="354"/>
        <v>41807</v>
      </c>
      <c r="GE188" s="560">
        <v>6518.9</v>
      </c>
      <c r="GF188" s="695">
        <f t="shared" si="355"/>
        <v>41808</v>
      </c>
      <c r="GG188" s="560">
        <f t="shared" si="374"/>
        <v>3259</v>
      </c>
      <c r="GH188" s="564">
        <f t="shared" si="356"/>
        <v>41934</v>
      </c>
      <c r="GJ188" s="545">
        <f t="shared" si="357"/>
        <v>0</v>
      </c>
      <c r="GK188" s="560" t="str">
        <f t="shared" si="433"/>
        <v/>
      </c>
      <c r="GL188" s="560">
        <f t="shared" si="358"/>
        <v>0</v>
      </c>
      <c r="GM188" s="560" t="str">
        <f t="shared" si="359"/>
        <v/>
      </c>
      <c r="GN188" s="560">
        <f>IF(GK188="P",Lookup!$M$12,IF(GK188="PP",Lookup!$M$13,IF(GK188="PPP",Lookup!$M$14,IF(GK188="T",Lookup!$M$15,IF(GK188="TP",Lookup!$M$16,IF(GK188="TPP",Lookup!$M$17,IF(GK188="TPPP",Lookup!$M$18,0)))))))*GJ188</f>
        <v>0</v>
      </c>
      <c r="GO188" s="560">
        <f t="shared" si="360"/>
        <v>0</v>
      </c>
      <c r="GP188" s="560">
        <f t="shared" si="434"/>
        <v>4166.088333333334</v>
      </c>
      <c r="GQ188" s="560">
        <f t="shared" si="368"/>
        <v>1357.9166666666667</v>
      </c>
      <c r="GR188" s="560"/>
      <c r="GS188" s="560">
        <f t="shared" si="361"/>
        <v>0</v>
      </c>
      <c r="GT188" s="560" t="str">
        <f t="shared" si="362"/>
        <v/>
      </c>
      <c r="GU188" s="560">
        <f>IF(GK188="P",Lookup!$N$12,IF(GK188="PP",Lookup!$N$13,IF(GK188="PPP",Lookup!$N$14,IF(GK188="T",Lookup!$N$15,IF(GK188="TP",Lookup!$N$16,IF(GK188="TPP",Lookup!$N$17,IF(GK188="TPPP",Lookup!$N$18,0)))))))*GJ188</f>
        <v>0</v>
      </c>
      <c r="GV188" s="560">
        <f t="shared" si="363"/>
        <v>0</v>
      </c>
      <c r="GW188" s="560">
        <f t="shared" si="435"/>
        <v>1944.1745555555556</v>
      </c>
      <c r="GX188" s="560">
        <f t="shared" si="369"/>
        <v>633.69444444444446</v>
      </c>
      <c r="GY188" s="560"/>
      <c r="GZ188" s="560">
        <f t="shared" si="364"/>
        <v>0</v>
      </c>
      <c r="HA188" s="560" t="str">
        <f t="shared" si="365"/>
        <v/>
      </c>
      <c r="HB188" s="560">
        <f>IF(GK188="P",Lookup!$N$12,IF(GK188="PP",Lookup!$N$13,IF(GK188="PPP",Lookup!$N$14,IF(GK188="T",Lookup!$N$15,IF(GK188="TP",Lookup!$N$16,IF(GK188="TPP",Lookup!$N$17,IF(GK188="TPPP",Lookup!$N$18,0)))))))*GJ188</f>
        <v>0</v>
      </c>
      <c r="HC188" s="545">
        <f t="shared" si="436"/>
        <v>0</v>
      </c>
      <c r="HD188" s="560">
        <f t="shared" si="437"/>
        <v>1944.1745555555556</v>
      </c>
      <c r="HE188" s="560">
        <f t="shared" si="370"/>
        <v>633.69444444444446</v>
      </c>
      <c r="HF188" s="560"/>
      <c r="HG188" s="560">
        <f t="shared" si="366"/>
        <v>0</v>
      </c>
      <c r="HH188" s="560" t="str">
        <f t="shared" si="367"/>
        <v/>
      </c>
      <c r="HI188" s="560">
        <f>IF(GK188="P",Lookup!$N$12,IF(GK188="PP",Lookup!$N$13,IF(GK188="PPP",Lookup!$N$14,IF(GK188="T",Lookup!$N$15,IF(GK188="TP",Lookup!$N$16,IF(GK188="TPP",Lookup!$N$17,IF(GK188="TPPP",Lookup!$N$18,0)))))))*GJ188</f>
        <v>0</v>
      </c>
      <c r="HJ188" s="545">
        <f t="shared" si="438"/>
        <v>0</v>
      </c>
      <c r="HK188" s="560">
        <f t="shared" si="439"/>
        <v>1944.1745555555556</v>
      </c>
      <c r="HL188" s="560">
        <f t="shared" si="371"/>
        <v>633.69444444444446</v>
      </c>
      <c r="HM188" s="560"/>
    </row>
    <row r="189" spans="1:221">
      <c r="A189" s="580" t="s">
        <v>8</v>
      </c>
      <c r="B189" s="556">
        <v>41817</v>
      </c>
      <c r="C189" s="561">
        <v>0</v>
      </c>
      <c r="D189" s="529">
        <f t="shared" si="372"/>
        <v>300</v>
      </c>
      <c r="E189" s="529">
        <f t="shared" si="373"/>
        <v>250</v>
      </c>
      <c r="F189" s="529">
        <v>250</v>
      </c>
      <c r="G189" s="560">
        <f>DR189+Sheet1!CZ191</f>
        <v>490.6001008571593</v>
      </c>
      <c r="H189" s="1082">
        <f t="shared" si="442"/>
        <v>123.20390519406777</v>
      </c>
      <c r="I189" s="559">
        <f>Sheet1!DA191-E189</f>
        <v>510</v>
      </c>
      <c r="J189" s="562">
        <f>Sheet1!DB191-Calculation!D189</f>
        <v>233</v>
      </c>
      <c r="K189" s="904">
        <f t="shared" si="375"/>
        <v>64.64</v>
      </c>
      <c r="L189" s="560">
        <f>Sheet1!AA191+Sheet1!AB191-Sheet1!L191+(Sheet1!DA191-F189)*CFStoMGD</f>
        <v>410.94399999999996</v>
      </c>
      <c r="M189" s="560">
        <f t="shared" si="376"/>
        <v>323.46638329794916</v>
      </c>
      <c r="N189" s="910">
        <f>IF(Sheet1!DA191&gt;=F189,MIN(73,MIN(MAX(L189,0),MAX(M189,0))),0)</f>
        <v>73</v>
      </c>
      <c r="O189" s="563">
        <f>Sheet1!AA191+Sheet1!AB191</f>
        <v>81.28</v>
      </c>
      <c r="P189" s="563">
        <f t="shared" si="377"/>
        <v>125.74016</v>
      </c>
      <c r="Q189" s="898">
        <f t="shared" si="339"/>
        <v>16.64</v>
      </c>
      <c r="R189" s="829" t="e">
        <f t="shared" si="378"/>
        <v>#REF!</v>
      </c>
      <c r="S189" s="898">
        <f t="shared" si="340"/>
        <v>64.64</v>
      </c>
      <c r="T189" s="898">
        <f t="shared" si="341"/>
        <v>0</v>
      </c>
      <c r="U189" s="898">
        <f t="shared" si="342"/>
        <v>0</v>
      </c>
      <c r="V189" s="898"/>
      <c r="W189" s="898">
        <f t="shared" si="343"/>
        <v>52.658704453441295</v>
      </c>
      <c r="X189" s="898">
        <f t="shared" si="344"/>
        <v>64.64</v>
      </c>
      <c r="Y189" s="898" t="str">
        <f t="shared" si="345"/>
        <v>FALSE</v>
      </c>
      <c r="Z189" s="898">
        <f t="shared" si="346"/>
        <v>81.28</v>
      </c>
      <c r="AA189" s="898">
        <f t="shared" si="347"/>
        <v>81.28</v>
      </c>
      <c r="AB189" s="898" t="str">
        <f t="shared" si="348"/>
        <v/>
      </c>
      <c r="AC189" s="563">
        <f>Sheet1!Y191*MGDtoCFS</f>
        <v>64.478960000000001</v>
      </c>
      <c r="AD189" s="563">
        <f>Sheet1!Z191*MGDtoCFS</f>
        <v>64.881180000000001</v>
      </c>
      <c r="AE189" s="563">
        <f>Sheet1!AA191*MGDtoCFS</f>
        <v>64.850239999999999</v>
      </c>
      <c r="AF189" s="563">
        <f>Sheet1!AB191*MGDtoCFS</f>
        <v>60.889919999999996</v>
      </c>
      <c r="AG189" s="563">
        <f>Sheet1!L191*MGDtoCFS</f>
        <v>0</v>
      </c>
      <c r="AH189" s="545">
        <f t="shared" si="379"/>
        <v>0</v>
      </c>
      <c r="AI189" s="560">
        <f t="shared" si="380"/>
        <v>0</v>
      </c>
      <c r="AJ189" s="560">
        <f t="shared" si="381"/>
        <v>0</v>
      </c>
      <c r="AK189" s="560">
        <f t="shared" si="382"/>
        <v>0</v>
      </c>
      <c r="AL189" s="560">
        <f>(VLOOKUP(Sheet1!DC191,hhdcap_wcm,4)-(((VLOOKUP(Sheet1!DC191,hhdcap_wcm,3)-Sheet1!DC191)/(VLOOKUP(Sheet1!DC191,hhdcap_wcm,3)-VLOOKUP(Sheet1!DC191,hhdcap_wcm,1)))*(VLOOKUP(Sheet1!DC191,hhdcap_wcm,4)-VLOOKUP(Sheet1!DC191,hhdcap_wcm,2))))</f>
        <v>47685.000000115615</v>
      </c>
      <c r="AM189" s="560">
        <f t="shared" si="383"/>
        <v>-256.6000000002532</v>
      </c>
      <c r="AN189" s="560">
        <f t="shared" si="384"/>
        <v>3259</v>
      </c>
      <c r="AO189" s="560">
        <f t="shared" si="385"/>
        <v>9998.612000000001</v>
      </c>
      <c r="AP189" s="560">
        <f>Sheet1!BA191+Sheet1!BB191+Sheet1!BN191+CD189</f>
        <v>27.49</v>
      </c>
      <c r="AQ189" s="560">
        <f>Sheet1!BN191+(DO189*Sheet1!BN191)</f>
        <v>25.795141700404859</v>
      </c>
      <c r="AR189" s="560">
        <f>Sheet1!BA191+CD189</f>
        <v>0</v>
      </c>
      <c r="AS189" s="560">
        <f>Sheet1!BA191+Sheet1!BB191+CD189</f>
        <v>1.59</v>
      </c>
      <c r="AT189" s="698">
        <f>0</f>
        <v>0</v>
      </c>
      <c r="AU189" s="560">
        <f>IF(EB189&lt;K189,0,MAX(Sheet1!AA191+AQ189-15/36*K189-N189,Sheet1!EI191,0))</f>
        <v>0</v>
      </c>
      <c r="AV189" s="560">
        <f>IF(OR(B189&gt;=GD189,B189&lt;GC189),0,15/36*K189-MAX(0,64.6-(137.6-(Sheet1!AA191+Sheet1!AB191))))</f>
        <v>0</v>
      </c>
      <c r="AW189" s="698">
        <f>Sheet1!DB191-110</f>
        <v>423</v>
      </c>
      <c r="AX189" s="698">
        <f>Sheet1!DA191-265</f>
        <v>495</v>
      </c>
      <c r="AY189" s="698">
        <f t="shared" si="386"/>
        <v>56.36</v>
      </c>
      <c r="AZ189" s="698">
        <v>0</v>
      </c>
      <c r="BA189" s="698">
        <f t="shared" si="387"/>
        <v>0</v>
      </c>
      <c r="BB189" s="560">
        <f t="shared" si="388"/>
        <v>1357.9166666666667</v>
      </c>
      <c r="BC189" s="560"/>
      <c r="BD189" s="560">
        <f ca="1">IF(B189&gt;Summary!$A$1,#N/A,BB189*MGtoAF)</f>
        <v>4166.088333333334</v>
      </c>
      <c r="BE189" s="560">
        <f>Sheet1!BG191+Sheet1!BH191+Sheet1!BI191-BM189</f>
        <v>0</v>
      </c>
      <c r="BF189" s="560">
        <f t="shared" si="389"/>
        <v>0</v>
      </c>
      <c r="BG189" s="560">
        <f>IF(Sheet1!EP191="FM",BM189,0)</f>
        <v>0</v>
      </c>
      <c r="BH189" s="560">
        <f t="shared" si="390"/>
        <v>0</v>
      </c>
      <c r="BI189" s="560">
        <f>IF(Sheet1!EP191="OTHER",BM189,0)</f>
        <v>0</v>
      </c>
      <c r="BJ189" s="560">
        <f t="shared" si="391"/>
        <v>0</v>
      </c>
      <c r="BK189" s="560">
        <f t="shared" si="392"/>
        <v>0</v>
      </c>
      <c r="BL189" s="560">
        <f t="shared" si="393"/>
        <v>0</v>
      </c>
      <c r="BM189" s="560">
        <f>IF(OR(Sheet1!EP191="FM", Sheet1!EP191="OTHER"),SUM(Sheet1!BG191:'Sheet1'!BI191),0)</f>
        <v>0</v>
      </c>
      <c r="BN189" s="545">
        <f>IF(AND($B189&gt;=$FV189,$B189&lt;=$FW189),MAX(BF189,Sheet1!#REF!,0),MAX(BF189-(7/36)*$K189,0))</f>
        <v>0</v>
      </c>
      <c r="BO189" s="560">
        <f t="shared" si="394"/>
        <v>0</v>
      </c>
      <c r="BP189" s="545">
        <f t="shared" si="395"/>
        <v>0</v>
      </c>
      <c r="BQ189" s="545">
        <f>IF(AND($O189&gt;0,Sheet1!EM191=1),(1-($O189-Sheet1!$L191)/$O189)*BL189,0)</f>
        <v>0</v>
      </c>
      <c r="BR189" s="545">
        <f>IF(AND(Sheet1!$L191=0,Sheet1!$L190=0, Calculation!BK189&lt;Sheet1!$EI191-0.1,Sheet1!$EI191=Sheet1!$EI190,Sheet1!$EI191=Sheet1!$EI192),Sheet1!$EI191,BL189-BQ189)</f>
        <v>0</v>
      </c>
      <c r="BS189" s="560"/>
      <c r="BT189" s="560"/>
      <c r="BU189" s="560">
        <f t="shared" si="396"/>
        <v>633.69444444444446</v>
      </c>
      <c r="BV189" s="560"/>
      <c r="BW189" s="560">
        <f ca="1">IF(B189&gt;Summary!$A$1,#N/A,BU189*MGtoAF)</f>
        <v>1944.1745555555556</v>
      </c>
      <c r="BX189" s="560">
        <f>Sheet1!BC191+Sheet1!BD191+Sheet1!BE191+Sheet1!BF191-CG189-CH189</f>
        <v>3.7800000000000002</v>
      </c>
      <c r="BY189" s="560">
        <f t="shared" si="397"/>
        <v>3.7646963562753042</v>
      </c>
      <c r="BZ189" s="560">
        <f>IF(Sheet1!EQ191="FM",CH189,0)</f>
        <v>0</v>
      </c>
      <c r="CA189" s="560">
        <f t="shared" si="398"/>
        <v>0</v>
      </c>
      <c r="CB189" s="560">
        <f>IF(Sheet1!EQ191="OTHER",CH189,0)</f>
        <v>0</v>
      </c>
      <c r="CC189" s="560">
        <f t="shared" si="399"/>
        <v>0</v>
      </c>
      <c r="CD189" s="560">
        <f t="shared" si="400"/>
        <v>0</v>
      </c>
      <c r="CE189" s="560">
        <f t="shared" si="401"/>
        <v>3.7800000000000002</v>
      </c>
      <c r="CF189" s="560">
        <f t="shared" si="402"/>
        <v>3.7646963562753042</v>
      </c>
      <c r="CG189" s="560">
        <f>IF(Sheet1!EQ191="CWA",SUM(Sheet1!BC191:'Sheet1'!BF191),0)</f>
        <v>0</v>
      </c>
      <c r="CH189" s="560">
        <f>IF(OR(Sheet1!EQ191="FM", Sheet1!EQ191="OTHER"),SUM(Sheet1!BC191:'Sheet1'!BF191),0)</f>
        <v>0</v>
      </c>
      <c r="CI189" s="545">
        <f>IF(AND($B189&gt;=$FV189,$B189&lt;=$FW189),MAX(CF189,Sheet1!EJ191,0),MAX(CF189-(7/36)*$K189,0))</f>
        <v>0</v>
      </c>
      <c r="CJ189" s="560">
        <f t="shared" si="403"/>
        <v>0</v>
      </c>
      <c r="CK189" s="545">
        <f t="shared" si="404"/>
        <v>3.7646963562753042</v>
      </c>
      <c r="CL189" s="545">
        <f>IF(AND($O189&gt;0,Sheet1!EN191=1),(1-($O189-Sheet1!$L191)/$O189)*CF189,0)</f>
        <v>0</v>
      </c>
      <c r="CM189" s="545">
        <f>IF(AND(Sheet1!$L191=0,Sheet1!$L190=0, Calculation!CE189&lt;Sheet1!EJ191-0.1,Sheet1!EJ191=Sheet1!EJ190,Sheet1!EJ191=Sheet1!EJ192),Sheet1!EJ191,CF189-CL189)</f>
        <v>3.7646963562753042</v>
      </c>
      <c r="CN189" s="545"/>
      <c r="CO189" s="560"/>
      <c r="CP189" s="560">
        <f t="shared" si="405"/>
        <v>633.69444444444446</v>
      </c>
      <c r="CQ189" s="560"/>
      <c r="CR189" s="560">
        <f ca="1">IF(B189&gt;Summary!$A$1,#N/A,CP189*MGtoAF)</f>
        <v>1944.1745555555556</v>
      </c>
      <c r="CS189" s="560">
        <f>Sheet1!BK191+Sheet1!BL191+Sheet1!BM191-Sheet1!ER191-DA189</f>
        <v>8.25</v>
      </c>
      <c r="CT189" s="560">
        <f t="shared" si="406"/>
        <v>8.2165991902834019</v>
      </c>
      <c r="CU189" s="560">
        <f>IF(Sheet1!ER191="FM",DA189,0)</f>
        <v>0</v>
      </c>
      <c r="CV189" s="560">
        <f t="shared" si="407"/>
        <v>0</v>
      </c>
      <c r="CW189" s="560">
        <f>IF(Sheet1!ER191="OTHER",DA189,0)</f>
        <v>0</v>
      </c>
      <c r="CX189" s="560">
        <f t="shared" si="408"/>
        <v>0</v>
      </c>
      <c r="CY189" s="560">
        <f t="shared" si="409"/>
        <v>8.25</v>
      </c>
      <c r="CZ189" s="560">
        <f t="shared" si="410"/>
        <v>8.2165991902834019</v>
      </c>
      <c r="DA189" s="560">
        <f>IF(OR(Sheet1!ER191="FM", Sheet1!ER191="OTHER"),SUM(Sheet1!BK191:'Sheet1'!BM191),0)</f>
        <v>0</v>
      </c>
      <c r="DB189" s="545">
        <f>IF(AND($B189&gt;=$FV189,$B189&lt;=$FW189),MAX($CT189,Sheet1!EK191,0),MAX($CT189-(7/36)*$K189,0))</f>
        <v>0</v>
      </c>
      <c r="DC189" s="560">
        <f t="shared" si="411"/>
        <v>0</v>
      </c>
      <c r="DD189" s="545">
        <f t="shared" si="412"/>
        <v>8.2165991902834019</v>
      </c>
      <c r="DE189" s="545">
        <f>IF(AND($O189&gt;0,Sheet1!EO191=1),(1-($O189-Sheet1!$L191)/$O189)*CZ189,0)</f>
        <v>0</v>
      </c>
      <c r="DF189" s="545">
        <f>IF(AND(Sheet1!$L191=0,Sheet1!$L190=0, Calculation!CY189&lt;Sheet1!$EK191-0.1,Sheet1!$EK191=Sheet1!$EK190,Sheet1!$EK191=Sheet1!$EK192),Sheet1!$EK191,CZ189-DE189)</f>
        <v>8.5</v>
      </c>
      <c r="DG189" s="545"/>
      <c r="DH189" s="560">
        <f t="shared" si="413"/>
        <v>12.030000000000001</v>
      </c>
      <c r="DI189" s="560">
        <f t="shared" si="414"/>
        <v>633.69444444444446</v>
      </c>
      <c r="DJ189" s="698">
        <f t="shared" si="415"/>
        <v>11.981295546558705</v>
      </c>
      <c r="DK189" s="560">
        <f ca="1">IF(B189&gt;Summary!$A$1,#N/A,DI189*MGtoAF)</f>
        <v>1944.1745555555556</v>
      </c>
      <c r="DL189" s="698">
        <f t="shared" si="416"/>
        <v>12.030000000000001</v>
      </c>
      <c r="DM189" s="560">
        <f t="shared" si="417"/>
        <v>39.519999999999996</v>
      </c>
      <c r="DN189" s="560">
        <f>Sheet1!AB191-DM189</f>
        <v>-0.15999999999999659</v>
      </c>
      <c r="DO189" s="823">
        <f t="shared" si="418"/>
        <v>-4.0485829959513312E-3</v>
      </c>
      <c r="DP189" s="560">
        <f>(VLOOKUP(Sheet1!DC191,hhdcap_wcm,4)-(((VLOOKUP(Sheet1!DC191,hhdcap_wcm,3)-Sheet1!DC191)/(VLOOKUP(Sheet1!DC191,hhdcap_wcm,3)-VLOOKUP(Sheet1!DC191,hhdcap_wcm,1)))*(VLOOKUP(Sheet1!DC191,hhdcap_wcm,4)-VLOOKUP(Sheet1!DC191,hhdcap_wcm,2))))</f>
        <v>47685.000000115615</v>
      </c>
      <c r="DQ189" s="560">
        <f t="shared" si="419"/>
        <v>-256.6000000002532</v>
      </c>
      <c r="DR189" s="560">
        <f t="shared" si="420"/>
        <v>-129.39989914284072</v>
      </c>
      <c r="DS189" s="560">
        <f>Sheet1!EA191*AFtoMG</f>
        <v>0</v>
      </c>
      <c r="DT189" s="560">
        <f>Sheet1!EB191*AFtoMG</f>
        <v>0</v>
      </c>
      <c r="DU189" s="560">
        <f>Sheet1!EC191*AFtoMG</f>
        <v>0</v>
      </c>
      <c r="DV189" s="560">
        <f>Sheet1!ED191*AFtoMG</f>
        <v>0</v>
      </c>
      <c r="DW189" s="560">
        <f t="shared" si="421"/>
        <v>0</v>
      </c>
      <c r="DX189" s="560">
        <f t="shared" si="422"/>
        <v>0</v>
      </c>
      <c r="DY189" s="560">
        <f t="shared" si="423"/>
        <v>3259</v>
      </c>
      <c r="DZ189" s="560">
        <f t="shared" si="424"/>
        <v>9998.612000000001</v>
      </c>
      <c r="EA189" s="560"/>
      <c r="EB189" s="545">
        <f>IF(OR(B189&lt;FV189,B189&gt;FW189),(MIN(BF189+BY189+CT189+MAX(Sheet1!AA191+AQ189-73,0),K189)),0)</f>
        <v>11.981295546558705</v>
      </c>
      <c r="EC189" s="560"/>
      <c r="ED189" s="560">
        <f t="shared" si="425"/>
        <v>11.981295546558705</v>
      </c>
      <c r="EE189" s="560"/>
      <c r="EF189" s="560" t="e">
        <f>Sheet1!EI191+Sheet1!#REF!+Sheet1!EJ191+Sheet1!EK191</f>
        <v>#REF!</v>
      </c>
      <c r="EG189" s="560"/>
      <c r="EH189" s="545">
        <f t="shared" si="426"/>
        <v>0</v>
      </c>
      <c r="EI189" s="560">
        <f>IF(Sheet1!ET191=1,SUM('Calculations II'!AT189:BA189)+'Calculations II'!BC189+Sheet1!BV191+'Calculations II'!BE189+AP189,SUM('Calculations II'!AT189:BA189)+'Calculations II'!BC189+Sheet1!BV191+'Calculations II'!BE189+AP189)</f>
        <v>71.806111999999999</v>
      </c>
      <c r="EJ189" s="560">
        <f>Sheet1!AA191+Sheet1!AB191+'Calculations II'!BC189</f>
        <v>81.28</v>
      </c>
      <c r="EK189" s="560"/>
      <c r="EL189" s="560"/>
      <c r="EM189" s="560">
        <f t="shared" si="427"/>
        <v>41817</v>
      </c>
      <c r="EN189" s="560">
        <f t="shared" si="428"/>
        <v>0</v>
      </c>
      <c r="EO189" s="560">
        <f t="shared" si="429"/>
        <v>0</v>
      </c>
      <c r="EP189" s="560">
        <v>0</v>
      </c>
      <c r="EQ189" s="560">
        <v>0</v>
      </c>
      <c r="ER189" s="560">
        <v>0</v>
      </c>
      <c r="ES189" s="545">
        <f t="shared" si="349"/>
        <v>-5.2686329624086952</v>
      </c>
      <c r="ET189" s="560">
        <f>-(VLOOKUP(Sheet1!BQ191,Lookup!$O$4:$Q$262,2)-VLOOKUP(Sheet1!BQ190,Lookup!$O$4:$Q$262,2))/1000000</f>
        <v>-2.6343773955134937</v>
      </c>
      <c r="EU189" s="560">
        <f>-(VLOOKUP(Sheet1!BR191,Lookup!$O$4:$Q$262,3)-VLOOKUP(Sheet1!BR190,Lookup!$O$4:$Q$262,3))/1000000</f>
        <v>-2.6342555668952019</v>
      </c>
      <c r="EV189" s="560"/>
      <c r="EW189" s="560"/>
      <c r="EX189" s="560"/>
      <c r="EY189" s="560"/>
      <c r="EZ189" s="560"/>
      <c r="FA189" s="560"/>
      <c r="FB189" s="560"/>
      <c r="FC189" s="560"/>
      <c r="FD189" s="594" t="e">
        <f t="shared" si="430"/>
        <v>#N/A</v>
      </c>
      <c r="FE189" s="594" t="e">
        <f t="shared" si="431"/>
        <v>#N/A</v>
      </c>
      <c r="FF189" s="595" t="e">
        <f t="shared" si="432"/>
        <v>#N/A</v>
      </c>
      <c r="FG189" s="596" t="s">
        <v>692</v>
      </c>
      <c r="FH189" s="596" t="s">
        <v>692</v>
      </c>
      <c r="FI189" s="594" t="e">
        <v>#N/A</v>
      </c>
      <c r="FJ189" s="594" t="e">
        <v>#N/A</v>
      </c>
      <c r="FK189" s="560">
        <v>23750</v>
      </c>
      <c r="FL189" s="560"/>
      <c r="FM189" s="560"/>
      <c r="FN189" s="560"/>
      <c r="FO189" s="560">
        <f>O189+((Sheet1!CS191)*GPMtoMGD)</f>
        <v>81.28</v>
      </c>
      <c r="FP189" s="560">
        <f>IF(Sheet1!AA191+AQ189&lt;=Calculation!N189,AQ189,Calculation!N189-Sheet1!AA191)</f>
        <v>25.795141700404859</v>
      </c>
      <c r="FQ189" s="560">
        <f>(Sheet1!BP191+Sheet1!BO191)/694.4</f>
        <v>2.8630472350230414</v>
      </c>
      <c r="FR189" s="560"/>
      <c r="FS189" s="560"/>
      <c r="FT189" s="560"/>
      <c r="FU189" s="560"/>
      <c r="FV189" s="695">
        <f t="shared" si="350"/>
        <v>41827</v>
      </c>
      <c r="FW189" s="695">
        <f t="shared" si="351"/>
        <v>41934</v>
      </c>
      <c r="FX189" s="560"/>
      <c r="FY189" s="560"/>
      <c r="FZ189" s="560"/>
      <c r="GA189" s="560"/>
      <c r="GB189" s="560" t="str">
        <f t="shared" si="352"/>
        <v>n</v>
      </c>
      <c r="GC189" s="564">
        <f t="shared" si="353"/>
        <v>41691</v>
      </c>
      <c r="GD189" s="695">
        <f t="shared" si="354"/>
        <v>41807</v>
      </c>
      <c r="GE189" s="560">
        <v>6518.9</v>
      </c>
      <c r="GF189" s="695">
        <f t="shared" si="355"/>
        <v>41808</v>
      </c>
      <c r="GG189" s="560">
        <f t="shared" si="374"/>
        <v>3259</v>
      </c>
      <c r="GH189" s="564">
        <f t="shared" si="356"/>
        <v>41934</v>
      </c>
      <c r="GJ189" s="545">
        <f t="shared" si="357"/>
        <v>0</v>
      </c>
      <c r="GK189" s="560" t="str">
        <f t="shared" si="433"/>
        <v/>
      </c>
      <c r="GL189" s="560">
        <f t="shared" si="358"/>
        <v>0</v>
      </c>
      <c r="GM189" s="560" t="str">
        <f t="shared" si="359"/>
        <v/>
      </c>
      <c r="GN189" s="560">
        <f>IF(GK189="P",Lookup!$M$12,IF(GK189="PP",Lookup!$M$13,IF(GK189="PPP",Lookup!$M$14,IF(GK189="T",Lookup!$M$15,IF(GK189="TP",Lookup!$M$16,IF(GK189="TPP",Lookup!$M$17,IF(GK189="TPPP",Lookup!$M$18,0)))))))*GJ189</f>
        <v>0</v>
      </c>
      <c r="GO189" s="560">
        <f t="shared" si="360"/>
        <v>0</v>
      </c>
      <c r="GP189" s="560">
        <f t="shared" si="434"/>
        <v>4166.088333333334</v>
      </c>
      <c r="GQ189" s="560">
        <f t="shared" si="368"/>
        <v>1357.9166666666667</v>
      </c>
      <c r="GR189" s="560"/>
      <c r="GS189" s="560">
        <f t="shared" si="361"/>
        <v>0</v>
      </c>
      <c r="GT189" s="560" t="str">
        <f t="shared" si="362"/>
        <v/>
      </c>
      <c r="GU189" s="560">
        <f>IF(GK189="P",Lookup!$N$12,IF(GK189="PP",Lookup!$N$13,IF(GK189="PPP",Lookup!$N$14,IF(GK189="T",Lookup!$N$15,IF(GK189="TP",Lookup!$N$16,IF(GK189="TPP",Lookup!$N$17,IF(GK189="TPPP",Lookup!$N$18,0)))))))*GJ189</f>
        <v>0</v>
      </c>
      <c r="GV189" s="560">
        <f t="shared" si="363"/>
        <v>0</v>
      </c>
      <c r="GW189" s="560">
        <f t="shared" si="435"/>
        <v>1944.1745555555556</v>
      </c>
      <c r="GX189" s="560">
        <f t="shared" si="369"/>
        <v>633.69444444444446</v>
      </c>
      <c r="GY189" s="560"/>
      <c r="GZ189" s="560">
        <f t="shared" si="364"/>
        <v>0</v>
      </c>
      <c r="HA189" s="560" t="str">
        <f t="shared" si="365"/>
        <v/>
      </c>
      <c r="HB189" s="560">
        <f>IF(GK189="P",Lookup!$N$12,IF(GK189="PP",Lookup!$N$13,IF(GK189="PPP",Lookup!$N$14,IF(GK189="T",Lookup!$N$15,IF(GK189="TP",Lookup!$N$16,IF(GK189="TPP",Lookup!$N$17,IF(GK189="TPPP",Lookup!$N$18,0)))))))*GJ189</f>
        <v>0</v>
      </c>
      <c r="HC189" s="545">
        <f t="shared" si="436"/>
        <v>0</v>
      </c>
      <c r="HD189" s="560">
        <f t="shared" si="437"/>
        <v>1944.1745555555556</v>
      </c>
      <c r="HE189" s="560">
        <f t="shared" si="370"/>
        <v>633.69444444444446</v>
      </c>
      <c r="HF189" s="560"/>
      <c r="HG189" s="560">
        <f t="shared" si="366"/>
        <v>0</v>
      </c>
      <c r="HH189" s="560" t="str">
        <f t="shared" si="367"/>
        <v/>
      </c>
      <c r="HI189" s="560">
        <f>IF(GK189="P",Lookup!$N$12,IF(GK189="PP",Lookup!$N$13,IF(GK189="PPP",Lookup!$N$14,IF(GK189="T",Lookup!$N$15,IF(GK189="TP",Lookup!$N$16,IF(GK189="TPP",Lookup!$N$17,IF(GK189="TPPP",Lookup!$N$18,0)))))))*GJ189</f>
        <v>0</v>
      </c>
      <c r="HJ189" s="545">
        <f t="shared" si="438"/>
        <v>0</v>
      </c>
      <c r="HK189" s="560">
        <f t="shared" si="439"/>
        <v>1944.1745555555556</v>
      </c>
      <c r="HL189" s="560">
        <f t="shared" si="371"/>
        <v>633.69444444444446</v>
      </c>
      <c r="HM189" s="560"/>
    </row>
    <row r="190" spans="1:221">
      <c r="A190" s="580" t="s">
        <v>9</v>
      </c>
      <c r="B190" s="556">
        <v>41818</v>
      </c>
      <c r="C190" s="561">
        <v>0</v>
      </c>
      <c r="D190" s="529">
        <f t="shared" si="372"/>
        <v>300</v>
      </c>
      <c r="E190" s="529">
        <f t="shared" si="373"/>
        <v>250</v>
      </c>
      <c r="F190" s="529">
        <v>250</v>
      </c>
      <c r="G190" s="560">
        <f>DR190+Sheet1!CZ192</f>
        <v>564.02420574834434</v>
      </c>
      <c r="H190" s="1082">
        <f t="shared" si="442"/>
        <v>170.66524659572977</v>
      </c>
      <c r="I190" s="559">
        <f>Sheet1!DA192-E190</f>
        <v>575</v>
      </c>
      <c r="J190" s="562">
        <f>Sheet1!DB192-Calculation!D190</f>
        <v>281</v>
      </c>
      <c r="K190" s="904">
        <f>MAX(MIN(H190:J190,64.64),0)</f>
        <v>64.64</v>
      </c>
      <c r="L190" s="560">
        <f>Sheet1!AA192+Sheet1!AB192-Sheet1!L192+(Sheet1!DA192-F190)*CFStoMGD</f>
        <v>446.42</v>
      </c>
      <c r="M190" s="560">
        <f t="shared" si="376"/>
        <v>371.87695152764439</v>
      </c>
      <c r="N190" s="910">
        <f>IF(Sheet1!DA192&gt;=F190,MIN(73,MIN(MAX(L190,0),MAX(M190,0))),0)</f>
        <v>73</v>
      </c>
      <c r="O190" s="563">
        <f>Sheet1!AA192+Sheet1!AB192</f>
        <v>74.740000000000009</v>
      </c>
      <c r="P190" s="563">
        <f t="shared" si="377"/>
        <v>115.62278000000001</v>
      </c>
      <c r="Q190" s="898">
        <f t="shared" si="339"/>
        <v>10.100000000000009</v>
      </c>
      <c r="R190" s="829" t="e">
        <f t="shared" si="378"/>
        <v>#REF!</v>
      </c>
      <c r="S190" s="898">
        <f t="shared" si="340"/>
        <v>64.64</v>
      </c>
      <c r="T190" s="898">
        <f t="shared" si="341"/>
        <v>0</v>
      </c>
      <c r="U190" s="898">
        <f t="shared" si="342"/>
        <v>0</v>
      </c>
      <c r="V190" s="898"/>
      <c r="W190" s="898">
        <f t="shared" si="343"/>
        <v>52.382541924095321</v>
      </c>
      <c r="X190" s="898">
        <f t="shared" si="344"/>
        <v>64.64</v>
      </c>
      <c r="Y190" s="898" t="str">
        <f t="shared" si="345"/>
        <v>FALSE</v>
      </c>
      <c r="Z190" s="898">
        <f t="shared" si="346"/>
        <v>74.740000000000009</v>
      </c>
      <c r="AA190" s="898">
        <f t="shared" si="347"/>
        <v>74.740000000000009</v>
      </c>
      <c r="AB190" s="898" t="str">
        <f t="shared" si="348"/>
        <v/>
      </c>
      <c r="AC190" s="563">
        <f>Sheet1!Y192*MGDtoCFS</f>
        <v>64.850239999999999</v>
      </c>
      <c r="AD190" s="563">
        <f>Sheet1!Z192*MGDtoCFS</f>
        <v>60.889919999999996</v>
      </c>
      <c r="AE190" s="563">
        <f>Sheet1!AA192*MGDtoCFS</f>
        <v>63.179480000000005</v>
      </c>
      <c r="AF190" s="563">
        <f>Sheet1!AB192*MGDtoCFS</f>
        <v>52.443299999999994</v>
      </c>
      <c r="AG190" s="563">
        <f>Sheet1!L192*MGDtoCFS</f>
        <v>0</v>
      </c>
      <c r="AH190" s="545">
        <f t="shared" si="379"/>
        <v>0</v>
      </c>
      <c r="AI190" s="560">
        <f t="shared" si="380"/>
        <v>0</v>
      </c>
      <c r="AJ190" s="560">
        <f t="shared" si="381"/>
        <v>0</v>
      </c>
      <c r="AK190" s="560">
        <f t="shared" si="382"/>
        <v>0</v>
      </c>
      <c r="AL190" s="560">
        <f>(VLOOKUP(Sheet1!DC192,hhdcap_wcm,4)-(((VLOOKUP(Sheet1!DC192,hhdcap_wcm,3)-Sheet1!DC192)/(VLOOKUP(Sheet1!DC192,hhdcap_wcm,3)-VLOOKUP(Sheet1!DC192,hhdcap_wcm,1)))*(VLOOKUP(Sheet1!DC192,hhdcap_wcm,4)-VLOOKUP(Sheet1!DC192,hhdcap_wcm,2))))</f>
        <v>47574.000000114582</v>
      </c>
      <c r="AM190" s="560">
        <f t="shared" si="383"/>
        <v>-111.00000000103319</v>
      </c>
      <c r="AN190" s="560">
        <f t="shared" si="384"/>
        <v>3259</v>
      </c>
      <c r="AO190" s="560">
        <f t="shared" si="385"/>
        <v>9998.612000000001</v>
      </c>
      <c r="AP190" s="560">
        <f>Sheet1!BA192+Sheet1!BB192+Sheet1!BN192+CD190</f>
        <v>21.700000000000003</v>
      </c>
      <c r="AQ190" s="560">
        <f>Sheet1!BN192+(DO190*Sheet1!BN192)</f>
        <v>20.046778464254192</v>
      </c>
      <c r="AR190" s="560">
        <f>Sheet1!BA192+CD190</f>
        <v>0</v>
      </c>
      <c r="AS190" s="560">
        <f>Sheet1!BA192+Sheet1!BB192+CD190</f>
        <v>1.6</v>
      </c>
      <c r="AT190" s="698">
        <f>0</f>
        <v>0</v>
      </c>
      <c r="AU190" s="560">
        <f>IF(EB190&lt;K190,0,MAX(Sheet1!AA192+AQ190-15/36*K190-N190,Sheet1!EI192,0))</f>
        <v>0</v>
      </c>
      <c r="AV190" s="560">
        <f>IF(OR(B190&gt;=GD190,B190&lt;GC190),0,15/36*K190-MAX(0,64.6-(137.6-(Sheet1!AA192+Sheet1!AB192))))</f>
        <v>0</v>
      </c>
      <c r="AW190" s="698">
        <f>Sheet1!DB192-110</f>
        <v>471</v>
      </c>
      <c r="AX190" s="698">
        <f>Sheet1!DA192-265</f>
        <v>560</v>
      </c>
      <c r="AY190" s="698">
        <f t="shared" si="386"/>
        <v>62.899999999999991</v>
      </c>
      <c r="AZ190" s="698">
        <v>0</v>
      </c>
      <c r="BA190" s="698">
        <f t="shared" si="387"/>
        <v>0</v>
      </c>
      <c r="BB190" s="560">
        <f t="shared" si="388"/>
        <v>1357.9166666666667</v>
      </c>
      <c r="BC190" s="560"/>
      <c r="BD190" s="560">
        <f ca="1">IF(B190&gt;Summary!$A$1,#N/A,BB190*MGtoAF)</f>
        <v>4166.088333333334</v>
      </c>
      <c r="BE190" s="560">
        <f>Sheet1!BG192+Sheet1!BH192+Sheet1!BI192-BM190</f>
        <v>0</v>
      </c>
      <c r="BF190" s="560">
        <f t="shared" si="389"/>
        <v>0</v>
      </c>
      <c r="BG190" s="560">
        <f>IF(Sheet1!EP192="FM",BM190,0)</f>
        <v>0</v>
      </c>
      <c r="BH190" s="560">
        <f t="shared" si="390"/>
        <v>0</v>
      </c>
      <c r="BI190" s="560">
        <f>IF(Sheet1!EP192="OTHER",BM190,0)</f>
        <v>0</v>
      </c>
      <c r="BJ190" s="560">
        <f t="shared" si="391"/>
        <v>0</v>
      </c>
      <c r="BK190" s="560">
        <f t="shared" si="392"/>
        <v>0</v>
      </c>
      <c r="BL190" s="560">
        <f t="shared" si="393"/>
        <v>0</v>
      </c>
      <c r="BM190" s="560">
        <f>IF(OR(Sheet1!EP192="FM", Sheet1!EP192="OTHER"),SUM(Sheet1!BG192:'Sheet1'!BI192),0)</f>
        <v>0</v>
      </c>
      <c r="BN190" s="545">
        <f>IF(AND($B190&gt;=$FV190,$B190&lt;=$FW190),MAX(BF190,Sheet1!#REF!,0),MAX(BF190-(7/36)*$K190,0))</f>
        <v>0</v>
      </c>
      <c r="BO190" s="560">
        <f t="shared" si="394"/>
        <v>0</v>
      </c>
      <c r="BP190" s="545">
        <f t="shared" si="395"/>
        <v>0</v>
      </c>
      <c r="BQ190" s="545">
        <f>IF(AND($O190&gt;0,Sheet1!EM192=1),(1-($O190-Sheet1!$L192)/$O190)*BL190,0)</f>
        <v>0</v>
      </c>
      <c r="BR190" s="545">
        <f>IF(AND(Sheet1!$L192=0,Sheet1!$L191=0, Calculation!BK190&lt;Sheet1!$EI192-0.1,Sheet1!$EI192=Sheet1!$EI191,Sheet1!$EI192=Sheet1!$EI193),Sheet1!$EI192,BL190-BQ190)</f>
        <v>0</v>
      </c>
      <c r="BS190" s="560"/>
      <c r="BT190" s="560"/>
      <c r="BU190" s="560">
        <f t="shared" si="396"/>
        <v>633.69444444444446</v>
      </c>
      <c r="BV190" s="560"/>
      <c r="BW190" s="560">
        <f ca="1">IF(B190&gt;Summary!$A$1,#N/A,BU190*MGtoAF)</f>
        <v>1944.1745555555556</v>
      </c>
      <c r="BX190" s="560">
        <f>Sheet1!BC192+Sheet1!BD192+Sheet1!BE192+Sheet1!BF192-CG190-CH190</f>
        <v>4</v>
      </c>
      <c r="BY190" s="560">
        <f t="shared" si="397"/>
        <v>3.989408649602824</v>
      </c>
      <c r="BZ190" s="560">
        <f>IF(Sheet1!EQ192="FM",CH190,0)</f>
        <v>0</v>
      </c>
      <c r="CA190" s="560">
        <f t="shared" si="398"/>
        <v>0</v>
      </c>
      <c r="CB190" s="560">
        <f>IF(Sheet1!EQ192="OTHER",CH190,0)</f>
        <v>0</v>
      </c>
      <c r="CC190" s="560">
        <f t="shared" si="399"/>
        <v>0</v>
      </c>
      <c r="CD190" s="560">
        <f t="shared" si="400"/>
        <v>0</v>
      </c>
      <c r="CE190" s="560">
        <f t="shared" si="401"/>
        <v>4</v>
      </c>
      <c r="CF190" s="560">
        <f t="shared" si="402"/>
        <v>3.989408649602824</v>
      </c>
      <c r="CG190" s="560">
        <f>IF(Sheet1!EQ192="CWA",SUM(Sheet1!BC192:'Sheet1'!BF192),0)</f>
        <v>0</v>
      </c>
      <c r="CH190" s="560">
        <f>IF(OR(Sheet1!EQ192="FM", Sheet1!EQ192="OTHER"),SUM(Sheet1!BC192:'Sheet1'!BF192),0)</f>
        <v>0</v>
      </c>
      <c r="CI190" s="545">
        <f>IF(AND($B190&gt;=$FV190,$B190&lt;=$FW190),MAX(CF190,Sheet1!EJ192,0),MAX(CF190-(7/36)*$K190,0))</f>
        <v>0</v>
      </c>
      <c r="CJ190" s="560">
        <f t="shared" si="403"/>
        <v>0</v>
      </c>
      <c r="CK190" s="545">
        <f t="shared" si="404"/>
        <v>3.989408649602824</v>
      </c>
      <c r="CL190" s="545">
        <f>IF(AND($O190&gt;0,Sheet1!EN192=1),(1-($O190-Sheet1!$L192)/$O190)*CF190,0)</f>
        <v>0</v>
      </c>
      <c r="CM190" s="545">
        <f>IF(AND(Sheet1!$L192=0,Sheet1!$L191=0, Calculation!CE190&lt;Sheet1!EJ192-0.1,Sheet1!EJ192=Sheet1!EJ191,Sheet1!EJ192=Sheet1!EJ193),Sheet1!EJ192,CF190-CL190)</f>
        <v>3.989408649602824</v>
      </c>
      <c r="CN190" s="545"/>
      <c r="CO190" s="560"/>
      <c r="CP190" s="560">
        <f t="shared" si="405"/>
        <v>633.69444444444446</v>
      </c>
      <c r="CQ190" s="560"/>
      <c r="CR190" s="560">
        <f ca="1">IF(B190&gt;Summary!$A$1,#N/A,CP190*MGtoAF)</f>
        <v>1944.1745555555556</v>
      </c>
      <c r="CS190" s="560">
        <f>Sheet1!BK192+Sheet1!BL192+Sheet1!BM192-Sheet1!ER192-DA190</f>
        <v>8.2899999999999991</v>
      </c>
      <c r="CT190" s="560">
        <f t="shared" si="406"/>
        <v>8.268049426301852</v>
      </c>
      <c r="CU190" s="560">
        <f>IF(Sheet1!ER192="FM",DA190,0)</f>
        <v>0</v>
      </c>
      <c r="CV190" s="560">
        <f t="shared" si="407"/>
        <v>0</v>
      </c>
      <c r="CW190" s="560">
        <f>IF(Sheet1!ER192="OTHER",DA190,0)</f>
        <v>0</v>
      </c>
      <c r="CX190" s="560">
        <f t="shared" si="408"/>
        <v>0</v>
      </c>
      <c r="CY190" s="560">
        <f t="shared" si="409"/>
        <v>8.2899999999999991</v>
      </c>
      <c r="CZ190" s="560">
        <f t="shared" si="410"/>
        <v>8.268049426301852</v>
      </c>
      <c r="DA190" s="560">
        <f>IF(OR(Sheet1!ER192="FM", Sheet1!ER192="OTHER"),SUM(Sheet1!BK192:'Sheet1'!BM192),0)</f>
        <v>0</v>
      </c>
      <c r="DB190" s="545">
        <f>IF(AND($B190&gt;=$FV190,$B190&lt;=$FW190),MAX($CT190,Sheet1!EK192,0),MAX($CT190-(7/36)*$K190,0))</f>
        <v>0</v>
      </c>
      <c r="DC190" s="560">
        <f t="shared" si="411"/>
        <v>0</v>
      </c>
      <c r="DD190" s="545">
        <f t="shared" si="412"/>
        <v>8.268049426301852</v>
      </c>
      <c r="DE190" s="545">
        <f>IF(AND($O190&gt;0,Sheet1!EO192=1),(1-($O190-Sheet1!$L192)/$O190)*CZ190,0)</f>
        <v>0</v>
      </c>
      <c r="DF190" s="545">
        <f>IF(AND(Sheet1!$L192=0,Sheet1!$L191=0, Calculation!CY190&lt;Sheet1!$EK192-0.1,Sheet1!$EK192=Sheet1!$EK191,Sheet1!$EK192=Sheet1!$EK193),Sheet1!$EK192,CZ190-DE190)</f>
        <v>8.5</v>
      </c>
      <c r="DG190" s="545"/>
      <c r="DH190" s="560">
        <f t="shared" si="413"/>
        <v>12.29</v>
      </c>
      <c r="DI190" s="560">
        <f t="shared" si="414"/>
        <v>633.69444444444446</v>
      </c>
      <c r="DJ190" s="698">
        <f t="shared" si="415"/>
        <v>12.257458075904676</v>
      </c>
      <c r="DK190" s="560">
        <f ca="1">IF(B190&gt;Summary!$A$1,#N/A,DI190*MGtoAF)</f>
        <v>1944.1745555555556</v>
      </c>
      <c r="DL190" s="698">
        <f t="shared" si="416"/>
        <v>12.29</v>
      </c>
      <c r="DM190" s="560">
        <f t="shared" si="417"/>
        <v>33.99</v>
      </c>
      <c r="DN190" s="560">
        <f>Sheet1!AB192-DM190</f>
        <v>-9.0000000000003411E-2</v>
      </c>
      <c r="DO190" s="823">
        <f t="shared" si="418"/>
        <v>-2.6478375992940104E-3</v>
      </c>
      <c r="DP190" s="560">
        <f>(VLOOKUP(Sheet1!DC192,hhdcap_wcm,4)-(((VLOOKUP(Sheet1!DC192,hhdcap_wcm,3)-Sheet1!DC192)/(VLOOKUP(Sheet1!DC192,hhdcap_wcm,3)-VLOOKUP(Sheet1!DC192,hhdcap_wcm,1)))*(VLOOKUP(Sheet1!DC192,hhdcap_wcm,4)-VLOOKUP(Sheet1!DC192,hhdcap_wcm,2))))</f>
        <v>47574.000000114582</v>
      </c>
      <c r="DQ190" s="560">
        <f t="shared" si="419"/>
        <v>-111.00000000103319</v>
      </c>
      <c r="DR190" s="560">
        <f t="shared" si="420"/>
        <v>-55.975794251655657</v>
      </c>
      <c r="DS190" s="560">
        <f>Sheet1!EA192*AFtoMG</f>
        <v>0</v>
      </c>
      <c r="DT190" s="560">
        <f>Sheet1!EB192*AFtoMG</f>
        <v>0</v>
      </c>
      <c r="DU190" s="560">
        <f>Sheet1!EC192*AFtoMG</f>
        <v>0</v>
      </c>
      <c r="DV190" s="560">
        <f>Sheet1!ED192*AFtoMG</f>
        <v>0</v>
      </c>
      <c r="DW190" s="560">
        <f t="shared" si="421"/>
        <v>0</v>
      </c>
      <c r="DX190" s="560">
        <f t="shared" si="422"/>
        <v>0</v>
      </c>
      <c r="DY190" s="560">
        <f t="shared" si="423"/>
        <v>3259</v>
      </c>
      <c r="DZ190" s="560">
        <f t="shared" si="424"/>
        <v>9998.612000000001</v>
      </c>
      <c r="EA190" s="560"/>
      <c r="EB190" s="545">
        <f>IF(OR(B190&lt;FV190,B190&gt;FW190),(MIN(BF190+BY190+CT190+MAX(Sheet1!AA192+AQ190-73,0),K190)),0)</f>
        <v>12.257458075904676</v>
      </c>
      <c r="EC190" s="560"/>
      <c r="ED190" s="560">
        <f t="shared" si="425"/>
        <v>12.257458075904676</v>
      </c>
      <c r="EE190" s="560"/>
      <c r="EF190" s="560" t="e">
        <f>Sheet1!EI192+Sheet1!#REF!+Sheet1!EJ192+Sheet1!EK192</f>
        <v>#REF!</v>
      </c>
      <c r="EG190" s="560"/>
      <c r="EH190" s="545">
        <f t="shared" si="426"/>
        <v>0</v>
      </c>
      <c r="EI190" s="560">
        <f>IF(Sheet1!ET192=1,SUM('Calculations II'!AT190:BA190)+'Calculations II'!BC190+Sheet1!BV192+'Calculations II'!BE190+AP190,SUM('Calculations II'!AT190:BA190)+'Calculations II'!BC190+Sheet1!BV192+'Calculations II'!BE190+AP190)</f>
        <v>67.302464000000015</v>
      </c>
      <c r="EJ190" s="560">
        <f>Sheet1!AA192+Sheet1!AB192+'Calculations II'!BC190</f>
        <v>74.740000000000009</v>
      </c>
      <c r="EK190" s="560"/>
      <c r="EL190" s="560"/>
      <c r="EM190" s="560">
        <f t="shared" si="427"/>
        <v>41818</v>
      </c>
      <c r="EN190" s="560">
        <f t="shared" si="428"/>
        <v>0</v>
      </c>
      <c r="EO190" s="560">
        <f t="shared" si="429"/>
        <v>0</v>
      </c>
      <c r="EP190" s="560">
        <v>0</v>
      </c>
      <c r="EQ190" s="560">
        <v>0</v>
      </c>
      <c r="ER190" s="560">
        <v>0</v>
      </c>
      <c r="ES190" s="545">
        <f t="shared" si="349"/>
        <v>-2.7748244850973487</v>
      </c>
      <c r="ET190" s="560">
        <f>-(VLOOKUP(Sheet1!BQ192,Lookup!$O$4:$Q$262,2)-VLOOKUP(Sheet1!BQ191,Lookup!$O$4:$Q$262,2))/1000000</f>
        <v>-1.3874443134268784</v>
      </c>
      <c r="EU190" s="560">
        <f>-(VLOOKUP(Sheet1!BR192,Lookup!$O$4:$Q$262,3)-VLOOKUP(Sheet1!BR191,Lookup!$O$4:$Q$262,3))/1000000</f>
        <v>-1.3873801716704703</v>
      </c>
      <c r="EV190" s="560"/>
      <c r="EW190" s="560"/>
      <c r="EX190" s="560"/>
      <c r="EY190" s="560"/>
      <c r="EZ190" s="560"/>
      <c r="FA190" s="560"/>
      <c r="FB190" s="560"/>
      <c r="FC190" s="560"/>
      <c r="FD190" s="594" t="e">
        <f t="shared" si="430"/>
        <v>#N/A</v>
      </c>
      <c r="FE190" s="594" t="e">
        <f t="shared" si="431"/>
        <v>#N/A</v>
      </c>
      <c r="FF190" s="595" t="e">
        <f t="shared" si="432"/>
        <v>#N/A</v>
      </c>
      <c r="FG190" s="596" t="s">
        <v>692</v>
      </c>
      <c r="FH190" s="596" t="s">
        <v>692</v>
      </c>
      <c r="FI190" s="594" t="e">
        <v>#N/A</v>
      </c>
      <c r="FJ190" s="594" t="e">
        <v>#N/A</v>
      </c>
      <c r="FK190" s="560">
        <v>23700</v>
      </c>
      <c r="FL190" s="560"/>
      <c r="FM190" s="560"/>
      <c r="FN190" s="560"/>
      <c r="FO190" s="560">
        <f>O190+((Sheet1!CS192)*GPMtoMGD)</f>
        <v>74.740000000000009</v>
      </c>
      <c r="FP190" s="560">
        <f>IF(Sheet1!AA192+AQ190&lt;=Calculation!N190,AQ190,Calculation!N190-Sheet1!AA192)</f>
        <v>20.046778464254192</v>
      </c>
      <c r="FQ190" s="560">
        <f>(Sheet1!BP192+Sheet1!BO192)/694.4</f>
        <v>2.8824884792626726</v>
      </c>
      <c r="FR190" s="560"/>
      <c r="FS190" s="560"/>
      <c r="FT190" s="560"/>
      <c r="FU190" s="560"/>
      <c r="FV190" s="695">
        <f t="shared" si="350"/>
        <v>41827</v>
      </c>
      <c r="FW190" s="695">
        <f t="shared" si="351"/>
        <v>41934</v>
      </c>
      <c r="FX190" s="560"/>
      <c r="FY190" s="560"/>
      <c r="FZ190" s="560"/>
      <c r="GA190" s="560"/>
      <c r="GB190" s="560" t="str">
        <f t="shared" si="352"/>
        <v>n</v>
      </c>
      <c r="GC190" s="564">
        <f t="shared" si="353"/>
        <v>41691</v>
      </c>
      <c r="GD190" s="695">
        <f t="shared" si="354"/>
        <v>41807</v>
      </c>
      <c r="GE190" s="560">
        <v>6518.9</v>
      </c>
      <c r="GF190" s="695">
        <f t="shared" si="355"/>
        <v>41808</v>
      </c>
      <c r="GG190" s="560">
        <f t="shared" si="374"/>
        <v>3259</v>
      </c>
      <c r="GH190" s="564">
        <f t="shared" si="356"/>
        <v>41934</v>
      </c>
      <c r="GJ190" s="545">
        <f t="shared" si="357"/>
        <v>0</v>
      </c>
      <c r="GK190" s="560" t="str">
        <f t="shared" si="433"/>
        <v/>
      </c>
      <c r="GL190" s="560">
        <f t="shared" si="358"/>
        <v>0</v>
      </c>
      <c r="GM190" s="560" t="str">
        <f t="shared" si="359"/>
        <v/>
      </c>
      <c r="GN190" s="560">
        <f>IF(GK190="P",Lookup!$M$12,IF(GK190="PP",Lookup!$M$13,IF(GK190="PPP",Lookup!$M$14,IF(GK190="T",Lookup!$M$15,IF(GK190="TP",Lookup!$M$16,IF(GK190="TPP",Lookup!$M$17,IF(GK190="TPPP",Lookup!$M$18,0)))))))*GJ190</f>
        <v>0</v>
      </c>
      <c r="GO190" s="560">
        <f t="shared" si="360"/>
        <v>0</v>
      </c>
      <c r="GP190" s="560">
        <f t="shared" si="434"/>
        <v>4166.088333333334</v>
      </c>
      <c r="GQ190" s="560">
        <f t="shared" si="368"/>
        <v>1357.9166666666667</v>
      </c>
      <c r="GR190" s="560"/>
      <c r="GS190" s="560">
        <f t="shared" si="361"/>
        <v>0</v>
      </c>
      <c r="GT190" s="560" t="str">
        <f t="shared" si="362"/>
        <v/>
      </c>
      <c r="GU190" s="560">
        <f>IF(GK190="P",Lookup!$N$12,IF(GK190="PP",Lookup!$N$13,IF(GK190="PPP",Lookup!$N$14,IF(GK190="T",Lookup!$N$15,IF(GK190="TP",Lookup!$N$16,IF(GK190="TPP",Lookup!$N$17,IF(GK190="TPPP",Lookup!$N$18,0)))))))*GJ190</f>
        <v>0</v>
      </c>
      <c r="GV190" s="560">
        <f t="shared" si="363"/>
        <v>0</v>
      </c>
      <c r="GW190" s="560">
        <f t="shared" si="435"/>
        <v>1944.1745555555556</v>
      </c>
      <c r="GX190" s="560">
        <f t="shared" si="369"/>
        <v>633.69444444444446</v>
      </c>
      <c r="GY190" s="560"/>
      <c r="GZ190" s="560">
        <f t="shared" si="364"/>
        <v>0</v>
      </c>
      <c r="HA190" s="560" t="str">
        <f t="shared" si="365"/>
        <v/>
      </c>
      <c r="HB190" s="560">
        <f>IF(GK190="P",Lookup!$N$12,IF(GK190="PP",Lookup!$N$13,IF(GK190="PPP",Lookup!$N$14,IF(GK190="T",Lookup!$N$15,IF(GK190="TP",Lookup!$N$16,IF(GK190="TPP",Lookup!$N$17,IF(GK190="TPPP",Lookup!$N$18,0)))))))*GJ190</f>
        <v>0</v>
      </c>
      <c r="HC190" s="545">
        <f t="shared" si="436"/>
        <v>0</v>
      </c>
      <c r="HD190" s="560">
        <f t="shared" si="437"/>
        <v>1944.1745555555556</v>
      </c>
      <c r="HE190" s="560">
        <f t="shared" si="370"/>
        <v>633.69444444444446</v>
      </c>
      <c r="HF190" s="560"/>
      <c r="HG190" s="560">
        <f t="shared" si="366"/>
        <v>0</v>
      </c>
      <c r="HH190" s="560" t="str">
        <f t="shared" si="367"/>
        <v/>
      </c>
      <c r="HI190" s="560">
        <f>IF(GK190="P",Lookup!$N$12,IF(GK190="PP",Lookup!$N$13,IF(GK190="PPP",Lookup!$N$14,IF(GK190="T",Lookup!$N$15,IF(GK190="TP",Lookup!$N$16,IF(GK190="TPP",Lookup!$N$17,IF(GK190="TPPP",Lookup!$N$18,0)))))))*GJ190</f>
        <v>0</v>
      </c>
      <c r="HJ190" s="545">
        <f t="shared" si="438"/>
        <v>0</v>
      </c>
      <c r="HK190" s="560">
        <f t="shared" si="439"/>
        <v>1944.1745555555556</v>
      </c>
      <c r="HL190" s="560">
        <f t="shared" si="371"/>
        <v>633.69444444444446</v>
      </c>
      <c r="HM190" s="560"/>
    </row>
    <row r="191" spans="1:221">
      <c r="A191" s="580" t="s">
        <v>3</v>
      </c>
      <c r="B191" s="556">
        <v>41819</v>
      </c>
      <c r="C191" s="561">
        <v>0</v>
      </c>
      <c r="D191" s="529">
        <f t="shared" si="372"/>
        <v>300</v>
      </c>
      <c r="E191" s="529">
        <f t="shared" si="373"/>
        <v>250</v>
      </c>
      <c r="F191" s="529">
        <v>250</v>
      </c>
      <c r="G191" s="560">
        <f>DR191+Sheet1!CZ193</f>
        <v>638.3903177004546</v>
      </c>
      <c r="H191" s="1082">
        <f t="shared" si="442"/>
        <v>218.73550136157385</v>
      </c>
      <c r="I191" s="559">
        <f>Sheet1!DA193-E191</f>
        <v>587</v>
      </c>
      <c r="J191" s="562">
        <f>Sheet1!DB193-Calculation!D191</f>
        <v>275</v>
      </c>
      <c r="K191" s="904">
        <f t="shared" si="375"/>
        <v>64.64</v>
      </c>
      <c r="L191" s="560">
        <f>Sheet1!AA193+Sheet1!AB193-Sheet1!L193+(Sheet1!DA193-F191)*CFStoMGD</f>
        <v>443.99680000000001</v>
      </c>
      <c r="M191" s="560">
        <f t="shared" si="376"/>
        <v>420.90861138880535</v>
      </c>
      <c r="N191" s="910">
        <f>IF(Sheet1!DA193&gt;=F191,MIN(73,MIN(MAX(L191,0),MAX(M191,0))),0)</f>
        <v>73</v>
      </c>
      <c r="O191" s="563">
        <f>Sheet1!AA193+Sheet1!AB193</f>
        <v>64.56</v>
      </c>
      <c r="P191" s="563">
        <f t="shared" si="377"/>
        <v>99.874320000000012</v>
      </c>
      <c r="Q191" s="898">
        <f t="shared" si="339"/>
        <v>0</v>
      </c>
      <c r="R191" s="829" t="e">
        <f t="shared" si="378"/>
        <v>#REF!</v>
      </c>
      <c r="S191" s="898">
        <f t="shared" si="340"/>
        <v>64.56</v>
      </c>
      <c r="T191" s="898">
        <f t="shared" si="341"/>
        <v>0</v>
      </c>
      <c r="U191" s="898">
        <f t="shared" si="342"/>
        <v>0</v>
      </c>
      <c r="V191" s="898"/>
      <c r="W191" s="898">
        <f t="shared" si="343"/>
        <v>52.793904761904763</v>
      </c>
      <c r="X191" s="898">
        <f t="shared" si="344"/>
        <v>64.56</v>
      </c>
      <c r="Y191" s="898" t="str">
        <f t="shared" si="345"/>
        <v/>
      </c>
      <c r="Z191" s="898">
        <f t="shared" si="346"/>
        <v>64.56</v>
      </c>
      <c r="AA191" s="898">
        <f t="shared" si="347"/>
        <v>64.56</v>
      </c>
      <c r="AB191" s="898" t="str">
        <f t="shared" si="348"/>
        <v/>
      </c>
      <c r="AC191" s="563">
        <f>Sheet1!Y193*MGDtoCFS</f>
        <v>63.179480000000005</v>
      </c>
      <c r="AD191" s="563">
        <f>Sheet1!Z193*MGDtoCFS</f>
        <v>52.443299999999994</v>
      </c>
      <c r="AE191" s="563">
        <f>Sheet1!AA193*MGDtoCFS</f>
        <v>59.652320000000003</v>
      </c>
      <c r="AF191" s="563">
        <f>Sheet1!AB193*MGDtoCFS</f>
        <v>40.222000000000001</v>
      </c>
      <c r="AG191" s="563">
        <f>Sheet1!L193*MGDtoCFS</f>
        <v>0</v>
      </c>
      <c r="AH191" s="545">
        <f t="shared" si="379"/>
        <v>0</v>
      </c>
      <c r="AI191" s="560">
        <f t="shared" si="380"/>
        <v>0</v>
      </c>
      <c r="AJ191" s="560">
        <f t="shared" si="381"/>
        <v>0</v>
      </c>
      <c r="AK191" s="560">
        <f t="shared" si="382"/>
        <v>0</v>
      </c>
      <c r="AL191" s="560">
        <f>(VLOOKUP(Sheet1!DC193,hhdcap_wcm,4)-(((VLOOKUP(Sheet1!DC193,hhdcap_wcm,3)-Sheet1!DC193)/(VLOOKUP(Sheet1!DC193,hhdcap_wcm,3)-VLOOKUP(Sheet1!DC193,hhdcap_wcm,1)))*(VLOOKUP(Sheet1!DC193,hhdcap_wcm,4)-VLOOKUP(Sheet1!DC193,hhdcap_wcm,2))))</f>
        <v>47618.400000114583</v>
      </c>
      <c r="AM191" s="560">
        <f t="shared" si="383"/>
        <v>44.400000000001455</v>
      </c>
      <c r="AN191" s="560">
        <f t="shared" si="384"/>
        <v>3259</v>
      </c>
      <c r="AO191" s="560">
        <f t="shared" si="385"/>
        <v>9998.612000000001</v>
      </c>
      <c r="AP191" s="560">
        <f>Sheet1!BA193+Sheet1!BB193+Sheet1!BN193+CD191</f>
        <v>14.29</v>
      </c>
      <c r="AQ191" s="560">
        <f>Sheet1!BN193+(DO191*Sheet1!BN193)</f>
        <v>12.579047619047618</v>
      </c>
      <c r="AR191" s="560">
        <f>Sheet1!BA193+CD191</f>
        <v>0</v>
      </c>
      <c r="AS191" s="560">
        <f>Sheet1!BA193+Sheet1!BB193+CD191</f>
        <v>1.59</v>
      </c>
      <c r="AT191" s="698">
        <f>0</f>
        <v>0</v>
      </c>
      <c r="AU191" s="560">
        <f>IF(EB191&lt;K191,0,MAX(Sheet1!AA193+AQ191-15/36*K191-N191,Sheet1!EI193,0))</f>
        <v>0</v>
      </c>
      <c r="AV191" s="560">
        <f>IF(OR(B191&gt;=GD191,B191&lt;GC191),0,15/36*K191-MAX(0,64.6-(137.6-(Sheet1!AA193+Sheet1!AB193))))</f>
        <v>0</v>
      </c>
      <c r="AW191" s="698">
        <f>Sheet1!DB193-110</f>
        <v>465</v>
      </c>
      <c r="AX191" s="698">
        <f>Sheet1!DA193-265</f>
        <v>572</v>
      </c>
      <c r="AY191" s="698">
        <f t="shared" si="386"/>
        <v>73</v>
      </c>
      <c r="AZ191" s="698">
        <v>0</v>
      </c>
      <c r="BA191" s="698">
        <f t="shared" si="387"/>
        <v>0</v>
      </c>
      <c r="BB191" s="560">
        <f t="shared" si="388"/>
        <v>1357.9166666666667</v>
      </c>
      <c r="BC191" s="560"/>
      <c r="BD191" s="560">
        <f ca="1">IF(B191&gt;Summary!$A$1,#N/A,BB191*MGtoAF)</f>
        <v>4166.088333333334</v>
      </c>
      <c r="BE191" s="560">
        <f>Sheet1!BG193+Sheet1!BH193+Sheet1!BI193-BM191</f>
        <v>0</v>
      </c>
      <c r="BF191" s="560">
        <f t="shared" si="389"/>
        <v>0</v>
      </c>
      <c r="BG191" s="560">
        <f>IF(Sheet1!EP193="FM",BM191,0)</f>
        <v>0</v>
      </c>
      <c r="BH191" s="560">
        <f t="shared" si="390"/>
        <v>0</v>
      </c>
      <c r="BI191" s="560">
        <f>IF(Sheet1!EP193="OTHER",BM191,0)</f>
        <v>0</v>
      </c>
      <c r="BJ191" s="560">
        <f t="shared" si="391"/>
        <v>0</v>
      </c>
      <c r="BK191" s="560">
        <f t="shared" si="392"/>
        <v>0</v>
      </c>
      <c r="BL191" s="560">
        <f t="shared" si="393"/>
        <v>0</v>
      </c>
      <c r="BM191" s="560">
        <f>IF(OR(Sheet1!EP193="FM", Sheet1!EP193="OTHER"),SUM(Sheet1!BG193:'Sheet1'!BI193),0)</f>
        <v>0</v>
      </c>
      <c r="BN191" s="545">
        <f>IF(AND($B191&gt;=$FV191,$B191&lt;=$FW191),MAX(BF191,Sheet1!#REF!,0),MAX(BF191-(7/36)*$K191,0))</f>
        <v>0</v>
      </c>
      <c r="BO191" s="560">
        <f t="shared" si="394"/>
        <v>0</v>
      </c>
      <c r="BP191" s="545">
        <f t="shared" si="395"/>
        <v>0</v>
      </c>
      <c r="BQ191" s="545">
        <f>IF(AND($O191&gt;0,Sheet1!EM193=1),(1-($O191-Sheet1!$L193)/$O191)*BL191,0)</f>
        <v>0</v>
      </c>
      <c r="BR191" s="545">
        <f>IF(AND(Sheet1!$L193=0,Sheet1!$L192=0, Calculation!BK191&lt;Sheet1!$EI193-0.1,Sheet1!$EI193=Sheet1!$EI192,Sheet1!$EI193=Sheet1!$EI194),Sheet1!$EI193,BL191-BQ191)</f>
        <v>0</v>
      </c>
      <c r="BS191" s="560"/>
      <c r="BT191" s="560"/>
      <c r="BU191" s="560">
        <f t="shared" si="396"/>
        <v>633.69444444444446</v>
      </c>
      <c r="BV191" s="560"/>
      <c r="BW191" s="560">
        <f ca="1">IF(B191&gt;Summary!$A$1,#N/A,BU191*MGtoAF)</f>
        <v>1944.1745555555556</v>
      </c>
      <c r="BX191" s="560">
        <f>Sheet1!BC193+Sheet1!BD193+Sheet1!BE193+Sheet1!BF193-CG191-CH191</f>
        <v>3.66</v>
      </c>
      <c r="BY191" s="560">
        <f t="shared" si="397"/>
        <v>3.6251428571428574</v>
      </c>
      <c r="BZ191" s="560">
        <f>IF(Sheet1!EQ193="FM",CH191,0)</f>
        <v>0</v>
      </c>
      <c r="CA191" s="560">
        <f t="shared" si="398"/>
        <v>0</v>
      </c>
      <c r="CB191" s="560">
        <f>IF(Sheet1!EQ193="OTHER",CH191,0)</f>
        <v>0</v>
      </c>
      <c r="CC191" s="560">
        <f t="shared" si="399"/>
        <v>0</v>
      </c>
      <c r="CD191" s="560">
        <f t="shared" si="400"/>
        <v>0</v>
      </c>
      <c r="CE191" s="560">
        <f t="shared" si="401"/>
        <v>3.66</v>
      </c>
      <c r="CF191" s="560">
        <f t="shared" si="402"/>
        <v>3.6251428571428574</v>
      </c>
      <c r="CG191" s="560">
        <f>IF(Sheet1!EQ193="CWA",SUM(Sheet1!BC193:'Sheet1'!BF193),0)</f>
        <v>0</v>
      </c>
      <c r="CH191" s="560">
        <f>IF(OR(Sheet1!EQ193="FM", Sheet1!EQ193="OTHER"),SUM(Sheet1!BC193:'Sheet1'!BF193),0)</f>
        <v>0</v>
      </c>
      <c r="CI191" s="545">
        <f>IF(AND($B191&gt;=$FV191,$B191&lt;=$FW191),MAX(CF191,Sheet1!EJ193,0),MAX(CF191-(7/36)*$K191,0))</f>
        <v>0</v>
      </c>
      <c r="CJ191" s="560">
        <f t="shared" si="403"/>
        <v>0</v>
      </c>
      <c r="CK191" s="545">
        <f t="shared" si="404"/>
        <v>3.6251428571428574</v>
      </c>
      <c r="CL191" s="545">
        <f>IF(AND($O191&gt;0,Sheet1!EN193=1),(1-($O191-Sheet1!$L193)/$O191)*CF191,0)</f>
        <v>0</v>
      </c>
      <c r="CM191" s="545">
        <f>IF(AND(Sheet1!$L193=0,Sheet1!$L192=0, Calculation!CE191&lt;Sheet1!EJ193-0.1,Sheet1!EJ193=Sheet1!EJ192,Sheet1!EJ193=Sheet1!EJ194),Sheet1!EJ193,CF191-CL191)</f>
        <v>3.6251428571428574</v>
      </c>
      <c r="CN191" s="545"/>
      <c r="CO191" s="560"/>
      <c r="CP191" s="560">
        <f t="shared" si="405"/>
        <v>633.69444444444446</v>
      </c>
      <c r="CQ191" s="560"/>
      <c r="CR191" s="560">
        <f ca="1">IF(B191&gt;Summary!$A$1,#N/A,CP191*MGtoAF)</f>
        <v>1944.1745555555556</v>
      </c>
      <c r="CS191" s="560">
        <f>Sheet1!BK193+Sheet1!BL193+Sheet1!BM193-Sheet1!ER193-DA191</f>
        <v>8.3000000000000007</v>
      </c>
      <c r="CT191" s="560">
        <f t="shared" si="406"/>
        <v>8.2209523809523812</v>
      </c>
      <c r="CU191" s="560">
        <f>IF(Sheet1!ER193="FM",DA191,0)</f>
        <v>0</v>
      </c>
      <c r="CV191" s="560">
        <f t="shared" si="407"/>
        <v>0</v>
      </c>
      <c r="CW191" s="560">
        <f>IF(Sheet1!ER193="OTHER",DA191,0)</f>
        <v>0</v>
      </c>
      <c r="CX191" s="560">
        <f t="shared" si="408"/>
        <v>0</v>
      </c>
      <c r="CY191" s="560">
        <f t="shared" si="409"/>
        <v>8.3000000000000007</v>
      </c>
      <c r="CZ191" s="560">
        <f t="shared" si="410"/>
        <v>8.2209523809523812</v>
      </c>
      <c r="DA191" s="560">
        <f>IF(OR(Sheet1!ER193="FM", Sheet1!ER193="OTHER"),SUM(Sheet1!BK193:'Sheet1'!BM193),0)</f>
        <v>0</v>
      </c>
      <c r="DB191" s="545">
        <f>IF(AND($B191&gt;=$FV191,$B191&lt;=$FW191),MAX($CT191,Sheet1!EK193,0),MAX($CT191-(7/36)*$K191,0))</f>
        <v>0</v>
      </c>
      <c r="DC191" s="560">
        <f t="shared" si="411"/>
        <v>0</v>
      </c>
      <c r="DD191" s="545">
        <f t="shared" si="412"/>
        <v>8.2209523809523812</v>
      </c>
      <c r="DE191" s="545">
        <f>IF(AND($O191&gt;0,Sheet1!EO193=1),(1-($O191-Sheet1!$L193)/$O191)*CZ191,0)</f>
        <v>0</v>
      </c>
      <c r="DF191" s="545">
        <f>IF(AND(Sheet1!$L193=0,Sheet1!$L192=0, Calculation!CY191&lt;Sheet1!$EK193-0.1,Sheet1!$EK193=Sheet1!$EK192,Sheet1!$EK193=Sheet1!$EK194),Sheet1!$EK193,CZ191-DE191)</f>
        <v>8.2209523809523812</v>
      </c>
      <c r="DG191" s="545"/>
      <c r="DH191" s="560">
        <f t="shared" si="413"/>
        <v>11.96</v>
      </c>
      <c r="DI191" s="560">
        <f t="shared" si="414"/>
        <v>633.69444444444446</v>
      </c>
      <c r="DJ191" s="698">
        <f t="shared" si="415"/>
        <v>11.846095238095238</v>
      </c>
      <c r="DK191" s="560">
        <f ca="1">IF(B191&gt;Summary!$A$1,#N/A,DI191*MGtoAF)</f>
        <v>1944.1745555555556</v>
      </c>
      <c r="DL191" s="698">
        <f t="shared" si="416"/>
        <v>11.96</v>
      </c>
      <c r="DM191" s="560">
        <f t="shared" si="417"/>
        <v>26.25</v>
      </c>
      <c r="DN191" s="560">
        <f>Sheet1!AB193-DM191</f>
        <v>-0.25</v>
      </c>
      <c r="DO191" s="823">
        <f t="shared" si="418"/>
        <v>-9.5238095238095247E-3</v>
      </c>
      <c r="DP191" s="560">
        <f>(VLOOKUP(Sheet1!DC193,hhdcap_wcm,4)-(((VLOOKUP(Sheet1!DC193,hhdcap_wcm,3)-Sheet1!DC193)/(VLOOKUP(Sheet1!DC193,hhdcap_wcm,3)-VLOOKUP(Sheet1!DC193,hhdcap_wcm,1)))*(VLOOKUP(Sheet1!DC193,hhdcap_wcm,4)-VLOOKUP(Sheet1!DC193,hhdcap_wcm,2))))</f>
        <v>47618.400000114583</v>
      </c>
      <c r="DQ191" s="560">
        <f t="shared" si="419"/>
        <v>44.400000000001455</v>
      </c>
      <c r="DR191" s="560">
        <f t="shared" si="420"/>
        <v>22.390317700454588</v>
      </c>
      <c r="DS191" s="560">
        <f>Sheet1!EA193*AFtoMG</f>
        <v>0</v>
      </c>
      <c r="DT191" s="560">
        <f>Sheet1!EB193*AFtoMG</f>
        <v>0</v>
      </c>
      <c r="DU191" s="560">
        <f>Sheet1!EC193*AFtoMG</f>
        <v>0</v>
      </c>
      <c r="DV191" s="560">
        <f>Sheet1!ED193*AFtoMG</f>
        <v>0</v>
      </c>
      <c r="DW191" s="560">
        <f t="shared" si="421"/>
        <v>0</v>
      </c>
      <c r="DX191" s="560">
        <f t="shared" si="422"/>
        <v>0</v>
      </c>
      <c r="DY191" s="560">
        <f t="shared" si="423"/>
        <v>3259</v>
      </c>
      <c r="DZ191" s="560">
        <f t="shared" si="424"/>
        <v>9998.612000000001</v>
      </c>
      <c r="EA191" s="560"/>
      <c r="EB191" s="545">
        <f>IF(OR(B191&lt;FV191,B191&gt;FW191),(MIN(BF191+BY191+CT191+MAX(Sheet1!AA193+AQ191-73,0),K191)),0)</f>
        <v>11.846095238095238</v>
      </c>
      <c r="EC191" s="560"/>
      <c r="ED191" s="560">
        <f t="shared" si="425"/>
        <v>11.846095238095238</v>
      </c>
      <c r="EE191" s="560"/>
      <c r="EF191" s="560" t="e">
        <f>Sheet1!EI193+Sheet1!#REF!+Sheet1!EJ193+Sheet1!EK193</f>
        <v>#REF!</v>
      </c>
      <c r="EG191" s="560"/>
      <c r="EH191" s="545">
        <f t="shared" si="426"/>
        <v>0</v>
      </c>
      <c r="EI191" s="560">
        <f>IF(Sheet1!ET193=1,SUM('Calculations II'!AT191:BA191)+'Calculations II'!BC191+Sheet1!BV193+'Calculations II'!BE191+AP191,SUM('Calculations II'!AT191:BA191)+'Calculations II'!BC191+Sheet1!BV193+'Calculations II'!BE191+AP191)</f>
        <v>64.966160000000002</v>
      </c>
      <c r="EJ191" s="560">
        <f>Sheet1!AA193+Sheet1!AB193+'Calculations II'!BC191</f>
        <v>64.56</v>
      </c>
      <c r="EK191" s="560"/>
      <c r="EL191" s="560"/>
      <c r="EM191" s="560">
        <f t="shared" si="427"/>
        <v>41819</v>
      </c>
      <c r="EN191" s="560">
        <f t="shared" si="428"/>
        <v>0</v>
      </c>
      <c r="EO191" s="560">
        <f t="shared" si="429"/>
        <v>0</v>
      </c>
      <c r="EP191" s="560">
        <v>0</v>
      </c>
      <c r="EQ191" s="560">
        <v>0</v>
      </c>
      <c r="ER191" s="560">
        <v>0</v>
      </c>
      <c r="ES191" s="545">
        <f t="shared" si="349"/>
        <v>3.884395110130753</v>
      </c>
      <c r="ET191" s="560">
        <f>-(VLOOKUP(Sheet1!BQ193,Lookup!$O$4:$Q$262,2)-VLOOKUP(Sheet1!BQ192,Lookup!$O$4:$Q$262,2))/1000000</f>
        <v>1.9422424522256627</v>
      </c>
      <c r="EU191" s="560">
        <f>-(VLOOKUP(Sheet1!BR193,Lookup!$O$4:$Q$262,3)-VLOOKUP(Sheet1!BR192,Lookup!$O$4:$Q$262,3))/1000000</f>
        <v>1.9421526579050905</v>
      </c>
      <c r="EV191" s="560"/>
      <c r="EW191" s="560"/>
      <c r="EX191" s="560"/>
      <c r="EY191" s="560"/>
      <c r="EZ191" s="560"/>
      <c r="FA191" s="560"/>
      <c r="FB191" s="560"/>
      <c r="FC191" s="560"/>
      <c r="FD191" s="594" t="e">
        <f t="shared" si="430"/>
        <v>#N/A</v>
      </c>
      <c r="FE191" s="594" t="e">
        <f t="shared" si="431"/>
        <v>#N/A</v>
      </c>
      <c r="FF191" s="595" t="e">
        <f t="shared" si="432"/>
        <v>#N/A</v>
      </c>
      <c r="FG191" s="596" t="s">
        <v>692</v>
      </c>
      <c r="FH191" s="596" t="s">
        <v>692</v>
      </c>
      <c r="FI191" s="594" t="e">
        <v>#N/A</v>
      </c>
      <c r="FJ191" s="594" t="e">
        <v>#N/A</v>
      </c>
      <c r="FK191" s="560">
        <v>23650</v>
      </c>
      <c r="FL191" s="560"/>
      <c r="FM191" s="560"/>
      <c r="FN191" s="560"/>
      <c r="FO191" s="560">
        <f>O191+((Sheet1!CS193)*GPMtoMGD)</f>
        <v>64.56</v>
      </c>
      <c r="FP191" s="560">
        <f>IF(Sheet1!AA193+AQ191&lt;=Calculation!N191,AQ191,Calculation!N191-Sheet1!AA193)</f>
        <v>12.579047619047618</v>
      </c>
      <c r="FQ191" s="560">
        <f>(Sheet1!BP193+Sheet1!BO193)/694.4</f>
        <v>2.2299827188940093</v>
      </c>
      <c r="FR191" s="560"/>
      <c r="FS191" s="560"/>
      <c r="FT191" s="560"/>
      <c r="FU191" s="560"/>
      <c r="FV191" s="695">
        <f t="shared" si="350"/>
        <v>41827</v>
      </c>
      <c r="FW191" s="695">
        <f t="shared" si="351"/>
        <v>41934</v>
      </c>
      <c r="FX191" s="560"/>
      <c r="FY191" s="560"/>
      <c r="FZ191" s="560"/>
      <c r="GA191" s="560"/>
      <c r="GB191" s="560" t="str">
        <f t="shared" si="352"/>
        <v>n</v>
      </c>
      <c r="GC191" s="564">
        <f t="shared" si="353"/>
        <v>41691</v>
      </c>
      <c r="GD191" s="695">
        <f t="shared" si="354"/>
        <v>41807</v>
      </c>
      <c r="GE191" s="560">
        <v>6518.9</v>
      </c>
      <c r="GF191" s="695">
        <f t="shared" si="355"/>
        <v>41808</v>
      </c>
      <c r="GG191" s="560">
        <f t="shared" si="374"/>
        <v>3259</v>
      </c>
      <c r="GH191" s="564">
        <f t="shared" si="356"/>
        <v>41934</v>
      </c>
      <c r="GJ191" s="545">
        <f t="shared" si="357"/>
        <v>0</v>
      </c>
      <c r="GK191" s="560" t="str">
        <f t="shared" si="433"/>
        <v/>
      </c>
      <c r="GL191" s="560">
        <f t="shared" si="358"/>
        <v>0</v>
      </c>
      <c r="GM191" s="560" t="str">
        <f t="shared" si="359"/>
        <v/>
      </c>
      <c r="GN191" s="560">
        <f>IF(GK191="P",Lookup!$M$12,IF(GK191="PP",Lookup!$M$13,IF(GK191="PPP",Lookup!$M$14,IF(GK191="T",Lookup!$M$15,IF(GK191="TP",Lookup!$M$16,IF(GK191="TPP",Lookup!$M$17,IF(GK191="TPPP",Lookup!$M$18,0)))))))*GJ191</f>
        <v>0</v>
      </c>
      <c r="GO191" s="560">
        <f t="shared" si="360"/>
        <v>0</v>
      </c>
      <c r="GP191" s="560">
        <f t="shared" si="434"/>
        <v>4166.088333333334</v>
      </c>
      <c r="GQ191" s="560">
        <f t="shared" si="368"/>
        <v>1357.9166666666667</v>
      </c>
      <c r="GR191" s="560"/>
      <c r="GS191" s="560">
        <f t="shared" si="361"/>
        <v>0</v>
      </c>
      <c r="GT191" s="560" t="str">
        <f t="shared" si="362"/>
        <v/>
      </c>
      <c r="GU191" s="560">
        <f>IF(GK191="P",Lookup!$N$12,IF(GK191="PP",Lookup!$N$13,IF(GK191="PPP",Lookup!$N$14,IF(GK191="T",Lookup!$N$15,IF(GK191="TP",Lookup!$N$16,IF(GK191="TPP",Lookup!$N$17,IF(GK191="TPPP",Lookup!$N$18,0)))))))*GJ191</f>
        <v>0</v>
      </c>
      <c r="GV191" s="560">
        <f t="shared" si="363"/>
        <v>0</v>
      </c>
      <c r="GW191" s="560">
        <f t="shared" si="435"/>
        <v>1944.1745555555556</v>
      </c>
      <c r="GX191" s="560">
        <f t="shared" si="369"/>
        <v>633.69444444444446</v>
      </c>
      <c r="GY191" s="560"/>
      <c r="GZ191" s="560">
        <f t="shared" si="364"/>
        <v>0</v>
      </c>
      <c r="HA191" s="560" t="str">
        <f t="shared" si="365"/>
        <v/>
      </c>
      <c r="HB191" s="560">
        <f>IF(GK191="P",Lookup!$N$12,IF(GK191="PP",Lookup!$N$13,IF(GK191="PPP",Lookup!$N$14,IF(GK191="T",Lookup!$N$15,IF(GK191="TP",Lookup!$N$16,IF(GK191="TPP",Lookup!$N$17,IF(GK191="TPPP",Lookup!$N$18,0)))))))*GJ191</f>
        <v>0</v>
      </c>
      <c r="HC191" s="545">
        <f t="shared" si="436"/>
        <v>0</v>
      </c>
      <c r="HD191" s="560">
        <f t="shared" si="437"/>
        <v>1944.1745555555556</v>
      </c>
      <c r="HE191" s="560">
        <f t="shared" si="370"/>
        <v>633.69444444444446</v>
      </c>
      <c r="HF191" s="560"/>
      <c r="HG191" s="560">
        <f t="shared" si="366"/>
        <v>0</v>
      </c>
      <c r="HH191" s="560" t="str">
        <f t="shared" si="367"/>
        <v/>
      </c>
      <c r="HI191" s="560">
        <f>IF(GK191="P",Lookup!$N$12,IF(GK191="PP",Lookup!$N$13,IF(GK191="PPP",Lookup!$N$14,IF(GK191="T",Lookup!$N$15,IF(GK191="TP",Lookup!$N$16,IF(GK191="TPP",Lookup!$N$17,IF(GK191="TPPP",Lookup!$N$18,0)))))))*GJ191</f>
        <v>0</v>
      </c>
      <c r="HJ191" s="545">
        <f t="shared" si="438"/>
        <v>0</v>
      </c>
      <c r="HK191" s="560">
        <f t="shared" si="439"/>
        <v>1944.1745555555556</v>
      </c>
      <c r="HL191" s="560">
        <f t="shared" si="371"/>
        <v>633.69444444444446</v>
      </c>
      <c r="HM191" s="560"/>
    </row>
    <row r="192" spans="1:221">
      <c r="A192" s="580" t="s">
        <v>4</v>
      </c>
      <c r="B192" s="556">
        <v>41820</v>
      </c>
      <c r="C192" s="561">
        <v>0</v>
      </c>
      <c r="D192" s="529">
        <f t="shared" si="372"/>
        <v>300</v>
      </c>
      <c r="E192" s="529">
        <f t="shared" si="373"/>
        <v>250</v>
      </c>
      <c r="F192" s="529">
        <v>250</v>
      </c>
      <c r="G192" s="560">
        <f>DR192+Sheet1!CZ194</f>
        <v>505.31366616289978</v>
      </c>
      <c r="H192" s="1082">
        <f t="shared" si="442"/>
        <v>132.7147538076984</v>
      </c>
      <c r="I192" s="559">
        <f>Sheet1!DA194-E192</f>
        <v>487</v>
      </c>
      <c r="J192" s="562">
        <f>Sheet1!DB194-Calculation!D192</f>
        <v>170</v>
      </c>
      <c r="K192" s="904">
        <f t="shared" si="375"/>
        <v>64.64</v>
      </c>
      <c r="L192" s="560">
        <f>Sheet1!AA194+Sheet1!AB194-Sheet1!L194+(Sheet1!DA194-F192)*CFStoMGD</f>
        <v>388.09679999999997</v>
      </c>
      <c r="M192" s="560">
        <f t="shared" si="376"/>
        <v>333.16744888385239</v>
      </c>
      <c r="N192" s="910">
        <f>IF(Sheet1!DA194&gt;=F192,MIN(73,MIN(MAX(L192,0),MAX(M192,0))),0)</f>
        <v>73</v>
      </c>
      <c r="O192" s="563">
        <f>Sheet1!AA194+Sheet1!AB194</f>
        <v>73.300000000000011</v>
      </c>
      <c r="P192" s="563">
        <f t="shared" si="377"/>
        <v>113.39510000000001</v>
      </c>
      <c r="Q192" s="898">
        <f t="shared" si="339"/>
        <v>8.6600000000000108</v>
      </c>
      <c r="R192" s="829" t="e">
        <f t="shared" si="378"/>
        <v>#REF!</v>
      </c>
      <c r="S192" s="898">
        <f t="shared" si="340"/>
        <v>64.64</v>
      </c>
      <c r="T192" s="898">
        <f t="shared" si="341"/>
        <v>0</v>
      </c>
      <c r="U192" s="898">
        <f t="shared" si="342"/>
        <v>0</v>
      </c>
      <c r="V192" s="898"/>
      <c r="W192" s="898">
        <f t="shared" si="343"/>
        <v>51.72999400838826</v>
      </c>
      <c r="X192" s="898">
        <f t="shared" si="344"/>
        <v>64.64</v>
      </c>
      <c r="Y192" s="898" t="str">
        <f t="shared" si="345"/>
        <v>FALSE</v>
      </c>
      <c r="Z192" s="898">
        <f t="shared" si="346"/>
        <v>73.300000000000011</v>
      </c>
      <c r="AA192" s="898">
        <f t="shared" si="347"/>
        <v>73.300000000000011</v>
      </c>
      <c r="AB192" s="898" t="str">
        <f t="shared" si="348"/>
        <v/>
      </c>
      <c r="AC192" s="563">
        <f>Sheet1!Y194*MGDtoCFS</f>
        <v>59.652320000000003</v>
      </c>
      <c r="AD192" s="563">
        <f>Sheet1!Z194*MGDtoCFS</f>
        <v>40.222000000000001</v>
      </c>
      <c r="AE192" s="563">
        <f>Sheet1!AA194*MGDtoCFS</f>
        <v>62.034700000000001</v>
      </c>
      <c r="AF192" s="563">
        <f>Sheet1!AB194*MGDtoCFS</f>
        <v>51.360400000000006</v>
      </c>
      <c r="AG192" s="563">
        <f>Sheet1!L194*MGDtoCFS</f>
        <v>0</v>
      </c>
      <c r="AH192" s="545">
        <f>AU192+BN192+CI192+DB192</f>
        <v>0</v>
      </c>
      <c r="AI192" s="560">
        <f>AH192*MGDtoCFS</f>
        <v>0</v>
      </c>
      <c r="AJ192" s="560">
        <f t="shared" si="381"/>
        <v>0</v>
      </c>
      <c r="AK192" s="560">
        <f t="shared" si="382"/>
        <v>0</v>
      </c>
      <c r="AL192" s="560">
        <f>(VLOOKUP(Sheet1!DC194,hhdcap_wcm,4)-(((VLOOKUP(Sheet1!DC194,hhdcap_wcm,3)-Sheet1!DC194)/(VLOOKUP(Sheet1!DC194,hhdcap_wcm,3)-VLOOKUP(Sheet1!DC194,hhdcap_wcm,1)))*(VLOOKUP(Sheet1!DC194,hhdcap_wcm,4)-VLOOKUP(Sheet1!DC194,hhdcap_wcm,2))))</f>
        <v>47551.600000115614</v>
      </c>
      <c r="AM192" s="560">
        <f t="shared" si="383"/>
        <v>-66.799999998969724</v>
      </c>
      <c r="AN192" s="560">
        <f t="shared" si="384"/>
        <v>3259</v>
      </c>
      <c r="AO192" s="560">
        <f t="shared" si="385"/>
        <v>9998.612000000001</v>
      </c>
      <c r="AP192" s="560">
        <f>Sheet1!BA194+Sheet1!BB194+Sheet1!BN194+CD192</f>
        <v>20.400000000000002</v>
      </c>
      <c r="AQ192" s="560">
        <f>Sheet1!BN194+(DO192*Sheet1!BN194)</f>
        <v>18.698621929298984</v>
      </c>
      <c r="AR192" s="560">
        <f>Sheet1!BA194+CD192</f>
        <v>0</v>
      </c>
      <c r="AS192" s="560">
        <f>Sheet1!BA194+Sheet1!BB194+CD192</f>
        <v>1.6</v>
      </c>
      <c r="AT192" s="698">
        <f>0</f>
        <v>0</v>
      </c>
      <c r="AU192" s="560">
        <f>IF(EB192&lt;K192,0,MAX(Sheet1!AA194+AQ192-15/36*K192-N192,Sheet1!EI194,0))</f>
        <v>0</v>
      </c>
      <c r="AV192" s="560">
        <f>IF(OR(B192&gt;=GD192,B192&lt;GC192),0,15/36*K192-MAX(0,64.6-(137.6-(Sheet1!AA194+Sheet1!AB194))))</f>
        <v>0</v>
      </c>
      <c r="AW192" s="698">
        <f>Sheet1!DB194-110</f>
        <v>360</v>
      </c>
      <c r="AX192" s="698">
        <f>Sheet1!DA194-265</f>
        <v>472</v>
      </c>
      <c r="AY192" s="698">
        <f t="shared" si="386"/>
        <v>64.339999999999989</v>
      </c>
      <c r="AZ192" s="698">
        <v>0</v>
      </c>
      <c r="BA192" s="698">
        <f t="shared" si="387"/>
        <v>0</v>
      </c>
      <c r="BB192" s="560">
        <f t="shared" si="388"/>
        <v>1357.9166666666667</v>
      </c>
      <c r="BC192" s="560"/>
      <c r="BD192" s="560">
        <f ca="1">IF(B192&gt;Summary!$A$1,#N/A,BB192*MGtoAF)</f>
        <v>4166.088333333334</v>
      </c>
      <c r="BE192" s="560">
        <f>Sheet1!BG194+Sheet1!BH194+Sheet1!BI194-BM192</f>
        <v>0</v>
      </c>
      <c r="BF192" s="560">
        <f t="shared" si="389"/>
        <v>0</v>
      </c>
      <c r="BG192" s="560">
        <f>IF(Sheet1!EP194="FM",BM192,0)</f>
        <v>0</v>
      </c>
      <c r="BH192" s="560">
        <f t="shared" si="390"/>
        <v>0</v>
      </c>
      <c r="BI192" s="560">
        <f>IF(Sheet1!EP194="OTHER",BM192,0)</f>
        <v>0</v>
      </c>
      <c r="BJ192" s="560">
        <f t="shared" si="391"/>
        <v>0</v>
      </c>
      <c r="BK192" s="560">
        <f t="shared" si="392"/>
        <v>0</v>
      </c>
      <c r="BL192" s="560">
        <f t="shared" si="393"/>
        <v>0</v>
      </c>
      <c r="BM192" s="560">
        <f>IF(OR(Sheet1!EP194="FM", Sheet1!EP194="OTHER"),SUM(Sheet1!BG194:'Sheet1'!BI194),0)</f>
        <v>0</v>
      </c>
      <c r="BN192" s="545">
        <f>IF(AND($B192&gt;=$FV192,$B192&lt;=$FW192),MAX(BF192,Sheet1!#REF!,0),MAX(BF192-(7/36)*$K192,0))</f>
        <v>0</v>
      </c>
      <c r="BO192" s="560">
        <f t="shared" si="394"/>
        <v>0</v>
      </c>
      <c r="BP192" s="545">
        <f t="shared" si="395"/>
        <v>0</v>
      </c>
      <c r="BQ192" s="545">
        <f>IF(AND($O192&gt;0,Sheet1!EM194=1),(1-($O192-Sheet1!$L194)/$O192)*BL192,0)</f>
        <v>0</v>
      </c>
      <c r="BR192" s="545">
        <f>IF(AND(Sheet1!$L194=0,Sheet1!$L193=0, Calculation!BK192&lt;Sheet1!$EI194-0.1,Sheet1!$EI194=Sheet1!$EI193,Sheet1!$EI194=Sheet1!$EI195),Sheet1!$EI194,BL192-BQ192)</f>
        <v>0</v>
      </c>
      <c r="BS192" s="560"/>
      <c r="BT192" s="560"/>
      <c r="BU192" s="560">
        <f t="shared" si="396"/>
        <v>633.69444444444446</v>
      </c>
      <c r="BV192" s="560"/>
      <c r="BW192" s="560">
        <f ca="1">IF(B192&gt;Summary!$A$1,#N/A,BU192*MGtoAF)</f>
        <v>1944.1745555555556</v>
      </c>
      <c r="BX192" s="560">
        <f>Sheet1!BC194+Sheet1!BD194+Sheet1!BE194+Sheet1!BF194-CG192-CH192</f>
        <v>4.13</v>
      </c>
      <c r="BY192" s="560">
        <f t="shared" si="397"/>
        <v>4.1077291791491914</v>
      </c>
      <c r="BZ192" s="560">
        <f>IF(Sheet1!EQ194="FM",CH192,0)</f>
        <v>0</v>
      </c>
      <c r="CA192" s="560">
        <f t="shared" si="398"/>
        <v>0</v>
      </c>
      <c r="CB192" s="560">
        <f>IF(Sheet1!EQ194="OTHER",CH192,0)</f>
        <v>0</v>
      </c>
      <c r="CC192" s="560">
        <f t="shared" si="399"/>
        <v>0</v>
      </c>
      <c r="CD192" s="560">
        <f t="shared" si="400"/>
        <v>0</v>
      </c>
      <c r="CE192" s="560">
        <f t="shared" si="401"/>
        <v>4.13</v>
      </c>
      <c r="CF192" s="560">
        <f t="shared" si="402"/>
        <v>4.1077291791491914</v>
      </c>
      <c r="CG192" s="560">
        <f>IF(Sheet1!EQ194="CWA",SUM(Sheet1!BC194:'Sheet1'!BF194),0)</f>
        <v>0</v>
      </c>
      <c r="CH192" s="560">
        <f>IF(OR(Sheet1!EQ194="FM", Sheet1!EQ194="OTHER"),SUM(Sheet1!BC194:'Sheet1'!BF194),0)</f>
        <v>0</v>
      </c>
      <c r="CI192" s="545">
        <f>IF(AND($B192&gt;=$FV192,$B192&lt;=$FW192),MAX(CF192,Sheet1!EJ194,0),MAX(CF192-(7/36)*$K192,0))</f>
        <v>0</v>
      </c>
      <c r="CJ192" s="560">
        <f t="shared" si="403"/>
        <v>0</v>
      </c>
      <c r="CK192" s="545">
        <f t="shared" si="404"/>
        <v>4.1077291791491914</v>
      </c>
      <c r="CL192" s="545">
        <f>IF(AND($O192&gt;0,Sheet1!EN194=1),(1-($O192-Sheet1!$L194)/$O192)*CF192,0)</f>
        <v>0</v>
      </c>
      <c r="CM192" s="545">
        <f>IF(AND(Sheet1!$L194=0,Sheet1!$L193=0, Calculation!CE192&lt;Sheet1!EJ194-0.1,Sheet1!EJ194=Sheet1!EJ193,Sheet1!EJ194=Sheet1!EJ195),Sheet1!EJ194,CF192-CL192)</f>
        <v>4.5</v>
      </c>
      <c r="CN192" s="545"/>
      <c r="CO192" s="560"/>
      <c r="CP192" s="560">
        <f t="shared" si="405"/>
        <v>633.69444444444446</v>
      </c>
      <c r="CQ192" s="560"/>
      <c r="CR192" s="560">
        <f ca="1">IF(B192&gt;Summary!$A$1,#N/A,CP192*MGtoAF)</f>
        <v>1944.1745555555556</v>
      </c>
      <c r="CS192" s="560">
        <f>Sheet1!BK194+Sheet1!BL194+Sheet1!BM194-Sheet1!ER194-DA192</f>
        <v>8.8500000000000014</v>
      </c>
      <c r="CT192" s="560">
        <f t="shared" si="406"/>
        <v>8.8022768124625532</v>
      </c>
      <c r="CU192" s="560">
        <f>IF(Sheet1!ER194="FM",DA192,0)</f>
        <v>0</v>
      </c>
      <c r="CV192" s="560">
        <f t="shared" si="407"/>
        <v>0</v>
      </c>
      <c r="CW192" s="560">
        <f>IF(Sheet1!ER194="OTHER",DA192,0)</f>
        <v>0</v>
      </c>
      <c r="CX192" s="560">
        <f t="shared" si="408"/>
        <v>0</v>
      </c>
      <c r="CY192" s="560">
        <f t="shared" si="409"/>
        <v>8.8500000000000014</v>
      </c>
      <c r="CZ192" s="560">
        <f t="shared" si="410"/>
        <v>8.8022768124625532</v>
      </c>
      <c r="DA192" s="560">
        <f>IF(OR(Sheet1!ER194="FM", Sheet1!ER194="OTHER"),SUM(Sheet1!BK194:'Sheet1'!BM194),0)</f>
        <v>0</v>
      </c>
      <c r="DB192" s="545">
        <v>0</v>
      </c>
      <c r="DC192" s="560">
        <f t="shared" si="411"/>
        <v>0</v>
      </c>
      <c r="DD192" s="545">
        <f t="shared" si="412"/>
        <v>8.8022768124625532</v>
      </c>
      <c r="DE192" s="545">
        <f>IF(AND($O192&gt;0,Sheet1!EO194=1),(1-($O192-Sheet1!$L194)/$O192)*CZ192,0)</f>
        <v>0</v>
      </c>
      <c r="DF192" s="545">
        <f>IF(AND(Sheet1!$L194=0,Sheet1!$L193=0, Calculation!CY192&lt;Sheet1!$EK194-0.1,Sheet1!$EK194=Sheet1!$EK193,Sheet1!$EK194=Sheet1!$EK195),Sheet1!$EK194,CZ192-DE192)</f>
        <v>8.8022768124625532</v>
      </c>
      <c r="DG192" s="545"/>
      <c r="DH192" s="560">
        <f t="shared" si="413"/>
        <v>12.98</v>
      </c>
      <c r="DI192" s="560">
        <f t="shared" si="414"/>
        <v>633.69444444444446</v>
      </c>
      <c r="DJ192" s="698">
        <f t="shared" si="415"/>
        <v>12.910005991611744</v>
      </c>
      <c r="DK192" s="560">
        <f ca="1">IF(B192&gt;Summary!$A$1,#N/A,DI192*MGtoAF)</f>
        <v>1944.1745555555556</v>
      </c>
      <c r="DL192" s="698">
        <f t="shared" si="416"/>
        <v>12.98</v>
      </c>
      <c r="DM192" s="560">
        <f t="shared" si="417"/>
        <v>33.380000000000003</v>
      </c>
      <c r="DN192" s="560">
        <f>Sheet1!AB194-DM192</f>
        <v>-0.17999999999999972</v>
      </c>
      <c r="DO192" s="823">
        <f t="shared" si="418"/>
        <v>-5.3924505692031065E-3</v>
      </c>
      <c r="DP192" s="560">
        <f>(VLOOKUP(Sheet1!DC194,hhdcap_wcm,4)-(((VLOOKUP(Sheet1!DC194,hhdcap_wcm,3)-Sheet1!DC194)/(VLOOKUP(Sheet1!DC194,hhdcap_wcm,3)-VLOOKUP(Sheet1!DC194,hhdcap_wcm,1)))*(VLOOKUP(Sheet1!DC194,hhdcap_wcm,4)-VLOOKUP(Sheet1!DC194,hhdcap_wcm,2))))</f>
        <v>47551.600000115614</v>
      </c>
      <c r="DQ192" s="560">
        <f t="shared" si="419"/>
        <v>-66.799999998969724</v>
      </c>
      <c r="DR192" s="560">
        <f t="shared" si="420"/>
        <v>-33.686333837100207</v>
      </c>
      <c r="DS192" s="560">
        <f>Sheet1!EA194*AFtoMG</f>
        <v>0</v>
      </c>
      <c r="DT192" s="560">
        <f>Sheet1!EB194*AFtoMG</f>
        <v>0</v>
      </c>
      <c r="DU192" s="560">
        <f>Sheet1!EC194*AFtoMG</f>
        <v>0</v>
      </c>
      <c r="DV192" s="560">
        <f>Sheet1!ED194*AFtoMG</f>
        <v>0</v>
      </c>
      <c r="DW192" s="560">
        <f t="shared" si="421"/>
        <v>0</v>
      </c>
      <c r="DX192" s="560">
        <f t="shared" si="422"/>
        <v>0</v>
      </c>
      <c r="DY192" s="560">
        <f t="shared" si="423"/>
        <v>3259</v>
      </c>
      <c r="DZ192" s="560">
        <f t="shared" si="424"/>
        <v>9998.612000000001</v>
      </c>
      <c r="EA192" s="560"/>
      <c r="EB192" s="545">
        <f>IF(OR(B192&lt;FV192,B192&gt;FW192),(MIN(BF192+BY192+CT192+MAX(Sheet1!AA194+AQ192-73,0),K192)),0)</f>
        <v>12.910005991611744</v>
      </c>
      <c r="EC192" s="560"/>
      <c r="ED192" s="560">
        <f t="shared" si="425"/>
        <v>12.910005991611744</v>
      </c>
      <c r="EE192" s="560"/>
      <c r="EF192" s="560" t="e">
        <f>Sheet1!EI194+Sheet1!#REF!+Sheet1!EJ194+Sheet1!EK194</f>
        <v>#REF!</v>
      </c>
      <c r="EG192" s="560"/>
      <c r="EH192" s="545">
        <f t="shared" si="426"/>
        <v>0</v>
      </c>
      <c r="EI192" s="560">
        <f>IF(Sheet1!ET194=1,SUM('Calculations II'!AT192:BA192)+'Calculations II'!BC192+Sheet1!BV194+'Calculations II'!BE192+AP192,SUM('Calculations II'!AT192:BA192)+'Calculations II'!BC192+Sheet1!BV194+'Calculations II'!BE192+AP192)</f>
        <v>73.451120000000003</v>
      </c>
      <c r="EJ192" s="560">
        <f>Sheet1!AA194+Sheet1!AB194+'Calculations II'!BC192</f>
        <v>73.300000000000011</v>
      </c>
      <c r="EK192" s="560"/>
      <c r="EL192" s="560"/>
      <c r="EM192" s="560">
        <f t="shared" si="427"/>
        <v>41820</v>
      </c>
      <c r="EN192" s="560">
        <f t="shared" si="428"/>
        <v>0</v>
      </c>
      <c r="EO192" s="560">
        <f t="shared" si="429"/>
        <v>0</v>
      </c>
      <c r="EP192" s="560">
        <v>0</v>
      </c>
      <c r="EQ192" s="560">
        <v>0</v>
      </c>
      <c r="ER192" s="560">
        <v>0</v>
      </c>
      <c r="ES192" s="545">
        <f t="shared" si="349"/>
        <v>4.9905285989896946</v>
      </c>
      <c r="ET192" s="560">
        <f>-(VLOOKUP(Sheet1!BQ194,Lookup!$O$4:$Q$262,2)-VLOOKUP(Sheet1!BQ193,Lookup!$O$4:$Q$262,2))/1000000</f>
        <v>2.4953220031320265</v>
      </c>
      <c r="EU192" s="560">
        <f>-(VLOOKUP(Sheet1!BR194,Lookup!$O$4:$Q$262,3)-VLOOKUP(Sheet1!BR193,Lookup!$O$4:$Q$262,3))/1000000</f>
        <v>2.4952065958576686</v>
      </c>
      <c r="EV192" s="560"/>
      <c r="EW192" s="560"/>
      <c r="EX192" s="560"/>
      <c r="EY192" s="560"/>
      <c r="EZ192" s="560"/>
      <c r="FA192" s="560"/>
      <c r="FB192" s="560"/>
      <c r="FC192" s="560"/>
      <c r="FD192" s="594" t="e">
        <f t="shared" si="430"/>
        <v>#N/A</v>
      </c>
      <c r="FE192" s="594" t="e">
        <f t="shared" si="431"/>
        <v>#N/A</v>
      </c>
      <c r="FF192" s="595" t="e">
        <f t="shared" si="432"/>
        <v>#N/A</v>
      </c>
      <c r="FG192" s="596" t="s">
        <v>692</v>
      </c>
      <c r="FH192" s="596" t="s">
        <v>692</v>
      </c>
      <c r="FI192" s="594" t="e">
        <v>#N/A</v>
      </c>
      <c r="FJ192" s="778">
        <v>23500</v>
      </c>
      <c r="FK192" s="560">
        <v>23600</v>
      </c>
      <c r="FL192" s="560"/>
      <c r="FM192" s="560"/>
      <c r="FN192" s="560"/>
      <c r="FO192" s="560">
        <f>O192+((Sheet1!CS194)*GPMtoMGD)</f>
        <v>73.300000000000011</v>
      </c>
      <c r="FP192" s="560">
        <f>IF(Sheet1!AA194+AQ192&lt;=Calculation!N192,AQ192,Calculation!N192-Sheet1!AA194)</f>
        <v>18.698621929298984</v>
      </c>
      <c r="FQ192" s="560">
        <f>(Sheet1!BP194+Sheet1!BO194)/694.4</f>
        <v>3.8015552995391708</v>
      </c>
      <c r="FR192" s="560"/>
      <c r="FS192" s="560"/>
      <c r="FT192" s="560"/>
      <c r="FU192" s="560"/>
      <c r="FV192" s="695">
        <f t="shared" si="350"/>
        <v>41827</v>
      </c>
      <c r="FW192" s="695">
        <f t="shared" si="351"/>
        <v>41934</v>
      </c>
      <c r="FX192" s="560"/>
      <c r="FY192" s="560"/>
      <c r="FZ192" s="560"/>
      <c r="GA192" s="560"/>
      <c r="GB192" s="560" t="str">
        <f t="shared" si="352"/>
        <v>n</v>
      </c>
      <c r="GC192" s="564">
        <f t="shared" si="353"/>
        <v>41691</v>
      </c>
      <c r="GD192" s="695">
        <f t="shared" si="354"/>
        <v>41807</v>
      </c>
      <c r="GE192" s="560">
        <v>6518.9</v>
      </c>
      <c r="GF192" s="695">
        <f t="shared" si="355"/>
        <v>41808</v>
      </c>
      <c r="GG192" s="560">
        <f t="shared" si="374"/>
        <v>3259</v>
      </c>
      <c r="GH192" s="564">
        <f t="shared" si="356"/>
        <v>41934</v>
      </c>
      <c r="GJ192" s="545">
        <f t="shared" si="357"/>
        <v>0</v>
      </c>
      <c r="GK192" s="560" t="str">
        <f t="shared" si="433"/>
        <v/>
      </c>
      <c r="GL192" s="560">
        <f t="shared" si="358"/>
        <v>0</v>
      </c>
      <c r="GM192" s="560" t="str">
        <f t="shared" si="359"/>
        <v/>
      </c>
      <c r="GN192" s="560">
        <f>IF(GK192="P",Lookup!$M$12,IF(GK192="PP",Lookup!$M$13,IF(GK192="PPP",Lookup!$M$14,IF(GK192="T",Lookup!$M$15,IF(GK192="TP",Lookup!$M$16,IF(GK192="TPP",Lookup!$M$17,IF(GK192="TPPP",Lookup!$M$18,0)))))))*GJ192</f>
        <v>0</v>
      </c>
      <c r="GO192" s="560">
        <f t="shared" si="360"/>
        <v>0</v>
      </c>
      <c r="GP192" s="560">
        <f t="shared" si="434"/>
        <v>4166.088333333334</v>
      </c>
      <c r="GQ192" s="560">
        <f t="shared" si="368"/>
        <v>1357.9166666666667</v>
      </c>
      <c r="GR192" s="560"/>
      <c r="GS192" s="560">
        <f t="shared" si="361"/>
        <v>0</v>
      </c>
      <c r="GT192" s="560" t="str">
        <f t="shared" si="362"/>
        <v/>
      </c>
      <c r="GU192" s="560">
        <f>IF(GK192="P",Lookup!$N$12,IF(GK192="PP",Lookup!$N$13,IF(GK192="PPP",Lookup!$N$14,IF(GK192="T",Lookup!$N$15,IF(GK192="TP",Lookup!$N$16,IF(GK192="TPP",Lookup!$N$17,IF(GK192="TPPP",Lookup!$N$18,0)))))))*GJ192</f>
        <v>0</v>
      </c>
      <c r="GV192" s="560">
        <f t="shared" si="363"/>
        <v>0</v>
      </c>
      <c r="GW192" s="560">
        <f t="shared" si="435"/>
        <v>1944.1745555555556</v>
      </c>
      <c r="GX192" s="560">
        <f t="shared" si="369"/>
        <v>633.69444444444446</v>
      </c>
      <c r="GY192" s="560"/>
      <c r="GZ192" s="560">
        <f t="shared" si="364"/>
        <v>0</v>
      </c>
      <c r="HA192" s="560" t="str">
        <f t="shared" si="365"/>
        <v/>
      </c>
      <c r="HB192" s="560">
        <f>IF(GK192="P",Lookup!$N$12,IF(GK192="PP",Lookup!$N$13,IF(GK192="PPP",Lookup!$N$14,IF(GK192="T",Lookup!$N$15,IF(GK192="TP",Lookup!$N$16,IF(GK192="TPP",Lookup!$N$17,IF(GK192="TPPP",Lookup!$N$18,0)))))))*GJ192</f>
        <v>0</v>
      </c>
      <c r="HC192" s="545">
        <f t="shared" si="436"/>
        <v>0</v>
      </c>
      <c r="HD192" s="560">
        <f t="shared" si="437"/>
        <v>1944.1745555555556</v>
      </c>
      <c r="HE192" s="560">
        <f t="shared" si="370"/>
        <v>633.69444444444446</v>
      </c>
      <c r="HF192" s="560"/>
      <c r="HG192" s="560">
        <f t="shared" si="366"/>
        <v>0</v>
      </c>
      <c r="HH192" s="560" t="str">
        <f t="shared" si="367"/>
        <v/>
      </c>
      <c r="HI192" s="560">
        <f>IF(GK192="P",Lookup!$N$12,IF(GK192="PP",Lookup!$N$13,IF(GK192="PPP",Lookup!$N$14,IF(GK192="T",Lookup!$N$15,IF(GK192="TP",Lookup!$N$16,IF(GK192="TPP",Lookup!$N$17,IF(GK192="TPPP",Lookup!$N$18,0)))))))*GJ192</f>
        <v>0</v>
      </c>
      <c r="HJ192" s="545">
        <f t="shared" si="438"/>
        <v>0</v>
      </c>
      <c r="HK192" s="560">
        <f t="shared" si="439"/>
        <v>1944.1745555555556</v>
      </c>
      <c r="HL192" s="560">
        <f t="shared" si="371"/>
        <v>633.69444444444446</v>
      </c>
      <c r="HM192" s="560"/>
    </row>
    <row r="193" spans="1:221">
      <c r="A193" s="580" t="s">
        <v>5</v>
      </c>
      <c r="B193" s="556">
        <v>41821</v>
      </c>
      <c r="C193" s="561">
        <v>0</v>
      </c>
      <c r="D193" s="529">
        <f t="shared" si="372"/>
        <v>300</v>
      </c>
      <c r="E193" s="529">
        <f t="shared" si="373"/>
        <v>250</v>
      </c>
      <c r="F193" s="529">
        <v>250</v>
      </c>
      <c r="G193" s="560">
        <f>DR193+Sheet1!CZ195</f>
        <v>489.35199193141852</v>
      </c>
      <c r="H193" s="1082">
        <f t="shared" si="442"/>
        <v>122.39712758446893</v>
      </c>
      <c r="I193" s="559">
        <f>Sheet1!DA195-E193</f>
        <v>396</v>
      </c>
      <c r="J193" s="562">
        <f>Sheet1!DB195-Calculation!D193</f>
        <v>116</v>
      </c>
      <c r="K193" s="904">
        <f t="shared" si="375"/>
        <v>64.64</v>
      </c>
      <c r="L193" s="560">
        <f>Sheet1!AA195+Sheet1!AB195-Sheet1!L195+(Sheet1!DA195-F193)*CFStoMGD</f>
        <v>336.37440000000004</v>
      </c>
      <c r="M193" s="560">
        <f t="shared" si="376"/>
        <v>322.64347013615833</v>
      </c>
      <c r="N193" s="910">
        <f>IF(Sheet1!DA195&gt;=F193,MIN(73,MIN(MAX(L193,0),MAX(M193,0))),0)</f>
        <v>73</v>
      </c>
      <c r="O193" s="563">
        <f>Sheet1!AA195+Sheet1!AB195</f>
        <v>80.400000000000006</v>
      </c>
      <c r="P193" s="563">
        <f t="shared" si="377"/>
        <v>124.37879999999998</v>
      </c>
      <c r="Q193" s="898">
        <f t="shared" si="339"/>
        <v>15.760000000000005</v>
      </c>
      <c r="R193" s="829" t="e">
        <f t="shared" si="378"/>
        <v>#REF!</v>
      </c>
      <c r="S193" s="898">
        <f t="shared" si="340"/>
        <v>64.64</v>
      </c>
      <c r="T193" s="898">
        <f t="shared" si="341"/>
        <v>0</v>
      </c>
      <c r="U193" s="898">
        <f t="shared" si="342"/>
        <v>0</v>
      </c>
      <c r="V193" s="898"/>
      <c r="W193" s="898">
        <f t="shared" si="343"/>
        <v>51.170890052356022</v>
      </c>
      <c r="X193" s="898">
        <f t="shared" si="344"/>
        <v>64.64</v>
      </c>
      <c r="Y193" s="898" t="str">
        <f t="shared" si="345"/>
        <v>FALSE</v>
      </c>
      <c r="Z193" s="898">
        <f t="shared" si="346"/>
        <v>80.400000000000006</v>
      </c>
      <c r="AA193" s="898">
        <f t="shared" si="347"/>
        <v>80.400000000000006</v>
      </c>
      <c r="AB193" s="898" t="str">
        <f t="shared" si="348"/>
        <v/>
      </c>
      <c r="AC193" s="563">
        <f>Sheet1!Y195*MGDtoCFS</f>
        <v>62.034700000000001</v>
      </c>
      <c r="AD193" s="563">
        <f>Sheet1!Z195*MGDtoCFS</f>
        <v>51.360400000000006</v>
      </c>
      <c r="AE193" s="563">
        <f>Sheet1!AA195*MGDtoCFS</f>
        <v>65.592799999999997</v>
      </c>
      <c r="AF193" s="563">
        <f>Sheet1!AB195*MGDtoCFS</f>
        <v>58.785999999999994</v>
      </c>
      <c r="AG193" s="563">
        <f>Sheet1!L195*MGDtoCFS</f>
        <v>0</v>
      </c>
      <c r="AH193" s="545">
        <f t="shared" si="379"/>
        <v>0</v>
      </c>
      <c r="AI193" s="560">
        <f t="shared" si="380"/>
        <v>0</v>
      </c>
      <c r="AJ193" s="560">
        <f t="shared" si="381"/>
        <v>0</v>
      </c>
      <c r="AK193" s="560">
        <f t="shared" si="382"/>
        <v>0</v>
      </c>
      <c r="AL193" s="560">
        <f>(VLOOKUP(Sheet1!DC195,hhdcap_wcm,4)-(((VLOOKUP(Sheet1!DC195,hhdcap_wcm,3)-Sheet1!DC195)/(VLOOKUP(Sheet1!DC195,hhdcap_wcm,3)-VLOOKUP(Sheet1!DC195,hhdcap_wcm,1)))*(VLOOKUP(Sheet1!DC195,hhdcap_wcm,4)-VLOOKUP(Sheet1!DC195,hhdcap_wcm,2))))</f>
        <v>47540.400000115616</v>
      </c>
      <c r="AM193" s="560">
        <f t="shared" si="383"/>
        <v>-11.19999999999709</v>
      </c>
      <c r="AN193" s="560">
        <f t="shared" si="384"/>
        <v>3259</v>
      </c>
      <c r="AO193" s="560">
        <f t="shared" si="385"/>
        <v>9998.612000000001</v>
      </c>
      <c r="AP193" s="560">
        <f>Sheet1!BA195+Sheet1!BB195+Sheet1!BN195+CD193</f>
        <v>24.66</v>
      </c>
      <c r="AQ193" s="560">
        <f>Sheet1!BN195+(DO193*Sheet1!BN195)</f>
        <v>22.979057591623036</v>
      </c>
      <c r="AR193" s="560">
        <f>Sheet1!BA195+CD193</f>
        <v>0</v>
      </c>
      <c r="AS193" s="560">
        <f>Sheet1!BA195+Sheet1!BB195+CD193</f>
        <v>1.56</v>
      </c>
      <c r="AT193" s="698">
        <f>0</f>
        <v>0</v>
      </c>
      <c r="AU193" s="560">
        <f>IF(EB193&lt;K193,0,MAX(Sheet1!AA195+AQ193-15/36*K193-N193,Sheet1!EI195,0))</f>
        <v>0</v>
      </c>
      <c r="AV193" s="560">
        <f>IF(OR(B193&gt;=GD193,B193&lt;GC193),0,15/36*K193-MAX(0,64.6-(137.6-(Sheet1!AA195+Sheet1!AB195))))</f>
        <v>0</v>
      </c>
      <c r="AW193" s="698">
        <f>Sheet1!DB195-110</f>
        <v>306</v>
      </c>
      <c r="AX193" s="698">
        <f>Sheet1!DA195-265</f>
        <v>381</v>
      </c>
      <c r="AY193" s="698">
        <f t="shared" si="386"/>
        <v>57.239999999999995</v>
      </c>
      <c r="AZ193" s="698">
        <v>0</v>
      </c>
      <c r="BA193" s="698">
        <f t="shared" si="387"/>
        <v>0</v>
      </c>
      <c r="BB193" s="560">
        <f t="shared" si="388"/>
        <v>1357.9166666666667</v>
      </c>
      <c r="BC193" s="560"/>
      <c r="BD193" s="560">
        <f ca="1">IF(B193&gt;Summary!$A$1,#N/A,BB193*MGtoAF)</f>
        <v>4166.088333333334</v>
      </c>
      <c r="BE193" s="560">
        <f>Sheet1!BG195+Sheet1!BH195+Sheet1!BI195-BM193</f>
        <v>0</v>
      </c>
      <c r="BF193" s="560">
        <f t="shared" si="389"/>
        <v>0</v>
      </c>
      <c r="BG193" s="560">
        <f>IF(Sheet1!EP195="FM",BM193,0)</f>
        <v>0</v>
      </c>
      <c r="BH193" s="560">
        <f t="shared" si="390"/>
        <v>0</v>
      </c>
      <c r="BI193" s="560">
        <f>IF(Sheet1!EP195="OTHER",BM193,0)</f>
        <v>0</v>
      </c>
      <c r="BJ193" s="560">
        <f t="shared" si="391"/>
        <v>0</v>
      </c>
      <c r="BK193" s="560">
        <f t="shared" si="392"/>
        <v>0</v>
      </c>
      <c r="BL193" s="560">
        <f t="shared" si="393"/>
        <v>0</v>
      </c>
      <c r="BM193" s="560">
        <f>IF(OR(Sheet1!EP195="FM", Sheet1!EP195="OTHER"),SUM(Sheet1!BG195:'Sheet1'!BI195),0)</f>
        <v>0</v>
      </c>
      <c r="BN193" s="545">
        <f>IF(AND($B193&gt;=$FV193,$B193&lt;=$FW193),MAX(BF193,Sheet1!#REF!,0),MAX(BF193-(7/36)*$K193,0))</f>
        <v>0</v>
      </c>
      <c r="BO193" s="560">
        <f t="shared" si="394"/>
        <v>0</v>
      </c>
      <c r="BP193" s="545">
        <f t="shared" si="395"/>
        <v>0</v>
      </c>
      <c r="BQ193" s="545">
        <f>IF(AND($O193&gt;0,Sheet1!EM195=1),(1-($O193-Sheet1!$L195)/$O193)*BL193,0)</f>
        <v>0</v>
      </c>
      <c r="BR193" s="545">
        <f>IF(AND(Sheet1!$L195=0,Sheet1!$L194=0, Calculation!BK193&lt;Sheet1!$EI195-0.1,Sheet1!$EI195=Sheet1!$EI194,Sheet1!$EI195=Sheet1!$EI196),Sheet1!$EI195,BL193-BQ193)</f>
        <v>0</v>
      </c>
      <c r="BS193" s="560"/>
      <c r="BT193" s="560"/>
      <c r="BU193" s="560">
        <f t="shared" si="396"/>
        <v>633.69444444444446</v>
      </c>
      <c r="BV193" s="560"/>
      <c r="BW193" s="560">
        <f ca="1">IF(B193&gt;Summary!$A$1,#N/A,BU193*MGtoAF)</f>
        <v>1944.1745555555556</v>
      </c>
      <c r="BX193" s="560">
        <f>Sheet1!BC195+Sheet1!BD195+Sheet1!BE195+Sheet1!BF195-CG193-CH193</f>
        <v>4.49</v>
      </c>
      <c r="BY193" s="560">
        <f t="shared" si="397"/>
        <v>4.4664921465968588</v>
      </c>
      <c r="BZ193" s="560">
        <f>IF(Sheet1!EQ195="FM",CH193,0)</f>
        <v>0</v>
      </c>
      <c r="CA193" s="560">
        <f t="shared" si="398"/>
        <v>0</v>
      </c>
      <c r="CB193" s="560">
        <f>IF(Sheet1!EQ195="OTHER",CH193,0)</f>
        <v>0</v>
      </c>
      <c r="CC193" s="560">
        <f t="shared" si="399"/>
        <v>0</v>
      </c>
      <c r="CD193" s="560">
        <f t="shared" si="400"/>
        <v>0</v>
      </c>
      <c r="CE193" s="560">
        <f t="shared" si="401"/>
        <v>4.49</v>
      </c>
      <c r="CF193" s="560">
        <f t="shared" si="402"/>
        <v>4.4664921465968588</v>
      </c>
      <c r="CG193" s="560">
        <f>IF(Sheet1!EQ195="CWA",SUM(Sheet1!BC195:'Sheet1'!BF195),0)</f>
        <v>0</v>
      </c>
      <c r="CH193" s="560">
        <f>IF(OR(Sheet1!EQ195="FM", Sheet1!EQ195="OTHER"),SUM(Sheet1!BC195:'Sheet1'!BF195),0)</f>
        <v>0</v>
      </c>
      <c r="CI193" s="545">
        <f>IF(AND($B193&gt;=$FV193,$B193&lt;=$FW193),MAX(CF193,Sheet1!EJ195,0),MAX(CF193-(7/36)*$K193,0))</f>
        <v>0</v>
      </c>
      <c r="CJ193" s="560">
        <f t="shared" si="403"/>
        <v>0</v>
      </c>
      <c r="CK193" s="545">
        <f t="shared" si="404"/>
        <v>4.4664921465968588</v>
      </c>
      <c r="CL193" s="545">
        <f>IF(AND($O193&gt;0,Sheet1!EN195=1),(1-($O193-Sheet1!$L195)/$O193)*CF193,0)</f>
        <v>0</v>
      </c>
      <c r="CM193" s="545">
        <f>IF(AND(Sheet1!$L195=0,Sheet1!$L194=0, Calculation!CE193&lt;Sheet1!EJ195-0.1,Sheet1!EJ195=Sheet1!EJ194,Sheet1!EJ195=Sheet1!EJ196),Sheet1!EJ195,CF193-CL193)</f>
        <v>4.4664921465968588</v>
      </c>
      <c r="CN193" s="545"/>
      <c r="CO193" s="560"/>
      <c r="CP193" s="560">
        <f t="shared" si="405"/>
        <v>633.69444444444446</v>
      </c>
      <c r="CQ193" s="560"/>
      <c r="CR193" s="560">
        <f ca="1">IF(B193&gt;Summary!$A$1,#N/A,CP193*MGtoAF)</f>
        <v>1944.1745555555556</v>
      </c>
      <c r="CS193" s="560">
        <f>Sheet1!BK195+Sheet1!BL195+Sheet1!BM195-Sheet1!ER195-DA193</f>
        <v>9.0499999999999989</v>
      </c>
      <c r="CT193" s="560">
        <f t="shared" si="406"/>
        <v>9.0026178010471192</v>
      </c>
      <c r="CU193" s="560">
        <f>IF(Sheet1!ER195="FM",DA193,0)</f>
        <v>0</v>
      </c>
      <c r="CV193" s="560">
        <f t="shared" si="407"/>
        <v>0</v>
      </c>
      <c r="CW193" s="560">
        <f>IF(Sheet1!ER195="OTHER",DA193,0)</f>
        <v>0</v>
      </c>
      <c r="CX193" s="560">
        <f t="shared" si="408"/>
        <v>0</v>
      </c>
      <c r="CY193" s="560">
        <f t="shared" si="409"/>
        <v>9.0499999999999989</v>
      </c>
      <c r="CZ193" s="560">
        <f t="shared" si="410"/>
        <v>9.0026178010471192</v>
      </c>
      <c r="DA193" s="560">
        <f>IF(OR(Sheet1!ER195="FM", Sheet1!ER195="OTHER"),SUM(Sheet1!BK195:'Sheet1'!BM195),0)</f>
        <v>0</v>
      </c>
      <c r="DB193" s="545">
        <v>0</v>
      </c>
      <c r="DC193" s="560">
        <f t="shared" si="411"/>
        <v>0</v>
      </c>
      <c r="DD193" s="545">
        <f t="shared" si="412"/>
        <v>9.0026178010471192</v>
      </c>
      <c r="DE193" s="545">
        <f>IF(AND($O193&gt;0,Sheet1!EO195=1),(1-($O193-Sheet1!$L195)/$O193)*CZ193,0)</f>
        <v>0</v>
      </c>
      <c r="DF193" s="545">
        <f>IF(AND(Sheet1!$L195=0,Sheet1!$L194=0, Calculation!CY193&lt;Sheet1!$EK195-0.1,Sheet1!$EK195=Sheet1!$EK194,Sheet1!$EK195=Sheet1!$EK196),Sheet1!$EK195,CZ193-DE193)</f>
        <v>9.0026178010471192</v>
      </c>
      <c r="DG193" s="545"/>
      <c r="DH193" s="560">
        <f t="shared" si="413"/>
        <v>13.54</v>
      </c>
      <c r="DI193" s="560">
        <f t="shared" si="414"/>
        <v>633.69444444444446</v>
      </c>
      <c r="DJ193" s="698">
        <f t="shared" si="415"/>
        <v>13.469109947643979</v>
      </c>
      <c r="DK193" s="560">
        <f ca="1">IF(B193&gt;Summary!$A$1,#N/A,DI193*MGtoAF)</f>
        <v>1944.1745555555556</v>
      </c>
      <c r="DL193" s="698">
        <f t="shared" si="416"/>
        <v>13.54</v>
      </c>
      <c r="DM193" s="560">
        <f t="shared" si="417"/>
        <v>38.200000000000003</v>
      </c>
      <c r="DN193" s="560">
        <f>Sheet1!AB195-DM193</f>
        <v>-0.20000000000000284</v>
      </c>
      <c r="DO193" s="823">
        <f t="shared" si="418"/>
        <v>-5.2356020942409117E-3</v>
      </c>
      <c r="DP193" s="560">
        <f>(VLOOKUP(Sheet1!DC195,hhdcap_wcm,4)-(((VLOOKUP(Sheet1!DC195,hhdcap_wcm,3)-Sheet1!DC195)/(VLOOKUP(Sheet1!DC195,hhdcap_wcm,3)-VLOOKUP(Sheet1!DC195,hhdcap_wcm,1)))*(VLOOKUP(Sheet1!DC195,hhdcap_wcm,4)-VLOOKUP(Sheet1!DC195,hhdcap_wcm,2))))</f>
        <v>47540.400000115616</v>
      </c>
      <c r="DQ193" s="560">
        <f t="shared" si="419"/>
        <v>-11.19999999999709</v>
      </c>
      <c r="DR193" s="560">
        <f t="shared" si="420"/>
        <v>-5.6480080685814871</v>
      </c>
      <c r="DS193" s="560">
        <f>Sheet1!EA195*AFtoMG</f>
        <v>0</v>
      </c>
      <c r="DT193" s="560">
        <f>Sheet1!EB195*AFtoMG</f>
        <v>0</v>
      </c>
      <c r="DU193" s="560">
        <f>Sheet1!EC195*AFtoMG</f>
        <v>0</v>
      </c>
      <c r="DV193" s="560">
        <f>Sheet1!ED195*AFtoMG</f>
        <v>0</v>
      </c>
      <c r="DW193" s="560">
        <f t="shared" si="421"/>
        <v>0</v>
      </c>
      <c r="DX193" s="560">
        <f t="shared" si="422"/>
        <v>0</v>
      </c>
      <c r="DY193" s="560">
        <f t="shared" si="423"/>
        <v>3259</v>
      </c>
      <c r="DZ193" s="560">
        <f t="shared" si="424"/>
        <v>9998.612000000001</v>
      </c>
      <c r="EA193" s="560"/>
      <c r="EB193" s="545">
        <f>IF(OR(B193&lt;FV193,B193&gt;FW193),(MIN(BF193+BY193+CT193+MAX(Sheet1!AA195+AQ193-73,0),K193)),0)</f>
        <v>13.469109947643979</v>
      </c>
      <c r="EC193" s="560"/>
      <c r="ED193" s="560">
        <f t="shared" si="425"/>
        <v>13.469109947643979</v>
      </c>
      <c r="EE193" s="560"/>
      <c r="EF193" s="560" t="e">
        <f>Sheet1!EI195+Sheet1!#REF!+Sheet1!EJ195+Sheet1!EK195</f>
        <v>#REF!</v>
      </c>
      <c r="EG193" s="560"/>
      <c r="EH193" s="545">
        <f t="shared" si="426"/>
        <v>0</v>
      </c>
      <c r="EI193" s="560">
        <f>IF(Sheet1!ET195=1,SUM('Calculations II'!AT193:BA193)+'Calculations II'!BC193+Sheet1!BV195+'Calculations II'!BE193+AP193,SUM('Calculations II'!AT193:BA193)+'Calculations II'!BC193+Sheet1!BV195+'Calculations II'!BE193+AP193)</f>
        <v>78.112848</v>
      </c>
      <c r="EJ193" s="560">
        <f>Sheet1!AA195+Sheet1!AB195+'Calculations II'!BC193</f>
        <v>80.400000000000006</v>
      </c>
      <c r="EK193" s="560"/>
      <c r="EL193" s="560"/>
      <c r="EM193" s="560">
        <f t="shared" si="427"/>
        <v>41821</v>
      </c>
      <c r="EN193" s="560">
        <f t="shared" si="428"/>
        <v>0</v>
      </c>
      <c r="EO193" s="560">
        <f t="shared" si="429"/>
        <v>0</v>
      </c>
      <c r="EP193" s="560">
        <v>0</v>
      </c>
      <c r="EQ193" s="560">
        <v>0</v>
      </c>
      <c r="ER193" s="560">
        <v>0</v>
      </c>
      <c r="ES193" s="545">
        <f t="shared" si="349"/>
        <v>2.770720926158611</v>
      </c>
      <c r="ET193" s="560">
        <f>-(VLOOKUP(Sheet1!BQ195,Lookup!$O$4:$Q$262,2)-VLOOKUP(Sheet1!BQ194,Lookup!$O$4:$Q$262,2))/1000000</f>
        <v>1.3853925103095137</v>
      </c>
      <c r="EU193" s="560">
        <f>-(VLOOKUP(Sheet1!BR195,Lookup!$O$4:$Q$262,3)-VLOOKUP(Sheet1!BR194,Lookup!$O$4:$Q$262,3))/1000000</f>
        <v>1.3853284158490971</v>
      </c>
      <c r="EV193" s="560"/>
      <c r="EW193" s="560"/>
      <c r="EX193" s="560"/>
      <c r="EY193" s="560"/>
      <c r="EZ193" s="560"/>
      <c r="FA193" s="560"/>
      <c r="FB193" s="560"/>
      <c r="FC193" s="560"/>
      <c r="FD193" s="594" t="e">
        <f>VLOOKUP(#REF!,hhdelev_wcm,4) -(((VLOOKUP(#REF!,hhdelev_wcm,3)-#REF!)/(VLOOKUP(#REF!,hhdelev_wcm,3)-VLOOKUP(#REF!,hhdelev_wcm,1)))*(VLOOKUP(#REF!,hhdelev_wcm,4)-VLOOKUP(#REF!,hhdelev_wcm,2)))</f>
        <v>#REF!</v>
      </c>
      <c r="FE193" s="594" t="e">
        <f t="shared" si="431"/>
        <v>#N/A</v>
      </c>
      <c r="FF193" s="595" t="e">
        <f t="shared" si="432"/>
        <v>#N/A</v>
      </c>
      <c r="FG193" s="596" t="s">
        <v>692</v>
      </c>
      <c r="FH193" s="596" t="s">
        <v>692</v>
      </c>
      <c r="FI193" s="594" t="e">
        <v>#N/A</v>
      </c>
      <c r="FJ193" s="778">
        <v>23416</v>
      </c>
      <c r="FK193" s="560"/>
      <c r="FL193" s="560"/>
      <c r="FM193" s="560"/>
      <c r="FN193" s="560"/>
      <c r="FO193" s="560">
        <f>O193+((Sheet1!CS195)*GPMtoMGD)</f>
        <v>80.400000000000006</v>
      </c>
      <c r="FP193" s="560">
        <f>IF(Sheet1!AA195+AQ193&lt;=Calculation!N193,AQ193,Calculation!N193-Sheet1!AA195)</f>
        <v>22.979057591623036</v>
      </c>
      <c r="FQ193" s="560">
        <f>(Sheet1!BP195+Sheet1!BO195)/694.4</f>
        <v>3.3191244239631339</v>
      </c>
      <c r="FR193" s="560"/>
      <c r="FS193" s="560"/>
      <c r="FT193" s="560"/>
      <c r="FU193" s="560"/>
      <c r="FV193" s="695">
        <f t="shared" si="350"/>
        <v>41827</v>
      </c>
      <c r="FW193" s="695">
        <f t="shared" si="351"/>
        <v>41934</v>
      </c>
      <c r="FX193" s="560"/>
      <c r="FY193" s="560"/>
      <c r="FZ193" s="560"/>
      <c r="GA193" s="560"/>
      <c r="GB193" s="560" t="str">
        <f t="shared" si="352"/>
        <v>n</v>
      </c>
      <c r="GC193" s="564">
        <f t="shared" si="353"/>
        <v>41691</v>
      </c>
      <c r="GD193" s="695">
        <f t="shared" si="354"/>
        <v>41807</v>
      </c>
      <c r="GE193" s="560">
        <v>6518.9</v>
      </c>
      <c r="GF193" s="695">
        <f t="shared" si="355"/>
        <v>41808</v>
      </c>
      <c r="GG193" s="560">
        <f t="shared" si="374"/>
        <v>3259</v>
      </c>
      <c r="GH193" s="564">
        <f t="shared" si="356"/>
        <v>41934</v>
      </c>
      <c r="GJ193" s="545">
        <f t="shared" si="357"/>
        <v>0</v>
      </c>
      <c r="GK193" s="560" t="str">
        <f t="shared" si="433"/>
        <v/>
      </c>
      <c r="GL193" s="560">
        <f t="shared" si="358"/>
        <v>0</v>
      </c>
      <c r="GM193" s="560" t="str">
        <f t="shared" si="359"/>
        <v/>
      </c>
      <c r="GN193" s="560">
        <f>IF(GK193="P",Lookup!$M$12,IF(GK193="PP",Lookup!$M$13,IF(GK193="PPP",Lookup!$M$14,IF(GK193="T",Lookup!$M$15,IF(GK193="TP",Lookup!$M$16,IF(GK193="TPP",Lookup!$M$17,IF(GK193="TPPP",Lookup!$M$18,0)))))))*GJ193</f>
        <v>0</v>
      </c>
      <c r="GO193" s="560">
        <f t="shared" si="360"/>
        <v>0</v>
      </c>
      <c r="GP193" s="560">
        <f t="shared" si="434"/>
        <v>4166.088333333334</v>
      </c>
      <c r="GQ193" s="560">
        <f t="shared" si="368"/>
        <v>1357.9166666666667</v>
      </c>
      <c r="GR193" s="560"/>
      <c r="GS193" s="560">
        <f t="shared" si="361"/>
        <v>0</v>
      </c>
      <c r="GT193" s="560" t="str">
        <f t="shared" si="362"/>
        <v/>
      </c>
      <c r="GU193" s="560">
        <f>IF(GK193="P",Lookup!$N$12,IF(GK193="PP",Lookup!$N$13,IF(GK193="PPP",Lookup!$N$14,IF(GK193="T",Lookup!$N$15,IF(GK193="TP",Lookup!$N$16,IF(GK193="TPP",Lookup!$N$17,IF(GK193="TPPP",Lookup!$N$18,0)))))))*GJ193</f>
        <v>0</v>
      </c>
      <c r="GV193" s="560">
        <f t="shared" si="363"/>
        <v>0</v>
      </c>
      <c r="GW193" s="560">
        <f t="shared" si="435"/>
        <v>1944.1745555555556</v>
      </c>
      <c r="GX193" s="560">
        <f t="shared" si="369"/>
        <v>633.69444444444446</v>
      </c>
      <c r="GY193" s="560"/>
      <c r="GZ193" s="560">
        <f t="shared" si="364"/>
        <v>0</v>
      </c>
      <c r="HA193" s="560" t="str">
        <f t="shared" si="365"/>
        <v/>
      </c>
      <c r="HB193" s="560">
        <f>IF(GK193="P",Lookup!$N$12,IF(GK193="PP",Lookup!$N$13,IF(GK193="PPP",Lookup!$N$14,IF(GK193="T",Lookup!$N$15,IF(GK193="TP",Lookup!$N$16,IF(GK193="TPP",Lookup!$N$17,IF(GK193="TPPP",Lookup!$N$18,0)))))))*GJ193</f>
        <v>0</v>
      </c>
      <c r="HC193" s="545">
        <f t="shared" si="436"/>
        <v>0</v>
      </c>
      <c r="HD193" s="560">
        <f t="shared" si="437"/>
        <v>1944.1745555555556</v>
      </c>
      <c r="HE193" s="560">
        <f t="shared" si="370"/>
        <v>633.69444444444446</v>
      </c>
      <c r="HF193" s="560"/>
      <c r="HG193" s="560">
        <f t="shared" si="366"/>
        <v>0</v>
      </c>
      <c r="HH193" s="560" t="str">
        <f t="shared" si="367"/>
        <v/>
      </c>
      <c r="HI193" s="560">
        <f>IF(GK193="P",Lookup!$N$12,IF(GK193="PP",Lookup!$N$13,IF(GK193="PPP",Lookup!$N$14,IF(GK193="T",Lookup!$N$15,IF(GK193="TP",Lookup!$N$16,IF(GK193="TPP",Lookup!$N$17,IF(GK193="TPPP",Lookup!$N$18,0)))))))*GJ193</f>
        <v>0</v>
      </c>
      <c r="HJ193" s="545">
        <f t="shared" si="438"/>
        <v>0</v>
      </c>
      <c r="HK193" s="560">
        <f t="shared" si="439"/>
        <v>1944.1745555555556</v>
      </c>
      <c r="HL193" s="560">
        <f t="shared" si="371"/>
        <v>633.69444444444446</v>
      </c>
      <c r="HM193" s="560"/>
    </row>
    <row r="194" spans="1:221">
      <c r="A194" s="580" t="s">
        <v>6</v>
      </c>
      <c r="B194" s="556">
        <v>41822</v>
      </c>
      <c r="C194" s="561">
        <v>0</v>
      </c>
      <c r="D194" s="529">
        <f t="shared" si="372"/>
        <v>300</v>
      </c>
      <c r="E194" s="529">
        <f t="shared" si="373"/>
        <v>250</v>
      </c>
      <c r="F194" s="529">
        <v>250</v>
      </c>
      <c r="G194" s="560">
        <f>DR194+Sheet1!CZ196</f>
        <v>483.70398386283335</v>
      </c>
      <c r="H194" s="1082">
        <f t="shared" si="442"/>
        <v>118.74625516893548</v>
      </c>
      <c r="I194" s="559">
        <f>Sheet1!DA196-E194</f>
        <v>358</v>
      </c>
      <c r="J194" s="562">
        <f>Sheet1!DB196-Calculation!D194</f>
        <v>113</v>
      </c>
      <c r="K194" s="904">
        <f t="shared" si="375"/>
        <v>64.64</v>
      </c>
      <c r="L194" s="560">
        <f>Sheet1!AA196+Sheet1!AB196-Sheet1!L196+(Sheet1!DA196-F194)*CFStoMGD</f>
        <v>311.69119999999998</v>
      </c>
      <c r="M194" s="560">
        <f t="shared" si="376"/>
        <v>318.91958027231419</v>
      </c>
      <c r="N194" s="910">
        <f>IF(Sheet1!DA196&gt;=F194,MIN(73,MIN(MAX(L194,0),MAX(M194,0))),0)</f>
        <v>73</v>
      </c>
      <c r="O194" s="563">
        <f>Sheet1!AA196+Sheet1!AB196</f>
        <v>80.28</v>
      </c>
      <c r="P194" s="563">
        <f t="shared" si="377"/>
        <v>124.19315999999998</v>
      </c>
      <c r="Q194" s="898">
        <f>IF(OR(Y194="FALSE",AND(B194&gt;=FV194,B194&lt;=FW194)),O194-S194-U194,0)</f>
        <v>15.64</v>
      </c>
      <c r="R194" s="829" t="e">
        <f t="shared" si="378"/>
        <v>#REF!</v>
      </c>
      <c r="S194" s="898">
        <f t="shared" si="340"/>
        <v>64.64</v>
      </c>
      <c r="T194" s="898">
        <f t="shared" si="341"/>
        <v>0</v>
      </c>
      <c r="U194" s="898">
        <f t="shared" si="342"/>
        <v>0</v>
      </c>
      <c r="V194" s="898"/>
      <c r="W194" s="898">
        <f t="shared" si="343"/>
        <v>50.980170757737461</v>
      </c>
      <c r="X194" s="898">
        <f t="shared" si="344"/>
        <v>64.64</v>
      </c>
      <c r="Y194" s="898" t="str">
        <f t="shared" si="345"/>
        <v>FALSE</v>
      </c>
      <c r="Z194" s="898">
        <f t="shared" si="346"/>
        <v>80.28</v>
      </c>
      <c r="AA194" s="898">
        <f t="shared" si="347"/>
        <v>80.28</v>
      </c>
      <c r="AB194" s="898" t="str">
        <f t="shared" si="348"/>
        <v/>
      </c>
      <c r="AC194" s="563">
        <f>Sheet1!Y196*MGDtoCFS</f>
        <v>65.592799999999997</v>
      </c>
      <c r="AD194" s="563">
        <f>Sheet1!Z196*MGDtoCFS</f>
        <v>58.785999999999994</v>
      </c>
      <c r="AE194" s="563">
        <f>Sheet1!AA196*MGDtoCFS</f>
        <v>65.438099999999991</v>
      </c>
      <c r="AF194" s="563">
        <f>Sheet1!AB196*MGDtoCFS</f>
        <v>58.755059999999993</v>
      </c>
      <c r="AG194" s="563">
        <f>Sheet1!L196*MGDtoCFS</f>
        <v>0</v>
      </c>
      <c r="AH194" s="545">
        <f t="shared" si="379"/>
        <v>0</v>
      </c>
      <c r="AI194" s="560">
        <f t="shared" si="380"/>
        <v>0</v>
      </c>
      <c r="AJ194" s="560">
        <f t="shared" si="381"/>
        <v>0</v>
      </c>
      <c r="AK194" s="560">
        <f t="shared" si="382"/>
        <v>0</v>
      </c>
      <c r="AL194" s="560">
        <f>(VLOOKUP(Sheet1!DC196,hhdcap_wcm,4)-(((VLOOKUP(Sheet1!DC196,hhdcap_wcm,3)-Sheet1!DC196)/(VLOOKUP(Sheet1!DC196,hhdcap_wcm,3)-VLOOKUP(Sheet1!DC196,hhdcap_wcm,1)))*(VLOOKUP(Sheet1!DC196,hhdcap_wcm,4)-VLOOKUP(Sheet1!DC196,hhdcap_wcm,2))))</f>
        <v>47518.000000115615</v>
      </c>
      <c r="AM194" s="560">
        <f t="shared" si="383"/>
        <v>-22.400000000001455</v>
      </c>
      <c r="AN194" s="560">
        <f t="shared" si="384"/>
        <v>3259</v>
      </c>
      <c r="AO194" s="560">
        <f t="shared" si="385"/>
        <v>9998.612000000001</v>
      </c>
      <c r="AP194" s="560">
        <f>Sheet1!BA196+Sheet1!BB196+Sheet1!BN196+CD194</f>
        <v>24</v>
      </c>
      <c r="AQ194" s="560">
        <f>Sheet1!BN196+(DO194*Sheet1!BN196)</f>
        <v>22.698826040554962</v>
      </c>
      <c r="AR194" s="560">
        <f>Sheet1!BA196+CD194</f>
        <v>0</v>
      </c>
      <c r="AS194" s="560">
        <f>Sheet1!BA196+Sheet1!BB196+CD194</f>
        <v>1.6</v>
      </c>
      <c r="AT194" s="698">
        <f>0</f>
        <v>0</v>
      </c>
      <c r="AU194" s="560">
        <f>IF(EB194&lt;K194,0,MAX(Sheet1!AA196+AQ194-15/36*K194-N194,Sheet1!EI196,0))</f>
        <v>0</v>
      </c>
      <c r="AV194" s="560">
        <f>IF(OR(B194&gt;=GD194,B194&lt;GC194),0,15/36*K194-MAX(0,64.6-(137.6-(Sheet1!AA196+Sheet1!AB196))))</f>
        <v>0</v>
      </c>
      <c r="AW194" s="698">
        <f>Sheet1!DB196-110</f>
        <v>303</v>
      </c>
      <c r="AX194" s="698">
        <f>Sheet1!DA196-265</f>
        <v>343</v>
      </c>
      <c r="AY194" s="698">
        <f t="shared" si="386"/>
        <v>57.36</v>
      </c>
      <c r="AZ194" s="698">
        <v>0</v>
      </c>
      <c r="BA194" s="698">
        <f t="shared" si="387"/>
        <v>0</v>
      </c>
      <c r="BB194" s="560">
        <f t="shared" si="388"/>
        <v>1357.9166666666667</v>
      </c>
      <c r="BC194" s="560"/>
      <c r="BD194" s="560">
        <f ca="1">IF(B194&gt;Summary!$A$1,#N/A,BB194*MGtoAF)</f>
        <v>4166.088333333334</v>
      </c>
      <c r="BE194" s="560">
        <f>Sheet1!BG196+Sheet1!BH196+Sheet1!BI196-BM194</f>
        <v>0</v>
      </c>
      <c r="BF194" s="560">
        <f t="shared" si="389"/>
        <v>0</v>
      </c>
      <c r="BG194" s="560">
        <f>IF(Sheet1!EP196="FM",BM194,0)</f>
        <v>0</v>
      </c>
      <c r="BH194" s="560">
        <f t="shared" si="390"/>
        <v>0</v>
      </c>
      <c r="BI194" s="560">
        <f>IF(Sheet1!EP196="OTHER",BM194,0)</f>
        <v>0</v>
      </c>
      <c r="BJ194" s="560">
        <f t="shared" si="391"/>
        <v>0</v>
      </c>
      <c r="BK194" s="560">
        <f t="shared" si="392"/>
        <v>0</v>
      </c>
      <c r="BL194" s="560">
        <f t="shared" si="393"/>
        <v>0</v>
      </c>
      <c r="BM194" s="560">
        <f>IF(OR(Sheet1!EP196="FM", Sheet1!EP196="OTHER"),SUM(Sheet1!BG196:'Sheet1'!BI196),0)</f>
        <v>0</v>
      </c>
      <c r="BN194" s="545">
        <f>IF(AND($B194&gt;=$FV194,$B194&lt;=$FW194),MAX(BF194,Sheet1!#REF!,0),MAX(BF194-(7/36)*$K194,0))</f>
        <v>0</v>
      </c>
      <c r="BO194" s="560">
        <f t="shared" si="394"/>
        <v>0</v>
      </c>
      <c r="BP194" s="545">
        <f t="shared" si="395"/>
        <v>0</v>
      </c>
      <c r="BQ194" s="545">
        <f>IF(AND($O194&gt;0,Sheet1!EM196=1),(1-($O194-Sheet1!$L196)/$O194)*BL194,0)</f>
        <v>0</v>
      </c>
      <c r="BR194" s="545">
        <f>IF(AND(Sheet1!$L196=0,Sheet1!$L195=0, Calculation!BK194&lt;Sheet1!$EI196-0.1,Sheet1!$EI196=Sheet1!$EI195,Sheet1!$EI196=Sheet1!$EI197),Sheet1!$EI196,BL194-BQ194)</f>
        <v>0</v>
      </c>
      <c r="BS194" s="560"/>
      <c r="BT194" s="560"/>
      <c r="BU194" s="560">
        <f t="shared" si="396"/>
        <v>633.69444444444446</v>
      </c>
      <c r="BV194" s="560"/>
      <c r="BW194" s="560">
        <f ca="1">IF(B194&gt;Summary!$A$1,#N/A,BU194*MGtoAF)</f>
        <v>1944.1745555555556</v>
      </c>
      <c r="BX194" s="560">
        <f>Sheet1!BC196+Sheet1!BD196+Sheet1!BE196+Sheet1!BF196-CG194-CH194</f>
        <v>4.51</v>
      </c>
      <c r="BY194" s="560">
        <f t="shared" si="397"/>
        <v>4.5701654215581637</v>
      </c>
      <c r="BZ194" s="560">
        <f>IF(Sheet1!EQ196="FM",CH194,0)</f>
        <v>0</v>
      </c>
      <c r="CA194" s="560">
        <f t="shared" si="398"/>
        <v>0</v>
      </c>
      <c r="CB194" s="560">
        <f>IF(Sheet1!EQ196="OTHER",CH194,0)</f>
        <v>0</v>
      </c>
      <c r="CC194" s="560">
        <f t="shared" si="399"/>
        <v>0</v>
      </c>
      <c r="CD194" s="560">
        <f t="shared" si="400"/>
        <v>0</v>
      </c>
      <c r="CE194" s="560">
        <f t="shared" si="401"/>
        <v>4.51</v>
      </c>
      <c r="CF194" s="560">
        <f t="shared" si="402"/>
        <v>4.5701654215581637</v>
      </c>
      <c r="CG194" s="560">
        <f>IF(Sheet1!EQ196="CWA",SUM(Sheet1!BC196:'Sheet1'!BF196),0)</f>
        <v>0</v>
      </c>
      <c r="CH194" s="560">
        <f>IF(OR(Sheet1!EQ196="FM", Sheet1!EQ196="OTHER"),SUM(Sheet1!BC196:'Sheet1'!BF196),0)</f>
        <v>0</v>
      </c>
      <c r="CI194" s="545">
        <f>IF(AND($B194&gt;=$FV194,$B194&lt;=$FW194),MAX(CF194,Sheet1!EJ196,0),MAX(CF194-(7/36)*$K194,0))</f>
        <v>0</v>
      </c>
      <c r="CJ194" s="560">
        <f t="shared" si="403"/>
        <v>0</v>
      </c>
      <c r="CK194" s="545">
        <f t="shared" si="404"/>
        <v>4.5701654215581637</v>
      </c>
      <c r="CL194" s="545">
        <f>IF(AND($O194&gt;0,Sheet1!EN196=1),(1-($O194-Sheet1!$L196)/$O194)*CF194,0)</f>
        <v>0</v>
      </c>
      <c r="CM194" s="545">
        <f>IF(AND(Sheet1!$L196=0,Sheet1!$L195=0, Calculation!CE194&lt;Sheet1!EJ196-0.1,Sheet1!EJ196=Sheet1!EJ195,Sheet1!EJ196=Sheet1!EJ197),Sheet1!EJ196,CF194-CL194)</f>
        <v>4.5701654215581637</v>
      </c>
      <c r="CN194" s="545"/>
      <c r="CO194" s="560"/>
      <c r="CP194" s="560">
        <f t="shared" si="405"/>
        <v>633.69444444444446</v>
      </c>
      <c r="CQ194" s="560"/>
      <c r="CR194" s="560">
        <f ca="1">IF(B194&gt;Summary!$A$1,#N/A,CP194*MGtoAF)</f>
        <v>1944.1745555555556</v>
      </c>
      <c r="CS194" s="560">
        <f>Sheet1!BK196+Sheet1!BL196+Sheet1!BM196-Sheet1!ER196-DA194</f>
        <v>8.9699999999999989</v>
      </c>
      <c r="CT194" s="560">
        <f t="shared" si="406"/>
        <v>9.0896638207043754</v>
      </c>
      <c r="CU194" s="560">
        <f>IF(Sheet1!ER196="FM",DA194,0)</f>
        <v>0</v>
      </c>
      <c r="CV194" s="560">
        <f t="shared" si="407"/>
        <v>0</v>
      </c>
      <c r="CW194" s="560">
        <f>IF(Sheet1!ER196="OTHER",DA194,0)</f>
        <v>0</v>
      </c>
      <c r="CX194" s="560">
        <f t="shared" si="408"/>
        <v>0</v>
      </c>
      <c r="CY194" s="560">
        <f t="shared" si="409"/>
        <v>8.9699999999999989</v>
      </c>
      <c r="CZ194" s="560">
        <f t="shared" si="410"/>
        <v>9.0896638207043754</v>
      </c>
      <c r="DA194" s="560">
        <f>IF(OR(Sheet1!ER196="FM", Sheet1!ER196="OTHER"),SUM(Sheet1!BK196:'Sheet1'!BM196),0)</f>
        <v>0</v>
      </c>
      <c r="DB194" s="545">
        <f>IF(AND($B194&gt;=$FV194,$B194&lt;=$FW194),MAX($CT194,Sheet1!EK196,0),MAX($CT194-(7/36)*$K194,0))</f>
        <v>0</v>
      </c>
      <c r="DC194" s="560">
        <f t="shared" si="411"/>
        <v>0</v>
      </c>
      <c r="DD194" s="545">
        <f t="shared" si="412"/>
        <v>9.0896638207043754</v>
      </c>
      <c r="DE194" s="545">
        <f>IF(AND($O194&gt;0,Sheet1!EO196=1),(1-($O194-Sheet1!$L196)/$O194)*CZ194,0)</f>
        <v>0</v>
      </c>
      <c r="DF194" s="545">
        <f>IF(AND(Sheet1!$L196=0,Sheet1!$L195=0, Calculation!CY194&lt;Sheet1!$EK196-0.1,Sheet1!$EK196=Sheet1!$EK195,Sheet1!$EK196=Sheet1!$EK197),Sheet1!$EK196,CZ194-DE194)</f>
        <v>9.0896638207043754</v>
      </c>
      <c r="DG194" s="545"/>
      <c r="DH194" s="560">
        <f t="shared" si="413"/>
        <v>13.479999999999999</v>
      </c>
      <c r="DI194" s="560">
        <f t="shared" si="414"/>
        <v>633.69444444444446</v>
      </c>
      <c r="DJ194" s="698">
        <f t="shared" si="415"/>
        <v>13.659829242262539</v>
      </c>
      <c r="DK194" s="560">
        <f ca="1">IF(B194&gt;Summary!$A$1,#N/A,DI194*MGtoAF)</f>
        <v>1944.1745555555556</v>
      </c>
      <c r="DL194" s="698">
        <f t="shared" si="416"/>
        <v>13.479999999999999</v>
      </c>
      <c r="DM194" s="560">
        <f t="shared" si="417"/>
        <v>37.479999999999997</v>
      </c>
      <c r="DN194" s="560">
        <f>Sheet1!AB196-DM194</f>
        <v>0.5</v>
      </c>
      <c r="DO194" s="823">
        <f t="shared" si="418"/>
        <v>1.3340448239060833E-2</v>
      </c>
      <c r="DP194" s="560">
        <f>(VLOOKUP(Sheet1!DC196,hhdcap_wcm,4)-(((VLOOKUP(Sheet1!DC196,hhdcap_wcm,3)-Sheet1!DC196)/(VLOOKUP(Sheet1!DC196,hhdcap_wcm,3)-VLOOKUP(Sheet1!DC196,hhdcap_wcm,1)))*(VLOOKUP(Sheet1!DC196,hhdcap_wcm,4)-VLOOKUP(Sheet1!DC196,hhdcap_wcm,2))))</f>
        <v>47518.000000115615</v>
      </c>
      <c r="DQ194" s="560">
        <f t="shared" si="419"/>
        <v>-22.400000000001455</v>
      </c>
      <c r="DR194" s="560">
        <f t="shared" si="420"/>
        <v>-11.296016137166642</v>
      </c>
      <c r="DS194" s="560">
        <f>Sheet1!EA196*AFtoMG</f>
        <v>0</v>
      </c>
      <c r="DT194" s="560">
        <f>Sheet1!EB196*AFtoMG</f>
        <v>0</v>
      </c>
      <c r="DU194" s="560">
        <f>Sheet1!EC196*AFtoMG</f>
        <v>0</v>
      </c>
      <c r="DV194" s="560">
        <f>Sheet1!ED196*AFtoMG</f>
        <v>0</v>
      </c>
      <c r="DW194" s="560">
        <f t="shared" si="421"/>
        <v>0</v>
      </c>
      <c r="DX194" s="560">
        <f t="shared" si="422"/>
        <v>0</v>
      </c>
      <c r="DY194" s="560">
        <f t="shared" si="423"/>
        <v>3259</v>
      </c>
      <c r="DZ194" s="560">
        <f t="shared" si="424"/>
        <v>9998.612000000001</v>
      </c>
      <c r="EA194" s="560"/>
      <c r="EB194" s="545">
        <f>IF(OR(B194&lt;FV194,B194&gt;FW194),(MIN(BF194+BY194+CT194+MAX(Sheet1!AA196+AQ194-73,0),K194)),0)</f>
        <v>13.659829242262539</v>
      </c>
      <c r="EC194" s="560"/>
      <c r="ED194" s="560">
        <f t="shared" si="425"/>
        <v>13.659829242262539</v>
      </c>
      <c r="EE194" s="560"/>
      <c r="EF194" s="560" t="e">
        <f>Sheet1!EI196+Sheet1!#REF!+Sheet1!EJ196+Sheet1!EK196</f>
        <v>#REF!</v>
      </c>
      <c r="EG194" s="560"/>
      <c r="EH194" s="545">
        <f t="shared" si="426"/>
        <v>0</v>
      </c>
      <c r="EI194" s="560">
        <f>IF(Sheet1!ET196=1,SUM('Calculations II'!AT194:BA194)+'Calculations II'!BC194+Sheet1!BV196+'Calculations II'!BE194+AP194,SUM('Calculations II'!AT194:BA194)+'Calculations II'!BC194+Sheet1!BV196+'Calculations II'!BE194+AP194)</f>
        <v>82.750383999999997</v>
      </c>
      <c r="EJ194" s="560">
        <f>Sheet1!AA196+Sheet1!AB196+'Calculations II'!BC194</f>
        <v>80.28</v>
      </c>
      <c r="EK194" s="560"/>
      <c r="EL194" s="560"/>
      <c r="EM194" s="560">
        <f t="shared" si="427"/>
        <v>41822</v>
      </c>
      <c r="EN194" s="560">
        <f t="shared" si="428"/>
        <v>0</v>
      </c>
      <c r="EO194" s="560">
        <f t="shared" si="429"/>
        <v>0</v>
      </c>
      <c r="EP194" s="560">
        <v>0</v>
      </c>
      <c r="EQ194" s="560">
        <v>0</v>
      </c>
      <c r="ER194" s="560">
        <v>0</v>
      </c>
      <c r="ES194" s="545">
        <f t="shared" si="349"/>
        <v>7.4745450389896</v>
      </c>
      <c r="ET194" s="560">
        <f>-(VLOOKUP(Sheet1!BQ196,Lookup!$O$4:$Q$262,2)-VLOOKUP(Sheet1!BQ195,Lookup!$O$4:$Q$262,2))/1000000</f>
        <v>3.7373590101033076</v>
      </c>
      <c r="EU194" s="560">
        <f>-(VLOOKUP(Sheet1!BR196,Lookup!$O$4:$Q$262,3)-VLOOKUP(Sheet1!BR195,Lookup!$O$4:$Q$262,3))/1000000</f>
        <v>3.7371860288862919</v>
      </c>
      <c r="EV194" s="560"/>
      <c r="EW194" s="560"/>
      <c r="EX194" s="560"/>
      <c r="EY194" s="560"/>
      <c r="EZ194" s="560"/>
      <c r="FA194" s="560"/>
      <c r="FB194" s="560"/>
      <c r="FC194" s="560"/>
      <c r="FD194" s="594" t="e">
        <f>VLOOKUP(#REF!,hhdelev_wcm,4) -(((VLOOKUP(#REF!,hhdelev_wcm,3)-#REF!)/(VLOOKUP(#REF!,hhdelev_wcm,3)-VLOOKUP(#REF!,hhdelev_wcm,1)))*(VLOOKUP(#REF!,hhdelev_wcm,4)-VLOOKUP(#REF!,hhdelev_wcm,2)))</f>
        <v>#REF!</v>
      </c>
      <c r="FE194" s="594" t="e">
        <f t="shared" si="431"/>
        <v>#N/A</v>
      </c>
      <c r="FF194" s="595" t="e">
        <f t="shared" si="432"/>
        <v>#N/A</v>
      </c>
      <c r="FG194" s="596" t="s">
        <v>692</v>
      </c>
      <c r="FH194" s="596" t="s">
        <v>692</v>
      </c>
      <c r="FI194" s="594" t="e">
        <v>#N/A</v>
      </c>
      <c r="FJ194" s="778">
        <v>23332</v>
      </c>
      <c r="FK194" s="560"/>
      <c r="FL194" s="560"/>
      <c r="FM194" s="560"/>
      <c r="FN194" s="560"/>
      <c r="FO194" s="560">
        <f>O194+((Sheet1!CS196)*GPMtoMGD)</f>
        <v>80.28</v>
      </c>
      <c r="FP194" s="560">
        <f>IF(Sheet1!AA196+AQ194&lt;=Calculation!N194,AQ194,Calculation!N194-Sheet1!AA196)</f>
        <v>22.698826040554962</v>
      </c>
      <c r="FQ194" s="560">
        <f>(Sheet1!BP196+Sheet1!BO196)/694.4</f>
        <v>3.7525921658986179</v>
      </c>
      <c r="FR194" s="560"/>
      <c r="FS194" s="560"/>
      <c r="FT194" s="560"/>
      <c r="FU194" s="560"/>
      <c r="FV194" s="695">
        <f t="shared" si="350"/>
        <v>41827</v>
      </c>
      <c r="FW194" s="695">
        <f t="shared" si="351"/>
        <v>41934</v>
      </c>
      <c r="FX194" s="560"/>
      <c r="FY194" s="560"/>
      <c r="FZ194" s="560"/>
      <c r="GA194" s="560"/>
      <c r="GB194" s="560" t="str">
        <f t="shared" si="352"/>
        <v>n</v>
      </c>
      <c r="GC194" s="564">
        <f t="shared" si="353"/>
        <v>41691</v>
      </c>
      <c r="GD194" s="695">
        <f t="shared" si="354"/>
        <v>41807</v>
      </c>
      <c r="GE194" s="560">
        <v>6518.9</v>
      </c>
      <c r="GF194" s="695">
        <f t="shared" si="355"/>
        <v>41808</v>
      </c>
      <c r="GG194" s="560">
        <f t="shared" si="374"/>
        <v>3259</v>
      </c>
      <c r="GH194" s="564">
        <f t="shared" si="356"/>
        <v>41934</v>
      </c>
      <c r="GJ194" s="545">
        <f t="shared" si="357"/>
        <v>0</v>
      </c>
      <c r="GK194" s="560" t="str">
        <f t="shared" si="433"/>
        <v/>
      </c>
      <c r="GL194" s="560">
        <f t="shared" si="358"/>
        <v>0</v>
      </c>
      <c r="GM194" s="560" t="str">
        <f t="shared" si="359"/>
        <v/>
      </c>
      <c r="GN194" s="560">
        <f>IF(GK194="P",Lookup!$M$12,IF(GK194="PP",Lookup!$M$13,IF(GK194="PPP",Lookup!$M$14,IF(GK194="T",Lookup!$M$15,IF(GK194="TP",Lookup!$M$16,IF(GK194="TPP",Lookup!$M$17,IF(GK194="TPPP",Lookup!$M$18,0)))))))*GJ194</f>
        <v>0</v>
      </c>
      <c r="GO194" s="560">
        <f t="shared" si="360"/>
        <v>0</v>
      </c>
      <c r="GP194" s="560">
        <f t="shared" si="434"/>
        <v>4166.088333333334</v>
      </c>
      <c r="GQ194" s="560">
        <f t="shared" si="368"/>
        <v>1357.9166666666667</v>
      </c>
      <c r="GR194" s="560"/>
      <c r="GS194" s="560">
        <f t="shared" si="361"/>
        <v>0</v>
      </c>
      <c r="GT194" s="560" t="str">
        <f t="shared" si="362"/>
        <v/>
      </c>
      <c r="GU194" s="560">
        <f>IF(GK194="P",Lookup!$N$12,IF(GK194="PP",Lookup!$N$13,IF(GK194="PPP",Lookup!$N$14,IF(GK194="T",Lookup!$N$15,IF(GK194="TP",Lookup!$N$16,IF(GK194="TPP",Lookup!$N$17,IF(GK194="TPPP",Lookup!$N$18,0)))))))*GJ194</f>
        <v>0</v>
      </c>
      <c r="GV194" s="560">
        <f t="shared" si="363"/>
        <v>0</v>
      </c>
      <c r="GW194" s="560">
        <f t="shared" si="435"/>
        <v>1944.1745555555556</v>
      </c>
      <c r="GX194" s="560">
        <f t="shared" si="369"/>
        <v>633.69444444444446</v>
      </c>
      <c r="GY194" s="560"/>
      <c r="GZ194" s="560">
        <f t="shared" si="364"/>
        <v>0</v>
      </c>
      <c r="HA194" s="560" t="str">
        <f t="shared" si="365"/>
        <v/>
      </c>
      <c r="HB194" s="560">
        <f>IF(GK194="P",Lookup!$N$12,IF(GK194="PP",Lookup!$N$13,IF(GK194="PPP",Lookup!$N$14,IF(GK194="T",Lookup!$N$15,IF(GK194="TP",Lookup!$N$16,IF(GK194="TPP",Lookup!$N$17,IF(GK194="TPPP",Lookup!$N$18,0)))))))*GJ194</f>
        <v>0</v>
      </c>
      <c r="HC194" s="545">
        <f t="shared" si="436"/>
        <v>0</v>
      </c>
      <c r="HD194" s="560">
        <f t="shared" si="437"/>
        <v>1944.1745555555556</v>
      </c>
      <c r="HE194" s="560">
        <f t="shared" si="370"/>
        <v>633.69444444444446</v>
      </c>
      <c r="HF194" s="560"/>
      <c r="HG194" s="560">
        <f t="shared" si="366"/>
        <v>0</v>
      </c>
      <c r="HH194" s="560" t="str">
        <f t="shared" si="367"/>
        <v/>
      </c>
      <c r="HI194" s="560">
        <f>IF(GK194="P",Lookup!$N$12,IF(GK194="PP",Lookup!$N$13,IF(GK194="PPP",Lookup!$N$14,IF(GK194="T",Lookup!$N$15,IF(GK194="TP",Lookup!$N$16,IF(GK194="TPP",Lookup!$N$17,IF(GK194="TPPP",Lookup!$N$18,0)))))))*GJ194</f>
        <v>0</v>
      </c>
      <c r="HJ194" s="545">
        <f t="shared" si="438"/>
        <v>0</v>
      </c>
      <c r="HK194" s="560">
        <f t="shared" si="439"/>
        <v>1944.1745555555556</v>
      </c>
      <c r="HL194" s="560">
        <f t="shared" si="371"/>
        <v>633.69444444444446</v>
      </c>
      <c r="HM194" s="560"/>
    </row>
    <row r="195" spans="1:221">
      <c r="A195" s="580" t="s">
        <v>7</v>
      </c>
      <c r="B195" s="556">
        <v>41823</v>
      </c>
      <c r="C195" s="561">
        <v>0</v>
      </c>
      <c r="D195" s="529">
        <f t="shared" si="372"/>
        <v>300</v>
      </c>
      <c r="E195" s="529">
        <f t="shared" si="373"/>
        <v>250</v>
      </c>
      <c r="F195" s="529">
        <v>250</v>
      </c>
      <c r="G195" s="560">
        <f>DR195+Sheet1!CZ197</f>
        <v>409.56480080633872</v>
      </c>
      <c r="H195" s="1082">
        <f t="shared" si="442"/>
        <v>70.822687241217352</v>
      </c>
      <c r="I195" s="559">
        <f>Sheet1!DA197-E195</f>
        <v>312</v>
      </c>
      <c r="J195" s="562">
        <f>Sheet1!DB197-Calculation!D195</f>
        <v>55</v>
      </c>
      <c r="K195" s="904">
        <f t="shared" si="375"/>
        <v>55</v>
      </c>
      <c r="L195" s="560">
        <f>Sheet1!AA197+Sheet1!AB197-Sheet1!L197+(Sheet1!DA197-F195)*CFStoMGD</f>
        <v>286.16679999999997</v>
      </c>
      <c r="M195" s="560">
        <f t="shared" si="376"/>
        <v>270.03754098604173</v>
      </c>
      <c r="N195" s="910">
        <f>IF(Sheet1!DA197&gt;=F195,MIN(73,MIN(MAX(L195,0),MAX(M195,0))),0)</f>
        <v>73</v>
      </c>
      <c r="O195" s="563">
        <f>Sheet1!AA197+Sheet1!AB197</f>
        <v>84.490000000000009</v>
      </c>
      <c r="P195" s="563">
        <f t="shared" si="377"/>
        <v>130.70603</v>
      </c>
      <c r="Q195" s="898">
        <f t="shared" si="339"/>
        <v>29.490000000000009</v>
      </c>
      <c r="R195" s="829" t="e">
        <f t="shared" si="378"/>
        <v>#REF!</v>
      </c>
      <c r="S195" s="898">
        <f t="shared" si="340"/>
        <v>55</v>
      </c>
      <c r="T195" s="898">
        <f t="shared" si="341"/>
        <v>0</v>
      </c>
      <c r="U195" s="898">
        <f t="shared" si="342"/>
        <v>0</v>
      </c>
      <c r="V195" s="898"/>
      <c r="W195" s="898">
        <f t="shared" si="343"/>
        <v>41.337650155539606</v>
      </c>
      <c r="X195" s="898">
        <f t="shared" si="344"/>
        <v>55</v>
      </c>
      <c r="Y195" s="898" t="str">
        <f t="shared" si="345"/>
        <v>FALSE</v>
      </c>
      <c r="Z195" s="898">
        <f t="shared" si="346"/>
        <v>84.490000000000009</v>
      </c>
      <c r="AA195" s="898">
        <f t="shared" si="347"/>
        <v>84.490000000000009</v>
      </c>
      <c r="AB195" s="898" t="str">
        <f t="shared" si="348"/>
        <v/>
      </c>
      <c r="AC195" s="563">
        <f>Sheet1!Y197*MGDtoCFS</f>
        <v>65.438099999999991</v>
      </c>
      <c r="AD195" s="563">
        <f>Sheet1!Z197*MGDtoCFS</f>
        <v>58.755059999999993</v>
      </c>
      <c r="AE195" s="563">
        <f>Sheet1!AA197*MGDtoCFS</f>
        <v>64.741950000000003</v>
      </c>
      <c r="AF195" s="563">
        <f>Sheet1!AB197*MGDtoCFS</f>
        <v>65.964079999999996</v>
      </c>
      <c r="AG195" s="563">
        <f>Sheet1!L197*MGDtoCFS</f>
        <v>0</v>
      </c>
      <c r="AH195" s="545">
        <f t="shared" si="379"/>
        <v>0</v>
      </c>
      <c r="AI195" s="560">
        <f t="shared" si="380"/>
        <v>0</v>
      </c>
      <c r="AJ195" s="560">
        <f t="shared" si="381"/>
        <v>0</v>
      </c>
      <c r="AK195" s="560">
        <f t="shared" si="382"/>
        <v>0</v>
      </c>
      <c r="AL195" s="560">
        <f>(VLOOKUP(Sheet1!DC197,hhdcap_wcm,4)-(((VLOOKUP(Sheet1!DC197,hhdcap_wcm,3)-Sheet1!DC197)/(VLOOKUP(Sheet1!DC197,hhdcap_wcm,3)-VLOOKUP(Sheet1!DC197,hhdcap_wcm,1)))*(VLOOKUP(Sheet1!DC197,hhdcap_wcm,4)-VLOOKUP(Sheet1!DC197,hhdcap_wcm,2))))</f>
        <v>47439.800000114585</v>
      </c>
      <c r="AM195" s="560">
        <f t="shared" si="383"/>
        <v>-78.200000001030276</v>
      </c>
      <c r="AN195" s="560">
        <f t="shared" si="384"/>
        <v>3259</v>
      </c>
      <c r="AO195" s="560">
        <f t="shared" si="385"/>
        <v>9998.612000000001</v>
      </c>
      <c r="AP195" s="560">
        <f>Sheet1!BA197+Sheet1!BB197+Sheet1!BN197+CD195</f>
        <v>28.400000000000002</v>
      </c>
      <c r="AQ195" s="560">
        <f>Sheet1!BN197+(DO195*Sheet1!BN197)</f>
        <v>27.345106484804973</v>
      </c>
      <c r="AR195" s="560">
        <f>Sheet1!BA197+CD195</f>
        <v>0</v>
      </c>
      <c r="AS195" s="560">
        <f>Sheet1!BA197+Sheet1!BB197+CD195</f>
        <v>1.6</v>
      </c>
      <c r="AT195" s="698">
        <f>0</f>
        <v>0</v>
      </c>
      <c r="AU195" s="560">
        <f>IF(EB195&lt;K195,0,MAX(Sheet1!AA197+AQ195-15/36*K195-N195,Sheet1!EI197,0))</f>
        <v>0</v>
      </c>
      <c r="AV195" s="560">
        <f>IF(OR(B195&gt;=GD195,B195&lt;GC195),0,15/36*K195-MAX(0,64.6-(137.6-(Sheet1!AA197+Sheet1!AB197))))</f>
        <v>0</v>
      </c>
      <c r="AW195" s="698">
        <f>Sheet1!DB197-110</f>
        <v>245</v>
      </c>
      <c r="AX195" s="698">
        <f>Sheet1!DA197-265</f>
        <v>297</v>
      </c>
      <c r="AY195" s="698">
        <f t="shared" si="386"/>
        <v>43.509999999999991</v>
      </c>
      <c r="AZ195" s="698">
        <v>0</v>
      </c>
      <c r="BA195" s="698">
        <f t="shared" si="387"/>
        <v>0</v>
      </c>
      <c r="BB195" s="560">
        <f t="shared" si="388"/>
        <v>1357.9166666666667</v>
      </c>
      <c r="BC195" s="560"/>
      <c r="BD195" s="560">
        <f ca="1">IF(B195&gt;Summary!$A$1,#N/A,BB195*MGtoAF)</f>
        <v>4166.088333333334</v>
      </c>
      <c r="BE195" s="560">
        <f>Sheet1!BG197+Sheet1!BH197+Sheet1!BI197-BM195</f>
        <v>0</v>
      </c>
      <c r="BF195" s="560">
        <f t="shared" si="389"/>
        <v>0</v>
      </c>
      <c r="BG195" s="560">
        <f>IF(Sheet1!EP197="FM",BM195,0)</f>
        <v>0</v>
      </c>
      <c r="BH195" s="560">
        <f t="shared" si="390"/>
        <v>0</v>
      </c>
      <c r="BI195" s="560">
        <f>IF(Sheet1!EP197="OTHER",BM195,0)</f>
        <v>0</v>
      </c>
      <c r="BJ195" s="560">
        <f t="shared" si="391"/>
        <v>0</v>
      </c>
      <c r="BK195" s="560">
        <f t="shared" si="392"/>
        <v>0</v>
      </c>
      <c r="BL195" s="560">
        <f t="shared" si="393"/>
        <v>0</v>
      </c>
      <c r="BM195" s="560">
        <f>IF(OR(Sheet1!EP197="FM", Sheet1!EP197="OTHER"),SUM(Sheet1!BG197:'Sheet1'!BI197),0)</f>
        <v>0</v>
      </c>
      <c r="BN195" s="545">
        <f>IF(AND($B195&gt;=$FV195,$B195&lt;=$FW195),MAX(BF195,Sheet1!#REF!,0),MAX(BF195-(7/36)*$K195,0))</f>
        <v>0</v>
      </c>
      <c r="BO195" s="560">
        <f t="shared" si="394"/>
        <v>0</v>
      </c>
      <c r="BP195" s="545">
        <f t="shared" si="395"/>
        <v>0</v>
      </c>
      <c r="BQ195" s="545">
        <f>IF(AND($O195&gt;0,Sheet1!EM197=1),(1-($O195-Sheet1!$L197)/$O195)*BL195,0)</f>
        <v>0</v>
      </c>
      <c r="BR195" s="545">
        <f>IF(AND(Sheet1!$L197=0,Sheet1!$L196=0, Calculation!BK195&lt;Sheet1!$EI197-0.1,Sheet1!$EI197=Sheet1!$EI196,Sheet1!$EI197=Sheet1!$EI198),Sheet1!$EI197,BL195-BQ195)</f>
        <v>1</v>
      </c>
      <c r="BS195" s="560"/>
      <c r="BT195" s="560"/>
      <c r="BU195" s="560">
        <f t="shared" si="396"/>
        <v>633.69444444444446</v>
      </c>
      <c r="BV195" s="560"/>
      <c r="BW195" s="560">
        <f ca="1">IF(B195&gt;Summary!$A$1,#N/A,BU195*MGtoAF)</f>
        <v>1944.1745555555556</v>
      </c>
      <c r="BX195" s="560">
        <f>Sheet1!BC197+Sheet1!BD197+Sheet1!BE197+Sheet1!BF197-CG195-CH195</f>
        <v>4.5</v>
      </c>
      <c r="BY195" s="560">
        <f t="shared" si="397"/>
        <v>4.5915290739411336</v>
      </c>
      <c r="BZ195" s="560">
        <f>IF(Sheet1!EQ197="FM",CH195,0)</f>
        <v>0</v>
      </c>
      <c r="CA195" s="560">
        <f t="shared" si="398"/>
        <v>0</v>
      </c>
      <c r="CB195" s="560">
        <f>IF(Sheet1!EQ197="OTHER",CH195,0)</f>
        <v>0</v>
      </c>
      <c r="CC195" s="560">
        <f t="shared" si="399"/>
        <v>0</v>
      </c>
      <c r="CD195" s="560">
        <f t="shared" si="400"/>
        <v>0</v>
      </c>
      <c r="CE195" s="560">
        <f t="shared" si="401"/>
        <v>4.5</v>
      </c>
      <c r="CF195" s="560">
        <f t="shared" si="402"/>
        <v>4.5915290739411336</v>
      </c>
      <c r="CG195" s="560">
        <f>IF(Sheet1!EQ197="CWA",SUM(Sheet1!BC197:'Sheet1'!BF197),0)</f>
        <v>0</v>
      </c>
      <c r="CH195" s="560">
        <f>IF(OR(Sheet1!EQ197="FM", Sheet1!EQ197="OTHER"),SUM(Sheet1!BC197:'Sheet1'!BF197),0)</f>
        <v>0</v>
      </c>
      <c r="CI195" s="545">
        <f>IF(AND($B195&gt;=$FV195,$B195&lt;=$FW195),MAX(CF195,Sheet1!EJ197,0),MAX(CF195-(7/36)*$K195,0))</f>
        <v>0</v>
      </c>
      <c r="CJ195" s="560">
        <f t="shared" si="403"/>
        <v>0</v>
      </c>
      <c r="CK195" s="545">
        <f t="shared" si="404"/>
        <v>4.5915290739411336</v>
      </c>
      <c r="CL195" s="545">
        <f>IF(AND($O195&gt;0,Sheet1!EN197=1),(1-($O195-Sheet1!$L197)/$O195)*CF195,0)</f>
        <v>0</v>
      </c>
      <c r="CM195" s="545">
        <f>IF(AND(Sheet1!$L197=0,Sheet1!$L196=0, Calculation!CE195&lt;Sheet1!EJ197-0.1,Sheet1!EJ197=Sheet1!EJ196,Sheet1!EJ197=Sheet1!EJ198),Sheet1!EJ197,CF195-CL195)</f>
        <v>4.5915290739411336</v>
      </c>
      <c r="CN195" s="545"/>
      <c r="CO195" s="560"/>
      <c r="CP195" s="560">
        <f t="shared" si="405"/>
        <v>633.69444444444446</v>
      </c>
      <c r="CQ195" s="560"/>
      <c r="CR195" s="560">
        <f ca="1">IF(B195&gt;Summary!$A$1,#N/A,CP195*MGtoAF)</f>
        <v>1944.1745555555556</v>
      </c>
      <c r="CS195" s="560">
        <f>Sheet1!BK197+Sheet1!BL197+Sheet1!BM197-Sheet1!ER197-DA195</f>
        <v>8.89</v>
      </c>
      <c r="CT195" s="560">
        <f t="shared" si="406"/>
        <v>9.0708207705192621</v>
      </c>
      <c r="CU195" s="560">
        <f>IF(Sheet1!ER197="FM",DA195,0)</f>
        <v>0</v>
      </c>
      <c r="CV195" s="560">
        <f t="shared" si="407"/>
        <v>0</v>
      </c>
      <c r="CW195" s="560">
        <f>IF(Sheet1!ER197="OTHER",DA195,0)</f>
        <v>0</v>
      </c>
      <c r="CX195" s="560">
        <f t="shared" si="408"/>
        <v>0</v>
      </c>
      <c r="CY195" s="560">
        <f t="shared" si="409"/>
        <v>8.89</v>
      </c>
      <c r="CZ195" s="560">
        <f t="shared" si="410"/>
        <v>9.0708207705192621</v>
      </c>
      <c r="DA195" s="560">
        <f>IF(OR(Sheet1!ER197="FM", Sheet1!ER197="OTHER"),SUM(Sheet1!BK197:'Sheet1'!BM197),0)</f>
        <v>0</v>
      </c>
      <c r="DB195" s="545">
        <f>IF(AND($B195&gt;=$FV195,$B195&lt;=$FW195),MAX($CT195,Sheet1!EK197,0),MAX($CT195-(7/36)*$K195,0))</f>
        <v>0</v>
      </c>
      <c r="DC195" s="560">
        <f t="shared" si="411"/>
        <v>0</v>
      </c>
      <c r="DD195" s="545">
        <f t="shared" si="412"/>
        <v>9.0708207705192621</v>
      </c>
      <c r="DE195" s="545">
        <f>IF(AND($O195&gt;0,Sheet1!EO197=1),(1-($O195-Sheet1!$L197)/$O195)*CZ195,0)</f>
        <v>0</v>
      </c>
      <c r="DF195" s="545">
        <f>IF(AND(Sheet1!$L197=0,Sheet1!$L196=0, Calculation!CY195&lt;Sheet1!$EK197-0.1,Sheet1!$EK197=Sheet1!$EK196,Sheet1!$EK197=Sheet1!$EK198),Sheet1!$EK197,CZ195-DE195)</f>
        <v>9</v>
      </c>
      <c r="DG195" s="545"/>
      <c r="DH195" s="560">
        <f t="shared" si="413"/>
        <v>13.39</v>
      </c>
      <c r="DI195" s="560">
        <f t="shared" si="414"/>
        <v>633.69444444444446</v>
      </c>
      <c r="DJ195" s="698">
        <f t="shared" si="415"/>
        <v>13.662349844460396</v>
      </c>
      <c r="DK195" s="560">
        <f ca="1">IF(B195&gt;Summary!$A$1,#N/A,DI195*MGtoAF)</f>
        <v>1944.1745555555556</v>
      </c>
      <c r="DL195" s="698">
        <f t="shared" si="416"/>
        <v>13.39</v>
      </c>
      <c r="DM195" s="560">
        <f t="shared" si="417"/>
        <v>41.790000000000006</v>
      </c>
      <c r="DN195" s="560">
        <f>Sheet1!AB197-DM195</f>
        <v>0.84999999999999432</v>
      </c>
      <c r="DO195" s="823">
        <f t="shared" si="418"/>
        <v>2.0339794209140803E-2</v>
      </c>
      <c r="DP195" s="560">
        <f>(VLOOKUP(Sheet1!DC197,hhdcap_wcm,4)-(((VLOOKUP(Sheet1!DC197,hhdcap_wcm,3)-Sheet1!DC197)/(VLOOKUP(Sheet1!DC197,hhdcap_wcm,3)-VLOOKUP(Sheet1!DC197,hhdcap_wcm,1)))*(VLOOKUP(Sheet1!DC197,hhdcap_wcm,4)-VLOOKUP(Sheet1!DC197,hhdcap_wcm,2))))</f>
        <v>47439.800000114585</v>
      </c>
      <c r="DQ195" s="560">
        <f t="shared" si="419"/>
        <v>-78.200000001030276</v>
      </c>
      <c r="DR195" s="560">
        <f t="shared" si="420"/>
        <v>-39.435199193661255</v>
      </c>
      <c r="DS195" s="560">
        <f>Sheet1!EA197*AFtoMG</f>
        <v>0</v>
      </c>
      <c r="DT195" s="560">
        <f>Sheet1!EB197*AFtoMG</f>
        <v>0</v>
      </c>
      <c r="DU195" s="560">
        <f>Sheet1!EC197*AFtoMG</f>
        <v>0</v>
      </c>
      <c r="DV195" s="560">
        <f>Sheet1!ED197*AFtoMG</f>
        <v>0</v>
      </c>
      <c r="DW195" s="560">
        <f t="shared" si="421"/>
        <v>0</v>
      </c>
      <c r="DX195" s="560">
        <f t="shared" si="422"/>
        <v>0</v>
      </c>
      <c r="DY195" s="560">
        <f t="shared" si="423"/>
        <v>3259</v>
      </c>
      <c r="DZ195" s="560">
        <f t="shared" si="424"/>
        <v>9998.612000000001</v>
      </c>
      <c r="EA195" s="560"/>
      <c r="EB195" s="545">
        <f>IF(OR(B195&lt;FV195,B195&gt;FW195),(MIN(BF195+BY195+CT195+MAX(Sheet1!AA197+AQ195-73,0),K195)),0)</f>
        <v>13.662349844460396</v>
      </c>
      <c r="EC195" s="560"/>
      <c r="ED195" s="560">
        <f t="shared" si="425"/>
        <v>13.662349844460396</v>
      </c>
      <c r="EE195" s="560"/>
      <c r="EF195" s="560" t="e">
        <f>Sheet1!EI197+Sheet1!#REF!+Sheet1!EJ197+Sheet1!EK197</f>
        <v>#REF!</v>
      </c>
      <c r="EG195" s="560"/>
      <c r="EH195" s="545">
        <f t="shared" si="426"/>
        <v>0</v>
      </c>
      <c r="EI195" s="560">
        <f>IF(Sheet1!ET197=1,SUM('Calculations II'!AT195:BA195)+'Calculations II'!BC195+Sheet1!BV197+'Calculations II'!BE195+AP195,SUM('Calculations II'!AT195:BA195)+'Calculations II'!BC195+Sheet1!BV197+'Calculations II'!BE195+AP195)</f>
        <v>77.458656000000005</v>
      </c>
      <c r="EJ195" s="560">
        <f>Sheet1!AA197+Sheet1!AB197+'Calculations II'!BC195</f>
        <v>84.490000000000009</v>
      </c>
      <c r="EK195" s="560"/>
      <c r="EL195" s="560"/>
      <c r="EM195" s="560">
        <f t="shared" si="427"/>
        <v>41823</v>
      </c>
      <c r="EN195" s="560">
        <f t="shared" si="428"/>
        <v>0</v>
      </c>
      <c r="EO195" s="560">
        <f t="shared" si="429"/>
        <v>0</v>
      </c>
      <c r="EP195" s="560">
        <v>0</v>
      </c>
      <c r="EQ195" s="560">
        <v>0</v>
      </c>
      <c r="ER195" s="560">
        <v>0</v>
      </c>
      <c r="ES195" s="545">
        <f t="shared" si="349"/>
        <v>-1.6602028095419519</v>
      </c>
      <c r="ET195" s="560">
        <f>-(VLOOKUP(Sheet1!BQ197,Lookup!$O$4:$Q$262,2)-VLOOKUP(Sheet1!BQ196,Lookup!$O$4:$Q$262,2))/1000000</f>
        <v>-0.83012062025050071</v>
      </c>
      <c r="EU195" s="560">
        <f>-(VLOOKUP(Sheet1!BR197,Lookup!$O$4:$Q$262,3)-VLOOKUP(Sheet1!BR196,Lookup!$O$4:$Q$262,3))/1000000</f>
        <v>-0.83008218929145117</v>
      </c>
      <c r="EV195" s="560"/>
      <c r="EW195" s="560"/>
      <c r="EX195" s="560"/>
      <c r="EY195" s="560"/>
      <c r="EZ195" s="560"/>
      <c r="FA195" s="560"/>
      <c r="FB195" s="560"/>
      <c r="FC195" s="560"/>
      <c r="FD195" s="594">
        <f t="shared" ref="FD195:FD234" si="443">VLOOKUP(FJ192,hhdelev_wcm,4) -(((VLOOKUP(FJ192,hhdelev_wcm,3)-FJ192)/(VLOOKUP(FJ192,hhdelev_wcm,3)-VLOOKUP(FJ192,hhdelev_wcm,1)))*(VLOOKUP(FJ192,hhdelev_wcm,4)-VLOOKUP(FJ192,hhdelev_wcm,2)))</f>
        <v>1140.0999999999199</v>
      </c>
      <c r="FE195" s="594" t="e">
        <f t="shared" si="431"/>
        <v>#N/A</v>
      </c>
      <c r="FF195" s="595" t="e">
        <f t="shared" si="432"/>
        <v>#N/A</v>
      </c>
      <c r="FG195" s="596" t="s">
        <v>692</v>
      </c>
      <c r="FH195" s="596" t="s">
        <v>692</v>
      </c>
      <c r="FI195" s="594" t="e">
        <v>#N/A</v>
      </c>
      <c r="FJ195" s="778">
        <v>23248</v>
      </c>
      <c r="FK195" s="560"/>
      <c r="FL195" s="560"/>
      <c r="FM195" s="560"/>
      <c r="FN195" s="560"/>
      <c r="FO195" s="560">
        <f>O195+((Sheet1!CS197)*GPMtoMGD)</f>
        <v>84.490000000000009</v>
      </c>
      <c r="FP195" s="560">
        <f>IF(Sheet1!AA197+AQ195&lt;=Calculation!N195,AQ195,Calculation!N195-Sheet1!AA197)</f>
        <v>27.345106484804973</v>
      </c>
      <c r="FQ195" s="560">
        <f>(Sheet1!BP197+Sheet1!BO197)/694.4</f>
        <v>4.1460253456221201</v>
      </c>
      <c r="FR195" s="560"/>
      <c r="FS195" s="560"/>
      <c r="FT195" s="560"/>
      <c r="FU195" s="560"/>
      <c r="FV195" s="695">
        <f t="shared" si="350"/>
        <v>41827</v>
      </c>
      <c r="FW195" s="695">
        <f t="shared" si="351"/>
        <v>41934</v>
      </c>
      <c r="FX195" s="560"/>
      <c r="FY195" s="560"/>
      <c r="FZ195" s="560"/>
      <c r="GA195" s="560"/>
      <c r="GB195" s="560" t="str">
        <f t="shared" si="352"/>
        <v>n</v>
      </c>
      <c r="GC195" s="564">
        <f t="shared" si="353"/>
        <v>41691</v>
      </c>
      <c r="GD195" s="695">
        <f t="shared" si="354"/>
        <v>41807</v>
      </c>
      <c r="GE195" s="560">
        <v>6518.9</v>
      </c>
      <c r="GF195" s="695">
        <f t="shared" si="355"/>
        <v>41808</v>
      </c>
      <c r="GG195" s="560">
        <f t="shared" si="374"/>
        <v>3259</v>
      </c>
      <c r="GH195" s="564">
        <f t="shared" si="356"/>
        <v>41934</v>
      </c>
      <c r="GJ195" s="545">
        <f t="shared" si="357"/>
        <v>0</v>
      </c>
      <c r="GK195" s="560" t="str">
        <f t="shared" si="433"/>
        <v/>
      </c>
      <c r="GL195" s="560">
        <f t="shared" si="358"/>
        <v>0</v>
      </c>
      <c r="GM195" s="560" t="str">
        <f t="shared" si="359"/>
        <v/>
      </c>
      <c r="GN195" s="560">
        <f>IF(GK195="P",Lookup!$M$12,IF(GK195="PP",Lookup!$M$13,IF(GK195="PPP",Lookup!$M$14,IF(GK195="T",Lookup!$M$15,IF(GK195="TP",Lookup!$M$16,IF(GK195="TPP",Lookup!$M$17,IF(GK195="TPPP",Lookup!$M$18,0)))))))*GJ195</f>
        <v>0</v>
      </c>
      <c r="GO195" s="560">
        <f t="shared" si="360"/>
        <v>0</v>
      </c>
      <c r="GP195" s="560">
        <f t="shared" si="434"/>
        <v>4166.088333333334</v>
      </c>
      <c r="GQ195" s="560">
        <f t="shared" si="368"/>
        <v>1357.9166666666667</v>
      </c>
      <c r="GR195" s="560"/>
      <c r="GS195" s="560">
        <f t="shared" si="361"/>
        <v>0</v>
      </c>
      <c r="GT195" s="560" t="str">
        <f t="shared" si="362"/>
        <v/>
      </c>
      <c r="GU195" s="560">
        <f>IF(GK195="P",Lookup!$N$12,IF(GK195="PP",Lookup!$N$13,IF(GK195="PPP",Lookup!$N$14,IF(GK195="T",Lookup!$N$15,IF(GK195="TP",Lookup!$N$16,IF(GK195="TPP",Lookup!$N$17,IF(GK195="TPPP",Lookup!$N$18,0)))))))*GJ195</f>
        <v>0</v>
      </c>
      <c r="GV195" s="560">
        <f t="shared" si="363"/>
        <v>0</v>
      </c>
      <c r="GW195" s="560">
        <f t="shared" si="435"/>
        <v>1944.1745555555556</v>
      </c>
      <c r="GX195" s="560">
        <f t="shared" si="369"/>
        <v>633.69444444444446</v>
      </c>
      <c r="GY195" s="560"/>
      <c r="GZ195" s="560">
        <f t="shared" si="364"/>
        <v>0</v>
      </c>
      <c r="HA195" s="560" t="str">
        <f t="shared" si="365"/>
        <v/>
      </c>
      <c r="HB195" s="560">
        <f>IF(GK195="P",Lookup!$N$12,IF(GK195="PP",Lookup!$N$13,IF(GK195="PPP",Lookup!$N$14,IF(GK195="T",Lookup!$N$15,IF(GK195="TP",Lookup!$N$16,IF(GK195="TPP",Lookup!$N$17,IF(GK195="TPPP",Lookup!$N$18,0)))))))*GJ195</f>
        <v>0</v>
      </c>
      <c r="HC195" s="545">
        <f t="shared" si="436"/>
        <v>0</v>
      </c>
      <c r="HD195" s="560">
        <f t="shared" si="437"/>
        <v>1944.1745555555556</v>
      </c>
      <c r="HE195" s="560">
        <f t="shared" si="370"/>
        <v>633.69444444444446</v>
      </c>
      <c r="HF195" s="560"/>
      <c r="HG195" s="560">
        <f t="shared" si="366"/>
        <v>0</v>
      </c>
      <c r="HH195" s="560" t="str">
        <f t="shared" si="367"/>
        <v/>
      </c>
      <c r="HI195" s="560">
        <f>IF(GK195="P",Lookup!$N$12,IF(GK195="PP",Lookup!$N$13,IF(GK195="PPP",Lookup!$N$14,IF(GK195="T",Lookup!$N$15,IF(GK195="TP",Lookup!$N$16,IF(GK195="TPP",Lookup!$N$17,IF(GK195="TPPP",Lookup!$N$18,0)))))))*GJ195</f>
        <v>0</v>
      </c>
      <c r="HJ195" s="545">
        <f t="shared" si="438"/>
        <v>0</v>
      </c>
      <c r="HK195" s="560">
        <f t="shared" si="439"/>
        <v>1944.1745555555556</v>
      </c>
      <c r="HL195" s="560">
        <f t="shared" si="371"/>
        <v>633.69444444444446</v>
      </c>
      <c r="HM195" s="560"/>
    </row>
    <row r="196" spans="1:221">
      <c r="A196" s="580" t="s">
        <v>8</v>
      </c>
      <c r="B196" s="556">
        <v>41824</v>
      </c>
      <c r="C196" s="561">
        <v>0</v>
      </c>
      <c r="D196" s="529">
        <f t="shared" si="372"/>
        <v>300</v>
      </c>
      <c r="E196" s="529">
        <f t="shared" si="373"/>
        <v>250</v>
      </c>
      <c r="F196" s="529">
        <v>250</v>
      </c>
      <c r="G196" s="560">
        <f>DR196+Sheet1!CZ198</f>
        <v>421.01210287430428</v>
      </c>
      <c r="H196" s="1082">
        <f t="shared" si="442"/>
        <v>78.222223297950279</v>
      </c>
      <c r="I196" s="559">
        <f>Sheet1!DA198-E196</f>
        <v>305</v>
      </c>
      <c r="J196" s="562">
        <f>Sheet1!DB198-Calculation!D196</f>
        <v>51</v>
      </c>
      <c r="K196" s="904">
        <f t="shared" si="375"/>
        <v>51</v>
      </c>
      <c r="L196" s="560">
        <f>Sheet1!AA198+Sheet1!AB198-Sheet1!L198+(Sheet1!DA198-F196)*CFStoMGD</f>
        <v>284.68200000000002</v>
      </c>
      <c r="M196" s="560">
        <f t="shared" si="376"/>
        <v>277.58506776390931</v>
      </c>
      <c r="N196" s="910">
        <f>IF(Sheet1!DA198&gt;=F196,MIN(73,MIN(MAX(L196,0),MAX(M196,0))),0)</f>
        <v>73</v>
      </c>
      <c r="O196" s="563">
        <f>Sheet1!AA198+Sheet1!AB198</f>
        <v>87.53</v>
      </c>
      <c r="P196" s="563">
        <f t="shared" si="377"/>
        <v>135.40890999999999</v>
      </c>
      <c r="Q196" s="898">
        <f t="shared" si="339"/>
        <v>36.53</v>
      </c>
      <c r="R196" s="829">
        <f t="shared" si="378"/>
        <v>14.788539228435196</v>
      </c>
      <c r="S196" s="898">
        <f t="shared" si="340"/>
        <v>51</v>
      </c>
      <c r="T196" s="898">
        <f t="shared" si="341"/>
        <v>0</v>
      </c>
      <c r="U196" s="898">
        <f t="shared" si="342"/>
        <v>0</v>
      </c>
      <c r="V196" s="898"/>
      <c r="W196" s="898">
        <f t="shared" si="343"/>
        <v>36.211460771564802</v>
      </c>
      <c r="X196" s="898">
        <f t="shared" si="344"/>
        <v>51</v>
      </c>
      <c r="Y196" s="898" t="str">
        <f t="shared" si="345"/>
        <v>FALSE</v>
      </c>
      <c r="Z196" s="898">
        <f t="shared" si="346"/>
        <v>87.53</v>
      </c>
      <c r="AA196" s="898">
        <f t="shared" si="347"/>
        <v>87.53</v>
      </c>
      <c r="AB196" s="898" t="str">
        <f t="shared" si="348"/>
        <v/>
      </c>
      <c r="AC196" s="563">
        <f>Sheet1!Y198*MGDtoCFS</f>
        <v>64.741950000000003</v>
      </c>
      <c r="AD196" s="563">
        <f>Sheet1!Z198*MGDtoCFS</f>
        <v>65.964079999999996</v>
      </c>
      <c r="AE196" s="563">
        <f>Sheet1!AA198*MGDtoCFS</f>
        <v>64.277849999999987</v>
      </c>
      <c r="AF196" s="563">
        <f>Sheet1!AB198*MGDtoCFS</f>
        <v>71.131059999999991</v>
      </c>
      <c r="AG196" s="563">
        <f>Sheet1!L198*MGDtoCFS</f>
        <v>0</v>
      </c>
      <c r="AH196" s="545">
        <f t="shared" si="379"/>
        <v>0</v>
      </c>
      <c r="AI196" s="560">
        <f t="shared" si="380"/>
        <v>0</v>
      </c>
      <c r="AJ196" s="560">
        <f t="shared" si="381"/>
        <v>0</v>
      </c>
      <c r="AK196" s="560">
        <f t="shared" si="382"/>
        <v>0</v>
      </c>
      <c r="AL196" s="560">
        <f>(VLOOKUP(Sheet1!DC198,hhdcap_wcm,4)-(((VLOOKUP(Sheet1!DC198,hhdcap_wcm,3)-Sheet1!DC198)/(VLOOKUP(Sheet1!DC198,hhdcap_wcm,3)-VLOOKUP(Sheet1!DC198,hhdcap_wcm,1)))*(VLOOKUP(Sheet1!DC198,hhdcap_wcm,4)-VLOOKUP(Sheet1!DC198,hhdcap_wcm,2))))</f>
        <v>47384.30000011433</v>
      </c>
      <c r="AM196" s="560">
        <f t="shared" si="383"/>
        <v>-55.500000000254659</v>
      </c>
      <c r="AN196" s="560">
        <f t="shared" si="384"/>
        <v>3259</v>
      </c>
      <c r="AO196" s="560">
        <f t="shared" si="385"/>
        <v>9998.612000000001</v>
      </c>
      <c r="AP196" s="560">
        <f>Sheet1!BA198+Sheet1!BB198+Sheet1!BN198+CD196</f>
        <v>31.3</v>
      </c>
      <c r="AQ196" s="560">
        <f>Sheet1!BN198+(DO196*Sheet1!BN198)</f>
        <v>29.597009102730816</v>
      </c>
      <c r="AR196" s="560">
        <f>Sheet1!BA198+CD196</f>
        <v>0</v>
      </c>
      <c r="AS196" s="560">
        <f>Sheet1!BA198+Sheet1!BB198+CD196</f>
        <v>1.6</v>
      </c>
      <c r="AT196" s="698">
        <f>0</f>
        <v>0</v>
      </c>
      <c r="AU196" s="560">
        <f>IF(EB196&lt;K196,0,MAX(Sheet1!AA198+AQ196-15/36*K196-N196,Sheet1!EH198,0))</f>
        <v>0</v>
      </c>
      <c r="AV196" s="560">
        <f>IF(OR(B196&gt;=GD196,B196&lt;GC196),0,15/36*K196-MAX(0,64.6-(137.6-(Sheet1!AA198+Sheet1!AB198))))</f>
        <v>0</v>
      </c>
      <c r="AW196" s="698">
        <f>Sheet1!DB198-110</f>
        <v>241</v>
      </c>
      <c r="AX196" s="698">
        <f>Sheet1!DA198-265</f>
        <v>290</v>
      </c>
      <c r="AY196" s="698">
        <f t="shared" si="386"/>
        <v>36.47</v>
      </c>
      <c r="AZ196" s="698">
        <v>0</v>
      </c>
      <c r="BA196" s="698">
        <f t="shared" si="387"/>
        <v>0</v>
      </c>
      <c r="BB196" s="560">
        <f t="shared" si="388"/>
        <v>1357.9166666666667</v>
      </c>
      <c r="BC196" s="560"/>
      <c r="BD196" s="560">
        <f ca="1">IF(B196&gt;Summary!$A$1,#N/A,BB196*MGtoAF)</f>
        <v>4166.088333333334</v>
      </c>
      <c r="BE196" s="560">
        <f>Sheet1!BG198+Sheet1!BH198+Sheet1!BI198-BM196</f>
        <v>1.01</v>
      </c>
      <c r="BF196" s="560">
        <f t="shared" si="389"/>
        <v>1.006497615951452</v>
      </c>
      <c r="BG196" s="560">
        <f>IF(Sheet1!EP198="FM",BM196,0)</f>
        <v>0</v>
      </c>
      <c r="BH196" s="560">
        <f t="shared" si="390"/>
        <v>0</v>
      </c>
      <c r="BI196" s="560">
        <f>IF(Sheet1!EP198="OTHER",BM196,0)</f>
        <v>0</v>
      </c>
      <c r="BJ196" s="560">
        <f t="shared" si="391"/>
        <v>0</v>
      </c>
      <c r="BK196" s="560">
        <f t="shared" si="392"/>
        <v>1.01</v>
      </c>
      <c r="BL196" s="560">
        <f t="shared" si="393"/>
        <v>1.006497615951452</v>
      </c>
      <c r="BM196" s="560">
        <f>IF(OR(Sheet1!EP198="FM", Sheet1!EP198="OTHER"),SUM(Sheet1!BG198:'Sheet1'!BI198),0)</f>
        <v>0</v>
      </c>
      <c r="BN196" s="545">
        <f>IF(AND($B196&gt;=$FV196,$B196&lt;=$FW196),MAX(BF196,Sheet1!EI198,0),MAX(BF196-(7/36)*$K196,0))</f>
        <v>0</v>
      </c>
      <c r="BO196" s="560">
        <f t="shared" si="394"/>
        <v>0</v>
      </c>
      <c r="BP196" s="545">
        <f t="shared" si="395"/>
        <v>1.006497615951452</v>
      </c>
      <c r="BQ196" s="545">
        <f>IF(AND($O196&gt;0,Sheet1!EM198=1),(1-($O196-Sheet1!$L198)/$O196)*BL196,0)</f>
        <v>0</v>
      </c>
      <c r="BR196" s="545">
        <f>IF(AND(Sheet1!$L198=0,Sheet1!$L197=0, Calculation!BK196&lt;Sheet1!$EI198-0.1,Sheet1!$EI198=Sheet1!$EI197,Sheet1!$EI198=Sheet1!$EI199),Sheet1!$EI198,BL196-BQ196)</f>
        <v>1.006497615951452</v>
      </c>
      <c r="BS196" s="560"/>
      <c r="BT196" s="560"/>
      <c r="BU196" s="560">
        <f t="shared" si="396"/>
        <v>633.69444444444446</v>
      </c>
      <c r="BV196" s="560"/>
      <c r="BW196" s="560">
        <f ca="1">IF(B196&gt;Summary!$A$1,#N/A,BU196*MGtoAF)</f>
        <v>1944.1745555555556</v>
      </c>
      <c r="BX196" s="560">
        <f>Sheet1!BC198+Sheet1!BD198+Sheet1!BE198+Sheet1!BF198-CG196-CH196</f>
        <v>4.8</v>
      </c>
      <c r="BY196" s="560">
        <f t="shared" si="397"/>
        <v>4.7833550065019503</v>
      </c>
      <c r="BZ196" s="560">
        <f>IF(Sheet1!EQ198="FM",CH196,0)</f>
        <v>0</v>
      </c>
      <c r="CA196" s="560">
        <f t="shared" si="398"/>
        <v>0</v>
      </c>
      <c r="CB196" s="560">
        <f>IF(Sheet1!EQ198="OTHER",CH196,0)</f>
        <v>0</v>
      </c>
      <c r="CC196" s="560">
        <f t="shared" si="399"/>
        <v>0</v>
      </c>
      <c r="CD196" s="560">
        <f t="shared" si="400"/>
        <v>0</v>
      </c>
      <c r="CE196" s="560">
        <f t="shared" si="401"/>
        <v>4.8</v>
      </c>
      <c r="CF196" s="560">
        <f t="shared" si="402"/>
        <v>4.7833550065019503</v>
      </c>
      <c r="CG196" s="560">
        <f>IF(Sheet1!EQ198="CWA",SUM(Sheet1!BC198:'Sheet1'!BF198),0)</f>
        <v>0</v>
      </c>
      <c r="CH196" s="560">
        <f>IF(OR(Sheet1!EQ198="FM", Sheet1!EQ198="OTHER"),SUM(Sheet1!BC198:'Sheet1'!BF198),0)</f>
        <v>0</v>
      </c>
      <c r="CI196" s="545">
        <f>IF(AND($B196&gt;=$FV196,$B196&lt;=$FW196),MAX(CF196,Sheet1!EJ198,0),MAX(CF196-(7/36)*$K196,0))</f>
        <v>0</v>
      </c>
      <c r="CJ196" s="560">
        <f t="shared" si="403"/>
        <v>0</v>
      </c>
      <c r="CK196" s="545">
        <f t="shared" si="404"/>
        <v>4.7833550065019503</v>
      </c>
      <c r="CL196" s="545">
        <f>IF(AND($O196&gt;0,Sheet1!EN198=1),(1-($O196-Sheet1!$L198)/$O196)*CF196,0)</f>
        <v>0</v>
      </c>
      <c r="CM196" s="545">
        <f>IF(AND(Sheet1!$L198=0,Sheet1!$L197=0, Calculation!CE196&lt;Sheet1!EJ198-0.1,Sheet1!EJ198=Sheet1!EJ197,Sheet1!EJ198=Sheet1!EJ199),Sheet1!EJ198,CF196-CL196)</f>
        <v>4.7833550065019503</v>
      </c>
      <c r="CN196" s="545"/>
      <c r="CO196" s="560"/>
      <c r="CP196" s="560">
        <f t="shared" si="405"/>
        <v>633.69444444444446</v>
      </c>
      <c r="CQ196" s="560"/>
      <c r="CR196" s="560">
        <f ca="1">IF(B196&gt;Summary!$A$1,#N/A,CP196*MGtoAF)</f>
        <v>1944.1745555555556</v>
      </c>
      <c r="CS196" s="560">
        <f>Sheet1!BK198+Sheet1!BL198+Sheet1!BM198-Sheet1!ER198-DA196</f>
        <v>9.0299999999999994</v>
      </c>
      <c r="CT196" s="560">
        <f t="shared" si="406"/>
        <v>8.9986866059817938</v>
      </c>
      <c r="CU196" s="560">
        <f>IF(Sheet1!ER198="FM",DA196,0)</f>
        <v>0</v>
      </c>
      <c r="CV196" s="560">
        <f t="shared" si="407"/>
        <v>0</v>
      </c>
      <c r="CW196" s="560">
        <f>IF(Sheet1!ER198="OTHER",DA196,0)</f>
        <v>0</v>
      </c>
      <c r="CX196" s="560">
        <f t="shared" si="408"/>
        <v>0</v>
      </c>
      <c r="CY196" s="560">
        <f t="shared" si="409"/>
        <v>9.0299999999999994</v>
      </c>
      <c r="CZ196" s="560">
        <f t="shared" si="410"/>
        <v>8.9986866059817938</v>
      </c>
      <c r="DA196" s="560">
        <f>IF(OR(Sheet1!ER198="FM", Sheet1!ER198="OTHER"),SUM(Sheet1!BK198:'Sheet1'!BM198),0)</f>
        <v>0</v>
      </c>
      <c r="DB196" s="545">
        <f>IF(AND($B196&gt;=$FV196,$B196&lt;=$FW196),MAX($CT196,Sheet1!EK198,0),MAX($CT196-(7/36)*$K196,0))</f>
        <v>0</v>
      </c>
      <c r="DC196" s="560">
        <f t="shared" si="411"/>
        <v>0</v>
      </c>
      <c r="DD196" s="545">
        <f t="shared" si="412"/>
        <v>8.9986866059817938</v>
      </c>
      <c r="DE196" s="545">
        <f>IF(AND($O196&gt;0,Sheet1!EO198=1),(1-($O196-Sheet1!$L198)/$O196)*CZ196,0)</f>
        <v>0</v>
      </c>
      <c r="DF196" s="545">
        <f>IF(AND(Sheet1!$L198=0,Sheet1!$L197=0, Calculation!CY196&lt;Sheet1!$EK198-0.1,Sheet1!$EK198=Sheet1!$EK197,Sheet1!$EK198=Sheet1!$EK199),Sheet1!$EK198,CZ196-DE196)</f>
        <v>8.9986866059817938</v>
      </c>
      <c r="DG196" s="545"/>
      <c r="DH196" s="560">
        <f t="shared" si="413"/>
        <v>14.84</v>
      </c>
      <c r="DI196" s="560">
        <f t="shared" si="414"/>
        <v>633.69444444444446</v>
      </c>
      <c r="DJ196" s="698">
        <f t="shared" si="415"/>
        <v>14.788539228435196</v>
      </c>
      <c r="DK196" s="560">
        <f ca="1">IF(B196&gt;Summary!$A$1,#N/A,DI196*MGtoAF)</f>
        <v>1944.1745555555556</v>
      </c>
      <c r="DL196" s="698">
        <f t="shared" si="416"/>
        <v>14.839999999999998</v>
      </c>
      <c r="DM196" s="560">
        <f t="shared" si="417"/>
        <v>46.14</v>
      </c>
      <c r="DN196" s="560">
        <f>Sheet1!AB198-DM196</f>
        <v>-0.16000000000000369</v>
      </c>
      <c r="DO196" s="823">
        <f t="shared" si="418"/>
        <v>-3.4677069787603749E-3</v>
      </c>
      <c r="DP196" s="560">
        <f>(VLOOKUP(Sheet1!DC198,hhdcap_wcm,4)-(((VLOOKUP(Sheet1!DC198,hhdcap_wcm,3)-Sheet1!DC198)/(VLOOKUP(Sheet1!DC198,hhdcap_wcm,3)-VLOOKUP(Sheet1!DC198,hhdcap_wcm,1)))*(VLOOKUP(Sheet1!DC198,hhdcap_wcm,4)-VLOOKUP(Sheet1!DC198,hhdcap_wcm,2))))</f>
        <v>47384.30000011433</v>
      </c>
      <c r="DQ196" s="560">
        <f t="shared" si="419"/>
        <v>-55.500000000254659</v>
      </c>
      <c r="DR196" s="560">
        <f t="shared" si="420"/>
        <v>-27.987897125695739</v>
      </c>
      <c r="DS196" s="560">
        <f>Sheet1!EA198*AFtoMG</f>
        <v>0</v>
      </c>
      <c r="DT196" s="560">
        <f>Sheet1!EB198*AFtoMG</f>
        <v>0</v>
      </c>
      <c r="DU196" s="560">
        <f>Sheet1!EC198*AFtoMG</f>
        <v>0</v>
      </c>
      <c r="DV196" s="560">
        <f>Sheet1!ED198*AFtoMG</f>
        <v>0</v>
      </c>
      <c r="DW196" s="560">
        <f t="shared" si="421"/>
        <v>0</v>
      </c>
      <c r="DX196" s="560">
        <f t="shared" si="422"/>
        <v>0</v>
      </c>
      <c r="DY196" s="560">
        <f t="shared" si="423"/>
        <v>3259</v>
      </c>
      <c r="DZ196" s="560">
        <f t="shared" si="424"/>
        <v>9998.612000000001</v>
      </c>
      <c r="EA196" s="560"/>
      <c r="EB196" s="545">
        <f>IF(OR(B196&lt;FV196,B196&gt;FW196),(MIN(BF196+BY196+CT196+MAX(Sheet1!AA198+AQ196-73,0),K196)),0)</f>
        <v>14.788539228435196</v>
      </c>
      <c r="EC196" s="560"/>
      <c r="ED196" s="560">
        <f t="shared" si="425"/>
        <v>14.788539228435194</v>
      </c>
      <c r="EE196" s="560"/>
      <c r="EF196" s="560">
        <f>Sheet1!EH198+Sheet1!EI198+Sheet1!EJ198+Sheet1!EK198</f>
        <v>14.5</v>
      </c>
      <c r="EG196" s="560"/>
      <c r="EH196" s="545">
        <f t="shared" si="426"/>
        <v>0</v>
      </c>
      <c r="EI196" s="560">
        <f>IF(Sheet1!ET198=1,SUM('Calculations II'!AT196:BA196)+'Calculations II'!BC196+Sheet1!BV198+'Calculations II'!BE196+AP196,SUM('Calculations II'!AT196:BA196)+'Calculations II'!BC196+Sheet1!BV198+'Calculations II'!BE196+AP196)</f>
        <v>78.665583999999996</v>
      </c>
      <c r="EJ196" s="560">
        <f>Sheet1!AA198+Sheet1!AB198+'Calculations II'!BC196</f>
        <v>87.53</v>
      </c>
      <c r="EK196" s="560"/>
      <c r="EL196" s="560"/>
      <c r="EM196" s="560">
        <f t="shared" si="427"/>
        <v>41824</v>
      </c>
      <c r="EN196" s="560">
        <f t="shared" si="428"/>
        <v>0</v>
      </c>
      <c r="EO196" s="560">
        <f t="shared" si="429"/>
        <v>0</v>
      </c>
      <c r="EP196" s="560">
        <v>0</v>
      </c>
      <c r="EQ196" s="560">
        <v>0</v>
      </c>
      <c r="ER196" s="560">
        <v>0</v>
      </c>
      <c r="ES196" s="545">
        <f t="shared" si="349"/>
        <v>-2.768029610619184</v>
      </c>
      <c r="ET196" s="560">
        <f>-(VLOOKUP(Sheet1!BQ198,Lookup!$O$4:$Q$262,2)-VLOOKUP(Sheet1!BQ197,Lookup!$O$4:$Q$262,2))/1000000</f>
        <v>-1.3840468370207959</v>
      </c>
      <c r="EU196" s="560">
        <f>-(VLOOKUP(Sheet1!BR198,Lookup!$O$4:$Q$262,3)-VLOOKUP(Sheet1!BR197,Lookup!$O$4:$Q$262,3))/1000000</f>
        <v>-1.3839827735983878</v>
      </c>
      <c r="EV196" s="560"/>
      <c r="EW196" s="560"/>
      <c r="EX196" s="560"/>
      <c r="EY196" s="560"/>
      <c r="EZ196" s="560"/>
      <c r="FA196" s="560"/>
      <c r="FB196" s="560"/>
      <c r="FC196" s="560"/>
      <c r="FD196" s="594">
        <f t="shared" si="443"/>
        <v>1139.9878378377578</v>
      </c>
      <c r="FE196" s="594" t="e">
        <f t="shared" si="431"/>
        <v>#N/A</v>
      </c>
      <c r="FF196" s="595" t="e">
        <f t="shared" si="432"/>
        <v>#N/A</v>
      </c>
      <c r="FG196" s="596" t="s">
        <v>692</v>
      </c>
      <c r="FH196" s="596" t="s">
        <v>692</v>
      </c>
      <c r="FI196" s="594" t="e">
        <v>#N/A</v>
      </c>
      <c r="FJ196" s="778">
        <v>23164</v>
      </c>
      <c r="FK196" s="560"/>
      <c r="FL196" s="560"/>
      <c r="FM196" s="560"/>
      <c r="FN196" s="560"/>
      <c r="FO196" s="560">
        <f>O196+((Sheet1!CS198)*GPMtoMGD)</f>
        <v>87.53</v>
      </c>
      <c r="FP196" s="560">
        <f>IF(Sheet1!AA198+AQ196&lt;=Calculation!N196,AQ196,Calculation!N196-Sheet1!AA198)</f>
        <v>29.597009102730816</v>
      </c>
      <c r="FQ196" s="560">
        <f>(Sheet1!BP198+Sheet1!BO198)/694.4</f>
        <v>3.5011520737327189</v>
      </c>
      <c r="FR196" s="560"/>
      <c r="FS196" s="560"/>
      <c r="FT196" s="560"/>
      <c r="FU196" s="560"/>
      <c r="FV196" s="695">
        <f t="shared" si="350"/>
        <v>41827</v>
      </c>
      <c r="FW196" s="695">
        <f t="shared" si="351"/>
        <v>41934</v>
      </c>
      <c r="FX196" s="560"/>
      <c r="FY196" s="560"/>
      <c r="FZ196" s="560"/>
      <c r="GA196" s="560"/>
      <c r="GB196" s="560" t="str">
        <f t="shared" si="352"/>
        <v>n</v>
      </c>
      <c r="GC196" s="564">
        <f t="shared" si="353"/>
        <v>41691</v>
      </c>
      <c r="GD196" s="695">
        <f t="shared" si="354"/>
        <v>41807</v>
      </c>
      <c r="GE196" s="560">
        <v>6518.9</v>
      </c>
      <c r="GF196" s="695">
        <f t="shared" si="355"/>
        <v>41808</v>
      </c>
      <c r="GG196" s="560">
        <f t="shared" si="374"/>
        <v>3259</v>
      </c>
      <c r="GH196" s="564">
        <f t="shared" si="356"/>
        <v>41934</v>
      </c>
      <c r="GJ196" s="545">
        <f t="shared" si="357"/>
        <v>0</v>
      </c>
      <c r="GK196" s="560" t="str">
        <f t="shared" si="433"/>
        <v/>
      </c>
      <c r="GL196" s="560">
        <f t="shared" si="358"/>
        <v>0</v>
      </c>
      <c r="GM196" s="560" t="str">
        <f t="shared" si="359"/>
        <v/>
      </c>
      <c r="GN196" s="560">
        <f>IF(GK196="P",Lookup!$M$12,IF(GK196="PP",Lookup!$M$13,IF(GK196="PPP",Lookup!$M$14,IF(GK196="T",Lookup!$M$15,IF(GK196="TP",Lookup!$M$16,IF(GK196="TPP",Lookup!$M$17,IF(GK196="TPPP",Lookup!$M$18,0)))))))*GJ196</f>
        <v>0</v>
      </c>
      <c r="GO196" s="560">
        <f t="shared" si="360"/>
        <v>0</v>
      </c>
      <c r="GP196" s="560">
        <f t="shared" si="434"/>
        <v>4166.088333333334</v>
      </c>
      <c r="GQ196" s="560">
        <f t="shared" si="368"/>
        <v>1357.9166666666667</v>
      </c>
      <c r="GR196" s="560"/>
      <c r="GS196" s="560">
        <f t="shared" si="361"/>
        <v>0</v>
      </c>
      <c r="GT196" s="560" t="str">
        <f t="shared" si="362"/>
        <v/>
      </c>
      <c r="GU196" s="560">
        <f>IF(GK196="P",Lookup!$N$12,IF(GK196="PP",Lookup!$N$13,IF(GK196="PPP",Lookup!$N$14,IF(GK196="T",Lookup!$N$15,IF(GK196="TP",Lookup!$N$16,IF(GK196="TPP",Lookup!$N$17,IF(GK196="TPPP",Lookup!$N$18,0)))))))*GJ196</f>
        <v>0</v>
      </c>
      <c r="GV196" s="560">
        <f t="shared" si="363"/>
        <v>0</v>
      </c>
      <c r="GW196" s="560">
        <f t="shared" si="435"/>
        <v>1944.1745555555556</v>
      </c>
      <c r="GX196" s="560">
        <f t="shared" si="369"/>
        <v>633.69444444444446</v>
      </c>
      <c r="GY196" s="560"/>
      <c r="GZ196" s="560">
        <f t="shared" si="364"/>
        <v>0</v>
      </c>
      <c r="HA196" s="560" t="str">
        <f t="shared" si="365"/>
        <v/>
      </c>
      <c r="HB196" s="560">
        <f>IF(GK196="P",Lookup!$N$12,IF(GK196="PP",Lookup!$N$13,IF(GK196="PPP",Lookup!$N$14,IF(GK196="T",Lookup!$N$15,IF(GK196="TP",Lookup!$N$16,IF(GK196="TPP",Lookup!$N$17,IF(GK196="TPPP",Lookup!$N$18,0)))))))*GJ196</f>
        <v>0</v>
      </c>
      <c r="HC196" s="545">
        <f t="shared" si="436"/>
        <v>0</v>
      </c>
      <c r="HD196" s="560">
        <f t="shared" si="437"/>
        <v>1944.1745555555556</v>
      </c>
      <c r="HE196" s="560">
        <f t="shared" si="370"/>
        <v>633.69444444444446</v>
      </c>
      <c r="HF196" s="560"/>
      <c r="HG196" s="560">
        <f t="shared" si="366"/>
        <v>0</v>
      </c>
      <c r="HH196" s="560" t="str">
        <f t="shared" si="367"/>
        <v/>
      </c>
      <c r="HI196" s="560">
        <f>IF(GK196="P",Lookup!$N$12,IF(GK196="PP",Lookup!$N$13,IF(GK196="PPP",Lookup!$N$14,IF(GK196="T",Lookup!$N$15,IF(GK196="TP",Lookup!$N$16,IF(GK196="TPP",Lookup!$N$17,IF(GK196="TPPP",Lookup!$N$18,0)))))))*GJ196</f>
        <v>0</v>
      </c>
      <c r="HJ196" s="545">
        <f t="shared" si="438"/>
        <v>0</v>
      </c>
      <c r="HK196" s="560">
        <f t="shared" si="439"/>
        <v>1944.1745555555556</v>
      </c>
      <c r="HL196" s="560">
        <f t="shared" si="371"/>
        <v>633.69444444444446</v>
      </c>
      <c r="HM196" s="560"/>
    </row>
    <row r="197" spans="1:221">
      <c r="A197" s="580" t="s">
        <v>9</v>
      </c>
      <c r="B197" s="556">
        <v>41825</v>
      </c>
      <c r="C197" s="561">
        <v>0</v>
      </c>
      <c r="D197" s="529">
        <f t="shared" si="372"/>
        <v>300</v>
      </c>
      <c r="E197" s="529">
        <f t="shared" si="373"/>
        <v>250</v>
      </c>
      <c r="F197" s="529">
        <v>250</v>
      </c>
      <c r="G197" s="560">
        <f>DR197+Sheet1!CZ199</f>
        <v>403.96722138226437</v>
      </c>
      <c r="H197" s="1082">
        <f t="shared" si="442"/>
        <v>67.204411901495689</v>
      </c>
      <c r="I197" s="559">
        <f>Sheet1!DA199-E197</f>
        <v>294</v>
      </c>
      <c r="J197" s="562">
        <f>Sheet1!DB199-Calculation!D197</f>
        <v>50</v>
      </c>
      <c r="K197" s="904">
        <f t="shared" si="375"/>
        <v>50</v>
      </c>
      <c r="L197" s="560">
        <f>Sheet1!AA199+Sheet1!AB199-Sheet1!L199+(Sheet1!DA199-F197)*CFStoMGD</f>
        <v>277.54160000000002</v>
      </c>
      <c r="M197" s="560">
        <f t="shared" si="376"/>
        <v>266.34690013952559</v>
      </c>
      <c r="N197" s="910">
        <f>IF(Sheet1!DA199&gt;=F197,MIN(73,MIN(MAX(L197,0),MAX(M197,0))),0)</f>
        <v>73</v>
      </c>
      <c r="O197" s="563">
        <f>Sheet1!AA199+Sheet1!AB199</f>
        <v>87.5</v>
      </c>
      <c r="P197" s="563">
        <f t="shared" si="377"/>
        <v>135.36249999999998</v>
      </c>
      <c r="Q197" s="898">
        <f t="shared" si="339"/>
        <v>37.5</v>
      </c>
      <c r="R197" s="829">
        <f t="shared" si="378"/>
        <v>15.001083423618635</v>
      </c>
      <c r="S197" s="898">
        <f t="shared" si="340"/>
        <v>50</v>
      </c>
      <c r="T197" s="898">
        <f t="shared" si="341"/>
        <v>0</v>
      </c>
      <c r="U197" s="898">
        <f t="shared" si="342"/>
        <v>0</v>
      </c>
      <c r="V197" s="898"/>
      <c r="W197" s="898">
        <f t="shared" si="343"/>
        <v>34.998916576381362</v>
      </c>
      <c r="X197" s="898">
        <f t="shared" si="344"/>
        <v>50</v>
      </c>
      <c r="Y197" s="898" t="str">
        <f t="shared" si="345"/>
        <v>FALSE</v>
      </c>
      <c r="Z197" s="898">
        <f t="shared" si="346"/>
        <v>87.5</v>
      </c>
      <c r="AA197" s="898">
        <f t="shared" si="347"/>
        <v>87.5</v>
      </c>
      <c r="AB197" s="898" t="str">
        <f t="shared" si="348"/>
        <v/>
      </c>
      <c r="AC197" s="563">
        <f>Sheet1!Y199*MGDtoCFS</f>
        <v>64.277849999999987</v>
      </c>
      <c r="AD197" s="563">
        <f>Sheet1!Z199*MGDtoCFS</f>
        <v>71.131059999999991</v>
      </c>
      <c r="AE197" s="563">
        <f>Sheet1!AA199*MGDtoCFS</f>
        <v>64.200499999999991</v>
      </c>
      <c r="AF197" s="563">
        <f>Sheet1!AB199*MGDtoCFS</f>
        <v>71.161999999999992</v>
      </c>
      <c r="AG197" s="563">
        <f>Sheet1!L199*MGDtoCFS</f>
        <v>0</v>
      </c>
      <c r="AH197" s="545">
        <f t="shared" si="379"/>
        <v>0</v>
      </c>
      <c r="AI197" s="560">
        <f t="shared" si="380"/>
        <v>0</v>
      </c>
      <c r="AJ197" s="560">
        <f t="shared" si="381"/>
        <v>0</v>
      </c>
      <c r="AK197" s="560">
        <f t="shared" si="382"/>
        <v>0</v>
      </c>
      <c r="AL197" s="560">
        <f>(VLOOKUP(Sheet1!DC199,hhdcap_wcm,4)-(((VLOOKUP(Sheet1!DC199,hhdcap_wcm,3)-Sheet1!DC199)/(VLOOKUP(Sheet1!DC199,hhdcap_wcm,3)-VLOOKUP(Sheet1!DC199,hhdcap_wcm,1)))*(VLOOKUP(Sheet1!DC199,hhdcap_wcm,4)-VLOOKUP(Sheet1!DC199,hhdcap_wcm,2))))</f>
        <v>47295.00000011536</v>
      </c>
      <c r="AM197" s="560">
        <f t="shared" si="383"/>
        <v>-89.299999998969724</v>
      </c>
      <c r="AN197" s="560">
        <f t="shared" si="384"/>
        <v>3259</v>
      </c>
      <c r="AO197" s="560">
        <f t="shared" si="385"/>
        <v>9998.612000000001</v>
      </c>
      <c r="AP197" s="560">
        <f>Sheet1!BA199+Sheet1!BB199+Sheet1!BN199+CD197</f>
        <v>31.1</v>
      </c>
      <c r="AQ197" s="560">
        <f>Sheet1!BN199+(DO197*Sheet1!BN199)</f>
        <v>29.404117009750813</v>
      </c>
      <c r="AR197" s="560">
        <f>Sheet1!BA199+CD197</f>
        <v>0</v>
      </c>
      <c r="AS197" s="560">
        <f>Sheet1!BA199+Sheet1!BB199+CD197</f>
        <v>1.6</v>
      </c>
      <c r="AT197" s="698">
        <f>0</f>
        <v>0</v>
      </c>
      <c r="AU197" s="560">
        <f>IF(EB197&lt;K197,0,MAX(Sheet1!AA199+AQ197-15/36*K197-N197,Sheet1!EH199,0))</f>
        <v>0</v>
      </c>
      <c r="AV197" s="560">
        <f>IF(OR(B197&gt;=GD197,B197&lt;GC197),0,15/36*K197-MAX(0,64.6-(137.6-(Sheet1!AA199+Sheet1!AB199))))</f>
        <v>0</v>
      </c>
      <c r="AW197" s="698">
        <f>Sheet1!DB199-110</f>
        <v>240</v>
      </c>
      <c r="AX197" s="698">
        <f>Sheet1!DA199-265</f>
        <v>279</v>
      </c>
      <c r="AY197" s="698">
        <f t="shared" si="386"/>
        <v>35.5</v>
      </c>
      <c r="AZ197" s="698">
        <v>0</v>
      </c>
      <c r="BA197" s="698">
        <f t="shared" si="387"/>
        <v>0</v>
      </c>
      <c r="BB197" s="560">
        <f t="shared" si="388"/>
        <v>1357.9166666666667</v>
      </c>
      <c r="BC197" s="560"/>
      <c r="BD197" s="560">
        <f ca="1">IF(B197&gt;Summary!$A$1,#N/A,BB197*MGtoAF)</f>
        <v>4166.088333333334</v>
      </c>
      <c r="BE197" s="560">
        <f>Sheet1!BG199+Sheet1!BH199+Sheet1!BI199-BM197</f>
        <v>1</v>
      </c>
      <c r="BF197" s="560">
        <f t="shared" si="389"/>
        <v>0.99674972914409532</v>
      </c>
      <c r="BG197" s="560">
        <f>IF(Sheet1!EP199="FM",BM197,0)</f>
        <v>0</v>
      </c>
      <c r="BH197" s="560">
        <f t="shared" si="390"/>
        <v>0</v>
      </c>
      <c r="BI197" s="560">
        <f>IF(Sheet1!EP199="OTHER",BM197,0)</f>
        <v>0</v>
      </c>
      <c r="BJ197" s="560">
        <f t="shared" si="391"/>
        <v>0</v>
      </c>
      <c r="BK197" s="560">
        <f t="shared" si="392"/>
        <v>1</v>
      </c>
      <c r="BL197" s="560">
        <f t="shared" si="393"/>
        <v>0.99674972914409532</v>
      </c>
      <c r="BM197" s="560">
        <f>IF(OR(Sheet1!EP199="FM", Sheet1!EP199="OTHER"),SUM(Sheet1!BG199:'Sheet1'!BI199),0)</f>
        <v>0</v>
      </c>
      <c r="BN197" s="545">
        <f>IF(AND($B197&gt;=$FV197,$B197&lt;=$FW197),MAX(BF197,Sheet1!EI199,0),MAX(BF197-(7/36)*$K197,0))</f>
        <v>0</v>
      </c>
      <c r="BO197" s="560">
        <f t="shared" si="394"/>
        <v>0</v>
      </c>
      <c r="BP197" s="545">
        <f t="shared" si="395"/>
        <v>0.99674972914409532</v>
      </c>
      <c r="BQ197" s="545">
        <f>IF(AND($O197&gt;0,Sheet1!EM199=1),(1-($O197-Sheet1!$L199)/$O197)*BL197,0)</f>
        <v>0</v>
      </c>
      <c r="BR197" s="545">
        <f>IF(AND(Sheet1!$L199=0,Sheet1!$L198=0, Calculation!BK197&lt;Sheet1!$EI199-0.1,Sheet1!$EI199=Sheet1!$EI198,Sheet1!$EI199=Sheet1!$EI200),Sheet1!$EI199,BL197-BQ197)</f>
        <v>0.99674972914409532</v>
      </c>
      <c r="BS197" s="560"/>
      <c r="BT197" s="560"/>
      <c r="BU197" s="560">
        <f t="shared" si="396"/>
        <v>633.69444444444446</v>
      </c>
      <c r="BV197" s="560"/>
      <c r="BW197" s="560">
        <f ca="1">IF(B197&gt;Summary!$A$1,#N/A,BU197*MGtoAF)</f>
        <v>1944.1745555555556</v>
      </c>
      <c r="BX197" s="560">
        <f>Sheet1!BC199+Sheet1!BD199+Sheet1!BE199+Sheet1!BF199-CG197-CH197</f>
        <v>5.01</v>
      </c>
      <c r="BY197" s="560">
        <f t="shared" si="397"/>
        <v>4.9937161430119179</v>
      </c>
      <c r="BZ197" s="560">
        <f>IF(Sheet1!EQ199="FM",CH197,0)</f>
        <v>0</v>
      </c>
      <c r="CA197" s="560">
        <f t="shared" si="398"/>
        <v>0</v>
      </c>
      <c r="CB197" s="560">
        <f>IF(Sheet1!EQ199="OTHER",CH197,0)</f>
        <v>0</v>
      </c>
      <c r="CC197" s="560">
        <f t="shared" si="399"/>
        <v>0</v>
      </c>
      <c r="CD197" s="560">
        <f t="shared" si="400"/>
        <v>0</v>
      </c>
      <c r="CE197" s="560">
        <f t="shared" si="401"/>
        <v>5.01</v>
      </c>
      <c r="CF197" s="560">
        <f t="shared" si="402"/>
        <v>4.9937161430119179</v>
      </c>
      <c r="CG197" s="560">
        <f>IF(Sheet1!EQ199="CWA",SUM(Sheet1!BC199:'Sheet1'!BF199),0)</f>
        <v>0</v>
      </c>
      <c r="CH197" s="560">
        <f>IF(OR(Sheet1!EQ199="FM", Sheet1!EQ199="OTHER"),SUM(Sheet1!BC199:'Sheet1'!BF199),0)</f>
        <v>0</v>
      </c>
      <c r="CI197" s="545">
        <f>IF(AND($B197&gt;=$FV197,$B197&lt;=$FW197),MAX(CF197,Sheet1!EJ199,0),MAX(CF197-(7/36)*$K197,0))</f>
        <v>0</v>
      </c>
      <c r="CJ197" s="560">
        <f t="shared" si="403"/>
        <v>0</v>
      </c>
      <c r="CK197" s="545">
        <f t="shared" si="404"/>
        <v>4.9937161430119179</v>
      </c>
      <c r="CL197" s="545">
        <f>IF(AND($O197&gt;0,Sheet1!EN199=1),(1-($O197-Sheet1!$L199)/$O197)*CF197,0)</f>
        <v>0</v>
      </c>
      <c r="CM197" s="545">
        <f>IF(AND(Sheet1!$L199=0,Sheet1!$L198=0, Calculation!CE197&lt;Sheet1!EJ199-0.1,Sheet1!EJ199=Sheet1!EJ198,Sheet1!EJ199=Sheet1!EJ200),Sheet1!EJ199,CF197-CL197)</f>
        <v>4.9937161430119179</v>
      </c>
      <c r="CN197" s="545"/>
      <c r="CO197" s="560"/>
      <c r="CP197" s="560">
        <f t="shared" si="405"/>
        <v>633.69444444444446</v>
      </c>
      <c r="CQ197" s="560"/>
      <c r="CR197" s="560">
        <f ca="1">IF(B197&gt;Summary!$A$1,#N/A,CP197*MGtoAF)</f>
        <v>1944.1745555555556</v>
      </c>
      <c r="CS197" s="560">
        <f>Sheet1!BK199+Sheet1!BL199+Sheet1!BM199-Sheet1!ER199-DA197</f>
        <v>9.0399999999999991</v>
      </c>
      <c r="CT197" s="560">
        <f t="shared" si="406"/>
        <v>9.0106175514626212</v>
      </c>
      <c r="CU197" s="560">
        <f>IF(Sheet1!ER199="FM",DA197,0)</f>
        <v>0</v>
      </c>
      <c r="CV197" s="560">
        <f t="shared" si="407"/>
        <v>0</v>
      </c>
      <c r="CW197" s="560">
        <f>IF(Sheet1!ER199="OTHER",DA197,0)</f>
        <v>0</v>
      </c>
      <c r="CX197" s="560">
        <f t="shared" si="408"/>
        <v>0</v>
      </c>
      <c r="CY197" s="560">
        <f t="shared" si="409"/>
        <v>9.0399999999999991</v>
      </c>
      <c r="CZ197" s="560">
        <f t="shared" si="410"/>
        <v>9.0106175514626212</v>
      </c>
      <c r="DA197" s="560">
        <f>IF(OR(Sheet1!ER199="FM", Sheet1!ER199="OTHER"),SUM(Sheet1!BK199:'Sheet1'!BM199),0)</f>
        <v>0</v>
      </c>
      <c r="DB197" s="545">
        <f>IF(AND($B197&gt;=$FV197,$B197&lt;=$FW197),MAX($CT197,Sheet1!EK199,0),MAX($CT197-(7/36)*$K197,0))</f>
        <v>0</v>
      </c>
      <c r="DC197" s="560">
        <f t="shared" si="411"/>
        <v>0</v>
      </c>
      <c r="DD197" s="545">
        <f t="shared" si="412"/>
        <v>9.0106175514626212</v>
      </c>
      <c r="DE197" s="545">
        <f>IF(AND($O197&gt;0,Sheet1!EO199=1),(1-($O197-Sheet1!$L199)/$O197)*CZ197,0)</f>
        <v>0</v>
      </c>
      <c r="DF197" s="545">
        <f>IF(AND(Sheet1!$L199=0,Sheet1!$L198=0, Calculation!CY197&lt;Sheet1!$EK199-0.1,Sheet1!$EK199=Sheet1!$EK198,Sheet1!$EK199=Sheet1!$EK200),Sheet1!$EK199,CZ197-DE197)</f>
        <v>9.0106175514626212</v>
      </c>
      <c r="DG197" s="545"/>
      <c r="DH197" s="560">
        <f t="shared" si="413"/>
        <v>15.049999999999999</v>
      </c>
      <c r="DI197" s="560">
        <f t="shared" si="414"/>
        <v>633.69444444444446</v>
      </c>
      <c r="DJ197" s="698">
        <f t="shared" si="415"/>
        <v>15.001083423618635</v>
      </c>
      <c r="DK197" s="560">
        <f ca="1">IF(B197&gt;Summary!$A$1,#N/A,DI197*MGtoAF)</f>
        <v>1944.1745555555556</v>
      </c>
      <c r="DL197" s="698">
        <f t="shared" si="416"/>
        <v>15.049999999999999</v>
      </c>
      <c r="DM197" s="560">
        <f t="shared" si="417"/>
        <v>46.15</v>
      </c>
      <c r="DN197" s="560">
        <f>Sheet1!AB199-DM197</f>
        <v>-0.14999999999999858</v>
      </c>
      <c r="DO197" s="823">
        <f t="shared" si="418"/>
        <v>-3.250270855904628E-3</v>
      </c>
      <c r="DP197" s="560">
        <f>(VLOOKUP(Sheet1!DC199,hhdcap_wcm,4)-(((VLOOKUP(Sheet1!DC199,hhdcap_wcm,3)-Sheet1!DC199)/(VLOOKUP(Sheet1!DC199,hhdcap_wcm,3)-VLOOKUP(Sheet1!DC199,hhdcap_wcm,1)))*(VLOOKUP(Sheet1!DC199,hhdcap_wcm,4)-VLOOKUP(Sheet1!DC199,hhdcap_wcm,2))))</f>
        <v>47295.00000011536</v>
      </c>
      <c r="DQ197" s="560">
        <f t="shared" si="419"/>
        <v>-89.299999998969724</v>
      </c>
      <c r="DR197" s="560">
        <f t="shared" si="420"/>
        <v>-45.032778617735609</v>
      </c>
      <c r="DS197" s="560">
        <f>Sheet1!EA199*AFtoMG</f>
        <v>0</v>
      </c>
      <c r="DT197" s="560">
        <f>Sheet1!EB199*AFtoMG</f>
        <v>0</v>
      </c>
      <c r="DU197" s="560">
        <f>Sheet1!EC199*AFtoMG</f>
        <v>0</v>
      </c>
      <c r="DV197" s="560">
        <f>Sheet1!ED199*AFtoMG</f>
        <v>0</v>
      </c>
      <c r="DW197" s="560">
        <f t="shared" si="421"/>
        <v>0</v>
      </c>
      <c r="DX197" s="560">
        <f t="shared" si="422"/>
        <v>0</v>
      </c>
      <c r="DY197" s="560">
        <f t="shared" si="423"/>
        <v>3259</v>
      </c>
      <c r="DZ197" s="560">
        <f t="shared" si="424"/>
        <v>9998.612000000001</v>
      </c>
      <c r="EA197" s="560"/>
      <c r="EB197" s="545">
        <f>IF(OR(B197&lt;FV197,B197&gt;FW197),(MIN(BF197+BY197+CT197+MAX(Sheet1!AA199+AQ197-73,0),K197)),0)</f>
        <v>15.001083423618635</v>
      </c>
      <c r="EC197" s="560"/>
      <c r="ED197" s="560">
        <f t="shared" si="425"/>
        <v>15.001083423618635</v>
      </c>
      <c r="EE197" s="560"/>
      <c r="EF197" s="560">
        <f>Sheet1!EH199+Sheet1!EI199+Sheet1!EJ199+Sheet1!EK199</f>
        <v>15</v>
      </c>
      <c r="EG197" s="560"/>
      <c r="EH197" s="545">
        <f t="shared" si="426"/>
        <v>0</v>
      </c>
      <c r="EI197" s="560">
        <f>IF(Sheet1!ET199=1,SUM('Calculations II'!AT197:BA197)+'Calculations II'!BC197+Sheet1!BV199+'Calculations II'!BE197+AP197,SUM('Calculations II'!AT197:BA197)+'Calculations II'!BC197+Sheet1!BV199+'Calculations II'!BE197+AP197)</f>
        <v>73.591392000000013</v>
      </c>
      <c r="EJ197" s="560">
        <f>Sheet1!AA199+Sheet1!AB199+'Calculations II'!BC197</f>
        <v>87.5</v>
      </c>
      <c r="EK197" s="560"/>
      <c r="EL197" s="560"/>
      <c r="EM197" s="560">
        <f t="shared" si="427"/>
        <v>41825</v>
      </c>
      <c r="EN197" s="560">
        <f t="shared" si="428"/>
        <v>0</v>
      </c>
      <c r="EO197" s="560">
        <f t="shared" si="429"/>
        <v>0</v>
      </c>
      <c r="EP197" s="560">
        <v>0</v>
      </c>
      <c r="EQ197" s="560">
        <v>0</v>
      </c>
      <c r="ER197" s="560">
        <v>0</v>
      </c>
      <c r="ES197" s="545">
        <f t="shared" si="349"/>
        <v>-7.4800814595278275</v>
      </c>
      <c r="ET197" s="560">
        <f>-(VLOOKUP(Sheet1!BQ199,Lookup!$O$4:$Q$262,2)-VLOOKUP(Sheet1!BQ198,Lookup!$O$4:$Q$262,2))/1000000</f>
        <v>-3.7401272522972264</v>
      </c>
      <c r="EU197" s="560">
        <f>-(VLOOKUP(Sheet1!BR199,Lookup!$O$4:$Q$262,3)-VLOOKUP(Sheet1!BR198,Lookup!$O$4:$Q$262,3))/1000000</f>
        <v>-3.7399542072306016</v>
      </c>
      <c r="EV197" s="560"/>
      <c r="EW197" s="560"/>
      <c r="EX197" s="560"/>
      <c r="EY197" s="560"/>
      <c r="EZ197" s="560"/>
      <c r="FA197" s="560"/>
      <c r="FB197" s="560"/>
      <c r="FC197" s="560"/>
      <c r="FD197" s="594">
        <f t="shared" si="443"/>
        <v>1139.8739726026597</v>
      </c>
      <c r="FE197" s="594" t="e">
        <f t="shared" si="431"/>
        <v>#N/A</v>
      </c>
      <c r="FF197" s="595" t="e">
        <f t="shared" si="432"/>
        <v>#N/A</v>
      </c>
      <c r="FG197" s="596" t="s">
        <v>692</v>
      </c>
      <c r="FH197" s="596" t="s">
        <v>692</v>
      </c>
      <c r="FI197" s="594" t="e">
        <v>#N/A</v>
      </c>
      <c r="FJ197" s="778">
        <v>23080</v>
      </c>
      <c r="FK197" s="560"/>
      <c r="FL197" s="560"/>
      <c r="FM197" s="560"/>
      <c r="FN197" s="560"/>
      <c r="FO197" s="560">
        <f>O197+((Sheet1!CS199)*GPMtoMGD)</f>
        <v>87.5</v>
      </c>
      <c r="FP197" s="560">
        <f>IF(Sheet1!AA199+AQ197&lt;=Calculation!N197,AQ197,Calculation!N197-Sheet1!AA199)</f>
        <v>29.404117009750813</v>
      </c>
      <c r="FQ197" s="560">
        <f>(Sheet1!BP199+Sheet1!BO199)/694.4</f>
        <v>3.5267857142857144</v>
      </c>
      <c r="FR197" s="560"/>
      <c r="FS197" s="560"/>
      <c r="FT197" s="560"/>
      <c r="FU197" s="560"/>
      <c r="FV197" s="695">
        <f t="shared" si="350"/>
        <v>41827</v>
      </c>
      <c r="FW197" s="695">
        <f t="shared" si="351"/>
        <v>41934</v>
      </c>
      <c r="FX197" s="560"/>
      <c r="FY197" s="560"/>
      <c r="FZ197" s="560"/>
      <c r="GA197" s="560"/>
      <c r="GB197" s="560" t="str">
        <f t="shared" si="352"/>
        <v>n</v>
      </c>
      <c r="GC197" s="564">
        <f t="shared" si="353"/>
        <v>41691</v>
      </c>
      <c r="GD197" s="695">
        <f t="shared" si="354"/>
        <v>41807</v>
      </c>
      <c r="GE197" s="560">
        <v>6518.9</v>
      </c>
      <c r="GF197" s="695">
        <f t="shared" si="355"/>
        <v>41808</v>
      </c>
      <c r="GG197" s="560">
        <f t="shared" si="374"/>
        <v>3259</v>
      </c>
      <c r="GH197" s="564">
        <f t="shared" si="356"/>
        <v>41934</v>
      </c>
      <c r="GJ197" s="545">
        <f t="shared" si="357"/>
        <v>0</v>
      </c>
      <c r="GK197" s="560" t="str">
        <f t="shared" si="433"/>
        <v/>
      </c>
      <c r="GL197" s="560">
        <f t="shared" si="358"/>
        <v>0</v>
      </c>
      <c r="GM197" s="560" t="str">
        <f t="shared" si="359"/>
        <v/>
      </c>
      <c r="GN197" s="560">
        <f>IF(GK197="P",Lookup!$M$12,IF(GK197="PP",Lookup!$M$13,IF(GK197="PPP",Lookup!$M$14,IF(GK197="T",Lookup!$M$15,IF(GK197="TP",Lookup!$M$16,IF(GK197="TPP",Lookup!$M$17,IF(GK197="TPPP",Lookup!$M$18,0)))))))*GJ197</f>
        <v>0</v>
      </c>
      <c r="GO197" s="560">
        <f t="shared" si="360"/>
        <v>0</v>
      </c>
      <c r="GP197" s="560">
        <f t="shared" si="434"/>
        <v>4166.088333333334</v>
      </c>
      <c r="GQ197" s="560">
        <f t="shared" si="368"/>
        <v>1357.9166666666667</v>
      </c>
      <c r="GR197" s="560"/>
      <c r="GS197" s="560">
        <f t="shared" si="361"/>
        <v>0</v>
      </c>
      <c r="GT197" s="560" t="str">
        <f t="shared" si="362"/>
        <v/>
      </c>
      <c r="GU197" s="560">
        <f>IF(GK197="P",Lookup!$N$12,IF(GK197="PP",Lookup!$N$13,IF(GK197="PPP",Lookup!$N$14,IF(GK197="T",Lookup!$N$15,IF(GK197="TP",Lookup!$N$16,IF(GK197="TPP",Lookup!$N$17,IF(GK197="TPPP",Lookup!$N$18,0)))))))*GJ197</f>
        <v>0</v>
      </c>
      <c r="GV197" s="560">
        <f t="shared" si="363"/>
        <v>0</v>
      </c>
      <c r="GW197" s="560">
        <f t="shared" si="435"/>
        <v>1944.1745555555556</v>
      </c>
      <c r="GX197" s="560">
        <f t="shared" si="369"/>
        <v>633.69444444444446</v>
      </c>
      <c r="GY197" s="560"/>
      <c r="GZ197" s="560">
        <f t="shared" si="364"/>
        <v>0</v>
      </c>
      <c r="HA197" s="560" t="str">
        <f t="shared" si="365"/>
        <v/>
      </c>
      <c r="HB197" s="560">
        <f>IF(GK197="P",Lookup!$N$12,IF(GK197="PP",Lookup!$N$13,IF(GK197="PPP",Lookup!$N$14,IF(GK197="T",Lookup!$N$15,IF(GK197="TP",Lookup!$N$16,IF(GK197="TPP",Lookup!$N$17,IF(GK197="TPPP",Lookup!$N$18,0)))))))*GJ197</f>
        <v>0</v>
      </c>
      <c r="HC197" s="545">
        <f t="shared" si="436"/>
        <v>0</v>
      </c>
      <c r="HD197" s="560">
        <f t="shared" si="437"/>
        <v>1944.1745555555556</v>
      </c>
      <c r="HE197" s="560">
        <f t="shared" si="370"/>
        <v>633.69444444444446</v>
      </c>
      <c r="HF197" s="560"/>
      <c r="HG197" s="560">
        <f t="shared" si="366"/>
        <v>0</v>
      </c>
      <c r="HH197" s="560" t="str">
        <f t="shared" si="367"/>
        <v/>
      </c>
      <c r="HI197" s="560">
        <f>IF(GK197="P",Lookup!$N$12,IF(GK197="PP",Lookup!$N$13,IF(GK197="PPP",Lookup!$N$14,IF(GK197="T",Lookup!$N$15,IF(GK197="TP",Lookup!$N$16,IF(GK197="TPP",Lookup!$N$17,IF(GK197="TPPP",Lookup!$N$18,0)))))))*GJ197</f>
        <v>0</v>
      </c>
      <c r="HJ197" s="545">
        <f t="shared" si="438"/>
        <v>0</v>
      </c>
      <c r="HK197" s="560">
        <f t="shared" si="439"/>
        <v>1944.1745555555556</v>
      </c>
      <c r="HL197" s="560">
        <f t="shared" si="371"/>
        <v>633.69444444444446</v>
      </c>
      <c r="HM197" s="560"/>
    </row>
    <row r="198" spans="1:221">
      <c r="A198" s="580" t="s">
        <v>3</v>
      </c>
      <c r="B198" s="556">
        <v>41826</v>
      </c>
      <c r="C198" s="561">
        <v>0</v>
      </c>
      <c r="D198" s="529">
        <f t="shared" si="372"/>
        <v>300</v>
      </c>
      <c r="E198" s="529">
        <f t="shared" si="373"/>
        <v>250</v>
      </c>
      <c r="F198" s="529">
        <v>250</v>
      </c>
      <c r="G198" s="560">
        <f>DR198+Sheet1!CZ200</f>
        <v>387.17448310588418</v>
      </c>
      <c r="H198" s="1082">
        <f t="shared" si="442"/>
        <v>56.349585879643527</v>
      </c>
      <c r="I198" s="559">
        <f>Sheet1!DA200-E198</f>
        <v>284</v>
      </c>
      <c r="J198" s="562">
        <f>Sheet1!DB200-Calculation!D198</f>
        <v>51</v>
      </c>
      <c r="K198" s="904">
        <f t="shared" si="375"/>
        <v>51</v>
      </c>
      <c r="L198" s="560">
        <f>Sheet1!AA200+Sheet1!AB200-Sheet1!L200+(Sheet1!DA200-F198)*CFStoMGD</f>
        <v>269.67759999999998</v>
      </c>
      <c r="M198" s="560">
        <f t="shared" si="376"/>
        <v>255.27497759723641</v>
      </c>
      <c r="N198" s="910">
        <f>IF(Sheet1!DA200&gt;=F198,MIN(73,MIN(MAX(L198,0),MAX(M198,0))),0)</f>
        <v>73</v>
      </c>
      <c r="O198" s="563">
        <f>Sheet1!AA200+Sheet1!AB200</f>
        <v>86.1</v>
      </c>
      <c r="P198" s="563">
        <f t="shared" si="377"/>
        <v>133.19669999999999</v>
      </c>
      <c r="Q198" s="898">
        <f t="shared" si="339"/>
        <v>35.099999999999994</v>
      </c>
      <c r="R198" s="829">
        <f t="shared" si="378"/>
        <v>15.019111709286676</v>
      </c>
      <c r="S198" s="898">
        <f t="shared" si="340"/>
        <v>51</v>
      </c>
      <c r="T198" s="898">
        <f t="shared" si="341"/>
        <v>0</v>
      </c>
      <c r="U198" s="898">
        <f t="shared" si="342"/>
        <v>0</v>
      </c>
      <c r="V198" s="898"/>
      <c r="W198" s="898">
        <f t="shared" si="343"/>
        <v>35.980888290713324</v>
      </c>
      <c r="X198" s="898">
        <f t="shared" si="344"/>
        <v>51</v>
      </c>
      <c r="Y198" s="898" t="str">
        <f t="shared" si="345"/>
        <v>FALSE</v>
      </c>
      <c r="Z198" s="898">
        <f t="shared" si="346"/>
        <v>86.1</v>
      </c>
      <c r="AA198" s="898">
        <f t="shared" si="347"/>
        <v>86.1</v>
      </c>
      <c r="AB198" s="898" t="str">
        <f t="shared" si="348"/>
        <v/>
      </c>
      <c r="AC198" s="563">
        <f>Sheet1!Y200*MGDtoCFS</f>
        <v>64.200499999999991</v>
      </c>
      <c r="AD198" s="563">
        <f>Sheet1!Z200*MGDtoCFS</f>
        <v>71.161999999999992</v>
      </c>
      <c r="AE198" s="563">
        <f>Sheet1!AA200*MGDtoCFS</f>
        <v>64.509900000000002</v>
      </c>
      <c r="AF198" s="563">
        <f>Sheet1!AB200*MGDtoCFS</f>
        <v>68.686799999999991</v>
      </c>
      <c r="AG198" s="563">
        <f>Sheet1!L200*MGDtoCFS</f>
        <v>0</v>
      </c>
      <c r="AH198" s="545">
        <f t="shared" si="379"/>
        <v>0</v>
      </c>
      <c r="AI198" s="560">
        <f t="shared" si="380"/>
        <v>0</v>
      </c>
      <c r="AJ198" s="560">
        <f t="shared" si="381"/>
        <v>0</v>
      </c>
      <c r="AK198" s="560">
        <f t="shared" si="382"/>
        <v>0</v>
      </c>
      <c r="AL198" s="560">
        <f>(VLOOKUP(Sheet1!DC200,hhdcap_wcm,4)-(((VLOOKUP(Sheet1!DC200,hhdcap_wcm,3)-Sheet1!DC200)/(VLOOKUP(Sheet1!DC200,hhdcap_wcm,3)-VLOOKUP(Sheet1!DC200,hhdcap_wcm,1)))*(VLOOKUP(Sheet1!DC200,hhdcap_wcm,4)-VLOOKUP(Sheet1!DC200,hhdcap_wcm,2))))</f>
        <v>47172.400000114329</v>
      </c>
      <c r="AM198" s="560">
        <f t="shared" si="383"/>
        <v>-122.60000000103173</v>
      </c>
      <c r="AN198" s="560">
        <f t="shared" si="384"/>
        <v>3259</v>
      </c>
      <c r="AO198" s="560">
        <f t="shared" si="385"/>
        <v>9998.612000000001</v>
      </c>
      <c r="AP198" s="560">
        <f>Sheet1!BA200+Sheet1!BB200+Sheet1!BN200+CD198</f>
        <v>29.5</v>
      </c>
      <c r="AQ198" s="560">
        <f>Sheet1!BN200+(DO198*Sheet1!BN200)</f>
        <v>27.787348586810229</v>
      </c>
      <c r="AR198" s="560">
        <f>Sheet1!BA200+CD198</f>
        <v>0</v>
      </c>
      <c r="AS198" s="560">
        <f>Sheet1!BA200+Sheet1!BB200+CD198</f>
        <v>1.6</v>
      </c>
      <c r="AT198" s="698">
        <f>0</f>
        <v>0</v>
      </c>
      <c r="AU198" s="560">
        <f>IF(EB198&lt;K198,0,MAX(Sheet1!AA200+AQ198-15/36*K198-N198,Sheet1!EH200,0))</f>
        <v>0</v>
      </c>
      <c r="AV198" s="560">
        <f>IF(OR(B198&gt;=GD198,B198&lt;GC198),0,15/36*K198-MAX(0,64.6-(137.6-(Sheet1!AA200+Sheet1!AB200))))</f>
        <v>0</v>
      </c>
      <c r="AW198" s="698">
        <f>Sheet1!DB200-110</f>
        <v>241</v>
      </c>
      <c r="AX198" s="698">
        <f>Sheet1!DA200-265</f>
        <v>269</v>
      </c>
      <c r="AY198" s="698">
        <f t="shared" si="386"/>
        <v>37.900000000000006</v>
      </c>
      <c r="AZ198" s="698">
        <v>0</v>
      </c>
      <c r="BA198" s="698">
        <f t="shared" si="387"/>
        <v>0</v>
      </c>
      <c r="BB198" s="560">
        <f t="shared" si="388"/>
        <v>1357.9166666666667</v>
      </c>
      <c r="BC198" s="560"/>
      <c r="BD198" s="560">
        <f ca="1">IF(B198&gt;Summary!$A$1,#N/A,BB198*MGtoAF)</f>
        <v>4166.088333333334</v>
      </c>
      <c r="BE198" s="560">
        <f>Sheet1!BG200+Sheet1!BH200+Sheet1!BI200-BM198</f>
        <v>1.01</v>
      </c>
      <c r="BF198" s="560">
        <f t="shared" si="389"/>
        <v>1.0059219380888291</v>
      </c>
      <c r="BG198" s="560">
        <f>IF(Sheet1!EP200="FM",BM198,0)</f>
        <v>0</v>
      </c>
      <c r="BH198" s="560">
        <f t="shared" si="390"/>
        <v>0</v>
      </c>
      <c r="BI198" s="560">
        <f>IF(Sheet1!EP200="OTHER",BM198,0)</f>
        <v>0</v>
      </c>
      <c r="BJ198" s="560">
        <f t="shared" si="391"/>
        <v>0</v>
      </c>
      <c r="BK198" s="560">
        <f t="shared" si="392"/>
        <v>1.01</v>
      </c>
      <c r="BL198" s="560">
        <f t="shared" si="393"/>
        <v>1.0059219380888291</v>
      </c>
      <c r="BM198" s="560">
        <f>IF(OR(Sheet1!EP200="FM", Sheet1!EP200="OTHER"),SUM(Sheet1!BG200:'Sheet1'!BI200),0)</f>
        <v>0</v>
      </c>
      <c r="BN198" s="545">
        <f>IF(AND($B198&gt;=$FV198,$B198&lt;=$FW198),MAX(BF198,Sheet1!EI200,0),MAX(BF198-(7/36)*$K198,0))</f>
        <v>0</v>
      </c>
      <c r="BO198" s="560">
        <f t="shared" si="394"/>
        <v>0</v>
      </c>
      <c r="BP198" s="545">
        <f t="shared" si="395"/>
        <v>1.0059219380888291</v>
      </c>
      <c r="BQ198" s="545">
        <f>IF(AND($O198&gt;0,Sheet1!EM200=1),(1-($O198-Sheet1!$L200)/$O198)*BL198,0)</f>
        <v>0</v>
      </c>
      <c r="BR198" s="545">
        <f>IF(AND(Sheet1!$L200=0,Sheet1!$L199=0, Calculation!BK198&lt;Sheet1!$EI200-0.1,Sheet1!$EI200=Sheet1!$EI199,Sheet1!$EI200=Sheet1!$EI201),Sheet1!$EI200,BL198-BQ198)</f>
        <v>1.0059219380888291</v>
      </c>
      <c r="BS198" s="560"/>
      <c r="BT198" s="560"/>
      <c r="BU198" s="560">
        <f t="shared" si="396"/>
        <v>633.69444444444446</v>
      </c>
      <c r="BV198" s="560"/>
      <c r="BW198" s="560">
        <f ca="1">IF(B198&gt;Summary!$A$1,#N/A,BU198*MGtoAF)</f>
        <v>1944.1745555555556</v>
      </c>
      <c r="BX198" s="560">
        <f>Sheet1!BC200+Sheet1!BD200+Sheet1!BE200+Sheet1!BF200-CG198-CH198</f>
        <v>5</v>
      </c>
      <c r="BY198" s="560">
        <f t="shared" si="397"/>
        <v>4.9798115746971741</v>
      </c>
      <c r="BZ198" s="560">
        <f>IF(Sheet1!EQ200="FM",CH198,0)</f>
        <v>0</v>
      </c>
      <c r="CA198" s="560">
        <f t="shared" si="398"/>
        <v>0</v>
      </c>
      <c r="CB198" s="560">
        <f>IF(Sheet1!EQ200="OTHER",CH198,0)</f>
        <v>0</v>
      </c>
      <c r="CC198" s="560">
        <f t="shared" si="399"/>
        <v>0</v>
      </c>
      <c r="CD198" s="560">
        <f t="shared" si="400"/>
        <v>0</v>
      </c>
      <c r="CE198" s="560">
        <f t="shared" si="401"/>
        <v>5</v>
      </c>
      <c r="CF198" s="560">
        <f t="shared" si="402"/>
        <v>4.9798115746971741</v>
      </c>
      <c r="CG198" s="560">
        <f>IF(Sheet1!EQ200="CWA",SUM(Sheet1!BC200:'Sheet1'!BF200),0)</f>
        <v>0</v>
      </c>
      <c r="CH198" s="560">
        <f>IF(OR(Sheet1!EQ200="FM", Sheet1!EQ200="OTHER"),SUM(Sheet1!BC200:'Sheet1'!BF200),0)</f>
        <v>0</v>
      </c>
      <c r="CI198" s="545">
        <f>IF(AND($B198&gt;=$FV198,$B198&lt;=$FW198),MAX(CF198,Sheet1!EJ200,0),MAX(CF198-(7/36)*$K198,0))</f>
        <v>0</v>
      </c>
      <c r="CJ198" s="560">
        <f t="shared" si="403"/>
        <v>0</v>
      </c>
      <c r="CK198" s="545">
        <f t="shared" si="404"/>
        <v>4.9798115746971741</v>
      </c>
      <c r="CL198" s="545">
        <f>IF(AND($O198&gt;0,Sheet1!EN200=1),(1-($O198-Sheet1!$L200)/$O198)*CF198,0)</f>
        <v>0</v>
      </c>
      <c r="CM198" s="545">
        <f>IF(AND(Sheet1!$L200=0,Sheet1!$L199=0, Calculation!CE198&lt;Sheet1!EJ200-0.1,Sheet1!EJ200=Sheet1!EJ199,Sheet1!EJ200=Sheet1!EJ201),Sheet1!EJ200,CF198-CL198)</f>
        <v>4.9798115746971741</v>
      </c>
      <c r="CN198" s="545"/>
      <c r="CO198" s="560"/>
      <c r="CP198" s="560">
        <f t="shared" si="405"/>
        <v>633.69444444444446</v>
      </c>
      <c r="CQ198" s="560"/>
      <c r="CR198" s="560">
        <f ca="1">IF(B198&gt;Summary!$A$1,#N/A,CP198*MGtoAF)</f>
        <v>1944.1745555555556</v>
      </c>
      <c r="CS198" s="560">
        <f>Sheet1!BK200+Sheet1!BL200+Sheet1!BM200-Sheet1!ER200-DA198</f>
        <v>9.07</v>
      </c>
      <c r="CT198" s="560">
        <f t="shared" si="406"/>
        <v>9.0333781965006725</v>
      </c>
      <c r="CU198" s="560">
        <f>IF(Sheet1!ER200="FM",DA198,0)</f>
        <v>0</v>
      </c>
      <c r="CV198" s="560">
        <f t="shared" si="407"/>
        <v>0</v>
      </c>
      <c r="CW198" s="560">
        <f>IF(Sheet1!ER200="OTHER",DA198,0)</f>
        <v>0</v>
      </c>
      <c r="CX198" s="560">
        <f t="shared" si="408"/>
        <v>0</v>
      </c>
      <c r="CY198" s="560">
        <f t="shared" si="409"/>
        <v>9.07</v>
      </c>
      <c r="CZ198" s="560">
        <f t="shared" si="410"/>
        <v>9.0333781965006725</v>
      </c>
      <c r="DA198" s="560">
        <f>IF(OR(Sheet1!ER200="FM", Sheet1!ER200="OTHER"),SUM(Sheet1!BK200:'Sheet1'!BM200),0)</f>
        <v>0</v>
      </c>
      <c r="DB198" s="545">
        <f>IF(AND($B198&gt;=$FV198,$B198&lt;=$FW198),MAX($CT198,Sheet1!EK200,0),MAX($CT198-(7/36)*$K198,0))</f>
        <v>0</v>
      </c>
      <c r="DC198" s="560">
        <f t="shared" si="411"/>
        <v>0</v>
      </c>
      <c r="DD198" s="545">
        <f t="shared" si="412"/>
        <v>9.0333781965006725</v>
      </c>
      <c r="DE198" s="545">
        <f>IF(AND($O198&gt;0,Sheet1!EO200=1),(1-($O198-Sheet1!$L200)/$O198)*CZ198,0)</f>
        <v>0</v>
      </c>
      <c r="DF198" s="545">
        <f>IF(AND(Sheet1!$L200=0,Sheet1!$L199=0, Calculation!CY198&lt;Sheet1!$EK200-0.1,Sheet1!$EK200=Sheet1!$EK199,Sheet1!$EK200=Sheet1!$EK201),Sheet1!$EK200,CZ198-DE198)</f>
        <v>9.0333781965006725</v>
      </c>
      <c r="DG198" s="545"/>
      <c r="DH198" s="560">
        <f t="shared" si="413"/>
        <v>15.08</v>
      </c>
      <c r="DI198" s="560">
        <f t="shared" si="414"/>
        <v>633.69444444444446</v>
      </c>
      <c r="DJ198" s="698">
        <f t="shared" si="415"/>
        <v>15.019111709286676</v>
      </c>
      <c r="DK198" s="560">
        <f ca="1">IF(B198&gt;Summary!$A$1,#N/A,DI198*MGtoAF)</f>
        <v>1944.1745555555556</v>
      </c>
      <c r="DL198" s="698">
        <f t="shared" si="416"/>
        <v>15.08</v>
      </c>
      <c r="DM198" s="560">
        <f t="shared" si="417"/>
        <v>44.58</v>
      </c>
      <c r="DN198" s="560">
        <f>Sheet1!AB200-DM198</f>
        <v>-0.17999999999999972</v>
      </c>
      <c r="DO198" s="823">
        <f t="shared" si="418"/>
        <v>-4.0376850605652699E-3</v>
      </c>
      <c r="DP198" s="560">
        <f>(VLOOKUP(Sheet1!DC200,hhdcap_wcm,4)-(((VLOOKUP(Sheet1!DC200,hhdcap_wcm,3)-Sheet1!DC200)/(VLOOKUP(Sheet1!DC200,hhdcap_wcm,3)-VLOOKUP(Sheet1!DC200,hhdcap_wcm,1)))*(VLOOKUP(Sheet1!DC200,hhdcap_wcm,4)-VLOOKUP(Sheet1!DC200,hhdcap_wcm,2))))</f>
        <v>47172.400000114329</v>
      </c>
      <c r="DQ198" s="560">
        <f t="shared" si="419"/>
        <v>-122.60000000103173</v>
      </c>
      <c r="DR198" s="560">
        <f t="shared" si="420"/>
        <v>-61.825516894115843</v>
      </c>
      <c r="DS198" s="560">
        <f>Sheet1!EA200*AFtoMG</f>
        <v>0</v>
      </c>
      <c r="DT198" s="560">
        <f>Sheet1!EB200*AFtoMG</f>
        <v>0</v>
      </c>
      <c r="DU198" s="560">
        <f>Sheet1!EC200*AFtoMG</f>
        <v>0</v>
      </c>
      <c r="DV198" s="560">
        <f>Sheet1!ED200*AFtoMG</f>
        <v>0</v>
      </c>
      <c r="DW198" s="560">
        <f t="shared" si="421"/>
        <v>0</v>
      </c>
      <c r="DX198" s="560">
        <f t="shared" si="422"/>
        <v>0</v>
      </c>
      <c r="DY198" s="560">
        <f t="shared" si="423"/>
        <v>3259</v>
      </c>
      <c r="DZ198" s="560">
        <f t="shared" si="424"/>
        <v>9998.612000000001</v>
      </c>
      <c r="EA198" s="560"/>
      <c r="EB198" s="545">
        <f>IF(OR(B198&lt;FV198,B198&gt;FW198),(MIN(BF198+BY198+CT198+MAX(Sheet1!AA200+AQ198-73,0),K198)),0)</f>
        <v>15.019111709286676</v>
      </c>
      <c r="EC198" s="560"/>
      <c r="ED198" s="560">
        <f t="shared" si="425"/>
        <v>15.019111709286676</v>
      </c>
      <c r="EE198" s="560"/>
      <c r="EF198" s="560">
        <f>Sheet1!EH200+Sheet1!EI200+Sheet1!EJ200+Sheet1!EK200</f>
        <v>15</v>
      </c>
      <c r="EG198" s="560"/>
      <c r="EH198" s="545">
        <f t="shared" si="426"/>
        <v>0</v>
      </c>
      <c r="EI198" s="560">
        <f>IF(Sheet1!ET200=1,SUM('Calculations II'!AT198:BA198)+'Calculations II'!BC198+Sheet1!BV200+'Calculations II'!BE198+AP198,SUM('Calculations II'!AT198:BA198)+'Calculations II'!BC198+Sheet1!BV200+'Calculations II'!BE198+AP198)</f>
        <v>82.356208000000009</v>
      </c>
      <c r="EJ198" s="560">
        <f>Sheet1!AA200+Sheet1!AB200+'Calculations II'!BC198</f>
        <v>86.1</v>
      </c>
      <c r="EK198" s="560"/>
      <c r="EL198" s="560"/>
      <c r="EM198" s="560">
        <f t="shared" si="427"/>
        <v>41826</v>
      </c>
      <c r="EN198" s="560">
        <f t="shared" si="428"/>
        <v>0</v>
      </c>
      <c r="EO198" s="560">
        <f t="shared" si="429"/>
        <v>0</v>
      </c>
      <c r="EP198" s="560">
        <v>0</v>
      </c>
      <c r="EQ198" s="560">
        <v>0</v>
      </c>
      <c r="ER198" s="560">
        <v>0</v>
      </c>
      <c r="ES198" s="545">
        <f t="shared" si="349"/>
        <v>2.2172946532739402</v>
      </c>
      <c r="ET198" s="560">
        <f>-(VLOOKUP(Sheet1!BQ200,Lookup!$O$4:$Q$262,2)-VLOOKUP(Sheet1!BQ199,Lookup!$O$4:$Q$262,2))/1000000</f>
        <v>1.1086729685595371</v>
      </c>
      <c r="EU198" s="560">
        <f>-(VLOOKUP(Sheet1!BR200,Lookup!$O$4:$Q$262,3)-VLOOKUP(Sheet1!BR199,Lookup!$O$4:$Q$262,3))/1000000</f>
        <v>1.108621684714403</v>
      </c>
      <c r="EV198" s="560"/>
      <c r="EW198" s="560"/>
      <c r="EX198" s="560"/>
      <c r="EY198" s="560"/>
      <c r="EZ198" s="560"/>
      <c r="FA198" s="560"/>
      <c r="FB198" s="560"/>
      <c r="FC198" s="560"/>
      <c r="FD198" s="594">
        <f t="shared" si="443"/>
        <v>1139.7589041095093</v>
      </c>
      <c r="FE198" s="594" t="e">
        <f t="shared" si="431"/>
        <v>#N/A</v>
      </c>
      <c r="FF198" s="595" t="e">
        <f t="shared" si="432"/>
        <v>#N/A</v>
      </c>
      <c r="FG198" s="596" t="s">
        <v>692</v>
      </c>
      <c r="FH198" s="596" t="s">
        <v>692</v>
      </c>
      <c r="FI198" s="594" t="e">
        <v>#N/A</v>
      </c>
      <c r="FJ198" s="778">
        <v>22996</v>
      </c>
      <c r="FK198" s="560"/>
      <c r="FL198" s="560"/>
      <c r="FM198" s="560"/>
      <c r="FN198" s="560"/>
      <c r="FO198" s="560">
        <f>O198+((Sheet1!CS200)*GPMtoMGD)</f>
        <v>86.1</v>
      </c>
      <c r="FP198" s="560">
        <f>IF(Sheet1!AA200+AQ198&lt;=Calculation!N198,AQ198,Calculation!N198-Sheet1!AA200)</f>
        <v>27.787348586810229</v>
      </c>
      <c r="FQ198" s="560">
        <f>(Sheet1!BP200+Sheet1!BO200)/694.4</f>
        <v>4.373991935483871</v>
      </c>
      <c r="FR198" s="560"/>
      <c r="FS198" s="560"/>
      <c r="FT198" s="560"/>
      <c r="FU198" s="560"/>
      <c r="FV198" s="695">
        <f t="shared" si="350"/>
        <v>41827</v>
      </c>
      <c r="FW198" s="695">
        <f t="shared" si="351"/>
        <v>41934</v>
      </c>
      <c r="FX198" s="560"/>
      <c r="FY198" s="560"/>
      <c r="FZ198" s="560"/>
      <c r="GA198" s="560"/>
      <c r="GB198" s="560" t="str">
        <f t="shared" si="352"/>
        <v>n</v>
      </c>
      <c r="GC198" s="564">
        <f t="shared" si="353"/>
        <v>41691</v>
      </c>
      <c r="GD198" s="695">
        <f t="shared" si="354"/>
        <v>41807</v>
      </c>
      <c r="GE198" s="560">
        <v>6518.9</v>
      </c>
      <c r="GF198" s="695">
        <f t="shared" si="355"/>
        <v>41808</v>
      </c>
      <c r="GG198" s="560">
        <f t="shared" si="374"/>
        <v>3259</v>
      </c>
      <c r="GH198" s="564">
        <f t="shared" si="356"/>
        <v>41934</v>
      </c>
      <c r="GJ198" s="545">
        <f t="shared" si="357"/>
        <v>0</v>
      </c>
      <c r="GK198" s="560" t="str">
        <f t="shared" si="433"/>
        <v/>
      </c>
      <c r="GL198" s="560">
        <f t="shared" si="358"/>
        <v>0</v>
      </c>
      <c r="GM198" s="560" t="str">
        <f t="shared" si="359"/>
        <v/>
      </c>
      <c r="GN198" s="560">
        <f>IF(GK198="P",Lookup!$M$12,IF(GK198="PP",Lookup!$M$13,IF(GK198="PPP",Lookup!$M$14,IF(GK198="T",Lookup!$M$15,IF(GK198="TP",Lookup!$M$16,IF(GK198="TPP",Lookup!$M$17,IF(GK198="TPPP",Lookup!$M$18,0)))))))*GJ198</f>
        <v>0</v>
      </c>
      <c r="GO198" s="560">
        <f t="shared" si="360"/>
        <v>0</v>
      </c>
      <c r="GP198" s="560">
        <f t="shared" si="434"/>
        <v>4166.088333333334</v>
      </c>
      <c r="GQ198" s="560">
        <f t="shared" si="368"/>
        <v>1357.9166666666667</v>
      </c>
      <c r="GR198" s="560"/>
      <c r="GS198" s="560">
        <f t="shared" si="361"/>
        <v>0</v>
      </c>
      <c r="GT198" s="560" t="str">
        <f t="shared" si="362"/>
        <v/>
      </c>
      <c r="GU198" s="560">
        <f>IF(GK198="P",Lookup!$N$12,IF(GK198="PP",Lookup!$N$13,IF(GK198="PPP",Lookup!$N$14,IF(GK198="T",Lookup!$N$15,IF(GK198="TP",Lookup!$N$16,IF(GK198="TPP",Lookup!$N$17,IF(GK198="TPPP",Lookup!$N$18,0)))))))*GJ198</f>
        <v>0</v>
      </c>
      <c r="GV198" s="560">
        <f t="shared" si="363"/>
        <v>0</v>
      </c>
      <c r="GW198" s="560">
        <f t="shared" si="435"/>
        <v>1944.1745555555556</v>
      </c>
      <c r="GX198" s="560">
        <f t="shared" si="369"/>
        <v>633.69444444444446</v>
      </c>
      <c r="GY198" s="560"/>
      <c r="GZ198" s="560">
        <f t="shared" si="364"/>
        <v>0</v>
      </c>
      <c r="HA198" s="560" t="str">
        <f t="shared" si="365"/>
        <v/>
      </c>
      <c r="HB198" s="560">
        <f>IF(GK198="P",Lookup!$N$12,IF(GK198="PP",Lookup!$N$13,IF(GK198="PPP",Lookup!$N$14,IF(GK198="T",Lookup!$N$15,IF(GK198="TP",Lookup!$N$16,IF(GK198="TPP",Lookup!$N$17,IF(GK198="TPPP",Lookup!$N$18,0)))))))*GJ198</f>
        <v>0</v>
      </c>
      <c r="HC198" s="545">
        <f t="shared" si="436"/>
        <v>0</v>
      </c>
      <c r="HD198" s="560">
        <f t="shared" si="437"/>
        <v>1944.1745555555556</v>
      </c>
      <c r="HE198" s="560">
        <f t="shared" si="370"/>
        <v>633.69444444444446</v>
      </c>
      <c r="HF198" s="560"/>
      <c r="HG198" s="560">
        <f t="shared" si="366"/>
        <v>0</v>
      </c>
      <c r="HH198" s="560" t="str">
        <f t="shared" si="367"/>
        <v/>
      </c>
      <c r="HI198" s="560">
        <f>IF(GK198="P",Lookup!$N$12,IF(GK198="PP",Lookup!$N$13,IF(GK198="PPP",Lookup!$N$14,IF(GK198="T",Lookup!$N$15,IF(GK198="TP",Lookup!$N$16,IF(GK198="TPP",Lookup!$N$17,IF(GK198="TPPP",Lookup!$N$18,0)))))))*GJ198</f>
        <v>0</v>
      </c>
      <c r="HJ198" s="545">
        <f t="shared" si="438"/>
        <v>0</v>
      </c>
      <c r="HK198" s="560">
        <f t="shared" si="439"/>
        <v>1944.1745555555556</v>
      </c>
      <c r="HL198" s="560">
        <f t="shared" si="371"/>
        <v>633.69444444444446</v>
      </c>
      <c r="HM198" s="560"/>
    </row>
    <row r="199" spans="1:221">
      <c r="A199" s="580" t="s">
        <v>4</v>
      </c>
      <c r="B199" s="556">
        <v>41827</v>
      </c>
      <c r="C199" s="561">
        <v>0</v>
      </c>
      <c r="D199" s="529">
        <f t="shared" si="372"/>
        <v>300</v>
      </c>
      <c r="E199" s="529">
        <f t="shared" si="373"/>
        <v>250</v>
      </c>
      <c r="F199" s="529">
        <v>250</v>
      </c>
      <c r="G199" s="560">
        <f>DR199+Sheet1!CZ201</f>
        <v>361.01765002560472</v>
      </c>
      <c r="H199" s="1082">
        <f t="shared" si="442"/>
        <v>39.441808976550888</v>
      </c>
      <c r="I199" s="559">
        <f>Sheet1!DA201-E199</f>
        <v>233</v>
      </c>
      <c r="J199" s="562">
        <f>Sheet1!DB201-Calculation!D199</f>
        <v>1</v>
      </c>
      <c r="K199" s="904">
        <f t="shared" si="375"/>
        <v>1</v>
      </c>
      <c r="L199" s="560">
        <f>Sheet1!AA201+Sheet1!AB201-Sheet1!L201+(Sheet1!DA201-F199)*CFStoMGD</f>
        <v>238.2612</v>
      </c>
      <c r="M199" s="560">
        <f t="shared" si="376"/>
        <v>238.02904515608191</v>
      </c>
      <c r="N199" s="910">
        <f>IF(Sheet1!DA201&gt;=F199,MIN(73,MIN(MAX(L199,0),MAX(M199,0))),0)</f>
        <v>73</v>
      </c>
      <c r="O199" s="563">
        <f>Sheet1!AA201+Sheet1!AB201</f>
        <v>87.65</v>
      </c>
      <c r="P199" s="563">
        <f t="shared" si="377"/>
        <v>135.59455</v>
      </c>
      <c r="Q199" s="898">
        <f>IF(OR(Y199="FALSE",AND(B199&gt;=FV199,B199&lt;=FW199)),O199-S199-U199,0)</f>
        <v>71.150000000000006</v>
      </c>
      <c r="R199" s="829">
        <f t="shared" si="378"/>
        <v>16.5</v>
      </c>
      <c r="S199" s="898">
        <f t="shared" si="340"/>
        <v>0</v>
      </c>
      <c r="T199" s="898">
        <f t="shared" si="341"/>
        <v>0</v>
      </c>
      <c r="U199" s="898">
        <f>IF(AND(B199&gt;=FV199,B199&lt;=FW199),MAX(EF199,ED199),0)</f>
        <v>16.5</v>
      </c>
      <c r="V199" s="898"/>
      <c r="W199" s="898">
        <f t="shared" si="343"/>
        <v>0</v>
      </c>
      <c r="X199" s="898">
        <f t="shared" si="344"/>
        <v>0</v>
      </c>
      <c r="Y199" s="898" t="str">
        <f t="shared" si="345"/>
        <v>FALSE</v>
      </c>
      <c r="Z199" s="898">
        <f t="shared" si="346"/>
        <v>87.65</v>
      </c>
      <c r="AA199" s="898">
        <f t="shared" si="347"/>
        <v>87.65</v>
      </c>
      <c r="AB199" s="898" t="str">
        <f t="shared" si="348"/>
        <v/>
      </c>
      <c r="AC199" s="563">
        <f>Sheet1!Y201*MGDtoCFS</f>
        <v>64.509900000000002</v>
      </c>
      <c r="AD199" s="563">
        <f>Sheet1!Z201*MGDtoCFS</f>
        <v>68.686799999999991</v>
      </c>
      <c r="AE199" s="563">
        <f>Sheet1!AA201*MGDtoCFS</f>
        <v>63.767339999999997</v>
      </c>
      <c r="AF199" s="563">
        <f>Sheet1!AB201*MGDtoCFS</f>
        <v>71.827209999999994</v>
      </c>
      <c r="AG199" s="563">
        <f>Sheet1!L201*MGDtoCFS</f>
        <v>0</v>
      </c>
      <c r="AH199" s="545">
        <f t="shared" si="379"/>
        <v>16.637055057618436</v>
      </c>
      <c r="AI199" s="560">
        <f t="shared" si="380"/>
        <v>25.737524174135721</v>
      </c>
      <c r="AJ199" s="560">
        <f t="shared" si="381"/>
        <v>0</v>
      </c>
      <c r="AK199" s="560">
        <f t="shared" si="382"/>
        <v>0</v>
      </c>
      <c r="AL199" s="560">
        <f>(VLOOKUP(Sheet1!DC201,hhdcap_wcm,4)-(((VLOOKUP(Sheet1!DC201,hhdcap_wcm,3)-Sheet1!DC201)/(VLOOKUP(Sheet1!DC201,hhdcap_wcm,3)-VLOOKUP(Sheet1!DC201,hhdcap_wcm,1)))*(VLOOKUP(Sheet1!DC201,hhdcap_wcm,4)-VLOOKUP(Sheet1!DC201,hhdcap_wcm,2))))</f>
        <v>47083.200000115103</v>
      </c>
      <c r="AM199" s="560">
        <f t="shared" si="383"/>
        <v>-89.199999999225838</v>
      </c>
      <c r="AN199" s="560">
        <f t="shared" si="384"/>
        <v>3242.3629449423815</v>
      </c>
      <c r="AO199" s="560">
        <f t="shared" si="385"/>
        <v>9947.5695150832271</v>
      </c>
      <c r="AP199" s="560">
        <f>Sheet1!BA201+Sheet1!BB201+Sheet1!BN201+CD199</f>
        <v>31.1</v>
      </c>
      <c r="AQ199" s="560">
        <f>Sheet1!BN201+(DO199*Sheet1!BN201)</f>
        <v>29.229300042680325</v>
      </c>
      <c r="AR199" s="560">
        <f>Sheet1!BA201+CD199</f>
        <v>0</v>
      </c>
      <c r="AS199" s="560">
        <f>Sheet1!BA201+Sheet1!BB201+CD199</f>
        <v>1.6</v>
      </c>
      <c r="AT199" s="698">
        <v>0</v>
      </c>
      <c r="AU199" s="560">
        <f>IF(EB199&lt;K199,0,MAX(Sheet1!AA201+AQ199-15/36*K199-N199,Sheet1!EH201,0))</f>
        <v>0</v>
      </c>
      <c r="AV199" s="560">
        <f>IF(OR(B199&gt;=GD199,B199&lt;GC199),0,15/36*K199-MAX(0,64.6-(137.6-(Sheet1!AA201+Sheet1!AB201))))</f>
        <v>0</v>
      </c>
      <c r="AW199" s="698">
        <f>Sheet1!DB201-110</f>
        <v>191</v>
      </c>
      <c r="AX199" s="698">
        <f>Sheet1!DA201-265</f>
        <v>218</v>
      </c>
      <c r="AY199" s="698">
        <f t="shared" si="386"/>
        <v>1.8499999999999943</v>
      </c>
      <c r="AZ199" s="698">
        <v>0</v>
      </c>
      <c r="BA199" s="698">
        <f t="shared" si="387"/>
        <v>0</v>
      </c>
      <c r="BB199" s="560">
        <f t="shared" si="388"/>
        <v>1357.9166666666667</v>
      </c>
      <c r="BC199" s="560"/>
      <c r="BD199" s="560">
        <f ca="1">IF(B199&gt;Summary!$A$1,#N/A,BB199*MGtoAF)</f>
        <v>4166.088333333334</v>
      </c>
      <c r="BE199" s="560">
        <f>Sheet1!BG201+Sheet1!BH201+Sheet1!BI201-BM199</f>
        <v>1.36</v>
      </c>
      <c r="BF199" s="560">
        <f t="shared" si="389"/>
        <v>1.3475202731540761</v>
      </c>
      <c r="BG199" s="560">
        <f>IF(Sheet1!EP201="FM",BM199,0)</f>
        <v>0</v>
      </c>
      <c r="BH199" s="560">
        <f t="shared" si="390"/>
        <v>0</v>
      </c>
      <c r="BI199" s="560">
        <f>IF(Sheet1!EP201="OTHER",BM199,0)</f>
        <v>0</v>
      </c>
      <c r="BJ199" s="560">
        <f t="shared" si="391"/>
        <v>0</v>
      </c>
      <c r="BK199" s="560">
        <f t="shared" si="392"/>
        <v>1.36</v>
      </c>
      <c r="BL199" s="560">
        <f t="shared" si="393"/>
        <v>1.3475202731540761</v>
      </c>
      <c r="BM199" s="560">
        <f>IF(OR(Sheet1!EP201="FM", Sheet1!EP201="OTHER"),SUM(Sheet1!BG201:'Sheet1'!BI201),0)</f>
        <v>0</v>
      </c>
      <c r="BN199" s="545">
        <f>IF(AND($B199&gt;=$FV199,$B199&lt;=$FW199),MAX(BF199,Sheet1!EI201,0),MAX(BF199-(7/36)*$K199,0))</f>
        <v>2</v>
      </c>
      <c r="BO199" s="560">
        <f t="shared" si="394"/>
        <v>0</v>
      </c>
      <c r="BP199" s="545">
        <f t="shared" si="395"/>
        <v>0</v>
      </c>
      <c r="BQ199" s="545">
        <f>IF(AND($O199&gt;0,Sheet1!EM201=1),(1-($O199-Sheet1!$L201)/$O199)*BL199,0)</f>
        <v>0</v>
      </c>
      <c r="BR199" s="545">
        <f>IF(AND(Sheet1!$L201=0,Sheet1!$L200=0, Calculation!BK199&lt;Sheet1!$EI201-0.1,Sheet1!$EI201=Sheet1!$EI200,Sheet1!$EI201=Sheet1!$EI202),Sheet1!$EI201,BL199-BQ199)</f>
        <v>1.3475202731540761</v>
      </c>
      <c r="BS199" s="560"/>
      <c r="BT199" s="560"/>
      <c r="BU199" s="560">
        <f t="shared" si="396"/>
        <v>631.69444444444446</v>
      </c>
      <c r="BV199" s="560"/>
      <c r="BW199" s="560">
        <f ca="1">IF(B199&gt;Summary!$A$1,#N/A,BU199*MGtoAF)</f>
        <v>1938.0385555555556</v>
      </c>
      <c r="BX199" s="560">
        <f>Sheet1!BC201+Sheet1!BD201+Sheet1!BE201+Sheet1!BF201-CG199-CH199</f>
        <v>4.68</v>
      </c>
      <c r="BY199" s="560">
        <f t="shared" si="397"/>
        <v>4.6370550576184373</v>
      </c>
      <c r="BZ199" s="560">
        <f>IF(Sheet1!EQ201="FM",CH199,0)</f>
        <v>0</v>
      </c>
      <c r="CA199" s="560">
        <f t="shared" si="398"/>
        <v>0</v>
      </c>
      <c r="CB199" s="560">
        <f>IF(Sheet1!EQ201="OTHER",CH199,0)</f>
        <v>0</v>
      </c>
      <c r="CC199" s="560">
        <f t="shared" si="399"/>
        <v>0</v>
      </c>
      <c r="CD199" s="560">
        <f t="shared" si="400"/>
        <v>0</v>
      </c>
      <c r="CE199" s="560">
        <f t="shared" si="401"/>
        <v>4.68</v>
      </c>
      <c r="CF199" s="560">
        <f t="shared" si="402"/>
        <v>4.6370550576184373</v>
      </c>
      <c r="CG199" s="560">
        <f>IF(Sheet1!EQ201="CWA",SUM(Sheet1!BC201:'Sheet1'!BF201),0)</f>
        <v>0</v>
      </c>
      <c r="CH199" s="560">
        <f>IF(OR(Sheet1!EQ201="FM", Sheet1!EQ201="OTHER"),SUM(Sheet1!BC201:'Sheet1'!BF201),0)</f>
        <v>0</v>
      </c>
      <c r="CI199" s="545">
        <f>IF(AND($B199&gt;=$FV199,$B199&lt;=$FW199),MAX(CF199,Sheet1!EJ201,0),MAX(CF199-(7/36)*$K199,0))</f>
        <v>4.6370550576184373</v>
      </c>
      <c r="CJ199" s="560">
        <f t="shared" si="403"/>
        <v>0</v>
      </c>
      <c r="CK199" s="545">
        <f t="shared" si="404"/>
        <v>0</v>
      </c>
      <c r="CL199" s="545">
        <f>IF(AND($O199&gt;0,Sheet1!EN201=1),(1-($O199-Sheet1!$L201)/$O199)*CF199,0)</f>
        <v>0</v>
      </c>
      <c r="CM199" s="545">
        <f>IF(AND(Sheet1!$L201=0,Sheet1!$L200=0, Calculation!CE199&lt;Sheet1!EJ201-0.1,Sheet1!EJ201=Sheet1!EJ200,Sheet1!EJ201=Sheet1!EJ202),Sheet1!EJ201,CF199-CL199)</f>
        <v>4.6370550576184373</v>
      </c>
      <c r="CN199" s="545"/>
      <c r="CO199" s="560"/>
      <c r="CP199" s="560">
        <f t="shared" si="405"/>
        <v>629.057389386826</v>
      </c>
      <c r="CQ199" s="560"/>
      <c r="CR199" s="560">
        <f ca="1">IF(B199&gt;Summary!$A$1,#N/A,CP199*MGtoAF)</f>
        <v>1929.9480706387822</v>
      </c>
      <c r="CS199" s="560">
        <f>Sheet1!BK201+Sheet1!BL201+Sheet1!BM201-Sheet1!ER201-DA199</f>
        <v>9.7200000000000006</v>
      </c>
      <c r="CT199" s="560">
        <f t="shared" si="406"/>
        <v>9.6308066581306022</v>
      </c>
      <c r="CU199" s="560">
        <f>IF(Sheet1!ER201="FM",DA199,0)</f>
        <v>0</v>
      </c>
      <c r="CV199" s="560">
        <f t="shared" si="407"/>
        <v>0</v>
      </c>
      <c r="CW199" s="560">
        <f>IF(Sheet1!ER201="OTHER",DA199,0)</f>
        <v>0</v>
      </c>
      <c r="CX199" s="560">
        <f t="shared" si="408"/>
        <v>0</v>
      </c>
      <c r="CY199" s="560">
        <f t="shared" si="409"/>
        <v>9.7200000000000006</v>
      </c>
      <c r="CZ199" s="560">
        <f t="shared" si="410"/>
        <v>9.6308066581306022</v>
      </c>
      <c r="DA199" s="560">
        <f>IF(OR(Sheet1!ER201="FM", Sheet1!ER201="OTHER"),SUM(Sheet1!BK201:'Sheet1'!BM201),0)</f>
        <v>0</v>
      </c>
      <c r="DB199" s="545">
        <f>IF(AND($B199&gt;=$FV199,$B199&lt;=$FW199),MAX($CT199,Sheet1!EK201,0),MAX($CT199-(7/36)*$K199,0))</f>
        <v>10</v>
      </c>
      <c r="DC199" s="560">
        <f t="shared" si="411"/>
        <v>0</v>
      </c>
      <c r="DD199" s="545">
        <f t="shared" si="412"/>
        <v>0</v>
      </c>
      <c r="DE199" s="545">
        <f>IF(AND($O199&gt;0,Sheet1!EO201=1),(1-($O199-Sheet1!$L201)/$O199)*CZ199,0)</f>
        <v>0</v>
      </c>
      <c r="DF199" s="545">
        <f>IF(AND(Sheet1!$L201=0,Sheet1!$L200=0, Calculation!CY199&lt;Sheet1!$EK201-0.1,Sheet1!$EK201=Sheet1!$EK200,Sheet1!$EK201=Sheet1!$EK202),Sheet1!$EK201,CZ199-DE199)</f>
        <v>9.6308066581306022</v>
      </c>
      <c r="DG199" s="545"/>
      <c r="DH199" s="560">
        <f t="shared" si="413"/>
        <v>15.760000000000002</v>
      </c>
      <c r="DI199" s="560">
        <f t="shared" si="414"/>
        <v>623.69444444444446</v>
      </c>
      <c r="DJ199" s="698">
        <f t="shared" si="415"/>
        <v>15.615381988903115</v>
      </c>
      <c r="DK199" s="560">
        <f ca="1">IF(B199&gt;Summary!$A$1,#N/A,DI199*MGtoAF)</f>
        <v>1913.4945555555557</v>
      </c>
      <c r="DL199" s="698">
        <f t="shared" si="416"/>
        <v>15.76</v>
      </c>
      <c r="DM199" s="560">
        <f t="shared" si="417"/>
        <v>46.86</v>
      </c>
      <c r="DN199" s="560">
        <f>Sheet1!AB201-DM199</f>
        <v>-0.42999999999999972</v>
      </c>
      <c r="DO199" s="823">
        <f t="shared" si="418"/>
        <v>-9.1762697396500156E-3</v>
      </c>
      <c r="DP199" s="560">
        <f>(VLOOKUP(Sheet1!DC201,hhdcap_wcm,4)-(((VLOOKUP(Sheet1!DC201,hhdcap_wcm,3)-Sheet1!DC201)/(VLOOKUP(Sheet1!DC201,hhdcap_wcm,3)-VLOOKUP(Sheet1!DC201,hhdcap_wcm,1)))*(VLOOKUP(Sheet1!DC201,hhdcap_wcm,4)-VLOOKUP(Sheet1!DC201,hhdcap_wcm,2))))</f>
        <v>47083.200000115103</v>
      </c>
      <c r="DQ199" s="560">
        <f t="shared" si="419"/>
        <v>-89.199999999225838</v>
      </c>
      <c r="DR199" s="560">
        <f t="shared" si="420"/>
        <v>-44.982349974395269</v>
      </c>
      <c r="DS199" s="560">
        <f>Sheet1!EA201*AFtoMG</f>
        <v>0</v>
      </c>
      <c r="DT199" s="560">
        <f>Sheet1!EB201*AFtoMG</f>
        <v>0</v>
      </c>
      <c r="DU199" s="560">
        <f>Sheet1!EC201*AFtoMG</f>
        <v>0</v>
      </c>
      <c r="DV199" s="560">
        <f>Sheet1!ED201*AFtoMG</f>
        <v>0</v>
      </c>
      <c r="DW199" s="560">
        <f t="shared" si="421"/>
        <v>0</v>
      </c>
      <c r="DX199" s="560">
        <f t="shared" si="422"/>
        <v>0</v>
      </c>
      <c r="DY199" s="560">
        <f t="shared" si="423"/>
        <v>3242.3629449423815</v>
      </c>
      <c r="DZ199" s="560">
        <f t="shared" si="424"/>
        <v>9947.5695150832271</v>
      </c>
      <c r="EA199" s="560"/>
      <c r="EB199" s="545">
        <f>IF(OR(B199&lt;FV199,B199&gt;FW199),(MIN(BF199+BY199+CT199+MAX(Sheet1!AA201+AQ199-73,0),K199)),0)</f>
        <v>0</v>
      </c>
      <c r="EC199" s="560"/>
      <c r="ED199" s="560">
        <f t="shared" si="425"/>
        <v>15.615381988903117</v>
      </c>
      <c r="EE199" s="560"/>
      <c r="EF199" s="560">
        <f>Sheet1!EH201+Sheet1!EI201+Sheet1!EJ201+Sheet1!EK201</f>
        <v>16.5</v>
      </c>
      <c r="EG199" s="560"/>
      <c r="EH199" s="545">
        <f t="shared" si="426"/>
        <v>0</v>
      </c>
      <c r="EI199" s="560">
        <f>IF(Sheet1!ET201=1,SUM('Calculations II'!AT199:BA199)+'Calculations II'!BC199+Sheet1!BV201+'Calculations II'!BE199+AP199,SUM('Calculations II'!AT199:BA199)+'Calculations II'!BC199+Sheet1!BV201+'Calculations II'!BE199+AP199)</f>
        <v>85.790064000000001</v>
      </c>
      <c r="EJ199" s="560">
        <f>Sheet1!AA201+Sheet1!AB201+'Calculations II'!BC199</f>
        <v>87.65</v>
      </c>
      <c r="EK199" s="560"/>
      <c r="EL199" s="560"/>
      <c r="EM199" s="560">
        <f t="shared" si="427"/>
        <v>41827</v>
      </c>
      <c r="EN199" s="560">
        <f t="shared" si="428"/>
        <v>-16.637055057618436</v>
      </c>
      <c r="EO199" s="560">
        <f t="shared" si="429"/>
        <v>-25.737524174135721</v>
      </c>
      <c r="EP199" s="560">
        <v>0</v>
      </c>
      <c r="EQ199" s="560">
        <v>0</v>
      </c>
      <c r="ER199" s="560">
        <v>0</v>
      </c>
      <c r="ES199" s="545">
        <f t="shared" si="349"/>
        <v>4.4321280603495286</v>
      </c>
      <c r="ET199" s="560">
        <f>-(VLOOKUP(Sheet1!BQ201,Lookup!$O$4:$Q$262,2)-VLOOKUP(Sheet1!BQ200,Lookup!$O$4:$Q$262,2))/1000000</f>
        <v>2.2161152998310962</v>
      </c>
      <c r="EU199" s="560">
        <f>-(VLOOKUP(Sheet1!BR201,Lookup!$O$4:$Q$262,3)-VLOOKUP(Sheet1!BR200,Lookup!$O$4:$Q$262,3))/1000000</f>
        <v>2.2160127605184319</v>
      </c>
      <c r="EV199" s="560"/>
      <c r="EW199" s="560"/>
      <c r="EX199" s="560"/>
      <c r="EY199" s="560"/>
      <c r="EZ199" s="560"/>
      <c r="FA199" s="560"/>
      <c r="FB199" s="560"/>
      <c r="FC199" s="560"/>
      <c r="FD199" s="594">
        <f t="shared" si="443"/>
        <v>1139.6438356163587</v>
      </c>
      <c r="FE199" s="594" t="e">
        <f t="shared" si="431"/>
        <v>#N/A</v>
      </c>
      <c r="FF199" s="595" t="e">
        <f t="shared" si="432"/>
        <v>#N/A</v>
      </c>
      <c r="FG199" s="596" t="s">
        <v>692</v>
      </c>
      <c r="FH199" s="596" t="s">
        <v>692</v>
      </c>
      <c r="FI199" s="594" t="e">
        <v>#N/A</v>
      </c>
      <c r="FJ199" s="778">
        <v>22912</v>
      </c>
      <c r="FK199" s="560"/>
      <c r="FL199" s="560"/>
      <c r="FM199" s="560"/>
      <c r="FN199" s="560"/>
      <c r="FO199" s="560">
        <f>O199+((Sheet1!CS201)*GPMtoMGD)</f>
        <v>87.65</v>
      </c>
      <c r="FP199" s="560">
        <f>IF(Sheet1!AA201+AQ199&lt;=Calculation!N199,AQ199,Calculation!N199-Sheet1!AA201)</f>
        <v>29.229300042680325</v>
      </c>
      <c r="FQ199" s="560">
        <f>(Sheet1!BP201+Sheet1!BO201)/694.4</f>
        <v>4.0561635944700463</v>
      </c>
      <c r="FR199" s="560"/>
      <c r="FS199" s="560"/>
      <c r="FT199" s="560"/>
      <c r="FU199" s="560"/>
      <c r="FV199" s="695">
        <f t="shared" si="350"/>
        <v>41827</v>
      </c>
      <c r="FW199" s="695">
        <f t="shared" si="351"/>
        <v>41934</v>
      </c>
      <c r="FX199" s="560"/>
      <c r="FY199" s="560"/>
      <c r="FZ199" s="560"/>
      <c r="GA199" s="560"/>
      <c r="GB199" s="560" t="str">
        <f t="shared" si="352"/>
        <v>n</v>
      </c>
      <c r="GC199" s="564">
        <f t="shared" si="353"/>
        <v>41691</v>
      </c>
      <c r="GD199" s="695">
        <f t="shared" si="354"/>
        <v>41807</v>
      </c>
      <c r="GE199" s="560">
        <v>6518.9</v>
      </c>
      <c r="GF199" s="695">
        <f t="shared" si="355"/>
        <v>41808</v>
      </c>
      <c r="GG199" s="560">
        <f t="shared" si="374"/>
        <v>3259</v>
      </c>
      <c r="GH199" s="564">
        <f t="shared" si="356"/>
        <v>41934</v>
      </c>
      <c r="GJ199" s="545">
        <f t="shared" si="357"/>
        <v>0</v>
      </c>
      <c r="GK199" s="560" t="str">
        <f t="shared" si="433"/>
        <v/>
      </c>
      <c r="GL199" s="560">
        <f t="shared" si="358"/>
        <v>0</v>
      </c>
      <c r="GM199" s="560" t="str">
        <f t="shared" si="359"/>
        <v/>
      </c>
      <c r="GN199" s="560">
        <f>IF(GK199="P",Lookup!$M$12,IF(GK199="PP",Lookup!$M$13,IF(GK199="PPP",Lookup!$M$14,IF(GK199="T",Lookup!$M$15,IF(GK199="TP",Lookup!$M$16,IF(GK199="TPP",Lookup!$M$17,IF(GK199="TPPP",Lookup!$M$18,0)))))))*GJ199</f>
        <v>0</v>
      </c>
      <c r="GO199" s="560">
        <f t="shared" si="360"/>
        <v>0</v>
      </c>
      <c r="GP199" s="560">
        <f t="shared" si="434"/>
        <v>4166.088333333334</v>
      </c>
      <c r="GQ199" s="560">
        <f t="shared" si="368"/>
        <v>1357.9166666666667</v>
      </c>
      <c r="GR199" s="560"/>
      <c r="GS199" s="560">
        <f t="shared" si="361"/>
        <v>0</v>
      </c>
      <c r="GT199" s="560" t="str">
        <f t="shared" si="362"/>
        <v/>
      </c>
      <c r="GU199" s="560">
        <f>IF(GK199="P",Lookup!$N$12,IF(GK199="PP",Lookup!$N$13,IF(GK199="PPP",Lookup!$N$14,IF(GK199="T",Lookup!$N$15,IF(GK199="TP",Lookup!$N$16,IF(GK199="TPP",Lookup!$N$17,IF(GK199="TPPP",Lookup!$N$18,0)))))))*GJ199</f>
        <v>0</v>
      </c>
      <c r="GV199" s="560">
        <f t="shared" si="363"/>
        <v>0</v>
      </c>
      <c r="GW199" s="560">
        <f t="shared" si="435"/>
        <v>1938.0385555555556</v>
      </c>
      <c r="GX199" s="560">
        <f t="shared" si="369"/>
        <v>631.69444444444446</v>
      </c>
      <c r="GY199" s="560"/>
      <c r="GZ199" s="560">
        <f t="shared" si="364"/>
        <v>0</v>
      </c>
      <c r="HA199" s="560" t="str">
        <f t="shared" si="365"/>
        <v/>
      </c>
      <c r="HB199" s="560">
        <f>IF(GK199="P",Lookup!$N$12,IF(GK199="PP",Lookup!$N$13,IF(GK199="PPP",Lookup!$N$14,IF(GK199="T",Lookup!$N$15,IF(GK199="TP",Lookup!$N$16,IF(GK199="TPP",Lookup!$N$17,IF(GK199="TPPP",Lookup!$N$18,0)))))))*GJ199</f>
        <v>0</v>
      </c>
      <c r="HC199" s="545">
        <f t="shared" si="436"/>
        <v>0</v>
      </c>
      <c r="HD199" s="560">
        <f t="shared" si="437"/>
        <v>1929.9480706387822</v>
      </c>
      <c r="HE199" s="560">
        <f t="shared" si="370"/>
        <v>629.057389386826</v>
      </c>
      <c r="HF199" s="560"/>
      <c r="HG199" s="560">
        <f t="shared" si="366"/>
        <v>0</v>
      </c>
      <c r="HH199" s="560" t="str">
        <f t="shared" si="367"/>
        <v/>
      </c>
      <c r="HI199" s="560">
        <f>IF(GK199="P",Lookup!$N$12,IF(GK199="PP",Lookup!$N$13,IF(GK199="PPP",Lookup!$N$14,IF(GK199="T",Lookup!$N$15,IF(GK199="TP",Lookup!$N$16,IF(GK199="TPP",Lookup!$N$17,IF(GK199="TPPP",Lookup!$N$18,0)))))))*GJ199</f>
        <v>0</v>
      </c>
      <c r="HJ199" s="545">
        <f t="shared" si="438"/>
        <v>0</v>
      </c>
      <c r="HK199" s="560">
        <f t="shared" si="439"/>
        <v>1913.4945555555557</v>
      </c>
      <c r="HL199" s="560">
        <f t="shared" si="371"/>
        <v>623.69444444444446</v>
      </c>
      <c r="HM199" s="560"/>
    </row>
    <row r="200" spans="1:221">
      <c r="A200" s="580" t="s">
        <v>5</v>
      </c>
      <c r="B200" s="556">
        <v>41828</v>
      </c>
      <c r="C200" s="561">
        <v>0</v>
      </c>
      <c r="D200" s="529">
        <f t="shared" si="372"/>
        <v>300</v>
      </c>
      <c r="E200" s="529">
        <f t="shared" si="373"/>
        <v>250</v>
      </c>
      <c r="F200" s="529">
        <v>250</v>
      </c>
      <c r="G200" s="560">
        <f>DR200+Sheet1!CZ202</f>
        <v>371.37619767924917</v>
      </c>
      <c r="H200" s="1082">
        <f t="shared" si="442"/>
        <v>46.137574179866661</v>
      </c>
      <c r="I200" s="559">
        <f>MAX(Sheet1!Z202-AT200+(Sheet1!DA202-E200)*CFStoMGD,0)</f>
        <v>190.5772</v>
      </c>
      <c r="J200" s="562">
        <f>Sheet1!DB202-Calculation!D200</f>
        <v>26</v>
      </c>
      <c r="K200" s="1101">
        <v>0</v>
      </c>
      <c r="L200" s="560">
        <f>Sheet1!AA202+Sheet1!AB202-Sheet1!L202+(Sheet1!DA202-F200)*CFStoMGD</f>
        <v>234.2972</v>
      </c>
      <c r="M200" s="560">
        <f t="shared" si="376"/>
        <v>244.85872566346401</v>
      </c>
      <c r="N200" s="910">
        <f>IF(Sheet1!DA202&gt;=F200,MIN(73,MIN(MAX(L200,0),MAX(M200,0))),0)</f>
        <v>73</v>
      </c>
      <c r="O200" s="563">
        <f>Sheet1!AA202+Sheet1!AB202</f>
        <v>90.15</v>
      </c>
      <c r="P200" s="563">
        <f t="shared" si="377"/>
        <v>139.46205</v>
      </c>
      <c r="Q200" s="898">
        <f t="shared" si="339"/>
        <v>70.650000000000006</v>
      </c>
      <c r="R200" s="829">
        <f t="shared" si="378"/>
        <v>19.5</v>
      </c>
      <c r="S200" s="898">
        <f t="shared" si="340"/>
        <v>0</v>
      </c>
      <c r="T200" s="898">
        <f t="shared" si="341"/>
        <v>0</v>
      </c>
      <c r="U200" s="898">
        <f t="shared" si="342"/>
        <v>19.5</v>
      </c>
      <c r="V200" s="898"/>
      <c r="W200" s="898">
        <f t="shared" si="343"/>
        <v>0</v>
      </c>
      <c r="X200" s="898">
        <f t="shared" si="344"/>
        <v>0</v>
      </c>
      <c r="Y200" s="898" t="str">
        <f t="shared" si="345"/>
        <v>FALSE</v>
      </c>
      <c r="Z200" s="898">
        <f t="shared" si="346"/>
        <v>90.15</v>
      </c>
      <c r="AA200" s="898">
        <f t="shared" si="347"/>
        <v>90.15</v>
      </c>
      <c r="AB200" s="898" t="str">
        <f t="shared" si="348"/>
        <v/>
      </c>
      <c r="AC200" s="563">
        <f>Sheet1!Y202*MGDtoCFS</f>
        <v>63.767339999999997</v>
      </c>
      <c r="AD200" s="563">
        <f>Sheet1!Z202*MGDtoCFS</f>
        <v>71.827209999999994</v>
      </c>
      <c r="AE200" s="563">
        <f>Sheet1!AA202*MGDtoCFS</f>
        <v>63.736400000000003</v>
      </c>
      <c r="AF200" s="563">
        <f>Sheet1!AB202*MGDtoCFS</f>
        <v>75.725650000000002</v>
      </c>
      <c r="AG200" s="563">
        <f>Sheet1!L202*MGDtoCFS</f>
        <v>0</v>
      </c>
      <c r="AH200" s="545">
        <f t="shared" si="379"/>
        <v>19.643687842500508</v>
      </c>
      <c r="AI200" s="560">
        <f t="shared" si="380"/>
        <v>30.388785092348286</v>
      </c>
      <c r="AJ200" s="560">
        <f t="shared" si="381"/>
        <v>0</v>
      </c>
      <c r="AK200" s="560">
        <f t="shared" si="382"/>
        <v>0</v>
      </c>
      <c r="AL200" s="560">
        <f>(VLOOKUP(Sheet1!DC202,hhdcap_wcm,4)-(((VLOOKUP(Sheet1!DC202,hhdcap_wcm,3)-Sheet1!DC202)/(VLOOKUP(Sheet1!DC202,hhdcap_wcm,3)-VLOOKUP(Sheet1!DC202,hhdcap_wcm,1)))*(VLOOKUP(Sheet1!DC202,hhdcap_wcm,4)-VLOOKUP(Sheet1!DC202,hhdcap_wcm,2))))</f>
        <v>46961.000000113054</v>
      </c>
      <c r="AM200" s="560">
        <f t="shared" si="383"/>
        <v>-122.20000000204891</v>
      </c>
      <c r="AN200" s="560">
        <f t="shared" si="384"/>
        <v>3222.7192570998814</v>
      </c>
      <c r="AO200" s="560">
        <f t="shared" si="385"/>
        <v>9887.3026807824353</v>
      </c>
      <c r="AP200" s="560">
        <f>Sheet1!BA202+Sheet1!BB202+Sheet1!BN202+CD200</f>
        <v>32.700000000000003</v>
      </c>
      <c r="AQ200" s="560">
        <f>Sheet1!BN202+(DO200*Sheet1!BN202)</f>
        <v>30.89801096001624</v>
      </c>
      <c r="AR200" s="560">
        <f>Sheet1!BA202+CD200</f>
        <v>0</v>
      </c>
      <c r="AS200" s="560">
        <f>Sheet1!BA202+Sheet1!BB202+CD200</f>
        <v>1.6</v>
      </c>
      <c r="AT200" s="698">
        <f>0</f>
        <v>0</v>
      </c>
      <c r="AU200" s="560">
        <f>IF(EB200&lt;K200,0,MAX(Sheet1!AA202+AQ200-15/36*K200-N200,Sheet1!EH202,0))</f>
        <v>3</v>
      </c>
      <c r="AV200" s="560">
        <f>IF(OR(B200&gt;=GD200,B200&lt;GC200),0,15/36*K200-MAX(0,64.6-(137.6-(Sheet1!AA202+Sheet1!AB202))))</f>
        <v>0</v>
      </c>
      <c r="AW200" s="698">
        <f>Sheet1!DB202-110</f>
        <v>216</v>
      </c>
      <c r="AX200" s="698">
        <f>Sheet1!DA202-265</f>
        <v>208</v>
      </c>
      <c r="AY200" s="698">
        <f t="shared" si="386"/>
        <v>2.3499999999999943</v>
      </c>
      <c r="AZ200" s="698">
        <v>0</v>
      </c>
      <c r="BA200" s="698">
        <f t="shared" si="387"/>
        <v>0</v>
      </c>
      <c r="BB200" s="560">
        <f t="shared" si="388"/>
        <v>1354.9166666666667</v>
      </c>
      <c r="BC200" s="560"/>
      <c r="BD200" s="560">
        <f ca="1">IF(B200&gt;Summary!$A$1,#N/A,BB200*MGtoAF)</f>
        <v>4156.8843333333334</v>
      </c>
      <c r="BE200" s="560">
        <f>Sheet1!BG202+Sheet1!BH202+Sheet1!BI202-BM200</f>
        <v>1.86</v>
      </c>
      <c r="BF200" s="560">
        <f t="shared" si="389"/>
        <v>1.847919626547595</v>
      </c>
      <c r="BG200" s="560">
        <f>IF(Sheet1!EP202="FM",BM200,0)</f>
        <v>0</v>
      </c>
      <c r="BH200" s="560">
        <f t="shared" si="390"/>
        <v>0</v>
      </c>
      <c r="BI200" s="560">
        <f>IF(Sheet1!EP202="OTHER",BM200,0)</f>
        <v>0</v>
      </c>
      <c r="BJ200" s="560">
        <f t="shared" si="391"/>
        <v>0</v>
      </c>
      <c r="BK200" s="560">
        <f t="shared" si="392"/>
        <v>1.86</v>
      </c>
      <c r="BL200" s="560">
        <f t="shared" si="393"/>
        <v>1.847919626547595</v>
      </c>
      <c r="BM200" s="560">
        <f>IF(OR(Sheet1!EP202="FM", Sheet1!EP202="OTHER"),SUM(Sheet1!BG202:'Sheet1'!BI202),0)</f>
        <v>0</v>
      </c>
      <c r="BN200" s="545">
        <f>IF(AND($B200&gt;=$FV200,$B200&lt;=$FW200),MAX(BF200,Sheet1!EI202,0),MAX(BF200-(7/36)*$K200,0))</f>
        <v>2</v>
      </c>
      <c r="BO200" s="560">
        <f t="shared" si="394"/>
        <v>0</v>
      </c>
      <c r="BP200" s="545">
        <f t="shared" si="395"/>
        <v>0</v>
      </c>
      <c r="BQ200" s="545">
        <f>IF(AND($O200&gt;0,Sheet1!EM202=1),(1-($O200-Sheet1!$L202)/$O200)*BL200,0)</f>
        <v>0</v>
      </c>
      <c r="BR200" s="545">
        <f>IF(AND(Sheet1!$L202=0,Sheet1!$L201=0, Calculation!BK200&lt;Sheet1!$EI202-0.1,Sheet1!$EI202=Sheet1!$EI201,Sheet1!$EI202=Sheet1!$EI203),Sheet1!$EI202,BL200-BQ200)</f>
        <v>2</v>
      </c>
      <c r="BS200" s="560"/>
      <c r="BT200" s="560"/>
      <c r="BU200" s="560">
        <f t="shared" si="396"/>
        <v>629.69444444444446</v>
      </c>
      <c r="BV200" s="560"/>
      <c r="BW200" s="560">
        <f ca="1">IF(B200&gt;Summary!$A$1,#N/A,BU200*MGtoAF)</f>
        <v>1931.9025555555556</v>
      </c>
      <c r="BX200" s="560">
        <f>Sheet1!BC202+Sheet1!BD202+Sheet1!BE202+Sheet1!BF202-CG200-CH200</f>
        <v>4.5</v>
      </c>
      <c r="BY200" s="560">
        <f t="shared" si="397"/>
        <v>4.4707732900345034</v>
      </c>
      <c r="BZ200" s="560">
        <f>IF(Sheet1!EQ202="FM",CH200,0)</f>
        <v>0</v>
      </c>
      <c r="CA200" s="560">
        <f t="shared" si="398"/>
        <v>0</v>
      </c>
      <c r="CB200" s="560">
        <f>IF(Sheet1!EQ202="OTHER",CH200,0)</f>
        <v>0</v>
      </c>
      <c r="CC200" s="560">
        <f t="shared" si="399"/>
        <v>0</v>
      </c>
      <c r="CD200" s="560">
        <f t="shared" si="400"/>
        <v>0</v>
      </c>
      <c r="CE200" s="560">
        <f t="shared" si="401"/>
        <v>4.5</v>
      </c>
      <c r="CF200" s="560">
        <f t="shared" si="402"/>
        <v>4.4707732900345034</v>
      </c>
      <c r="CG200" s="560">
        <f>IF(Sheet1!EQ202="CWA",SUM(Sheet1!BC202:'Sheet1'!BF202),0)</f>
        <v>0</v>
      </c>
      <c r="CH200" s="560">
        <f>IF(OR(Sheet1!EQ202="FM", Sheet1!EQ202="OTHER"),SUM(Sheet1!BC202:'Sheet1'!BF202),0)</f>
        <v>0</v>
      </c>
      <c r="CI200" s="545">
        <f>IF(AND($B200&gt;=$FV200,$B200&lt;=$FW200),MAX(CF200,Sheet1!EJ202,0),MAX(CF200-(7/36)*$K200,0))</f>
        <v>4.5</v>
      </c>
      <c r="CJ200" s="560">
        <f t="shared" si="403"/>
        <v>0</v>
      </c>
      <c r="CK200" s="545">
        <f t="shared" si="404"/>
        <v>0</v>
      </c>
      <c r="CL200" s="545">
        <f>IF(AND($O200&gt;0,Sheet1!EN202=1),(1-($O200-Sheet1!$L202)/$O200)*CF200,0)</f>
        <v>0</v>
      </c>
      <c r="CM200" s="545">
        <f>IF(AND(Sheet1!$L202=0,Sheet1!$L201=0, Calculation!CE200&lt;Sheet1!EJ202-0.1,Sheet1!EJ202=Sheet1!EJ201,Sheet1!EJ202=Sheet1!EJ203),Sheet1!EJ202,CF200-CL200)</f>
        <v>4.4707732900345034</v>
      </c>
      <c r="CN200" s="545"/>
      <c r="CO200" s="560"/>
      <c r="CP200" s="560">
        <f t="shared" si="405"/>
        <v>624.557389386826</v>
      </c>
      <c r="CQ200" s="560"/>
      <c r="CR200" s="560">
        <f ca="1">IF(B200&gt;Summary!$A$1,#N/A,CP200*MGtoAF)</f>
        <v>1916.1420706387821</v>
      </c>
      <c r="CS200" s="560">
        <f>Sheet1!BK202+Sheet1!BL202+Sheet1!BM202-Sheet1!ER202-DA200</f>
        <v>10.210000000000001</v>
      </c>
      <c r="CT200" s="560">
        <f t="shared" si="406"/>
        <v>10.143687842500508</v>
      </c>
      <c r="CU200" s="560">
        <f>IF(Sheet1!ER202="FM",DA200,0)</f>
        <v>0</v>
      </c>
      <c r="CV200" s="560">
        <f t="shared" si="407"/>
        <v>0</v>
      </c>
      <c r="CW200" s="560">
        <f>IF(Sheet1!ER202="OTHER",DA200,0)</f>
        <v>0</v>
      </c>
      <c r="CX200" s="560">
        <f t="shared" si="408"/>
        <v>0</v>
      </c>
      <c r="CY200" s="560">
        <f t="shared" si="409"/>
        <v>10.210000000000001</v>
      </c>
      <c r="CZ200" s="560">
        <f t="shared" si="410"/>
        <v>10.143687842500508</v>
      </c>
      <c r="DA200" s="560">
        <f>IF(OR(Sheet1!ER202="FM", Sheet1!ER202="OTHER"),SUM(Sheet1!BK202:'Sheet1'!BM202),0)</f>
        <v>0</v>
      </c>
      <c r="DB200" s="545">
        <f>IF(AND($B200&gt;=$FV200,$B200&lt;=$FW200),MAX($CT200,Sheet1!EK202,0),MAX($CT200-(7/36)*$K200,0))</f>
        <v>10.143687842500508</v>
      </c>
      <c r="DC200" s="560">
        <f t="shared" si="411"/>
        <v>0</v>
      </c>
      <c r="DD200" s="545">
        <f t="shared" si="412"/>
        <v>0</v>
      </c>
      <c r="DE200" s="545">
        <f>IF(AND($O200&gt;0,Sheet1!EO202=1),(1-($O200-Sheet1!$L202)/$O200)*CZ200,0)</f>
        <v>0</v>
      </c>
      <c r="DF200" s="545">
        <f>IF(AND(Sheet1!$L202=0,Sheet1!$L201=0, Calculation!CY200&lt;Sheet1!$EK202-0.1,Sheet1!$EK202=Sheet1!$EK201,Sheet1!$EK202=Sheet1!$EK203),Sheet1!$EK202,CZ200-DE200)</f>
        <v>10.143687842500508</v>
      </c>
      <c r="DG200" s="545"/>
      <c r="DH200" s="560">
        <f t="shared" si="413"/>
        <v>16.57</v>
      </c>
      <c r="DI200" s="560">
        <f t="shared" si="414"/>
        <v>613.55075660194393</v>
      </c>
      <c r="DJ200" s="698">
        <f t="shared" si="415"/>
        <v>16.462380759082606</v>
      </c>
      <c r="DK200" s="560">
        <f ca="1">IF(B200&gt;Summary!$A$1,#N/A,DI200*MGtoAF)</f>
        <v>1882.373721254764</v>
      </c>
      <c r="DL200" s="698">
        <f t="shared" si="416"/>
        <v>16.57</v>
      </c>
      <c r="DM200" s="560">
        <f t="shared" si="417"/>
        <v>49.27</v>
      </c>
      <c r="DN200" s="560">
        <f>Sheet1!AB202-DM200</f>
        <v>-0.32000000000000028</v>
      </c>
      <c r="DO200" s="823">
        <f t="shared" si="418"/>
        <v>-6.4948244367769485E-3</v>
      </c>
      <c r="DP200" s="560">
        <f>(VLOOKUP(Sheet1!DC202,hhdcap_wcm,4)-(((VLOOKUP(Sheet1!DC202,hhdcap_wcm,3)-Sheet1!DC202)/(VLOOKUP(Sheet1!DC202,hhdcap_wcm,3)-VLOOKUP(Sheet1!DC202,hhdcap_wcm,1)))*(VLOOKUP(Sheet1!DC202,hhdcap_wcm,4)-VLOOKUP(Sheet1!DC202,hhdcap_wcm,2))))</f>
        <v>46961.000000113054</v>
      </c>
      <c r="DQ200" s="560">
        <f t="shared" si="419"/>
        <v>-122.20000000204891</v>
      </c>
      <c r="DR200" s="560">
        <f t="shared" si="420"/>
        <v>-61.623802320750826</v>
      </c>
      <c r="DS200" s="560">
        <f>Sheet1!EA202*AFtoMG</f>
        <v>0</v>
      </c>
      <c r="DT200" s="560">
        <f>Sheet1!EB202*AFtoMG</f>
        <v>0</v>
      </c>
      <c r="DU200" s="560">
        <f>Sheet1!EC202*AFtoMG</f>
        <v>0</v>
      </c>
      <c r="DV200" s="560">
        <f>Sheet1!ED202*AFtoMG</f>
        <v>0</v>
      </c>
      <c r="DW200" s="560">
        <f t="shared" si="421"/>
        <v>0</v>
      </c>
      <c r="DX200" s="560">
        <f t="shared" si="422"/>
        <v>0</v>
      </c>
      <c r="DY200" s="560">
        <f t="shared" si="423"/>
        <v>3222.7192570998814</v>
      </c>
      <c r="DZ200" s="560">
        <f t="shared" si="424"/>
        <v>9887.3026807824353</v>
      </c>
      <c r="EA200" s="560"/>
      <c r="EB200" s="545">
        <f>IF(OR(B200&lt;FV200,B200&gt;FW200),(MIN(BF200+BY200+CT200+MAX(Sheet1!AA202+AQ200-73,0),K200)),0)</f>
        <v>0</v>
      </c>
      <c r="EC200" s="560"/>
      <c r="ED200" s="560">
        <f t="shared" si="425"/>
        <v>16.462380759082606</v>
      </c>
      <c r="EE200" s="560"/>
      <c r="EF200" s="560">
        <f>Sheet1!EH202+Sheet1!EI202+Sheet1!EJ202+Sheet1!EK202</f>
        <v>19.5</v>
      </c>
      <c r="EG200" s="560"/>
      <c r="EH200" s="545">
        <f t="shared" si="426"/>
        <v>0</v>
      </c>
      <c r="EI200" s="560">
        <f>IF(Sheet1!ET202=1,SUM('Calculations II'!AT200:BA200)+'Calculations II'!BC200+Sheet1!BV202+'Calculations II'!BE200+AP200,SUM('Calculations II'!AT200:BA200)+'Calculations II'!BC200+Sheet1!BV202+'Calculations II'!BE200+AP200)</f>
        <v>86.463344000000006</v>
      </c>
      <c r="EJ200" s="560">
        <f>Sheet1!AA202+Sheet1!AB202+'Calculations II'!BC200</f>
        <v>90.15</v>
      </c>
      <c r="EK200" s="560"/>
      <c r="EL200" s="560"/>
      <c r="EM200" s="560">
        <f t="shared" si="427"/>
        <v>41828</v>
      </c>
      <c r="EN200" s="560">
        <f t="shared" si="428"/>
        <v>-19.643687842500508</v>
      </c>
      <c r="EO200" s="560">
        <f t="shared" si="429"/>
        <v>-30.388785092348286</v>
      </c>
      <c r="EP200" s="560">
        <v>0</v>
      </c>
      <c r="EQ200" s="560">
        <v>0</v>
      </c>
      <c r="ER200" s="560">
        <v>0</v>
      </c>
      <c r="ES200" s="545">
        <f t="shared" si="349"/>
        <v>3.1835607892270126</v>
      </c>
      <c r="ET200" s="560">
        <f>-(VLOOKUP(Sheet1!BQ202,Lookup!$O$4:$Q$262,2)-VLOOKUP(Sheet1!BQ201,Lookup!$O$4:$Q$262,2))/1000000</f>
        <v>1.5226277036699616</v>
      </c>
      <c r="EU200" s="560">
        <f>-(VLOOKUP(Sheet1!BR202,Lookup!$O$4:$Q$262,3)-VLOOKUP(Sheet1!BR201,Lookup!$O$4:$Q$262,3))/1000000</f>
        <v>1.660933085557051</v>
      </c>
      <c r="EV200" s="560"/>
      <c r="EW200" s="560"/>
      <c r="EX200" s="560"/>
      <c r="EY200" s="560"/>
      <c r="EZ200" s="560"/>
      <c r="FA200" s="560"/>
      <c r="FB200" s="560"/>
      <c r="FC200" s="560"/>
      <c r="FD200" s="594">
        <f t="shared" si="443"/>
        <v>1139.5287671232081</v>
      </c>
      <c r="FE200" s="594" t="e">
        <f t="shared" si="431"/>
        <v>#N/A</v>
      </c>
      <c r="FF200" s="595" t="e">
        <f t="shared" si="432"/>
        <v>#N/A</v>
      </c>
      <c r="FG200" s="596" t="s">
        <v>692</v>
      </c>
      <c r="FH200" s="596" t="s">
        <v>692</v>
      </c>
      <c r="FI200" s="594" t="e">
        <v>#N/A</v>
      </c>
      <c r="FJ200" s="778">
        <v>22829</v>
      </c>
      <c r="FK200" s="560"/>
      <c r="FL200" s="560"/>
      <c r="FM200" s="560"/>
      <c r="FN200" s="560"/>
      <c r="FO200" s="560">
        <f>O200+((Sheet1!CS202)*GPMtoMGD)</f>
        <v>90.15</v>
      </c>
      <c r="FP200" s="560">
        <f>IF(Sheet1!AA202+AQ200&lt;=Calculation!N200,AQ200,Calculation!N200-Sheet1!AA202)</f>
        <v>30.89801096001624</v>
      </c>
      <c r="FQ200" s="560">
        <f>(Sheet1!BP202+Sheet1!BO202)/694.4</f>
        <v>3.8853686635944702</v>
      </c>
      <c r="FR200" s="560"/>
      <c r="FS200" s="560"/>
      <c r="FT200" s="560"/>
      <c r="FU200" s="560"/>
      <c r="FV200" s="695">
        <f t="shared" si="350"/>
        <v>41827</v>
      </c>
      <c r="FW200" s="695">
        <f t="shared" si="351"/>
        <v>41934</v>
      </c>
      <c r="FX200" s="560"/>
      <c r="FY200" s="560"/>
      <c r="FZ200" s="560"/>
      <c r="GA200" s="560"/>
      <c r="GB200" s="560" t="str">
        <f t="shared" si="352"/>
        <v>n</v>
      </c>
      <c r="GC200" s="564">
        <f t="shared" si="353"/>
        <v>41691</v>
      </c>
      <c r="GD200" s="695">
        <f t="shared" si="354"/>
        <v>41807</v>
      </c>
      <c r="GE200" s="560">
        <v>6518.9</v>
      </c>
      <c r="GF200" s="695">
        <f t="shared" si="355"/>
        <v>41808</v>
      </c>
      <c r="GG200" s="560">
        <f t="shared" si="374"/>
        <v>3259</v>
      </c>
      <c r="GH200" s="564">
        <f t="shared" si="356"/>
        <v>41934</v>
      </c>
      <c r="GJ200" s="545">
        <f t="shared" si="357"/>
        <v>0</v>
      </c>
      <c r="GK200" s="560" t="str">
        <f t="shared" si="433"/>
        <v/>
      </c>
      <c r="GL200" s="560">
        <f t="shared" si="358"/>
        <v>0</v>
      </c>
      <c r="GM200" s="560" t="str">
        <f t="shared" si="359"/>
        <v/>
      </c>
      <c r="GN200" s="560">
        <f>IF(GK200="P",Lookup!$M$12,IF(GK200="PP",Lookup!$M$13,IF(GK200="PPP",Lookup!$M$14,IF(GK200="T",Lookup!$M$15,IF(GK200="TP",Lookup!$M$16,IF(GK200="TPP",Lookup!$M$17,IF(GK200="TPPP",Lookup!$M$18,0)))))))*GJ200</f>
        <v>0</v>
      </c>
      <c r="GO200" s="560">
        <f t="shared" si="360"/>
        <v>0</v>
      </c>
      <c r="GP200" s="560">
        <f t="shared" si="434"/>
        <v>4156.8843333333334</v>
      </c>
      <c r="GQ200" s="560">
        <f t="shared" si="368"/>
        <v>1354.9166666666667</v>
      </c>
      <c r="GR200" s="560"/>
      <c r="GS200" s="560">
        <f t="shared" si="361"/>
        <v>0</v>
      </c>
      <c r="GT200" s="560" t="str">
        <f t="shared" si="362"/>
        <v/>
      </c>
      <c r="GU200" s="560">
        <f>IF(GK200="P",Lookup!$N$12,IF(GK200="PP",Lookup!$N$13,IF(GK200="PPP",Lookup!$N$14,IF(GK200="T",Lookup!$N$15,IF(GK200="TP",Lookup!$N$16,IF(GK200="TPP",Lookup!$N$17,IF(GK200="TPPP",Lookup!$N$18,0)))))))*GJ200</f>
        <v>0</v>
      </c>
      <c r="GV200" s="560">
        <f t="shared" si="363"/>
        <v>0</v>
      </c>
      <c r="GW200" s="560">
        <f t="shared" si="435"/>
        <v>1931.9025555555556</v>
      </c>
      <c r="GX200" s="560">
        <f t="shared" si="369"/>
        <v>629.69444444444446</v>
      </c>
      <c r="GY200" s="560"/>
      <c r="GZ200" s="560">
        <f t="shared" si="364"/>
        <v>0</v>
      </c>
      <c r="HA200" s="560" t="str">
        <f t="shared" si="365"/>
        <v/>
      </c>
      <c r="HB200" s="560">
        <f>IF(GK200="P",Lookup!$N$12,IF(GK200="PP",Lookup!$N$13,IF(GK200="PPP",Lookup!$N$14,IF(GK200="T",Lookup!$N$15,IF(GK200="TP",Lookup!$N$16,IF(GK200="TPP",Lookup!$N$17,IF(GK200="TPPP",Lookup!$N$18,0)))))))*GJ200</f>
        <v>0</v>
      </c>
      <c r="HC200" s="545">
        <f t="shared" si="436"/>
        <v>0</v>
      </c>
      <c r="HD200" s="560">
        <f t="shared" si="437"/>
        <v>1916.1420706387821</v>
      </c>
      <c r="HE200" s="560">
        <f t="shared" si="370"/>
        <v>624.557389386826</v>
      </c>
      <c r="HF200" s="560"/>
      <c r="HG200" s="560">
        <f t="shared" si="366"/>
        <v>0</v>
      </c>
      <c r="HH200" s="560" t="str">
        <f t="shared" si="367"/>
        <v/>
      </c>
      <c r="HI200" s="560">
        <f>IF(GK200="P",Lookup!$N$12,IF(GK200="PP",Lookup!$N$13,IF(GK200="PPP",Lookup!$N$14,IF(GK200="T",Lookup!$N$15,IF(GK200="TP",Lookup!$N$16,IF(GK200="TPP",Lookup!$N$17,IF(GK200="TPPP",Lookup!$N$18,0)))))))*GJ200</f>
        <v>0</v>
      </c>
      <c r="HJ200" s="545">
        <f t="shared" si="438"/>
        <v>0</v>
      </c>
      <c r="HK200" s="560">
        <f t="shared" si="439"/>
        <v>1882.373721254764</v>
      </c>
      <c r="HL200" s="560">
        <f t="shared" si="371"/>
        <v>613.55075660194393</v>
      </c>
      <c r="HM200" s="560"/>
    </row>
    <row r="201" spans="1:221">
      <c r="A201" s="580" t="s">
        <v>6</v>
      </c>
      <c r="B201" s="556">
        <v>41829</v>
      </c>
      <c r="C201" s="561">
        <v>0</v>
      </c>
      <c r="D201" s="529">
        <f t="shared" si="372"/>
        <v>300</v>
      </c>
      <c r="E201" s="529">
        <f t="shared" si="373"/>
        <v>250</v>
      </c>
      <c r="F201" s="529">
        <v>250</v>
      </c>
      <c r="G201" s="560">
        <f>DR201+Sheet1!CZ203</f>
        <v>337.88603126614714</v>
      </c>
      <c r="H201" s="1082">
        <f t="shared" si="442"/>
        <v>24.489530610437512</v>
      </c>
      <c r="I201" s="559">
        <f>MAX(Sheet1!Z203-AT201+(Sheet1!DA203-E201)*CFStoMGD,0)</f>
        <v>202.79320000000001</v>
      </c>
      <c r="J201" s="562">
        <f>IF(AND(B201&gt;=Calculation!GC201,B201&lt;=Calculation!GD201),IF(Sheet1!DB203&gt;=Calculation!D201,64.64,0),MAX(Sheet1!Z203-AT201+(Sheet1!DB203-D201)*CFStoMGD,0))</f>
        <v>50.889200000000002</v>
      </c>
      <c r="K201" s="1101">
        <v>0</v>
      </c>
      <c r="L201" s="560">
        <f>Sheet1!AA203+Sheet1!AB203-Sheet1!L203+(Sheet1!DA203-F201)*CFStoMGD</f>
        <v>244.76319999999998</v>
      </c>
      <c r="M201" s="560">
        <f t="shared" si="376"/>
        <v>222.77772122264628</v>
      </c>
      <c r="N201" s="910">
        <f>IF(Sheet1!DA203&gt;=F201,MIN(73,MIN(MAX(L201,0),MAX(M201,0))),0)</f>
        <v>73</v>
      </c>
      <c r="O201" s="563">
        <f>Sheet1!AA203+Sheet1!AB203</f>
        <v>90.92</v>
      </c>
      <c r="P201" s="563">
        <f t="shared" si="377"/>
        <v>140.65323999999998</v>
      </c>
      <c r="Q201" s="898">
        <f t="shared" ref="Q201:Q264" si="444">IF(OR(Y201="FALSE",AND(B201&gt;=FV201,B201&lt;=FW201)),O201-S201-U201,0)</f>
        <v>71.42</v>
      </c>
      <c r="R201" s="829">
        <f t="shared" si="378"/>
        <v>19.5</v>
      </c>
      <c r="S201" s="898">
        <f t="shared" ref="S201:S264" si="445">IF(OR(B201&lt;GC201,B201&gt;GH201),MIN(O201,K201),IF(AND(B201&gt;=FV201,B201&lt;=FW201),0,IF(AND(B201&gt;=GC201,B201&lt;=GD201),DL201,IF(AND(B201&gt;GD201,B201&lt;FV201),MIN(K201,O201),0))))</f>
        <v>0</v>
      </c>
      <c r="T201" s="898">
        <f t="shared" ref="T201:T264" si="446">IF(OR(B201&lt;GC201,B201&gt;GD201),0, K201-DL201)</f>
        <v>0</v>
      </c>
      <c r="U201" s="898">
        <f t="shared" ref="U201:U264" si="447">IF(AND(B201&gt;=FV201,B201&lt;=FW201),MAX(EF201,ED201),0)</f>
        <v>19.5</v>
      </c>
      <c r="V201" s="898"/>
      <c r="W201" s="898">
        <f t="shared" ref="W201:W264" si="448">MAX(K201-DJ201,0)</f>
        <v>0</v>
      </c>
      <c r="X201" s="898">
        <f t="shared" ref="X201:X264" si="449">S201+T201</f>
        <v>0</v>
      </c>
      <c r="Y201" s="898" t="str">
        <f t="shared" ref="Y201:Y264" si="450">IF(OR(O201&gt;K201,AND(B201&gt;=GC201,B201&lt;=GD201),), "FALSE","")</f>
        <v>FALSE</v>
      </c>
      <c r="Z201" s="898">
        <f t="shared" ref="Z201:Z264" si="451">O201</f>
        <v>90.92</v>
      </c>
      <c r="AA201" s="898">
        <f t="shared" ref="AA201:AA264" si="452">Q201+S201+U201</f>
        <v>90.92</v>
      </c>
      <c r="AB201" s="898" t="str">
        <f t="shared" ref="AB201:AB264" si="453">IF(OR(Z201-AA201&lt;-0.1,Z201-AA201&gt;0.1),"BAD ENGINEER","")</f>
        <v/>
      </c>
      <c r="AC201" s="563">
        <f>Sheet1!Y203*MGDtoCFS</f>
        <v>63.736400000000003</v>
      </c>
      <c r="AD201" s="563">
        <f>Sheet1!Z203*MGDtoCFS</f>
        <v>75.725650000000002</v>
      </c>
      <c r="AE201" s="563">
        <f>Sheet1!AA203*MGDtoCFS</f>
        <v>67.418259999999989</v>
      </c>
      <c r="AF201" s="563">
        <f>Sheet1!AB203*MGDtoCFS</f>
        <v>73.234980000000007</v>
      </c>
      <c r="AG201" s="563">
        <f>Sheet1!L203*MGDtoCFS</f>
        <v>0</v>
      </c>
      <c r="AH201" s="545">
        <f t="shared" si="379"/>
        <v>19.512348484848484</v>
      </c>
      <c r="AI201" s="560">
        <f t="shared" si="380"/>
        <v>30.185603106060604</v>
      </c>
      <c r="AJ201" s="560">
        <f t="shared" si="381"/>
        <v>0</v>
      </c>
      <c r="AK201" s="560">
        <f t="shared" si="382"/>
        <v>0</v>
      </c>
      <c r="AL201" s="560">
        <f>(VLOOKUP(Sheet1!DC203,hhdcap_wcm,4)-(((VLOOKUP(Sheet1!DC203,hhdcap_wcm,3)-Sheet1!DC203)/(VLOOKUP(Sheet1!DC203,hhdcap_wcm,3)-VLOOKUP(Sheet1!DC203,hhdcap_wcm,1)))*(VLOOKUP(Sheet1!DC203,hhdcap_wcm,4)-VLOOKUP(Sheet1!DC203,hhdcap_wcm,2))))</f>
        <v>46806.100000113824</v>
      </c>
      <c r="AM201" s="560">
        <f t="shared" si="383"/>
        <v>-154.8999999992302</v>
      </c>
      <c r="AN201" s="560">
        <f t="shared" si="384"/>
        <v>3203.2069086150323</v>
      </c>
      <c r="AO201" s="560">
        <f t="shared" si="385"/>
        <v>9827.4387956309183</v>
      </c>
      <c r="AP201" s="560">
        <f>Sheet1!BA203+Sheet1!BB203+Sheet1!BN203+CD201</f>
        <v>31</v>
      </c>
      <c r="AQ201" s="560">
        <f>Sheet1!BN203+(DO201*Sheet1!BN203)</f>
        <v>29.288636363636368</v>
      </c>
      <c r="AR201" s="560">
        <f>Sheet1!BA203+CD201</f>
        <v>0</v>
      </c>
      <c r="AS201" s="560">
        <f>Sheet1!BA203+Sheet1!BB203+CD201</f>
        <v>1.6</v>
      </c>
      <c r="AT201" s="698">
        <f>0</f>
        <v>0</v>
      </c>
      <c r="AU201" s="560">
        <f>IF(EB201&lt;K201,0,MAX(Sheet1!AA203+AQ201-15/36*K201-N201,Sheet1!EH203,0))</f>
        <v>3</v>
      </c>
      <c r="AV201" s="560">
        <f>IF(OR(B201&gt;=GD201,B201&lt;GC201),0,15/36*K201-MAX(0,64.6-(137.6-(Sheet1!AA203+Sheet1!AB203))))</f>
        <v>0</v>
      </c>
      <c r="AW201" s="698">
        <f>Sheet1!DB203-110</f>
        <v>193</v>
      </c>
      <c r="AX201" s="698">
        <f>Sheet1!DA203-265</f>
        <v>223</v>
      </c>
      <c r="AY201" s="698">
        <f t="shared" si="386"/>
        <v>1.5799999999999983</v>
      </c>
      <c r="AZ201" s="698">
        <v>0</v>
      </c>
      <c r="BA201" s="698">
        <f t="shared" si="387"/>
        <v>0</v>
      </c>
      <c r="BB201" s="560">
        <f t="shared" si="388"/>
        <v>1351.9166666666667</v>
      </c>
      <c r="BC201" s="560"/>
      <c r="BD201" s="560">
        <f ca="1">IF(B201&gt;Summary!$A$1,#N/A,BB201*MGtoAF)</f>
        <v>4147.6803333333337</v>
      </c>
      <c r="BE201" s="560">
        <f>Sheet1!BG203+Sheet1!BH203+Sheet1!BI203-BM201</f>
        <v>2.02</v>
      </c>
      <c r="BF201" s="560">
        <f t="shared" si="389"/>
        <v>2.0123484848484852</v>
      </c>
      <c r="BG201" s="560">
        <f>IF(Sheet1!EP203="FM",BM201,0)</f>
        <v>0</v>
      </c>
      <c r="BH201" s="560">
        <f t="shared" si="390"/>
        <v>0</v>
      </c>
      <c r="BI201" s="560">
        <f>IF(Sheet1!EP203="OTHER",BM201,0)</f>
        <v>0</v>
      </c>
      <c r="BJ201" s="560">
        <f t="shared" si="391"/>
        <v>0</v>
      </c>
      <c r="BK201" s="560">
        <f t="shared" si="392"/>
        <v>2.02</v>
      </c>
      <c r="BL201" s="560">
        <f t="shared" si="393"/>
        <v>2.0123484848484852</v>
      </c>
      <c r="BM201" s="560">
        <f>IF(OR(Sheet1!EP203="FM", Sheet1!EP203="OTHER"),SUM(Sheet1!BG203:'Sheet1'!BI203),0)</f>
        <v>0</v>
      </c>
      <c r="BN201" s="545">
        <f>IF(AND($B201&gt;=$FV201,$B201&lt;=$FW201),MAX(BF201,Sheet1!EI203,0),MAX(BF201-(7/36)*$K201,0))</f>
        <v>2.0123484848484852</v>
      </c>
      <c r="BO201" s="560">
        <f t="shared" si="394"/>
        <v>0</v>
      </c>
      <c r="BP201" s="545">
        <f t="shared" si="395"/>
        <v>0</v>
      </c>
      <c r="BQ201" s="545">
        <f>IF(AND($O201&gt;0,Sheet1!EM203=1),(1-($O201-Sheet1!$L203)/$O201)*BL201,0)</f>
        <v>0</v>
      </c>
      <c r="BR201" s="545">
        <f>IF(AND(Sheet1!$L203=0,Sheet1!$L202=0, Calculation!BK201&lt;Sheet1!$EI203-0.1,Sheet1!$EI203=Sheet1!$EI202,Sheet1!$EI203=Sheet1!$EI204),Sheet1!$EI203,BL201-BQ201)</f>
        <v>2.0123484848484852</v>
      </c>
      <c r="BS201" s="560"/>
      <c r="BT201" s="560"/>
      <c r="BU201" s="560">
        <f t="shared" si="396"/>
        <v>627.68209595959593</v>
      </c>
      <c r="BV201" s="560"/>
      <c r="BW201" s="560">
        <f ca="1">IF(B201&gt;Summary!$A$1,#N/A,BU201*MGtoAF)</f>
        <v>1925.7286704040403</v>
      </c>
      <c r="BX201" s="560">
        <f>Sheet1!BC203+Sheet1!BD203+Sheet1!BE203+Sheet1!BF203-CG201-CH201</f>
        <v>4.5</v>
      </c>
      <c r="BY201" s="560">
        <f t="shared" si="397"/>
        <v>4.4829545454545459</v>
      </c>
      <c r="BZ201" s="560">
        <f>IF(Sheet1!EQ203="FM",CH201,0)</f>
        <v>0</v>
      </c>
      <c r="CA201" s="560">
        <f t="shared" si="398"/>
        <v>0</v>
      </c>
      <c r="CB201" s="560">
        <f>IF(Sheet1!EQ203="OTHER",CH201,0)</f>
        <v>0</v>
      </c>
      <c r="CC201" s="560">
        <f t="shared" si="399"/>
        <v>0</v>
      </c>
      <c r="CD201" s="560">
        <f t="shared" si="400"/>
        <v>0</v>
      </c>
      <c r="CE201" s="560">
        <f t="shared" si="401"/>
        <v>4.5</v>
      </c>
      <c r="CF201" s="560">
        <f t="shared" si="402"/>
        <v>4.4829545454545459</v>
      </c>
      <c r="CG201" s="560">
        <f>IF(Sheet1!EQ203="CWA",SUM(Sheet1!BC203:'Sheet1'!BF203),0)</f>
        <v>0</v>
      </c>
      <c r="CH201" s="560">
        <f>IF(OR(Sheet1!EQ203="FM", Sheet1!EQ203="OTHER"),SUM(Sheet1!BC203:'Sheet1'!BF203),0)</f>
        <v>0</v>
      </c>
      <c r="CI201" s="545">
        <f>IF(AND($B201&gt;=$FV201,$B201&lt;=$FW201),MAX(CF201,Sheet1!EJ203,0),MAX(CF201-(7/36)*$K201,0))</f>
        <v>4.5</v>
      </c>
      <c r="CJ201" s="560">
        <f t="shared" si="403"/>
        <v>0</v>
      </c>
      <c r="CK201" s="545">
        <f t="shared" si="404"/>
        <v>0</v>
      </c>
      <c r="CL201" s="545">
        <f>IF(AND($O201&gt;0,Sheet1!EN203=1),(1-($O201-Sheet1!$L203)/$O201)*CF201,0)</f>
        <v>0</v>
      </c>
      <c r="CM201" s="545">
        <f>IF(AND(Sheet1!$L203=0,Sheet1!$L202=0, Calculation!CE201&lt;Sheet1!EJ203-0.1,Sheet1!EJ203=Sheet1!EJ202,Sheet1!EJ203=Sheet1!EJ204),Sheet1!EJ203,CF201-CL201)</f>
        <v>4.4829545454545459</v>
      </c>
      <c r="CN201" s="545"/>
      <c r="CO201" s="560"/>
      <c r="CP201" s="560">
        <f t="shared" si="405"/>
        <v>620.057389386826</v>
      </c>
      <c r="CQ201" s="560"/>
      <c r="CR201" s="560">
        <f ca="1">IF(B201&gt;Summary!$A$1,#N/A,CP201*MGtoAF)</f>
        <v>1902.3360706387823</v>
      </c>
      <c r="CS201" s="560">
        <f>Sheet1!BK203+Sheet1!BL203+Sheet1!BM203-Sheet1!ER203-DA201</f>
        <v>10</v>
      </c>
      <c r="CT201" s="560">
        <f t="shared" si="406"/>
        <v>9.9621212121212128</v>
      </c>
      <c r="CU201" s="560">
        <f>IF(Sheet1!ER203="FM",DA201,0)</f>
        <v>0</v>
      </c>
      <c r="CV201" s="560">
        <f t="shared" si="407"/>
        <v>0</v>
      </c>
      <c r="CW201" s="560">
        <f>IF(Sheet1!ER203="OTHER",DA201,0)</f>
        <v>0</v>
      </c>
      <c r="CX201" s="560">
        <f t="shared" si="408"/>
        <v>0</v>
      </c>
      <c r="CY201" s="560">
        <f t="shared" si="409"/>
        <v>10</v>
      </c>
      <c r="CZ201" s="560">
        <f t="shared" si="410"/>
        <v>9.9621212121212128</v>
      </c>
      <c r="DA201" s="560">
        <f>IF(OR(Sheet1!ER203="FM", Sheet1!ER203="OTHER"),SUM(Sheet1!BK203:'Sheet1'!BM203),0)</f>
        <v>0</v>
      </c>
      <c r="DB201" s="545">
        <f>IF(AND($B201&gt;=$FV201,$B201&lt;=$FW201),MAX($CT201,Sheet1!EK203,0),MAX($CT201-(7/36)*$K201,0))</f>
        <v>10</v>
      </c>
      <c r="DC201" s="560">
        <f t="shared" si="411"/>
        <v>0</v>
      </c>
      <c r="DD201" s="545">
        <f t="shared" si="412"/>
        <v>0</v>
      </c>
      <c r="DE201" s="545">
        <f>IF(AND($O201&gt;0,Sheet1!EO203=1),(1-($O201-Sheet1!$L203)/$O201)*CZ201,0)</f>
        <v>0</v>
      </c>
      <c r="DF201" s="545">
        <f>IF(AND(Sheet1!$L203=0,Sheet1!$L202=0, Calculation!CY201&lt;Sheet1!$EK203-0.1,Sheet1!$EK203=Sheet1!$EK202,Sheet1!$EK203=Sheet1!$EK204),Sheet1!$EK203,CZ201-DE201)</f>
        <v>9.9621212121212128</v>
      </c>
      <c r="DG201" s="545"/>
      <c r="DH201" s="560">
        <f t="shared" si="413"/>
        <v>16.52</v>
      </c>
      <c r="DI201" s="560">
        <f t="shared" si="414"/>
        <v>603.55075660194393</v>
      </c>
      <c r="DJ201" s="698">
        <f t="shared" si="415"/>
        <v>16.457424242424246</v>
      </c>
      <c r="DK201" s="560">
        <f ca="1">IF(B201&gt;Summary!$A$1,#N/A,DI201*MGtoAF)</f>
        <v>1851.6937212547641</v>
      </c>
      <c r="DL201" s="698">
        <f t="shared" si="416"/>
        <v>16.52</v>
      </c>
      <c r="DM201" s="560">
        <f t="shared" si="417"/>
        <v>47.519999999999996</v>
      </c>
      <c r="DN201" s="560">
        <f>Sheet1!AB203-DM201</f>
        <v>-0.17999999999999261</v>
      </c>
      <c r="DO201" s="823">
        <f t="shared" si="418"/>
        <v>-3.7878787878786327E-3</v>
      </c>
      <c r="DP201" s="560">
        <f>(VLOOKUP(Sheet1!DC203,hhdcap_wcm,4)-(((VLOOKUP(Sheet1!DC203,hhdcap_wcm,3)-Sheet1!DC203)/(VLOOKUP(Sheet1!DC203,hhdcap_wcm,3)-VLOOKUP(Sheet1!DC203,hhdcap_wcm,1)))*(VLOOKUP(Sheet1!DC203,hhdcap_wcm,4)-VLOOKUP(Sheet1!DC203,hhdcap_wcm,2))))</f>
        <v>46806.100000113824</v>
      </c>
      <c r="DQ201" s="560">
        <f t="shared" si="419"/>
        <v>-154.8999999992302</v>
      </c>
      <c r="DR201" s="560">
        <f t="shared" si="420"/>
        <v>-78.113968733852843</v>
      </c>
      <c r="DS201" s="560">
        <f>Sheet1!EA203*AFtoMG</f>
        <v>0</v>
      </c>
      <c r="DT201" s="560">
        <f>Sheet1!EB203*AFtoMG</f>
        <v>0</v>
      </c>
      <c r="DU201" s="560">
        <f>Sheet1!EC203*AFtoMG</f>
        <v>0</v>
      </c>
      <c r="DV201" s="560">
        <f>Sheet1!ED203*AFtoMG</f>
        <v>0</v>
      </c>
      <c r="DW201" s="560">
        <f t="shared" si="421"/>
        <v>0</v>
      </c>
      <c r="DX201" s="560">
        <f t="shared" si="422"/>
        <v>0</v>
      </c>
      <c r="DY201" s="560">
        <f t="shared" si="423"/>
        <v>3203.2069086150323</v>
      </c>
      <c r="DZ201" s="560">
        <f t="shared" si="424"/>
        <v>9827.4387956309183</v>
      </c>
      <c r="EA201" s="560"/>
      <c r="EB201" s="545">
        <f>IF(OR(B201&lt;FV201,B201&gt;FW201),(MIN(BF201+BY201+CT201+MAX(Sheet1!AA203+AQ201-73,0),K201)),0)</f>
        <v>0</v>
      </c>
      <c r="EC201" s="560"/>
      <c r="ED201" s="560">
        <f t="shared" si="425"/>
        <v>16.457424242424246</v>
      </c>
      <c r="EE201" s="560"/>
      <c r="EF201" s="560">
        <f>Sheet1!EH203+Sheet1!EI203+Sheet1!EJ203+Sheet1!EK203</f>
        <v>19.5</v>
      </c>
      <c r="EG201" s="560"/>
      <c r="EH201" s="545">
        <f t="shared" si="426"/>
        <v>0</v>
      </c>
      <c r="EI201" s="560">
        <f>IF(Sheet1!ET203=1,SUM('Calculations II'!AT201:BA201)+'Calculations II'!BC201+Sheet1!BV203+'Calculations II'!BE201+AP201,SUM('Calculations II'!AT201:BA201)+'Calculations II'!BC201+Sheet1!BV203+'Calculations II'!BE201+AP201)</f>
        <v>86.639327999999992</v>
      </c>
      <c r="EJ201" s="560">
        <f>Sheet1!AA203+Sheet1!AB203+'Calculations II'!BC201</f>
        <v>90.92</v>
      </c>
      <c r="EK201" s="560"/>
      <c r="EL201" s="560"/>
      <c r="EM201" s="560">
        <f t="shared" si="427"/>
        <v>41829</v>
      </c>
      <c r="EN201" s="560">
        <f t="shared" si="428"/>
        <v>-19.512348484848484</v>
      </c>
      <c r="EO201" s="560">
        <f t="shared" si="429"/>
        <v>-30.185603106060604</v>
      </c>
      <c r="EP201" s="560">
        <v>0</v>
      </c>
      <c r="EQ201" s="560">
        <v>0</v>
      </c>
      <c r="ER201" s="560">
        <v>0</v>
      </c>
      <c r="ES201" s="545">
        <f t="shared" ref="ES201:ES264" si="454">ET201+EU201</f>
        <v>2.6286288347363209</v>
      </c>
      <c r="ET201" s="560">
        <f>-(VLOOKUP(Sheet1!BQ203,Lookup!$O$4:$Q$262,2)-VLOOKUP(Sheet1!BQ202,Lookup!$O$4:$Q$262,2))/1000000</f>
        <v>1.3835343710254842</v>
      </c>
      <c r="EU201" s="560">
        <f>-(VLOOKUP(Sheet1!BR203,Lookup!$O$4:$Q$262,3)-VLOOKUP(Sheet1!BR202,Lookup!$O$4:$Q$262,3))/1000000</f>
        <v>1.245094463710837</v>
      </c>
      <c r="EV201" s="560"/>
      <c r="EW201" s="560"/>
      <c r="EX201" s="560"/>
      <c r="EY201" s="560"/>
      <c r="EZ201" s="560"/>
      <c r="FA201" s="560"/>
      <c r="FB201" s="560"/>
      <c r="FC201" s="560"/>
      <c r="FD201" s="594">
        <f t="shared" si="443"/>
        <v>1139.4136986300575</v>
      </c>
      <c r="FE201" s="594" t="e">
        <f t="shared" si="431"/>
        <v>#N/A</v>
      </c>
      <c r="FF201" s="595" t="e">
        <f t="shared" si="432"/>
        <v>#N/A</v>
      </c>
      <c r="FG201" s="596" t="s">
        <v>692</v>
      </c>
      <c r="FH201" s="596" t="s">
        <v>692</v>
      </c>
      <c r="FI201" s="594" t="e">
        <v>#N/A</v>
      </c>
      <c r="FJ201" s="778">
        <v>22745</v>
      </c>
      <c r="FK201" s="560"/>
      <c r="FL201" s="560"/>
      <c r="FM201" s="560"/>
      <c r="FN201" s="560"/>
      <c r="FO201" s="560">
        <f>O201+((Sheet1!CS203)*GPMtoMGD)</f>
        <v>90.92</v>
      </c>
      <c r="FP201" s="560">
        <f>IF(Sheet1!AA203+AQ201&lt;=Calculation!N201,AQ201,Calculation!N201-Sheet1!AA203)</f>
        <v>29.288636363636368</v>
      </c>
      <c r="FQ201" s="560">
        <f>(Sheet1!BP203+Sheet1!BO203)/694.4</f>
        <v>4.2036290322580649</v>
      </c>
      <c r="FR201" s="560"/>
      <c r="FS201" s="560"/>
      <c r="FT201" s="560"/>
      <c r="FU201" s="560"/>
      <c r="FV201" s="695">
        <f t="shared" ref="FV201:FV264" si="455">$FV$4</f>
        <v>41827</v>
      </c>
      <c r="FW201" s="695">
        <f t="shared" ref="FW201:FW264" si="456">$FW$4</f>
        <v>41934</v>
      </c>
      <c r="FX201" s="560"/>
      <c r="FY201" s="560"/>
      <c r="FZ201" s="560"/>
      <c r="GA201" s="560"/>
      <c r="GB201" s="560" t="str">
        <f t="shared" ref="GB201:GB264" si="457">$GB$4</f>
        <v>n</v>
      </c>
      <c r="GC201" s="564">
        <f t="shared" ref="GC201:GC264" si="458">$GC$4</f>
        <v>41691</v>
      </c>
      <c r="GD201" s="695">
        <f t="shared" ref="GD201:GD264" si="459">$GD$4</f>
        <v>41807</v>
      </c>
      <c r="GE201" s="560">
        <v>6518.9</v>
      </c>
      <c r="GF201" s="695">
        <f t="shared" ref="GF201:GF264" si="460">$GF$4</f>
        <v>41808</v>
      </c>
      <c r="GG201" s="560">
        <f t="shared" si="374"/>
        <v>3259</v>
      </c>
      <c r="GH201" s="564">
        <f t="shared" ref="GH201:GH264" si="461">$GH$4</f>
        <v>41934</v>
      </c>
      <c r="GJ201" s="545">
        <f t="shared" ref="GJ201:GJ264" si="462">IF(AND(B201&gt;=GD201,B201&lt;GF201),AFtoMG*(20000-AO200),GL201+GZ201+GS201+HG201)</f>
        <v>0</v>
      </c>
      <c r="GK201" s="560" t="str">
        <f t="shared" si="433"/>
        <v/>
      </c>
      <c r="GL201" s="560">
        <f t="shared" ref="GL201:GL264" si="463">IF(GP201&gt;=8333.3,AV201,0)</f>
        <v>0</v>
      </c>
      <c r="GM201" s="560" t="str">
        <f t="shared" ref="GM201:GM264" si="464">IF(AND(GP201&lt;8333.3,GJ201&gt;0),"T","")</f>
        <v/>
      </c>
      <c r="GN201" s="560">
        <f>IF(GK201="P",Lookup!$M$12,IF(GK201="PP",Lookup!$M$13,IF(GK201="PPP",Lookup!$M$14,IF(GK201="T",Lookup!$M$15,IF(GK201="TP",Lookup!$M$16,IF(GK201="TPP",Lookup!$M$17,IF(GK201="TPPP",Lookup!$M$18,0)))))))*GJ201</f>
        <v>0</v>
      </c>
      <c r="GO201" s="560">
        <f t="shared" ref="GO201:GO264" si="465">IF(GM201="T", MIN(GN201, 2716.2-$GQ201),0)</f>
        <v>0</v>
      </c>
      <c r="GP201" s="560">
        <f t="shared" si="434"/>
        <v>4147.6803333333337</v>
      </c>
      <c r="GQ201" s="560">
        <f t="shared" si="368"/>
        <v>1351.9166666666667</v>
      </c>
      <c r="GR201" s="560"/>
      <c r="GS201" s="560">
        <f t="shared" ref="GS201:GS264" si="466">IF(GW201&gt;=3888.8,BO201,0)</f>
        <v>0</v>
      </c>
      <c r="GT201" s="560" t="str">
        <f t="shared" ref="GT201:GT264" si="467">IF(AND(GW201&lt;3888.8,GJ201&gt;0),"P","")</f>
        <v/>
      </c>
      <c r="GU201" s="560">
        <f>IF(GK201="P",Lookup!$N$12,IF(GK201="PP",Lookup!$N$13,IF(GK201="PPP",Lookup!$N$14,IF(GK201="T",Lookup!$N$15,IF(GK201="TP",Lookup!$N$16,IF(GK201="TPP",Lookup!$N$17,IF(GK201="TPPP",Lookup!$N$18,0)))))))*GJ201</f>
        <v>0</v>
      </c>
      <c r="GV201" s="560">
        <f t="shared" ref="GV201:GV264" si="468">IF(GT201="P",MIN(GU201,7/36*GE201-GX201),0)</f>
        <v>0</v>
      </c>
      <c r="GW201" s="560">
        <f t="shared" si="435"/>
        <v>1925.7286704040403</v>
      </c>
      <c r="GX201" s="560">
        <f t="shared" si="369"/>
        <v>627.68209595959593</v>
      </c>
      <c r="GY201" s="560"/>
      <c r="GZ201" s="560">
        <f t="shared" ref="GZ201:GZ264" si="469">IF(HD201&gt;=3888.8,CJ201,0)</f>
        <v>0</v>
      </c>
      <c r="HA201" s="560" t="str">
        <f t="shared" ref="HA201:HA264" si="470">IF(AND(HD201&lt;3888.8,GJ201&gt;0),"P","")</f>
        <v/>
      </c>
      <c r="HB201" s="560">
        <f>IF(GK201="P",Lookup!$N$12,IF(GK201="PP",Lookup!$N$13,IF(GK201="PPP",Lookup!$N$14,IF(GK201="T",Lookup!$N$15,IF(GK201="TP",Lookup!$N$16,IF(GK201="TPP",Lookup!$N$17,IF(GK201="TPPP",Lookup!$N$18,0)))))))*GJ201</f>
        <v>0</v>
      </c>
      <c r="HC201" s="545">
        <f t="shared" si="436"/>
        <v>0</v>
      </c>
      <c r="HD201" s="560">
        <f t="shared" si="437"/>
        <v>1902.3360706387823</v>
      </c>
      <c r="HE201" s="560">
        <f t="shared" si="370"/>
        <v>620.057389386826</v>
      </c>
      <c r="HF201" s="560"/>
      <c r="HG201" s="560">
        <f t="shared" ref="HG201:HG264" si="471">IF(HK201&gt;=3888.8,DC201,0)</f>
        <v>0</v>
      </c>
      <c r="HH201" s="560" t="str">
        <f t="shared" ref="HH201:HH264" si="472">IF(AND(HK201&lt;3888.8,GJ201&gt;0),"P","")</f>
        <v/>
      </c>
      <c r="HI201" s="560">
        <f>IF(GK201="P",Lookup!$N$12,IF(GK201="PP",Lookup!$N$13,IF(GK201="PPP",Lookup!$N$14,IF(GK201="T",Lookup!$N$15,IF(GK201="TP",Lookup!$N$16,IF(GK201="TPP",Lookup!$N$17,IF(GK201="TPPP",Lookup!$N$18,0)))))))*GJ201</f>
        <v>0</v>
      </c>
      <c r="HJ201" s="545">
        <f t="shared" si="438"/>
        <v>0</v>
      </c>
      <c r="HK201" s="560">
        <f t="shared" si="439"/>
        <v>1851.6937212547641</v>
      </c>
      <c r="HL201" s="560">
        <f t="shared" si="371"/>
        <v>603.55075660194393</v>
      </c>
      <c r="HM201" s="560"/>
    </row>
    <row r="202" spans="1:221">
      <c r="A202" s="580" t="s">
        <v>7</v>
      </c>
      <c r="B202" s="556">
        <v>41830</v>
      </c>
      <c r="C202" s="561">
        <v>0</v>
      </c>
      <c r="D202" s="529">
        <f t="shared" si="372"/>
        <v>300</v>
      </c>
      <c r="E202" s="529">
        <f t="shared" si="373"/>
        <v>250</v>
      </c>
      <c r="F202" s="529">
        <v>250</v>
      </c>
      <c r="G202" s="560">
        <f>DR202+Sheet1!CZ204</f>
        <v>326.94301563288025</v>
      </c>
      <c r="H202" s="1082">
        <f t="shared" si="442"/>
        <v>17.415965305093792</v>
      </c>
      <c r="I202" s="559">
        <f>MAX(Sheet1!Z204-AT202+(Sheet1!DA204-E202)*CFStoMGD,0)</f>
        <v>181.7912</v>
      </c>
      <c r="J202" s="562">
        <f>IF(AND(B202&gt;=Calculation!GC202,B202&lt;=Calculation!GD202),IF(Sheet1!DB204&gt;=Calculation!D202,64.64,0),MAX(Sheet1!Z204-AT202+(Sheet1!DB204-D202)*CFStoMGD,0))</f>
        <v>40.229600000000005</v>
      </c>
      <c r="K202" s="1101">
        <v>0</v>
      </c>
      <c r="L202" s="560">
        <f>Sheet1!AA204+Sheet1!AB204-Sheet1!L204+(Sheet1!DA204-F202)*CFStoMGD</f>
        <v>228.1712</v>
      </c>
      <c r="M202" s="560">
        <f t="shared" si="376"/>
        <v>215.56268461119566</v>
      </c>
      <c r="N202" s="910">
        <f>IF(Sheet1!DA204&gt;=F202,MIN(73,MIN(MAX(L202,0),MAX(M202,0))),0)</f>
        <v>73</v>
      </c>
      <c r="O202" s="563">
        <f>Sheet1!AA204+Sheet1!AB204</f>
        <v>93.72</v>
      </c>
      <c r="P202" s="563">
        <f t="shared" si="377"/>
        <v>144.98483999999999</v>
      </c>
      <c r="Q202" s="898">
        <f t="shared" si="444"/>
        <v>72.72</v>
      </c>
      <c r="R202" s="829">
        <f t="shared" si="378"/>
        <v>21</v>
      </c>
      <c r="S202" s="898">
        <f t="shared" si="445"/>
        <v>0</v>
      </c>
      <c r="T202" s="898">
        <f t="shared" si="446"/>
        <v>0</v>
      </c>
      <c r="U202" s="898">
        <f t="shared" si="447"/>
        <v>21</v>
      </c>
      <c r="V202" s="898"/>
      <c r="W202" s="898">
        <f t="shared" si="448"/>
        <v>0</v>
      </c>
      <c r="X202" s="898">
        <f t="shared" si="449"/>
        <v>0</v>
      </c>
      <c r="Y202" s="898" t="str">
        <f t="shared" si="450"/>
        <v>FALSE</v>
      </c>
      <c r="Z202" s="898">
        <f t="shared" si="451"/>
        <v>93.72</v>
      </c>
      <c r="AA202" s="898">
        <f t="shared" si="452"/>
        <v>93.72</v>
      </c>
      <c r="AB202" s="898" t="str">
        <f t="shared" si="453"/>
        <v/>
      </c>
      <c r="AC202" s="563">
        <f>Sheet1!Y204*MGDtoCFS</f>
        <v>67.418259999999989</v>
      </c>
      <c r="AD202" s="563">
        <f>Sheet1!Z204*MGDtoCFS</f>
        <v>73.234980000000007</v>
      </c>
      <c r="AE202" s="563">
        <f>Sheet1!AA204*MGDtoCFS</f>
        <v>74.751040000000003</v>
      </c>
      <c r="AF202" s="563">
        <f>Sheet1!AB204*MGDtoCFS</f>
        <v>70.233799999999988</v>
      </c>
      <c r="AG202" s="563">
        <f>Sheet1!L204*MGDtoCFS</f>
        <v>0</v>
      </c>
      <c r="AH202" s="545">
        <f t="shared" si="379"/>
        <v>21.011581487168236</v>
      </c>
      <c r="AI202" s="560">
        <f t="shared" si="380"/>
        <v>32.504916560649256</v>
      </c>
      <c r="AJ202" s="560">
        <f t="shared" si="381"/>
        <v>0</v>
      </c>
      <c r="AK202" s="560">
        <f t="shared" si="382"/>
        <v>0</v>
      </c>
      <c r="AL202" s="560">
        <f>(VLOOKUP(Sheet1!DC204,hhdcap_wcm,4)-(((VLOOKUP(Sheet1!DC204,hhdcap_wcm,3)-Sheet1!DC204)/(VLOOKUP(Sheet1!DC204,hhdcap_wcm,3)-VLOOKUP(Sheet1!DC204,hhdcap_wcm,1)))*(VLOOKUP(Sheet1!DC204,hhdcap_wcm,4)-VLOOKUP(Sheet1!DC204,hhdcap_wcm,2))))</f>
        <v>46629.500000113825</v>
      </c>
      <c r="AM202" s="560">
        <f t="shared" si="383"/>
        <v>-176.59999999999854</v>
      </c>
      <c r="AN202" s="560">
        <f t="shared" si="384"/>
        <v>3182.1953271278644</v>
      </c>
      <c r="AO202" s="560">
        <f t="shared" si="385"/>
        <v>9762.9752636282883</v>
      </c>
      <c r="AP202" s="560">
        <f>Sheet1!BA204+Sheet1!BB204+Sheet1!BN204+CD202</f>
        <v>29.1</v>
      </c>
      <c r="AQ202" s="560">
        <f>Sheet1!BN204+(DO202*Sheet1!BN204)</f>
        <v>27.385391533230969</v>
      </c>
      <c r="AR202" s="560">
        <f>Sheet1!BA204+CD202</f>
        <v>0</v>
      </c>
      <c r="AS202" s="560">
        <f>Sheet1!BA204+Sheet1!BB204+CD202</f>
        <v>1.6</v>
      </c>
      <c r="AT202" s="698">
        <f>0</f>
        <v>0</v>
      </c>
      <c r="AU202" s="560">
        <f>IF(EB202&lt;K202,0,MAX(Sheet1!AA204+AQ202-15/36*K202-N202,Sheet1!EH204,0))</f>
        <v>4.5</v>
      </c>
      <c r="AV202" s="560">
        <f>IF(OR(B202&gt;=GD202,B202&lt;GC202),0,15/36*K202-MAX(0,64.6-(137.6-(Sheet1!AA204+Sheet1!AB204))))</f>
        <v>0</v>
      </c>
      <c r="AW202" s="698">
        <f>Sheet1!DB204-110</f>
        <v>179</v>
      </c>
      <c r="AX202" s="698">
        <f>Sheet1!DA204-265</f>
        <v>193</v>
      </c>
      <c r="AY202" s="698">
        <f t="shared" si="386"/>
        <v>0.28000000000000114</v>
      </c>
      <c r="AZ202" s="698">
        <v>0</v>
      </c>
      <c r="BA202" s="698">
        <f t="shared" si="387"/>
        <v>0</v>
      </c>
      <c r="BB202" s="560">
        <f t="shared" si="388"/>
        <v>1347.4166666666667</v>
      </c>
      <c r="BC202" s="560"/>
      <c r="BD202" s="560">
        <f ca="1">IF(B202&gt;Summary!$A$1,#N/A,BB202*MGtoAF)</f>
        <v>4133.8743333333332</v>
      </c>
      <c r="BE202" s="560">
        <f>Sheet1!BG204+Sheet1!BH204+Sheet1!BI204-BM202</f>
        <v>2.02</v>
      </c>
      <c r="BF202" s="560">
        <f t="shared" si="389"/>
        <v>2.0115814871682383</v>
      </c>
      <c r="BG202" s="560">
        <f>IF(Sheet1!EP204="FM",BM202,0)</f>
        <v>0</v>
      </c>
      <c r="BH202" s="560">
        <f t="shared" si="390"/>
        <v>0</v>
      </c>
      <c r="BI202" s="560">
        <f>IF(Sheet1!EP204="OTHER",BM202,0)</f>
        <v>0</v>
      </c>
      <c r="BJ202" s="560">
        <f t="shared" si="391"/>
        <v>0</v>
      </c>
      <c r="BK202" s="560">
        <f t="shared" si="392"/>
        <v>2.02</v>
      </c>
      <c r="BL202" s="560">
        <f t="shared" si="393"/>
        <v>2.0115814871682383</v>
      </c>
      <c r="BM202" s="560">
        <f>IF(OR(Sheet1!EP204="FM", Sheet1!EP204="OTHER"),SUM(Sheet1!BG204:'Sheet1'!BI204),0)</f>
        <v>0</v>
      </c>
      <c r="BN202" s="545">
        <f>IF(AND($B202&gt;=$FV202,$B202&lt;=$FW202),MAX(BF202,Sheet1!EI204,0),MAX(BF202-(7/36)*$K202,0))</f>
        <v>2.0115814871682383</v>
      </c>
      <c r="BO202" s="560">
        <f t="shared" si="394"/>
        <v>0</v>
      </c>
      <c r="BP202" s="545">
        <f t="shared" si="395"/>
        <v>0</v>
      </c>
      <c r="BQ202" s="545">
        <f>IF(AND($O202&gt;0,Sheet1!EM204=1),(1-($O202-Sheet1!$L204)/$O202)*BL202,0)</f>
        <v>0</v>
      </c>
      <c r="BR202" s="545">
        <f>IF(AND(Sheet1!$L204=0,Sheet1!$L203=0, Calculation!BK202&lt;Sheet1!$EI204-0.1,Sheet1!$EI204=Sheet1!$EI203,Sheet1!$EI204=Sheet1!$EI205),Sheet1!$EI204,BL202-BQ202)</f>
        <v>2.0115814871682383</v>
      </c>
      <c r="BS202" s="560"/>
      <c r="BT202" s="560"/>
      <c r="BU202" s="560">
        <f t="shared" si="396"/>
        <v>625.67051447242773</v>
      </c>
      <c r="BV202" s="560"/>
      <c r="BW202" s="560">
        <f ca="1">IF(B202&gt;Summary!$A$1,#N/A,BU202*MGtoAF)</f>
        <v>1919.5571384014083</v>
      </c>
      <c r="BX202" s="560">
        <f>Sheet1!BC204+Sheet1!BD204+Sheet1!BE204+Sheet1!BF204-CG202-CH202</f>
        <v>4.5</v>
      </c>
      <c r="BY202" s="560">
        <f t="shared" si="397"/>
        <v>4.4812458872559766</v>
      </c>
      <c r="BZ202" s="560">
        <f>IF(Sheet1!EQ204="FM",CH202,0)</f>
        <v>0</v>
      </c>
      <c r="CA202" s="560">
        <f t="shared" si="398"/>
        <v>0</v>
      </c>
      <c r="CB202" s="560">
        <f>IF(Sheet1!EQ204="OTHER",CH202,0)</f>
        <v>0</v>
      </c>
      <c r="CC202" s="560">
        <f t="shared" si="399"/>
        <v>0</v>
      </c>
      <c r="CD202" s="560">
        <f t="shared" si="400"/>
        <v>0</v>
      </c>
      <c r="CE202" s="560">
        <f t="shared" si="401"/>
        <v>4.5</v>
      </c>
      <c r="CF202" s="560">
        <f t="shared" si="402"/>
        <v>4.4812458872559766</v>
      </c>
      <c r="CG202" s="560">
        <f>IF(Sheet1!EQ204="CWA",SUM(Sheet1!BC204:'Sheet1'!BF204),0)</f>
        <v>0</v>
      </c>
      <c r="CH202" s="560">
        <f>IF(OR(Sheet1!EQ204="FM", Sheet1!EQ204="OTHER"),SUM(Sheet1!BC204:'Sheet1'!BF204),0)</f>
        <v>0</v>
      </c>
      <c r="CI202" s="545">
        <f>IF(AND($B202&gt;=$FV202,$B202&lt;=$FW202),MAX(CF202,Sheet1!EJ204,0),MAX(CF202-(7/36)*$K202,0))</f>
        <v>4.5</v>
      </c>
      <c r="CJ202" s="560">
        <f t="shared" si="403"/>
        <v>0</v>
      </c>
      <c r="CK202" s="545">
        <f t="shared" si="404"/>
        <v>0</v>
      </c>
      <c r="CL202" s="545">
        <f>IF(AND($O202&gt;0,Sheet1!EN204=1),(1-($O202-Sheet1!$L204)/$O202)*CF202,0)</f>
        <v>0</v>
      </c>
      <c r="CM202" s="545">
        <f>IF(AND(Sheet1!$L204=0,Sheet1!$L203=0, Calculation!CE202&lt;Sheet1!EJ204-0.1,Sheet1!EJ204=Sheet1!EJ203,Sheet1!EJ204=Sheet1!EJ205),Sheet1!EJ204,CF202-CL202)</f>
        <v>4.4812458872559766</v>
      </c>
      <c r="CN202" s="545"/>
      <c r="CO202" s="560"/>
      <c r="CP202" s="560">
        <f t="shared" si="405"/>
        <v>615.557389386826</v>
      </c>
      <c r="CQ202" s="560"/>
      <c r="CR202" s="560">
        <f ca="1">IF(B202&gt;Summary!$A$1,#N/A,CP202*MGtoAF)</f>
        <v>1888.5300706387823</v>
      </c>
      <c r="CS202" s="560">
        <f>Sheet1!BK204+Sheet1!BL204+Sheet1!BM204-Sheet1!ER204-DA202</f>
        <v>9.9699999999999989</v>
      </c>
      <c r="CT202" s="560">
        <f t="shared" si="406"/>
        <v>9.9284492213204629</v>
      </c>
      <c r="CU202" s="560">
        <f>IF(Sheet1!ER204="FM",DA202,0)</f>
        <v>0</v>
      </c>
      <c r="CV202" s="560">
        <f t="shared" si="407"/>
        <v>0</v>
      </c>
      <c r="CW202" s="560">
        <f>IF(Sheet1!ER204="OTHER",DA202,0)</f>
        <v>0</v>
      </c>
      <c r="CX202" s="560">
        <f t="shared" si="408"/>
        <v>0</v>
      </c>
      <c r="CY202" s="560">
        <f t="shared" si="409"/>
        <v>9.9699999999999989</v>
      </c>
      <c r="CZ202" s="560">
        <f t="shared" si="410"/>
        <v>9.9284492213204629</v>
      </c>
      <c r="DA202" s="560">
        <f>IF(OR(Sheet1!ER204="FM", Sheet1!ER204="OTHER"),SUM(Sheet1!BK204:'Sheet1'!BM204),0)</f>
        <v>0</v>
      </c>
      <c r="DB202" s="545">
        <f>IF(AND($B202&gt;=$FV202,$B202&lt;=$FW202),MAX($CT202,Sheet1!EK204,0),MAX($CT202-(7/36)*$K202,0))</f>
        <v>10</v>
      </c>
      <c r="DC202" s="560">
        <f t="shared" si="411"/>
        <v>0</v>
      </c>
      <c r="DD202" s="545">
        <f t="shared" si="412"/>
        <v>0</v>
      </c>
      <c r="DE202" s="545">
        <f>IF(AND($O202&gt;0,Sheet1!EO204=1),(1-($O202-Sheet1!$L204)/$O202)*CZ202,0)</f>
        <v>0</v>
      </c>
      <c r="DF202" s="545">
        <f>IF(AND(Sheet1!$L204=0,Sheet1!$L203=0, Calculation!CY202&lt;Sheet1!$EK204-0.1,Sheet1!$EK204=Sheet1!$EK203,Sheet1!$EK204=Sheet1!$EK205),Sheet1!$EK204,CZ202-DE202)</f>
        <v>9.9284492213204629</v>
      </c>
      <c r="DG202" s="545"/>
      <c r="DH202" s="560">
        <f t="shared" si="413"/>
        <v>16.489999999999998</v>
      </c>
      <c r="DI202" s="560">
        <f t="shared" si="414"/>
        <v>593.55075660194393</v>
      </c>
      <c r="DJ202" s="698">
        <f t="shared" si="415"/>
        <v>16.421276595744679</v>
      </c>
      <c r="DK202" s="560">
        <f ca="1">IF(B202&gt;Summary!$A$1,#N/A,DI202*MGtoAF)</f>
        <v>1821.0137212547641</v>
      </c>
      <c r="DL202" s="698">
        <f t="shared" si="416"/>
        <v>16.489999999999998</v>
      </c>
      <c r="DM202" s="560">
        <f t="shared" si="417"/>
        <v>45.59</v>
      </c>
      <c r="DN202" s="560">
        <f>Sheet1!AB204-DM202</f>
        <v>-0.19000000000000483</v>
      </c>
      <c r="DO202" s="823">
        <f t="shared" si="418"/>
        <v>-4.167580609782953E-3</v>
      </c>
      <c r="DP202" s="560">
        <f>(VLOOKUP(Sheet1!DC204,hhdcap_wcm,4)-(((VLOOKUP(Sheet1!DC204,hhdcap_wcm,3)-Sheet1!DC204)/(VLOOKUP(Sheet1!DC204,hhdcap_wcm,3)-VLOOKUP(Sheet1!DC204,hhdcap_wcm,1)))*(VLOOKUP(Sheet1!DC204,hhdcap_wcm,4)-VLOOKUP(Sheet1!DC204,hhdcap_wcm,2))))</f>
        <v>46629.500000113825</v>
      </c>
      <c r="DQ202" s="560">
        <f t="shared" si="419"/>
        <v>-176.59999999999854</v>
      </c>
      <c r="DR202" s="560">
        <f t="shared" si="420"/>
        <v>-89.056984367119782</v>
      </c>
      <c r="DS202" s="560">
        <f>Sheet1!EA204*AFtoMG</f>
        <v>0</v>
      </c>
      <c r="DT202" s="560">
        <f>Sheet1!EB204*AFtoMG</f>
        <v>0</v>
      </c>
      <c r="DU202" s="560">
        <f>Sheet1!EC204*AFtoMG</f>
        <v>0</v>
      </c>
      <c r="DV202" s="560">
        <f>Sheet1!ED204*AFtoMG</f>
        <v>0</v>
      </c>
      <c r="DW202" s="560">
        <f t="shared" si="421"/>
        <v>0</v>
      </c>
      <c r="DX202" s="560">
        <f t="shared" si="422"/>
        <v>0</v>
      </c>
      <c r="DY202" s="560">
        <f t="shared" si="423"/>
        <v>3182.1953271278644</v>
      </c>
      <c r="DZ202" s="560">
        <f t="shared" si="424"/>
        <v>9762.9752636282883</v>
      </c>
      <c r="EA202" s="560"/>
      <c r="EB202" s="545">
        <f>IF(OR(B202&lt;FV202,B202&gt;FW202),(MIN(BF202+BY202+CT202+MAX(Sheet1!AA204+AQ202-73,0),K202)),0)</f>
        <v>0</v>
      </c>
      <c r="EC202" s="560"/>
      <c r="ED202" s="560">
        <f t="shared" si="425"/>
        <v>16.421276595744679</v>
      </c>
      <c r="EE202" s="560"/>
      <c r="EF202" s="560">
        <f>Sheet1!EH204+Sheet1!EI204+Sheet1!EJ204+Sheet1!EK204</f>
        <v>21</v>
      </c>
      <c r="EG202" s="560"/>
      <c r="EH202" s="545">
        <f t="shared" si="426"/>
        <v>0</v>
      </c>
      <c r="EI202" s="560">
        <f>IF(Sheet1!ET204=1,SUM('Calculations II'!AT202:BA202)+'Calculations II'!BC202+Sheet1!BV204+'Calculations II'!BE202+AP202,SUM('Calculations II'!AT202:BA202)+'Calculations II'!BC202+Sheet1!BV204+'Calculations II'!BE202+AP202)</f>
        <v>87.514256000000003</v>
      </c>
      <c r="EJ202" s="560">
        <f>Sheet1!AA204+Sheet1!AB204+'Calculations II'!BC202</f>
        <v>93.72</v>
      </c>
      <c r="EK202" s="560"/>
      <c r="EL202" s="560"/>
      <c r="EM202" s="560">
        <f t="shared" si="427"/>
        <v>41830</v>
      </c>
      <c r="EN202" s="560">
        <f t="shared" si="428"/>
        <v>-21.011581487168236</v>
      </c>
      <c r="EO202" s="560">
        <f t="shared" si="429"/>
        <v>-32.504916560649256</v>
      </c>
      <c r="EP202" s="560">
        <v>0</v>
      </c>
      <c r="EQ202" s="560">
        <v>0</v>
      </c>
      <c r="ER202" s="560">
        <v>0</v>
      </c>
      <c r="ES202" s="545">
        <f t="shared" si="454"/>
        <v>0.27663001553861055</v>
      </c>
      <c r="ET202" s="560">
        <f>-(VLOOKUP(Sheet1!BQ204,Lookup!$O$4:$Q$262,2)-VLOOKUP(Sheet1!BQ203,Lookup!$O$4:$Q$262,2))/1000000</f>
        <v>0.13831820994278043</v>
      </c>
      <c r="EU202" s="560">
        <f>-(VLOOKUP(Sheet1!BR204,Lookup!$O$4:$Q$262,3)-VLOOKUP(Sheet1!BR203,Lookup!$O$4:$Q$262,3))/1000000</f>
        <v>0.13831180559583009</v>
      </c>
      <c r="EV202" s="560"/>
      <c r="EW202" s="560"/>
      <c r="EX202" s="560"/>
      <c r="EY202" s="560"/>
      <c r="EZ202" s="560"/>
      <c r="FA202" s="560"/>
      <c r="FB202" s="560"/>
      <c r="FC202" s="560"/>
      <c r="FD202" s="594">
        <f t="shared" si="443"/>
        <v>1139.2999999999206</v>
      </c>
      <c r="FE202" s="594" t="e">
        <f t="shared" si="431"/>
        <v>#N/A</v>
      </c>
      <c r="FF202" s="595" t="e">
        <f t="shared" si="432"/>
        <v>#N/A</v>
      </c>
      <c r="FG202" s="596" t="s">
        <v>692</v>
      </c>
      <c r="FH202" s="596" t="s">
        <v>692</v>
      </c>
      <c r="FI202" s="594" t="e">
        <v>#N/A</v>
      </c>
      <c r="FJ202" s="778">
        <v>22661</v>
      </c>
      <c r="FK202" s="560"/>
      <c r="FL202" s="560"/>
      <c r="FM202" s="560"/>
      <c r="FN202" s="560"/>
      <c r="FO202" s="560">
        <f>O202+((Sheet1!CS204)*GPMtoMGD)</f>
        <v>93.72</v>
      </c>
      <c r="FP202" s="560">
        <f>IF(Sheet1!AA204+AQ202&lt;=Calculation!N202,AQ202,Calculation!N202-Sheet1!AA204)</f>
        <v>24.68</v>
      </c>
      <c r="FQ202" s="560">
        <f>(Sheet1!BP204+Sheet1!BO204)/694.4</f>
        <v>4.0161290322580649</v>
      </c>
      <c r="FR202" s="560"/>
      <c r="FS202" s="560"/>
      <c r="FT202" s="560"/>
      <c r="FU202" s="560"/>
      <c r="FV202" s="695">
        <f t="shared" si="455"/>
        <v>41827</v>
      </c>
      <c r="FW202" s="695">
        <f t="shared" si="456"/>
        <v>41934</v>
      </c>
      <c r="FX202" s="560"/>
      <c r="FY202" s="560"/>
      <c r="FZ202" s="560"/>
      <c r="GA202" s="560"/>
      <c r="GB202" s="560" t="str">
        <f t="shared" si="457"/>
        <v>n</v>
      </c>
      <c r="GC202" s="564">
        <f t="shared" si="458"/>
        <v>41691</v>
      </c>
      <c r="GD202" s="695">
        <f t="shared" si="459"/>
        <v>41807</v>
      </c>
      <c r="GE202" s="560">
        <v>6518.9</v>
      </c>
      <c r="GF202" s="695">
        <f t="shared" si="460"/>
        <v>41808</v>
      </c>
      <c r="GG202" s="560">
        <f t="shared" si="374"/>
        <v>3259</v>
      </c>
      <c r="GH202" s="564">
        <f t="shared" si="461"/>
        <v>41934</v>
      </c>
      <c r="GJ202" s="545">
        <f t="shared" si="462"/>
        <v>0</v>
      </c>
      <c r="GK202" s="560" t="str">
        <f t="shared" si="433"/>
        <v/>
      </c>
      <c r="GL202" s="560">
        <f t="shared" si="463"/>
        <v>0</v>
      </c>
      <c r="GM202" s="560" t="str">
        <f t="shared" si="464"/>
        <v/>
      </c>
      <c r="GN202" s="560">
        <f>IF(GK202="P",Lookup!$M$12,IF(GK202="PP",Lookup!$M$13,IF(GK202="PPP",Lookup!$M$14,IF(GK202="T",Lookup!$M$15,IF(GK202="TP",Lookup!$M$16,IF(GK202="TPP",Lookup!$M$17,IF(GK202="TPPP",Lookup!$M$18,0)))))))*GJ202</f>
        <v>0</v>
      </c>
      <c r="GO202" s="560">
        <f t="shared" si="465"/>
        <v>0</v>
      </c>
      <c r="GP202" s="560">
        <f t="shared" si="434"/>
        <v>4133.8743333333332</v>
      </c>
      <c r="GQ202" s="560">
        <f t="shared" ref="GQ202:GQ265" si="473">(IF(AND(GB201="Y",B202=GD202),2716.2,(IF(AND(B202&lt;GF202,B202&gt;=GC202),MIN(BB201+AV202-AU202,15/36*GE202),IF(B202=GF202,15/36*GG202,IF(AND(B202&gt;GF202,B202&lt;GH202),MIN(BB201+AV202-AU202,15/36*GG202),IF(B202&gt;=GH202,0,0)))))))+DS202</f>
        <v>1347.4166666666667</v>
      </c>
      <c r="GR202" s="560"/>
      <c r="GS202" s="560">
        <f t="shared" si="466"/>
        <v>0</v>
      </c>
      <c r="GT202" s="560" t="str">
        <f t="shared" si="467"/>
        <v/>
      </c>
      <c r="GU202" s="560">
        <f>IF(GK202="P",Lookup!$N$12,IF(GK202="PP",Lookup!$N$13,IF(GK202="PPP",Lookup!$N$14,IF(GK202="T",Lookup!$N$15,IF(GK202="TP",Lookup!$N$16,IF(GK202="TPP",Lookup!$N$17,IF(GK202="TPPP",Lookup!$N$18,0)))))))*GJ202</f>
        <v>0</v>
      </c>
      <c r="GV202" s="560">
        <f t="shared" si="468"/>
        <v>0</v>
      </c>
      <c r="GW202" s="560">
        <f t="shared" si="435"/>
        <v>1919.5571384014083</v>
      </c>
      <c r="GX202" s="560">
        <f t="shared" ref="GX202:GX265" si="474">(IF(AND(GB202="Y",B202=GD202),1267.5,(IF(AND(B202&lt;GF202,B202&gt;=GC202),MIN(BU201+BO202-BN202,7/36*GE202),IF(B202=GF202,7/36*GG202,IF(AND(B202&gt;GF202,B202&lt;GH202),MIN(BU201+BO202-BN202,7/36*GG202),IF(B202&gt;=GH202,0,0)))))))+DT202</f>
        <v>625.67051447242773</v>
      </c>
      <c r="GY202" s="560"/>
      <c r="GZ202" s="560">
        <f t="shared" si="469"/>
        <v>0</v>
      </c>
      <c r="HA202" s="560" t="str">
        <f t="shared" si="470"/>
        <v/>
      </c>
      <c r="HB202" s="560">
        <f>IF(GK202="P",Lookup!$N$12,IF(GK202="PP",Lookup!$N$13,IF(GK202="PPP",Lookup!$N$14,IF(GK202="T",Lookup!$N$15,IF(GK202="TP",Lookup!$N$16,IF(GK202="TPP",Lookup!$N$17,IF(GK202="TPPP",Lookup!$N$18,0)))))))*GJ202</f>
        <v>0</v>
      </c>
      <c r="HC202" s="545">
        <f t="shared" si="436"/>
        <v>0</v>
      </c>
      <c r="HD202" s="560">
        <f t="shared" si="437"/>
        <v>1888.5300706387823</v>
      </c>
      <c r="HE202" s="560">
        <f t="shared" ref="HE202:HE265" si="475">(IF(AND(GB202="Y",B202=GD202),1267.5,IF(AND(B202&lt;GF202,B202&gt;=GC202),MIN(CP201+CJ202-CI202,7/36*GE202),IF(B202=GF202,7/36*GG202,IF(AND(B202&gt;GF202,B202&lt;GH202),MIN(CP201+CJ202-CI202,7/36*GG202),IF(B202&gt;=GH202,0,0))))))+DU202</f>
        <v>615.557389386826</v>
      </c>
      <c r="HF202" s="560"/>
      <c r="HG202" s="560">
        <f t="shared" si="471"/>
        <v>0</v>
      </c>
      <c r="HH202" s="560" t="str">
        <f t="shared" si="472"/>
        <v/>
      </c>
      <c r="HI202" s="560">
        <f>IF(GK202="P",Lookup!$N$12,IF(GK202="PP",Lookup!$N$13,IF(GK202="PPP",Lookup!$N$14,IF(GK202="T",Lookup!$N$15,IF(GK202="TP",Lookup!$N$16,IF(GK202="TPP",Lookup!$N$17,IF(GK202="TPPP",Lookup!$N$18,0)))))))*GJ202</f>
        <v>0</v>
      </c>
      <c r="HJ202" s="545">
        <f t="shared" si="438"/>
        <v>0</v>
      </c>
      <c r="HK202" s="560">
        <f t="shared" si="439"/>
        <v>1821.0137212547641</v>
      </c>
      <c r="HL202" s="560">
        <f t="shared" ref="HL202:HL265" si="476">(IF(AND(GB202="Y",B202=GD202),1267.5,(IF(AND(B202&lt;GF202,B202&gt;=GC202),MIN(DI201+DC202-DB202,7/36*GE202),IF(B202=GF202,7/36*GG202,IF(AND(B202&gt;GF202,B202&lt;GH202),MIN(DI201+DC202-DB202,7/36*GG202),IF(B202&gt;=GH202,0,0)))))))+DV202</f>
        <v>593.55075660194393</v>
      </c>
      <c r="HM202" s="560"/>
    </row>
    <row r="203" spans="1:221">
      <c r="A203" s="580" t="s">
        <v>8</v>
      </c>
      <c r="B203" s="556">
        <v>41831</v>
      </c>
      <c r="C203" s="561">
        <v>0</v>
      </c>
      <c r="D203" s="529">
        <f t="shared" si="372"/>
        <v>300</v>
      </c>
      <c r="E203" s="529">
        <f t="shared" si="373"/>
        <v>250</v>
      </c>
      <c r="F203" s="529">
        <v>250</v>
      </c>
      <c r="G203" s="560">
        <f>DR203+Sheet1!CZ205</f>
        <v>288.54059505735086</v>
      </c>
      <c r="H203" s="1082">
        <f t="shared" si="442"/>
        <v>0</v>
      </c>
      <c r="I203" s="559">
        <f>MAX(Sheet1!Z205-AT203+(Sheet1!DA205-E203)*CFStoMGD,0)</f>
        <v>170.80160000000001</v>
      </c>
      <c r="J203" s="562">
        <f>IF(AND(B203&gt;=Calculation!GC203,B203&lt;=Calculation!GD203),IF(Sheet1!DB205&gt;=Calculation!D203,64.64,0),MAX(Sheet1!Z205-AT203+(Sheet1!DB205-D203)*CFStoMGD,0))</f>
        <v>8.5551999999999992</v>
      </c>
      <c r="K203" s="1101">
        <v>0</v>
      </c>
      <c r="L203" s="560">
        <f>Sheet1!AA205+Sheet1!AB205-Sheet1!L205+(Sheet1!DA205-F203)*CFStoMGD</f>
        <v>225.70159999999998</v>
      </c>
      <c r="M203" s="560">
        <f t="shared" si="376"/>
        <v>190.24289345797303</v>
      </c>
      <c r="N203" s="910">
        <f>IF(Sheet1!DA205&gt;=F203,MIN(73,MIN(MAX(L203,0),MAX(M203,0))),0)</f>
        <v>73</v>
      </c>
      <c r="O203" s="563">
        <f>Sheet1!AA205+Sheet1!AB205</f>
        <v>100.3</v>
      </c>
      <c r="P203" s="563">
        <f t="shared" si="377"/>
        <v>155.16409999999999</v>
      </c>
      <c r="Q203" s="898">
        <f t="shared" si="444"/>
        <v>72.3</v>
      </c>
      <c r="R203" s="829">
        <f t="shared" si="378"/>
        <v>28</v>
      </c>
      <c r="S203" s="898">
        <f t="shared" si="445"/>
        <v>0</v>
      </c>
      <c r="T203" s="898">
        <f t="shared" si="446"/>
        <v>0</v>
      </c>
      <c r="U203" s="898">
        <f t="shared" si="447"/>
        <v>28</v>
      </c>
      <c r="V203" s="898"/>
      <c r="W203" s="898">
        <f t="shared" si="448"/>
        <v>0</v>
      </c>
      <c r="X203" s="898">
        <f t="shared" si="449"/>
        <v>0</v>
      </c>
      <c r="Y203" s="898" t="str">
        <f t="shared" si="450"/>
        <v>FALSE</v>
      </c>
      <c r="Z203" s="898">
        <f t="shared" si="451"/>
        <v>100.3</v>
      </c>
      <c r="AA203" s="898">
        <f t="shared" si="452"/>
        <v>100.3</v>
      </c>
      <c r="AB203" s="898" t="str">
        <f t="shared" si="453"/>
        <v/>
      </c>
      <c r="AC203" s="563">
        <f>Sheet1!Y205*MGDtoCFS</f>
        <v>74.751040000000003</v>
      </c>
      <c r="AD203" s="563">
        <f>Sheet1!Z205*MGDtoCFS</f>
        <v>70.233799999999988</v>
      </c>
      <c r="AE203" s="563">
        <f>Sheet1!AA205*MGDtoCFS</f>
        <v>73.327799999999996</v>
      </c>
      <c r="AF203" s="563">
        <f>Sheet1!AB205*MGDtoCFS</f>
        <v>81.836299999999994</v>
      </c>
      <c r="AG203" s="563">
        <f>Sheet1!L205*MGDtoCFS</f>
        <v>0</v>
      </c>
      <c r="AH203" s="545">
        <f t="shared" si="379"/>
        <v>28.012391713747647</v>
      </c>
      <c r="AI203" s="560">
        <f t="shared" si="380"/>
        <v>43.33516998116761</v>
      </c>
      <c r="AJ203" s="560">
        <f t="shared" si="381"/>
        <v>0</v>
      </c>
      <c r="AK203" s="560">
        <f t="shared" si="382"/>
        <v>0</v>
      </c>
      <c r="AL203" s="560">
        <f>(VLOOKUP(Sheet1!DC205,hhdcap_wcm,4)-(((VLOOKUP(Sheet1!DC205,hhdcap_wcm,3)-Sheet1!DC205)/(VLOOKUP(Sheet1!DC205,hhdcap_wcm,3)-VLOOKUP(Sheet1!DC205,hhdcap_wcm,1)))*(VLOOKUP(Sheet1!DC205,hhdcap_wcm,4)-VLOOKUP(Sheet1!DC205,hhdcap_wcm,2))))</f>
        <v>46464.000000112552</v>
      </c>
      <c r="AM203" s="560">
        <f t="shared" si="383"/>
        <v>-165.50000000127329</v>
      </c>
      <c r="AN203" s="560">
        <f t="shared" si="384"/>
        <v>3154.1829354141164</v>
      </c>
      <c r="AO203" s="560">
        <f t="shared" si="385"/>
        <v>9677.033245850509</v>
      </c>
      <c r="AP203" s="560">
        <f>Sheet1!BA205+Sheet1!BB205+Sheet1!BN205+CD203</f>
        <v>34.1</v>
      </c>
      <c r="AQ203" s="560">
        <f>Sheet1!BN205+(DO203*Sheet1!BN205)</f>
        <v>32.377589453860637</v>
      </c>
      <c r="AR203" s="560">
        <f>Sheet1!BA205+CD203</f>
        <v>0</v>
      </c>
      <c r="AS203" s="560">
        <f>Sheet1!BA205+Sheet1!BB205+CD203</f>
        <v>1.6</v>
      </c>
      <c r="AT203" s="698">
        <f>0</f>
        <v>0</v>
      </c>
      <c r="AU203" s="560">
        <f>IF(EB203&lt;K203,0,MAX(Sheet1!AA205+AQ203-15/36*K203-N203,Sheet1!EH205,0))</f>
        <v>8</v>
      </c>
      <c r="AV203" s="560">
        <f>IF(OR(B203&gt;=GD203,B203&lt;GC203),0,15/36*K203-MAX(0,64.6-(137.6-(Sheet1!AA205+Sheet1!AB205))))</f>
        <v>0</v>
      </c>
      <c r="AW203" s="698">
        <f>Sheet1!DB205-110</f>
        <v>133</v>
      </c>
      <c r="AX203" s="698">
        <f>Sheet1!DA205-265</f>
        <v>179</v>
      </c>
      <c r="AY203" s="698">
        <f t="shared" si="386"/>
        <v>0.70000000000000284</v>
      </c>
      <c r="AZ203" s="698">
        <v>0</v>
      </c>
      <c r="BA203" s="698">
        <f t="shared" si="387"/>
        <v>0</v>
      </c>
      <c r="BB203" s="560">
        <f t="shared" si="388"/>
        <v>1339.4166666666667</v>
      </c>
      <c r="BC203" s="560"/>
      <c r="BD203" s="560">
        <f ca="1">IF(B203&gt;Summary!$A$1,#N/A,BB203*MGtoAF)</f>
        <v>4109.3303333333333</v>
      </c>
      <c r="BE203" s="560">
        <f>Sheet1!BG205+Sheet1!BH205+Sheet1!BI205-BM203</f>
        <v>2.02</v>
      </c>
      <c r="BF203" s="560">
        <f t="shared" si="389"/>
        <v>2.0123917137476459</v>
      </c>
      <c r="BG203" s="560">
        <f>IF(Sheet1!EP205="FM",BM203,0)</f>
        <v>0</v>
      </c>
      <c r="BH203" s="560">
        <f t="shared" si="390"/>
        <v>0</v>
      </c>
      <c r="BI203" s="560">
        <f>IF(Sheet1!EP205="OTHER",BM203,0)</f>
        <v>0</v>
      </c>
      <c r="BJ203" s="560">
        <f t="shared" si="391"/>
        <v>0</v>
      </c>
      <c r="BK203" s="560">
        <f t="shared" si="392"/>
        <v>2.02</v>
      </c>
      <c r="BL203" s="560">
        <f t="shared" si="393"/>
        <v>2.0123917137476459</v>
      </c>
      <c r="BM203" s="560">
        <f>IF(OR(Sheet1!EP205="FM", Sheet1!EP205="OTHER"),SUM(Sheet1!BG205:'Sheet1'!BI205),0)</f>
        <v>0</v>
      </c>
      <c r="BN203" s="545">
        <f>IF(AND($B203&gt;=$FV203,$B203&lt;=$FW203),MAX(BF203,Sheet1!EI205,0),MAX(BF203-(7/36)*$K203,0))</f>
        <v>2.0123917137476459</v>
      </c>
      <c r="BO203" s="560">
        <f t="shared" si="394"/>
        <v>0</v>
      </c>
      <c r="BP203" s="545">
        <f t="shared" si="395"/>
        <v>0</v>
      </c>
      <c r="BQ203" s="545">
        <f>IF(AND($O203&gt;0,Sheet1!EM205=1),(1-($O203-Sheet1!$L205)/$O203)*BL203,0)</f>
        <v>0</v>
      </c>
      <c r="BR203" s="545">
        <f>IF(AND(Sheet1!$L205=0,Sheet1!$L204=0, Calculation!BK203&lt;Sheet1!$EI205-0.1,Sheet1!$EI205=Sheet1!$EI204,Sheet1!$EI205=Sheet1!$EI206),Sheet1!$EI205,BL203-BQ203)</f>
        <v>2.0123917137476459</v>
      </c>
      <c r="BS203" s="560"/>
      <c r="BT203" s="560"/>
      <c r="BU203" s="560">
        <f t="shared" si="396"/>
        <v>623.65812275868007</v>
      </c>
      <c r="BV203" s="560"/>
      <c r="BW203" s="560">
        <f ca="1">IF(B203&gt;Summary!$A$1,#N/A,BU203*MGtoAF)</f>
        <v>1913.3831206236305</v>
      </c>
      <c r="BX203" s="560">
        <f>Sheet1!BC205+Sheet1!BD205+Sheet1!BE205+Sheet1!BF205-CG203-CH203</f>
        <v>6.15</v>
      </c>
      <c r="BY203" s="560">
        <f t="shared" si="397"/>
        <v>6.1268361581920905</v>
      </c>
      <c r="BZ203" s="560">
        <f>IF(Sheet1!EQ205="FM",CH203,0)</f>
        <v>0</v>
      </c>
      <c r="CA203" s="560">
        <f t="shared" si="398"/>
        <v>0</v>
      </c>
      <c r="CB203" s="560">
        <f>IF(Sheet1!EQ205="OTHER",CH203,0)</f>
        <v>0</v>
      </c>
      <c r="CC203" s="560">
        <f t="shared" si="399"/>
        <v>0</v>
      </c>
      <c r="CD203" s="560">
        <f t="shared" si="400"/>
        <v>0</v>
      </c>
      <c r="CE203" s="560">
        <f t="shared" si="401"/>
        <v>6.15</v>
      </c>
      <c r="CF203" s="560">
        <f t="shared" si="402"/>
        <v>6.1268361581920905</v>
      </c>
      <c r="CG203" s="560">
        <f>IF(Sheet1!EQ205="CWA",SUM(Sheet1!BC205:'Sheet1'!BF205),0)</f>
        <v>0</v>
      </c>
      <c r="CH203" s="560">
        <f>IF(OR(Sheet1!EQ205="FM", Sheet1!EQ205="OTHER"),SUM(Sheet1!BC205:'Sheet1'!BF205),0)</f>
        <v>0</v>
      </c>
      <c r="CI203" s="545">
        <f>IF(AND($B203&gt;=$FV203,$B203&lt;=$FW203),MAX(CF203,Sheet1!EJ205,0),MAX(CF203-(7/36)*$K203,0))</f>
        <v>7</v>
      </c>
      <c r="CJ203" s="560">
        <f t="shared" si="403"/>
        <v>0</v>
      </c>
      <c r="CK203" s="545">
        <f t="shared" si="404"/>
        <v>0</v>
      </c>
      <c r="CL203" s="545">
        <f>IF(AND($O203&gt;0,Sheet1!EN205=1),(1-($O203-Sheet1!$L205)/$O203)*CF203,0)</f>
        <v>0</v>
      </c>
      <c r="CM203" s="545">
        <f>IF(AND(Sheet1!$L205=0,Sheet1!$L204=0, Calculation!CE203&lt;Sheet1!EJ205-0.1,Sheet1!EJ205=Sheet1!EJ204,Sheet1!EJ205=Sheet1!EJ206),Sheet1!EJ205,CF203-CL203)</f>
        <v>6.1268361581920905</v>
      </c>
      <c r="CN203" s="545"/>
      <c r="CO203" s="560"/>
      <c r="CP203" s="560">
        <f t="shared" si="405"/>
        <v>608.557389386826</v>
      </c>
      <c r="CQ203" s="560"/>
      <c r="CR203" s="560">
        <f ca="1">IF(B203&gt;Summary!$A$1,#N/A,CP203*MGtoAF)</f>
        <v>1867.0540706387822</v>
      </c>
      <c r="CS203" s="560">
        <f>Sheet1!BK205+Sheet1!BL205+Sheet1!BM205-Sheet1!ER205-DA203</f>
        <v>10.83</v>
      </c>
      <c r="CT203" s="560">
        <f t="shared" si="406"/>
        <v>10.789209039548021</v>
      </c>
      <c r="CU203" s="560">
        <f>IF(Sheet1!ER205="FM",DA203,0)</f>
        <v>0</v>
      </c>
      <c r="CV203" s="560">
        <f t="shared" si="407"/>
        <v>0</v>
      </c>
      <c r="CW203" s="560">
        <f>IF(Sheet1!ER205="OTHER",DA203,0)</f>
        <v>0</v>
      </c>
      <c r="CX203" s="560">
        <f t="shared" si="408"/>
        <v>0</v>
      </c>
      <c r="CY203" s="560">
        <f t="shared" si="409"/>
        <v>10.83</v>
      </c>
      <c r="CZ203" s="560">
        <f t="shared" si="410"/>
        <v>10.789209039548021</v>
      </c>
      <c r="DA203" s="560">
        <f>IF(OR(Sheet1!ER205="FM", Sheet1!ER205="OTHER"),SUM(Sheet1!BK205:'Sheet1'!BM205),0)</f>
        <v>0</v>
      </c>
      <c r="DB203" s="545">
        <f>IF(AND($B203&gt;=$FV203,$B203&lt;=$FW203),MAX($CT203,Sheet1!EK205,0),MAX($CT203-(7/36)*$K203,0))</f>
        <v>11</v>
      </c>
      <c r="DC203" s="560">
        <f t="shared" si="411"/>
        <v>0</v>
      </c>
      <c r="DD203" s="545">
        <f t="shared" si="412"/>
        <v>0</v>
      </c>
      <c r="DE203" s="545">
        <f>IF(AND($O203&gt;0,Sheet1!EO205=1),(1-($O203-Sheet1!$L205)/$O203)*CZ203,0)</f>
        <v>0</v>
      </c>
      <c r="DF203" s="545">
        <f>IF(AND(Sheet1!$L205=0,Sheet1!$L204=0, Calculation!CY203&lt;Sheet1!$EK205-0.1,Sheet1!$EK205=Sheet1!$EK204,Sheet1!$EK205=Sheet1!$EK206),Sheet1!$EK205,CZ203-DE203)</f>
        <v>10.789209039548021</v>
      </c>
      <c r="DG203" s="545"/>
      <c r="DH203" s="560">
        <f t="shared" si="413"/>
        <v>19</v>
      </c>
      <c r="DI203" s="560">
        <f t="shared" si="414"/>
        <v>582.55075660194393</v>
      </c>
      <c r="DJ203" s="698">
        <f t="shared" si="415"/>
        <v>18.928436911487758</v>
      </c>
      <c r="DK203" s="560">
        <f ca="1">IF(B203&gt;Summary!$A$1,#N/A,DI203*MGtoAF)</f>
        <v>1787.265721254764</v>
      </c>
      <c r="DL203" s="698">
        <f t="shared" si="416"/>
        <v>19</v>
      </c>
      <c r="DM203" s="560">
        <f t="shared" si="417"/>
        <v>53.1</v>
      </c>
      <c r="DN203" s="560">
        <f>Sheet1!AB205-DM203</f>
        <v>-0.20000000000000284</v>
      </c>
      <c r="DO203" s="823">
        <f t="shared" si="418"/>
        <v>-3.7664783427495828E-3</v>
      </c>
      <c r="DP203" s="560">
        <f>(VLOOKUP(Sheet1!DC205,hhdcap_wcm,4)-(((VLOOKUP(Sheet1!DC205,hhdcap_wcm,3)-Sheet1!DC205)/(VLOOKUP(Sheet1!DC205,hhdcap_wcm,3)-VLOOKUP(Sheet1!DC205,hhdcap_wcm,1)))*(VLOOKUP(Sheet1!DC205,hhdcap_wcm,4)-VLOOKUP(Sheet1!DC205,hhdcap_wcm,2))))</f>
        <v>46464.000000112552</v>
      </c>
      <c r="DQ203" s="560">
        <f t="shared" si="419"/>
        <v>-165.50000000127329</v>
      </c>
      <c r="DR203" s="560">
        <f t="shared" si="420"/>
        <v>-83.459404942649158</v>
      </c>
      <c r="DS203" s="560">
        <f>Sheet1!EA205*AFtoMG</f>
        <v>0</v>
      </c>
      <c r="DT203" s="560">
        <f>Sheet1!EB205*AFtoMG</f>
        <v>0</v>
      </c>
      <c r="DU203" s="560">
        <f>Sheet1!EC205*AFtoMG</f>
        <v>0</v>
      </c>
      <c r="DV203" s="560">
        <f>Sheet1!ED205*AFtoMG</f>
        <v>0</v>
      </c>
      <c r="DW203" s="560">
        <f t="shared" si="421"/>
        <v>0</v>
      </c>
      <c r="DX203" s="560">
        <f t="shared" si="422"/>
        <v>0</v>
      </c>
      <c r="DY203" s="560">
        <f t="shared" si="423"/>
        <v>3154.1829354141164</v>
      </c>
      <c r="DZ203" s="560">
        <f t="shared" si="424"/>
        <v>9677.033245850509</v>
      </c>
      <c r="EA203" s="560"/>
      <c r="EB203" s="545">
        <f>IF(OR(B203&lt;FV203,B203&gt;FW203),(MIN(BF203+BY203+CT203+MAX(Sheet1!AA205+AQ203-73,0),K203)),0)</f>
        <v>0</v>
      </c>
      <c r="EC203" s="560"/>
      <c r="ED203" s="560">
        <f t="shared" si="425"/>
        <v>18.928436911487758</v>
      </c>
      <c r="EE203" s="560"/>
      <c r="EF203" s="560">
        <f>Sheet1!EH205+Sheet1!EI205+Sheet1!EJ205+Sheet1!EK205</f>
        <v>28</v>
      </c>
      <c r="EG203" s="560"/>
      <c r="EH203" s="545">
        <f t="shared" si="426"/>
        <v>0</v>
      </c>
      <c r="EI203" s="560">
        <f>IF(Sheet1!ET205=1,SUM('Calculations II'!AT203:BA203)+'Calculations II'!BC203+Sheet1!BV205+'Calculations II'!BE203+AP203,SUM('Calculations II'!AT203:BA203)+'Calculations II'!BC203+Sheet1!BV205+'Calculations II'!BE203+AP203)</f>
        <v>91.972080000000005</v>
      </c>
      <c r="EJ203" s="560">
        <f>Sheet1!AA205+Sheet1!AB205+'Calculations II'!BC203</f>
        <v>100.3</v>
      </c>
      <c r="EK203" s="560"/>
      <c r="EL203" s="560"/>
      <c r="EM203" s="560">
        <f t="shared" si="427"/>
        <v>41831</v>
      </c>
      <c r="EN203" s="560">
        <f t="shared" si="428"/>
        <v>-28.012391713747647</v>
      </c>
      <c r="EO203" s="560">
        <f t="shared" si="429"/>
        <v>-43.33516998116761</v>
      </c>
      <c r="EP203" s="560">
        <v>0</v>
      </c>
      <c r="EQ203" s="560">
        <v>0</v>
      </c>
      <c r="ER203" s="560">
        <v>0</v>
      </c>
      <c r="ES203" s="545">
        <f t="shared" si="454"/>
        <v>0.55322160573457935</v>
      </c>
      <c r="ET203" s="560">
        <f>-(VLOOKUP(Sheet1!BQ205,Lookup!$O$4:$Q$262,2)-VLOOKUP(Sheet1!BQ204,Lookup!$O$4:$Q$262,2))/1000000</f>
        <v>0.27661720699252934</v>
      </c>
      <c r="EU203" s="560">
        <f>-(VLOOKUP(Sheet1!BR205,Lookup!$O$4:$Q$262,3)-VLOOKUP(Sheet1!BR204,Lookup!$O$4:$Q$262,3))/1000000</f>
        <v>0.27660439874204995</v>
      </c>
      <c r="EV203" s="560"/>
      <c r="EW203" s="560"/>
      <c r="EX203" s="560"/>
      <c r="EY203" s="560"/>
      <c r="EZ203" s="560"/>
      <c r="FA203" s="560"/>
      <c r="FB203" s="560"/>
      <c r="FC203" s="560"/>
      <c r="FD203" s="594">
        <f t="shared" si="443"/>
        <v>1139.1863013697837</v>
      </c>
      <c r="FE203" s="594" t="e">
        <f t="shared" si="431"/>
        <v>#N/A</v>
      </c>
      <c r="FF203" s="595" t="e">
        <f t="shared" si="432"/>
        <v>#N/A</v>
      </c>
      <c r="FG203" s="596" t="s">
        <v>692</v>
      </c>
      <c r="FH203" s="596" t="s">
        <v>692</v>
      </c>
      <c r="FI203" s="594" t="e">
        <v>#N/A</v>
      </c>
      <c r="FJ203" s="778">
        <v>22577</v>
      </c>
      <c r="FK203" s="560"/>
      <c r="FL203" s="560"/>
      <c r="FM203" s="560"/>
      <c r="FN203" s="560"/>
      <c r="FO203" s="560">
        <f>O203+((Sheet1!CS205)*GPMtoMGD)</f>
        <v>100.3</v>
      </c>
      <c r="FP203" s="560">
        <f>IF(Sheet1!AA205+AQ203&lt;=Calculation!N203,AQ203,Calculation!N203-Sheet1!AA205)</f>
        <v>25.6</v>
      </c>
      <c r="FQ203" s="560">
        <f>(Sheet1!BP205+Sheet1!BO205)/694.4</f>
        <v>4.4288594470046085</v>
      </c>
      <c r="FR203" s="560"/>
      <c r="FS203" s="560"/>
      <c r="FT203" s="560"/>
      <c r="FU203" s="560"/>
      <c r="FV203" s="695">
        <f t="shared" si="455"/>
        <v>41827</v>
      </c>
      <c r="FW203" s="695">
        <f t="shared" si="456"/>
        <v>41934</v>
      </c>
      <c r="FX203" s="560"/>
      <c r="FY203" s="560"/>
      <c r="FZ203" s="560"/>
      <c r="GA203" s="560"/>
      <c r="GB203" s="560" t="str">
        <f t="shared" si="457"/>
        <v>n</v>
      </c>
      <c r="GC203" s="564">
        <f t="shared" si="458"/>
        <v>41691</v>
      </c>
      <c r="GD203" s="695">
        <f t="shared" si="459"/>
        <v>41807</v>
      </c>
      <c r="GE203" s="560">
        <v>6518.9</v>
      </c>
      <c r="GF203" s="695">
        <f t="shared" si="460"/>
        <v>41808</v>
      </c>
      <c r="GG203" s="560">
        <f t="shared" si="374"/>
        <v>3259</v>
      </c>
      <c r="GH203" s="564">
        <f t="shared" si="461"/>
        <v>41934</v>
      </c>
      <c r="GJ203" s="545">
        <f t="shared" si="462"/>
        <v>0</v>
      </c>
      <c r="GK203" s="560" t="str">
        <f t="shared" si="433"/>
        <v/>
      </c>
      <c r="GL203" s="560">
        <f t="shared" si="463"/>
        <v>0</v>
      </c>
      <c r="GM203" s="560" t="str">
        <f t="shared" si="464"/>
        <v/>
      </c>
      <c r="GN203" s="560">
        <f>IF(GK203="P",Lookup!$M$12,IF(GK203="PP",Lookup!$M$13,IF(GK203="PPP",Lookup!$M$14,IF(GK203="T",Lookup!$M$15,IF(GK203="TP",Lookup!$M$16,IF(GK203="TPP",Lookup!$M$17,IF(GK203="TPPP",Lookup!$M$18,0)))))))*GJ203</f>
        <v>0</v>
      </c>
      <c r="GO203" s="560">
        <f t="shared" si="465"/>
        <v>0</v>
      </c>
      <c r="GP203" s="560">
        <f t="shared" si="434"/>
        <v>4109.3303333333333</v>
      </c>
      <c r="GQ203" s="560">
        <f t="shared" si="473"/>
        <v>1339.4166666666667</v>
      </c>
      <c r="GR203" s="560"/>
      <c r="GS203" s="560">
        <f t="shared" si="466"/>
        <v>0</v>
      </c>
      <c r="GT203" s="560" t="str">
        <f t="shared" si="467"/>
        <v/>
      </c>
      <c r="GU203" s="560">
        <f>IF(GK203="P",Lookup!$N$12,IF(GK203="PP",Lookup!$N$13,IF(GK203="PPP",Lookup!$N$14,IF(GK203="T",Lookup!$N$15,IF(GK203="TP",Lookup!$N$16,IF(GK203="TPP",Lookup!$N$17,IF(GK203="TPPP",Lookup!$N$18,0)))))))*GJ203</f>
        <v>0</v>
      </c>
      <c r="GV203" s="560">
        <f t="shared" si="468"/>
        <v>0</v>
      </c>
      <c r="GW203" s="560">
        <f t="shared" si="435"/>
        <v>1913.3831206236305</v>
      </c>
      <c r="GX203" s="560">
        <f t="shared" si="474"/>
        <v>623.65812275868007</v>
      </c>
      <c r="GY203" s="560"/>
      <c r="GZ203" s="560">
        <f t="shared" si="469"/>
        <v>0</v>
      </c>
      <c r="HA203" s="560" t="str">
        <f t="shared" si="470"/>
        <v/>
      </c>
      <c r="HB203" s="560">
        <f>IF(GK203="P",Lookup!$N$12,IF(GK203="PP",Lookup!$N$13,IF(GK203="PPP",Lookup!$N$14,IF(GK203="T",Lookup!$N$15,IF(GK203="TP",Lookup!$N$16,IF(GK203="TPP",Lookup!$N$17,IF(GK203="TPPP",Lookup!$N$18,0)))))))*GJ203</f>
        <v>0</v>
      </c>
      <c r="HC203" s="545">
        <f t="shared" si="436"/>
        <v>0</v>
      </c>
      <c r="HD203" s="560">
        <f t="shared" si="437"/>
        <v>1867.0540706387822</v>
      </c>
      <c r="HE203" s="560">
        <f t="shared" si="475"/>
        <v>608.557389386826</v>
      </c>
      <c r="HF203" s="560"/>
      <c r="HG203" s="560">
        <f t="shared" si="471"/>
        <v>0</v>
      </c>
      <c r="HH203" s="560" t="str">
        <f t="shared" si="472"/>
        <v/>
      </c>
      <c r="HI203" s="560">
        <f>IF(GK203="P",Lookup!$N$12,IF(GK203="PP",Lookup!$N$13,IF(GK203="PPP",Lookup!$N$14,IF(GK203="T",Lookup!$N$15,IF(GK203="TP",Lookup!$N$16,IF(GK203="TPP",Lookup!$N$17,IF(GK203="TPPP",Lookup!$N$18,0)))))))*GJ203</f>
        <v>0</v>
      </c>
      <c r="HJ203" s="545">
        <f t="shared" si="438"/>
        <v>0</v>
      </c>
      <c r="HK203" s="560">
        <f t="shared" si="439"/>
        <v>1787.265721254764</v>
      </c>
      <c r="HL203" s="560">
        <f t="shared" si="476"/>
        <v>582.55075660194393</v>
      </c>
    </row>
    <row r="204" spans="1:221">
      <c r="A204" s="580" t="s">
        <v>9</v>
      </c>
      <c r="B204" s="556">
        <v>41832</v>
      </c>
      <c r="C204" s="561">
        <v>0</v>
      </c>
      <c r="D204" s="529">
        <f t="shared" si="372"/>
        <v>300</v>
      </c>
      <c r="E204" s="529">
        <f t="shared" si="373"/>
        <v>250</v>
      </c>
      <c r="F204" s="529">
        <v>250</v>
      </c>
      <c r="G204" s="560">
        <f>DR204+Sheet1!CZ206</f>
        <v>299.73575390860731</v>
      </c>
      <c r="H204" s="1082">
        <f t="shared" si="442"/>
        <v>0</v>
      </c>
      <c r="I204" s="559">
        <f>MAX(Sheet1!Z206-AT204+(Sheet1!DA206-E204)*CFStoMGD,0)</f>
        <v>150.50639999999999</v>
      </c>
      <c r="J204" s="562">
        <f>IF(AND(B204&gt;=Calculation!GC204,B204&lt;=Calculation!GD204),IF(Sheet1!DB206&gt;=Calculation!D204,64.64,0),MAX(Sheet1!Z206-AT204+(Sheet1!DB206-D204)*CFStoMGD,0))</f>
        <v>14.7624</v>
      </c>
      <c r="K204" s="1101">
        <v>0</v>
      </c>
      <c r="L204" s="560">
        <f>Sheet1!AA206+Sheet1!AB206-Sheet1!L206+(Sheet1!DA206-F204)*CFStoMGD</f>
        <v>197.9264</v>
      </c>
      <c r="M204" s="560">
        <f t="shared" si="376"/>
        <v>197.62417515305424</v>
      </c>
      <c r="N204" s="910">
        <f>IF(Sheet1!DA206&gt;=F204,MIN(73,MIN(MAX(L204,0),MAX(M204,0))),0)</f>
        <v>73</v>
      </c>
      <c r="O204" s="563">
        <f>Sheet1!AA206+Sheet1!AB206</f>
        <v>100.32</v>
      </c>
      <c r="P204" s="563">
        <f t="shared" si="377"/>
        <v>155.19504000000001</v>
      </c>
      <c r="Q204" s="898">
        <f t="shared" si="444"/>
        <v>72.319999999999993</v>
      </c>
      <c r="R204" s="829">
        <f t="shared" si="378"/>
        <v>28</v>
      </c>
      <c r="S204" s="898">
        <f t="shared" si="445"/>
        <v>0</v>
      </c>
      <c r="T204" s="898">
        <f t="shared" si="446"/>
        <v>0</v>
      </c>
      <c r="U204" s="898">
        <f t="shared" si="447"/>
        <v>28</v>
      </c>
      <c r="V204" s="898"/>
      <c r="W204" s="898">
        <f t="shared" si="448"/>
        <v>0</v>
      </c>
      <c r="X204" s="898">
        <f t="shared" si="449"/>
        <v>0</v>
      </c>
      <c r="Y204" s="898" t="str">
        <f t="shared" si="450"/>
        <v>FALSE</v>
      </c>
      <c r="Z204" s="898">
        <f t="shared" si="451"/>
        <v>100.32</v>
      </c>
      <c r="AA204" s="898">
        <f t="shared" si="452"/>
        <v>100.32</v>
      </c>
      <c r="AB204" s="898" t="str">
        <f t="shared" si="453"/>
        <v/>
      </c>
      <c r="AC204" s="563">
        <f>Sheet1!Y206*MGDtoCFS</f>
        <v>73.327799999999996</v>
      </c>
      <c r="AD204" s="563">
        <f>Sheet1!Z206*MGDtoCFS</f>
        <v>81.836299999999994</v>
      </c>
      <c r="AE204" s="563">
        <f>Sheet1!AA206*MGDtoCFS</f>
        <v>73.327799999999996</v>
      </c>
      <c r="AF204" s="563">
        <f>Sheet1!AB206*MGDtoCFS</f>
        <v>81.867239999999995</v>
      </c>
      <c r="AG204" s="563">
        <f>Sheet1!L206*MGDtoCFS</f>
        <v>0</v>
      </c>
      <c r="AH204" s="545">
        <f t="shared" si="379"/>
        <v>28.00785875281743</v>
      </c>
      <c r="AI204" s="560">
        <f t="shared" si="380"/>
        <v>43.328157490608561</v>
      </c>
      <c r="AJ204" s="560">
        <f t="shared" si="381"/>
        <v>0</v>
      </c>
      <c r="AK204" s="560">
        <f t="shared" si="382"/>
        <v>0</v>
      </c>
      <c r="AL204" s="560">
        <f>(VLOOKUP(Sheet1!DC206,hhdcap_wcm,4)-(((VLOOKUP(Sheet1!DC206,hhdcap_wcm,3)-Sheet1!DC206)/(VLOOKUP(Sheet1!DC206,hhdcap_wcm,3)-VLOOKUP(Sheet1!DC206,hhdcap_wcm,1)))*(VLOOKUP(Sheet1!DC206,hhdcap_wcm,4)-VLOOKUP(Sheet1!DC206,hhdcap_wcm,2))))</f>
        <v>46320.70000011332</v>
      </c>
      <c r="AM204" s="560">
        <f t="shared" si="383"/>
        <v>-143.29999999923166</v>
      </c>
      <c r="AN204" s="560">
        <f t="shared" si="384"/>
        <v>3126.1750766612995</v>
      </c>
      <c r="AO204" s="560">
        <f t="shared" si="385"/>
        <v>9591.1051351968672</v>
      </c>
      <c r="AP204" s="560">
        <f>Sheet1!BA206+Sheet1!BB206+Sheet1!BN206+CD204</f>
        <v>33.21</v>
      </c>
      <c r="AQ204" s="560">
        <f>Sheet1!BN206+(DO204*Sheet1!BN206)</f>
        <v>31.410067618332086</v>
      </c>
      <c r="AR204" s="560">
        <f>Sheet1!BA206+CD204</f>
        <v>0</v>
      </c>
      <c r="AS204" s="560">
        <f>Sheet1!BA206+Sheet1!BB206+CD204</f>
        <v>1.61</v>
      </c>
      <c r="AT204" s="698">
        <f>0</f>
        <v>0</v>
      </c>
      <c r="AU204" s="560">
        <f>IF(EB204&lt;K204,0,MAX(Sheet1!AA206+AQ204-15/36*K204-N204,Sheet1!EH206,0))</f>
        <v>8</v>
      </c>
      <c r="AV204" s="560">
        <f>IF(OR(B204&gt;=GD204,B204&lt;GC204),0,15/36*K204-MAX(0,64.6-(137.6-(Sheet1!AA206+Sheet1!AB206))))</f>
        <v>0</v>
      </c>
      <c r="AW204" s="698">
        <f>Sheet1!DB206-110</f>
        <v>131</v>
      </c>
      <c r="AX204" s="698">
        <f>Sheet1!DA206-265</f>
        <v>136</v>
      </c>
      <c r="AY204" s="698">
        <f t="shared" si="386"/>
        <v>0.68000000000000682</v>
      </c>
      <c r="AZ204" s="698">
        <v>0</v>
      </c>
      <c r="BA204" s="698">
        <f t="shared" si="387"/>
        <v>0</v>
      </c>
      <c r="BB204" s="560">
        <f t="shared" si="388"/>
        <v>1331.4166666666667</v>
      </c>
      <c r="BC204" s="560"/>
      <c r="BD204" s="560">
        <f ca="1">IF(B204&gt;Summary!$A$1,#N/A,BB204*MGtoAF)</f>
        <v>4084.7863333333335</v>
      </c>
      <c r="BE204" s="560">
        <f>Sheet1!BG206+Sheet1!BH206+Sheet1!BI206-BM204</f>
        <v>2.02</v>
      </c>
      <c r="BF204" s="560">
        <f t="shared" si="389"/>
        <v>2.0078587528174308</v>
      </c>
      <c r="BG204" s="560">
        <f>IF(Sheet1!EP206="FM",BM204,0)</f>
        <v>0</v>
      </c>
      <c r="BH204" s="560">
        <f t="shared" si="390"/>
        <v>0</v>
      </c>
      <c r="BI204" s="560">
        <f>IF(Sheet1!EP206="OTHER",BM204,0)</f>
        <v>0</v>
      </c>
      <c r="BJ204" s="560">
        <f t="shared" si="391"/>
        <v>0</v>
      </c>
      <c r="BK204" s="560">
        <f t="shared" si="392"/>
        <v>2.02</v>
      </c>
      <c r="BL204" s="560">
        <f t="shared" si="393"/>
        <v>2.0078587528174308</v>
      </c>
      <c r="BM204" s="560">
        <f>IF(OR(Sheet1!EP206="FM", Sheet1!EP206="OTHER"),SUM(Sheet1!BG206:'Sheet1'!BI206),0)</f>
        <v>0</v>
      </c>
      <c r="BN204" s="545">
        <f>IF(AND($B204&gt;=$FV204,$B204&lt;=$FW204),MAX(BF204,Sheet1!EI206,0),MAX(BF204-(7/36)*$K204,0))</f>
        <v>2.0078587528174308</v>
      </c>
      <c r="BO204" s="560">
        <f t="shared" si="394"/>
        <v>0</v>
      </c>
      <c r="BP204" s="545">
        <f t="shared" si="395"/>
        <v>0</v>
      </c>
      <c r="BQ204" s="545">
        <f>IF(AND($O204&gt;0,Sheet1!EM206=1),(1-($O204-Sheet1!$L206)/$O204)*BL204,0)</f>
        <v>0</v>
      </c>
      <c r="BR204" s="545">
        <f>IF(AND(Sheet1!$L206=0,Sheet1!$L205=0, Calculation!BK204&lt;Sheet1!$EI206-0.1,Sheet1!$EI206=Sheet1!$EI205,Sheet1!$EI206=Sheet1!$EI207),Sheet1!$EI206,BL204-BQ204)</f>
        <v>2.0078587528174308</v>
      </c>
      <c r="BS204" s="560"/>
      <c r="BT204" s="560"/>
      <c r="BU204" s="560">
        <f t="shared" si="396"/>
        <v>621.6502640058626</v>
      </c>
      <c r="BV204" s="560"/>
      <c r="BW204" s="560">
        <f ca="1">IF(B204&gt;Summary!$A$1,#N/A,BU204*MGtoAF)</f>
        <v>1907.2230099699864</v>
      </c>
      <c r="BX204" s="560">
        <f>Sheet1!BC206+Sheet1!BD206+Sheet1!BE206+Sheet1!BF206-CG204-CH204</f>
        <v>7</v>
      </c>
      <c r="BY204" s="560">
        <f t="shared" si="397"/>
        <v>6.9579263711495125</v>
      </c>
      <c r="BZ204" s="560">
        <f>IF(Sheet1!EQ206="FM",CH204,0)</f>
        <v>0</v>
      </c>
      <c r="CA204" s="560">
        <f t="shared" si="398"/>
        <v>0</v>
      </c>
      <c r="CB204" s="560">
        <f>IF(Sheet1!EQ206="OTHER",CH204,0)</f>
        <v>0</v>
      </c>
      <c r="CC204" s="560">
        <f t="shared" si="399"/>
        <v>0</v>
      </c>
      <c r="CD204" s="560">
        <f t="shared" si="400"/>
        <v>0</v>
      </c>
      <c r="CE204" s="560">
        <f t="shared" si="401"/>
        <v>7</v>
      </c>
      <c r="CF204" s="560">
        <f t="shared" si="402"/>
        <v>6.9579263711495125</v>
      </c>
      <c r="CG204" s="560">
        <f>IF(Sheet1!EQ206="CWA",SUM(Sheet1!BC206:'Sheet1'!BF206),0)</f>
        <v>0</v>
      </c>
      <c r="CH204" s="560">
        <f>IF(OR(Sheet1!EQ206="FM", Sheet1!EQ206="OTHER"),SUM(Sheet1!BC206:'Sheet1'!BF206),0)</f>
        <v>0</v>
      </c>
      <c r="CI204" s="545">
        <f>IF(AND($B204&gt;=$FV204,$B204&lt;=$FW204),MAX(CF204,Sheet1!EJ206,0),MAX(CF204-(7/36)*$K204,0))</f>
        <v>7</v>
      </c>
      <c r="CJ204" s="560">
        <f t="shared" si="403"/>
        <v>0</v>
      </c>
      <c r="CK204" s="545">
        <f t="shared" si="404"/>
        <v>0</v>
      </c>
      <c r="CL204" s="545">
        <f>IF(AND($O204&gt;0,Sheet1!EN206=1),(1-($O204-Sheet1!$L206)/$O204)*CF204,0)</f>
        <v>0</v>
      </c>
      <c r="CM204" s="545">
        <f>IF(AND(Sheet1!$L206=0,Sheet1!$L205=0, Calculation!CE204&lt;Sheet1!EJ206-0.1,Sheet1!EJ206=Sheet1!EJ205,Sheet1!EJ206=Sheet1!EJ207),Sheet1!EJ206,CF204-CL204)</f>
        <v>6.9579263711495125</v>
      </c>
      <c r="CN204" s="545"/>
      <c r="CO204" s="560"/>
      <c r="CP204" s="560">
        <f t="shared" si="405"/>
        <v>601.557389386826</v>
      </c>
      <c r="CQ204" s="560"/>
      <c r="CR204" s="560">
        <f ca="1">IF(B204&gt;Summary!$A$1,#N/A,CP204*MGtoAF)</f>
        <v>1845.5780706387823</v>
      </c>
      <c r="CS204" s="560">
        <f>Sheet1!BK206+Sheet1!BL206+Sheet1!BM206-Sheet1!ER206-DA204</f>
        <v>11.01</v>
      </c>
      <c r="CT204" s="560">
        <f t="shared" si="406"/>
        <v>10.94382419233659</v>
      </c>
      <c r="CU204" s="560">
        <f>IF(Sheet1!ER206="FM",DA204,0)</f>
        <v>0</v>
      </c>
      <c r="CV204" s="560">
        <f t="shared" si="407"/>
        <v>0</v>
      </c>
      <c r="CW204" s="560">
        <f>IF(Sheet1!ER206="OTHER",DA204,0)</f>
        <v>0</v>
      </c>
      <c r="CX204" s="560">
        <f t="shared" si="408"/>
        <v>0</v>
      </c>
      <c r="CY204" s="560">
        <f t="shared" si="409"/>
        <v>11.01</v>
      </c>
      <c r="CZ204" s="560">
        <f t="shared" si="410"/>
        <v>10.94382419233659</v>
      </c>
      <c r="DA204" s="560">
        <f>IF(OR(Sheet1!ER206="FM", Sheet1!ER206="OTHER"),SUM(Sheet1!BK206:'Sheet1'!BM206),0)</f>
        <v>0</v>
      </c>
      <c r="DB204" s="545">
        <f>IF(AND($B204&gt;=$FV204,$B204&lt;=$FW204),MAX($CT204,Sheet1!EK206,0),MAX($CT204-(7/36)*$K204,0))</f>
        <v>11</v>
      </c>
      <c r="DC204" s="560">
        <f t="shared" si="411"/>
        <v>0</v>
      </c>
      <c r="DD204" s="545">
        <f t="shared" si="412"/>
        <v>0</v>
      </c>
      <c r="DE204" s="545">
        <f>IF(AND($O204&gt;0,Sheet1!EO206=1),(1-($O204-Sheet1!$L206)/$O204)*CZ204,0)</f>
        <v>0</v>
      </c>
      <c r="DF204" s="545">
        <f>IF(AND(Sheet1!$L206=0,Sheet1!$L205=0, Calculation!CY204&lt;Sheet1!$EK206-0.1,Sheet1!$EK206=Sheet1!$EK205,Sheet1!$EK206=Sheet1!$EK207),Sheet1!$EK206,CZ204-DE204)</f>
        <v>10.94382419233659</v>
      </c>
      <c r="DG204" s="545"/>
      <c r="DH204" s="560">
        <f t="shared" si="413"/>
        <v>20.03</v>
      </c>
      <c r="DI204" s="560">
        <f t="shared" si="414"/>
        <v>571.55075660194393</v>
      </c>
      <c r="DJ204" s="698">
        <f t="shared" si="415"/>
        <v>19.909609316303534</v>
      </c>
      <c r="DK204" s="560">
        <f ca="1">IF(B204&gt;Summary!$A$1,#N/A,DI204*MGtoAF)</f>
        <v>1753.517721254764</v>
      </c>
      <c r="DL204" s="698">
        <f t="shared" si="416"/>
        <v>20.029999999999998</v>
      </c>
      <c r="DM204" s="560">
        <f t="shared" si="417"/>
        <v>53.239999999999995</v>
      </c>
      <c r="DN204" s="560">
        <f>Sheet1!AB206-DM204</f>
        <v>-0.31999999999999318</v>
      </c>
      <c r="DO204" s="823">
        <f t="shared" si="418"/>
        <v>-6.0105184072124949E-3</v>
      </c>
      <c r="DP204" s="560">
        <f>(VLOOKUP(Sheet1!DC206,hhdcap_wcm,4)-(((VLOOKUP(Sheet1!DC206,hhdcap_wcm,3)-Sheet1!DC206)/(VLOOKUP(Sheet1!DC206,hhdcap_wcm,3)-VLOOKUP(Sheet1!DC206,hhdcap_wcm,1)))*(VLOOKUP(Sheet1!DC206,hhdcap_wcm,4)-VLOOKUP(Sheet1!DC206,hhdcap_wcm,2))))</f>
        <v>46320.70000011332</v>
      </c>
      <c r="DQ204" s="560">
        <f t="shared" si="419"/>
        <v>-143.29999999923166</v>
      </c>
      <c r="DR204" s="560">
        <f t="shared" si="420"/>
        <v>-72.264246091392664</v>
      </c>
      <c r="DS204" s="560">
        <f>Sheet1!EA206*AFtoMG</f>
        <v>0</v>
      </c>
      <c r="DT204" s="560">
        <f>Sheet1!EB206*AFtoMG</f>
        <v>0</v>
      </c>
      <c r="DU204" s="560">
        <f>Sheet1!EC206*AFtoMG</f>
        <v>0</v>
      </c>
      <c r="DV204" s="560">
        <f>Sheet1!ED206*AFtoMG</f>
        <v>0</v>
      </c>
      <c r="DW204" s="560">
        <f t="shared" si="421"/>
        <v>0</v>
      </c>
      <c r="DX204" s="560">
        <f t="shared" si="422"/>
        <v>0</v>
      </c>
      <c r="DY204" s="560">
        <f t="shared" si="423"/>
        <v>3126.1750766612995</v>
      </c>
      <c r="DZ204" s="560">
        <f t="shared" si="424"/>
        <v>9591.1051351968672</v>
      </c>
      <c r="EA204" s="560"/>
      <c r="EB204" s="545">
        <f>IF(OR(B204&lt;FV204,B204&gt;FW204),(MIN(BF204+BY204+CT204+MAX(Sheet1!AA206+AQ204-73,0),K204)),0)</f>
        <v>0</v>
      </c>
      <c r="EC204" s="560"/>
      <c r="ED204" s="560">
        <f t="shared" si="425"/>
        <v>19.909609316303534</v>
      </c>
      <c r="EE204" s="560"/>
      <c r="EF204" s="560">
        <f>Sheet1!EH206+Sheet1!EI206+Sheet1!EJ206+Sheet1!EK206</f>
        <v>28</v>
      </c>
      <c r="EG204" s="560"/>
      <c r="EH204" s="545">
        <f t="shared" si="426"/>
        <v>0</v>
      </c>
      <c r="EI204" s="560">
        <f>IF(Sheet1!ET206=1,SUM('Calculations II'!AT204:BA204)+'Calculations II'!BC204+Sheet1!BV206+'Calculations II'!BE204+AP204,SUM('Calculations II'!AT204:BA204)+'Calculations II'!BC204+Sheet1!BV206+'Calculations II'!BE204+AP204)</f>
        <v>92.566784000000013</v>
      </c>
      <c r="EJ204" s="560">
        <f>Sheet1!AA206+Sheet1!AB206+'Calculations II'!BC204</f>
        <v>100.79995199999999</v>
      </c>
      <c r="EK204" s="560"/>
      <c r="EL204" s="560"/>
      <c r="EM204" s="560">
        <f t="shared" si="427"/>
        <v>41832</v>
      </c>
      <c r="EN204" s="560">
        <f t="shared" si="428"/>
        <v>-28.00785875281743</v>
      </c>
      <c r="EO204" s="560">
        <f t="shared" si="429"/>
        <v>-43.328157490608561</v>
      </c>
      <c r="EP204" s="560">
        <v>0</v>
      </c>
      <c r="EQ204" s="560">
        <v>0</v>
      </c>
      <c r="ER204" s="560">
        <v>0</v>
      </c>
      <c r="ES204" s="545">
        <f t="shared" si="454"/>
        <v>1.382829880298946</v>
      </c>
      <c r="ET204" s="560">
        <f>-(VLOOKUP(Sheet1!BQ206,Lookup!$O$4:$Q$262,2)-VLOOKUP(Sheet1!BQ205,Lookup!$O$4:$Q$262,2))/1000000</f>
        <v>0.69143094916932657</v>
      </c>
      <c r="EU204" s="560">
        <f>-(VLOOKUP(Sheet1!BR206,Lookup!$O$4:$Q$262,3)-VLOOKUP(Sheet1!BR205,Lookup!$O$4:$Q$262,3))/1000000</f>
        <v>0.69139893112961948</v>
      </c>
      <c r="EV204" s="560"/>
      <c r="EW204" s="560"/>
      <c r="EX204" s="560"/>
      <c r="EY204" s="560"/>
      <c r="EZ204" s="560"/>
      <c r="FA204" s="560"/>
      <c r="FB204" s="560"/>
      <c r="FC204" s="560"/>
      <c r="FD204" s="594">
        <f t="shared" si="443"/>
        <v>1139.0712328766331</v>
      </c>
      <c r="FE204" s="594" t="e">
        <f t="shared" si="431"/>
        <v>#N/A</v>
      </c>
      <c r="FF204" s="595" t="e">
        <f t="shared" si="432"/>
        <v>#N/A</v>
      </c>
      <c r="FG204" s="596" t="s">
        <v>692</v>
      </c>
      <c r="FH204" s="596" t="s">
        <v>692</v>
      </c>
      <c r="FI204" s="594" t="e">
        <v>#N/A</v>
      </c>
      <c r="FJ204" s="778">
        <v>22493</v>
      </c>
      <c r="FK204" s="560"/>
      <c r="FL204" s="560"/>
      <c r="FM204" s="560"/>
      <c r="FN204" s="560"/>
      <c r="FO204" s="560">
        <f>O204+((Sheet1!CS206)*GPMtoMGD)</f>
        <v>100.79995199999999</v>
      </c>
      <c r="FP204" s="560">
        <f>IF(Sheet1!AA206+AQ204&lt;=Calculation!N204,AQ204,Calculation!N204-Sheet1!AA206)</f>
        <v>25.6</v>
      </c>
      <c r="FQ204" s="560">
        <f>(Sheet1!BP206+Sheet1!BO206)/694.4</f>
        <v>4.5961981566820276</v>
      </c>
      <c r="FR204" s="560"/>
      <c r="FS204" s="560"/>
      <c r="FT204" s="560"/>
      <c r="FU204" s="560"/>
      <c r="FV204" s="695">
        <f t="shared" si="455"/>
        <v>41827</v>
      </c>
      <c r="FW204" s="695">
        <f t="shared" si="456"/>
        <v>41934</v>
      </c>
      <c r="FX204" s="560"/>
      <c r="FY204" s="560"/>
      <c r="FZ204" s="560"/>
      <c r="GA204" s="560"/>
      <c r="GB204" s="560" t="str">
        <f t="shared" si="457"/>
        <v>n</v>
      </c>
      <c r="GC204" s="564">
        <f t="shared" si="458"/>
        <v>41691</v>
      </c>
      <c r="GD204" s="695">
        <f t="shared" si="459"/>
        <v>41807</v>
      </c>
      <c r="GE204" s="560">
        <v>6518.9</v>
      </c>
      <c r="GF204" s="695">
        <f t="shared" si="460"/>
        <v>41808</v>
      </c>
      <c r="GG204" s="560">
        <f t="shared" si="374"/>
        <v>3259</v>
      </c>
      <c r="GH204" s="564">
        <f t="shared" si="461"/>
        <v>41934</v>
      </c>
      <c r="GJ204" s="545">
        <f t="shared" si="462"/>
        <v>0</v>
      </c>
      <c r="GK204" s="560" t="str">
        <f t="shared" si="433"/>
        <v/>
      </c>
      <c r="GL204" s="560">
        <f t="shared" si="463"/>
        <v>0</v>
      </c>
      <c r="GM204" s="560" t="str">
        <f t="shared" si="464"/>
        <v/>
      </c>
      <c r="GN204" s="560">
        <f>IF(GK204="P",Lookup!$M$12,IF(GK204="PP",Lookup!$M$13,IF(GK204="PPP",Lookup!$M$14,IF(GK204="T",Lookup!$M$15,IF(GK204="TP",Lookup!$M$16,IF(GK204="TPP",Lookup!$M$17,IF(GK204="TPPP",Lookup!$M$18,0)))))))*GJ204</f>
        <v>0</v>
      </c>
      <c r="GO204" s="560">
        <f t="shared" si="465"/>
        <v>0</v>
      </c>
      <c r="GP204" s="560">
        <f t="shared" si="434"/>
        <v>4084.7863333333335</v>
      </c>
      <c r="GQ204" s="560">
        <f t="shared" si="473"/>
        <v>1331.4166666666667</v>
      </c>
      <c r="GR204" s="560"/>
      <c r="GS204" s="560">
        <f t="shared" si="466"/>
        <v>0</v>
      </c>
      <c r="GT204" s="560" t="str">
        <f t="shared" si="467"/>
        <v/>
      </c>
      <c r="GU204" s="560">
        <f>IF(GK204="P",Lookup!$N$12,IF(GK204="PP",Lookup!$N$13,IF(GK204="PPP",Lookup!$N$14,IF(GK204="T",Lookup!$N$15,IF(GK204="TP",Lookup!$N$16,IF(GK204="TPP",Lookup!$N$17,IF(GK204="TPPP",Lookup!$N$18,0)))))))*GJ204</f>
        <v>0</v>
      </c>
      <c r="GV204" s="560">
        <f t="shared" si="468"/>
        <v>0</v>
      </c>
      <c r="GW204" s="560">
        <f t="shared" si="435"/>
        <v>1907.2230099699864</v>
      </c>
      <c r="GX204" s="560">
        <f t="shared" si="474"/>
        <v>621.6502640058626</v>
      </c>
      <c r="GY204" s="560"/>
      <c r="GZ204" s="560">
        <f t="shared" si="469"/>
        <v>0</v>
      </c>
      <c r="HA204" s="560" t="str">
        <f t="shared" si="470"/>
        <v/>
      </c>
      <c r="HB204" s="560">
        <f>IF(GK204="P",Lookup!$N$12,IF(GK204="PP",Lookup!$N$13,IF(GK204="PPP",Lookup!$N$14,IF(GK204="T",Lookup!$N$15,IF(GK204="TP",Lookup!$N$16,IF(GK204="TPP",Lookup!$N$17,IF(GK204="TPPP",Lookup!$N$18,0)))))))*GJ204</f>
        <v>0</v>
      </c>
      <c r="HC204" s="545">
        <f t="shared" si="436"/>
        <v>0</v>
      </c>
      <c r="HD204" s="560">
        <f t="shared" si="437"/>
        <v>1845.5780706387823</v>
      </c>
      <c r="HE204" s="560">
        <f t="shared" si="475"/>
        <v>601.557389386826</v>
      </c>
      <c r="HF204" s="560"/>
      <c r="HG204" s="560">
        <f t="shared" si="471"/>
        <v>0</v>
      </c>
      <c r="HH204" s="560" t="str">
        <f t="shared" si="472"/>
        <v/>
      </c>
      <c r="HI204" s="560">
        <f>IF(GK204="P",Lookup!$N$12,IF(GK204="PP",Lookup!$N$13,IF(GK204="PPP",Lookup!$N$14,IF(GK204="T",Lookup!$N$15,IF(GK204="TP",Lookup!$N$16,IF(GK204="TPP",Lookup!$N$17,IF(GK204="TPPP",Lookup!$N$18,0)))))))*GJ204</f>
        <v>0</v>
      </c>
      <c r="HJ204" s="545">
        <f t="shared" si="438"/>
        <v>0</v>
      </c>
      <c r="HK204" s="560">
        <f t="shared" si="439"/>
        <v>1753.517721254764</v>
      </c>
      <c r="HL204" s="560">
        <f t="shared" si="476"/>
        <v>571.55075660194393</v>
      </c>
    </row>
    <row r="205" spans="1:221">
      <c r="A205" s="580" t="s">
        <v>3</v>
      </c>
      <c r="B205" s="556">
        <v>41833</v>
      </c>
      <c r="C205" s="561">
        <v>0</v>
      </c>
      <c r="D205" s="529">
        <f t="shared" si="372"/>
        <v>300</v>
      </c>
      <c r="E205" s="529">
        <f t="shared" si="373"/>
        <v>250</v>
      </c>
      <c r="F205" s="529">
        <v>250</v>
      </c>
      <c r="G205" s="560">
        <f>DR205+Sheet1!CZ207</f>
        <v>310.62834089711396</v>
      </c>
      <c r="H205" s="1082">
        <f t="shared" si="442"/>
        <v>6.8701595558944621</v>
      </c>
      <c r="I205" s="559">
        <f>MAX(Sheet1!Z207-AT205+(Sheet1!DA207-E205)*CFStoMGD,0)</f>
        <v>144.7088</v>
      </c>
      <c r="J205" s="562">
        <f>IF(AND(B205&gt;=Calculation!GC205,B205&lt;=Calculation!GD205),IF(Sheet1!DB207&gt;=Calculation!D205,64.64,0),MAX(Sheet1!Z207-AT205+(Sheet1!DB207-D205)*CFStoMGD,0))</f>
        <v>21.246400000000001</v>
      </c>
      <c r="K205" s="1101">
        <v>0</v>
      </c>
      <c r="L205" s="560">
        <f>Sheet1!AA207+Sheet1!AB207-Sheet1!L207+(Sheet1!DA207-F205)*CFStoMGD</f>
        <v>192.10879999999997</v>
      </c>
      <c r="M205" s="560">
        <f t="shared" si="376"/>
        <v>204.80596274701236</v>
      </c>
      <c r="N205" s="910">
        <f>IF(Sheet1!DA207&gt;=F205,MIN(73,MIN(MAX(L205,0),MAX(M205,0))),0)</f>
        <v>73</v>
      </c>
      <c r="O205" s="563">
        <f>Sheet1!AA207+Sheet1!AB207</f>
        <v>100.32</v>
      </c>
      <c r="P205" s="563">
        <f t="shared" si="377"/>
        <v>155.19504000000001</v>
      </c>
      <c r="Q205" s="898">
        <f>IF(OR(Y205="FALSE",AND(B205&gt;=FV205,B205&lt;=FW205)),O205-S205-U205,0)</f>
        <v>72.319999999999993</v>
      </c>
      <c r="R205" s="829">
        <f t="shared" si="378"/>
        <v>28</v>
      </c>
      <c r="S205" s="898">
        <f t="shared" si="445"/>
        <v>0</v>
      </c>
      <c r="T205" s="898">
        <f t="shared" si="446"/>
        <v>0</v>
      </c>
      <c r="U205" s="898">
        <f t="shared" si="447"/>
        <v>28</v>
      </c>
      <c r="V205" s="898"/>
      <c r="W205" s="898">
        <f t="shared" si="448"/>
        <v>0</v>
      </c>
      <c r="X205" s="898">
        <f t="shared" si="449"/>
        <v>0</v>
      </c>
      <c r="Y205" s="898" t="str">
        <f t="shared" si="450"/>
        <v>FALSE</v>
      </c>
      <c r="Z205" s="898">
        <f t="shared" si="451"/>
        <v>100.32</v>
      </c>
      <c r="AA205" s="898">
        <f t="shared" si="452"/>
        <v>100.32</v>
      </c>
      <c r="AB205" s="898" t="str">
        <f t="shared" si="453"/>
        <v/>
      </c>
      <c r="AC205" s="563">
        <f>Sheet1!Y207*MGDtoCFS</f>
        <v>73.327799999999996</v>
      </c>
      <c r="AD205" s="563">
        <f>Sheet1!Z207*MGDtoCFS</f>
        <v>81.867239999999995</v>
      </c>
      <c r="AE205" s="563">
        <f>Sheet1!AA207*MGDtoCFS</f>
        <v>73.327799999999996</v>
      </c>
      <c r="AF205" s="563">
        <f>Sheet1!AB207*MGDtoCFS</f>
        <v>81.867239999999995</v>
      </c>
      <c r="AG205" s="563">
        <f>Sheet1!L207*MGDtoCFS</f>
        <v>0</v>
      </c>
      <c r="AH205" s="545">
        <f t="shared" si="379"/>
        <v>28.019547511312219</v>
      </c>
      <c r="AI205" s="560">
        <f t="shared" si="380"/>
        <v>43.346240000000002</v>
      </c>
      <c r="AJ205" s="560">
        <f t="shared" si="381"/>
        <v>0</v>
      </c>
      <c r="AK205" s="560">
        <f t="shared" si="382"/>
        <v>0</v>
      </c>
      <c r="AL205" s="560">
        <f>(VLOOKUP(Sheet1!DC207,hhdcap_wcm,4)-(((VLOOKUP(Sheet1!DC207,hhdcap_wcm,3)-Sheet1!DC207)/(VLOOKUP(Sheet1!DC207,hhdcap_wcm,3)-VLOOKUP(Sheet1!DC207,hhdcap_wcm,1)))*(VLOOKUP(Sheet1!DC207,hhdcap_wcm,4)-VLOOKUP(Sheet1!DC207,hhdcap_wcm,2))))</f>
        <v>46199.000000112297</v>
      </c>
      <c r="AM205" s="560">
        <f t="shared" si="383"/>
        <v>-121.700000001023</v>
      </c>
      <c r="AN205" s="560">
        <f t="shared" si="384"/>
        <v>3098.1555291499872</v>
      </c>
      <c r="AO205" s="560">
        <f t="shared" si="385"/>
        <v>9505.1411634321612</v>
      </c>
      <c r="AP205" s="560">
        <f>Sheet1!BA207+Sheet1!BB207+Sheet1!BN207+CD205</f>
        <v>33.1</v>
      </c>
      <c r="AQ205" s="560">
        <f>Sheet1!BN207+(DO205*Sheet1!BN207)</f>
        <v>31.428733031674209</v>
      </c>
      <c r="AR205" s="560">
        <f>Sheet1!BA207+CD205</f>
        <v>0</v>
      </c>
      <c r="AS205" s="560">
        <f>Sheet1!BA207+Sheet1!BB207+CD205</f>
        <v>1.6</v>
      </c>
      <c r="AT205" s="698">
        <f>0</f>
        <v>0</v>
      </c>
      <c r="AU205" s="560">
        <f>IF(EB205&lt;K205,0,MAX(Sheet1!AA207+AQ205-15/36*K205-N205,Sheet1!EH207,0))</f>
        <v>8</v>
      </c>
      <c r="AV205" s="560">
        <f>IF(OR(B205&gt;=GD205,B205&lt;GC205),0,15/36*K205-MAX(0,64.6-(137.6-(Sheet1!AA207+Sheet1!AB207))))</f>
        <v>0</v>
      </c>
      <c r="AW205" s="698">
        <f>Sheet1!DB207-110</f>
        <v>141</v>
      </c>
      <c r="AX205" s="698">
        <f>Sheet1!DA207-265</f>
        <v>127</v>
      </c>
      <c r="AY205" s="698">
        <f t="shared" si="386"/>
        <v>0.68000000000000682</v>
      </c>
      <c r="AZ205" s="698">
        <v>0</v>
      </c>
      <c r="BA205" s="698">
        <f t="shared" si="387"/>
        <v>0</v>
      </c>
      <c r="BB205" s="560">
        <f t="shared" si="388"/>
        <v>1323.4166666666667</v>
      </c>
      <c r="BC205" s="560"/>
      <c r="BD205" s="560">
        <f ca="1">IF(B205&gt;Summary!$A$1,#N/A,BB205*MGtoAF)</f>
        <v>4060.2423333333336</v>
      </c>
      <c r="BE205" s="560">
        <f>Sheet1!BG207+Sheet1!BH207+Sheet1!BI207-BM205</f>
        <v>2.0099999999999998</v>
      </c>
      <c r="BF205" s="560">
        <f t="shared" si="389"/>
        <v>2.0054524886877827</v>
      </c>
      <c r="BG205" s="560">
        <f>IF(Sheet1!EP207="FM",BM205,0)</f>
        <v>0</v>
      </c>
      <c r="BH205" s="560">
        <f t="shared" si="390"/>
        <v>0</v>
      </c>
      <c r="BI205" s="560">
        <f>IF(Sheet1!EP207="OTHER",BM205,0)</f>
        <v>0</v>
      </c>
      <c r="BJ205" s="560">
        <f t="shared" si="391"/>
        <v>0</v>
      </c>
      <c r="BK205" s="560">
        <f t="shared" si="392"/>
        <v>2.0099999999999998</v>
      </c>
      <c r="BL205" s="560">
        <f t="shared" si="393"/>
        <v>2.0054524886877827</v>
      </c>
      <c r="BM205" s="560">
        <f>IF(OR(Sheet1!EP207="FM", Sheet1!EP207="OTHER"),SUM(Sheet1!BG207:'Sheet1'!BI207),0)</f>
        <v>0</v>
      </c>
      <c r="BN205" s="545">
        <f>IF(AND($B205&gt;=$FV205,$B205&lt;=$FW205),MAX(BF205,Sheet1!EI207,0),MAX(BF205-(7/36)*$K205,0))</f>
        <v>2.0054524886877827</v>
      </c>
      <c r="BO205" s="560">
        <f t="shared" si="394"/>
        <v>0</v>
      </c>
      <c r="BP205" s="545">
        <f t="shared" si="395"/>
        <v>0</v>
      </c>
      <c r="BQ205" s="545">
        <f>IF(AND($O205&gt;0,Sheet1!EM207=1),(1-($O205-Sheet1!$L207)/$O205)*BL205,0)</f>
        <v>0</v>
      </c>
      <c r="BR205" s="545">
        <f>IF(AND(Sheet1!$L207=0,Sheet1!$L206=0, Calculation!BK205&lt;Sheet1!$EI207-0.1,Sheet1!$EI207=Sheet1!$EI206,Sheet1!$EI207=Sheet1!$EI208),Sheet1!$EI207,BL205-BQ205)</f>
        <v>2.0054524886877827</v>
      </c>
      <c r="BS205" s="560"/>
      <c r="BT205" s="560"/>
      <c r="BU205" s="560">
        <f t="shared" si="396"/>
        <v>619.64481151717484</v>
      </c>
      <c r="BV205" s="560"/>
      <c r="BW205" s="560">
        <f ca="1">IF(B205&gt;Summary!$A$1,#N/A,BU205*MGtoAF)</f>
        <v>1901.0702817346926</v>
      </c>
      <c r="BX205" s="560">
        <f>Sheet1!BC207+Sheet1!BD207+Sheet1!BE207+Sheet1!BF207-CG205-CH205</f>
        <v>7.03</v>
      </c>
      <c r="BY205" s="560">
        <f t="shared" si="397"/>
        <v>7.014095022624435</v>
      </c>
      <c r="BZ205" s="560">
        <f>IF(Sheet1!EQ207="FM",CH205,0)</f>
        <v>0</v>
      </c>
      <c r="CA205" s="560">
        <f t="shared" si="398"/>
        <v>0</v>
      </c>
      <c r="CB205" s="560">
        <f>IF(Sheet1!EQ207="OTHER",CH205,0)</f>
        <v>0</v>
      </c>
      <c r="CC205" s="560">
        <f t="shared" si="399"/>
        <v>0</v>
      </c>
      <c r="CD205" s="560">
        <f t="shared" si="400"/>
        <v>0</v>
      </c>
      <c r="CE205" s="560">
        <f t="shared" si="401"/>
        <v>7.03</v>
      </c>
      <c r="CF205" s="560">
        <f t="shared" si="402"/>
        <v>7.014095022624435</v>
      </c>
      <c r="CG205" s="560">
        <f>IF(Sheet1!EQ207="CWA",SUM(Sheet1!BC207:'Sheet1'!BF207),0)</f>
        <v>0</v>
      </c>
      <c r="CH205" s="560">
        <f>IF(OR(Sheet1!EQ207="FM", Sheet1!EQ207="OTHER"),SUM(Sheet1!BC207:'Sheet1'!BF207),0)</f>
        <v>0</v>
      </c>
      <c r="CI205" s="545">
        <f>IF(AND($B205&gt;=$FV205,$B205&lt;=$FW205),MAX(CF205,Sheet1!EJ207,0),MAX(CF205-(7/36)*$K205,0))</f>
        <v>7.014095022624435</v>
      </c>
      <c r="CJ205" s="560">
        <f t="shared" si="403"/>
        <v>0</v>
      </c>
      <c r="CK205" s="545">
        <f t="shared" si="404"/>
        <v>0</v>
      </c>
      <c r="CL205" s="545">
        <f>IF(AND($O205&gt;0,Sheet1!EN207=1),(1-($O205-Sheet1!$L207)/$O205)*CF205,0)</f>
        <v>0</v>
      </c>
      <c r="CM205" s="545">
        <f>IF(AND(Sheet1!$L207=0,Sheet1!$L206=0, Calculation!CE205&lt;Sheet1!EJ207-0.1,Sheet1!EJ207=Sheet1!EJ206,Sheet1!EJ207=Sheet1!EJ208),Sheet1!EJ207,CF205-CL205)</f>
        <v>7.014095022624435</v>
      </c>
      <c r="CN205" s="545"/>
      <c r="CO205" s="560"/>
      <c r="CP205" s="560">
        <f t="shared" si="405"/>
        <v>594.54329436420153</v>
      </c>
      <c r="CQ205" s="560"/>
      <c r="CR205" s="560">
        <f ca="1">IF(B205&gt;Summary!$A$1,#N/A,CP205*MGtoAF)</f>
        <v>1824.0588271093702</v>
      </c>
      <c r="CS205" s="560">
        <f>Sheet1!BK207+Sheet1!BL207+Sheet1!BM207-Sheet1!ER207-DA205</f>
        <v>10.899999999999999</v>
      </c>
      <c r="CT205" s="560">
        <f t="shared" si="406"/>
        <v>10.875339366515837</v>
      </c>
      <c r="CU205" s="560">
        <f>IF(Sheet1!ER207="FM",DA205,0)</f>
        <v>0</v>
      </c>
      <c r="CV205" s="560">
        <f t="shared" si="407"/>
        <v>0</v>
      </c>
      <c r="CW205" s="560">
        <f>IF(Sheet1!ER207="OTHER",DA205,0)</f>
        <v>0</v>
      </c>
      <c r="CX205" s="560">
        <f t="shared" si="408"/>
        <v>0</v>
      </c>
      <c r="CY205" s="560">
        <f t="shared" si="409"/>
        <v>10.899999999999999</v>
      </c>
      <c r="CZ205" s="560">
        <f t="shared" si="410"/>
        <v>10.875339366515837</v>
      </c>
      <c r="DA205" s="560">
        <f>IF(OR(Sheet1!ER207="FM", Sheet1!ER207="OTHER"),SUM(Sheet1!BK207:'Sheet1'!BM207),0)</f>
        <v>0</v>
      </c>
      <c r="DB205" s="545">
        <f>IF(AND($B205&gt;=$FV205,$B205&lt;=$FW205),MAX($CT205,Sheet1!EK207,0),MAX($CT205-(7/36)*$K205,0))</f>
        <v>11</v>
      </c>
      <c r="DC205" s="560">
        <f t="shared" si="411"/>
        <v>0</v>
      </c>
      <c r="DD205" s="545">
        <f t="shared" si="412"/>
        <v>0</v>
      </c>
      <c r="DE205" s="545">
        <f>IF(AND($O205&gt;0,Sheet1!EO207=1),(1-($O205-Sheet1!$L207)/$O205)*CZ205,0)</f>
        <v>0</v>
      </c>
      <c r="DF205" s="545">
        <f>IF(AND(Sheet1!$L207=0,Sheet1!$L206=0, Calculation!CY205&lt;Sheet1!$EK207-0.1,Sheet1!$EK207=Sheet1!$EK206,Sheet1!$EK207=Sheet1!$EK208),Sheet1!$EK207,CZ205-DE205)</f>
        <v>10.875339366515837</v>
      </c>
      <c r="DG205" s="545"/>
      <c r="DH205" s="560">
        <f t="shared" si="413"/>
        <v>19.939999999999998</v>
      </c>
      <c r="DI205" s="560">
        <f t="shared" si="414"/>
        <v>560.55075660194393</v>
      </c>
      <c r="DJ205" s="698">
        <f t="shared" si="415"/>
        <v>19.894886877828057</v>
      </c>
      <c r="DK205" s="560">
        <f ca="1">IF(B205&gt;Summary!$A$1,#N/A,DI205*MGtoAF)</f>
        <v>1719.7697212547639</v>
      </c>
      <c r="DL205" s="698">
        <f t="shared" si="416"/>
        <v>19.939999999999998</v>
      </c>
      <c r="DM205" s="560">
        <f t="shared" si="417"/>
        <v>53.04</v>
      </c>
      <c r="DN205" s="560">
        <f>Sheet1!AB207-DM205</f>
        <v>-0.11999999999999744</v>
      </c>
      <c r="DO205" s="823">
        <f t="shared" si="418"/>
        <v>-2.2624434389139788E-3</v>
      </c>
      <c r="DP205" s="560">
        <f>(VLOOKUP(Sheet1!DC207,hhdcap_wcm,4)-(((VLOOKUP(Sheet1!DC207,hhdcap_wcm,3)-Sheet1!DC207)/(VLOOKUP(Sheet1!DC207,hhdcap_wcm,3)-VLOOKUP(Sheet1!DC207,hhdcap_wcm,1)))*(VLOOKUP(Sheet1!DC207,hhdcap_wcm,4)-VLOOKUP(Sheet1!DC207,hhdcap_wcm,2))))</f>
        <v>46199.000000112297</v>
      </c>
      <c r="DQ205" s="560">
        <f t="shared" si="419"/>
        <v>-121.700000001023</v>
      </c>
      <c r="DR205" s="560">
        <f t="shared" si="420"/>
        <v>-61.371659102886021</v>
      </c>
      <c r="DS205" s="560">
        <f>Sheet1!EA207*AFtoMG</f>
        <v>0</v>
      </c>
      <c r="DT205" s="560">
        <f>Sheet1!EB207*AFtoMG</f>
        <v>0</v>
      </c>
      <c r="DU205" s="560">
        <f>Sheet1!EC207*AFtoMG</f>
        <v>0</v>
      </c>
      <c r="DV205" s="560">
        <f>Sheet1!ED207*AFtoMG</f>
        <v>0</v>
      </c>
      <c r="DW205" s="560">
        <f t="shared" si="421"/>
        <v>0</v>
      </c>
      <c r="DX205" s="560">
        <f t="shared" si="422"/>
        <v>0</v>
      </c>
      <c r="DY205" s="560">
        <f t="shared" si="423"/>
        <v>3098.1555291499872</v>
      </c>
      <c r="DZ205" s="560">
        <f t="shared" si="424"/>
        <v>9505.1411634321612</v>
      </c>
      <c r="EA205" s="560"/>
      <c r="EB205" s="545">
        <f>IF(OR(B205&lt;FV205,B205&gt;FW205),(MIN(BF205+BY205+CT205+MAX(Sheet1!AA207+AQ205-73,0),K205)),0)</f>
        <v>0</v>
      </c>
      <c r="EC205" s="560"/>
      <c r="ED205" s="560">
        <f t="shared" si="425"/>
        <v>19.894886877828053</v>
      </c>
      <c r="EE205" s="560"/>
      <c r="EF205" s="560">
        <f>Sheet1!EH207+Sheet1!EI207+Sheet1!EJ207+Sheet1!EK207</f>
        <v>28</v>
      </c>
      <c r="EG205" s="560"/>
      <c r="EH205" s="545">
        <f t="shared" si="426"/>
        <v>0</v>
      </c>
      <c r="EI205" s="560">
        <f>IF(Sheet1!ET207=1,SUM('Calculations II'!AT205:BA205)+'Calculations II'!BC205+Sheet1!BV207+'Calculations II'!BE205+AP205,SUM('Calculations II'!AT205:BA205)+'Calculations II'!BC205+Sheet1!BV207+'Calculations II'!BE205+AP205)</f>
        <v>89.36790400000001</v>
      </c>
      <c r="EJ205" s="560">
        <f>Sheet1!AA207+Sheet1!AB207+'Calculations II'!BC205</f>
        <v>105.86371199999999</v>
      </c>
      <c r="EK205" s="560"/>
      <c r="EL205" s="560"/>
      <c r="EM205" s="560">
        <f t="shared" si="427"/>
        <v>41833</v>
      </c>
      <c r="EN205" s="560">
        <f t="shared" si="428"/>
        <v>-28.019547511312219</v>
      </c>
      <c r="EO205" s="560">
        <f t="shared" si="429"/>
        <v>-43.346240000000002</v>
      </c>
      <c r="EP205" s="560">
        <v>0</v>
      </c>
      <c r="EQ205" s="560">
        <v>0</v>
      </c>
      <c r="ER205" s="560">
        <v>0</v>
      </c>
      <c r="ES205" s="545">
        <f t="shared" si="454"/>
        <v>-6.6405039536666086</v>
      </c>
      <c r="ET205" s="560">
        <f>-(VLOOKUP(Sheet1!BQ207,Lookup!$O$4:$Q$262,2)-VLOOKUP(Sheet1!BQ206,Lookup!$O$4:$Q$262,2))/1000000</f>
        <v>-3.3203288369778021</v>
      </c>
      <c r="EU205" s="560">
        <f>-(VLOOKUP(Sheet1!BR207,Lookup!$O$4:$Q$262,3)-VLOOKUP(Sheet1!BR206,Lookup!$O$4:$Q$262,3))/1000000</f>
        <v>-3.3201751166888065</v>
      </c>
      <c r="EV205" s="560"/>
      <c r="EW205" s="560"/>
      <c r="EX205" s="560"/>
      <c r="EY205" s="560"/>
      <c r="EZ205" s="560"/>
      <c r="FA205" s="560"/>
      <c r="FB205" s="560"/>
      <c r="FC205" s="560"/>
      <c r="FD205" s="594">
        <f t="shared" si="443"/>
        <v>1138.9555555554764</v>
      </c>
      <c r="FE205" s="594" t="e">
        <f t="shared" si="431"/>
        <v>#N/A</v>
      </c>
      <c r="FF205" s="595" t="e">
        <f t="shared" si="432"/>
        <v>#N/A</v>
      </c>
      <c r="FG205" s="596" t="s">
        <v>692</v>
      </c>
      <c r="FH205" s="596" t="s">
        <v>692</v>
      </c>
      <c r="FI205" s="594" t="e">
        <v>#N/A</v>
      </c>
      <c r="FJ205" s="778">
        <v>22409</v>
      </c>
      <c r="FK205" s="560"/>
      <c r="FL205" s="560"/>
      <c r="FM205" s="560"/>
      <c r="FN205" s="560"/>
      <c r="FO205" s="560">
        <f>O205+((Sheet1!CS207)*GPMtoMGD)</f>
        <v>105.86371199999999</v>
      </c>
      <c r="FP205" s="560">
        <f>IF(Sheet1!AA207+AQ205&lt;=Calculation!N205,AQ205,Calculation!N205-Sheet1!AA207)</f>
        <v>25.6</v>
      </c>
      <c r="FQ205" s="560">
        <f>(Sheet1!BP207+Sheet1!BO207)/694.4</f>
        <v>4.2332949308755756</v>
      </c>
      <c r="FR205" s="560"/>
      <c r="FS205" s="560"/>
      <c r="FT205" s="560"/>
      <c r="FU205" s="560"/>
      <c r="FV205" s="695">
        <f t="shared" si="455"/>
        <v>41827</v>
      </c>
      <c r="FW205" s="695">
        <f t="shared" si="456"/>
        <v>41934</v>
      </c>
      <c r="FX205" s="560"/>
      <c r="FY205" s="560"/>
      <c r="FZ205" s="560"/>
      <c r="GA205" s="560"/>
      <c r="GB205" s="560" t="str">
        <f t="shared" si="457"/>
        <v>n</v>
      </c>
      <c r="GC205" s="564">
        <f t="shared" si="458"/>
        <v>41691</v>
      </c>
      <c r="GD205" s="695">
        <f t="shared" si="459"/>
        <v>41807</v>
      </c>
      <c r="GE205" s="560">
        <v>6518.9</v>
      </c>
      <c r="GF205" s="695">
        <f t="shared" si="460"/>
        <v>41808</v>
      </c>
      <c r="GG205" s="560">
        <f t="shared" si="374"/>
        <v>3259</v>
      </c>
      <c r="GH205" s="564">
        <f t="shared" si="461"/>
        <v>41934</v>
      </c>
      <c r="GJ205" s="545">
        <f t="shared" si="462"/>
        <v>0</v>
      </c>
      <c r="GK205" s="560" t="str">
        <f t="shared" si="433"/>
        <v/>
      </c>
      <c r="GL205" s="560">
        <f t="shared" si="463"/>
        <v>0</v>
      </c>
      <c r="GM205" s="560" t="str">
        <f t="shared" si="464"/>
        <v/>
      </c>
      <c r="GN205" s="560">
        <f>IF(GK205="P",Lookup!$M$12,IF(GK205="PP",Lookup!$M$13,IF(GK205="PPP",Lookup!$M$14,IF(GK205="T",Lookup!$M$15,IF(GK205="TP",Lookup!$M$16,IF(GK205="TPP",Lookup!$M$17,IF(GK205="TPPP",Lookup!$M$18,0)))))))*GJ205</f>
        <v>0</v>
      </c>
      <c r="GO205" s="560">
        <f t="shared" si="465"/>
        <v>0</v>
      </c>
      <c r="GP205" s="560">
        <f t="shared" si="434"/>
        <v>4060.2423333333336</v>
      </c>
      <c r="GQ205" s="560">
        <f t="shared" si="473"/>
        <v>1323.4166666666667</v>
      </c>
      <c r="GR205" s="560"/>
      <c r="GS205" s="560">
        <f t="shared" si="466"/>
        <v>0</v>
      </c>
      <c r="GT205" s="560" t="str">
        <f t="shared" si="467"/>
        <v/>
      </c>
      <c r="GU205" s="560">
        <f>IF(GK205="P",Lookup!$N$12,IF(GK205="PP",Lookup!$N$13,IF(GK205="PPP",Lookup!$N$14,IF(GK205="T",Lookup!$N$15,IF(GK205="TP",Lookup!$N$16,IF(GK205="TPP",Lookup!$N$17,IF(GK205="TPPP",Lookup!$N$18,0)))))))*GJ205</f>
        <v>0</v>
      </c>
      <c r="GV205" s="560">
        <f t="shared" si="468"/>
        <v>0</v>
      </c>
      <c r="GW205" s="560">
        <f t="shared" si="435"/>
        <v>1901.0702817346926</v>
      </c>
      <c r="GX205" s="560">
        <f t="shared" si="474"/>
        <v>619.64481151717484</v>
      </c>
      <c r="GY205" s="560"/>
      <c r="GZ205" s="560">
        <f t="shared" si="469"/>
        <v>0</v>
      </c>
      <c r="HA205" s="560" t="str">
        <f t="shared" si="470"/>
        <v/>
      </c>
      <c r="HB205" s="560">
        <f>IF(GK205="P",Lookup!$N$12,IF(GK205="PP",Lookup!$N$13,IF(GK205="PPP",Lookup!$N$14,IF(GK205="T",Lookup!$N$15,IF(GK205="TP",Lookup!$N$16,IF(GK205="TPP",Lookup!$N$17,IF(GK205="TPPP",Lookup!$N$18,0)))))))*GJ205</f>
        <v>0</v>
      </c>
      <c r="HC205" s="545">
        <f t="shared" si="436"/>
        <v>0</v>
      </c>
      <c r="HD205" s="560">
        <f t="shared" si="437"/>
        <v>1824.0588271093702</v>
      </c>
      <c r="HE205" s="560">
        <f t="shared" si="475"/>
        <v>594.54329436420153</v>
      </c>
      <c r="HF205" s="560"/>
      <c r="HG205" s="560">
        <f t="shared" si="471"/>
        <v>0</v>
      </c>
      <c r="HH205" s="560" t="str">
        <f t="shared" si="472"/>
        <v/>
      </c>
      <c r="HI205" s="560">
        <f>IF(GK205="P",Lookup!$N$12,IF(GK205="PP",Lookup!$N$13,IF(GK205="PPP",Lookup!$N$14,IF(GK205="T",Lookup!$N$15,IF(GK205="TP",Lookup!$N$16,IF(GK205="TPP",Lookup!$N$17,IF(GK205="TPPP",Lookup!$N$18,0)))))))*GJ205</f>
        <v>0</v>
      </c>
      <c r="HJ205" s="545">
        <f t="shared" si="438"/>
        <v>0</v>
      </c>
      <c r="HK205" s="560">
        <f t="shared" si="439"/>
        <v>1719.7697212547639</v>
      </c>
      <c r="HL205" s="560">
        <f t="shared" si="476"/>
        <v>560.55075660194393</v>
      </c>
    </row>
    <row r="206" spans="1:221">
      <c r="A206" s="580" t="s">
        <v>4</v>
      </c>
      <c r="B206" s="556">
        <v>41834</v>
      </c>
      <c r="C206" s="561">
        <v>0</v>
      </c>
      <c r="D206" s="529">
        <f t="shared" si="372"/>
        <v>300</v>
      </c>
      <c r="E206" s="529">
        <f t="shared" si="373"/>
        <v>250</v>
      </c>
      <c r="F206" s="529">
        <v>250</v>
      </c>
      <c r="G206" s="560">
        <f>DR206+Sheet1!CZ208</f>
        <v>299.53403933485708</v>
      </c>
      <c r="H206" s="1082">
        <f t="shared" si="442"/>
        <v>0</v>
      </c>
      <c r="I206" s="559">
        <f>MAX(Sheet1!Z208-AT206+(Sheet1!DA208-E206)*CFStoMGD,0)</f>
        <v>144.7088</v>
      </c>
      <c r="J206" s="562">
        <f>IF(AND(B206&gt;=Calculation!GC206,B206&lt;=Calculation!GD206),IF(Sheet1!DB208&gt;=Calculation!D206,64.64,0),MAX(Sheet1!Z208-AT206+(Sheet1!DB208-D206)*CFStoMGD,0))</f>
        <v>26.417600000000004</v>
      </c>
      <c r="K206" s="1101">
        <v>0</v>
      </c>
      <c r="L206" s="560">
        <f>Sheet1!AA208+Sheet1!AB208-Sheet1!L208+(Sheet1!DA208-F206)*CFStoMGD</f>
        <v>192.11879999999999</v>
      </c>
      <c r="M206" s="560">
        <f t="shared" si="376"/>
        <v>197.49117908657266</v>
      </c>
      <c r="N206" s="910">
        <f>IF(Sheet1!DA208&gt;=F206,MIN(73,MIN(MAX(L206,0),MAX(M206,0))),0)</f>
        <v>73</v>
      </c>
      <c r="O206" s="563">
        <f>Sheet1!AA208+Sheet1!AB208</f>
        <v>100.33</v>
      </c>
      <c r="P206" s="563">
        <f t="shared" si="377"/>
        <v>155.21051</v>
      </c>
      <c r="Q206" s="898">
        <f t="shared" si="444"/>
        <v>72.33</v>
      </c>
      <c r="R206" s="829">
        <f t="shared" si="378"/>
        <v>28</v>
      </c>
      <c r="S206" s="898">
        <f t="shared" si="445"/>
        <v>0</v>
      </c>
      <c r="T206" s="898">
        <f t="shared" si="446"/>
        <v>0</v>
      </c>
      <c r="U206" s="898">
        <f t="shared" si="447"/>
        <v>28</v>
      </c>
      <c r="V206" s="898"/>
      <c r="W206" s="898">
        <f t="shared" si="448"/>
        <v>0</v>
      </c>
      <c r="X206" s="898">
        <f t="shared" si="449"/>
        <v>0</v>
      </c>
      <c r="Y206" s="898" t="str">
        <f t="shared" si="450"/>
        <v>FALSE</v>
      </c>
      <c r="Z206" s="898">
        <f t="shared" si="451"/>
        <v>100.33</v>
      </c>
      <c r="AA206" s="898">
        <f t="shared" si="452"/>
        <v>100.33</v>
      </c>
      <c r="AB206" s="898" t="str">
        <f t="shared" si="453"/>
        <v/>
      </c>
      <c r="AC206" s="563">
        <f>Sheet1!Y208*MGDtoCFS</f>
        <v>73.327799999999996</v>
      </c>
      <c r="AD206" s="563">
        <f>Sheet1!Z208*MGDtoCFS</f>
        <v>81.867239999999995</v>
      </c>
      <c r="AE206" s="563">
        <f>Sheet1!AA208*MGDtoCFS</f>
        <v>73.327799999999996</v>
      </c>
      <c r="AF206" s="563">
        <f>Sheet1!AB208*MGDtoCFS</f>
        <v>81.882710000000003</v>
      </c>
      <c r="AG206" s="563">
        <f>Sheet1!L208*MGDtoCFS</f>
        <v>0</v>
      </c>
      <c r="AH206" s="545">
        <f t="shared" si="379"/>
        <v>28.080470809792843</v>
      </c>
      <c r="AI206" s="560">
        <f t="shared" si="380"/>
        <v>43.440488342749525</v>
      </c>
      <c r="AJ206" s="560">
        <f t="shared" si="381"/>
        <v>0</v>
      </c>
      <c r="AK206" s="560">
        <f t="shared" si="382"/>
        <v>0</v>
      </c>
      <c r="AL206" s="560">
        <f>(VLOOKUP(Sheet1!DC208,hhdcap_wcm,4)-(((VLOOKUP(Sheet1!DC208,hhdcap_wcm,3)-Sheet1!DC208)/(VLOOKUP(Sheet1!DC208,hhdcap_wcm,3)-VLOOKUP(Sheet1!DC208,hhdcap_wcm,1)))*(VLOOKUP(Sheet1!DC208,hhdcap_wcm,4)-VLOOKUP(Sheet1!DC208,hhdcap_wcm,2))))</f>
        <v>46055.300000113319</v>
      </c>
      <c r="AM206" s="560">
        <f t="shared" si="383"/>
        <v>-143.69999999897846</v>
      </c>
      <c r="AN206" s="560">
        <f t="shared" si="384"/>
        <v>3070.0750583401941</v>
      </c>
      <c r="AO206" s="560">
        <f t="shared" si="385"/>
        <v>9418.990278987716</v>
      </c>
      <c r="AP206" s="560">
        <f>Sheet1!BA208+Sheet1!BB208+Sheet1!BN208+CD206</f>
        <v>33.700000000000003</v>
      </c>
      <c r="AQ206" s="560">
        <f>Sheet1!BN208+(DO206*Sheet1!BN208)</f>
        <v>31.997231638418079</v>
      </c>
      <c r="AR206" s="560">
        <f>Sheet1!BA208+CD206</f>
        <v>0</v>
      </c>
      <c r="AS206" s="560">
        <f>Sheet1!BA208+Sheet1!BB208+CD206</f>
        <v>1.6</v>
      </c>
      <c r="AT206" s="698">
        <f>0</f>
        <v>0</v>
      </c>
      <c r="AU206" s="560">
        <f>IF(EB206&lt;K206,0,MAX(Sheet1!AA208+AQ206-15/36*K206-N206,Sheet1!EH208,0))</f>
        <v>8</v>
      </c>
      <c r="AV206" s="560">
        <f>IF(OR(B206&gt;=GD206,B206&lt;GC206),0,15/36*K206-MAX(0,64.6-(137.6-(Sheet1!AA208+Sheet1!AB208))))</f>
        <v>0</v>
      </c>
      <c r="AW206" s="698">
        <f>Sheet1!DB208-110</f>
        <v>149</v>
      </c>
      <c r="AX206" s="698">
        <f>Sheet1!DA208-265</f>
        <v>127</v>
      </c>
      <c r="AY206" s="698">
        <f t="shared" si="386"/>
        <v>0.67000000000000171</v>
      </c>
      <c r="AZ206" s="698">
        <v>0</v>
      </c>
      <c r="BA206" s="698">
        <f t="shared" si="387"/>
        <v>0</v>
      </c>
      <c r="BB206" s="560">
        <f t="shared" si="388"/>
        <v>1315.4166666666667</v>
      </c>
      <c r="BC206" s="560"/>
      <c r="BD206" s="560">
        <f ca="1">IF(B206&gt;Summary!$A$1,#N/A,BB206*MGtoAF)</f>
        <v>4035.6983333333337</v>
      </c>
      <c r="BE206" s="560">
        <f>Sheet1!BG208+Sheet1!BH208+Sheet1!BI208-BM206</f>
        <v>2.31</v>
      </c>
      <c r="BF206" s="560">
        <f t="shared" si="389"/>
        <v>2.3026045197740115</v>
      </c>
      <c r="BG206" s="560">
        <f>IF(Sheet1!EP208="FM",BM206,0)</f>
        <v>0</v>
      </c>
      <c r="BH206" s="560">
        <f t="shared" si="390"/>
        <v>0</v>
      </c>
      <c r="BI206" s="560">
        <f>IF(Sheet1!EP208="OTHER",BM206,0)</f>
        <v>0</v>
      </c>
      <c r="BJ206" s="560">
        <f t="shared" si="391"/>
        <v>0</v>
      </c>
      <c r="BK206" s="560">
        <f t="shared" si="392"/>
        <v>2.31</v>
      </c>
      <c r="BL206" s="560">
        <f t="shared" si="393"/>
        <v>2.3026045197740115</v>
      </c>
      <c r="BM206" s="560">
        <f>IF(OR(Sheet1!EP208="FM", Sheet1!EP208="OTHER"),SUM(Sheet1!BG208:'Sheet1'!BI208),0)</f>
        <v>0</v>
      </c>
      <c r="BN206" s="545">
        <f>IF(AND($B206&gt;=$FV206,$B206&lt;=$FW206),MAX(BF206,Sheet1!EI208,0),MAX(BF206-(7/36)*$K206,0))</f>
        <v>3</v>
      </c>
      <c r="BO206" s="560">
        <f t="shared" si="394"/>
        <v>0</v>
      </c>
      <c r="BP206" s="545">
        <f t="shared" si="395"/>
        <v>0</v>
      </c>
      <c r="BQ206" s="545">
        <f>IF(AND($O206&gt;0,Sheet1!EM208=1),(1-($O206-Sheet1!$L208)/$O206)*BL206,0)</f>
        <v>0</v>
      </c>
      <c r="BR206" s="545">
        <f>IF(AND(Sheet1!$L208=0,Sheet1!$L207=0, Calculation!BK206&lt;Sheet1!$EI208-0.1,Sheet1!$EI208=Sheet1!$EI207,Sheet1!$EI208=Sheet1!$EI209),Sheet1!$EI208,BL206-BQ206)</f>
        <v>2.3026045197740115</v>
      </c>
      <c r="BS206" s="560"/>
      <c r="BT206" s="560"/>
      <c r="BU206" s="560">
        <f t="shared" si="396"/>
        <v>616.64481151717484</v>
      </c>
      <c r="BV206" s="560"/>
      <c r="BW206" s="560">
        <f ca="1">IF(B206&gt;Summary!$A$1,#N/A,BU206*MGtoAF)</f>
        <v>1891.8662817346924</v>
      </c>
      <c r="BX206" s="560">
        <f>Sheet1!BC208+Sheet1!BD208+Sheet1!BE208+Sheet1!BF208-CG206-CH206</f>
        <v>6.1000000000000005</v>
      </c>
      <c r="BY206" s="560">
        <f t="shared" si="397"/>
        <v>6.0804708097928444</v>
      </c>
      <c r="BZ206" s="560">
        <f>IF(Sheet1!EQ208="FM",CH206,0)</f>
        <v>0</v>
      </c>
      <c r="CA206" s="560">
        <f t="shared" si="398"/>
        <v>0</v>
      </c>
      <c r="CB206" s="560">
        <f>IF(Sheet1!EQ208="OTHER",CH206,0)</f>
        <v>0</v>
      </c>
      <c r="CC206" s="560">
        <f t="shared" si="399"/>
        <v>0</v>
      </c>
      <c r="CD206" s="560">
        <f t="shared" si="400"/>
        <v>0</v>
      </c>
      <c r="CE206" s="560">
        <f t="shared" si="401"/>
        <v>6.1000000000000005</v>
      </c>
      <c r="CF206" s="560">
        <f t="shared" si="402"/>
        <v>6.0804708097928444</v>
      </c>
      <c r="CG206" s="560">
        <f>IF(Sheet1!EQ208="CWA",SUM(Sheet1!BC208:'Sheet1'!BF208),0)</f>
        <v>0</v>
      </c>
      <c r="CH206" s="560">
        <f>IF(OR(Sheet1!EQ208="FM", Sheet1!EQ208="OTHER"),SUM(Sheet1!BC208:'Sheet1'!BF208),0)</f>
        <v>0</v>
      </c>
      <c r="CI206" s="545">
        <f>IF(AND($B206&gt;=$FV206,$B206&lt;=$FW206),MAX(CF206,Sheet1!EJ208,0),MAX(CF206-(7/36)*$K206,0))</f>
        <v>6.0804708097928444</v>
      </c>
      <c r="CJ206" s="560">
        <f t="shared" si="403"/>
        <v>0</v>
      </c>
      <c r="CK206" s="545">
        <f t="shared" si="404"/>
        <v>0</v>
      </c>
      <c r="CL206" s="545">
        <f>IF(AND($O206&gt;0,Sheet1!EN208=1),(1-($O206-Sheet1!$L208)/$O206)*CF206,0)</f>
        <v>0</v>
      </c>
      <c r="CM206" s="545">
        <f>IF(AND(Sheet1!$L208=0,Sheet1!$L207=0, Calculation!CE206&lt;Sheet1!EJ208-0.1,Sheet1!EJ208=Sheet1!EJ207,Sheet1!EJ208=Sheet1!EJ209),Sheet1!EJ208,CF206-CL206)</f>
        <v>6.0804708097928444</v>
      </c>
      <c r="CN206" s="545"/>
      <c r="CO206" s="560"/>
      <c r="CP206" s="560">
        <f t="shared" si="405"/>
        <v>588.46282355440871</v>
      </c>
      <c r="CQ206" s="560"/>
      <c r="CR206" s="560">
        <f ca="1">IF(B206&gt;Summary!$A$1,#N/A,CP206*MGtoAF)</f>
        <v>1805.403942664926</v>
      </c>
      <c r="CS206" s="560">
        <f>Sheet1!BK208+Sheet1!BL208+Sheet1!BM208-Sheet1!ER208-DA206</f>
        <v>10.99</v>
      </c>
      <c r="CT206" s="560">
        <f t="shared" si="406"/>
        <v>10.954815442561205</v>
      </c>
      <c r="CU206" s="560">
        <f>IF(Sheet1!ER208="FM",DA206,0)</f>
        <v>0</v>
      </c>
      <c r="CV206" s="560">
        <f t="shared" si="407"/>
        <v>0</v>
      </c>
      <c r="CW206" s="560">
        <f>IF(Sheet1!ER208="OTHER",DA206,0)</f>
        <v>0</v>
      </c>
      <c r="CX206" s="560">
        <f t="shared" si="408"/>
        <v>0</v>
      </c>
      <c r="CY206" s="560">
        <f t="shared" si="409"/>
        <v>10.99</v>
      </c>
      <c r="CZ206" s="560">
        <f t="shared" si="410"/>
        <v>10.954815442561205</v>
      </c>
      <c r="DA206" s="560">
        <f>IF(OR(Sheet1!ER208="FM", Sheet1!ER208="OTHER"),SUM(Sheet1!BK208:'Sheet1'!BM208),0)</f>
        <v>0</v>
      </c>
      <c r="DB206" s="545">
        <f>IF(AND($B206&gt;=$FV206,$B206&lt;=$FW206),MAX($CT206,Sheet1!EK208,0),MAX($CT206-(7/36)*$K206,0))</f>
        <v>11</v>
      </c>
      <c r="DC206" s="560">
        <f t="shared" si="411"/>
        <v>0</v>
      </c>
      <c r="DD206" s="545">
        <f t="shared" si="412"/>
        <v>0</v>
      </c>
      <c r="DE206" s="545">
        <f>IF(AND($O206&gt;0,Sheet1!EO208=1),(1-($O206-Sheet1!$L208)/$O206)*CZ206,0)</f>
        <v>0</v>
      </c>
      <c r="DF206" s="545">
        <f>IF(AND(Sheet1!$L208=0,Sheet1!$L207=0, Calculation!CY206&lt;Sheet1!$EK208-0.1,Sheet1!$EK208=Sheet1!$EK207,Sheet1!$EK208=Sheet1!$EK209),Sheet1!$EK208,CZ206-DE206)</f>
        <v>10.954815442561205</v>
      </c>
      <c r="DG206" s="545"/>
      <c r="DH206" s="560">
        <f t="shared" si="413"/>
        <v>19.399999999999999</v>
      </c>
      <c r="DI206" s="560">
        <f t="shared" si="414"/>
        <v>549.55075660194393</v>
      </c>
      <c r="DJ206" s="698">
        <f t="shared" si="415"/>
        <v>19.337890772128063</v>
      </c>
      <c r="DK206" s="560">
        <f ca="1">IF(B206&gt;Summary!$A$1,#N/A,DI206*MGtoAF)</f>
        <v>1686.0217212547641</v>
      </c>
      <c r="DL206" s="698">
        <f t="shared" si="416"/>
        <v>19.399999999999999</v>
      </c>
      <c r="DM206" s="560">
        <f t="shared" si="417"/>
        <v>53.1</v>
      </c>
      <c r="DN206" s="560">
        <f>Sheet1!AB208-DM206</f>
        <v>-0.17000000000000171</v>
      </c>
      <c r="DO206" s="823">
        <f t="shared" si="418"/>
        <v>-3.2015065913371318E-3</v>
      </c>
      <c r="DP206" s="560">
        <f>(VLOOKUP(Sheet1!DC208,hhdcap_wcm,4)-(((VLOOKUP(Sheet1!DC208,hhdcap_wcm,3)-Sheet1!DC208)/(VLOOKUP(Sheet1!DC208,hhdcap_wcm,3)-VLOOKUP(Sheet1!DC208,hhdcap_wcm,1)))*(VLOOKUP(Sheet1!DC208,hhdcap_wcm,4)-VLOOKUP(Sheet1!DC208,hhdcap_wcm,2))))</f>
        <v>46055.300000113319</v>
      </c>
      <c r="DQ206" s="560">
        <f t="shared" si="419"/>
        <v>-143.69999999897846</v>
      </c>
      <c r="DR206" s="560">
        <f t="shared" si="420"/>
        <v>-72.46596066514293</v>
      </c>
      <c r="DS206" s="560">
        <f>Sheet1!EA208*AFtoMG</f>
        <v>0</v>
      </c>
      <c r="DT206" s="560">
        <f>Sheet1!EB208*AFtoMG</f>
        <v>0</v>
      </c>
      <c r="DU206" s="560">
        <f>Sheet1!EC208*AFtoMG</f>
        <v>0</v>
      </c>
      <c r="DV206" s="560">
        <f>Sheet1!ED208*AFtoMG</f>
        <v>0</v>
      </c>
      <c r="DW206" s="560">
        <f t="shared" si="421"/>
        <v>0</v>
      </c>
      <c r="DX206" s="560">
        <f t="shared" si="422"/>
        <v>0</v>
      </c>
      <c r="DY206" s="560">
        <f t="shared" si="423"/>
        <v>3070.0750583401941</v>
      </c>
      <c r="DZ206" s="560">
        <f t="shared" si="424"/>
        <v>9418.990278987716</v>
      </c>
      <c r="EA206" s="560"/>
      <c r="EB206" s="545">
        <f>IF(OR(B206&lt;FV206,B206&gt;FW206),(MIN(BF206+BY206+CT206+MAX(Sheet1!AA208+AQ206-73,0),K206)),0)</f>
        <v>0</v>
      </c>
      <c r="EC206" s="560"/>
      <c r="ED206" s="560">
        <f t="shared" si="425"/>
        <v>19.337890772128063</v>
      </c>
      <c r="EE206" s="560"/>
      <c r="EF206" s="560">
        <f>Sheet1!EH208+Sheet1!EI208+Sheet1!EJ208+Sheet1!EK208</f>
        <v>28</v>
      </c>
      <c r="EG206" s="560"/>
      <c r="EH206" s="545">
        <f t="shared" si="426"/>
        <v>0</v>
      </c>
      <c r="EI206" s="560">
        <f>IF(Sheet1!ET208=1,SUM('Calculations II'!AT206:BA206)+'Calculations II'!BC206+Sheet1!BV208+'Calculations II'!BE206+AP206,SUM('Calculations II'!AT206:BA206)+'Calculations II'!BC206+Sheet1!BV208+'Calculations II'!BE206+AP206)</f>
        <v>89.444031999999993</v>
      </c>
      <c r="EJ206" s="560">
        <f>Sheet1!AA208+Sheet1!AB208+'Calculations II'!BC206</f>
        <v>102.316192</v>
      </c>
      <c r="EK206" s="560"/>
      <c r="EL206" s="560"/>
      <c r="EM206" s="560">
        <f t="shared" si="427"/>
        <v>41834</v>
      </c>
      <c r="EN206" s="560">
        <f t="shared" si="428"/>
        <v>-28.080470809792843</v>
      </c>
      <c r="EO206" s="560">
        <f t="shared" si="429"/>
        <v>-43.440488342749525</v>
      </c>
      <c r="EP206" s="560">
        <v>0</v>
      </c>
      <c r="EQ206" s="560">
        <v>0</v>
      </c>
      <c r="ER206" s="560">
        <v>0</v>
      </c>
      <c r="ES206" s="545">
        <f t="shared" si="454"/>
        <v>-3.6000210447929648</v>
      </c>
      <c r="ET206" s="560">
        <f>-(VLOOKUP(Sheet1!BQ208,Lookup!$O$4:$Q$262,2)-VLOOKUP(Sheet1!BQ207,Lookup!$O$4:$Q$262,2))/1000000</f>
        <v>-1.8000521727476977</v>
      </c>
      <c r="EU206" s="560">
        <f>-(VLOOKUP(Sheet1!BR208,Lookup!$O$4:$Q$262,3)-VLOOKUP(Sheet1!BR207,Lookup!$O$4:$Q$262,3))/1000000</f>
        <v>-1.7999688720452673</v>
      </c>
      <c r="EV206" s="560"/>
      <c r="EW206" s="560"/>
      <c r="EX206" s="560"/>
      <c r="EY206" s="560"/>
      <c r="EZ206" s="560"/>
      <c r="FA206" s="560"/>
      <c r="FB206" s="560"/>
      <c r="FC206" s="560"/>
      <c r="FD206" s="594">
        <f t="shared" si="443"/>
        <v>1138.8388888888098</v>
      </c>
      <c r="FE206" s="594" t="e">
        <f t="shared" si="431"/>
        <v>#N/A</v>
      </c>
      <c r="FF206" s="595" t="e">
        <f t="shared" si="432"/>
        <v>#N/A</v>
      </c>
      <c r="FG206" s="596" t="s">
        <v>692</v>
      </c>
      <c r="FH206" s="596" t="s">
        <v>692</v>
      </c>
      <c r="FI206" s="594" t="e">
        <v>#N/A</v>
      </c>
      <c r="FJ206" s="778">
        <v>22325</v>
      </c>
      <c r="FK206" s="560"/>
      <c r="FL206" s="560"/>
      <c r="FM206" s="560"/>
      <c r="FN206" s="560"/>
      <c r="FO206" s="560">
        <f>O206+((Sheet1!CS208)*GPMtoMGD)</f>
        <v>102.316192</v>
      </c>
      <c r="FP206" s="560">
        <f>IF(Sheet1!AA208+AQ206&lt;=Calculation!N206,AQ206,Calculation!N206-Sheet1!AA208)</f>
        <v>25.6</v>
      </c>
      <c r="FQ206" s="560">
        <f>(Sheet1!BP208+Sheet1!BO208)/694.4</f>
        <v>4.4798387096774199</v>
      </c>
      <c r="FR206" s="560"/>
      <c r="FS206" s="560"/>
      <c r="FT206" s="560"/>
      <c r="FU206" s="560"/>
      <c r="FV206" s="695">
        <f t="shared" si="455"/>
        <v>41827</v>
      </c>
      <c r="FW206" s="695">
        <f t="shared" si="456"/>
        <v>41934</v>
      </c>
      <c r="FX206" s="560"/>
      <c r="FY206" s="560"/>
      <c r="FZ206" s="560"/>
      <c r="GA206" s="560"/>
      <c r="GB206" s="560" t="str">
        <f t="shared" si="457"/>
        <v>n</v>
      </c>
      <c r="GC206" s="564">
        <f t="shared" si="458"/>
        <v>41691</v>
      </c>
      <c r="GD206" s="695">
        <f t="shared" si="459"/>
        <v>41807</v>
      </c>
      <c r="GE206" s="560">
        <v>6518.9</v>
      </c>
      <c r="GF206" s="695">
        <f t="shared" si="460"/>
        <v>41808</v>
      </c>
      <c r="GG206" s="560">
        <f t="shared" si="374"/>
        <v>3259</v>
      </c>
      <c r="GH206" s="564">
        <f t="shared" si="461"/>
        <v>41934</v>
      </c>
      <c r="GJ206" s="545">
        <f t="shared" si="462"/>
        <v>0</v>
      </c>
      <c r="GK206" s="560" t="str">
        <f t="shared" si="433"/>
        <v/>
      </c>
      <c r="GL206" s="560">
        <f t="shared" si="463"/>
        <v>0</v>
      </c>
      <c r="GM206" s="560" t="str">
        <f t="shared" si="464"/>
        <v/>
      </c>
      <c r="GN206" s="560">
        <f>IF(GK206="P",Lookup!$M$12,IF(GK206="PP",Lookup!$M$13,IF(GK206="PPP",Lookup!$M$14,IF(GK206="T",Lookup!$M$15,IF(GK206="TP",Lookup!$M$16,IF(GK206="TPP",Lookup!$M$17,IF(GK206="TPPP",Lookup!$M$18,0)))))))*GJ206</f>
        <v>0</v>
      </c>
      <c r="GO206" s="560">
        <f t="shared" si="465"/>
        <v>0</v>
      </c>
      <c r="GP206" s="560">
        <f t="shared" si="434"/>
        <v>4035.6983333333337</v>
      </c>
      <c r="GQ206" s="560">
        <f t="shared" si="473"/>
        <v>1315.4166666666667</v>
      </c>
      <c r="GR206" s="560"/>
      <c r="GS206" s="560">
        <f t="shared" si="466"/>
        <v>0</v>
      </c>
      <c r="GT206" s="560" t="str">
        <f t="shared" si="467"/>
        <v/>
      </c>
      <c r="GU206" s="560">
        <f>IF(GK206="P",Lookup!$N$12,IF(GK206="PP",Lookup!$N$13,IF(GK206="PPP",Lookup!$N$14,IF(GK206="T",Lookup!$N$15,IF(GK206="TP",Lookup!$N$16,IF(GK206="TPP",Lookup!$N$17,IF(GK206="TPPP",Lookup!$N$18,0)))))))*GJ206</f>
        <v>0</v>
      </c>
      <c r="GV206" s="560">
        <f t="shared" si="468"/>
        <v>0</v>
      </c>
      <c r="GW206" s="560">
        <f t="shared" si="435"/>
        <v>1891.8662817346924</v>
      </c>
      <c r="GX206" s="560">
        <f t="shared" si="474"/>
        <v>616.64481151717484</v>
      </c>
      <c r="GY206" s="560"/>
      <c r="GZ206" s="560">
        <f t="shared" si="469"/>
        <v>0</v>
      </c>
      <c r="HA206" s="560" t="str">
        <f t="shared" si="470"/>
        <v/>
      </c>
      <c r="HB206" s="560">
        <f>IF(GK206="P",Lookup!$N$12,IF(GK206="PP",Lookup!$N$13,IF(GK206="PPP",Lookup!$N$14,IF(GK206="T",Lookup!$N$15,IF(GK206="TP",Lookup!$N$16,IF(GK206="TPP",Lookup!$N$17,IF(GK206="TPPP",Lookup!$N$18,0)))))))*GJ206</f>
        <v>0</v>
      </c>
      <c r="HC206" s="545">
        <f t="shared" si="436"/>
        <v>0</v>
      </c>
      <c r="HD206" s="560">
        <f t="shared" si="437"/>
        <v>1805.403942664926</v>
      </c>
      <c r="HE206" s="560">
        <f t="shared" si="475"/>
        <v>588.46282355440871</v>
      </c>
      <c r="HF206" s="560"/>
      <c r="HG206" s="560">
        <f t="shared" si="471"/>
        <v>0</v>
      </c>
      <c r="HH206" s="560" t="str">
        <f t="shared" si="472"/>
        <v/>
      </c>
      <c r="HI206" s="560">
        <f>IF(GK206="P",Lookup!$N$12,IF(GK206="PP",Lookup!$N$13,IF(GK206="PPP",Lookup!$N$14,IF(GK206="T",Lookup!$N$15,IF(GK206="TP",Lookup!$N$16,IF(GK206="TPP",Lookup!$N$17,IF(GK206="TPPP",Lookup!$N$18,0)))))))*GJ206</f>
        <v>0</v>
      </c>
      <c r="HJ206" s="545">
        <f t="shared" si="438"/>
        <v>0</v>
      </c>
      <c r="HK206" s="560">
        <f t="shared" si="439"/>
        <v>1686.0217212547641</v>
      </c>
      <c r="HL206" s="560">
        <f t="shared" si="476"/>
        <v>549.55075660194393</v>
      </c>
    </row>
    <row r="207" spans="1:221">
      <c r="A207" s="580" t="s">
        <v>5</v>
      </c>
      <c r="B207" s="556">
        <v>41835</v>
      </c>
      <c r="C207" s="561">
        <v>0</v>
      </c>
      <c r="D207" s="529">
        <f t="shared" si="372"/>
        <v>200</v>
      </c>
      <c r="E207" s="529">
        <f t="shared" si="373"/>
        <v>400</v>
      </c>
      <c r="F207" s="529">
        <v>250</v>
      </c>
      <c r="G207" s="560">
        <f>DR207+Sheet1!CZ209</f>
        <v>271.2455874925443</v>
      </c>
      <c r="H207" s="1082">
        <f t="shared" si="442"/>
        <v>46.053147755180639</v>
      </c>
      <c r="I207" s="559">
        <f>MAX(Sheet1!Z209-AT207+(Sheet1!DA209-E207)*CFStoMGD,0)</f>
        <v>44.516800000000003</v>
      </c>
      <c r="J207" s="562">
        <f>IF(AND(B207&gt;=Calculation!GC207,B207&lt;=Calculation!GD207),IF(Sheet1!DB209&gt;=Calculation!D207,64.64,0),MAX(Sheet1!Z209-AT207+(Sheet1!DB209-D207)*CFStoMGD,0))</f>
        <v>87.179200000000009</v>
      </c>
      <c r="K207" s="1101">
        <v>0</v>
      </c>
      <c r="L207" s="560">
        <f>Sheet1!AA209+Sheet1!AB209-Sheet1!L209+(Sheet1!DA209-F207)*CFStoMGD</f>
        <v>188.88679999999999</v>
      </c>
      <c r="M207" s="560">
        <f t="shared" si="376"/>
        <v>178.83981071028427</v>
      </c>
      <c r="N207" s="910">
        <f>IF(Sheet1!DA209&gt;=F207,MIN(73,MIN(MAX(L207,0),MAX(M207,0))),0)</f>
        <v>73</v>
      </c>
      <c r="O207" s="563">
        <f>Sheet1!AA209+Sheet1!AB209</f>
        <v>100.33</v>
      </c>
      <c r="P207" s="563">
        <f t="shared" si="377"/>
        <v>155.21051</v>
      </c>
      <c r="Q207" s="898">
        <f t="shared" si="444"/>
        <v>72.33</v>
      </c>
      <c r="R207" s="829">
        <f t="shared" si="378"/>
        <v>28</v>
      </c>
      <c r="S207" s="898">
        <f t="shared" si="445"/>
        <v>0</v>
      </c>
      <c r="T207" s="898">
        <f t="shared" si="446"/>
        <v>0</v>
      </c>
      <c r="U207" s="898">
        <f t="shared" si="447"/>
        <v>28</v>
      </c>
      <c r="V207" s="898"/>
      <c r="W207" s="898">
        <f t="shared" si="448"/>
        <v>0</v>
      </c>
      <c r="X207" s="898">
        <f t="shared" si="449"/>
        <v>0</v>
      </c>
      <c r="Y207" s="898" t="str">
        <f t="shared" si="450"/>
        <v>FALSE</v>
      </c>
      <c r="Z207" s="898">
        <f t="shared" si="451"/>
        <v>100.33</v>
      </c>
      <c r="AA207" s="898">
        <f t="shared" si="452"/>
        <v>100.33</v>
      </c>
      <c r="AB207" s="898" t="str">
        <f t="shared" si="453"/>
        <v/>
      </c>
      <c r="AC207" s="563">
        <f>Sheet1!Y209*MGDtoCFS</f>
        <v>73.327799999999996</v>
      </c>
      <c r="AD207" s="563">
        <f>Sheet1!Z209*MGDtoCFS</f>
        <v>81.867239999999995</v>
      </c>
      <c r="AE207" s="563">
        <f>Sheet1!AA209*MGDtoCFS</f>
        <v>73.327799999999996</v>
      </c>
      <c r="AF207" s="563">
        <f>Sheet1!AB209*MGDtoCFS</f>
        <v>81.882710000000003</v>
      </c>
      <c r="AG207" s="563">
        <f>Sheet1!L209*MGDtoCFS</f>
        <v>0</v>
      </c>
      <c r="AH207" s="545">
        <f t="shared" si="379"/>
        <v>28</v>
      </c>
      <c r="AI207" s="560">
        <f t="shared" si="380"/>
        <v>43.315999999999995</v>
      </c>
      <c r="AJ207" s="560">
        <f t="shared" si="381"/>
        <v>0</v>
      </c>
      <c r="AK207" s="560">
        <f t="shared" si="382"/>
        <v>0</v>
      </c>
      <c r="AL207" s="560">
        <f>(VLOOKUP(Sheet1!DC209,hhdcap_wcm,4)-(((VLOOKUP(Sheet1!DC209,hhdcap_wcm,3)-Sheet1!DC209)/(VLOOKUP(Sheet1!DC209,hhdcap_wcm,3)-VLOOKUP(Sheet1!DC209,hhdcap_wcm,1)))*(VLOOKUP(Sheet1!DC209,hhdcap_wcm,4)-VLOOKUP(Sheet1!DC209,hhdcap_wcm,2))))</f>
        <v>45879.300000111034</v>
      </c>
      <c r="AM207" s="560">
        <f t="shared" si="383"/>
        <v>-176.00000000228465</v>
      </c>
      <c r="AN207" s="560">
        <f>(IF(AND(B207&gt;=GC207,B207&lt;GF207),MIN(BB207+BU207+CP207+DI207,GE207),IF(B207=GF207,GG207,IF(AND(B207&gt;GF207,B207&lt;GH207),BB207+BU207+CP207+DI207,IF(B207&gt;=GH207,0,0)))))</f>
        <v>3042.0750583401941</v>
      </c>
      <c r="AO207" s="560">
        <f t="shared" si="385"/>
        <v>9333.0862789877156</v>
      </c>
      <c r="AP207" s="560">
        <f>Sheet1!BA209+Sheet1!BB209+Sheet1!BN209+CD207</f>
        <v>33.5</v>
      </c>
      <c r="AQ207" s="560">
        <f>Sheet1!BN209+(DO207*Sheet1!BN209)</f>
        <v>31.966433169254067</v>
      </c>
      <c r="AR207" s="560">
        <f>Sheet1!BA209+CD207</f>
        <v>0</v>
      </c>
      <c r="AS207" s="560">
        <f>Sheet1!BA209+Sheet1!BB209+CD207</f>
        <v>1.6</v>
      </c>
      <c r="AT207" s="698">
        <f>0</f>
        <v>0</v>
      </c>
      <c r="AU207" s="560">
        <f>IF(EB207&lt;K207,0,MAX(Sheet1!AA209+AQ207-15/36*K207-N207,Sheet1!EH209,0))</f>
        <v>8</v>
      </c>
      <c r="AV207" s="560">
        <f>IF(OR(B207&gt;=GD207,B207&lt;GC207),0,15/36*K207-MAX(0,64.6-(137.6-(Sheet1!AA209+Sheet1!AB209))))</f>
        <v>0</v>
      </c>
      <c r="AW207" s="698">
        <f>Sheet1!DB209-110</f>
        <v>143</v>
      </c>
      <c r="AX207" s="698">
        <f>Sheet1!DA209-265</f>
        <v>122</v>
      </c>
      <c r="AY207" s="698">
        <f t="shared" si="386"/>
        <v>0.67000000000000171</v>
      </c>
      <c r="AZ207" s="698">
        <v>0</v>
      </c>
      <c r="BA207" s="698">
        <f t="shared" si="387"/>
        <v>0</v>
      </c>
      <c r="BB207" s="560">
        <f t="shared" si="388"/>
        <v>1307.4166666666667</v>
      </c>
      <c r="BC207" s="560"/>
      <c r="BD207" s="560">
        <f ca="1">IF(B207&gt;Summary!$A$1,#N/A,BB207*MGtoAF)</f>
        <v>4011.1543333333339</v>
      </c>
      <c r="BE207" s="560">
        <f>Sheet1!BG209+Sheet1!BH209+Sheet1!BI209-BM207</f>
        <v>2.8</v>
      </c>
      <c r="BF207" s="560">
        <f t="shared" si="389"/>
        <v>2.8058311245740248</v>
      </c>
      <c r="BG207" s="560">
        <f>IF(Sheet1!EP209="FM",BM207,0)</f>
        <v>0</v>
      </c>
      <c r="BH207" s="560">
        <f t="shared" si="390"/>
        <v>0</v>
      </c>
      <c r="BI207" s="560">
        <f>IF(Sheet1!EP209="OTHER",BM207,0)</f>
        <v>0</v>
      </c>
      <c r="BJ207" s="560">
        <f t="shared" si="391"/>
        <v>0</v>
      </c>
      <c r="BK207" s="560">
        <f t="shared" si="392"/>
        <v>2.8</v>
      </c>
      <c r="BL207" s="560">
        <f t="shared" si="393"/>
        <v>2.8058311245740248</v>
      </c>
      <c r="BM207" s="560">
        <f>IF(OR(Sheet1!EP209="FM", Sheet1!EP209="OTHER"),SUM(Sheet1!BG209:'Sheet1'!BI209),0)</f>
        <v>0</v>
      </c>
      <c r="BN207" s="545">
        <f>IF(AND($B207&gt;=$FV207,$B207&lt;=$FW207),MAX(BF207,Sheet1!EI209,0),MAX(BF207-(7/36)*$K207,0))</f>
        <v>3</v>
      </c>
      <c r="BO207" s="560">
        <f t="shared" si="394"/>
        <v>0</v>
      </c>
      <c r="BP207" s="545">
        <f t="shared" si="395"/>
        <v>0</v>
      </c>
      <c r="BQ207" s="545">
        <f>IF(AND($O207&gt;0,Sheet1!EM209=1),(1-($O207-Sheet1!$L209)/$O207)*BL207,0)</f>
        <v>0</v>
      </c>
      <c r="BR207" s="545">
        <f>IF(AND(Sheet1!$L209=0,Sheet1!$L208=0, Calculation!BK207&lt;Sheet1!$EI209-0.1,Sheet1!$EI209=Sheet1!$EI208,Sheet1!$EI209=Sheet1!$EI210),Sheet1!$EI209,BL207-BQ207)</f>
        <v>3</v>
      </c>
      <c r="BS207" s="560"/>
      <c r="BT207" s="560"/>
      <c r="BU207" s="560">
        <f t="shared" si="396"/>
        <v>613.64481151717484</v>
      </c>
      <c r="BV207" s="560"/>
      <c r="BW207" s="560">
        <f ca="1">IF(B207&gt;Summary!$A$1,#N/A,BU207*MGtoAF)</f>
        <v>1882.6622817346924</v>
      </c>
      <c r="BX207" s="560">
        <f>Sheet1!BC209+Sheet1!BD209+Sheet1!BE209+Sheet1!BF209-CG207-CH207</f>
        <v>5.82</v>
      </c>
      <c r="BY207" s="560">
        <f t="shared" si="397"/>
        <v>5.8321204089360092</v>
      </c>
      <c r="BZ207" s="560">
        <f>IF(Sheet1!EQ209="FM",CH207,0)</f>
        <v>0</v>
      </c>
      <c r="CA207" s="560">
        <f t="shared" si="398"/>
        <v>0</v>
      </c>
      <c r="CB207" s="560">
        <f>IF(Sheet1!EQ209="OTHER",CH207,0)</f>
        <v>0</v>
      </c>
      <c r="CC207" s="560">
        <f t="shared" si="399"/>
        <v>0</v>
      </c>
      <c r="CD207" s="560">
        <f t="shared" si="400"/>
        <v>0</v>
      </c>
      <c r="CE207" s="560">
        <f t="shared" si="401"/>
        <v>5.82</v>
      </c>
      <c r="CF207" s="560">
        <f t="shared" si="402"/>
        <v>5.8321204089360092</v>
      </c>
      <c r="CG207" s="560">
        <f>IF(Sheet1!EQ209="CWA",SUM(Sheet1!BC209:'Sheet1'!BF209),0)</f>
        <v>0</v>
      </c>
      <c r="CH207" s="560">
        <f>IF(OR(Sheet1!EQ209="FM", Sheet1!EQ209="OTHER"),SUM(Sheet1!BC209:'Sheet1'!BF209),0)</f>
        <v>0</v>
      </c>
      <c r="CI207" s="545">
        <f>IF(AND($B207&gt;=$FV207,$B207&lt;=$FW207),MAX(CF207,Sheet1!EJ209,0),MAX(CF207-(7/36)*$K207,0))</f>
        <v>6</v>
      </c>
      <c r="CJ207" s="560">
        <f t="shared" si="403"/>
        <v>0</v>
      </c>
      <c r="CK207" s="545">
        <f t="shared" si="404"/>
        <v>0</v>
      </c>
      <c r="CL207" s="545">
        <f>IF(AND($O207&gt;0,Sheet1!EN209=1),(1-($O207-Sheet1!$L209)/$O207)*CF207,0)</f>
        <v>0</v>
      </c>
      <c r="CM207" s="545">
        <f>IF(AND(Sheet1!$L209=0,Sheet1!$L208=0, Calculation!CE207&lt;Sheet1!EJ209-0.1,Sheet1!EJ209=Sheet1!EJ208,Sheet1!EJ209=Sheet1!EJ210),Sheet1!EJ209,CF207-CL207)</f>
        <v>6</v>
      </c>
      <c r="CN207" s="545"/>
      <c r="CO207" s="560"/>
      <c r="CP207" s="560">
        <f t="shared" si="405"/>
        <v>582.46282355440871</v>
      </c>
      <c r="CQ207" s="560"/>
      <c r="CR207" s="560">
        <f ca="1">IF(B207&gt;Summary!$A$1,#N/A,CP207*MGtoAF)</f>
        <v>1786.9959426649259</v>
      </c>
      <c r="CS207" s="560">
        <f>Sheet1!BK209+Sheet1!BL209+Sheet1!BM209-Sheet1!ER209-DA207</f>
        <v>10.7</v>
      </c>
      <c r="CT207" s="560">
        <f t="shared" si="406"/>
        <v>10.722283226050738</v>
      </c>
      <c r="CU207" s="560">
        <f>IF(Sheet1!ER209="FM",DA207,0)</f>
        <v>0</v>
      </c>
      <c r="CV207" s="560">
        <f t="shared" si="407"/>
        <v>0</v>
      </c>
      <c r="CW207" s="560">
        <f>IF(Sheet1!ER209="OTHER",DA207,0)</f>
        <v>0</v>
      </c>
      <c r="CX207" s="560">
        <f t="shared" si="408"/>
        <v>0</v>
      </c>
      <c r="CY207" s="560">
        <f t="shared" si="409"/>
        <v>10.7</v>
      </c>
      <c r="CZ207" s="560">
        <f t="shared" si="410"/>
        <v>10.722283226050738</v>
      </c>
      <c r="DA207" s="560">
        <f>IF(OR(Sheet1!ER209="FM", Sheet1!ER209="OTHER"),SUM(Sheet1!BK209:'Sheet1'!BM209),0)</f>
        <v>0</v>
      </c>
      <c r="DB207" s="545">
        <f>IF(AND($B207&gt;=$FV207,$B207&lt;=$FW207),MAX($CT207,Sheet1!EK209,0),MAX($CT207-(7/36)*$K207,0))</f>
        <v>11</v>
      </c>
      <c r="DC207" s="560">
        <f t="shared" si="411"/>
        <v>0</v>
      </c>
      <c r="DD207" s="545">
        <f t="shared" si="412"/>
        <v>0</v>
      </c>
      <c r="DE207" s="545">
        <f>IF(AND($O207&gt;0,Sheet1!EO209=1),(1-($O207-Sheet1!$L209)/$O207)*CZ207,0)</f>
        <v>0</v>
      </c>
      <c r="DF207" s="545">
        <f>IF(AND(Sheet1!$L209=0,Sheet1!$L208=0, Calculation!CY207&lt;Sheet1!$EK209-0.1,Sheet1!$EK209=Sheet1!$EK208,Sheet1!$EK209=Sheet1!$EK210),Sheet1!$EK209,CZ207-DE207)</f>
        <v>11</v>
      </c>
      <c r="DG207" s="545"/>
      <c r="DH207" s="560">
        <f t="shared" si="413"/>
        <v>19.32</v>
      </c>
      <c r="DI207" s="560">
        <f t="shared" si="414"/>
        <v>538.55075660194393</v>
      </c>
      <c r="DJ207" s="698">
        <f t="shared" si="415"/>
        <v>19.360234759560772</v>
      </c>
      <c r="DK207" s="560">
        <f ca="1">IF(B207&gt;Summary!$A$1,#N/A,DI207*MGtoAF)</f>
        <v>1652.273721254764</v>
      </c>
      <c r="DL207" s="698">
        <f t="shared" si="416"/>
        <v>19.32</v>
      </c>
      <c r="DM207" s="560">
        <f t="shared" si="417"/>
        <v>52.82</v>
      </c>
      <c r="DN207" s="560">
        <f>Sheet1!AB209-DM207</f>
        <v>0.10999999999999943</v>
      </c>
      <c r="DO207" s="823">
        <f t="shared" si="418"/>
        <v>2.0825444907232003E-3</v>
      </c>
      <c r="DP207" s="560">
        <f>(VLOOKUP(Sheet1!DC209,hhdcap_wcm,4)-(((VLOOKUP(Sheet1!DC209,hhdcap_wcm,3)-Sheet1!DC209)/(VLOOKUP(Sheet1!DC209,hhdcap_wcm,3)-VLOOKUP(Sheet1!DC209,hhdcap_wcm,1)))*(VLOOKUP(Sheet1!DC209,hhdcap_wcm,4)-VLOOKUP(Sheet1!DC209,hhdcap_wcm,2))))</f>
        <v>45879.300000111034</v>
      </c>
      <c r="DQ207" s="560">
        <f t="shared" si="419"/>
        <v>-176.00000000228465</v>
      </c>
      <c r="DR207" s="560">
        <f t="shared" si="420"/>
        <v>-88.754412507455683</v>
      </c>
      <c r="DS207" s="560">
        <f>Sheet1!EA209*AFtoMG</f>
        <v>0</v>
      </c>
      <c r="DT207" s="560">
        <f>Sheet1!EB209*AFtoMG</f>
        <v>0</v>
      </c>
      <c r="DU207" s="560">
        <f>Sheet1!EC209*AFtoMG</f>
        <v>0</v>
      </c>
      <c r="DV207" s="560">
        <f>Sheet1!ED209*AFtoMG</f>
        <v>0</v>
      </c>
      <c r="DW207" s="560">
        <f t="shared" si="421"/>
        <v>0</v>
      </c>
      <c r="DX207" s="560">
        <f t="shared" si="422"/>
        <v>0</v>
      </c>
      <c r="DY207" s="560">
        <f t="shared" si="423"/>
        <v>3042.0750583401941</v>
      </c>
      <c r="DZ207" s="560">
        <f t="shared" si="424"/>
        <v>9333.0862789877156</v>
      </c>
      <c r="EA207" s="560"/>
      <c r="EB207" s="545">
        <f>IF(OR(B207&lt;FV207,B207&gt;FW207),(MIN(BF207+BY207+CT207+MAX(Sheet1!AA209+AQ207-73,0),K207)),0)</f>
        <v>0</v>
      </c>
      <c r="EC207" s="560"/>
      <c r="ED207" s="560">
        <f t="shared" si="425"/>
        <v>19.360234759560772</v>
      </c>
      <c r="EE207" s="560"/>
      <c r="EF207" s="560">
        <f>Sheet1!EH209+Sheet1!EI209+Sheet1!EJ209+Sheet1!EK209</f>
        <v>28</v>
      </c>
      <c r="EG207" s="560"/>
      <c r="EH207" s="545">
        <f t="shared" si="426"/>
        <v>0</v>
      </c>
      <c r="EI207" s="560">
        <f>IF(Sheet1!ET209=1,SUM('Calculations II'!AT207:BA207)+'Calculations II'!BC207+Sheet1!BV209+'Calculations II'!BE207+AP207,SUM('Calculations II'!AT207:BA207)+'Calculations II'!BC207+Sheet1!BV209+'Calculations II'!BE207+AP207)</f>
        <v>90.711888000000002</v>
      </c>
      <c r="EJ207" s="560">
        <f>Sheet1!AA209+Sheet1!AB209+'Calculations II'!BC207</f>
        <v>100.33</v>
      </c>
      <c r="EK207" s="560"/>
      <c r="EL207" s="560"/>
      <c r="EM207" s="560">
        <f t="shared" si="427"/>
        <v>41835</v>
      </c>
      <c r="EN207" s="560">
        <f t="shared" si="428"/>
        <v>-28</v>
      </c>
      <c r="EO207" s="560">
        <f t="shared" si="429"/>
        <v>-43.315999999999995</v>
      </c>
      <c r="EP207" s="560">
        <v>0</v>
      </c>
      <c r="EQ207" s="560">
        <v>0</v>
      </c>
      <c r="ER207" s="560">
        <v>0</v>
      </c>
      <c r="ES207" s="545">
        <f t="shared" si="454"/>
        <v>0</v>
      </c>
      <c r="ET207" s="560">
        <f>-(VLOOKUP(Sheet1!BQ209,Lookup!$O$4:$Q$262,2)-VLOOKUP(Sheet1!BQ208,Lookup!$O$4:$Q$262,2))/1000000</f>
        <v>0</v>
      </c>
      <c r="EU207" s="560">
        <f>-(VLOOKUP(Sheet1!BR209,Lookup!$O$4:$Q$262,3)-VLOOKUP(Sheet1!BR208,Lookup!$O$4:$Q$262,3))/1000000</f>
        <v>0</v>
      </c>
      <c r="EV207" s="560"/>
      <c r="EW207" s="560"/>
      <c r="EX207" s="560"/>
      <c r="EY207" s="560"/>
      <c r="EZ207" s="560"/>
      <c r="FA207" s="560"/>
      <c r="FB207" s="560"/>
      <c r="FC207" s="560"/>
      <c r="FD207" s="594">
        <f t="shared" si="443"/>
        <v>1138.7222222221433</v>
      </c>
      <c r="FE207" s="594" t="e">
        <f t="shared" si="431"/>
        <v>#N/A</v>
      </c>
      <c r="FF207" s="595" t="e">
        <f t="shared" si="432"/>
        <v>#N/A</v>
      </c>
      <c r="FG207" s="596" t="s">
        <v>692</v>
      </c>
      <c r="FH207" s="596" t="s">
        <v>692</v>
      </c>
      <c r="FI207" s="594" t="e">
        <v>#N/A</v>
      </c>
      <c r="FJ207" s="778">
        <v>22241</v>
      </c>
      <c r="FK207" s="560"/>
      <c r="FL207" s="560"/>
      <c r="FM207" s="560"/>
      <c r="FN207" s="560"/>
      <c r="FO207" s="560">
        <f>O207+((Sheet1!CS209)*GPMtoMGD)</f>
        <v>100.33</v>
      </c>
      <c r="FP207" s="560">
        <f>IF(Sheet1!AA209+AQ207&lt;=Calculation!N207,AQ207,Calculation!N207-Sheet1!AA209)</f>
        <v>25.6</v>
      </c>
      <c r="FQ207" s="560">
        <f>(Sheet1!BP209+Sheet1!BO209)/694.4</f>
        <v>3.6651785714285716</v>
      </c>
      <c r="FR207" s="560"/>
      <c r="FS207" s="560"/>
      <c r="FT207" s="560"/>
      <c r="FU207" s="560"/>
      <c r="FV207" s="695">
        <f t="shared" si="455"/>
        <v>41827</v>
      </c>
      <c r="FW207" s="695">
        <f t="shared" si="456"/>
        <v>41934</v>
      </c>
      <c r="FX207" s="560"/>
      <c r="FY207" s="560"/>
      <c r="FZ207" s="560"/>
      <c r="GA207" s="560"/>
      <c r="GB207" s="560" t="str">
        <f t="shared" si="457"/>
        <v>n</v>
      </c>
      <c r="GC207" s="564">
        <f t="shared" si="458"/>
        <v>41691</v>
      </c>
      <c r="GD207" s="695">
        <f t="shared" si="459"/>
        <v>41807</v>
      </c>
      <c r="GE207" s="560">
        <v>6518.9</v>
      </c>
      <c r="GF207" s="695">
        <f t="shared" si="460"/>
        <v>41808</v>
      </c>
      <c r="GG207" s="560">
        <f t="shared" si="374"/>
        <v>3259</v>
      </c>
      <c r="GH207" s="564">
        <f t="shared" si="461"/>
        <v>41934</v>
      </c>
      <c r="GJ207" s="545">
        <f t="shared" si="462"/>
        <v>0</v>
      </c>
      <c r="GK207" s="560" t="str">
        <f t="shared" si="433"/>
        <v/>
      </c>
      <c r="GL207" s="560">
        <f t="shared" si="463"/>
        <v>0</v>
      </c>
      <c r="GM207" s="560" t="str">
        <f t="shared" si="464"/>
        <v/>
      </c>
      <c r="GN207" s="560">
        <f>IF(GK207="P",Lookup!$M$12,IF(GK207="PP",Lookup!$M$13,IF(GK207="PPP",Lookup!$M$14,IF(GK207="T",Lookup!$M$15,IF(GK207="TP",Lookup!$M$16,IF(GK207="TPP",Lookup!$M$17,IF(GK207="TPPP",Lookup!$M$18,0)))))))*GJ207</f>
        <v>0</v>
      </c>
      <c r="GO207" s="560">
        <f t="shared" si="465"/>
        <v>0</v>
      </c>
      <c r="GP207" s="560">
        <f t="shared" si="434"/>
        <v>4011.1543333333339</v>
      </c>
      <c r="GQ207" s="560">
        <f t="shared" si="473"/>
        <v>1307.4166666666667</v>
      </c>
      <c r="GR207" s="560"/>
      <c r="GS207" s="560">
        <f t="shared" si="466"/>
        <v>0</v>
      </c>
      <c r="GT207" s="560" t="str">
        <f t="shared" si="467"/>
        <v/>
      </c>
      <c r="GU207" s="560">
        <f>IF(GK207="P",Lookup!$N$12,IF(GK207="PP",Lookup!$N$13,IF(GK207="PPP",Lookup!$N$14,IF(GK207="T",Lookup!$N$15,IF(GK207="TP",Lookup!$N$16,IF(GK207="TPP",Lookup!$N$17,IF(GK207="TPPP",Lookup!$N$18,0)))))))*GJ207</f>
        <v>0</v>
      </c>
      <c r="GV207" s="560">
        <f t="shared" si="468"/>
        <v>0</v>
      </c>
      <c r="GW207" s="560">
        <f t="shared" si="435"/>
        <v>1882.6622817346924</v>
      </c>
      <c r="GX207" s="560">
        <f t="shared" si="474"/>
        <v>613.64481151717484</v>
      </c>
      <c r="GY207" s="560"/>
      <c r="GZ207" s="560">
        <f t="shared" si="469"/>
        <v>0</v>
      </c>
      <c r="HA207" s="560" t="str">
        <f t="shared" si="470"/>
        <v/>
      </c>
      <c r="HB207" s="560">
        <f>IF(GK207="P",Lookup!$N$12,IF(GK207="PP",Lookup!$N$13,IF(GK207="PPP",Lookup!$N$14,IF(GK207="T",Lookup!$N$15,IF(GK207="TP",Lookup!$N$16,IF(GK207="TPP",Lookup!$N$17,IF(GK207="TPPP",Lookup!$N$18,0)))))))*GJ207</f>
        <v>0</v>
      </c>
      <c r="HC207" s="545">
        <f t="shared" si="436"/>
        <v>0</v>
      </c>
      <c r="HD207" s="560">
        <f t="shared" si="437"/>
        <v>1786.9959426649259</v>
      </c>
      <c r="HE207" s="560">
        <f t="shared" si="475"/>
        <v>582.46282355440871</v>
      </c>
      <c r="HF207" s="560"/>
      <c r="HG207" s="560">
        <f t="shared" si="471"/>
        <v>0</v>
      </c>
      <c r="HH207" s="560" t="str">
        <f t="shared" si="472"/>
        <v/>
      </c>
      <c r="HI207" s="560">
        <f>IF(GK207="P",Lookup!$N$12,IF(GK207="PP",Lookup!$N$13,IF(GK207="PPP",Lookup!$N$14,IF(GK207="T",Lookup!$N$15,IF(GK207="TP",Lookup!$N$16,IF(GK207="TPP",Lookup!$N$17,IF(GK207="TPPP",Lookup!$N$18,0)))))))*GJ207</f>
        <v>0</v>
      </c>
      <c r="HJ207" s="545">
        <f t="shared" si="438"/>
        <v>0</v>
      </c>
      <c r="HK207" s="560">
        <f t="shared" si="439"/>
        <v>1652.273721254764</v>
      </c>
      <c r="HL207" s="560">
        <f t="shared" si="476"/>
        <v>538.55075660194393</v>
      </c>
    </row>
    <row r="208" spans="1:221">
      <c r="A208" s="580" t="s">
        <v>6</v>
      </c>
      <c r="B208" s="556">
        <v>41836</v>
      </c>
      <c r="C208" s="561">
        <v>0</v>
      </c>
      <c r="D208" s="529">
        <f t="shared" si="372"/>
        <v>200</v>
      </c>
      <c r="E208" s="529">
        <f t="shared" si="373"/>
        <v>400</v>
      </c>
      <c r="F208" s="529">
        <v>250</v>
      </c>
      <c r="G208" s="560">
        <f>DR208+Sheet1!CZ210</f>
        <v>271.59858799837036</v>
      </c>
      <c r="H208" s="1082">
        <f t="shared" si="442"/>
        <v>46.281327282146599</v>
      </c>
      <c r="I208" s="559">
        <f>MAX(Sheet1!Z210-AT208+(Sheet1!DA210-E208)*CFStoMGD,0)</f>
        <v>32.891599999999997</v>
      </c>
      <c r="J208" s="562">
        <f>IF(AND(B208&gt;=Calculation!GC208,B208&lt;=Calculation!GD208),IF(Sheet1!DB210&gt;=Calculation!D208,64.64,0),MAX(Sheet1!Z210-AT208+(Sheet1!DB210-D208)*CFStoMGD,0))</f>
        <v>87.1892</v>
      </c>
      <c r="K208" s="1101">
        <v>0</v>
      </c>
      <c r="L208" s="560">
        <f>Sheet1!AA210+Sheet1!AB210-Sheet1!L210+(Sheet1!DA210-F208)*CFStoMGD</f>
        <v>177.1216</v>
      </c>
      <c r="M208" s="560">
        <f t="shared" si="376"/>
        <v>179.07255382778953</v>
      </c>
      <c r="N208" s="910">
        <f>IF(Sheet1!DA210&gt;=F208,MIN(73,MIN(MAX(L208,0),MAX(M208,0))),0)</f>
        <v>73</v>
      </c>
      <c r="O208" s="563">
        <f>Sheet1!AA210+Sheet1!AB210</f>
        <v>100.19999999999999</v>
      </c>
      <c r="P208" s="563">
        <f t="shared" si="377"/>
        <v>155.00939999999997</v>
      </c>
      <c r="Q208" s="898">
        <f t="shared" si="444"/>
        <v>72.199999999999989</v>
      </c>
      <c r="R208" s="829">
        <f t="shared" si="378"/>
        <v>28</v>
      </c>
      <c r="S208" s="898">
        <f t="shared" si="445"/>
        <v>0</v>
      </c>
      <c r="T208" s="898">
        <f t="shared" si="446"/>
        <v>0</v>
      </c>
      <c r="U208" s="898">
        <f t="shared" si="447"/>
        <v>28</v>
      </c>
      <c r="V208" s="898"/>
      <c r="W208" s="898">
        <f t="shared" si="448"/>
        <v>0</v>
      </c>
      <c r="X208" s="898">
        <f t="shared" si="449"/>
        <v>0</v>
      </c>
      <c r="Y208" s="898" t="str">
        <f t="shared" si="450"/>
        <v>FALSE</v>
      </c>
      <c r="Z208" s="898">
        <f t="shared" si="451"/>
        <v>100.19999999999999</v>
      </c>
      <c r="AA208" s="898">
        <f t="shared" si="452"/>
        <v>100.19999999999999</v>
      </c>
      <c r="AB208" s="898" t="str">
        <f t="shared" si="453"/>
        <v/>
      </c>
      <c r="AC208" s="563">
        <f>Sheet1!Y210*MGDtoCFS</f>
        <v>73.327799999999996</v>
      </c>
      <c r="AD208" s="563">
        <f>Sheet1!Z210*MGDtoCFS</f>
        <v>81.882710000000003</v>
      </c>
      <c r="AE208" s="563">
        <f>Sheet1!AA210*MGDtoCFS</f>
        <v>73.173099999999991</v>
      </c>
      <c r="AF208" s="563">
        <f>Sheet1!AB210*MGDtoCFS</f>
        <v>81.836299999999994</v>
      </c>
      <c r="AG208" s="563">
        <f>Sheet1!L210*MGDtoCFS</f>
        <v>0</v>
      </c>
      <c r="AH208" s="545">
        <f t="shared" si="379"/>
        <v>28</v>
      </c>
      <c r="AI208" s="560">
        <f t="shared" si="380"/>
        <v>43.315999999999995</v>
      </c>
      <c r="AJ208" s="560">
        <f t="shared" si="381"/>
        <v>0</v>
      </c>
      <c r="AK208" s="560">
        <f t="shared" si="382"/>
        <v>0</v>
      </c>
      <c r="AL208" s="560">
        <f>(VLOOKUP(Sheet1!DC210,hhdcap_wcm,4)-(((VLOOKUP(Sheet1!DC210,hhdcap_wcm,3)-Sheet1!DC210)/(VLOOKUP(Sheet1!DC210,hhdcap_wcm,3)-VLOOKUP(Sheet1!DC210,hhdcap_wcm,1)))*(VLOOKUP(Sheet1!DC210,hhdcap_wcm,4)-VLOOKUP(Sheet1!DC210,hhdcap_wcm,2))))</f>
        <v>45704.000000111802</v>
      </c>
      <c r="AM208" s="560">
        <f t="shared" si="383"/>
        <v>-175.29999999923166</v>
      </c>
      <c r="AN208" s="560">
        <f t="shared" si="384"/>
        <v>3014.0750583401941</v>
      </c>
      <c r="AO208" s="560">
        <f t="shared" si="385"/>
        <v>9247.1822789877151</v>
      </c>
      <c r="AP208" s="560">
        <f>Sheet1!BA210+Sheet1!BB210+Sheet1!BN210+CD208</f>
        <v>33.200000000000003</v>
      </c>
      <c r="AQ208" s="560">
        <f>Sheet1!BN210+(DO208*Sheet1!BN210)</f>
        <v>31.457282649604817</v>
      </c>
      <c r="AR208" s="560">
        <f>Sheet1!BA210+CD208</f>
        <v>0</v>
      </c>
      <c r="AS208" s="560">
        <f>Sheet1!BA210+Sheet1!BB210+CD208</f>
        <v>1.6</v>
      </c>
      <c r="AT208" s="698">
        <f>0</f>
        <v>0</v>
      </c>
      <c r="AU208" s="560">
        <f>IF(EB208&lt;K208,0,MAX(Sheet1!AA210+AQ208-15/36*K208-N208,Sheet1!EH210,0))</f>
        <v>8</v>
      </c>
      <c r="AV208" s="560">
        <f>IF(OR(B208&gt;=GD208,B208&lt;GC208),0,15/36*K208-MAX(0,64.6-(137.6-(Sheet1!AA210+Sheet1!AB210))))</f>
        <v>0</v>
      </c>
      <c r="AW208" s="698">
        <f>Sheet1!DB210-110</f>
        <v>143</v>
      </c>
      <c r="AX208" s="698">
        <f>Sheet1!DA210-265</f>
        <v>104</v>
      </c>
      <c r="AY208" s="698">
        <f t="shared" si="386"/>
        <v>0.80000000000001137</v>
      </c>
      <c r="AZ208" s="698">
        <v>0</v>
      </c>
      <c r="BA208" s="698">
        <f t="shared" si="387"/>
        <v>0</v>
      </c>
      <c r="BB208" s="560">
        <f t="shared" si="388"/>
        <v>1299.4166666666667</v>
      </c>
      <c r="BC208" s="560"/>
      <c r="BD208" s="560">
        <f ca="1">IF(B208&gt;Summary!$A$1,#N/A,BB208*MGtoAF)</f>
        <v>3986.6103333333335</v>
      </c>
      <c r="BE208" s="560">
        <f>Sheet1!BG210+Sheet1!BH210+Sheet1!BI210-BM208</f>
        <v>3</v>
      </c>
      <c r="BF208" s="560">
        <f t="shared" si="389"/>
        <v>2.9864508844561533</v>
      </c>
      <c r="BG208" s="560">
        <f>IF(Sheet1!EP210="FM",BM208,0)</f>
        <v>0</v>
      </c>
      <c r="BH208" s="560">
        <f t="shared" si="390"/>
        <v>0</v>
      </c>
      <c r="BI208" s="560">
        <f>IF(Sheet1!EP210="OTHER",BM208,0)</f>
        <v>0</v>
      </c>
      <c r="BJ208" s="560">
        <f t="shared" si="391"/>
        <v>0</v>
      </c>
      <c r="BK208" s="560">
        <f t="shared" si="392"/>
        <v>3</v>
      </c>
      <c r="BL208" s="560">
        <f t="shared" si="393"/>
        <v>2.9864508844561533</v>
      </c>
      <c r="BM208" s="560">
        <f>IF(OR(Sheet1!EP210="FM", Sheet1!EP210="OTHER"),SUM(Sheet1!BG210:'Sheet1'!BI210),0)</f>
        <v>0</v>
      </c>
      <c r="BN208" s="545">
        <f>IF(AND($B208&gt;=$FV208,$B208&lt;=$FW208),MAX(BF208,Sheet1!EI210,0),MAX(BF208-(7/36)*$K208,0))</f>
        <v>3</v>
      </c>
      <c r="BO208" s="560">
        <f t="shared" si="394"/>
        <v>0</v>
      </c>
      <c r="BP208" s="545">
        <f t="shared" si="395"/>
        <v>0</v>
      </c>
      <c r="BQ208" s="545">
        <f>IF(AND($O208&gt;0,Sheet1!EM210=1),(1-($O208-Sheet1!$L210)/$O208)*BL208,0)</f>
        <v>0</v>
      </c>
      <c r="BR208" s="545">
        <f>IF(AND(Sheet1!$L210=0,Sheet1!$L209=0, Calculation!BK208&lt;Sheet1!$EI210-0.1,Sheet1!$EI210=Sheet1!$EI209,Sheet1!$EI210=Sheet1!$EI211),Sheet1!$EI210,BL208-BQ208)</f>
        <v>2.9864508844561533</v>
      </c>
      <c r="BS208" s="560"/>
      <c r="BT208" s="560"/>
      <c r="BU208" s="560">
        <f t="shared" si="396"/>
        <v>610.64481151717484</v>
      </c>
      <c r="BV208" s="560"/>
      <c r="BW208" s="560">
        <f ca="1">IF(B208&gt;Summary!$A$1,#N/A,BU208*MGtoAF)</f>
        <v>1873.4582817346925</v>
      </c>
      <c r="BX208" s="560">
        <f>Sheet1!BC210+Sheet1!BD210+Sheet1!BE210+Sheet1!BF210-CG208-CH208</f>
        <v>6</v>
      </c>
      <c r="BY208" s="560">
        <f t="shared" si="397"/>
        <v>5.9729017689123065</v>
      </c>
      <c r="BZ208" s="560">
        <f>IF(Sheet1!EQ210="FM",CH208,0)</f>
        <v>0</v>
      </c>
      <c r="CA208" s="560">
        <f t="shared" si="398"/>
        <v>0</v>
      </c>
      <c r="CB208" s="560">
        <f>IF(Sheet1!EQ210="OTHER",CH208,0)</f>
        <v>0</v>
      </c>
      <c r="CC208" s="560">
        <f t="shared" si="399"/>
        <v>0</v>
      </c>
      <c r="CD208" s="560">
        <f t="shared" si="400"/>
        <v>0</v>
      </c>
      <c r="CE208" s="560">
        <f t="shared" si="401"/>
        <v>6</v>
      </c>
      <c r="CF208" s="560">
        <f t="shared" si="402"/>
        <v>5.9729017689123065</v>
      </c>
      <c r="CG208" s="560">
        <f>IF(Sheet1!EQ210="CWA",SUM(Sheet1!BC210:'Sheet1'!BF210),0)</f>
        <v>0</v>
      </c>
      <c r="CH208" s="560">
        <f>IF(OR(Sheet1!EQ210="FM", Sheet1!EQ210="OTHER"),SUM(Sheet1!BC210:'Sheet1'!BF210),0)</f>
        <v>0</v>
      </c>
      <c r="CI208" s="545">
        <f>IF(AND($B208&gt;=$FV208,$B208&lt;=$FW208),MAX(CF208,Sheet1!EJ210,0),MAX(CF208-(7/36)*$K208,0))</f>
        <v>6</v>
      </c>
      <c r="CJ208" s="560">
        <f t="shared" si="403"/>
        <v>0</v>
      </c>
      <c r="CK208" s="545">
        <f t="shared" si="404"/>
        <v>0</v>
      </c>
      <c r="CL208" s="545">
        <f>IF(AND($O208&gt;0,Sheet1!EN210=1),(1-($O208-Sheet1!$L210)/$O208)*CF208,0)</f>
        <v>0</v>
      </c>
      <c r="CM208" s="545">
        <f>IF(AND(Sheet1!$L210=0,Sheet1!$L209=0, Calculation!CE208&lt;Sheet1!EJ210-0.1,Sheet1!EJ210=Sheet1!EJ209,Sheet1!EJ210=Sheet1!EJ211),Sheet1!EJ210,CF208-CL208)</f>
        <v>5.9729017689123065</v>
      </c>
      <c r="CN208" s="545"/>
      <c r="CO208" s="560"/>
      <c r="CP208" s="560">
        <f t="shared" si="405"/>
        <v>576.46282355440871</v>
      </c>
      <c r="CQ208" s="560"/>
      <c r="CR208" s="560">
        <f ca="1">IF(B208&gt;Summary!$A$1,#N/A,CP208*MGtoAF)</f>
        <v>1768.587942664926</v>
      </c>
      <c r="CS208" s="560">
        <f>Sheet1!BK210+Sheet1!BL210+Sheet1!BM210-Sheet1!ER210-DA208</f>
        <v>10.94</v>
      </c>
      <c r="CT208" s="560">
        <f t="shared" si="406"/>
        <v>10.89059089198344</v>
      </c>
      <c r="CU208" s="560">
        <f>IF(Sheet1!ER210="FM",DA208,0)</f>
        <v>0</v>
      </c>
      <c r="CV208" s="560">
        <f t="shared" si="407"/>
        <v>0</v>
      </c>
      <c r="CW208" s="560">
        <f>IF(Sheet1!ER210="OTHER",DA208,0)</f>
        <v>0</v>
      </c>
      <c r="CX208" s="560">
        <f t="shared" si="408"/>
        <v>0</v>
      </c>
      <c r="CY208" s="560">
        <f t="shared" si="409"/>
        <v>10.94</v>
      </c>
      <c r="CZ208" s="560">
        <f t="shared" si="410"/>
        <v>10.89059089198344</v>
      </c>
      <c r="DA208" s="560">
        <f>IF(OR(Sheet1!ER210="FM", Sheet1!ER210="OTHER"),SUM(Sheet1!BK210:'Sheet1'!BM210),0)</f>
        <v>0</v>
      </c>
      <c r="DB208" s="545">
        <f>IF(AND($B208&gt;=$FV208,$B208&lt;=$FW208),MAX($CT208,Sheet1!EK210,0),MAX($CT208-(7/36)*$K208,0))</f>
        <v>11</v>
      </c>
      <c r="DC208" s="560">
        <f t="shared" si="411"/>
        <v>0</v>
      </c>
      <c r="DD208" s="545">
        <f t="shared" si="412"/>
        <v>0</v>
      </c>
      <c r="DE208" s="545">
        <f>IF(AND($O208&gt;0,Sheet1!EO210=1),(1-($O208-Sheet1!$L210)/$O208)*CZ208,0)</f>
        <v>0</v>
      </c>
      <c r="DF208" s="545">
        <f>IF(AND(Sheet1!$L210=0,Sheet1!$L209=0, Calculation!CY208&lt;Sheet1!$EK210-0.1,Sheet1!$EK210=Sheet1!$EK209,Sheet1!$EK210=Sheet1!$EK211),Sheet1!$EK210,CZ208-DE208)</f>
        <v>10.89059089198344</v>
      </c>
      <c r="DG208" s="545"/>
      <c r="DH208" s="560">
        <f t="shared" si="413"/>
        <v>19.939999999999998</v>
      </c>
      <c r="DI208" s="560">
        <f t="shared" si="414"/>
        <v>527.55075660194393</v>
      </c>
      <c r="DJ208" s="698">
        <f t="shared" si="415"/>
        <v>19.849943545351898</v>
      </c>
      <c r="DK208" s="560">
        <f ca="1">IF(B208&gt;Summary!$A$1,#N/A,DI208*MGtoAF)</f>
        <v>1618.525721254764</v>
      </c>
      <c r="DL208" s="698">
        <f t="shared" si="416"/>
        <v>19.939999999999998</v>
      </c>
      <c r="DM208" s="560">
        <f t="shared" si="417"/>
        <v>53.14</v>
      </c>
      <c r="DN208" s="560">
        <f>Sheet1!AB210-DM208</f>
        <v>-0.24000000000000199</v>
      </c>
      <c r="DO208" s="823">
        <f t="shared" si="418"/>
        <v>-4.5163718479488517E-3</v>
      </c>
      <c r="DP208" s="560">
        <f>(VLOOKUP(Sheet1!DC210,hhdcap_wcm,4)-(((VLOOKUP(Sheet1!DC210,hhdcap_wcm,3)-Sheet1!DC210)/(VLOOKUP(Sheet1!DC210,hhdcap_wcm,3)-VLOOKUP(Sheet1!DC210,hhdcap_wcm,1)))*(VLOOKUP(Sheet1!DC210,hhdcap_wcm,4)-VLOOKUP(Sheet1!DC210,hhdcap_wcm,2))))</f>
        <v>45704.000000111802</v>
      </c>
      <c r="DQ208" s="560">
        <f t="shared" si="419"/>
        <v>-175.29999999923166</v>
      </c>
      <c r="DR208" s="560">
        <f t="shared" si="420"/>
        <v>-88.401412001629666</v>
      </c>
      <c r="DS208" s="560">
        <f>Sheet1!EA210*AFtoMG</f>
        <v>0</v>
      </c>
      <c r="DT208" s="560">
        <f>Sheet1!EB210*AFtoMG</f>
        <v>0</v>
      </c>
      <c r="DU208" s="560">
        <f>Sheet1!EC210*AFtoMG</f>
        <v>0</v>
      </c>
      <c r="DV208" s="560">
        <f>Sheet1!ED210*AFtoMG</f>
        <v>0</v>
      </c>
      <c r="DW208" s="560">
        <f t="shared" si="421"/>
        <v>0</v>
      </c>
      <c r="DX208" s="560">
        <f t="shared" si="422"/>
        <v>0</v>
      </c>
      <c r="DY208" s="560">
        <f t="shared" si="423"/>
        <v>3014.0750583401941</v>
      </c>
      <c r="DZ208" s="560">
        <f t="shared" si="424"/>
        <v>9247.1822789877151</v>
      </c>
      <c r="EA208" s="560"/>
      <c r="EB208" s="545">
        <f>IF(OR(B208&lt;FV208,B208&gt;FW208),(MIN(BF208+BY208+CT208+MAX(Sheet1!AA210+AQ208-73,0),K208)),0)</f>
        <v>0</v>
      </c>
      <c r="EC208" s="560"/>
      <c r="ED208" s="560">
        <f t="shared" si="425"/>
        <v>19.849943545351898</v>
      </c>
      <c r="EE208" s="560"/>
      <c r="EF208" s="560">
        <f>Sheet1!EH210+Sheet1!EI210+Sheet1!EJ210+Sheet1!EK210</f>
        <v>28</v>
      </c>
      <c r="EG208" s="560"/>
      <c r="EH208" s="545">
        <f t="shared" si="426"/>
        <v>0</v>
      </c>
      <c r="EI208" s="560">
        <f>IF(Sheet1!ET210=1,SUM('Calculations II'!AT208:BA208)+'Calculations II'!BC208+Sheet1!BV210+'Calculations II'!BE208+AP208,SUM('Calculations II'!AT208:BA208)+'Calculations II'!BC208+Sheet1!BV210+'Calculations II'!BE208+AP208)</f>
        <v>92.417360000000002</v>
      </c>
      <c r="EJ208" s="560">
        <f>Sheet1!AA210+Sheet1!AB210+'Calculations II'!BC208</f>
        <v>100.19999999999999</v>
      </c>
      <c r="EK208" s="560"/>
      <c r="EL208" s="560"/>
      <c r="EM208" s="560">
        <f t="shared" si="427"/>
        <v>41836</v>
      </c>
      <c r="EN208" s="560">
        <f t="shared" si="428"/>
        <v>-28</v>
      </c>
      <c r="EO208" s="560">
        <f t="shared" si="429"/>
        <v>-43.315999999999995</v>
      </c>
      <c r="EP208" s="560">
        <v>0</v>
      </c>
      <c r="EQ208" s="560">
        <v>0</v>
      </c>
      <c r="ER208" s="560">
        <v>0</v>
      </c>
      <c r="ES208" s="545">
        <f t="shared" si="454"/>
        <v>1.1079294663155042</v>
      </c>
      <c r="ET208" s="560">
        <f>-(VLOOKUP(Sheet1!BQ210,Lookup!$O$4:$Q$262,2)-VLOOKUP(Sheet1!BQ209,Lookup!$O$4:$Q$262,2))/1000000</f>
        <v>0.55397754998063298</v>
      </c>
      <c r="EU208" s="560">
        <f>-(VLOOKUP(Sheet1!BR210,Lookup!$O$4:$Q$262,3)-VLOOKUP(Sheet1!BR209,Lookup!$O$4:$Q$262,3))/1000000</f>
        <v>0.55395191633487117</v>
      </c>
      <c r="EV208" s="560"/>
      <c r="EW208" s="560"/>
      <c r="EX208" s="560"/>
      <c r="EY208" s="560"/>
      <c r="EZ208" s="560"/>
      <c r="FA208" s="560"/>
      <c r="FB208" s="560"/>
      <c r="FC208" s="560"/>
      <c r="FD208" s="594">
        <f t="shared" si="443"/>
        <v>1138.6055555554767</v>
      </c>
      <c r="FE208" s="594" t="e">
        <f t="shared" si="431"/>
        <v>#N/A</v>
      </c>
      <c r="FF208" s="595" t="e">
        <f t="shared" si="432"/>
        <v>#N/A</v>
      </c>
      <c r="FG208" s="596" t="s">
        <v>692</v>
      </c>
      <c r="FH208" s="596" t="s">
        <v>692</v>
      </c>
      <c r="FI208" s="594" t="e">
        <v>#N/A</v>
      </c>
      <c r="FJ208" s="778">
        <v>22158</v>
      </c>
      <c r="FK208" s="560"/>
      <c r="FL208" s="560"/>
      <c r="FM208" s="560"/>
      <c r="FN208" s="560"/>
      <c r="FO208" s="560">
        <f>O208+((Sheet1!CS210)*GPMtoMGD)</f>
        <v>100.19999999999999</v>
      </c>
      <c r="FP208" s="560">
        <f>IF(Sheet1!AA210+AQ208&lt;=Calculation!N208,AQ208,Calculation!N208-Sheet1!AA210)</f>
        <v>25.700000000000003</v>
      </c>
      <c r="FQ208" s="560">
        <f>(Sheet1!BP210+Sheet1!BO210)/694.4</f>
        <v>4.1954205069124431</v>
      </c>
      <c r="FR208" s="560"/>
      <c r="FS208" s="560"/>
      <c r="FT208" s="560"/>
      <c r="FU208" s="560"/>
      <c r="FV208" s="695">
        <f t="shared" si="455"/>
        <v>41827</v>
      </c>
      <c r="FW208" s="695">
        <f t="shared" si="456"/>
        <v>41934</v>
      </c>
      <c r="FX208" s="560"/>
      <c r="FY208" s="560"/>
      <c r="FZ208" s="560"/>
      <c r="GA208" s="560"/>
      <c r="GB208" s="560" t="str">
        <f t="shared" si="457"/>
        <v>n</v>
      </c>
      <c r="GC208" s="564">
        <f t="shared" si="458"/>
        <v>41691</v>
      </c>
      <c r="GD208" s="695">
        <f t="shared" si="459"/>
        <v>41807</v>
      </c>
      <c r="GE208" s="560">
        <v>6518.9</v>
      </c>
      <c r="GF208" s="695">
        <f t="shared" si="460"/>
        <v>41808</v>
      </c>
      <c r="GG208" s="560">
        <f t="shared" si="374"/>
        <v>3259</v>
      </c>
      <c r="GH208" s="564">
        <f t="shared" si="461"/>
        <v>41934</v>
      </c>
      <c r="GJ208" s="545">
        <f t="shared" si="462"/>
        <v>0</v>
      </c>
      <c r="GK208" s="560" t="str">
        <f t="shared" si="433"/>
        <v/>
      </c>
      <c r="GL208" s="560">
        <f t="shared" si="463"/>
        <v>0</v>
      </c>
      <c r="GM208" s="560" t="str">
        <f t="shared" si="464"/>
        <v/>
      </c>
      <c r="GN208" s="560">
        <f>IF(GK208="P",Lookup!$M$12,IF(GK208="PP",Lookup!$M$13,IF(GK208="PPP",Lookup!$M$14,IF(GK208="T",Lookup!$M$15,IF(GK208="TP",Lookup!$M$16,IF(GK208="TPP",Lookup!$M$17,IF(GK208="TPPP",Lookup!$M$18,0)))))))*GJ208</f>
        <v>0</v>
      </c>
      <c r="GO208" s="560">
        <f t="shared" si="465"/>
        <v>0</v>
      </c>
      <c r="GP208" s="560">
        <f t="shared" si="434"/>
        <v>3986.6103333333335</v>
      </c>
      <c r="GQ208" s="560">
        <f t="shared" si="473"/>
        <v>1299.4166666666667</v>
      </c>
      <c r="GR208" s="560"/>
      <c r="GS208" s="560">
        <f t="shared" si="466"/>
        <v>0</v>
      </c>
      <c r="GT208" s="560" t="str">
        <f t="shared" si="467"/>
        <v/>
      </c>
      <c r="GU208" s="560">
        <f>IF(GK208="P",Lookup!$N$12,IF(GK208="PP",Lookup!$N$13,IF(GK208="PPP",Lookup!$N$14,IF(GK208="T",Lookup!$N$15,IF(GK208="TP",Lookup!$N$16,IF(GK208="TPP",Lookup!$N$17,IF(GK208="TPPP",Lookup!$N$18,0)))))))*GJ208</f>
        <v>0</v>
      </c>
      <c r="GV208" s="560">
        <f t="shared" si="468"/>
        <v>0</v>
      </c>
      <c r="GW208" s="560">
        <f t="shared" si="435"/>
        <v>1873.4582817346925</v>
      </c>
      <c r="GX208" s="560">
        <f t="shared" si="474"/>
        <v>610.64481151717484</v>
      </c>
      <c r="GY208" s="560"/>
      <c r="GZ208" s="560">
        <f t="shared" si="469"/>
        <v>0</v>
      </c>
      <c r="HA208" s="560" t="str">
        <f t="shared" si="470"/>
        <v/>
      </c>
      <c r="HB208" s="560">
        <f>IF(GK208="P",Lookup!$N$12,IF(GK208="PP",Lookup!$N$13,IF(GK208="PPP",Lookup!$N$14,IF(GK208="T",Lookup!$N$15,IF(GK208="TP",Lookup!$N$16,IF(GK208="TPP",Lookup!$N$17,IF(GK208="TPPP",Lookup!$N$18,0)))))))*GJ208</f>
        <v>0</v>
      </c>
      <c r="HC208" s="545">
        <f t="shared" si="436"/>
        <v>0</v>
      </c>
      <c r="HD208" s="560">
        <f t="shared" si="437"/>
        <v>1768.587942664926</v>
      </c>
      <c r="HE208" s="560">
        <f t="shared" si="475"/>
        <v>576.46282355440871</v>
      </c>
      <c r="HF208" s="560"/>
      <c r="HG208" s="560">
        <f t="shared" si="471"/>
        <v>0</v>
      </c>
      <c r="HH208" s="560" t="str">
        <f t="shared" si="472"/>
        <v/>
      </c>
      <c r="HI208" s="560">
        <f>IF(GK208="P",Lookup!$N$12,IF(GK208="PP",Lookup!$N$13,IF(GK208="PPP",Lookup!$N$14,IF(GK208="T",Lookup!$N$15,IF(GK208="TP",Lookup!$N$16,IF(GK208="TPP",Lookup!$N$17,IF(GK208="TPPP",Lookup!$N$18,0)))))))*GJ208</f>
        <v>0</v>
      </c>
      <c r="HJ208" s="545">
        <f t="shared" si="438"/>
        <v>0</v>
      </c>
      <c r="HK208" s="560">
        <f t="shared" si="439"/>
        <v>1618.525721254764</v>
      </c>
      <c r="HL208" s="560">
        <f t="shared" si="476"/>
        <v>527.55075660194393</v>
      </c>
    </row>
    <row r="209" spans="1:220">
      <c r="A209" s="580" t="s">
        <v>7</v>
      </c>
      <c r="B209" s="556">
        <v>41837</v>
      </c>
      <c r="C209" s="561">
        <v>0</v>
      </c>
      <c r="D209" s="529">
        <f t="shared" si="372"/>
        <v>200</v>
      </c>
      <c r="E209" s="529">
        <f t="shared" si="373"/>
        <v>400</v>
      </c>
      <c r="F209" s="529">
        <v>250</v>
      </c>
      <c r="G209" s="560">
        <f>DR209+Sheet1!CZ211</f>
        <v>248.00201714522512</v>
      </c>
      <c r="H209" s="1082">
        <f t="shared" si="442"/>
        <v>31.028503882673519</v>
      </c>
      <c r="I209" s="559">
        <f>MAX(Sheet1!Z211-AT209+(Sheet1!DA211-E209)*CFStoMGD,0)</f>
        <v>27.044</v>
      </c>
      <c r="J209" s="562">
        <f>IF(AND(B209&gt;=Calculation!GC209,B209&lt;=Calculation!GD209),IF(Sheet1!DB211&gt;=Calculation!D209,64.64,0),MAX(Sheet1!Z211-AT209+(Sheet1!DB211-D209)*CFStoMGD,0))</f>
        <v>71.645600000000002</v>
      </c>
      <c r="K209" s="1101">
        <v>0</v>
      </c>
      <c r="L209" s="560">
        <f>Sheet1!AA211+Sheet1!AB211-Sheet1!L211+(Sheet1!DA211-F209)*CFStoMGD</f>
        <v>170.06400000000002</v>
      </c>
      <c r="M209" s="560">
        <f t="shared" si="376"/>
        <v>163.514673960327</v>
      </c>
      <c r="N209" s="910">
        <f>IF(Sheet1!DA211&gt;=F209,MIN(73,MIN(MAX(L209,0),MAX(M209,0))),0)</f>
        <v>73</v>
      </c>
      <c r="O209" s="563">
        <f>Sheet1!AA211+Sheet1!AB211</f>
        <v>98.960000000000008</v>
      </c>
      <c r="P209" s="563">
        <f t="shared" si="377"/>
        <v>153.09111999999999</v>
      </c>
      <c r="Q209" s="898">
        <f t="shared" si="444"/>
        <v>70.960000000000008</v>
      </c>
      <c r="R209" s="829">
        <f t="shared" si="378"/>
        <v>28</v>
      </c>
      <c r="S209" s="898">
        <f t="shared" si="445"/>
        <v>0</v>
      </c>
      <c r="T209" s="898">
        <f t="shared" si="446"/>
        <v>0</v>
      </c>
      <c r="U209" s="898">
        <f t="shared" si="447"/>
        <v>28</v>
      </c>
      <c r="V209" s="898"/>
      <c r="W209" s="898">
        <f t="shared" si="448"/>
        <v>0</v>
      </c>
      <c r="X209" s="898">
        <f t="shared" si="449"/>
        <v>0</v>
      </c>
      <c r="Y209" s="898" t="str">
        <f t="shared" si="450"/>
        <v>FALSE</v>
      </c>
      <c r="Z209" s="898">
        <f t="shared" si="451"/>
        <v>98.960000000000008</v>
      </c>
      <c r="AA209" s="898">
        <f t="shared" si="452"/>
        <v>98.960000000000008</v>
      </c>
      <c r="AB209" s="898" t="str">
        <f t="shared" si="453"/>
        <v/>
      </c>
      <c r="AC209" s="563">
        <f>Sheet1!Y211*MGDtoCFS</f>
        <v>73.173099999999991</v>
      </c>
      <c r="AD209" s="563">
        <f>Sheet1!Z211*MGDtoCFS</f>
        <v>81.836299999999994</v>
      </c>
      <c r="AE209" s="563">
        <f>Sheet1!AA211*MGDtoCFS</f>
        <v>72.244900000000001</v>
      </c>
      <c r="AF209" s="563">
        <f>Sheet1!AB211*MGDtoCFS</f>
        <v>80.846219999999988</v>
      </c>
      <c r="AG209" s="563">
        <f>Sheet1!L211*MGDtoCFS</f>
        <v>0</v>
      </c>
      <c r="AH209" s="545">
        <f t="shared" si="379"/>
        <v>28</v>
      </c>
      <c r="AI209" s="560">
        <f t="shared" si="380"/>
        <v>43.315999999999995</v>
      </c>
      <c r="AJ209" s="560">
        <f t="shared" si="381"/>
        <v>0</v>
      </c>
      <c r="AK209" s="560">
        <f t="shared" si="382"/>
        <v>0</v>
      </c>
      <c r="AL209" s="560">
        <f>(VLOOKUP(Sheet1!DC211,hhdcap_wcm,4)-(((VLOOKUP(Sheet1!DC211,hhdcap_wcm,3)-Sheet1!DC211)/(VLOOKUP(Sheet1!DC211,hhdcap_wcm,3)-VLOOKUP(Sheet1!DC211,hhdcap_wcm,1)))*(VLOOKUP(Sheet1!DC211,hhdcap_wcm,4)-VLOOKUP(Sheet1!DC211,hhdcap_wcm,2))))</f>
        <v>45529.500000110784</v>
      </c>
      <c r="AM209" s="560">
        <f t="shared" si="383"/>
        <v>-174.50000000101863</v>
      </c>
      <c r="AN209" s="560">
        <f t="shared" si="384"/>
        <v>2986.0750583401941</v>
      </c>
      <c r="AO209" s="560">
        <f t="shared" si="385"/>
        <v>9161.2782789877165</v>
      </c>
      <c r="AP209" s="560">
        <f>Sheet1!BA211+Sheet1!BB211+Sheet1!BN211+CD209</f>
        <v>33.26</v>
      </c>
      <c r="AQ209" s="560">
        <f>Sheet1!BN211+(DO209*Sheet1!BN211)</f>
        <v>31.065557641757415</v>
      </c>
      <c r="AR209" s="560">
        <f>Sheet1!BA211+CD209</f>
        <v>0</v>
      </c>
      <c r="AS209" s="560">
        <f>Sheet1!BA211+Sheet1!BB211+CD209</f>
        <v>1.6</v>
      </c>
      <c r="AT209" s="698">
        <f>0</f>
        <v>0</v>
      </c>
      <c r="AU209" s="560">
        <f>IF(EB209&lt;K209,0,MAX(Sheet1!AA211+AQ209-15/36*K209-N209,Sheet1!EH211,0))</f>
        <v>8</v>
      </c>
      <c r="AV209" s="560">
        <f>IF(OR(B209&gt;=GD209,B209&lt;GC209),0,15/36*K209-MAX(0,64.6-(137.6-(Sheet1!AA211+Sheet1!AB211))))</f>
        <v>0</v>
      </c>
      <c r="AW209" s="698">
        <f>Sheet1!DB211-110</f>
        <v>119</v>
      </c>
      <c r="AX209" s="698">
        <f>Sheet1!DA211-265</f>
        <v>95</v>
      </c>
      <c r="AY209" s="698">
        <f t="shared" si="386"/>
        <v>2.039999999999992</v>
      </c>
      <c r="AZ209" s="698">
        <v>0</v>
      </c>
      <c r="BA209" s="698">
        <f t="shared" si="387"/>
        <v>0</v>
      </c>
      <c r="BB209" s="560">
        <f t="shared" si="388"/>
        <v>1291.4166666666667</v>
      </c>
      <c r="BC209" s="560"/>
      <c r="BD209" s="560">
        <f ca="1">IF(B209&gt;Summary!$A$1,#N/A,BB209*MGtoAF)</f>
        <v>3962.0663333333337</v>
      </c>
      <c r="BE209" s="560">
        <f>Sheet1!BG211+Sheet1!BH211+Sheet1!BI211-BM209</f>
        <v>3</v>
      </c>
      <c r="BF209" s="560">
        <f t="shared" si="389"/>
        <v>2.9436725497559144</v>
      </c>
      <c r="BG209" s="560">
        <f>IF(Sheet1!EP211="FM",BM209,0)</f>
        <v>0</v>
      </c>
      <c r="BH209" s="560">
        <f t="shared" si="390"/>
        <v>0</v>
      </c>
      <c r="BI209" s="560">
        <f>IF(Sheet1!EP211="OTHER",BM209,0)</f>
        <v>0</v>
      </c>
      <c r="BJ209" s="560">
        <f t="shared" si="391"/>
        <v>0</v>
      </c>
      <c r="BK209" s="560">
        <f t="shared" si="392"/>
        <v>3</v>
      </c>
      <c r="BL209" s="560">
        <f t="shared" si="393"/>
        <v>2.9436725497559144</v>
      </c>
      <c r="BM209" s="560">
        <f>IF(OR(Sheet1!EP211="FM", Sheet1!EP211="OTHER"),SUM(Sheet1!BG211:'Sheet1'!BI211),0)</f>
        <v>0</v>
      </c>
      <c r="BN209" s="545">
        <f>IF(AND($B209&gt;=$FV209,$B209&lt;=$FW209),MAX(BF209,Sheet1!EI211,0),MAX(BF209-(7/36)*$K209,0))</f>
        <v>3</v>
      </c>
      <c r="BO209" s="560">
        <f t="shared" si="394"/>
        <v>0</v>
      </c>
      <c r="BP209" s="545">
        <f t="shared" si="395"/>
        <v>0</v>
      </c>
      <c r="BQ209" s="545">
        <f>IF(AND($O209&gt;0,Sheet1!EM211=1),(1-($O209-Sheet1!$L211)/$O209)*BL209,0)</f>
        <v>0</v>
      </c>
      <c r="BR209" s="545">
        <f>IF(AND(Sheet1!$L211=0,Sheet1!$L210=0, Calculation!BK209&lt;Sheet1!$EI211-0.1,Sheet1!$EI211=Sheet1!$EI210,Sheet1!$EI211=Sheet1!$EI212),Sheet1!$EI211,BL209-BQ209)</f>
        <v>2.9436725497559144</v>
      </c>
      <c r="BS209" s="560"/>
      <c r="BT209" s="560"/>
      <c r="BU209" s="560">
        <f t="shared" si="396"/>
        <v>607.64481151717484</v>
      </c>
      <c r="BV209" s="560"/>
      <c r="BW209" s="560">
        <f ca="1">IF(B209&gt;Summary!$A$1,#N/A,BU209*MGtoAF)</f>
        <v>1864.2542817346925</v>
      </c>
      <c r="BX209" s="560">
        <f>Sheet1!BC211+Sheet1!BD211+Sheet1!BE211+Sheet1!BF211-CG209-CH209</f>
        <v>6</v>
      </c>
      <c r="BY209" s="560">
        <f t="shared" si="397"/>
        <v>5.8873450995118288</v>
      </c>
      <c r="BZ209" s="560">
        <f>IF(Sheet1!EQ211="FM",CH209,0)</f>
        <v>0</v>
      </c>
      <c r="CA209" s="560">
        <f t="shared" si="398"/>
        <v>0</v>
      </c>
      <c r="CB209" s="560">
        <f>IF(Sheet1!EQ211="OTHER",CH209,0)</f>
        <v>0</v>
      </c>
      <c r="CC209" s="560">
        <f t="shared" si="399"/>
        <v>0</v>
      </c>
      <c r="CD209" s="560">
        <f t="shared" si="400"/>
        <v>0</v>
      </c>
      <c r="CE209" s="560">
        <f t="shared" si="401"/>
        <v>6</v>
      </c>
      <c r="CF209" s="560">
        <f t="shared" si="402"/>
        <v>5.8873450995118288</v>
      </c>
      <c r="CG209" s="560">
        <f>IF(Sheet1!EQ211="CWA",SUM(Sheet1!BC211:'Sheet1'!BF211),0)</f>
        <v>0</v>
      </c>
      <c r="CH209" s="560">
        <f>IF(OR(Sheet1!EQ211="FM", Sheet1!EQ211="OTHER"),SUM(Sheet1!BC211:'Sheet1'!BF211),0)</f>
        <v>0</v>
      </c>
      <c r="CI209" s="545">
        <f>IF(AND($B209&gt;=$FV209,$B209&lt;=$FW209),MAX(CF209,Sheet1!EJ211,0),MAX(CF209-(7/36)*$K209,0))</f>
        <v>6</v>
      </c>
      <c r="CJ209" s="560">
        <f t="shared" si="403"/>
        <v>0</v>
      </c>
      <c r="CK209" s="545">
        <f t="shared" si="404"/>
        <v>0</v>
      </c>
      <c r="CL209" s="545">
        <f>IF(AND($O209&gt;0,Sheet1!EN211=1),(1-($O209-Sheet1!$L211)/$O209)*CF209,0)</f>
        <v>0</v>
      </c>
      <c r="CM209" s="545">
        <f>IF(AND(Sheet1!$L211=0,Sheet1!$L210=0, Calculation!CE209&lt;Sheet1!EJ211-0.1,Sheet1!EJ211=Sheet1!EJ210,Sheet1!EJ211=Sheet1!EJ212),Sheet1!EJ211,CF209-CL209)</f>
        <v>5.8873450995118288</v>
      </c>
      <c r="CN209" s="545"/>
      <c r="CO209" s="560"/>
      <c r="CP209" s="560">
        <f t="shared" si="405"/>
        <v>570.46282355440871</v>
      </c>
      <c r="CQ209" s="560"/>
      <c r="CR209" s="560">
        <f ca="1">IF(B209&gt;Summary!$A$1,#N/A,CP209*MGtoAF)</f>
        <v>1750.1799426649259</v>
      </c>
      <c r="CS209" s="560">
        <f>Sheet1!BK211+Sheet1!BL211+Sheet1!BM211-Sheet1!ER211-DA209</f>
        <v>11</v>
      </c>
      <c r="CT209" s="560">
        <f t="shared" si="406"/>
        <v>10.793466015771687</v>
      </c>
      <c r="CU209" s="560">
        <f>IF(Sheet1!ER211="FM",DA209,0)</f>
        <v>0</v>
      </c>
      <c r="CV209" s="560">
        <f t="shared" si="407"/>
        <v>0</v>
      </c>
      <c r="CW209" s="560">
        <f>IF(Sheet1!ER211="OTHER",DA209,0)</f>
        <v>0</v>
      </c>
      <c r="CX209" s="560">
        <f t="shared" si="408"/>
        <v>0</v>
      </c>
      <c r="CY209" s="560">
        <f t="shared" si="409"/>
        <v>11</v>
      </c>
      <c r="CZ209" s="560">
        <f t="shared" si="410"/>
        <v>10.793466015771687</v>
      </c>
      <c r="DA209" s="560">
        <f>IF(OR(Sheet1!ER211="FM", Sheet1!ER211="OTHER"),SUM(Sheet1!BK211:'Sheet1'!BM211),0)</f>
        <v>0</v>
      </c>
      <c r="DB209" s="545">
        <f>IF(AND($B209&gt;=$FV209,$B209&lt;=$FW209),MAX($CT209,Sheet1!EK211,0),MAX($CT209-(7/36)*$K209,0))</f>
        <v>11</v>
      </c>
      <c r="DC209" s="560">
        <f t="shared" si="411"/>
        <v>0</v>
      </c>
      <c r="DD209" s="545">
        <f t="shared" si="412"/>
        <v>0</v>
      </c>
      <c r="DE209" s="545">
        <f>IF(AND($O209&gt;0,Sheet1!EO211=1),(1-($O209-Sheet1!$L211)/$O209)*CZ209,0)</f>
        <v>0</v>
      </c>
      <c r="DF209" s="545">
        <f>IF(AND(Sheet1!$L211=0,Sheet1!$L210=0, Calculation!CY209&lt;Sheet1!$EK211-0.1,Sheet1!$EK211=Sheet1!$EK210,Sheet1!$EK211=Sheet1!$EK212),Sheet1!$EK211,CZ209-DE209)</f>
        <v>10.793466015771687</v>
      </c>
      <c r="DG209" s="545"/>
      <c r="DH209" s="560">
        <f t="shared" si="413"/>
        <v>20</v>
      </c>
      <c r="DI209" s="560">
        <f t="shared" si="414"/>
        <v>516.55075660194393</v>
      </c>
      <c r="DJ209" s="698">
        <f t="shared" si="415"/>
        <v>19.624483665039428</v>
      </c>
      <c r="DK209" s="560">
        <f ca="1">IF(B209&gt;Summary!$A$1,#N/A,DI209*MGtoAF)</f>
        <v>1584.7777212547639</v>
      </c>
      <c r="DL209" s="698">
        <f t="shared" si="416"/>
        <v>20</v>
      </c>
      <c r="DM209" s="560">
        <f t="shared" si="417"/>
        <v>53.26</v>
      </c>
      <c r="DN209" s="560">
        <f>Sheet1!AB211-DM209</f>
        <v>-1</v>
      </c>
      <c r="DO209" s="823">
        <f t="shared" si="418"/>
        <v>-1.8775816748028539E-2</v>
      </c>
      <c r="DP209" s="560">
        <f>(VLOOKUP(Sheet1!DC211,hhdcap_wcm,4)-(((VLOOKUP(Sheet1!DC211,hhdcap_wcm,3)-Sheet1!DC211)/(VLOOKUP(Sheet1!DC211,hhdcap_wcm,3)-VLOOKUP(Sheet1!DC211,hhdcap_wcm,1)))*(VLOOKUP(Sheet1!DC211,hhdcap_wcm,4)-VLOOKUP(Sheet1!DC211,hhdcap_wcm,2))))</f>
        <v>45529.500000110784</v>
      </c>
      <c r="DQ209" s="560">
        <f t="shared" si="419"/>
        <v>-174.50000000101863</v>
      </c>
      <c r="DR209" s="560">
        <f t="shared" si="420"/>
        <v>-87.997982854774889</v>
      </c>
      <c r="DS209" s="560">
        <f>Sheet1!EA211*AFtoMG</f>
        <v>0</v>
      </c>
      <c r="DT209" s="560">
        <f>Sheet1!EB211*AFtoMG</f>
        <v>0</v>
      </c>
      <c r="DU209" s="560">
        <f>Sheet1!EC211*AFtoMG</f>
        <v>0</v>
      </c>
      <c r="DV209" s="560">
        <f>Sheet1!ED211*AFtoMG</f>
        <v>0</v>
      </c>
      <c r="DW209" s="560">
        <f t="shared" si="421"/>
        <v>0</v>
      </c>
      <c r="DX209" s="560">
        <f t="shared" si="422"/>
        <v>0</v>
      </c>
      <c r="DY209" s="560">
        <f t="shared" si="423"/>
        <v>2986.0750583401941</v>
      </c>
      <c r="DZ209" s="560">
        <f t="shared" si="424"/>
        <v>9161.2782789877165</v>
      </c>
      <c r="EA209" s="560"/>
      <c r="EB209" s="545">
        <f>IF(OR(B209&lt;FV209,B209&gt;FW209),(MIN(BF209+BY209+CT209+MAX(Sheet1!AA211+AQ209-73,0),K209)),0)</f>
        <v>0</v>
      </c>
      <c r="EC209" s="560"/>
      <c r="ED209" s="560">
        <f t="shared" si="425"/>
        <v>19.624483665039431</v>
      </c>
      <c r="EE209" s="560"/>
      <c r="EF209" s="560">
        <f>Sheet1!EH211+Sheet1!EI211+Sheet1!EJ211+Sheet1!EK211</f>
        <v>28</v>
      </c>
      <c r="EG209" s="560"/>
      <c r="EH209" s="545">
        <f t="shared" si="426"/>
        <v>0</v>
      </c>
      <c r="EI209" s="560">
        <f>IF(Sheet1!ET211=1,SUM('Calculations II'!AT209:BA209)+'Calculations II'!BC209+Sheet1!BV211+'Calculations II'!BE209+AP209,SUM('Calculations II'!AT209:BA209)+'Calculations II'!BC209+Sheet1!BV211+'Calculations II'!BE209+AP209)</f>
        <v>86.111152000000004</v>
      </c>
      <c r="EJ209" s="560">
        <f>Sheet1!AA211+Sheet1!AB211+'Calculations II'!BC209</f>
        <v>98.960000000000008</v>
      </c>
      <c r="EK209" s="560"/>
      <c r="EL209" s="560"/>
      <c r="EM209" s="560">
        <f t="shared" si="427"/>
        <v>41837</v>
      </c>
      <c r="EN209" s="560">
        <f t="shared" si="428"/>
        <v>-28</v>
      </c>
      <c r="EO209" s="560">
        <f t="shared" si="429"/>
        <v>-43.315999999999995</v>
      </c>
      <c r="EP209" s="560">
        <v>0</v>
      </c>
      <c r="EQ209" s="560">
        <v>0</v>
      </c>
      <c r="ER209" s="560">
        <v>0</v>
      </c>
      <c r="ES209" s="545">
        <f t="shared" si="454"/>
        <v>-4.7101166540885195</v>
      </c>
      <c r="ET209" s="560">
        <f>-(VLOOKUP(Sheet1!BQ211,Lookup!$O$4:$Q$262,2)-VLOOKUP(Sheet1!BQ210,Lookup!$O$4:$Q$262,2))/1000000</f>
        <v>-2.355112806707464</v>
      </c>
      <c r="EU209" s="560">
        <f>-(VLOOKUP(Sheet1!BR211,Lookup!$O$4:$Q$262,3)-VLOOKUP(Sheet1!BR210,Lookup!$O$4:$Q$262,3))/1000000</f>
        <v>-2.3550038473810555</v>
      </c>
      <c r="EV209" s="560"/>
      <c r="EW209" s="560"/>
      <c r="EX209" s="560"/>
      <c r="EY209" s="560"/>
      <c r="EZ209" s="560"/>
      <c r="FA209" s="560"/>
      <c r="FB209" s="560"/>
      <c r="FC209" s="560"/>
      <c r="FD209" s="594">
        <f t="shared" si="443"/>
        <v>1138.4888888888102</v>
      </c>
      <c r="FE209" s="594" t="e">
        <f t="shared" si="431"/>
        <v>#N/A</v>
      </c>
      <c r="FF209" s="595" t="e">
        <f t="shared" si="432"/>
        <v>#N/A</v>
      </c>
      <c r="FG209" s="596" t="s">
        <v>692</v>
      </c>
      <c r="FH209" s="596" t="s">
        <v>692</v>
      </c>
      <c r="FI209" s="594" t="e">
        <v>#N/A</v>
      </c>
      <c r="FJ209" s="778">
        <v>22074</v>
      </c>
      <c r="FK209" s="560"/>
      <c r="FL209" s="560"/>
      <c r="FM209" s="560"/>
      <c r="FN209" s="560"/>
      <c r="FO209" s="560">
        <f>O209+((Sheet1!CS211)*GPMtoMGD)</f>
        <v>98.960000000000008</v>
      </c>
      <c r="FP209" s="560">
        <f>IF(Sheet1!AA211+AQ209&lt;=Calculation!N209,AQ209,Calculation!N209-Sheet1!AA211)</f>
        <v>26.299999999999997</v>
      </c>
      <c r="FQ209" s="560">
        <f>(Sheet1!BP211+Sheet1!BO211)/694.4</f>
        <v>4.5506912442396317</v>
      </c>
      <c r="FR209" s="560"/>
      <c r="FS209" s="560"/>
      <c r="FT209" s="560"/>
      <c r="FU209" s="560"/>
      <c r="FV209" s="695">
        <f t="shared" si="455"/>
        <v>41827</v>
      </c>
      <c r="FW209" s="695">
        <f t="shared" si="456"/>
        <v>41934</v>
      </c>
      <c r="FX209" s="560"/>
      <c r="FY209" s="560"/>
      <c r="FZ209" s="560"/>
      <c r="GA209" s="560"/>
      <c r="GB209" s="560" t="str">
        <f t="shared" si="457"/>
        <v>n</v>
      </c>
      <c r="GC209" s="564">
        <f t="shared" si="458"/>
        <v>41691</v>
      </c>
      <c r="GD209" s="695">
        <f t="shared" si="459"/>
        <v>41807</v>
      </c>
      <c r="GE209" s="560">
        <v>6518.9</v>
      </c>
      <c r="GF209" s="695">
        <f t="shared" si="460"/>
        <v>41808</v>
      </c>
      <c r="GG209" s="560">
        <f t="shared" si="374"/>
        <v>3259</v>
      </c>
      <c r="GH209" s="564">
        <f t="shared" si="461"/>
        <v>41934</v>
      </c>
      <c r="GJ209" s="545">
        <f t="shared" si="462"/>
        <v>0</v>
      </c>
      <c r="GK209" s="560" t="str">
        <f t="shared" si="433"/>
        <v/>
      </c>
      <c r="GL209" s="560">
        <f t="shared" si="463"/>
        <v>0</v>
      </c>
      <c r="GM209" s="560" t="str">
        <f t="shared" si="464"/>
        <v/>
      </c>
      <c r="GN209" s="560">
        <f>IF(GK209="P",Lookup!$M$12,IF(GK209="PP",Lookup!$M$13,IF(GK209="PPP",Lookup!$M$14,IF(GK209="T",Lookup!$M$15,IF(GK209="TP",Lookup!$M$16,IF(GK209="TPP",Lookup!$M$17,IF(GK209="TPPP",Lookup!$M$18,0)))))))*GJ209</f>
        <v>0</v>
      </c>
      <c r="GO209" s="560">
        <f t="shared" si="465"/>
        <v>0</v>
      </c>
      <c r="GP209" s="560">
        <f t="shared" si="434"/>
        <v>3962.0663333333337</v>
      </c>
      <c r="GQ209" s="560">
        <f t="shared" si="473"/>
        <v>1291.4166666666667</v>
      </c>
      <c r="GR209" s="560"/>
      <c r="GS209" s="560">
        <f t="shared" si="466"/>
        <v>0</v>
      </c>
      <c r="GT209" s="560" t="str">
        <f t="shared" si="467"/>
        <v/>
      </c>
      <c r="GU209" s="560">
        <f>IF(GK209="P",Lookup!$N$12,IF(GK209="PP",Lookup!$N$13,IF(GK209="PPP",Lookup!$N$14,IF(GK209="T",Lookup!$N$15,IF(GK209="TP",Lookup!$N$16,IF(GK209="TPP",Lookup!$N$17,IF(GK209="TPPP",Lookup!$N$18,0)))))))*GJ209</f>
        <v>0</v>
      </c>
      <c r="GV209" s="560">
        <f t="shared" si="468"/>
        <v>0</v>
      </c>
      <c r="GW209" s="560">
        <f t="shared" si="435"/>
        <v>1864.2542817346925</v>
      </c>
      <c r="GX209" s="560">
        <f t="shared" si="474"/>
        <v>607.64481151717484</v>
      </c>
      <c r="GY209" s="560"/>
      <c r="GZ209" s="560">
        <f t="shared" si="469"/>
        <v>0</v>
      </c>
      <c r="HA209" s="560" t="str">
        <f t="shared" si="470"/>
        <v/>
      </c>
      <c r="HB209" s="560">
        <f>IF(GK209="P",Lookup!$N$12,IF(GK209="PP",Lookup!$N$13,IF(GK209="PPP",Lookup!$N$14,IF(GK209="T",Lookup!$N$15,IF(GK209="TP",Lookup!$N$16,IF(GK209="TPP",Lookup!$N$17,IF(GK209="TPPP",Lookup!$N$18,0)))))))*GJ209</f>
        <v>0</v>
      </c>
      <c r="HC209" s="545">
        <f t="shared" si="436"/>
        <v>0</v>
      </c>
      <c r="HD209" s="560">
        <f t="shared" si="437"/>
        <v>1750.1799426649259</v>
      </c>
      <c r="HE209" s="560">
        <f t="shared" si="475"/>
        <v>570.46282355440871</v>
      </c>
      <c r="HF209" s="560"/>
      <c r="HG209" s="560">
        <f t="shared" si="471"/>
        <v>0</v>
      </c>
      <c r="HH209" s="560" t="str">
        <f t="shared" si="472"/>
        <v/>
      </c>
      <c r="HI209" s="560">
        <f>IF(GK209="P",Lookup!$N$12,IF(GK209="PP",Lookup!$N$13,IF(GK209="PPP",Lookup!$N$14,IF(GK209="T",Lookup!$N$15,IF(GK209="TP",Lookup!$N$16,IF(GK209="TPP",Lookup!$N$17,IF(GK209="TPPP",Lookup!$N$18,0)))))))*GJ209</f>
        <v>0</v>
      </c>
      <c r="HJ209" s="545">
        <f t="shared" si="438"/>
        <v>0</v>
      </c>
      <c r="HK209" s="560">
        <f t="shared" si="439"/>
        <v>1584.7777212547639</v>
      </c>
      <c r="HL209" s="560">
        <f t="shared" si="476"/>
        <v>516.55075660194393</v>
      </c>
    </row>
    <row r="210" spans="1:220">
      <c r="A210" s="580" t="s">
        <v>8</v>
      </c>
      <c r="B210" s="556">
        <v>41838</v>
      </c>
      <c r="C210" s="561">
        <v>0</v>
      </c>
      <c r="D210" s="529">
        <f t="shared" ref="D210:D273" si="477">IF(AND(B210&gt;=DATE($A$1,7,15),B210&lt;=DATE($A$1,9,15)),200,300)</f>
        <v>200</v>
      </c>
      <c r="E210" s="529">
        <f t="shared" ref="E210:E273" si="478">IF(AND(B210&gt;=DATE($A$1,7,15),B210&lt;=DATE($A$1,9,15)),400,250)</f>
        <v>400</v>
      </c>
      <c r="F210" s="529">
        <v>250</v>
      </c>
      <c r="G210" s="560">
        <f>DR210+Sheet1!CZ212</f>
        <v>253.549167927258</v>
      </c>
      <c r="H210" s="1082">
        <f t="shared" si="442"/>
        <v>34.614182148179566</v>
      </c>
      <c r="I210" s="559">
        <f>MAX(Sheet1!Z212-AT210+(Sheet1!DA212-E210)*CFStoMGD,0)</f>
        <v>17.354399999999998</v>
      </c>
      <c r="J210" s="562">
        <f>IF(AND(B210&gt;=Calculation!GC210,B210&lt;=Calculation!GD210),IF(Sheet1!DB212&gt;=Calculation!D210,64.64,0),MAX(Sheet1!Z212-AT210+(Sheet1!DB212-D210)*CFStoMGD,0))</f>
        <v>78.7624</v>
      </c>
      <c r="K210" s="1101">
        <v>0</v>
      </c>
      <c r="L210" s="560">
        <f>Sheet1!AA212+Sheet1!AB212-Sheet1!L212+(Sheet1!DA212-F210)*CFStoMGD</f>
        <v>157.90439999999825</v>
      </c>
      <c r="M210" s="560">
        <f t="shared" si="376"/>
        <v>167.17206579114315</v>
      </c>
      <c r="N210" s="910">
        <f>IF(Sheet1!DA212&gt;=F210,MIN(73,MIN(MAX(L210,0),MAX(M210,0))),0)</f>
        <v>73</v>
      </c>
      <c r="O210" s="563">
        <f>Sheet1!AA212+Sheet1!AB212</f>
        <v>96.18</v>
      </c>
      <c r="P210" s="563">
        <f t="shared" si="377"/>
        <v>148.79046</v>
      </c>
      <c r="Q210" s="898">
        <f t="shared" si="444"/>
        <v>72.180000000000007</v>
      </c>
      <c r="R210" s="829">
        <f t="shared" si="378"/>
        <v>24</v>
      </c>
      <c r="S210" s="898">
        <f t="shared" si="445"/>
        <v>0</v>
      </c>
      <c r="T210" s="898">
        <f t="shared" si="446"/>
        <v>0</v>
      </c>
      <c r="U210" s="898">
        <f t="shared" si="447"/>
        <v>24</v>
      </c>
      <c r="V210" s="898"/>
      <c r="W210" s="898">
        <f t="shared" si="448"/>
        <v>0</v>
      </c>
      <c r="X210" s="898">
        <f t="shared" si="449"/>
        <v>0</v>
      </c>
      <c r="Y210" s="898" t="str">
        <f t="shared" si="450"/>
        <v>FALSE</v>
      </c>
      <c r="Z210" s="898">
        <f t="shared" si="451"/>
        <v>96.18</v>
      </c>
      <c r="AA210" s="898">
        <f t="shared" si="452"/>
        <v>96.18</v>
      </c>
      <c r="AB210" s="898" t="str">
        <f t="shared" si="453"/>
        <v/>
      </c>
      <c r="AC210" s="563">
        <f>Sheet1!Y212*MGDtoCFS</f>
        <v>72.244900000000001</v>
      </c>
      <c r="AD210" s="563">
        <f>Sheet1!Z212*MGDtoCFS</f>
        <v>80.846219999999988</v>
      </c>
      <c r="AE210" s="563">
        <f>Sheet1!AA212*MGDtoCFS</f>
        <v>73.760959999999997</v>
      </c>
      <c r="AF210" s="563">
        <f>Sheet1!AB212*MGDtoCFS</f>
        <v>75.029499999999999</v>
      </c>
      <c r="AG210" s="563">
        <f>Sheet1!L212*MGDtoCFS</f>
        <v>0.51051000000270141</v>
      </c>
      <c r="AH210" s="545">
        <f t="shared" si="379"/>
        <v>24</v>
      </c>
      <c r="AI210" s="560">
        <f t="shared" si="380"/>
        <v>37.128</v>
      </c>
      <c r="AJ210" s="560">
        <f t="shared" si="381"/>
        <v>0</v>
      </c>
      <c r="AK210" s="560">
        <f t="shared" si="382"/>
        <v>0</v>
      </c>
      <c r="AL210" s="560">
        <f>(VLOOKUP(Sheet1!DC212,hhdcap_wcm,4)-(((VLOOKUP(Sheet1!DC212,hhdcap_wcm,3)-Sheet1!DC212)/(VLOOKUP(Sheet1!DC212,hhdcap_wcm,3)-VLOOKUP(Sheet1!DC212,hhdcap_wcm,1)))*(VLOOKUP(Sheet1!DC212,hhdcap_wcm,4)-VLOOKUP(Sheet1!DC212,hhdcap_wcm,2))))</f>
        <v>45366.000000110536</v>
      </c>
      <c r="AM210" s="560">
        <f t="shared" si="383"/>
        <v>-163.50000000024738</v>
      </c>
      <c r="AN210" s="560">
        <f t="shared" si="384"/>
        <v>2962.0750583401941</v>
      </c>
      <c r="AO210" s="560">
        <f t="shared" si="385"/>
        <v>9087.646278987715</v>
      </c>
      <c r="AP210" s="560">
        <f>Sheet1!BA212+Sheet1!BB212+Sheet1!BN212+CD210</f>
        <v>28.900000000000002</v>
      </c>
      <c r="AQ210" s="560">
        <f>Sheet1!BN212+(DO210*Sheet1!BN212)</f>
        <v>27.04902962206333</v>
      </c>
      <c r="AR210" s="560">
        <f>Sheet1!BA212+CD210</f>
        <v>0</v>
      </c>
      <c r="AS210" s="560">
        <f>Sheet1!BA212+Sheet1!BB212+CD210</f>
        <v>1.6</v>
      </c>
      <c r="AT210" s="698">
        <f>0</f>
        <v>0</v>
      </c>
      <c r="AU210" s="560">
        <f>IF(EB210&lt;K210,0,MAX(Sheet1!AA212+AQ210-15/36*K210-N210,Sheet1!EH212,0))</f>
        <v>4</v>
      </c>
      <c r="AV210" s="560">
        <f>IF(OR(B210&gt;=GD210,B210&lt;GC210),0,15/36*K210-MAX(0,64.6-(137.6-(Sheet1!AA212+Sheet1!AB212))))</f>
        <v>0</v>
      </c>
      <c r="AW210" s="698">
        <f>Sheet1!DB212-110</f>
        <v>131</v>
      </c>
      <c r="AX210" s="698">
        <f>Sheet1!DA212-265</f>
        <v>81</v>
      </c>
      <c r="AY210" s="698">
        <f t="shared" si="386"/>
        <v>0.81999999999999318</v>
      </c>
      <c r="AZ210" s="698">
        <v>0</v>
      </c>
      <c r="BA210" s="698">
        <f t="shared" si="387"/>
        <v>0</v>
      </c>
      <c r="BB210" s="560">
        <f t="shared" si="388"/>
        <v>1287.4166666666667</v>
      </c>
      <c r="BC210" s="560"/>
      <c r="BD210" s="560">
        <f ca="1">IF(B210&gt;Summary!$A$1,#N/A,BB210*MGtoAF)</f>
        <v>3949.7943333333337</v>
      </c>
      <c r="BE210" s="560">
        <f>Sheet1!BG212+Sheet1!BH212+Sheet1!BI212-BM210</f>
        <v>3</v>
      </c>
      <c r="BF210" s="560">
        <f t="shared" si="389"/>
        <v>2.9724208375893766</v>
      </c>
      <c r="BG210" s="560">
        <f>IF(Sheet1!EP212="FM",BM210,0)</f>
        <v>0</v>
      </c>
      <c r="BH210" s="560">
        <f t="shared" si="390"/>
        <v>0</v>
      </c>
      <c r="BI210" s="560">
        <f>IF(Sheet1!EP212="OTHER",BM210,0)</f>
        <v>0</v>
      </c>
      <c r="BJ210" s="560">
        <f t="shared" si="391"/>
        <v>0</v>
      </c>
      <c r="BK210" s="560">
        <f t="shared" si="392"/>
        <v>3</v>
      </c>
      <c r="BL210" s="560">
        <f t="shared" si="393"/>
        <v>2.9724208375893766</v>
      </c>
      <c r="BM210" s="560">
        <f>IF(OR(Sheet1!EP212="FM", Sheet1!EP212="OTHER"),SUM(Sheet1!BG212:'Sheet1'!BI212),0)</f>
        <v>0</v>
      </c>
      <c r="BN210" s="545">
        <f>IF(AND($B210&gt;=$FV210,$B210&lt;=$FW210),MAX(BF210,Sheet1!EI212,0),MAX(BF210-(7/36)*$K210,0))</f>
        <v>3</v>
      </c>
      <c r="BO210" s="560">
        <f t="shared" si="394"/>
        <v>0</v>
      </c>
      <c r="BP210" s="545">
        <f t="shared" si="395"/>
        <v>0</v>
      </c>
      <c r="BQ210" s="545">
        <f>IF(AND($O210&gt;0,Sheet1!EM212=1),(1-($O210-Sheet1!$L212)/$O210)*BL210,0)</f>
        <v>0</v>
      </c>
      <c r="BR210" s="545">
        <f>IF(AND(Sheet1!$L212=0,Sheet1!$L211=0, Calculation!BK210&lt;Sheet1!$EI212-0.1,Sheet1!$EI212=Sheet1!$EI211,Sheet1!$EI212=Sheet1!$EI213),Sheet1!$EI212,BL210-BQ210)</f>
        <v>2.9724208375893766</v>
      </c>
      <c r="BS210" s="560"/>
      <c r="BT210" s="560"/>
      <c r="BU210" s="560">
        <f t="shared" si="396"/>
        <v>604.64481151717484</v>
      </c>
      <c r="BV210" s="560"/>
      <c r="BW210" s="560">
        <f ca="1">IF(B210&gt;Summary!$A$1,#N/A,BU210*MGtoAF)</f>
        <v>1855.0502817346924</v>
      </c>
      <c r="BX210" s="560">
        <f>Sheet1!BC212+Sheet1!BD212+Sheet1!BE212+Sheet1!BF212-CG210-CH210</f>
        <v>6.01</v>
      </c>
      <c r="BY210" s="560">
        <f t="shared" si="397"/>
        <v>5.9547497446373843</v>
      </c>
      <c r="BZ210" s="560">
        <f>IF(Sheet1!EQ212="FM",CH210,0)</f>
        <v>0</v>
      </c>
      <c r="CA210" s="560">
        <f t="shared" si="398"/>
        <v>0</v>
      </c>
      <c r="CB210" s="560">
        <f>IF(Sheet1!EQ212="OTHER",CH210,0)</f>
        <v>0</v>
      </c>
      <c r="CC210" s="560">
        <f t="shared" si="399"/>
        <v>0</v>
      </c>
      <c r="CD210" s="560">
        <f t="shared" si="400"/>
        <v>0</v>
      </c>
      <c r="CE210" s="560">
        <f t="shared" si="401"/>
        <v>6.01</v>
      </c>
      <c r="CF210" s="560">
        <f t="shared" si="402"/>
        <v>5.9547497446373843</v>
      </c>
      <c r="CG210" s="560">
        <f>IF(Sheet1!EQ212="CWA",SUM(Sheet1!BC212:'Sheet1'!BF212),0)</f>
        <v>0</v>
      </c>
      <c r="CH210" s="560">
        <f>IF(OR(Sheet1!EQ212="FM", Sheet1!EQ212="OTHER"),SUM(Sheet1!BC212:'Sheet1'!BF212),0)</f>
        <v>0</v>
      </c>
      <c r="CI210" s="545">
        <f>IF(AND($B210&gt;=$FV210,$B210&lt;=$FW210),MAX(CF210,Sheet1!EJ212,0),MAX(CF210-(7/36)*$K210,0))</f>
        <v>6</v>
      </c>
      <c r="CJ210" s="560">
        <f t="shared" si="403"/>
        <v>0</v>
      </c>
      <c r="CK210" s="545">
        <f t="shared" si="404"/>
        <v>0</v>
      </c>
      <c r="CL210" s="545">
        <f>IF(AND($O210&gt;0,Sheet1!EN212=1),(1-($O210-Sheet1!$L212)/$O210)*CF210,0)</f>
        <v>0</v>
      </c>
      <c r="CM210" s="545">
        <f>IF(AND(Sheet1!$L212=0,Sheet1!$L211=0, Calculation!CE210&lt;Sheet1!EJ212-0.1,Sheet1!EJ212=Sheet1!EJ211,Sheet1!EJ212=Sheet1!EJ213),Sheet1!EJ212,CF210-CL210)</f>
        <v>5.9547497446373843</v>
      </c>
      <c r="CN210" s="545"/>
      <c r="CO210" s="560"/>
      <c r="CP210" s="560">
        <f t="shared" si="405"/>
        <v>564.46282355440871</v>
      </c>
      <c r="CQ210" s="560"/>
      <c r="CR210" s="560">
        <f ca="1">IF(B210&gt;Summary!$A$1,#N/A,CP210*MGtoAF)</f>
        <v>1731.771942664926</v>
      </c>
      <c r="CS210" s="560">
        <f>Sheet1!BK212+Sheet1!BL212+Sheet1!BM212-Sheet1!ER212-DA210</f>
        <v>11.04</v>
      </c>
      <c r="CT210" s="560">
        <f t="shared" si="406"/>
        <v>10.938508682328905</v>
      </c>
      <c r="CU210" s="560">
        <f>IF(Sheet1!ER212="FM",DA210,0)</f>
        <v>0</v>
      </c>
      <c r="CV210" s="560">
        <f t="shared" si="407"/>
        <v>0</v>
      </c>
      <c r="CW210" s="560">
        <f>IF(Sheet1!ER212="OTHER",DA210,0)</f>
        <v>0</v>
      </c>
      <c r="CX210" s="560">
        <f t="shared" si="408"/>
        <v>0</v>
      </c>
      <c r="CY210" s="560">
        <f t="shared" si="409"/>
        <v>11.04</v>
      </c>
      <c r="CZ210" s="560">
        <f t="shared" si="410"/>
        <v>10.938508682328905</v>
      </c>
      <c r="DA210" s="560">
        <f>IF(OR(Sheet1!ER212="FM", Sheet1!ER212="OTHER"),SUM(Sheet1!BK212:'Sheet1'!BM212),0)</f>
        <v>0</v>
      </c>
      <c r="DB210" s="545">
        <f>IF(AND($B210&gt;=$FV210,$B210&lt;=$FW210),MAX($CT210,Sheet1!EK212,0),MAX($CT210-(7/36)*$K210,0))</f>
        <v>11</v>
      </c>
      <c r="DC210" s="560">
        <f t="shared" si="411"/>
        <v>0</v>
      </c>
      <c r="DD210" s="545">
        <f t="shared" si="412"/>
        <v>0</v>
      </c>
      <c r="DE210" s="545">
        <f>IF(AND($O210&gt;0,Sheet1!EO212=1),(1-($O210-Sheet1!$L212)/$O210)*CZ210,0)</f>
        <v>0</v>
      </c>
      <c r="DF210" s="545">
        <f>IF(AND(Sheet1!$L212=0,Sheet1!$L211=0, Calculation!CY210&lt;Sheet1!$EK212-0.1,Sheet1!$EK212=Sheet1!$EK211,Sheet1!$EK212=Sheet1!$EK213),Sheet1!$EK212,CZ210-DE210)</f>
        <v>10.938508682328905</v>
      </c>
      <c r="DG210" s="545"/>
      <c r="DH210" s="560">
        <f t="shared" si="413"/>
        <v>20.049999999999997</v>
      </c>
      <c r="DI210" s="560">
        <f t="shared" si="414"/>
        <v>505.55075660194393</v>
      </c>
      <c r="DJ210" s="698">
        <f t="shared" si="415"/>
        <v>19.865679264555666</v>
      </c>
      <c r="DK210" s="560">
        <f ca="1">IF(B210&gt;Summary!$A$1,#N/A,DI210*MGtoAF)</f>
        <v>1551.0297212547639</v>
      </c>
      <c r="DL210" s="698">
        <f t="shared" si="416"/>
        <v>20.049999999999997</v>
      </c>
      <c r="DM210" s="560">
        <f t="shared" si="417"/>
        <v>48.95</v>
      </c>
      <c r="DN210" s="560">
        <f>Sheet1!AB212-DM210</f>
        <v>-0.45000000000000284</v>
      </c>
      <c r="DO210" s="823">
        <f t="shared" si="418"/>
        <v>-9.1930541368744189E-3</v>
      </c>
      <c r="DP210" s="560">
        <f>(VLOOKUP(Sheet1!DC212,hhdcap_wcm,4)-(((VLOOKUP(Sheet1!DC212,hhdcap_wcm,3)-Sheet1!DC212)/(VLOOKUP(Sheet1!DC212,hhdcap_wcm,3)-VLOOKUP(Sheet1!DC212,hhdcap_wcm,1)))*(VLOOKUP(Sheet1!DC212,hhdcap_wcm,4)-VLOOKUP(Sheet1!DC212,hhdcap_wcm,2))))</f>
        <v>45366.000000110536</v>
      </c>
      <c r="DQ210" s="560">
        <f t="shared" si="419"/>
        <v>-163.50000000024738</v>
      </c>
      <c r="DR210" s="560">
        <f t="shared" si="420"/>
        <v>-82.450832072741989</v>
      </c>
      <c r="DS210" s="560">
        <f>Sheet1!EA212*AFtoMG</f>
        <v>0</v>
      </c>
      <c r="DT210" s="560">
        <f>Sheet1!EB212*AFtoMG</f>
        <v>0</v>
      </c>
      <c r="DU210" s="560">
        <f>Sheet1!EC212*AFtoMG</f>
        <v>0</v>
      </c>
      <c r="DV210" s="560">
        <f>Sheet1!ED212*AFtoMG</f>
        <v>0</v>
      </c>
      <c r="DW210" s="560">
        <f t="shared" si="421"/>
        <v>0</v>
      </c>
      <c r="DX210" s="560">
        <f t="shared" si="422"/>
        <v>0</v>
      </c>
      <c r="DY210" s="560">
        <f t="shared" si="423"/>
        <v>2962.0750583401941</v>
      </c>
      <c r="DZ210" s="560">
        <f t="shared" si="424"/>
        <v>9087.646278987715</v>
      </c>
      <c r="EA210" s="560"/>
      <c r="EB210" s="545">
        <f>IF(OR(B210&lt;FV210,B210&gt;FW210),(MIN(BF210+BY210+CT210+MAX(Sheet1!AA212+AQ210-73,0),K210)),0)</f>
        <v>0</v>
      </c>
      <c r="EC210" s="560"/>
      <c r="ED210" s="560">
        <f t="shared" si="425"/>
        <v>19.865679264555666</v>
      </c>
      <c r="EE210" s="560"/>
      <c r="EF210" s="560">
        <f>Sheet1!EH212+Sheet1!EI212+Sheet1!EJ212+Sheet1!EK212</f>
        <v>24</v>
      </c>
      <c r="EG210" s="560"/>
      <c r="EH210" s="545">
        <f t="shared" si="426"/>
        <v>0</v>
      </c>
      <c r="EI210" s="560">
        <f>IF(Sheet1!ET212=1,SUM('Calculations II'!AT210:BA210)+'Calculations II'!BC210+Sheet1!BV212+'Calculations II'!BE210+AP210,SUM('Calculations II'!AT210:BA210)+'Calculations II'!BC210+Sheet1!BV212+'Calculations II'!BE210+AP210)</f>
        <v>84.861984000000007</v>
      </c>
      <c r="EJ210" s="560">
        <f>Sheet1!AA212+Sheet1!AB212+'Calculations II'!BC210</f>
        <v>96.18</v>
      </c>
      <c r="EK210" s="560"/>
      <c r="EL210" s="560"/>
      <c r="EM210" s="560">
        <f t="shared" si="427"/>
        <v>41838</v>
      </c>
      <c r="EN210" s="560">
        <f t="shared" si="428"/>
        <v>-24</v>
      </c>
      <c r="EO210" s="560">
        <f t="shared" si="429"/>
        <v>-37.128</v>
      </c>
      <c r="EP210" s="560">
        <v>0</v>
      </c>
      <c r="EQ210" s="560">
        <v>0</v>
      </c>
      <c r="ER210" s="560">
        <v>0</v>
      </c>
      <c r="ES210" s="545">
        <f t="shared" si="454"/>
        <v>-1.8019109091437757</v>
      </c>
      <c r="ET210" s="560">
        <f>-(VLOOKUP(Sheet1!BQ212,Lookup!$O$4:$Q$262,2)-VLOOKUP(Sheet1!BQ211,Lookup!$O$4:$Q$262,2))/1000000</f>
        <v>-0.97029078978636485</v>
      </c>
      <c r="EU210" s="560">
        <f>-(VLOOKUP(Sheet1!BR212,Lookup!$O$4:$Q$262,3)-VLOOKUP(Sheet1!BR211,Lookup!$O$4:$Q$262,3))/1000000</f>
        <v>-0.83162011935741087</v>
      </c>
      <c r="EV210" s="560"/>
      <c r="EW210" s="560"/>
      <c r="EX210" s="560"/>
      <c r="EY210" s="560"/>
      <c r="EZ210" s="560"/>
      <c r="FA210" s="560"/>
      <c r="FB210" s="560"/>
      <c r="FC210" s="560"/>
      <c r="FD210" s="594">
        <f t="shared" si="443"/>
        <v>1138.3722222221436</v>
      </c>
      <c r="FE210" s="594" t="e">
        <f t="shared" si="431"/>
        <v>#N/A</v>
      </c>
      <c r="FF210" s="595" t="e">
        <f t="shared" si="432"/>
        <v>#N/A</v>
      </c>
      <c r="FG210" s="596" t="s">
        <v>692</v>
      </c>
      <c r="FH210" s="596" t="s">
        <v>692</v>
      </c>
      <c r="FI210" s="594" t="e">
        <v>#N/A</v>
      </c>
      <c r="FJ210" s="778">
        <v>21990</v>
      </c>
      <c r="FK210" s="560"/>
      <c r="FL210" s="560"/>
      <c r="FM210" s="560"/>
      <c r="FN210" s="560"/>
      <c r="FO210" s="560">
        <f>O210+((Sheet1!CS212)*GPMtoMGD)</f>
        <v>96.18</v>
      </c>
      <c r="FP210" s="560">
        <f>IF(Sheet1!AA212+AQ210&lt;=Calculation!N210,AQ210,Calculation!N210-Sheet1!AA212)</f>
        <v>25.32</v>
      </c>
      <c r="FQ210" s="560">
        <f>(Sheet1!BP212+Sheet1!BO212)/694.4</f>
        <v>3.6693548387096775</v>
      </c>
      <c r="FR210" s="560"/>
      <c r="FS210" s="560"/>
      <c r="FT210" s="560"/>
      <c r="FU210" s="560"/>
      <c r="FV210" s="695">
        <f t="shared" si="455"/>
        <v>41827</v>
      </c>
      <c r="FW210" s="695">
        <f t="shared" si="456"/>
        <v>41934</v>
      </c>
      <c r="FX210" s="560"/>
      <c r="FY210" s="560"/>
      <c r="FZ210" s="560"/>
      <c r="GA210" s="560"/>
      <c r="GB210" s="560" t="str">
        <f t="shared" si="457"/>
        <v>n</v>
      </c>
      <c r="GC210" s="564">
        <f t="shared" si="458"/>
        <v>41691</v>
      </c>
      <c r="GD210" s="695">
        <f t="shared" si="459"/>
        <v>41807</v>
      </c>
      <c r="GE210" s="560">
        <v>6518.9</v>
      </c>
      <c r="GF210" s="695">
        <f t="shared" si="460"/>
        <v>41808</v>
      </c>
      <c r="GG210" s="560">
        <f t="shared" ref="GG210:GG273" si="479">GG209</f>
        <v>3259</v>
      </c>
      <c r="GH210" s="564">
        <f t="shared" si="461"/>
        <v>41934</v>
      </c>
      <c r="GJ210" s="545">
        <f t="shared" si="462"/>
        <v>0</v>
      </c>
      <c r="GK210" s="560" t="str">
        <f t="shared" si="433"/>
        <v/>
      </c>
      <c r="GL210" s="560">
        <f t="shared" si="463"/>
        <v>0</v>
      </c>
      <c r="GM210" s="560" t="str">
        <f t="shared" si="464"/>
        <v/>
      </c>
      <c r="GN210" s="560">
        <f>IF(GK210="P",Lookup!$M$12,IF(GK210="PP",Lookup!$M$13,IF(GK210="PPP",Lookup!$M$14,IF(GK210="T",Lookup!$M$15,IF(GK210="TP",Lookup!$M$16,IF(GK210="TPP",Lookup!$M$17,IF(GK210="TPPP",Lookup!$M$18,0)))))))*GJ210</f>
        <v>0</v>
      </c>
      <c r="GO210" s="560">
        <f t="shared" si="465"/>
        <v>0</v>
      </c>
      <c r="GP210" s="560">
        <f t="shared" si="434"/>
        <v>3949.7943333333337</v>
      </c>
      <c r="GQ210" s="560">
        <f t="shared" si="473"/>
        <v>1287.4166666666667</v>
      </c>
      <c r="GR210" s="560"/>
      <c r="GS210" s="560">
        <f t="shared" si="466"/>
        <v>0</v>
      </c>
      <c r="GT210" s="560" t="str">
        <f t="shared" si="467"/>
        <v/>
      </c>
      <c r="GU210" s="560">
        <f>IF(GK210="P",Lookup!$N$12,IF(GK210="PP",Lookup!$N$13,IF(GK210="PPP",Lookup!$N$14,IF(GK210="T",Lookup!$N$15,IF(GK210="TP",Lookup!$N$16,IF(GK210="TPP",Lookup!$N$17,IF(GK210="TPPP",Lookup!$N$18,0)))))))*GJ210</f>
        <v>0</v>
      </c>
      <c r="GV210" s="560">
        <f t="shared" si="468"/>
        <v>0</v>
      </c>
      <c r="GW210" s="560">
        <f t="shared" si="435"/>
        <v>1855.0502817346924</v>
      </c>
      <c r="GX210" s="560">
        <f t="shared" si="474"/>
        <v>604.64481151717484</v>
      </c>
      <c r="GY210" s="560"/>
      <c r="GZ210" s="560">
        <f t="shared" si="469"/>
        <v>0</v>
      </c>
      <c r="HA210" s="560" t="str">
        <f t="shared" si="470"/>
        <v/>
      </c>
      <c r="HB210" s="560">
        <f>IF(GK210="P",Lookup!$N$12,IF(GK210="PP",Lookup!$N$13,IF(GK210="PPP",Lookup!$N$14,IF(GK210="T",Lookup!$N$15,IF(GK210="TP",Lookup!$N$16,IF(GK210="TPP",Lookup!$N$17,IF(GK210="TPPP",Lookup!$N$18,0)))))))*GJ210</f>
        <v>0</v>
      </c>
      <c r="HC210" s="545">
        <f t="shared" si="436"/>
        <v>0</v>
      </c>
      <c r="HD210" s="560">
        <f t="shared" si="437"/>
        <v>1731.771942664926</v>
      </c>
      <c r="HE210" s="560">
        <f t="shared" si="475"/>
        <v>564.46282355440871</v>
      </c>
      <c r="HF210" s="560"/>
      <c r="HG210" s="560">
        <f t="shared" si="471"/>
        <v>0</v>
      </c>
      <c r="HH210" s="560" t="str">
        <f t="shared" si="472"/>
        <v/>
      </c>
      <c r="HI210" s="560">
        <f>IF(GK210="P",Lookup!$N$12,IF(GK210="PP",Lookup!$N$13,IF(GK210="PPP",Lookup!$N$14,IF(GK210="T",Lookup!$N$15,IF(GK210="TP",Lookup!$N$16,IF(GK210="TPP",Lookup!$N$17,IF(GK210="TPPP",Lookup!$N$18,0)))))))*GJ210</f>
        <v>0</v>
      </c>
      <c r="HJ210" s="545">
        <f t="shared" si="438"/>
        <v>0</v>
      </c>
      <c r="HK210" s="560">
        <f t="shared" si="439"/>
        <v>1551.0297212547639</v>
      </c>
      <c r="HL210" s="560">
        <f t="shared" si="476"/>
        <v>505.55075660194393</v>
      </c>
    </row>
    <row r="211" spans="1:220">
      <c r="A211" s="580" t="s">
        <v>9</v>
      </c>
      <c r="B211" s="556">
        <v>41839</v>
      </c>
      <c r="C211" s="561">
        <v>0</v>
      </c>
      <c r="D211" s="529">
        <f t="shared" si="477"/>
        <v>200</v>
      </c>
      <c r="E211" s="529">
        <f t="shared" si="478"/>
        <v>400</v>
      </c>
      <c r="F211" s="529">
        <v>250</v>
      </c>
      <c r="G211" s="560">
        <f>DR211+Sheet1!CZ213</f>
        <v>301.52849218407027</v>
      </c>
      <c r="H211" s="1082">
        <f t="shared" si="442"/>
        <v>65.628017347783029</v>
      </c>
      <c r="I211" s="559">
        <f>MAX(Sheet1!Z213-AT211+(Sheet1!DA213-E211)*CFStoMGD,0)</f>
        <v>19.412000000000003</v>
      </c>
      <c r="J211" s="562">
        <f>IF(AND(B211&gt;=Calculation!GC211,B211&lt;=Calculation!GD211),IF(Sheet1!DB213&gt;=Calculation!D211,64.64,0),MAX(Sheet1!Z213-AT211+(Sheet1!DB213-D211)*CFStoMGD,0))</f>
        <v>71.770399999999995</v>
      </c>
      <c r="K211" s="1101">
        <v>0</v>
      </c>
      <c r="L211" s="560">
        <f>Sheet1!AA213+Sheet1!AB213-Sheet1!L213+(Sheet1!DA213-F211)*CFStoMGD</f>
        <v>160.59199999999998</v>
      </c>
      <c r="M211" s="560">
        <f t="shared" si="376"/>
        <v>198.80617769473869</v>
      </c>
      <c r="N211" s="910">
        <f>IF(Sheet1!DA213&gt;=F211,MIN(73,MIN(MAX(L211,0),MAX(M211,0))),0)</f>
        <v>73</v>
      </c>
      <c r="O211" s="563">
        <f>Sheet1!AA213+Sheet1!AB213</f>
        <v>92.72</v>
      </c>
      <c r="P211" s="563">
        <f t="shared" si="377"/>
        <v>143.43783999999999</v>
      </c>
      <c r="Q211" s="898">
        <f t="shared" si="444"/>
        <v>72.72</v>
      </c>
      <c r="R211" s="829">
        <f t="shared" si="378"/>
        <v>20</v>
      </c>
      <c r="S211" s="898">
        <f t="shared" si="445"/>
        <v>0</v>
      </c>
      <c r="T211" s="898">
        <f t="shared" si="446"/>
        <v>0</v>
      </c>
      <c r="U211" s="898">
        <f t="shared" si="447"/>
        <v>20</v>
      </c>
      <c r="V211" s="898"/>
      <c r="W211" s="898">
        <f t="shared" si="448"/>
        <v>0</v>
      </c>
      <c r="X211" s="898">
        <f t="shared" si="449"/>
        <v>0</v>
      </c>
      <c r="Y211" s="898" t="str">
        <f t="shared" si="450"/>
        <v>FALSE</v>
      </c>
      <c r="Z211" s="898">
        <f t="shared" si="451"/>
        <v>92.72</v>
      </c>
      <c r="AA211" s="898">
        <f t="shared" si="452"/>
        <v>92.72</v>
      </c>
      <c r="AB211" s="898" t="str">
        <f t="shared" si="453"/>
        <v/>
      </c>
      <c r="AC211" s="563">
        <f>Sheet1!Y213*MGDtoCFS</f>
        <v>73.760959999999997</v>
      </c>
      <c r="AD211" s="563">
        <f>Sheet1!Z213*MGDtoCFS</f>
        <v>75.029499999999999</v>
      </c>
      <c r="AE211" s="563">
        <f>Sheet1!AA213*MGDtoCFS</f>
        <v>73.977539999999991</v>
      </c>
      <c r="AF211" s="563">
        <f>Sheet1!AB213*MGDtoCFS</f>
        <v>69.460299999999989</v>
      </c>
      <c r="AG211" s="563">
        <f>Sheet1!L213*MGDtoCFS</f>
        <v>0</v>
      </c>
      <c r="AH211" s="545">
        <f t="shared" si="379"/>
        <v>20</v>
      </c>
      <c r="AI211" s="560">
        <f t="shared" si="380"/>
        <v>30.939999999999998</v>
      </c>
      <c r="AJ211" s="560">
        <f t="shared" si="381"/>
        <v>0</v>
      </c>
      <c r="AK211" s="560">
        <f t="shared" si="382"/>
        <v>0</v>
      </c>
      <c r="AL211" s="560">
        <f>(VLOOKUP(Sheet1!DC213,hhdcap_wcm,4)-(((VLOOKUP(Sheet1!DC213,hhdcap_wcm,3)-Sheet1!DC213)/(VLOOKUP(Sheet1!DC213,hhdcap_wcm,3)-VLOOKUP(Sheet1!DC213,hhdcap_wcm,1)))*(VLOOKUP(Sheet1!DC213,hhdcap_wcm,4)-VLOOKUP(Sheet1!DC213,hhdcap_wcm,2))))</f>
        <v>45256.000000111548</v>
      </c>
      <c r="AM211" s="560">
        <f t="shared" si="383"/>
        <v>-109.99999999898864</v>
      </c>
      <c r="AN211" s="560">
        <f t="shared" si="384"/>
        <v>2942.0750583401941</v>
      </c>
      <c r="AO211" s="560">
        <f t="shared" si="385"/>
        <v>9026.2862789877163</v>
      </c>
      <c r="AP211" s="560">
        <f>Sheet1!BA213+Sheet1!BB213+Sheet1!BN213+CD211</f>
        <v>26.1</v>
      </c>
      <c r="AQ211" s="560">
        <f>Sheet1!BN213+(DO211*Sheet1!BN213)</f>
        <v>24.171610635025267</v>
      </c>
      <c r="AR211" s="560">
        <f>Sheet1!BA213+CD211</f>
        <v>0</v>
      </c>
      <c r="AS211" s="560">
        <f>Sheet1!BA213+Sheet1!BB213+CD211</f>
        <v>1.6</v>
      </c>
      <c r="AT211" s="698">
        <f>0</f>
        <v>0</v>
      </c>
      <c r="AU211" s="560">
        <f>IF(EB211&lt;K211,0,MAX(Sheet1!AA213+AQ211-15/36*K211-N211,Sheet1!EH213,0))</f>
        <v>0</v>
      </c>
      <c r="AV211" s="560">
        <f>IF(OR(B211&gt;=GD211,B211&lt;GC211),0,15/36*K211-MAX(0,64.6-(137.6-(Sheet1!AA213+Sheet1!AB213))))</f>
        <v>0</v>
      </c>
      <c r="AW211" s="698">
        <f>Sheet1!DB213-110</f>
        <v>126</v>
      </c>
      <c r="AX211" s="698">
        <f>Sheet1!DA213-265</f>
        <v>90</v>
      </c>
      <c r="AY211" s="698">
        <f t="shared" si="386"/>
        <v>0.28000000000000114</v>
      </c>
      <c r="AZ211" s="698">
        <v>0</v>
      </c>
      <c r="BA211" s="698">
        <f t="shared" si="387"/>
        <v>0</v>
      </c>
      <c r="BB211" s="560">
        <f t="shared" si="388"/>
        <v>1287.4166666666667</v>
      </c>
      <c r="BC211" s="560"/>
      <c r="BD211" s="560">
        <f ca="1">IF(B211&gt;Summary!$A$1,#N/A,BB211*MGtoAF)</f>
        <v>3949.7943333333337</v>
      </c>
      <c r="BE211" s="560">
        <f>Sheet1!BG213+Sheet1!BH213+Sheet1!BI213-BM211</f>
        <v>3</v>
      </c>
      <c r="BF211" s="560">
        <f t="shared" si="389"/>
        <v>2.9597890573500325</v>
      </c>
      <c r="BG211" s="560">
        <f>IF(Sheet1!EP213="FM",BM211,0)</f>
        <v>0</v>
      </c>
      <c r="BH211" s="560">
        <f t="shared" si="390"/>
        <v>0</v>
      </c>
      <c r="BI211" s="560">
        <f>IF(Sheet1!EP213="OTHER",BM211,0)</f>
        <v>0</v>
      </c>
      <c r="BJ211" s="560">
        <f t="shared" si="391"/>
        <v>0</v>
      </c>
      <c r="BK211" s="560">
        <f t="shared" si="392"/>
        <v>3</v>
      </c>
      <c r="BL211" s="560">
        <f t="shared" si="393"/>
        <v>2.9597890573500325</v>
      </c>
      <c r="BM211" s="560">
        <f>IF(OR(Sheet1!EP213="FM", Sheet1!EP213="OTHER"),SUM(Sheet1!BG213:'Sheet1'!BI213),0)</f>
        <v>0</v>
      </c>
      <c r="BN211" s="545">
        <f>IF(AND($B211&gt;=$FV211,$B211&lt;=$FW211),MAX(BF211,Sheet1!EI213,0),MAX(BF211-(7/36)*$K211,0))</f>
        <v>3</v>
      </c>
      <c r="BO211" s="560">
        <f t="shared" si="394"/>
        <v>0</v>
      </c>
      <c r="BP211" s="545">
        <f t="shared" si="395"/>
        <v>0</v>
      </c>
      <c r="BQ211" s="545">
        <f>IF(AND($O211&gt;0,Sheet1!EM213=1),(1-($O211-Sheet1!$L213)/$O211)*BL211,0)</f>
        <v>0</v>
      </c>
      <c r="BR211" s="545">
        <f>IF(AND(Sheet1!$L213=0,Sheet1!$L212=0, Calculation!BK211&lt;Sheet1!$EI213-0.1,Sheet1!$EI213=Sheet1!$EI212,Sheet1!$EI213=Sheet1!$EI214),Sheet1!$EI213,BL211-BQ211)</f>
        <v>2.9597890573500325</v>
      </c>
      <c r="BS211" s="560"/>
      <c r="BT211" s="560"/>
      <c r="BU211" s="560">
        <f t="shared" si="396"/>
        <v>601.64481151717484</v>
      </c>
      <c r="BV211" s="560"/>
      <c r="BW211" s="560">
        <f ca="1">IF(B211&gt;Summary!$A$1,#N/A,BU211*MGtoAF)</f>
        <v>1845.8462817346924</v>
      </c>
      <c r="BX211" s="560">
        <f>Sheet1!BC213+Sheet1!BD213+Sheet1!BE213+Sheet1!BF213-CG211-CH211</f>
        <v>5.34</v>
      </c>
      <c r="BY211" s="560">
        <f t="shared" si="397"/>
        <v>5.2684245220830581</v>
      </c>
      <c r="BZ211" s="560">
        <f>IF(Sheet1!EQ213="FM",CH211,0)</f>
        <v>0</v>
      </c>
      <c r="CA211" s="560">
        <f t="shared" si="398"/>
        <v>0</v>
      </c>
      <c r="CB211" s="560">
        <f>IF(Sheet1!EQ213="OTHER",CH211,0)</f>
        <v>0</v>
      </c>
      <c r="CC211" s="560">
        <f t="shared" si="399"/>
        <v>0</v>
      </c>
      <c r="CD211" s="560">
        <f t="shared" si="400"/>
        <v>0</v>
      </c>
      <c r="CE211" s="560">
        <f t="shared" si="401"/>
        <v>5.34</v>
      </c>
      <c r="CF211" s="560">
        <f t="shared" si="402"/>
        <v>5.2684245220830581</v>
      </c>
      <c r="CG211" s="560">
        <f>IF(Sheet1!EQ213="CWA",SUM(Sheet1!BC213:'Sheet1'!BF213),0)</f>
        <v>0</v>
      </c>
      <c r="CH211" s="560">
        <f>IF(OR(Sheet1!EQ213="FM", Sheet1!EQ213="OTHER"),SUM(Sheet1!BC213:'Sheet1'!BF213),0)</f>
        <v>0</v>
      </c>
      <c r="CI211" s="545">
        <f>IF(AND($B211&gt;=$FV211,$B211&lt;=$FW211),MAX(CF211,Sheet1!EJ213,0),MAX(CF211-(7/36)*$K211,0))</f>
        <v>6</v>
      </c>
      <c r="CJ211" s="560">
        <f t="shared" si="403"/>
        <v>0</v>
      </c>
      <c r="CK211" s="545">
        <f t="shared" si="404"/>
        <v>0</v>
      </c>
      <c r="CL211" s="545">
        <f>IF(AND($O211&gt;0,Sheet1!EN213=1),(1-($O211-Sheet1!$L213)/$O211)*CF211,0)</f>
        <v>0</v>
      </c>
      <c r="CM211" s="545">
        <f>IF(AND(Sheet1!$L213=0,Sheet1!$L212=0, Calculation!CE211&lt;Sheet1!EJ213-0.1,Sheet1!EJ213=Sheet1!EJ212,Sheet1!EJ213=Sheet1!EJ214),Sheet1!EJ213,CF211-CL211)</f>
        <v>5.2684245220830581</v>
      </c>
      <c r="CN211" s="545"/>
      <c r="CO211" s="560"/>
      <c r="CP211" s="560">
        <f t="shared" si="405"/>
        <v>558.46282355440871</v>
      </c>
      <c r="CQ211" s="560"/>
      <c r="CR211" s="560">
        <f ca="1">IF(B211&gt;Summary!$A$1,#N/A,CP211*MGtoAF)</f>
        <v>1713.3639426649261</v>
      </c>
      <c r="CS211" s="560">
        <f>Sheet1!BK213+Sheet1!BL213+Sheet1!BM213-Sheet1!ER213-DA211</f>
        <v>11.07</v>
      </c>
      <c r="CT211" s="560">
        <f t="shared" si="406"/>
        <v>10.92162162162162</v>
      </c>
      <c r="CU211" s="560">
        <f>IF(Sheet1!ER213="FM",DA211,0)</f>
        <v>0</v>
      </c>
      <c r="CV211" s="560">
        <f t="shared" si="407"/>
        <v>0</v>
      </c>
      <c r="CW211" s="560">
        <f>IF(Sheet1!ER213="OTHER",DA211,0)</f>
        <v>0</v>
      </c>
      <c r="CX211" s="560">
        <f t="shared" si="408"/>
        <v>0</v>
      </c>
      <c r="CY211" s="560">
        <f t="shared" si="409"/>
        <v>11.07</v>
      </c>
      <c r="CZ211" s="560">
        <f t="shared" si="410"/>
        <v>10.92162162162162</v>
      </c>
      <c r="DA211" s="560">
        <f>IF(OR(Sheet1!ER213="FM", Sheet1!ER213="OTHER"),SUM(Sheet1!BK213:'Sheet1'!BM213),0)</f>
        <v>0</v>
      </c>
      <c r="DB211" s="545">
        <f>IF(AND($B211&gt;=$FV211,$B211&lt;=$FW211),MAX($CT211,Sheet1!EK213,0),MAX($CT211-(7/36)*$K211,0))</f>
        <v>11</v>
      </c>
      <c r="DC211" s="560">
        <f t="shared" si="411"/>
        <v>0</v>
      </c>
      <c r="DD211" s="545">
        <f t="shared" si="412"/>
        <v>0</v>
      </c>
      <c r="DE211" s="545">
        <f>IF(AND($O211&gt;0,Sheet1!EO213=1),(1-($O211-Sheet1!$L213)/$O211)*CZ211,0)</f>
        <v>0</v>
      </c>
      <c r="DF211" s="545">
        <f>IF(AND(Sheet1!$L213=0,Sheet1!$L212=0, Calculation!CY211&lt;Sheet1!$EK213-0.1,Sheet1!$EK213=Sheet1!$EK212,Sheet1!$EK213=Sheet1!$EK214),Sheet1!$EK213,CZ211-DE211)</f>
        <v>10.92162162162162</v>
      </c>
      <c r="DG211" s="545"/>
      <c r="DH211" s="560">
        <f t="shared" si="413"/>
        <v>19.41</v>
      </c>
      <c r="DI211" s="560">
        <f t="shared" si="414"/>
        <v>494.55075660194393</v>
      </c>
      <c r="DJ211" s="698">
        <f t="shared" si="415"/>
        <v>19.14983520105471</v>
      </c>
      <c r="DK211" s="560">
        <f ca="1">IF(B211&gt;Summary!$A$1,#N/A,DI211*MGtoAF)</f>
        <v>1517.2817212547641</v>
      </c>
      <c r="DL211" s="698">
        <f t="shared" si="416"/>
        <v>19.41</v>
      </c>
      <c r="DM211" s="560">
        <f t="shared" si="417"/>
        <v>45.510000000000005</v>
      </c>
      <c r="DN211" s="560">
        <f>Sheet1!AB213-DM211</f>
        <v>-0.61000000000000654</v>
      </c>
      <c r="DO211" s="823">
        <f t="shared" si="418"/>
        <v>-1.3403647549989156E-2</v>
      </c>
      <c r="DP211" s="560">
        <f>(VLOOKUP(Sheet1!DC213,hhdcap_wcm,4)-(((VLOOKUP(Sheet1!DC213,hhdcap_wcm,3)-Sheet1!DC213)/(VLOOKUP(Sheet1!DC213,hhdcap_wcm,3)-VLOOKUP(Sheet1!DC213,hhdcap_wcm,1)))*(VLOOKUP(Sheet1!DC213,hhdcap_wcm,4)-VLOOKUP(Sheet1!DC213,hhdcap_wcm,2))))</f>
        <v>45256.000000111548</v>
      </c>
      <c r="DQ211" s="560">
        <f t="shared" si="419"/>
        <v>-109.99999999898864</v>
      </c>
      <c r="DR211" s="560">
        <f t="shared" si="420"/>
        <v>-55.471507815929719</v>
      </c>
      <c r="DS211" s="560">
        <f>Sheet1!EA213*AFtoMG</f>
        <v>0</v>
      </c>
      <c r="DT211" s="560">
        <f>Sheet1!EB213*AFtoMG</f>
        <v>0</v>
      </c>
      <c r="DU211" s="560">
        <f>Sheet1!EC213*AFtoMG</f>
        <v>0</v>
      </c>
      <c r="DV211" s="560">
        <f>Sheet1!ED213*AFtoMG</f>
        <v>0</v>
      </c>
      <c r="DW211" s="560">
        <f t="shared" si="421"/>
        <v>0</v>
      </c>
      <c r="DX211" s="560">
        <f t="shared" si="422"/>
        <v>0</v>
      </c>
      <c r="DY211" s="560">
        <f t="shared" si="423"/>
        <v>2942.0750583401941</v>
      </c>
      <c r="DZ211" s="560">
        <f t="shared" si="424"/>
        <v>9026.2862789877163</v>
      </c>
      <c r="EA211" s="560"/>
      <c r="EB211" s="545">
        <f>IF(OR(B211&lt;FV211,B211&gt;FW211),(MIN(BF211+BY211+CT211+MAX(Sheet1!AA213+AQ211-73,0),K211)),0)</f>
        <v>0</v>
      </c>
      <c r="EC211" s="560"/>
      <c r="ED211" s="560">
        <f t="shared" si="425"/>
        <v>19.14983520105471</v>
      </c>
      <c r="EE211" s="560"/>
      <c r="EF211" s="560">
        <f>Sheet1!EH213+Sheet1!EI213+Sheet1!EJ213+Sheet1!EK213</f>
        <v>20</v>
      </c>
      <c r="EG211" s="560"/>
      <c r="EH211" s="545">
        <f t="shared" si="426"/>
        <v>0</v>
      </c>
      <c r="EI211" s="560">
        <f>IF(Sheet1!ET213=1,SUM('Calculations II'!AT211:BA211)+'Calculations II'!BC211+Sheet1!BV213+'Calculations II'!BE211+AP211,SUM('Calculations II'!AT211:BA211)+'Calculations II'!BC211+Sheet1!BV213+'Calculations II'!BE211+AP211)</f>
        <v>81.105776000000006</v>
      </c>
      <c r="EJ211" s="560">
        <f>Sheet1!AA213+Sheet1!AB213+'Calculations II'!BC211</f>
        <v>92.72</v>
      </c>
      <c r="EK211" s="560"/>
      <c r="EL211" s="560"/>
      <c r="EM211" s="560">
        <f t="shared" si="427"/>
        <v>41839</v>
      </c>
      <c r="EN211" s="560">
        <f t="shared" si="428"/>
        <v>-20</v>
      </c>
      <c r="EO211" s="560">
        <f t="shared" si="429"/>
        <v>-30.939999999999998</v>
      </c>
      <c r="EP211" s="560">
        <v>0</v>
      </c>
      <c r="EQ211" s="560">
        <v>0</v>
      </c>
      <c r="ER211" s="560">
        <v>0</v>
      </c>
      <c r="ES211" s="545">
        <f t="shared" si="454"/>
        <v>-1.9411201603028252</v>
      </c>
      <c r="ET211" s="560">
        <f>-(VLOOKUP(Sheet1!BQ213,Lookup!$O$4:$Q$262,2)-VLOOKUP(Sheet1!BQ212,Lookup!$O$4:$Q$262,2))/1000000</f>
        <v>-0.97060496489650006</v>
      </c>
      <c r="EU211" s="560">
        <f>-(VLOOKUP(Sheet1!BR213,Lookup!$O$4:$Q$262,3)-VLOOKUP(Sheet1!BR212,Lookup!$O$4:$Q$262,3))/1000000</f>
        <v>-0.97051519540632514</v>
      </c>
      <c r="EV211" s="560"/>
      <c r="EW211" s="560"/>
      <c r="EX211" s="560"/>
      <c r="EY211" s="560"/>
      <c r="EZ211" s="560"/>
      <c r="FA211" s="560"/>
      <c r="FB211" s="560"/>
      <c r="FC211" s="560"/>
      <c r="FD211" s="594">
        <f t="shared" si="443"/>
        <v>1138.2569444443659</v>
      </c>
      <c r="FE211" s="594" t="e">
        <f t="shared" si="431"/>
        <v>#N/A</v>
      </c>
      <c r="FF211" s="595" t="e">
        <f t="shared" si="432"/>
        <v>#N/A</v>
      </c>
      <c r="FG211" s="596" t="s">
        <v>692</v>
      </c>
      <c r="FH211" s="596" t="s">
        <v>692</v>
      </c>
      <c r="FI211" s="594" t="e">
        <v>#N/A</v>
      </c>
      <c r="FJ211" s="816">
        <v>21906</v>
      </c>
      <c r="FK211" s="560"/>
      <c r="FL211" s="560"/>
      <c r="FM211" s="560"/>
      <c r="FN211" s="560"/>
      <c r="FO211" s="560">
        <f>O211+((Sheet1!CS213)*GPMtoMGD)</f>
        <v>92.72</v>
      </c>
      <c r="FP211" s="560">
        <f>IF(Sheet1!AA213+AQ211&lt;=Calculation!N211,AQ211,Calculation!N211-Sheet1!AA213)</f>
        <v>24.171610635025267</v>
      </c>
      <c r="FQ211" s="560">
        <f>(Sheet1!BP213+Sheet1!BO213)/694.4</f>
        <v>4.1648905529953915</v>
      </c>
      <c r="FR211" s="560"/>
      <c r="FS211" s="560"/>
      <c r="FT211" s="560"/>
      <c r="FU211" s="560"/>
      <c r="FV211" s="695">
        <f t="shared" si="455"/>
        <v>41827</v>
      </c>
      <c r="FW211" s="695">
        <f t="shared" si="456"/>
        <v>41934</v>
      </c>
      <c r="FX211" s="560"/>
      <c r="FY211" s="560"/>
      <c r="FZ211" s="560"/>
      <c r="GA211" s="560"/>
      <c r="GB211" s="560" t="str">
        <f t="shared" si="457"/>
        <v>n</v>
      </c>
      <c r="GC211" s="564">
        <f t="shared" si="458"/>
        <v>41691</v>
      </c>
      <c r="GD211" s="695">
        <f t="shared" si="459"/>
        <v>41807</v>
      </c>
      <c r="GE211" s="560">
        <v>6518.9</v>
      </c>
      <c r="GF211" s="695">
        <f t="shared" si="460"/>
        <v>41808</v>
      </c>
      <c r="GG211" s="560">
        <f t="shared" si="479"/>
        <v>3259</v>
      </c>
      <c r="GH211" s="564">
        <f t="shared" si="461"/>
        <v>41934</v>
      </c>
      <c r="GJ211" s="545">
        <f t="shared" si="462"/>
        <v>0</v>
      </c>
      <c r="GK211" s="560" t="str">
        <f t="shared" si="433"/>
        <v/>
      </c>
      <c r="GL211" s="560">
        <f t="shared" si="463"/>
        <v>0</v>
      </c>
      <c r="GM211" s="560" t="str">
        <f t="shared" si="464"/>
        <v/>
      </c>
      <c r="GN211" s="560">
        <f>IF(GK211="P",Lookup!$M$12,IF(GK211="PP",Lookup!$M$13,IF(GK211="PPP",Lookup!$M$14,IF(GK211="T",Lookup!$M$15,IF(GK211="TP",Lookup!$M$16,IF(GK211="TPP",Lookup!$M$17,IF(GK211="TPPP",Lookup!$M$18,0)))))))*GJ211</f>
        <v>0</v>
      </c>
      <c r="GO211" s="560">
        <f t="shared" si="465"/>
        <v>0</v>
      </c>
      <c r="GP211" s="560">
        <f t="shared" si="434"/>
        <v>3949.7943333333337</v>
      </c>
      <c r="GQ211" s="560">
        <f t="shared" si="473"/>
        <v>1287.4166666666667</v>
      </c>
      <c r="GR211" s="560"/>
      <c r="GS211" s="560">
        <f t="shared" si="466"/>
        <v>0</v>
      </c>
      <c r="GT211" s="560" t="str">
        <f t="shared" si="467"/>
        <v/>
      </c>
      <c r="GU211" s="560">
        <f>IF(GK211="P",Lookup!$N$12,IF(GK211="PP",Lookup!$N$13,IF(GK211="PPP",Lookup!$N$14,IF(GK211="T",Lookup!$N$15,IF(GK211="TP",Lookup!$N$16,IF(GK211="TPP",Lookup!$N$17,IF(GK211="TPPP",Lookup!$N$18,0)))))))*GJ211</f>
        <v>0</v>
      </c>
      <c r="GV211" s="560">
        <f t="shared" si="468"/>
        <v>0</v>
      </c>
      <c r="GW211" s="560">
        <f t="shared" si="435"/>
        <v>1845.8462817346924</v>
      </c>
      <c r="GX211" s="560">
        <f t="shared" si="474"/>
        <v>601.64481151717484</v>
      </c>
      <c r="GY211" s="560"/>
      <c r="GZ211" s="560">
        <f t="shared" si="469"/>
        <v>0</v>
      </c>
      <c r="HA211" s="560" t="str">
        <f t="shared" si="470"/>
        <v/>
      </c>
      <c r="HB211" s="560">
        <f>IF(GK211="P",Lookup!$N$12,IF(GK211="PP",Lookup!$N$13,IF(GK211="PPP",Lookup!$N$14,IF(GK211="T",Lookup!$N$15,IF(GK211="TP",Lookup!$N$16,IF(GK211="TPP",Lookup!$N$17,IF(GK211="TPPP",Lookup!$N$18,0)))))))*GJ211</f>
        <v>0</v>
      </c>
      <c r="HC211" s="545">
        <f t="shared" si="436"/>
        <v>0</v>
      </c>
      <c r="HD211" s="560">
        <f t="shared" si="437"/>
        <v>1713.3639426649261</v>
      </c>
      <c r="HE211" s="560">
        <f t="shared" si="475"/>
        <v>558.46282355440871</v>
      </c>
      <c r="HF211" s="560"/>
      <c r="HG211" s="560">
        <f t="shared" si="471"/>
        <v>0</v>
      </c>
      <c r="HH211" s="560" t="str">
        <f t="shared" si="472"/>
        <v/>
      </c>
      <c r="HI211" s="560">
        <f>IF(GK211="P",Lookup!$N$12,IF(GK211="PP",Lookup!$N$13,IF(GK211="PPP",Lookup!$N$14,IF(GK211="T",Lookup!$N$15,IF(GK211="TP",Lookup!$N$16,IF(GK211="TPP",Lookup!$N$17,IF(GK211="TPPP",Lookup!$N$18,0)))))))*GJ211</f>
        <v>0</v>
      </c>
      <c r="HJ211" s="545">
        <f t="shared" si="438"/>
        <v>0</v>
      </c>
      <c r="HK211" s="560">
        <f t="shared" si="439"/>
        <v>1517.2817212547641</v>
      </c>
      <c r="HL211" s="560">
        <f t="shared" si="476"/>
        <v>494.55075660194393</v>
      </c>
    </row>
    <row r="212" spans="1:220">
      <c r="A212" s="580" t="s">
        <v>3</v>
      </c>
      <c r="B212" s="556">
        <v>41840</v>
      </c>
      <c r="C212" s="561">
        <v>0</v>
      </c>
      <c r="D212" s="529">
        <f t="shared" si="477"/>
        <v>200</v>
      </c>
      <c r="E212" s="529">
        <f t="shared" si="478"/>
        <v>400</v>
      </c>
      <c r="F212" s="529">
        <v>250</v>
      </c>
      <c r="G212" s="560">
        <f>DR212+Sheet1!CZ214</f>
        <v>280.04589006492324</v>
      </c>
      <c r="H212" s="1082">
        <f t="shared" si="442"/>
        <v>51.741663337966379</v>
      </c>
      <c r="I212" s="559">
        <f>MAX(Sheet1!Z214-AT212+(Sheet1!DA214-E212)*CFStoMGD,0)</f>
        <v>17.104800000000001</v>
      </c>
      <c r="J212" s="562">
        <f>IF(AND(B212&gt;=Calculation!GC212,B212&lt;=Calculation!GD212),IF(Sheet1!DB214&gt;=Calculation!D212,64.64,0),MAX(Sheet1!Z214-AT212+(Sheet1!DB214-D212)*CFStoMGD,0))</f>
        <v>64.938400000000001</v>
      </c>
      <c r="K212" s="1101">
        <v>0</v>
      </c>
      <c r="L212" s="560">
        <f>Sheet1!AA214+Sheet1!AB214-Sheet1!L214+(Sheet1!DA214-F212)*CFStoMGD</f>
        <v>162.01479999999998</v>
      </c>
      <c r="M212" s="560">
        <f t="shared" si="376"/>
        <v>184.64209660472571</v>
      </c>
      <c r="N212" s="910">
        <f>IF(Sheet1!DA214&gt;=F212,MIN(73,MIN(MAX(L212,0),MAX(M212,0))),0)</f>
        <v>73</v>
      </c>
      <c r="O212" s="563">
        <f>Sheet1!AA214+Sheet1!AB214</f>
        <v>92.85</v>
      </c>
      <c r="P212" s="563">
        <f t="shared" si="377"/>
        <v>143.63894999999999</v>
      </c>
      <c r="Q212" s="898">
        <f t="shared" si="444"/>
        <v>72.849999999999994</v>
      </c>
      <c r="R212" s="829">
        <f t="shared" si="378"/>
        <v>20</v>
      </c>
      <c r="S212" s="898">
        <f t="shared" si="445"/>
        <v>0</v>
      </c>
      <c r="T212" s="898">
        <f t="shared" si="446"/>
        <v>0</v>
      </c>
      <c r="U212" s="898">
        <f t="shared" si="447"/>
        <v>20</v>
      </c>
      <c r="V212" s="898"/>
      <c r="W212" s="898">
        <f t="shared" si="448"/>
        <v>0</v>
      </c>
      <c r="X212" s="898">
        <f t="shared" si="449"/>
        <v>0</v>
      </c>
      <c r="Y212" s="898" t="str">
        <f t="shared" si="450"/>
        <v>FALSE</v>
      </c>
      <c r="Z212" s="898">
        <f t="shared" si="451"/>
        <v>92.85</v>
      </c>
      <c r="AA212" s="898">
        <f t="shared" si="452"/>
        <v>92.85</v>
      </c>
      <c r="AB212" s="898" t="str">
        <f t="shared" si="453"/>
        <v/>
      </c>
      <c r="AC212" s="563">
        <f>Sheet1!Y214*MGDtoCFS</f>
        <v>73.977539999999991</v>
      </c>
      <c r="AD212" s="563">
        <f>Sheet1!Z214*MGDtoCFS</f>
        <v>69.460299999999989</v>
      </c>
      <c r="AE212" s="563">
        <f>Sheet1!AA214*MGDtoCFS</f>
        <v>74.101299999999995</v>
      </c>
      <c r="AF212" s="563">
        <f>Sheet1!AB214*MGDtoCFS</f>
        <v>69.537649999999999</v>
      </c>
      <c r="AG212" s="563">
        <f>Sheet1!L214*MGDtoCFS</f>
        <v>0</v>
      </c>
      <c r="AH212" s="545">
        <f t="shared" si="379"/>
        <v>20</v>
      </c>
      <c r="AI212" s="560">
        <f t="shared" si="380"/>
        <v>30.939999999999998</v>
      </c>
      <c r="AJ212" s="560">
        <f t="shared" si="381"/>
        <v>0</v>
      </c>
      <c r="AK212" s="560">
        <f t="shared" si="382"/>
        <v>0</v>
      </c>
      <c r="AL212" s="560">
        <f>(VLOOKUP(Sheet1!DC214,hhdcap_wcm,4)-(((VLOOKUP(Sheet1!DC214,hhdcap_wcm,3)-Sheet1!DC214)/(VLOOKUP(Sheet1!DC214,hhdcap_wcm,3)-VLOOKUP(Sheet1!DC214,hhdcap_wcm,1)))*(VLOOKUP(Sheet1!DC214,hhdcap_wcm,4)-VLOOKUP(Sheet1!DC214,hhdcap_wcm,2))))</f>
        <v>45103.40000011029</v>
      </c>
      <c r="AM212" s="560">
        <f t="shared" si="383"/>
        <v>-152.60000000125729</v>
      </c>
      <c r="AN212" s="560">
        <f t="shared" si="384"/>
        <v>2922.0750583401941</v>
      </c>
      <c r="AO212" s="560">
        <f t="shared" si="385"/>
        <v>8964.9262789877157</v>
      </c>
      <c r="AP212" s="560">
        <f>Sheet1!BA214+Sheet1!BB214+Sheet1!BN214+CD212</f>
        <v>26.48</v>
      </c>
      <c r="AQ212" s="560">
        <f>Sheet1!BN214+(DO212*Sheet1!BN214)</f>
        <v>24.584655968344691</v>
      </c>
      <c r="AR212" s="560">
        <f>Sheet1!BA214+CD212</f>
        <v>0</v>
      </c>
      <c r="AS212" s="560">
        <f>Sheet1!BA214+Sheet1!BB214+CD212</f>
        <v>1.6</v>
      </c>
      <c r="AT212" s="698">
        <f>0</f>
        <v>0</v>
      </c>
      <c r="AU212" s="560">
        <f>IF(EB212&lt;K212,0,MAX(Sheet1!AA214+AQ212-15/36*K212-N212,Sheet1!EH214,0))</f>
        <v>0</v>
      </c>
      <c r="AV212" s="560">
        <f>IF(OR(B212&gt;=GD212,B212&lt;GC212),0,15/36*K212-MAX(0,64.6-(137.6-(Sheet1!AA214+Sheet1!AB214))))</f>
        <v>0</v>
      </c>
      <c r="AW212" s="698">
        <f>Sheet1!DB214-110</f>
        <v>121</v>
      </c>
      <c r="AX212" s="698">
        <f>Sheet1!DA214-265</f>
        <v>92</v>
      </c>
      <c r="AY212" s="698">
        <f t="shared" si="386"/>
        <v>0.15000000000000568</v>
      </c>
      <c r="AZ212" s="698">
        <v>0</v>
      </c>
      <c r="BA212" s="698">
        <f t="shared" si="387"/>
        <v>0</v>
      </c>
      <c r="BB212" s="560">
        <f t="shared" si="388"/>
        <v>1287.4166666666667</v>
      </c>
      <c r="BC212" s="560"/>
      <c r="BD212" s="560">
        <f ca="1">IF(B212&gt;Summary!$A$1,#N/A,BB212*MGtoAF)</f>
        <v>3949.7943333333337</v>
      </c>
      <c r="BE212" s="560">
        <f>Sheet1!BG214+Sheet1!BH214+Sheet1!BI214-BM212</f>
        <v>3</v>
      </c>
      <c r="BF212" s="560">
        <f t="shared" si="389"/>
        <v>2.9643877775335241</v>
      </c>
      <c r="BG212" s="560">
        <f>IF(Sheet1!EP214="FM",BM212,0)</f>
        <v>0</v>
      </c>
      <c r="BH212" s="560">
        <f t="shared" si="390"/>
        <v>0</v>
      </c>
      <c r="BI212" s="560">
        <f>IF(Sheet1!EP214="OTHER",BM212,0)</f>
        <v>0</v>
      </c>
      <c r="BJ212" s="560">
        <f t="shared" si="391"/>
        <v>0</v>
      </c>
      <c r="BK212" s="560">
        <f t="shared" si="392"/>
        <v>3</v>
      </c>
      <c r="BL212" s="560">
        <f t="shared" si="393"/>
        <v>2.9643877775335241</v>
      </c>
      <c r="BM212" s="560">
        <f>IF(OR(Sheet1!EP214="FM", Sheet1!EP214="OTHER"),SUM(Sheet1!BG214:'Sheet1'!BI214),0)</f>
        <v>0</v>
      </c>
      <c r="BN212" s="545">
        <f>IF(AND($B212&gt;=$FV212,$B212&lt;=$FW212),MAX(BF212,Sheet1!EI214,0),MAX(BF212-(7/36)*$K212,0))</f>
        <v>3</v>
      </c>
      <c r="BO212" s="560">
        <f t="shared" si="394"/>
        <v>0</v>
      </c>
      <c r="BP212" s="545">
        <f t="shared" si="395"/>
        <v>0</v>
      </c>
      <c r="BQ212" s="545">
        <f>IF(AND($O212&gt;0,Sheet1!EM214=1),(1-($O212-Sheet1!$L214)/$O212)*BL212,0)</f>
        <v>0</v>
      </c>
      <c r="BR212" s="545">
        <f>IF(AND(Sheet1!$L214=0,Sheet1!$L213=0, Calculation!BK212&lt;Sheet1!$EI214-0.1,Sheet1!$EI214=Sheet1!$EI213,Sheet1!$EI214=Sheet1!$EI215),Sheet1!$EI214,BL212-BQ212)</f>
        <v>2.9643877775335241</v>
      </c>
      <c r="BS212" s="560"/>
      <c r="BT212" s="560"/>
      <c r="BU212" s="560">
        <f t="shared" si="396"/>
        <v>598.64481151717484</v>
      </c>
      <c r="BV212" s="560"/>
      <c r="BW212" s="560">
        <f ca="1">IF(B212&gt;Summary!$A$1,#N/A,BU212*MGtoAF)</f>
        <v>1836.6422817346925</v>
      </c>
      <c r="BX212" s="560">
        <f>Sheet1!BC214+Sheet1!BD214+Sheet1!BE214+Sheet1!BF214-CG212-CH212</f>
        <v>5</v>
      </c>
      <c r="BY212" s="560">
        <f t="shared" si="397"/>
        <v>4.9406462958892066</v>
      </c>
      <c r="BZ212" s="560">
        <f>IF(Sheet1!EQ214="FM",CH212,0)</f>
        <v>0</v>
      </c>
      <c r="CA212" s="560">
        <f t="shared" si="398"/>
        <v>0</v>
      </c>
      <c r="CB212" s="560">
        <f>IF(Sheet1!EQ214="OTHER",CH212,0)</f>
        <v>0</v>
      </c>
      <c r="CC212" s="560">
        <f t="shared" si="399"/>
        <v>0</v>
      </c>
      <c r="CD212" s="560">
        <f t="shared" si="400"/>
        <v>0</v>
      </c>
      <c r="CE212" s="560">
        <f t="shared" si="401"/>
        <v>5</v>
      </c>
      <c r="CF212" s="560">
        <f t="shared" si="402"/>
        <v>4.9406462958892066</v>
      </c>
      <c r="CG212" s="560">
        <f>IF(Sheet1!EQ214="CWA",SUM(Sheet1!BC214:'Sheet1'!BF214),0)</f>
        <v>0</v>
      </c>
      <c r="CH212" s="560">
        <f>IF(OR(Sheet1!EQ214="FM", Sheet1!EQ214="OTHER"),SUM(Sheet1!BC214:'Sheet1'!BF214),0)</f>
        <v>0</v>
      </c>
      <c r="CI212" s="545">
        <f>IF(AND($B212&gt;=$FV212,$B212&lt;=$FW212),MAX(CF212,Sheet1!EJ214,0),MAX(CF212-(7/36)*$K212,0))</f>
        <v>6</v>
      </c>
      <c r="CJ212" s="560">
        <f t="shared" si="403"/>
        <v>0</v>
      </c>
      <c r="CK212" s="545">
        <f t="shared" si="404"/>
        <v>0</v>
      </c>
      <c r="CL212" s="545">
        <f>IF(AND($O212&gt;0,Sheet1!EN214=1),(1-($O212-Sheet1!$L214)/$O212)*CF212,0)</f>
        <v>0</v>
      </c>
      <c r="CM212" s="545">
        <f>IF(AND(Sheet1!$L214=0,Sheet1!$L213=0, Calculation!CE212&lt;Sheet1!EJ214-0.1,Sheet1!EJ214=Sheet1!EJ213,Sheet1!EJ214=Sheet1!EJ215),Sheet1!EJ214,CF212-CL212)</f>
        <v>4.9406462958892066</v>
      </c>
      <c r="CN212" s="545"/>
      <c r="CO212" s="560"/>
      <c r="CP212" s="560">
        <f t="shared" si="405"/>
        <v>552.46282355440871</v>
      </c>
      <c r="CQ212" s="560"/>
      <c r="CR212" s="560">
        <f ca="1">IF(B212&gt;Summary!$A$1,#N/A,CP212*MGtoAF)</f>
        <v>1694.9559426649259</v>
      </c>
      <c r="CS212" s="560">
        <f>Sheet1!BK214+Sheet1!BL214+Sheet1!BM214-Sheet1!ER214-DA212</f>
        <v>11.010000000000002</v>
      </c>
      <c r="CT212" s="560">
        <f t="shared" si="406"/>
        <v>10.879303143548034</v>
      </c>
      <c r="CU212" s="560">
        <f>IF(Sheet1!ER214="FM",DA212,0)</f>
        <v>0</v>
      </c>
      <c r="CV212" s="560">
        <f t="shared" si="407"/>
        <v>0</v>
      </c>
      <c r="CW212" s="560">
        <f>IF(Sheet1!ER214="OTHER",DA212,0)</f>
        <v>0</v>
      </c>
      <c r="CX212" s="560">
        <f t="shared" si="408"/>
        <v>0</v>
      </c>
      <c r="CY212" s="560">
        <f t="shared" si="409"/>
        <v>11.010000000000002</v>
      </c>
      <c r="CZ212" s="560">
        <f t="shared" si="410"/>
        <v>10.879303143548034</v>
      </c>
      <c r="DA212" s="560">
        <f>IF(OR(Sheet1!ER214="FM", Sheet1!ER214="OTHER"),SUM(Sheet1!BK214:'Sheet1'!BM214),0)</f>
        <v>0</v>
      </c>
      <c r="DB212" s="545">
        <f>IF(AND($B212&gt;=$FV212,$B212&lt;=$FW212),MAX($CT212,Sheet1!EK214,0),MAX($CT212-(7/36)*$K212,0))</f>
        <v>11</v>
      </c>
      <c r="DC212" s="560">
        <f t="shared" si="411"/>
        <v>0</v>
      </c>
      <c r="DD212" s="545">
        <f t="shared" si="412"/>
        <v>0</v>
      </c>
      <c r="DE212" s="545">
        <f>IF(AND($O212&gt;0,Sheet1!EO214=1),(1-($O212-Sheet1!$L214)/$O212)*CZ212,0)</f>
        <v>0</v>
      </c>
      <c r="DF212" s="545">
        <f>IF(AND(Sheet1!$L214=0,Sheet1!$L213=0, Calculation!CY212&lt;Sheet1!$EK214-0.1,Sheet1!$EK214=Sheet1!$EK213,Sheet1!$EK214=Sheet1!$EK215),Sheet1!$EK214,CZ212-DE212)</f>
        <v>10.879303143548034</v>
      </c>
      <c r="DG212" s="545"/>
      <c r="DH212" s="560">
        <f t="shared" si="413"/>
        <v>19.010000000000002</v>
      </c>
      <c r="DI212" s="560">
        <f t="shared" si="414"/>
        <v>483.55075660194393</v>
      </c>
      <c r="DJ212" s="698">
        <f t="shared" si="415"/>
        <v>18.784337216970766</v>
      </c>
      <c r="DK212" s="560">
        <f ca="1">IF(B212&gt;Summary!$A$1,#N/A,DI212*MGtoAF)</f>
        <v>1483.533721254764</v>
      </c>
      <c r="DL212" s="698">
        <f t="shared" si="416"/>
        <v>19.010000000000002</v>
      </c>
      <c r="DM212" s="560">
        <f t="shared" si="417"/>
        <v>45.49</v>
      </c>
      <c r="DN212" s="560">
        <f>Sheet1!AB214-DM212</f>
        <v>-0.53999999999999915</v>
      </c>
      <c r="DO212" s="823">
        <f t="shared" si="418"/>
        <v>-1.1870740822158696E-2</v>
      </c>
      <c r="DP212" s="560">
        <f>(VLOOKUP(Sheet1!DC214,hhdcap_wcm,4)-(((VLOOKUP(Sheet1!DC214,hhdcap_wcm,3)-Sheet1!DC214)/(VLOOKUP(Sheet1!DC214,hhdcap_wcm,3)-VLOOKUP(Sheet1!DC214,hhdcap_wcm,1)))*(VLOOKUP(Sheet1!DC214,hhdcap_wcm,4)-VLOOKUP(Sheet1!DC214,hhdcap_wcm,2))))</f>
        <v>45103.40000011029</v>
      </c>
      <c r="DQ212" s="560">
        <f t="shared" si="419"/>
        <v>-152.60000000125729</v>
      </c>
      <c r="DR212" s="560">
        <f t="shared" si="420"/>
        <v>-76.954109935076787</v>
      </c>
      <c r="DS212" s="560">
        <f>Sheet1!EA214*AFtoMG</f>
        <v>0</v>
      </c>
      <c r="DT212" s="560">
        <f>Sheet1!EB214*AFtoMG</f>
        <v>0</v>
      </c>
      <c r="DU212" s="560">
        <f>Sheet1!EC214*AFtoMG</f>
        <v>0</v>
      </c>
      <c r="DV212" s="560">
        <f>Sheet1!ED214*AFtoMG</f>
        <v>0</v>
      </c>
      <c r="DW212" s="560">
        <f t="shared" si="421"/>
        <v>0</v>
      </c>
      <c r="DX212" s="560">
        <f t="shared" si="422"/>
        <v>0</v>
      </c>
      <c r="DY212" s="560">
        <f t="shared" si="423"/>
        <v>2922.0750583401941</v>
      </c>
      <c r="DZ212" s="560">
        <f t="shared" si="424"/>
        <v>8964.9262789877157</v>
      </c>
      <c r="EA212" s="560"/>
      <c r="EB212" s="545">
        <f>IF(OR(B212&lt;FV212,B212&gt;FW212),(MIN(BF212+BY212+CT212+MAX(Sheet1!AA214+AQ212-73,0),K212)),0)</f>
        <v>0</v>
      </c>
      <c r="EC212" s="560"/>
      <c r="ED212" s="560">
        <f t="shared" si="425"/>
        <v>18.784337216970766</v>
      </c>
      <c r="EE212" s="560"/>
      <c r="EF212" s="560">
        <f>Sheet1!EH214+Sheet1!EI214+Sheet1!EJ214+Sheet1!EK214</f>
        <v>20</v>
      </c>
      <c r="EG212" s="560"/>
      <c r="EH212" s="545">
        <f t="shared" si="426"/>
        <v>0</v>
      </c>
      <c r="EI212" s="560">
        <f>IF(Sheet1!ET214=1,SUM('Calculations II'!AT212:BA212)+'Calculations II'!BC212+Sheet1!BV214+'Calculations II'!BE212+AP212,SUM('Calculations II'!AT212:BA212)+'Calculations II'!BC212+Sheet1!BV214+'Calculations II'!BE212+AP212)</f>
        <v>80.497056000000001</v>
      </c>
      <c r="EJ212" s="560">
        <f>Sheet1!AA214+Sheet1!AB214+'Calculations II'!BC212</f>
        <v>92.85</v>
      </c>
      <c r="EK212" s="560"/>
      <c r="EL212" s="560"/>
      <c r="EM212" s="560">
        <f t="shared" si="427"/>
        <v>41840</v>
      </c>
      <c r="EN212" s="560">
        <f t="shared" si="428"/>
        <v>-20</v>
      </c>
      <c r="EO212" s="560">
        <f t="shared" si="429"/>
        <v>-30.939999999999998</v>
      </c>
      <c r="EP212" s="560">
        <v>0</v>
      </c>
      <c r="EQ212" s="560">
        <v>0</v>
      </c>
      <c r="ER212" s="560">
        <v>0</v>
      </c>
      <c r="ES212" s="545">
        <f t="shared" si="454"/>
        <v>-2.9128537811197157</v>
      </c>
      <c r="ET212" s="560">
        <f>-(VLOOKUP(Sheet1!BQ214,Lookup!$O$4:$Q$262,2)-VLOOKUP(Sheet1!BQ213,Lookup!$O$4:$Q$262,2))/1000000</f>
        <v>-1.3871236194247976</v>
      </c>
      <c r="EU212" s="560">
        <f>-(VLOOKUP(Sheet1!BR214,Lookup!$O$4:$Q$262,3)-VLOOKUP(Sheet1!BR213,Lookup!$O$4:$Q$262,3))/1000000</f>
        <v>-1.5257301616949179</v>
      </c>
      <c r="EV212" s="560"/>
      <c r="EW212" s="560"/>
      <c r="EX212" s="560"/>
      <c r="EY212" s="560"/>
      <c r="EZ212" s="560"/>
      <c r="FA212" s="560"/>
      <c r="FB212" s="560"/>
      <c r="FC212" s="560"/>
      <c r="FD212" s="594">
        <f t="shared" si="443"/>
        <v>1138.1402777776993</v>
      </c>
      <c r="FE212" s="594" t="e">
        <f t="shared" si="431"/>
        <v>#N/A</v>
      </c>
      <c r="FF212" s="595" t="e">
        <f t="shared" si="432"/>
        <v>#N/A</v>
      </c>
      <c r="FG212" s="596" t="s">
        <v>692</v>
      </c>
      <c r="FH212" s="596" t="s">
        <v>692</v>
      </c>
      <c r="FI212" s="594" t="e">
        <v>#N/A</v>
      </c>
      <c r="FJ212" s="778">
        <v>21822</v>
      </c>
      <c r="FK212" s="560"/>
      <c r="FL212" s="560"/>
      <c r="FM212" s="560"/>
      <c r="FN212" s="560"/>
      <c r="FO212" s="560">
        <f>O212+((Sheet1!CS214)*GPMtoMGD)</f>
        <v>92.85</v>
      </c>
      <c r="FP212" s="560">
        <f>IF(Sheet1!AA214+AQ212&lt;=Calculation!N212,AQ212,Calculation!N212-Sheet1!AA214)</f>
        <v>24.584655968344691</v>
      </c>
      <c r="FQ212" s="560">
        <f>(Sheet1!BP214+Sheet1!BO214)/694.4</f>
        <v>3.4834389400921659</v>
      </c>
      <c r="FR212" s="560"/>
      <c r="FS212" s="560"/>
      <c r="FT212" s="560"/>
      <c r="FU212" s="560"/>
      <c r="FV212" s="695">
        <f t="shared" si="455"/>
        <v>41827</v>
      </c>
      <c r="FW212" s="695">
        <f t="shared" si="456"/>
        <v>41934</v>
      </c>
      <c r="FX212" s="560"/>
      <c r="FY212" s="560"/>
      <c r="FZ212" s="560"/>
      <c r="GA212" s="560"/>
      <c r="GB212" s="560" t="str">
        <f t="shared" si="457"/>
        <v>n</v>
      </c>
      <c r="GC212" s="564">
        <f t="shared" si="458"/>
        <v>41691</v>
      </c>
      <c r="GD212" s="695">
        <f t="shared" si="459"/>
        <v>41807</v>
      </c>
      <c r="GE212" s="560">
        <v>6518.9</v>
      </c>
      <c r="GF212" s="695">
        <f t="shared" si="460"/>
        <v>41808</v>
      </c>
      <c r="GG212" s="560">
        <f t="shared" si="479"/>
        <v>3259</v>
      </c>
      <c r="GH212" s="564">
        <f t="shared" si="461"/>
        <v>41934</v>
      </c>
      <c r="GJ212" s="545">
        <f t="shared" si="462"/>
        <v>0</v>
      </c>
      <c r="GK212" s="560" t="str">
        <f t="shared" si="433"/>
        <v/>
      </c>
      <c r="GL212" s="560">
        <f t="shared" si="463"/>
        <v>0</v>
      </c>
      <c r="GM212" s="560" t="str">
        <f t="shared" si="464"/>
        <v/>
      </c>
      <c r="GN212" s="560">
        <f>IF(GK212="P",Lookup!$M$12,IF(GK212="PP",Lookup!$M$13,IF(GK212="PPP",Lookup!$M$14,IF(GK212="T",Lookup!$M$15,IF(GK212="TP",Lookup!$M$16,IF(GK212="TPP",Lookup!$M$17,IF(GK212="TPPP",Lookup!$M$18,0)))))))*GJ212</f>
        <v>0</v>
      </c>
      <c r="GO212" s="560">
        <f t="shared" si="465"/>
        <v>0</v>
      </c>
      <c r="GP212" s="560">
        <f t="shared" si="434"/>
        <v>3949.7943333333337</v>
      </c>
      <c r="GQ212" s="560">
        <f t="shared" si="473"/>
        <v>1287.4166666666667</v>
      </c>
      <c r="GR212" s="560"/>
      <c r="GS212" s="560">
        <f t="shared" si="466"/>
        <v>0</v>
      </c>
      <c r="GT212" s="560" t="str">
        <f t="shared" si="467"/>
        <v/>
      </c>
      <c r="GU212" s="560">
        <f>IF(GK212="P",Lookup!$N$12,IF(GK212="PP",Lookup!$N$13,IF(GK212="PPP",Lookup!$N$14,IF(GK212="T",Lookup!$N$15,IF(GK212="TP",Lookup!$N$16,IF(GK212="TPP",Lookup!$N$17,IF(GK212="TPPP",Lookup!$N$18,0)))))))*GJ212</f>
        <v>0</v>
      </c>
      <c r="GV212" s="560">
        <f t="shared" si="468"/>
        <v>0</v>
      </c>
      <c r="GW212" s="560">
        <f t="shared" si="435"/>
        <v>1836.6422817346925</v>
      </c>
      <c r="GX212" s="560">
        <f t="shared" si="474"/>
        <v>598.64481151717484</v>
      </c>
      <c r="GY212" s="560"/>
      <c r="GZ212" s="560">
        <f t="shared" si="469"/>
        <v>0</v>
      </c>
      <c r="HA212" s="560" t="str">
        <f t="shared" si="470"/>
        <v/>
      </c>
      <c r="HB212" s="560">
        <f>IF(GK212="P",Lookup!$N$12,IF(GK212="PP",Lookup!$N$13,IF(GK212="PPP",Lookup!$N$14,IF(GK212="T",Lookup!$N$15,IF(GK212="TP",Lookup!$N$16,IF(GK212="TPP",Lookup!$N$17,IF(GK212="TPPP",Lookup!$N$18,0)))))))*GJ212</f>
        <v>0</v>
      </c>
      <c r="HC212" s="545">
        <f t="shared" si="436"/>
        <v>0</v>
      </c>
      <c r="HD212" s="560">
        <f t="shared" si="437"/>
        <v>1694.9559426649259</v>
      </c>
      <c r="HE212" s="560">
        <f t="shared" si="475"/>
        <v>552.46282355440871</v>
      </c>
      <c r="HF212" s="560"/>
      <c r="HG212" s="560">
        <f t="shared" si="471"/>
        <v>0</v>
      </c>
      <c r="HH212" s="560" t="str">
        <f t="shared" si="472"/>
        <v/>
      </c>
      <c r="HI212" s="560">
        <f>IF(GK212="P",Lookup!$N$12,IF(GK212="PP",Lookup!$N$13,IF(GK212="PPP",Lookup!$N$14,IF(GK212="T",Lookup!$N$15,IF(GK212="TP",Lookup!$N$16,IF(GK212="TPP",Lookup!$N$17,IF(GK212="TPPP",Lookup!$N$18,0)))))))*GJ212</f>
        <v>0</v>
      </c>
      <c r="HJ212" s="545">
        <f t="shared" si="438"/>
        <v>0</v>
      </c>
      <c r="HK212" s="560">
        <f t="shared" si="439"/>
        <v>1483.533721254764</v>
      </c>
      <c r="HL212" s="560">
        <f t="shared" si="476"/>
        <v>483.55075660194393</v>
      </c>
    </row>
    <row r="213" spans="1:220" s="696" customFormat="1">
      <c r="A213" s="580" t="s">
        <v>4</v>
      </c>
      <c r="B213" s="556">
        <v>41841</v>
      </c>
      <c r="C213" s="809">
        <v>0</v>
      </c>
      <c r="D213" s="691">
        <f t="shared" si="477"/>
        <v>200</v>
      </c>
      <c r="E213" s="691">
        <f t="shared" si="478"/>
        <v>400</v>
      </c>
      <c r="F213" s="691">
        <v>250</v>
      </c>
      <c r="G213" s="698">
        <f>DR213+Sheet1!CZ215</f>
        <v>266.73676248159853</v>
      </c>
      <c r="H213" s="1082">
        <f t="shared" si="442"/>
        <v>43.138643268105291</v>
      </c>
      <c r="I213" s="810">
        <f>MAX(Sheet1!Z215-AT213+(Sheet1!DA215-E213)*CFStoMGD,0)</f>
        <v>1.6412000000000049</v>
      </c>
      <c r="J213" s="811">
        <f>IF(AND(B213&gt;=Calculation!GC213,B213&lt;=Calculation!GD213),IF(Sheet1!DB215&gt;=Calculation!D213,64.64,0),MAX(Sheet1!Z215-AT213+(Sheet1!DB215-D213)*CFStoMGD,0))</f>
        <v>62.402799999999999</v>
      </c>
      <c r="K213" s="1101">
        <v>0</v>
      </c>
      <c r="L213" s="698">
        <f>Sheet1!AA215+Sheet1!AB215-Sheet1!L215+(Sheet1!DA215-F213)*CFStoMGD</f>
        <v>146.4812</v>
      </c>
      <c r="M213" s="698">
        <f t="shared" si="376"/>
        <v>175.86701613346742</v>
      </c>
      <c r="N213" s="910">
        <f>IF(Sheet1!DA215&gt;=F213,MIN(73,MIN(MAX(L213,0),MAX(M213,0))),0)</f>
        <v>73</v>
      </c>
      <c r="O213" s="812">
        <f>Sheet1!AA215+Sheet1!AB215</f>
        <v>92.830000000000013</v>
      </c>
      <c r="P213" s="812">
        <f t="shared" si="377"/>
        <v>143.60800999999998</v>
      </c>
      <c r="Q213" s="898">
        <f>IF(OR(Y213="FALSE",AND(B213&gt;=FV213,B213&lt;=FW213)),O213-S213-U213,0)</f>
        <v>72.730000000000018</v>
      </c>
      <c r="R213" s="829">
        <f t="shared" si="378"/>
        <v>20.100000000000001</v>
      </c>
      <c r="S213" s="898">
        <f t="shared" si="445"/>
        <v>0</v>
      </c>
      <c r="T213" s="898">
        <f t="shared" si="446"/>
        <v>0</v>
      </c>
      <c r="U213" s="898">
        <f t="shared" si="447"/>
        <v>20.100000000000001</v>
      </c>
      <c r="V213" s="898"/>
      <c r="W213" s="898">
        <f t="shared" si="448"/>
        <v>0</v>
      </c>
      <c r="X213" s="898">
        <f t="shared" si="449"/>
        <v>0</v>
      </c>
      <c r="Y213" s="898" t="str">
        <f t="shared" si="450"/>
        <v>FALSE</v>
      </c>
      <c r="Z213" s="898">
        <f t="shared" si="451"/>
        <v>92.830000000000013</v>
      </c>
      <c r="AA213" s="898">
        <f t="shared" si="452"/>
        <v>92.830000000000013</v>
      </c>
      <c r="AB213" s="898" t="str">
        <f t="shared" si="453"/>
        <v/>
      </c>
      <c r="AC213" s="812">
        <f>Sheet1!Y215*MGDtoCFS</f>
        <v>74.101299999999995</v>
      </c>
      <c r="AD213" s="812">
        <f>Sheet1!Z215*MGDtoCFS</f>
        <v>69.537649999999999</v>
      </c>
      <c r="AE213" s="812">
        <f>Sheet1!AA215*MGDtoCFS</f>
        <v>74.070359999999994</v>
      </c>
      <c r="AF213" s="812">
        <f>Sheet1!AB215*MGDtoCFS</f>
        <v>69.537649999999999</v>
      </c>
      <c r="AG213" s="812">
        <f>Sheet1!L215*MGDtoCFS</f>
        <v>0</v>
      </c>
      <c r="AH213" s="799">
        <f t="shared" si="379"/>
        <v>20.100000000000001</v>
      </c>
      <c r="AI213" s="698">
        <f t="shared" si="380"/>
        <v>31.0947</v>
      </c>
      <c r="AJ213" s="698">
        <f t="shared" si="381"/>
        <v>0</v>
      </c>
      <c r="AK213" s="698">
        <f t="shared" si="382"/>
        <v>0</v>
      </c>
      <c r="AL213" s="698">
        <f>(VLOOKUP(Sheet1!DC215,hhdcap_wcm,4)-(((VLOOKUP(Sheet1!DC215,hhdcap_wcm,3)-Sheet1!DC215)/(VLOOKUP(Sheet1!DC215,hhdcap_wcm,3)-VLOOKUP(Sheet1!DC215,hhdcap_wcm,1)))*(VLOOKUP(Sheet1!DC215,hhdcap_wcm,4)-VLOOKUP(Sheet1!DC215,hhdcap_wcm,2))))</f>
        <v>44972.0000001113</v>
      </c>
      <c r="AM213" s="698">
        <f t="shared" si="383"/>
        <v>-131.3999999989901</v>
      </c>
      <c r="AN213" s="698">
        <f t="shared" si="384"/>
        <v>2901.9750583401947</v>
      </c>
      <c r="AO213" s="698">
        <f t="shared" si="385"/>
        <v>8903.2594789877166</v>
      </c>
      <c r="AP213" s="698">
        <f>Sheet1!BA215+Sheet1!BB215+Sheet1!BN215+CD213</f>
        <v>26.55</v>
      </c>
      <c r="AQ213" s="560">
        <f>Sheet1!BN215+(DO213*Sheet1!BN215)</f>
        <v>24.567415115005474</v>
      </c>
      <c r="AR213" s="698">
        <f>Sheet1!BA215+CD213</f>
        <v>0</v>
      </c>
      <c r="AS213" s="560">
        <f>Sheet1!BA215+Sheet1!BB215+CD213</f>
        <v>1.6</v>
      </c>
      <c r="AT213" s="698">
        <f>0</f>
        <v>0</v>
      </c>
      <c r="AU213" s="560">
        <f>IF(EB213&lt;K213,0,MAX(Sheet1!AA215+AQ213-15/36*K213-N213,Sheet1!EH215,0))</f>
        <v>0.6</v>
      </c>
      <c r="AV213" s="698">
        <f>IF(OR(B213&gt;=GD213,B213&lt;GC213),0,15/36*K213-MAX(0,64.6-(137.6-(Sheet1!AA215+Sheet1!AB215))))</f>
        <v>0</v>
      </c>
      <c r="AW213" s="698">
        <f>Sheet1!DB215-110</f>
        <v>117</v>
      </c>
      <c r="AX213" s="698">
        <f>Sheet1!DA215-265</f>
        <v>68</v>
      </c>
      <c r="AY213" s="698">
        <f t="shared" si="386"/>
        <v>0.26999999999998181</v>
      </c>
      <c r="AZ213" s="698">
        <v>0</v>
      </c>
      <c r="BA213" s="698">
        <f t="shared" si="387"/>
        <v>0</v>
      </c>
      <c r="BB213" s="698">
        <f t="shared" si="388"/>
        <v>1286.8166666666668</v>
      </c>
      <c r="BC213" s="698"/>
      <c r="BD213" s="698">
        <f ca="1">IF(B213&gt;Summary!$A$1,#N/A,BB213*MGtoAF)</f>
        <v>3947.9535333333338</v>
      </c>
      <c r="BE213" s="698">
        <f>Sheet1!BG215+Sheet1!BH215+Sheet1!BI215-BM213</f>
        <v>3</v>
      </c>
      <c r="BF213" s="698">
        <f t="shared" si="389"/>
        <v>2.9539978094194961</v>
      </c>
      <c r="BG213" s="698">
        <f>IF(Sheet1!EP215="FM",BM213,0)</f>
        <v>0</v>
      </c>
      <c r="BH213" s="698">
        <f t="shared" si="390"/>
        <v>0</v>
      </c>
      <c r="BI213" s="698">
        <f>IF(Sheet1!EP215="OTHER",BM213,0)</f>
        <v>0</v>
      </c>
      <c r="BJ213" s="698">
        <f t="shared" si="391"/>
        <v>0</v>
      </c>
      <c r="BK213" s="698">
        <f t="shared" si="392"/>
        <v>3</v>
      </c>
      <c r="BL213" s="698">
        <f t="shared" si="393"/>
        <v>2.9539978094194961</v>
      </c>
      <c r="BM213" s="698">
        <f>IF(OR(Sheet1!EP215="FM", Sheet1!EP215="OTHER"),SUM(Sheet1!BG215:'Sheet1'!BI215),0)</f>
        <v>0</v>
      </c>
      <c r="BN213" s="545">
        <f>IF(AND($B213&gt;=$FV213,$B213&lt;=$FW213),MAX(BF213,Sheet1!EI215,0),MAX(BF213-(7/36)*$K213,0))</f>
        <v>3</v>
      </c>
      <c r="BO213" s="698">
        <f t="shared" si="394"/>
        <v>0</v>
      </c>
      <c r="BP213" s="799">
        <f t="shared" si="395"/>
        <v>0</v>
      </c>
      <c r="BQ213" s="799">
        <f>IF(AND($O213&gt;0,Sheet1!EM215=1),(1-($O213-Sheet1!$L215)/$O213)*BL213,0)</f>
        <v>0</v>
      </c>
      <c r="BR213" s="799">
        <f>IF(AND(Sheet1!$L215=0,Sheet1!$L214=0, Calculation!BK213&lt;Sheet1!$EI215-0.1,Sheet1!$EI215=Sheet1!$EI214,Sheet1!$EI215=Sheet1!$EI216),Sheet1!$EI215,BL213-BQ213)</f>
        <v>2.9539978094194961</v>
      </c>
      <c r="BS213" s="698"/>
      <c r="BT213" s="698"/>
      <c r="BU213" s="698">
        <f t="shared" si="396"/>
        <v>595.64481151717484</v>
      </c>
      <c r="BV213" s="698"/>
      <c r="BW213" s="698">
        <f ca="1">IF(B213&gt;Summary!$A$1,#N/A,BU213*MGtoAF)</f>
        <v>1827.4382817346925</v>
      </c>
      <c r="BX213" s="698">
        <f>Sheet1!BC215+Sheet1!BD215+Sheet1!BE215+Sheet1!BF215-CG213-CH213</f>
        <v>5</v>
      </c>
      <c r="BY213" s="698">
        <f t="shared" si="397"/>
        <v>4.9233296823658268</v>
      </c>
      <c r="BZ213" s="698">
        <f>IF(Sheet1!EQ215="FM",CH213,0)</f>
        <v>0</v>
      </c>
      <c r="CA213" s="698">
        <f t="shared" si="398"/>
        <v>0</v>
      </c>
      <c r="CB213" s="698">
        <f>IF(Sheet1!EQ215="OTHER",CH213,0)</f>
        <v>0</v>
      </c>
      <c r="CC213" s="698">
        <f t="shared" si="399"/>
        <v>0</v>
      </c>
      <c r="CD213" s="698">
        <f t="shared" si="400"/>
        <v>0</v>
      </c>
      <c r="CE213" s="698">
        <f t="shared" si="401"/>
        <v>5</v>
      </c>
      <c r="CF213" s="698">
        <f t="shared" si="402"/>
        <v>4.9233296823658268</v>
      </c>
      <c r="CG213" s="698">
        <f>IF(Sheet1!EQ215="CWA",SUM(Sheet1!BC215:'Sheet1'!BF215),0)</f>
        <v>0</v>
      </c>
      <c r="CH213" s="698">
        <f>IF(OR(Sheet1!EQ215="FM", Sheet1!EQ215="OTHER"),SUM(Sheet1!BC215:'Sheet1'!BF215),0)</f>
        <v>0</v>
      </c>
      <c r="CI213" s="545">
        <f>IF(AND($B213&gt;=$FV213,$B213&lt;=$FW213),MAX(CF213,Sheet1!EJ215,0),MAX(CF213-(7/36)*$K213,0))</f>
        <v>5.5</v>
      </c>
      <c r="CJ213" s="698">
        <f t="shared" si="403"/>
        <v>0</v>
      </c>
      <c r="CK213" s="799">
        <f t="shared" si="404"/>
        <v>0</v>
      </c>
      <c r="CL213" s="799">
        <f>IF(AND($O213&gt;0,Sheet1!EN215=1),(1-($O213-Sheet1!$L215)/$O213)*CF213,0)</f>
        <v>0</v>
      </c>
      <c r="CM213" s="799">
        <f>IF(AND(Sheet1!$L215=0,Sheet1!$L214=0, Calculation!CE213&lt;Sheet1!EJ215-0.1,Sheet1!EJ215=Sheet1!EJ214,Sheet1!EJ215=Sheet1!EJ216),Sheet1!EJ215,CF213-CL213)</f>
        <v>4.9233296823658268</v>
      </c>
      <c r="CN213" s="799"/>
      <c r="CO213" s="698"/>
      <c r="CP213" s="698">
        <f t="shared" si="405"/>
        <v>546.96282355440871</v>
      </c>
      <c r="CQ213" s="698"/>
      <c r="CR213" s="698">
        <f ca="1">IF(B213&gt;Summary!$A$1,#N/A,CP213*MGtoAF)</f>
        <v>1678.0819426649259</v>
      </c>
      <c r="CS213" s="698">
        <f>Sheet1!BK215+Sheet1!BL215+Sheet1!BM215-Sheet1!ER215-DA213</f>
        <v>11.1</v>
      </c>
      <c r="CT213" s="698">
        <f t="shared" si="406"/>
        <v>10.929791894852135</v>
      </c>
      <c r="CU213" s="698">
        <f>IF(Sheet1!ER215="FM",DA213,0)</f>
        <v>0</v>
      </c>
      <c r="CV213" s="698">
        <f t="shared" si="407"/>
        <v>0</v>
      </c>
      <c r="CW213" s="698">
        <f>IF(Sheet1!ER215="OTHER",DA213,0)</f>
        <v>0</v>
      </c>
      <c r="CX213" s="698">
        <f t="shared" si="408"/>
        <v>0</v>
      </c>
      <c r="CY213" s="698">
        <f t="shared" si="409"/>
        <v>11.1</v>
      </c>
      <c r="CZ213" s="698">
        <f t="shared" si="410"/>
        <v>10.929791894852135</v>
      </c>
      <c r="DA213" s="698">
        <f>IF(OR(Sheet1!ER215="FM", Sheet1!ER215="OTHER"),SUM(Sheet1!BK215:'Sheet1'!BM215),0)</f>
        <v>0</v>
      </c>
      <c r="DB213" s="545">
        <f>IF(AND($B213&gt;=$FV213,$B213&lt;=$FW213),MAX($CT213,Sheet1!EK215,0),MAX($CT213-(7/36)*$K213,0))</f>
        <v>11</v>
      </c>
      <c r="DC213" s="698">
        <f t="shared" si="411"/>
        <v>0</v>
      </c>
      <c r="DD213" s="799">
        <f t="shared" si="412"/>
        <v>0</v>
      </c>
      <c r="DE213" s="799">
        <f>IF(AND($O213&gt;0,Sheet1!EO215=1),(1-($O213-Sheet1!$L215)/$O213)*CZ213,0)</f>
        <v>0</v>
      </c>
      <c r="DF213" s="799">
        <f>IF(AND(Sheet1!$L215=0,Sheet1!$L214=0, Calculation!CY213&lt;Sheet1!$EK215-0.1,Sheet1!$EK215=Sheet1!$EK214,Sheet1!$EK215=Sheet1!$EK216),Sheet1!$EK215,CZ213-DE213)</f>
        <v>10.929791894852135</v>
      </c>
      <c r="DG213" s="799"/>
      <c r="DH213" s="698">
        <f t="shared" si="413"/>
        <v>19.100000000000001</v>
      </c>
      <c r="DI213" s="698">
        <f t="shared" si="414"/>
        <v>472.55075660194393</v>
      </c>
      <c r="DJ213" s="698">
        <f t="shared" si="415"/>
        <v>18.80711938663746</v>
      </c>
      <c r="DK213" s="698">
        <f ca="1">IF(B213&gt;Summary!$A$1,#N/A,DI213*MGtoAF)</f>
        <v>1449.785721254764</v>
      </c>
      <c r="DL213" s="698">
        <f t="shared" si="416"/>
        <v>19.100000000000001</v>
      </c>
      <c r="DM213" s="698">
        <f t="shared" si="417"/>
        <v>45.650000000000006</v>
      </c>
      <c r="DN213" s="698">
        <f>Sheet1!AB215-DM213</f>
        <v>-0.70000000000000284</v>
      </c>
      <c r="DO213" s="824">
        <f t="shared" si="418"/>
        <v>-1.5334063526834672E-2</v>
      </c>
      <c r="DP213" s="698">
        <f>(VLOOKUP(Sheet1!DC215,hhdcap_wcm,4)-(((VLOOKUP(Sheet1!DC215,hhdcap_wcm,3)-Sheet1!DC215)/(VLOOKUP(Sheet1!DC215,hhdcap_wcm,3)-VLOOKUP(Sheet1!DC215,hhdcap_wcm,1)))*(VLOOKUP(Sheet1!DC215,hhdcap_wcm,4)-VLOOKUP(Sheet1!DC215,hhdcap_wcm,2))))</f>
        <v>44972.0000001113</v>
      </c>
      <c r="DQ213" s="698">
        <f t="shared" si="419"/>
        <v>-131.3999999989901</v>
      </c>
      <c r="DR213" s="698">
        <f t="shared" si="420"/>
        <v>-66.263237518401453</v>
      </c>
      <c r="DS213" s="698">
        <f>Sheet1!EA215*AFtoMG</f>
        <v>0</v>
      </c>
      <c r="DT213" s="698">
        <f>Sheet1!EB215*AFtoMG</f>
        <v>0</v>
      </c>
      <c r="DU213" s="698">
        <f>Sheet1!EC215*AFtoMG</f>
        <v>0</v>
      </c>
      <c r="DV213" s="698">
        <f>Sheet1!ED215*AFtoMG</f>
        <v>0</v>
      </c>
      <c r="DW213" s="698">
        <f t="shared" si="421"/>
        <v>0</v>
      </c>
      <c r="DX213" s="698">
        <f t="shared" si="422"/>
        <v>0</v>
      </c>
      <c r="DY213" s="698">
        <f t="shared" si="423"/>
        <v>2901.9750583401947</v>
      </c>
      <c r="DZ213" s="698">
        <f t="shared" si="424"/>
        <v>8903.2594789877166</v>
      </c>
      <c r="EA213" s="698"/>
      <c r="EB213" s="799">
        <f>IF(OR(B213&lt;FV213,B213&gt;FW213),(MIN(BF213+BY213+CT213+MAX(Sheet1!AA215+AQ213-73,0),K213)),0)</f>
        <v>0</v>
      </c>
      <c r="EC213" s="698"/>
      <c r="ED213" s="698">
        <f t="shared" si="425"/>
        <v>18.80711938663746</v>
      </c>
      <c r="EE213" s="698"/>
      <c r="EF213" s="560">
        <f>Sheet1!EH215+Sheet1!EI215+Sheet1!EJ215+Sheet1!EK215</f>
        <v>20.100000000000001</v>
      </c>
      <c r="EG213" s="698"/>
      <c r="EH213" s="799">
        <f t="shared" si="426"/>
        <v>0</v>
      </c>
      <c r="EI213" s="560">
        <f>IF(Sheet1!ET215=1,SUM('Calculations II'!AT213:BA213)+'Calculations II'!BC213+Sheet1!BV215+'Calculations II'!BE213+AP213,SUM('Calculations II'!AT213:BA213)+'Calculations II'!BC213+Sheet1!BV215+'Calculations II'!BE213+AP213)</f>
        <v>85.697711999999996</v>
      </c>
      <c r="EJ213" s="698">
        <f>Sheet1!AA215+Sheet1!AB215+'Calculations II'!BC213</f>
        <v>92.830000000000013</v>
      </c>
      <c r="EK213" s="698"/>
      <c r="EL213" s="698"/>
      <c r="EM213" s="698">
        <f t="shared" si="427"/>
        <v>41841</v>
      </c>
      <c r="EN213" s="698">
        <f t="shared" si="428"/>
        <v>-20.100000000000001</v>
      </c>
      <c r="EO213" s="698">
        <f t="shared" si="429"/>
        <v>-31.0947</v>
      </c>
      <c r="EP213" s="560">
        <v>0</v>
      </c>
      <c r="EQ213" s="560">
        <v>0</v>
      </c>
      <c r="ER213" s="560">
        <v>0</v>
      </c>
      <c r="ES213" s="545">
        <f t="shared" si="454"/>
        <v>2.2194490962079989</v>
      </c>
      <c r="ET213" s="698">
        <f>-(VLOOKUP(Sheet1!BQ215,Lookup!$O$4:$Q$262,2)-VLOOKUP(Sheet1!BQ214,Lookup!$O$4:$Q$262,2))/1000000</f>
        <v>1.1097502024417705</v>
      </c>
      <c r="EU213" s="698">
        <f>-(VLOOKUP(Sheet1!BR215,Lookup!$O$4:$Q$262,3)-VLOOKUP(Sheet1!BR214,Lookup!$O$4:$Q$262,3))/1000000</f>
        <v>1.1096988937662282</v>
      </c>
      <c r="EV213" s="698"/>
      <c r="EW213" s="698"/>
      <c r="EX213" s="698"/>
      <c r="EY213" s="698"/>
      <c r="EZ213" s="698"/>
      <c r="FA213" s="698"/>
      <c r="FB213" s="698"/>
      <c r="FC213" s="698"/>
      <c r="FD213" s="813">
        <f t="shared" si="443"/>
        <v>1138.0236111110328</v>
      </c>
      <c r="FE213" s="813" t="e">
        <f t="shared" si="431"/>
        <v>#N/A</v>
      </c>
      <c r="FF213" s="814" t="e">
        <f t="shared" si="432"/>
        <v>#N/A</v>
      </c>
      <c r="FG213" s="815" t="s">
        <v>692</v>
      </c>
      <c r="FH213" s="815" t="s">
        <v>692</v>
      </c>
      <c r="FI213" s="813" t="e">
        <v>#N/A</v>
      </c>
      <c r="FJ213" s="778">
        <v>21738</v>
      </c>
      <c r="FK213" s="698"/>
      <c r="FL213" s="698"/>
      <c r="FM213" s="698"/>
      <c r="FN213" s="698"/>
      <c r="FO213" s="698">
        <f>O213+((Sheet1!CS215)*GPMtoMGD)</f>
        <v>92.830000000000013</v>
      </c>
      <c r="FP213" s="698">
        <f>IF(Sheet1!AA215+AQ213&lt;=Calculation!N213,AQ213,Calculation!N213-Sheet1!AA215)</f>
        <v>24.567415115005474</v>
      </c>
      <c r="FQ213" s="698">
        <f>(Sheet1!BP215+Sheet1!BO215)/694.4</f>
        <v>4.0112327188940098</v>
      </c>
      <c r="FR213" s="698"/>
      <c r="FS213" s="698"/>
      <c r="FT213" s="698"/>
      <c r="FU213" s="698"/>
      <c r="FV213" s="695">
        <f t="shared" si="455"/>
        <v>41827</v>
      </c>
      <c r="FW213" s="695">
        <f t="shared" si="456"/>
        <v>41934</v>
      </c>
      <c r="FX213" s="698"/>
      <c r="FY213" s="698"/>
      <c r="FZ213" s="698"/>
      <c r="GA213" s="698"/>
      <c r="GB213" s="698" t="str">
        <f t="shared" si="457"/>
        <v>n</v>
      </c>
      <c r="GC213" s="564">
        <f t="shared" si="458"/>
        <v>41691</v>
      </c>
      <c r="GD213" s="695">
        <f t="shared" si="459"/>
        <v>41807</v>
      </c>
      <c r="GE213" s="698">
        <v>6518.9</v>
      </c>
      <c r="GF213" s="695">
        <f t="shared" si="460"/>
        <v>41808</v>
      </c>
      <c r="GG213" s="698">
        <f t="shared" si="479"/>
        <v>3259</v>
      </c>
      <c r="GH213" s="817">
        <f t="shared" si="461"/>
        <v>41934</v>
      </c>
      <c r="GI213" s="818"/>
      <c r="GJ213" s="799">
        <f t="shared" si="462"/>
        <v>0</v>
      </c>
      <c r="GK213" s="698" t="str">
        <f t="shared" si="433"/>
        <v/>
      </c>
      <c r="GL213" s="698">
        <f t="shared" si="463"/>
        <v>0</v>
      </c>
      <c r="GM213" s="698" t="str">
        <f t="shared" si="464"/>
        <v/>
      </c>
      <c r="GN213" s="698">
        <f>IF(GK213="P",Lookup!$M$12,IF(GK213="PP",Lookup!$M$13,IF(GK213="PPP",Lookup!$M$14,IF(GK213="T",Lookup!$M$15,IF(GK213="TP",Lookup!$M$16,IF(GK213="TPP",Lookup!$M$17,IF(GK213="TPPP",Lookup!$M$18,0)))))))*GJ213</f>
        <v>0</v>
      </c>
      <c r="GO213" s="698">
        <f t="shared" si="465"/>
        <v>0</v>
      </c>
      <c r="GP213" s="698">
        <f t="shared" si="434"/>
        <v>3947.9535333333338</v>
      </c>
      <c r="GQ213" s="698">
        <f t="shared" si="473"/>
        <v>1286.8166666666668</v>
      </c>
      <c r="GR213" s="698"/>
      <c r="GS213" s="698">
        <f t="shared" si="466"/>
        <v>0</v>
      </c>
      <c r="GT213" s="698" t="str">
        <f t="shared" si="467"/>
        <v/>
      </c>
      <c r="GU213" s="698">
        <f>IF(GK213="P",Lookup!$N$12,IF(GK213="PP",Lookup!$N$13,IF(GK213="PPP",Lookup!$N$14,IF(GK213="T",Lookup!$N$15,IF(GK213="TP",Lookup!$N$16,IF(GK213="TPP",Lookup!$N$17,IF(GK213="TPPP",Lookup!$N$18,0)))))))*GJ213</f>
        <v>0</v>
      </c>
      <c r="GV213" s="698">
        <f t="shared" si="468"/>
        <v>0</v>
      </c>
      <c r="GW213" s="698">
        <f t="shared" si="435"/>
        <v>1827.4382817346925</v>
      </c>
      <c r="GX213" s="698">
        <f t="shared" si="474"/>
        <v>595.64481151717484</v>
      </c>
      <c r="GY213" s="698"/>
      <c r="GZ213" s="698">
        <f t="shared" si="469"/>
        <v>0</v>
      </c>
      <c r="HA213" s="698" t="str">
        <f t="shared" si="470"/>
        <v/>
      </c>
      <c r="HB213" s="698">
        <f>IF(GK213="P",Lookup!$N$12,IF(GK213="PP",Lookup!$N$13,IF(GK213="PPP",Lookup!$N$14,IF(GK213="T",Lookup!$N$15,IF(GK213="TP",Lookup!$N$16,IF(GK213="TPP",Lookup!$N$17,IF(GK213="TPPP",Lookup!$N$18,0)))))))*GJ213</f>
        <v>0</v>
      </c>
      <c r="HC213" s="799">
        <f t="shared" si="436"/>
        <v>0</v>
      </c>
      <c r="HD213" s="698">
        <f t="shared" si="437"/>
        <v>1678.0819426649259</v>
      </c>
      <c r="HE213" s="698">
        <f t="shared" si="475"/>
        <v>546.96282355440871</v>
      </c>
      <c r="HF213" s="698"/>
      <c r="HG213" s="698">
        <f t="shared" si="471"/>
        <v>0</v>
      </c>
      <c r="HH213" s="698" t="str">
        <f t="shared" si="472"/>
        <v/>
      </c>
      <c r="HI213" s="698">
        <f>IF(GK213="P",Lookup!$N$12,IF(GK213="PP",Lookup!$N$13,IF(GK213="PPP",Lookup!$N$14,IF(GK213="T",Lookup!$N$15,IF(GK213="TP",Lookup!$N$16,IF(GK213="TPP",Lookup!$N$17,IF(GK213="TPPP",Lookup!$N$18,0)))))))*GJ213</f>
        <v>0</v>
      </c>
      <c r="HJ213" s="799">
        <f t="shared" si="438"/>
        <v>0</v>
      </c>
      <c r="HK213" s="698">
        <f t="shared" si="439"/>
        <v>1449.785721254764</v>
      </c>
      <c r="HL213" s="698">
        <f t="shared" si="476"/>
        <v>472.55075660194393</v>
      </c>
    </row>
    <row r="214" spans="1:220">
      <c r="A214" s="580" t="s">
        <v>5</v>
      </c>
      <c r="B214" s="556">
        <v>41842</v>
      </c>
      <c r="C214" s="561">
        <v>0</v>
      </c>
      <c r="D214" s="529">
        <f t="shared" si="477"/>
        <v>200</v>
      </c>
      <c r="E214" s="529">
        <f t="shared" si="478"/>
        <v>400</v>
      </c>
      <c r="F214" s="529">
        <v>250</v>
      </c>
      <c r="G214" s="560">
        <f>DR214+Sheet1!CZ216</f>
        <v>250.39788199582804</v>
      </c>
      <c r="H214" s="1082">
        <f t="shared" si="442"/>
        <v>32.577190922103249</v>
      </c>
      <c r="I214" s="559">
        <f>MAX(Sheet1!Z216-AT214+(Sheet1!DA216-E214)*CFStoMGD,0)</f>
        <v>4.8732000000000042</v>
      </c>
      <c r="J214" s="562">
        <f>IF(AND(B214&gt;=Calculation!GC214,B214&lt;=Calculation!GD214),IF(Sheet1!DB216&gt;=Calculation!D214,64.64,0),MAX(Sheet1!Z216-AT214+(Sheet1!DB216-D214)*CFStoMGD,0))</f>
        <v>70.159599999999998</v>
      </c>
      <c r="K214" s="1101">
        <v>0</v>
      </c>
      <c r="L214" s="560">
        <f>Sheet1!AA216+Sheet1!AB216-Sheet1!L216+(Sheet1!DA216-F214)*CFStoMGD</f>
        <v>144.8432</v>
      </c>
      <c r="M214" s="560">
        <f t="shared" si="376"/>
        <v>165.09433474054532</v>
      </c>
      <c r="N214" s="910">
        <f>IF(Sheet1!DA216&gt;=F214,MIN(73,MIN(MAX(L214,0),MAX(M214,0))),0)</f>
        <v>73</v>
      </c>
      <c r="O214" s="563">
        <f>Sheet1!AA216+Sheet1!AB216</f>
        <v>87.96</v>
      </c>
      <c r="P214" s="563">
        <f t="shared" si="377"/>
        <v>136.07411999999999</v>
      </c>
      <c r="Q214" s="898">
        <f t="shared" si="444"/>
        <v>68.459999999999994</v>
      </c>
      <c r="R214" s="829">
        <f t="shared" si="378"/>
        <v>19.5</v>
      </c>
      <c r="S214" s="898">
        <f t="shared" si="445"/>
        <v>0</v>
      </c>
      <c r="T214" s="898">
        <f t="shared" si="446"/>
        <v>0</v>
      </c>
      <c r="U214" s="898">
        <f t="shared" si="447"/>
        <v>19.5</v>
      </c>
      <c r="V214" s="898"/>
      <c r="W214" s="898">
        <f t="shared" si="448"/>
        <v>0</v>
      </c>
      <c r="X214" s="898">
        <f t="shared" si="449"/>
        <v>0</v>
      </c>
      <c r="Y214" s="898" t="str">
        <f t="shared" si="450"/>
        <v>FALSE</v>
      </c>
      <c r="Z214" s="898">
        <f t="shared" si="451"/>
        <v>87.96</v>
      </c>
      <c r="AA214" s="898">
        <f t="shared" si="452"/>
        <v>87.96</v>
      </c>
      <c r="AB214" s="898" t="str">
        <f t="shared" si="453"/>
        <v/>
      </c>
      <c r="AC214" s="563">
        <f>Sheet1!Y216*MGDtoCFS</f>
        <v>74.070359999999994</v>
      </c>
      <c r="AD214" s="563">
        <f>Sheet1!Z216*MGDtoCFS</f>
        <v>69.537649999999999</v>
      </c>
      <c r="AE214" s="563">
        <f>Sheet1!AA216*MGDtoCFS</f>
        <v>73.730019999999996</v>
      </c>
      <c r="AF214" s="563">
        <f>Sheet1!AB216*MGDtoCFS</f>
        <v>62.34409999999999</v>
      </c>
      <c r="AG214" s="563">
        <f>Sheet1!L216*MGDtoCFS</f>
        <v>0</v>
      </c>
      <c r="AH214" s="545">
        <f t="shared" si="379"/>
        <v>19.5</v>
      </c>
      <c r="AI214" s="560">
        <f t="shared" si="380"/>
        <v>30.166499999999999</v>
      </c>
      <c r="AJ214" s="560">
        <f t="shared" si="381"/>
        <v>0</v>
      </c>
      <c r="AK214" s="560">
        <f t="shared" si="382"/>
        <v>0</v>
      </c>
      <c r="AL214" s="560">
        <f>(VLOOKUP(Sheet1!DC216,hhdcap_wcm,4)-(((VLOOKUP(Sheet1!DC216,hhdcap_wcm,3)-Sheet1!DC216)/(VLOOKUP(Sheet1!DC216,hhdcap_wcm,3)-VLOOKUP(Sheet1!DC216,hhdcap_wcm,1)))*(VLOOKUP(Sheet1!DC216,hhdcap_wcm,4)-VLOOKUP(Sheet1!DC216,hhdcap_wcm,2))))</f>
        <v>44808.200000109027</v>
      </c>
      <c r="AM214" s="560">
        <f t="shared" si="383"/>
        <v>-163.80000000227301</v>
      </c>
      <c r="AN214" s="560">
        <f t="shared" si="384"/>
        <v>2882.4750583401947</v>
      </c>
      <c r="AO214" s="560">
        <f t="shared" si="385"/>
        <v>8843.4334789877175</v>
      </c>
      <c r="AP214" s="560">
        <f>Sheet1!BA216+Sheet1!BB216+Sheet1!BN216+CD214</f>
        <v>22.1</v>
      </c>
      <c r="AQ214" s="560">
        <f>Sheet1!BN216+(DO214*Sheet1!BN216)</f>
        <v>20.159834065397753</v>
      </c>
      <c r="AR214" s="560">
        <f>Sheet1!BA216+CD214</f>
        <v>0</v>
      </c>
      <c r="AS214" s="560">
        <f>Sheet1!BA216+Sheet1!BB216+CD214</f>
        <v>1.6</v>
      </c>
      <c r="AT214" s="698">
        <f>0</f>
        <v>0</v>
      </c>
      <c r="AU214" s="560">
        <f>IF(EB214&lt;K214,0,MAX(Sheet1!AA216+AQ214-15/36*K214-N214,Sheet1!EH216,0))</f>
        <v>0</v>
      </c>
      <c r="AV214" s="560">
        <f>IF(OR(B214&gt;=GD214,B214&lt;GC214),0,15/36*K214-MAX(0,64.6-(137.6-(Sheet1!AA216+Sheet1!AB216))))</f>
        <v>0</v>
      </c>
      <c r="AW214" s="698">
        <f>Sheet1!DB216-110</f>
        <v>129</v>
      </c>
      <c r="AX214" s="698">
        <f>Sheet1!DA216-265</f>
        <v>73</v>
      </c>
      <c r="AY214" s="698">
        <f t="shared" si="386"/>
        <v>4.5400000000000063</v>
      </c>
      <c r="AZ214" s="698">
        <v>0</v>
      </c>
      <c r="BA214" s="698">
        <f t="shared" si="387"/>
        <v>0</v>
      </c>
      <c r="BB214" s="560">
        <f t="shared" si="388"/>
        <v>1286.8166666666668</v>
      </c>
      <c r="BC214" s="560"/>
      <c r="BD214" s="560">
        <f ca="1">IF(B214&gt;Summary!$A$1,#N/A,BB214*MGtoAF)</f>
        <v>3947.9535333333338</v>
      </c>
      <c r="BE214" s="560">
        <f>Sheet1!BG216+Sheet1!BH216+Sheet1!BI216-BM214</f>
        <v>3</v>
      </c>
      <c r="BF214" s="560">
        <f t="shared" si="389"/>
        <v>2.9502196193265005</v>
      </c>
      <c r="BG214" s="560">
        <f>IF(Sheet1!EP216="FM",BM214,0)</f>
        <v>0</v>
      </c>
      <c r="BH214" s="560">
        <f t="shared" si="390"/>
        <v>0</v>
      </c>
      <c r="BI214" s="560">
        <f>IF(Sheet1!EP216="OTHER",BM214,0)</f>
        <v>0</v>
      </c>
      <c r="BJ214" s="560">
        <f t="shared" si="391"/>
        <v>0</v>
      </c>
      <c r="BK214" s="560">
        <f t="shared" si="392"/>
        <v>3</v>
      </c>
      <c r="BL214" s="560">
        <f t="shared" si="393"/>
        <v>2.9502196193265005</v>
      </c>
      <c r="BM214" s="560">
        <f>IF(OR(Sheet1!EP216="FM", Sheet1!EP216="OTHER"),SUM(Sheet1!BG216:'Sheet1'!BI216),0)</f>
        <v>0</v>
      </c>
      <c r="BN214" s="545">
        <f>IF(AND($B214&gt;=$FV214,$B214&lt;=$FW214),MAX(BF214,Sheet1!EI216,0),MAX(BF214-(7/36)*$K214,0))</f>
        <v>3</v>
      </c>
      <c r="BO214" s="560">
        <f t="shared" si="394"/>
        <v>0</v>
      </c>
      <c r="BP214" s="545">
        <f t="shared" si="395"/>
        <v>0</v>
      </c>
      <c r="BQ214" s="545">
        <f>IF(AND($O214&gt;0,Sheet1!EM216=1),(1-($O214-Sheet1!$L216)/$O214)*BL214,0)</f>
        <v>0</v>
      </c>
      <c r="BR214" s="545">
        <f>IF(AND(Sheet1!$L216=0,Sheet1!$L215=0, Calculation!BK214&lt;Sheet1!$EI216-0.1,Sheet1!$EI216=Sheet1!$EI215,Sheet1!$EI216=Sheet1!$EI217),Sheet1!$EI216,BL214-BQ214)</f>
        <v>2.9502196193265005</v>
      </c>
      <c r="BS214" s="560"/>
      <c r="BT214" s="560"/>
      <c r="BU214" s="560">
        <f t="shared" si="396"/>
        <v>592.64481151717484</v>
      </c>
      <c r="BV214" s="560"/>
      <c r="BW214" s="560">
        <f ca="1">IF(B214&gt;Summary!$A$1,#N/A,BU214*MGtoAF)</f>
        <v>1818.2342817346926</v>
      </c>
      <c r="BX214" s="560">
        <f>Sheet1!BC216+Sheet1!BD216+Sheet1!BE216+Sheet1!BF216-CG214-CH214</f>
        <v>4.8600000000000003</v>
      </c>
      <c r="BY214" s="560">
        <f t="shared" si="397"/>
        <v>4.7793557833089304</v>
      </c>
      <c r="BZ214" s="560">
        <f>IF(Sheet1!EQ216="FM",CH214,0)</f>
        <v>0</v>
      </c>
      <c r="CA214" s="560">
        <f t="shared" si="398"/>
        <v>0</v>
      </c>
      <c r="CB214" s="560">
        <f>IF(Sheet1!EQ216="OTHER",CH214,0)</f>
        <v>0</v>
      </c>
      <c r="CC214" s="560">
        <f t="shared" si="399"/>
        <v>0</v>
      </c>
      <c r="CD214" s="560">
        <f t="shared" si="400"/>
        <v>0</v>
      </c>
      <c r="CE214" s="560">
        <f t="shared" si="401"/>
        <v>4.8600000000000003</v>
      </c>
      <c r="CF214" s="560">
        <f t="shared" si="402"/>
        <v>4.7793557833089304</v>
      </c>
      <c r="CG214" s="560">
        <f>IF(Sheet1!EQ216="CWA",SUM(Sheet1!BC216:'Sheet1'!BF216),0)</f>
        <v>0</v>
      </c>
      <c r="CH214" s="560">
        <f>IF(OR(Sheet1!EQ216="FM", Sheet1!EQ216="OTHER"),SUM(Sheet1!BC216:'Sheet1'!BF216),0)</f>
        <v>0</v>
      </c>
      <c r="CI214" s="545">
        <f>IF(AND($B214&gt;=$FV214,$B214&lt;=$FW214),MAX(CF214,Sheet1!EJ216,0),MAX(CF214-(7/36)*$K214,0))</f>
        <v>5.5</v>
      </c>
      <c r="CJ214" s="560">
        <f t="shared" si="403"/>
        <v>0</v>
      </c>
      <c r="CK214" s="545">
        <f t="shared" si="404"/>
        <v>0</v>
      </c>
      <c r="CL214" s="545">
        <f>IF(AND($O214&gt;0,Sheet1!EN216=1),(1-($O214-Sheet1!$L216)/$O214)*CF214,0)</f>
        <v>0</v>
      </c>
      <c r="CM214" s="545">
        <f>IF(AND(Sheet1!$L216=0,Sheet1!$L215=0, Calculation!CE214&lt;Sheet1!EJ216-0.1,Sheet1!EJ216=Sheet1!EJ215,Sheet1!EJ216=Sheet1!EJ217),Sheet1!EJ216,CF214-CL214)</f>
        <v>5.5</v>
      </c>
      <c r="CN214" s="545"/>
      <c r="CO214" s="560"/>
      <c r="CP214" s="560">
        <f t="shared" si="405"/>
        <v>541.46282355440871</v>
      </c>
      <c r="CQ214" s="560"/>
      <c r="CR214" s="560">
        <f ca="1">IF(B214&gt;Summary!$A$1,#N/A,CP214*MGtoAF)</f>
        <v>1661.2079426649259</v>
      </c>
      <c r="CS214" s="560">
        <f>Sheet1!BK216+Sheet1!BL216+Sheet1!BM216-Sheet1!ER216-DA214</f>
        <v>11.02</v>
      </c>
      <c r="CT214" s="560">
        <f t="shared" si="406"/>
        <v>10.837140068326011</v>
      </c>
      <c r="CU214" s="560">
        <f>IF(Sheet1!ER216="FM",DA214,0)</f>
        <v>0</v>
      </c>
      <c r="CV214" s="560">
        <f t="shared" si="407"/>
        <v>0</v>
      </c>
      <c r="CW214" s="560">
        <f>IF(Sheet1!ER216="OTHER",DA214,0)</f>
        <v>0</v>
      </c>
      <c r="CX214" s="560">
        <f t="shared" si="408"/>
        <v>0</v>
      </c>
      <c r="CY214" s="560">
        <f t="shared" si="409"/>
        <v>11.02</v>
      </c>
      <c r="CZ214" s="560">
        <f t="shared" si="410"/>
        <v>10.837140068326011</v>
      </c>
      <c r="DA214" s="560">
        <f>IF(OR(Sheet1!ER216="FM", Sheet1!ER216="OTHER"),SUM(Sheet1!BK216:'Sheet1'!BM216),0)</f>
        <v>0</v>
      </c>
      <c r="DB214" s="545">
        <f>IF(AND($B214&gt;=$FV214,$B214&lt;=$FW214),MAX($CT214,Sheet1!EK216,0),MAX($CT214-(7/36)*$K214,0))</f>
        <v>11</v>
      </c>
      <c r="DC214" s="560">
        <f t="shared" si="411"/>
        <v>0</v>
      </c>
      <c r="DD214" s="545">
        <f t="shared" si="412"/>
        <v>0</v>
      </c>
      <c r="DE214" s="545">
        <f>IF(AND($O214&gt;0,Sheet1!EO216=1),(1-($O214-Sheet1!$L216)/$O214)*CZ214,0)</f>
        <v>0</v>
      </c>
      <c r="DF214" s="545">
        <f>IF(AND(Sheet1!$L216=0,Sheet1!$L215=0, Calculation!CY214&lt;Sheet1!$EK216-0.1,Sheet1!$EK216=Sheet1!$EK215,Sheet1!$EK216=Sheet1!$EK217),Sheet1!$EK216,CZ214-DE214)</f>
        <v>10.837140068326011</v>
      </c>
      <c r="DG214" s="545"/>
      <c r="DH214" s="560">
        <f t="shared" si="413"/>
        <v>18.88</v>
      </c>
      <c r="DI214" s="560">
        <f t="shared" si="414"/>
        <v>461.55075660194393</v>
      </c>
      <c r="DJ214" s="698">
        <f t="shared" si="415"/>
        <v>18.566715470961441</v>
      </c>
      <c r="DK214" s="560">
        <f ca="1">IF(B214&gt;Summary!$A$1,#N/A,DI214*MGtoAF)</f>
        <v>1416.0377212547639</v>
      </c>
      <c r="DL214" s="698">
        <f t="shared" si="416"/>
        <v>18.88</v>
      </c>
      <c r="DM214" s="560">
        <f t="shared" si="417"/>
        <v>40.980000000000004</v>
      </c>
      <c r="DN214" s="560">
        <f>Sheet1!AB216-DM214</f>
        <v>-0.68000000000000682</v>
      </c>
      <c r="DO214" s="823">
        <f t="shared" si="418"/>
        <v>-1.659346022449992E-2</v>
      </c>
      <c r="DP214" s="560">
        <f>(VLOOKUP(Sheet1!DC216,hhdcap_wcm,4)-(((VLOOKUP(Sheet1!DC216,hhdcap_wcm,3)-Sheet1!DC216)/(VLOOKUP(Sheet1!DC216,hhdcap_wcm,3)-VLOOKUP(Sheet1!DC216,hhdcap_wcm,1)))*(VLOOKUP(Sheet1!DC216,hhdcap_wcm,4)-VLOOKUP(Sheet1!DC216,hhdcap_wcm,2))))</f>
        <v>44808.200000109027</v>
      </c>
      <c r="DQ214" s="560">
        <f t="shared" si="419"/>
        <v>-163.80000000227301</v>
      </c>
      <c r="DR214" s="560">
        <f t="shared" si="420"/>
        <v>-82.602118004171956</v>
      </c>
      <c r="DS214" s="560">
        <f>Sheet1!EA216*AFtoMG</f>
        <v>0</v>
      </c>
      <c r="DT214" s="560">
        <f>Sheet1!EB216*AFtoMG</f>
        <v>0</v>
      </c>
      <c r="DU214" s="560">
        <f>Sheet1!EC216*AFtoMG</f>
        <v>0</v>
      </c>
      <c r="DV214" s="560">
        <f>Sheet1!ED216*AFtoMG</f>
        <v>0</v>
      </c>
      <c r="DW214" s="560">
        <f t="shared" si="421"/>
        <v>0</v>
      </c>
      <c r="DX214" s="560">
        <f t="shared" si="422"/>
        <v>0</v>
      </c>
      <c r="DY214" s="560">
        <f t="shared" si="423"/>
        <v>2882.4750583401947</v>
      </c>
      <c r="DZ214" s="560">
        <f t="shared" si="424"/>
        <v>8843.4334789877175</v>
      </c>
      <c r="EA214" s="560"/>
      <c r="EB214" s="545">
        <f>IF(OR(B214&lt;FV214,B214&gt;FW214),(MIN(BF214+BY214+CT214+MAX(Sheet1!AA216+AQ214-73,0),K214)),0)</f>
        <v>0</v>
      </c>
      <c r="EC214" s="560"/>
      <c r="ED214" s="560">
        <f t="shared" si="425"/>
        <v>18.566715470961441</v>
      </c>
      <c r="EE214" s="560"/>
      <c r="EF214" s="560">
        <f>Sheet1!EH216+Sheet1!EI216+Sheet1!EJ216+Sheet1!EK216</f>
        <v>19.5</v>
      </c>
      <c r="EG214" s="560"/>
      <c r="EH214" s="545">
        <f t="shared" si="426"/>
        <v>0</v>
      </c>
      <c r="EI214" s="560">
        <f>IF(Sheet1!ET216=1,SUM('Calculations II'!AT214:BA214)+'Calculations II'!BC214+Sheet1!BV216+'Calculations II'!BE214+AP214,SUM('Calculations II'!AT214:BA214)+'Calculations II'!BC214+Sheet1!BV216+'Calculations II'!BE214+AP214)</f>
        <v>78.933327999999989</v>
      </c>
      <c r="EJ214" s="560">
        <f>Sheet1!AA216+Sheet1!AB216+'Calculations II'!BC214</f>
        <v>87.96</v>
      </c>
      <c r="EK214" s="560"/>
      <c r="EL214" s="560"/>
      <c r="EM214" s="560">
        <f t="shared" si="427"/>
        <v>41842</v>
      </c>
      <c r="EN214" s="560">
        <f t="shared" si="428"/>
        <v>-19.5</v>
      </c>
      <c r="EO214" s="560">
        <f t="shared" si="429"/>
        <v>-30.166499999999999</v>
      </c>
      <c r="EP214" s="560">
        <v>0</v>
      </c>
      <c r="EQ214" s="560">
        <v>0</v>
      </c>
      <c r="ER214" s="560">
        <v>0</v>
      </c>
      <c r="ES214" s="545">
        <f t="shared" si="454"/>
        <v>0.27737341698302698</v>
      </c>
      <c r="ET214" s="560">
        <f>-(VLOOKUP(Sheet1!BQ216,Lookup!$O$4:$Q$262,2)-VLOOKUP(Sheet1!BQ215,Lookup!$O$4:$Q$262,2))/1000000</f>
        <v>0.13868991495118291</v>
      </c>
      <c r="EU214" s="560">
        <f>-(VLOOKUP(Sheet1!BR216,Lookup!$O$4:$Q$262,3)-VLOOKUP(Sheet1!BR215,Lookup!$O$4:$Q$262,3))/1000000</f>
        <v>0.1386835020318441</v>
      </c>
      <c r="EV214" s="560"/>
      <c r="EW214" s="560"/>
      <c r="EX214" s="560"/>
      <c r="EY214" s="560"/>
      <c r="EZ214" s="560"/>
      <c r="FA214" s="560"/>
      <c r="FB214" s="560"/>
      <c r="FC214" s="560"/>
      <c r="FD214" s="594">
        <f t="shared" si="443"/>
        <v>1137.9056338027387</v>
      </c>
      <c r="FE214" s="594" t="e">
        <f t="shared" si="431"/>
        <v>#N/A</v>
      </c>
      <c r="FF214" s="595" t="e">
        <f t="shared" si="432"/>
        <v>#N/A</v>
      </c>
      <c r="FG214" s="596" t="s">
        <v>692</v>
      </c>
      <c r="FH214" s="596" t="s">
        <v>692</v>
      </c>
      <c r="FI214" s="594" t="e">
        <v>#N/A</v>
      </c>
      <c r="FJ214" s="778">
        <v>21654</v>
      </c>
      <c r="FK214" s="560"/>
      <c r="FL214" s="560"/>
      <c r="FM214" s="560"/>
      <c r="FN214" s="560"/>
      <c r="FO214" s="560">
        <f>O214+((Sheet1!CS216)*GPMtoMGD)</f>
        <v>87.96</v>
      </c>
      <c r="FP214" s="560">
        <f>IF(Sheet1!AA216+AQ214&lt;=Calculation!N214,AQ214,Calculation!N214-Sheet1!AA216)</f>
        <v>20.159834065397753</v>
      </c>
      <c r="FQ214" s="560">
        <f>(Sheet1!BP216+Sheet1!BO216)/694.4</f>
        <v>3.2121255760368665</v>
      </c>
      <c r="FR214" s="560"/>
      <c r="FS214" s="560"/>
      <c r="FT214" s="560"/>
      <c r="FU214" s="560"/>
      <c r="FV214" s="695">
        <f t="shared" si="455"/>
        <v>41827</v>
      </c>
      <c r="FW214" s="695">
        <f t="shared" si="456"/>
        <v>41934</v>
      </c>
      <c r="FX214" s="560"/>
      <c r="FY214" s="560"/>
      <c r="FZ214" s="560"/>
      <c r="GA214" s="560"/>
      <c r="GB214" s="560" t="str">
        <f t="shared" si="457"/>
        <v>n</v>
      </c>
      <c r="GC214" s="564">
        <f t="shared" si="458"/>
        <v>41691</v>
      </c>
      <c r="GD214" s="695">
        <f t="shared" si="459"/>
        <v>41807</v>
      </c>
      <c r="GE214" s="560">
        <v>6518.9</v>
      </c>
      <c r="GF214" s="695">
        <f t="shared" si="460"/>
        <v>41808</v>
      </c>
      <c r="GG214" s="560">
        <f t="shared" si="479"/>
        <v>3259</v>
      </c>
      <c r="GH214" s="564">
        <f t="shared" si="461"/>
        <v>41934</v>
      </c>
      <c r="GJ214" s="545">
        <f t="shared" si="462"/>
        <v>0</v>
      </c>
      <c r="GK214" s="560" t="str">
        <f t="shared" si="433"/>
        <v/>
      </c>
      <c r="GL214" s="560">
        <f t="shared" si="463"/>
        <v>0</v>
      </c>
      <c r="GM214" s="560" t="str">
        <f t="shared" si="464"/>
        <v/>
      </c>
      <c r="GN214" s="560">
        <f>IF(GK214="P",Lookup!$M$12,IF(GK214="PP",Lookup!$M$13,IF(GK214="PPP",Lookup!$M$14,IF(GK214="T",Lookup!$M$15,IF(GK214="TP",Lookup!$M$16,IF(GK214="TPP",Lookup!$M$17,IF(GK214="TPPP",Lookup!$M$18,0)))))))*GJ214</f>
        <v>0</v>
      </c>
      <c r="GO214" s="560">
        <f t="shared" si="465"/>
        <v>0</v>
      </c>
      <c r="GP214" s="560">
        <f t="shared" si="434"/>
        <v>3947.9535333333338</v>
      </c>
      <c r="GQ214" s="560">
        <f t="shared" si="473"/>
        <v>1286.8166666666668</v>
      </c>
      <c r="GR214" s="560"/>
      <c r="GS214" s="560">
        <f t="shared" si="466"/>
        <v>0</v>
      </c>
      <c r="GT214" s="560" t="str">
        <f t="shared" si="467"/>
        <v/>
      </c>
      <c r="GU214" s="560">
        <f>IF(GK214="P",Lookup!$N$12,IF(GK214="PP",Lookup!$N$13,IF(GK214="PPP",Lookup!$N$14,IF(GK214="T",Lookup!$N$15,IF(GK214="TP",Lookup!$N$16,IF(GK214="TPP",Lookup!$N$17,IF(GK214="TPPP",Lookup!$N$18,0)))))))*GJ214</f>
        <v>0</v>
      </c>
      <c r="GV214" s="560">
        <f t="shared" si="468"/>
        <v>0</v>
      </c>
      <c r="GW214" s="560">
        <f t="shared" si="435"/>
        <v>1818.2342817346926</v>
      </c>
      <c r="GX214" s="560">
        <f t="shared" si="474"/>
        <v>592.64481151717484</v>
      </c>
      <c r="GY214" s="560"/>
      <c r="GZ214" s="560">
        <f t="shared" si="469"/>
        <v>0</v>
      </c>
      <c r="HA214" s="560" t="str">
        <f t="shared" si="470"/>
        <v/>
      </c>
      <c r="HB214" s="560">
        <f>IF(GK214="P",Lookup!$N$12,IF(GK214="PP",Lookup!$N$13,IF(GK214="PPP",Lookup!$N$14,IF(GK214="T",Lookup!$N$15,IF(GK214="TP",Lookup!$N$16,IF(GK214="TPP",Lookup!$N$17,IF(GK214="TPPP",Lookup!$N$18,0)))))))*GJ214</f>
        <v>0</v>
      </c>
      <c r="HC214" s="545">
        <f t="shared" si="436"/>
        <v>0</v>
      </c>
      <c r="HD214" s="560">
        <f t="shared" si="437"/>
        <v>1661.2079426649259</v>
      </c>
      <c r="HE214" s="560">
        <f t="shared" si="475"/>
        <v>541.46282355440871</v>
      </c>
      <c r="HF214" s="560"/>
      <c r="HG214" s="560">
        <f t="shared" si="471"/>
        <v>0</v>
      </c>
      <c r="HH214" s="560" t="str">
        <f t="shared" si="472"/>
        <v/>
      </c>
      <c r="HI214" s="560">
        <f>IF(GK214="P",Lookup!$N$12,IF(GK214="PP",Lookup!$N$13,IF(GK214="PPP",Lookup!$N$14,IF(GK214="T",Lookup!$N$15,IF(GK214="TP",Lookup!$N$16,IF(GK214="TPP",Lookup!$N$17,IF(GK214="TPPP",Lookup!$N$18,0)))))))*GJ214</f>
        <v>0</v>
      </c>
      <c r="HJ214" s="545">
        <f t="shared" si="438"/>
        <v>0</v>
      </c>
      <c r="HK214" s="560">
        <f t="shared" si="439"/>
        <v>1416.0377212547639</v>
      </c>
      <c r="HL214" s="560">
        <f t="shared" si="476"/>
        <v>461.55075660194393</v>
      </c>
    </row>
    <row r="215" spans="1:220">
      <c r="A215" s="580" t="s">
        <v>6</v>
      </c>
      <c r="B215" s="556">
        <v>41843</v>
      </c>
      <c r="C215" s="561">
        <v>0</v>
      </c>
      <c r="D215" s="529">
        <f t="shared" si="477"/>
        <v>200</v>
      </c>
      <c r="E215" s="529">
        <f t="shared" si="478"/>
        <v>400</v>
      </c>
      <c r="F215" s="529">
        <v>250</v>
      </c>
      <c r="G215" s="560">
        <f>DR215+Sheet1!CZ217</f>
        <v>396.41351487746766</v>
      </c>
      <c r="H215" s="1082">
        <f t="shared" si="442"/>
        <v>126.96169601679509</v>
      </c>
      <c r="I215" s="559">
        <f>MAX(Sheet1!Z217-AT215+(Sheet1!DA217-E215)*CFStoMGD,0)</f>
        <v>106.8792</v>
      </c>
      <c r="J215" s="562">
        <f>IF(AND(B215&gt;=Calculation!GC215,B215&lt;=Calculation!GD215),IF(Sheet1!DB217&gt;=Calculation!D215,64.64,0),MAX(Sheet1!Z217-AT215+(Sheet1!DB217-D215)*CFStoMGD,0))</f>
        <v>75.852000000000004</v>
      </c>
      <c r="K215" s="1101">
        <v>0</v>
      </c>
      <c r="L215" s="560">
        <f>Sheet1!AA217+Sheet1!AB217-Sheet1!L217+(Sheet1!DA217-F215)*CFStoMGD</f>
        <v>248.35919999999999</v>
      </c>
      <c r="M215" s="560">
        <f t="shared" si="376"/>
        <v>261.36652993713102</v>
      </c>
      <c r="N215" s="910">
        <f>IF(Sheet1!DA217&gt;=F215,MIN(73,MIN(MAX(L215,0),MAX(M215,0))),0)</f>
        <v>73</v>
      </c>
      <c r="O215" s="563">
        <f>Sheet1!AA217+Sheet1!AB217</f>
        <v>84.82</v>
      </c>
      <c r="P215" s="563">
        <f t="shared" si="377"/>
        <v>131.21654000000001</v>
      </c>
      <c r="Q215" s="898">
        <f t="shared" si="444"/>
        <v>65.319999999999993</v>
      </c>
      <c r="R215" s="829">
        <f t="shared" si="378"/>
        <v>19.5</v>
      </c>
      <c r="S215" s="898">
        <f t="shared" si="445"/>
        <v>0</v>
      </c>
      <c r="T215" s="898">
        <f t="shared" si="446"/>
        <v>0</v>
      </c>
      <c r="U215" s="898">
        <f t="shared" si="447"/>
        <v>19.5</v>
      </c>
      <c r="V215" s="898"/>
      <c r="W215" s="898">
        <f t="shared" si="448"/>
        <v>0</v>
      </c>
      <c r="X215" s="898">
        <f t="shared" si="449"/>
        <v>0</v>
      </c>
      <c r="Y215" s="898" t="str">
        <f t="shared" si="450"/>
        <v>FALSE</v>
      </c>
      <c r="Z215" s="898">
        <f t="shared" si="451"/>
        <v>84.82</v>
      </c>
      <c r="AA215" s="898">
        <f t="shared" si="452"/>
        <v>84.82</v>
      </c>
      <c r="AB215" s="898" t="str">
        <f t="shared" si="453"/>
        <v/>
      </c>
      <c r="AC215" s="563">
        <f>Sheet1!Y217*MGDtoCFS</f>
        <v>73.730019999999996</v>
      </c>
      <c r="AD215" s="563">
        <f>Sheet1!Z217*MGDtoCFS</f>
        <v>62.34409999999999</v>
      </c>
      <c r="AE215" s="563">
        <f>Sheet1!AA217*MGDtoCFS</f>
        <v>74.039419999999993</v>
      </c>
      <c r="AF215" s="563">
        <f>Sheet1!AB217*MGDtoCFS</f>
        <v>57.177120000000002</v>
      </c>
      <c r="AG215" s="563">
        <f>Sheet1!L217*MGDtoCFS</f>
        <v>0</v>
      </c>
      <c r="AH215" s="545">
        <f t="shared" si="379"/>
        <v>19.5</v>
      </c>
      <c r="AI215" s="560">
        <f t="shared" si="380"/>
        <v>30.166499999999999</v>
      </c>
      <c r="AJ215" s="560">
        <f t="shared" si="381"/>
        <v>0</v>
      </c>
      <c r="AK215" s="560">
        <f t="shared" si="382"/>
        <v>0</v>
      </c>
      <c r="AL215" s="560">
        <f>(VLOOKUP(Sheet1!DC217,hhdcap_wcm,4)-(((VLOOKUP(Sheet1!DC217,hhdcap_wcm,3)-Sheet1!DC217)/(VLOOKUP(Sheet1!DC217,hhdcap_wcm,3)-VLOOKUP(Sheet1!DC217,hhdcap_wcm,1)))*(VLOOKUP(Sheet1!DC217,hhdcap_wcm,4)-VLOOKUP(Sheet1!DC217,hhdcap_wcm,2))))</f>
        <v>44928.000000111046</v>
      </c>
      <c r="AM215" s="560">
        <f t="shared" si="383"/>
        <v>119.80000000201835</v>
      </c>
      <c r="AN215" s="560">
        <f t="shared" si="384"/>
        <v>2862.9750583401947</v>
      </c>
      <c r="AO215" s="560">
        <f t="shared" si="385"/>
        <v>8783.6074789877166</v>
      </c>
      <c r="AP215" s="560">
        <f>Sheet1!BA217+Sheet1!BB217+Sheet1!BN217+CD215</f>
        <v>19.79</v>
      </c>
      <c r="AQ215" s="560">
        <f>Sheet1!BN217+(DO215*Sheet1!BN217)</f>
        <v>17.871200850159404</v>
      </c>
      <c r="AR215" s="560">
        <f>Sheet1!BA217+CD215</f>
        <v>0</v>
      </c>
      <c r="AS215" s="560">
        <f>Sheet1!BA217+Sheet1!BB217+CD215</f>
        <v>1.59</v>
      </c>
      <c r="AT215" s="698">
        <f>0</f>
        <v>0</v>
      </c>
      <c r="AU215" s="560">
        <f>IF(EB215&lt;K215,0,MAX(Sheet1!AA217+AQ215-15/36*K215-N215,Sheet1!EH217,0))</f>
        <v>0</v>
      </c>
      <c r="AV215" s="560">
        <f>IF(OR(B215&gt;=GD215,B215&lt;GC215),0,15/36*K215-MAX(0,64.6-(137.6-(Sheet1!AA217+Sheet1!AB217))))</f>
        <v>0</v>
      </c>
      <c r="AW215" s="698">
        <f>Sheet1!DB217-110</f>
        <v>145</v>
      </c>
      <c r="AX215" s="698">
        <f>Sheet1!DA217-265</f>
        <v>238</v>
      </c>
      <c r="AY215" s="698">
        <f t="shared" si="386"/>
        <v>7.6800000000000068</v>
      </c>
      <c r="AZ215" s="698">
        <v>0</v>
      </c>
      <c r="BA215" s="698">
        <f t="shared" si="387"/>
        <v>0</v>
      </c>
      <c r="BB215" s="560">
        <f t="shared" si="388"/>
        <v>1286.8166666666668</v>
      </c>
      <c r="BC215" s="560"/>
      <c r="BD215" s="560">
        <f ca="1">IF(B215&gt;Summary!$A$1,#N/A,BB215*MGtoAF)</f>
        <v>3947.9535333333338</v>
      </c>
      <c r="BE215" s="560">
        <f>Sheet1!BG217+Sheet1!BH217+Sheet1!BI217-BM215</f>
        <v>3</v>
      </c>
      <c r="BF215" s="560">
        <f t="shared" si="389"/>
        <v>2.9458023379383635</v>
      </c>
      <c r="BG215" s="560">
        <f>IF(Sheet1!EP217="FM",BM215,0)</f>
        <v>0</v>
      </c>
      <c r="BH215" s="560">
        <f t="shared" si="390"/>
        <v>0</v>
      </c>
      <c r="BI215" s="560">
        <f>IF(Sheet1!EP217="OTHER",BM215,0)</f>
        <v>0</v>
      </c>
      <c r="BJ215" s="560">
        <f t="shared" si="391"/>
        <v>0</v>
      </c>
      <c r="BK215" s="560">
        <f t="shared" si="392"/>
        <v>3</v>
      </c>
      <c r="BL215" s="560">
        <f t="shared" si="393"/>
        <v>2.9458023379383635</v>
      </c>
      <c r="BM215" s="560">
        <f>IF(OR(Sheet1!EP217="FM", Sheet1!EP217="OTHER"),SUM(Sheet1!BG217:'Sheet1'!BI217),0)</f>
        <v>0</v>
      </c>
      <c r="BN215" s="545">
        <f>IF(AND($B215&gt;=$FV215,$B215&lt;=$FW215),MAX(BF215,Sheet1!EI217,0),MAX(BF215-(7/36)*$K215,0))</f>
        <v>3</v>
      </c>
      <c r="BO215" s="560">
        <f t="shared" si="394"/>
        <v>0</v>
      </c>
      <c r="BP215" s="545">
        <f t="shared" si="395"/>
        <v>0</v>
      </c>
      <c r="BQ215" s="545">
        <f>IF(AND($O215&gt;0,Sheet1!EM217=1),(1-($O215-Sheet1!$L217)/$O215)*BL215,0)</f>
        <v>0</v>
      </c>
      <c r="BR215" s="545">
        <f>IF(AND(Sheet1!$L217=0,Sheet1!$L216=0, Calculation!BK215&lt;Sheet1!$EI217-0.1,Sheet1!$EI217=Sheet1!$EI216,Sheet1!$EI217=Sheet1!$EI218),Sheet1!$EI217,BL215-BQ215)</f>
        <v>2.9458023379383635</v>
      </c>
      <c r="BS215" s="560"/>
      <c r="BT215" s="560"/>
      <c r="BU215" s="560">
        <f t="shared" si="396"/>
        <v>589.64481151717484</v>
      </c>
      <c r="BV215" s="560"/>
      <c r="BW215" s="560">
        <f ca="1">IF(B215&gt;Summary!$A$1,#N/A,BU215*MGtoAF)</f>
        <v>1809.0302817346924</v>
      </c>
      <c r="BX215" s="560">
        <f>Sheet1!BC217+Sheet1!BD217+Sheet1!BE217+Sheet1!BF217-CG215-CH215</f>
        <v>3.91</v>
      </c>
      <c r="BY215" s="560">
        <f t="shared" si="397"/>
        <v>3.8393623804463339</v>
      </c>
      <c r="BZ215" s="560">
        <f>IF(Sheet1!EQ217="FM",CH215,0)</f>
        <v>0</v>
      </c>
      <c r="CA215" s="560">
        <f t="shared" si="398"/>
        <v>0</v>
      </c>
      <c r="CB215" s="560">
        <f>IF(Sheet1!EQ217="OTHER",CH215,0)</f>
        <v>0</v>
      </c>
      <c r="CC215" s="560">
        <f t="shared" si="399"/>
        <v>0</v>
      </c>
      <c r="CD215" s="560">
        <f t="shared" si="400"/>
        <v>0</v>
      </c>
      <c r="CE215" s="560">
        <f t="shared" si="401"/>
        <v>3.91</v>
      </c>
      <c r="CF215" s="560">
        <f t="shared" si="402"/>
        <v>3.8393623804463339</v>
      </c>
      <c r="CG215" s="560">
        <f>IF(Sheet1!EQ217="CWA",SUM(Sheet1!BC217:'Sheet1'!BF217),0)</f>
        <v>0</v>
      </c>
      <c r="CH215" s="560">
        <f>IF(OR(Sheet1!EQ217="FM", Sheet1!EQ217="OTHER"),SUM(Sheet1!BC217:'Sheet1'!BF217),0)</f>
        <v>0</v>
      </c>
      <c r="CI215" s="545">
        <f>IF(AND($B215&gt;=$FV215,$B215&lt;=$FW215),MAX(CF215,Sheet1!EJ217,0),MAX(CF215-(7/36)*$K215,0))</f>
        <v>5.5</v>
      </c>
      <c r="CJ215" s="560">
        <f t="shared" si="403"/>
        <v>0</v>
      </c>
      <c r="CK215" s="545">
        <f t="shared" si="404"/>
        <v>0</v>
      </c>
      <c r="CL215" s="545">
        <f>IF(AND($O215&gt;0,Sheet1!EN217=1),(1-($O215-Sheet1!$L217)/$O215)*CF215,0)</f>
        <v>0</v>
      </c>
      <c r="CM215" s="545">
        <f>IF(AND(Sheet1!$L217=0,Sheet1!$L216=0, Calculation!CE215&lt;Sheet1!EJ217-0.1,Sheet1!EJ217=Sheet1!EJ216,Sheet1!EJ217=Sheet1!EJ218),Sheet1!EJ217,CF215-CL215)</f>
        <v>3.8393623804463339</v>
      </c>
      <c r="CN215" s="545"/>
      <c r="CO215" s="560"/>
      <c r="CP215" s="560">
        <f t="shared" si="405"/>
        <v>535.96282355440871</v>
      </c>
      <c r="CQ215" s="560"/>
      <c r="CR215" s="560">
        <f ca="1">IF(B215&gt;Summary!$A$1,#N/A,CP215*MGtoAF)</f>
        <v>1644.3339426649259</v>
      </c>
      <c r="CS215" s="560">
        <f>Sheet1!BK217+Sheet1!BL217+Sheet1!BM217-Sheet1!ER217-DA215</f>
        <v>10.940000000000001</v>
      </c>
      <c r="CT215" s="560">
        <f t="shared" si="406"/>
        <v>10.742359192348566</v>
      </c>
      <c r="CU215" s="560">
        <f>IF(Sheet1!ER217="FM",DA215,0)</f>
        <v>0</v>
      </c>
      <c r="CV215" s="560">
        <f t="shared" si="407"/>
        <v>0</v>
      </c>
      <c r="CW215" s="560">
        <f>IF(Sheet1!ER217="OTHER",DA215,0)</f>
        <v>0</v>
      </c>
      <c r="CX215" s="560">
        <f t="shared" si="408"/>
        <v>0</v>
      </c>
      <c r="CY215" s="560">
        <f t="shared" si="409"/>
        <v>10.940000000000001</v>
      </c>
      <c r="CZ215" s="560">
        <f t="shared" si="410"/>
        <v>10.742359192348566</v>
      </c>
      <c r="DA215" s="560">
        <f>IF(OR(Sheet1!ER217="FM", Sheet1!ER217="OTHER"),SUM(Sheet1!BK217:'Sheet1'!BM217),0)</f>
        <v>0</v>
      </c>
      <c r="DB215" s="545">
        <f>IF(AND($B215&gt;=$FV215,$B215&lt;=$FW215),MAX($CT215,Sheet1!EK217,0),MAX($CT215-(7/36)*$K215,0))</f>
        <v>11</v>
      </c>
      <c r="DC215" s="560">
        <f t="shared" si="411"/>
        <v>0</v>
      </c>
      <c r="DD215" s="545">
        <f t="shared" si="412"/>
        <v>0</v>
      </c>
      <c r="DE215" s="545">
        <f>IF(AND($O215&gt;0,Sheet1!EO217=1),(1-($O215-Sheet1!$L217)/$O215)*CZ215,0)</f>
        <v>0</v>
      </c>
      <c r="DF215" s="545">
        <f>IF(AND(Sheet1!$L217=0,Sheet1!$L216=0, Calculation!CY215&lt;Sheet1!$EK217-0.1,Sheet1!$EK217=Sheet1!$EK216,Sheet1!$EK217=Sheet1!$EK218),Sheet1!$EK217,CZ215-DE215)</f>
        <v>10.742359192348566</v>
      </c>
      <c r="DG215" s="545"/>
      <c r="DH215" s="560">
        <f t="shared" si="413"/>
        <v>17.850000000000001</v>
      </c>
      <c r="DI215" s="560">
        <f t="shared" si="414"/>
        <v>450.55075660194393</v>
      </c>
      <c r="DJ215" s="698">
        <f t="shared" si="415"/>
        <v>17.527523910733265</v>
      </c>
      <c r="DK215" s="560">
        <f ca="1">IF(B215&gt;Summary!$A$1,#N/A,DI215*MGtoAF)</f>
        <v>1382.2897212547641</v>
      </c>
      <c r="DL215" s="698">
        <f t="shared" si="416"/>
        <v>17.850000000000001</v>
      </c>
      <c r="DM215" s="560">
        <f t="shared" si="417"/>
        <v>37.64</v>
      </c>
      <c r="DN215" s="560">
        <f>Sheet1!AB217-DM215</f>
        <v>-0.67999999999999972</v>
      </c>
      <c r="DO215" s="823">
        <f t="shared" si="418"/>
        <v>-1.8065887353878846E-2</v>
      </c>
      <c r="DP215" s="560">
        <f>(VLOOKUP(Sheet1!DC217,hhdcap_wcm,4)-(((VLOOKUP(Sheet1!DC217,hhdcap_wcm,3)-Sheet1!DC217)/(VLOOKUP(Sheet1!DC217,hhdcap_wcm,3)-VLOOKUP(Sheet1!DC217,hhdcap_wcm,1)))*(VLOOKUP(Sheet1!DC217,hhdcap_wcm,4)-VLOOKUP(Sheet1!DC217,hhdcap_wcm,2))))</f>
        <v>44928.000000111046</v>
      </c>
      <c r="DQ215" s="560">
        <f t="shared" si="419"/>
        <v>119.80000000201835</v>
      </c>
      <c r="DR215" s="560">
        <f t="shared" si="420"/>
        <v>60.413514877467641</v>
      </c>
      <c r="DS215" s="560">
        <f>Sheet1!EA217*AFtoMG</f>
        <v>0</v>
      </c>
      <c r="DT215" s="560">
        <f>Sheet1!EB217*AFtoMG</f>
        <v>0</v>
      </c>
      <c r="DU215" s="560">
        <f>Sheet1!EC217*AFtoMG</f>
        <v>0</v>
      </c>
      <c r="DV215" s="560">
        <f>Sheet1!ED217*AFtoMG</f>
        <v>0</v>
      </c>
      <c r="DW215" s="560">
        <f t="shared" si="421"/>
        <v>0</v>
      </c>
      <c r="DX215" s="560">
        <f t="shared" si="422"/>
        <v>0</v>
      </c>
      <c r="DY215" s="560">
        <f t="shared" si="423"/>
        <v>2862.9750583401947</v>
      </c>
      <c r="DZ215" s="560">
        <f t="shared" si="424"/>
        <v>8783.6074789877166</v>
      </c>
      <c r="EA215" s="560"/>
      <c r="EB215" s="545">
        <f>IF(OR(B215&lt;FV215,B215&gt;FW215),(MIN(BF215+BY215+CT215+MAX(Sheet1!AA217+AQ215-73,0),K215)),0)</f>
        <v>0</v>
      </c>
      <c r="EC215" s="560"/>
      <c r="ED215" s="560">
        <f t="shared" si="425"/>
        <v>17.527523910733265</v>
      </c>
      <c r="EE215" s="560"/>
      <c r="EF215" s="560">
        <f>Sheet1!EH217+Sheet1!EI217+Sheet1!EJ217+Sheet1!EK217</f>
        <v>19.5</v>
      </c>
      <c r="EG215" s="560"/>
      <c r="EH215" s="545">
        <f t="shared" si="426"/>
        <v>0</v>
      </c>
      <c r="EI215" s="560">
        <f>IF(Sheet1!ET217=1,SUM('Calculations II'!AT215:BA215)+'Calculations II'!BC215+Sheet1!BV217+'Calculations II'!BE215+AP215,SUM('Calculations II'!AT215:BA215)+'Calculations II'!BC215+Sheet1!BV217+'Calculations II'!BE215+AP215)</f>
        <v>74.356943999999999</v>
      </c>
      <c r="EJ215" s="560">
        <f>Sheet1!AA217+Sheet1!AB217+'Calculations II'!BC215</f>
        <v>84.82</v>
      </c>
      <c r="EK215" s="560"/>
      <c r="EL215" s="560"/>
      <c r="EM215" s="560">
        <f t="shared" si="427"/>
        <v>41843</v>
      </c>
      <c r="EN215" s="560">
        <f t="shared" si="428"/>
        <v>-19.5</v>
      </c>
      <c r="EO215" s="560">
        <f t="shared" si="429"/>
        <v>-30.166499999999999</v>
      </c>
      <c r="EP215" s="560">
        <v>0</v>
      </c>
      <c r="EQ215" s="560">
        <v>0</v>
      </c>
      <c r="ER215" s="560">
        <v>0</v>
      </c>
      <c r="ES215" s="545">
        <f t="shared" si="454"/>
        <v>-2.3580877036660572</v>
      </c>
      <c r="ET215" s="560">
        <f>-(VLOOKUP(Sheet1!BQ217,Lookup!$O$4:$Q$262,2)-VLOOKUP(Sheet1!BQ216,Lookup!$O$4:$Q$262,2))/1000000</f>
        <v>-1.2484401173929536</v>
      </c>
      <c r="EU215" s="560">
        <f>-(VLOOKUP(Sheet1!BR217,Lookup!$O$4:$Q$262,3)-VLOOKUP(Sheet1!BR216,Lookup!$O$4:$Q$262,3))/1000000</f>
        <v>-1.1096475862731039</v>
      </c>
      <c r="EV215" s="560"/>
      <c r="EW215" s="560"/>
      <c r="EX215" s="560"/>
      <c r="EY215" s="560"/>
      <c r="EZ215" s="560"/>
      <c r="FA215" s="560"/>
      <c r="FB215" s="560"/>
      <c r="FC215" s="560"/>
      <c r="FD215" s="594">
        <f t="shared" si="443"/>
        <v>1137.7871428570647</v>
      </c>
      <c r="FE215" s="594" t="e">
        <f t="shared" si="431"/>
        <v>#N/A</v>
      </c>
      <c r="FF215" s="595" t="e">
        <f t="shared" si="432"/>
        <v>#N/A</v>
      </c>
      <c r="FG215" s="596" t="s">
        <v>692</v>
      </c>
      <c r="FH215" s="596" t="s">
        <v>692</v>
      </c>
      <c r="FI215" s="594" t="e">
        <v>#N/A</v>
      </c>
      <c r="FJ215" s="778">
        <v>21570</v>
      </c>
      <c r="FK215" s="560"/>
      <c r="FL215" s="560"/>
      <c r="FM215" s="560"/>
      <c r="FN215" s="560"/>
      <c r="FO215" s="560">
        <f>O215+((Sheet1!CS217)*GPMtoMGD)</f>
        <v>84.82</v>
      </c>
      <c r="FP215" s="560">
        <f>IF(Sheet1!AA217+AQ215&lt;=Calculation!N215,AQ215,Calculation!N215-Sheet1!AA217)</f>
        <v>17.871200850159404</v>
      </c>
      <c r="FQ215" s="560">
        <f>(Sheet1!BP217+Sheet1!BO217)/694.4</f>
        <v>2.7597926267281108</v>
      </c>
      <c r="FR215" s="560"/>
      <c r="FS215" s="560"/>
      <c r="FT215" s="560"/>
      <c r="FU215" s="560"/>
      <c r="FV215" s="695">
        <f t="shared" si="455"/>
        <v>41827</v>
      </c>
      <c r="FW215" s="695">
        <f t="shared" si="456"/>
        <v>41934</v>
      </c>
      <c r="FX215" s="560"/>
      <c r="FY215" s="560"/>
      <c r="FZ215" s="560"/>
      <c r="GA215" s="560"/>
      <c r="GB215" s="560" t="str">
        <f t="shared" si="457"/>
        <v>n</v>
      </c>
      <c r="GC215" s="564">
        <f t="shared" si="458"/>
        <v>41691</v>
      </c>
      <c r="GD215" s="695">
        <f t="shared" si="459"/>
        <v>41807</v>
      </c>
      <c r="GE215" s="560">
        <v>6518.9</v>
      </c>
      <c r="GF215" s="695">
        <f t="shared" si="460"/>
        <v>41808</v>
      </c>
      <c r="GG215" s="560">
        <f t="shared" si="479"/>
        <v>3259</v>
      </c>
      <c r="GH215" s="564">
        <f t="shared" si="461"/>
        <v>41934</v>
      </c>
      <c r="GJ215" s="545">
        <f t="shared" si="462"/>
        <v>0</v>
      </c>
      <c r="GK215" s="560" t="str">
        <f t="shared" si="433"/>
        <v/>
      </c>
      <c r="GL215" s="560">
        <f t="shared" si="463"/>
        <v>0</v>
      </c>
      <c r="GM215" s="560" t="str">
        <f t="shared" si="464"/>
        <v/>
      </c>
      <c r="GN215" s="560">
        <f>IF(GK215="P",Lookup!$M$12,IF(GK215="PP",Lookup!$M$13,IF(GK215="PPP",Lookup!$M$14,IF(GK215="T",Lookup!$M$15,IF(GK215="TP",Lookup!$M$16,IF(GK215="TPP",Lookup!$M$17,IF(GK215="TPPP",Lookup!$M$18,0)))))))*GJ215</f>
        <v>0</v>
      </c>
      <c r="GO215" s="560">
        <f t="shared" si="465"/>
        <v>0</v>
      </c>
      <c r="GP215" s="560">
        <f t="shared" si="434"/>
        <v>3947.9535333333338</v>
      </c>
      <c r="GQ215" s="560">
        <f t="shared" si="473"/>
        <v>1286.8166666666668</v>
      </c>
      <c r="GR215" s="560"/>
      <c r="GS215" s="560">
        <f t="shared" si="466"/>
        <v>0</v>
      </c>
      <c r="GT215" s="560" t="str">
        <f t="shared" si="467"/>
        <v/>
      </c>
      <c r="GU215" s="560">
        <f>IF(GK215="P",Lookup!$N$12,IF(GK215="PP",Lookup!$N$13,IF(GK215="PPP",Lookup!$N$14,IF(GK215="T",Lookup!$N$15,IF(GK215="TP",Lookup!$N$16,IF(GK215="TPP",Lookup!$N$17,IF(GK215="TPPP",Lookup!$N$18,0)))))))*GJ215</f>
        <v>0</v>
      </c>
      <c r="GV215" s="560">
        <f t="shared" si="468"/>
        <v>0</v>
      </c>
      <c r="GW215" s="560">
        <f t="shared" si="435"/>
        <v>1809.0302817346924</v>
      </c>
      <c r="GX215" s="560">
        <f t="shared" si="474"/>
        <v>589.64481151717484</v>
      </c>
      <c r="GY215" s="560"/>
      <c r="GZ215" s="560">
        <f t="shared" si="469"/>
        <v>0</v>
      </c>
      <c r="HA215" s="560" t="str">
        <f t="shared" si="470"/>
        <v/>
      </c>
      <c r="HB215" s="560">
        <f>IF(GK215="P",Lookup!$N$12,IF(GK215="PP",Lookup!$N$13,IF(GK215="PPP",Lookup!$N$14,IF(GK215="T",Lookup!$N$15,IF(GK215="TP",Lookup!$N$16,IF(GK215="TPP",Lookup!$N$17,IF(GK215="TPPP",Lookup!$N$18,0)))))))*GJ215</f>
        <v>0</v>
      </c>
      <c r="HC215" s="545">
        <f t="shared" si="436"/>
        <v>0</v>
      </c>
      <c r="HD215" s="560">
        <f t="shared" si="437"/>
        <v>1644.3339426649259</v>
      </c>
      <c r="HE215" s="560">
        <f t="shared" si="475"/>
        <v>535.96282355440871</v>
      </c>
      <c r="HF215" s="560"/>
      <c r="HG215" s="560">
        <f t="shared" si="471"/>
        <v>0</v>
      </c>
      <c r="HH215" s="560" t="str">
        <f t="shared" si="472"/>
        <v/>
      </c>
      <c r="HI215" s="560">
        <f>IF(GK215="P",Lookup!$N$12,IF(GK215="PP",Lookup!$N$13,IF(GK215="PPP",Lookup!$N$14,IF(GK215="T",Lookup!$N$15,IF(GK215="TP",Lookup!$N$16,IF(GK215="TPP",Lookup!$N$17,IF(GK215="TPPP",Lookup!$N$18,0)))))))*GJ215</f>
        <v>0</v>
      </c>
      <c r="HJ215" s="545">
        <f t="shared" si="438"/>
        <v>0</v>
      </c>
      <c r="HK215" s="560">
        <f t="shared" si="439"/>
        <v>1382.2897212547641</v>
      </c>
      <c r="HL215" s="560">
        <f t="shared" si="476"/>
        <v>450.55075660194393</v>
      </c>
    </row>
    <row r="216" spans="1:220">
      <c r="A216" s="580" t="s">
        <v>7</v>
      </c>
      <c r="B216" s="556">
        <v>41844</v>
      </c>
      <c r="C216" s="561">
        <v>0</v>
      </c>
      <c r="D216" s="529">
        <f t="shared" si="477"/>
        <v>200</v>
      </c>
      <c r="E216" s="529">
        <f t="shared" si="478"/>
        <v>400</v>
      </c>
      <c r="F216" s="529">
        <v>250</v>
      </c>
      <c r="G216" s="560">
        <f>DR216+Sheet1!CZ218</f>
        <v>372.28290468999228</v>
      </c>
      <c r="H216" s="1082">
        <f t="shared" si="442"/>
        <v>111.363669591611</v>
      </c>
      <c r="I216" s="559">
        <f>MAX(Sheet1!Z218-AT216+(Sheet1!DA218-E216)*CFStoMGD,0)</f>
        <v>55.705600000000004</v>
      </c>
      <c r="J216" s="562">
        <f>IF(AND(B216&gt;=Calculation!GC216,B216&lt;=Calculation!GD216),IF(Sheet1!DB218&gt;=Calculation!D216,64.64,0),MAX(Sheet1!Z218-AT216+(Sheet1!DB218-D216)*CFStoMGD,0))</f>
        <v>60.230400000000003</v>
      </c>
      <c r="K216" s="1101">
        <v>0</v>
      </c>
      <c r="L216" s="560">
        <f>Sheet1!AA218+Sheet1!AB218-Sheet1!L218+(Sheet1!DA218-F216)*CFStoMGD</f>
        <v>193.1456</v>
      </c>
      <c r="M216" s="560">
        <f t="shared" si="376"/>
        <v>245.45654298344323</v>
      </c>
      <c r="N216" s="910">
        <f>IF(Sheet1!DA218&gt;=F216,MIN(73,MIN(MAX(L216,0),MAX(M216,0))),0)</f>
        <v>73</v>
      </c>
      <c r="O216" s="563">
        <f>Sheet1!AA218+Sheet1!AB218</f>
        <v>77.44</v>
      </c>
      <c r="P216" s="563">
        <f t="shared" si="377"/>
        <v>119.79968</v>
      </c>
      <c r="Q216" s="898">
        <f t="shared" si="444"/>
        <v>57.44</v>
      </c>
      <c r="R216" s="829">
        <f t="shared" si="378"/>
        <v>20</v>
      </c>
      <c r="S216" s="898">
        <f t="shared" si="445"/>
        <v>0</v>
      </c>
      <c r="T216" s="898">
        <f t="shared" si="446"/>
        <v>0</v>
      </c>
      <c r="U216" s="898">
        <f t="shared" si="447"/>
        <v>20</v>
      </c>
      <c r="V216" s="898"/>
      <c r="W216" s="898">
        <f t="shared" si="448"/>
        <v>0</v>
      </c>
      <c r="X216" s="898">
        <f t="shared" si="449"/>
        <v>0</v>
      </c>
      <c r="Y216" s="898" t="str">
        <f t="shared" si="450"/>
        <v>FALSE</v>
      </c>
      <c r="Z216" s="898">
        <f t="shared" si="451"/>
        <v>77.44</v>
      </c>
      <c r="AA216" s="898">
        <f t="shared" si="452"/>
        <v>77.44</v>
      </c>
      <c r="AB216" s="898" t="str">
        <f t="shared" si="453"/>
        <v/>
      </c>
      <c r="AC216" s="563">
        <f>Sheet1!Y218*MGDtoCFS</f>
        <v>74.039419999999993</v>
      </c>
      <c r="AD216" s="563">
        <f>Sheet1!Z218*MGDtoCFS</f>
        <v>57.177120000000002</v>
      </c>
      <c r="AE216" s="563">
        <f>Sheet1!AA218*MGDtoCFS</f>
        <v>65.592799999999997</v>
      </c>
      <c r="AF216" s="563">
        <f>Sheet1!AB218*MGDtoCFS</f>
        <v>54.206879999999998</v>
      </c>
      <c r="AG216" s="563">
        <f>Sheet1!L218*MGDtoCFS</f>
        <v>0</v>
      </c>
      <c r="AH216" s="545">
        <f t="shared" si="379"/>
        <v>20</v>
      </c>
      <c r="AI216" s="560">
        <f t="shared" si="380"/>
        <v>30.939999999999998</v>
      </c>
      <c r="AJ216" s="560">
        <f t="shared" si="381"/>
        <v>0</v>
      </c>
      <c r="AK216" s="560">
        <f t="shared" si="382"/>
        <v>0</v>
      </c>
      <c r="AL216" s="560">
        <f>(VLOOKUP(Sheet1!DC218,hhdcap_wcm,4)-(((VLOOKUP(Sheet1!DC218,hhdcap_wcm,3)-Sheet1!DC218)/(VLOOKUP(Sheet1!DC218,hhdcap_wcm,3)-VLOOKUP(Sheet1!DC218,hhdcap_wcm,1)))*(VLOOKUP(Sheet1!DC218,hhdcap_wcm,4)-VLOOKUP(Sheet1!DC218,hhdcap_wcm,2))))</f>
        <v>44994.0000001113</v>
      </c>
      <c r="AM216" s="560">
        <f t="shared" si="383"/>
        <v>66.000000000254659</v>
      </c>
      <c r="AN216" s="560">
        <f t="shared" si="384"/>
        <v>2842.9750583401947</v>
      </c>
      <c r="AO216" s="560">
        <f t="shared" si="385"/>
        <v>8722.2474789877178</v>
      </c>
      <c r="AP216" s="560">
        <f>Sheet1!BA218+Sheet1!BB218+Sheet1!BN218+CD216</f>
        <v>18.900000000000002</v>
      </c>
      <c r="AQ216" s="560">
        <f>Sheet1!BN218+(DO216*Sheet1!BN218)</f>
        <v>16.866777963272121</v>
      </c>
      <c r="AR216" s="560">
        <f>Sheet1!BA218+CD216</f>
        <v>0</v>
      </c>
      <c r="AS216" s="560">
        <f>Sheet1!BA218+Sheet1!BB218+CD216</f>
        <v>1.6</v>
      </c>
      <c r="AT216" s="698">
        <f>0</f>
        <v>0</v>
      </c>
      <c r="AU216" s="560">
        <f>IF(EB216&lt;K216,0,MAX(Sheet1!AA218+AQ216-15/36*K216-N216,Sheet1!EH218,0))</f>
        <v>0</v>
      </c>
      <c r="AV216" s="560">
        <f>IF(OR(B216&gt;=GD216,B216&lt;GC216),0,15/36*K216-MAX(0,64.6-(137.6-(Sheet1!AA218+Sheet1!AB218))))</f>
        <v>0</v>
      </c>
      <c r="AW216" s="698">
        <f>Sheet1!DB218-110</f>
        <v>126</v>
      </c>
      <c r="AX216" s="698">
        <f>Sheet1!DA218-265</f>
        <v>164</v>
      </c>
      <c r="AY216" s="698">
        <f t="shared" si="386"/>
        <v>15.560000000000002</v>
      </c>
      <c r="AZ216" s="1082"/>
      <c r="BA216" s="698">
        <f t="shared" si="387"/>
        <v>0</v>
      </c>
      <c r="BB216" s="560">
        <f t="shared" si="388"/>
        <v>1286.8166666666668</v>
      </c>
      <c r="BC216" s="560"/>
      <c r="BD216" s="560">
        <f ca="1">IF(B216&gt;Summary!$A$1,#N/A,BB216*MGtoAF)</f>
        <v>3947.9535333333338</v>
      </c>
      <c r="BE216" s="560">
        <f>Sheet1!BG218+Sheet1!BH218+Sheet1!BI218-BM216</f>
        <v>3</v>
      </c>
      <c r="BF216" s="560">
        <f t="shared" si="389"/>
        <v>2.9248747913188651</v>
      </c>
      <c r="BG216" s="560">
        <f>IF(Sheet1!EP218="FM",BM216,0)</f>
        <v>0</v>
      </c>
      <c r="BH216" s="560">
        <f t="shared" si="390"/>
        <v>0</v>
      </c>
      <c r="BI216" s="560">
        <f>IF(Sheet1!EP218="OTHER",BM216,0)</f>
        <v>0</v>
      </c>
      <c r="BJ216" s="560">
        <f t="shared" si="391"/>
        <v>0</v>
      </c>
      <c r="BK216" s="560">
        <f t="shared" si="392"/>
        <v>3</v>
      </c>
      <c r="BL216" s="560">
        <f t="shared" si="393"/>
        <v>2.9248747913188651</v>
      </c>
      <c r="BM216" s="560">
        <f>IF(OR(Sheet1!EP218="FM", Sheet1!EP218="OTHER"),SUM(Sheet1!BG218:'Sheet1'!BI218),0)</f>
        <v>0</v>
      </c>
      <c r="BN216" s="545">
        <f>IF(AND($B216&gt;=$FV216,$B216&lt;=$FW216),MAX(BF216,Sheet1!EI218,0),MAX(BF216-(7/36)*$K216,0))</f>
        <v>3</v>
      </c>
      <c r="BO216" s="560">
        <f t="shared" si="394"/>
        <v>0</v>
      </c>
      <c r="BP216" s="545">
        <f t="shared" si="395"/>
        <v>0</v>
      </c>
      <c r="BQ216" s="545">
        <f>IF(AND($O216&gt;0,Sheet1!EM218=1),(1-($O216-Sheet1!$L218)/$O216)*BL216,0)</f>
        <v>0</v>
      </c>
      <c r="BR216" s="545">
        <f>IF(AND(Sheet1!$L218=0,Sheet1!$L217=0, Calculation!BK216&lt;Sheet1!$EI218-0.1,Sheet1!$EI218=Sheet1!$EI217,Sheet1!$EI218=Sheet1!$EI219),Sheet1!$EI218,BL216-BQ216)</f>
        <v>2.9248747913188651</v>
      </c>
      <c r="BS216" s="560"/>
      <c r="BT216" s="560"/>
      <c r="BU216" s="560">
        <f t="shared" si="396"/>
        <v>586.64481151717484</v>
      </c>
      <c r="BV216" s="560"/>
      <c r="BW216" s="560">
        <f ca="1">IF(B216&gt;Summary!$A$1,#N/A,BU216*MGtoAF)</f>
        <v>1799.8262817346924</v>
      </c>
      <c r="BX216" s="560">
        <f>Sheet1!BC218+Sheet1!BD218+Sheet1!BE218+Sheet1!BF218-CG216-CH216</f>
        <v>3</v>
      </c>
      <c r="BY216" s="560">
        <f t="shared" si="397"/>
        <v>2.9248747913188651</v>
      </c>
      <c r="BZ216" s="560">
        <f>IF(Sheet1!EQ218="FM",CH216,0)</f>
        <v>0</v>
      </c>
      <c r="CA216" s="560">
        <f t="shared" si="398"/>
        <v>0</v>
      </c>
      <c r="CB216" s="560">
        <f>IF(Sheet1!EQ218="OTHER",CH216,0)</f>
        <v>0</v>
      </c>
      <c r="CC216" s="560">
        <f t="shared" si="399"/>
        <v>0</v>
      </c>
      <c r="CD216" s="560">
        <f t="shared" si="400"/>
        <v>0</v>
      </c>
      <c r="CE216" s="560">
        <f t="shared" si="401"/>
        <v>3</v>
      </c>
      <c r="CF216" s="560">
        <f t="shared" si="402"/>
        <v>2.9248747913188651</v>
      </c>
      <c r="CG216" s="560">
        <f>IF(Sheet1!EQ218="CWA",SUM(Sheet1!BC218:'Sheet1'!BF218),0)</f>
        <v>0</v>
      </c>
      <c r="CH216" s="560">
        <f>IF(OR(Sheet1!EQ218="FM", Sheet1!EQ218="OTHER"),SUM(Sheet1!BC218:'Sheet1'!BF218),0)</f>
        <v>0</v>
      </c>
      <c r="CI216" s="545">
        <f>IF(AND($B216&gt;=$FV216,$B216&lt;=$FW216),MAX(CF216,Sheet1!EJ218,0),MAX(CF216-(7/36)*$K216,0))</f>
        <v>6</v>
      </c>
      <c r="CJ216" s="560">
        <f t="shared" si="403"/>
        <v>0</v>
      </c>
      <c r="CK216" s="545">
        <f t="shared" si="404"/>
        <v>0</v>
      </c>
      <c r="CL216" s="545">
        <f>IF(AND($O216&gt;0,Sheet1!EN218=1),(1-($O216-Sheet1!$L218)/$O216)*CF216,0)</f>
        <v>0</v>
      </c>
      <c r="CM216" s="545">
        <f>IF(AND(Sheet1!$L218=0,Sheet1!$L217=0, Calculation!CE216&lt;Sheet1!EJ218-0.1,Sheet1!EJ218=Sheet1!EJ217,Sheet1!EJ218=Sheet1!EJ219),Sheet1!EJ218,CF216-CL216)</f>
        <v>2.9248747913188651</v>
      </c>
      <c r="CN216" s="545"/>
      <c r="CO216" s="560"/>
      <c r="CP216" s="560">
        <f t="shared" si="405"/>
        <v>529.96282355440871</v>
      </c>
      <c r="CQ216" s="560"/>
      <c r="CR216" s="560">
        <f ca="1">IF(B216&gt;Summary!$A$1,#N/A,CP216*MGtoAF)</f>
        <v>1625.925942664926</v>
      </c>
      <c r="CS216" s="560">
        <f>Sheet1!BK218+Sheet1!BL218+Sheet1!BM218-Sheet1!ER218-DA216</f>
        <v>11.04</v>
      </c>
      <c r="CT216" s="560">
        <f t="shared" si="406"/>
        <v>10.763539232053422</v>
      </c>
      <c r="CU216" s="560">
        <f>IF(Sheet1!ER218="FM",DA216,0)</f>
        <v>0</v>
      </c>
      <c r="CV216" s="560">
        <f t="shared" si="407"/>
        <v>0</v>
      </c>
      <c r="CW216" s="560">
        <f>IF(Sheet1!ER218="OTHER",DA216,0)</f>
        <v>0</v>
      </c>
      <c r="CX216" s="560">
        <f t="shared" si="408"/>
        <v>0</v>
      </c>
      <c r="CY216" s="560">
        <f t="shared" si="409"/>
        <v>11.04</v>
      </c>
      <c r="CZ216" s="560">
        <f t="shared" si="410"/>
        <v>10.763539232053422</v>
      </c>
      <c r="DA216" s="560">
        <f>IF(OR(Sheet1!ER218="FM", Sheet1!ER218="OTHER"),SUM(Sheet1!BK218:'Sheet1'!BM218),0)</f>
        <v>0</v>
      </c>
      <c r="DB216" s="545">
        <f>IF(AND($B216&gt;=$FV216,$B216&lt;=$FW216),MAX($CT216,Sheet1!EK218,0),MAX($CT216-(7/36)*$K216,0))</f>
        <v>11</v>
      </c>
      <c r="DC216" s="560">
        <f t="shared" si="411"/>
        <v>0</v>
      </c>
      <c r="DD216" s="545">
        <f t="shared" si="412"/>
        <v>0</v>
      </c>
      <c r="DE216" s="545">
        <f>IF(AND($O216&gt;0,Sheet1!EO218=1),(1-($O216-Sheet1!$L218)/$O216)*CZ216,0)</f>
        <v>0</v>
      </c>
      <c r="DF216" s="545">
        <f>IF(AND(Sheet1!$L218=0,Sheet1!$L217=0, Calculation!CY216&lt;Sheet1!$EK218-0.1,Sheet1!$EK218=Sheet1!$EK217,Sheet1!$EK218=Sheet1!$EK219),Sheet1!$EK218,CZ216-DE216)</f>
        <v>10.763539232053422</v>
      </c>
      <c r="DG216" s="545"/>
      <c r="DH216" s="560">
        <f t="shared" si="413"/>
        <v>17.04</v>
      </c>
      <c r="DI216" s="560">
        <f t="shared" si="414"/>
        <v>439.55075660194393</v>
      </c>
      <c r="DJ216" s="698">
        <f t="shared" si="415"/>
        <v>16.613288814691153</v>
      </c>
      <c r="DK216" s="560">
        <f ca="1">IF(B216&gt;Summary!$A$1,#N/A,DI216*MGtoAF)</f>
        <v>1348.5417212547641</v>
      </c>
      <c r="DL216" s="698">
        <f t="shared" si="416"/>
        <v>17.04</v>
      </c>
      <c r="DM216" s="560">
        <f t="shared" si="417"/>
        <v>35.94</v>
      </c>
      <c r="DN216" s="560">
        <f>Sheet1!AB218-DM216</f>
        <v>-0.89999999999999858</v>
      </c>
      <c r="DO216" s="823">
        <f t="shared" si="418"/>
        <v>-2.5041736227045037E-2</v>
      </c>
      <c r="DP216" s="560">
        <f>(VLOOKUP(Sheet1!DC218,hhdcap_wcm,4)-(((VLOOKUP(Sheet1!DC218,hhdcap_wcm,3)-Sheet1!DC218)/(VLOOKUP(Sheet1!DC218,hhdcap_wcm,3)-VLOOKUP(Sheet1!DC218,hhdcap_wcm,1)))*(VLOOKUP(Sheet1!DC218,hhdcap_wcm,4)-VLOOKUP(Sheet1!DC218,hhdcap_wcm,2))))</f>
        <v>44994.0000001113</v>
      </c>
      <c r="DQ216" s="560">
        <f t="shared" si="419"/>
        <v>66.000000000254659</v>
      </c>
      <c r="DR216" s="560">
        <f t="shared" si="420"/>
        <v>33.282904689992257</v>
      </c>
      <c r="DS216" s="560">
        <f>Sheet1!EA218*AFtoMG</f>
        <v>0</v>
      </c>
      <c r="DT216" s="560">
        <f>Sheet1!EB218*AFtoMG</f>
        <v>0</v>
      </c>
      <c r="DU216" s="560">
        <f>Sheet1!EC218*AFtoMG</f>
        <v>0</v>
      </c>
      <c r="DV216" s="560">
        <f>Sheet1!ED218*AFtoMG</f>
        <v>0</v>
      </c>
      <c r="DW216" s="560">
        <f t="shared" si="421"/>
        <v>0</v>
      </c>
      <c r="DX216" s="560">
        <f t="shared" si="422"/>
        <v>0</v>
      </c>
      <c r="DY216" s="560">
        <f t="shared" si="423"/>
        <v>2842.9750583401947</v>
      </c>
      <c r="DZ216" s="560">
        <f t="shared" si="424"/>
        <v>8722.2474789877178</v>
      </c>
      <c r="EA216" s="560"/>
      <c r="EB216" s="545">
        <f>IF(OR(B216&lt;FV216,B216&gt;FW216),(MIN(BF216+BY216+CT216+MAX(Sheet1!AA218+AQ216-73,0),K216)),0)</f>
        <v>0</v>
      </c>
      <c r="EC216" s="560"/>
      <c r="ED216" s="560">
        <f t="shared" si="425"/>
        <v>16.613288814691153</v>
      </c>
      <c r="EE216" s="560"/>
      <c r="EF216" s="560">
        <f>Sheet1!EH218+Sheet1!EI218+Sheet1!EJ218+Sheet1!EK218</f>
        <v>20</v>
      </c>
      <c r="EG216" s="560"/>
      <c r="EH216" s="545">
        <f t="shared" si="426"/>
        <v>0</v>
      </c>
      <c r="EI216" s="560">
        <f>IF(Sheet1!ET218=1,SUM('Calculations II'!AT216:BA216)+'Calculations II'!BC216+Sheet1!BV218+'Calculations II'!BE216+AP216,SUM('Calculations II'!AT216:BA216)+'Calculations II'!BC216+Sheet1!BV218+'Calculations II'!BE216+AP216)</f>
        <v>67.679103999999995</v>
      </c>
      <c r="EJ216" s="560">
        <f>Sheet1!AA218+Sheet1!AB218+'Calculations II'!BC216</f>
        <v>77.734911999999994</v>
      </c>
      <c r="EK216" s="560"/>
      <c r="EL216" s="560"/>
      <c r="EM216" s="560">
        <f t="shared" si="427"/>
        <v>41844</v>
      </c>
      <c r="EN216" s="560">
        <f t="shared" si="428"/>
        <v>-20</v>
      </c>
      <c r="EO216" s="560">
        <f t="shared" si="429"/>
        <v>-30.939999999999998</v>
      </c>
      <c r="EP216" s="560">
        <v>0</v>
      </c>
      <c r="EQ216" s="560">
        <v>0</v>
      </c>
      <c r="ER216" s="560">
        <v>0</v>
      </c>
      <c r="ES216" s="545">
        <f t="shared" si="454"/>
        <v>-3.1918179104103221</v>
      </c>
      <c r="ET216" s="560">
        <f>-(VLOOKUP(Sheet1!BQ218,Lookup!$O$4:$Q$262,2)-VLOOKUP(Sheet1!BQ217,Lookup!$O$4:$Q$262,2))/1000000</f>
        <v>-1.526576832879655</v>
      </c>
      <c r="EU216" s="560">
        <f>-(VLOOKUP(Sheet1!BR218,Lookup!$O$4:$Q$262,3)-VLOOKUP(Sheet1!BR217,Lookup!$O$4:$Q$262,3))/1000000</f>
        <v>-1.6652410775306672</v>
      </c>
      <c r="EV216" s="560"/>
      <c r="EW216" s="560"/>
      <c r="EX216" s="560"/>
      <c r="EY216" s="560"/>
      <c r="EZ216" s="560"/>
      <c r="FA216" s="560"/>
      <c r="FB216" s="560"/>
      <c r="FC216" s="560"/>
      <c r="FD216" s="594">
        <f t="shared" si="443"/>
        <v>1137.6676056337249</v>
      </c>
      <c r="FE216" s="594" t="e">
        <f t="shared" si="431"/>
        <v>#N/A</v>
      </c>
      <c r="FF216" s="595" t="e">
        <f t="shared" si="432"/>
        <v>#N/A</v>
      </c>
      <c r="FG216" s="596" t="s">
        <v>692</v>
      </c>
      <c r="FH216" s="596" t="s">
        <v>692</v>
      </c>
      <c r="FI216" s="594" t="e">
        <v>#N/A</v>
      </c>
      <c r="FJ216" s="778">
        <v>21487</v>
      </c>
      <c r="FK216" s="560"/>
      <c r="FL216" s="560"/>
      <c r="FM216" s="560"/>
      <c r="FN216" s="560"/>
      <c r="FO216" s="560">
        <f>O216+((Sheet1!CS218)*GPMtoMGD)</f>
        <v>77.734911999999994</v>
      </c>
      <c r="FP216" s="560">
        <f>IF(Sheet1!AA218+AQ216&lt;=Calculation!N216,AQ216,Calculation!N216-Sheet1!AA218)</f>
        <v>16.866777963272121</v>
      </c>
      <c r="FQ216" s="560">
        <f>(Sheet1!BP218+Sheet1!BO218)/694.4</f>
        <v>2.3351094470046085</v>
      </c>
      <c r="FR216" s="560"/>
      <c r="FS216" s="560"/>
      <c r="FT216" s="560"/>
      <c r="FU216" s="560"/>
      <c r="FV216" s="695">
        <f t="shared" si="455"/>
        <v>41827</v>
      </c>
      <c r="FW216" s="695">
        <f t="shared" si="456"/>
        <v>41934</v>
      </c>
      <c r="FX216" s="560"/>
      <c r="FY216" s="560"/>
      <c r="FZ216" s="560"/>
      <c r="GA216" s="560"/>
      <c r="GB216" s="560" t="str">
        <f t="shared" si="457"/>
        <v>n</v>
      </c>
      <c r="GC216" s="564">
        <f t="shared" si="458"/>
        <v>41691</v>
      </c>
      <c r="GD216" s="695">
        <f t="shared" si="459"/>
        <v>41807</v>
      </c>
      <c r="GE216" s="560">
        <v>6518.9</v>
      </c>
      <c r="GF216" s="695">
        <f t="shared" si="460"/>
        <v>41808</v>
      </c>
      <c r="GG216" s="560">
        <f t="shared" si="479"/>
        <v>3259</v>
      </c>
      <c r="GH216" s="564">
        <f t="shared" si="461"/>
        <v>41934</v>
      </c>
      <c r="GJ216" s="545">
        <f t="shared" si="462"/>
        <v>0</v>
      </c>
      <c r="GK216" s="560" t="str">
        <f t="shared" si="433"/>
        <v/>
      </c>
      <c r="GL216" s="560">
        <f t="shared" si="463"/>
        <v>0</v>
      </c>
      <c r="GM216" s="560" t="str">
        <f t="shared" si="464"/>
        <v/>
      </c>
      <c r="GN216" s="560">
        <f>IF(GK216="P",Lookup!$M$12,IF(GK216="PP",Lookup!$M$13,IF(GK216="PPP",Lookup!$M$14,IF(GK216="T",Lookup!$M$15,IF(GK216="TP",Lookup!$M$16,IF(GK216="TPP",Lookup!$M$17,IF(GK216="TPPP",Lookup!$M$18,0)))))))*GJ216</f>
        <v>0</v>
      </c>
      <c r="GO216" s="560">
        <f t="shared" si="465"/>
        <v>0</v>
      </c>
      <c r="GP216" s="560">
        <f t="shared" si="434"/>
        <v>3947.9535333333338</v>
      </c>
      <c r="GQ216" s="560">
        <f t="shared" si="473"/>
        <v>1286.8166666666668</v>
      </c>
      <c r="GR216" s="560"/>
      <c r="GS216" s="560">
        <f t="shared" si="466"/>
        <v>0</v>
      </c>
      <c r="GT216" s="560" t="str">
        <f t="shared" si="467"/>
        <v/>
      </c>
      <c r="GU216" s="560">
        <f>IF(GK216="P",Lookup!$N$12,IF(GK216="PP",Lookup!$N$13,IF(GK216="PPP",Lookup!$N$14,IF(GK216="T",Lookup!$N$15,IF(GK216="TP",Lookup!$N$16,IF(GK216="TPP",Lookup!$N$17,IF(GK216="TPPP",Lookup!$N$18,0)))))))*GJ216</f>
        <v>0</v>
      </c>
      <c r="GV216" s="560">
        <f t="shared" si="468"/>
        <v>0</v>
      </c>
      <c r="GW216" s="560">
        <f t="shared" si="435"/>
        <v>1799.8262817346924</v>
      </c>
      <c r="GX216" s="560">
        <f t="shared" si="474"/>
        <v>586.64481151717484</v>
      </c>
      <c r="GY216" s="560"/>
      <c r="GZ216" s="560">
        <f t="shared" si="469"/>
        <v>0</v>
      </c>
      <c r="HA216" s="560" t="str">
        <f t="shared" si="470"/>
        <v/>
      </c>
      <c r="HB216" s="560">
        <f>IF(GK216="P",Lookup!$N$12,IF(GK216="PP",Lookup!$N$13,IF(GK216="PPP",Lookup!$N$14,IF(GK216="T",Lookup!$N$15,IF(GK216="TP",Lookup!$N$16,IF(GK216="TPP",Lookup!$N$17,IF(GK216="TPPP",Lookup!$N$18,0)))))))*GJ216</f>
        <v>0</v>
      </c>
      <c r="HC216" s="545">
        <f t="shared" si="436"/>
        <v>0</v>
      </c>
      <c r="HD216" s="560">
        <f t="shared" si="437"/>
        <v>1625.925942664926</v>
      </c>
      <c r="HE216" s="560">
        <f t="shared" si="475"/>
        <v>529.96282355440871</v>
      </c>
      <c r="HF216" s="560"/>
      <c r="HG216" s="560">
        <f t="shared" si="471"/>
        <v>0</v>
      </c>
      <c r="HH216" s="560" t="str">
        <f t="shared" si="472"/>
        <v/>
      </c>
      <c r="HI216" s="560">
        <f>IF(GK216="P",Lookup!$N$12,IF(GK216="PP",Lookup!$N$13,IF(GK216="PPP",Lookup!$N$14,IF(GK216="T",Lookup!$N$15,IF(GK216="TP",Lookup!$N$16,IF(GK216="TPP",Lookup!$N$17,IF(GK216="TPPP",Lookup!$N$18,0)))))))*GJ216</f>
        <v>0</v>
      </c>
      <c r="HJ216" s="545">
        <f t="shared" si="438"/>
        <v>0</v>
      </c>
      <c r="HK216" s="560">
        <f t="shared" si="439"/>
        <v>1348.5417212547641</v>
      </c>
      <c r="HL216" s="560">
        <f t="shared" si="476"/>
        <v>439.55075660194393</v>
      </c>
    </row>
    <row r="217" spans="1:220">
      <c r="A217" s="580" t="s">
        <v>8</v>
      </c>
      <c r="B217" s="556">
        <v>41845</v>
      </c>
      <c r="C217" s="561">
        <v>0</v>
      </c>
      <c r="D217" s="529">
        <f t="shared" si="477"/>
        <v>200</v>
      </c>
      <c r="E217" s="529">
        <f t="shared" si="478"/>
        <v>400</v>
      </c>
      <c r="F217" s="529">
        <v>250</v>
      </c>
      <c r="G217" s="560">
        <f>DR217+Sheet1!CZ219</f>
        <v>300.22037317132617</v>
      </c>
      <c r="H217" s="1082">
        <f t="shared" si="442"/>
        <v>64.782449217945242</v>
      </c>
      <c r="I217" s="559">
        <f>MAX(Sheet1!Z219-AT217+(Sheet1!DA219-E217)*CFStoMGD,0)</f>
        <v>44.735999999999997</v>
      </c>
      <c r="J217" s="562">
        <f>IF(AND(B217&gt;=Calculation!GC217,B217&lt;=Calculation!GD217),IF(Sheet1!DB219&gt;=Calculation!D217,64.64,0),MAX(Sheet1!Z219-AT217+(Sheet1!DB219-D217)*CFStoMGD,0))</f>
        <v>31.808</v>
      </c>
      <c r="K217" s="1101">
        <v>0</v>
      </c>
      <c r="L217" s="560">
        <f>Sheet1!AA219+Sheet1!AB219-Sheet1!L219+(Sheet1!DA219-F217)*CFStoMGD</f>
        <v>183.07599999999999</v>
      </c>
      <c r="M217" s="560">
        <f t="shared" si="376"/>
        <v>197.94369820230415</v>
      </c>
      <c r="N217" s="910">
        <f>IF(Sheet1!DA219&gt;=F217,MIN(73,MIN(MAX(L217,0),MAX(M217,0))),0)</f>
        <v>73</v>
      </c>
      <c r="O217" s="563">
        <f>Sheet1!AA219+Sheet1!AB219</f>
        <v>76.42</v>
      </c>
      <c r="P217" s="563">
        <f t="shared" si="377"/>
        <v>118.22174</v>
      </c>
      <c r="Q217" s="898">
        <f t="shared" si="444"/>
        <v>57.42</v>
      </c>
      <c r="R217" s="829">
        <f t="shared" si="378"/>
        <v>19</v>
      </c>
      <c r="S217" s="898">
        <f t="shared" si="445"/>
        <v>0</v>
      </c>
      <c r="T217" s="898">
        <f t="shared" si="446"/>
        <v>0</v>
      </c>
      <c r="U217" s="898">
        <f t="shared" si="447"/>
        <v>19</v>
      </c>
      <c r="V217" s="898"/>
      <c r="W217" s="898">
        <f t="shared" si="448"/>
        <v>0</v>
      </c>
      <c r="X217" s="898">
        <f t="shared" si="449"/>
        <v>0</v>
      </c>
      <c r="Y217" s="898" t="str">
        <f t="shared" si="450"/>
        <v>FALSE</v>
      </c>
      <c r="Z217" s="898">
        <f t="shared" si="451"/>
        <v>76.42</v>
      </c>
      <c r="AA217" s="898">
        <f t="shared" si="452"/>
        <v>76.42</v>
      </c>
      <c r="AB217" s="898" t="str">
        <f t="shared" si="453"/>
        <v/>
      </c>
      <c r="AC217" s="563">
        <f>Sheet1!Y219*MGDtoCFS</f>
        <v>65.592799999999997</v>
      </c>
      <c r="AD217" s="563">
        <f>Sheet1!Z219*MGDtoCFS</f>
        <v>54.206879999999998</v>
      </c>
      <c r="AE217" s="563">
        <f>Sheet1!AA219*MGDtoCFS</f>
        <v>62.529739999999997</v>
      </c>
      <c r="AF217" s="563">
        <f>Sheet1!AB219*MGDtoCFS</f>
        <v>55.692</v>
      </c>
      <c r="AG217" s="563">
        <f>Sheet1!L219*MGDtoCFS</f>
        <v>0</v>
      </c>
      <c r="AH217" s="545">
        <f t="shared" si="379"/>
        <v>19</v>
      </c>
      <c r="AI217" s="560">
        <f t="shared" si="380"/>
        <v>29.392999999999997</v>
      </c>
      <c r="AJ217" s="560">
        <f t="shared" si="381"/>
        <v>0</v>
      </c>
      <c r="AK217" s="560">
        <f t="shared" si="382"/>
        <v>0</v>
      </c>
      <c r="AL217" s="560">
        <f>(VLOOKUP(Sheet1!DC219,hhdcap_wcm,4)-(((VLOOKUP(Sheet1!DC219,hhdcap_wcm,3)-Sheet1!DC219)/(VLOOKUP(Sheet1!DC219,hhdcap_wcm,3)-VLOOKUP(Sheet1!DC219,hhdcap_wcm,1)))*(VLOOKUP(Sheet1!DC219,hhdcap_wcm,4)-VLOOKUP(Sheet1!DC219,hhdcap_wcm,2))))</f>
        <v>44917.10000011004</v>
      </c>
      <c r="AM217" s="560">
        <f t="shared" si="383"/>
        <v>-76.900000001260196</v>
      </c>
      <c r="AN217" s="560">
        <f t="shared" si="384"/>
        <v>2823.9750583401947</v>
      </c>
      <c r="AO217" s="560">
        <f t="shared" si="385"/>
        <v>8663.9554789877166</v>
      </c>
      <c r="AP217" s="560">
        <f>Sheet1!BA219+Sheet1!BB219+Sheet1!BN219+CD217</f>
        <v>18.8</v>
      </c>
      <c r="AQ217" s="560">
        <f>Sheet1!BN219+(DO217*Sheet1!BN219)</f>
        <v>16.794141578519117</v>
      </c>
      <c r="AR217" s="560">
        <f>Sheet1!BA219+CD217</f>
        <v>0</v>
      </c>
      <c r="AS217" s="560">
        <f>Sheet1!BA219+Sheet1!BB219+CD217</f>
        <v>1.6</v>
      </c>
      <c r="AT217" s="698">
        <f>0</f>
        <v>0</v>
      </c>
      <c r="AU217" s="560">
        <f>IF(EB217&lt;K217,0,MAX(Sheet1!AA219+AQ217-15/36*K217-N217,Sheet1!EH219,0))</f>
        <v>0</v>
      </c>
      <c r="AV217" s="560">
        <f>IF(OR(B217&gt;=GD217,B217&lt;GC217),0,15/36*K217-MAX(0,64.6-(137.6-(Sheet1!AA219+Sheet1!AB219))))</f>
        <v>0</v>
      </c>
      <c r="AW217" s="698">
        <f>Sheet1!DB219-110</f>
        <v>85</v>
      </c>
      <c r="AX217" s="698">
        <f>Sheet1!DA219-265</f>
        <v>150</v>
      </c>
      <c r="AY217" s="698">
        <f t="shared" si="386"/>
        <v>15.579999999999998</v>
      </c>
      <c r="AZ217" s="1082"/>
      <c r="BA217" s="698">
        <f t="shared" si="387"/>
        <v>0</v>
      </c>
      <c r="BB217" s="560">
        <f t="shared" si="388"/>
        <v>1286.8166666666668</v>
      </c>
      <c r="BC217" s="560"/>
      <c r="BD217" s="560">
        <f ca="1">IF(B217&gt;Summary!$A$1,#N/A,BB217*MGtoAF)</f>
        <v>3947.9535333333338</v>
      </c>
      <c r="BE217" s="560">
        <f>Sheet1!BG219+Sheet1!BH219+Sheet1!BI219-BM217</f>
        <v>3</v>
      </c>
      <c r="BF217" s="560">
        <f t="shared" si="389"/>
        <v>2.9292107404393812</v>
      </c>
      <c r="BG217" s="560">
        <f>IF(Sheet1!EP219="FM",BM217,0)</f>
        <v>0</v>
      </c>
      <c r="BH217" s="560">
        <f t="shared" si="390"/>
        <v>0</v>
      </c>
      <c r="BI217" s="560">
        <f>IF(Sheet1!EP219="OTHER",BM217,0)</f>
        <v>0</v>
      </c>
      <c r="BJ217" s="560">
        <f t="shared" si="391"/>
        <v>0</v>
      </c>
      <c r="BK217" s="560">
        <f t="shared" si="392"/>
        <v>3</v>
      </c>
      <c r="BL217" s="560">
        <f t="shared" si="393"/>
        <v>2.9292107404393812</v>
      </c>
      <c r="BM217" s="560">
        <f>IF(OR(Sheet1!EP219="FM", Sheet1!EP219="OTHER"),SUM(Sheet1!BG219:'Sheet1'!BI219),0)</f>
        <v>0</v>
      </c>
      <c r="BN217" s="545">
        <f>IF(AND($B217&gt;=$FV217,$B217&lt;=$FW217),MAX(BF217,Sheet1!EI219,0),MAX(BF217-(7/36)*$K217,0))</f>
        <v>3</v>
      </c>
      <c r="BO217" s="560">
        <f t="shared" si="394"/>
        <v>0</v>
      </c>
      <c r="BP217" s="545">
        <f t="shared" si="395"/>
        <v>0</v>
      </c>
      <c r="BQ217" s="545">
        <f>IF(AND($O217&gt;0,Sheet1!EM219=1),(1-($O217-Sheet1!$L219)/$O217)*BL217,0)</f>
        <v>0</v>
      </c>
      <c r="BR217" s="545">
        <f>IF(AND(Sheet1!$L219=0,Sheet1!$L218=0, Calculation!BK217&lt;Sheet1!$EI219-0.1,Sheet1!$EI219=Sheet1!$EI218,Sheet1!$EI219=Sheet1!$EI220),Sheet1!$EI219,BL217-BQ217)</f>
        <v>2.9292107404393812</v>
      </c>
      <c r="BS217" s="560"/>
      <c r="BT217" s="560"/>
      <c r="BU217" s="560">
        <f t="shared" si="396"/>
        <v>583.64481151717484</v>
      </c>
      <c r="BV217" s="560"/>
      <c r="BW217" s="560">
        <f ca="1">IF(B217&gt;Summary!$A$1,#N/A,BU217*MGtoAF)</f>
        <v>1790.6222817346925</v>
      </c>
      <c r="BX217" s="560">
        <f>Sheet1!BC219+Sheet1!BD219+Sheet1!BE219+Sheet1!BF219-CG217-CH217</f>
        <v>3.9699999999999998</v>
      </c>
      <c r="BY217" s="560">
        <f t="shared" si="397"/>
        <v>3.8763222131814477</v>
      </c>
      <c r="BZ217" s="560">
        <f>IF(Sheet1!EQ219="FM",CH217,0)</f>
        <v>0</v>
      </c>
      <c r="CA217" s="560">
        <f t="shared" si="398"/>
        <v>0</v>
      </c>
      <c r="CB217" s="560">
        <f>IF(Sheet1!EQ219="OTHER",CH217,0)</f>
        <v>0</v>
      </c>
      <c r="CC217" s="560">
        <f t="shared" si="399"/>
        <v>0</v>
      </c>
      <c r="CD217" s="560">
        <f t="shared" si="400"/>
        <v>0</v>
      </c>
      <c r="CE217" s="560">
        <f t="shared" si="401"/>
        <v>3.9699999999999998</v>
      </c>
      <c r="CF217" s="560">
        <f t="shared" si="402"/>
        <v>3.8763222131814477</v>
      </c>
      <c r="CG217" s="560">
        <f>IF(Sheet1!EQ219="CWA",SUM(Sheet1!BC219:'Sheet1'!BF219),0)</f>
        <v>0</v>
      </c>
      <c r="CH217" s="560">
        <f>IF(OR(Sheet1!EQ219="FM", Sheet1!EQ219="OTHER"),SUM(Sheet1!BC219:'Sheet1'!BF219),0)</f>
        <v>0</v>
      </c>
      <c r="CI217" s="545">
        <f>IF(AND($B217&gt;=$FV217,$B217&lt;=$FW217),MAX(CF217,Sheet1!EJ219,0),MAX(CF217-(7/36)*$K217,0))</f>
        <v>5</v>
      </c>
      <c r="CJ217" s="560">
        <f t="shared" si="403"/>
        <v>0</v>
      </c>
      <c r="CK217" s="545">
        <f t="shared" si="404"/>
        <v>0</v>
      </c>
      <c r="CL217" s="545">
        <f>IF(AND($O217&gt;0,Sheet1!EN219=1),(1-($O217-Sheet1!$L219)/$O217)*CF217,0)</f>
        <v>0</v>
      </c>
      <c r="CM217" s="545">
        <f>IF(AND(Sheet1!$L219=0,Sheet1!$L218=0, Calculation!CE217&lt;Sheet1!EJ219-0.1,Sheet1!EJ219=Sheet1!EJ218,Sheet1!EJ219=Sheet1!EJ220),Sheet1!EJ219,CF217-CL217)</f>
        <v>3.8763222131814477</v>
      </c>
      <c r="CN217" s="545"/>
      <c r="CO217" s="560"/>
      <c r="CP217" s="560">
        <f t="shared" si="405"/>
        <v>524.96282355440871</v>
      </c>
      <c r="CQ217" s="560"/>
      <c r="CR217" s="560">
        <f ca="1">IF(B217&gt;Summary!$A$1,#N/A,CP217*MGtoAF)</f>
        <v>1610.5859426649261</v>
      </c>
      <c r="CS217" s="560">
        <f>Sheet1!BK219+Sheet1!BL219+Sheet1!BM219-Sheet1!ER219-DA217</f>
        <v>11.1</v>
      </c>
      <c r="CT217" s="560">
        <f t="shared" si="406"/>
        <v>10.83807973962571</v>
      </c>
      <c r="CU217" s="560">
        <f>IF(Sheet1!ER219="FM",DA217,0)</f>
        <v>0</v>
      </c>
      <c r="CV217" s="560">
        <f t="shared" si="407"/>
        <v>0</v>
      </c>
      <c r="CW217" s="560">
        <f>IF(Sheet1!ER219="OTHER",DA217,0)</f>
        <v>0</v>
      </c>
      <c r="CX217" s="560">
        <f t="shared" si="408"/>
        <v>0</v>
      </c>
      <c r="CY217" s="560">
        <f t="shared" si="409"/>
        <v>11.1</v>
      </c>
      <c r="CZ217" s="560">
        <f t="shared" si="410"/>
        <v>10.83807973962571</v>
      </c>
      <c r="DA217" s="560">
        <f>IF(OR(Sheet1!ER219="FM", Sheet1!ER219="OTHER"),SUM(Sheet1!BK219:'Sheet1'!BM219),0)</f>
        <v>0</v>
      </c>
      <c r="DB217" s="545">
        <f>IF(AND($B217&gt;=$FV217,$B217&lt;=$FW217),MAX($CT217,Sheet1!EK219,0),MAX($CT217-(7/36)*$K217,0))</f>
        <v>11</v>
      </c>
      <c r="DC217" s="560">
        <f t="shared" si="411"/>
        <v>0</v>
      </c>
      <c r="DD217" s="545">
        <f t="shared" si="412"/>
        <v>0</v>
      </c>
      <c r="DE217" s="545">
        <f>IF(AND($O217&gt;0,Sheet1!EO219=1),(1-($O217-Sheet1!$L219)/$O217)*CZ217,0)</f>
        <v>0</v>
      </c>
      <c r="DF217" s="545">
        <f>IF(AND(Sheet1!$L219=0,Sheet1!$L218=0, Calculation!CY217&lt;Sheet1!$EK219-0.1,Sheet1!$EK219=Sheet1!$EK218,Sheet1!$EK219=Sheet1!$EK220),Sheet1!$EK219,CZ217-DE217)</f>
        <v>10.83807973962571</v>
      </c>
      <c r="DG217" s="545"/>
      <c r="DH217" s="560">
        <f t="shared" si="413"/>
        <v>18.07</v>
      </c>
      <c r="DI217" s="560">
        <f t="shared" si="414"/>
        <v>428.55075660194393</v>
      </c>
      <c r="DJ217" s="698">
        <f t="shared" si="415"/>
        <v>17.643612693246538</v>
      </c>
      <c r="DK217" s="560">
        <f ca="1">IF(B217&gt;Summary!$A$1,#N/A,DI217*MGtoAF)</f>
        <v>1314.793721254764</v>
      </c>
      <c r="DL217" s="698">
        <f t="shared" si="416"/>
        <v>18.07</v>
      </c>
      <c r="DM217" s="560">
        <f t="shared" si="417"/>
        <v>36.870000000000005</v>
      </c>
      <c r="DN217" s="560">
        <f>Sheet1!AB219-DM217</f>
        <v>-0.87000000000000455</v>
      </c>
      <c r="DO217" s="823">
        <f t="shared" si="418"/>
        <v>-2.3596419853539583E-2</v>
      </c>
      <c r="DP217" s="560">
        <f>(VLOOKUP(Sheet1!DC219,hhdcap_wcm,4)-(((VLOOKUP(Sheet1!DC219,hhdcap_wcm,3)-Sheet1!DC219)/(VLOOKUP(Sheet1!DC219,hhdcap_wcm,3)-VLOOKUP(Sheet1!DC219,hhdcap_wcm,1)))*(VLOOKUP(Sheet1!DC219,hhdcap_wcm,4)-VLOOKUP(Sheet1!DC219,hhdcap_wcm,2))))</f>
        <v>44917.10000011004</v>
      </c>
      <c r="DQ217" s="560">
        <f t="shared" si="419"/>
        <v>-76.900000001260196</v>
      </c>
      <c r="DR217" s="560">
        <f t="shared" si="420"/>
        <v>-38.77962682867382</v>
      </c>
      <c r="DS217" s="560">
        <f>Sheet1!EA219*AFtoMG</f>
        <v>0</v>
      </c>
      <c r="DT217" s="560">
        <f>Sheet1!EB219*AFtoMG</f>
        <v>0</v>
      </c>
      <c r="DU217" s="560">
        <f>Sheet1!EC219*AFtoMG</f>
        <v>0</v>
      </c>
      <c r="DV217" s="560">
        <f>Sheet1!ED219*AFtoMG</f>
        <v>0</v>
      </c>
      <c r="DW217" s="560">
        <f t="shared" si="421"/>
        <v>0</v>
      </c>
      <c r="DX217" s="560">
        <f t="shared" si="422"/>
        <v>0</v>
      </c>
      <c r="DY217" s="560">
        <f t="shared" si="423"/>
        <v>2823.9750583401947</v>
      </c>
      <c r="DZ217" s="560">
        <f t="shared" si="424"/>
        <v>8663.9554789877166</v>
      </c>
      <c r="EA217" s="560"/>
      <c r="EB217" s="545">
        <f>IF(OR(B217&lt;FV217,B217&gt;FW217),(MIN(BF217+BY217+CT217+MAX(Sheet1!AA219+AQ217-73,0),K217)),0)</f>
        <v>0</v>
      </c>
      <c r="EC217" s="560"/>
      <c r="ED217" s="560">
        <f t="shared" si="425"/>
        <v>17.643612693246538</v>
      </c>
      <c r="EE217" s="560"/>
      <c r="EF217" s="560">
        <f>Sheet1!EH219+Sheet1!EI219+Sheet1!EJ219+Sheet1!EK219</f>
        <v>19</v>
      </c>
      <c r="EG217" s="560"/>
      <c r="EH217" s="545">
        <f t="shared" si="426"/>
        <v>0</v>
      </c>
      <c r="EI217" s="560">
        <f>IF(Sheet1!ET219=1,SUM('Calculations II'!AT217:BA217)+'Calculations II'!BC217+Sheet1!BV219+'Calculations II'!BE217+AP217,SUM('Calculations II'!AT217:BA217)+'Calculations II'!BC217+Sheet1!BV219+'Calculations II'!BE217+AP217)</f>
        <v>70.874384000000006</v>
      </c>
      <c r="EJ217" s="560">
        <f>Sheet1!AA219+Sheet1!AB219+'Calculations II'!BC217</f>
        <v>76.42</v>
      </c>
      <c r="EK217" s="560"/>
      <c r="EL217" s="560"/>
      <c r="EM217" s="560">
        <f t="shared" si="427"/>
        <v>41845</v>
      </c>
      <c r="EN217" s="560">
        <f t="shared" si="428"/>
        <v>-19</v>
      </c>
      <c r="EO217" s="560">
        <f t="shared" si="429"/>
        <v>-29.392999999999997</v>
      </c>
      <c r="EP217" s="560">
        <v>0</v>
      </c>
      <c r="EQ217" s="560">
        <v>0</v>
      </c>
      <c r="ER217" s="560">
        <v>0</v>
      </c>
      <c r="ES217" s="545">
        <f t="shared" si="454"/>
        <v>3.6080223391330462</v>
      </c>
      <c r="ET217" s="560">
        <f>-(VLOOKUP(Sheet1!BQ219,Lookup!$O$4:$Q$262,2)-VLOOKUP(Sheet1!BQ218,Lookup!$O$4:$Q$262,2))/1000000</f>
        <v>1.8040528660313486</v>
      </c>
      <c r="EU217" s="560">
        <f>-(VLOOKUP(Sheet1!BR219,Lookup!$O$4:$Q$262,3)-VLOOKUP(Sheet1!BR218,Lookup!$O$4:$Q$262,3))/1000000</f>
        <v>1.8039694731016978</v>
      </c>
      <c r="EV217" s="560"/>
      <c r="EW217" s="560"/>
      <c r="EX217" s="560"/>
      <c r="EY217" s="560"/>
      <c r="EZ217" s="560"/>
      <c r="FA217" s="560"/>
      <c r="FB217" s="560"/>
      <c r="FC217" s="560"/>
      <c r="FD217" s="594">
        <f t="shared" si="443"/>
        <v>1137.5485714284937</v>
      </c>
      <c r="FE217" s="594" t="e">
        <f t="shared" si="431"/>
        <v>#N/A</v>
      </c>
      <c r="FF217" s="595" t="e">
        <f t="shared" si="432"/>
        <v>#N/A</v>
      </c>
      <c r="FG217" s="596" t="s">
        <v>692</v>
      </c>
      <c r="FH217" s="596" t="s">
        <v>692</v>
      </c>
      <c r="FI217" s="594" t="e">
        <v>#N/A</v>
      </c>
      <c r="FJ217" s="778">
        <v>21403</v>
      </c>
      <c r="FK217" s="560"/>
      <c r="FL217" s="560"/>
      <c r="FM217" s="560"/>
      <c r="FN217" s="560"/>
      <c r="FO217" s="560">
        <f>O217+((Sheet1!CS219)*GPMtoMGD)</f>
        <v>76.42</v>
      </c>
      <c r="FP217" s="560">
        <f>IF(Sheet1!AA219+AQ217&lt;=Calculation!N217,AQ217,Calculation!N217-Sheet1!AA219)</f>
        <v>16.794141578519117</v>
      </c>
      <c r="FQ217" s="560">
        <f>(Sheet1!BP219+Sheet1!BO219)/694.4</f>
        <v>3.0133928571428572</v>
      </c>
      <c r="FR217" s="560"/>
      <c r="FS217" s="560"/>
      <c r="FT217" s="560"/>
      <c r="FU217" s="560"/>
      <c r="FV217" s="695">
        <f t="shared" si="455"/>
        <v>41827</v>
      </c>
      <c r="FW217" s="695">
        <f t="shared" si="456"/>
        <v>41934</v>
      </c>
      <c r="FX217" s="560"/>
      <c r="FY217" s="560"/>
      <c r="FZ217" s="560"/>
      <c r="GA217" s="560"/>
      <c r="GB217" s="560" t="str">
        <f t="shared" si="457"/>
        <v>n</v>
      </c>
      <c r="GC217" s="564">
        <f t="shared" si="458"/>
        <v>41691</v>
      </c>
      <c r="GD217" s="695">
        <f t="shared" si="459"/>
        <v>41807</v>
      </c>
      <c r="GE217" s="560">
        <v>6518.9</v>
      </c>
      <c r="GF217" s="695">
        <f t="shared" si="460"/>
        <v>41808</v>
      </c>
      <c r="GG217" s="560">
        <f t="shared" si="479"/>
        <v>3259</v>
      </c>
      <c r="GH217" s="564">
        <f t="shared" si="461"/>
        <v>41934</v>
      </c>
      <c r="GJ217" s="545">
        <f t="shared" si="462"/>
        <v>0</v>
      </c>
      <c r="GK217" s="560" t="str">
        <f t="shared" si="433"/>
        <v/>
      </c>
      <c r="GL217" s="560">
        <f t="shared" si="463"/>
        <v>0</v>
      </c>
      <c r="GM217" s="560" t="str">
        <f t="shared" si="464"/>
        <v/>
      </c>
      <c r="GN217" s="560">
        <f>IF(GK217="P",Lookup!$M$12,IF(GK217="PP",Lookup!$M$13,IF(GK217="PPP",Lookup!$M$14,IF(GK217="T",Lookup!$M$15,IF(GK217="TP",Lookup!$M$16,IF(GK217="TPP",Lookup!$M$17,IF(GK217="TPPP",Lookup!$M$18,0)))))))*GJ217</f>
        <v>0</v>
      </c>
      <c r="GO217" s="560">
        <f t="shared" si="465"/>
        <v>0</v>
      </c>
      <c r="GP217" s="560">
        <f t="shared" si="434"/>
        <v>3947.9535333333338</v>
      </c>
      <c r="GQ217" s="560">
        <f t="shared" si="473"/>
        <v>1286.8166666666668</v>
      </c>
      <c r="GR217" s="560"/>
      <c r="GS217" s="560">
        <f t="shared" si="466"/>
        <v>0</v>
      </c>
      <c r="GT217" s="560" t="str">
        <f t="shared" si="467"/>
        <v/>
      </c>
      <c r="GU217" s="560">
        <f>IF(GK217="P",Lookup!$N$12,IF(GK217="PP",Lookup!$N$13,IF(GK217="PPP",Lookup!$N$14,IF(GK217="T",Lookup!$N$15,IF(GK217="TP",Lookup!$N$16,IF(GK217="TPP",Lookup!$N$17,IF(GK217="TPPP",Lookup!$N$18,0)))))))*GJ217</f>
        <v>0</v>
      </c>
      <c r="GV217" s="560">
        <f t="shared" si="468"/>
        <v>0</v>
      </c>
      <c r="GW217" s="560">
        <f t="shared" si="435"/>
        <v>1790.6222817346925</v>
      </c>
      <c r="GX217" s="560">
        <f t="shared" si="474"/>
        <v>583.64481151717484</v>
      </c>
      <c r="GY217" s="560"/>
      <c r="GZ217" s="560">
        <f t="shared" si="469"/>
        <v>0</v>
      </c>
      <c r="HA217" s="560" t="str">
        <f t="shared" si="470"/>
        <v/>
      </c>
      <c r="HB217" s="560">
        <f>IF(GK217="P",Lookup!$N$12,IF(GK217="PP",Lookup!$N$13,IF(GK217="PPP",Lookup!$N$14,IF(GK217="T",Lookup!$N$15,IF(GK217="TP",Lookup!$N$16,IF(GK217="TPP",Lookup!$N$17,IF(GK217="TPPP",Lookup!$N$18,0)))))))*GJ217</f>
        <v>0</v>
      </c>
      <c r="HC217" s="545">
        <f t="shared" si="436"/>
        <v>0</v>
      </c>
      <c r="HD217" s="560">
        <f t="shared" si="437"/>
        <v>1610.5859426649261</v>
      </c>
      <c r="HE217" s="560">
        <f t="shared" si="475"/>
        <v>524.96282355440871</v>
      </c>
      <c r="HF217" s="560"/>
      <c r="HG217" s="560">
        <f t="shared" si="471"/>
        <v>0</v>
      </c>
      <c r="HH217" s="560" t="str">
        <f t="shared" si="472"/>
        <v/>
      </c>
      <c r="HI217" s="560">
        <f>IF(GK217="P",Lookup!$N$12,IF(GK217="PP",Lookup!$N$13,IF(GK217="PPP",Lookup!$N$14,IF(GK217="T",Lookup!$N$15,IF(GK217="TP",Lookup!$N$16,IF(GK217="TPP",Lookup!$N$17,IF(GK217="TPPP",Lookup!$N$18,0)))))))*GJ217</f>
        <v>0</v>
      </c>
      <c r="HJ217" s="545">
        <f t="shared" si="438"/>
        <v>0</v>
      </c>
      <c r="HK217" s="560">
        <f t="shared" si="439"/>
        <v>1314.793721254764</v>
      </c>
      <c r="HL217" s="560">
        <f t="shared" si="476"/>
        <v>428.55075660194393</v>
      </c>
    </row>
    <row r="218" spans="1:220">
      <c r="A218" s="580" t="s">
        <v>9</v>
      </c>
      <c r="B218" s="556">
        <v>41846</v>
      </c>
      <c r="C218" s="561">
        <v>0</v>
      </c>
      <c r="D218" s="529">
        <f t="shared" si="477"/>
        <v>200</v>
      </c>
      <c r="E218" s="529">
        <f t="shared" si="478"/>
        <v>400</v>
      </c>
      <c r="F218" s="529">
        <v>250</v>
      </c>
      <c r="G218" s="560">
        <f>DR218+Sheet1!CZ220</f>
        <v>284.08320726121394</v>
      </c>
      <c r="H218" s="1082">
        <f t="shared" si="442"/>
        <v>54.351385173648687</v>
      </c>
      <c r="I218" s="559">
        <f>MAX(Sheet1!Z220-AT218+(Sheet1!DA220-E218)*CFStoMGD,0)</f>
        <v>18.5472</v>
      </c>
      <c r="J218" s="562">
        <f>IF(AND(B218&gt;=Calculation!GC218,B218&lt;=Calculation!GD218),IF(Sheet1!DB220&gt;=Calculation!D218,64.64,0),MAX(Sheet1!Z220-AT218+(Sheet1!DB220-D218)*CFStoMGD,0))</f>
        <v>31.475200000000001</v>
      </c>
      <c r="K218" s="1101">
        <v>0</v>
      </c>
      <c r="L218" s="560">
        <f>Sheet1!AA220+Sheet1!AB220-Sheet1!L220+(Sheet1!DA220-F218)*CFStoMGD</f>
        <v>164.40719999999999</v>
      </c>
      <c r="M218" s="560">
        <f t="shared" si="376"/>
        <v>187.30401287712166</v>
      </c>
      <c r="N218" s="910">
        <f>IF(Sheet1!DA220&gt;=F218,MIN(73,MIN(MAX(L218,0),MAX(M218,0))),0)</f>
        <v>73</v>
      </c>
      <c r="O218" s="563">
        <f>Sheet1!AA220+Sheet1!AB220</f>
        <v>84.9</v>
      </c>
      <c r="P218" s="563">
        <f t="shared" si="377"/>
        <v>131.34030000000001</v>
      </c>
      <c r="Q218" s="898">
        <f t="shared" si="444"/>
        <v>65.400000000000006</v>
      </c>
      <c r="R218" s="829">
        <f t="shared" si="378"/>
        <v>19.5</v>
      </c>
      <c r="S218" s="898">
        <f t="shared" si="445"/>
        <v>0</v>
      </c>
      <c r="T218" s="898">
        <f t="shared" si="446"/>
        <v>0</v>
      </c>
      <c r="U218" s="898">
        <f t="shared" si="447"/>
        <v>19.5</v>
      </c>
      <c r="V218" s="898"/>
      <c r="W218" s="898">
        <f t="shared" si="448"/>
        <v>0</v>
      </c>
      <c r="X218" s="898">
        <f t="shared" si="449"/>
        <v>0</v>
      </c>
      <c r="Y218" s="898" t="str">
        <f t="shared" si="450"/>
        <v>FALSE</v>
      </c>
      <c r="Z218" s="898">
        <f t="shared" si="451"/>
        <v>84.9</v>
      </c>
      <c r="AA218" s="898">
        <f t="shared" si="452"/>
        <v>84.9</v>
      </c>
      <c r="AB218" s="898" t="str">
        <f t="shared" si="453"/>
        <v/>
      </c>
      <c r="AC218" s="563">
        <f>Sheet1!Y220*MGDtoCFS</f>
        <v>62.529739999999997</v>
      </c>
      <c r="AD218" s="563">
        <f>Sheet1!Z220*MGDtoCFS</f>
        <v>55.692</v>
      </c>
      <c r="AE218" s="563">
        <f>Sheet1!AA220*MGDtoCFS</f>
        <v>66.598349999999996</v>
      </c>
      <c r="AF218" s="563">
        <f>Sheet1!AB220*MGDtoCFS</f>
        <v>64.741950000000003</v>
      </c>
      <c r="AG218" s="563">
        <f>Sheet1!L220*MGDtoCFS</f>
        <v>0</v>
      </c>
      <c r="AH218" s="545">
        <f t="shared" si="379"/>
        <v>19.5</v>
      </c>
      <c r="AI218" s="560">
        <f t="shared" si="380"/>
        <v>30.166499999999999</v>
      </c>
      <c r="AJ218" s="560">
        <f t="shared" si="381"/>
        <v>0</v>
      </c>
      <c r="AK218" s="560">
        <f t="shared" si="382"/>
        <v>0</v>
      </c>
      <c r="AL218" s="560">
        <f>(VLOOKUP(Sheet1!DC220,hhdcap_wcm,4)-(((VLOOKUP(Sheet1!DC220,hhdcap_wcm,3)-Sheet1!DC220)/(VLOOKUP(Sheet1!DC220,hhdcap_wcm,3)-VLOOKUP(Sheet1!DC220,hhdcap_wcm,1)))*(VLOOKUP(Sheet1!DC220,hhdcap_wcm,4)-VLOOKUP(Sheet1!DC220,hhdcap_wcm,2))))</f>
        <v>44808.200000109027</v>
      </c>
      <c r="AM218" s="560">
        <f t="shared" si="383"/>
        <v>-108.90000000101281</v>
      </c>
      <c r="AN218" s="560">
        <f t="shared" si="384"/>
        <v>2804.4750583401947</v>
      </c>
      <c r="AO218" s="560">
        <f t="shared" si="385"/>
        <v>8604.1294789877174</v>
      </c>
      <c r="AP218" s="560">
        <f>Sheet1!BA220+Sheet1!BB220+Sheet1!BN220+CD218</f>
        <v>23.6</v>
      </c>
      <c r="AQ218" s="560">
        <f>Sheet1!BN220+(DO218*Sheet1!BN220)</f>
        <v>21.496614522530937</v>
      </c>
      <c r="AR218" s="560">
        <f>Sheet1!BA220+CD218</f>
        <v>0</v>
      </c>
      <c r="AS218" s="560">
        <f>Sheet1!BA220+Sheet1!BB220+CD218</f>
        <v>1.6</v>
      </c>
      <c r="AT218" s="698">
        <f>0</f>
        <v>0</v>
      </c>
      <c r="AU218" s="560">
        <f>IF(EB218&lt;K218,0,MAX(Sheet1!AA220+AQ218-15/36*K218-N218,Sheet1!EH220,0))</f>
        <v>0</v>
      </c>
      <c r="AV218" s="560">
        <f>IF(OR(B218&gt;=GD218,B218&lt;GC218),0,15/36*K218-MAX(0,64.6-(137.6-(Sheet1!AA220+Sheet1!AB220))))</f>
        <v>0</v>
      </c>
      <c r="AW218" s="698">
        <f>Sheet1!DB220-110</f>
        <v>83</v>
      </c>
      <c r="AX218" s="698">
        <f>Sheet1!DA220-265</f>
        <v>108</v>
      </c>
      <c r="AY218" s="698">
        <f t="shared" si="386"/>
        <v>7.5999999999999943</v>
      </c>
      <c r="AZ218" s="1082"/>
      <c r="BA218" s="698">
        <f t="shared" si="387"/>
        <v>0</v>
      </c>
      <c r="BB218" s="560">
        <f t="shared" si="388"/>
        <v>1286.8166666666668</v>
      </c>
      <c r="BC218" s="560"/>
      <c r="BD218" s="560">
        <f ca="1">IF(B218&gt;Summary!$A$1,#N/A,BB218*MGtoAF)</f>
        <v>3947.9535333333338</v>
      </c>
      <c r="BE218" s="560">
        <f>Sheet1!BG220+Sheet1!BH220+Sheet1!BI220-BM218</f>
        <v>3</v>
      </c>
      <c r="BF218" s="560">
        <f t="shared" si="389"/>
        <v>2.9313565257996732</v>
      </c>
      <c r="BG218" s="560">
        <f>IF(Sheet1!EP220="FM",BM218,0)</f>
        <v>0</v>
      </c>
      <c r="BH218" s="560">
        <f t="shared" si="390"/>
        <v>0</v>
      </c>
      <c r="BI218" s="560">
        <f>IF(Sheet1!EP220="OTHER",BM218,0)</f>
        <v>0</v>
      </c>
      <c r="BJ218" s="560">
        <f t="shared" si="391"/>
        <v>0</v>
      </c>
      <c r="BK218" s="560">
        <f t="shared" si="392"/>
        <v>3</v>
      </c>
      <c r="BL218" s="560">
        <f t="shared" si="393"/>
        <v>2.9313565257996732</v>
      </c>
      <c r="BM218" s="560">
        <f>IF(OR(Sheet1!EP220="FM", Sheet1!EP220="OTHER"),SUM(Sheet1!BG220:'Sheet1'!BI220),0)</f>
        <v>0</v>
      </c>
      <c r="BN218" s="545">
        <f>IF(AND($B218&gt;=$FV218,$B218&lt;=$FW218),MAX(BF218,Sheet1!EI220,0),MAX(BF218-(7/36)*$K218,0))</f>
        <v>3</v>
      </c>
      <c r="BO218" s="560">
        <f t="shared" si="394"/>
        <v>0</v>
      </c>
      <c r="BP218" s="545">
        <f t="shared" si="395"/>
        <v>0</v>
      </c>
      <c r="BQ218" s="545">
        <f>IF(AND($O218&gt;0,Sheet1!EM220=1),(1-($O218-Sheet1!$L220)/$O218)*BL218,0)</f>
        <v>0</v>
      </c>
      <c r="BR218" s="545">
        <f>IF(AND(Sheet1!$L220=0,Sheet1!$L219=0, Calculation!BK218&lt;Sheet1!$EI220-0.1,Sheet1!$EI220=Sheet1!$EI219,Sheet1!$EI220=Sheet1!$EI221),Sheet1!$EI220,BL218-BQ218)</f>
        <v>2.9313565257996732</v>
      </c>
      <c r="BS218" s="560"/>
      <c r="BT218" s="560"/>
      <c r="BU218" s="560">
        <f t="shared" si="396"/>
        <v>580.64481151717484</v>
      </c>
      <c r="BV218" s="560"/>
      <c r="BW218" s="560">
        <f ca="1">IF(B218&gt;Summary!$A$1,#N/A,BU218*MGtoAF)</f>
        <v>1781.4182817346925</v>
      </c>
      <c r="BX218" s="560">
        <f>Sheet1!BC220+Sheet1!BD220+Sheet1!BE220+Sheet1!BF220-CG218-CH218</f>
        <v>5</v>
      </c>
      <c r="BY218" s="560">
        <f t="shared" si="397"/>
        <v>4.885594209666122</v>
      </c>
      <c r="BZ218" s="560">
        <f>IF(Sheet1!EQ220="FM",CH218,0)</f>
        <v>0</v>
      </c>
      <c r="CA218" s="560">
        <f t="shared" si="398"/>
        <v>0</v>
      </c>
      <c r="CB218" s="560">
        <f>IF(Sheet1!EQ220="OTHER",CH218,0)</f>
        <v>0</v>
      </c>
      <c r="CC218" s="560">
        <f t="shared" si="399"/>
        <v>0</v>
      </c>
      <c r="CD218" s="560">
        <f t="shared" si="400"/>
        <v>0</v>
      </c>
      <c r="CE218" s="560">
        <f t="shared" si="401"/>
        <v>5</v>
      </c>
      <c r="CF218" s="560">
        <f t="shared" si="402"/>
        <v>4.885594209666122</v>
      </c>
      <c r="CG218" s="560">
        <f>IF(Sheet1!EQ220="CWA",SUM(Sheet1!BC220:'Sheet1'!BF220),0)</f>
        <v>0</v>
      </c>
      <c r="CH218" s="560">
        <f>IF(OR(Sheet1!EQ220="FM", Sheet1!EQ220="OTHER"),SUM(Sheet1!BC220:'Sheet1'!BF220),0)</f>
        <v>0</v>
      </c>
      <c r="CI218" s="545">
        <f>IF(AND($B218&gt;=$FV218,$B218&lt;=$FW218),MAX(CF218,Sheet1!EJ220,0),MAX(CF218-(7/36)*$K218,0))</f>
        <v>5.5</v>
      </c>
      <c r="CJ218" s="560">
        <f t="shared" si="403"/>
        <v>0</v>
      </c>
      <c r="CK218" s="545">
        <f t="shared" si="404"/>
        <v>0</v>
      </c>
      <c r="CL218" s="545">
        <f>IF(AND($O218&gt;0,Sheet1!EN220=1),(1-($O218-Sheet1!$L220)/$O218)*CF218,0)</f>
        <v>0</v>
      </c>
      <c r="CM218" s="545">
        <f>IF(AND(Sheet1!$L220=0,Sheet1!$L219=0, Calculation!CE218&lt;Sheet1!EJ220-0.1,Sheet1!EJ220=Sheet1!EJ219,Sheet1!EJ220=Sheet1!EJ221),Sheet1!EJ220,CF218-CL218)</f>
        <v>4.885594209666122</v>
      </c>
      <c r="CN218" s="545"/>
      <c r="CO218" s="560"/>
      <c r="CP218" s="560">
        <f t="shared" si="405"/>
        <v>519.46282355440871</v>
      </c>
      <c r="CQ218" s="560"/>
      <c r="CR218" s="560">
        <f ca="1">IF(B218&gt;Summary!$A$1,#N/A,CP218*MGtoAF)</f>
        <v>1593.711942664926</v>
      </c>
      <c r="CS218" s="560">
        <f>Sheet1!BK220+Sheet1!BL220+Sheet1!BM220-Sheet1!ER220-DA218</f>
        <v>11.23</v>
      </c>
      <c r="CT218" s="560">
        <f t="shared" si="406"/>
        <v>10.97304459491011</v>
      </c>
      <c r="CU218" s="560">
        <f>IF(Sheet1!ER220="FM",DA218,0)</f>
        <v>0</v>
      </c>
      <c r="CV218" s="560">
        <f t="shared" si="407"/>
        <v>0</v>
      </c>
      <c r="CW218" s="560">
        <f>IF(Sheet1!ER220="OTHER",DA218,0)</f>
        <v>0</v>
      </c>
      <c r="CX218" s="560">
        <f t="shared" si="408"/>
        <v>0</v>
      </c>
      <c r="CY218" s="560">
        <f t="shared" si="409"/>
        <v>11.23</v>
      </c>
      <c r="CZ218" s="560">
        <f t="shared" si="410"/>
        <v>10.97304459491011</v>
      </c>
      <c r="DA218" s="560">
        <f>IF(OR(Sheet1!ER220="FM", Sheet1!ER220="OTHER"),SUM(Sheet1!BK220:'Sheet1'!BM220),0)</f>
        <v>0</v>
      </c>
      <c r="DB218" s="545">
        <f>IF(AND($B218&gt;=$FV218,$B218&lt;=$FW218),MAX($CT218,Sheet1!EK220,0),MAX($CT218-(7/36)*$K218,0))</f>
        <v>11</v>
      </c>
      <c r="DC218" s="560">
        <f t="shared" si="411"/>
        <v>0</v>
      </c>
      <c r="DD218" s="545">
        <f t="shared" si="412"/>
        <v>0</v>
      </c>
      <c r="DE218" s="545">
        <f>IF(AND($O218&gt;0,Sheet1!EO220=1),(1-($O218-Sheet1!$L220)/$O218)*CZ218,0)</f>
        <v>0</v>
      </c>
      <c r="DF218" s="545">
        <f>IF(AND(Sheet1!$L220=0,Sheet1!$L219=0, Calculation!CY218&lt;Sheet1!$EK220-0.1,Sheet1!$EK220=Sheet1!$EK219,Sheet1!$EK220=Sheet1!$EK221),Sheet1!$EK220,CZ218-DE218)</f>
        <v>10.97304459491011</v>
      </c>
      <c r="DG218" s="545"/>
      <c r="DH218" s="560">
        <f t="shared" si="413"/>
        <v>19.23</v>
      </c>
      <c r="DI218" s="560">
        <f t="shared" si="414"/>
        <v>417.55075660194393</v>
      </c>
      <c r="DJ218" s="698">
        <f t="shared" si="415"/>
        <v>18.789995330375906</v>
      </c>
      <c r="DK218" s="560">
        <f ca="1">IF(B218&gt;Summary!$A$1,#N/A,DI218*MGtoAF)</f>
        <v>1281.045721254764</v>
      </c>
      <c r="DL218" s="698">
        <f t="shared" si="416"/>
        <v>19.23</v>
      </c>
      <c r="DM218" s="560">
        <f t="shared" si="417"/>
        <v>42.83</v>
      </c>
      <c r="DN218" s="560">
        <f>Sheet1!AB220-DM218</f>
        <v>-0.97999999999999687</v>
      </c>
      <c r="DO218" s="823">
        <f t="shared" si="418"/>
        <v>-2.2881158066775553E-2</v>
      </c>
      <c r="DP218" s="560">
        <f>(VLOOKUP(Sheet1!DC220,hhdcap_wcm,4)-(((VLOOKUP(Sheet1!DC220,hhdcap_wcm,3)-Sheet1!DC220)/(VLOOKUP(Sheet1!DC220,hhdcap_wcm,3)-VLOOKUP(Sheet1!DC220,hhdcap_wcm,1)))*(VLOOKUP(Sheet1!DC220,hhdcap_wcm,4)-VLOOKUP(Sheet1!DC220,hhdcap_wcm,2))))</f>
        <v>44808.200000109027</v>
      </c>
      <c r="DQ218" s="560">
        <f t="shared" si="419"/>
        <v>-108.90000000101281</v>
      </c>
      <c r="DR218" s="560">
        <f t="shared" si="420"/>
        <v>-54.916792738786079</v>
      </c>
      <c r="DS218" s="560">
        <f>Sheet1!EA220*AFtoMG</f>
        <v>0</v>
      </c>
      <c r="DT218" s="560">
        <f>Sheet1!EB220*AFtoMG</f>
        <v>0</v>
      </c>
      <c r="DU218" s="560">
        <f>Sheet1!EC220*AFtoMG</f>
        <v>0</v>
      </c>
      <c r="DV218" s="560">
        <f>Sheet1!ED220*AFtoMG</f>
        <v>0</v>
      </c>
      <c r="DW218" s="560">
        <f t="shared" si="421"/>
        <v>0</v>
      </c>
      <c r="DX218" s="560">
        <f t="shared" si="422"/>
        <v>0</v>
      </c>
      <c r="DY218" s="560">
        <f t="shared" si="423"/>
        <v>2804.4750583401947</v>
      </c>
      <c r="DZ218" s="560">
        <f t="shared" si="424"/>
        <v>8604.1294789877174</v>
      </c>
      <c r="EA218" s="560"/>
      <c r="EB218" s="545">
        <f>IF(OR(B218&lt;FV218,B218&gt;FW218),(MIN(BF218+BY218+CT218+MAX(Sheet1!AA220+AQ218-73,0),K218)),0)</f>
        <v>0</v>
      </c>
      <c r="EC218" s="560"/>
      <c r="ED218" s="560">
        <f t="shared" si="425"/>
        <v>18.789995330375906</v>
      </c>
      <c r="EE218" s="560"/>
      <c r="EF218" s="560">
        <f>Sheet1!EH220+Sheet1!EI220+Sheet1!EJ220+Sheet1!EK220</f>
        <v>19.5</v>
      </c>
      <c r="EG218" s="560"/>
      <c r="EH218" s="545">
        <f t="shared" si="426"/>
        <v>0</v>
      </c>
      <c r="EI218" s="560">
        <f>IF(Sheet1!ET220=1,SUM('Calculations II'!AT218:BA218)+'Calculations II'!BC218+Sheet1!BV220+'Calculations II'!BE218+AP218,SUM('Calculations II'!AT218:BA218)+'Calculations II'!BC218+Sheet1!BV220+'Calculations II'!BE218+AP218)</f>
        <v>79.119280000000003</v>
      </c>
      <c r="EJ218" s="560">
        <f>Sheet1!AA220+Sheet1!AB220+'Calculations II'!BC218</f>
        <v>84.9</v>
      </c>
      <c r="EK218" s="560"/>
      <c r="EL218" s="560"/>
      <c r="EM218" s="560">
        <f t="shared" si="427"/>
        <v>41846</v>
      </c>
      <c r="EN218" s="560">
        <f t="shared" si="428"/>
        <v>-19.5</v>
      </c>
      <c r="EO218" s="560">
        <f t="shared" si="429"/>
        <v>-30.166499999999999</v>
      </c>
      <c r="EP218" s="560">
        <v>0</v>
      </c>
      <c r="EQ218" s="560">
        <v>0</v>
      </c>
      <c r="ER218" s="560">
        <v>0</v>
      </c>
      <c r="ES218" s="545">
        <f t="shared" si="454"/>
        <v>3.3285579804071821</v>
      </c>
      <c r="ET218" s="560">
        <f>-(VLOOKUP(Sheet1!BQ220,Lookup!$O$4:$Q$262,2)-VLOOKUP(Sheet1!BQ219,Lookup!$O$4:$Q$262,2))/1000000</f>
        <v>1.6643174681630395</v>
      </c>
      <c r="EU218" s="560">
        <f>-(VLOOKUP(Sheet1!BR220,Lookup!$O$4:$Q$262,3)-VLOOKUP(Sheet1!BR219,Lookup!$O$4:$Q$262,3))/1000000</f>
        <v>1.6642405122441426</v>
      </c>
      <c r="EV218" s="560"/>
      <c r="EW218" s="560"/>
      <c r="EX218" s="560"/>
      <c r="EY218" s="560"/>
      <c r="EZ218" s="560"/>
      <c r="FA218" s="560"/>
      <c r="FB218" s="560"/>
      <c r="FC218" s="560"/>
      <c r="FD218" s="594">
        <f t="shared" si="443"/>
        <v>1137.429577464711</v>
      </c>
      <c r="FE218" s="594" t="e">
        <f t="shared" si="431"/>
        <v>#N/A</v>
      </c>
      <c r="FF218" s="595" t="e">
        <f t="shared" si="432"/>
        <v>#N/A</v>
      </c>
      <c r="FG218" s="596" t="s">
        <v>692</v>
      </c>
      <c r="FH218" s="596" t="s">
        <v>692</v>
      </c>
      <c r="FI218" s="594" t="e">
        <v>#N/A</v>
      </c>
      <c r="FJ218" s="778">
        <v>21319</v>
      </c>
      <c r="FK218" s="560"/>
      <c r="FL218" s="560"/>
      <c r="FM218" s="560"/>
      <c r="FN218" s="560"/>
      <c r="FO218" s="560">
        <f>O218+((Sheet1!CS220)*GPMtoMGD)</f>
        <v>84.9</v>
      </c>
      <c r="FP218" s="560">
        <f>IF(Sheet1!AA220+AQ218&lt;=Calculation!N218,AQ218,Calculation!N218-Sheet1!AA220)</f>
        <v>21.496614522530937</v>
      </c>
      <c r="FQ218" s="560">
        <f>(Sheet1!BP220+Sheet1!BO220)/694.4</f>
        <v>3.2432315668202767</v>
      </c>
      <c r="FR218" s="560"/>
      <c r="FS218" s="560"/>
      <c r="FT218" s="560"/>
      <c r="FU218" s="560"/>
      <c r="FV218" s="695">
        <f t="shared" si="455"/>
        <v>41827</v>
      </c>
      <c r="FW218" s="695">
        <f t="shared" si="456"/>
        <v>41934</v>
      </c>
      <c r="FX218" s="560"/>
      <c r="FY218" s="560"/>
      <c r="FZ218" s="560"/>
      <c r="GA218" s="560"/>
      <c r="GB218" s="560" t="str">
        <f t="shared" si="457"/>
        <v>n</v>
      </c>
      <c r="GC218" s="564">
        <f t="shared" si="458"/>
        <v>41691</v>
      </c>
      <c r="GD218" s="695">
        <f t="shared" si="459"/>
        <v>41807</v>
      </c>
      <c r="GE218" s="560">
        <v>6518.9</v>
      </c>
      <c r="GF218" s="695">
        <f t="shared" si="460"/>
        <v>41808</v>
      </c>
      <c r="GG218" s="560">
        <f t="shared" si="479"/>
        <v>3259</v>
      </c>
      <c r="GH218" s="564">
        <f t="shared" si="461"/>
        <v>41934</v>
      </c>
      <c r="GJ218" s="545">
        <f t="shared" si="462"/>
        <v>0</v>
      </c>
      <c r="GK218" s="560" t="str">
        <f t="shared" si="433"/>
        <v/>
      </c>
      <c r="GL218" s="560">
        <f t="shared" si="463"/>
        <v>0</v>
      </c>
      <c r="GM218" s="560" t="str">
        <f t="shared" si="464"/>
        <v/>
      </c>
      <c r="GN218" s="560">
        <f>IF(GK218="P",Lookup!$M$12,IF(GK218="PP",Lookup!$M$13,IF(GK218="PPP",Lookup!$M$14,IF(GK218="T",Lookup!$M$15,IF(GK218="TP",Lookup!$M$16,IF(GK218="TPP",Lookup!$M$17,IF(GK218="TPPP",Lookup!$M$18,0)))))))*GJ218</f>
        <v>0</v>
      </c>
      <c r="GO218" s="560">
        <f t="shared" si="465"/>
        <v>0</v>
      </c>
      <c r="GP218" s="560">
        <f t="shared" si="434"/>
        <v>3947.9535333333338</v>
      </c>
      <c r="GQ218" s="560">
        <f t="shared" si="473"/>
        <v>1286.8166666666668</v>
      </c>
      <c r="GR218" s="560"/>
      <c r="GS218" s="560">
        <f t="shared" si="466"/>
        <v>0</v>
      </c>
      <c r="GT218" s="560" t="str">
        <f t="shared" si="467"/>
        <v/>
      </c>
      <c r="GU218" s="560">
        <f>IF(GK218="P",Lookup!$N$12,IF(GK218="PP",Lookup!$N$13,IF(GK218="PPP",Lookup!$N$14,IF(GK218="T",Lookup!$N$15,IF(GK218="TP",Lookup!$N$16,IF(GK218="TPP",Lookup!$N$17,IF(GK218="TPPP",Lookup!$N$18,0)))))))*GJ218</f>
        <v>0</v>
      </c>
      <c r="GV218" s="560">
        <f t="shared" si="468"/>
        <v>0</v>
      </c>
      <c r="GW218" s="560">
        <f t="shared" si="435"/>
        <v>1781.4182817346925</v>
      </c>
      <c r="GX218" s="560">
        <f t="shared" si="474"/>
        <v>580.64481151717484</v>
      </c>
      <c r="GY218" s="560"/>
      <c r="GZ218" s="560">
        <f t="shared" si="469"/>
        <v>0</v>
      </c>
      <c r="HA218" s="560" t="str">
        <f t="shared" si="470"/>
        <v/>
      </c>
      <c r="HB218" s="560">
        <f>IF(GK218="P",Lookup!$N$12,IF(GK218="PP",Lookup!$N$13,IF(GK218="PPP",Lookup!$N$14,IF(GK218="T",Lookup!$N$15,IF(GK218="TP",Lookup!$N$16,IF(GK218="TPP",Lookup!$N$17,IF(GK218="TPPP",Lookup!$N$18,0)))))))*GJ218</f>
        <v>0</v>
      </c>
      <c r="HC218" s="545">
        <f t="shared" si="436"/>
        <v>0</v>
      </c>
      <c r="HD218" s="560">
        <f t="shared" si="437"/>
        <v>1593.711942664926</v>
      </c>
      <c r="HE218" s="560">
        <f t="shared" si="475"/>
        <v>519.46282355440871</v>
      </c>
      <c r="HF218" s="560"/>
      <c r="HG218" s="560">
        <f t="shared" si="471"/>
        <v>0</v>
      </c>
      <c r="HH218" s="560" t="str">
        <f t="shared" si="472"/>
        <v/>
      </c>
      <c r="HI218" s="560">
        <f>IF(GK218="P",Lookup!$N$12,IF(GK218="PP",Lookup!$N$13,IF(GK218="PPP",Lookup!$N$14,IF(GK218="T",Lookup!$N$15,IF(GK218="TP",Lookup!$N$16,IF(GK218="TPP",Lookup!$N$17,IF(GK218="TPPP",Lookup!$N$18,0)))))))*GJ218</f>
        <v>0</v>
      </c>
      <c r="HJ218" s="545">
        <f t="shared" si="438"/>
        <v>0</v>
      </c>
      <c r="HK218" s="560">
        <f t="shared" si="439"/>
        <v>1281.045721254764</v>
      </c>
      <c r="HL218" s="560">
        <f t="shared" si="476"/>
        <v>417.55075660194393</v>
      </c>
    </row>
    <row r="219" spans="1:220">
      <c r="A219" s="580" t="s">
        <v>3</v>
      </c>
      <c r="B219" s="556">
        <v>41847</v>
      </c>
      <c r="C219" s="561">
        <v>0</v>
      </c>
      <c r="D219" s="529">
        <f t="shared" si="477"/>
        <v>200</v>
      </c>
      <c r="E219" s="529">
        <f t="shared" si="478"/>
        <v>400</v>
      </c>
      <c r="F219" s="529">
        <v>250</v>
      </c>
      <c r="G219" s="560">
        <f>DR219+Sheet1!CZ221</f>
        <v>279.0907715582473</v>
      </c>
      <c r="H219" s="1082">
        <f t="shared" si="442"/>
        <v>51.124274735251049</v>
      </c>
      <c r="I219" s="559">
        <f>MAX(Sheet1!Z221-AT219+(Sheet1!DA221-E219)*CFStoMGD,0)</f>
        <v>15.994000000000003</v>
      </c>
      <c r="J219" s="562">
        <f>IF(AND(B219&gt;=Calculation!GC219,B219&lt;=Calculation!GD219),IF(Sheet1!DB221&gt;=Calculation!D219,64.64,0),MAX(Sheet1!Z221-AT219+(Sheet1!DB221-D219)*CFStoMGD,0))</f>
        <v>38.618000000000002</v>
      </c>
      <c r="K219" s="1101">
        <v>0</v>
      </c>
      <c r="L219" s="560">
        <f>Sheet1!AA221+Sheet1!AB221-Sheet1!L221+(Sheet1!DA221-F219)*CFStoMGD</f>
        <v>156.07400000000001</v>
      </c>
      <c r="M219" s="560">
        <f t="shared" si="376"/>
        <v>184.01236022995607</v>
      </c>
      <c r="N219" s="910">
        <f>IF(Sheet1!DA221&gt;=F219,MIN(73,MIN(MAX(L219,0),MAX(M219,0))),0)</f>
        <v>73</v>
      </c>
      <c r="O219" s="563">
        <f>Sheet1!AA221+Sheet1!AB221</f>
        <v>84.97</v>
      </c>
      <c r="P219" s="563">
        <f t="shared" si="377"/>
        <v>131.44859000000002</v>
      </c>
      <c r="Q219" s="898">
        <f t="shared" si="444"/>
        <v>65.97</v>
      </c>
      <c r="R219" s="829">
        <f t="shared" si="378"/>
        <v>19</v>
      </c>
      <c r="S219" s="898">
        <f t="shared" si="445"/>
        <v>0</v>
      </c>
      <c r="T219" s="898">
        <f t="shared" si="446"/>
        <v>0</v>
      </c>
      <c r="U219" s="898">
        <f t="shared" si="447"/>
        <v>19</v>
      </c>
      <c r="V219" s="898"/>
      <c r="W219" s="898">
        <f t="shared" si="448"/>
        <v>0</v>
      </c>
      <c r="X219" s="898">
        <f t="shared" si="449"/>
        <v>0</v>
      </c>
      <c r="Y219" s="898" t="str">
        <f t="shared" si="450"/>
        <v>FALSE</v>
      </c>
      <c r="Z219" s="898">
        <f t="shared" si="451"/>
        <v>84.97</v>
      </c>
      <c r="AA219" s="898">
        <f t="shared" si="452"/>
        <v>84.97</v>
      </c>
      <c r="AB219" s="898" t="str">
        <f t="shared" si="453"/>
        <v/>
      </c>
      <c r="AC219" s="563">
        <f>Sheet1!Y221*MGDtoCFS</f>
        <v>66.598349999999996</v>
      </c>
      <c r="AD219" s="563">
        <f>Sheet1!Z221*MGDtoCFS</f>
        <v>64.741950000000003</v>
      </c>
      <c r="AE219" s="563">
        <f>Sheet1!AA221*MGDtoCFS</f>
        <v>66.551940000000002</v>
      </c>
      <c r="AF219" s="563">
        <f>Sheet1!AB221*MGDtoCFS</f>
        <v>64.896650000000008</v>
      </c>
      <c r="AG219" s="563">
        <f>Sheet1!L221*MGDtoCFS</f>
        <v>0</v>
      </c>
      <c r="AH219" s="545">
        <f t="shared" si="379"/>
        <v>19</v>
      </c>
      <c r="AI219" s="560">
        <f t="shared" si="380"/>
        <v>29.392999999999997</v>
      </c>
      <c r="AJ219" s="560">
        <f t="shared" si="381"/>
        <v>0</v>
      </c>
      <c r="AK219" s="560">
        <f t="shared" si="382"/>
        <v>0</v>
      </c>
      <c r="AL219" s="560">
        <f>(VLOOKUP(Sheet1!DC221,hhdcap_wcm,4)-(((VLOOKUP(Sheet1!DC221,hhdcap_wcm,3)-Sheet1!DC221)/(VLOOKUP(Sheet1!DC221,hhdcap_wcm,3)-VLOOKUP(Sheet1!DC221,hhdcap_wcm,1)))*(VLOOKUP(Sheet1!DC221,hhdcap_wcm,4)-VLOOKUP(Sheet1!DC221,hhdcap_wcm,2))))</f>
        <v>44689.400000109032</v>
      </c>
      <c r="AM219" s="560">
        <f t="shared" si="383"/>
        <v>-118.79999999999563</v>
      </c>
      <c r="AN219" s="560">
        <f t="shared" si="384"/>
        <v>2785.4750583401947</v>
      </c>
      <c r="AO219" s="560">
        <f t="shared" si="385"/>
        <v>8545.837478987718</v>
      </c>
      <c r="AP219" s="560">
        <f>Sheet1!BA221+Sheet1!BB221+Sheet1!BN221+CD219</f>
        <v>23.6</v>
      </c>
      <c r="AQ219" s="560">
        <f>Sheet1!BN221+(DO219*Sheet1!BN221)</f>
        <v>21.568123393316196</v>
      </c>
      <c r="AR219" s="560">
        <f>Sheet1!BA221+CD219</f>
        <v>0</v>
      </c>
      <c r="AS219" s="560">
        <f>Sheet1!BA221+Sheet1!BB221+CD219</f>
        <v>1.6</v>
      </c>
      <c r="AT219" s="698">
        <f>0</f>
        <v>0</v>
      </c>
      <c r="AU219" s="560">
        <f>IF(EB219&lt;K219,0,MAX(Sheet1!AA221+AQ219-15/36*K219-N219,Sheet1!EH221,0))</f>
        <v>0</v>
      </c>
      <c r="AV219" s="560">
        <f>IF(OR(B219&gt;=GD219,B219&lt;GC219),0,15/36*K219-MAX(0,64.6-(137.6-(Sheet1!AA221+Sheet1!AB221))))</f>
        <v>0</v>
      </c>
      <c r="AW219" s="698">
        <f>Sheet1!DB221-110</f>
        <v>85</v>
      </c>
      <c r="AX219" s="698">
        <f>Sheet1!DA221-265</f>
        <v>95</v>
      </c>
      <c r="AY219" s="698">
        <f t="shared" si="386"/>
        <v>7.0300000000000011</v>
      </c>
      <c r="AZ219" s="1082"/>
      <c r="BA219" s="698">
        <f t="shared" si="387"/>
        <v>0</v>
      </c>
      <c r="BB219" s="560">
        <f t="shared" si="388"/>
        <v>1286.8166666666668</v>
      </c>
      <c r="BC219" s="560"/>
      <c r="BD219" s="560">
        <f ca="1">IF(B219&gt;Summary!$A$1,#N/A,BB219*MGtoAF)</f>
        <v>3947.9535333333338</v>
      </c>
      <c r="BE219" s="560">
        <f>Sheet1!BG221+Sheet1!BH221+Sheet1!BI221-BM219</f>
        <v>3</v>
      </c>
      <c r="BF219" s="560">
        <f t="shared" si="389"/>
        <v>2.9411077354522086</v>
      </c>
      <c r="BG219" s="560">
        <f>IF(Sheet1!EP221="FM",BM219,0)</f>
        <v>0</v>
      </c>
      <c r="BH219" s="560">
        <f t="shared" si="390"/>
        <v>0</v>
      </c>
      <c r="BI219" s="560">
        <f>IF(Sheet1!EP221="OTHER",BM219,0)</f>
        <v>0</v>
      </c>
      <c r="BJ219" s="560">
        <f t="shared" si="391"/>
        <v>0</v>
      </c>
      <c r="BK219" s="560">
        <f t="shared" si="392"/>
        <v>3</v>
      </c>
      <c r="BL219" s="560">
        <f t="shared" si="393"/>
        <v>2.9411077354522086</v>
      </c>
      <c r="BM219" s="560">
        <f>IF(OR(Sheet1!EP221="FM", Sheet1!EP221="OTHER"),SUM(Sheet1!BG221:'Sheet1'!BI221),0)</f>
        <v>0</v>
      </c>
      <c r="BN219" s="545">
        <f>IF(AND($B219&gt;=$FV219,$B219&lt;=$FW219),MAX(BF219,Sheet1!EI221,0),MAX(BF219-(7/36)*$K219,0))</f>
        <v>3</v>
      </c>
      <c r="BO219" s="560">
        <f t="shared" si="394"/>
        <v>0</v>
      </c>
      <c r="BP219" s="545">
        <f t="shared" si="395"/>
        <v>0</v>
      </c>
      <c r="BQ219" s="545">
        <f>IF(AND($O219&gt;0,Sheet1!EM221=1),(1-($O219-Sheet1!$L221)/$O219)*BL219,0)</f>
        <v>0</v>
      </c>
      <c r="BR219" s="545">
        <f>IF(AND(Sheet1!$L221=0,Sheet1!$L220=0, Calculation!BK219&lt;Sheet1!$EI221-0.1,Sheet1!$EI221=Sheet1!$EI220,Sheet1!$EI221=Sheet1!$EI222),Sheet1!$EI221,BL219-BQ219)</f>
        <v>2.9411077354522086</v>
      </c>
      <c r="BS219" s="560"/>
      <c r="BT219" s="560"/>
      <c r="BU219" s="560">
        <f t="shared" si="396"/>
        <v>577.64481151717484</v>
      </c>
      <c r="BV219" s="560"/>
      <c r="BW219" s="560">
        <f ca="1">IF(B219&gt;Summary!$A$1,#N/A,BU219*MGtoAF)</f>
        <v>1772.2142817346923</v>
      </c>
      <c r="BX219" s="560">
        <f>Sheet1!BC221+Sheet1!BD221+Sheet1!BE221+Sheet1!BF221-CG219-CH219</f>
        <v>5.01</v>
      </c>
      <c r="BY219" s="560">
        <f t="shared" si="397"/>
        <v>4.911649918205188</v>
      </c>
      <c r="BZ219" s="560">
        <f>IF(Sheet1!EQ221="FM",CH219,0)</f>
        <v>0</v>
      </c>
      <c r="CA219" s="560">
        <f t="shared" si="398"/>
        <v>0</v>
      </c>
      <c r="CB219" s="560">
        <f>IF(Sheet1!EQ221="OTHER",CH219,0)</f>
        <v>0</v>
      </c>
      <c r="CC219" s="560">
        <f t="shared" si="399"/>
        <v>0</v>
      </c>
      <c r="CD219" s="560">
        <f t="shared" si="400"/>
        <v>0</v>
      </c>
      <c r="CE219" s="560">
        <f t="shared" si="401"/>
        <v>5.01</v>
      </c>
      <c r="CF219" s="560">
        <f t="shared" si="402"/>
        <v>4.911649918205188</v>
      </c>
      <c r="CG219" s="560">
        <f>IF(Sheet1!EQ221="CWA",SUM(Sheet1!BC221:'Sheet1'!BF221),0)</f>
        <v>0</v>
      </c>
      <c r="CH219" s="560">
        <f>IF(OR(Sheet1!EQ221="FM", Sheet1!EQ221="OTHER"),SUM(Sheet1!BC221:'Sheet1'!BF221),0)</f>
        <v>0</v>
      </c>
      <c r="CI219" s="545">
        <f>IF(AND($B219&gt;=$FV219,$B219&lt;=$FW219),MAX(CF219,Sheet1!EJ221,0),MAX(CF219-(7/36)*$K219,0))</f>
        <v>5</v>
      </c>
      <c r="CJ219" s="560">
        <f t="shared" si="403"/>
        <v>0</v>
      </c>
      <c r="CK219" s="545">
        <f t="shared" si="404"/>
        <v>0</v>
      </c>
      <c r="CL219" s="545">
        <f>IF(AND($O219&gt;0,Sheet1!EN221=1),(1-($O219-Sheet1!$L221)/$O219)*CF219,0)</f>
        <v>0</v>
      </c>
      <c r="CM219" s="545">
        <f>IF(AND(Sheet1!$L221=0,Sheet1!$L220=0, Calculation!CE219&lt;Sheet1!EJ221-0.1,Sheet1!EJ221=Sheet1!EJ220,Sheet1!EJ221=Sheet1!EJ222),Sheet1!EJ221,CF219-CL219)</f>
        <v>4.911649918205188</v>
      </c>
      <c r="CN219" s="545"/>
      <c r="CO219" s="560"/>
      <c r="CP219" s="560">
        <f t="shared" si="405"/>
        <v>514.46282355440871</v>
      </c>
      <c r="CQ219" s="560"/>
      <c r="CR219" s="560">
        <f ca="1">IF(B219&gt;Summary!$A$1,#N/A,CP219*MGtoAF)</f>
        <v>1578.3719426649259</v>
      </c>
      <c r="CS219" s="560">
        <f>Sheet1!BK221+Sheet1!BL221+Sheet1!BM221-Sheet1!ER221-DA219</f>
        <v>11.18</v>
      </c>
      <c r="CT219" s="560">
        <f t="shared" si="406"/>
        <v>10.960528160785231</v>
      </c>
      <c r="CU219" s="560">
        <f>IF(Sheet1!ER221="FM",DA219,0)</f>
        <v>0</v>
      </c>
      <c r="CV219" s="560">
        <f t="shared" si="407"/>
        <v>0</v>
      </c>
      <c r="CW219" s="560">
        <f>IF(Sheet1!ER221="OTHER",DA219,0)</f>
        <v>0</v>
      </c>
      <c r="CX219" s="560">
        <f t="shared" si="408"/>
        <v>0</v>
      </c>
      <c r="CY219" s="560">
        <f t="shared" si="409"/>
        <v>11.18</v>
      </c>
      <c r="CZ219" s="560">
        <f t="shared" si="410"/>
        <v>10.960528160785231</v>
      </c>
      <c r="DA219" s="560">
        <f>IF(OR(Sheet1!ER221="FM", Sheet1!ER221="OTHER"),SUM(Sheet1!BK221:'Sheet1'!BM221),0)</f>
        <v>0</v>
      </c>
      <c r="DB219" s="545">
        <f>IF(AND($B219&gt;=$FV219,$B219&lt;=$FW219),MAX($CT219,Sheet1!EK221,0),MAX($CT219-(7/36)*$K219,0))</f>
        <v>11</v>
      </c>
      <c r="DC219" s="560">
        <f t="shared" si="411"/>
        <v>0</v>
      </c>
      <c r="DD219" s="545">
        <f t="shared" si="412"/>
        <v>0</v>
      </c>
      <c r="DE219" s="545">
        <f>IF(AND($O219&gt;0,Sheet1!EO221=1),(1-($O219-Sheet1!$L221)/$O219)*CZ219,0)</f>
        <v>0</v>
      </c>
      <c r="DF219" s="545">
        <f>IF(AND(Sheet1!$L221=0,Sheet1!$L220=0, Calculation!CY219&lt;Sheet1!$EK221-0.1,Sheet1!$EK221=Sheet1!$EK220,Sheet1!$EK221=Sheet1!$EK222),Sheet1!$EK221,CZ219-DE219)</f>
        <v>10.960528160785231</v>
      </c>
      <c r="DG219" s="545"/>
      <c r="DH219" s="560">
        <f t="shared" si="413"/>
        <v>19.189999999999998</v>
      </c>
      <c r="DI219" s="560">
        <f t="shared" si="414"/>
        <v>406.55075660194393</v>
      </c>
      <c r="DJ219" s="698">
        <f t="shared" si="415"/>
        <v>18.813285814442629</v>
      </c>
      <c r="DK219" s="560">
        <f ca="1">IF(B219&gt;Summary!$A$1,#N/A,DI219*MGtoAF)</f>
        <v>1247.2977212547639</v>
      </c>
      <c r="DL219" s="698">
        <f t="shared" si="416"/>
        <v>19.189999999999998</v>
      </c>
      <c r="DM219" s="560">
        <f t="shared" si="417"/>
        <v>42.79</v>
      </c>
      <c r="DN219" s="560">
        <f>Sheet1!AB221-DM219</f>
        <v>-0.83999999999999631</v>
      </c>
      <c r="DO219" s="823">
        <f t="shared" si="418"/>
        <v>-1.963075484926376E-2</v>
      </c>
      <c r="DP219" s="560">
        <f>(VLOOKUP(Sheet1!DC221,hhdcap_wcm,4)-(((VLOOKUP(Sheet1!DC221,hhdcap_wcm,3)-Sheet1!DC221)/(VLOOKUP(Sheet1!DC221,hhdcap_wcm,3)-VLOOKUP(Sheet1!DC221,hhdcap_wcm,1)))*(VLOOKUP(Sheet1!DC221,hhdcap_wcm,4)-VLOOKUP(Sheet1!DC221,hhdcap_wcm,2))))</f>
        <v>44689.400000109032</v>
      </c>
      <c r="DQ219" s="560">
        <f t="shared" si="419"/>
        <v>-118.79999999999563</v>
      </c>
      <c r="DR219" s="560">
        <f t="shared" si="420"/>
        <v>-59.90922844175271</v>
      </c>
      <c r="DS219" s="560">
        <f>Sheet1!EA221*AFtoMG</f>
        <v>0</v>
      </c>
      <c r="DT219" s="560">
        <f>Sheet1!EB221*AFtoMG</f>
        <v>0</v>
      </c>
      <c r="DU219" s="560">
        <f>Sheet1!EC221*AFtoMG</f>
        <v>0</v>
      </c>
      <c r="DV219" s="560">
        <f>Sheet1!ED221*AFtoMG</f>
        <v>0</v>
      </c>
      <c r="DW219" s="560">
        <f t="shared" si="421"/>
        <v>0</v>
      </c>
      <c r="DX219" s="560">
        <f t="shared" si="422"/>
        <v>0</v>
      </c>
      <c r="DY219" s="560">
        <f t="shared" si="423"/>
        <v>2785.4750583401947</v>
      </c>
      <c r="DZ219" s="560">
        <f t="shared" si="424"/>
        <v>8545.837478987718</v>
      </c>
      <c r="EA219" s="560"/>
      <c r="EB219" s="545">
        <f>IF(OR(B219&lt;FV219,B219&gt;FW219),(MIN(BF219+BY219+CT219+MAX(Sheet1!AA221+AQ219-73,0),K219)),0)</f>
        <v>0</v>
      </c>
      <c r="EC219" s="560"/>
      <c r="ED219" s="560">
        <f t="shared" si="425"/>
        <v>18.813285814442626</v>
      </c>
      <c r="EE219" s="560"/>
      <c r="EF219" s="560">
        <f>Sheet1!EH221+Sheet1!EI221+Sheet1!EJ221+Sheet1!EK221</f>
        <v>19</v>
      </c>
      <c r="EG219" s="560"/>
      <c r="EH219" s="545">
        <f t="shared" si="426"/>
        <v>0</v>
      </c>
      <c r="EI219" s="560">
        <f>IF(Sheet1!ET221=1,SUM('Calculations II'!AT219:BA219)+'Calculations II'!BC219+Sheet1!BV221+'Calculations II'!BE219+AP219,SUM('Calculations II'!AT219:BA219)+'Calculations II'!BC219+Sheet1!BV221+'Calculations II'!BE219+AP219)</f>
        <v>84.312032000000016</v>
      </c>
      <c r="EJ219" s="560">
        <f>Sheet1!AA221+Sheet1!AB221+'Calculations II'!BC219</f>
        <v>84.97</v>
      </c>
      <c r="EK219" s="560"/>
      <c r="EL219" s="560"/>
      <c r="EM219" s="560">
        <f t="shared" si="427"/>
        <v>41847</v>
      </c>
      <c r="EN219" s="560">
        <f t="shared" si="428"/>
        <v>-19</v>
      </c>
      <c r="EO219" s="560">
        <f t="shared" si="429"/>
        <v>-29.392999999999997</v>
      </c>
      <c r="EP219" s="560">
        <v>0</v>
      </c>
      <c r="EQ219" s="560">
        <v>0</v>
      </c>
      <c r="ER219" s="560">
        <v>0</v>
      </c>
      <c r="ES219" s="545">
        <f t="shared" si="454"/>
        <v>8.3133168142693386</v>
      </c>
      <c r="ET219" s="560">
        <f>-(VLOOKUP(Sheet1!BQ221,Lookup!$O$4:$Q$262,2)-VLOOKUP(Sheet1!BQ220,Lookup!$O$4:$Q$262,2))/1000000</f>
        <v>4.1567545554762928</v>
      </c>
      <c r="EU219" s="560">
        <f>-(VLOOKUP(Sheet1!BR221,Lookup!$O$4:$Q$262,3)-VLOOKUP(Sheet1!BR220,Lookup!$O$4:$Q$262,3))/1000000</f>
        <v>4.1565622587930449</v>
      </c>
      <c r="EV219" s="560"/>
      <c r="EW219" s="560"/>
      <c r="EX219" s="560"/>
      <c r="EY219" s="560"/>
      <c r="EZ219" s="560"/>
      <c r="FA219" s="560"/>
      <c r="FB219" s="560"/>
      <c r="FC219" s="560"/>
      <c r="FD219" s="594">
        <f t="shared" si="443"/>
        <v>1137.3126760562604</v>
      </c>
      <c r="FE219" s="594" t="e">
        <f t="shared" si="431"/>
        <v>#N/A</v>
      </c>
      <c r="FF219" s="595" t="e">
        <f t="shared" si="432"/>
        <v>#N/A</v>
      </c>
      <c r="FG219" s="596" t="s">
        <v>692</v>
      </c>
      <c r="FH219" s="596" t="s">
        <v>692</v>
      </c>
      <c r="FI219" s="594" t="e">
        <v>#N/A</v>
      </c>
      <c r="FJ219" s="778">
        <v>21235</v>
      </c>
      <c r="FK219" s="560"/>
      <c r="FL219" s="560"/>
      <c r="FM219" s="560"/>
      <c r="FN219" s="560"/>
      <c r="FO219" s="560">
        <f>O219+((Sheet1!CS221)*GPMtoMGD)</f>
        <v>84.97</v>
      </c>
      <c r="FP219" s="560">
        <f>IF(Sheet1!AA221+AQ219&lt;=Calculation!N219,AQ219,Calculation!N219-Sheet1!AA221)</f>
        <v>21.568123393316196</v>
      </c>
      <c r="FQ219" s="560">
        <f>(Sheet1!BP221+Sheet1!BO221)/694.4</f>
        <v>4.0421947004608301</v>
      </c>
      <c r="FR219" s="560"/>
      <c r="FS219" s="560"/>
      <c r="FT219" s="560"/>
      <c r="FU219" s="560"/>
      <c r="FV219" s="695">
        <f t="shared" si="455"/>
        <v>41827</v>
      </c>
      <c r="FW219" s="695">
        <f t="shared" si="456"/>
        <v>41934</v>
      </c>
      <c r="FX219" s="560"/>
      <c r="FY219" s="560"/>
      <c r="FZ219" s="560"/>
      <c r="GA219" s="560"/>
      <c r="GB219" s="560" t="str">
        <f t="shared" si="457"/>
        <v>n</v>
      </c>
      <c r="GC219" s="564">
        <f t="shared" si="458"/>
        <v>41691</v>
      </c>
      <c r="GD219" s="695">
        <f t="shared" si="459"/>
        <v>41807</v>
      </c>
      <c r="GE219" s="560">
        <v>6518.9</v>
      </c>
      <c r="GF219" s="695">
        <f t="shared" si="460"/>
        <v>41808</v>
      </c>
      <c r="GG219" s="560">
        <f t="shared" si="479"/>
        <v>3259</v>
      </c>
      <c r="GH219" s="564">
        <f t="shared" si="461"/>
        <v>41934</v>
      </c>
      <c r="GJ219" s="545">
        <f t="shared" si="462"/>
        <v>0</v>
      </c>
      <c r="GK219" s="560" t="str">
        <f t="shared" si="433"/>
        <v/>
      </c>
      <c r="GL219" s="560">
        <f t="shared" si="463"/>
        <v>0</v>
      </c>
      <c r="GM219" s="560" t="str">
        <f t="shared" si="464"/>
        <v/>
      </c>
      <c r="GN219" s="560">
        <f>IF(GK219="P",Lookup!$M$12,IF(GK219="PP",Lookup!$M$13,IF(GK219="PPP",Lookup!$M$14,IF(GK219="T",Lookup!$M$15,IF(GK219="TP",Lookup!$M$16,IF(GK219="TPP",Lookup!$M$17,IF(GK219="TPPP",Lookup!$M$18,0)))))))*GJ219</f>
        <v>0</v>
      </c>
      <c r="GO219" s="560">
        <f t="shared" si="465"/>
        <v>0</v>
      </c>
      <c r="GP219" s="560">
        <f t="shared" si="434"/>
        <v>3947.9535333333338</v>
      </c>
      <c r="GQ219" s="560">
        <f t="shared" si="473"/>
        <v>1286.8166666666668</v>
      </c>
      <c r="GR219" s="560"/>
      <c r="GS219" s="560">
        <f t="shared" si="466"/>
        <v>0</v>
      </c>
      <c r="GT219" s="560" t="str">
        <f t="shared" si="467"/>
        <v/>
      </c>
      <c r="GU219" s="560">
        <f>IF(GK219="P",Lookup!$N$12,IF(GK219="PP",Lookup!$N$13,IF(GK219="PPP",Lookup!$N$14,IF(GK219="T",Lookup!$N$15,IF(GK219="TP",Lookup!$N$16,IF(GK219="TPP",Lookup!$N$17,IF(GK219="TPPP",Lookup!$N$18,0)))))))*GJ219</f>
        <v>0</v>
      </c>
      <c r="GV219" s="560">
        <f t="shared" si="468"/>
        <v>0</v>
      </c>
      <c r="GW219" s="560">
        <f t="shared" si="435"/>
        <v>1772.2142817346923</v>
      </c>
      <c r="GX219" s="560">
        <f t="shared" si="474"/>
        <v>577.64481151717484</v>
      </c>
      <c r="GY219" s="560"/>
      <c r="GZ219" s="560">
        <f t="shared" si="469"/>
        <v>0</v>
      </c>
      <c r="HA219" s="560" t="str">
        <f t="shared" si="470"/>
        <v/>
      </c>
      <c r="HB219" s="560">
        <f>IF(GK219="P",Lookup!$N$12,IF(GK219="PP",Lookup!$N$13,IF(GK219="PPP",Lookup!$N$14,IF(GK219="T",Lookup!$N$15,IF(GK219="TP",Lookup!$N$16,IF(GK219="TPP",Lookup!$N$17,IF(GK219="TPPP",Lookup!$N$18,0)))))))*GJ219</f>
        <v>0</v>
      </c>
      <c r="HC219" s="545">
        <f t="shared" si="436"/>
        <v>0</v>
      </c>
      <c r="HD219" s="560">
        <f t="shared" si="437"/>
        <v>1578.3719426649259</v>
      </c>
      <c r="HE219" s="560">
        <f t="shared" si="475"/>
        <v>514.46282355440871</v>
      </c>
      <c r="HF219" s="560"/>
      <c r="HG219" s="560">
        <f t="shared" si="471"/>
        <v>0</v>
      </c>
      <c r="HH219" s="560" t="str">
        <f t="shared" si="472"/>
        <v/>
      </c>
      <c r="HI219" s="560">
        <f>IF(GK219="P",Lookup!$N$12,IF(GK219="PP",Lookup!$N$13,IF(GK219="PPP",Lookup!$N$14,IF(GK219="T",Lookup!$N$15,IF(GK219="TP",Lookup!$N$16,IF(GK219="TPP",Lookup!$N$17,IF(GK219="TPPP",Lookup!$N$18,0)))))))*GJ219</f>
        <v>0</v>
      </c>
      <c r="HJ219" s="545">
        <f t="shared" si="438"/>
        <v>0</v>
      </c>
      <c r="HK219" s="560">
        <f t="shared" si="439"/>
        <v>1247.2977212547639</v>
      </c>
      <c r="HL219" s="560">
        <f t="shared" si="476"/>
        <v>406.55075660194393</v>
      </c>
    </row>
    <row r="220" spans="1:220">
      <c r="A220" s="580" t="s">
        <v>4</v>
      </c>
      <c r="B220" s="556">
        <v>41848</v>
      </c>
      <c r="C220" s="561">
        <v>0</v>
      </c>
      <c r="D220" s="529">
        <f t="shared" si="477"/>
        <v>200</v>
      </c>
      <c r="E220" s="529">
        <f t="shared" si="478"/>
        <v>400</v>
      </c>
      <c r="F220" s="529">
        <v>250</v>
      </c>
      <c r="G220" s="560">
        <f>DR220+Sheet1!CZ222</f>
        <v>252.46243066099976</v>
      </c>
      <c r="H220" s="1082">
        <f t="shared" si="442"/>
        <v>33.911715179270239</v>
      </c>
      <c r="I220" s="559">
        <f>MAX(Sheet1!Z222-AT220+(Sheet1!DA222-E220)*CFStoMGD,0)</f>
        <v>0</v>
      </c>
      <c r="J220" s="562">
        <f>IF(AND(B220&gt;=Calculation!GC220,B220&lt;=Calculation!GD220),IF(Sheet1!DB222&gt;=Calculation!D220,64.64,0),MAX(Sheet1!Z222-AT220+(Sheet1!DB222-D220)*CFStoMGD,0))</f>
        <v>36.132400000000004</v>
      </c>
      <c r="K220" s="1101">
        <v>0</v>
      </c>
      <c r="L220" s="560">
        <f>Sheet1!AA222+Sheet1!AB222-Sheet1!L222+(Sheet1!DA222-F220)*CFStoMGD</f>
        <v>147.2912</v>
      </c>
      <c r="M220" s="560">
        <f t="shared" si="376"/>
        <v>166.45554948285564</v>
      </c>
      <c r="N220" s="910">
        <f>IF(Sheet1!DA222&gt;=F220,MIN(73,MIN(MAX(L220,0),MAX(M220,0))),0)</f>
        <v>73</v>
      </c>
      <c r="O220" s="563">
        <f>Sheet1!AA222+Sheet1!AB222</f>
        <v>93.64</v>
      </c>
      <c r="P220" s="563">
        <f t="shared" si="377"/>
        <v>144.86107999999999</v>
      </c>
      <c r="Q220" s="898">
        <f t="shared" si="444"/>
        <v>68.14</v>
      </c>
      <c r="R220" s="829">
        <f t="shared" si="378"/>
        <v>25.5</v>
      </c>
      <c r="S220" s="898">
        <f t="shared" si="445"/>
        <v>0</v>
      </c>
      <c r="T220" s="898">
        <f t="shared" si="446"/>
        <v>0</v>
      </c>
      <c r="U220" s="898">
        <f t="shared" si="447"/>
        <v>25.5</v>
      </c>
      <c r="V220" s="898"/>
      <c r="W220" s="898">
        <f t="shared" si="448"/>
        <v>0</v>
      </c>
      <c r="X220" s="898">
        <f t="shared" si="449"/>
        <v>0</v>
      </c>
      <c r="Y220" s="898" t="str">
        <f t="shared" si="450"/>
        <v>FALSE</v>
      </c>
      <c r="Z220" s="898">
        <f t="shared" si="451"/>
        <v>93.64</v>
      </c>
      <c r="AA220" s="898">
        <f t="shared" si="452"/>
        <v>93.64</v>
      </c>
      <c r="AB220" s="898" t="str">
        <f t="shared" si="453"/>
        <v/>
      </c>
      <c r="AC220" s="563">
        <f>Sheet1!Y222*MGDtoCFS</f>
        <v>66.551940000000002</v>
      </c>
      <c r="AD220" s="563">
        <f>Sheet1!Z222*MGDtoCFS</f>
        <v>64.896650000000008</v>
      </c>
      <c r="AE220" s="563">
        <f>Sheet1!AA222*MGDtoCFS</f>
        <v>70.403969999999987</v>
      </c>
      <c r="AF220" s="563">
        <f>Sheet1!AB222*MGDtoCFS</f>
        <v>74.45711</v>
      </c>
      <c r="AG220" s="563">
        <f>Sheet1!L222*MGDtoCFS</f>
        <v>0</v>
      </c>
      <c r="AH220" s="545">
        <f t="shared" si="379"/>
        <v>25.5</v>
      </c>
      <c r="AI220" s="560">
        <f t="shared" si="380"/>
        <v>39.448499999999996</v>
      </c>
      <c r="AJ220" s="560">
        <f t="shared" si="381"/>
        <v>0</v>
      </c>
      <c r="AK220" s="560">
        <f t="shared" si="382"/>
        <v>0</v>
      </c>
      <c r="AL220" s="560">
        <f>(VLOOKUP(Sheet1!DC222,hhdcap_wcm,4)-(((VLOOKUP(Sheet1!DC222,hhdcap_wcm,3)-Sheet1!DC222)/(VLOOKUP(Sheet1!DC222,hhdcap_wcm,3)-VLOOKUP(Sheet1!DC222,hhdcap_wcm,1)))*(VLOOKUP(Sheet1!DC222,hhdcap_wcm,4)-VLOOKUP(Sheet1!DC222,hhdcap_wcm,2))))</f>
        <v>44494.000000109794</v>
      </c>
      <c r="AM220" s="560">
        <f t="shared" si="383"/>
        <v>-195.39999999923748</v>
      </c>
      <c r="AN220" s="560">
        <f t="shared" si="384"/>
        <v>2759.9750583401947</v>
      </c>
      <c r="AO220" s="560">
        <f t="shared" si="385"/>
        <v>8467.6034789877176</v>
      </c>
      <c r="AP220" s="560">
        <f>Sheet1!BA222+Sheet1!BB222+Sheet1!BN222+CD220</f>
        <v>29.8</v>
      </c>
      <c r="AQ220" s="560">
        <f>Sheet1!BN222+(DO220*Sheet1!BN222)</f>
        <v>27.738933169834457</v>
      </c>
      <c r="AR220" s="560">
        <f>Sheet1!BA222+CD220</f>
        <v>0</v>
      </c>
      <c r="AS220" s="560">
        <f>Sheet1!BA222+Sheet1!BB222+CD220</f>
        <v>1.6</v>
      </c>
      <c r="AT220" s="698">
        <f>0</f>
        <v>0</v>
      </c>
      <c r="AU220" s="560">
        <f>IF(EB220&lt;K220,0,MAX(Sheet1!AA222+AQ220-15/36*K220-N220,Sheet1!EH222,0))</f>
        <v>6</v>
      </c>
      <c r="AV220" s="560">
        <f>IF(OR(B220&gt;=GD220,B220&lt;GC220),0,15/36*K220-MAX(0,64.6-(137.6-(Sheet1!AA222+Sheet1!AB222))))</f>
        <v>0</v>
      </c>
      <c r="AW220" s="698">
        <f>Sheet1!DB222-110</f>
        <v>81</v>
      </c>
      <c r="AX220" s="698">
        <f>Sheet1!DA222-265</f>
        <v>68</v>
      </c>
      <c r="AY220" s="698">
        <f t="shared" si="386"/>
        <v>4.8599999999999994</v>
      </c>
      <c r="AZ220" s="1082"/>
      <c r="BA220" s="698">
        <f t="shared" si="387"/>
        <v>0</v>
      </c>
      <c r="BB220" s="560">
        <f t="shared" si="388"/>
        <v>1280.8166666666668</v>
      </c>
      <c r="BC220" s="560"/>
      <c r="BD220" s="560">
        <f ca="1">IF(B220&gt;Summary!$A$1,#N/A,BB220*MGtoAF)</f>
        <v>3929.5455333333339</v>
      </c>
      <c r="BE220" s="560">
        <f>Sheet1!BG222+Sheet1!BH222+Sheet1!BI222-BM220</f>
        <v>3</v>
      </c>
      <c r="BF220" s="560">
        <f t="shared" si="389"/>
        <v>2.9509503372164319</v>
      </c>
      <c r="BG220" s="560">
        <f>IF(Sheet1!EP222="FM",BM220,0)</f>
        <v>0</v>
      </c>
      <c r="BH220" s="560">
        <f t="shared" si="390"/>
        <v>0</v>
      </c>
      <c r="BI220" s="560">
        <f>IF(Sheet1!EP222="OTHER",BM220,0)</f>
        <v>0</v>
      </c>
      <c r="BJ220" s="560">
        <f t="shared" si="391"/>
        <v>0</v>
      </c>
      <c r="BK220" s="560">
        <f t="shared" si="392"/>
        <v>3</v>
      </c>
      <c r="BL220" s="560">
        <f t="shared" si="393"/>
        <v>2.9509503372164319</v>
      </c>
      <c r="BM220" s="560">
        <f>IF(OR(Sheet1!EP222="FM", Sheet1!EP222="OTHER"),SUM(Sheet1!BG222:'Sheet1'!BI222),0)</f>
        <v>0</v>
      </c>
      <c r="BN220" s="545">
        <f>IF(AND($B220&gt;=$FV220,$B220&lt;=$FW220),MAX(BF220,Sheet1!EI222,0),MAX(BF220-(7/36)*$K220,0))</f>
        <v>3</v>
      </c>
      <c r="BO220" s="560">
        <f t="shared" si="394"/>
        <v>0</v>
      </c>
      <c r="BP220" s="545">
        <f t="shared" si="395"/>
        <v>0</v>
      </c>
      <c r="BQ220" s="545">
        <f>IF(AND($O220&gt;0,Sheet1!EM222=1),(1-($O220-Sheet1!$L222)/$O220)*BL220,0)</f>
        <v>0</v>
      </c>
      <c r="BR220" s="545">
        <f>IF(AND(Sheet1!$L222=0,Sheet1!$L221=0, Calculation!BK220&lt;Sheet1!$EI222-0.1,Sheet1!$EI222=Sheet1!$EI221,Sheet1!$EI222=Sheet1!$EI223),Sheet1!$EI222,BL220-BQ220)</f>
        <v>2.9509503372164319</v>
      </c>
      <c r="BS220" s="560"/>
      <c r="BT220" s="560"/>
      <c r="BU220" s="560">
        <f t="shared" si="396"/>
        <v>574.64481151717484</v>
      </c>
      <c r="BV220" s="560"/>
      <c r="BW220" s="560">
        <f ca="1">IF(B220&gt;Summary!$A$1,#N/A,BU220*MGtoAF)</f>
        <v>1763.0102817346924</v>
      </c>
      <c r="BX220" s="560">
        <f>Sheet1!BC222+Sheet1!BD222+Sheet1!BE222+Sheet1!BF222-CG220-CH220</f>
        <v>5</v>
      </c>
      <c r="BY220" s="560">
        <f t="shared" si="397"/>
        <v>4.918250562027386</v>
      </c>
      <c r="BZ220" s="560">
        <f>IF(Sheet1!EQ222="FM",CH220,0)</f>
        <v>0</v>
      </c>
      <c r="CA220" s="560">
        <f t="shared" si="398"/>
        <v>0</v>
      </c>
      <c r="CB220" s="560">
        <f>IF(Sheet1!EQ222="OTHER",CH220,0)</f>
        <v>0</v>
      </c>
      <c r="CC220" s="560">
        <f t="shared" si="399"/>
        <v>0</v>
      </c>
      <c r="CD220" s="560">
        <f t="shared" si="400"/>
        <v>0</v>
      </c>
      <c r="CE220" s="560">
        <f t="shared" si="401"/>
        <v>5</v>
      </c>
      <c r="CF220" s="560">
        <f t="shared" si="402"/>
        <v>4.918250562027386</v>
      </c>
      <c r="CG220" s="560">
        <f>IF(Sheet1!EQ222="CWA",SUM(Sheet1!BC222:'Sheet1'!BF222),0)</f>
        <v>0</v>
      </c>
      <c r="CH220" s="560">
        <f>IF(OR(Sheet1!EQ222="FM", Sheet1!EQ222="OTHER"),SUM(Sheet1!BC222:'Sheet1'!BF222),0)</f>
        <v>0</v>
      </c>
      <c r="CI220" s="545">
        <f>IF(AND($B220&gt;=$FV220,$B220&lt;=$FW220),MAX(CF220,Sheet1!EJ222,0),MAX(CF220-(7/36)*$K220,0))</f>
        <v>5.5</v>
      </c>
      <c r="CJ220" s="560">
        <f t="shared" si="403"/>
        <v>0</v>
      </c>
      <c r="CK220" s="545">
        <f t="shared" si="404"/>
        <v>0</v>
      </c>
      <c r="CL220" s="545">
        <f>IF(AND($O220&gt;0,Sheet1!EN222=1),(1-($O220-Sheet1!$L222)/$O220)*CF220,0)</f>
        <v>0</v>
      </c>
      <c r="CM220" s="545">
        <f>IF(AND(Sheet1!$L222=0,Sheet1!$L221=0, Calculation!CE220&lt;Sheet1!EJ222-0.1,Sheet1!EJ222=Sheet1!EJ221,Sheet1!EJ222=Sheet1!EJ223),Sheet1!EJ222,CF220-CL220)</f>
        <v>4.918250562027386</v>
      </c>
      <c r="CN220" s="545"/>
      <c r="CO220" s="560"/>
      <c r="CP220" s="560">
        <f t="shared" si="405"/>
        <v>508.96282355440871</v>
      </c>
      <c r="CQ220" s="560"/>
      <c r="CR220" s="560">
        <f ca="1">IF(B220&gt;Summary!$A$1,#N/A,CP220*MGtoAF)</f>
        <v>1561.4979426649259</v>
      </c>
      <c r="CS220" s="560">
        <f>Sheet1!BK222+Sheet1!BL222+Sheet1!BM222-Sheet1!ER222-DA220</f>
        <v>11.129999999999999</v>
      </c>
      <c r="CT220" s="560">
        <f t="shared" si="406"/>
        <v>10.948025751072961</v>
      </c>
      <c r="CU220" s="560">
        <f>IF(Sheet1!ER222="FM",DA220,0)</f>
        <v>0</v>
      </c>
      <c r="CV220" s="560">
        <f t="shared" si="407"/>
        <v>0</v>
      </c>
      <c r="CW220" s="560">
        <f>IF(Sheet1!ER222="OTHER",DA220,0)</f>
        <v>0</v>
      </c>
      <c r="CX220" s="560">
        <f t="shared" si="408"/>
        <v>0</v>
      </c>
      <c r="CY220" s="560">
        <f t="shared" si="409"/>
        <v>11.129999999999999</v>
      </c>
      <c r="CZ220" s="560">
        <f t="shared" si="410"/>
        <v>10.948025751072961</v>
      </c>
      <c r="DA220" s="560">
        <f>IF(OR(Sheet1!ER222="FM", Sheet1!ER222="OTHER"),SUM(Sheet1!BK222:'Sheet1'!BM222),0)</f>
        <v>0</v>
      </c>
      <c r="DB220" s="799">
        <f>IF(AND($B220&gt;=$FV220,$B220&lt;=$FW220),MAX($CT220,Sheet1!EK222,0),MAX($CT220-(7/36)*$K220,0))</f>
        <v>11</v>
      </c>
      <c r="DC220" s="560">
        <f t="shared" si="411"/>
        <v>0</v>
      </c>
      <c r="DD220" s="545">
        <f t="shared" si="412"/>
        <v>0</v>
      </c>
      <c r="DE220" s="545">
        <f>IF(AND($O220&gt;0,Sheet1!EO222=1),(1-($O220-Sheet1!$L222)/$O220)*CZ220,0)</f>
        <v>0</v>
      </c>
      <c r="DF220" s="545">
        <f>IF(AND(Sheet1!$L222=0,Sheet1!$L221=0, Calculation!CY220&lt;Sheet1!$EK222-0.1,Sheet1!$EK222=Sheet1!$EK221,Sheet1!$EK222=Sheet1!$EK223),Sheet1!$EK222,CZ220-DE220)</f>
        <v>10.948025751072961</v>
      </c>
      <c r="DG220" s="545"/>
      <c r="DH220" s="560">
        <f t="shared" si="413"/>
        <v>19.13</v>
      </c>
      <c r="DI220" s="560">
        <f t="shared" si="414"/>
        <v>395.55075660194393</v>
      </c>
      <c r="DJ220" s="698">
        <f t="shared" si="415"/>
        <v>18.81722665031678</v>
      </c>
      <c r="DK220" s="560">
        <f ca="1">IF(B220&gt;Summary!$A$1,#N/A,DI220*MGtoAF)</f>
        <v>1213.5497212547641</v>
      </c>
      <c r="DL220" s="698">
        <f t="shared" si="416"/>
        <v>19.13</v>
      </c>
      <c r="DM220" s="560">
        <f t="shared" si="417"/>
        <v>48.93</v>
      </c>
      <c r="DN220" s="560">
        <f>Sheet1!AB222-DM220</f>
        <v>-0.79999999999999716</v>
      </c>
      <c r="DO220" s="823">
        <f t="shared" si="418"/>
        <v>-1.634988759452273E-2</v>
      </c>
      <c r="DP220" s="560">
        <f>(VLOOKUP(Sheet1!DC222,hhdcap_wcm,4)-(((VLOOKUP(Sheet1!DC222,hhdcap_wcm,3)-Sheet1!DC222)/(VLOOKUP(Sheet1!DC222,hhdcap_wcm,3)-VLOOKUP(Sheet1!DC222,hhdcap_wcm,1)))*(VLOOKUP(Sheet1!DC222,hhdcap_wcm,4)-VLOOKUP(Sheet1!DC222,hhdcap_wcm,2))))</f>
        <v>44494.000000109794</v>
      </c>
      <c r="DQ220" s="560">
        <f t="shared" si="419"/>
        <v>-195.39999999923748</v>
      </c>
      <c r="DR220" s="560">
        <f t="shared" si="420"/>
        <v>-98.537569339000228</v>
      </c>
      <c r="DS220" s="560">
        <f>Sheet1!EA222*AFtoMG</f>
        <v>0</v>
      </c>
      <c r="DT220" s="560">
        <f>Sheet1!EB222*AFtoMG</f>
        <v>0</v>
      </c>
      <c r="DU220" s="560">
        <f>Sheet1!EC222*AFtoMG</f>
        <v>0</v>
      </c>
      <c r="DV220" s="560">
        <f>Sheet1!ED222*AFtoMG</f>
        <v>0</v>
      </c>
      <c r="DW220" s="560">
        <f t="shared" si="421"/>
        <v>0</v>
      </c>
      <c r="DX220" s="560">
        <f t="shared" si="422"/>
        <v>0</v>
      </c>
      <c r="DY220" s="560">
        <f t="shared" si="423"/>
        <v>2759.9750583401947</v>
      </c>
      <c r="DZ220" s="560">
        <f t="shared" si="424"/>
        <v>8467.6034789877176</v>
      </c>
      <c r="EA220" s="560"/>
      <c r="EB220" s="545">
        <f>IF(OR(B220&lt;FV220,B220&gt;FW220),(MIN(BF220+BY220+CT220+MAX(Sheet1!AA222+AQ220-73,0),K220)),0)</f>
        <v>0</v>
      </c>
      <c r="EC220" s="560"/>
      <c r="ED220" s="560">
        <f t="shared" si="425"/>
        <v>18.81722665031678</v>
      </c>
      <c r="EE220" s="560"/>
      <c r="EF220" s="560">
        <f>Sheet1!EH222+Sheet1!EI222+Sheet1!EJ222+Sheet1!EK222</f>
        <v>25.5</v>
      </c>
      <c r="EG220" s="560"/>
      <c r="EH220" s="545">
        <f t="shared" si="426"/>
        <v>0</v>
      </c>
      <c r="EI220" s="560">
        <f>IF(Sheet1!ET222=1,SUM('Calculations II'!AT220:BA220)+'Calculations II'!BC220+Sheet1!BV222+'Calculations II'!BE220+AP220,SUM('Calculations II'!AT220:BA220)+'Calculations II'!BC220+Sheet1!BV222+'Calculations II'!BE220+AP220)</f>
        <v>92.121263999999996</v>
      </c>
      <c r="EJ220" s="560">
        <f>Sheet1!AA222+Sheet1!AB222+'Calculations II'!BC220</f>
        <v>94.020591999999994</v>
      </c>
      <c r="EK220" s="560"/>
      <c r="EL220" s="560"/>
      <c r="EM220" s="560">
        <f t="shared" si="427"/>
        <v>41848</v>
      </c>
      <c r="EN220" s="560">
        <f t="shared" si="428"/>
        <v>-25.5</v>
      </c>
      <c r="EO220" s="560">
        <f t="shared" si="429"/>
        <v>-39.448499999999996</v>
      </c>
      <c r="EP220" s="560">
        <v>0</v>
      </c>
      <c r="EQ220" s="560">
        <v>0</v>
      </c>
      <c r="ER220" s="560">
        <v>0</v>
      </c>
      <c r="ES220" s="545">
        <f t="shared" si="454"/>
        <v>6.9189531235757471</v>
      </c>
      <c r="ET220" s="560">
        <f>-(VLOOKUP(Sheet1!BQ222,Lookup!$O$4:$Q$262,2)-VLOOKUP(Sheet1!BQ221,Lookup!$O$4:$Q$262,2))/1000000</f>
        <v>3.4595566345996409</v>
      </c>
      <c r="EU220" s="560">
        <f>-(VLOOKUP(Sheet1!BR222,Lookup!$O$4:$Q$262,3)-VLOOKUP(Sheet1!BR221,Lookup!$O$4:$Q$262,3))/1000000</f>
        <v>3.4593964889761062</v>
      </c>
      <c r="EV220" s="560"/>
      <c r="EW220" s="560"/>
      <c r="EX220" s="560"/>
      <c r="EY220" s="560"/>
      <c r="EZ220" s="560"/>
      <c r="FA220" s="560"/>
      <c r="FB220" s="560"/>
      <c r="FC220" s="560"/>
      <c r="FD220" s="594">
        <f t="shared" si="443"/>
        <v>1137.1929577464014</v>
      </c>
      <c r="FE220" s="594" t="e">
        <f t="shared" si="431"/>
        <v>#N/A</v>
      </c>
      <c r="FF220" s="595" t="e">
        <f t="shared" si="432"/>
        <v>#N/A</v>
      </c>
      <c r="FG220" s="596" t="s">
        <v>692</v>
      </c>
      <c r="FH220" s="596" t="s">
        <v>692</v>
      </c>
      <c r="FI220" s="594" t="e">
        <v>#N/A</v>
      </c>
      <c r="FJ220" s="778">
        <v>21151</v>
      </c>
      <c r="FK220" s="560"/>
      <c r="FL220" s="560"/>
      <c r="FM220" s="560"/>
      <c r="FN220" s="560"/>
      <c r="FO220" s="560">
        <f>O220+((Sheet1!CS222)*GPMtoMGD)</f>
        <v>94.020591999999994</v>
      </c>
      <c r="FP220" s="560">
        <f>IF(Sheet1!AA222+AQ220&lt;=Calculation!N220,AQ220,Calculation!N220-Sheet1!AA222)</f>
        <v>27.490000000000002</v>
      </c>
      <c r="FQ220" s="560">
        <f>(Sheet1!BP222+Sheet1!BO222)/694.4</f>
        <v>4.1638824884792633</v>
      </c>
      <c r="FR220" s="560"/>
      <c r="FS220" s="560"/>
      <c r="FT220" s="560"/>
      <c r="FU220" s="560"/>
      <c r="FV220" s="695">
        <f t="shared" si="455"/>
        <v>41827</v>
      </c>
      <c r="FW220" s="695">
        <f t="shared" si="456"/>
        <v>41934</v>
      </c>
      <c r="FX220" s="560"/>
      <c r="FY220" s="560"/>
      <c r="FZ220" s="560"/>
      <c r="GA220" s="560"/>
      <c r="GB220" s="560" t="str">
        <f t="shared" si="457"/>
        <v>n</v>
      </c>
      <c r="GC220" s="564">
        <f t="shared" si="458"/>
        <v>41691</v>
      </c>
      <c r="GD220" s="695">
        <f t="shared" si="459"/>
        <v>41807</v>
      </c>
      <c r="GE220" s="560">
        <v>6518.9</v>
      </c>
      <c r="GF220" s="695">
        <f t="shared" si="460"/>
        <v>41808</v>
      </c>
      <c r="GG220" s="560">
        <f t="shared" si="479"/>
        <v>3259</v>
      </c>
      <c r="GH220" s="564">
        <f t="shared" si="461"/>
        <v>41934</v>
      </c>
      <c r="GJ220" s="545">
        <f t="shared" si="462"/>
        <v>0</v>
      </c>
      <c r="GK220" s="560" t="str">
        <f t="shared" si="433"/>
        <v/>
      </c>
      <c r="GL220" s="560">
        <f t="shared" si="463"/>
        <v>0</v>
      </c>
      <c r="GM220" s="560" t="str">
        <f t="shared" si="464"/>
        <v/>
      </c>
      <c r="GN220" s="560">
        <f>IF(GK220="P",Lookup!$M$12,IF(GK220="PP",Lookup!$M$13,IF(GK220="PPP",Lookup!$M$14,IF(GK220="T",Lookup!$M$15,IF(GK220="TP",Lookup!$M$16,IF(GK220="TPP",Lookup!$M$17,IF(GK220="TPPP",Lookup!$M$18,0)))))))*GJ220</f>
        <v>0</v>
      </c>
      <c r="GO220" s="560">
        <f t="shared" si="465"/>
        <v>0</v>
      </c>
      <c r="GP220" s="560">
        <f t="shared" si="434"/>
        <v>3929.5455333333339</v>
      </c>
      <c r="GQ220" s="560">
        <f t="shared" si="473"/>
        <v>1280.8166666666668</v>
      </c>
      <c r="GR220" s="560"/>
      <c r="GS220" s="560">
        <f t="shared" si="466"/>
        <v>0</v>
      </c>
      <c r="GT220" s="560" t="str">
        <f t="shared" si="467"/>
        <v/>
      </c>
      <c r="GU220" s="560">
        <f>IF(GK220="P",Lookup!$N$12,IF(GK220="PP",Lookup!$N$13,IF(GK220="PPP",Lookup!$N$14,IF(GK220="T",Lookup!$N$15,IF(GK220="TP",Lookup!$N$16,IF(GK220="TPP",Lookup!$N$17,IF(GK220="TPPP",Lookup!$N$18,0)))))))*GJ220</f>
        <v>0</v>
      </c>
      <c r="GV220" s="560">
        <f t="shared" si="468"/>
        <v>0</v>
      </c>
      <c r="GW220" s="560">
        <f t="shared" si="435"/>
        <v>1763.0102817346924</v>
      </c>
      <c r="GX220" s="560">
        <f t="shared" si="474"/>
        <v>574.64481151717484</v>
      </c>
      <c r="GY220" s="560"/>
      <c r="GZ220" s="560">
        <f t="shared" si="469"/>
        <v>0</v>
      </c>
      <c r="HA220" s="560" t="str">
        <f t="shared" si="470"/>
        <v/>
      </c>
      <c r="HB220" s="560">
        <f>IF(GK220="P",Lookup!$N$12,IF(GK220="PP",Lookup!$N$13,IF(GK220="PPP",Lookup!$N$14,IF(GK220="T",Lookup!$N$15,IF(GK220="TP",Lookup!$N$16,IF(GK220="TPP",Lookup!$N$17,IF(GK220="TPPP",Lookup!$N$18,0)))))))*GJ220</f>
        <v>0</v>
      </c>
      <c r="HC220" s="545">
        <f t="shared" si="436"/>
        <v>0</v>
      </c>
      <c r="HD220" s="560">
        <f t="shared" si="437"/>
        <v>1561.4979426649259</v>
      </c>
      <c r="HE220" s="560">
        <f t="shared" si="475"/>
        <v>508.96282355440871</v>
      </c>
      <c r="HF220" s="560"/>
      <c r="HG220" s="560">
        <f t="shared" si="471"/>
        <v>0</v>
      </c>
      <c r="HH220" s="560" t="str">
        <f t="shared" si="472"/>
        <v/>
      </c>
      <c r="HI220" s="560">
        <f>IF(GK220="P",Lookup!$N$12,IF(GK220="PP",Lookup!$N$13,IF(GK220="PPP",Lookup!$N$14,IF(GK220="T",Lookup!$N$15,IF(GK220="TP",Lookup!$N$16,IF(GK220="TPP",Lookup!$N$17,IF(GK220="TPPP",Lookup!$N$18,0)))))))*GJ220</f>
        <v>0</v>
      </c>
      <c r="HJ220" s="545">
        <f t="shared" si="438"/>
        <v>0</v>
      </c>
      <c r="HK220" s="560">
        <f t="shared" si="439"/>
        <v>1213.5497212547641</v>
      </c>
      <c r="HL220" s="560">
        <f t="shared" si="476"/>
        <v>395.55075660194393</v>
      </c>
    </row>
    <row r="221" spans="1:220">
      <c r="A221" s="580" t="s">
        <v>5</v>
      </c>
      <c r="B221" s="556">
        <v>41849</v>
      </c>
      <c r="C221" s="561">
        <v>0</v>
      </c>
      <c r="D221" s="529">
        <f t="shared" si="477"/>
        <v>200</v>
      </c>
      <c r="E221" s="529">
        <f t="shared" si="478"/>
        <v>400</v>
      </c>
      <c r="F221" s="529">
        <v>250</v>
      </c>
      <c r="G221" s="560">
        <f>DR221+Sheet1!CZ223</f>
        <v>249.9667170946783</v>
      </c>
      <c r="H221" s="1082">
        <f t="shared" si="442"/>
        <v>32.298485930000055</v>
      </c>
      <c r="I221" s="559">
        <f>MAX(Sheet1!Z223-AT221+(Sheet1!DA223-E221)*CFStoMGD,0)</f>
        <v>4.8212000000000046</v>
      </c>
      <c r="J221" s="562">
        <f>IF(AND(B221&gt;=Calculation!GC221,B221&lt;=Calculation!GD221),IF(Sheet1!DB223&gt;=Calculation!D221,64.64,0),MAX(Sheet1!Z223-AT221+(Sheet1!DB223-D221)*CFStoMGD,0))</f>
        <v>31.323600000000003</v>
      </c>
      <c r="K221" s="1101">
        <v>0</v>
      </c>
      <c r="L221" s="560">
        <f>Sheet1!AA223+Sheet1!AB223-Sheet1!L223+(Sheet1!DA223-F221)*CFStoMGD</f>
        <v>154.4812</v>
      </c>
      <c r="M221" s="560">
        <f t="shared" si="376"/>
        <v>164.81005564860007</v>
      </c>
      <c r="N221" s="910">
        <f>IF(Sheet1!DA223&gt;=F221,MIN(73,MIN(MAX(L221,0),MAX(M221,0))),0)</f>
        <v>73</v>
      </c>
      <c r="O221" s="563">
        <f>Sheet1!AA223+Sheet1!AB223</f>
        <v>100.83</v>
      </c>
      <c r="P221" s="563">
        <f t="shared" si="377"/>
        <v>155.98400999999998</v>
      </c>
      <c r="Q221" s="898">
        <f t="shared" si="444"/>
        <v>69.63</v>
      </c>
      <c r="R221" s="829">
        <f t="shared" si="378"/>
        <v>31.2</v>
      </c>
      <c r="S221" s="898">
        <f t="shared" si="445"/>
        <v>0</v>
      </c>
      <c r="T221" s="898">
        <f t="shared" si="446"/>
        <v>0</v>
      </c>
      <c r="U221" s="898">
        <f t="shared" si="447"/>
        <v>31.2</v>
      </c>
      <c r="V221" s="898"/>
      <c r="W221" s="898">
        <f t="shared" si="448"/>
        <v>0</v>
      </c>
      <c r="X221" s="898">
        <f t="shared" si="449"/>
        <v>0</v>
      </c>
      <c r="Y221" s="898" t="str">
        <f t="shared" si="450"/>
        <v>FALSE</v>
      </c>
      <c r="Z221" s="898">
        <f t="shared" si="451"/>
        <v>100.83</v>
      </c>
      <c r="AA221" s="898">
        <f t="shared" si="452"/>
        <v>100.83</v>
      </c>
      <c r="AB221" s="898" t="str">
        <f t="shared" si="453"/>
        <v/>
      </c>
      <c r="AC221" s="563">
        <f>Sheet1!Y223*MGDtoCFS</f>
        <v>70.403969999999987</v>
      </c>
      <c r="AD221" s="563">
        <f>Sheet1!Z223*MGDtoCFS</f>
        <v>74.45711</v>
      </c>
      <c r="AE221" s="563">
        <f>Sheet1!AA223*MGDtoCFS</f>
        <v>74.116769999999988</v>
      </c>
      <c r="AF221" s="563">
        <f>Sheet1!AB223*MGDtoCFS</f>
        <v>81.867239999999995</v>
      </c>
      <c r="AG221" s="563">
        <f>Sheet1!L223*MGDtoCFS</f>
        <v>0</v>
      </c>
      <c r="AH221" s="545">
        <f t="shared" si="379"/>
        <v>31.204046953605364</v>
      </c>
      <c r="AI221" s="560">
        <f t="shared" si="380"/>
        <v>48.272660637227496</v>
      </c>
      <c r="AJ221" s="560">
        <f t="shared" si="381"/>
        <v>0</v>
      </c>
      <c r="AK221" s="560">
        <f t="shared" si="382"/>
        <v>0</v>
      </c>
      <c r="AL221" s="560">
        <f>(VLOOKUP(Sheet1!DC223,hhdcap_wcm,4)-(((VLOOKUP(Sheet1!DC223,hhdcap_wcm,3)-Sheet1!DC223)/(VLOOKUP(Sheet1!DC223,hhdcap_wcm,3)-VLOOKUP(Sheet1!DC223,hhdcap_wcm,1)))*(VLOOKUP(Sheet1!DC223,hhdcap_wcm,4)-VLOOKUP(Sheet1!DC223,hhdcap_wcm,2))))</f>
        <v>44299.600000108541</v>
      </c>
      <c r="AM221" s="560">
        <f t="shared" si="383"/>
        <v>-194.40000000125292</v>
      </c>
      <c r="AN221" s="560">
        <f t="shared" si="384"/>
        <v>2728.7710113865887</v>
      </c>
      <c r="AO221" s="560">
        <f t="shared" si="385"/>
        <v>8371.8694629340553</v>
      </c>
      <c r="AP221" s="560">
        <f>Sheet1!BA223+Sheet1!BB223+Sheet1!BN223+CD221</f>
        <v>34.5</v>
      </c>
      <c r="AQ221" s="560">
        <f>Sheet1!BN223+(DO221*Sheet1!BN223)</f>
        <v>32.440245947456681</v>
      </c>
      <c r="AR221" s="560">
        <f>Sheet1!BA223+CD221</f>
        <v>0</v>
      </c>
      <c r="AS221" s="560">
        <f>Sheet1!BA223+Sheet1!BB223+CD221</f>
        <v>1.6</v>
      </c>
      <c r="AT221" s="698">
        <f>0</f>
        <v>0</v>
      </c>
      <c r="AU221" s="560">
        <f>IF(EB221&lt;K221,0,MAX(Sheet1!AA223+AQ221-15/36*K221-N221,Sheet1!EH223,0))</f>
        <v>12.2</v>
      </c>
      <c r="AV221" s="560">
        <f>IF(OR(B221&gt;=GD221,B221&lt;GC221),0,15/36*K221-MAX(0,64.6-(137.6-(Sheet1!AA223+Sheet1!AB223))))</f>
        <v>0</v>
      </c>
      <c r="AW221" s="698">
        <f>Sheet1!DB223-110</f>
        <v>64</v>
      </c>
      <c r="AX221" s="698">
        <f>Sheet1!DA223-265</f>
        <v>68</v>
      </c>
      <c r="AY221" s="698">
        <f t="shared" si="386"/>
        <v>3.3700000000000045</v>
      </c>
      <c r="AZ221" s="1082"/>
      <c r="BA221" s="698">
        <f t="shared" si="387"/>
        <v>0</v>
      </c>
      <c r="BB221" s="560">
        <f t="shared" si="388"/>
        <v>1268.6166666666668</v>
      </c>
      <c r="BC221" s="560"/>
      <c r="BD221" s="560">
        <f ca="1">IF(B221&gt;Summary!$A$1,#N/A,BB221*MGtoAF)</f>
        <v>3892.1159333333339</v>
      </c>
      <c r="BE221" s="560">
        <f>Sheet1!BG223+Sheet1!BH223+Sheet1!BI223-BM221</f>
        <v>3</v>
      </c>
      <c r="BF221" s="560">
        <f t="shared" si="389"/>
        <v>2.9580771380659585</v>
      </c>
      <c r="BG221" s="560">
        <f>IF(Sheet1!EP223="FM",BM221,0)</f>
        <v>0</v>
      </c>
      <c r="BH221" s="560">
        <f t="shared" si="390"/>
        <v>0</v>
      </c>
      <c r="BI221" s="560">
        <f>IF(Sheet1!EP223="OTHER",BM221,0)</f>
        <v>0</v>
      </c>
      <c r="BJ221" s="560">
        <f t="shared" si="391"/>
        <v>0</v>
      </c>
      <c r="BK221" s="560">
        <f t="shared" si="392"/>
        <v>3</v>
      </c>
      <c r="BL221" s="560">
        <f t="shared" si="393"/>
        <v>2.9580771380659585</v>
      </c>
      <c r="BM221" s="560">
        <f>IF(OR(Sheet1!EP223="FM", Sheet1!EP223="OTHER"),SUM(Sheet1!BG223:'Sheet1'!BI223),0)</f>
        <v>0</v>
      </c>
      <c r="BN221" s="545">
        <f>IF(AND($B221&gt;=$FV221,$B221&lt;=$FW221),MAX(BF221,Sheet1!EI223,0),MAX(BF221-(7/36)*$K221,0))</f>
        <v>3</v>
      </c>
      <c r="BO221" s="560">
        <f t="shared" si="394"/>
        <v>0</v>
      </c>
      <c r="BP221" s="545">
        <f t="shared" si="395"/>
        <v>0</v>
      </c>
      <c r="BQ221" s="545">
        <f>IF(AND($O221&gt;0,Sheet1!EM223=1),(1-($O221-Sheet1!$L223)/$O221)*BL221,0)</f>
        <v>0</v>
      </c>
      <c r="BR221" s="545">
        <f>IF(AND(Sheet1!$L223=0,Sheet1!$L222=0, Calculation!BK221&lt;Sheet1!$EI223-0.1,Sheet1!$EI223=Sheet1!$EI222,Sheet1!$EI223=Sheet1!$EI224),Sheet1!$EI223,BL221-BQ221)</f>
        <v>2.9580771380659585</v>
      </c>
      <c r="BS221" s="560"/>
      <c r="BT221" s="560"/>
      <c r="BU221" s="560">
        <f t="shared" si="396"/>
        <v>571.64481151717484</v>
      </c>
      <c r="BV221" s="560"/>
      <c r="BW221" s="560">
        <f ca="1">IF(B221&gt;Summary!$A$1,#N/A,BU221*MGtoAF)</f>
        <v>1753.8062817346924</v>
      </c>
      <c r="BX221" s="560">
        <f>Sheet1!BC223+Sheet1!BD223+Sheet1!BE223+Sheet1!BF223-CG221-CH221</f>
        <v>5.01</v>
      </c>
      <c r="BY221" s="560">
        <f t="shared" si="397"/>
        <v>4.939988820570151</v>
      </c>
      <c r="BZ221" s="560">
        <f>IF(Sheet1!EQ223="FM",CH221,0)</f>
        <v>0</v>
      </c>
      <c r="CA221" s="560">
        <f t="shared" si="398"/>
        <v>0</v>
      </c>
      <c r="CB221" s="560">
        <f>IF(Sheet1!EQ223="OTHER",CH221,0)</f>
        <v>0</v>
      </c>
      <c r="CC221" s="560">
        <f t="shared" si="399"/>
        <v>0</v>
      </c>
      <c r="CD221" s="560">
        <f t="shared" si="400"/>
        <v>0</v>
      </c>
      <c r="CE221" s="560">
        <f t="shared" si="401"/>
        <v>5.01</v>
      </c>
      <c r="CF221" s="560">
        <f t="shared" si="402"/>
        <v>4.939988820570151</v>
      </c>
      <c r="CG221" s="560">
        <f>IF(Sheet1!EQ223="CWA",SUM(Sheet1!BC223:'Sheet1'!BF223),0)</f>
        <v>0</v>
      </c>
      <c r="CH221" s="560">
        <f>IF(OR(Sheet1!EQ223="FM", Sheet1!EQ223="OTHER"),SUM(Sheet1!BC223:'Sheet1'!BF223),0)</f>
        <v>0</v>
      </c>
      <c r="CI221" s="545">
        <f>IF(AND($B221&gt;=$FV221,$B221&lt;=$FW221),MAX(CF221,Sheet1!EJ223,0),MAX(CF221-(7/36)*$K221,0))</f>
        <v>5</v>
      </c>
      <c r="CJ221" s="560">
        <f t="shared" si="403"/>
        <v>0</v>
      </c>
      <c r="CK221" s="545">
        <f t="shared" si="404"/>
        <v>0</v>
      </c>
      <c r="CL221" s="545">
        <f>IF(AND($O221&gt;0,Sheet1!EN223=1),(1-($O221-Sheet1!$L223)/$O221)*CF221,0)</f>
        <v>0</v>
      </c>
      <c r="CM221" s="545">
        <f>IF(AND(Sheet1!$L223=0,Sheet1!$L222=0, Calculation!CE221&lt;Sheet1!EJ223-0.1,Sheet1!EJ223=Sheet1!EJ222,Sheet1!EJ223=Sheet1!EJ224),Sheet1!EJ223,CF221-CL221)</f>
        <v>4.939988820570151</v>
      </c>
      <c r="CN221" s="545"/>
      <c r="CO221" s="560"/>
      <c r="CP221" s="560">
        <f t="shared" si="405"/>
        <v>503.96282355440871</v>
      </c>
      <c r="CQ221" s="560"/>
      <c r="CR221" s="560">
        <f ca="1">IF(B221&gt;Summary!$A$1,#N/A,CP221*MGtoAF)</f>
        <v>1546.1579426649259</v>
      </c>
      <c r="CS221" s="560">
        <f>Sheet1!BK223+Sheet1!BL223+Sheet1!BM223-Sheet1!ER223-DA221</f>
        <v>11.16</v>
      </c>
      <c r="CT221" s="560">
        <f t="shared" si="406"/>
        <v>11.004046953605366</v>
      </c>
      <c r="CU221" s="560">
        <f>IF(Sheet1!ER223="FM",DA221,0)</f>
        <v>0</v>
      </c>
      <c r="CV221" s="560">
        <f t="shared" si="407"/>
        <v>0</v>
      </c>
      <c r="CW221" s="560">
        <f>IF(Sheet1!ER223="OTHER",DA221,0)</f>
        <v>0</v>
      </c>
      <c r="CX221" s="560">
        <f t="shared" si="408"/>
        <v>0</v>
      </c>
      <c r="CY221" s="560">
        <f t="shared" si="409"/>
        <v>11.16</v>
      </c>
      <c r="CZ221" s="560">
        <f t="shared" si="410"/>
        <v>11.004046953605366</v>
      </c>
      <c r="DA221" s="560">
        <f>IF(OR(Sheet1!ER223="FM", Sheet1!ER223="OTHER"),SUM(Sheet1!BK223:'Sheet1'!BM223),0)</f>
        <v>0</v>
      </c>
      <c r="DB221" s="799">
        <f>IF(AND($B221&gt;=$FV221,$B221&lt;=$FW221),MAX($CT221,Sheet1!EK223,0),MAX($CT221-(7/36)*$K221,0))</f>
        <v>11.004046953605366</v>
      </c>
      <c r="DC221" s="560">
        <f t="shared" si="411"/>
        <v>0</v>
      </c>
      <c r="DD221" s="545">
        <f t="shared" si="412"/>
        <v>0</v>
      </c>
      <c r="DE221" s="545">
        <f>IF(AND($O221&gt;0,Sheet1!EO223=1),(1-($O221-Sheet1!$L223)/$O221)*CZ221,0)</f>
        <v>0</v>
      </c>
      <c r="DF221" s="545">
        <f>IF(AND(Sheet1!$L223=0,Sheet1!$L222=0, Calculation!CY221&lt;Sheet1!$EK223-0.1,Sheet1!$EK223=Sheet1!$EK222,Sheet1!$EK223=Sheet1!$EK224),Sheet1!$EK223,CZ221-DE221)</f>
        <v>11.004046953605366</v>
      </c>
      <c r="DG221" s="545"/>
      <c r="DH221" s="560">
        <f t="shared" si="413"/>
        <v>19.170000000000002</v>
      </c>
      <c r="DI221" s="560">
        <f t="shared" si="414"/>
        <v>384.54670964833855</v>
      </c>
      <c r="DJ221" s="698">
        <f t="shared" si="415"/>
        <v>18.902112912241478</v>
      </c>
      <c r="DK221" s="560">
        <f ca="1">IF(B221&gt;Summary!$A$1,#N/A,DI221*MGtoAF)</f>
        <v>1179.7893052011027</v>
      </c>
      <c r="DL221" s="698">
        <f t="shared" si="416"/>
        <v>19.170000000000002</v>
      </c>
      <c r="DM221" s="560">
        <f t="shared" si="417"/>
        <v>53.67</v>
      </c>
      <c r="DN221" s="560">
        <f>Sheet1!AB223-DM221</f>
        <v>-0.75</v>
      </c>
      <c r="DO221" s="823">
        <f t="shared" si="418"/>
        <v>-1.397428731134712E-2</v>
      </c>
      <c r="DP221" s="560">
        <f>(VLOOKUP(Sheet1!DC223,hhdcap_wcm,4)-(((VLOOKUP(Sheet1!DC223,hhdcap_wcm,3)-Sheet1!DC223)/(VLOOKUP(Sheet1!DC223,hhdcap_wcm,3)-VLOOKUP(Sheet1!DC223,hhdcap_wcm,1)))*(VLOOKUP(Sheet1!DC223,hhdcap_wcm,4)-VLOOKUP(Sheet1!DC223,hhdcap_wcm,2))))</f>
        <v>44299.600000108541</v>
      </c>
      <c r="DQ221" s="560">
        <f t="shared" si="419"/>
        <v>-194.40000000125292</v>
      </c>
      <c r="DR221" s="560">
        <f t="shared" si="420"/>
        <v>-98.033282905321684</v>
      </c>
      <c r="DS221" s="560">
        <f>Sheet1!EA223*AFtoMG</f>
        <v>0</v>
      </c>
      <c r="DT221" s="560">
        <f>Sheet1!EB223*AFtoMG</f>
        <v>0</v>
      </c>
      <c r="DU221" s="560">
        <f>Sheet1!EC223*AFtoMG</f>
        <v>0</v>
      </c>
      <c r="DV221" s="560">
        <f>Sheet1!ED223*AFtoMG</f>
        <v>0</v>
      </c>
      <c r="DW221" s="560">
        <f t="shared" si="421"/>
        <v>0</v>
      </c>
      <c r="DX221" s="560">
        <f t="shared" si="422"/>
        <v>0</v>
      </c>
      <c r="DY221" s="560">
        <f t="shared" si="423"/>
        <v>2728.7710113865887</v>
      </c>
      <c r="DZ221" s="560">
        <f t="shared" si="424"/>
        <v>8371.8694629340553</v>
      </c>
      <c r="EA221" s="560"/>
      <c r="EB221" s="545">
        <f>IF(OR(B221&lt;FV221,B221&gt;FW221),(MIN(BF221+BY221+CT221+MAX(Sheet1!AA223+AQ221-73,0),K221)),0)</f>
        <v>0</v>
      </c>
      <c r="EC221" s="560"/>
      <c r="ED221" s="560">
        <f t="shared" si="425"/>
        <v>18.902112912241474</v>
      </c>
      <c r="EE221" s="560"/>
      <c r="EF221" s="560">
        <f>Sheet1!EH223+Sheet1!EI223+Sheet1!EJ223+Sheet1!EK223</f>
        <v>31.2</v>
      </c>
      <c r="EG221" s="560"/>
      <c r="EH221" s="545">
        <f t="shared" si="426"/>
        <v>0</v>
      </c>
      <c r="EI221" s="560">
        <f>IF(Sheet1!ET223=1,SUM('Calculations II'!AT221:BA221)+'Calculations II'!BC221+Sheet1!BV223+'Calculations II'!BE221+AP221,SUM('Calculations II'!AT221:BA221)+'Calculations II'!BC221+Sheet1!BV223+'Calculations II'!BE221+AP221)</f>
        <v>84.487279999999998</v>
      </c>
      <c r="EJ221" s="560">
        <f>Sheet1!AA223+Sheet1!AB223+'Calculations II'!BC221</f>
        <v>101.598384</v>
      </c>
      <c r="EK221" s="560"/>
      <c r="EL221" s="560"/>
      <c r="EM221" s="560">
        <f t="shared" si="427"/>
        <v>41849</v>
      </c>
      <c r="EN221" s="560">
        <f t="shared" si="428"/>
        <v>-31.204046953605364</v>
      </c>
      <c r="EO221" s="560">
        <f t="shared" si="429"/>
        <v>-48.272660637227496</v>
      </c>
      <c r="EP221" s="560">
        <v>0</v>
      </c>
      <c r="EQ221" s="560">
        <v>0</v>
      </c>
      <c r="ER221" s="560">
        <v>0</v>
      </c>
      <c r="ES221" s="545">
        <f t="shared" si="454"/>
        <v>-8.3037047513571096</v>
      </c>
      <c r="ET221" s="560">
        <f>-(VLOOKUP(Sheet1!BQ223,Lookup!$O$4:$Q$262,2)-VLOOKUP(Sheet1!BQ222,Lookup!$O$4:$Q$262,2))/1000000</f>
        <v>-4.1519484685951733</v>
      </c>
      <c r="EU221" s="560">
        <f>-(VLOOKUP(Sheet1!BR223,Lookup!$O$4:$Q$262,3)-VLOOKUP(Sheet1!BR222,Lookup!$O$4:$Q$262,3))/1000000</f>
        <v>-4.1517562827619354</v>
      </c>
      <c r="EV221" s="560"/>
      <c r="EW221" s="560"/>
      <c r="EX221" s="560"/>
      <c r="EY221" s="560"/>
      <c r="EZ221" s="560"/>
      <c r="FA221" s="560"/>
      <c r="FB221" s="560"/>
      <c r="FC221" s="560"/>
      <c r="FD221" s="594">
        <f t="shared" si="443"/>
        <v>1137.0742857142084</v>
      </c>
      <c r="FE221" s="594" t="e">
        <f t="shared" si="431"/>
        <v>#N/A</v>
      </c>
      <c r="FF221" s="595" t="e">
        <f t="shared" si="432"/>
        <v>#N/A</v>
      </c>
      <c r="FG221" s="596" t="s">
        <v>692</v>
      </c>
      <c r="FH221" s="596" t="s">
        <v>692</v>
      </c>
      <c r="FI221" s="594" t="e">
        <v>#N/A</v>
      </c>
      <c r="FJ221" s="778">
        <v>21067</v>
      </c>
      <c r="FK221" s="560"/>
      <c r="FL221" s="560"/>
      <c r="FM221" s="560"/>
      <c r="FN221" s="560"/>
      <c r="FO221" s="560">
        <f>O221+((Sheet1!CS223)*GPMtoMGD)</f>
        <v>101.598384</v>
      </c>
      <c r="FP221" s="560">
        <f>IF(Sheet1!AA223+AQ221&lt;=Calculation!N221,AQ221,Calculation!N221-Sheet1!AA223)</f>
        <v>25.090000000000003</v>
      </c>
      <c r="FQ221" s="560">
        <f>(Sheet1!BP223+Sheet1!BO223)/694.4</f>
        <v>4.4670218894009217</v>
      </c>
      <c r="FR221" s="560"/>
      <c r="FS221" s="560"/>
      <c r="FT221" s="560"/>
      <c r="FU221" s="560"/>
      <c r="FV221" s="695">
        <f t="shared" si="455"/>
        <v>41827</v>
      </c>
      <c r="FW221" s="695">
        <f t="shared" si="456"/>
        <v>41934</v>
      </c>
      <c r="FX221" s="560"/>
      <c r="FY221" s="560"/>
      <c r="FZ221" s="560"/>
      <c r="GA221" s="560"/>
      <c r="GB221" s="560" t="str">
        <f t="shared" si="457"/>
        <v>n</v>
      </c>
      <c r="GC221" s="564">
        <f t="shared" si="458"/>
        <v>41691</v>
      </c>
      <c r="GD221" s="695">
        <f t="shared" si="459"/>
        <v>41807</v>
      </c>
      <c r="GE221" s="560">
        <v>6518.9</v>
      </c>
      <c r="GF221" s="695">
        <f t="shared" si="460"/>
        <v>41808</v>
      </c>
      <c r="GG221" s="560">
        <f t="shared" si="479"/>
        <v>3259</v>
      </c>
      <c r="GH221" s="564">
        <f t="shared" si="461"/>
        <v>41934</v>
      </c>
      <c r="GJ221" s="545">
        <f t="shared" si="462"/>
        <v>0</v>
      </c>
      <c r="GK221" s="560" t="str">
        <f t="shared" si="433"/>
        <v/>
      </c>
      <c r="GL221" s="560">
        <f t="shared" si="463"/>
        <v>0</v>
      </c>
      <c r="GM221" s="560" t="str">
        <f t="shared" si="464"/>
        <v/>
      </c>
      <c r="GN221" s="560">
        <f>IF(GK221="P",Lookup!$M$12,IF(GK221="PP",Lookup!$M$13,IF(GK221="PPP",Lookup!$M$14,IF(GK221="T",Lookup!$M$15,IF(GK221="TP",Lookup!$M$16,IF(GK221="TPP",Lookup!$M$17,IF(GK221="TPPP",Lookup!$M$18,0)))))))*GJ221</f>
        <v>0</v>
      </c>
      <c r="GO221" s="560">
        <f t="shared" si="465"/>
        <v>0</v>
      </c>
      <c r="GP221" s="560">
        <f t="shared" si="434"/>
        <v>3892.1159333333339</v>
      </c>
      <c r="GQ221" s="560">
        <f t="shared" si="473"/>
        <v>1268.6166666666668</v>
      </c>
      <c r="GR221" s="560"/>
      <c r="GS221" s="560">
        <f t="shared" si="466"/>
        <v>0</v>
      </c>
      <c r="GT221" s="560" t="str">
        <f t="shared" si="467"/>
        <v/>
      </c>
      <c r="GU221" s="560">
        <f>IF(GK221="P",Lookup!$N$12,IF(GK221="PP",Lookup!$N$13,IF(GK221="PPP",Lookup!$N$14,IF(GK221="T",Lookup!$N$15,IF(GK221="TP",Lookup!$N$16,IF(GK221="TPP",Lookup!$N$17,IF(GK221="TPPP",Lookup!$N$18,0)))))))*GJ221</f>
        <v>0</v>
      </c>
      <c r="GV221" s="560">
        <f t="shared" si="468"/>
        <v>0</v>
      </c>
      <c r="GW221" s="560">
        <f t="shared" si="435"/>
        <v>1753.8062817346924</v>
      </c>
      <c r="GX221" s="560">
        <f t="shared" si="474"/>
        <v>571.64481151717484</v>
      </c>
      <c r="GY221" s="560"/>
      <c r="GZ221" s="560">
        <f t="shared" si="469"/>
        <v>0</v>
      </c>
      <c r="HA221" s="560" t="str">
        <f t="shared" si="470"/>
        <v/>
      </c>
      <c r="HB221" s="560">
        <f>IF(GK221="P",Lookup!$N$12,IF(GK221="PP",Lookup!$N$13,IF(GK221="PPP",Lookup!$N$14,IF(GK221="T",Lookup!$N$15,IF(GK221="TP",Lookup!$N$16,IF(GK221="TPP",Lookup!$N$17,IF(GK221="TPPP",Lookup!$N$18,0)))))))*GJ221</f>
        <v>0</v>
      </c>
      <c r="HC221" s="545">
        <f t="shared" si="436"/>
        <v>0</v>
      </c>
      <c r="HD221" s="560">
        <f t="shared" si="437"/>
        <v>1546.1579426649259</v>
      </c>
      <c r="HE221" s="560">
        <f t="shared" si="475"/>
        <v>503.96282355440871</v>
      </c>
      <c r="HF221" s="560"/>
      <c r="HG221" s="560">
        <f t="shared" si="471"/>
        <v>0</v>
      </c>
      <c r="HH221" s="560" t="str">
        <f t="shared" si="472"/>
        <v/>
      </c>
      <c r="HI221" s="560">
        <f>IF(GK221="P",Lookup!$N$12,IF(GK221="PP",Lookup!$N$13,IF(GK221="PPP",Lookup!$N$14,IF(GK221="T",Lookup!$N$15,IF(GK221="TP",Lookup!$N$16,IF(GK221="TPP",Lookup!$N$17,IF(GK221="TPPP",Lookup!$N$18,0)))))))*GJ221</f>
        <v>0</v>
      </c>
      <c r="HJ221" s="545">
        <f t="shared" si="438"/>
        <v>0</v>
      </c>
      <c r="HK221" s="560">
        <f t="shared" si="439"/>
        <v>1179.7893052011027</v>
      </c>
      <c r="HL221" s="560">
        <f t="shared" si="476"/>
        <v>384.54670964833855</v>
      </c>
    </row>
    <row r="222" spans="1:220">
      <c r="A222" s="580" t="s">
        <v>6</v>
      </c>
      <c r="B222" s="556">
        <v>41850</v>
      </c>
      <c r="C222" s="561">
        <v>0</v>
      </c>
      <c r="D222" s="529">
        <f t="shared" si="477"/>
        <v>200</v>
      </c>
      <c r="E222" s="529">
        <f t="shared" si="478"/>
        <v>400</v>
      </c>
      <c r="F222" s="529">
        <v>250</v>
      </c>
      <c r="G222" s="560">
        <f>DR222+Sheet1!CZ224</f>
        <v>228.18154311636619</v>
      </c>
      <c r="H222" s="1082">
        <f t="shared" si="442"/>
        <v>18.216549470419103</v>
      </c>
      <c r="I222" s="559">
        <f>MAX(Sheet1!Z224-AT222+(Sheet1!DA224-E222)*CFStoMGD,0)</f>
        <v>3.793600000000005</v>
      </c>
      <c r="J222" s="562">
        <f>IF(AND(B222&gt;=Calculation!GC222,B222&lt;=Calculation!GD222),IF(Sheet1!DB224&gt;=Calculation!D222,64.64,0),MAX(Sheet1!Z224-AT222+(Sheet1!DB224-D222)*CFStoMGD,0))</f>
        <v>34.820800000000006</v>
      </c>
      <c r="K222" s="1101">
        <v>0</v>
      </c>
      <c r="L222" s="560">
        <f>Sheet1!AA224+Sheet1!AB224-Sheet1!L224+(Sheet1!DA224-F222)*CFStoMGD</f>
        <v>148.6336</v>
      </c>
      <c r="M222" s="560">
        <f t="shared" si="376"/>
        <v>150.44648045982748</v>
      </c>
      <c r="N222" s="910">
        <f>IF(Sheet1!DA224&gt;=F222,MIN(73,MIN(MAX(L222,0),MAX(M222,0))),0)</f>
        <v>73</v>
      </c>
      <c r="O222" s="563">
        <f>Sheet1!AA224+Sheet1!AB224</f>
        <v>100.8</v>
      </c>
      <c r="P222" s="563">
        <f t="shared" si="377"/>
        <v>155.93759999999997</v>
      </c>
      <c r="Q222" s="898">
        <f t="shared" si="444"/>
        <v>68</v>
      </c>
      <c r="R222" s="829">
        <f t="shared" si="378"/>
        <v>32.799999999999997</v>
      </c>
      <c r="S222" s="898">
        <f t="shared" si="445"/>
        <v>0</v>
      </c>
      <c r="T222" s="898">
        <f t="shared" si="446"/>
        <v>0</v>
      </c>
      <c r="U222" s="898">
        <f t="shared" si="447"/>
        <v>32.799999999999997</v>
      </c>
      <c r="V222" s="898"/>
      <c r="W222" s="898">
        <f t="shared" si="448"/>
        <v>0</v>
      </c>
      <c r="X222" s="898">
        <f t="shared" si="449"/>
        <v>0</v>
      </c>
      <c r="Y222" s="898" t="str">
        <f t="shared" si="450"/>
        <v>FALSE</v>
      </c>
      <c r="Z222" s="898">
        <f t="shared" si="451"/>
        <v>100.8</v>
      </c>
      <c r="AA222" s="898">
        <f t="shared" si="452"/>
        <v>100.8</v>
      </c>
      <c r="AB222" s="898" t="str">
        <f t="shared" si="453"/>
        <v/>
      </c>
      <c r="AC222" s="563">
        <f>Sheet1!Y224*MGDtoCFS</f>
        <v>74.116769999999988</v>
      </c>
      <c r="AD222" s="563">
        <f>Sheet1!Z224*MGDtoCFS</f>
        <v>81.867239999999995</v>
      </c>
      <c r="AE222" s="563">
        <f>Sheet1!AA224*MGDtoCFS</f>
        <v>77.643929999999997</v>
      </c>
      <c r="AF222" s="563">
        <f>Sheet1!AB224*MGDtoCFS</f>
        <v>78.293669999999992</v>
      </c>
      <c r="AG222" s="563">
        <f>Sheet1!L224*MGDtoCFS</f>
        <v>0</v>
      </c>
      <c r="AH222" s="545">
        <f t="shared" si="379"/>
        <v>32.799999999999997</v>
      </c>
      <c r="AI222" s="560">
        <f t="shared" si="380"/>
        <v>50.741599999999991</v>
      </c>
      <c r="AJ222" s="560">
        <f t="shared" si="381"/>
        <v>0</v>
      </c>
      <c r="AK222" s="560">
        <f t="shared" si="382"/>
        <v>0</v>
      </c>
      <c r="AL222" s="560">
        <f>(VLOOKUP(Sheet1!DC224,hhdcap_wcm,4)-(((VLOOKUP(Sheet1!DC224,hhdcap_wcm,3)-Sheet1!DC224)/(VLOOKUP(Sheet1!DC224,hhdcap_wcm,3)-VLOOKUP(Sheet1!DC224,hhdcap_wcm,1)))*(VLOOKUP(Sheet1!DC224,hhdcap_wcm,4)-VLOOKUP(Sheet1!DC224,hhdcap_wcm,2))))</f>
        <v>44062.000000108295</v>
      </c>
      <c r="AM222" s="560">
        <f t="shared" si="383"/>
        <v>-237.60000000024593</v>
      </c>
      <c r="AN222" s="560">
        <f t="shared" si="384"/>
        <v>2695.971011386589</v>
      </c>
      <c r="AO222" s="560">
        <f t="shared" si="385"/>
        <v>8271.2390629340553</v>
      </c>
      <c r="AP222" s="560">
        <f>Sheet1!BA224+Sheet1!BB224+Sheet1!BN224+CD222</f>
        <v>32.5</v>
      </c>
      <c r="AQ222" s="560">
        <f>Sheet1!BN224+(DO222*Sheet1!BN224)</f>
        <v>30.342433061699648</v>
      </c>
      <c r="AR222" s="560">
        <f>Sheet1!BA224+CD222</f>
        <v>0</v>
      </c>
      <c r="AS222" s="560">
        <f>Sheet1!BA224+Sheet1!BB224+CD222</f>
        <v>1.6</v>
      </c>
      <c r="AT222" s="698">
        <f>0</f>
        <v>0</v>
      </c>
      <c r="AU222" s="560">
        <f>IF(EB222&lt;K222,0,MAX(Sheet1!AA224+AQ222-15/36*K222-N222,Sheet1!EH224,0))</f>
        <v>13.8</v>
      </c>
      <c r="AV222" s="560">
        <f>IF(OR(B222&gt;=GD222,B222&lt;GC222),0,15/36*K222-MAX(0,64.6-(137.6-(Sheet1!AA224+Sheet1!AB224))))</f>
        <v>0</v>
      </c>
      <c r="AW222" s="698">
        <f>Sheet1!DB224-110</f>
        <v>62</v>
      </c>
      <c r="AX222" s="698">
        <f>Sheet1!DA224-265</f>
        <v>59</v>
      </c>
      <c r="AY222" s="698">
        <f t="shared" si="386"/>
        <v>5</v>
      </c>
      <c r="AZ222" s="1082"/>
      <c r="BA222" s="698">
        <f t="shared" si="387"/>
        <v>0</v>
      </c>
      <c r="BB222" s="560">
        <f t="shared" si="388"/>
        <v>1254.8166666666668</v>
      </c>
      <c r="BC222" s="560"/>
      <c r="BD222" s="560">
        <f ca="1">IF(B222&gt;Summary!$A$1,#N/A,BB222*MGtoAF)</f>
        <v>3849.7775333333338</v>
      </c>
      <c r="BE222" s="560">
        <f>Sheet1!BG224+Sheet1!BH224+Sheet1!BI224-BM222</f>
        <v>3</v>
      </c>
      <c r="BF222" s="560">
        <f t="shared" si="389"/>
        <v>2.9458672875436553</v>
      </c>
      <c r="BG222" s="560">
        <f>IF(Sheet1!EP224="FM",BM222,0)</f>
        <v>0</v>
      </c>
      <c r="BH222" s="560">
        <f t="shared" si="390"/>
        <v>0</v>
      </c>
      <c r="BI222" s="560">
        <f>IF(Sheet1!EP224="OTHER",BM222,0)</f>
        <v>0</v>
      </c>
      <c r="BJ222" s="560">
        <f t="shared" si="391"/>
        <v>0</v>
      </c>
      <c r="BK222" s="560">
        <f t="shared" si="392"/>
        <v>3</v>
      </c>
      <c r="BL222" s="560">
        <f t="shared" si="393"/>
        <v>2.9458672875436553</v>
      </c>
      <c r="BM222" s="560">
        <f>IF(OR(Sheet1!EP224="FM", Sheet1!EP224="OTHER"),SUM(Sheet1!BG224:'Sheet1'!BI224),0)</f>
        <v>0</v>
      </c>
      <c r="BN222" s="545">
        <f>IF(AND($B222&gt;=$FV222,$B222&lt;=$FW222),MAX(BF222,Sheet1!EI224,0),MAX(BF222-(7/36)*$K222,0))</f>
        <v>3</v>
      </c>
      <c r="BO222" s="560">
        <f t="shared" si="394"/>
        <v>0</v>
      </c>
      <c r="BP222" s="545">
        <f t="shared" si="395"/>
        <v>0</v>
      </c>
      <c r="BQ222" s="545">
        <f>IF(AND($O222&gt;0,Sheet1!EM224=1),(1-($O222-Sheet1!$L224)/$O222)*BL222,0)</f>
        <v>0</v>
      </c>
      <c r="BR222" s="545">
        <f>IF(AND(Sheet1!$L224=0,Sheet1!$L223=0, Calculation!BK222&lt;Sheet1!$EI224-0.1,Sheet1!$EI224=Sheet1!$EI223,Sheet1!$EI224=Sheet1!$EI225),Sheet1!$EI224,BL222-BQ222)</f>
        <v>2.9458672875436553</v>
      </c>
      <c r="BS222" s="560"/>
      <c r="BT222" s="560"/>
      <c r="BU222" s="560">
        <f t="shared" si="396"/>
        <v>568.64481151717484</v>
      </c>
      <c r="BV222" s="560"/>
      <c r="BW222" s="560">
        <f ca="1">IF(B222&gt;Summary!$A$1,#N/A,BU222*MGtoAF)</f>
        <v>1744.6022817346925</v>
      </c>
      <c r="BX222" s="560">
        <f>Sheet1!BC224+Sheet1!BD224+Sheet1!BE224+Sheet1!BF224-CG222-CH222</f>
        <v>5</v>
      </c>
      <c r="BY222" s="560">
        <f t="shared" si="397"/>
        <v>4.9097788125727586</v>
      </c>
      <c r="BZ222" s="560">
        <f>IF(Sheet1!EQ224="FM",CH222,0)</f>
        <v>0</v>
      </c>
      <c r="CA222" s="560">
        <f t="shared" si="398"/>
        <v>0</v>
      </c>
      <c r="CB222" s="560">
        <f>IF(Sheet1!EQ224="OTHER",CH222,0)</f>
        <v>0</v>
      </c>
      <c r="CC222" s="560">
        <f t="shared" si="399"/>
        <v>0</v>
      </c>
      <c r="CD222" s="560">
        <f t="shared" si="400"/>
        <v>0</v>
      </c>
      <c r="CE222" s="560">
        <f t="shared" si="401"/>
        <v>5</v>
      </c>
      <c r="CF222" s="560">
        <f t="shared" si="402"/>
        <v>4.9097788125727586</v>
      </c>
      <c r="CG222" s="560">
        <f>IF(Sheet1!EQ224="CWA",SUM(Sheet1!BC224:'Sheet1'!BF224),0)</f>
        <v>0</v>
      </c>
      <c r="CH222" s="560">
        <f>IF(OR(Sheet1!EQ224="FM", Sheet1!EQ224="OTHER"),SUM(Sheet1!BC224:'Sheet1'!BF224),0)</f>
        <v>0</v>
      </c>
      <c r="CI222" s="545">
        <f>IF(AND($B222&gt;=$FV222,$B222&lt;=$FW222),MAX(CF222,Sheet1!EJ224,0),MAX(CF222-(7/36)*$K222,0))</f>
        <v>5</v>
      </c>
      <c r="CJ222" s="560">
        <f t="shared" si="403"/>
        <v>0</v>
      </c>
      <c r="CK222" s="545">
        <f t="shared" si="404"/>
        <v>0</v>
      </c>
      <c r="CL222" s="545">
        <f>IF(AND($O222&gt;0,Sheet1!EN224=1),(1-($O222-Sheet1!$L224)/$O222)*CF222,0)</f>
        <v>0</v>
      </c>
      <c r="CM222" s="545">
        <f>IF(AND(Sheet1!$L224=0,Sheet1!$L223=0, Calculation!CE222&lt;Sheet1!EJ224-0.1,Sheet1!EJ224=Sheet1!EJ223,Sheet1!EJ224=Sheet1!EJ225),Sheet1!EJ224,CF222-CL222)</f>
        <v>4.9097788125727586</v>
      </c>
      <c r="CN222" s="545"/>
      <c r="CO222" s="560"/>
      <c r="CP222" s="560">
        <f t="shared" si="405"/>
        <v>498.96282355440871</v>
      </c>
      <c r="CQ222" s="560"/>
      <c r="CR222" s="560">
        <f ca="1">IF(B222&gt;Summary!$A$1,#N/A,CP222*MGtoAF)</f>
        <v>1530.817942664926</v>
      </c>
      <c r="CS222" s="560">
        <f>Sheet1!BK224+Sheet1!BL224+Sheet1!BM224-Sheet1!ER224-DA222</f>
        <v>11.04</v>
      </c>
      <c r="CT222" s="560">
        <f t="shared" si="406"/>
        <v>10.840791618160651</v>
      </c>
      <c r="CU222" s="560">
        <f>IF(Sheet1!ER224="FM",DA222,0)</f>
        <v>0</v>
      </c>
      <c r="CV222" s="560">
        <f t="shared" si="407"/>
        <v>0</v>
      </c>
      <c r="CW222" s="560">
        <f>IF(Sheet1!ER224="OTHER",DA222,0)</f>
        <v>0</v>
      </c>
      <c r="CX222" s="560">
        <f t="shared" si="408"/>
        <v>0</v>
      </c>
      <c r="CY222" s="560">
        <f t="shared" si="409"/>
        <v>11.04</v>
      </c>
      <c r="CZ222" s="560">
        <f t="shared" si="410"/>
        <v>10.840791618160651</v>
      </c>
      <c r="DA222" s="560">
        <f>IF(OR(Sheet1!ER224="FM", Sheet1!ER224="OTHER"),SUM(Sheet1!BK224:'Sheet1'!BM224),0)</f>
        <v>0</v>
      </c>
      <c r="DB222" s="799">
        <f>IF(AND($B222&gt;=$FV222,$B222&lt;=$FW222),MAX($CT222,Sheet1!EK224,0),MAX($CT222-(7/36)*$K222,0))</f>
        <v>11</v>
      </c>
      <c r="DC222" s="560">
        <f t="shared" si="411"/>
        <v>0</v>
      </c>
      <c r="DD222" s="545">
        <f t="shared" si="412"/>
        <v>0</v>
      </c>
      <c r="DE222" s="545">
        <f>IF(AND($O222&gt;0,Sheet1!EO224=1),(1-($O222-Sheet1!$L224)/$O222)*CZ222,0)</f>
        <v>0</v>
      </c>
      <c r="DF222" s="545">
        <f>IF(AND(Sheet1!$L224=0,Sheet1!$L223=0, Calculation!CY222&lt;Sheet1!$EK224-0.1,Sheet1!$EK224=Sheet1!$EK223,Sheet1!$EK224=Sheet1!$EK225),Sheet1!$EK224,CZ222-DE222)</f>
        <v>10.840791618160651</v>
      </c>
      <c r="DG222" s="545"/>
      <c r="DH222" s="560">
        <f t="shared" si="413"/>
        <v>19.04</v>
      </c>
      <c r="DI222" s="560">
        <f t="shared" si="414"/>
        <v>373.54670964833855</v>
      </c>
      <c r="DJ222" s="698">
        <f t="shared" si="415"/>
        <v>18.696437718277064</v>
      </c>
      <c r="DK222" s="560">
        <f ca="1">IF(B222&gt;Summary!$A$1,#N/A,DI222*MGtoAF)</f>
        <v>1146.0413052011027</v>
      </c>
      <c r="DL222" s="698">
        <f t="shared" si="416"/>
        <v>19.04</v>
      </c>
      <c r="DM222" s="560">
        <f t="shared" si="417"/>
        <v>51.54</v>
      </c>
      <c r="DN222" s="560">
        <f>Sheet1!AB224-DM222</f>
        <v>-0.92999999999999972</v>
      </c>
      <c r="DO222" s="823">
        <f t="shared" si="418"/>
        <v>-1.804423748544819E-2</v>
      </c>
      <c r="DP222" s="560">
        <f>(VLOOKUP(Sheet1!DC224,hhdcap_wcm,4)-(((VLOOKUP(Sheet1!DC224,hhdcap_wcm,3)-Sheet1!DC224)/(VLOOKUP(Sheet1!DC224,hhdcap_wcm,3)-VLOOKUP(Sheet1!DC224,hhdcap_wcm,1)))*(VLOOKUP(Sheet1!DC224,hhdcap_wcm,4)-VLOOKUP(Sheet1!DC224,hhdcap_wcm,2))))</f>
        <v>44062.000000108295</v>
      </c>
      <c r="DQ222" s="560">
        <f t="shared" si="419"/>
        <v>-237.60000000024593</v>
      </c>
      <c r="DR222" s="560">
        <f t="shared" si="420"/>
        <v>-119.81845688363383</v>
      </c>
      <c r="DS222" s="560">
        <f>Sheet1!EA224*AFtoMG</f>
        <v>0</v>
      </c>
      <c r="DT222" s="560">
        <f>Sheet1!EB224*AFtoMG</f>
        <v>0</v>
      </c>
      <c r="DU222" s="560">
        <f>Sheet1!EC224*AFtoMG</f>
        <v>0</v>
      </c>
      <c r="DV222" s="560">
        <f>Sheet1!ED224*AFtoMG</f>
        <v>0</v>
      </c>
      <c r="DW222" s="560">
        <f t="shared" si="421"/>
        <v>0</v>
      </c>
      <c r="DX222" s="560">
        <f t="shared" si="422"/>
        <v>0</v>
      </c>
      <c r="DY222" s="560">
        <f t="shared" si="423"/>
        <v>2695.971011386589</v>
      </c>
      <c r="DZ222" s="560">
        <f t="shared" si="424"/>
        <v>8271.2390629340553</v>
      </c>
      <c r="EA222" s="560"/>
      <c r="EB222" s="545">
        <f>IF(OR(B222&lt;FV222,B222&gt;FW222),(MIN(BF222+BY222+CT222+MAX(Sheet1!AA224+AQ222-73,0),K222)),0)</f>
        <v>0</v>
      </c>
      <c r="EC222" s="560"/>
      <c r="ED222" s="560">
        <f t="shared" si="425"/>
        <v>18.696437718277068</v>
      </c>
      <c r="EE222" s="560"/>
      <c r="EF222" s="560">
        <f>Sheet1!EH224+Sheet1!EI224+Sheet1!EJ224+Sheet1!EK224</f>
        <v>32.799999999999997</v>
      </c>
      <c r="EG222" s="560"/>
      <c r="EH222" s="545">
        <f t="shared" si="426"/>
        <v>0</v>
      </c>
      <c r="EI222" s="560">
        <f>IF(Sheet1!ET224=1,SUM('Calculations II'!AT222:BA222)+'Calculations II'!BC222+Sheet1!BV224+'Calculations II'!BE222+AP222,SUM('Calculations II'!AT222:BA222)+'Calculations II'!BC222+Sheet1!BV224+'Calculations II'!BE222+AP222)</f>
        <v>89.110208</v>
      </c>
      <c r="EJ222" s="560">
        <f>Sheet1!AA224+Sheet1!AB224+'Calculations II'!BC222</f>
        <v>100.8</v>
      </c>
      <c r="EK222" s="560"/>
      <c r="EL222" s="560"/>
      <c r="EM222" s="560">
        <f t="shared" si="427"/>
        <v>41850</v>
      </c>
      <c r="EN222" s="560">
        <f t="shared" si="428"/>
        <v>-32.799999999999997</v>
      </c>
      <c r="EO222" s="560">
        <f t="shared" si="429"/>
        <v>-50.741599999999991</v>
      </c>
      <c r="EP222" s="560">
        <v>0</v>
      </c>
      <c r="EQ222" s="560">
        <v>0</v>
      </c>
      <c r="ER222" s="560">
        <v>0</v>
      </c>
      <c r="ES222" s="545">
        <f t="shared" si="454"/>
        <v>-3.6018538927360435</v>
      </c>
      <c r="ET222" s="560">
        <f>-(VLOOKUP(Sheet1!BQ224,Lookup!$O$4:$Q$262,2)-VLOOKUP(Sheet1!BQ223,Lookup!$O$4:$Q$262,2))/1000000</f>
        <v>-1.8009686072869413</v>
      </c>
      <c r="EU222" s="560">
        <f>-(VLOOKUP(Sheet1!BR224,Lookup!$O$4:$Q$262,3)-VLOOKUP(Sheet1!BR223,Lookup!$O$4:$Q$262,3))/1000000</f>
        <v>-1.8008852854491024</v>
      </c>
      <c r="EV222" s="560"/>
      <c r="EW222" s="560"/>
      <c r="EX222" s="560"/>
      <c r="EY222" s="560"/>
      <c r="EZ222" s="560"/>
      <c r="FA222" s="560"/>
      <c r="FB222" s="560"/>
      <c r="FC222" s="560"/>
      <c r="FD222" s="594">
        <f t="shared" si="443"/>
        <v>1136.9536231883285</v>
      </c>
      <c r="FE222" s="594" t="e">
        <f t="shared" si="431"/>
        <v>#N/A</v>
      </c>
      <c r="FF222" s="595" t="e">
        <f t="shared" si="432"/>
        <v>#N/A</v>
      </c>
      <c r="FG222" s="596" t="s">
        <v>692</v>
      </c>
      <c r="FH222" s="596" t="s">
        <v>692</v>
      </c>
      <c r="FI222" s="594" t="e">
        <v>#N/A</v>
      </c>
      <c r="FJ222" s="778">
        <v>20983</v>
      </c>
      <c r="FK222" s="560"/>
      <c r="FL222" s="560"/>
      <c r="FM222" s="560"/>
      <c r="FN222" s="560"/>
      <c r="FO222" s="560">
        <f>O222+((Sheet1!CS224)*GPMtoMGD)</f>
        <v>100.8</v>
      </c>
      <c r="FP222" s="560">
        <f>IF(Sheet1!AA224+AQ222&lt;=Calculation!N222,AQ222,Calculation!N222-Sheet1!AA224)</f>
        <v>22.810000000000002</v>
      </c>
      <c r="FQ222" s="560">
        <f>(Sheet1!BP224+Sheet1!BO224)/694.4</f>
        <v>3.6766993087557602</v>
      </c>
      <c r="FR222" s="560"/>
      <c r="FS222" s="560"/>
      <c r="FT222" s="560"/>
      <c r="FU222" s="560"/>
      <c r="FV222" s="695">
        <f t="shared" si="455"/>
        <v>41827</v>
      </c>
      <c r="FW222" s="695">
        <f t="shared" si="456"/>
        <v>41934</v>
      </c>
      <c r="FX222" s="560"/>
      <c r="FY222" s="560"/>
      <c r="FZ222" s="560"/>
      <c r="GA222" s="560"/>
      <c r="GB222" s="560" t="str">
        <f t="shared" si="457"/>
        <v>n</v>
      </c>
      <c r="GC222" s="564">
        <f t="shared" si="458"/>
        <v>41691</v>
      </c>
      <c r="GD222" s="695">
        <f t="shared" si="459"/>
        <v>41807</v>
      </c>
      <c r="GE222" s="560">
        <v>6518.9</v>
      </c>
      <c r="GF222" s="695">
        <f t="shared" si="460"/>
        <v>41808</v>
      </c>
      <c r="GG222" s="560">
        <f t="shared" si="479"/>
        <v>3259</v>
      </c>
      <c r="GH222" s="564">
        <f t="shared" si="461"/>
        <v>41934</v>
      </c>
      <c r="GJ222" s="545">
        <f t="shared" si="462"/>
        <v>0</v>
      </c>
      <c r="GK222" s="560" t="str">
        <f t="shared" si="433"/>
        <v/>
      </c>
      <c r="GL222" s="560">
        <f t="shared" si="463"/>
        <v>0</v>
      </c>
      <c r="GM222" s="560" t="str">
        <f t="shared" si="464"/>
        <v/>
      </c>
      <c r="GN222" s="560">
        <f>IF(GK222="P",Lookup!$M$12,IF(GK222="PP",Lookup!$M$13,IF(GK222="PPP",Lookup!$M$14,IF(GK222="T",Lookup!$M$15,IF(GK222="TP",Lookup!$M$16,IF(GK222="TPP",Lookup!$M$17,IF(GK222="TPPP",Lookup!$M$18,0)))))))*GJ222</f>
        <v>0</v>
      </c>
      <c r="GO222" s="560">
        <f t="shared" si="465"/>
        <v>0</v>
      </c>
      <c r="GP222" s="560">
        <f t="shared" si="434"/>
        <v>3849.7775333333338</v>
      </c>
      <c r="GQ222" s="560">
        <f t="shared" si="473"/>
        <v>1254.8166666666668</v>
      </c>
      <c r="GR222" s="560"/>
      <c r="GS222" s="560">
        <f t="shared" si="466"/>
        <v>0</v>
      </c>
      <c r="GT222" s="560" t="str">
        <f t="shared" si="467"/>
        <v/>
      </c>
      <c r="GU222" s="560">
        <f>IF(GK222="P",Lookup!$N$12,IF(GK222="PP",Lookup!$N$13,IF(GK222="PPP",Lookup!$N$14,IF(GK222="T",Lookup!$N$15,IF(GK222="TP",Lookup!$N$16,IF(GK222="TPP",Lookup!$N$17,IF(GK222="TPPP",Lookup!$N$18,0)))))))*GJ222</f>
        <v>0</v>
      </c>
      <c r="GV222" s="560">
        <f t="shared" si="468"/>
        <v>0</v>
      </c>
      <c r="GW222" s="560">
        <f t="shared" si="435"/>
        <v>1744.6022817346925</v>
      </c>
      <c r="GX222" s="560">
        <f t="shared" si="474"/>
        <v>568.64481151717484</v>
      </c>
      <c r="GY222" s="560"/>
      <c r="GZ222" s="560">
        <f t="shared" si="469"/>
        <v>0</v>
      </c>
      <c r="HA222" s="560" t="str">
        <f t="shared" si="470"/>
        <v/>
      </c>
      <c r="HB222" s="560">
        <f>IF(GK222="P",Lookup!$N$12,IF(GK222="PP",Lookup!$N$13,IF(GK222="PPP",Lookup!$N$14,IF(GK222="T",Lookup!$N$15,IF(GK222="TP",Lookup!$N$16,IF(GK222="TPP",Lookup!$N$17,IF(GK222="TPPP",Lookup!$N$18,0)))))))*GJ222</f>
        <v>0</v>
      </c>
      <c r="HC222" s="545">
        <f t="shared" si="436"/>
        <v>0</v>
      </c>
      <c r="HD222" s="560">
        <f t="shared" si="437"/>
        <v>1530.817942664926</v>
      </c>
      <c r="HE222" s="560">
        <f t="shared" si="475"/>
        <v>498.96282355440871</v>
      </c>
      <c r="HF222" s="560"/>
      <c r="HG222" s="560">
        <f t="shared" si="471"/>
        <v>0</v>
      </c>
      <c r="HH222" s="560" t="str">
        <f t="shared" si="472"/>
        <v/>
      </c>
      <c r="HI222" s="560">
        <f>IF(GK222="P",Lookup!$N$12,IF(GK222="PP",Lookup!$N$13,IF(GK222="PPP",Lookup!$N$14,IF(GK222="T",Lookup!$N$15,IF(GK222="TP",Lookup!$N$16,IF(GK222="TPP",Lookup!$N$17,IF(GK222="TPPP",Lookup!$N$18,0)))))))*GJ222</f>
        <v>0</v>
      </c>
      <c r="HJ222" s="545">
        <f t="shared" si="438"/>
        <v>0</v>
      </c>
      <c r="HK222" s="560">
        <f t="shared" si="439"/>
        <v>1146.0413052011027</v>
      </c>
      <c r="HL222" s="560">
        <f t="shared" si="476"/>
        <v>373.54670964833855</v>
      </c>
    </row>
    <row r="223" spans="1:220">
      <c r="A223" s="580" t="s">
        <v>7</v>
      </c>
      <c r="B223" s="556">
        <v>41851</v>
      </c>
      <c r="C223" s="561">
        <v>0</v>
      </c>
      <c r="D223" s="529">
        <f t="shared" si="477"/>
        <v>200</v>
      </c>
      <c r="E223" s="529">
        <f t="shared" si="478"/>
        <v>400</v>
      </c>
      <c r="F223" s="529">
        <v>250</v>
      </c>
      <c r="G223" s="560">
        <f>DR223+Sheet1!CZ225</f>
        <v>211.33837619755556</v>
      </c>
      <c r="H223" s="1082">
        <f t="shared" si="442"/>
        <v>7.3291263740999151</v>
      </c>
      <c r="I223" s="559">
        <f>MAX(Sheet1!Z225-AT223+(Sheet1!DA225-E223)*CFStoMGD,0)</f>
        <v>7.3012000000000015</v>
      </c>
      <c r="J223" s="562">
        <f>IF(AND(B223&gt;=Calculation!GC223,B223&lt;=Calculation!GD223),IF(Sheet1!DB225&gt;=Calculation!D223,64.64,0),MAX(Sheet1!Z225-AT223+(Sheet1!DB225-D223)*CFStoMGD,0))</f>
        <v>44.792400000000001</v>
      </c>
      <c r="K223" s="1101">
        <v>0</v>
      </c>
      <c r="L223" s="560">
        <f>Sheet1!AA225+Sheet1!AB225-Sheet1!L225+(Sheet1!DA225-F223)*CFStoMGD</f>
        <v>154.47119999999998</v>
      </c>
      <c r="M223" s="560">
        <f t="shared" si="376"/>
        <v>139.34130890158193</v>
      </c>
      <c r="N223" s="910">
        <f>IF(Sheet1!DA225&gt;=F223,MIN(73,MIN(MAX(L223,0),MAX(M223,0))),0)</f>
        <v>73</v>
      </c>
      <c r="O223" s="563">
        <f>Sheet1!AA225+Sheet1!AB225</f>
        <v>100.82</v>
      </c>
      <c r="P223" s="563">
        <f t="shared" si="377"/>
        <v>155.96853999999999</v>
      </c>
      <c r="Q223" s="898">
        <f t="shared" si="444"/>
        <v>72.819999999999993</v>
      </c>
      <c r="R223" s="829">
        <f t="shared" si="378"/>
        <v>28</v>
      </c>
      <c r="S223" s="898">
        <f t="shared" si="445"/>
        <v>0</v>
      </c>
      <c r="T223" s="898">
        <f t="shared" si="446"/>
        <v>0</v>
      </c>
      <c r="U223" s="898">
        <f t="shared" si="447"/>
        <v>28</v>
      </c>
      <c r="V223" s="898"/>
      <c r="W223" s="898">
        <f t="shared" si="448"/>
        <v>0</v>
      </c>
      <c r="X223" s="898">
        <f t="shared" si="449"/>
        <v>0</v>
      </c>
      <c r="Y223" s="898" t="str">
        <f t="shared" si="450"/>
        <v>FALSE</v>
      </c>
      <c r="Z223" s="898">
        <f t="shared" si="451"/>
        <v>100.82</v>
      </c>
      <c r="AA223" s="898">
        <f t="shared" si="452"/>
        <v>100.82</v>
      </c>
      <c r="AB223" s="898" t="str">
        <f t="shared" si="453"/>
        <v/>
      </c>
      <c r="AC223" s="563">
        <f>Sheet1!Y225*MGDtoCFS</f>
        <v>77.643929999999997</v>
      </c>
      <c r="AD223" s="563">
        <f>Sheet1!Z225*MGDtoCFS</f>
        <v>78.293669999999992</v>
      </c>
      <c r="AE223" s="563">
        <f>Sheet1!AA225*MGDtoCFS</f>
        <v>83.228599999999986</v>
      </c>
      <c r="AF223" s="563">
        <f>Sheet1!AB225*MGDtoCFS</f>
        <v>72.739940000000004</v>
      </c>
      <c r="AG223" s="563">
        <f>Sheet1!L225*MGDtoCFS</f>
        <v>0</v>
      </c>
      <c r="AH223" s="545">
        <f>AU223+BN223+CI223+DB223</f>
        <v>28</v>
      </c>
      <c r="AI223" s="560">
        <f t="shared" si="380"/>
        <v>43.315999999999995</v>
      </c>
      <c r="AJ223" s="560">
        <f t="shared" si="381"/>
        <v>0</v>
      </c>
      <c r="AK223" s="560">
        <f t="shared" si="382"/>
        <v>0</v>
      </c>
      <c r="AL223" s="560">
        <f>(VLOOKUP(Sheet1!DC225,hhdcap_wcm,4)-(((VLOOKUP(Sheet1!DC225,hhdcap_wcm,3)-Sheet1!DC225)/(VLOOKUP(Sheet1!DC225,hhdcap_wcm,3)-VLOOKUP(Sheet1!DC225,hhdcap_wcm,1)))*(VLOOKUP(Sheet1!DC225,hhdcap_wcm,4)-VLOOKUP(Sheet1!DC225,hhdcap_wcm,2))))</f>
        <v>43791.000000108048</v>
      </c>
      <c r="AM223" s="560">
        <f t="shared" si="383"/>
        <v>-271.00000000024738</v>
      </c>
      <c r="AN223" s="560">
        <f t="shared" si="384"/>
        <v>2667.971011386589</v>
      </c>
      <c r="AO223" s="560">
        <f t="shared" si="385"/>
        <v>8185.3350629340548</v>
      </c>
      <c r="AP223" s="560">
        <f>Sheet1!BA225+Sheet1!BB225+Sheet1!BN225+CD223</f>
        <v>28.950000000000003</v>
      </c>
      <c r="AQ223" s="560">
        <f>Sheet1!BN225+(DO223*Sheet1!BN225)</f>
        <v>26.80277198832847</v>
      </c>
      <c r="AR223" s="560">
        <f>Sheet1!BA225+CD223</f>
        <v>0</v>
      </c>
      <c r="AS223" s="560">
        <f>Sheet1!BA225+Sheet1!BB225+CD223</f>
        <v>1.6</v>
      </c>
      <c r="AT223" s="698">
        <f>0</f>
        <v>0</v>
      </c>
      <c r="AU223" s="560">
        <f>IF(EB223&lt;K223,0,MAX(Sheet1!AA225+AQ223-15/36*K223-N223,Sheet1!EH225,0))</f>
        <v>9</v>
      </c>
      <c r="AV223" s="560">
        <f>IF(OR(B223&gt;=GD223,B223&lt;GC223),0,15/36*K223-MAX(0,64.6-(137.6-(Sheet1!AA225+Sheet1!AB225))))</f>
        <v>0</v>
      </c>
      <c r="AW223" s="698">
        <f>Sheet1!DB225-110</f>
        <v>81</v>
      </c>
      <c r="AX223" s="698">
        <f>Sheet1!DA225-265</f>
        <v>68</v>
      </c>
      <c r="AY223" s="698">
        <f t="shared" si="386"/>
        <v>0.18000000000000682</v>
      </c>
      <c r="AZ223" s="1082"/>
      <c r="BA223" s="698">
        <f t="shared" si="387"/>
        <v>0</v>
      </c>
      <c r="BB223" s="560">
        <f t="shared" si="388"/>
        <v>1245.8166666666668</v>
      </c>
      <c r="BC223" s="560"/>
      <c r="BD223" s="560">
        <f ca="1">IF(B223&gt;Summary!$A$1,#N/A,BB223*MGtoAF)</f>
        <v>3822.1655333333338</v>
      </c>
      <c r="BE223" s="560">
        <f>Sheet1!BG225+Sheet1!BH225+Sheet1!BI225-BM223</f>
        <v>3</v>
      </c>
      <c r="BF223" s="560">
        <f t="shared" si="389"/>
        <v>2.9399749895789911</v>
      </c>
      <c r="BG223" s="560">
        <f>IF(Sheet1!EP225="FM",BM223,0)</f>
        <v>0</v>
      </c>
      <c r="BH223" s="560">
        <f t="shared" si="390"/>
        <v>0</v>
      </c>
      <c r="BI223" s="560">
        <f>IF(Sheet1!EP225="OTHER",BM223,0)</f>
        <v>0</v>
      </c>
      <c r="BJ223" s="560">
        <f t="shared" si="391"/>
        <v>0</v>
      </c>
      <c r="BK223" s="560">
        <f t="shared" si="392"/>
        <v>3</v>
      </c>
      <c r="BL223" s="560">
        <f t="shared" si="393"/>
        <v>2.9399749895789911</v>
      </c>
      <c r="BM223" s="560">
        <f>IF(OR(Sheet1!EP225="FM", Sheet1!EP225="OTHER"),SUM(Sheet1!BG225:'Sheet1'!BI225),0)</f>
        <v>0</v>
      </c>
      <c r="BN223" s="545">
        <f>IF(AND($B223&gt;=$FV223,$B223&lt;=$FW223),MAX(BF223,Sheet1!EI225,0),MAX(BF223-(7/36)*$K223,0))</f>
        <v>3</v>
      </c>
      <c r="BO223" s="560">
        <f t="shared" si="394"/>
        <v>0</v>
      </c>
      <c r="BP223" s="545">
        <f t="shared" si="395"/>
        <v>0</v>
      </c>
      <c r="BQ223" s="545">
        <f>IF(AND($O223&gt;0,Sheet1!EM225=1),(1-($O223-Sheet1!$L225)/$O223)*BL223,0)</f>
        <v>0</v>
      </c>
      <c r="BR223" s="545">
        <f>IF(AND(Sheet1!$L225=0,Sheet1!$L224=0, Calculation!BK223&lt;Sheet1!$EI225-0.1,Sheet1!$EI225=Sheet1!$EI224,Sheet1!$EI225=Sheet1!$EI226),Sheet1!$EI225,BL223-BQ223)</f>
        <v>2.9399749895789911</v>
      </c>
      <c r="BS223" s="560"/>
      <c r="BT223" s="560"/>
      <c r="BU223" s="560">
        <f t="shared" si="396"/>
        <v>565.64481151717484</v>
      </c>
      <c r="BV223" s="560"/>
      <c r="BW223" s="560">
        <f ca="1">IF(B223&gt;Summary!$A$1,#N/A,BU223*MGtoAF)</f>
        <v>1735.3982817346925</v>
      </c>
      <c r="BX223" s="560">
        <f>Sheet1!BC225+Sheet1!BD225+Sheet1!BE225+Sheet1!BF225-CG223-CH223</f>
        <v>5</v>
      </c>
      <c r="BY223" s="560">
        <f t="shared" si="397"/>
        <v>4.8999583159649855</v>
      </c>
      <c r="BZ223" s="560">
        <f>IF(Sheet1!EQ225="FM",CH223,0)</f>
        <v>0</v>
      </c>
      <c r="CA223" s="560">
        <f t="shared" si="398"/>
        <v>0</v>
      </c>
      <c r="CB223" s="560">
        <f>IF(Sheet1!EQ225="OTHER",CH223,0)</f>
        <v>0</v>
      </c>
      <c r="CC223" s="560">
        <f t="shared" si="399"/>
        <v>0</v>
      </c>
      <c r="CD223" s="560">
        <f t="shared" si="400"/>
        <v>0</v>
      </c>
      <c r="CE223" s="560">
        <f t="shared" si="401"/>
        <v>5</v>
      </c>
      <c r="CF223" s="560">
        <f t="shared" si="402"/>
        <v>4.8999583159649855</v>
      </c>
      <c r="CG223" s="560">
        <f>IF(Sheet1!EQ225="CWA",SUM(Sheet1!BC225:'Sheet1'!BF225),0)</f>
        <v>0</v>
      </c>
      <c r="CH223" s="560">
        <f>IF(OR(Sheet1!EQ225="FM", Sheet1!EQ225="OTHER"),SUM(Sheet1!BC225:'Sheet1'!BF225),0)</f>
        <v>0</v>
      </c>
      <c r="CI223" s="545">
        <f>IF(AND($B223&gt;=$FV223,$B223&lt;=$FW223),MAX(CF223,Sheet1!EJ225,0),MAX(CF223-(7/36)*$K223,0))</f>
        <v>5</v>
      </c>
      <c r="CJ223" s="560">
        <f t="shared" si="403"/>
        <v>0</v>
      </c>
      <c r="CK223" s="545">
        <f t="shared" si="404"/>
        <v>0</v>
      </c>
      <c r="CL223" s="545">
        <f>IF(AND($O223&gt;0,Sheet1!EN225=1),(1-($O223-Sheet1!$L225)/$O223)*CF223,0)</f>
        <v>0</v>
      </c>
      <c r="CM223" s="545">
        <f>IF(AND(Sheet1!$L225=0,Sheet1!$L224=0, Calculation!CE223&lt;Sheet1!EJ225-0.1,Sheet1!EJ225=Sheet1!EJ224,Sheet1!EJ225=Sheet1!EJ226),Sheet1!EJ225,CF223-CL223)</f>
        <v>4.8999583159649855</v>
      </c>
      <c r="CN223" s="545"/>
      <c r="CO223" s="560"/>
      <c r="CP223" s="560">
        <f t="shared" si="405"/>
        <v>493.96282355440871</v>
      </c>
      <c r="CQ223" s="560"/>
      <c r="CR223" s="560">
        <f ca="1">IF(B223&gt;Summary!$A$1,#N/A,CP223*MGtoAF)</f>
        <v>1515.4779426649259</v>
      </c>
      <c r="CS223" s="560">
        <f>Sheet1!BK225+Sheet1!BL225+Sheet1!BM225-Sheet1!ER225-DA223</f>
        <v>11.030000000000001</v>
      </c>
      <c r="CT223" s="560">
        <f t="shared" si="406"/>
        <v>10.809308045018758</v>
      </c>
      <c r="CU223" s="560">
        <f>IF(Sheet1!ER225="FM",DA223,0)</f>
        <v>0</v>
      </c>
      <c r="CV223" s="560">
        <f t="shared" si="407"/>
        <v>0</v>
      </c>
      <c r="CW223" s="560">
        <f>IF(Sheet1!ER225="OTHER",DA223,0)</f>
        <v>0</v>
      </c>
      <c r="CX223" s="560">
        <f t="shared" si="408"/>
        <v>0</v>
      </c>
      <c r="CY223" s="560">
        <f t="shared" si="409"/>
        <v>11.030000000000001</v>
      </c>
      <c r="CZ223" s="560">
        <f t="shared" si="410"/>
        <v>10.809308045018758</v>
      </c>
      <c r="DA223" s="560">
        <f>IF(OR(Sheet1!ER225="FM", Sheet1!ER225="OTHER"),SUM(Sheet1!BK225:'Sheet1'!BM225),0)</f>
        <v>0</v>
      </c>
      <c r="DB223" s="799">
        <f>IF(AND($B223&gt;=$FV223,$B223&lt;=$FW223),MAX($CT223,Sheet1!EK225,0),MAX($CT223-(7/36)*$K223,0))</f>
        <v>11</v>
      </c>
      <c r="DC223" s="560">
        <f t="shared" si="411"/>
        <v>0</v>
      </c>
      <c r="DD223" s="545">
        <f t="shared" si="412"/>
        <v>0</v>
      </c>
      <c r="DE223" s="545">
        <f>IF(AND($O223&gt;0,Sheet1!EO225=1),(1-($O223-Sheet1!$L225)/$O223)*CZ223,0)</f>
        <v>0</v>
      </c>
      <c r="DF223" s="545">
        <f>IF(AND(Sheet1!$L225=0,Sheet1!$L224=0, Calculation!CY223&lt;Sheet1!$EK225-0.1,Sheet1!$EK225=Sheet1!$EK224,Sheet1!$EK225=Sheet1!$EK226),Sheet1!$EK225,CZ223-DE223)</f>
        <v>10.809308045018758</v>
      </c>
      <c r="DG223" s="545"/>
      <c r="DH223" s="560">
        <f t="shared" si="413"/>
        <v>19.03</v>
      </c>
      <c r="DI223" s="560">
        <f t="shared" si="414"/>
        <v>362.54670964833855</v>
      </c>
      <c r="DJ223" s="698">
        <f t="shared" si="415"/>
        <v>18.649241350562733</v>
      </c>
      <c r="DK223" s="560">
        <f ca="1">IF(B223&gt;Summary!$A$1,#N/A,DI223*MGtoAF)</f>
        <v>1112.2933052011026</v>
      </c>
      <c r="DL223" s="698">
        <f t="shared" si="416"/>
        <v>19.03</v>
      </c>
      <c r="DM223" s="560">
        <f t="shared" si="417"/>
        <v>47.980000000000004</v>
      </c>
      <c r="DN223" s="560">
        <f>Sheet1!AB225-DM223</f>
        <v>-0.96000000000000085</v>
      </c>
      <c r="DO223" s="823">
        <f t="shared" si="418"/>
        <v>-2.0008336807002935E-2</v>
      </c>
      <c r="DP223" s="560">
        <f>(VLOOKUP(Sheet1!DC225,hhdcap_wcm,4)-(((VLOOKUP(Sheet1!DC225,hhdcap_wcm,3)-Sheet1!DC225)/(VLOOKUP(Sheet1!DC225,hhdcap_wcm,3)-VLOOKUP(Sheet1!DC225,hhdcap_wcm,1)))*(VLOOKUP(Sheet1!DC225,hhdcap_wcm,4)-VLOOKUP(Sheet1!DC225,hhdcap_wcm,2))))</f>
        <v>43791.000000108048</v>
      </c>
      <c r="DQ223" s="560">
        <f t="shared" si="419"/>
        <v>-271.00000000024738</v>
      </c>
      <c r="DR223" s="560">
        <f t="shared" si="420"/>
        <v>-136.66162380244444</v>
      </c>
      <c r="DS223" s="560">
        <f>Sheet1!EA225*AFtoMG</f>
        <v>0</v>
      </c>
      <c r="DT223" s="560">
        <f>Sheet1!EB225*AFtoMG</f>
        <v>0</v>
      </c>
      <c r="DU223" s="560">
        <f>Sheet1!EC225*AFtoMG</f>
        <v>0</v>
      </c>
      <c r="DV223" s="560">
        <f>Sheet1!ED225*AFtoMG</f>
        <v>0</v>
      </c>
      <c r="DW223" s="560">
        <f t="shared" si="421"/>
        <v>0</v>
      </c>
      <c r="DX223" s="560">
        <f t="shared" si="422"/>
        <v>0</v>
      </c>
      <c r="DY223" s="560">
        <f t="shared" si="423"/>
        <v>2667.971011386589</v>
      </c>
      <c r="DZ223" s="560">
        <f t="shared" si="424"/>
        <v>8185.3350629340548</v>
      </c>
      <c r="EA223" s="560"/>
      <c r="EB223" s="545">
        <f>IF(OR(B223&lt;FV223,B223&gt;FW223),(MIN(BF223+BY223+CT223+MAX(Sheet1!AA225+AQ223-73,0),K223)),0)</f>
        <v>0</v>
      </c>
      <c r="EC223" s="560"/>
      <c r="ED223" s="560">
        <f t="shared" si="425"/>
        <v>18.649241350562733</v>
      </c>
      <c r="EE223" s="560"/>
      <c r="EF223" s="560">
        <f>Sheet1!EH225+Sheet1!EI225+Sheet1!EJ225+Sheet1!EK225</f>
        <v>28</v>
      </c>
      <c r="EG223" s="560"/>
      <c r="EH223" s="545">
        <f t="shared" si="426"/>
        <v>0</v>
      </c>
      <c r="EI223" s="560">
        <f>IF(Sheet1!ET225=1,SUM('Calculations II'!AT223:BA223)+'Calculations II'!BC223+Sheet1!BV225+'Calculations II'!BE223+AP223,SUM('Calculations II'!AT223:BA223)+'Calculations II'!BC223+Sheet1!BV225+'Calculations II'!BE223+AP223)</f>
        <v>93.680400000000006</v>
      </c>
      <c r="EJ223" s="560">
        <f>Sheet1!AA225+Sheet1!AB225+'Calculations II'!BC223</f>
        <v>101.74260799999999</v>
      </c>
      <c r="EK223" s="560"/>
      <c r="EL223" s="560"/>
      <c r="EM223" s="560">
        <f t="shared" si="427"/>
        <v>41851</v>
      </c>
      <c r="EN223" s="560">
        <f t="shared" si="428"/>
        <v>-28</v>
      </c>
      <c r="EO223" s="560">
        <f t="shared" si="429"/>
        <v>-43.315999999999995</v>
      </c>
      <c r="EP223" s="560">
        <v>0</v>
      </c>
      <c r="EQ223" s="560">
        <v>0</v>
      </c>
      <c r="ER223" s="560">
        <v>0</v>
      </c>
      <c r="ES223" s="545">
        <f t="shared" si="454"/>
        <v>-0.27715542043960095</v>
      </c>
      <c r="ET223" s="560">
        <f>-(VLOOKUP(Sheet1!BQ225,Lookup!$O$4:$Q$262,2)-VLOOKUP(Sheet1!BQ224,Lookup!$O$4:$Q$262,2))/1000000</f>
        <v>-0.13858091542317347</v>
      </c>
      <c r="EU223" s="560">
        <f>-(VLOOKUP(Sheet1!BR225,Lookup!$O$4:$Q$262,3)-VLOOKUP(Sheet1!BR224,Lookup!$O$4:$Q$262,3))/1000000</f>
        <v>-0.13857450501642748</v>
      </c>
      <c r="EV223" s="560"/>
      <c r="EW223" s="560"/>
      <c r="EX223" s="560"/>
      <c r="EY223" s="560"/>
      <c r="EZ223" s="560"/>
      <c r="FA223" s="560"/>
      <c r="FB223" s="560"/>
      <c r="FC223" s="560"/>
      <c r="FD223" s="594">
        <f t="shared" si="443"/>
        <v>1136.8318840578938</v>
      </c>
      <c r="FE223" s="594" t="e">
        <f t="shared" si="431"/>
        <v>#N/A</v>
      </c>
      <c r="FF223" s="595" t="e">
        <f t="shared" si="432"/>
        <v>#N/A</v>
      </c>
      <c r="FG223" s="596" t="s">
        <v>692</v>
      </c>
      <c r="FH223" s="596" t="s">
        <v>692</v>
      </c>
      <c r="FI223" s="594" t="e">
        <v>#N/A</v>
      </c>
      <c r="FJ223" s="778">
        <v>20900</v>
      </c>
      <c r="FK223" s="560"/>
      <c r="FL223" s="560"/>
      <c r="FM223" s="560"/>
      <c r="FN223" s="560"/>
      <c r="FO223" s="560">
        <f>O223+((Sheet1!CS225)*GPMtoMGD)</f>
        <v>101.74260799999999</v>
      </c>
      <c r="FP223" s="560">
        <f>IF(Sheet1!AA225+AQ223&lt;=Calculation!N223,AQ223,Calculation!N223-Sheet1!AA225)</f>
        <v>19.200000000000003</v>
      </c>
      <c r="FQ223" s="560">
        <f>(Sheet1!BP225+Sheet1!BO225)/694.4</f>
        <v>3.8037154377880187</v>
      </c>
      <c r="FR223" s="560"/>
      <c r="FS223" s="560"/>
      <c r="FT223" s="560"/>
      <c r="FU223" s="560"/>
      <c r="FV223" s="695">
        <f t="shared" si="455"/>
        <v>41827</v>
      </c>
      <c r="FW223" s="695">
        <f t="shared" si="456"/>
        <v>41934</v>
      </c>
      <c r="FX223" s="560"/>
      <c r="FY223" s="560"/>
      <c r="FZ223" s="560"/>
      <c r="GA223" s="560"/>
      <c r="GB223" s="560" t="str">
        <f t="shared" si="457"/>
        <v>n</v>
      </c>
      <c r="GC223" s="564">
        <f t="shared" si="458"/>
        <v>41691</v>
      </c>
      <c r="GD223" s="695">
        <f t="shared" si="459"/>
        <v>41807</v>
      </c>
      <c r="GE223" s="560">
        <v>6518.9</v>
      </c>
      <c r="GF223" s="695">
        <f t="shared" si="460"/>
        <v>41808</v>
      </c>
      <c r="GG223" s="560">
        <f t="shared" si="479"/>
        <v>3259</v>
      </c>
      <c r="GH223" s="564">
        <f t="shared" si="461"/>
        <v>41934</v>
      </c>
      <c r="GJ223" s="545">
        <f t="shared" si="462"/>
        <v>0</v>
      </c>
      <c r="GK223" s="560" t="str">
        <f t="shared" si="433"/>
        <v/>
      </c>
      <c r="GL223" s="560">
        <f t="shared" si="463"/>
        <v>0</v>
      </c>
      <c r="GM223" s="560" t="str">
        <f t="shared" si="464"/>
        <v/>
      </c>
      <c r="GN223" s="560">
        <f>IF(GK223="P",Lookup!$M$12,IF(GK223="PP",Lookup!$M$13,IF(GK223="PPP",Lookup!$M$14,IF(GK223="T",Lookup!$M$15,IF(GK223="TP",Lookup!$M$16,IF(GK223="TPP",Lookup!$M$17,IF(GK223="TPPP",Lookup!$M$18,0)))))))*GJ223</f>
        <v>0</v>
      </c>
      <c r="GO223" s="560">
        <f t="shared" si="465"/>
        <v>0</v>
      </c>
      <c r="GP223" s="560">
        <f t="shared" si="434"/>
        <v>3822.1655333333338</v>
      </c>
      <c r="GQ223" s="560">
        <f t="shared" si="473"/>
        <v>1245.8166666666668</v>
      </c>
      <c r="GR223" s="560"/>
      <c r="GS223" s="560">
        <f t="shared" si="466"/>
        <v>0</v>
      </c>
      <c r="GT223" s="560" t="str">
        <f t="shared" si="467"/>
        <v/>
      </c>
      <c r="GU223" s="560">
        <f>IF(GK223="P",Lookup!$N$12,IF(GK223="PP",Lookup!$N$13,IF(GK223="PPP",Lookup!$N$14,IF(GK223="T",Lookup!$N$15,IF(GK223="TP",Lookup!$N$16,IF(GK223="TPP",Lookup!$N$17,IF(GK223="TPPP",Lookup!$N$18,0)))))))*GJ223</f>
        <v>0</v>
      </c>
      <c r="GV223" s="560">
        <f t="shared" si="468"/>
        <v>0</v>
      </c>
      <c r="GW223" s="560">
        <f t="shared" si="435"/>
        <v>1735.3982817346925</v>
      </c>
      <c r="GX223" s="560">
        <f t="shared" si="474"/>
        <v>565.64481151717484</v>
      </c>
      <c r="GY223" s="560"/>
      <c r="GZ223" s="560">
        <f t="shared" si="469"/>
        <v>0</v>
      </c>
      <c r="HA223" s="560" t="str">
        <f t="shared" si="470"/>
        <v/>
      </c>
      <c r="HB223" s="560">
        <f>IF(GK223="P",Lookup!$N$12,IF(GK223="PP",Lookup!$N$13,IF(GK223="PPP",Lookup!$N$14,IF(GK223="T",Lookup!$N$15,IF(GK223="TP",Lookup!$N$16,IF(GK223="TPP",Lookup!$N$17,IF(GK223="TPPP",Lookup!$N$18,0)))))))*GJ223</f>
        <v>0</v>
      </c>
      <c r="HC223" s="545">
        <f t="shared" si="436"/>
        <v>0</v>
      </c>
      <c r="HD223" s="560">
        <f t="shared" si="437"/>
        <v>1515.4779426649259</v>
      </c>
      <c r="HE223" s="560">
        <f t="shared" si="475"/>
        <v>493.96282355440871</v>
      </c>
      <c r="HF223" s="560"/>
      <c r="HG223" s="560">
        <f t="shared" si="471"/>
        <v>0</v>
      </c>
      <c r="HH223" s="560" t="str">
        <f t="shared" si="472"/>
        <v/>
      </c>
      <c r="HI223" s="560">
        <f>IF(GK223="P",Lookup!$N$12,IF(GK223="PP",Lookup!$N$13,IF(GK223="PPP",Lookup!$N$14,IF(GK223="T",Lookup!$N$15,IF(GK223="TP",Lookup!$N$16,IF(GK223="TPP",Lookup!$N$17,IF(GK223="TPPP",Lookup!$N$18,0)))))))*GJ223</f>
        <v>0</v>
      </c>
      <c r="HJ223" s="545">
        <f t="shared" si="438"/>
        <v>0</v>
      </c>
      <c r="HK223" s="560">
        <f t="shared" si="439"/>
        <v>1112.2933052011026</v>
      </c>
      <c r="HL223" s="560">
        <f t="shared" si="476"/>
        <v>362.54670964833855</v>
      </c>
    </row>
    <row r="224" spans="1:220">
      <c r="A224" s="580" t="s">
        <v>8</v>
      </c>
      <c r="B224" s="556">
        <v>41852</v>
      </c>
      <c r="C224" s="561">
        <v>0</v>
      </c>
      <c r="D224" s="529">
        <f t="shared" si="477"/>
        <v>200</v>
      </c>
      <c r="E224" s="529">
        <f t="shared" si="478"/>
        <v>400</v>
      </c>
      <c r="F224" s="529">
        <v>250</v>
      </c>
      <c r="G224" s="560">
        <f>DR224+Sheet1!CZ226</f>
        <v>212.85123550113758</v>
      </c>
      <c r="H224" s="1082">
        <f t="shared" si="442"/>
        <v>8.3070386279353308</v>
      </c>
      <c r="I224" s="559">
        <f>MAX(Sheet1!Z226-AT224+(Sheet1!DA226-E224)*CFStoMGD,0)</f>
        <v>3.7112000000000052</v>
      </c>
      <c r="J224" s="562">
        <f>IF(AND(B224&gt;=Calculation!GC224,B224&lt;=Calculation!GD224),IF(Sheet1!DB226&gt;=Calculation!D224,64.64,0),MAX(Sheet1!Z226-AT224+(Sheet1!DB226-D224)*CFStoMGD,0))</f>
        <v>41.202400000000004</v>
      </c>
      <c r="K224" s="1101">
        <v>0</v>
      </c>
      <c r="L224" s="560">
        <f>Sheet1!AA226+Sheet1!AB226-Sheet1!L226+(Sheet1!DA226-F224)*CFStoMGD</f>
        <v>152.77119999999999</v>
      </c>
      <c r="M224" s="560">
        <f t="shared" si="376"/>
        <v>140.33877940049405</v>
      </c>
      <c r="N224" s="910">
        <f>IF(Sheet1!DA226&gt;=F224,MIN(73,MIN(MAX(L224,0),MAX(M224,0))),0)</f>
        <v>73</v>
      </c>
      <c r="O224" s="563">
        <f>Sheet1!AA226+Sheet1!AB226</f>
        <v>99.12</v>
      </c>
      <c r="P224" s="563">
        <f t="shared" si="377"/>
        <v>153.33864</v>
      </c>
      <c r="Q224" s="898">
        <f t="shared" si="444"/>
        <v>71.62</v>
      </c>
      <c r="R224" s="829">
        <f t="shared" si="378"/>
        <v>27.5</v>
      </c>
      <c r="S224" s="898">
        <f t="shared" si="445"/>
        <v>0</v>
      </c>
      <c r="T224" s="898">
        <f t="shared" si="446"/>
        <v>0</v>
      </c>
      <c r="U224" s="898">
        <f t="shared" si="447"/>
        <v>27.5</v>
      </c>
      <c r="V224" s="898"/>
      <c r="W224" s="898">
        <f t="shared" si="448"/>
        <v>0</v>
      </c>
      <c r="X224" s="898">
        <f t="shared" si="449"/>
        <v>0</v>
      </c>
      <c r="Y224" s="898" t="str">
        <f t="shared" si="450"/>
        <v>FALSE</v>
      </c>
      <c r="Z224" s="898">
        <f t="shared" si="451"/>
        <v>99.12</v>
      </c>
      <c r="AA224" s="898">
        <f t="shared" si="452"/>
        <v>99.12</v>
      </c>
      <c r="AB224" s="898" t="str">
        <f t="shared" si="453"/>
        <v/>
      </c>
      <c r="AC224" s="563">
        <f>Sheet1!Y226*MGDtoCFS</f>
        <v>83.228599999999986</v>
      </c>
      <c r="AD224" s="563">
        <f>Sheet1!Z226*MGDtoCFS</f>
        <v>72.739940000000004</v>
      </c>
      <c r="AE224" s="563">
        <f>Sheet1!AA226*MGDtoCFS</f>
        <v>83.537999999999997</v>
      </c>
      <c r="AF224" s="563">
        <f>Sheet1!AB226*MGDtoCFS</f>
        <v>69.800639999999987</v>
      </c>
      <c r="AG224" s="563">
        <f>Sheet1!L226*MGDtoCFS</f>
        <v>0</v>
      </c>
      <c r="AH224" s="545">
        <f t="shared" si="379"/>
        <v>27.5</v>
      </c>
      <c r="AI224" s="560">
        <f t="shared" si="380"/>
        <v>42.542499999999997</v>
      </c>
      <c r="AJ224" s="560">
        <f t="shared" si="381"/>
        <v>0</v>
      </c>
      <c r="AK224" s="560">
        <f t="shared" si="382"/>
        <v>0</v>
      </c>
      <c r="AL224" s="560">
        <f>(VLOOKUP(Sheet1!DC226,hhdcap_wcm,4)-(((VLOOKUP(Sheet1!DC226,hhdcap_wcm,3)-Sheet1!DC226)/(VLOOKUP(Sheet1!DC226,hhdcap_wcm,3)-VLOOKUP(Sheet1!DC226,hhdcap_wcm,1)))*(VLOOKUP(Sheet1!DC226,hhdcap_wcm,4)-VLOOKUP(Sheet1!DC226,hhdcap_wcm,2))))</f>
        <v>43523.000000106804</v>
      </c>
      <c r="AM224" s="560">
        <f t="shared" si="383"/>
        <v>-268.00000000124419</v>
      </c>
      <c r="AN224" s="560">
        <f t="shared" si="384"/>
        <v>2640.471011386589</v>
      </c>
      <c r="AO224" s="560">
        <f t="shared" si="385"/>
        <v>8100.9650629340549</v>
      </c>
      <c r="AP224" s="560">
        <f>Sheet1!BA226+Sheet1!BB226+Sheet1!BN226+CD224</f>
        <v>27</v>
      </c>
      <c r="AQ224" s="560">
        <f>Sheet1!BN226+(DO224*Sheet1!BN226)</f>
        <v>24.662104583602321</v>
      </c>
      <c r="AR224" s="560">
        <f>Sheet1!BA226+CD224</f>
        <v>0</v>
      </c>
      <c r="AS224" s="560">
        <f>Sheet1!BA226+Sheet1!BB226+CD224</f>
        <v>1.6</v>
      </c>
      <c r="AT224" s="698">
        <f>0</f>
        <v>0</v>
      </c>
      <c r="AU224" s="560">
        <f>IF(EB224&lt;K224,0,MAX(Sheet1!AA226+AQ224-15/36*K224-N224,Sheet1!EH226,0))</f>
        <v>8</v>
      </c>
      <c r="AV224" s="560">
        <f>IF(OR(B224&gt;=GD224,B224&lt;GC224),0,15/36*K224-MAX(0,64.6-(137.6-(Sheet1!AA226+Sheet1!AB226))))</f>
        <v>0</v>
      </c>
      <c r="AW224" s="698">
        <f>Sheet1!DB226-110</f>
        <v>81</v>
      </c>
      <c r="AX224" s="698">
        <f>Sheet1!DA226-265</f>
        <v>68</v>
      </c>
      <c r="AY224" s="698">
        <f t="shared" si="386"/>
        <v>1.3799999999999955</v>
      </c>
      <c r="AZ224" s="1082"/>
      <c r="BA224" s="698">
        <f t="shared" si="387"/>
        <v>0</v>
      </c>
      <c r="BB224" s="560">
        <f t="shared" si="388"/>
        <v>1237.8166666666668</v>
      </c>
      <c r="BC224" s="560"/>
      <c r="BD224" s="560">
        <f ca="1">IF(B224&gt;Summary!$A$1,#N/A,BB224*MGtoAF)</f>
        <v>3797.6215333333339</v>
      </c>
      <c r="BE224" s="560">
        <f>Sheet1!BG226+Sheet1!BH226+Sheet1!BI226-BM224</f>
        <v>3</v>
      </c>
      <c r="BF224" s="560">
        <f t="shared" si="389"/>
        <v>2.9128469980632667</v>
      </c>
      <c r="BG224" s="560">
        <f>IF(Sheet1!EP226="FM",BM224,0)</f>
        <v>0</v>
      </c>
      <c r="BH224" s="560">
        <f t="shared" si="390"/>
        <v>0</v>
      </c>
      <c r="BI224" s="560">
        <f>IF(Sheet1!EP226="OTHER",BM224,0)</f>
        <v>0</v>
      </c>
      <c r="BJ224" s="560">
        <f t="shared" si="391"/>
        <v>0</v>
      </c>
      <c r="BK224" s="560">
        <f t="shared" si="392"/>
        <v>3</v>
      </c>
      <c r="BL224" s="560">
        <f t="shared" si="393"/>
        <v>2.9128469980632667</v>
      </c>
      <c r="BM224" s="560">
        <f>IF(OR(Sheet1!EP226="FM", Sheet1!EP226="OTHER"),SUM(Sheet1!BG226:'Sheet1'!BI226),0)</f>
        <v>0</v>
      </c>
      <c r="BN224" s="545">
        <f>IF(AND($B224&gt;=$FV224,$B224&lt;=$FW224),MAX(BF224,Sheet1!EI226,0),MAX(BF224-(7/36)*$K224,0))</f>
        <v>3</v>
      </c>
      <c r="BO224" s="560">
        <f t="shared" si="394"/>
        <v>0</v>
      </c>
      <c r="BP224" s="545">
        <f t="shared" si="395"/>
        <v>0</v>
      </c>
      <c r="BQ224" s="545">
        <f>IF(AND($O224&gt;0,Sheet1!EM226=1),(1-($O224-Sheet1!$L226)/$O224)*BL224,0)</f>
        <v>0</v>
      </c>
      <c r="BR224" s="545">
        <f>IF(AND(Sheet1!$L226=0,Sheet1!$L225=0, Calculation!BK224&lt;Sheet1!$EI226-0.1,Sheet1!$EI226=Sheet1!$EI225,Sheet1!$EI226=Sheet1!$EI227),Sheet1!$EI226,BL224-BQ224)</f>
        <v>2.9128469980632667</v>
      </c>
      <c r="BS224" s="560"/>
      <c r="BT224" s="560"/>
      <c r="BU224" s="560">
        <f t="shared" si="396"/>
        <v>562.64481151717484</v>
      </c>
      <c r="BV224" s="560"/>
      <c r="BW224" s="560">
        <f ca="1">IF(B224&gt;Summary!$A$1,#N/A,BU224*MGtoAF)</f>
        <v>1726.1942817346924</v>
      </c>
      <c r="BX224" s="560">
        <f>Sheet1!BC226+Sheet1!BD226+Sheet1!BE226+Sheet1!BF226-CG224-CH224</f>
        <v>5.32</v>
      </c>
      <c r="BY224" s="560">
        <f t="shared" si="397"/>
        <v>5.1654486765655259</v>
      </c>
      <c r="BZ224" s="560">
        <f>IF(Sheet1!EQ226="FM",CH224,0)</f>
        <v>0</v>
      </c>
      <c r="CA224" s="560">
        <f t="shared" si="398"/>
        <v>0</v>
      </c>
      <c r="CB224" s="560">
        <f>IF(Sheet1!EQ226="OTHER",CH224,0)</f>
        <v>0</v>
      </c>
      <c r="CC224" s="560">
        <f t="shared" si="399"/>
        <v>0</v>
      </c>
      <c r="CD224" s="560">
        <f t="shared" si="400"/>
        <v>0</v>
      </c>
      <c r="CE224" s="560">
        <f t="shared" si="401"/>
        <v>5.32</v>
      </c>
      <c r="CF224" s="560">
        <f t="shared" si="402"/>
        <v>5.1654486765655259</v>
      </c>
      <c r="CG224" s="560">
        <f>IF(Sheet1!EQ226="CWA",SUM(Sheet1!BC226:'Sheet1'!BF226),0)</f>
        <v>0</v>
      </c>
      <c r="CH224" s="560">
        <f>IF(OR(Sheet1!EQ226="FM", Sheet1!EQ226="OTHER"),SUM(Sheet1!BC226:'Sheet1'!BF226),0)</f>
        <v>0</v>
      </c>
      <c r="CI224" s="545">
        <f>IF(AND($B224&gt;=$FV224,$B224&lt;=$FW224),MAX(CF224,Sheet1!EJ226,0),MAX(CF224-(7/36)*$K224,0))</f>
        <v>5.5</v>
      </c>
      <c r="CJ224" s="560">
        <f t="shared" si="403"/>
        <v>0</v>
      </c>
      <c r="CK224" s="545">
        <f t="shared" si="404"/>
        <v>0</v>
      </c>
      <c r="CL224" s="545">
        <f>IF(AND($O224&gt;0,Sheet1!EN226=1),(1-($O224-Sheet1!$L226)/$O224)*CF224,0)</f>
        <v>0</v>
      </c>
      <c r="CM224" s="545">
        <f>IF(AND(Sheet1!$L226=0,Sheet1!$L225=0, Calculation!CE224&lt;Sheet1!EJ226-0.1,Sheet1!EJ226=Sheet1!EJ225,Sheet1!EJ226=Sheet1!EJ227),Sheet1!EJ226,CF224-CL224)</f>
        <v>5.1654486765655259</v>
      </c>
      <c r="CN224" s="545"/>
      <c r="CO224" s="560"/>
      <c r="CP224" s="560">
        <f t="shared" si="405"/>
        <v>488.46282355440871</v>
      </c>
      <c r="CQ224" s="560"/>
      <c r="CR224" s="560">
        <f ca="1">IF(B224&gt;Summary!$A$1,#N/A,CP224*MGtoAF)</f>
        <v>1498.6039426649259</v>
      </c>
      <c r="CS224" s="560">
        <f>Sheet1!BK226+Sheet1!BL226+Sheet1!BM226-Sheet1!ER226-DA224</f>
        <v>11.15</v>
      </c>
      <c r="CT224" s="560">
        <f t="shared" si="406"/>
        <v>10.826081342801807</v>
      </c>
      <c r="CU224" s="560">
        <f>IF(Sheet1!ER226="FM",DA224,0)</f>
        <v>0</v>
      </c>
      <c r="CV224" s="560">
        <f t="shared" si="407"/>
        <v>0</v>
      </c>
      <c r="CW224" s="560">
        <f>IF(Sheet1!ER226="OTHER",DA224,0)</f>
        <v>0</v>
      </c>
      <c r="CX224" s="560">
        <f t="shared" si="408"/>
        <v>0</v>
      </c>
      <c r="CY224" s="560">
        <f t="shared" si="409"/>
        <v>11.15</v>
      </c>
      <c r="CZ224" s="560">
        <f t="shared" si="410"/>
        <v>10.826081342801807</v>
      </c>
      <c r="DA224" s="560">
        <f>IF(OR(Sheet1!ER226="FM", Sheet1!ER226="OTHER"),SUM(Sheet1!BK226:'Sheet1'!BM226),0)</f>
        <v>0</v>
      </c>
      <c r="DB224" s="799">
        <f>IF(AND($B224&gt;=$FV224,$B224&lt;=$FW224),MAX($CT224,Sheet1!EK226,0),MAX($CT224-(7/36)*$K224,0))</f>
        <v>11</v>
      </c>
      <c r="DC224" s="560">
        <f t="shared" si="411"/>
        <v>0</v>
      </c>
      <c r="DD224" s="545">
        <f t="shared" si="412"/>
        <v>0</v>
      </c>
      <c r="DE224" s="545">
        <f>IF(AND($O224&gt;0,Sheet1!EO226=1),(1-($O224-Sheet1!$L226)/$O224)*CZ224,0)</f>
        <v>0</v>
      </c>
      <c r="DF224" s="545">
        <f>IF(AND(Sheet1!$L226=0,Sheet1!$L225=0, Calculation!CY224&lt;Sheet1!$EK226-0.1,Sheet1!$EK226=Sheet1!$EK225,Sheet1!$EK226=Sheet1!$EK227),Sheet1!$EK226,CZ224-DE224)</f>
        <v>10.826081342801807</v>
      </c>
      <c r="DG224" s="545"/>
      <c r="DH224" s="560">
        <f t="shared" si="413"/>
        <v>19.47</v>
      </c>
      <c r="DI224" s="560">
        <f t="shared" si="414"/>
        <v>351.54670964833855</v>
      </c>
      <c r="DJ224" s="698">
        <f t="shared" si="415"/>
        <v>18.904377017430598</v>
      </c>
      <c r="DK224" s="560">
        <f ca="1">IF(B224&gt;Summary!$A$1,#N/A,DI224*MGtoAF)</f>
        <v>1078.5453052011028</v>
      </c>
      <c r="DL224" s="698">
        <f t="shared" si="416"/>
        <v>19.47</v>
      </c>
      <c r="DM224" s="560">
        <f t="shared" si="417"/>
        <v>46.47</v>
      </c>
      <c r="DN224" s="560">
        <f>Sheet1!AB226-DM224</f>
        <v>-1.3500000000000014</v>
      </c>
      <c r="DO224" s="823">
        <f t="shared" si="418"/>
        <v>-2.9051000645577824E-2</v>
      </c>
      <c r="DP224" s="560">
        <f>(VLOOKUP(Sheet1!DC226,hhdcap_wcm,4)-(((VLOOKUP(Sheet1!DC226,hhdcap_wcm,3)-Sheet1!DC226)/(VLOOKUP(Sheet1!DC226,hhdcap_wcm,3)-VLOOKUP(Sheet1!DC226,hhdcap_wcm,1)))*(VLOOKUP(Sheet1!DC226,hhdcap_wcm,4)-VLOOKUP(Sheet1!DC226,hhdcap_wcm,2))))</f>
        <v>43523.000000106804</v>
      </c>
      <c r="DQ224" s="560">
        <f t="shared" si="419"/>
        <v>-268.00000000124419</v>
      </c>
      <c r="DR224" s="560">
        <f t="shared" si="420"/>
        <v>-135.14876449886242</v>
      </c>
      <c r="DS224" s="560">
        <f>Sheet1!EA226*AFtoMG</f>
        <v>0</v>
      </c>
      <c r="DT224" s="560">
        <f>Sheet1!EB226*AFtoMG</f>
        <v>0</v>
      </c>
      <c r="DU224" s="560">
        <f>Sheet1!EC226*AFtoMG</f>
        <v>0</v>
      </c>
      <c r="DV224" s="560">
        <f>Sheet1!ED226*AFtoMG</f>
        <v>0</v>
      </c>
      <c r="DW224" s="560">
        <f t="shared" si="421"/>
        <v>0</v>
      </c>
      <c r="DX224" s="560">
        <f t="shared" si="422"/>
        <v>0</v>
      </c>
      <c r="DY224" s="560">
        <f t="shared" si="423"/>
        <v>2640.471011386589</v>
      </c>
      <c r="DZ224" s="560">
        <f t="shared" si="424"/>
        <v>8100.9650629340549</v>
      </c>
      <c r="EA224" s="560"/>
      <c r="EB224" s="545">
        <f>IF(OR(B224&lt;FV224,B224&gt;FW224),(MIN(BF224+BY224+CT224+MAX(Sheet1!AA226+AQ224-73,0),K224)),0)</f>
        <v>0</v>
      </c>
      <c r="EC224" s="560"/>
      <c r="ED224" s="560">
        <f t="shared" si="425"/>
        <v>18.904377017430598</v>
      </c>
      <c r="EE224" s="560"/>
      <c r="EF224" s="560">
        <f>Sheet1!EH226+Sheet1!EI226+Sheet1!EJ226+Sheet1!EK226</f>
        <v>27.5</v>
      </c>
      <c r="EG224" s="560"/>
      <c r="EH224" s="545">
        <f t="shared" si="426"/>
        <v>0</v>
      </c>
      <c r="EI224" s="560">
        <f>IF(Sheet1!ET226=1,SUM('Calculations II'!AT224:BA224)+'Calculations II'!BC224+Sheet1!BV226+'Calculations II'!BE224+AP224,SUM('Calculations II'!AT224:BA224)+'Calculations II'!BC224+Sheet1!BV226+'Calculations II'!BE224+AP224)</f>
        <v>85.36475200000001</v>
      </c>
      <c r="EJ224" s="560">
        <f>Sheet1!AA226+Sheet1!AB226+'Calculations II'!BC224</f>
        <v>99.12</v>
      </c>
      <c r="EK224" s="560"/>
      <c r="EL224" s="560"/>
      <c r="EM224" s="560">
        <f t="shared" si="427"/>
        <v>41852</v>
      </c>
      <c r="EN224" s="560">
        <f t="shared" si="428"/>
        <v>-27.5</v>
      </c>
      <c r="EO224" s="560">
        <f t="shared" si="429"/>
        <v>-42.542499999999997</v>
      </c>
      <c r="EP224" s="560">
        <v>0</v>
      </c>
      <c r="EQ224" s="560">
        <v>0</v>
      </c>
      <c r="ER224" s="560">
        <v>0</v>
      </c>
      <c r="ES224" s="545">
        <f t="shared" si="454"/>
        <v>-5.6845167719161287</v>
      </c>
      <c r="ET224" s="560">
        <f>-(VLOOKUP(Sheet1!BQ226,Lookup!$O$4:$Q$262,2)-VLOOKUP(Sheet1!BQ225,Lookup!$O$4:$Q$262,2))/1000000</f>
        <v>-2.9116802895977534</v>
      </c>
      <c r="EU224" s="560">
        <f>-(VLOOKUP(Sheet1!BR226,Lookup!$O$4:$Q$262,3)-VLOOKUP(Sheet1!BR225,Lookup!$O$4:$Q$262,3))/1000000</f>
        <v>-2.7728364823183753</v>
      </c>
      <c r="EV224" s="560"/>
      <c r="EW224" s="560"/>
      <c r="EX224" s="560"/>
      <c r="EY224" s="560"/>
      <c r="EZ224" s="560"/>
      <c r="FA224" s="560"/>
      <c r="FB224" s="560"/>
      <c r="FC224" s="560"/>
      <c r="FD224" s="594">
        <f t="shared" si="443"/>
        <v>1136.7101449274592</v>
      </c>
      <c r="FE224" s="594" t="e">
        <f t="shared" si="431"/>
        <v>#N/A</v>
      </c>
      <c r="FF224" s="595" t="e">
        <f t="shared" si="432"/>
        <v>#N/A</v>
      </c>
      <c r="FG224" s="596" t="s">
        <v>692</v>
      </c>
      <c r="FH224" s="596" t="s">
        <v>692</v>
      </c>
      <c r="FI224" s="594" t="e">
        <v>#N/A</v>
      </c>
      <c r="FJ224" s="778">
        <v>20732</v>
      </c>
      <c r="FK224" s="560"/>
      <c r="FL224" s="560"/>
      <c r="FM224" s="560"/>
      <c r="FN224" s="560"/>
      <c r="FO224" s="560">
        <f>O224+((Sheet1!CS226)*GPMtoMGD)</f>
        <v>99.12</v>
      </c>
      <c r="FP224" s="560">
        <f>IF(Sheet1!AA226+AQ224&lt;=Calculation!N224,AQ224,Calculation!N224-Sheet1!AA226)</f>
        <v>19</v>
      </c>
      <c r="FQ224" s="560">
        <f>(Sheet1!BP226+Sheet1!BO226)/694.4</f>
        <v>3.9841589861751152</v>
      </c>
      <c r="FR224" s="560"/>
      <c r="FS224" s="560"/>
      <c r="FT224" s="560"/>
      <c r="FU224" s="560"/>
      <c r="FV224" s="695">
        <f t="shared" si="455"/>
        <v>41827</v>
      </c>
      <c r="FW224" s="695">
        <f t="shared" si="456"/>
        <v>41934</v>
      </c>
      <c r="FX224" s="560"/>
      <c r="FY224" s="560"/>
      <c r="FZ224" s="560"/>
      <c r="GA224" s="560"/>
      <c r="GB224" s="560" t="str">
        <f t="shared" si="457"/>
        <v>n</v>
      </c>
      <c r="GC224" s="564">
        <f t="shared" si="458"/>
        <v>41691</v>
      </c>
      <c r="GD224" s="695">
        <f t="shared" si="459"/>
        <v>41807</v>
      </c>
      <c r="GE224" s="560">
        <v>6518.9</v>
      </c>
      <c r="GF224" s="695">
        <f t="shared" si="460"/>
        <v>41808</v>
      </c>
      <c r="GG224" s="560">
        <f t="shared" si="479"/>
        <v>3259</v>
      </c>
      <c r="GH224" s="564">
        <f t="shared" si="461"/>
        <v>41934</v>
      </c>
      <c r="GJ224" s="545">
        <f t="shared" si="462"/>
        <v>0</v>
      </c>
      <c r="GK224" s="560" t="str">
        <f t="shared" si="433"/>
        <v/>
      </c>
      <c r="GL224" s="560">
        <f t="shared" si="463"/>
        <v>0</v>
      </c>
      <c r="GM224" s="560" t="str">
        <f t="shared" si="464"/>
        <v/>
      </c>
      <c r="GN224" s="560">
        <f>IF(GK224="P",Lookup!$M$12,IF(GK224="PP",Lookup!$M$13,IF(GK224="PPP",Lookup!$M$14,IF(GK224="T",Lookup!$M$15,IF(GK224="TP",Lookup!$M$16,IF(GK224="TPP",Lookup!$M$17,IF(GK224="TPPP",Lookup!$M$18,0)))))))*GJ224</f>
        <v>0</v>
      </c>
      <c r="GO224" s="560">
        <f t="shared" si="465"/>
        <v>0</v>
      </c>
      <c r="GP224" s="560">
        <f t="shared" si="434"/>
        <v>3797.6215333333339</v>
      </c>
      <c r="GQ224" s="560">
        <f t="shared" si="473"/>
        <v>1237.8166666666668</v>
      </c>
      <c r="GR224" s="560"/>
      <c r="GS224" s="560">
        <f t="shared" si="466"/>
        <v>0</v>
      </c>
      <c r="GT224" s="560" t="str">
        <f t="shared" si="467"/>
        <v/>
      </c>
      <c r="GU224" s="560">
        <f>IF(GK224="P",Lookup!$N$12,IF(GK224="PP",Lookup!$N$13,IF(GK224="PPP",Lookup!$N$14,IF(GK224="T",Lookup!$N$15,IF(GK224="TP",Lookup!$N$16,IF(GK224="TPP",Lookup!$N$17,IF(GK224="TPPP",Lookup!$N$18,0)))))))*GJ224</f>
        <v>0</v>
      </c>
      <c r="GV224" s="560">
        <f t="shared" si="468"/>
        <v>0</v>
      </c>
      <c r="GW224" s="560">
        <f t="shared" si="435"/>
        <v>1726.1942817346924</v>
      </c>
      <c r="GX224" s="560">
        <f t="shared" si="474"/>
        <v>562.64481151717484</v>
      </c>
      <c r="GY224" s="560"/>
      <c r="GZ224" s="560">
        <f t="shared" si="469"/>
        <v>0</v>
      </c>
      <c r="HA224" s="560" t="str">
        <f t="shared" si="470"/>
        <v/>
      </c>
      <c r="HB224" s="560">
        <f>IF(GK224="P",Lookup!$N$12,IF(GK224="PP",Lookup!$N$13,IF(GK224="PPP",Lookup!$N$14,IF(GK224="T",Lookup!$N$15,IF(GK224="TP",Lookup!$N$16,IF(GK224="TPP",Lookup!$N$17,IF(GK224="TPPP",Lookup!$N$18,0)))))))*GJ224</f>
        <v>0</v>
      </c>
      <c r="HC224" s="545">
        <f t="shared" si="436"/>
        <v>0</v>
      </c>
      <c r="HD224" s="560">
        <f t="shared" si="437"/>
        <v>1498.6039426649259</v>
      </c>
      <c r="HE224" s="560">
        <f t="shared" si="475"/>
        <v>488.46282355440871</v>
      </c>
      <c r="HF224" s="560"/>
      <c r="HG224" s="560">
        <f t="shared" si="471"/>
        <v>0</v>
      </c>
      <c r="HH224" s="560" t="str">
        <f t="shared" si="472"/>
        <v/>
      </c>
      <c r="HI224" s="560">
        <f>IF(GK224="P",Lookup!$N$12,IF(GK224="PP",Lookup!$N$13,IF(GK224="PPP",Lookup!$N$14,IF(GK224="T",Lookup!$N$15,IF(GK224="TP",Lookup!$N$16,IF(GK224="TPP",Lookup!$N$17,IF(GK224="TPPP",Lookup!$N$18,0)))))))*GJ224</f>
        <v>0</v>
      </c>
      <c r="HJ224" s="545">
        <f t="shared" si="438"/>
        <v>0</v>
      </c>
      <c r="HK224" s="560">
        <f t="shared" si="439"/>
        <v>1078.5453052011028</v>
      </c>
      <c r="HL224" s="560">
        <f t="shared" si="476"/>
        <v>351.54670964833855</v>
      </c>
    </row>
    <row r="225" spans="1:220">
      <c r="A225" s="580" t="s">
        <v>9</v>
      </c>
      <c r="B225" s="556">
        <v>41853</v>
      </c>
      <c r="C225" s="561">
        <v>0</v>
      </c>
      <c r="D225" s="529">
        <f t="shared" si="477"/>
        <v>200</v>
      </c>
      <c r="E225" s="529">
        <f t="shared" si="478"/>
        <v>400</v>
      </c>
      <c r="F225" s="529">
        <v>250</v>
      </c>
      <c r="G225" s="560">
        <f>DR225+Sheet1!CZ227</f>
        <v>240.0827029751689</v>
      </c>
      <c r="H225" s="1082">
        <f t="shared" si="442"/>
        <v>25.909459203149176</v>
      </c>
      <c r="I225" s="559">
        <f>MAX(Sheet1!Z227-AT225+(Sheet1!DA227-E225)*CFStoMGD,0)</f>
        <v>1.8111999999999995</v>
      </c>
      <c r="J225" s="562">
        <f>IF(AND(B225&gt;=Calculation!GC225,B225&lt;=Calculation!GD225),IF(Sheet1!DB227&gt;=Calculation!D225,64.64,0),MAX(Sheet1!Z227-AT225+(Sheet1!DB227-D225)*CFStoMGD,0))</f>
        <v>28.313599999999997</v>
      </c>
      <c r="K225" s="1101">
        <v>0</v>
      </c>
      <c r="L225" s="560">
        <f>Sheet1!AA227+Sheet1!AB227-Sheet1!L227+(Sheet1!DA227-F225)*CFStoMGD</f>
        <v>151.55119999999999</v>
      </c>
      <c r="M225" s="560">
        <f t="shared" si="376"/>
        <v>158.29324838721217</v>
      </c>
      <c r="N225" s="910">
        <f>IF(Sheet1!DA227&gt;=F225,MIN(73,MIN(MAX(L225,0),MAX(M225,0))),0)</f>
        <v>73</v>
      </c>
      <c r="O225" s="563">
        <f>Sheet1!AA227+Sheet1!AB227</f>
        <v>97.9</v>
      </c>
      <c r="P225" s="563">
        <f t="shared" si="377"/>
        <v>151.4513</v>
      </c>
      <c r="Q225" s="898">
        <f t="shared" si="444"/>
        <v>72.69</v>
      </c>
      <c r="R225" s="829">
        <f t="shared" si="378"/>
        <v>25.21</v>
      </c>
      <c r="S225" s="898">
        <f t="shared" si="445"/>
        <v>0</v>
      </c>
      <c r="T225" s="898">
        <f t="shared" si="446"/>
        <v>0</v>
      </c>
      <c r="U225" s="898">
        <f t="shared" si="447"/>
        <v>25.21</v>
      </c>
      <c r="V225" s="898"/>
      <c r="W225" s="898">
        <f t="shared" si="448"/>
        <v>0</v>
      </c>
      <c r="X225" s="898">
        <f t="shared" si="449"/>
        <v>0</v>
      </c>
      <c r="Y225" s="898" t="str">
        <f t="shared" si="450"/>
        <v>FALSE</v>
      </c>
      <c r="Z225" s="898">
        <f t="shared" si="451"/>
        <v>97.9</v>
      </c>
      <c r="AA225" s="898">
        <f t="shared" si="452"/>
        <v>97.9</v>
      </c>
      <c r="AB225" s="898" t="str">
        <f t="shared" si="453"/>
        <v/>
      </c>
      <c r="AC225" s="563">
        <f>Sheet1!Y227*MGDtoCFS</f>
        <v>83.537999999999997</v>
      </c>
      <c r="AD225" s="563">
        <f>Sheet1!Z227*MGDtoCFS</f>
        <v>69.800639999999987</v>
      </c>
      <c r="AE225" s="563">
        <f>Sheet1!AA227*MGDtoCFS</f>
        <v>83.692700000000002</v>
      </c>
      <c r="AF225" s="563">
        <f>Sheet1!AB227*MGDtoCFS</f>
        <v>67.758599999999987</v>
      </c>
      <c r="AG225" s="563">
        <f>Sheet1!L227*MGDtoCFS</f>
        <v>0</v>
      </c>
      <c r="AH225" s="545">
        <f t="shared" si="379"/>
        <v>25.21</v>
      </c>
      <c r="AI225" s="560">
        <f t="shared" si="380"/>
        <v>38.999870000000001</v>
      </c>
      <c r="AJ225" s="560">
        <f t="shared" si="381"/>
        <v>0</v>
      </c>
      <c r="AK225" s="560">
        <f t="shared" si="382"/>
        <v>0</v>
      </c>
      <c r="AL225" s="560">
        <f>(VLOOKUP(Sheet1!DC227,hhdcap_wcm,4)-(((VLOOKUP(Sheet1!DC227,hhdcap_wcm,3)-Sheet1!DC227)/(VLOOKUP(Sheet1!DC227,hhdcap_wcm,3)-VLOOKUP(Sheet1!DC227,hhdcap_wcm,1)))*(VLOOKUP(Sheet1!DC227,hhdcap_wcm,4)-VLOOKUP(Sheet1!DC227,hhdcap_wcm,2))))</f>
        <v>43309.000000106564</v>
      </c>
      <c r="AM225" s="560">
        <f t="shared" si="383"/>
        <v>-214.00000000024011</v>
      </c>
      <c r="AN225" s="560">
        <f t="shared" si="384"/>
        <v>2615.261011386589</v>
      </c>
      <c r="AO225" s="560">
        <f t="shared" si="385"/>
        <v>8023.6207829340547</v>
      </c>
      <c r="AP225" s="560">
        <f>Sheet1!BA227+Sheet1!BB227+Sheet1!BN227+CD225</f>
        <v>25.3</v>
      </c>
      <c r="AQ225" s="560">
        <f>Sheet1!BN227+(DO225*Sheet1!BN227)</f>
        <v>23.145150501672237</v>
      </c>
      <c r="AR225" s="560">
        <f>Sheet1!BA227+CD225</f>
        <v>0</v>
      </c>
      <c r="AS225" s="560">
        <f>Sheet1!BA227+Sheet1!BB227+CD225</f>
        <v>1.6</v>
      </c>
      <c r="AT225" s="698">
        <f>0</f>
        <v>0</v>
      </c>
      <c r="AU225" s="560">
        <f>IF(EB225&lt;K225,0,MAX(Sheet1!AA227+AQ225-15/36*K225-N225,Sheet1!EH227,0))</f>
        <v>5.71</v>
      </c>
      <c r="AV225" s="560">
        <f>IF(OR(B225&gt;=GD225,B225&lt;GC225),0,15/36*K225-MAX(0,64.6-(137.6-(Sheet1!AA227+Sheet1!AB227))))</f>
        <v>0</v>
      </c>
      <c r="AW225" s="698">
        <f>Sheet1!DB227-110</f>
        <v>64</v>
      </c>
      <c r="AX225" s="698">
        <f>Sheet1!DA227-265</f>
        <v>68</v>
      </c>
      <c r="AY225" s="698">
        <f t="shared" si="386"/>
        <v>0.31000000000000227</v>
      </c>
      <c r="AZ225" s="1082"/>
      <c r="BA225" s="698">
        <f t="shared" si="387"/>
        <v>0</v>
      </c>
      <c r="BB225" s="560">
        <f t="shared" si="388"/>
        <v>1232.1066666666668</v>
      </c>
      <c r="BC225" s="560"/>
      <c r="BD225" s="560">
        <f ca="1">IF(B225&gt;Summary!$A$1,#N/A,BB225*MGtoAF)</f>
        <v>3780.1032533333337</v>
      </c>
      <c r="BE225" s="560">
        <f>Sheet1!BG227+Sheet1!BH227+Sheet1!BI227-BM225</f>
        <v>3</v>
      </c>
      <c r="BF225" s="560">
        <f t="shared" si="389"/>
        <v>2.9297658862876252</v>
      </c>
      <c r="BG225" s="560">
        <f>IF(Sheet1!EP227="FM",BM225,0)</f>
        <v>0</v>
      </c>
      <c r="BH225" s="560">
        <f t="shared" si="390"/>
        <v>0</v>
      </c>
      <c r="BI225" s="560">
        <f>IF(Sheet1!EP227="OTHER",BM225,0)</f>
        <v>0</v>
      </c>
      <c r="BJ225" s="560">
        <f t="shared" si="391"/>
        <v>0</v>
      </c>
      <c r="BK225" s="560">
        <f t="shared" si="392"/>
        <v>3</v>
      </c>
      <c r="BL225" s="560">
        <f t="shared" si="393"/>
        <v>2.9297658862876252</v>
      </c>
      <c r="BM225" s="560">
        <f>IF(OR(Sheet1!EP227="FM", Sheet1!EP227="OTHER"),SUM(Sheet1!BG227:'Sheet1'!BI227),0)</f>
        <v>0</v>
      </c>
      <c r="BN225" s="545">
        <f>IF(AND($B225&gt;=$FV225,$B225&lt;=$FW225),MAX(BF225,Sheet1!EI227,0),MAX(BF225-(7/36)*$K225,0))</f>
        <v>3</v>
      </c>
      <c r="BO225" s="560">
        <f t="shared" si="394"/>
        <v>0</v>
      </c>
      <c r="BP225" s="545">
        <f t="shared" si="395"/>
        <v>0</v>
      </c>
      <c r="BQ225" s="545">
        <f>IF(AND($O225&gt;0,Sheet1!EM227=1),(1-($O225-Sheet1!$L227)/$O225)*BL225,0)</f>
        <v>0</v>
      </c>
      <c r="BR225" s="545">
        <f>IF(AND(Sheet1!$L227=0,Sheet1!$L226=0, Calculation!BK225&lt;Sheet1!$EI227-0.1,Sheet1!$EI227=Sheet1!$EI226,Sheet1!$EI227=Sheet1!$EI228),Sheet1!$EI227,BL225-BQ225)</f>
        <v>2.9297658862876252</v>
      </c>
      <c r="BS225" s="560"/>
      <c r="BT225" s="560"/>
      <c r="BU225" s="560">
        <f t="shared" si="396"/>
        <v>559.64481151717484</v>
      </c>
      <c r="BV225" s="560"/>
      <c r="BW225" s="560">
        <f ca="1">IF(B225&gt;Summary!$A$1,#N/A,BU225*MGtoAF)</f>
        <v>1716.9902817346924</v>
      </c>
      <c r="BX225" s="560">
        <f>Sheet1!BC227+Sheet1!BD227+Sheet1!BE227+Sheet1!BF227-CG225-CH225</f>
        <v>5.5</v>
      </c>
      <c r="BY225" s="560">
        <f t="shared" si="397"/>
        <v>5.3712374581939795</v>
      </c>
      <c r="BZ225" s="560">
        <f>IF(Sheet1!EQ227="FM",CH225,0)</f>
        <v>0</v>
      </c>
      <c r="CA225" s="560">
        <f t="shared" si="398"/>
        <v>0</v>
      </c>
      <c r="CB225" s="560">
        <f>IF(Sheet1!EQ227="OTHER",CH225,0)</f>
        <v>0</v>
      </c>
      <c r="CC225" s="560">
        <f t="shared" si="399"/>
        <v>0</v>
      </c>
      <c r="CD225" s="560">
        <f t="shared" si="400"/>
        <v>0</v>
      </c>
      <c r="CE225" s="560">
        <f t="shared" si="401"/>
        <v>5.5</v>
      </c>
      <c r="CF225" s="560">
        <f t="shared" si="402"/>
        <v>5.3712374581939795</v>
      </c>
      <c r="CG225" s="560">
        <f>IF(Sheet1!EQ227="CWA",SUM(Sheet1!BC227:'Sheet1'!BF227),0)</f>
        <v>0</v>
      </c>
      <c r="CH225" s="560">
        <f>IF(OR(Sheet1!EQ227="FM", Sheet1!EQ227="OTHER"),SUM(Sheet1!BC227:'Sheet1'!BF227),0)</f>
        <v>0</v>
      </c>
      <c r="CI225" s="545">
        <f>IF(AND($B225&gt;=$FV225,$B225&lt;=$FW225),MAX(CF225,Sheet1!EJ227,0),MAX(CF225-(7/36)*$K225,0))</f>
        <v>5.5</v>
      </c>
      <c r="CJ225" s="560">
        <f t="shared" si="403"/>
        <v>0</v>
      </c>
      <c r="CK225" s="545">
        <f t="shared" si="404"/>
        <v>0</v>
      </c>
      <c r="CL225" s="545">
        <f>IF(AND($O225&gt;0,Sheet1!EN227=1),(1-($O225-Sheet1!$L227)/$O225)*CF225,0)</f>
        <v>0</v>
      </c>
      <c r="CM225" s="545">
        <f>IF(AND(Sheet1!$L227=0,Sheet1!$L226=0, Calculation!CE225&lt;Sheet1!EJ227-0.1,Sheet1!EJ227=Sheet1!EJ226,Sheet1!EJ227=Sheet1!EJ228),Sheet1!EJ227,CF225-CL225)</f>
        <v>5.3712374581939795</v>
      </c>
      <c r="CN225" s="545"/>
      <c r="CO225" s="560"/>
      <c r="CP225" s="560">
        <f t="shared" si="405"/>
        <v>482.96282355440871</v>
      </c>
      <c r="CQ225" s="560"/>
      <c r="CR225" s="560">
        <f ca="1">IF(B225&gt;Summary!$A$1,#N/A,CP225*MGtoAF)</f>
        <v>1481.7299426649261</v>
      </c>
      <c r="CS225" s="560">
        <f>Sheet1!BK227+Sheet1!BL227+Sheet1!BM227-Sheet1!ER227-DA225</f>
        <v>11.05</v>
      </c>
      <c r="CT225" s="560">
        <f t="shared" si="406"/>
        <v>10.791304347826086</v>
      </c>
      <c r="CU225" s="560">
        <f>IF(Sheet1!ER227="FM",DA225,0)</f>
        <v>0</v>
      </c>
      <c r="CV225" s="560">
        <f t="shared" si="407"/>
        <v>0</v>
      </c>
      <c r="CW225" s="560">
        <f>IF(Sheet1!ER227="OTHER",DA225,0)</f>
        <v>0</v>
      </c>
      <c r="CX225" s="560">
        <f t="shared" si="408"/>
        <v>0</v>
      </c>
      <c r="CY225" s="560">
        <f t="shared" si="409"/>
        <v>11.05</v>
      </c>
      <c r="CZ225" s="560">
        <f t="shared" si="410"/>
        <v>10.791304347826086</v>
      </c>
      <c r="DA225" s="560">
        <f>IF(OR(Sheet1!ER227="FM", Sheet1!ER227="OTHER"),SUM(Sheet1!BK227:'Sheet1'!BM227),0)</f>
        <v>0</v>
      </c>
      <c r="DB225" s="799">
        <f>IF(AND($B225&gt;=$FV225,$B225&lt;=$FW225),MAX($CT225,Sheet1!EK227,0),MAX($CT225-(7/36)*$K225,0))</f>
        <v>11</v>
      </c>
      <c r="DC225" s="560">
        <f t="shared" si="411"/>
        <v>0</v>
      </c>
      <c r="DD225" s="545">
        <f t="shared" si="412"/>
        <v>0</v>
      </c>
      <c r="DE225" s="545">
        <f>IF(AND($O225&gt;0,Sheet1!EO227=1),(1-($O225-Sheet1!$L227)/$O225)*CZ225,0)</f>
        <v>0</v>
      </c>
      <c r="DF225" s="545">
        <f>IF(AND(Sheet1!$L227=0,Sheet1!$L226=0, Calculation!CY225&lt;Sheet1!$EK227-0.1,Sheet1!$EK227=Sheet1!$EK226,Sheet1!$EK227=Sheet1!$EK228),Sheet1!$EK227,CZ225-DE225)</f>
        <v>10.791304347826086</v>
      </c>
      <c r="DG225" s="545"/>
      <c r="DH225" s="560">
        <f t="shared" si="413"/>
        <v>19.55</v>
      </c>
      <c r="DI225" s="560">
        <f t="shared" si="414"/>
        <v>340.54670964833855</v>
      </c>
      <c r="DJ225" s="698">
        <f t="shared" si="415"/>
        <v>19.092307692307692</v>
      </c>
      <c r="DK225" s="560">
        <f ca="1">IF(B225&gt;Summary!$A$1,#N/A,DI225*MGtoAF)</f>
        <v>1044.7973052011027</v>
      </c>
      <c r="DL225" s="698">
        <f t="shared" si="416"/>
        <v>19.55</v>
      </c>
      <c r="DM225" s="560">
        <f t="shared" si="417"/>
        <v>44.85</v>
      </c>
      <c r="DN225" s="560">
        <f>Sheet1!AB227-DM225</f>
        <v>-1.0500000000000043</v>
      </c>
      <c r="DO225" s="823">
        <f t="shared" si="418"/>
        <v>-2.3411371237458289E-2</v>
      </c>
      <c r="DP225" s="560">
        <f>(VLOOKUP(Sheet1!DC227,hhdcap_wcm,4)-(((VLOOKUP(Sheet1!DC227,hhdcap_wcm,3)-Sheet1!DC227)/(VLOOKUP(Sheet1!DC227,hhdcap_wcm,3)-VLOOKUP(Sheet1!DC227,hhdcap_wcm,1)))*(VLOOKUP(Sheet1!DC227,hhdcap_wcm,4)-VLOOKUP(Sheet1!DC227,hhdcap_wcm,2))))</f>
        <v>43309.000000106564</v>
      </c>
      <c r="DQ225" s="560">
        <f t="shared" si="419"/>
        <v>-214.00000000024011</v>
      </c>
      <c r="DR225" s="560">
        <f t="shared" si="420"/>
        <v>-107.9172970248311</v>
      </c>
      <c r="DS225" s="560">
        <f>Sheet1!EA227*AFtoMG</f>
        <v>0</v>
      </c>
      <c r="DT225" s="560">
        <f>Sheet1!EB227*AFtoMG</f>
        <v>0</v>
      </c>
      <c r="DU225" s="560">
        <f>Sheet1!EC227*AFtoMG</f>
        <v>0</v>
      </c>
      <c r="DV225" s="560">
        <f>Sheet1!ED227*AFtoMG</f>
        <v>0</v>
      </c>
      <c r="DW225" s="560">
        <f t="shared" si="421"/>
        <v>0</v>
      </c>
      <c r="DX225" s="560">
        <f t="shared" si="422"/>
        <v>0</v>
      </c>
      <c r="DY225" s="560">
        <f t="shared" si="423"/>
        <v>2615.261011386589</v>
      </c>
      <c r="DZ225" s="560">
        <f t="shared" si="424"/>
        <v>8023.6207829340547</v>
      </c>
      <c r="EA225" s="560"/>
      <c r="EB225" s="545">
        <f>IF(OR(B225&lt;FV225,B225&gt;FW225),(MIN(BF225+BY225+CT225+MAX(Sheet1!AA227+AQ225-73,0),K225)),0)</f>
        <v>0</v>
      </c>
      <c r="EC225" s="560"/>
      <c r="ED225" s="560">
        <f t="shared" si="425"/>
        <v>19.092307692307692</v>
      </c>
      <c r="EE225" s="560"/>
      <c r="EF225" s="560">
        <f>Sheet1!EH227+Sheet1!EI227+Sheet1!EJ227+Sheet1!EK227</f>
        <v>25.21</v>
      </c>
      <c r="EG225" s="560"/>
      <c r="EH225" s="545">
        <f t="shared" si="426"/>
        <v>0</v>
      </c>
      <c r="EI225" s="560">
        <f>IF(Sheet1!ET227=1,SUM('Calculations II'!AT225:BA225)+'Calculations II'!BC225+Sheet1!BV227+'Calculations II'!BE225+AP225,SUM('Calculations II'!AT225:BA225)+'Calculations II'!BC225+Sheet1!BV227+'Calculations II'!BE225+AP225)</f>
        <v>86.445328000000003</v>
      </c>
      <c r="EJ225" s="560">
        <f>Sheet1!AA227+Sheet1!AB227+'Calculations II'!BC225</f>
        <v>97.9</v>
      </c>
      <c r="EK225" s="560"/>
      <c r="EL225" s="560"/>
      <c r="EM225" s="560">
        <f t="shared" si="427"/>
        <v>41853</v>
      </c>
      <c r="EN225" s="560">
        <f t="shared" si="428"/>
        <v>-25.21</v>
      </c>
      <c r="EO225" s="560">
        <f t="shared" si="429"/>
        <v>-38.999870000000001</v>
      </c>
      <c r="EP225" s="560">
        <v>0</v>
      </c>
      <c r="EQ225" s="560">
        <v>0</v>
      </c>
      <c r="ER225" s="560">
        <v>0</v>
      </c>
      <c r="ES225" s="545">
        <f t="shared" si="454"/>
        <v>-3.4688064307412505</v>
      </c>
      <c r="ET225" s="560">
        <f>-(VLOOKUP(Sheet1!BQ227,Lookup!$O$4:$Q$262,2)-VLOOKUP(Sheet1!BQ226,Lookup!$O$4:$Q$262,2))/1000000</f>
        <v>-1.6650871249000765</v>
      </c>
      <c r="EU225" s="560">
        <f>-(VLOOKUP(Sheet1!BR227,Lookup!$O$4:$Q$262,3)-VLOOKUP(Sheet1!BR226,Lookup!$O$4:$Q$262,3))/1000000</f>
        <v>-1.803719305841174</v>
      </c>
      <c r="EV225" s="560"/>
      <c r="EW225" s="560"/>
      <c r="EX225" s="560"/>
      <c r="EY225" s="560"/>
      <c r="EZ225" s="560"/>
      <c r="FA225" s="560"/>
      <c r="FB225" s="560"/>
      <c r="FC225" s="560"/>
      <c r="FD225" s="594">
        <f t="shared" si="443"/>
        <v>1136.5882352940407</v>
      </c>
      <c r="FE225" s="594" t="e">
        <f t="shared" si="431"/>
        <v>#N/A</v>
      </c>
      <c r="FF225" s="595" t="e">
        <f t="shared" si="432"/>
        <v>#N/A</v>
      </c>
      <c r="FG225" s="596" t="s">
        <v>692</v>
      </c>
      <c r="FH225" s="596" t="s">
        <v>692</v>
      </c>
      <c r="FI225" s="594" t="e">
        <v>#N/A</v>
      </c>
      <c r="FJ225" s="778">
        <v>20564</v>
      </c>
      <c r="FK225" s="560"/>
      <c r="FL225" s="560"/>
      <c r="FM225" s="560"/>
      <c r="FN225" s="560"/>
      <c r="FO225" s="560">
        <f>O225+((Sheet1!CS227)*GPMtoMGD)</f>
        <v>97.9</v>
      </c>
      <c r="FP225" s="560">
        <f>IF(Sheet1!AA227+AQ225&lt;=Calculation!N225,AQ225,Calculation!N225-Sheet1!AA227)</f>
        <v>18.899999999999999</v>
      </c>
      <c r="FQ225" s="560">
        <f>(Sheet1!BP227+Sheet1!BO227)/694.4</f>
        <v>3.9742223502304146</v>
      </c>
      <c r="FR225" s="560"/>
      <c r="FS225" s="560"/>
      <c r="FT225" s="560"/>
      <c r="FU225" s="560"/>
      <c r="FV225" s="695">
        <f t="shared" si="455"/>
        <v>41827</v>
      </c>
      <c r="FW225" s="695">
        <f t="shared" si="456"/>
        <v>41934</v>
      </c>
      <c r="FX225" s="560"/>
      <c r="FY225" s="560"/>
      <c r="FZ225" s="560"/>
      <c r="GA225" s="560"/>
      <c r="GB225" s="560" t="str">
        <f t="shared" si="457"/>
        <v>n</v>
      </c>
      <c r="GC225" s="564">
        <f t="shared" si="458"/>
        <v>41691</v>
      </c>
      <c r="GD225" s="695">
        <f t="shared" si="459"/>
        <v>41807</v>
      </c>
      <c r="GE225" s="560">
        <v>6518.9</v>
      </c>
      <c r="GF225" s="695">
        <f t="shared" si="460"/>
        <v>41808</v>
      </c>
      <c r="GG225" s="560">
        <f t="shared" si="479"/>
        <v>3259</v>
      </c>
      <c r="GH225" s="564">
        <f t="shared" si="461"/>
        <v>41934</v>
      </c>
      <c r="GJ225" s="545">
        <f t="shared" si="462"/>
        <v>0</v>
      </c>
      <c r="GK225" s="560" t="str">
        <f t="shared" si="433"/>
        <v/>
      </c>
      <c r="GL225" s="560">
        <f t="shared" si="463"/>
        <v>0</v>
      </c>
      <c r="GM225" s="560" t="str">
        <f t="shared" si="464"/>
        <v/>
      </c>
      <c r="GN225" s="560">
        <f>IF(GK225="P",Lookup!$M$12,IF(GK225="PP",Lookup!$M$13,IF(GK225="PPP",Lookup!$M$14,IF(GK225="T",Lookup!$M$15,IF(GK225="TP",Lookup!$M$16,IF(GK225="TPP",Lookup!$M$17,IF(GK225="TPPP",Lookup!$M$18,0)))))))*GJ225</f>
        <v>0</v>
      </c>
      <c r="GO225" s="560">
        <f t="shared" si="465"/>
        <v>0</v>
      </c>
      <c r="GP225" s="560">
        <f t="shared" si="434"/>
        <v>3780.1032533333337</v>
      </c>
      <c r="GQ225" s="560">
        <f t="shared" si="473"/>
        <v>1232.1066666666668</v>
      </c>
      <c r="GR225" s="560"/>
      <c r="GS225" s="560">
        <f t="shared" si="466"/>
        <v>0</v>
      </c>
      <c r="GT225" s="560" t="str">
        <f t="shared" si="467"/>
        <v/>
      </c>
      <c r="GU225" s="560">
        <f>IF(GK225="P",Lookup!$N$12,IF(GK225="PP",Lookup!$N$13,IF(GK225="PPP",Lookup!$N$14,IF(GK225="T",Lookup!$N$15,IF(GK225="TP",Lookup!$N$16,IF(GK225="TPP",Lookup!$N$17,IF(GK225="TPPP",Lookup!$N$18,0)))))))*GJ225</f>
        <v>0</v>
      </c>
      <c r="GV225" s="560">
        <f t="shared" si="468"/>
        <v>0</v>
      </c>
      <c r="GW225" s="560">
        <f t="shared" si="435"/>
        <v>1716.9902817346924</v>
      </c>
      <c r="GX225" s="560">
        <f t="shared" si="474"/>
        <v>559.64481151717484</v>
      </c>
      <c r="GY225" s="560"/>
      <c r="GZ225" s="560">
        <f t="shared" si="469"/>
        <v>0</v>
      </c>
      <c r="HA225" s="560" t="str">
        <f t="shared" si="470"/>
        <v/>
      </c>
      <c r="HB225" s="560">
        <f>IF(GK225="P",Lookup!$N$12,IF(GK225="PP",Lookup!$N$13,IF(GK225="PPP",Lookup!$N$14,IF(GK225="T",Lookup!$N$15,IF(GK225="TP",Lookup!$N$16,IF(GK225="TPP",Lookup!$N$17,IF(GK225="TPPP",Lookup!$N$18,0)))))))*GJ225</f>
        <v>0</v>
      </c>
      <c r="HC225" s="545">
        <f t="shared" si="436"/>
        <v>0</v>
      </c>
      <c r="HD225" s="560">
        <f t="shared" si="437"/>
        <v>1481.7299426649261</v>
      </c>
      <c r="HE225" s="560">
        <f t="shared" si="475"/>
        <v>482.96282355440871</v>
      </c>
      <c r="HF225" s="560"/>
      <c r="HG225" s="560">
        <f t="shared" si="471"/>
        <v>0</v>
      </c>
      <c r="HH225" s="560" t="str">
        <f t="shared" si="472"/>
        <v/>
      </c>
      <c r="HI225" s="560">
        <f>IF(GK225="P",Lookup!$N$12,IF(GK225="PP",Lookup!$N$13,IF(GK225="PPP",Lookup!$N$14,IF(GK225="T",Lookup!$N$15,IF(GK225="TP",Lookup!$N$16,IF(GK225="TPP",Lookup!$N$17,IF(GK225="TPPP",Lookup!$N$18,0)))))))*GJ225</f>
        <v>0</v>
      </c>
      <c r="HJ225" s="545">
        <f t="shared" si="438"/>
        <v>0</v>
      </c>
      <c r="HK225" s="560">
        <f t="shared" si="439"/>
        <v>1044.7973052011027</v>
      </c>
      <c r="HL225" s="560">
        <f t="shared" si="476"/>
        <v>340.54670964833855</v>
      </c>
    </row>
    <row r="226" spans="1:220">
      <c r="A226" s="580" t="s">
        <v>3</v>
      </c>
      <c r="B226" s="556">
        <v>41854</v>
      </c>
      <c r="C226" s="561">
        <v>0</v>
      </c>
      <c r="D226" s="529">
        <f t="shared" si="477"/>
        <v>200</v>
      </c>
      <c r="E226" s="529">
        <f t="shared" si="478"/>
        <v>400</v>
      </c>
      <c r="F226" s="529">
        <v>250</v>
      </c>
      <c r="G226" s="560">
        <f>DR226+Sheet1!CZ228</f>
        <v>207.70751386775368</v>
      </c>
      <c r="H226" s="1082">
        <f t="shared" si="442"/>
        <v>4.9821369641159761</v>
      </c>
      <c r="I226" s="559">
        <f>MAX(Sheet1!Z228-AT226+(Sheet1!DA228-E226)*CFStoMGD,0)</f>
        <v>0</v>
      </c>
      <c r="J226" s="562">
        <f>IF(AND(B226&gt;=Calculation!GC226,B226&lt;=Calculation!GD226),IF(Sheet1!DB228&gt;=Calculation!D226,64.64,0),MAX(Sheet1!Z228-AT226+(Sheet1!DB228-D226)*CFStoMGD,0))</f>
        <v>26.993599999999997</v>
      </c>
      <c r="K226" s="1101">
        <v>0</v>
      </c>
      <c r="L226" s="560">
        <f>Sheet1!AA228+Sheet1!AB228-Sheet1!L228+(Sheet1!DA228-F226)*CFStoMGD</f>
        <v>149.3056</v>
      </c>
      <c r="M226" s="560">
        <f t="shared" si="376"/>
        <v>136.9473797033983</v>
      </c>
      <c r="N226" s="910">
        <f>IF(Sheet1!DA228&gt;=F226,MIN(73,MIN(MAX(L226,0),MAX(M226,0))),0)</f>
        <v>73</v>
      </c>
      <c r="O226" s="563">
        <f>Sheet1!AA228+Sheet1!AB228</f>
        <v>98.240000000000009</v>
      </c>
      <c r="P226" s="563">
        <f t="shared" si="377"/>
        <v>151.97728000000001</v>
      </c>
      <c r="Q226" s="898">
        <f t="shared" si="444"/>
        <v>73</v>
      </c>
      <c r="R226" s="829">
        <f t="shared" si="378"/>
        <v>25.240000000000002</v>
      </c>
      <c r="S226" s="898">
        <f t="shared" si="445"/>
        <v>0</v>
      </c>
      <c r="T226" s="898">
        <f t="shared" si="446"/>
        <v>0</v>
      </c>
      <c r="U226" s="898">
        <f t="shared" si="447"/>
        <v>25.240000000000002</v>
      </c>
      <c r="V226" s="898"/>
      <c r="W226" s="898">
        <f t="shared" si="448"/>
        <v>0</v>
      </c>
      <c r="X226" s="898">
        <f t="shared" si="449"/>
        <v>0</v>
      </c>
      <c r="Y226" s="898" t="str">
        <f t="shared" si="450"/>
        <v>FALSE</v>
      </c>
      <c r="Z226" s="898">
        <f t="shared" si="451"/>
        <v>98.240000000000009</v>
      </c>
      <c r="AA226" s="898">
        <f t="shared" si="452"/>
        <v>98.240000000000009</v>
      </c>
      <c r="AB226" s="898" t="str">
        <f t="shared" si="453"/>
        <v/>
      </c>
      <c r="AC226" s="563">
        <f>Sheet1!Y228*MGDtoCFS</f>
        <v>83.692700000000002</v>
      </c>
      <c r="AD226" s="563">
        <f>Sheet1!Z228*MGDtoCFS</f>
        <v>67.758599999999987</v>
      </c>
      <c r="AE226" s="563">
        <f>Sheet1!AA228*MGDtoCFS</f>
        <v>83.75457999999999</v>
      </c>
      <c r="AF226" s="563">
        <f>Sheet1!AB228*MGDtoCFS</f>
        <v>68.222700000000003</v>
      </c>
      <c r="AG226" s="563">
        <f>Sheet1!L228*MGDtoCFS</f>
        <v>0</v>
      </c>
      <c r="AH226" s="545">
        <f t="shared" si="379"/>
        <v>25.240000000000002</v>
      </c>
      <c r="AI226" s="560">
        <f t="shared" si="380"/>
        <v>39.046280000000003</v>
      </c>
      <c r="AJ226" s="560">
        <f t="shared" si="381"/>
        <v>0</v>
      </c>
      <c r="AK226" s="560">
        <f t="shared" si="382"/>
        <v>0</v>
      </c>
      <c r="AL226" s="560">
        <f>(VLOOKUP(Sheet1!DC228,hhdcap_wcm,4)-(((VLOOKUP(Sheet1!DC228,hhdcap_wcm,3)-Sheet1!DC228)/(VLOOKUP(Sheet1!DC228,hhdcap_wcm,3)-VLOOKUP(Sheet1!DC228,hhdcap_wcm,1)))*(VLOOKUP(Sheet1!DC228,hhdcap_wcm,4)-VLOOKUP(Sheet1!DC228,hhdcap_wcm,2))))</f>
        <v>43030.800000106319</v>
      </c>
      <c r="AM226" s="560">
        <f t="shared" si="383"/>
        <v>-278.20000000024447</v>
      </c>
      <c r="AN226" s="560">
        <f t="shared" si="384"/>
        <v>2590.0210113865887</v>
      </c>
      <c r="AO226" s="560">
        <f t="shared" si="385"/>
        <v>7946.184462934054</v>
      </c>
      <c r="AP226" s="560">
        <f>Sheet1!BA228+Sheet1!BB228+Sheet1!BN228+CD226</f>
        <v>25.66</v>
      </c>
      <c r="AQ226" s="560">
        <f>Sheet1!BN228+(DO226*Sheet1!BN228)</f>
        <v>23.484860557768926</v>
      </c>
      <c r="AR226" s="560">
        <f>Sheet1!BA228+CD226</f>
        <v>0</v>
      </c>
      <c r="AS226" s="560">
        <f>Sheet1!BA228+Sheet1!BB228+CD226</f>
        <v>1.6</v>
      </c>
      <c r="AT226" s="698">
        <f>0</f>
        <v>0</v>
      </c>
      <c r="AU226" s="560">
        <f>IF(EB226&lt;K226,0,MAX(Sheet1!AA228+AQ226-15/36*K226-N226,Sheet1!EH228,0))</f>
        <v>5.74</v>
      </c>
      <c r="AV226" s="560">
        <f>IF(OR(B226&gt;=GD226,B226&lt;GC226),0,15/36*K226-MAX(0,64.6-(137.6-(Sheet1!AA228+Sheet1!AB228))))</f>
        <v>0</v>
      </c>
      <c r="AW226" s="698">
        <f>Sheet1!DB228-110</f>
        <v>64</v>
      </c>
      <c r="AX226" s="698">
        <f>Sheet1!DA228-265</f>
        <v>64</v>
      </c>
      <c r="AY226" s="698">
        <f t="shared" si="386"/>
        <v>0</v>
      </c>
      <c r="AZ226" s="1082"/>
      <c r="BA226" s="698">
        <f t="shared" si="387"/>
        <v>0</v>
      </c>
      <c r="BB226" s="560">
        <f t="shared" si="388"/>
        <v>1226.3666666666668</v>
      </c>
      <c r="BC226" s="560"/>
      <c r="BD226" s="560">
        <f ca="1">IF(B226&gt;Summary!$A$1,#N/A,BB226*MGtoAF)</f>
        <v>3762.4929333333339</v>
      </c>
      <c r="BE226" s="560">
        <f>Sheet1!BG228+Sheet1!BH228+Sheet1!BI228-BM226</f>
        <v>3</v>
      </c>
      <c r="BF226" s="560">
        <f t="shared" si="389"/>
        <v>2.9282868525896415</v>
      </c>
      <c r="BG226" s="560">
        <f>IF(Sheet1!EP228="FM",BM226,0)</f>
        <v>0</v>
      </c>
      <c r="BH226" s="560">
        <f t="shared" si="390"/>
        <v>0</v>
      </c>
      <c r="BI226" s="560">
        <f>IF(Sheet1!EP228="OTHER",BM226,0)</f>
        <v>0</v>
      </c>
      <c r="BJ226" s="560">
        <f t="shared" si="391"/>
        <v>0</v>
      </c>
      <c r="BK226" s="560">
        <f t="shared" si="392"/>
        <v>3</v>
      </c>
      <c r="BL226" s="560">
        <f t="shared" si="393"/>
        <v>2.9282868525896415</v>
      </c>
      <c r="BM226" s="560">
        <f>IF(OR(Sheet1!EP228="FM", Sheet1!EP228="OTHER"),SUM(Sheet1!BG228:'Sheet1'!BI228),0)</f>
        <v>0</v>
      </c>
      <c r="BN226" s="545">
        <f>IF(AND($B226&gt;=$FV226,$B226&lt;=$FW226),MAX(BF226,Sheet1!EI228,0),MAX(BF226-(7/36)*$K226,0))</f>
        <v>3</v>
      </c>
      <c r="BO226" s="560">
        <f t="shared" si="394"/>
        <v>0</v>
      </c>
      <c r="BP226" s="545">
        <f t="shared" si="395"/>
        <v>0</v>
      </c>
      <c r="BQ226" s="545">
        <f>IF(AND($O226&gt;0,Sheet1!EM228=1),(1-($O226-Sheet1!$L228)/$O226)*BL226,0)</f>
        <v>0</v>
      </c>
      <c r="BR226" s="545">
        <f>IF(AND(Sheet1!$L228=0,Sheet1!$L227=0, Calculation!BK226&lt;Sheet1!$EI228-0.1,Sheet1!$EI228=Sheet1!$EI227,Sheet1!$EI228=Sheet1!$EI229),Sheet1!$EI228,BL226-BQ226)</f>
        <v>2.9282868525896415</v>
      </c>
      <c r="BS226" s="560"/>
      <c r="BT226" s="560"/>
      <c r="BU226" s="560">
        <f t="shared" si="396"/>
        <v>556.64481151717484</v>
      </c>
      <c r="BV226" s="560"/>
      <c r="BW226" s="560">
        <f ca="1">IF(B226&gt;Summary!$A$1,#N/A,BU226*MGtoAF)</f>
        <v>1707.7862817346925</v>
      </c>
      <c r="BX226" s="560">
        <f>Sheet1!BC228+Sheet1!BD228+Sheet1!BE228+Sheet1!BF228-CG226-CH226</f>
        <v>5.49</v>
      </c>
      <c r="BY226" s="560">
        <f t="shared" si="397"/>
        <v>5.3587649402390438</v>
      </c>
      <c r="BZ226" s="560">
        <f>IF(Sheet1!EQ228="FM",CH226,0)</f>
        <v>0</v>
      </c>
      <c r="CA226" s="560">
        <f t="shared" si="398"/>
        <v>0</v>
      </c>
      <c r="CB226" s="560">
        <f>IF(Sheet1!EQ228="OTHER",CH226,0)</f>
        <v>0</v>
      </c>
      <c r="CC226" s="560">
        <f t="shared" si="399"/>
        <v>0</v>
      </c>
      <c r="CD226" s="560">
        <f t="shared" si="400"/>
        <v>0</v>
      </c>
      <c r="CE226" s="560">
        <f t="shared" si="401"/>
        <v>5.49</v>
      </c>
      <c r="CF226" s="560">
        <f t="shared" si="402"/>
        <v>5.3587649402390438</v>
      </c>
      <c r="CG226" s="560">
        <f>IF(Sheet1!EQ228="CWA",SUM(Sheet1!BC228:'Sheet1'!BF228),0)</f>
        <v>0</v>
      </c>
      <c r="CH226" s="560">
        <f>IF(OR(Sheet1!EQ228="FM", Sheet1!EQ228="OTHER"),SUM(Sheet1!BC228:'Sheet1'!BF228),0)</f>
        <v>0</v>
      </c>
      <c r="CI226" s="545">
        <f>IF(AND($B226&gt;=$FV226,$B226&lt;=$FW226),MAX(CF226,Sheet1!EJ228,0),MAX(CF226-(7/36)*$K226,0))</f>
        <v>5.5</v>
      </c>
      <c r="CJ226" s="560">
        <f t="shared" si="403"/>
        <v>0</v>
      </c>
      <c r="CK226" s="545">
        <f t="shared" si="404"/>
        <v>0</v>
      </c>
      <c r="CL226" s="545">
        <f>IF(AND($O226&gt;0,Sheet1!EN228=1),(1-($O226-Sheet1!$L228)/$O226)*CF226,0)</f>
        <v>0</v>
      </c>
      <c r="CM226" s="545">
        <f>IF(AND(Sheet1!$L228=0,Sheet1!$L227=0, Calculation!CE226&lt;Sheet1!EJ228-0.1,Sheet1!EJ228=Sheet1!EJ227,Sheet1!EJ228=Sheet1!EJ229),Sheet1!EJ228,CF226-CL226)</f>
        <v>5.3587649402390438</v>
      </c>
      <c r="CN226" s="545"/>
      <c r="CO226" s="560"/>
      <c r="CP226" s="560">
        <f t="shared" si="405"/>
        <v>477.46282355440871</v>
      </c>
      <c r="CQ226" s="560"/>
      <c r="CR226" s="560">
        <f ca="1">IF(B226&gt;Summary!$A$1,#N/A,CP226*MGtoAF)</f>
        <v>1464.855942664926</v>
      </c>
      <c r="CS226" s="560">
        <f>Sheet1!BK228+Sheet1!BL228+Sheet1!BM228-Sheet1!ER228-DA226</f>
        <v>11.03</v>
      </c>
      <c r="CT226" s="560">
        <f t="shared" si="406"/>
        <v>10.766334661354582</v>
      </c>
      <c r="CU226" s="560">
        <f>IF(Sheet1!ER228="FM",DA226,0)</f>
        <v>0</v>
      </c>
      <c r="CV226" s="560">
        <f t="shared" si="407"/>
        <v>0</v>
      </c>
      <c r="CW226" s="560">
        <f>IF(Sheet1!ER228="OTHER",DA226,0)</f>
        <v>0</v>
      </c>
      <c r="CX226" s="560">
        <f t="shared" si="408"/>
        <v>0</v>
      </c>
      <c r="CY226" s="560">
        <f t="shared" si="409"/>
        <v>11.03</v>
      </c>
      <c r="CZ226" s="560">
        <f t="shared" si="410"/>
        <v>10.766334661354582</v>
      </c>
      <c r="DA226" s="560">
        <f>IF(OR(Sheet1!ER228="FM", Sheet1!ER228="OTHER"),SUM(Sheet1!BK228:'Sheet1'!BM228),0)</f>
        <v>0</v>
      </c>
      <c r="DB226" s="799">
        <f>IF(AND($B226&gt;=$FV226,$B226&lt;=$FW226),MAX($CT226,Sheet1!EK228,0),MAX($CT226-(7/36)*$K226,0))</f>
        <v>11</v>
      </c>
      <c r="DC226" s="560">
        <f t="shared" si="411"/>
        <v>0</v>
      </c>
      <c r="DD226" s="545">
        <f t="shared" si="412"/>
        <v>0</v>
      </c>
      <c r="DE226" s="545">
        <f>IF(AND($O226&gt;0,Sheet1!EO228=1),(1-($O226-Sheet1!$L228)/$O226)*CZ226,0)</f>
        <v>0</v>
      </c>
      <c r="DF226" s="545">
        <f>IF(AND(Sheet1!$L228=0,Sheet1!$L227=0, Calculation!CY226&lt;Sheet1!$EK228-0.1,Sheet1!$EK228=Sheet1!$EK227,Sheet1!$EK228=Sheet1!$EK229),Sheet1!$EK228,CZ226-DE226)</f>
        <v>10.766334661354582</v>
      </c>
      <c r="DG226" s="545"/>
      <c r="DH226" s="560">
        <f t="shared" si="413"/>
        <v>19.52</v>
      </c>
      <c r="DI226" s="560">
        <f t="shared" si="414"/>
        <v>329.54670964833855</v>
      </c>
      <c r="DJ226" s="698">
        <f t="shared" si="415"/>
        <v>19.053386454183268</v>
      </c>
      <c r="DK226" s="560">
        <f ca="1">IF(B226&gt;Summary!$A$1,#N/A,DI226*MGtoAF)</f>
        <v>1011.0493052011027</v>
      </c>
      <c r="DL226" s="698">
        <f t="shared" si="416"/>
        <v>19.52</v>
      </c>
      <c r="DM226" s="560">
        <f t="shared" si="417"/>
        <v>45.18</v>
      </c>
      <c r="DN226" s="560">
        <f>Sheet1!AB228-DM226</f>
        <v>-1.0799999999999983</v>
      </c>
      <c r="DO226" s="823">
        <f t="shared" si="418"/>
        <v>-2.3904382470119483E-2</v>
      </c>
      <c r="DP226" s="560">
        <f>(VLOOKUP(Sheet1!DC228,hhdcap_wcm,4)-(((VLOOKUP(Sheet1!DC228,hhdcap_wcm,3)-Sheet1!DC228)/(VLOOKUP(Sheet1!DC228,hhdcap_wcm,3)-VLOOKUP(Sheet1!DC228,hhdcap_wcm,1)))*(VLOOKUP(Sheet1!DC228,hhdcap_wcm,4)-VLOOKUP(Sheet1!DC228,hhdcap_wcm,2))))</f>
        <v>43030.800000106319</v>
      </c>
      <c r="DQ226" s="560">
        <f t="shared" si="419"/>
        <v>-278.20000000024447</v>
      </c>
      <c r="DR226" s="560">
        <f t="shared" si="420"/>
        <v>-140.29248613224632</v>
      </c>
      <c r="DS226" s="560">
        <f>Sheet1!EA228*AFtoMG</f>
        <v>0</v>
      </c>
      <c r="DT226" s="560">
        <f>Sheet1!EB228*AFtoMG</f>
        <v>0</v>
      </c>
      <c r="DU226" s="560">
        <f>Sheet1!EC228*AFtoMG</f>
        <v>0</v>
      </c>
      <c r="DV226" s="560">
        <f>Sheet1!ED228*AFtoMG</f>
        <v>0</v>
      </c>
      <c r="DW226" s="560">
        <f t="shared" si="421"/>
        <v>0</v>
      </c>
      <c r="DX226" s="560">
        <f t="shared" si="422"/>
        <v>0</v>
      </c>
      <c r="DY226" s="560">
        <f t="shared" si="423"/>
        <v>2590.0210113865887</v>
      </c>
      <c r="DZ226" s="560">
        <f t="shared" si="424"/>
        <v>7946.184462934054</v>
      </c>
      <c r="EA226" s="560"/>
      <c r="EB226" s="545">
        <f>IF(OR(B226&lt;FV226,B226&gt;FW226),(MIN(BF226+BY226+CT226+MAX(Sheet1!AA228+AQ226-73,0),K226)),0)</f>
        <v>0</v>
      </c>
      <c r="EC226" s="560"/>
      <c r="ED226" s="560">
        <f t="shared" si="425"/>
        <v>19.053386454183268</v>
      </c>
      <c r="EE226" s="560"/>
      <c r="EF226" s="560">
        <f>Sheet1!EH228+Sheet1!EI228+Sheet1!EJ228+Sheet1!EK228</f>
        <v>25.240000000000002</v>
      </c>
      <c r="EG226" s="560"/>
      <c r="EH226" s="545">
        <f t="shared" si="426"/>
        <v>0</v>
      </c>
      <c r="EI226" s="560">
        <f>IF(Sheet1!ET228=1,SUM('Calculations II'!AT226:BA226)+'Calculations II'!BC226+Sheet1!BV228+'Calculations II'!BE226+AP226,SUM('Calculations II'!AT226:BA226)+'Calculations II'!BC226+Sheet1!BV228+'Calculations II'!BE226+AP226)</f>
        <v>91.810079999999999</v>
      </c>
      <c r="EJ226" s="560">
        <f>Sheet1!AA228+Sheet1!AB228+'Calculations II'!BC226</f>
        <v>98.240000000000009</v>
      </c>
      <c r="EK226" s="560"/>
      <c r="EL226" s="560"/>
      <c r="EM226" s="560">
        <f t="shared" si="427"/>
        <v>41854</v>
      </c>
      <c r="EN226" s="560">
        <f t="shared" si="428"/>
        <v>-25.240000000000002</v>
      </c>
      <c r="EO226" s="560">
        <f t="shared" si="429"/>
        <v>-39.046280000000003</v>
      </c>
      <c r="EP226" s="560">
        <v>0</v>
      </c>
      <c r="EQ226" s="560">
        <v>0</v>
      </c>
      <c r="ER226" s="560">
        <v>0</v>
      </c>
      <c r="ES226" s="545">
        <f t="shared" si="454"/>
        <v>1.1102376916145609</v>
      </c>
      <c r="ET226" s="560">
        <f>-(VLOOKUP(Sheet1!BQ228,Lookup!$O$4:$Q$262,2)-VLOOKUP(Sheet1!BQ227,Lookup!$O$4:$Q$262,2))/1000000</f>
        <v>0.55513167593215773</v>
      </c>
      <c r="EU226" s="560">
        <f>-(VLOOKUP(Sheet1!BR228,Lookup!$O$4:$Q$262,3)-VLOOKUP(Sheet1!BR227,Lookup!$O$4:$Q$262,3))/1000000</f>
        <v>0.55510601568240303</v>
      </c>
      <c r="EV226" s="560"/>
      <c r="EW226" s="560"/>
      <c r="EX226" s="560"/>
      <c r="EY226" s="560"/>
      <c r="EZ226" s="560"/>
      <c r="FA226" s="560"/>
      <c r="FB226" s="560"/>
      <c r="FC226" s="560"/>
      <c r="FD226" s="594">
        <f t="shared" si="443"/>
        <v>1136.4666666665898</v>
      </c>
      <c r="FE226" s="594" t="e">
        <f t="shared" si="431"/>
        <v>#N/A</v>
      </c>
      <c r="FF226" s="595" t="e">
        <f t="shared" si="432"/>
        <v>#N/A</v>
      </c>
      <c r="FG226" s="596" t="s">
        <v>692</v>
      </c>
      <c r="FH226" s="596" t="s">
        <v>692</v>
      </c>
      <c r="FI226" s="594" t="e">
        <v>#N/A</v>
      </c>
      <c r="FJ226" s="778">
        <v>20396</v>
      </c>
      <c r="FK226" s="560"/>
      <c r="FL226" s="560"/>
      <c r="FM226" s="560"/>
      <c r="FN226" s="560"/>
      <c r="FO226" s="560">
        <f>O226+((Sheet1!CS228)*GPMtoMGD)</f>
        <v>98.240000000000009</v>
      </c>
      <c r="FP226" s="560">
        <f>IF(Sheet1!AA228+AQ226&lt;=Calculation!N226,AQ226,Calculation!N226-Sheet1!AA228)</f>
        <v>18.86</v>
      </c>
      <c r="FQ226" s="560">
        <f>(Sheet1!BP228+Sheet1!BO228)/694.4</f>
        <v>4.1395449308755765</v>
      </c>
      <c r="FR226" s="560"/>
      <c r="FS226" s="560"/>
      <c r="FT226" s="560"/>
      <c r="FU226" s="560"/>
      <c r="FV226" s="695">
        <f t="shared" si="455"/>
        <v>41827</v>
      </c>
      <c r="FW226" s="695">
        <f t="shared" si="456"/>
        <v>41934</v>
      </c>
      <c r="FX226" s="560"/>
      <c r="FY226" s="560"/>
      <c r="FZ226" s="560"/>
      <c r="GA226" s="560"/>
      <c r="GB226" s="560" t="str">
        <f t="shared" si="457"/>
        <v>n</v>
      </c>
      <c r="GC226" s="564">
        <f t="shared" si="458"/>
        <v>41691</v>
      </c>
      <c r="GD226" s="695">
        <f t="shared" si="459"/>
        <v>41807</v>
      </c>
      <c r="GE226" s="560">
        <v>6518.9</v>
      </c>
      <c r="GF226" s="695">
        <f t="shared" si="460"/>
        <v>41808</v>
      </c>
      <c r="GG226" s="560">
        <f t="shared" si="479"/>
        <v>3259</v>
      </c>
      <c r="GH226" s="564">
        <f t="shared" si="461"/>
        <v>41934</v>
      </c>
      <c r="GJ226" s="545">
        <f t="shared" si="462"/>
        <v>0</v>
      </c>
      <c r="GK226" s="560" t="str">
        <f t="shared" si="433"/>
        <v/>
      </c>
      <c r="GL226" s="560">
        <f t="shared" si="463"/>
        <v>0</v>
      </c>
      <c r="GM226" s="560" t="str">
        <f t="shared" si="464"/>
        <v/>
      </c>
      <c r="GN226" s="560">
        <f>IF(GK226="P",Lookup!$M$12,IF(GK226="PP",Lookup!$M$13,IF(GK226="PPP",Lookup!$M$14,IF(GK226="T",Lookup!$M$15,IF(GK226="TP",Lookup!$M$16,IF(GK226="TPP",Lookup!$M$17,IF(GK226="TPPP",Lookup!$M$18,0)))))))*GJ226</f>
        <v>0</v>
      </c>
      <c r="GO226" s="560">
        <f t="shared" si="465"/>
        <v>0</v>
      </c>
      <c r="GP226" s="560">
        <f t="shared" si="434"/>
        <v>3762.4929333333339</v>
      </c>
      <c r="GQ226" s="560">
        <f t="shared" si="473"/>
        <v>1226.3666666666668</v>
      </c>
      <c r="GR226" s="560"/>
      <c r="GS226" s="560">
        <f t="shared" si="466"/>
        <v>0</v>
      </c>
      <c r="GT226" s="560" t="str">
        <f t="shared" si="467"/>
        <v/>
      </c>
      <c r="GU226" s="560">
        <f>IF(GK226="P",Lookup!$N$12,IF(GK226="PP",Lookup!$N$13,IF(GK226="PPP",Lookup!$N$14,IF(GK226="T",Lookup!$N$15,IF(GK226="TP",Lookup!$N$16,IF(GK226="TPP",Lookup!$N$17,IF(GK226="TPPP",Lookup!$N$18,0)))))))*GJ226</f>
        <v>0</v>
      </c>
      <c r="GV226" s="560">
        <f t="shared" si="468"/>
        <v>0</v>
      </c>
      <c r="GW226" s="560">
        <f t="shared" si="435"/>
        <v>1707.7862817346925</v>
      </c>
      <c r="GX226" s="560">
        <f t="shared" si="474"/>
        <v>556.64481151717484</v>
      </c>
      <c r="GY226" s="560"/>
      <c r="GZ226" s="560">
        <f t="shared" si="469"/>
        <v>0</v>
      </c>
      <c r="HA226" s="560" t="str">
        <f t="shared" si="470"/>
        <v/>
      </c>
      <c r="HB226" s="560">
        <f>IF(GK226="P",Lookup!$N$12,IF(GK226="PP",Lookup!$N$13,IF(GK226="PPP",Lookup!$N$14,IF(GK226="T",Lookup!$N$15,IF(GK226="TP",Lookup!$N$16,IF(GK226="TPP",Lookup!$N$17,IF(GK226="TPPP",Lookup!$N$18,0)))))))*GJ226</f>
        <v>0</v>
      </c>
      <c r="HC226" s="545">
        <f t="shared" si="436"/>
        <v>0</v>
      </c>
      <c r="HD226" s="560">
        <f t="shared" si="437"/>
        <v>1464.855942664926</v>
      </c>
      <c r="HE226" s="560">
        <f t="shared" si="475"/>
        <v>477.46282355440871</v>
      </c>
      <c r="HF226" s="560"/>
      <c r="HG226" s="560">
        <f t="shared" si="471"/>
        <v>0</v>
      </c>
      <c r="HH226" s="560" t="str">
        <f t="shared" si="472"/>
        <v/>
      </c>
      <c r="HI226" s="560">
        <f>IF(GK226="P",Lookup!$N$12,IF(GK226="PP",Lookup!$N$13,IF(GK226="PPP",Lookup!$N$14,IF(GK226="T",Lookup!$N$15,IF(GK226="TP",Lookup!$N$16,IF(GK226="TPP",Lookup!$N$17,IF(GK226="TPPP",Lookup!$N$18,0)))))))*GJ226</f>
        <v>0</v>
      </c>
      <c r="HJ226" s="545">
        <f t="shared" si="438"/>
        <v>0</v>
      </c>
      <c r="HK226" s="560">
        <f t="shared" si="439"/>
        <v>1011.0493052011027</v>
      </c>
      <c r="HL226" s="560">
        <f t="shared" si="476"/>
        <v>329.54670964833855</v>
      </c>
    </row>
    <row r="227" spans="1:220">
      <c r="A227" s="580" t="s">
        <v>4</v>
      </c>
      <c r="B227" s="556">
        <v>41855</v>
      </c>
      <c r="C227" s="561">
        <v>0</v>
      </c>
      <c r="D227" s="529">
        <f t="shared" si="477"/>
        <v>200</v>
      </c>
      <c r="E227" s="529">
        <f t="shared" si="478"/>
        <v>400</v>
      </c>
      <c r="F227" s="529">
        <v>250</v>
      </c>
      <c r="G227" s="560">
        <f>DR227+Sheet1!CZ229</f>
        <v>195.49924357022542</v>
      </c>
      <c r="H227" s="1082">
        <f t="shared" si="442"/>
        <v>0</v>
      </c>
      <c r="I227" s="559">
        <f>MAX(Sheet1!Z229-AT227+(Sheet1!DA229-E227)*CFStoMGD,0)</f>
        <v>0</v>
      </c>
      <c r="J227" s="562">
        <f>IF(AND(B227&gt;=Calculation!GC227,B227&lt;=Calculation!GD227),IF(Sheet1!DB229&gt;=Calculation!D227,64.64,0),MAX(Sheet1!Z229-AT227+(Sheet1!DB229-D227)*CFStoMGD,0))</f>
        <v>22.122400000000003</v>
      </c>
      <c r="K227" s="1101">
        <v>0</v>
      </c>
      <c r="L227" s="560">
        <f>Sheet1!AA229+Sheet1!AB229-Sheet1!L229+(Sheet1!DA229-F227)*CFStoMGD</f>
        <v>144.73999999999998</v>
      </c>
      <c r="M227" s="560">
        <f t="shared" si="376"/>
        <v>128.8981252646696</v>
      </c>
      <c r="N227" s="910">
        <f>IF(Sheet1!DA229&gt;=F227,MIN(73,MIN(MAX(L227,0),MAX(M227,0))),0)</f>
        <v>73</v>
      </c>
      <c r="O227" s="563">
        <f>Sheet1!AA229+Sheet1!AB229</f>
        <v>96.259999999999991</v>
      </c>
      <c r="P227" s="563">
        <f t="shared" si="377"/>
        <v>148.91422</v>
      </c>
      <c r="Q227" s="898">
        <f t="shared" si="444"/>
        <v>71.259999999999991</v>
      </c>
      <c r="R227" s="829">
        <f t="shared" si="378"/>
        <v>25</v>
      </c>
      <c r="S227" s="898">
        <f t="shared" si="445"/>
        <v>0</v>
      </c>
      <c r="T227" s="898">
        <f t="shared" si="446"/>
        <v>0</v>
      </c>
      <c r="U227" s="898">
        <f t="shared" si="447"/>
        <v>25</v>
      </c>
      <c r="V227" s="898"/>
      <c r="W227" s="898">
        <f t="shared" si="448"/>
        <v>0</v>
      </c>
      <c r="X227" s="898">
        <f t="shared" si="449"/>
        <v>0</v>
      </c>
      <c r="Y227" s="898" t="str">
        <f t="shared" si="450"/>
        <v>FALSE</v>
      </c>
      <c r="Z227" s="898">
        <f t="shared" si="451"/>
        <v>96.259999999999991</v>
      </c>
      <c r="AA227" s="898">
        <f t="shared" si="452"/>
        <v>96.259999999999991</v>
      </c>
      <c r="AB227" s="898" t="str">
        <f t="shared" si="453"/>
        <v/>
      </c>
      <c r="AC227" s="563">
        <f>Sheet1!Y229*MGDtoCFS</f>
        <v>83.75457999999999</v>
      </c>
      <c r="AD227" s="563">
        <f>Sheet1!Z229*MGDtoCFS</f>
        <v>68.222700000000003</v>
      </c>
      <c r="AE227" s="563">
        <f>Sheet1!AA229*MGDtoCFS</f>
        <v>83.476119999999995</v>
      </c>
      <c r="AF227" s="563">
        <f>Sheet1!AB229*MGDtoCFS</f>
        <v>65.438099999999991</v>
      </c>
      <c r="AG227" s="563">
        <f>Sheet1!L229*MGDtoCFS</f>
        <v>0</v>
      </c>
      <c r="AH227" s="545">
        <f t="shared" si="379"/>
        <v>25.080192131747481</v>
      </c>
      <c r="AI227" s="560">
        <f t="shared" si="380"/>
        <v>38.79905722781335</v>
      </c>
      <c r="AJ227" s="560">
        <f t="shared" si="381"/>
        <v>0</v>
      </c>
      <c r="AK227" s="560">
        <f t="shared" si="382"/>
        <v>0</v>
      </c>
      <c r="AL227" s="560">
        <f>(VLOOKUP(Sheet1!DC229,hhdcap_wcm,4)-(((VLOOKUP(Sheet1!DC229,hhdcap_wcm,3)-Sheet1!DC229)/(VLOOKUP(Sheet1!DC229,hhdcap_wcm,3)-VLOOKUP(Sheet1!DC229,hhdcap_wcm,1)))*(VLOOKUP(Sheet1!DC229,hhdcap_wcm,4)-VLOOKUP(Sheet1!DC229,hhdcap_wcm,2))))</f>
        <v>42774.000000106076</v>
      </c>
      <c r="AM227" s="560">
        <f t="shared" si="383"/>
        <v>-256.80000000024302</v>
      </c>
      <c r="AN227" s="560">
        <f t="shared" si="384"/>
        <v>2564.9408192548412</v>
      </c>
      <c r="AO227" s="560">
        <f t="shared" si="385"/>
        <v>7869.2384334738535</v>
      </c>
      <c r="AP227" s="560">
        <f>Sheet1!BA229+Sheet1!BB229+Sheet1!BN229+CD227</f>
        <v>24.1</v>
      </c>
      <c r="AQ227" s="560">
        <f>Sheet1!BN229+(DO227*Sheet1!BN229)</f>
        <v>21.769213174748398</v>
      </c>
      <c r="AR227" s="560">
        <f>Sheet1!BA229+CD227</f>
        <v>0</v>
      </c>
      <c r="AS227" s="560">
        <f>Sheet1!BA229+Sheet1!BB229+CD227</f>
        <v>1.6</v>
      </c>
      <c r="AT227" s="698">
        <f>0</f>
        <v>0</v>
      </c>
      <c r="AU227" s="560">
        <f>IF(EB227&lt;K227,0,MAX(Sheet1!AA229+AQ227-15/36*K227-N227,Sheet1!EH229,0))</f>
        <v>6</v>
      </c>
      <c r="AV227" s="560">
        <f>IF(OR(B227&gt;=GD227,B227&lt;GC227),0,15/36*K227-MAX(0,64.6-(137.6-(Sheet1!AA229+Sheet1!AB229))))</f>
        <v>0</v>
      </c>
      <c r="AW227" s="698">
        <f>Sheet1!DB229-110</f>
        <v>56</v>
      </c>
      <c r="AX227" s="698">
        <f>Sheet1!DA229-265</f>
        <v>60</v>
      </c>
      <c r="AY227" s="698">
        <f t="shared" si="386"/>
        <v>1.7400000000000091</v>
      </c>
      <c r="AZ227" s="1082"/>
      <c r="BA227" s="698">
        <f t="shared" si="387"/>
        <v>0</v>
      </c>
      <c r="BB227" s="560">
        <f t="shared" si="388"/>
        <v>1220.3666666666668</v>
      </c>
      <c r="BC227" s="560"/>
      <c r="BD227" s="560">
        <f ca="1">IF(B227&gt;Summary!$A$1,#N/A,BB227*MGtoAF)</f>
        <v>3744.084933333334</v>
      </c>
      <c r="BE227" s="560">
        <f>Sheet1!BG229+Sheet1!BH229+Sheet1!BI229-BM227</f>
        <v>3</v>
      </c>
      <c r="BF227" s="560">
        <f t="shared" si="389"/>
        <v>2.9025617566331197</v>
      </c>
      <c r="BG227" s="560">
        <f>IF(Sheet1!EP229="FM",BM227,0)</f>
        <v>0</v>
      </c>
      <c r="BH227" s="560">
        <f t="shared" si="390"/>
        <v>0</v>
      </c>
      <c r="BI227" s="560">
        <f>IF(Sheet1!EP229="OTHER",BM227,0)</f>
        <v>0</v>
      </c>
      <c r="BJ227" s="560">
        <f t="shared" si="391"/>
        <v>0</v>
      </c>
      <c r="BK227" s="560">
        <f t="shared" si="392"/>
        <v>3</v>
      </c>
      <c r="BL227" s="560">
        <f t="shared" si="393"/>
        <v>2.9025617566331197</v>
      </c>
      <c r="BM227" s="560">
        <f>IF(OR(Sheet1!EP229="FM", Sheet1!EP229="OTHER"),SUM(Sheet1!BG229:'Sheet1'!BI229),0)</f>
        <v>0</v>
      </c>
      <c r="BN227" s="545">
        <f>IF(AND($B227&gt;=$FV227,$B227&lt;=$FW227),MAX(BF227,Sheet1!EI229,0),MAX(BF227-(7/36)*$K227,0))</f>
        <v>3</v>
      </c>
      <c r="BO227" s="560">
        <f t="shared" si="394"/>
        <v>0</v>
      </c>
      <c r="BP227" s="545">
        <f t="shared" si="395"/>
        <v>0</v>
      </c>
      <c r="BQ227" s="545">
        <f>IF(AND($O227&gt;0,Sheet1!EM229=1),(1-($O227-Sheet1!$L229)/$O227)*BL227,0)</f>
        <v>0</v>
      </c>
      <c r="BR227" s="545">
        <f>IF(AND(Sheet1!$L229=0,Sheet1!$L228=0, Calculation!BK227&lt;Sheet1!$EI229-0.1,Sheet1!$EI229=Sheet1!$EI228,Sheet1!$EI229=Sheet1!$EI230),Sheet1!$EI229,BL227-BQ227)</f>
        <v>2.9025617566331197</v>
      </c>
      <c r="BS227" s="560"/>
      <c r="BT227" s="560"/>
      <c r="BU227" s="560">
        <f t="shared" si="396"/>
        <v>553.64481151717484</v>
      </c>
      <c r="BV227" s="560"/>
      <c r="BW227" s="560">
        <f ca="1">IF(B227&gt;Summary!$A$1,#N/A,BU227*MGtoAF)</f>
        <v>1698.5822817346925</v>
      </c>
      <c r="BX227" s="560">
        <f>Sheet1!BC229+Sheet1!BD229+Sheet1!BE229+Sheet1!BF229-CG227-CH227</f>
        <v>5.2</v>
      </c>
      <c r="BY227" s="560">
        <f t="shared" si="397"/>
        <v>5.0311070448307413</v>
      </c>
      <c r="BZ227" s="560">
        <f>IF(Sheet1!EQ229="FM",CH227,0)</f>
        <v>0</v>
      </c>
      <c r="CA227" s="560">
        <f t="shared" si="398"/>
        <v>0</v>
      </c>
      <c r="CB227" s="560">
        <f>IF(Sheet1!EQ229="OTHER",CH227,0)</f>
        <v>0</v>
      </c>
      <c r="CC227" s="560">
        <f t="shared" si="399"/>
        <v>0</v>
      </c>
      <c r="CD227" s="560">
        <f t="shared" si="400"/>
        <v>0</v>
      </c>
      <c r="CE227" s="560">
        <f t="shared" si="401"/>
        <v>5.2</v>
      </c>
      <c r="CF227" s="560">
        <f t="shared" si="402"/>
        <v>5.0311070448307413</v>
      </c>
      <c r="CG227" s="560">
        <f>IF(Sheet1!EQ229="CWA",SUM(Sheet1!BC229:'Sheet1'!BF229),0)</f>
        <v>0</v>
      </c>
      <c r="CH227" s="560">
        <f>IF(OR(Sheet1!EQ229="FM", Sheet1!EQ229="OTHER"),SUM(Sheet1!BC229:'Sheet1'!BF229),0)</f>
        <v>0</v>
      </c>
      <c r="CI227" s="545">
        <f>IF(AND($B227&gt;=$FV227,$B227&lt;=$FW227),MAX(CF227,Sheet1!EJ229,0),MAX(CF227-(7/36)*$K227,0))</f>
        <v>5.0311070448307413</v>
      </c>
      <c r="CJ227" s="560">
        <f t="shared" si="403"/>
        <v>0</v>
      </c>
      <c r="CK227" s="545">
        <f t="shared" si="404"/>
        <v>0</v>
      </c>
      <c r="CL227" s="545">
        <f>IF(AND($O227&gt;0,Sheet1!EN229=1),(1-($O227-Sheet1!$L229)/$O227)*CF227,0)</f>
        <v>0</v>
      </c>
      <c r="CM227" s="545">
        <f>IF(AND(Sheet1!$L229=0,Sheet1!$L228=0, Calculation!CE227&lt;Sheet1!EJ229-0.1,Sheet1!EJ229=Sheet1!EJ228,Sheet1!EJ229=Sheet1!EJ230),Sheet1!EJ229,CF227-CL227)</f>
        <v>5.0311070448307413</v>
      </c>
      <c r="CN227" s="545"/>
      <c r="CO227" s="560"/>
      <c r="CP227" s="560">
        <f t="shared" si="405"/>
        <v>472.431716509578</v>
      </c>
      <c r="CQ227" s="560"/>
      <c r="CR227" s="560">
        <f ca="1">IF(B227&gt;Summary!$A$1,#N/A,CP227*MGtoAF)</f>
        <v>1449.4205062513854</v>
      </c>
      <c r="CS227" s="560">
        <f>Sheet1!BK229+Sheet1!BL229+Sheet1!BM229-Sheet1!ER229-DA227</f>
        <v>11.42</v>
      </c>
      <c r="CT227" s="560">
        <f t="shared" si="406"/>
        <v>11.049085086916742</v>
      </c>
      <c r="CU227" s="560">
        <f>IF(Sheet1!ER229="FM",DA227,0)</f>
        <v>0</v>
      </c>
      <c r="CV227" s="560">
        <f t="shared" si="407"/>
        <v>0</v>
      </c>
      <c r="CW227" s="560">
        <f>IF(Sheet1!ER229="OTHER",DA227,0)</f>
        <v>0</v>
      </c>
      <c r="CX227" s="560">
        <f t="shared" si="408"/>
        <v>0</v>
      </c>
      <c r="CY227" s="560">
        <f t="shared" si="409"/>
        <v>11.42</v>
      </c>
      <c r="CZ227" s="560">
        <f t="shared" si="410"/>
        <v>11.049085086916742</v>
      </c>
      <c r="DA227" s="560">
        <f>IF(OR(Sheet1!ER229="FM", Sheet1!ER229="OTHER"),SUM(Sheet1!BK229:'Sheet1'!BM229),0)</f>
        <v>0</v>
      </c>
      <c r="DB227" s="545">
        <f>IF(AND($B227&gt;=$FV227,$B227&lt;=$FW227),MAX($CT227,Sheet1!EK229,0),MAX($CT227-(7/36)*$K227,0))</f>
        <v>11.049085086916742</v>
      </c>
      <c r="DC227" s="560">
        <f t="shared" si="411"/>
        <v>0</v>
      </c>
      <c r="DD227" s="545">
        <f t="shared" si="412"/>
        <v>0</v>
      </c>
      <c r="DE227" s="545">
        <f>IF(AND($O227&gt;0,Sheet1!EO229=1),(1-($O227-Sheet1!$L229)/$O227)*CZ227,0)</f>
        <v>0</v>
      </c>
      <c r="DF227" s="545">
        <f>IF(AND(Sheet1!$L229=0,Sheet1!$L228=0, Calculation!CY227&lt;Sheet1!$EK229-0.1,Sheet1!$EK229=Sheet1!$EK228,Sheet1!$EK229=Sheet1!$EK230),Sheet1!$EK229,CZ227-DE227)</f>
        <v>11.049085086916742</v>
      </c>
      <c r="DG227" s="545"/>
      <c r="DH227" s="560">
        <f t="shared" si="413"/>
        <v>19.619999999999997</v>
      </c>
      <c r="DI227" s="560">
        <f t="shared" si="414"/>
        <v>318.49762456142179</v>
      </c>
      <c r="DJ227" s="698">
        <f t="shared" si="415"/>
        <v>18.982753888380604</v>
      </c>
      <c r="DK227" s="560">
        <f ca="1">IF(B227&gt;Summary!$A$1,#N/A,DI227*MGtoAF)</f>
        <v>977.15071215444209</v>
      </c>
      <c r="DL227" s="698">
        <f t="shared" si="416"/>
        <v>19.62</v>
      </c>
      <c r="DM227" s="560">
        <f t="shared" si="417"/>
        <v>43.72</v>
      </c>
      <c r="DN227" s="560">
        <f>Sheet1!AB229-DM227</f>
        <v>-1.4200000000000017</v>
      </c>
      <c r="DO227" s="823">
        <f t="shared" si="418"/>
        <v>-3.2479414455626757E-2</v>
      </c>
      <c r="DP227" s="560">
        <f>(VLOOKUP(Sheet1!DC229,hhdcap_wcm,4)-(((VLOOKUP(Sheet1!DC229,hhdcap_wcm,3)-Sheet1!DC229)/(VLOOKUP(Sheet1!DC229,hhdcap_wcm,3)-VLOOKUP(Sheet1!DC229,hhdcap_wcm,1)))*(VLOOKUP(Sheet1!DC229,hhdcap_wcm,4)-VLOOKUP(Sheet1!DC229,hhdcap_wcm,2))))</f>
        <v>42774.000000106076</v>
      </c>
      <c r="DQ227" s="560">
        <f t="shared" si="419"/>
        <v>-256.80000000024302</v>
      </c>
      <c r="DR227" s="560">
        <f t="shared" si="420"/>
        <v>-129.50075642977458</v>
      </c>
      <c r="DS227" s="560">
        <f>Sheet1!EA229*AFtoMG</f>
        <v>0</v>
      </c>
      <c r="DT227" s="560">
        <f>Sheet1!EB229*AFtoMG</f>
        <v>0</v>
      </c>
      <c r="DU227" s="560">
        <f>Sheet1!EC229*AFtoMG</f>
        <v>0</v>
      </c>
      <c r="DV227" s="560">
        <f>Sheet1!ED229*AFtoMG</f>
        <v>0</v>
      </c>
      <c r="DW227" s="560">
        <f t="shared" si="421"/>
        <v>0</v>
      </c>
      <c r="DX227" s="560">
        <f t="shared" si="422"/>
        <v>0</v>
      </c>
      <c r="DY227" s="560">
        <f t="shared" si="423"/>
        <v>2564.9408192548412</v>
      </c>
      <c r="DZ227" s="560">
        <f t="shared" si="424"/>
        <v>7869.2384334738535</v>
      </c>
      <c r="EA227" s="560"/>
      <c r="EB227" s="545">
        <f>IF(OR(B227&lt;FV227,B227&gt;FW227),(MIN(BF227+BY227+CT227+MAX(Sheet1!AA229+AQ227-73,0),K227)),0)</f>
        <v>0</v>
      </c>
      <c r="EC227" s="560"/>
      <c r="ED227" s="560">
        <f t="shared" si="425"/>
        <v>18.982753888380604</v>
      </c>
      <c r="EE227" s="560"/>
      <c r="EF227" s="560">
        <f>Sheet1!EH229+Sheet1!EI229+Sheet1!EJ229+Sheet1!EK229</f>
        <v>25</v>
      </c>
      <c r="EG227" s="560"/>
      <c r="EH227" s="545">
        <f t="shared" si="426"/>
        <v>0</v>
      </c>
      <c r="EI227" s="560">
        <f>IF(Sheet1!ET229=1,SUM('Calculations II'!AT227:BA227)+'Calculations II'!BC227+Sheet1!BV229+'Calculations II'!BE227+AP227,SUM('Calculations II'!AT227:BA227)+'Calculations II'!BC227+Sheet1!BV229+'Calculations II'!BE227+AP227)</f>
        <v>94.2072</v>
      </c>
      <c r="EJ227" s="560">
        <f>Sheet1!AA229+Sheet1!AB229+'Calculations II'!BC227</f>
        <v>96.259999999999991</v>
      </c>
      <c r="EK227" s="560"/>
      <c r="EL227" s="560"/>
      <c r="EM227" s="560">
        <f t="shared" si="427"/>
        <v>41855</v>
      </c>
      <c r="EN227" s="560">
        <f t="shared" si="428"/>
        <v>-25.080192131747481</v>
      </c>
      <c r="EO227" s="560">
        <f t="shared" si="429"/>
        <v>-38.79905722781335</v>
      </c>
      <c r="EP227" s="560">
        <v>0</v>
      </c>
      <c r="EQ227" s="560">
        <v>0</v>
      </c>
      <c r="ER227" s="560">
        <v>0</v>
      </c>
      <c r="ES227" s="545">
        <f t="shared" si="454"/>
        <v>4.5775560820852625</v>
      </c>
      <c r="ET227" s="560">
        <f>-(VLOOKUP(Sheet1!BQ229,Lookup!$O$4:$Q$262,2)-VLOOKUP(Sheet1!BQ228,Lookup!$O$4:$Q$262,2))/1000000</f>
        <v>2.2195004238019362</v>
      </c>
      <c r="EU227" s="560">
        <f>-(VLOOKUP(Sheet1!BR229,Lookup!$O$4:$Q$262,3)-VLOOKUP(Sheet1!BR228,Lookup!$O$4:$Q$262,3))/1000000</f>
        <v>2.3580556582833267</v>
      </c>
      <c r="EV227" s="560"/>
      <c r="EW227" s="560"/>
      <c r="EX227" s="560"/>
      <c r="EY227" s="560"/>
      <c r="EZ227" s="560"/>
      <c r="FA227" s="560"/>
      <c r="FB227" s="560"/>
      <c r="FC227" s="560"/>
      <c r="FD227" s="594">
        <f t="shared" si="443"/>
        <v>1136.2231884057205</v>
      </c>
      <c r="FE227" s="594" t="e">
        <f t="shared" si="431"/>
        <v>#N/A</v>
      </c>
      <c r="FF227" s="595" t="e">
        <f t="shared" si="432"/>
        <v>#N/A</v>
      </c>
      <c r="FG227" s="596" t="s">
        <v>692</v>
      </c>
      <c r="FH227" s="596" t="s">
        <v>692</v>
      </c>
      <c r="FI227" s="594" t="e">
        <v>#N/A</v>
      </c>
      <c r="FJ227" s="778">
        <v>20229</v>
      </c>
      <c r="FK227" s="560"/>
      <c r="FL227" s="560"/>
      <c r="FM227" s="560"/>
      <c r="FN227" s="560"/>
      <c r="FO227" s="560">
        <f>O227+((Sheet1!CS229)*GPMtoMGD)</f>
        <v>96.259999999999991</v>
      </c>
      <c r="FP227" s="560">
        <f>IF(Sheet1!AA229+AQ227&lt;=Calculation!N227,AQ227,Calculation!N227-Sheet1!AA229)</f>
        <v>19.04</v>
      </c>
      <c r="FQ227" s="560">
        <f>(Sheet1!BP229+Sheet1!BO229)/694.4</f>
        <v>4.4906394009216593</v>
      </c>
      <c r="FR227" s="560"/>
      <c r="FS227" s="560"/>
      <c r="FT227" s="560"/>
      <c r="FU227" s="560"/>
      <c r="FV227" s="695">
        <f t="shared" si="455"/>
        <v>41827</v>
      </c>
      <c r="FW227" s="695">
        <f t="shared" si="456"/>
        <v>41934</v>
      </c>
      <c r="FX227" s="560"/>
      <c r="FY227" s="560"/>
      <c r="FZ227" s="560"/>
      <c r="GA227" s="560"/>
      <c r="GB227" s="560" t="str">
        <f t="shared" si="457"/>
        <v>n</v>
      </c>
      <c r="GC227" s="564">
        <f t="shared" si="458"/>
        <v>41691</v>
      </c>
      <c r="GD227" s="695">
        <f t="shared" si="459"/>
        <v>41807</v>
      </c>
      <c r="GE227" s="560">
        <v>6518.9</v>
      </c>
      <c r="GF227" s="695">
        <f t="shared" si="460"/>
        <v>41808</v>
      </c>
      <c r="GG227" s="560">
        <f t="shared" si="479"/>
        <v>3259</v>
      </c>
      <c r="GH227" s="564">
        <f t="shared" si="461"/>
        <v>41934</v>
      </c>
      <c r="GJ227" s="545">
        <f t="shared" si="462"/>
        <v>0</v>
      </c>
      <c r="GK227" s="560" t="str">
        <f t="shared" si="433"/>
        <v/>
      </c>
      <c r="GL227" s="560">
        <f t="shared" si="463"/>
        <v>0</v>
      </c>
      <c r="GM227" s="560" t="str">
        <f t="shared" si="464"/>
        <v/>
      </c>
      <c r="GN227" s="560">
        <f>IF(GK227="P",Lookup!$M$12,IF(GK227="PP",Lookup!$M$13,IF(GK227="PPP",Lookup!$M$14,IF(GK227="T",Lookup!$M$15,IF(GK227="TP",Lookup!$M$16,IF(GK227="TPP",Lookup!$M$17,IF(GK227="TPPP",Lookup!$M$18,0)))))))*GJ227</f>
        <v>0</v>
      </c>
      <c r="GO227" s="560">
        <f t="shared" si="465"/>
        <v>0</v>
      </c>
      <c r="GP227" s="560">
        <f t="shared" si="434"/>
        <v>3744.084933333334</v>
      </c>
      <c r="GQ227" s="560">
        <f t="shared" si="473"/>
        <v>1220.3666666666668</v>
      </c>
      <c r="GR227" s="560"/>
      <c r="GS227" s="560">
        <f t="shared" si="466"/>
        <v>0</v>
      </c>
      <c r="GT227" s="560" t="str">
        <f t="shared" si="467"/>
        <v/>
      </c>
      <c r="GU227" s="560">
        <f>IF(GK227="P",Lookup!$N$12,IF(GK227="PP",Lookup!$N$13,IF(GK227="PPP",Lookup!$N$14,IF(GK227="T",Lookup!$N$15,IF(GK227="TP",Lookup!$N$16,IF(GK227="TPP",Lookup!$N$17,IF(GK227="TPPP",Lookup!$N$18,0)))))))*GJ227</f>
        <v>0</v>
      </c>
      <c r="GV227" s="560">
        <f t="shared" si="468"/>
        <v>0</v>
      </c>
      <c r="GW227" s="560">
        <f t="shared" si="435"/>
        <v>1698.5822817346925</v>
      </c>
      <c r="GX227" s="560">
        <f t="shared" si="474"/>
        <v>553.64481151717484</v>
      </c>
      <c r="GY227" s="560"/>
      <c r="GZ227" s="560">
        <f t="shared" si="469"/>
        <v>0</v>
      </c>
      <c r="HA227" s="560" t="str">
        <f t="shared" si="470"/>
        <v/>
      </c>
      <c r="HB227" s="560">
        <f>IF(GK227="P",Lookup!$N$12,IF(GK227="PP",Lookup!$N$13,IF(GK227="PPP",Lookup!$N$14,IF(GK227="T",Lookup!$N$15,IF(GK227="TP",Lookup!$N$16,IF(GK227="TPP",Lookup!$N$17,IF(GK227="TPPP",Lookup!$N$18,0)))))))*GJ227</f>
        <v>0</v>
      </c>
      <c r="HC227" s="545">
        <f t="shared" si="436"/>
        <v>0</v>
      </c>
      <c r="HD227" s="560">
        <f t="shared" si="437"/>
        <v>1449.4205062513854</v>
      </c>
      <c r="HE227" s="560">
        <f t="shared" si="475"/>
        <v>472.431716509578</v>
      </c>
      <c r="HF227" s="560"/>
      <c r="HG227" s="560">
        <f t="shared" si="471"/>
        <v>0</v>
      </c>
      <c r="HH227" s="560" t="str">
        <f t="shared" si="472"/>
        <v/>
      </c>
      <c r="HI227" s="560">
        <f>IF(GK227="P",Lookup!$N$12,IF(GK227="PP",Lookup!$N$13,IF(GK227="PPP",Lookup!$N$14,IF(GK227="T",Lookup!$N$15,IF(GK227="TP",Lookup!$N$16,IF(GK227="TPP",Lookup!$N$17,IF(GK227="TPPP",Lookup!$N$18,0)))))))*GJ227</f>
        <v>0</v>
      </c>
      <c r="HJ227" s="545">
        <f t="shared" si="438"/>
        <v>0</v>
      </c>
      <c r="HK227" s="560">
        <f t="shared" si="439"/>
        <v>977.15071215444209</v>
      </c>
      <c r="HL227" s="560">
        <f t="shared" si="476"/>
        <v>318.49762456142179</v>
      </c>
    </row>
    <row r="228" spans="1:220">
      <c r="A228" s="580" t="s">
        <v>5</v>
      </c>
      <c r="B228" s="556">
        <v>41856</v>
      </c>
      <c r="C228" s="561">
        <v>0</v>
      </c>
      <c r="D228" s="529">
        <f t="shared" si="477"/>
        <v>200</v>
      </c>
      <c r="E228" s="529">
        <f t="shared" si="478"/>
        <v>400</v>
      </c>
      <c r="F228" s="529">
        <v>250</v>
      </c>
      <c r="G228" s="560">
        <f>DR228+Sheet1!CZ230</f>
        <v>193.85980837053108</v>
      </c>
      <c r="H228" s="1082">
        <f t="shared" si="442"/>
        <v>0</v>
      </c>
      <c r="I228" s="559">
        <f>MAX(Sheet1!Z230-AT228+(Sheet1!DA230-E228)*CFStoMGD,0)</f>
        <v>0</v>
      </c>
      <c r="J228" s="562">
        <f>IF(AND(B228&gt;=Calculation!GC228,B228&lt;=Calculation!GD228),IF(Sheet1!DB230&gt;=Calculation!D228,64.64,0),MAX(Sheet1!Z230-AT228+(Sheet1!DB230-D228)*CFStoMGD,0))</f>
        <v>30.6648</v>
      </c>
      <c r="K228" s="1101">
        <v>0</v>
      </c>
      <c r="L228" s="560">
        <f>Sheet1!AA230+Sheet1!AB230-Sheet1!L230+(Sheet1!DA230-F228)*CFStoMGD</f>
        <v>130.8768</v>
      </c>
      <c r="M228" s="560">
        <f t="shared" si="376"/>
        <v>127.81719973332552</v>
      </c>
      <c r="N228" s="910">
        <f>IF(Sheet1!DA230&gt;=F228,MIN(73,MIN(MAX(L228,0),MAX(M228,0))),0)</f>
        <v>73</v>
      </c>
      <c r="O228" s="563">
        <f>Sheet1!AA230+Sheet1!AB230</f>
        <v>90.8</v>
      </c>
      <c r="P228" s="563">
        <f t="shared" si="377"/>
        <v>140.4676</v>
      </c>
      <c r="Q228" s="898">
        <f t="shared" si="444"/>
        <v>71.8</v>
      </c>
      <c r="R228" s="829">
        <f t="shared" si="378"/>
        <v>19</v>
      </c>
      <c r="S228" s="898">
        <f t="shared" si="445"/>
        <v>0</v>
      </c>
      <c r="T228" s="898">
        <f t="shared" si="446"/>
        <v>0</v>
      </c>
      <c r="U228" s="898">
        <f t="shared" si="447"/>
        <v>19</v>
      </c>
      <c r="V228" s="898"/>
      <c r="W228" s="898">
        <f t="shared" si="448"/>
        <v>0</v>
      </c>
      <c r="X228" s="898">
        <f t="shared" si="449"/>
        <v>0</v>
      </c>
      <c r="Y228" s="898" t="str">
        <f t="shared" si="450"/>
        <v>FALSE</v>
      </c>
      <c r="Z228" s="898">
        <f t="shared" si="451"/>
        <v>90.8</v>
      </c>
      <c r="AA228" s="898">
        <f t="shared" si="452"/>
        <v>90.8</v>
      </c>
      <c r="AB228" s="898" t="str">
        <f t="shared" si="453"/>
        <v/>
      </c>
      <c r="AC228" s="563">
        <f>Sheet1!Y230*MGDtoCFS</f>
        <v>83.476119999999995</v>
      </c>
      <c r="AD228" s="563">
        <f>Sheet1!Z230*MGDtoCFS</f>
        <v>65.438099999999991</v>
      </c>
      <c r="AE228" s="563">
        <f>Sheet1!AA230*MGDtoCFS</f>
        <v>87.250799999999998</v>
      </c>
      <c r="AF228" s="563">
        <f>Sheet1!AB230*MGDtoCFS</f>
        <v>53.216799999999992</v>
      </c>
      <c r="AG228" s="563">
        <f>Sheet1!L230*MGDtoCFS</f>
        <v>0</v>
      </c>
      <c r="AH228" s="545">
        <f t="shared" si="379"/>
        <v>19</v>
      </c>
      <c r="AI228" s="560">
        <f t="shared" si="380"/>
        <v>29.392999999999997</v>
      </c>
      <c r="AJ228" s="560">
        <f t="shared" si="381"/>
        <v>0</v>
      </c>
      <c r="AK228" s="560">
        <f t="shared" si="382"/>
        <v>0</v>
      </c>
      <c r="AL228" s="560">
        <f>(VLOOKUP(Sheet1!DC230,hhdcap_wcm,4)-(((VLOOKUP(Sheet1!DC230,hhdcap_wcm,3)-Sheet1!DC230)/(VLOOKUP(Sheet1!DC230,hhdcap_wcm,3)-VLOOKUP(Sheet1!DC230,hhdcap_wcm,1)))*(VLOOKUP(Sheet1!DC230,hhdcap_wcm,4)-VLOOKUP(Sheet1!DC230,hhdcap_wcm,2))))</f>
        <v>42508.000000104839</v>
      </c>
      <c r="AM228" s="560">
        <f t="shared" si="383"/>
        <v>-266.00000000123691</v>
      </c>
      <c r="AN228" s="560">
        <f t="shared" si="384"/>
        <v>2545.9408192548412</v>
      </c>
      <c r="AO228" s="560">
        <f t="shared" si="385"/>
        <v>7810.9464334738532</v>
      </c>
      <c r="AP228" s="560">
        <f>Sheet1!BA230+Sheet1!BB230+Sheet1!BN230+CD228</f>
        <v>16.400000000000002</v>
      </c>
      <c r="AQ228" s="560">
        <f>Sheet1!BN230+(DO228*Sheet1!BN230)</f>
        <v>14.361636107193229</v>
      </c>
      <c r="AR228" s="560">
        <f>Sheet1!BA230+CD228</f>
        <v>0</v>
      </c>
      <c r="AS228" s="560">
        <f>Sheet1!BA230+Sheet1!BB230+CD228</f>
        <v>1.6</v>
      </c>
      <c r="AT228" s="698">
        <f>0</f>
        <v>0</v>
      </c>
      <c r="AU228" s="560">
        <f>IF(EB228&lt;K228,0,MAX(Sheet1!AA230+AQ228-15/36*K228-N228,Sheet1!EH230,0))</f>
        <v>0</v>
      </c>
      <c r="AV228" s="560">
        <f>IF(OR(B228&gt;=GD228,B228&lt;GC228),0,15/36*K228-MAX(0,64.6-(137.6-(Sheet1!AA230+Sheet1!AB230))))</f>
        <v>0</v>
      </c>
      <c r="AW228" s="698">
        <f>Sheet1!DB230-110</f>
        <v>72</v>
      </c>
      <c r="AX228" s="698">
        <f>Sheet1!DA230-265</f>
        <v>47</v>
      </c>
      <c r="AY228" s="698">
        <f t="shared" si="386"/>
        <v>1.2000000000000028</v>
      </c>
      <c r="AZ228" s="1082"/>
      <c r="BA228" s="698">
        <f t="shared" si="387"/>
        <v>0</v>
      </c>
      <c r="BB228" s="560">
        <f t="shared" si="388"/>
        <v>1220.3666666666668</v>
      </c>
      <c r="BC228" s="560"/>
      <c r="BD228" s="560">
        <f ca="1">IF(B228&gt;Summary!$A$1,#N/A,BB228*MGtoAF)</f>
        <v>3744.084933333334</v>
      </c>
      <c r="BE228" s="560">
        <f>Sheet1!BG230+Sheet1!BH230+Sheet1!BI230-BM228</f>
        <v>3</v>
      </c>
      <c r="BF228" s="560">
        <f t="shared" si="389"/>
        <v>2.9111424541607893</v>
      </c>
      <c r="BG228" s="560">
        <f>IF(Sheet1!EP230="FM",BM228,0)</f>
        <v>0</v>
      </c>
      <c r="BH228" s="560">
        <f t="shared" si="390"/>
        <v>0</v>
      </c>
      <c r="BI228" s="560">
        <f>IF(Sheet1!EP230="OTHER",BM228,0)</f>
        <v>0</v>
      </c>
      <c r="BJ228" s="560">
        <f t="shared" si="391"/>
        <v>0</v>
      </c>
      <c r="BK228" s="560">
        <f t="shared" si="392"/>
        <v>3</v>
      </c>
      <c r="BL228" s="560">
        <f t="shared" si="393"/>
        <v>2.9111424541607893</v>
      </c>
      <c r="BM228" s="560">
        <f>IF(OR(Sheet1!EP230="FM", Sheet1!EP230="OTHER"),SUM(Sheet1!BG230:'Sheet1'!BI230),0)</f>
        <v>0</v>
      </c>
      <c r="BN228" s="545">
        <f>IF(AND($B228&gt;=$FV228,$B228&lt;=$FW228),MAX(BF228,Sheet1!EI230,0),MAX(BF228-(7/36)*$K228,0))</f>
        <v>3</v>
      </c>
      <c r="BO228" s="560">
        <f t="shared" si="394"/>
        <v>0</v>
      </c>
      <c r="BP228" s="545">
        <f t="shared" si="395"/>
        <v>0</v>
      </c>
      <c r="BQ228" s="545">
        <f>IF(AND($O228&gt;0,Sheet1!EM230=1),(1-($O228-Sheet1!$L230)/$O228)*BL228,0)</f>
        <v>0</v>
      </c>
      <c r="BR228" s="545">
        <f>IF(AND(Sheet1!$L230=0,Sheet1!$L229=0, Calculation!BK228&lt;Sheet1!$EI230-0.1,Sheet1!$EI230=Sheet1!$EI229,Sheet1!$EI230=Sheet1!$EI231),Sheet1!$EI230,BL228-BQ228)</f>
        <v>2.9111424541607893</v>
      </c>
      <c r="BS228" s="560"/>
      <c r="BT228" s="560"/>
      <c r="BU228" s="560">
        <f t="shared" si="396"/>
        <v>550.64481151717484</v>
      </c>
      <c r="BV228" s="560"/>
      <c r="BW228" s="560">
        <f ca="1">IF(B228&gt;Summary!$A$1,#N/A,BU228*MGtoAF)</f>
        <v>1689.3782817346926</v>
      </c>
      <c r="BX228" s="560">
        <f>Sheet1!BC230+Sheet1!BD230+Sheet1!BE230+Sheet1!BF230-CG228-CH228</f>
        <v>5</v>
      </c>
      <c r="BY228" s="560">
        <f t="shared" si="397"/>
        <v>4.8519040902679826</v>
      </c>
      <c r="BZ228" s="560">
        <f>IF(Sheet1!EQ230="FM",CH228,0)</f>
        <v>0</v>
      </c>
      <c r="CA228" s="560">
        <f t="shared" si="398"/>
        <v>0</v>
      </c>
      <c r="CB228" s="560">
        <f>IF(Sheet1!EQ230="OTHER",CH228,0)</f>
        <v>0</v>
      </c>
      <c r="CC228" s="560">
        <f t="shared" si="399"/>
        <v>0</v>
      </c>
      <c r="CD228" s="560">
        <f t="shared" si="400"/>
        <v>0</v>
      </c>
      <c r="CE228" s="560">
        <f t="shared" si="401"/>
        <v>5</v>
      </c>
      <c r="CF228" s="560">
        <f t="shared" si="402"/>
        <v>4.8519040902679826</v>
      </c>
      <c r="CG228" s="560">
        <f>IF(Sheet1!EQ230="CWA",SUM(Sheet1!BC230:'Sheet1'!BF230),0)</f>
        <v>0</v>
      </c>
      <c r="CH228" s="560">
        <f>IF(OR(Sheet1!EQ230="FM", Sheet1!EQ230="OTHER"),SUM(Sheet1!BC230:'Sheet1'!BF230),0)</f>
        <v>0</v>
      </c>
      <c r="CI228" s="545">
        <f>IF(AND($B228&gt;=$FV228,$B228&lt;=$FW228),MAX(CF228,Sheet1!EJ230,0),MAX(CF228-(7/36)*$K228,0))</f>
        <v>5</v>
      </c>
      <c r="CJ228" s="560">
        <f t="shared" si="403"/>
        <v>0</v>
      </c>
      <c r="CK228" s="545">
        <f t="shared" si="404"/>
        <v>0</v>
      </c>
      <c r="CL228" s="545">
        <f>IF(AND($O228&gt;0,Sheet1!EN230=1),(1-($O228-Sheet1!$L230)/$O228)*CF228,0)</f>
        <v>0</v>
      </c>
      <c r="CM228" s="545">
        <f>IF(AND(Sheet1!$L230=0,Sheet1!$L229=0, Calculation!CE228&lt;Sheet1!EJ230-0.1,Sheet1!EJ230=Sheet1!EJ229,Sheet1!EJ230=Sheet1!EJ231),Sheet1!EJ230,CF228-CL228)</f>
        <v>4.8519040902679826</v>
      </c>
      <c r="CN228" s="545"/>
      <c r="CO228" s="560"/>
      <c r="CP228" s="560">
        <f t="shared" si="405"/>
        <v>467.431716509578</v>
      </c>
      <c r="CQ228" s="560"/>
      <c r="CR228" s="560">
        <f ca="1">IF(B228&gt;Summary!$A$1,#N/A,CP228*MGtoAF)</f>
        <v>1434.0805062513853</v>
      </c>
      <c r="CS228" s="560">
        <f>Sheet1!BK230+Sheet1!BL230+Sheet1!BM230-Sheet1!ER230-DA228</f>
        <v>11.05</v>
      </c>
      <c r="CT228" s="560">
        <f t="shared" si="406"/>
        <v>10.722708039492241</v>
      </c>
      <c r="CU228" s="560">
        <f>IF(Sheet1!ER230="FM",DA228,0)</f>
        <v>0</v>
      </c>
      <c r="CV228" s="560">
        <f t="shared" si="407"/>
        <v>0</v>
      </c>
      <c r="CW228" s="560">
        <f>IF(Sheet1!ER230="OTHER",DA228,0)</f>
        <v>0</v>
      </c>
      <c r="CX228" s="560">
        <f t="shared" si="408"/>
        <v>0</v>
      </c>
      <c r="CY228" s="560">
        <f t="shared" si="409"/>
        <v>11.05</v>
      </c>
      <c r="CZ228" s="560">
        <f t="shared" si="410"/>
        <v>10.722708039492241</v>
      </c>
      <c r="DA228" s="560">
        <f>IF(OR(Sheet1!ER230="FM", Sheet1!ER230="OTHER"),SUM(Sheet1!BK230:'Sheet1'!BM230),0)</f>
        <v>0</v>
      </c>
      <c r="DB228" s="545">
        <f>IF(AND($B228&gt;=$FV228,$B228&lt;=$FW228),MAX($CT228,Sheet1!EK230,0),MAX($CT228-(7/36)*$K228,0))</f>
        <v>11</v>
      </c>
      <c r="DC228" s="560">
        <f t="shared" si="411"/>
        <v>0</v>
      </c>
      <c r="DD228" s="545">
        <f t="shared" si="412"/>
        <v>0</v>
      </c>
      <c r="DE228" s="545">
        <f>IF(AND($O228&gt;0,Sheet1!EO230=1),(1-($O228-Sheet1!$L230)/$O228)*CZ228,0)</f>
        <v>0</v>
      </c>
      <c r="DF228" s="545">
        <f>IF(AND(Sheet1!$L230=0,Sheet1!$L229=0, Calculation!CY228&lt;Sheet1!$EK230-0.1,Sheet1!$EK230=Sheet1!$EK229,Sheet1!$EK230=Sheet1!$EK231),Sheet1!$EK230,CZ228-DE228)</f>
        <v>10.722708039492241</v>
      </c>
      <c r="DG228" s="545"/>
      <c r="DH228" s="560">
        <f t="shared" si="413"/>
        <v>19.05</v>
      </c>
      <c r="DI228" s="560">
        <f t="shared" si="414"/>
        <v>307.49762456142179</v>
      </c>
      <c r="DJ228" s="698">
        <f t="shared" si="415"/>
        <v>18.485754583921015</v>
      </c>
      <c r="DK228" s="560">
        <f ca="1">IF(B228&gt;Summary!$A$1,#N/A,DI228*MGtoAF)</f>
        <v>943.40271215444204</v>
      </c>
      <c r="DL228" s="698">
        <f t="shared" si="416"/>
        <v>19.05</v>
      </c>
      <c r="DM228" s="560">
        <f t="shared" si="417"/>
        <v>35.450000000000003</v>
      </c>
      <c r="DN228" s="560">
        <f>Sheet1!AB230-DM228</f>
        <v>-1.0500000000000043</v>
      </c>
      <c r="DO228" s="823">
        <f t="shared" si="418"/>
        <v>-2.9619181946403502E-2</v>
      </c>
      <c r="DP228" s="560">
        <f>(VLOOKUP(Sheet1!DC230,hhdcap_wcm,4)-(((VLOOKUP(Sheet1!DC230,hhdcap_wcm,3)-Sheet1!DC230)/(VLOOKUP(Sheet1!DC230,hhdcap_wcm,3)-VLOOKUP(Sheet1!DC230,hhdcap_wcm,1)))*(VLOOKUP(Sheet1!DC230,hhdcap_wcm,4)-VLOOKUP(Sheet1!DC230,hhdcap_wcm,2))))</f>
        <v>42508.000000104839</v>
      </c>
      <c r="DQ228" s="560">
        <f t="shared" si="419"/>
        <v>-266.00000000123691</v>
      </c>
      <c r="DR228" s="560">
        <f t="shared" si="420"/>
        <v>-134.14019162946892</v>
      </c>
      <c r="DS228" s="560">
        <f>Sheet1!EA230*AFtoMG</f>
        <v>0</v>
      </c>
      <c r="DT228" s="560">
        <f>Sheet1!EB230*AFtoMG</f>
        <v>0</v>
      </c>
      <c r="DU228" s="560">
        <f>Sheet1!EC230*AFtoMG</f>
        <v>0</v>
      </c>
      <c r="DV228" s="560">
        <f>Sheet1!ED230*AFtoMG</f>
        <v>0</v>
      </c>
      <c r="DW228" s="560">
        <f t="shared" si="421"/>
        <v>0</v>
      </c>
      <c r="DX228" s="560">
        <f t="shared" si="422"/>
        <v>0</v>
      </c>
      <c r="DY228" s="560">
        <f t="shared" si="423"/>
        <v>2545.9408192548412</v>
      </c>
      <c r="DZ228" s="560">
        <f t="shared" si="424"/>
        <v>7810.9464334738532</v>
      </c>
      <c r="EA228" s="560"/>
      <c r="EB228" s="545">
        <f>IF(OR(B228&lt;FV228,B228&gt;FW228),(MIN(BF228+BY228+CT228+MAX(Sheet1!AA230+AQ228-73,0),K228)),0)</f>
        <v>0</v>
      </c>
      <c r="EC228" s="560"/>
      <c r="ED228" s="560">
        <f t="shared" si="425"/>
        <v>18.485754583921015</v>
      </c>
      <c r="EE228" s="560"/>
      <c r="EF228" s="560">
        <f>Sheet1!EH230+Sheet1!EI230+Sheet1!EJ230+Sheet1!EK230</f>
        <v>19</v>
      </c>
      <c r="EG228" s="560"/>
      <c r="EH228" s="545">
        <f t="shared" si="426"/>
        <v>0</v>
      </c>
      <c r="EI228" s="560">
        <f>IF(Sheet1!ET230=1,SUM('Calculations II'!AT228:BA228)+'Calculations II'!BC228+Sheet1!BV230+'Calculations II'!BE228+AP228,SUM('Calculations II'!AT228:BA228)+'Calculations II'!BC228+Sheet1!BV230+'Calculations II'!BE228+AP228)</f>
        <v>85.829824000000002</v>
      </c>
      <c r="EJ228" s="560">
        <f>Sheet1!AA230+Sheet1!AB230+'Calculations II'!BC228</f>
        <v>90.8</v>
      </c>
      <c r="EK228" s="560"/>
      <c r="EL228" s="560"/>
      <c r="EM228" s="560">
        <f t="shared" si="427"/>
        <v>41856</v>
      </c>
      <c r="EN228" s="560">
        <f t="shared" si="428"/>
        <v>-19</v>
      </c>
      <c r="EO228" s="560">
        <f t="shared" si="429"/>
        <v>-29.392999999999997</v>
      </c>
      <c r="EP228" s="560">
        <v>0</v>
      </c>
      <c r="EQ228" s="560">
        <v>0</v>
      </c>
      <c r="ER228" s="560">
        <v>0</v>
      </c>
      <c r="ES228" s="545">
        <f t="shared" si="454"/>
        <v>2.4953796821605154</v>
      </c>
      <c r="ET228" s="560">
        <f>-(VLOOKUP(Sheet1!BQ230,Lookup!$O$4:$Q$262,2)-VLOOKUP(Sheet1!BQ229,Lookup!$O$4:$Q$262,2))/1000000</f>
        <v>1.2477475460476353</v>
      </c>
      <c r="EU228" s="560">
        <f>-(VLOOKUP(Sheet1!BR230,Lookup!$O$4:$Q$262,3)-VLOOKUP(Sheet1!BR229,Lookup!$O$4:$Q$262,3))/1000000</f>
        <v>1.2476321361128799</v>
      </c>
      <c r="EV228" s="560"/>
      <c r="EW228" s="560"/>
      <c r="EX228" s="560"/>
      <c r="EY228" s="560"/>
      <c r="EZ228" s="560"/>
      <c r="FA228" s="560"/>
      <c r="FB228" s="560"/>
      <c r="FC228" s="560"/>
      <c r="FD228" s="594">
        <f t="shared" si="443"/>
        <v>1135.9791044775357</v>
      </c>
      <c r="FE228" s="594" t="e">
        <f t="shared" si="431"/>
        <v>#N/A</v>
      </c>
      <c r="FF228" s="595" t="e">
        <f t="shared" si="432"/>
        <v>#N/A</v>
      </c>
      <c r="FG228" s="596" t="s">
        <v>692</v>
      </c>
      <c r="FH228" s="596" t="s">
        <v>692</v>
      </c>
      <c r="FI228" s="594" t="e">
        <v>#N/A</v>
      </c>
      <c r="FJ228" s="778">
        <v>20061</v>
      </c>
      <c r="FK228" s="560"/>
      <c r="FL228" s="560"/>
      <c r="FM228" s="560"/>
      <c r="FN228" s="560"/>
      <c r="FO228" s="560">
        <f>O228+((Sheet1!CS230)*GPMtoMGD)</f>
        <v>90.8</v>
      </c>
      <c r="FP228" s="560">
        <f>IF(Sheet1!AA230+AQ228&lt;=Calculation!N228,AQ228,Calculation!N228-Sheet1!AA230)</f>
        <v>14.361636107193229</v>
      </c>
      <c r="FQ228" s="560">
        <f>(Sheet1!BP230+Sheet1!BO230)/694.4</f>
        <v>3.5434907834101383</v>
      </c>
      <c r="FR228" s="560"/>
      <c r="FS228" s="560"/>
      <c r="FT228" s="560"/>
      <c r="FU228" s="560"/>
      <c r="FV228" s="695">
        <f t="shared" si="455"/>
        <v>41827</v>
      </c>
      <c r="FW228" s="695">
        <f t="shared" si="456"/>
        <v>41934</v>
      </c>
      <c r="FX228" s="560"/>
      <c r="FY228" s="560"/>
      <c r="FZ228" s="560"/>
      <c r="GA228" s="560"/>
      <c r="GB228" s="560" t="str">
        <f t="shared" si="457"/>
        <v>n</v>
      </c>
      <c r="GC228" s="564">
        <f t="shared" si="458"/>
        <v>41691</v>
      </c>
      <c r="GD228" s="695">
        <f t="shared" si="459"/>
        <v>41807</v>
      </c>
      <c r="GE228" s="560">
        <v>6518.9</v>
      </c>
      <c r="GF228" s="695">
        <f t="shared" si="460"/>
        <v>41808</v>
      </c>
      <c r="GG228" s="560">
        <f t="shared" si="479"/>
        <v>3259</v>
      </c>
      <c r="GH228" s="564">
        <f t="shared" si="461"/>
        <v>41934</v>
      </c>
      <c r="GJ228" s="545">
        <f t="shared" si="462"/>
        <v>0</v>
      </c>
      <c r="GK228" s="560" t="str">
        <f t="shared" si="433"/>
        <v/>
      </c>
      <c r="GL228" s="560">
        <f t="shared" si="463"/>
        <v>0</v>
      </c>
      <c r="GM228" s="560" t="str">
        <f t="shared" si="464"/>
        <v/>
      </c>
      <c r="GN228" s="560">
        <f>IF(GK228="P",Lookup!$M$12,IF(GK228="PP",Lookup!$M$13,IF(GK228="PPP",Lookup!$M$14,IF(GK228="T",Lookup!$M$15,IF(GK228="TP",Lookup!$M$16,IF(GK228="TPP",Lookup!$M$17,IF(GK228="TPPP",Lookup!$M$18,0)))))))*GJ228</f>
        <v>0</v>
      </c>
      <c r="GO228" s="560">
        <f t="shared" si="465"/>
        <v>0</v>
      </c>
      <c r="GP228" s="560">
        <f t="shared" si="434"/>
        <v>3744.084933333334</v>
      </c>
      <c r="GQ228" s="560">
        <f t="shared" si="473"/>
        <v>1220.3666666666668</v>
      </c>
      <c r="GR228" s="560"/>
      <c r="GS228" s="560">
        <f t="shared" si="466"/>
        <v>0</v>
      </c>
      <c r="GT228" s="560" t="str">
        <f t="shared" si="467"/>
        <v/>
      </c>
      <c r="GU228" s="560">
        <f>IF(GK228="P",Lookup!$N$12,IF(GK228="PP",Lookup!$N$13,IF(GK228="PPP",Lookup!$N$14,IF(GK228="T",Lookup!$N$15,IF(GK228="TP",Lookup!$N$16,IF(GK228="TPP",Lookup!$N$17,IF(GK228="TPPP",Lookup!$N$18,0)))))))*GJ228</f>
        <v>0</v>
      </c>
      <c r="GV228" s="560">
        <f t="shared" si="468"/>
        <v>0</v>
      </c>
      <c r="GW228" s="560">
        <f t="shared" si="435"/>
        <v>1689.3782817346926</v>
      </c>
      <c r="GX228" s="560">
        <f t="shared" si="474"/>
        <v>550.64481151717484</v>
      </c>
      <c r="GY228" s="560"/>
      <c r="GZ228" s="560">
        <f t="shared" si="469"/>
        <v>0</v>
      </c>
      <c r="HA228" s="560" t="str">
        <f t="shared" si="470"/>
        <v/>
      </c>
      <c r="HB228" s="560">
        <f>IF(GK228="P",Lookup!$N$12,IF(GK228="PP",Lookup!$N$13,IF(GK228="PPP",Lookup!$N$14,IF(GK228="T",Lookup!$N$15,IF(GK228="TP",Lookup!$N$16,IF(GK228="TPP",Lookup!$N$17,IF(GK228="TPPP",Lookup!$N$18,0)))))))*GJ228</f>
        <v>0</v>
      </c>
      <c r="HC228" s="545">
        <f t="shared" si="436"/>
        <v>0</v>
      </c>
      <c r="HD228" s="560">
        <f t="shared" si="437"/>
        <v>1434.0805062513853</v>
      </c>
      <c r="HE228" s="560">
        <f t="shared" si="475"/>
        <v>467.431716509578</v>
      </c>
      <c r="HF228" s="560"/>
      <c r="HG228" s="560">
        <f t="shared" si="471"/>
        <v>0</v>
      </c>
      <c r="HH228" s="560" t="str">
        <f t="shared" si="472"/>
        <v/>
      </c>
      <c r="HI228" s="560">
        <f>IF(GK228="P",Lookup!$N$12,IF(GK228="PP",Lookup!$N$13,IF(GK228="PPP",Lookup!$N$14,IF(GK228="T",Lookup!$N$15,IF(GK228="TP",Lookup!$N$16,IF(GK228="TPP",Lookup!$N$17,IF(GK228="TPPP",Lookup!$N$18,0)))))))*GJ228</f>
        <v>0</v>
      </c>
      <c r="HJ228" s="545">
        <f t="shared" si="438"/>
        <v>0</v>
      </c>
      <c r="HK228" s="560">
        <f t="shared" si="439"/>
        <v>943.40271215444204</v>
      </c>
      <c r="HL228" s="560">
        <f t="shared" si="476"/>
        <v>307.49762456142179</v>
      </c>
    </row>
    <row r="229" spans="1:220">
      <c r="A229" s="580" t="s">
        <v>6</v>
      </c>
      <c r="B229" s="556">
        <v>41857</v>
      </c>
      <c r="C229" s="561">
        <v>0</v>
      </c>
      <c r="D229" s="529">
        <f t="shared" si="477"/>
        <v>200</v>
      </c>
      <c r="E229" s="529">
        <f t="shared" si="478"/>
        <v>400</v>
      </c>
      <c r="F229" s="529">
        <v>250</v>
      </c>
      <c r="G229" s="560">
        <f>DR229+Sheet1!CZ231</f>
        <v>191.36409480572866</v>
      </c>
      <c r="H229" s="1082">
        <f t="shared" si="442"/>
        <v>0</v>
      </c>
      <c r="I229" s="559">
        <f>MAX(Sheet1!Z231-AT229+(Sheet1!DA231-E229)*CFStoMGD,0)</f>
        <v>0</v>
      </c>
      <c r="J229" s="562">
        <f>IF(AND(B229&gt;=Calculation!GC229,B229&lt;=Calculation!GD229),IF(Sheet1!DB231&gt;=Calculation!D229,64.64,0),MAX(Sheet1!Z231-AT229+(Sheet1!DB231-D229)*CFStoMGD,0))</f>
        <v>29.8752</v>
      </c>
      <c r="K229" s="1101">
        <v>0</v>
      </c>
      <c r="L229" s="560">
        <f>Sheet1!AA231+Sheet1!AB231-Sheet1!L231+(Sheet1!DA231-F229)*CFStoMGD</f>
        <v>130.17679999999999</v>
      </c>
      <c r="M229" s="560">
        <f t="shared" si="376"/>
        <v>126.17170590007147</v>
      </c>
      <c r="N229" s="910">
        <f>IF(Sheet1!DA231&gt;=F229,MIN(73,MIN(MAX(L229,0),MAX(M229,0))),0)</f>
        <v>73</v>
      </c>
      <c r="O229" s="563">
        <f>Sheet1!AA231+Sheet1!AB231</f>
        <v>90.1</v>
      </c>
      <c r="P229" s="563">
        <f t="shared" si="377"/>
        <v>139.38469999999998</v>
      </c>
      <c r="Q229" s="898">
        <f t="shared" si="444"/>
        <v>71.030855127828374</v>
      </c>
      <c r="R229" s="829">
        <f t="shared" si="378"/>
        <v>19</v>
      </c>
      <c r="S229" s="898">
        <f t="shared" si="445"/>
        <v>0</v>
      </c>
      <c r="T229" s="898">
        <f t="shared" si="446"/>
        <v>0</v>
      </c>
      <c r="U229" s="898">
        <f t="shared" si="447"/>
        <v>19.069144872171613</v>
      </c>
      <c r="V229" s="898"/>
      <c r="W229" s="898">
        <f t="shared" si="448"/>
        <v>0</v>
      </c>
      <c r="X229" s="898">
        <f t="shared" si="449"/>
        <v>0</v>
      </c>
      <c r="Y229" s="898" t="str">
        <f t="shared" si="450"/>
        <v>FALSE</v>
      </c>
      <c r="Z229" s="898">
        <f t="shared" si="451"/>
        <v>90.1</v>
      </c>
      <c r="AA229" s="898">
        <f t="shared" si="452"/>
        <v>90.1</v>
      </c>
      <c r="AB229" s="898" t="str">
        <f t="shared" si="453"/>
        <v/>
      </c>
      <c r="AC229" s="563">
        <f>Sheet1!Y231*MGDtoCFS</f>
        <v>87.250799999999998</v>
      </c>
      <c r="AD229" s="563">
        <f>Sheet1!Z231*MGDtoCFS</f>
        <v>53.216799999999992</v>
      </c>
      <c r="AE229" s="563">
        <f>Sheet1!AA231*MGDtoCFS</f>
        <v>86.631999999999991</v>
      </c>
      <c r="AF229" s="563">
        <f>Sheet1!AB231*MGDtoCFS</f>
        <v>52.752699999999997</v>
      </c>
      <c r="AG229" s="563">
        <f>Sheet1!L231*MGDtoCFS</f>
        <v>0</v>
      </c>
      <c r="AH229" s="545">
        <f t="shared" si="379"/>
        <v>19.069144872171613</v>
      </c>
      <c r="AI229" s="560">
        <f t="shared" si="380"/>
        <v>29.499967117249483</v>
      </c>
      <c r="AJ229" s="560">
        <f t="shared" si="381"/>
        <v>0</v>
      </c>
      <c r="AK229" s="560">
        <f t="shared" si="382"/>
        <v>0</v>
      </c>
      <c r="AL229" s="560">
        <f>(VLOOKUP(Sheet1!DC231,hhdcap_wcm,4)-(((VLOOKUP(Sheet1!DC231,hhdcap_wcm,3)-Sheet1!DC231)/(VLOOKUP(Sheet1!DC231,hhdcap_wcm,3)-VLOOKUP(Sheet1!DC231,hhdcap_wcm,1)))*(VLOOKUP(Sheet1!DC231,hhdcap_wcm,4)-VLOOKUP(Sheet1!DC231,hhdcap_wcm,2))))</f>
        <v>42243.000000104599</v>
      </c>
      <c r="AM229" s="560">
        <f t="shared" si="383"/>
        <v>-265.00000000024011</v>
      </c>
      <c r="AN229" s="560">
        <f t="shared" si="384"/>
        <v>2526.8716743826699</v>
      </c>
      <c r="AO229" s="560">
        <f t="shared" si="385"/>
        <v>7752.4422970060314</v>
      </c>
      <c r="AP229" s="560">
        <f>Sheet1!BA231+Sheet1!BB231+Sheet1!BN231+CD229</f>
        <v>15</v>
      </c>
      <c r="AQ229" s="560">
        <f>Sheet1!BN231+(DO229*Sheet1!BN231)</f>
        <v>15.030855127828387</v>
      </c>
      <c r="AR229" s="560">
        <f>Sheet1!BA231+CD229</f>
        <v>0</v>
      </c>
      <c r="AS229" s="560">
        <f>Sheet1!BA231+Sheet1!BB231+CD229</f>
        <v>0</v>
      </c>
      <c r="AT229" s="698">
        <f>0</f>
        <v>0</v>
      </c>
      <c r="AU229" s="560">
        <f>IF(EB229&lt;K229,0,MAX(Sheet1!AA231+AQ229-15/36*K229-N229,Sheet1!EH231,0))</f>
        <v>0</v>
      </c>
      <c r="AV229" s="560">
        <f>IF(OR(B229&gt;=GD229,B229&lt;GC229),0,15/36*K229-MAX(0,64.6-(137.6-(Sheet1!AA231+Sheet1!AB231))))</f>
        <v>0</v>
      </c>
      <c r="AW229" s="698">
        <f>Sheet1!DB231-110</f>
        <v>83</v>
      </c>
      <c r="AX229" s="698">
        <f>Sheet1!DA231-265</f>
        <v>47</v>
      </c>
      <c r="AY229" s="698">
        <f t="shared" si="386"/>
        <v>1.9691448721716256</v>
      </c>
      <c r="AZ229" s="1082"/>
      <c r="BA229" s="698">
        <f t="shared" si="387"/>
        <v>0</v>
      </c>
      <c r="BB229" s="560">
        <f t="shared" si="388"/>
        <v>1220.3666666666668</v>
      </c>
      <c r="BC229" s="560"/>
      <c r="BD229" s="560">
        <f ca="1">IF(B229&gt;Summary!$A$1,#N/A,BB229*MGtoAF)</f>
        <v>3744.084933333334</v>
      </c>
      <c r="BE229" s="560">
        <f>Sheet1!BG231+Sheet1!BH231+Sheet1!BI231-BM229</f>
        <v>3</v>
      </c>
      <c r="BF229" s="560">
        <f t="shared" si="389"/>
        <v>3.0061710255656773</v>
      </c>
      <c r="BG229" s="560">
        <f>IF(Sheet1!EP231="FM",BM229,0)</f>
        <v>0</v>
      </c>
      <c r="BH229" s="560">
        <f t="shared" si="390"/>
        <v>0</v>
      </c>
      <c r="BI229" s="560">
        <f>IF(Sheet1!EP231="OTHER",BM229,0)</f>
        <v>0</v>
      </c>
      <c r="BJ229" s="560">
        <f t="shared" si="391"/>
        <v>0</v>
      </c>
      <c r="BK229" s="560">
        <f t="shared" si="392"/>
        <v>3</v>
      </c>
      <c r="BL229" s="560">
        <f t="shared" si="393"/>
        <v>3.0061710255656773</v>
      </c>
      <c r="BM229" s="560">
        <f>IF(OR(Sheet1!EP231="FM", Sheet1!EP231="OTHER"),SUM(Sheet1!BG231:'Sheet1'!BI231),0)</f>
        <v>0</v>
      </c>
      <c r="BN229" s="545">
        <f>IF(AND($B229&gt;=$FV229,$B229&lt;=$FW229),MAX(BF229,Sheet1!EI231,0),MAX(BF229-(7/36)*$K229,0))</f>
        <v>3.0061710255656773</v>
      </c>
      <c r="BO229" s="560">
        <f t="shared" si="394"/>
        <v>0</v>
      </c>
      <c r="BP229" s="545">
        <f t="shared" si="395"/>
        <v>0</v>
      </c>
      <c r="BQ229" s="545">
        <f>IF(AND($O229&gt;0,Sheet1!EM231=1),(1-($O229-Sheet1!$L231)/$O229)*BL229,0)</f>
        <v>0</v>
      </c>
      <c r="BR229" s="545">
        <f>IF(AND(Sheet1!$L231=0,Sheet1!$L230=0, Calculation!BK229&lt;Sheet1!$EI231-0.1,Sheet1!$EI231=Sheet1!$EI230,Sheet1!$EI231=Sheet1!$EI232),Sheet1!$EI231,BL229-BQ229)</f>
        <v>3.0061710255656773</v>
      </c>
      <c r="BS229" s="560"/>
      <c r="BT229" s="560"/>
      <c r="BU229" s="560">
        <f t="shared" si="396"/>
        <v>547.63864049160918</v>
      </c>
      <c r="BV229" s="560"/>
      <c r="BW229" s="560">
        <f ca="1">IF(B229&gt;Summary!$A$1,#N/A,BU229*MGtoAF)</f>
        <v>1680.155349028257</v>
      </c>
      <c r="BX229" s="560">
        <f>Sheet1!BC231+Sheet1!BD231+Sheet1!BE231+Sheet1!BF231-CG229-CH229</f>
        <v>5</v>
      </c>
      <c r="BY229" s="560">
        <f t="shared" si="397"/>
        <v>5.0102850426094623</v>
      </c>
      <c r="BZ229" s="560">
        <f>IF(Sheet1!EQ231="FM",CH229,0)</f>
        <v>0</v>
      </c>
      <c r="CA229" s="560">
        <f t="shared" si="398"/>
        <v>0</v>
      </c>
      <c r="CB229" s="560">
        <f>IF(Sheet1!EQ231="OTHER",CH229,0)</f>
        <v>0</v>
      </c>
      <c r="CC229" s="560">
        <f t="shared" si="399"/>
        <v>0</v>
      </c>
      <c r="CD229" s="560">
        <f t="shared" si="400"/>
        <v>0</v>
      </c>
      <c r="CE229" s="560">
        <f t="shared" si="401"/>
        <v>5</v>
      </c>
      <c r="CF229" s="560">
        <f t="shared" si="402"/>
        <v>5.0102850426094623</v>
      </c>
      <c r="CG229" s="560">
        <f>IF(Sheet1!EQ231="CWA",SUM(Sheet1!BC231:'Sheet1'!BF231),0)</f>
        <v>0</v>
      </c>
      <c r="CH229" s="560">
        <f>IF(OR(Sheet1!EQ231="FM", Sheet1!EQ231="OTHER"),SUM(Sheet1!BC231:'Sheet1'!BF231),0)</f>
        <v>0</v>
      </c>
      <c r="CI229" s="545">
        <f>IF(AND($B229&gt;=$FV229,$B229&lt;=$FW229),MAX(CF229,Sheet1!EJ231,0),MAX(CF229-(7/36)*$K229,0))</f>
        <v>5.0102850426094623</v>
      </c>
      <c r="CJ229" s="560">
        <f t="shared" si="403"/>
        <v>0</v>
      </c>
      <c r="CK229" s="545">
        <f t="shared" si="404"/>
        <v>0</v>
      </c>
      <c r="CL229" s="545">
        <f>IF(AND($O229&gt;0,Sheet1!EN231=1),(1-($O229-Sheet1!$L231)/$O229)*CF229,0)</f>
        <v>0</v>
      </c>
      <c r="CM229" s="545">
        <f>IF(AND(Sheet1!$L231=0,Sheet1!$L230=0, Calculation!CE229&lt;Sheet1!EJ231-0.1,Sheet1!EJ231=Sheet1!EJ230,Sheet1!EJ231=Sheet1!EJ232),Sheet1!EJ231,CF229-CL229)</f>
        <v>5.0102850426094623</v>
      </c>
      <c r="CN229" s="545"/>
      <c r="CO229" s="560"/>
      <c r="CP229" s="560">
        <f t="shared" si="405"/>
        <v>462.42143146696856</v>
      </c>
      <c r="CQ229" s="560"/>
      <c r="CR229" s="560">
        <f ca="1">IF(B229&gt;Summary!$A$1,#N/A,CP229*MGtoAF)</f>
        <v>1418.7089517406596</v>
      </c>
      <c r="CS229" s="560">
        <f>Sheet1!BK231+Sheet1!BL231+Sheet1!BM231-Sheet1!ER231-DA229</f>
        <v>11.030000000000001</v>
      </c>
      <c r="CT229" s="560">
        <f t="shared" si="406"/>
        <v>11.052688803996475</v>
      </c>
      <c r="CU229" s="560">
        <f>IF(Sheet1!ER231="FM",DA229,0)</f>
        <v>0</v>
      </c>
      <c r="CV229" s="560">
        <f t="shared" si="407"/>
        <v>0</v>
      </c>
      <c r="CW229" s="560">
        <f>IF(Sheet1!ER231="OTHER",DA229,0)</f>
        <v>0</v>
      </c>
      <c r="CX229" s="560">
        <f t="shared" si="408"/>
        <v>0</v>
      </c>
      <c r="CY229" s="560">
        <f t="shared" si="409"/>
        <v>11.030000000000001</v>
      </c>
      <c r="CZ229" s="560">
        <f t="shared" si="410"/>
        <v>11.052688803996475</v>
      </c>
      <c r="DA229" s="560">
        <f>IF(OR(Sheet1!ER231="FM", Sheet1!ER231="OTHER"),SUM(Sheet1!BK231:'Sheet1'!BM231),0)</f>
        <v>0</v>
      </c>
      <c r="DB229" s="545">
        <f>IF(AND($B229&gt;=$FV229,$B229&lt;=$FW229),MAX($CT229,Sheet1!EK231,0),MAX($CT229-(7/36)*$K229,0))</f>
        <v>11.052688803996475</v>
      </c>
      <c r="DC229" s="560">
        <f t="shared" si="411"/>
        <v>0</v>
      </c>
      <c r="DD229" s="545">
        <f t="shared" si="412"/>
        <v>0</v>
      </c>
      <c r="DE229" s="545">
        <f>IF(AND($O229&gt;0,Sheet1!EO231=1),(1-($O229-Sheet1!$L231)/$O229)*CZ229,0)</f>
        <v>0</v>
      </c>
      <c r="DF229" s="545">
        <f>IF(AND(Sheet1!$L231=0,Sheet1!$L230=0, Calculation!CY229&lt;Sheet1!$EK231-0.1,Sheet1!$EK231=Sheet1!$EK230,Sheet1!$EK231=Sheet1!$EK232),Sheet1!$EK231,CZ229-DE229)</f>
        <v>11.052688803996475</v>
      </c>
      <c r="DG229" s="545"/>
      <c r="DH229" s="560">
        <f t="shared" si="413"/>
        <v>19.03</v>
      </c>
      <c r="DI229" s="560">
        <f t="shared" si="414"/>
        <v>296.4449357574253</v>
      </c>
      <c r="DJ229" s="698">
        <f t="shared" si="415"/>
        <v>19.069144872171613</v>
      </c>
      <c r="DK229" s="560">
        <f ca="1">IF(B229&gt;Summary!$A$1,#N/A,DI229*MGtoAF)</f>
        <v>909.49306290378081</v>
      </c>
      <c r="DL229" s="698">
        <f t="shared" si="416"/>
        <v>19.03</v>
      </c>
      <c r="DM229" s="560">
        <f t="shared" si="417"/>
        <v>34.03</v>
      </c>
      <c r="DN229" s="560">
        <f>Sheet1!AB231-DM229</f>
        <v>7.0000000000000284E-2</v>
      </c>
      <c r="DO229" s="823">
        <f t="shared" si="418"/>
        <v>2.0570085218924563E-3</v>
      </c>
      <c r="DP229" s="560">
        <f>(VLOOKUP(Sheet1!DC231,hhdcap_wcm,4)-(((VLOOKUP(Sheet1!DC231,hhdcap_wcm,3)-Sheet1!DC231)/(VLOOKUP(Sheet1!DC231,hhdcap_wcm,3)-VLOOKUP(Sheet1!DC231,hhdcap_wcm,1)))*(VLOOKUP(Sheet1!DC231,hhdcap_wcm,4)-VLOOKUP(Sheet1!DC231,hhdcap_wcm,2))))</f>
        <v>42243.000000104599</v>
      </c>
      <c r="DQ229" s="560">
        <f t="shared" si="419"/>
        <v>-265.00000000024011</v>
      </c>
      <c r="DR229" s="560">
        <f t="shared" si="420"/>
        <v>-133.63590519427134</v>
      </c>
      <c r="DS229" s="560">
        <f>Sheet1!EA231*AFtoMG</f>
        <v>0</v>
      </c>
      <c r="DT229" s="560">
        <f>Sheet1!EB231*AFtoMG</f>
        <v>0</v>
      </c>
      <c r="DU229" s="560">
        <f>Sheet1!EC231*AFtoMG</f>
        <v>0</v>
      </c>
      <c r="DV229" s="560">
        <f>Sheet1!ED231*AFtoMG</f>
        <v>0</v>
      </c>
      <c r="DW229" s="560">
        <f t="shared" si="421"/>
        <v>0</v>
      </c>
      <c r="DX229" s="560">
        <f t="shared" si="422"/>
        <v>0</v>
      </c>
      <c r="DY229" s="560">
        <f t="shared" si="423"/>
        <v>2526.8716743826699</v>
      </c>
      <c r="DZ229" s="560">
        <f t="shared" si="424"/>
        <v>7752.4422970060314</v>
      </c>
      <c r="EA229" s="560"/>
      <c r="EB229" s="545">
        <f>IF(OR(B229&lt;FV229,B229&gt;FW229),(MIN(BF229+BY229+CT229+MAX(Sheet1!AA231+AQ229-73,0),K229)),0)</f>
        <v>0</v>
      </c>
      <c r="EC229" s="560"/>
      <c r="ED229" s="560">
        <f t="shared" si="425"/>
        <v>19.069144872171613</v>
      </c>
      <c r="EE229" s="560"/>
      <c r="EF229" s="560">
        <f>Sheet1!EH231+Sheet1!EI231+Sheet1!EJ231+Sheet1!EK231</f>
        <v>19</v>
      </c>
      <c r="EG229" s="560"/>
      <c r="EH229" s="545">
        <f t="shared" si="426"/>
        <v>0</v>
      </c>
      <c r="EI229" s="560">
        <f>IF(Sheet1!ET231=1,SUM('Calculations II'!AT229:BA229)+'Calculations II'!BC229+Sheet1!BV231+'Calculations II'!BE229+AP229,SUM('Calculations II'!AT229:BA229)+'Calculations II'!BC229+Sheet1!BV231+'Calculations II'!BE229+AP229)</f>
        <v>86.224096000000003</v>
      </c>
      <c r="EJ229" s="560">
        <f>Sheet1!AA231+Sheet1!AB231+'Calculations II'!BC229</f>
        <v>95.264991999999992</v>
      </c>
      <c r="EK229" s="560"/>
      <c r="EL229" s="560"/>
      <c r="EM229" s="560">
        <f t="shared" si="427"/>
        <v>41857</v>
      </c>
      <c r="EN229" s="560">
        <f t="shared" si="428"/>
        <v>-19.069144872171613</v>
      </c>
      <c r="EO229" s="560">
        <f t="shared" si="429"/>
        <v>-29.499967117249483</v>
      </c>
      <c r="EP229" s="560">
        <v>0</v>
      </c>
      <c r="EQ229" s="560">
        <v>0</v>
      </c>
      <c r="ER229" s="560">
        <v>0</v>
      </c>
      <c r="ES229" s="545">
        <f t="shared" si="454"/>
        <v>-1.1089229921584689</v>
      </c>
      <c r="ET229" s="560">
        <f>-(VLOOKUP(Sheet1!BQ231,Lookup!$O$4:$Q$262,2)-VLOOKUP(Sheet1!BQ230,Lookup!$O$4:$Q$262,2))/1000000</f>
        <v>-0.41585814305006713</v>
      </c>
      <c r="EU229" s="560">
        <f>-(VLOOKUP(Sheet1!BR231,Lookup!$O$4:$Q$262,3)-VLOOKUP(Sheet1!BR230,Lookup!$O$4:$Q$262,3))/1000000</f>
        <v>-0.69306484910840171</v>
      </c>
      <c r="EV229" s="560"/>
      <c r="EW229" s="560"/>
      <c r="EX229" s="560"/>
      <c r="EY229" s="560"/>
      <c r="EZ229" s="560"/>
      <c r="FA229" s="560"/>
      <c r="FB229" s="560"/>
      <c r="FC229" s="560"/>
      <c r="FD229" s="594">
        <f t="shared" si="443"/>
        <v>1135.7272727271966</v>
      </c>
      <c r="FE229" s="594" t="e">
        <f t="shared" si="431"/>
        <v>#N/A</v>
      </c>
      <c r="FF229" s="595" t="e">
        <f t="shared" si="432"/>
        <v>#N/A</v>
      </c>
      <c r="FG229" s="596" t="s">
        <v>692</v>
      </c>
      <c r="FH229" s="596" t="s">
        <v>692</v>
      </c>
      <c r="FI229" s="594" t="e">
        <v>#N/A</v>
      </c>
      <c r="FJ229" s="778">
        <v>19893</v>
      </c>
      <c r="FK229" s="560"/>
      <c r="FL229" s="560"/>
      <c r="FM229" s="560"/>
      <c r="FN229" s="560"/>
      <c r="FO229" s="560">
        <f>O229+((Sheet1!CS231)*GPMtoMGD)</f>
        <v>95.264991999999992</v>
      </c>
      <c r="FP229" s="560">
        <f>IF(Sheet1!AA231+AQ229&lt;=Calculation!N229,AQ229,Calculation!N229-Sheet1!AA231)</f>
        <v>15.030855127828387</v>
      </c>
      <c r="FQ229" s="560">
        <f>(Sheet1!BP231+Sheet1!BO231)/694.4</f>
        <v>4.032258064516129</v>
      </c>
      <c r="FR229" s="560"/>
      <c r="FS229" s="560"/>
      <c r="FT229" s="560"/>
      <c r="FU229" s="560"/>
      <c r="FV229" s="695">
        <f t="shared" si="455"/>
        <v>41827</v>
      </c>
      <c r="FW229" s="695">
        <f t="shared" si="456"/>
        <v>41934</v>
      </c>
      <c r="FX229" s="560"/>
      <c r="FY229" s="560"/>
      <c r="FZ229" s="560"/>
      <c r="GA229" s="560"/>
      <c r="GB229" s="560" t="str">
        <f t="shared" si="457"/>
        <v>n</v>
      </c>
      <c r="GC229" s="564">
        <f t="shared" si="458"/>
        <v>41691</v>
      </c>
      <c r="GD229" s="695">
        <f t="shared" si="459"/>
        <v>41807</v>
      </c>
      <c r="GE229" s="560">
        <v>6518.9</v>
      </c>
      <c r="GF229" s="695">
        <f t="shared" si="460"/>
        <v>41808</v>
      </c>
      <c r="GG229" s="560">
        <f t="shared" si="479"/>
        <v>3259</v>
      </c>
      <c r="GH229" s="564">
        <f t="shared" si="461"/>
        <v>41934</v>
      </c>
      <c r="GJ229" s="545">
        <f t="shared" si="462"/>
        <v>0</v>
      </c>
      <c r="GK229" s="560" t="str">
        <f t="shared" si="433"/>
        <v/>
      </c>
      <c r="GL229" s="560">
        <f t="shared" si="463"/>
        <v>0</v>
      </c>
      <c r="GM229" s="560" t="str">
        <f t="shared" si="464"/>
        <v/>
      </c>
      <c r="GN229" s="560">
        <f>IF(GK229="P",Lookup!$M$12,IF(GK229="PP",Lookup!$M$13,IF(GK229="PPP",Lookup!$M$14,IF(GK229="T",Lookup!$M$15,IF(GK229="TP",Lookup!$M$16,IF(GK229="TPP",Lookup!$M$17,IF(GK229="TPPP",Lookup!$M$18,0)))))))*GJ229</f>
        <v>0</v>
      </c>
      <c r="GO229" s="560">
        <f t="shared" si="465"/>
        <v>0</v>
      </c>
      <c r="GP229" s="560">
        <f t="shared" si="434"/>
        <v>3744.084933333334</v>
      </c>
      <c r="GQ229" s="560">
        <f t="shared" si="473"/>
        <v>1220.3666666666668</v>
      </c>
      <c r="GR229" s="560"/>
      <c r="GS229" s="560">
        <f t="shared" si="466"/>
        <v>0</v>
      </c>
      <c r="GT229" s="560" t="str">
        <f t="shared" si="467"/>
        <v/>
      </c>
      <c r="GU229" s="560">
        <f>IF(GK229="P",Lookup!$N$12,IF(GK229="PP",Lookup!$N$13,IF(GK229="PPP",Lookup!$N$14,IF(GK229="T",Lookup!$N$15,IF(GK229="TP",Lookup!$N$16,IF(GK229="TPP",Lookup!$N$17,IF(GK229="TPPP",Lookup!$N$18,0)))))))*GJ229</f>
        <v>0</v>
      </c>
      <c r="GV229" s="560">
        <f t="shared" si="468"/>
        <v>0</v>
      </c>
      <c r="GW229" s="560">
        <f t="shared" si="435"/>
        <v>1680.155349028257</v>
      </c>
      <c r="GX229" s="560">
        <f t="shared" si="474"/>
        <v>547.63864049160918</v>
      </c>
      <c r="GY229" s="560"/>
      <c r="GZ229" s="560">
        <f t="shared" si="469"/>
        <v>0</v>
      </c>
      <c r="HA229" s="560" t="str">
        <f t="shared" si="470"/>
        <v/>
      </c>
      <c r="HB229" s="560">
        <f>IF(GK229="P",Lookup!$N$12,IF(GK229="PP",Lookup!$N$13,IF(GK229="PPP",Lookup!$N$14,IF(GK229="T",Lookup!$N$15,IF(GK229="TP",Lookup!$N$16,IF(GK229="TPP",Lookup!$N$17,IF(GK229="TPPP",Lookup!$N$18,0)))))))*GJ229</f>
        <v>0</v>
      </c>
      <c r="HC229" s="545">
        <f t="shared" si="436"/>
        <v>0</v>
      </c>
      <c r="HD229" s="560">
        <f t="shared" si="437"/>
        <v>1418.7089517406596</v>
      </c>
      <c r="HE229" s="560">
        <f t="shared" si="475"/>
        <v>462.42143146696856</v>
      </c>
      <c r="HF229" s="560"/>
      <c r="HG229" s="560">
        <f t="shared" si="471"/>
        <v>0</v>
      </c>
      <c r="HH229" s="560" t="str">
        <f t="shared" si="472"/>
        <v/>
      </c>
      <c r="HI229" s="560">
        <f>IF(GK229="P",Lookup!$N$12,IF(GK229="PP",Lookup!$N$13,IF(GK229="PPP",Lookup!$N$14,IF(GK229="T",Lookup!$N$15,IF(GK229="TP",Lookup!$N$16,IF(GK229="TPP",Lookup!$N$17,IF(GK229="TPPP",Lookup!$N$18,0)))))))*GJ229</f>
        <v>0</v>
      </c>
      <c r="HJ229" s="545">
        <f t="shared" si="438"/>
        <v>0</v>
      </c>
      <c r="HK229" s="560">
        <f t="shared" si="439"/>
        <v>909.49306290378081</v>
      </c>
      <c r="HL229" s="560">
        <f t="shared" si="476"/>
        <v>296.4449357574253</v>
      </c>
    </row>
    <row r="230" spans="1:220">
      <c r="A230" s="580" t="s">
        <v>7</v>
      </c>
      <c r="B230" s="556">
        <v>41858</v>
      </c>
      <c r="C230" s="561">
        <v>0</v>
      </c>
      <c r="D230" s="529">
        <f t="shared" si="477"/>
        <v>200</v>
      </c>
      <c r="E230" s="529">
        <f t="shared" si="478"/>
        <v>400</v>
      </c>
      <c r="F230" s="529">
        <v>250</v>
      </c>
      <c r="G230" s="560">
        <f>DR230+Sheet1!CZ232</f>
        <v>200.67322239019811</v>
      </c>
      <c r="H230" s="914">
        <f t="shared" ref="H230:H263" si="480">MAX((G230-113-D230)*CFStoMGD,0)</f>
        <v>0</v>
      </c>
      <c r="I230" s="559">
        <f>MAX(Sheet1!Z232-AT230+(Sheet1!DA232-E230)*CFStoMGD,0)</f>
        <v>0</v>
      </c>
      <c r="J230" s="562">
        <f>IF(AND(B230&gt;=Calculation!GC230,B230&lt;=Calculation!GD230),IF(Sheet1!DB232&gt;=Calculation!D230,64.64,0),MAX(Sheet1!Z232-AT230+(Sheet1!DB232-D230)*CFStoMGD,0))</f>
        <v>41.2104</v>
      </c>
      <c r="K230" s="904">
        <f t="shared" si="375"/>
        <v>0</v>
      </c>
      <c r="L230" s="560">
        <f>Sheet1!AA232+Sheet1!AB232-Sheet1!L232+(Sheet1!DA232-F230)*CFStoMGD</f>
        <v>133.03</v>
      </c>
      <c r="M230" s="560">
        <f t="shared" si="376"/>
        <v>132.30947437208454</v>
      </c>
      <c r="N230" s="910">
        <f>IF(Sheet1!DA232&gt;=F230,MIN(73,MIN(MAX(L230,0),MAX(M230,0))),0)</f>
        <v>73</v>
      </c>
      <c r="O230" s="563">
        <f>Sheet1!AA232+Sheet1!AB232</f>
        <v>84.55</v>
      </c>
      <c r="P230" s="563">
        <f t="shared" si="377"/>
        <v>130.79884999999999</v>
      </c>
      <c r="Q230" s="898">
        <f t="shared" si="444"/>
        <v>65.55</v>
      </c>
      <c r="R230" s="829">
        <f t="shared" si="378"/>
        <v>19</v>
      </c>
      <c r="S230" s="898">
        <f t="shared" si="445"/>
        <v>0</v>
      </c>
      <c r="T230" s="898">
        <f t="shared" si="446"/>
        <v>0</v>
      </c>
      <c r="U230" s="898">
        <f t="shared" si="447"/>
        <v>19</v>
      </c>
      <c r="V230" s="898"/>
      <c r="W230" s="898">
        <f t="shared" si="448"/>
        <v>0</v>
      </c>
      <c r="X230" s="898">
        <f t="shared" si="449"/>
        <v>0</v>
      </c>
      <c r="Y230" s="898" t="str">
        <f t="shared" si="450"/>
        <v>FALSE</v>
      </c>
      <c r="Z230" s="898">
        <f t="shared" si="451"/>
        <v>84.55</v>
      </c>
      <c r="AA230" s="898">
        <f t="shared" si="452"/>
        <v>84.55</v>
      </c>
      <c r="AB230" s="898" t="str">
        <f t="shared" si="453"/>
        <v/>
      </c>
      <c r="AC230" s="563">
        <f>Sheet1!Y232*MGDtoCFS</f>
        <v>86.631999999999991</v>
      </c>
      <c r="AD230" s="563">
        <f>Sheet1!Z232*MGDtoCFS</f>
        <v>52.752699999999997</v>
      </c>
      <c r="AE230" s="563">
        <f>Sheet1!AA232*MGDtoCFS</f>
        <v>48.266399999999997</v>
      </c>
      <c r="AF230" s="563">
        <f>Sheet1!AB232*MGDtoCFS</f>
        <v>82.532449999999997</v>
      </c>
      <c r="AG230" s="563">
        <f>Sheet1!L232*MGDtoCFS</f>
        <v>0</v>
      </c>
      <c r="AH230" s="545">
        <f t="shared" si="379"/>
        <v>19</v>
      </c>
      <c r="AI230" s="560">
        <f t="shared" si="380"/>
        <v>29.392999999999997</v>
      </c>
      <c r="AJ230" s="560">
        <f t="shared" si="381"/>
        <v>0</v>
      </c>
      <c r="AK230" s="560">
        <f t="shared" si="382"/>
        <v>0</v>
      </c>
      <c r="AL230" s="560">
        <f>(VLOOKUP(Sheet1!DC232,hhdcap_wcm,4)-(((VLOOKUP(Sheet1!DC232,hhdcap_wcm,3)-Sheet1!DC232)/(VLOOKUP(Sheet1!DC232,hhdcap_wcm,3)-VLOOKUP(Sheet1!DC232,hhdcap_wcm,1)))*(VLOOKUP(Sheet1!DC232,hhdcap_wcm,4)-VLOOKUP(Sheet1!DC232,hhdcap_wcm,2))))</f>
        <v>41956.800000104362</v>
      </c>
      <c r="AM230" s="560">
        <f t="shared" si="383"/>
        <v>-286.2000000002372</v>
      </c>
      <c r="AN230" s="560">
        <f t="shared" si="384"/>
        <v>2507.8716743826699</v>
      </c>
      <c r="AO230" s="560">
        <f t="shared" si="385"/>
        <v>7694.150297006031</v>
      </c>
      <c r="AP230" s="560">
        <f>Sheet1!BA232+Sheet1!BB232+Sheet1!BN232+CD230</f>
        <v>35.800000000000004</v>
      </c>
      <c r="AQ230" s="560">
        <f>Sheet1!BN232+(DO230*Sheet1!BN232)</f>
        <v>33.688515509601181</v>
      </c>
      <c r="AR230" s="560">
        <f>Sheet1!BA232+CD230</f>
        <v>0</v>
      </c>
      <c r="AS230" s="560">
        <f>Sheet1!BA232+Sheet1!BB232+CD230</f>
        <v>1.6</v>
      </c>
      <c r="AT230" s="698">
        <f>0</f>
        <v>0</v>
      </c>
      <c r="AU230" s="560">
        <f>IF(EB230&lt;K230,0,MAX(Sheet1!AA232+AQ230-15/36*K230-N230,Sheet1!EH232,0))</f>
        <v>0</v>
      </c>
      <c r="AV230" s="560">
        <f>IF(OR(B230&gt;=GD230,B230&lt;GC230),0,15/36*K230-MAX(0,64.6-(137.6-(Sheet1!AA232+Sheet1!AB232))))</f>
        <v>0</v>
      </c>
      <c r="AW230" s="698">
        <f>Sheet1!DB232-110</f>
        <v>101</v>
      </c>
      <c r="AX230" s="698">
        <f>Sheet1!DA232-265</f>
        <v>60</v>
      </c>
      <c r="AY230" s="698">
        <f t="shared" si="386"/>
        <v>7.4500000000000028</v>
      </c>
      <c r="AZ230" s="1082"/>
      <c r="BA230" s="698">
        <f t="shared" si="387"/>
        <v>0</v>
      </c>
      <c r="BB230" s="560">
        <f t="shared" si="388"/>
        <v>1220.3666666666668</v>
      </c>
      <c r="BC230" s="560"/>
      <c r="BD230" s="560">
        <f ca="1">IF(B230&gt;Summary!$A$1,#N/A,BB230*MGtoAF)</f>
        <v>3744.084933333334</v>
      </c>
      <c r="BE230" s="560">
        <f>Sheet1!BG232+Sheet1!BH232+Sheet1!BI232-BM230</f>
        <v>2.33</v>
      </c>
      <c r="BF230" s="560">
        <f t="shared" si="389"/>
        <v>2.2951532496307236</v>
      </c>
      <c r="BG230" s="560">
        <f>IF(Sheet1!EP232="FM",BM230,0)</f>
        <v>0</v>
      </c>
      <c r="BH230" s="560">
        <f t="shared" si="390"/>
        <v>0</v>
      </c>
      <c r="BI230" s="560">
        <f>IF(Sheet1!EP232="OTHER",BM230,0)</f>
        <v>0</v>
      </c>
      <c r="BJ230" s="560">
        <f t="shared" si="391"/>
        <v>0</v>
      </c>
      <c r="BK230" s="560">
        <f t="shared" si="392"/>
        <v>2.33</v>
      </c>
      <c r="BL230" s="560">
        <f t="shared" si="393"/>
        <v>2.2951532496307236</v>
      </c>
      <c r="BM230" s="560">
        <f>IF(OR(Sheet1!EP232="FM", Sheet1!EP232="OTHER"),SUM(Sheet1!BG232:'Sheet1'!BI232),0)</f>
        <v>0</v>
      </c>
      <c r="BN230" s="545">
        <f>IF(AND($B230&gt;=$FV230,$B230&lt;=$FW230),MAX(BF230,Sheet1!EI232,0),MAX(BF230-(7/36)*$K230,0))</f>
        <v>3</v>
      </c>
      <c r="BO230" s="560">
        <f t="shared" si="394"/>
        <v>0</v>
      </c>
      <c r="BP230" s="545">
        <f t="shared" si="395"/>
        <v>0</v>
      </c>
      <c r="BQ230" s="545">
        <f>IF(AND($O230&gt;0,Sheet1!EM232=1),(1-($O230-Sheet1!$L232)/$O230)*BL230,0)</f>
        <v>0</v>
      </c>
      <c r="BR230" s="545">
        <f>IF(AND(Sheet1!$L232=0,Sheet1!$L231=0, Calculation!BK230&lt;Sheet1!$EI232-0.1,Sheet1!$EI232=Sheet1!$EI231,Sheet1!$EI232=Sheet1!$EI233),Sheet1!$EI232,BL230-BQ230)</f>
        <v>2.2951532496307236</v>
      </c>
      <c r="BS230" s="560"/>
      <c r="BT230" s="560"/>
      <c r="BU230" s="560">
        <f t="shared" si="396"/>
        <v>544.63864049160918</v>
      </c>
      <c r="BV230" s="560"/>
      <c r="BW230" s="560">
        <f ca="1">IF(B230&gt;Summary!$A$1,#N/A,BU230*MGtoAF)</f>
        <v>1670.951349028257</v>
      </c>
      <c r="BX230" s="560">
        <f>Sheet1!BC232+Sheet1!BD232+Sheet1!BE232+Sheet1!BF232-CG230-CH230</f>
        <v>5</v>
      </c>
      <c r="BY230" s="560">
        <f t="shared" si="397"/>
        <v>4.9252215657311664</v>
      </c>
      <c r="BZ230" s="560">
        <f>IF(Sheet1!EQ232="FM",CH230,0)</f>
        <v>0</v>
      </c>
      <c r="CA230" s="560">
        <f t="shared" si="398"/>
        <v>0</v>
      </c>
      <c r="CB230" s="560">
        <f>IF(Sheet1!EQ232="OTHER",CH230,0)</f>
        <v>0</v>
      </c>
      <c r="CC230" s="560">
        <f t="shared" si="399"/>
        <v>0</v>
      </c>
      <c r="CD230" s="560">
        <f t="shared" si="400"/>
        <v>0</v>
      </c>
      <c r="CE230" s="560">
        <f t="shared" si="401"/>
        <v>5</v>
      </c>
      <c r="CF230" s="560">
        <f t="shared" si="402"/>
        <v>4.9252215657311664</v>
      </c>
      <c r="CG230" s="560">
        <f>IF(Sheet1!EQ232="CWA",SUM(Sheet1!BC232:'Sheet1'!BF232),0)</f>
        <v>0</v>
      </c>
      <c r="CH230" s="560">
        <f>IF(OR(Sheet1!EQ232="FM", Sheet1!EQ232="OTHER"),SUM(Sheet1!BC232:'Sheet1'!BF232),0)</f>
        <v>0</v>
      </c>
      <c r="CI230" s="545">
        <f>IF(AND($B230&gt;=$FV230,$B230&lt;=$FW230),MAX(CF230,Sheet1!EJ232,0),MAX(CF230-(7/36)*$K230,0))</f>
        <v>5</v>
      </c>
      <c r="CJ230" s="560">
        <f t="shared" si="403"/>
        <v>0</v>
      </c>
      <c r="CK230" s="545">
        <f t="shared" si="404"/>
        <v>0</v>
      </c>
      <c r="CL230" s="545">
        <f>IF(AND($O230&gt;0,Sheet1!EN232=1),(1-($O230-Sheet1!$L232)/$O230)*CF230,0)</f>
        <v>0</v>
      </c>
      <c r="CM230" s="545">
        <f>IF(AND(Sheet1!$L232=0,Sheet1!$L231=0, Calculation!CE230&lt;Sheet1!EJ232-0.1,Sheet1!EJ232=Sheet1!EJ231,Sheet1!EJ232=Sheet1!EJ233),Sheet1!EJ232,CF230-CL230)</f>
        <v>4.9252215657311664</v>
      </c>
      <c r="CN230" s="545"/>
      <c r="CO230" s="560"/>
      <c r="CP230" s="560">
        <f t="shared" si="405"/>
        <v>457.42143146696856</v>
      </c>
      <c r="CQ230" s="560"/>
      <c r="CR230" s="560">
        <f ca="1">IF(B230&gt;Summary!$A$1,#N/A,CP230*MGtoAF)</f>
        <v>1403.3689517406597</v>
      </c>
      <c r="CS230" s="560">
        <f>Sheet1!BK232+Sheet1!BL232+Sheet1!BM232-Sheet1!ER232-DA230</f>
        <v>11.030000000000001</v>
      </c>
      <c r="CT230" s="560">
        <f t="shared" si="406"/>
        <v>10.865038774002954</v>
      </c>
      <c r="CU230" s="560">
        <f>IF(Sheet1!ER232="FM",DA230,0)</f>
        <v>0</v>
      </c>
      <c r="CV230" s="560">
        <f t="shared" si="407"/>
        <v>0</v>
      </c>
      <c r="CW230" s="560">
        <f>IF(Sheet1!ER232="OTHER",DA230,0)</f>
        <v>0</v>
      </c>
      <c r="CX230" s="560">
        <f t="shared" si="408"/>
        <v>0</v>
      </c>
      <c r="CY230" s="560">
        <f t="shared" si="409"/>
        <v>11.030000000000001</v>
      </c>
      <c r="CZ230" s="560">
        <f t="shared" si="410"/>
        <v>10.865038774002954</v>
      </c>
      <c r="DA230" s="560">
        <f>IF(OR(Sheet1!ER232="FM", Sheet1!ER232="OTHER"),SUM(Sheet1!BK232:'Sheet1'!BM232),0)</f>
        <v>0</v>
      </c>
      <c r="DB230" s="545">
        <f>IF(AND($B230&gt;=$FV230,$B230&lt;=$FW230),MAX($CT230,Sheet1!EK232,0),MAX($CT230-(7/36)*$K230,0))</f>
        <v>11</v>
      </c>
      <c r="DC230" s="560">
        <f t="shared" si="411"/>
        <v>0</v>
      </c>
      <c r="DD230" s="545">
        <f t="shared" si="412"/>
        <v>0</v>
      </c>
      <c r="DE230" s="545">
        <f>IF(AND($O230&gt;0,Sheet1!EO232=1),(1-($O230-Sheet1!$L232)/$O230)*CZ230,0)</f>
        <v>0</v>
      </c>
      <c r="DF230" s="545">
        <f>IF(AND(Sheet1!$L232=0,Sheet1!$L231=0, Calculation!CY230&lt;Sheet1!$EK232-0.1,Sheet1!$EK232=Sheet1!$EK231,Sheet1!$EK232=Sheet1!$EK233),Sheet1!$EK232,CZ230-DE230)</f>
        <v>10.865038774002954</v>
      </c>
      <c r="DG230" s="545"/>
      <c r="DH230" s="560">
        <f t="shared" si="413"/>
        <v>18.36</v>
      </c>
      <c r="DI230" s="560">
        <f t="shared" si="414"/>
        <v>285.4449357574253</v>
      </c>
      <c r="DJ230" s="698">
        <f t="shared" si="415"/>
        <v>18.085413589364844</v>
      </c>
      <c r="DK230" s="560">
        <f ca="1">IF(B230&gt;Summary!$A$1,#N/A,DI230*MGtoAF)</f>
        <v>875.74506290378088</v>
      </c>
      <c r="DL230" s="698">
        <f t="shared" si="416"/>
        <v>18.36</v>
      </c>
      <c r="DM230" s="560">
        <f t="shared" si="417"/>
        <v>54.160000000000004</v>
      </c>
      <c r="DN230" s="560">
        <f>Sheet1!AB232-DM230</f>
        <v>-0.81000000000000227</v>
      </c>
      <c r="DO230" s="823">
        <f t="shared" si="418"/>
        <v>-1.4955686853766659E-2</v>
      </c>
      <c r="DP230" s="560">
        <f>(VLOOKUP(Sheet1!DC232,hhdcap_wcm,4)-(((VLOOKUP(Sheet1!DC232,hhdcap_wcm,3)-Sheet1!DC232)/(VLOOKUP(Sheet1!DC232,hhdcap_wcm,3)-VLOOKUP(Sheet1!DC232,hhdcap_wcm,1)))*(VLOOKUP(Sheet1!DC232,hhdcap_wcm,4)-VLOOKUP(Sheet1!DC232,hhdcap_wcm,2))))</f>
        <v>41956.800000104362</v>
      </c>
      <c r="DQ230" s="560">
        <f t="shared" si="419"/>
        <v>-286.2000000002372</v>
      </c>
      <c r="DR230" s="560">
        <f t="shared" si="420"/>
        <v>-144.32677760980189</v>
      </c>
      <c r="DS230" s="560">
        <f>Sheet1!EA232*AFtoMG</f>
        <v>0</v>
      </c>
      <c r="DT230" s="560">
        <f>Sheet1!EB232*AFtoMG</f>
        <v>0</v>
      </c>
      <c r="DU230" s="560">
        <f>Sheet1!EC232*AFtoMG</f>
        <v>0</v>
      </c>
      <c r="DV230" s="560">
        <f>Sheet1!ED232*AFtoMG</f>
        <v>0</v>
      </c>
      <c r="DW230" s="560">
        <f t="shared" si="421"/>
        <v>0</v>
      </c>
      <c r="DX230" s="560">
        <f t="shared" si="422"/>
        <v>0</v>
      </c>
      <c r="DY230" s="560">
        <f t="shared" si="423"/>
        <v>2507.8716743826699</v>
      </c>
      <c r="DZ230" s="560">
        <f t="shared" si="424"/>
        <v>7694.150297006031</v>
      </c>
      <c r="EA230" s="560"/>
      <c r="EB230" s="545">
        <f>IF(OR(B230&lt;FV230,B230&gt;FW230),(MIN(BF230+BY230+CT230+MAX(Sheet1!AA232+AQ230-73,0),K230)),0)</f>
        <v>0</v>
      </c>
      <c r="EC230" s="560"/>
      <c r="ED230" s="560">
        <f t="shared" si="425"/>
        <v>18.085413589364844</v>
      </c>
      <c r="EE230" s="560"/>
      <c r="EF230" s="560">
        <f>Sheet1!EH232+Sheet1!EI232+Sheet1!EJ232+Sheet1!EK232</f>
        <v>19</v>
      </c>
      <c r="EG230" s="560"/>
      <c r="EH230" s="545">
        <f t="shared" si="426"/>
        <v>0</v>
      </c>
      <c r="EI230" s="560">
        <f>IF(Sheet1!ET232=1,SUM('Calculations II'!AT230:BA230)+'Calculations II'!BC230+Sheet1!BV232+'Calculations II'!BE230+AP230,SUM('Calculations II'!AT230:BA230)+'Calculations II'!BC230+Sheet1!BV232+'Calculations II'!BE230+AP230)</f>
        <v>83.238575999999995</v>
      </c>
      <c r="EJ230" s="560">
        <f>Sheet1!AA232+Sheet1!AB232+'Calculations II'!BC230</f>
        <v>95.841904</v>
      </c>
      <c r="EK230" s="560"/>
      <c r="EL230" s="560"/>
      <c r="EM230" s="560">
        <f t="shared" si="427"/>
        <v>41858</v>
      </c>
      <c r="EN230" s="560">
        <f t="shared" si="428"/>
        <v>-19</v>
      </c>
      <c r="EO230" s="560">
        <f t="shared" si="429"/>
        <v>-29.392999999999997</v>
      </c>
      <c r="EP230" s="560">
        <v>0</v>
      </c>
      <c r="EQ230" s="560">
        <v>0</v>
      </c>
      <c r="ER230" s="560">
        <v>0</v>
      </c>
      <c r="ES230" s="545">
        <f t="shared" si="454"/>
        <v>-4.9927215766384228</v>
      </c>
      <c r="ET230" s="560">
        <f>-(VLOOKUP(Sheet1!BQ232,Lookup!$O$4:$Q$262,2)-VLOOKUP(Sheet1!BQ231,Lookup!$O$4:$Q$262,2))/1000000</f>
        <v>-2.4963607883192114</v>
      </c>
      <c r="EU230" s="560">
        <f>-(VLOOKUP(Sheet1!BR232,Lookup!$O$4:$Q$262,3)-VLOOKUP(Sheet1!BR231,Lookup!$O$4:$Q$262,3))/1000000</f>
        <v>-2.4963607883192114</v>
      </c>
      <c r="EV230" s="560"/>
      <c r="EW230" s="560"/>
      <c r="EX230" s="560"/>
      <c r="EY230" s="560"/>
      <c r="EZ230" s="560"/>
      <c r="FA230" s="560"/>
      <c r="FB230" s="560"/>
      <c r="FC230" s="560"/>
      <c r="FD230" s="594">
        <f t="shared" si="443"/>
        <v>1135.4776119402227</v>
      </c>
      <c r="FE230" s="594" t="e">
        <f t="shared" si="431"/>
        <v>#N/A</v>
      </c>
      <c r="FF230" s="595" t="e">
        <f t="shared" si="432"/>
        <v>#N/A</v>
      </c>
      <c r="FG230" s="596" t="s">
        <v>692</v>
      </c>
      <c r="FH230" s="596" t="s">
        <v>692</v>
      </c>
      <c r="FI230" s="594" t="e">
        <v>#N/A</v>
      </c>
      <c r="FJ230" s="778">
        <v>19725</v>
      </c>
      <c r="FK230" s="560"/>
      <c r="FL230" s="560"/>
      <c r="FM230" s="560"/>
      <c r="FN230" s="560"/>
      <c r="FO230" s="560">
        <f>O230+((Sheet1!CS232)*GPMtoMGD)</f>
        <v>95.841904</v>
      </c>
      <c r="FP230" s="560">
        <f>IF(Sheet1!AA232+AQ230&lt;=Calculation!N230,AQ230,Calculation!N230-Sheet1!AA232)</f>
        <v>33.688515509601181</v>
      </c>
      <c r="FQ230" s="560">
        <f>(Sheet1!BP232+Sheet1!BO232)/694.4</f>
        <v>4.1506336405529956</v>
      </c>
      <c r="FR230" s="560"/>
      <c r="FS230" s="560"/>
      <c r="FT230" s="560"/>
      <c r="FU230" s="560"/>
      <c r="FV230" s="695">
        <f t="shared" si="455"/>
        <v>41827</v>
      </c>
      <c r="FW230" s="695">
        <f t="shared" si="456"/>
        <v>41934</v>
      </c>
      <c r="FX230" s="560"/>
      <c r="FY230" s="560"/>
      <c r="FZ230" s="560"/>
      <c r="GA230" s="560"/>
      <c r="GB230" s="560" t="str">
        <f t="shared" si="457"/>
        <v>n</v>
      </c>
      <c r="GC230" s="564">
        <f t="shared" si="458"/>
        <v>41691</v>
      </c>
      <c r="GD230" s="695">
        <f t="shared" si="459"/>
        <v>41807</v>
      </c>
      <c r="GE230" s="560">
        <v>6518.9</v>
      </c>
      <c r="GF230" s="695">
        <f t="shared" si="460"/>
        <v>41808</v>
      </c>
      <c r="GG230" s="560">
        <f t="shared" si="479"/>
        <v>3259</v>
      </c>
      <c r="GH230" s="564">
        <f t="shared" si="461"/>
        <v>41934</v>
      </c>
      <c r="GJ230" s="545">
        <f t="shared" si="462"/>
        <v>0</v>
      </c>
      <c r="GK230" s="560" t="str">
        <f t="shared" si="433"/>
        <v/>
      </c>
      <c r="GL230" s="560">
        <f t="shared" si="463"/>
        <v>0</v>
      </c>
      <c r="GM230" s="560" t="str">
        <f t="shared" si="464"/>
        <v/>
      </c>
      <c r="GN230" s="560">
        <f>IF(GK230="P",Lookup!$M$12,IF(GK230="PP",Lookup!$M$13,IF(GK230="PPP",Lookup!$M$14,IF(GK230="T",Lookup!$M$15,IF(GK230="TP",Lookup!$M$16,IF(GK230="TPP",Lookup!$M$17,IF(GK230="TPPP",Lookup!$M$18,0)))))))*GJ230</f>
        <v>0</v>
      </c>
      <c r="GO230" s="560">
        <f t="shared" si="465"/>
        <v>0</v>
      </c>
      <c r="GP230" s="560">
        <f t="shared" si="434"/>
        <v>3744.084933333334</v>
      </c>
      <c r="GQ230" s="560">
        <f t="shared" si="473"/>
        <v>1220.3666666666668</v>
      </c>
      <c r="GR230" s="560"/>
      <c r="GS230" s="560">
        <f t="shared" si="466"/>
        <v>0</v>
      </c>
      <c r="GT230" s="560" t="str">
        <f t="shared" si="467"/>
        <v/>
      </c>
      <c r="GU230" s="560">
        <f>IF(GK230="P",Lookup!$N$12,IF(GK230="PP",Lookup!$N$13,IF(GK230="PPP",Lookup!$N$14,IF(GK230="T",Lookup!$N$15,IF(GK230="TP",Lookup!$N$16,IF(GK230="TPP",Lookup!$N$17,IF(GK230="TPPP",Lookup!$N$18,0)))))))*GJ230</f>
        <v>0</v>
      </c>
      <c r="GV230" s="560">
        <f t="shared" si="468"/>
        <v>0</v>
      </c>
      <c r="GW230" s="560">
        <f t="shared" si="435"/>
        <v>1670.951349028257</v>
      </c>
      <c r="GX230" s="560">
        <f t="shared" si="474"/>
        <v>544.63864049160918</v>
      </c>
      <c r="GY230" s="560"/>
      <c r="GZ230" s="560">
        <f t="shared" si="469"/>
        <v>0</v>
      </c>
      <c r="HA230" s="560" t="str">
        <f t="shared" si="470"/>
        <v/>
      </c>
      <c r="HB230" s="560">
        <f>IF(GK230="P",Lookup!$N$12,IF(GK230="PP",Lookup!$N$13,IF(GK230="PPP",Lookup!$N$14,IF(GK230="T",Lookup!$N$15,IF(GK230="TP",Lookup!$N$16,IF(GK230="TPP",Lookup!$N$17,IF(GK230="TPPP",Lookup!$N$18,0)))))))*GJ230</f>
        <v>0</v>
      </c>
      <c r="HC230" s="545">
        <f t="shared" si="436"/>
        <v>0</v>
      </c>
      <c r="HD230" s="560">
        <f t="shared" si="437"/>
        <v>1403.3689517406597</v>
      </c>
      <c r="HE230" s="560">
        <f t="shared" si="475"/>
        <v>457.42143146696856</v>
      </c>
      <c r="HF230" s="560"/>
      <c r="HG230" s="560">
        <f t="shared" si="471"/>
        <v>0</v>
      </c>
      <c r="HH230" s="560" t="str">
        <f t="shared" si="472"/>
        <v/>
      </c>
      <c r="HI230" s="560">
        <f>IF(GK230="P",Lookup!$N$12,IF(GK230="PP",Lookup!$N$13,IF(GK230="PPP",Lookup!$N$14,IF(GK230="T",Lookup!$N$15,IF(GK230="TP",Lookup!$N$16,IF(GK230="TPP",Lookup!$N$17,IF(GK230="TPPP",Lookup!$N$18,0)))))))*GJ230</f>
        <v>0</v>
      </c>
      <c r="HJ230" s="545">
        <f t="shared" si="438"/>
        <v>0</v>
      </c>
      <c r="HK230" s="560">
        <f t="shared" si="439"/>
        <v>875.74506290378088</v>
      </c>
      <c r="HL230" s="560">
        <f t="shared" si="476"/>
        <v>285.4449357574253</v>
      </c>
    </row>
    <row r="231" spans="1:220">
      <c r="A231" s="580" t="s">
        <v>8</v>
      </c>
      <c r="B231" s="556">
        <v>41859</v>
      </c>
      <c r="C231" s="561">
        <v>0</v>
      </c>
      <c r="D231" s="529">
        <f t="shared" si="477"/>
        <v>200</v>
      </c>
      <c r="E231" s="529">
        <f t="shared" si="478"/>
        <v>400</v>
      </c>
      <c r="F231" s="529">
        <v>250</v>
      </c>
      <c r="G231" s="560">
        <f>DR231+Sheet1!CZ233</f>
        <v>195.32778618242915</v>
      </c>
      <c r="H231" s="914">
        <f t="shared" si="480"/>
        <v>0</v>
      </c>
      <c r="I231" s="559">
        <f>MAX(Sheet1!Z233-AT231+(Sheet1!DA233-E231)*CFStoMGD,0)</f>
        <v>13.273200000000003</v>
      </c>
      <c r="J231" s="562">
        <f>IF(AND(B231&gt;=Calculation!GC231,B231&lt;=Calculation!GD231),IF(Sheet1!DB233&gt;=Calculation!D231,64.64,0),MAX(Sheet1!Z233-AT231+(Sheet1!DB233-D231)*CFStoMGD,0))</f>
        <v>55.935600000000001</v>
      </c>
      <c r="K231" s="904">
        <f t="shared" si="375"/>
        <v>0</v>
      </c>
      <c r="L231" s="560">
        <f>Sheet1!AA233+Sheet1!AB233-Sheet1!L233+(Sheet1!DA233-F231)*CFStoMGD</f>
        <v>142.03319999999999</v>
      </c>
      <c r="M231" s="560">
        <f t="shared" si="376"/>
        <v>128.78507860808864</v>
      </c>
      <c r="N231" s="910">
        <f>IF(Sheet1!DA233&gt;=F231,MIN(73,MIN(MAX(L231,0),MAX(M231,0))),0)</f>
        <v>73</v>
      </c>
      <c r="O231" s="563">
        <f>Sheet1!AA233+Sheet1!AB233</f>
        <v>85.15</v>
      </c>
      <c r="P231" s="563">
        <f t="shared" si="377"/>
        <v>131.72704999999999</v>
      </c>
      <c r="Q231" s="898">
        <f t="shared" si="444"/>
        <v>67.150000000000006</v>
      </c>
      <c r="R231" s="829">
        <f t="shared" si="378"/>
        <v>18</v>
      </c>
      <c r="S231" s="898">
        <f t="shared" si="445"/>
        <v>0</v>
      </c>
      <c r="T231" s="898">
        <f t="shared" si="446"/>
        <v>0</v>
      </c>
      <c r="U231" s="898">
        <f t="shared" si="447"/>
        <v>18</v>
      </c>
      <c r="V231" s="898"/>
      <c r="W231" s="898">
        <f t="shared" si="448"/>
        <v>0</v>
      </c>
      <c r="X231" s="898">
        <f t="shared" si="449"/>
        <v>0</v>
      </c>
      <c r="Y231" s="898" t="str">
        <f t="shared" si="450"/>
        <v>FALSE</v>
      </c>
      <c r="Z231" s="898">
        <f t="shared" si="451"/>
        <v>85.15</v>
      </c>
      <c r="AA231" s="898">
        <f t="shared" si="452"/>
        <v>85.15</v>
      </c>
      <c r="AB231" s="898" t="str">
        <f t="shared" si="453"/>
        <v/>
      </c>
      <c r="AC231" s="563">
        <f>Sheet1!Y233*MGDtoCFS</f>
        <v>48.266399999999997</v>
      </c>
      <c r="AD231" s="563">
        <f>Sheet1!Z233*MGDtoCFS</f>
        <v>82.532449999999997</v>
      </c>
      <c r="AE231" s="563">
        <f>Sheet1!AA233*MGDtoCFS</f>
        <v>48.266399999999997</v>
      </c>
      <c r="AF231" s="563">
        <f>Sheet1!AB233*MGDtoCFS</f>
        <v>83.460650000000001</v>
      </c>
      <c r="AG231" s="563">
        <f>Sheet1!L233*MGDtoCFS</f>
        <v>0</v>
      </c>
      <c r="AH231" s="545">
        <f t="shared" si="379"/>
        <v>18</v>
      </c>
      <c r="AI231" s="560">
        <f t="shared" si="380"/>
        <v>27.846</v>
      </c>
      <c r="AJ231" s="560">
        <f t="shared" si="381"/>
        <v>0</v>
      </c>
      <c r="AK231" s="560">
        <f t="shared" si="382"/>
        <v>0</v>
      </c>
      <c r="AL231" s="560">
        <f>(VLOOKUP(Sheet1!DC233,hhdcap_wcm,4)-(((VLOOKUP(Sheet1!DC233,hhdcap_wcm,3)-Sheet1!DC233)/(VLOOKUP(Sheet1!DC233,hhdcap_wcm,3)-VLOOKUP(Sheet1!DC233,hhdcap_wcm,1)))*(VLOOKUP(Sheet1!DC233,hhdcap_wcm,4)-VLOOKUP(Sheet1!DC233,hhdcap_wcm,2))))</f>
        <v>41660.000000104119</v>
      </c>
      <c r="AM231" s="560">
        <f t="shared" si="383"/>
        <v>-296.80000000024302</v>
      </c>
      <c r="AN231" s="560">
        <f t="shared" si="384"/>
        <v>2489.8716743826699</v>
      </c>
      <c r="AO231" s="560">
        <f t="shared" si="385"/>
        <v>7638.9262970060317</v>
      </c>
      <c r="AP231" s="560">
        <f>Sheet1!BA233+Sheet1!BB233+Sheet1!BN233+CD231</f>
        <v>36.700000000000003</v>
      </c>
      <c r="AQ231" s="560">
        <f>Sheet1!BN233+(DO231*Sheet1!BN233)</f>
        <v>34.580807158509863</v>
      </c>
      <c r="AR231" s="560">
        <f>Sheet1!BA233+CD231</f>
        <v>0</v>
      </c>
      <c r="AS231" s="560">
        <f>Sheet1!BA233+Sheet1!BB233+CD231</f>
        <v>1.6</v>
      </c>
      <c r="AT231" s="698">
        <f>0</f>
        <v>0</v>
      </c>
      <c r="AU231" s="560">
        <f>IF(EB231&lt;K231,0,MAX(Sheet1!AA233+AQ231-15/36*K231-N231,Sheet1!EH233,0))</f>
        <v>0</v>
      </c>
      <c r="AV231" s="560">
        <f>IF(OR(B231&gt;=GD231,B231&lt;GC231),0,15/36*K231-MAX(0,64.6-(137.6-(Sheet1!AA233+Sheet1!AB233))))</f>
        <v>0</v>
      </c>
      <c r="AW231" s="698">
        <f>Sheet1!DB233-110</f>
        <v>94</v>
      </c>
      <c r="AX231" s="698">
        <f>Sheet1!DA233-265</f>
        <v>73</v>
      </c>
      <c r="AY231" s="698">
        <f t="shared" si="386"/>
        <v>5.8499999999999943</v>
      </c>
      <c r="AZ231" s="1082"/>
      <c r="BA231" s="698">
        <f t="shared" si="387"/>
        <v>0</v>
      </c>
      <c r="BB231" s="560">
        <f t="shared" si="388"/>
        <v>1220.3666666666668</v>
      </c>
      <c r="BC231" s="560"/>
      <c r="BD231" s="560">
        <f ca="1">IF(B231&gt;Summary!$A$1,#N/A,BB231*MGtoAF)</f>
        <v>3744.084933333334</v>
      </c>
      <c r="BE231" s="560">
        <f>Sheet1!BG233+Sheet1!BH233+Sheet1!BI233-BM231</f>
        <v>2.02</v>
      </c>
      <c r="BF231" s="560">
        <f t="shared" si="389"/>
        <v>1.9901205259313366</v>
      </c>
      <c r="BG231" s="560">
        <f>IF(Sheet1!EP233="FM",BM231,0)</f>
        <v>0</v>
      </c>
      <c r="BH231" s="560">
        <f t="shared" si="390"/>
        <v>0</v>
      </c>
      <c r="BI231" s="560">
        <f>IF(Sheet1!EP233="OTHER",BM231,0)</f>
        <v>0</v>
      </c>
      <c r="BJ231" s="560">
        <f t="shared" si="391"/>
        <v>0</v>
      </c>
      <c r="BK231" s="560">
        <f t="shared" si="392"/>
        <v>2.02</v>
      </c>
      <c r="BL231" s="560">
        <f t="shared" si="393"/>
        <v>1.9901205259313366</v>
      </c>
      <c r="BM231" s="560">
        <f>IF(OR(Sheet1!EP233="FM", Sheet1!EP233="OTHER"),SUM(Sheet1!BG233:'Sheet1'!BI233),0)</f>
        <v>0</v>
      </c>
      <c r="BN231" s="545">
        <f>IF(AND($B231&gt;=$FV231,$B231&lt;=$FW231),MAX(BF231,Sheet1!EI233,0),MAX(BF231-(7/36)*$K231,0))</f>
        <v>2</v>
      </c>
      <c r="BO231" s="560">
        <f t="shared" si="394"/>
        <v>0</v>
      </c>
      <c r="BP231" s="545">
        <f t="shared" si="395"/>
        <v>0</v>
      </c>
      <c r="BQ231" s="545">
        <f>IF(AND($O231&gt;0,Sheet1!EM233=1),(1-($O231-Sheet1!$L233)/$O231)*BL231,0)</f>
        <v>0</v>
      </c>
      <c r="BR231" s="545">
        <f>IF(AND(Sheet1!$L233=0,Sheet1!$L232=0, Calculation!BK231&lt;Sheet1!$EI233-0.1,Sheet1!$EI233=Sheet1!$EI232,Sheet1!$EI233=Sheet1!$EI234),Sheet1!$EI233,BL231-BQ231)</f>
        <v>1.9901205259313366</v>
      </c>
      <c r="BS231" s="560"/>
      <c r="BT231" s="560"/>
      <c r="BU231" s="560">
        <f t="shared" si="396"/>
        <v>542.63864049160918</v>
      </c>
      <c r="BV231" s="560"/>
      <c r="BW231" s="560">
        <f ca="1">IF(B231&gt;Summary!$A$1,#N/A,BU231*MGtoAF)</f>
        <v>1664.8153490282571</v>
      </c>
      <c r="BX231" s="560">
        <f>Sheet1!BC233+Sheet1!BD233+Sheet1!BE233+Sheet1!BF233-CG231-CH231</f>
        <v>5</v>
      </c>
      <c r="BY231" s="560">
        <f t="shared" si="397"/>
        <v>4.9260409057706349</v>
      </c>
      <c r="BZ231" s="560">
        <f>IF(Sheet1!EQ233="FM",CH231,0)</f>
        <v>0</v>
      </c>
      <c r="CA231" s="560">
        <f t="shared" si="398"/>
        <v>0</v>
      </c>
      <c r="CB231" s="560">
        <f>IF(Sheet1!EQ233="OTHER",CH231,0)</f>
        <v>0</v>
      </c>
      <c r="CC231" s="560">
        <f t="shared" si="399"/>
        <v>0</v>
      </c>
      <c r="CD231" s="560">
        <f t="shared" si="400"/>
        <v>0</v>
      </c>
      <c r="CE231" s="560">
        <f t="shared" si="401"/>
        <v>5</v>
      </c>
      <c r="CF231" s="560">
        <f t="shared" si="402"/>
        <v>4.9260409057706349</v>
      </c>
      <c r="CG231" s="560">
        <f>IF(Sheet1!EQ233="CWA",SUM(Sheet1!BC233:'Sheet1'!BF233),0)</f>
        <v>0</v>
      </c>
      <c r="CH231" s="560">
        <f>IF(OR(Sheet1!EQ233="FM", Sheet1!EQ233="OTHER"),SUM(Sheet1!BC233:'Sheet1'!BF233),0)</f>
        <v>0</v>
      </c>
      <c r="CI231" s="545">
        <f>IF(AND($B231&gt;=$FV231,$B231&lt;=$FW231),MAX(CF231,Sheet1!EJ233,0),MAX(CF231-(7/36)*$K231,0))</f>
        <v>5</v>
      </c>
      <c r="CJ231" s="560">
        <f t="shared" si="403"/>
        <v>0</v>
      </c>
      <c r="CK231" s="545">
        <f t="shared" si="404"/>
        <v>0</v>
      </c>
      <c r="CL231" s="545">
        <f>IF(AND($O231&gt;0,Sheet1!EN233=1),(1-($O231-Sheet1!$L233)/$O231)*CF231,0)</f>
        <v>0</v>
      </c>
      <c r="CM231" s="545">
        <f>IF(AND(Sheet1!$L233=0,Sheet1!$L232=0, Calculation!CE231&lt;Sheet1!EJ233-0.1,Sheet1!EJ233=Sheet1!EJ232,Sheet1!EJ233=Sheet1!EJ234),Sheet1!EJ233,CF231-CL231)</f>
        <v>4.9260409057706349</v>
      </c>
      <c r="CN231" s="545"/>
      <c r="CO231" s="560"/>
      <c r="CP231" s="560">
        <f t="shared" si="405"/>
        <v>452.42143146696856</v>
      </c>
      <c r="CQ231" s="560"/>
      <c r="CR231" s="560">
        <f ca="1">IF(B231&gt;Summary!$A$1,#N/A,CP231*MGtoAF)</f>
        <v>1388.0289517406595</v>
      </c>
      <c r="CS231" s="560">
        <f>Sheet1!BK233+Sheet1!BL233+Sheet1!BM233-Sheet1!ER233-DA231</f>
        <v>11.04</v>
      </c>
      <c r="CT231" s="560">
        <f t="shared" si="406"/>
        <v>10.876698319941562</v>
      </c>
      <c r="CU231" s="560">
        <f>IF(Sheet1!ER233="FM",DA231,0)</f>
        <v>0</v>
      </c>
      <c r="CV231" s="560">
        <f t="shared" si="407"/>
        <v>0</v>
      </c>
      <c r="CW231" s="560">
        <f>IF(Sheet1!ER233="OTHER",DA231,0)</f>
        <v>0</v>
      </c>
      <c r="CX231" s="560">
        <f t="shared" si="408"/>
        <v>0</v>
      </c>
      <c r="CY231" s="560">
        <f t="shared" si="409"/>
        <v>11.04</v>
      </c>
      <c r="CZ231" s="560">
        <f t="shared" si="410"/>
        <v>10.876698319941562</v>
      </c>
      <c r="DA231" s="560">
        <f>IF(OR(Sheet1!ER233="FM", Sheet1!ER233="OTHER"),SUM(Sheet1!BK233:'Sheet1'!BM233),0)</f>
        <v>0</v>
      </c>
      <c r="DB231" s="545">
        <f>IF(AND($B231&gt;=$FV231,$B231&lt;=$FW231),MAX($CT231,Sheet1!EK233,0),MAX($CT231-(7/36)*$K231,0))</f>
        <v>11</v>
      </c>
      <c r="DC231" s="560">
        <f t="shared" si="411"/>
        <v>0</v>
      </c>
      <c r="DD231" s="545">
        <f t="shared" si="412"/>
        <v>0</v>
      </c>
      <c r="DE231" s="545">
        <f>IF(AND($O231&gt;0,Sheet1!EO233=1),(1-($O231-Sheet1!$L233)/$O231)*CZ231,0)</f>
        <v>0</v>
      </c>
      <c r="DF231" s="545">
        <f>IF(AND(Sheet1!$L233=0,Sheet1!$L232=0, Calculation!CY231&lt;Sheet1!$EK233-0.1,Sheet1!$EK233=Sheet1!$EK232,Sheet1!$EK233=Sheet1!$EK234),Sheet1!$EK233,CZ231-DE231)</f>
        <v>10.876698319941562</v>
      </c>
      <c r="DG231" s="545"/>
      <c r="DH231" s="560">
        <f t="shared" si="413"/>
        <v>18.059999999999999</v>
      </c>
      <c r="DI231" s="560">
        <f t="shared" si="414"/>
        <v>274.4449357574253</v>
      </c>
      <c r="DJ231" s="698">
        <f t="shared" si="415"/>
        <v>17.792859751643533</v>
      </c>
      <c r="DK231" s="560">
        <f ca="1">IF(B231&gt;Summary!$A$1,#N/A,DI231*MGtoAF)</f>
        <v>841.99706290378083</v>
      </c>
      <c r="DL231" s="698">
        <f t="shared" si="416"/>
        <v>18.059999999999999</v>
      </c>
      <c r="DM231" s="560">
        <f t="shared" si="417"/>
        <v>54.760000000000005</v>
      </c>
      <c r="DN231" s="560">
        <f>Sheet1!AB233-DM231</f>
        <v>-0.81000000000000227</v>
      </c>
      <c r="DO231" s="823">
        <f t="shared" si="418"/>
        <v>-1.4791818845872939E-2</v>
      </c>
      <c r="DP231" s="560">
        <f>(VLOOKUP(Sheet1!DC233,hhdcap_wcm,4)-(((VLOOKUP(Sheet1!DC233,hhdcap_wcm,3)-Sheet1!DC233)/(VLOOKUP(Sheet1!DC233,hhdcap_wcm,3)-VLOOKUP(Sheet1!DC233,hhdcap_wcm,1)))*(VLOOKUP(Sheet1!DC233,hhdcap_wcm,4)-VLOOKUP(Sheet1!DC233,hhdcap_wcm,2))))</f>
        <v>41660.000000104119</v>
      </c>
      <c r="DQ231" s="560">
        <f t="shared" si="419"/>
        <v>-296.80000000024302</v>
      </c>
      <c r="DR231" s="560">
        <f t="shared" si="420"/>
        <v>-149.67221381757085</v>
      </c>
      <c r="DS231" s="560">
        <f>Sheet1!EA233*AFtoMG</f>
        <v>0</v>
      </c>
      <c r="DT231" s="560">
        <f>Sheet1!EB233*AFtoMG</f>
        <v>0</v>
      </c>
      <c r="DU231" s="560">
        <f>Sheet1!EC233*AFtoMG</f>
        <v>0</v>
      </c>
      <c r="DV231" s="560">
        <f>Sheet1!ED233*AFtoMG</f>
        <v>0</v>
      </c>
      <c r="DW231" s="560">
        <f t="shared" si="421"/>
        <v>0</v>
      </c>
      <c r="DX231" s="560">
        <f t="shared" si="422"/>
        <v>0</v>
      </c>
      <c r="DY231" s="560">
        <f t="shared" si="423"/>
        <v>2489.8716743826699</v>
      </c>
      <c r="DZ231" s="560">
        <f t="shared" si="424"/>
        <v>7638.9262970060317</v>
      </c>
      <c r="EA231" s="560"/>
      <c r="EB231" s="545">
        <f>IF(OR(B231&lt;FV231,B231&gt;FW231),(MIN(BF231+BY231+CT231+MAX(Sheet1!AA233+AQ231-73,0),K231)),0)</f>
        <v>0</v>
      </c>
      <c r="EC231" s="560"/>
      <c r="ED231" s="560">
        <f t="shared" si="425"/>
        <v>17.792859751643533</v>
      </c>
      <c r="EE231" s="560"/>
      <c r="EF231" s="560">
        <f>Sheet1!EH233+Sheet1!EI233+Sheet1!EJ233+Sheet1!EK233</f>
        <v>18</v>
      </c>
      <c r="EG231" s="560"/>
      <c r="EH231" s="545">
        <f t="shared" si="426"/>
        <v>0</v>
      </c>
      <c r="EI231" s="560">
        <f>IF(Sheet1!ET233=1,SUM('Calculations II'!AT231:BA231)+'Calculations II'!BC231+Sheet1!BV233+'Calculations II'!BE231+AP231,SUM('Calculations II'!AT231:BA231)+'Calculations II'!BC231+Sheet1!BV233+'Calculations II'!BE231+AP231)</f>
        <v>85.965008000000012</v>
      </c>
      <c r="EJ231" s="560">
        <f>Sheet1!AA233+Sheet1!AB233+'Calculations II'!BC231</f>
        <v>94.196224000000001</v>
      </c>
      <c r="EK231" s="560"/>
      <c r="EL231" s="560"/>
      <c r="EM231" s="560">
        <f t="shared" si="427"/>
        <v>41859</v>
      </c>
      <c r="EN231" s="560">
        <f t="shared" si="428"/>
        <v>-18</v>
      </c>
      <c r="EO231" s="560">
        <f t="shared" si="429"/>
        <v>-27.846</v>
      </c>
      <c r="EP231" s="560">
        <v>0</v>
      </c>
      <c r="EQ231" s="560">
        <v>0</v>
      </c>
      <c r="ER231" s="560">
        <v>0</v>
      </c>
      <c r="ES231" s="545">
        <f t="shared" si="454"/>
        <v>-0.83252431393718718</v>
      </c>
      <c r="ET231" s="560">
        <f>-(VLOOKUP(Sheet1!BQ233,Lookup!$O$4:$Q$262,2)-VLOOKUP(Sheet1!BQ232,Lookup!$O$4:$Q$262,2))/1000000</f>
        <v>-0.41626215696859359</v>
      </c>
      <c r="EU231" s="560">
        <f>-(VLOOKUP(Sheet1!BR233,Lookup!$O$4:$Q$262,3)-VLOOKUP(Sheet1!BR232,Lookup!$O$4:$Q$262,3))/1000000</f>
        <v>-0.41626215696859359</v>
      </c>
      <c r="EV231" s="560"/>
      <c r="EW231" s="560"/>
      <c r="EX231" s="560"/>
      <c r="EY231" s="560"/>
      <c r="EZ231" s="560"/>
      <c r="FA231" s="560"/>
      <c r="FB231" s="560"/>
      <c r="FC231" s="560"/>
      <c r="FD231" s="594">
        <f t="shared" si="443"/>
        <v>1135.2268656715662</v>
      </c>
      <c r="FE231" s="594" t="e">
        <f t="shared" si="431"/>
        <v>#N/A</v>
      </c>
      <c r="FF231" s="595" t="e">
        <f t="shared" si="432"/>
        <v>#N/A</v>
      </c>
      <c r="FG231" s="596" t="s">
        <v>692</v>
      </c>
      <c r="FH231" s="596" t="s">
        <v>692</v>
      </c>
      <c r="FI231" s="594" t="e">
        <v>#N/A</v>
      </c>
      <c r="FJ231" s="778">
        <v>19558</v>
      </c>
      <c r="FK231" s="560"/>
      <c r="FL231" s="560"/>
      <c r="FM231" s="560"/>
      <c r="FN231" s="560"/>
      <c r="FO231" s="560">
        <f>O231+((Sheet1!CS233)*GPMtoMGD)</f>
        <v>94.196224000000001</v>
      </c>
      <c r="FP231" s="560">
        <f>IF(Sheet1!AA233+AQ231&lt;=Calculation!N231,AQ231,Calculation!N231-Sheet1!AA233)</f>
        <v>34.580807158509863</v>
      </c>
      <c r="FQ231" s="560">
        <f>(Sheet1!BP233+Sheet1!BO233)/694.4</f>
        <v>3.8551267281105992</v>
      </c>
      <c r="FR231" s="560"/>
      <c r="FS231" s="560"/>
      <c r="FT231" s="560"/>
      <c r="FU231" s="560"/>
      <c r="FV231" s="695">
        <f t="shared" si="455"/>
        <v>41827</v>
      </c>
      <c r="FW231" s="695">
        <f t="shared" si="456"/>
        <v>41934</v>
      </c>
      <c r="FX231" s="560"/>
      <c r="FY231" s="560"/>
      <c r="FZ231" s="560"/>
      <c r="GA231" s="560"/>
      <c r="GB231" s="560" t="str">
        <f t="shared" si="457"/>
        <v>n</v>
      </c>
      <c r="GC231" s="564">
        <f t="shared" si="458"/>
        <v>41691</v>
      </c>
      <c r="GD231" s="695">
        <f t="shared" si="459"/>
        <v>41807</v>
      </c>
      <c r="GE231" s="560">
        <v>6518.9</v>
      </c>
      <c r="GF231" s="695">
        <f t="shared" si="460"/>
        <v>41808</v>
      </c>
      <c r="GG231" s="560">
        <f t="shared" si="479"/>
        <v>3259</v>
      </c>
      <c r="GH231" s="564">
        <f t="shared" si="461"/>
        <v>41934</v>
      </c>
      <c r="GJ231" s="545">
        <f t="shared" si="462"/>
        <v>0</v>
      </c>
      <c r="GK231" s="560" t="str">
        <f t="shared" si="433"/>
        <v/>
      </c>
      <c r="GL231" s="560">
        <f t="shared" si="463"/>
        <v>0</v>
      </c>
      <c r="GM231" s="560" t="str">
        <f t="shared" si="464"/>
        <v/>
      </c>
      <c r="GN231" s="560">
        <f>IF(GK231="P",Lookup!$M$12,IF(GK231="PP",Lookup!$M$13,IF(GK231="PPP",Lookup!$M$14,IF(GK231="T",Lookup!$M$15,IF(GK231="TP",Lookup!$M$16,IF(GK231="TPP",Lookup!$M$17,IF(GK231="TPPP",Lookup!$M$18,0)))))))*GJ231</f>
        <v>0</v>
      </c>
      <c r="GO231" s="560">
        <f t="shared" si="465"/>
        <v>0</v>
      </c>
      <c r="GP231" s="560">
        <f t="shared" si="434"/>
        <v>3744.084933333334</v>
      </c>
      <c r="GQ231" s="560">
        <f t="shared" si="473"/>
        <v>1220.3666666666668</v>
      </c>
      <c r="GR231" s="560"/>
      <c r="GS231" s="560">
        <f t="shared" si="466"/>
        <v>0</v>
      </c>
      <c r="GT231" s="560" t="str">
        <f t="shared" si="467"/>
        <v/>
      </c>
      <c r="GU231" s="560">
        <f>IF(GK231="P",Lookup!$N$12,IF(GK231="PP",Lookup!$N$13,IF(GK231="PPP",Lookup!$N$14,IF(GK231="T",Lookup!$N$15,IF(GK231="TP",Lookup!$N$16,IF(GK231="TPP",Lookup!$N$17,IF(GK231="TPPP",Lookup!$N$18,0)))))))*GJ231</f>
        <v>0</v>
      </c>
      <c r="GV231" s="560">
        <f t="shared" si="468"/>
        <v>0</v>
      </c>
      <c r="GW231" s="560">
        <f t="shared" si="435"/>
        <v>1664.8153490282571</v>
      </c>
      <c r="GX231" s="560">
        <f t="shared" si="474"/>
        <v>542.63864049160918</v>
      </c>
      <c r="GY231" s="560"/>
      <c r="GZ231" s="560">
        <f t="shared" si="469"/>
        <v>0</v>
      </c>
      <c r="HA231" s="560" t="str">
        <f t="shared" si="470"/>
        <v/>
      </c>
      <c r="HB231" s="560">
        <f>IF(GK231="P",Lookup!$N$12,IF(GK231="PP",Lookup!$N$13,IF(GK231="PPP",Lookup!$N$14,IF(GK231="T",Lookup!$N$15,IF(GK231="TP",Lookup!$N$16,IF(GK231="TPP",Lookup!$N$17,IF(GK231="TPPP",Lookup!$N$18,0)))))))*GJ231</f>
        <v>0</v>
      </c>
      <c r="HC231" s="545">
        <f t="shared" si="436"/>
        <v>0</v>
      </c>
      <c r="HD231" s="560">
        <f t="shared" si="437"/>
        <v>1388.0289517406595</v>
      </c>
      <c r="HE231" s="560">
        <f t="shared" si="475"/>
        <v>452.42143146696856</v>
      </c>
      <c r="HF231" s="560"/>
      <c r="HG231" s="560">
        <f t="shared" si="471"/>
        <v>0</v>
      </c>
      <c r="HH231" s="560" t="str">
        <f t="shared" si="472"/>
        <v/>
      </c>
      <c r="HI231" s="560">
        <f>IF(GK231="P",Lookup!$N$12,IF(GK231="PP",Lookup!$N$13,IF(GK231="PPP",Lookup!$N$14,IF(GK231="T",Lookup!$N$15,IF(GK231="TP",Lookup!$N$16,IF(GK231="TPP",Lookup!$N$17,IF(GK231="TPPP",Lookup!$N$18,0)))))))*GJ231</f>
        <v>0</v>
      </c>
      <c r="HJ231" s="545">
        <f t="shared" si="438"/>
        <v>0</v>
      </c>
      <c r="HK231" s="560">
        <f t="shared" si="439"/>
        <v>841.99706290378083</v>
      </c>
      <c r="HL231" s="560">
        <f t="shared" si="476"/>
        <v>274.4449357574253</v>
      </c>
    </row>
    <row r="232" spans="1:220">
      <c r="A232" s="580" t="s">
        <v>9</v>
      </c>
      <c r="B232" s="556">
        <v>41860</v>
      </c>
      <c r="C232" s="561">
        <v>0</v>
      </c>
      <c r="D232" s="529">
        <f t="shared" si="477"/>
        <v>200</v>
      </c>
      <c r="E232" s="529">
        <f t="shared" si="478"/>
        <v>400</v>
      </c>
      <c r="F232" s="529">
        <v>250</v>
      </c>
      <c r="G232" s="560">
        <f>DR232+Sheet1!CZ234</f>
        <v>159.92687846635283</v>
      </c>
      <c r="H232" s="914">
        <f t="shared" si="480"/>
        <v>0</v>
      </c>
      <c r="I232" s="559">
        <f>MAX(Sheet1!Z234-AT232+(Sheet1!DA234-E232)*CFStoMGD,0)</f>
        <v>10.641200000000005</v>
      </c>
      <c r="J232" s="562">
        <f>IF(AND(B232&gt;=Calculation!GC232,B232&lt;=Calculation!GD232),IF(Sheet1!DB234&gt;=Calculation!D232,64.64,0),MAX(Sheet1!Z234-AT232+(Sheet1!DB234-D232)*CFStoMGD,0))</f>
        <v>49.425200000000004</v>
      </c>
      <c r="K232" s="904">
        <f t="shared" si="375"/>
        <v>0</v>
      </c>
      <c r="L232" s="560">
        <f>Sheet1!AA234+Sheet1!AB234-Sheet1!L234+(Sheet1!DA234-F232)*CFStoMGD</f>
        <v>141.88119999999998</v>
      </c>
      <c r="M232" s="560">
        <f t="shared" si="376"/>
        <v>105.44426892546349</v>
      </c>
      <c r="N232" s="910">
        <f>IF(Sheet1!DA234&gt;=F232,MIN(73,MIN(MAX(L232,0),MAX(M232,0))),0)</f>
        <v>73</v>
      </c>
      <c r="O232" s="563">
        <f>Sheet1!AA234+Sheet1!AB234</f>
        <v>88.22999999999999</v>
      </c>
      <c r="P232" s="563">
        <f t="shared" si="377"/>
        <v>136.49180999999999</v>
      </c>
      <c r="Q232" s="898">
        <f t="shared" si="444"/>
        <v>69.63</v>
      </c>
      <c r="R232" s="829">
        <f t="shared" si="378"/>
        <v>18.600000000000001</v>
      </c>
      <c r="S232" s="898">
        <f t="shared" si="445"/>
        <v>0</v>
      </c>
      <c r="T232" s="898">
        <f t="shared" si="446"/>
        <v>0</v>
      </c>
      <c r="U232" s="898">
        <f t="shared" si="447"/>
        <v>18.600000000000001</v>
      </c>
      <c r="V232" s="898"/>
      <c r="W232" s="898">
        <f t="shared" si="448"/>
        <v>0</v>
      </c>
      <c r="X232" s="898">
        <f t="shared" si="449"/>
        <v>0</v>
      </c>
      <c r="Y232" s="898" t="str">
        <f t="shared" si="450"/>
        <v>FALSE</v>
      </c>
      <c r="Z232" s="898">
        <f t="shared" si="451"/>
        <v>88.22999999999999</v>
      </c>
      <c r="AA232" s="898">
        <f t="shared" si="452"/>
        <v>88.22999999999999</v>
      </c>
      <c r="AB232" s="898" t="str">
        <f t="shared" si="453"/>
        <v/>
      </c>
      <c r="AC232" s="563">
        <f>Sheet1!Y234*MGDtoCFS</f>
        <v>48.266399999999997</v>
      </c>
      <c r="AD232" s="563">
        <f>Sheet1!Z234*MGDtoCFS</f>
        <v>83.460650000000001</v>
      </c>
      <c r="AE232" s="563">
        <f>Sheet1!AA234*MGDtoCFS</f>
        <v>49.503999999999998</v>
      </c>
      <c r="AF232" s="563">
        <f>Sheet1!AB234*MGDtoCFS</f>
        <v>86.987809999999996</v>
      </c>
      <c r="AG232" s="563">
        <f>Sheet1!L234*MGDtoCFS</f>
        <v>0</v>
      </c>
      <c r="AH232" s="545">
        <f t="shared" si="379"/>
        <v>18.600000000000001</v>
      </c>
      <c r="AI232" s="560">
        <f t="shared" si="380"/>
        <v>28.7742</v>
      </c>
      <c r="AJ232" s="560">
        <f t="shared" si="381"/>
        <v>0</v>
      </c>
      <c r="AK232" s="560">
        <f t="shared" si="382"/>
        <v>0</v>
      </c>
      <c r="AL232" s="560">
        <f>(VLOOKUP(Sheet1!DC234,hhdcap_wcm,4)-(((VLOOKUP(Sheet1!DC234,hhdcap_wcm,3)-Sheet1!DC234)/(VLOOKUP(Sheet1!DC234,hhdcap_wcm,3)-VLOOKUP(Sheet1!DC234,hhdcap_wcm,1)))*(VLOOKUP(Sheet1!DC234,hhdcap_wcm,4)-VLOOKUP(Sheet1!DC234,hhdcap_wcm,2))))</f>
        <v>41293.000000102897</v>
      </c>
      <c r="AM232" s="560">
        <f t="shared" si="383"/>
        <v>-367.00000000122236</v>
      </c>
      <c r="AN232" s="560">
        <f t="shared" si="384"/>
        <v>2471.27167438267</v>
      </c>
      <c r="AO232" s="560">
        <f t="shared" si="385"/>
        <v>7581.8614970060316</v>
      </c>
      <c r="AP232" s="560">
        <f>Sheet1!BA234+Sheet1!BB234+Sheet1!BN234+CD232</f>
        <v>39</v>
      </c>
      <c r="AQ232" s="560">
        <f>Sheet1!BN234+(DO232*Sheet1!BN234)</f>
        <v>37.011650827173526</v>
      </c>
      <c r="AR232" s="560">
        <f>Sheet1!BA234+CD232</f>
        <v>0</v>
      </c>
      <c r="AS232" s="560">
        <f>Sheet1!BA234+Sheet1!BB234+CD232</f>
        <v>1.6</v>
      </c>
      <c r="AT232" s="698">
        <f>0</f>
        <v>0</v>
      </c>
      <c r="AU232" s="560">
        <f>IF(EB232&lt;K232,0,MAX(Sheet1!AA234+AQ232-15/36*K232-N232,Sheet1!EH234,0))</f>
        <v>0.6</v>
      </c>
      <c r="AV232" s="560">
        <f>IF(OR(B232&gt;=GD232,B232&lt;GC232),0,15/36*K232-MAX(0,64.6-(137.6-(Sheet1!AA234+Sheet1!AB234))))</f>
        <v>0</v>
      </c>
      <c r="AW232" s="698">
        <f>Sheet1!DB234-110</f>
        <v>83</v>
      </c>
      <c r="AX232" s="698">
        <f>Sheet1!DA234-265</f>
        <v>68</v>
      </c>
      <c r="AY232" s="698">
        <f t="shared" si="386"/>
        <v>3.3700000000000045</v>
      </c>
      <c r="AZ232" s="1082"/>
      <c r="BA232" s="698">
        <f t="shared" si="387"/>
        <v>0</v>
      </c>
      <c r="BB232" s="560">
        <f t="shared" si="388"/>
        <v>1219.7666666666669</v>
      </c>
      <c r="BC232" s="560"/>
      <c r="BD232" s="560">
        <f ca="1">IF(B232&gt;Summary!$A$1,#N/A,BB232*MGtoAF)</f>
        <v>3742.244133333334</v>
      </c>
      <c r="BE232" s="560">
        <f>Sheet1!BG234+Sheet1!BH234+Sheet1!BI234-BM232</f>
        <v>2.02</v>
      </c>
      <c r="BF232" s="560">
        <f t="shared" si="389"/>
        <v>1.9990249912002815</v>
      </c>
      <c r="BG232" s="560">
        <f>IF(Sheet1!EP234="FM",BM232,0)</f>
        <v>0</v>
      </c>
      <c r="BH232" s="560">
        <f t="shared" si="390"/>
        <v>0</v>
      </c>
      <c r="BI232" s="560">
        <f>IF(Sheet1!EP234="OTHER",BM232,0)</f>
        <v>0</v>
      </c>
      <c r="BJ232" s="560">
        <f t="shared" si="391"/>
        <v>0</v>
      </c>
      <c r="BK232" s="560">
        <f t="shared" si="392"/>
        <v>2.02</v>
      </c>
      <c r="BL232" s="560">
        <f t="shared" si="393"/>
        <v>1.9990249912002815</v>
      </c>
      <c r="BM232" s="560">
        <f>IF(OR(Sheet1!EP234="FM", Sheet1!EP234="OTHER"),SUM(Sheet1!BG234:'Sheet1'!BI234),0)</f>
        <v>0</v>
      </c>
      <c r="BN232" s="545">
        <f>IF(AND($B232&gt;=$FV232,$B232&lt;=$FW232),MAX(BF232,Sheet1!EI234,0),MAX(BF232-(7/36)*$K232,0))</f>
        <v>2</v>
      </c>
      <c r="BO232" s="560">
        <f t="shared" si="394"/>
        <v>0</v>
      </c>
      <c r="BP232" s="545">
        <f t="shared" si="395"/>
        <v>0</v>
      </c>
      <c r="BQ232" s="545">
        <f>IF(AND($O232&gt;0,Sheet1!EM234=1),(1-($O232-Sheet1!$L234)/$O232)*BL232,0)</f>
        <v>0</v>
      </c>
      <c r="BR232" s="545">
        <f>IF(AND(Sheet1!$L234=0,Sheet1!$L233=0, Calculation!BK232&lt;Sheet1!$EI234-0.1,Sheet1!$EI234=Sheet1!$EI233,Sheet1!$EI234=Sheet1!$EI235),Sheet1!$EI234,BL232-BQ232)</f>
        <v>1.9990249912002815</v>
      </c>
      <c r="BS232" s="560"/>
      <c r="BT232" s="560"/>
      <c r="BU232" s="560">
        <f t="shared" si="396"/>
        <v>540.63864049160918</v>
      </c>
      <c r="BV232" s="560"/>
      <c r="BW232" s="560">
        <f ca="1">IF(B232&gt;Summary!$A$1,#N/A,BU232*MGtoAF)</f>
        <v>1658.6793490282571</v>
      </c>
      <c r="BX232" s="560">
        <f>Sheet1!BC234+Sheet1!BD234+Sheet1!BE234+Sheet1!BF234-CG232-CH232</f>
        <v>5</v>
      </c>
      <c r="BY232" s="560">
        <f t="shared" si="397"/>
        <v>4.9480816613868353</v>
      </c>
      <c r="BZ232" s="560">
        <f>IF(Sheet1!EQ234="FM",CH232,0)</f>
        <v>0</v>
      </c>
      <c r="CA232" s="560">
        <f t="shared" si="398"/>
        <v>0</v>
      </c>
      <c r="CB232" s="560">
        <f>IF(Sheet1!EQ234="OTHER",CH232,0)</f>
        <v>0</v>
      </c>
      <c r="CC232" s="560">
        <f t="shared" si="399"/>
        <v>0</v>
      </c>
      <c r="CD232" s="560">
        <f t="shared" si="400"/>
        <v>0</v>
      </c>
      <c r="CE232" s="560">
        <f t="shared" si="401"/>
        <v>5</v>
      </c>
      <c r="CF232" s="560">
        <f t="shared" si="402"/>
        <v>4.9480816613868353</v>
      </c>
      <c r="CG232" s="560">
        <f>IF(Sheet1!EQ234="CWA",SUM(Sheet1!BC234:'Sheet1'!BF234),0)</f>
        <v>0</v>
      </c>
      <c r="CH232" s="560">
        <f>IF(OR(Sheet1!EQ234="FM", Sheet1!EQ234="OTHER"),SUM(Sheet1!BC234:'Sheet1'!BF234),0)</f>
        <v>0</v>
      </c>
      <c r="CI232" s="545">
        <f>IF(AND($B232&gt;=$FV232,$B232&lt;=$FW232),MAX(CF232,Sheet1!EJ234,0),MAX(CF232-(7/36)*$K232,0))</f>
        <v>5</v>
      </c>
      <c r="CJ232" s="560">
        <f t="shared" si="403"/>
        <v>0</v>
      </c>
      <c r="CK232" s="545">
        <f t="shared" si="404"/>
        <v>0</v>
      </c>
      <c r="CL232" s="545">
        <f>IF(AND($O232&gt;0,Sheet1!EN234=1),(1-($O232-Sheet1!$L234)/$O232)*CF232,0)</f>
        <v>0</v>
      </c>
      <c r="CM232" s="545">
        <f>IF(AND(Sheet1!$L234=0,Sheet1!$L233=0, Calculation!CE232&lt;Sheet1!EJ234-0.1,Sheet1!EJ234=Sheet1!EJ233,Sheet1!EJ234=Sheet1!EJ235),Sheet1!EJ234,CF232-CL232)</f>
        <v>4.9480816613868353</v>
      </c>
      <c r="CN232" s="545"/>
      <c r="CO232" s="560"/>
      <c r="CP232" s="560">
        <f t="shared" si="405"/>
        <v>447.42143146696856</v>
      </c>
      <c r="CQ232" s="560"/>
      <c r="CR232" s="560">
        <f ca="1">IF(B232&gt;Summary!$A$1,#N/A,CP232*MGtoAF)</f>
        <v>1372.6889517406596</v>
      </c>
      <c r="CS232" s="560">
        <f>Sheet1!BK234+Sheet1!BL234+Sheet1!BM234-Sheet1!ER234-DA232</f>
        <v>10.8</v>
      </c>
      <c r="CT232" s="560">
        <f t="shared" si="406"/>
        <v>10.687856388595565</v>
      </c>
      <c r="CU232" s="560">
        <f>IF(Sheet1!ER234="FM",DA232,0)</f>
        <v>0</v>
      </c>
      <c r="CV232" s="560">
        <f t="shared" si="407"/>
        <v>0</v>
      </c>
      <c r="CW232" s="560">
        <f>IF(Sheet1!ER234="OTHER",DA232,0)</f>
        <v>0</v>
      </c>
      <c r="CX232" s="560">
        <f t="shared" si="408"/>
        <v>0</v>
      </c>
      <c r="CY232" s="560">
        <f t="shared" si="409"/>
        <v>10.8</v>
      </c>
      <c r="CZ232" s="560">
        <f t="shared" si="410"/>
        <v>10.687856388595565</v>
      </c>
      <c r="DA232" s="560">
        <f>IF(OR(Sheet1!ER234="FM", Sheet1!ER234="OTHER"),SUM(Sheet1!BK234:'Sheet1'!BM234),0)</f>
        <v>0</v>
      </c>
      <c r="DB232" s="545">
        <f>IF(AND($B232&gt;=$FV232,$B232&lt;=$FW232),MAX($CT232,Sheet1!EK234,0),MAX($CT232-(7/36)*$K232,0))</f>
        <v>11</v>
      </c>
      <c r="DC232" s="560">
        <f t="shared" si="411"/>
        <v>0</v>
      </c>
      <c r="DD232" s="545">
        <f t="shared" si="412"/>
        <v>0</v>
      </c>
      <c r="DE232" s="545">
        <f>IF(AND($O232&gt;0,Sheet1!EO234=1),(1-($O232-Sheet1!$L234)/$O232)*CZ232,0)</f>
        <v>0</v>
      </c>
      <c r="DF232" s="545">
        <f>IF(AND(Sheet1!$L234=0,Sheet1!$L233=0, Calculation!CY232&lt;Sheet1!$EK234-0.1,Sheet1!$EK234=Sheet1!$EK233,Sheet1!$EK234=Sheet1!$EK235),Sheet1!$EK234,CZ232-DE232)</f>
        <v>11</v>
      </c>
      <c r="DG232" s="545"/>
      <c r="DH232" s="560">
        <f t="shared" si="413"/>
        <v>17.82</v>
      </c>
      <c r="DI232" s="560">
        <f t="shared" si="414"/>
        <v>263.4449357574253</v>
      </c>
      <c r="DJ232" s="698">
        <f t="shared" si="415"/>
        <v>17.634963041182679</v>
      </c>
      <c r="DK232" s="560">
        <f ca="1">IF(B232&gt;Summary!$A$1,#N/A,DI232*MGtoAF)</f>
        <v>808.24906290378078</v>
      </c>
      <c r="DL232" s="698">
        <f t="shared" si="416"/>
        <v>17.82</v>
      </c>
      <c r="DM232" s="560">
        <f t="shared" si="417"/>
        <v>56.82</v>
      </c>
      <c r="DN232" s="560">
        <f>Sheet1!AB234-DM232</f>
        <v>-0.59000000000000341</v>
      </c>
      <c r="DO232" s="823">
        <f t="shared" si="418"/>
        <v>-1.0383667722632935E-2</v>
      </c>
      <c r="DP232" s="560">
        <f>(VLOOKUP(Sheet1!DC234,hhdcap_wcm,4)-(((VLOOKUP(Sheet1!DC234,hhdcap_wcm,3)-Sheet1!DC234)/(VLOOKUP(Sheet1!DC234,hhdcap_wcm,3)-VLOOKUP(Sheet1!DC234,hhdcap_wcm,1)))*(VLOOKUP(Sheet1!DC234,hhdcap_wcm,4)-VLOOKUP(Sheet1!DC234,hhdcap_wcm,2))))</f>
        <v>41293.000000102897</v>
      </c>
      <c r="DQ232" s="560">
        <f t="shared" si="419"/>
        <v>-367.00000000122236</v>
      </c>
      <c r="DR232" s="560">
        <f t="shared" si="420"/>
        <v>-185.07312153364717</v>
      </c>
      <c r="DS232" s="560">
        <f>Sheet1!EA234*AFtoMG</f>
        <v>0</v>
      </c>
      <c r="DT232" s="560">
        <f>Sheet1!EB234*AFtoMG</f>
        <v>0</v>
      </c>
      <c r="DU232" s="560">
        <f>Sheet1!EC234*AFtoMG</f>
        <v>0</v>
      </c>
      <c r="DV232" s="560">
        <f>Sheet1!ED234*AFtoMG</f>
        <v>0</v>
      </c>
      <c r="DW232" s="560">
        <f t="shared" si="421"/>
        <v>0</v>
      </c>
      <c r="DX232" s="560">
        <f t="shared" si="422"/>
        <v>0</v>
      </c>
      <c r="DY232" s="560">
        <f t="shared" si="423"/>
        <v>2471.27167438267</v>
      </c>
      <c r="DZ232" s="560">
        <f t="shared" si="424"/>
        <v>7581.8614970060316</v>
      </c>
      <c r="EA232" s="560"/>
      <c r="EB232" s="545">
        <f>IF(OR(B232&lt;FV232,B232&gt;FW232),(MIN(BF232+BY232+CT232+MAX(Sheet1!AA234+AQ232-73,0),K232)),0)</f>
        <v>0</v>
      </c>
      <c r="EC232" s="560"/>
      <c r="ED232" s="560">
        <f t="shared" si="425"/>
        <v>17.634963041182679</v>
      </c>
      <c r="EE232" s="560"/>
      <c r="EF232" s="560">
        <f>Sheet1!EH234+Sheet1!EI234+Sheet1!EJ234+Sheet1!EK234</f>
        <v>18.600000000000001</v>
      </c>
      <c r="EG232" s="560"/>
      <c r="EH232" s="545">
        <f t="shared" si="426"/>
        <v>0</v>
      </c>
      <c r="EI232" s="560">
        <f>IF(Sheet1!ET234=1,SUM('Calculations II'!AT232:BA232)+'Calculations II'!BC232+Sheet1!BV234+'Calculations II'!BE232+AP232,SUM('Calculations II'!AT232:BA232)+'Calculations II'!BC232+Sheet1!BV234+'Calculations II'!BE232+AP232)</f>
        <v>84.484335999999999</v>
      </c>
      <c r="EJ232" s="560">
        <f>Sheet1!AA234+Sheet1!AB234+'Calculations II'!BC232</f>
        <v>88.22999999999999</v>
      </c>
      <c r="EK232" s="560"/>
      <c r="EL232" s="560"/>
      <c r="EM232" s="560">
        <f t="shared" si="427"/>
        <v>41860</v>
      </c>
      <c r="EN232" s="560">
        <f t="shared" si="428"/>
        <v>-18.600000000000001</v>
      </c>
      <c r="EO232" s="560">
        <f t="shared" si="429"/>
        <v>-28.7742</v>
      </c>
      <c r="EP232" s="560">
        <v>0</v>
      </c>
      <c r="EQ232" s="560">
        <v>0</v>
      </c>
      <c r="ER232" s="560">
        <v>0</v>
      </c>
      <c r="ES232" s="545">
        <f t="shared" si="454"/>
        <v>4.0227964079439227</v>
      </c>
      <c r="ET232" s="560">
        <f>-(VLOOKUP(Sheet1!BQ234,Lookup!$O$4:$Q$262,2)-VLOOKUP(Sheet1!BQ233,Lookup!$O$4:$Q$262,2))/1000000</f>
        <v>1.9420628656536862</v>
      </c>
      <c r="EU232" s="560">
        <f>-(VLOOKUP(Sheet1!BR234,Lookup!$O$4:$Q$262,3)-VLOOKUP(Sheet1!BR233,Lookup!$O$4:$Q$262,3))/1000000</f>
        <v>2.0807335422902367</v>
      </c>
      <c r="EV232" s="560"/>
      <c r="EW232" s="560"/>
      <c r="EX232" s="560"/>
      <c r="EY232" s="560"/>
      <c r="EZ232" s="560"/>
      <c r="FA232" s="560"/>
      <c r="FB232" s="560"/>
      <c r="FC232" s="560"/>
      <c r="FD232" s="594">
        <f t="shared" si="443"/>
        <v>1134.9753846153092</v>
      </c>
      <c r="FE232" s="594" t="e">
        <f t="shared" si="431"/>
        <v>#N/A</v>
      </c>
      <c r="FF232" s="595" t="e">
        <f t="shared" si="432"/>
        <v>#N/A</v>
      </c>
      <c r="FG232" s="596" t="s">
        <v>692</v>
      </c>
      <c r="FH232" s="596" t="s">
        <v>692</v>
      </c>
      <c r="FI232" s="594" t="e">
        <v>#N/A</v>
      </c>
      <c r="FJ232" s="778">
        <v>19390</v>
      </c>
      <c r="FK232" s="560"/>
      <c r="FL232" s="560"/>
      <c r="FM232" s="560"/>
      <c r="FN232" s="560"/>
      <c r="FO232" s="560">
        <f>O232+((Sheet1!CS234)*GPMtoMGD)</f>
        <v>88.22999999999999</v>
      </c>
      <c r="FP232" s="560">
        <f>IF(Sheet1!AA234+AQ232&lt;=Calculation!N232,AQ232,Calculation!N232-Sheet1!AA234)</f>
        <v>37.011650827173526</v>
      </c>
      <c r="FQ232" s="560">
        <f>(Sheet1!BP234+Sheet1!BO234)/694.4</f>
        <v>3.9817108294930876</v>
      </c>
      <c r="FR232" s="560"/>
      <c r="FS232" s="560"/>
      <c r="FT232" s="560"/>
      <c r="FU232" s="560"/>
      <c r="FV232" s="695">
        <f t="shared" si="455"/>
        <v>41827</v>
      </c>
      <c r="FW232" s="695">
        <f t="shared" si="456"/>
        <v>41934</v>
      </c>
      <c r="FX232" s="560"/>
      <c r="FY232" s="560"/>
      <c r="FZ232" s="560"/>
      <c r="GA232" s="560"/>
      <c r="GB232" s="560" t="str">
        <f t="shared" si="457"/>
        <v>n</v>
      </c>
      <c r="GC232" s="564">
        <f t="shared" si="458"/>
        <v>41691</v>
      </c>
      <c r="GD232" s="695">
        <f t="shared" si="459"/>
        <v>41807</v>
      </c>
      <c r="GE232" s="560">
        <v>6518.9</v>
      </c>
      <c r="GF232" s="695">
        <f t="shared" si="460"/>
        <v>41808</v>
      </c>
      <c r="GG232" s="560">
        <f t="shared" si="479"/>
        <v>3259</v>
      </c>
      <c r="GH232" s="564">
        <f t="shared" si="461"/>
        <v>41934</v>
      </c>
      <c r="GJ232" s="545">
        <f t="shared" si="462"/>
        <v>0</v>
      </c>
      <c r="GK232" s="560" t="str">
        <f t="shared" si="433"/>
        <v/>
      </c>
      <c r="GL232" s="560">
        <f t="shared" si="463"/>
        <v>0</v>
      </c>
      <c r="GM232" s="560" t="str">
        <f t="shared" si="464"/>
        <v/>
      </c>
      <c r="GN232" s="560">
        <f>IF(GK232="P",Lookup!$M$12,IF(GK232="PP",Lookup!$M$13,IF(GK232="PPP",Lookup!$M$14,IF(GK232="T",Lookup!$M$15,IF(GK232="TP",Lookup!$M$16,IF(GK232="TPP",Lookup!$M$17,IF(GK232="TPPP",Lookup!$M$18,0)))))))*GJ232</f>
        <v>0</v>
      </c>
      <c r="GO232" s="560">
        <f t="shared" si="465"/>
        <v>0</v>
      </c>
      <c r="GP232" s="560">
        <f t="shared" si="434"/>
        <v>3742.244133333334</v>
      </c>
      <c r="GQ232" s="560">
        <f t="shared" si="473"/>
        <v>1219.7666666666669</v>
      </c>
      <c r="GR232" s="560"/>
      <c r="GS232" s="560">
        <f t="shared" si="466"/>
        <v>0</v>
      </c>
      <c r="GT232" s="560" t="str">
        <f t="shared" si="467"/>
        <v/>
      </c>
      <c r="GU232" s="560">
        <f>IF(GK232="P",Lookup!$N$12,IF(GK232="PP",Lookup!$N$13,IF(GK232="PPP",Lookup!$N$14,IF(GK232="T",Lookup!$N$15,IF(GK232="TP",Lookup!$N$16,IF(GK232="TPP",Lookup!$N$17,IF(GK232="TPPP",Lookup!$N$18,0)))))))*GJ232</f>
        <v>0</v>
      </c>
      <c r="GV232" s="560">
        <f t="shared" si="468"/>
        <v>0</v>
      </c>
      <c r="GW232" s="560">
        <f t="shared" si="435"/>
        <v>1658.6793490282571</v>
      </c>
      <c r="GX232" s="560">
        <f t="shared" si="474"/>
        <v>540.63864049160918</v>
      </c>
      <c r="GY232" s="560"/>
      <c r="GZ232" s="560">
        <f t="shared" si="469"/>
        <v>0</v>
      </c>
      <c r="HA232" s="560" t="str">
        <f t="shared" si="470"/>
        <v/>
      </c>
      <c r="HB232" s="560">
        <f>IF(GK232="P",Lookup!$N$12,IF(GK232="PP",Lookup!$N$13,IF(GK232="PPP",Lookup!$N$14,IF(GK232="T",Lookup!$N$15,IF(GK232="TP",Lookup!$N$16,IF(GK232="TPP",Lookup!$N$17,IF(GK232="TPPP",Lookup!$N$18,0)))))))*GJ232</f>
        <v>0</v>
      </c>
      <c r="HC232" s="545">
        <f t="shared" si="436"/>
        <v>0</v>
      </c>
      <c r="HD232" s="560">
        <f t="shared" si="437"/>
        <v>1372.6889517406596</v>
      </c>
      <c r="HE232" s="560">
        <f t="shared" si="475"/>
        <v>447.42143146696856</v>
      </c>
      <c r="HF232" s="560"/>
      <c r="HG232" s="560">
        <f t="shared" si="471"/>
        <v>0</v>
      </c>
      <c r="HH232" s="560" t="str">
        <f t="shared" si="472"/>
        <v/>
      </c>
      <c r="HI232" s="560">
        <f>IF(GK232="P",Lookup!$N$12,IF(GK232="PP",Lookup!$N$13,IF(GK232="PPP",Lookup!$N$14,IF(GK232="T",Lookup!$N$15,IF(GK232="TP",Lookup!$N$16,IF(GK232="TPP",Lookup!$N$17,IF(GK232="TPPP",Lookup!$N$18,0)))))))*GJ232</f>
        <v>0</v>
      </c>
      <c r="HJ232" s="545">
        <f t="shared" si="438"/>
        <v>0</v>
      </c>
      <c r="HK232" s="560">
        <f t="shared" si="439"/>
        <v>808.24906290378078</v>
      </c>
      <c r="HL232" s="560">
        <f t="shared" si="476"/>
        <v>263.4449357574253</v>
      </c>
    </row>
    <row r="233" spans="1:220">
      <c r="A233" s="580" t="s">
        <v>3</v>
      </c>
      <c r="B233" s="556">
        <v>41861</v>
      </c>
      <c r="C233" s="561">
        <v>0</v>
      </c>
      <c r="D233" s="529">
        <f t="shared" si="477"/>
        <v>200</v>
      </c>
      <c r="E233" s="529">
        <f t="shared" si="478"/>
        <v>400</v>
      </c>
      <c r="F233" s="529">
        <v>250</v>
      </c>
      <c r="G233" s="560">
        <f>DR233+Sheet1!CZ235</f>
        <v>213.12909732716082</v>
      </c>
      <c r="H233" s="914">
        <f t="shared" si="480"/>
        <v>0</v>
      </c>
      <c r="I233" s="559">
        <f>MAX(Sheet1!Z235-AT233+(Sheet1!DA235-E233)*CFStoMGD,0)</f>
        <v>4.5180000000000007</v>
      </c>
      <c r="J233" s="562">
        <f>IF(AND(B233&gt;=Calculation!GC233,B233&lt;=Calculation!GD233),IF(Sheet1!DB235&gt;=Calculation!D233,64.64,0),MAX(Sheet1!Z235-AT233+(Sheet1!DB235-D233)*CFStoMGD,0))</f>
        <v>51.705199999999998</v>
      </c>
      <c r="K233" s="904">
        <f t="shared" si="375"/>
        <v>0</v>
      </c>
      <c r="L233" s="560">
        <f>Sheet1!AA235+Sheet1!AB235-Sheet1!L235+(Sheet1!DA235-F233)*CFStoMGD</f>
        <v>136.99799999999999</v>
      </c>
      <c r="M233" s="560">
        <f t="shared" si="376"/>
        <v>140.52198148252231</v>
      </c>
      <c r="N233" s="910">
        <f>IF(Sheet1!DA235&gt;=F233,MIN(73,MIN(MAX(L233,0),MAX(M233,0))),0)</f>
        <v>73</v>
      </c>
      <c r="O233" s="563">
        <f>Sheet1!AA235+Sheet1!AB235</f>
        <v>91.75</v>
      </c>
      <c r="P233" s="563">
        <f t="shared" si="377"/>
        <v>141.93725000000001</v>
      </c>
      <c r="Q233" s="898">
        <f t="shared" si="444"/>
        <v>73.010999999999996</v>
      </c>
      <c r="R233" s="829">
        <f t="shared" si="378"/>
        <v>18.739000000000001</v>
      </c>
      <c r="S233" s="898">
        <f t="shared" si="445"/>
        <v>0</v>
      </c>
      <c r="T233" s="898">
        <f t="shared" si="446"/>
        <v>0</v>
      </c>
      <c r="U233" s="898">
        <f t="shared" si="447"/>
        <v>18.739000000000001</v>
      </c>
      <c r="V233" s="898"/>
      <c r="W233" s="898">
        <f t="shared" si="448"/>
        <v>0</v>
      </c>
      <c r="X233" s="898">
        <f t="shared" si="449"/>
        <v>0</v>
      </c>
      <c r="Y233" s="898" t="str">
        <f t="shared" si="450"/>
        <v>FALSE</v>
      </c>
      <c r="Z233" s="898">
        <f t="shared" si="451"/>
        <v>91.75</v>
      </c>
      <c r="AA233" s="898">
        <f t="shared" si="452"/>
        <v>91.75</v>
      </c>
      <c r="AB233" s="898" t="str">
        <f t="shared" si="453"/>
        <v/>
      </c>
      <c r="AC233" s="563">
        <f>Sheet1!Y235*MGDtoCFS</f>
        <v>49.503999999999998</v>
      </c>
      <c r="AD233" s="563">
        <f>Sheet1!Z235*MGDtoCFS</f>
        <v>86.987809999999996</v>
      </c>
      <c r="AE233" s="563">
        <f>Sheet1!AA235*MGDtoCFS</f>
        <v>50.741599999999991</v>
      </c>
      <c r="AF233" s="563">
        <f>Sheet1!AB235*MGDtoCFS</f>
        <v>91.195650000000001</v>
      </c>
      <c r="AG233" s="563">
        <f>Sheet1!L235*MGDtoCFS</f>
        <v>0</v>
      </c>
      <c r="AH233" s="545">
        <f t="shared" si="379"/>
        <v>18.739000000000001</v>
      </c>
      <c r="AI233" s="560">
        <f t="shared" si="380"/>
        <v>28.989232999999999</v>
      </c>
      <c r="AJ233" s="560">
        <f t="shared" si="381"/>
        <v>0</v>
      </c>
      <c r="AK233" s="560">
        <f t="shared" si="382"/>
        <v>0</v>
      </c>
      <c r="AL233" s="560">
        <f>(VLOOKUP(Sheet1!DC235,hhdcap_wcm,4)-(((VLOOKUP(Sheet1!DC235,hhdcap_wcm,3)-Sheet1!DC235)/(VLOOKUP(Sheet1!DC235,hhdcap_wcm,3)-VLOOKUP(Sheet1!DC235,hhdcap_wcm,1)))*(VLOOKUP(Sheet1!DC235,hhdcap_wcm,4)-VLOOKUP(Sheet1!DC235,hhdcap_wcm,2))))</f>
        <v>41031.500000102656</v>
      </c>
      <c r="AM233" s="560">
        <f t="shared" si="383"/>
        <v>-261.50000000024011</v>
      </c>
      <c r="AN233" s="560">
        <f t="shared" si="384"/>
        <v>2452.5326743826699</v>
      </c>
      <c r="AO233" s="560">
        <f t="shared" si="385"/>
        <v>7524.3702450060318</v>
      </c>
      <c r="AP233" s="560">
        <f>Sheet1!BA235+Sheet1!BB235+Sheet1!BN235+CD233</f>
        <v>41.7</v>
      </c>
      <c r="AQ233" s="560">
        <f>Sheet1!BN235+(DO233*Sheet1!BN235)</f>
        <v>39.563096234309626</v>
      </c>
      <c r="AR233" s="560">
        <f>Sheet1!BA235+CD233</f>
        <v>0</v>
      </c>
      <c r="AS233" s="560">
        <f>Sheet1!BA235+Sheet1!BB235+CD233</f>
        <v>1.6</v>
      </c>
      <c r="AT233" s="698">
        <f>0</f>
        <v>0</v>
      </c>
      <c r="AU233" s="560">
        <f>IF(EB233&lt;K233,0,MAX(Sheet1!AA235+AQ233-15/36*K233-N233,Sheet1!EH235,0))</f>
        <v>0.73899999999999999</v>
      </c>
      <c r="AV233" s="560">
        <f>IF(OR(B233&gt;=GD233,B233&lt;GC233),0,15/36*K233-MAX(0,64.6-(137.6-(Sheet1!AA235+Sheet1!AB235))))</f>
        <v>0</v>
      </c>
      <c r="AW233" s="698">
        <f>Sheet1!DB235-110</f>
        <v>83</v>
      </c>
      <c r="AX233" s="698">
        <f>Sheet1!DA235-265</f>
        <v>55</v>
      </c>
      <c r="AY233" s="698">
        <f t="shared" si="386"/>
        <v>-1.099999999999568E-2</v>
      </c>
      <c r="AZ233" s="1083"/>
      <c r="BA233" s="698">
        <f t="shared" si="387"/>
        <v>0</v>
      </c>
      <c r="BB233" s="560">
        <f t="shared" si="388"/>
        <v>1219.0276666666668</v>
      </c>
      <c r="BC233" s="560"/>
      <c r="BD233" s="560">
        <f ca="1">IF(B233&gt;Summary!$A$1,#N/A,BB233*MGtoAF)</f>
        <v>3739.9768813333339</v>
      </c>
      <c r="BE233" s="560">
        <f>Sheet1!BG235+Sheet1!BH235+Sheet1!BI235-BM233</f>
        <v>2.0099999999999998</v>
      </c>
      <c r="BF233" s="560">
        <f t="shared" si="389"/>
        <v>1.9830878661087865</v>
      </c>
      <c r="BG233" s="560">
        <f>IF(Sheet1!EP235="FM",BM233,0)</f>
        <v>0</v>
      </c>
      <c r="BH233" s="560">
        <f t="shared" si="390"/>
        <v>0</v>
      </c>
      <c r="BI233" s="560">
        <f>IF(Sheet1!EP235="OTHER",BM233,0)</f>
        <v>0</v>
      </c>
      <c r="BJ233" s="560">
        <f t="shared" si="391"/>
        <v>0</v>
      </c>
      <c r="BK233" s="560">
        <f t="shared" si="392"/>
        <v>2.0099999999999998</v>
      </c>
      <c r="BL233" s="560">
        <f t="shared" si="393"/>
        <v>1.9830878661087865</v>
      </c>
      <c r="BM233" s="560">
        <f>IF(OR(Sheet1!EP235="FM", Sheet1!EP235="OTHER"),SUM(Sheet1!BG235:'Sheet1'!BI235),0)</f>
        <v>0</v>
      </c>
      <c r="BN233" s="545">
        <f>IF(AND($B233&gt;=$FV233,$B233&lt;=$FW233),MAX(BF233,Sheet1!EI235,0),MAX(BF233-(7/36)*$K233,0))</f>
        <v>2</v>
      </c>
      <c r="BO233" s="560">
        <f t="shared" si="394"/>
        <v>0</v>
      </c>
      <c r="BP233" s="545">
        <f t="shared" si="395"/>
        <v>0</v>
      </c>
      <c r="BQ233" s="545">
        <f>IF(AND($O233&gt;0,Sheet1!EM235=1),(1-($O233-Sheet1!$L235)/$O233)*BL233,0)</f>
        <v>0</v>
      </c>
      <c r="BR233" s="545">
        <f>IF(AND(Sheet1!$L235=0,Sheet1!$L234=0, Calculation!BK233&lt;Sheet1!$EI235-0.1,Sheet1!$EI235=Sheet1!$EI234,Sheet1!$EI235=Sheet1!$EI236),Sheet1!$EI235,BL233-BQ233)</f>
        <v>1.9830878661087865</v>
      </c>
      <c r="BS233" s="560"/>
      <c r="BT233" s="560"/>
      <c r="BU233" s="560">
        <f t="shared" si="396"/>
        <v>538.63864049160918</v>
      </c>
      <c r="BV233" s="560"/>
      <c r="BW233" s="560">
        <f ca="1">IF(B233&gt;Summary!$A$1,#N/A,BU233*MGtoAF)</f>
        <v>1652.5433490282569</v>
      </c>
      <c r="BX233" s="560">
        <f>Sheet1!BC235+Sheet1!BD235+Sheet1!BE235+Sheet1!BF235-CG233-CH233</f>
        <v>5</v>
      </c>
      <c r="BY233" s="560">
        <f t="shared" si="397"/>
        <v>4.9330543933054392</v>
      </c>
      <c r="BZ233" s="560">
        <f>IF(Sheet1!EQ235="FM",CH233,0)</f>
        <v>0</v>
      </c>
      <c r="CA233" s="560">
        <f t="shared" si="398"/>
        <v>0</v>
      </c>
      <c r="CB233" s="560">
        <f>IF(Sheet1!EQ235="OTHER",CH233,0)</f>
        <v>0</v>
      </c>
      <c r="CC233" s="560">
        <f t="shared" si="399"/>
        <v>0</v>
      </c>
      <c r="CD233" s="560">
        <f t="shared" si="400"/>
        <v>0</v>
      </c>
      <c r="CE233" s="560">
        <f t="shared" si="401"/>
        <v>5</v>
      </c>
      <c r="CF233" s="560">
        <f t="shared" si="402"/>
        <v>4.9330543933054392</v>
      </c>
      <c r="CG233" s="560">
        <f>IF(Sheet1!EQ235="CWA",SUM(Sheet1!BC235:'Sheet1'!BF235),0)</f>
        <v>0</v>
      </c>
      <c r="CH233" s="560">
        <f>IF(OR(Sheet1!EQ235="FM", Sheet1!EQ235="OTHER"),SUM(Sheet1!BC235:'Sheet1'!BF235),0)</f>
        <v>0</v>
      </c>
      <c r="CI233" s="545">
        <f>IF(AND($B233&gt;=$FV233,$B233&lt;=$FW233),MAX(CF233,Sheet1!EJ235,0),MAX(CF233-(7/36)*$K233,0))</f>
        <v>5</v>
      </c>
      <c r="CJ233" s="560">
        <f t="shared" si="403"/>
        <v>0</v>
      </c>
      <c r="CK233" s="545">
        <f t="shared" si="404"/>
        <v>0</v>
      </c>
      <c r="CL233" s="545">
        <f>IF(AND($O233&gt;0,Sheet1!EN235=1),(1-($O233-Sheet1!$L235)/$O233)*CF233,0)</f>
        <v>0</v>
      </c>
      <c r="CM233" s="545">
        <f>IF(AND(Sheet1!$L235=0,Sheet1!$L234=0, Calculation!CE233&lt;Sheet1!EJ235-0.1,Sheet1!EJ235=Sheet1!EJ234,Sheet1!EJ235=Sheet1!EJ236),Sheet1!EJ235,CF233-CL233)</f>
        <v>4.9330543933054392</v>
      </c>
      <c r="CN233" s="545"/>
      <c r="CO233" s="560"/>
      <c r="CP233" s="560">
        <f t="shared" si="405"/>
        <v>442.42143146696856</v>
      </c>
      <c r="CQ233" s="560"/>
      <c r="CR233" s="560">
        <f ca="1">IF(B233&gt;Summary!$A$1,#N/A,CP233*MGtoAF)</f>
        <v>1357.3489517406595</v>
      </c>
      <c r="CS233" s="560">
        <f>Sheet1!BK235+Sheet1!BL235+Sheet1!BM235-Sheet1!ER235-DA233</f>
        <v>11.04</v>
      </c>
      <c r="CT233" s="560">
        <f t="shared" si="406"/>
        <v>10.89218410041841</v>
      </c>
      <c r="CU233" s="560">
        <f>IF(Sheet1!ER235="FM",DA233,0)</f>
        <v>0</v>
      </c>
      <c r="CV233" s="560">
        <f t="shared" si="407"/>
        <v>0</v>
      </c>
      <c r="CW233" s="560">
        <f>IF(Sheet1!ER235="OTHER",DA233,0)</f>
        <v>0</v>
      </c>
      <c r="CX233" s="560">
        <f t="shared" si="408"/>
        <v>0</v>
      </c>
      <c r="CY233" s="560">
        <f t="shared" si="409"/>
        <v>11.04</v>
      </c>
      <c r="CZ233" s="560">
        <f t="shared" si="410"/>
        <v>10.89218410041841</v>
      </c>
      <c r="DA233" s="560">
        <f>IF(OR(Sheet1!ER235="FM", Sheet1!ER235="OTHER"),SUM(Sheet1!BK235:'Sheet1'!BM235),0)</f>
        <v>0</v>
      </c>
      <c r="DB233" s="545">
        <f>IF(AND($B233&gt;=$FV233,$B233&lt;=$FW233),MAX($CT233,Sheet1!EK235,0),MAX($CT233-(7/36)*$K233,0))</f>
        <v>11</v>
      </c>
      <c r="DC233" s="560">
        <f t="shared" si="411"/>
        <v>0</v>
      </c>
      <c r="DD233" s="545">
        <f t="shared" si="412"/>
        <v>0</v>
      </c>
      <c r="DE233" s="545">
        <f>IF(AND($O233&gt;0,Sheet1!EO235=1),(1-($O233-Sheet1!$L235)/$O233)*CZ233,0)</f>
        <v>0</v>
      </c>
      <c r="DF233" s="545">
        <f>IF(AND(Sheet1!$L235=0,Sheet1!$L234=0, Calculation!CY233&lt;Sheet1!$EK235-0.1,Sheet1!$EK235=Sheet1!$EK234,Sheet1!$EK235=Sheet1!$EK236),Sheet1!$EK235,CZ233-DE233)</f>
        <v>10.89218410041841</v>
      </c>
      <c r="DG233" s="545"/>
      <c r="DH233" s="560">
        <f t="shared" si="413"/>
        <v>18.049999999999997</v>
      </c>
      <c r="DI233" s="560">
        <f t="shared" si="414"/>
        <v>252.4449357574253</v>
      </c>
      <c r="DJ233" s="698">
        <f t="shared" si="415"/>
        <v>17.808326359832634</v>
      </c>
      <c r="DK233" s="560">
        <f ca="1">IF(B233&gt;Summary!$A$1,#N/A,DI233*MGtoAF)</f>
        <v>774.50106290378085</v>
      </c>
      <c r="DL233" s="698">
        <f t="shared" si="416"/>
        <v>18.049999999999997</v>
      </c>
      <c r="DM233" s="560">
        <f t="shared" si="417"/>
        <v>59.75</v>
      </c>
      <c r="DN233" s="560">
        <f>Sheet1!AB235-DM233</f>
        <v>-0.79999999999999716</v>
      </c>
      <c r="DO233" s="823">
        <f t="shared" si="418"/>
        <v>-1.3389121338912086E-2</v>
      </c>
      <c r="DP233" s="560">
        <f>(VLOOKUP(Sheet1!DC235,hhdcap_wcm,4)-(((VLOOKUP(Sheet1!DC235,hhdcap_wcm,3)-Sheet1!DC235)/(VLOOKUP(Sheet1!DC235,hhdcap_wcm,3)-VLOOKUP(Sheet1!DC235,hhdcap_wcm,1)))*(VLOOKUP(Sheet1!DC235,hhdcap_wcm,4)-VLOOKUP(Sheet1!DC235,hhdcap_wcm,2))))</f>
        <v>41031.500000102656</v>
      </c>
      <c r="DQ233" s="560">
        <f t="shared" si="419"/>
        <v>-261.50000000024011</v>
      </c>
      <c r="DR233" s="560">
        <f t="shared" si="420"/>
        <v>-131.87090267283918</v>
      </c>
      <c r="DS233" s="560">
        <f>Sheet1!EA235*AFtoMG</f>
        <v>0</v>
      </c>
      <c r="DT233" s="560">
        <f>Sheet1!EB235*AFtoMG</f>
        <v>0</v>
      </c>
      <c r="DU233" s="560">
        <f>Sheet1!EC235*AFtoMG</f>
        <v>0</v>
      </c>
      <c r="DV233" s="560">
        <f>Sheet1!ED235*AFtoMG</f>
        <v>0</v>
      </c>
      <c r="DW233" s="560">
        <f t="shared" si="421"/>
        <v>0</v>
      </c>
      <c r="DX233" s="560">
        <f t="shared" si="422"/>
        <v>0</v>
      </c>
      <c r="DY233" s="560">
        <f t="shared" si="423"/>
        <v>2452.5326743826699</v>
      </c>
      <c r="DZ233" s="560">
        <f t="shared" si="424"/>
        <v>7524.3702450060318</v>
      </c>
      <c r="EA233" s="560"/>
      <c r="EB233" s="545">
        <f>IF(OR(B233&lt;FV233,B233&gt;FW233),(MIN(BF233+BY233+CT233+MAX(Sheet1!AA235+AQ233-73,0),K233)),0)</f>
        <v>0</v>
      </c>
      <c r="EC233" s="560"/>
      <c r="ED233" s="560">
        <f t="shared" si="425"/>
        <v>17.808326359832634</v>
      </c>
      <c r="EE233" s="560"/>
      <c r="EF233" s="560">
        <f>Sheet1!EH235+Sheet1!EI235+Sheet1!EJ235+Sheet1!EK235</f>
        <v>18.739000000000001</v>
      </c>
      <c r="EG233" s="560"/>
      <c r="EH233" s="545">
        <f t="shared" si="426"/>
        <v>0</v>
      </c>
      <c r="EI233" s="560">
        <f>IF(Sheet1!ET235=1,SUM('Calculations II'!AT233:BA233)+'Calculations II'!BC233+Sheet1!BV235+'Calculations II'!BE233+AP233,SUM('Calculations II'!AT233:BA233)+'Calculations II'!BC233+Sheet1!BV235+'Calculations II'!BE233+AP233)</f>
        <v>88.452208000000013</v>
      </c>
      <c r="EJ233" s="560">
        <f>Sheet1!AA235+Sheet1!AB235+'Calculations II'!BC233</f>
        <v>91.75</v>
      </c>
      <c r="EK233" s="560"/>
      <c r="EL233" s="560"/>
      <c r="EM233" s="560">
        <f t="shared" si="427"/>
        <v>41861</v>
      </c>
      <c r="EN233" s="560">
        <f t="shared" si="428"/>
        <v>-18.739000000000001</v>
      </c>
      <c r="EO233" s="560">
        <f t="shared" si="429"/>
        <v>-28.989232999999999</v>
      </c>
      <c r="EP233" s="560">
        <v>0</v>
      </c>
      <c r="EQ233" s="560">
        <v>0</v>
      </c>
      <c r="ER233" s="560">
        <v>0</v>
      </c>
      <c r="ES233" s="545">
        <f t="shared" si="454"/>
        <v>3.7429413061640227</v>
      </c>
      <c r="ET233" s="560">
        <f>-(VLOOKUP(Sheet1!BQ235,Lookup!$O$4:$Q$262,2)-VLOOKUP(Sheet1!BQ234,Lookup!$O$4:$Q$262,2))/1000000</f>
        <v>1.9408059914002866</v>
      </c>
      <c r="EU233" s="560">
        <f>-(VLOOKUP(Sheet1!BR235,Lookup!$O$4:$Q$262,3)-VLOOKUP(Sheet1!BR234,Lookup!$O$4:$Q$262,3))/1000000</f>
        <v>1.802135314763736</v>
      </c>
      <c r="EV233" s="560"/>
      <c r="EW233" s="560"/>
      <c r="EX233" s="560"/>
      <c r="EY233" s="560"/>
      <c r="EZ233" s="560"/>
      <c r="FA233" s="560"/>
      <c r="FB233" s="560"/>
      <c r="FC233" s="560"/>
      <c r="FD233" s="594">
        <f t="shared" si="443"/>
        <v>1134.7184615383862</v>
      </c>
      <c r="FE233" s="594" t="e">
        <f t="shared" si="431"/>
        <v>#N/A</v>
      </c>
      <c r="FF233" s="595" t="e">
        <f t="shared" si="432"/>
        <v>#N/A</v>
      </c>
      <c r="FG233" s="596" t="s">
        <v>692</v>
      </c>
      <c r="FH233" s="596" t="s">
        <v>692</v>
      </c>
      <c r="FI233" s="594" t="e">
        <v>#N/A</v>
      </c>
      <c r="FJ233" s="778">
        <v>19222</v>
      </c>
      <c r="FK233" s="560"/>
      <c r="FL233" s="560"/>
      <c r="FM233" s="560"/>
      <c r="FN233" s="560"/>
      <c r="FO233" s="560">
        <f>O233+((Sheet1!CS235)*GPMtoMGD)</f>
        <v>91.75</v>
      </c>
      <c r="FP233" s="560">
        <f>IF(Sheet1!AA235+AQ233&lt;=Calculation!N233,AQ233,Calculation!N233-Sheet1!AA235)</f>
        <v>39.563096234309626</v>
      </c>
      <c r="FQ233" s="560">
        <f>(Sheet1!BP235+Sheet1!BO235)/694.4</f>
        <v>4.2235023041474662</v>
      </c>
      <c r="FR233" s="560"/>
      <c r="FS233" s="560"/>
      <c r="FT233" s="560"/>
      <c r="FU233" s="560"/>
      <c r="FV233" s="695">
        <f t="shared" si="455"/>
        <v>41827</v>
      </c>
      <c r="FW233" s="695">
        <f t="shared" si="456"/>
        <v>41934</v>
      </c>
      <c r="FX233" s="560"/>
      <c r="FY233" s="560"/>
      <c r="FZ233" s="560"/>
      <c r="GA233" s="560"/>
      <c r="GB233" s="560" t="str">
        <f t="shared" si="457"/>
        <v>n</v>
      </c>
      <c r="GC233" s="564">
        <f t="shared" si="458"/>
        <v>41691</v>
      </c>
      <c r="GD233" s="695">
        <f t="shared" si="459"/>
        <v>41807</v>
      </c>
      <c r="GE233" s="560">
        <v>6518.9</v>
      </c>
      <c r="GF233" s="695">
        <f t="shared" si="460"/>
        <v>41808</v>
      </c>
      <c r="GG233" s="560">
        <f t="shared" si="479"/>
        <v>3259</v>
      </c>
      <c r="GH233" s="564">
        <f t="shared" si="461"/>
        <v>41934</v>
      </c>
      <c r="GJ233" s="545">
        <f t="shared" si="462"/>
        <v>0</v>
      </c>
      <c r="GK233" s="560" t="str">
        <f t="shared" si="433"/>
        <v/>
      </c>
      <c r="GL233" s="560">
        <f t="shared" si="463"/>
        <v>0</v>
      </c>
      <c r="GM233" s="560" t="str">
        <f t="shared" si="464"/>
        <v/>
      </c>
      <c r="GN233" s="560">
        <f>IF(GK233="P",Lookup!$M$12,IF(GK233="PP",Lookup!$M$13,IF(GK233="PPP",Lookup!$M$14,IF(GK233="T",Lookup!$M$15,IF(GK233="TP",Lookup!$M$16,IF(GK233="TPP",Lookup!$M$17,IF(GK233="TPPP",Lookup!$M$18,0)))))))*GJ233</f>
        <v>0</v>
      </c>
      <c r="GO233" s="560">
        <f t="shared" si="465"/>
        <v>0</v>
      </c>
      <c r="GP233" s="560">
        <f t="shared" si="434"/>
        <v>3739.9768813333339</v>
      </c>
      <c r="GQ233" s="560">
        <f t="shared" si="473"/>
        <v>1219.0276666666668</v>
      </c>
      <c r="GR233" s="560"/>
      <c r="GS233" s="560">
        <f t="shared" si="466"/>
        <v>0</v>
      </c>
      <c r="GT233" s="560" t="str">
        <f t="shared" si="467"/>
        <v/>
      </c>
      <c r="GU233" s="560">
        <f>IF(GK233="P",Lookup!$N$12,IF(GK233="PP",Lookup!$N$13,IF(GK233="PPP",Lookup!$N$14,IF(GK233="T",Lookup!$N$15,IF(GK233="TP",Lookup!$N$16,IF(GK233="TPP",Lookup!$N$17,IF(GK233="TPPP",Lookup!$N$18,0)))))))*GJ233</f>
        <v>0</v>
      </c>
      <c r="GV233" s="560">
        <f t="shared" si="468"/>
        <v>0</v>
      </c>
      <c r="GW233" s="560">
        <f t="shared" si="435"/>
        <v>1652.5433490282569</v>
      </c>
      <c r="GX233" s="560">
        <f t="shared" si="474"/>
        <v>538.63864049160918</v>
      </c>
      <c r="GY233" s="560"/>
      <c r="GZ233" s="560">
        <f t="shared" si="469"/>
        <v>0</v>
      </c>
      <c r="HA233" s="560" t="str">
        <f t="shared" si="470"/>
        <v/>
      </c>
      <c r="HB233" s="560">
        <f>IF(GK233="P",Lookup!$N$12,IF(GK233="PP",Lookup!$N$13,IF(GK233="PPP",Lookup!$N$14,IF(GK233="T",Lookup!$N$15,IF(GK233="TP",Lookup!$N$16,IF(GK233="TPP",Lookup!$N$17,IF(GK233="TPPP",Lookup!$N$18,0)))))))*GJ233</f>
        <v>0</v>
      </c>
      <c r="HC233" s="545">
        <f t="shared" si="436"/>
        <v>0</v>
      </c>
      <c r="HD233" s="560">
        <f t="shared" si="437"/>
        <v>1357.3489517406595</v>
      </c>
      <c r="HE233" s="560">
        <f t="shared" si="475"/>
        <v>442.42143146696856</v>
      </c>
      <c r="HF233" s="560"/>
      <c r="HG233" s="560">
        <f t="shared" si="471"/>
        <v>0</v>
      </c>
      <c r="HH233" s="560" t="str">
        <f t="shared" si="472"/>
        <v/>
      </c>
      <c r="HI233" s="560">
        <f>IF(GK233="P",Lookup!$N$12,IF(GK233="PP",Lookup!$N$13,IF(GK233="PPP",Lookup!$N$14,IF(GK233="T",Lookup!$N$15,IF(GK233="TP",Lookup!$N$16,IF(GK233="TPP",Lookup!$N$17,IF(GK233="TPPP",Lookup!$N$18,0)))))))*GJ233</f>
        <v>0</v>
      </c>
      <c r="HJ233" s="545">
        <f t="shared" si="438"/>
        <v>0</v>
      </c>
      <c r="HK233" s="560">
        <f t="shared" si="439"/>
        <v>774.50106290378085</v>
      </c>
      <c r="HL233" s="560">
        <f t="shared" si="476"/>
        <v>252.4449357574253</v>
      </c>
    </row>
    <row r="234" spans="1:220">
      <c r="A234" s="580" t="s">
        <v>4</v>
      </c>
      <c r="B234" s="556">
        <v>41862</v>
      </c>
      <c r="C234" s="561">
        <v>0</v>
      </c>
      <c r="D234" s="529">
        <f t="shared" si="477"/>
        <v>200</v>
      </c>
      <c r="E234" s="529">
        <f t="shared" si="478"/>
        <v>400</v>
      </c>
      <c r="F234" s="529">
        <v>250</v>
      </c>
      <c r="G234" s="560">
        <f>DR234+Sheet1!CZ236</f>
        <v>189.4019162878391</v>
      </c>
      <c r="H234" s="914">
        <f t="shared" si="480"/>
        <v>0</v>
      </c>
      <c r="I234" s="559">
        <f>MAX(Sheet1!Z236-AT234+(Sheet1!DA236-E234)*CFStoMGD,0)</f>
        <v>27.276400000000002</v>
      </c>
      <c r="J234" s="562">
        <f>IF(AND(B234&gt;=Calculation!GC234,B234&lt;=Calculation!GD234),IF(Sheet1!DB236&gt;=Calculation!D234,64.64,0),MAX(Sheet1!Z236-AT234+(Sheet1!DB236-D234)*CFStoMGD,0))</f>
        <v>57.010800000000003</v>
      </c>
      <c r="K234" s="904">
        <f t="shared" si="375"/>
        <v>0</v>
      </c>
      <c r="L234" s="560">
        <f>Sheet1!AA236+Sheet1!AB236-Sheet1!L236+(Sheet1!DA236-F234)*CFStoMGD</f>
        <v>156.9864</v>
      </c>
      <c r="M234" s="560">
        <f t="shared" si="376"/>
        <v>124.87798666222838</v>
      </c>
      <c r="N234" s="910">
        <f>IF(Sheet1!DA236&gt;=F234,MIN(73,MIN(MAX(L234,0),MAX(M234,0))),0)</f>
        <v>73</v>
      </c>
      <c r="O234" s="563">
        <f>Sheet1!AA236+Sheet1!AB236</f>
        <v>91.7</v>
      </c>
      <c r="P234" s="563">
        <f t="shared" si="377"/>
        <v>141.85990000000001</v>
      </c>
      <c r="Q234" s="898">
        <f t="shared" si="444"/>
        <v>72.97</v>
      </c>
      <c r="R234" s="829">
        <f t="shared" si="378"/>
        <v>18.73</v>
      </c>
      <c r="S234" s="898">
        <f t="shared" si="445"/>
        <v>0</v>
      </c>
      <c r="T234" s="898">
        <f t="shared" si="446"/>
        <v>0</v>
      </c>
      <c r="U234" s="898">
        <f t="shared" si="447"/>
        <v>18.73</v>
      </c>
      <c r="V234" s="898"/>
      <c r="W234" s="898">
        <f t="shared" si="448"/>
        <v>0</v>
      </c>
      <c r="X234" s="898">
        <f t="shared" si="449"/>
        <v>0</v>
      </c>
      <c r="Y234" s="898" t="str">
        <f t="shared" si="450"/>
        <v>FALSE</v>
      </c>
      <c r="Z234" s="898">
        <f t="shared" si="451"/>
        <v>91.7</v>
      </c>
      <c r="AA234" s="898">
        <f t="shared" si="452"/>
        <v>91.7</v>
      </c>
      <c r="AB234" s="898" t="str">
        <f t="shared" si="453"/>
        <v/>
      </c>
      <c r="AC234" s="563">
        <f>Sheet1!Y236*MGDtoCFS</f>
        <v>50.741599999999991</v>
      </c>
      <c r="AD234" s="563">
        <f>Sheet1!Z236*MGDtoCFS</f>
        <v>91.195650000000001</v>
      </c>
      <c r="AE234" s="563">
        <f>Sheet1!AA236*MGDtoCFS</f>
        <v>50.865360000000003</v>
      </c>
      <c r="AF234" s="563">
        <f>Sheet1!AB236*MGDtoCFS</f>
        <v>90.994540000000001</v>
      </c>
      <c r="AG234" s="563">
        <f>Sheet1!L236*MGDtoCFS</f>
        <v>0</v>
      </c>
      <c r="AH234" s="545">
        <f t="shared" si="379"/>
        <v>18.73</v>
      </c>
      <c r="AI234" s="560">
        <f t="shared" si="380"/>
        <v>28.97531</v>
      </c>
      <c r="AJ234" s="560">
        <f t="shared" si="381"/>
        <v>0</v>
      </c>
      <c r="AK234" s="560">
        <f t="shared" si="382"/>
        <v>0</v>
      </c>
      <c r="AL234" s="560">
        <f>(VLOOKUP(Sheet1!DC236,hhdcap_wcm,4)-(((VLOOKUP(Sheet1!DC236,hhdcap_wcm,3)-Sheet1!DC236)/(VLOOKUP(Sheet1!DC236,hhdcap_wcm,3)-VLOOKUP(Sheet1!DC236,hhdcap_wcm,1)))*(VLOOKUP(Sheet1!DC236,hhdcap_wcm,4)-VLOOKUP(Sheet1!DC236,hhdcap_wcm,2))))</f>
        <v>40717.000000101441</v>
      </c>
      <c r="AM234" s="560">
        <f t="shared" si="383"/>
        <v>-314.50000000121508</v>
      </c>
      <c r="AN234" s="560">
        <f t="shared" si="384"/>
        <v>2433.8026743826699</v>
      </c>
      <c r="AO234" s="560">
        <f t="shared" si="385"/>
        <v>7466.9066050060319</v>
      </c>
      <c r="AP234" s="560">
        <f>Sheet1!BA236+Sheet1!BB236+Sheet1!BN236+CD234</f>
        <v>41.7</v>
      </c>
      <c r="AQ234" s="560">
        <f>Sheet1!BN236+(DO234*Sheet1!BN236)</f>
        <v>39.655043712172159</v>
      </c>
      <c r="AR234" s="560">
        <f>Sheet1!BA236+CD234</f>
        <v>0</v>
      </c>
      <c r="AS234" s="560">
        <f>Sheet1!BA236+Sheet1!BB236+CD234</f>
        <v>1.6</v>
      </c>
      <c r="AT234" s="698">
        <f>0</f>
        <v>0</v>
      </c>
      <c r="AU234" s="560">
        <f>IF(EB234&lt;K234,0,MAX(Sheet1!AA236+AQ234-15/36*K234-N234,Sheet1!EH236,0))</f>
        <v>0.73</v>
      </c>
      <c r="AV234" s="560">
        <f>IF(OR(B234&gt;=GD234,B234&lt;GC234),0,15/36*K234-MAX(0,64.6-(137.6-(Sheet1!AA236+Sheet1!AB236))))</f>
        <v>0</v>
      </c>
      <c r="AW234" s="698">
        <f>Sheet1!DB236-110</f>
        <v>87</v>
      </c>
      <c r="AX234" s="698">
        <f>Sheet1!DA236-265</f>
        <v>86</v>
      </c>
      <c r="AY234" s="698">
        <f t="shared" si="386"/>
        <v>3.0000000000001137E-2</v>
      </c>
      <c r="AZ234" s="1083"/>
      <c r="BA234" s="698">
        <f t="shared" si="387"/>
        <v>0</v>
      </c>
      <c r="BB234" s="560">
        <f t="shared" si="388"/>
        <v>1218.2976666666668</v>
      </c>
      <c r="BC234" s="560"/>
      <c r="BD234" s="560">
        <f ca="1">IF(B234&gt;Summary!$A$1,#N/A,BB234*MGtoAF)</f>
        <v>3737.7372413333337</v>
      </c>
      <c r="BE234" s="560">
        <f>Sheet1!BG236+Sheet1!BH236+Sheet1!BI236-BM234</f>
        <v>2.02</v>
      </c>
      <c r="BF234" s="560">
        <f t="shared" si="389"/>
        <v>1.9975857431069266</v>
      </c>
      <c r="BG234" s="560">
        <f>IF(Sheet1!EP236="FM",BM234,0)</f>
        <v>0</v>
      </c>
      <c r="BH234" s="560">
        <f t="shared" si="390"/>
        <v>0</v>
      </c>
      <c r="BI234" s="560">
        <f>IF(Sheet1!EP236="OTHER",BM234,0)</f>
        <v>0</v>
      </c>
      <c r="BJ234" s="560">
        <f t="shared" si="391"/>
        <v>0</v>
      </c>
      <c r="BK234" s="560">
        <f t="shared" si="392"/>
        <v>2.02</v>
      </c>
      <c r="BL234" s="560">
        <f t="shared" si="393"/>
        <v>1.9975857431069266</v>
      </c>
      <c r="BM234" s="560">
        <f>IF(OR(Sheet1!EP236="FM", Sheet1!EP236="OTHER"),SUM(Sheet1!BG236:'Sheet1'!BI236),0)</f>
        <v>0</v>
      </c>
      <c r="BN234" s="545">
        <f>IF(AND($B234&gt;=$FV234,$B234&lt;=$FW234),MAX(BF234,Sheet1!EI236,0),MAX(BF234-(7/36)*$K234,0))</f>
        <v>2</v>
      </c>
      <c r="BO234" s="560">
        <f t="shared" si="394"/>
        <v>0</v>
      </c>
      <c r="BP234" s="545">
        <f t="shared" si="395"/>
        <v>0</v>
      </c>
      <c r="BQ234" s="545">
        <f>IF(AND($O234&gt;0,Sheet1!EM236=1),(1-($O234-Sheet1!$L236)/$O234)*BL234,0)</f>
        <v>0</v>
      </c>
      <c r="BR234" s="545">
        <f>IF(AND(Sheet1!$L236=0,Sheet1!$L235=0, Calculation!BK234&lt;Sheet1!$EI236-0.1,Sheet1!$EI236=Sheet1!$EI235,Sheet1!$EI236=Sheet1!$EI237),Sheet1!$EI236,BL234-BQ234)</f>
        <v>1.9975857431069266</v>
      </c>
      <c r="BS234" s="560"/>
      <c r="BT234" s="560"/>
      <c r="BU234" s="560">
        <f t="shared" si="396"/>
        <v>536.63864049160918</v>
      </c>
      <c r="BV234" s="560"/>
      <c r="BW234" s="560">
        <f ca="1">IF(B234&gt;Summary!$A$1,#N/A,BU234*MGtoAF)</f>
        <v>1646.4073490282569</v>
      </c>
      <c r="BX234" s="560">
        <f>Sheet1!BC236+Sheet1!BD236+Sheet1!BE236+Sheet1!BF236-CG234-CH234</f>
        <v>5.01</v>
      </c>
      <c r="BY234" s="560">
        <f t="shared" si="397"/>
        <v>4.9544082044384661</v>
      </c>
      <c r="BZ234" s="560">
        <f>IF(Sheet1!EQ236="FM",CH234,0)</f>
        <v>0</v>
      </c>
      <c r="CA234" s="560">
        <f t="shared" si="398"/>
        <v>0</v>
      </c>
      <c r="CB234" s="560">
        <f>IF(Sheet1!EQ236="OTHER",CH234,0)</f>
        <v>0</v>
      </c>
      <c r="CC234" s="560">
        <f t="shared" si="399"/>
        <v>0</v>
      </c>
      <c r="CD234" s="560">
        <f t="shared" si="400"/>
        <v>0</v>
      </c>
      <c r="CE234" s="560">
        <f t="shared" si="401"/>
        <v>5.01</v>
      </c>
      <c r="CF234" s="560">
        <f t="shared" si="402"/>
        <v>4.9544082044384661</v>
      </c>
      <c r="CG234" s="560">
        <f>IF(Sheet1!EQ236="CWA",SUM(Sheet1!BC236:'Sheet1'!BF236),0)</f>
        <v>0</v>
      </c>
      <c r="CH234" s="560">
        <f>IF(OR(Sheet1!EQ236="FM", Sheet1!EQ236="OTHER"),SUM(Sheet1!BC236:'Sheet1'!BF236),0)</f>
        <v>0</v>
      </c>
      <c r="CI234" s="545">
        <f>IF(AND($B234&gt;=$FV234,$B234&lt;=$FW234),MAX(CF234,Sheet1!EJ236,0),MAX(CF234-(7/36)*$K234,0))</f>
        <v>5</v>
      </c>
      <c r="CJ234" s="560">
        <f t="shared" si="403"/>
        <v>0</v>
      </c>
      <c r="CK234" s="545">
        <f t="shared" si="404"/>
        <v>0</v>
      </c>
      <c r="CL234" s="545">
        <f>IF(AND($O234&gt;0,Sheet1!EN236=1),(1-($O234-Sheet1!$L236)/$O234)*CF234,0)</f>
        <v>0</v>
      </c>
      <c r="CM234" s="545">
        <f>IF(AND(Sheet1!$L236=0,Sheet1!$L235=0, Calculation!CE234&lt;Sheet1!EJ236-0.1,Sheet1!EJ236=Sheet1!EJ235,Sheet1!EJ236=Sheet1!EJ237),Sheet1!EJ236,CF234-CL234)</f>
        <v>4.9544082044384661</v>
      </c>
      <c r="CN234" s="545"/>
      <c r="CO234" s="560"/>
      <c r="CP234" s="560">
        <f t="shared" si="405"/>
        <v>437.42143146696856</v>
      </c>
      <c r="CQ234" s="560"/>
      <c r="CR234" s="560">
        <f ca="1">IF(B234&gt;Summary!$A$1,#N/A,CP234*MGtoAF)</f>
        <v>1342.0089517406595</v>
      </c>
      <c r="CS234" s="560">
        <f>Sheet1!BK236+Sheet1!BL236+Sheet1!BM236-Sheet1!ER236-DA234</f>
        <v>10.75</v>
      </c>
      <c r="CT234" s="560">
        <f t="shared" si="406"/>
        <v>10.630716207128446</v>
      </c>
      <c r="CU234" s="560">
        <f>IF(Sheet1!ER236="FM",DA234,0)</f>
        <v>0</v>
      </c>
      <c r="CV234" s="560">
        <f t="shared" si="407"/>
        <v>0</v>
      </c>
      <c r="CW234" s="560">
        <f>IF(Sheet1!ER236="OTHER",DA234,0)</f>
        <v>0</v>
      </c>
      <c r="CX234" s="560">
        <f t="shared" si="408"/>
        <v>0</v>
      </c>
      <c r="CY234" s="560">
        <f t="shared" si="409"/>
        <v>10.75</v>
      </c>
      <c r="CZ234" s="560">
        <f t="shared" si="410"/>
        <v>10.630716207128446</v>
      </c>
      <c r="DA234" s="560">
        <f>IF(OR(Sheet1!ER236="FM", Sheet1!ER236="OTHER"),SUM(Sheet1!BK236:'Sheet1'!BM236),0)</f>
        <v>0</v>
      </c>
      <c r="DB234" s="545">
        <f>IF(AND($B234&gt;=$FV234,$B234&lt;=$FW234),MAX($CT234,Sheet1!EK236,0),MAX($CT234-(7/36)*$K234,0))</f>
        <v>11</v>
      </c>
      <c r="DC234" s="560">
        <f t="shared" si="411"/>
        <v>0</v>
      </c>
      <c r="DD234" s="545">
        <f t="shared" si="412"/>
        <v>0</v>
      </c>
      <c r="DE234" s="545">
        <f>IF(AND($O234&gt;0,Sheet1!EO236=1),(1-($O234-Sheet1!$L236)/$O234)*CZ234,0)</f>
        <v>0</v>
      </c>
      <c r="DF234" s="545">
        <f>IF(AND(Sheet1!$L236=0,Sheet1!$L235=0, Calculation!CY234&lt;Sheet1!$EK236-0.1,Sheet1!$EK236=Sheet1!$EK235,Sheet1!$EK236=Sheet1!$EK237),Sheet1!$EK236,CZ234-DE234)</f>
        <v>11</v>
      </c>
      <c r="DG234" s="545"/>
      <c r="DH234" s="560">
        <f t="shared" si="413"/>
        <v>17.78</v>
      </c>
      <c r="DI234" s="560">
        <f t="shared" si="414"/>
        <v>241.4449357574253</v>
      </c>
      <c r="DJ234" s="698">
        <f t="shared" si="415"/>
        <v>17.58271015467384</v>
      </c>
      <c r="DK234" s="560">
        <f ca="1">IF(B234&gt;Summary!$A$1,#N/A,DI234*MGtoAF)</f>
        <v>740.7530629037808</v>
      </c>
      <c r="DL234" s="698">
        <f t="shared" si="416"/>
        <v>17.78</v>
      </c>
      <c r="DM234" s="560">
        <f t="shared" si="417"/>
        <v>59.480000000000004</v>
      </c>
      <c r="DN234" s="560">
        <f>Sheet1!AB236-DM234</f>
        <v>-0.66000000000000369</v>
      </c>
      <c r="DO234" s="823">
        <f t="shared" si="418"/>
        <v>-1.1096166778749221E-2</v>
      </c>
      <c r="DP234" s="560">
        <f>(VLOOKUP(Sheet1!DC236,hhdcap_wcm,4)-(((VLOOKUP(Sheet1!DC236,hhdcap_wcm,3)-Sheet1!DC236)/(VLOOKUP(Sheet1!DC236,hhdcap_wcm,3)-VLOOKUP(Sheet1!DC236,hhdcap_wcm,1)))*(VLOOKUP(Sheet1!DC236,hhdcap_wcm,4)-VLOOKUP(Sheet1!DC236,hhdcap_wcm,2))))</f>
        <v>40717.000000101441</v>
      </c>
      <c r="DQ234" s="560">
        <f t="shared" si="419"/>
        <v>-314.50000000121508</v>
      </c>
      <c r="DR234" s="560">
        <f t="shared" si="420"/>
        <v>-158.5980837121609</v>
      </c>
      <c r="DS234" s="560">
        <f>Sheet1!EA236*AFtoMG</f>
        <v>0</v>
      </c>
      <c r="DT234" s="560">
        <f>Sheet1!EB236*AFtoMG</f>
        <v>0</v>
      </c>
      <c r="DU234" s="560">
        <f>Sheet1!EC236*AFtoMG</f>
        <v>0</v>
      </c>
      <c r="DV234" s="560">
        <f>Sheet1!ED236*AFtoMG</f>
        <v>0</v>
      </c>
      <c r="DW234" s="560">
        <f t="shared" si="421"/>
        <v>0</v>
      </c>
      <c r="DX234" s="560">
        <f t="shared" si="422"/>
        <v>0</v>
      </c>
      <c r="DY234" s="560">
        <f t="shared" si="423"/>
        <v>2433.8026743826699</v>
      </c>
      <c r="DZ234" s="560">
        <f t="shared" si="424"/>
        <v>7466.9066050060319</v>
      </c>
      <c r="EA234" s="560"/>
      <c r="EB234" s="545">
        <f>IF(OR(B234&lt;FV234,B234&gt;FW234),(MIN(BF234+BY234+CT234+MAX(Sheet1!AA236+AQ234-73,0),K234)),0)</f>
        <v>0</v>
      </c>
      <c r="EC234" s="560"/>
      <c r="ED234" s="560">
        <f t="shared" si="425"/>
        <v>17.582710154673837</v>
      </c>
      <c r="EE234" s="560"/>
      <c r="EF234" s="560">
        <f>Sheet1!EH236+Sheet1!EI236+Sheet1!EJ236+Sheet1!EK236</f>
        <v>18.73</v>
      </c>
      <c r="EG234" s="560"/>
      <c r="EH234" s="545">
        <f t="shared" si="426"/>
        <v>0</v>
      </c>
      <c r="EI234" s="560">
        <f>IF(Sheet1!ET236=1,SUM('Calculations II'!AT234:BA234)+'Calculations II'!BC234+Sheet1!BV236+'Calculations II'!BE234+AP234,SUM('Calculations II'!AT234:BA234)+'Calculations II'!BC234+Sheet1!BV236+'Calculations II'!BE234+AP234)</f>
        <v>89.726336000000003</v>
      </c>
      <c r="EJ234" s="560">
        <f>Sheet1!AA236+Sheet1!AB236+'Calculations II'!BC234</f>
        <v>91.7</v>
      </c>
      <c r="EK234" s="560"/>
      <c r="EL234" s="560"/>
      <c r="EM234" s="560">
        <f t="shared" si="427"/>
        <v>41862</v>
      </c>
      <c r="EN234" s="560">
        <f t="shared" si="428"/>
        <v>-18.73</v>
      </c>
      <c r="EO234" s="560">
        <f t="shared" si="429"/>
        <v>-28.97531</v>
      </c>
      <c r="EP234" s="560">
        <v>0</v>
      </c>
      <c r="EQ234" s="560">
        <v>0</v>
      </c>
      <c r="ER234" s="560">
        <v>0</v>
      </c>
      <c r="ES234" s="545">
        <f t="shared" si="454"/>
        <v>4.4330509614594948</v>
      </c>
      <c r="ET234" s="560">
        <f>-(VLOOKUP(Sheet1!BQ236,Lookup!$O$4:$Q$262,2)-VLOOKUP(Sheet1!BQ235,Lookup!$O$4:$Q$262,2))/1000000</f>
        <v>2.2165254807297474</v>
      </c>
      <c r="EU234" s="560">
        <f>-(VLOOKUP(Sheet1!BR236,Lookup!$O$4:$Q$262,3)-VLOOKUP(Sheet1!BR235,Lookup!$O$4:$Q$262,3))/1000000</f>
        <v>2.2165254807297474</v>
      </c>
      <c r="EV234" s="560"/>
      <c r="EW234" s="560"/>
      <c r="EX234" s="560"/>
      <c r="EY234" s="560"/>
      <c r="EZ234" s="560"/>
      <c r="FA234" s="560"/>
      <c r="FB234" s="560"/>
      <c r="FC234" s="560"/>
      <c r="FD234" s="594">
        <f t="shared" si="443"/>
        <v>1134.4615384614635</v>
      </c>
      <c r="FE234" s="594" t="e">
        <f t="shared" si="431"/>
        <v>#N/A</v>
      </c>
      <c r="FF234" s="595" t="e">
        <f t="shared" si="432"/>
        <v>#N/A</v>
      </c>
      <c r="FG234" s="596" t="s">
        <v>692</v>
      </c>
      <c r="FH234" s="596" t="s">
        <v>692</v>
      </c>
      <c r="FI234" s="594" t="e">
        <v>#N/A</v>
      </c>
      <c r="FJ234" s="778">
        <v>19054</v>
      </c>
      <c r="FK234" s="560"/>
      <c r="FL234" s="560"/>
      <c r="FM234" s="560"/>
      <c r="FN234" s="560"/>
      <c r="FO234" s="560">
        <f>O234+((Sheet1!CS236)*GPMtoMGD)</f>
        <v>91.7</v>
      </c>
      <c r="FP234" s="560">
        <f>IF(Sheet1!AA236+AQ234&lt;=Calculation!N234,AQ234,Calculation!N234-Sheet1!AA236)</f>
        <v>39.655043712172159</v>
      </c>
      <c r="FQ234" s="560">
        <f>(Sheet1!BP236+Sheet1!BO236)/694.4</f>
        <v>4.3097638248847927</v>
      </c>
      <c r="FR234" s="560"/>
      <c r="FS234" s="560"/>
      <c r="FT234" s="560"/>
      <c r="FU234" s="560"/>
      <c r="FV234" s="695">
        <f t="shared" si="455"/>
        <v>41827</v>
      </c>
      <c r="FW234" s="695">
        <f t="shared" si="456"/>
        <v>41934</v>
      </c>
      <c r="FX234" s="560"/>
      <c r="FY234" s="560"/>
      <c r="FZ234" s="560"/>
      <c r="GA234" s="560"/>
      <c r="GB234" s="560" t="str">
        <f t="shared" si="457"/>
        <v>n</v>
      </c>
      <c r="GC234" s="564">
        <f t="shared" si="458"/>
        <v>41691</v>
      </c>
      <c r="GD234" s="695">
        <f t="shared" si="459"/>
        <v>41807</v>
      </c>
      <c r="GE234" s="560">
        <v>6518.9</v>
      </c>
      <c r="GF234" s="695">
        <f t="shared" si="460"/>
        <v>41808</v>
      </c>
      <c r="GG234" s="560">
        <f t="shared" si="479"/>
        <v>3259</v>
      </c>
      <c r="GH234" s="564">
        <f t="shared" si="461"/>
        <v>41934</v>
      </c>
      <c r="GJ234" s="545">
        <f t="shared" si="462"/>
        <v>0</v>
      </c>
      <c r="GK234" s="560" t="str">
        <f t="shared" si="433"/>
        <v/>
      </c>
      <c r="GL234" s="560">
        <f t="shared" si="463"/>
        <v>0</v>
      </c>
      <c r="GM234" s="560" t="str">
        <f t="shared" si="464"/>
        <v/>
      </c>
      <c r="GN234" s="560">
        <f>IF(GK234="P",Lookup!$M$12,IF(GK234="PP",Lookup!$M$13,IF(GK234="PPP",Lookup!$M$14,IF(GK234="T",Lookup!$M$15,IF(GK234="TP",Lookup!$M$16,IF(GK234="TPP",Lookup!$M$17,IF(GK234="TPPP",Lookup!$M$18,0)))))))*GJ234</f>
        <v>0</v>
      </c>
      <c r="GO234" s="560">
        <f t="shared" si="465"/>
        <v>0</v>
      </c>
      <c r="GP234" s="560">
        <f t="shared" si="434"/>
        <v>3737.7372413333337</v>
      </c>
      <c r="GQ234" s="560">
        <f t="shared" si="473"/>
        <v>1218.2976666666668</v>
      </c>
      <c r="GR234" s="560"/>
      <c r="GS234" s="560">
        <f t="shared" si="466"/>
        <v>0</v>
      </c>
      <c r="GT234" s="560" t="str">
        <f t="shared" si="467"/>
        <v/>
      </c>
      <c r="GU234" s="560">
        <f>IF(GK234="P",Lookup!$N$12,IF(GK234="PP",Lookup!$N$13,IF(GK234="PPP",Lookup!$N$14,IF(GK234="T",Lookup!$N$15,IF(GK234="TP",Lookup!$N$16,IF(GK234="TPP",Lookup!$N$17,IF(GK234="TPPP",Lookup!$N$18,0)))))))*GJ234</f>
        <v>0</v>
      </c>
      <c r="GV234" s="560">
        <f t="shared" si="468"/>
        <v>0</v>
      </c>
      <c r="GW234" s="560">
        <f t="shared" si="435"/>
        <v>1646.4073490282569</v>
      </c>
      <c r="GX234" s="560">
        <f t="shared" si="474"/>
        <v>536.63864049160918</v>
      </c>
      <c r="GY234" s="560"/>
      <c r="GZ234" s="560">
        <f t="shared" si="469"/>
        <v>0</v>
      </c>
      <c r="HA234" s="560" t="str">
        <f t="shared" si="470"/>
        <v/>
      </c>
      <c r="HB234" s="560">
        <f>IF(GK234="P",Lookup!$N$12,IF(GK234="PP",Lookup!$N$13,IF(GK234="PPP",Lookup!$N$14,IF(GK234="T",Lookup!$N$15,IF(GK234="TP",Lookup!$N$16,IF(GK234="TPP",Lookup!$N$17,IF(GK234="TPPP",Lookup!$N$18,0)))))))*GJ234</f>
        <v>0</v>
      </c>
      <c r="HC234" s="545">
        <f t="shared" si="436"/>
        <v>0</v>
      </c>
      <c r="HD234" s="560">
        <f t="shared" si="437"/>
        <v>1342.0089517406595</v>
      </c>
      <c r="HE234" s="560">
        <f t="shared" si="475"/>
        <v>437.42143146696856</v>
      </c>
      <c r="HF234" s="560"/>
      <c r="HG234" s="560">
        <f t="shared" si="471"/>
        <v>0</v>
      </c>
      <c r="HH234" s="560" t="str">
        <f t="shared" si="472"/>
        <v/>
      </c>
      <c r="HI234" s="560">
        <f>IF(GK234="P",Lookup!$N$12,IF(GK234="PP",Lookup!$N$13,IF(GK234="PPP",Lookup!$N$14,IF(GK234="T",Lookup!$N$15,IF(GK234="TP",Lookup!$N$16,IF(GK234="TPP",Lookup!$N$17,IF(GK234="TPPP",Lookup!$N$18,0)))))))*GJ234</f>
        <v>0</v>
      </c>
      <c r="HJ234" s="545">
        <f t="shared" si="438"/>
        <v>0</v>
      </c>
      <c r="HK234" s="560">
        <f t="shared" si="439"/>
        <v>740.7530629037808</v>
      </c>
      <c r="HL234" s="560">
        <f t="shared" si="476"/>
        <v>241.4449357574253</v>
      </c>
    </row>
    <row r="235" spans="1:220">
      <c r="A235" s="580" t="s">
        <v>5</v>
      </c>
      <c r="B235" s="556">
        <v>41863</v>
      </c>
      <c r="C235" s="561">
        <v>0</v>
      </c>
      <c r="D235" s="529">
        <f t="shared" si="477"/>
        <v>200</v>
      </c>
      <c r="E235" s="529">
        <f t="shared" si="478"/>
        <v>400</v>
      </c>
      <c r="F235" s="529">
        <v>250</v>
      </c>
      <c r="G235" s="560">
        <f>DR235+Sheet1!CZ237</f>
        <v>227.27382753342954</v>
      </c>
      <c r="H235" s="914">
        <f t="shared" si="480"/>
        <v>0</v>
      </c>
      <c r="I235" s="559">
        <f>MAX(Sheet1!Z237-AT235+(Sheet1!DA237-E235)*CFStoMGD,0)</f>
        <v>56.234400000000001</v>
      </c>
      <c r="J235" s="562">
        <f>IF(AND(B235&gt;=Calculation!GC235,B235&lt;=Calculation!GD235),IF(Sheet1!DB237&gt;=Calculation!D235,64.64,0),MAX(Sheet1!Z237-AT235+(Sheet1!DB237-D235)*CFStoMGD,0))</f>
        <v>65.930400000000006</v>
      </c>
      <c r="K235" s="904">
        <f t="shared" ref="K235:K298" si="481">MAX(MIN(H235:J235,64.64),0)</f>
        <v>0</v>
      </c>
      <c r="L235" s="560">
        <f>Sheet1!AA237+Sheet1!AB237-Sheet1!L237+(Sheet1!DA237-F235)*CFStoMGD</f>
        <v>185.8544</v>
      </c>
      <c r="M235" s="560">
        <f t="shared" ref="M235:M298" si="482">1.02*CFStoMGD*G235</f>
        <v>149.84799815996104</v>
      </c>
      <c r="N235" s="910">
        <f>IF(Sheet1!DA237&gt;=F235,MIN(73,MIN(MAX(L235,0),MAX(M235,0))),0)</f>
        <v>73</v>
      </c>
      <c r="O235" s="563">
        <f>Sheet1!AA237+Sheet1!AB237</f>
        <v>91.48</v>
      </c>
      <c r="P235" s="563">
        <f t="shared" ref="P235:P298" si="483">AE235+AF235</f>
        <v>141.51956000000001</v>
      </c>
      <c r="Q235" s="898">
        <f t="shared" si="444"/>
        <v>72.75</v>
      </c>
      <c r="R235" s="829">
        <f t="shared" ref="R235:R298" si="484">IF(AND(B235&gt;=GF235,B235&lt;=GH235),MAX(EB235,EF235),EB235)</f>
        <v>18.73</v>
      </c>
      <c r="S235" s="898">
        <f t="shared" si="445"/>
        <v>0</v>
      </c>
      <c r="T235" s="898">
        <f t="shared" si="446"/>
        <v>0</v>
      </c>
      <c r="U235" s="898">
        <f t="shared" si="447"/>
        <v>18.73</v>
      </c>
      <c r="V235" s="898"/>
      <c r="W235" s="898">
        <f t="shared" si="448"/>
        <v>0</v>
      </c>
      <c r="X235" s="898">
        <f t="shared" si="449"/>
        <v>0</v>
      </c>
      <c r="Y235" s="898" t="str">
        <f t="shared" si="450"/>
        <v>FALSE</v>
      </c>
      <c r="Z235" s="898">
        <f t="shared" si="451"/>
        <v>91.48</v>
      </c>
      <c r="AA235" s="898">
        <f t="shared" si="452"/>
        <v>91.48</v>
      </c>
      <c r="AB235" s="898" t="str">
        <f t="shared" si="453"/>
        <v/>
      </c>
      <c r="AC235" s="563">
        <f>Sheet1!Y237*MGDtoCFS</f>
        <v>50.865360000000003</v>
      </c>
      <c r="AD235" s="563">
        <f>Sheet1!Z237*MGDtoCFS</f>
        <v>90.994540000000001</v>
      </c>
      <c r="AE235" s="563">
        <f>Sheet1!AA237*MGDtoCFS</f>
        <v>63.086660000000002</v>
      </c>
      <c r="AF235" s="563">
        <f>Sheet1!AB237*MGDtoCFS</f>
        <v>78.432900000000004</v>
      </c>
      <c r="AG235" s="563">
        <f>Sheet1!L237*MGDtoCFS</f>
        <v>0</v>
      </c>
      <c r="AH235" s="545">
        <f t="shared" ref="AH235:AH298" si="485">AU235+BN235+CI235+DB235</f>
        <v>18.73</v>
      </c>
      <c r="AI235" s="560">
        <f t="shared" ref="AI235:AI298" si="486">AH235*MGDtoCFS</f>
        <v>28.97531</v>
      </c>
      <c r="AJ235" s="560">
        <f t="shared" ref="AJ235:AJ298" si="487">IF(B235&gt;=GC235,IF(B235&lt;=GD235,K235-EB235,0),0)</f>
        <v>0</v>
      </c>
      <c r="AK235" s="560">
        <f t="shared" ref="AK235:AK298" si="488">AJ235*MGDtoCFS</f>
        <v>0</v>
      </c>
      <c r="AL235" s="560">
        <f>(VLOOKUP(Sheet1!DC237,hhdcap_wcm,4)-(((VLOOKUP(Sheet1!DC237,hhdcap_wcm,3)-Sheet1!DC237)/(VLOOKUP(Sheet1!DC237,hhdcap_wcm,3)-VLOOKUP(Sheet1!DC237,hhdcap_wcm,1)))*(VLOOKUP(Sheet1!DC237,hhdcap_wcm,4)-VLOOKUP(Sheet1!DC237,hhdcap_wcm,2))))</f>
        <v>40477.600000100232</v>
      </c>
      <c r="AM235" s="560">
        <f t="shared" ref="AM235:AM298" si="489">AL235-AL234</f>
        <v>-239.40000000120926</v>
      </c>
      <c r="AN235" s="560">
        <f t="shared" ref="AN235:AN298" si="490">(IF(AND(B235&gt;=GC235,B235&lt;GF235),MIN(BB235+BU235+CP235+DI235,GE235),IF(B235=GF235,GG235,IF(AND(B235&gt;GF235,B235&lt;GH235),BB235+BU235+CP235+DI235,IF(B235&gt;=GH235,0,0)))))</f>
        <v>2415.0726743826699</v>
      </c>
      <c r="AO235" s="560">
        <f t="shared" ref="AO235:AO298" si="491">AN235*MGtoAF</f>
        <v>7409.442965006031</v>
      </c>
      <c r="AP235" s="560">
        <f>Sheet1!BA237+Sheet1!BB237+Sheet1!BN237+CD235</f>
        <v>33.800000000000004</v>
      </c>
      <c r="AQ235" s="560">
        <f>Sheet1!BN237+(DO235*Sheet1!BN237)</f>
        <v>31.607744433688289</v>
      </c>
      <c r="AR235" s="560">
        <f>Sheet1!BA237+CD235</f>
        <v>0</v>
      </c>
      <c r="AS235" s="560">
        <f>Sheet1!BA237+Sheet1!BB237+CD235</f>
        <v>1.6</v>
      </c>
      <c r="AT235" s="698">
        <f>0</f>
        <v>0</v>
      </c>
      <c r="AU235" s="560">
        <f>IF(EB235&lt;K235,0,MAX(Sheet1!AA237+AQ235-15/36*K235-N235,Sheet1!EH237,0))</f>
        <v>0.73</v>
      </c>
      <c r="AV235" s="560">
        <f>IF(OR(B235&gt;=GD235,B235&lt;GC235),0,15/36*K235-MAX(0,64.6-(137.6-(Sheet1!AA237+Sheet1!AB237))))</f>
        <v>0</v>
      </c>
      <c r="AW235" s="698">
        <f>Sheet1!DB237-110</f>
        <v>101</v>
      </c>
      <c r="AX235" s="698">
        <f>Sheet1!DA237-265</f>
        <v>131</v>
      </c>
      <c r="AY235" s="698">
        <f t="shared" ref="AY235:AY298" si="492">N235-Q235</f>
        <v>0.25</v>
      </c>
      <c r="AZ235" s="1083"/>
      <c r="BA235" s="698">
        <f t="shared" ref="BA235:BA298" si="493">IF(AZ235&lt;=0,0,AZ235/1.547)</f>
        <v>0</v>
      </c>
      <c r="BB235" s="560">
        <f t="shared" ref="BB235:BB298" si="494">GO235+GQ235</f>
        <v>1217.5676666666668</v>
      </c>
      <c r="BC235" s="560"/>
      <c r="BD235" s="560">
        <f ca="1">IF(B235&gt;Summary!$A$1,#N/A,BB235*MGtoAF)</f>
        <v>3735.4976013333339</v>
      </c>
      <c r="BE235" s="560">
        <f>Sheet1!BG237+Sheet1!BH237+Sheet1!BI237-BM235</f>
        <v>2.02</v>
      </c>
      <c r="BF235" s="560">
        <f t="shared" ref="BF235:BF298" si="495">BE235+(DO235*BE235)</f>
        <v>1.9828460793804452</v>
      </c>
      <c r="BG235" s="560">
        <f>IF(Sheet1!EP237="FM",BM235,0)</f>
        <v>0</v>
      </c>
      <c r="BH235" s="560">
        <f t="shared" ref="BH235:BH298" si="496">BG235+(DO235*BG235)</f>
        <v>0</v>
      </c>
      <c r="BI235" s="560">
        <f>IF(Sheet1!EP237="OTHER",BM235,0)</f>
        <v>0</v>
      </c>
      <c r="BJ235" s="560">
        <f t="shared" ref="BJ235:BJ298" si="497">BI235+(DO235*BI235)</f>
        <v>0</v>
      </c>
      <c r="BK235" s="560">
        <f t="shared" ref="BK235:BK298" si="498">MAX(BE235,BG235,BI235)</f>
        <v>2.02</v>
      </c>
      <c r="BL235" s="560">
        <f t="shared" ref="BL235:BL298" si="499">MAX(BF235,BH235,BJ235)</f>
        <v>1.9828460793804452</v>
      </c>
      <c r="BM235" s="560">
        <f>IF(OR(Sheet1!EP237="FM", Sheet1!EP237="OTHER"),SUM(Sheet1!BG237:'Sheet1'!BI237),0)</f>
        <v>0</v>
      </c>
      <c r="BN235" s="545">
        <f>IF(AND($B235&gt;=$FV235,$B235&lt;=$FW235),MAX(BF235,Sheet1!EI237,0),MAX(BF235-(7/36)*$K235,0))</f>
        <v>2</v>
      </c>
      <c r="BO235" s="560">
        <f t="shared" ref="BO235:BO298" si="500">IF(B235&gt;=GC235,IF(B235&lt;=GD235,(7/36)*K235-BF235,0),0)</f>
        <v>0</v>
      </c>
      <c r="BP235" s="545">
        <f t="shared" ref="BP235:BP298" si="501">MAX(BL235-BN235,0)</f>
        <v>0</v>
      </c>
      <c r="BQ235" s="545">
        <f>IF(AND($O235&gt;0,Sheet1!EM237=1),(1-($O235-Sheet1!$L237)/$O235)*BL235,0)</f>
        <v>0</v>
      </c>
      <c r="BR235" s="545">
        <f>IF(AND(Sheet1!$L237=0,Sheet1!$L236=0, Calculation!BK235&lt;Sheet1!$EI237-0.1,Sheet1!$EI237=Sheet1!$EI236,Sheet1!$EI237=Sheet1!$EI238),Sheet1!$EI237,BL235-BQ235)</f>
        <v>1.9828460793804452</v>
      </c>
      <c r="BS235" s="560"/>
      <c r="BT235" s="560"/>
      <c r="BU235" s="560">
        <f t="shared" ref="BU235:BU298" si="502">GV235+GX235</f>
        <v>534.63864049160918</v>
      </c>
      <c r="BV235" s="560"/>
      <c r="BW235" s="560">
        <f ca="1">IF(B235&gt;Summary!$A$1,#N/A,BU235*MGtoAF)</f>
        <v>1640.271349028257</v>
      </c>
      <c r="BX235" s="560">
        <f>Sheet1!BC237+Sheet1!BD237+Sheet1!BE237+Sheet1!BF237-CG235-CH235</f>
        <v>5.01</v>
      </c>
      <c r="BY235" s="560">
        <f t="shared" ref="BY235:BY298" si="503">BX235+(DO235*BX235)</f>
        <v>4.9178509196515003</v>
      </c>
      <c r="BZ235" s="560">
        <f>IF(Sheet1!EQ237="FM",CH235,0)</f>
        <v>0</v>
      </c>
      <c r="CA235" s="560">
        <f t="shared" ref="CA235:CA298" si="504">BZ235+(DO235*BZ235)</f>
        <v>0</v>
      </c>
      <c r="CB235" s="560">
        <f>IF(Sheet1!EQ237="OTHER",CH235,0)</f>
        <v>0</v>
      </c>
      <c r="CC235" s="560">
        <f t="shared" ref="CC235:CC298" si="505">CB235+(DO235*CB235)</f>
        <v>0</v>
      </c>
      <c r="CD235" s="560">
        <f t="shared" ref="CD235:CD298" si="506">CG235</f>
        <v>0</v>
      </c>
      <c r="CE235" s="560">
        <f t="shared" ref="CE235:CE298" si="507">MAX(BX235,BZ235,CB235)</f>
        <v>5.01</v>
      </c>
      <c r="CF235" s="560">
        <f t="shared" ref="CF235:CF298" si="508">MAX(BY235,CA235, CC235)</f>
        <v>4.9178509196515003</v>
      </c>
      <c r="CG235" s="560">
        <f>IF(Sheet1!EQ237="CWA",SUM(Sheet1!BC237:'Sheet1'!BF237),0)</f>
        <v>0</v>
      </c>
      <c r="CH235" s="560">
        <f>IF(OR(Sheet1!EQ237="FM", Sheet1!EQ237="OTHER"),SUM(Sheet1!BC237:'Sheet1'!BF237),0)</f>
        <v>0</v>
      </c>
      <c r="CI235" s="545">
        <f>IF(AND($B235&gt;=$FV235,$B235&lt;=$FW235),MAX(CF235,Sheet1!EJ237,0),MAX(CF235-(7/36)*$K235,0))</f>
        <v>5</v>
      </c>
      <c r="CJ235" s="560">
        <f t="shared" ref="CJ235:CJ298" si="509">IF(B235&gt;=GC235,IF(B235&lt;=GD235,(7/36)*K235-BY235,0),0)</f>
        <v>0</v>
      </c>
      <c r="CK235" s="545">
        <f t="shared" ref="CK235:CK298" si="510">MAX(CF235-CI235,0)</f>
        <v>0</v>
      </c>
      <c r="CL235" s="545">
        <f>IF(AND($O235&gt;0,Sheet1!EN237=1),(1-($O235-Sheet1!$L237)/$O235)*CF235,0)</f>
        <v>0</v>
      </c>
      <c r="CM235" s="545">
        <f>IF(AND(Sheet1!$L237=0,Sheet1!$L236=0, Calculation!CE235&lt;Sheet1!EJ237-0.1,Sheet1!EJ237=Sheet1!EJ236,Sheet1!EJ237=Sheet1!EJ238),Sheet1!EJ237,CF235-CL235)</f>
        <v>4.9178509196515003</v>
      </c>
      <c r="CN235" s="545"/>
      <c r="CO235" s="560"/>
      <c r="CP235" s="560">
        <f t="shared" ref="CP235:CP298" si="511">HC235+HE235</f>
        <v>432.42143146696856</v>
      </c>
      <c r="CQ235" s="560"/>
      <c r="CR235" s="560">
        <f ca="1">IF(B235&gt;Summary!$A$1,#N/A,CP235*MGtoAF)</f>
        <v>1326.6689517406596</v>
      </c>
      <c r="CS235" s="560">
        <f>Sheet1!BK237+Sheet1!BL237+Sheet1!BM237-Sheet1!ER237-DA235</f>
        <v>10.82</v>
      </c>
      <c r="CT235" s="560">
        <f t="shared" ref="CT235:CT298" si="512">CS235+(DO235*CS235)</f>
        <v>10.620987415295255</v>
      </c>
      <c r="CU235" s="560">
        <f>IF(Sheet1!ER237="FM",DA235,0)</f>
        <v>0</v>
      </c>
      <c r="CV235" s="560">
        <f t="shared" ref="CV235:CV298" si="513">CU235+(DO235*CU235)</f>
        <v>0</v>
      </c>
      <c r="CW235" s="560">
        <f>IF(Sheet1!ER237="OTHER",DA235,0)</f>
        <v>0</v>
      </c>
      <c r="CX235" s="560">
        <f t="shared" ref="CX235:CX298" si="514">CW235+(DO235*CW235)</f>
        <v>0</v>
      </c>
      <c r="CY235" s="560">
        <f t="shared" ref="CY235:CY298" si="515">MAX(CS235,CU235)</f>
        <v>10.82</v>
      </c>
      <c r="CZ235" s="560">
        <f t="shared" ref="CZ235:CZ298" si="516">MAX(CT235,CV235)</f>
        <v>10.620987415295255</v>
      </c>
      <c r="DA235" s="560">
        <f>IF(OR(Sheet1!ER237="FM", Sheet1!ER237="OTHER"),SUM(Sheet1!BK237:'Sheet1'!BM237),0)</f>
        <v>0</v>
      </c>
      <c r="DB235" s="545">
        <f>IF(AND($B235&gt;=$FV235,$B235&lt;=$FW235),MAX($CT235,Sheet1!EK237,0),MAX($CT235-(7/36)*$K235,0))</f>
        <v>11</v>
      </c>
      <c r="DC235" s="560">
        <f t="shared" ref="DC235:DC298" si="517">IF(B235&gt;=GC235,IF(B235&lt;=GD235,(7/36)*K235-CT235,0),0)</f>
        <v>0</v>
      </c>
      <c r="DD235" s="545">
        <f t="shared" ref="DD235:DD298" si="518">MAX(CZ235-DB235,0)</f>
        <v>0</v>
      </c>
      <c r="DE235" s="545">
        <f>IF(AND($O235&gt;0,Sheet1!EO237=1),(1-($O235-Sheet1!$L237)/$O235)*CZ235,0)</f>
        <v>0</v>
      </c>
      <c r="DF235" s="545">
        <f>IF(AND(Sheet1!$L237=0,Sheet1!$L236=0, Calculation!CY235&lt;Sheet1!$EK237-0.1,Sheet1!$EK237=Sheet1!$EK236,Sheet1!$EK237=Sheet1!$EK238),Sheet1!$EK237,CZ235-DE235)</f>
        <v>11</v>
      </c>
      <c r="DG235" s="545"/>
      <c r="DH235" s="560">
        <f t="shared" ref="DH235:DH298" si="519">BK235+CE235+CY235</f>
        <v>17.850000000000001</v>
      </c>
      <c r="DI235" s="560">
        <f t="shared" ref="DI235:DI298" si="520">HJ235+HL235</f>
        <v>230.4449357574253</v>
      </c>
      <c r="DJ235" s="698">
        <f t="shared" ref="DJ235:DJ298" si="521">BL235+CF235+CZ235</f>
        <v>17.521684414327201</v>
      </c>
      <c r="DK235" s="560">
        <f ca="1">IF(B235&gt;Summary!$A$1,#N/A,DI235*MGtoAF)</f>
        <v>707.00506290378087</v>
      </c>
      <c r="DL235" s="698">
        <f t="shared" ref="DL235:DL298" si="522">CY235+CE235+BK235</f>
        <v>17.850000000000001</v>
      </c>
      <c r="DM235" s="560">
        <f t="shared" ref="DM235:DM298" si="523">DL235+AP235</f>
        <v>51.650000000000006</v>
      </c>
      <c r="DN235" s="560">
        <f>Sheet1!AB237-DM235</f>
        <v>-0.95000000000000284</v>
      </c>
      <c r="DO235" s="823">
        <f t="shared" ref="DO235:DO298" si="524">IF(DM235=0,0,DN235/DM235)</f>
        <v>-1.8393030009680594E-2</v>
      </c>
      <c r="DP235" s="560">
        <f>(VLOOKUP(Sheet1!DC237,hhdcap_wcm,4)-(((VLOOKUP(Sheet1!DC237,hhdcap_wcm,3)-Sheet1!DC237)/(VLOOKUP(Sheet1!DC237,hhdcap_wcm,3)-VLOOKUP(Sheet1!DC237,hhdcap_wcm,1)))*(VLOOKUP(Sheet1!DC237,hhdcap_wcm,4)-VLOOKUP(Sheet1!DC237,hhdcap_wcm,2))))</f>
        <v>40477.600000100232</v>
      </c>
      <c r="DQ235" s="560">
        <f t="shared" ref="DQ235:DQ298" si="525">DP235-DP234</f>
        <v>-239.40000000120926</v>
      </c>
      <c r="DR235" s="560">
        <f t="shared" ref="DR235:DR298" si="526">DQ235*AFtoCFS</f>
        <v>-120.72617246657046</v>
      </c>
      <c r="DS235" s="560">
        <f>Sheet1!EA237*AFtoMG</f>
        <v>0</v>
      </c>
      <c r="DT235" s="560">
        <f>Sheet1!EB237*AFtoMG</f>
        <v>0</v>
      </c>
      <c r="DU235" s="560">
        <f>Sheet1!EC237*AFtoMG</f>
        <v>0</v>
      </c>
      <c r="DV235" s="560">
        <f>Sheet1!ED237*AFtoMG</f>
        <v>0</v>
      </c>
      <c r="DW235" s="560">
        <f t="shared" ref="DW235:DW298" si="527">SUM(DS235:DV235)</f>
        <v>0</v>
      </c>
      <c r="DX235" s="560">
        <f t="shared" ref="DX235:DX298" si="528">DW235*MGtoAF</f>
        <v>0</v>
      </c>
      <c r="DY235" s="560">
        <f t="shared" ref="DY235:DY298" si="529">AN235</f>
        <v>2415.0726743826699</v>
      </c>
      <c r="DZ235" s="560">
        <f t="shared" ref="DZ235:DZ298" si="530">DY235*MGtoAF</f>
        <v>7409.442965006031</v>
      </c>
      <c r="EA235" s="560"/>
      <c r="EB235" s="545">
        <f>IF(OR(B235&lt;FV235,B235&gt;FW235),(MIN(BF235+BY235+CT235+MAX(Sheet1!AA237+AQ235-73,0),K235)),0)</f>
        <v>0</v>
      </c>
      <c r="EC235" s="560"/>
      <c r="ED235" s="560">
        <f t="shared" ref="ED235:ED298" si="531">CT235+BF235+BY235</f>
        <v>17.521684414327201</v>
      </c>
      <c r="EE235" s="560"/>
      <c r="EF235" s="560">
        <f>Sheet1!EH237+Sheet1!EI237+Sheet1!EJ237+Sheet1!EK237</f>
        <v>18.73</v>
      </c>
      <c r="EG235" s="560"/>
      <c r="EH235" s="545">
        <f t="shared" ref="EH235:EH298" si="532">EB235-BP235-CK235-DD235</f>
        <v>0</v>
      </c>
      <c r="EI235" s="560">
        <f>IF(Sheet1!ET237=1,SUM('Calculations II'!AT235:BA235)+'Calculations II'!BC235+Sheet1!BV237+'Calculations II'!BE235+AP235,SUM('Calculations II'!AT235:BA235)+'Calculations II'!BC235+Sheet1!BV237+'Calculations II'!BE235+AP235)</f>
        <v>79.828655999999995</v>
      </c>
      <c r="EJ235" s="560">
        <f>Sheet1!AA237+Sheet1!AB237+'Calculations II'!BC235</f>
        <v>91.600239999999999</v>
      </c>
      <c r="EK235" s="560"/>
      <c r="EL235" s="560"/>
      <c r="EM235" s="560">
        <f t="shared" ref="EM235:EM298" si="533">B235</f>
        <v>41863</v>
      </c>
      <c r="EN235" s="560">
        <f t="shared" ref="EN235:EN298" si="534">AJ235-AH235</f>
        <v>-18.73</v>
      </c>
      <c r="EO235" s="560">
        <f t="shared" ref="EO235:EO298" si="535">AK235-AI235</f>
        <v>-28.97531</v>
      </c>
      <c r="EP235" s="560">
        <v>0</v>
      </c>
      <c r="EQ235" s="560">
        <v>0</v>
      </c>
      <c r="ER235" s="560">
        <v>0</v>
      </c>
      <c r="ES235" s="545">
        <f t="shared" si="454"/>
        <v>-3.1859252870896198</v>
      </c>
      <c r="ET235" s="560">
        <f>-(VLOOKUP(Sheet1!BQ237,Lookup!$O$4:$Q$262,2)-VLOOKUP(Sheet1!BQ236,Lookup!$O$4:$Q$262,2))/1000000</f>
        <v>-1.662240280886311</v>
      </c>
      <c r="EU235" s="560">
        <f>-(VLOOKUP(Sheet1!BR237,Lookup!$O$4:$Q$262,3)-VLOOKUP(Sheet1!BR236,Lookup!$O$4:$Q$262,3))/1000000</f>
        <v>-1.5236850062033087</v>
      </c>
      <c r="EV235" s="560"/>
      <c r="EW235" s="560"/>
      <c r="EX235" s="560"/>
      <c r="EY235" s="560"/>
      <c r="EZ235" s="560"/>
      <c r="FA235" s="560"/>
      <c r="FB235" s="560"/>
      <c r="FC235" s="560"/>
      <c r="FD235" s="594">
        <f t="shared" ref="FD235:FD298" si="536">VLOOKUP(FJ232,hhdelev_wcm,4) -(((VLOOKUP(FJ232,hhdelev_wcm,3)-FJ232)/(VLOOKUP(FJ232,hhdelev_wcm,3)-VLOOKUP(FJ232,hhdelev_wcm,1)))*(VLOOKUP(FJ232,hhdelev_wcm,4)-VLOOKUP(FJ232,hhdelev_wcm,2)))</f>
        <v>1134.2030769230021</v>
      </c>
      <c r="FE235" s="594" t="e">
        <f t="shared" ref="FE235:FE298" si="537">MAX((FE234-FI235*1.983),0)</f>
        <v>#N/A</v>
      </c>
      <c r="FF235" s="595" t="e">
        <f t="shared" ref="FF235:FF298" si="538">IF(DP235-AO235-FE235-1220&lt;0,0,DP235-AO235-FE235-1220)</f>
        <v>#N/A</v>
      </c>
      <c r="FG235" s="596" t="s">
        <v>692</v>
      </c>
      <c r="FH235" s="596" t="s">
        <v>692</v>
      </c>
      <c r="FI235" s="594" t="e">
        <v>#N/A</v>
      </c>
      <c r="FJ235" s="778">
        <v>18887</v>
      </c>
      <c r="FK235" s="560"/>
      <c r="FL235" s="560"/>
      <c r="FM235" s="560"/>
      <c r="FN235" s="560"/>
      <c r="FO235" s="560">
        <f>O235+((Sheet1!CS237)*GPMtoMGD)</f>
        <v>91.600239999999999</v>
      </c>
      <c r="FP235" s="560">
        <f>IF(Sheet1!AA237+AQ235&lt;=Calculation!N235,AQ235,Calculation!N235-Sheet1!AA237)</f>
        <v>31.607744433688289</v>
      </c>
      <c r="FQ235" s="560">
        <f>(Sheet1!BP237+Sheet1!BO237)/694.4</f>
        <v>3.1853398617511521</v>
      </c>
      <c r="FR235" s="560"/>
      <c r="FS235" s="560"/>
      <c r="FT235" s="560"/>
      <c r="FU235" s="560"/>
      <c r="FV235" s="695">
        <f t="shared" si="455"/>
        <v>41827</v>
      </c>
      <c r="FW235" s="695">
        <f t="shared" si="456"/>
        <v>41934</v>
      </c>
      <c r="FX235" s="560"/>
      <c r="FY235" s="560"/>
      <c r="FZ235" s="560"/>
      <c r="GA235" s="560"/>
      <c r="GB235" s="560" t="str">
        <f t="shared" si="457"/>
        <v>n</v>
      </c>
      <c r="GC235" s="564">
        <f t="shared" si="458"/>
        <v>41691</v>
      </c>
      <c r="GD235" s="695">
        <f t="shared" si="459"/>
        <v>41807</v>
      </c>
      <c r="GE235" s="560">
        <v>6518.9</v>
      </c>
      <c r="GF235" s="695">
        <f t="shared" si="460"/>
        <v>41808</v>
      </c>
      <c r="GG235" s="560">
        <f t="shared" si="479"/>
        <v>3259</v>
      </c>
      <c r="GH235" s="564">
        <f t="shared" si="461"/>
        <v>41934</v>
      </c>
      <c r="GJ235" s="545">
        <f t="shared" si="462"/>
        <v>0</v>
      </c>
      <c r="GK235" s="560" t="str">
        <f t="shared" ref="GK235:GK298" si="539">CONCATENATE(GM235,HA235,GT235,HH235)</f>
        <v/>
      </c>
      <c r="GL235" s="560">
        <f t="shared" si="463"/>
        <v>0</v>
      </c>
      <c r="GM235" s="560" t="str">
        <f t="shared" si="464"/>
        <v/>
      </c>
      <c r="GN235" s="560">
        <f>IF(GK235="P",Lookup!$M$12,IF(GK235="PP",Lookup!$M$13,IF(GK235="PPP",Lookup!$M$14,IF(GK235="T",Lookup!$M$15,IF(GK235="TP",Lookup!$M$16,IF(GK235="TPP",Lookup!$M$17,IF(GK235="TPPP",Lookup!$M$18,0)))))))*GJ235</f>
        <v>0</v>
      </c>
      <c r="GO235" s="560">
        <f t="shared" si="465"/>
        <v>0</v>
      </c>
      <c r="GP235" s="560">
        <f t="shared" ref="GP235:GP298" si="540">GQ235*MGtoAF</f>
        <v>3735.4976013333339</v>
      </c>
      <c r="GQ235" s="560">
        <f t="shared" si="473"/>
        <v>1217.5676666666668</v>
      </c>
      <c r="GR235" s="560"/>
      <c r="GS235" s="560">
        <f t="shared" si="466"/>
        <v>0</v>
      </c>
      <c r="GT235" s="560" t="str">
        <f t="shared" si="467"/>
        <v/>
      </c>
      <c r="GU235" s="560">
        <f>IF(GK235="P",Lookup!$N$12,IF(GK235="PP",Lookup!$N$13,IF(GK235="PPP",Lookup!$N$14,IF(GK235="T",Lookup!$N$15,IF(GK235="TP",Lookup!$N$16,IF(GK235="TPP",Lookup!$N$17,IF(GK235="TPPP",Lookup!$N$18,0)))))))*GJ235</f>
        <v>0</v>
      </c>
      <c r="GV235" s="560">
        <f t="shared" si="468"/>
        <v>0</v>
      </c>
      <c r="GW235" s="560">
        <f t="shared" ref="GW235:GW298" si="541">GX235*MGtoAF</f>
        <v>1640.271349028257</v>
      </c>
      <c r="GX235" s="560">
        <f t="shared" si="474"/>
        <v>534.63864049160918</v>
      </c>
      <c r="GY235" s="560"/>
      <c r="GZ235" s="560">
        <f t="shared" si="469"/>
        <v>0</v>
      </c>
      <c r="HA235" s="560" t="str">
        <f t="shared" si="470"/>
        <v/>
      </c>
      <c r="HB235" s="560">
        <f>IF(GK235="P",Lookup!$N$12,IF(GK235="PP",Lookup!$N$13,IF(GK235="PPP",Lookup!$N$14,IF(GK235="T",Lookup!$N$15,IF(GK235="TP",Lookup!$N$16,IF(GK235="TPP",Lookup!$N$17,IF(GK235="TPPP",Lookup!$N$18,0)))))))*GJ235</f>
        <v>0</v>
      </c>
      <c r="HC235" s="545">
        <f t="shared" ref="HC235:HC298" si="542">IF(HA235="P",MIN(HB235,7/36*GE235-HE235),0)</f>
        <v>0</v>
      </c>
      <c r="HD235" s="560">
        <f t="shared" ref="HD235:HD298" si="543">HE235*MGtoAF</f>
        <v>1326.6689517406596</v>
      </c>
      <c r="HE235" s="560">
        <f t="shared" si="475"/>
        <v>432.42143146696856</v>
      </c>
      <c r="HF235" s="560"/>
      <c r="HG235" s="560">
        <f>IF(HK235&gt;=3888.8,DC235,0)</f>
        <v>0</v>
      </c>
      <c r="HH235" s="560" t="str">
        <f t="shared" si="472"/>
        <v/>
      </c>
      <c r="HI235" s="560">
        <f>IF(GK235="P",Lookup!$N$12,IF(GK235="PP",Lookup!$N$13,IF(GK235="PPP",Lookup!$N$14,IF(GK235="T",Lookup!$N$15,IF(GK235="TP",Lookup!$N$16,IF(GK235="TPP",Lookup!$N$17,IF(GK235="TPPP",Lookup!$N$18,0)))))))*GJ235</f>
        <v>0</v>
      </c>
      <c r="HJ235" s="545">
        <f t="shared" ref="HJ235:HJ298" si="544">IF(HH235="P",MIN(HI235,7/36*GE235-HL235),0)</f>
        <v>0</v>
      </c>
      <c r="HK235" s="560">
        <f t="shared" ref="HK235:HK298" si="545">HL235*MGtoAF</f>
        <v>707.00506290378087</v>
      </c>
      <c r="HL235" s="560">
        <f t="shared" si="476"/>
        <v>230.4449357574253</v>
      </c>
    </row>
    <row r="236" spans="1:220">
      <c r="A236" s="580" t="s">
        <v>6</v>
      </c>
      <c r="B236" s="556">
        <v>41864</v>
      </c>
      <c r="C236" s="561">
        <v>0</v>
      </c>
      <c r="D236" s="529">
        <f t="shared" si="477"/>
        <v>200</v>
      </c>
      <c r="E236" s="529">
        <f t="shared" si="478"/>
        <v>400</v>
      </c>
      <c r="F236" s="529">
        <v>250</v>
      </c>
      <c r="G236" s="560">
        <f>DR236+Sheet1!CZ238</f>
        <v>358.388300554718</v>
      </c>
      <c r="H236" s="914">
        <f t="shared" si="480"/>
        <v>29.338997478569713</v>
      </c>
      <c r="I236" s="559">
        <f>MAX(Sheet1!Z238-AT236+(Sheet1!DA238-E236)*CFStoMGD,0)</f>
        <v>79.141599999999997</v>
      </c>
      <c r="J236" s="562">
        <f>IF(AND(B236&gt;=Calculation!GC236,B236&lt;=Calculation!GD236),IF(Sheet1!DB238&gt;=Calculation!D236,64.64,0),MAX(Sheet1!Z238-AT236+(Sheet1!DB238-D236)*CFStoMGD,0))</f>
        <v>50.7</v>
      </c>
      <c r="K236" s="904">
        <f t="shared" si="481"/>
        <v>29.338997478569713</v>
      </c>
      <c r="L236" s="560">
        <f>Sheet1!AA238+Sheet1!AB238-Sheet1!L238+(Sheet1!DA238-F236)*CFStoMGD</f>
        <v>216.64160000000001</v>
      </c>
      <c r="M236" s="560">
        <f t="shared" si="482"/>
        <v>236.29544142814112</v>
      </c>
      <c r="N236" s="910">
        <f>IF(Sheet1!DA238&gt;=F236,MIN(73,MIN(MAX(L236,0),MAX(M236,0))),0)</f>
        <v>73</v>
      </c>
      <c r="O236" s="563">
        <f>Sheet1!AA238+Sheet1!AB238</f>
        <v>91.240000000000009</v>
      </c>
      <c r="P236" s="563">
        <f t="shared" si="483"/>
        <v>141.14828</v>
      </c>
      <c r="Q236" s="898">
        <f t="shared" si="444"/>
        <v>72.510000000000005</v>
      </c>
      <c r="R236" s="829">
        <f t="shared" si="484"/>
        <v>18.73</v>
      </c>
      <c r="S236" s="898">
        <f t="shared" si="445"/>
        <v>0</v>
      </c>
      <c r="T236" s="898">
        <f t="shared" si="446"/>
        <v>0</v>
      </c>
      <c r="U236" s="898">
        <f t="shared" si="447"/>
        <v>18.73</v>
      </c>
      <c r="V236" s="898"/>
      <c r="W236" s="898">
        <f t="shared" si="448"/>
        <v>13.12434452227151</v>
      </c>
      <c r="X236" s="898">
        <f t="shared" si="449"/>
        <v>0</v>
      </c>
      <c r="Y236" s="898" t="str">
        <f t="shared" si="450"/>
        <v>FALSE</v>
      </c>
      <c r="Z236" s="898">
        <f t="shared" si="451"/>
        <v>91.240000000000009</v>
      </c>
      <c r="AA236" s="898">
        <f t="shared" si="452"/>
        <v>91.240000000000009</v>
      </c>
      <c r="AB236" s="898" t="str">
        <f t="shared" si="453"/>
        <v/>
      </c>
      <c r="AC236" s="563">
        <f>Sheet1!Y238*MGDtoCFS</f>
        <v>63.086660000000002</v>
      </c>
      <c r="AD236" s="563">
        <f>Sheet1!Z238*MGDtoCFS</f>
        <v>78.432900000000004</v>
      </c>
      <c r="AE236" s="563">
        <f>Sheet1!AA238*MGDtoCFS</f>
        <v>94.738280000000003</v>
      </c>
      <c r="AF236" s="563">
        <f>Sheet1!AB238*MGDtoCFS</f>
        <v>46.41</v>
      </c>
      <c r="AG236" s="563">
        <f>Sheet1!L238*MGDtoCFS</f>
        <v>0</v>
      </c>
      <c r="AH236" s="545">
        <f t="shared" si="485"/>
        <v>18</v>
      </c>
      <c r="AI236" s="560">
        <f t="shared" si="486"/>
        <v>27.846</v>
      </c>
      <c r="AJ236" s="560">
        <f t="shared" si="487"/>
        <v>0</v>
      </c>
      <c r="AK236" s="560">
        <f t="shared" si="488"/>
        <v>0</v>
      </c>
      <c r="AL236" s="560">
        <f>(VLOOKUP(Sheet1!DC238,hhdcap_wcm,4)-(((VLOOKUP(Sheet1!DC238,hhdcap_wcm,3)-Sheet1!DC238)/(VLOOKUP(Sheet1!DC238,hhdcap_wcm,3)-VLOOKUP(Sheet1!DC238,hhdcap_wcm,1)))*(VLOOKUP(Sheet1!DC238,hhdcap_wcm,4)-VLOOKUP(Sheet1!DC238,hhdcap_wcm,2))))</f>
        <v>40498.200000100238</v>
      </c>
      <c r="AM236" s="560">
        <f t="shared" si="489"/>
        <v>20.600000000005821</v>
      </c>
      <c r="AN236" s="560">
        <f t="shared" si="490"/>
        <v>2397.0726743826699</v>
      </c>
      <c r="AO236" s="560">
        <f t="shared" si="491"/>
        <v>7354.2189650060318</v>
      </c>
      <c r="AP236" s="560">
        <f>Sheet1!BA238+Sheet1!BB238+Sheet1!BN238+CD236</f>
        <v>14.299999999999999</v>
      </c>
      <c r="AQ236" s="560">
        <f>Sheet1!BN238+(DO236*Sheet1!BN238)</f>
        <v>12.24293059125964</v>
      </c>
      <c r="AR236" s="560">
        <f>Sheet1!BA238+CD236</f>
        <v>0</v>
      </c>
      <c r="AS236" s="560">
        <f>Sheet1!BA238+Sheet1!BB238+CD236</f>
        <v>1.6</v>
      </c>
      <c r="AT236" s="698">
        <f>0</f>
        <v>0</v>
      </c>
      <c r="AU236" s="560">
        <f>IF(EB236&lt;K236,0,MAX(Sheet1!AA238+AQ236-15/36*K236-N236,Sheet1!EH238,0))</f>
        <v>0</v>
      </c>
      <c r="AV236" s="560">
        <f>IF(OR(B236&gt;=GD236,B236&lt;GC236),0,15/36*K236-MAX(0,64.6-(137.6-(Sheet1!AA238+Sheet1!AB238))))</f>
        <v>0</v>
      </c>
      <c r="AW236" s="698">
        <f>Sheet1!DB238-110</f>
        <v>90</v>
      </c>
      <c r="AX236" s="698">
        <f>Sheet1!DA238-265</f>
        <v>179</v>
      </c>
      <c r="AY236" s="698">
        <f t="shared" si="492"/>
        <v>0.48999999999999488</v>
      </c>
      <c r="AZ236" s="1083"/>
      <c r="BA236" s="698">
        <f t="shared" si="493"/>
        <v>0</v>
      </c>
      <c r="BB236" s="560">
        <f t="shared" si="494"/>
        <v>1217.5676666666668</v>
      </c>
      <c r="BC236" s="560"/>
      <c r="BD236" s="560">
        <f ca="1">IF(B236&gt;Summary!$A$1,#N/A,BB236*MGtoAF)</f>
        <v>3735.4976013333339</v>
      </c>
      <c r="BE236" s="560">
        <f>Sheet1!BG238+Sheet1!BH238+Sheet1!BI238-BM236</f>
        <v>2.02</v>
      </c>
      <c r="BF236" s="560">
        <f t="shared" si="495"/>
        <v>1.9473007712082264</v>
      </c>
      <c r="BG236" s="560">
        <f>IF(Sheet1!EP238="FM",BM236,0)</f>
        <v>0</v>
      </c>
      <c r="BH236" s="560">
        <f t="shared" si="496"/>
        <v>0</v>
      </c>
      <c r="BI236" s="560">
        <f>IF(Sheet1!EP238="OTHER",BM236,0)</f>
        <v>0</v>
      </c>
      <c r="BJ236" s="560">
        <f t="shared" si="497"/>
        <v>0</v>
      </c>
      <c r="BK236" s="560">
        <f t="shared" si="498"/>
        <v>2.02</v>
      </c>
      <c r="BL236" s="560">
        <f t="shared" si="499"/>
        <v>1.9473007712082264</v>
      </c>
      <c r="BM236" s="560">
        <f>IF(OR(Sheet1!EP238="FM", Sheet1!EP238="OTHER"),SUM(Sheet1!BG238:'Sheet1'!BI238),0)</f>
        <v>0</v>
      </c>
      <c r="BN236" s="545">
        <f>IF(AND($B236&gt;=$FV236,$B236&lt;=$FW236),MAX(BF236,Sheet1!EI238,0),MAX(BF236-(7/36)*$K236,0))</f>
        <v>2</v>
      </c>
      <c r="BO236" s="560">
        <f t="shared" si="500"/>
        <v>0</v>
      </c>
      <c r="BP236" s="545">
        <f t="shared" si="501"/>
        <v>0</v>
      </c>
      <c r="BQ236" s="545">
        <f>IF(AND($O236&gt;0,Sheet1!EM238=1),(1-($O236-Sheet1!$L238)/$O236)*BL236,0)</f>
        <v>0</v>
      </c>
      <c r="BR236" s="545">
        <f>IF(AND(Sheet1!$L238=0,Sheet1!$L237=0, Calculation!BK236&lt;Sheet1!$EI238-0.1,Sheet1!$EI238=Sheet1!$EI237,Sheet1!$EI238=Sheet1!$EI239),Sheet1!$EI238,BL236-BQ236)</f>
        <v>1.9473007712082264</v>
      </c>
      <c r="BS236" s="560"/>
      <c r="BT236" s="560"/>
      <c r="BU236" s="560">
        <f t="shared" si="502"/>
        <v>532.63864049160918</v>
      </c>
      <c r="BV236" s="560"/>
      <c r="BW236" s="560">
        <f ca="1">IF(B236&gt;Summary!$A$1,#N/A,BU236*MGtoAF)</f>
        <v>1634.135349028257</v>
      </c>
      <c r="BX236" s="560">
        <f>Sheet1!BC238+Sheet1!BD238+Sheet1!BE238+Sheet1!BF238-CG236-CH236</f>
        <v>4.07</v>
      </c>
      <c r="BY236" s="560">
        <f t="shared" si="503"/>
        <v>3.9235218508997436</v>
      </c>
      <c r="BZ236" s="560">
        <f>IF(Sheet1!EQ238="FM",CH236,0)</f>
        <v>0</v>
      </c>
      <c r="CA236" s="560">
        <f t="shared" si="504"/>
        <v>0</v>
      </c>
      <c r="CB236" s="560">
        <f>IF(Sheet1!EQ238="OTHER",CH236,0)</f>
        <v>0</v>
      </c>
      <c r="CC236" s="560">
        <f t="shared" si="505"/>
        <v>0</v>
      </c>
      <c r="CD236" s="560">
        <f t="shared" si="506"/>
        <v>0</v>
      </c>
      <c r="CE236" s="560">
        <f t="shared" si="507"/>
        <v>4.07</v>
      </c>
      <c r="CF236" s="560">
        <f t="shared" si="508"/>
        <v>3.9235218508997436</v>
      </c>
      <c r="CG236" s="560">
        <f>IF(Sheet1!EQ238="CWA",SUM(Sheet1!BC238:'Sheet1'!BF238),0)</f>
        <v>0</v>
      </c>
      <c r="CH236" s="560">
        <f>IF(OR(Sheet1!EQ238="FM", Sheet1!EQ238="OTHER"),SUM(Sheet1!BC238:'Sheet1'!BF238),0)</f>
        <v>0</v>
      </c>
      <c r="CI236" s="545">
        <f>IF(AND($B236&gt;=$FV236,$B236&lt;=$FW236),MAX(CF236,Sheet1!EJ238,0),MAX(CF236-(7/36)*$K236,0))</f>
        <v>5</v>
      </c>
      <c r="CJ236" s="560">
        <f t="shared" si="509"/>
        <v>0</v>
      </c>
      <c r="CK236" s="545">
        <f t="shared" si="510"/>
        <v>0</v>
      </c>
      <c r="CL236" s="545">
        <f>IF(AND($O236&gt;0,Sheet1!EN238=1),(1-($O236-Sheet1!$L238)/$O236)*CF236,0)</f>
        <v>0</v>
      </c>
      <c r="CM236" s="545">
        <f>IF(AND(Sheet1!$L238=0,Sheet1!$L237=0, Calculation!CE236&lt;Sheet1!EJ238-0.1,Sheet1!EJ238=Sheet1!EJ237,Sheet1!EJ238=Sheet1!EJ239),Sheet1!EJ238,CF236-CL236)</f>
        <v>5</v>
      </c>
      <c r="CN236" s="545"/>
      <c r="CO236" s="560"/>
      <c r="CP236" s="560">
        <f t="shared" si="511"/>
        <v>427.42143146696856</v>
      </c>
      <c r="CQ236" s="560"/>
      <c r="CR236" s="560">
        <f ca="1">IF(B236&gt;Summary!$A$1,#N/A,CP236*MGtoAF)</f>
        <v>1311.3289517406595</v>
      </c>
      <c r="CS236" s="560">
        <f>Sheet1!BK238+Sheet1!BL238+Sheet1!BM238-Sheet1!ER238-DA236</f>
        <v>10.73</v>
      </c>
      <c r="CT236" s="560">
        <f t="shared" si="512"/>
        <v>10.343830334190233</v>
      </c>
      <c r="CU236" s="560">
        <f>IF(Sheet1!ER238="FM",DA236,0)</f>
        <v>0</v>
      </c>
      <c r="CV236" s="560">
        <f t="shared" si="513"/>
        <v>0</v>
      </c>
      <c r="CW236" s="560">
        <f>IF(Sheet1!ER238="OTHER",DA236,0)</f>
        <v>0</v>
      </c>
      <c r="CX236" s="560">
        <f t="shared" si="514"/>
        <v>0</v>
      </c>
      <c r="CY236" s="560">
        <f t="shared" si="515"/>
        <v>10.73</v>
      </c>
      <c r="CZ236" s="560">
        <f t="shared" si="516"/>
        <v>10.343830334190233</v>
      </c>
      <c r="DA236" s="560">
        <f>IF(OR(Sheet1!ER238="FM", Sheet1!ER238="OTHER"),SUM(Sheet1!BK238:'Sheet1'!BM238),0)</f>
        <v>0</v>
      </c>
      <c r="DB236" s="545">
        <f>IF(AND($B236&gt;=$FV236,$B236&lt;=$FW236),MAX($CT236,Sheet1!EK238,0),MAX($CT236-(7/36)*$K236,0))</f>
        <v>11</v>
      </c>
      <c r="DC236" s="560">
        <f t="shared" si="517"/>
        <v>0</v>
      </c>
      <c r="DD236" s="545">
        <f t="shared" si="518"/>
        <v>0</v>
      </c>
      <c r="DE236" s="545">
        <f>IF(AND($O236&gt;0,Sheet1!EO238=1),(1-($O236-Sheet1!$L238)/$O236)*CZ236,0)</f>
        <v>0</v>
      </c>
      <c r="DF236" s="545">
        <f>IF(AND(Sheet1!$L238=0,Sheet1!$L237=0, Calculation!CY236&lt;Sheet1!$EK238-0.1,Sheet1!$EK238=Sheet1!$EK237,Sheet1!$EK238=Sheet1!$EK239),Sheet1!$EK238,CZ236-DE236)</f>
        <v>11</v>
      </c>
      <c r="DG236" s="545"/>
      <c r="DH236" s="560">
        <f t="shared" si="519"/>
        <v>16.82</v>
      </c>
      <c r="DI236" s="560">
        <f t="shared" si="520"/>
        <v>219.4449357574253</v>
      </c>
      <c r="DJ236" s="698">
        <f t="shared" si="521"/>
        <v>16.214652956298202</v>
      </c>
      <c r="DK236" s="560">
        <f ca="1">IF(B236&gt;Summary!$A$1,#N/A,DI236*MGtoAF)</f>
        <v>673.25706290378082</v>
      </c>
      <c r="DL236" s="698">
        <f t="shared" si="522"/>
        <v>16.82</v>
      </c>
      <c r="DM236" s="560">
        <f t="shared" si="523"/>
        <v>31.119999999999997</v>
      </c>
      <c r="DN236" s="560">
        <f>Sheet1!AB238-DM236</f>
        <v>-1.1199999999999974</v>
      </c>
      <c r="DO236" s="823">
        <f t="shared" si="524"/>
        <v>-3.5989717223650304E-2</v>
      </c>
      <c r="DP236" s="560">
        <f>(VLOOKUP(Sheet1!DC238,hhdcap_wcm,4)-(((VLOOKUP(Sheet1!DC238,hhdcap_wcm,3)-Sheet1!DC238)/(VLOOKUP(Sheet1!DC238,hhdcap_wcm,3)-VLOOKUP(Sheet1!DC238,hhdcap_wcm,1)))*(VLOOKUP(Sheet1!DC238,hhdcap_wcm,4)-VLOOKUP(Sheet1!DC238,hhdcap_wcm,2))))</f>
        <v>40498.200000100238</v>
      </c>
      <c r="DQ236" s="560">
        <f t="shared" si="525"/>
        <v>20.600000000005821</v>
      </c>
      <c r="DR236" s="560">
        <f t="shared" si="526"/>
        <v>10.388300554718013</v>
      </c>
      <c r="DS236" s="560">
        <f>Sheet1!EA238*AFtoMG</f>
        <v>0</v>
      </c>
      <c r="DT236" s="560">
        <f>Sheet1!EB238*AFtoMG</f>
        <v>0</v>
      </c>
      <c r="DU236" s="560">
        <f>Sheet1!EC238*AFtoMG</f>
        <v>0</v>
      </c>
      <c r="DV236" s="560">
        <f>Sheet1!ED238*AFtoMG</f>
        <v>0</v>
      </c>
      <c r="DW236" s="560">
        <f t="shared" si="527"/>
        <v>0</v>
      </c>
      <c r="DX236" s="560">
        <f t="shared" si="528"/>
        <v>0</v>
      </c>
      <c r="DY236" s="560">
        <f t="shared" si="529"/>
        <v>2397.0726743826699</v>
      </c>
      <c r="DZ236" s="560">
        <f t="shared" si="530"/>
        <v>7354.2189650060318</v>
      </c>
      <c r="EA236" s="560"/>
      <c r="EB236" s="545">
        <f>IF(OR(B236&lt;FV236,B236&gt;FW236),(MIN(BF236+BY236+CT236+MAX(Sheet1!AA238+AQ236-73,0),K236)),0)</f>
        <v>0</v>
      </c>
      <c r="EC236" s="560"/>
      <c r="ED236" s="560">
        <f t="shared" si="531"/>
        <v>16.214652956298202</v>
      </c>
      <c r="EE236" s="560"/>
      <c r="EF236" s="560">
        <f>Sheet1!EH238+Sheet1!EI238+Sheet1!EJ238+Sheet1!EK238</f>
        <v>18.73</v>
      </c>
      <c r="EG236" s="560"/>
      <c r="EH236" s="545">
        <f t="shared" si="532"/>
        <v>0</v>
      </c>
      <c r="EI236" s="560">
        <f>IF(Sheet1!ET238=1,SUM('Calculations II'!AT236:BA236)+'Calculations II'!BC236+Sheet1!BV238+'Calculations II'!BE236+AP236,SUM('Calculations II'!AT236:BA236)+'Calculations II'!BC236+Sheet1!BV238+'Calculations II'!BE236+AP236)</f>
        <v>81.756159999999994</v>
      </c>
      <c r="EJ236" s="560">
        <f>Sheet1!AA238+Sheet1!AB238+'Calculations II'!BC236</f>
        <v>91.240000000000009</v>
      </c>
      <c r="EK236" s="560"/>
      <c r="EL236" s="560"/>
      <c r="EM236" s="560">
        <f t="shared" si="533"/>
        <v>41864</v>
      </c>
      <c r="EN236" s="560">
        <f t="shared" si="534"/>
        <v>-18</v>
      </c>
      <c r="EO236" s="560">
        <f t="shared" si="535"/>
        <v>-27.846</v>
      </c>
      <c r="EP236" s="560">
        <v>0</v>
      </c>
      <c r="EQ236" s="560">
        <v>0</v>
      </c>
      <c r="ER236" s="560">
        <v>0</v>
      </c>
      <c r="ES236" s="545">
        <f t="shared" si="454"/>
        <v>-4.4354099237436362</v>
      </c>
      <c r="ET236" s="560">
        <f>-(VLOOKUP(Sheet1!BQ238,Lookup!$O$4:$Q$262,2)-VLOOKUP(Sheet1!BQ237,Lookup!$O$4:$Q$262,2))/1000000</f>
        <v>-2.2177562504465507</v>
      </c>
      <c r="EU236" s="560">
        <f>-(VLOOKUP(Sheet1!BR238,Lookup!$O$4:$Q$262,3)-VLOOKUP(Sheet1!BR237,Lookup!$O$4:$Q$262,3))/1000000</f>
        <v>-2.2176536732970851</v>
      </c>
      <c r="EV236" s="560"/>
      <c r="EW236" s="560"/>
      <c r="EX236" s="560"/>
      <c r="EY236" s="560"/>
      <c r="EZ236" s="560"/>
      <c r="FA236" s="560"/>
      <c r="FB236" s="560"/>
      <c r="FC236" s="560"/>
      <c r="FD236" s="594">
        <f t="shared" si="536"/>
        <v>1133.94444444437</v>
      </c>
      <c r="FE236" s="594" t="e">
        <f t="shared" si="537"/>
        <v>#N/A</v>
      </c>
      <c r="FF236" s="595" t="e">
        <f t="shared" si="538"/>
        <v>#N/A</v>
      </c>
      <c r="FG236" s="596" t="s">
        <v>692</v>
      </c>
      <c r="FH236" s="596" t="s">
        <v>692</v>
      </c>
      <c r="FI236" s="594" t="e">
        <v>#N/A</v>
      </c>
      <c r="FJ236" s="778">
        <v>18719</v>
      </c>
      <c r="FK236" s="560"/>
      <c r="FL236" s="560"/>
      <c r="FM236" s="560"/>
      <c r="FN236" s="560"/>
      <c r="FO236" s="560">
        <f>O236+((Sheet1!CS238)*GPMtoMGD)</f>
        <v>91.240000000000009</v>
      </c>
      <c r="FP236" s="560">
        <f>IF(Sheet1!AA238+AQ236&lt;=Calculation!N236,AQ236,Calculation!N236-Sheet1!AA238)</f>
        <v>11.759999999999998</v>
      </c>
      <c r="FQ236" s="560">
        <f>(Sheet1!BP238+Sheet1!BO238)/694.4</f>
        <v>2.3555587557603688</v>
      </c>
      <c r="FR236" s="560"/>
      <c r="FS236" s="560"/>
      <c r="FT236" s="560"/>
      <c r="FU236" s="560"/>
      <c r="FV236" s="695">
        <f t="shared" si="455"/>
        <v>41827</v>
      </c>
      <c r="FW236" s="695">
        <f t="shared" si="456"/>
        <v>41934</v>
      </c>
      <c r="FX236" s="560"/>
      <c r="FY236" s="560"/>
      <c r="FZ236" s="560"/>
      <c r="GA236" s="560"/>
      <c r="GB236" s="560" t="str">
        <f t="shared" si="457"/>
        <v>n</v>
      </c>
      <c r="GC236" s="564">
        <f t="shared" si="458"/>
        <v>41691</v>
      </c>
      <c r="GD236" s="695">
        <f t="shared" si="459"/>
        <v>41807</v>
      </c>
      <c r="GE236" s="560">
        <v>6518.9</v>
      </c>
      <c r="GF236" s="695">
        <f t="shared" si="460"/>
        <v>41808</v>
      </c>
      <c r="GG236" s="560">
        <f t="shared" si="479"/>
        <v>3259</v>
      </c>
      <c r="GH236" s="564">
        <f t="shared" si="461"/>
        <v>41934</v>
      </c>
      <c r="GJ236" s="545">
        <f t="shared" si="462"/>
        <v>0</v>
      </c>
      <c r="GK236" s="560" t="str">
        <f t="shared" si="539"/>
        <v/>
      </c>
      <c r="GL236" s="560">
        <f t="shared" si="463"/>
        <v>0</v>
      </c>
      <c r="GM236" s="560" t="str">
        <f t="shared" si="464"/>
        <v/>
      </c>
      <c r="GN236" s="560">
        <f>IF(GK236="P",Lookup!$M$12,IF(GK236="PP",Lookup!$M$13,IF(GK236="PPP",Lookup!$M$14,IF(GK236="T",Lookup!$M$15,IF(GK236="TP",Lookup!$M$16,IF(GK236="TPP",Lookup!$M$17,IF(GK236="TPPP",Lookup!$M$18,0)))))))*GJ236</f>
        <v>0</v>
      </c>
      <c r="GO236" s="560">
        <f t="shared" si="465"/>
        <v>0</v>
      </c>
      <c r="GP236" s="560">
        <f t="shared" si="540"/>
        <v>3735.4976013333339</v>
      </c>
      <c r="GQ236" s="560">
        <f t="shared" si="473"/>
        <v>1217.5676666666668</v>
      </c>
      <c r="GR236" s="560"/>
      <c r="GS236" s="560">
        <f t="shared" si="466"/>
        <v>0</v>
      </c>
      <c r="GT236" s="560" t="str">
        <f t="shared" si="467"/>
        <v/>
      </c>
      <c r="GU236" s="560">
        <f>IF(GK236="P",Lookup!$N$12,IF(GK236="PP",Lookup!$N$13,IF(GK236="PPP",Lookup!$N$14,IF(GK236="T",Lookup!$N$15,IF(GK236="TP",Lookup!$N$16,IF(GK236="TPP",Lookup!$N$17,IF(GK236="TPPP",Lookup!$N$18,0)))))))*GJ236</f>
        <v>0</v>
      </c>
      <c r="GV236" s="560">
        <f t="shared" si="468"/>
        <v>0</v>
      </c>
      <c r="GW236" s="560">
        <f t="shared" si="541"/>
        <v>1634.135349028257</v>
      </c>
      <c r="GX236" s="560">
        <f t="shared" si="474"/>
        <v>532.63864049160918</v>
      </c>
      <c r="GY236" s="560"/>
      <c r="GZ236" s="560">
        <f t="shared" si="469"/>
        <v>0</v>
      </c>
      <c r="HA236" s="560" t="str">
        <f t="shared" si="470"/>
        <v/>
      </c>
      <c r="HB236" s="560">
        <f>IF(GK236="P",Lookup!$N$12,IF(GK236="PP",Lookup!$N$13,IF(GK236="PPP",Lookup!$N$14,IF(GK236="T",Lookup!$N$15,IF(GK236="TP",Lookup!$N$16,IF(GK236="TPP",Lookup!$N$17,IF(GK236="TPPP",Lookup!$N$18,0)))))))*GJ236</f>
        <v>0</v>
      </c>
      <c r="HC236" s="545">
        <f t="shared" si="542"/>
        <v>0</v>
      </c>
      <c r="HD236" s="560">
        <f t="shared" si="543"/>
        <v>1311.3289517406595</v>
      </c>
      <c r="HE236" s="560">
        <f t="shared" si="475"/>
        <v>427.42143146696856</v>
      </c>
      <c r="HF236" s="560"/>
      <c r="HG236" s="560">
        <f t="shared" si="471"/>
        <v>0</v>
      </c>
      <c r="HH236" s="560" t="str">
        <f t="shared" si="472"/>
        <v/>
      </c>
      <c r="HI236" s="560">
        <f>IF(GK236="P",Lookup!$N$12,IF(GK236="PP",Lookup!$N$13,IF(GK236="PPP",Lookup!$N$14,IF(GK236="T",Lookup!$N$15,IF(GK236="TP",Lookup!$N$16,IF(GK236="TPP",Lookup!$N$17,IF(GK236="TPPP",Lookup!$N$18,0)))))))*GJ236</f>
        <v>0</v>
      </c>
      <c r="HJ236" s="545">
        <f t="shared" si="544"/>
        <v>0</v>
      </c>
      <c r="HK236" s="560">
        <f t="shared" si="545"/>
        <v>673.25706290378082</v>
      </c>
      <c r="HL236" s="560">
        <f t="shared" si="476"/>
        <v>219.4449357574253</v>
      </c>
    </row>
    <row r="237" spans="1:220">
      <c r="A237" s="580" t="s">
        <v>7</v>
      </c>
      <c r="B237" s="556">
        <v>41865</v>
      </c>
      <c r="C237" s="561">
        <v>0</v>
      </c>
      <c r="D237" s="529">
        <f t="shared" si="477"/>
        <v>200</v>
      </c>
      <c r="E237" s="529">
        <f t="shared" si="478"/>
        <v>400</v>
      </c>
      <c r="F237" s="529">
        <v>250</v>
      </c>
      <c r="G237" s="560">
        <f>DR237+Sheet1!CZ239</f>
        <v>257.32526475074809</v>
      </c>
      <c r="H237" s="914">
        <f t="shared" si="480"/>
        <v>0</v>
      </c>
      <c r="I237" s="559">
        <f>MAX(Sheet1!Z239-AT237+(Sheet1!DA239-E237)*CFStoMGD,0)</f>
        <v>27.414400000000001</v>
      </c>
      <c r="J237" s="562">
        <f>IF(AND(B237&gt;=Calculation!GC237,B237&lt;=Calculation!GD237),IF(Sheet1!DB239&gt;=Calculation!D237,64.64,0),MAX(Sheet1!Z239-AT237+(Sheet1!DB239-D237)*CFStoMGD,0))</f>
        <v>61.6736</v>
      </c>
      <c r="K237" s="904">
        <f t="shared" si="481"/>
        <v>0</v>
      </c>
      <c r="L237" s="560">
        <f>Sheet1!AA239+Sheet1!AB239-Sheet1!L239+(Sheet1!DA239-F237)*CFStoMGD</f>
        <v>181.17439999999999</v>
      </c>
      <c r="M237" s="560">
        <f t="shared" si="482"/>
        <v>169.66175215758125</v>
      </c>
      <c r="N237" s="910">
        <f>IF(Sheet1!DA239&gt;=F237,MIN(73,MIN(MAX(L237,0),MAX(M237,0))),0)</f>
        <v>73</v>
      </c>
      <c r="O237" s="563">
        <f>Sheet1!AA239+Sheet1!AB239</f>
        <v>86.8</v>
      </c>
      <c r="P237" s="563">
        <f t="shared" si="483"/>
        <v>134.27959999999999</v>
      </c>
      <c r="Q237" s="898">
        <f t="shared" si="444"/>
        <v>68.069999999999993</v>
      </c>
      <c r="R237" s="829">
        <f t="shared" si="484"/>
        <v>18.73</v>
      </c>
      <c r="S237" s="898">
        <f t="shared" si="445"/>
        <v>0</v>
      </c>
      <c r="T237" s="898">
        <f t="shared" si="446"/>
        <v>0</v>
      </c>
      <c r="U237" s="898">
        <f t="shared" si="447"/>
        <v>18.73</v>
      </c>
      <c r="V237" s="898"/>
      <c r="W237" s="898">
        <f t="shared" si="448"/>
        <v>0</v>
      </c>
      <c r="X237" s="898">
        <f t="shared" si="449"/>
        <v>0</v>
      </c>
      <c r="Y237" s="898" t="str">
        <f t="shared" si="450"/>
        <v>FALSE</v>
      </c>
      <c r="Z237" s="898">
        <f t="shared" si="451"/>
        <v>86.8</v>
      </c>
      <c r="AA237" s="898">
        <f t="shared" si="452"/>
        <v>86.8</v>
      </c>
      <c r="AB237" s="898" t="str">
        <f t="shared" si="453"/>
        <v/>
      </c>
      <c r="AC237" s="563">
        <f>Sheet1!Y239*MGDtoCFS</f>
        <v>94.738280000000003</v>
      </c>
      <c r="AD237" s="563">
        <f>Sheet1!Z239*MGDtoCFS</f>
        <v>46.41</v>
      </c>
      <c r="AE237" s="563">
        <f>Sheet1!AA239*MGDtoCFS</f>
        <v>94.521699999999996</v>
      </c>
      <c r="AF237" s="563">
        <f>Sheet1!AB239*MGDtoCFS</f>
        <v>39.757899999999999</v>
      </c>
      <c r="AG237" s="563">
        <f>Sheet1!L239*MGDtoCFS</f>
        <v>0</v>
      </c>
      <c r="AH237" s="545">
        <f t="shared" si="485"/>
        <v>18.73</v>
      </c>
      <c r="AI237" s="560">
        <f t="shared" si="486"/>
        <v>28.97531</v>
      </c>
      <c r="AJ237" s="560">
        <f t="shared" si="487"/>
        <v>0</v>
      </c>
      <c r="AK237" s="560">
        <f t="shared" si="488"/>
        <v>0</v>
      </c>
      <c r="AL237" s="560">
        <f>(VLOOKUP(Sheet1!DC239,hhdcap_wcm,4)-(((VLOOKUP(Sheet1!DC239,hhdcap_wcm,3)-Sheet1!DC239)/(VLOOKUP(Sheet1!DC239,hhdcap_wcm,3)-VLOOKUP(Sheet1!DC239,hhdcap_wcm,1)))*(VLOOKUP(Sheet1!DC239,hhdcap_wcm,4)-VLOOKUP(Sheet1!DC239,hhdcap_wcm,2))))</f>
        <v>40270.800000100971</v>
      </c>
      <c r="AM237" s="560">
        <f t="shared" si="489"/>
        <v>-227.39999999926658</v>
      </c>
      <c r="AN237" s="560">
        <f t="shared" si="490"/>
        <v>2378.3426743826699</v>
      </c>
      <c r="AO237" s="560">
        <f t="shared" si="491"/>
        <v>7296.7553250060309</v>
      </c>
      <c r="AP237" s="560">
        <f>Sheet1!BA239+Sheet1!BB239+Sheet1!BN239+CD237</f>
        <v>11.24</v>
      </c>
      <c r="AQ237" s="560">
        <f>Sheet1!BN239+(DO237*Sheet1!BN239)</f>
        <v>9.0916697247706431</v>
      </c>
      <c r="AR237" s="560">
        <f>Sheet1!BA239+CD237</f>
        <v>0</v>
      </c>
      <c r="AS237" s="560">
        <f>Sheet1!BA239+Sheet1!BB239+CD237</f>
        <v>1.6</v>
      </c>
      <c r="AT237" s="698">
        <f>0</f>
        <v>0</v>
      </c>
      <c r="AU237" s="560">
        <f>IF(EB237&lt;K237,0,MAX(Sheet1!AA239+AQ237-15/36*K237-N237,Sheet1!EH239,0))</f>
        <v>0.73</v>
      </c>
      <c r="AV237" s="560">
        <f>IF(OR(B237&gt;=GD237,B237&lt;GC237),0,15/36*K237-MAX(0,64.6-(137.6-(Sheet1!AA239+Sheet1!AB239))))</f>
        <v>0</v>
      </c>
      <c r="AW237" s="698">
        <f>Sheet1!DB239-110</f>
        <v>139</v>
      </c>
      <c r="AX237" s="698">
        <f>Sheet1!DA239-265</f>
        <v>131</v>
      </c>
      <c r="AY237" s="698">
        <f t="shared" si="492"/>
        <v>4.9300000000000068</v>
      </c>
      <c r="AZ237" s="1082"/>
      <c r="BA237" s="698">
        <f t="shared" si="493"/>
        <v>0</v>
      </c>
      <c r="BB237" s="560">
        <f t="shared" si="494"/>
        <v>1216.8376666666668</v>
      </c>
      <c r="BC237" s="560"/>
      <c r="BD237" s="560">
        <f ca="1">IF(B237&gt;Summary!$A$1,#N/A,BB237*MGtoAF)</f>
        <v>3733.2579613333337</v>
      </c>
      <c r="BE237" s="560">
        <f>Sheet1!BG239+Sheet1!BH239+Sheet1!BI239-BM237</f>
        <v>2.02</v>
      </c>
      <c r="BF237" s="560">
        <f t="shared" si="495"/>
        <v>1.9051009174311926</v>
      </c>
      <c r="BG237" s="560">
        <f>IF(Sheet1!EP239="FM",BM237,0)</f>
        <v>0</v>
      </c>
      <c r="BH237" s="560">
        <f t="shared" si="496"/>
        <v>0</v>
      </c>
      <c r="BI237" s="560">
        <f>IF(Sheet1!EP239="OTHER",BM237,0)</f>
        <v>0</v>
      </c>
      <c r="BJ237" s="560">
        <f t="shared" si="497"/>
        <v>0</v>
      </c>
      <c r="BK237" s="560">
        <f t="shared" si="498"/>
        <v>2.02</v>
      </c>
      <c r="BL237" s="560">
        <f t="shared" si="499"/>
        <v>1.9051009174311926</v>
      </c>
      <c r="BM237" s="560">
        <f>IF(OR(Sheet1!EP239="FM", Sheet1!EP239="OTHER"),SUM(Sheet1!BG239:'Sheet1'!BI239),0)</f>
        <v>0</v>
      </c>
      <c r="BN237" s="545">
        <f>IF(AND($B237&gt;=$FV237,$B237&lt;=$FW237),MAX(BF237,Sheet1!EI239,0),MAX(BF237-(7/36)*$K237,0))</f>
        <v>2</v>
      </c>
      <c r="BO237" s="560">
        <f t="shared" si="500"/>
        <v>0</v>
      </c>
      <c r="BP237" s="545">
        <f t="shared" si="501"/>
        <v>0</v>
      </c>
      <c r="BQ237" s="545">
        <f>IF(AND($O237&gt;0,Sheet1!EM239=1),(1-($O237-Sheet1!$L239)/$O237)*BL237,0)</f>
        <v>0</v>
      </c>
      <c r="BR237" s="545">
        <f>IF(AND(Sheet1!$L239=0,Sheet1!$L238=0, Calculation!BK237&lt;Sheet1!$EI239-0.1,Sheet1!$EI239=Sheet1!$EI238,Sheet1!$EI239=Sheet1!$EI240),Sheet1!$EI239,BL237-BQ237)</f>
        <v>1.9051009174311926</v>
      </c>
      <c r="BS237" s="560"/>
      <c r="BT237" s="560"/>
      <c r="BU237" s="560">
        <f t="shared" si="502"/>
        <v>530.63864049160918</v>
      </c>
      <c r="BV237" s="560"/>
      <c r="BW237" s="560">
        <f ca="1">IF(B237&gt;Summary!$A$1,#N/A,BU237*MGtoAF)</f>
        <v>1627.999349028257</v>
      </c>
      <c r="BX237" s="560">
        <f>Sheet1!BC239+Sheet1!BD239+Sheet1!BE239+Sheet1!BF239-CG237-CH237</f>
        <v>3</v>
      </c>
      <c r="BY237" s="560">
        <f t="shared" si="503"/>
        <v>2.8293577981651374</v>
      </c>
      <c r="BZ237" s="560">
        <f>IF(Sheet1!EQ239="FM",CH237,0)</f>
        <v>0</v>
      </c>
      <c r="CA237" s="560">
        <f t="shared" si="504"/>
        <v>0</v>
      </c>
      <c r="CB237" s="560">
        <f>IF(Sheet1!EQ239="OTHER",CH237,0)</f>
        <v>0</v>
      </c>
      <c r="CC237" s="560">
        <f t="shared" si="505"/>
        <v>0</v>
      </c>
      <c r="CD237" s="560">
        <f t="shared" si="506"/>
        <v>0</v>
      </c>
      <c r="CE237" s="560">
        <f t="shared" si="507"/>
        <v>3</v>
      </c>
      <c r="CF237" s="560">
        <f t="shared" si="508"/>
        <v>2.8293577981651374</v>
      </c>
      <c r="CG237" s="560">
        <f>IF(Sheet1!EQ239="CWA",SUM(Sheet1!BC239:'Sheet1'!BF239),0)</f>
        <v>0</v>
      </c>
      <c r="CH237" s="560">
        <f>IF(OR(Sheet1!EQ239="FM", Sheet1!EQ239="OTHER"),SUM(Sheet1!BC239:'Sheet1'!BF239),0)</f>
        <v>0</v>
      </c>
      <c r="CI237" s="545">
        <f>IF(AND($B237&gt;=$FV237,$B237&lt;=$FW237),MAX(CF237,Sheet1!EJ239,0),MAX(CF237-(7/36)*$K237,0))</f>
        <v>5</v>
      </c>
      <c r="CJ237" s="560">
        <f t="shared" si="509"/>
        <v>0</v>
      </c>
      <c r="CK237" s="545">
        <f t="shared" si="510"/>
        <v>0</v>
      </c>
      <c r="CL237" s="545">
        <f>IF(AND($O237&gt;0,Sheet1!EN239=1),(1-($O237-Sheet1!$L239)/$O237)*CF237,0)</f>
        <v>0</v>
      </c>
      <c r="CM237" s="545">
        <f>IF(AND(Sheet1!$L239=0,Sheet1!$L238=0, Calculation!CE237&lt;Sheet1!EJ239-0.1,Sheet1!EJ239=Sheet1!EJ238,Sheet1!EJ239=Sheet1!EJ240),Sheet1!EJ239,CF237-CL237)</f>
        <v>2.8293577981651374</v>
      </c>
      <c r="CN237" s="545"/>
      <c r="CO237" s="560"/>
      <c r="CP237" s="560">
        <f t="shared" si="511"/>
        <v>422.42143146696856</v>
      </c>
      <c r="CQ237" s="560"/>
      <c r="CR237" s="560">
        <f ca="1">IF(B237&gt;Summary!$A$1,#N/A,CP237*MGtoAF)</f>
        <v>1295.9889517406596</v>
      </c>
      <c r="CS237" s="560">
        <f>Sheet1!BK239+Sheet1!BL239+Sheet1!BM239-Sheet1!ER239-DA237</f>
        <v>10.989999999999998</v>
      </c>
      <c r="CT237" s="560">
        <f t="shared" si="512"/>
        <v>10.364880733944952</v>
      </c>
      <c r="CU237" s="560">
        <f>IF(Sheet1!ER239="FM",DA237,0)</f>
        <v>0</v>
      </c>
      <c r="CV237" s="560">
        <f t="shared" si="513"/>
        <v>0</v>
      </c>
      <c r="CW237" s="560">
        <f>IF(Sheet1!ER239="OTHER",DA237,0)</f>
        <v>0</v>
      </c>
      <c r="CX237" s="560">
        <f t="shared" si="514"/>
        <v>0</v>
      </c>
      <c r="CY237" s="560">
        <f t="shared" si="515"/>
        <v>10.989999999999998</v>
      </c>
      <c r="CZ237" s="560">
        <f t="shared" si="516"/>
        <v>10.364880733944952</v>
      </c>
      <c r="DA237" s="560">
        <f>IF(OR(Sheet1!ER239="FM", Sheet1!ER239="OTHER"),SUM(Sheet1!BK239:'Sheet1'!BM239),0)</f>
        <v>0</v>
      </c>
      <c r="DB237" s="545">
        <f>IF(AND($B237&gt;=$FV237,$B237&lt;=$FW237),MAX($CT237,Sheet1!EK239,0),MAX($CT237-(7/36)*$K237,0))</f>
        <v>11</v>
      </c>
      <c r="DC237" s="560">
        <f t="shared" si="517"/>
        <v>0</v>
      </c>
      <c r="DD237" s="545">
        <f t="shared" si="518"/>
        <v>0</v>
      </c>
      <c r="DE237" s="545">
        <f>IF(AND($O237&gt;0,Sheet1!EO239=1),(1-($O237-Sheet1!$L239)/$O237)*CZ237,0)</f>
        <v>0</v>
      </c>
      <c r="DF237" s="545">
        <f>IF(AND(Sheet1!$L239=0,Sheet1!$L238=0, Calculation!CY237&lt;Sheet1!$EK239-0.1,Sheet1!$EK239=Sheet1!$EK238,Sheet1!$EK239=Sheet1!$EK240),Sheet1!$EK239,CZ237-DE237)</f>
        <v>10.364880733944952</v>
      </c>
      <c r="DG237" s="545"/>
      <c r="DH237" s="560">
        <f t="shared" si="519"/>
        <v>16.009999999999998</v>
      </c>
      <c r="DI237" s="560">
        <f t="shared" si="520"/>
        <v>208.4449357574253</v>
      </c>
      <c r="DJ237" s="698">
        <f t="shared" si="521"/>
        <v>15.099339449541283</v>
      </c>
      <c r="DK237" s="560">
        <f ca="1">IF(B237&gt;Summary!$A$1,#N/A,DI237*MGtoAF)</f>
        <v>639.50906290378077</v>
      </c>
      <c r="DL237" s="698">
        <f t="shared" si="522"/>
        <v>16.009999999999998</v>
      </c>
      <c r="DM237" s="560">
        <f t="shared" si="523"/>
        <v>27.25</v>
      </c>
      <c r="DN237" s="560">
        <f>Sheet1!AB239-DM237</f>
        <v>-1.5500000000000007</v>
      </c>
      <c r="DO237" s="823">
        <f t="shared" si="524"/>
        <v>-5.6880733944954152E-2</v>
      </c>
      <c r="DP237" s="560">
        <f>(VLOOKUP(Sheet1!DC239,hhdcap_wcm,4)-(((VLOOKUP(Sheet1!DC239,hhdcap_wcm,3)-Sheet1!DC239)/(VLOOKUP(Sheet1!DC239,hhdcap_wcm,3)-VLOOKUP(Sheet1!DC239,hhdcap_wcm,1)))*(VLOOKUP(Sheet1!DC239,hhdcap_wcm,4)-VLOOKUP(Sheet1!DC239,hhdcap_wcm,2))))</f>
        <v>40270.800000100971</v>
      </c>
      <c r="DQ237" s="560">
        <f t="shared" si="525"/>
        <v>-227.39999999926658</v>
      </c>
      <c r="DR237" s="560">
        <f t="shared" si="526"/>
        <v>-114.67473524925192</v>
      </c>
      <c r="DS237" s="560">
        <f>Sheet1!EA239*AFtoMG</f>
        <v>0</v>
      </c>
      <c r="DT237" s="560">
        <f>Sheet1!EB239*AFtoMG</f>
        <v>0</v>
      </c>
      <c r="DU237" s="560">
        <f>Sheet1!EC239*AFtoMG</f>
        <v>0</v>
      </c>
      <c r="DV237" s="560">
        <f>Sheet1!ED239*AFtoMG</f>
        <v>0</v>
      </c>
      <c r="DW237" s="560">
        <f t="shared" si="527"/>
        <v>0</v>
      </c>
      <c r="DX237" s="560">
        <f t="shared" si="528"/>
        <v>0</v>
      </c>
      <c r="DY237" s="560">
        <f t="shared" si="529"/>
        <v>2378.3426743826699</v>
      </c>
      <c r="DZ237" s="560">
        <f t="shared" si="530"/>
        <v>7296.7553250060309</v>
      </c>
      <c r="EA237" s="560"/>
      <c r="EB237" s="545">
        <f>IF(OR(B237&lt;FV237,B237&gt;FW237),(MIN(BF237+BY237+CT237+MAX(Sheet1!AA239+AQ237-73,0),K237)),0)</f>
        <v>0</v>
      </c>
      <c r="EC237" s="560"/>
      <c r="ED237" s="560">
        <f t="shared" si="531"/>
        <v>15.099339449541283</v>
      </c>
      <c r="EE237" s="560"/>
      <c r="EF237" s="560">
        <f>Sheet1!EH239+Sheet1!EI239+Sheet1!EJ239+Sheet1!EK239</f>
        <v>18.73</v>
      </c>
      <c r="EG237" s="560"/>
      <c r="EH237" s="545">
        <f t="shared" si="532"/>
        <v>0</v>
      </c>
      <c r="EI237" s="560">
        <f>IF(Sheet1!ET239=1,SUM('Calculations II'!AT237:BA237)+'Calculations II'!BC237+Sheet1!BV239+'Calculations II'!BE237+AP237,SUM('Calculations II'!AT237:BA237)+'Calculations II'!BC237+Sheet1!BV239+'Calculations II'!BE237+AP237)</f>
        <v>75.920751999999993</v>
      </c>
      <c r="EJ237" s="560">
        <f>Sheet1!AA239+Sheet1!AB239+'Calculations II'!BC237</f>
        <v>86.8</v>
      </c>
      <c r="EK237" s="560"/>
      <c r="EL237" s="560"/>
      <c r="EM237" s="560">
        <f t="shared" si="533"/>
        <v>41865</v>
      </c>
      <c r="EN237" s="560">
        <f t="shared" si="534"/>
        <v>-18.73</v>
      </c>
      <c r="EO237" s="560">
        <f t="shared" si="535"/>
        <v>-28.97531</v>
      </c>
      <c r="EP237" s="560">
        <v>0</v>
      </c>
      <c r="EQ237" s="560">
        <v>0</v>
      </c>
      <c r="ER237" s="560">
        <v>0</v>
      </c>
      <c r="ES237" s="545">
        <f t="shared" si="454"/>
        <v>-6.6592710280556267</v>
      </c>
      <c r="ET237" s="560">
        <f>-(VLOOKUP(Sheet1!BQ239,Lookup!$O$4:$Q$262,2)-VLOOKUP(Sheet1!BQ238,Lookup!$O$4:$Q$262,2))/1000000</f>
        <v>-3.32971248236192</v>
      </c>
      <c r="EU237" s="560">
        <f>-(VLOOKUP(Sheet1!BR239,Lookup!$O$4:$Q$262,3)-VLOOKUP(Sheet1!BR238,Lookup!$O$4:$Q$262,3))/1000000</f>
        <v>-3.3295585456937067</v>
      </c>
      <c r="EV237" s="560"/>
      <c r="EW237" s="560"/>
      <c r="EX237" s="560"/>
      <c r="EY237" s="560"/>
      <c r="EZ237" s="560"/>
      <c r="FA237" s="560"/>
      <c r="FB237" s="560"/>
      <c r="FC237" s="560"/>
      <c r="FD237" s="594">
        <f t="shared" si="536"/>
        <v>1133.6793650792908</v>
      </c>
      <c r="FE237" s="594" t="e">
        <f t="shared" si="537"/>
        <v>#N/A</v>
      </c>
      <c r="FF237" s="595" t="e">
        <f t="shared" si="538"/>
        <v>#N/A</v>
      </c>
      <c r="FG237" s="596" t="s">
        <v>692</v>
      </c>
      <c r="FH237" s="596" t="s">
        <v>692</v>
      </c>
      <c r="FI237" s="594" t="e">
        <v>#N/A</v>
      </c>
      <c r="FJ237" s="778">
        <v>18551</v>
      </c>
      <c r="FK237" s="560"/>
      <c r="FL237" s="560"/>
      <c r="FM237" s="560"/>
      <c r="FN237" s="560"/>
      <c r="FO237" s="560">
        <f>O237+((Sheet1!CS239)*GPMtoMGD)</f>
        <v>86.8</v>
      </c>
      <c r="FP237" s="560">
        <f>IF(Sheet1!AA239+AQ237&lt;=Calculation!N237,AQ237,Calculation!N237-Sheet1!AA239)</f>
        <v>9.0916697247706431</v>
      </c>
      <c r="FQ237" s="560">
        <f>(Sheet1!BP239+Sheet1!BO239)/694.4</f>
        <v>2.5025921658986174</v>
      </c>
      <c r="FR237" s="560"/>
      <c r="FS237" s="560"/>
      <c r="FT237" s="560"/>
      <c r="FU237" s="560"/>
      <c r="FV237" s="695">
        <f t="shared" si="455"/>
        <v>41827</v>
      </c>
      <c r="FW237" s="695">
        <f t="shared" si="456"/>
        <v>41934</v>
      </c>
      <c r="FX237" s="560"/>
      <c r="FY237" s="560"/>
      <c r="FZ237" s="560"/>
      <c r="GA237" s="560"/>
      <c r="GB237" s="560" t="str">
        <f t="shared" si="457"/>
        <v>n</v>
      </c>
      <c r="GC237" s="564">
        <f t="shared" si="458"/>
        <v>41691</v>
      </c>
      <c r="GD237" s="695">
        <f t="shared" si="459"/>
        <v>41807</v>
      </c>
      <c r="GE237" s="560">
        <v>6518.9</v>
      </c>
      <c r="GF237" s="695">
        <f t="shared" si="460"/>
        <v>41808</v>
      </c>
      <c r="GG237" s="560">
        <f t="shared" si="479"/>
        <v>3259</v>
      </c>
      <c r="GH237" s="564">
        <f t="shared" si="461"/>
        <v>41934</v>
      </c>
      <c r="GJ237" s="545">
        <f t="shared" si="462"/>
        <v>0</v>
      </c>
      <c r="GK237" s="560" t="str">
        <f t="shared" si="539"/>
        <v/>
      </c>
      <c r="GL237" s="560">
        <f t="shared" si="463"/>
        <v>0</v>
      </c>
      <c r="GM237" s="560" t="str">
        <f t="shared" si="464"/>
        <v/>
      </c>
      <c r="GN237" s="560">
        <f>IF(GK237="P",Lookup!$M$12,IF(GK237="PP",Lookup!$M$13,IF(GK237="PPP",Lookup!$M$14,IF(GK237="T",Lookup!$M$15,IF(GK237="TP",Lookup!$M$16,IF(GK237="TPP",Lookup!$M$17,IF(GK237="TPPP",Lookup!$M$18,0)))))))*GJ237</f>
        <v>0</v>
      </c>
      <c r="GO237" s="560">
        <f t="shared" si="465"/>
        <v>0</v>
      </c>
      <c r="GP237" s="560">
        <f t="shared" si="540"/>
        <v>3733.2579613333337</v>
      </c>
      <c r="GQ237" s="560">
        <f t="shared" si="473"/>
        <v>1216.8376666666668</v>
      </c>
      <c r="GR237" s="560"/>
      <c r="GS237" s="560">
        <f t="shared" si="466"/>
        <v>0</v>
      </c>
      <c r="GT237" s="560" t="str">
        <f t="shared" si="467"/>
        <v/>
      </c>
      <c r="GU237" s="560">
        <f>IF(GK237="P",Lookup!$N$12,IF(GK237="PP",Lookup!$N$13,IF(GK237="PPP",Lookup!$N$14,IF(GK237="T",Lookup!$N$15,IF(GK237="TP",Lookup!$N$16,IF(GK237="TPP",Lookup!$N$17,IF(GK237="TPPP",Lookup!$N$18,0)))))))*GJ237</f>
        <v>0</v>
      </c>
      <c r="GV237" s="560">
        <f t="shared" si="468"/>
        <v>0</v>
      </c>
      <c r="GW237" s="560">
        <f t="shared" si="541"/>
        <v>1627.999349028257</v>
      </c>
      <c r="GX237" s="560">
        <f t="shared" si="474"/>
        <v>530.63864049160918</v>
      </c>
      <c r="GY237" s="560"/>
      <c r="GZ237" s="560">
        <f t="shared" si="469"/>
        <v>0</v>
      </c>
      <c r="HA237" s="560" t="str">
        <f t="shared" si="470"/>
        <v/>
      </c>
      <c r="HB237" s="560">
        <f>IF(GK237="P",Lookup!$N$12,IF(GK237="PP",Lookup!$N$13,IF(GK237="PPP",Lookup!$N$14,IF(GK237="T",Lookup!$N$15,IF(GK237="TP",Lookup!$N$16,IF(GK237="TPP",Lookup!$N$17,IF(GK237="TPPP",Lookup!$N$18,0)))))))*GJ237</f>
        <v>0</v>
      </c>
      <c r="HC237" s="545">
        <f t="shared" si="542"/>
        <v>0</v>
      </c>
      <c r="HD237" s="560">
        <f t="shared" si="543"/>
        <v>1295.9889517406596</v>
      </c>
      <c r="HE237" s="560">
        <f t="shared" si="475"/>
        <v>422.42143146696856</v>
      </c>
      <c r="HF237" s="560"/>
      <c r="HG237" s="560">
        <f t="shared" si="471"/>
        <v>0</v>
      </c>
      <c r="HH237" s="560" t="str">
        <f t="shared" si="472"/>
        <v/>
      </c>
      <c r="HI237" s="560">
        <f>IF(GK237="P",Lookup!$N$12,IF(GK237="PP",Lookup!$N$13,IF(GK237="PPP",Lookup!$N$14,IF(GK237="T",Lookup!$N$15,IF(GK237="TP",Lookup!$N$16,IF(GK237="TPP",Lookup!$N$17,IF(GK237="TPPP",Lookup!$N$18,0)))))))*GJ237</f>
        <v>0</v>
      </c>
      <c r="HJ237" s="545">
        <f t="shared" si="544"/>
        <v>0</v>
      </c>
      <c r="HK237" s="560">
        <f t="shared" si="545"/>
        <v>639.50906290378077</v>
      </c>
      <c r="HL237" s="560">
        <f t="shared" si="476"/>
        <v>208.4449357574253</v>
      </c>
    </row>
    <row r="238" spans="1:220">
      <c r="A238" s="580" t="s">
        <v>8</v>
      </c>
      <c r="B238" s="556">
        <v>41866</v>
      </c>
      <c r="C238" s="561">
        <v>0</v>
      </c>
      <c r="D238" s="529">
        <f t="shared" si="477"/>
        <v>200</v>
      </c>
      <c r="E238" s="529">
        <f t="shared" si="478"/>
        <v>400</v>
      </c>
      <c r="F238" s="529">
        <v>250</v>
      </c>
      <c r="G238" s="560">
        <f>DR238+Sheet1!CZ240</f>
        <v>260.6278366105883</v>
      </c>
      <c r="H238" s="914">
        <f t="shared" si="480"/>
        <v>0</v>
      </c>
      <c r="I238" s="559">
        <f>MAX(Sheet1!Z240-AT238+(Sheet1!DA240-E238)*CFStoMGD,0)</f>
        <v>47.677599999999998</v>
      </c>
      <c r="J238" s="562">
        <f>IF(AND(B238&gt;=Calculation!GC238,B238&lt;=Calculation!GD238),IF(Sheet1!DB240&gt;=Calculation!D238,64.64,0),MAX(Sheet1!Z240-AT238+(Sheet1!DB240-D238)*CFStoMGD,0))</f>
        <v>61.251999999999995</v>
      </c>
      <c r="K238" s="904">
        <f t="shared" si="481"/>
        <v>0</v>
      </c>
      <c r="L238" s="560">
        <f>Sheet1!AA240+Sheet1!AB240-Sheet1!L240+(Sheet1!DA240-F238)*CFStoMGD</f>
        <v>193.15760000000159</v>
      </c>
      <c r="M238" s="560">
        <f t="shared" si="482"/>
        <v>171.83923025678598</v>
      </c>
      <c r="N238" s="910">
        <f>IF(Sheet1!DA240&gt;=F238,MIN(73,MIN(MAX(L238,0),MAX(M238,0))),0)</f>
        <v>73</v>
      </c>
      <c r="O238" s="563">
        <f>Sheet1!AA240+Sheet1!AB240</f>
        <v>74.23</v>
      </c>
      <c r="P238" s="563">
        <f t="shared" si="483"/>
        <v>114.83380999999999</v>
      </c>
      <c r="Q238" s="898">
        <f t="shared" si="444"/>
        <v>57.230000000000004</v>
      </c>
      <c r="R238" s="829">
        <f t="shared" si="484"/>
        <v>17</v>
      </c>
      <c r="S238" s="898">
        <f t="shared" si="445"/>
        <v>0</v>
      </c>
      <c r="T238" s="898">
        <f t="shared" si="446"/>
        <v>0</v>
      </c>
      <c r="U238" s="898">
        <f t="shared" si="447"/>
        <v>17</v>
      </c>
      <c r="V238" s="898"/>
      <c r="W238" s="898">
        <f t="shared" si="448"/>
        <v>0</v>
      </c>
      <c r="X238" s="898">
        <f t="shared" si="449"/>
        <v>0</v>
      </c>
      <c r="Y238" s="898" t="str">
        <f t="shared" si="450"/>
        <v>FALSE</v>
      </c>
      <c r="Z238" s="898">
        <f t="shared" si="451"/>
        <v>74.23</v>
      </c>
      <c r="AA238" s="898">
        <f t="shared" si="452"/>
        <v>74.23</v>
      </c>
      <c r="AB238" s="898" t="str">
        <f t="shared" si="453"/>
        <v/>
      </c>
      <c r="AC238" s="563">
        <f>Sheet1!Y240*MGDtoCFS</f>
        <v>94.521699999999996</v>
      </c>
      <c r="AD238" s="563">
        <f>Sheet1!Z240*MGDtoCFS</f>
        <v>39.757899999999999</v>
      </c>
      <c r="AE238" s="563">
        <f>Sheet1!AA240*MGDtoCFS</f>
        <v>93.33050999999999</v>
      </c>
      <c r="AF238" s="563">
        <f>Sheet1!AB240*MGDtoCFS</f>
        <v>21.503299999999999</v>
      </c>
      <c r="AG238" s="563">
        <f>Sheet1!L240*MGDtoCFS</f>
        <v>1.5469999997523701E-2</v>
      </c>
      <c r="AH238" s="545">
        <f t="shared" si="485"/>
        <v>17.040552325581395</v>
      </c>
      <c r="AI238" s="560">
        <f t="shared" si="486"/>
        <v>26.361734447674415</v>
      </c>
      <c r="AJ238" s="560">
        <f t="shared" si="487"/>
        <v>0</v>
      </c>
      <c r="AK238" s="560">
        <f t="shared" si="488"/>
        <v>0</v>
      </c>
      <c r="AL238" s="560">
        <f>(VLOOKUP(Sheet1!DC240,hhdcap_wcm,4)-(((VLOOKUP(Sheet1!DC240,hhdcap_wcm,3)-Sheet1!DC240)/(VLOOKUP(Sheet1!DC240,hhdcap_wcm,3)-VLOOKUP(Sheet1!DC240,hhdcap_wcm,1)))*(VLOOKUP(Sheet1!DC240,hhdcap_wcm,4)-VLOOKUP(Sheet1!DC240,hhdcap_wcm,2))))</f>
        <v>40044.000000099768</v>
      </c>
      <c r="AM238" s="560">
        <f t="shared" si="489"/>
        <v>-226.80000000120344</v>
      </c>
      <c r="AN238" s="560">
        <f t="shared" si="490"/>
        <v>2361.3021220570886</v>
      </c>
      <c r="AO238" s="560">
        <f t="shared" si="491"/>
        <v>7244.4749104711482</v>
      </c>
      <c r="AP238" s="560">
        <f>Sheet1!BA240+Sheet1!BB240+Sheet1!BN240+CD238</f>
        <v>-2.4</v>
      </c>
      <c r="AQ238" s="560">
        <f>Sheet1!BN240+(DO238*Sheet1!BN240)</f>
        <v>-4.0406976744186052</v>
      </c>
      <c r="AR238" s="560">
        <f>Sheet1!BA240+CD238</f>
        <v>0</v>
      </c>
      <c r="AS238" s="560">
        <f>Sheet1!BA240+Sheet1!BB240+CD238</f>
        <v>1.6</v>
      </c>
      <c r="AT238" s="698">
        <f>0</f>
        <v>0</v>
      </c>
      <c r="AU238" s="560">
        <f>IF(EB238&lt;K238,0,MAX(Sheet1!AA240+AQ238-15/36*K238-N238,Sheet1!EH240,0))</f>
        <v>0</v>
      </c>
      <c r="AV238" s="560">
        <f>IF(OR(B238&gt;=GD238,B238&lt;GC238),0,15/36*K238-MAX(0,64.6-(137.6-(Sheet1!AA240+Sheet1!AB240))))</f>
        <v>0</v>
      </c>
      <c r="AW238" s="698">
        <f>Sheet1!DB240-110</f>
        <v>145</v>
      </c>
      <c r="AX238" s="698">
        <f>Sheet1!DA240-265</f>
        <v>169</v>
      </c>
      <c r="AY238" s="698">
        <f t="shared" si="492"/>
        <v>15.769999999999996</v>
      </c>
      <c r="AZ238" s="1082"/>
      <c r="BA238" s="698">
        <f t="shared" si="493"/>
        <v>0</v>
      </c>
      <c r="BB238" s="560">
        <f t="shared" si="494"/>
        <v>1216.8376666666668</v>
      </c>
      <c r="BC238" s="560"/>
      <c r="BD238" s="560">
        <f ca="1">IF(B238&gt;Summary!$A$1,#N/A,BB238*MGtoAF)</f>
        <v>3733.2579613333337</v>
      </c>
      <c r="BE238" s="560">
        <f>Sheet1!BG240+Sheet1!BH240+Sheet1!BI240-BM238</f>
        <v>2.02</v>
      </c>
      <c r="BF238" s="560">
        <f t="shared" si="495"/>
        <v>2.0405523255813955</v>
      </c>
      <c r="BG238" s="560">
        <f>IF(Sheet1!EP240="FM",BM238,0)</f>
        <v>0</v>
      </c>
      <c r="BH238" s="560">
        <f t="shared" si="496"/>
        <v>0</v>
      </c>
      <c r="BI238" s="560">
        <f>IF(Sheet1!EP240="OTHER",BM238,0)</f>
        <v>0</v>
      </c>
      <c r="BJ238" s="560">
        <f t="shared" si="497"/>
        <v>0</v>
      </c>
      <c r="BK238" s="560">
        <f t="shared" si="498"/>
        <v>2.02</v>
      </c>
      <c r="BL238" s="560">
        <f t="shared" si="499"/>
        <v>2.0405523255813955</v>
      </c>
      <c r="BM238" s="560">
        <f>IF(OR(Sheet1!EP240="FM", Sheet1!EP240="OTHER"),SUM(Sheet1!BG240:'Sheet1'!BI240),0)</f>
        <v>0</v>
      </c>
      <c r="BN238" s="545">
        <f>IF(AND($B238&gt;=$FV238,$B238&lt;=$FW238),MAX(BF238,Sheet1!EI240,0),MAX(BF238-(7/36)*$K238,0))</f>
        <v>2.0405523255813955</v>
      </c>
      <c r="BO238" s="560">
        <f t="shared" si="500"/>
        <v>0</v>
      </c>
      <c r="BP238" s="545">
        <f t="shared" si="501"/>
        <v>0</v>
      </c>
      <c r="BQ238" s="545">
        <f>IF(AND($O238&gt;0,Sheet1!EM240=1),(1-($O238-Sheet1!$L240)/$O238)*BL238,0)</f>
        <v>0</v>
      </c>
      <c r="BR238" s="545">
        <f>IF(AND(Sheet1!$L240=0,Sheet1!$L239=0, Calculation!BK238&lt;Sheet1!$EI240-0.1,Sheet1!$EI240=Sheet1!$EI239,Sheet1!$EI240=Sheet1!$EI241),Sheet1!$EI240,BL238-BQ238)</f>
        <v>2.0405523255813955</v>
      </c>
      <c r="BS238" s="560"/>
      <c r="BT238" s="560"/>
      <c r="BU238" s="560">
        <f t="shared" si="502"/>
        <v>528.59808816602776</v>
      </c>
      <c r="BV238" s="560"/>
      <c r="BW238" s="560">
        <f ca="1">IF(B238&gt;Summary!$A$1,#N/A,BU238*MGtoAF)</f>
        <v>1621.7389344933731</v>
      </c>
      <c r="BX238" s="560">
        <f>Sheet1!BC240+Sheet1!BD240+Sheet1!BE240+Sheet1!BF240-CG238-CH238</f>
        <v>3.64</v>
      </c>
      <c r="BY238" s="560">
        <f t="shared" si="503"/>
        <v>3.6770348837209306</v>
      </c>
      <c r="BZ238" s="560">
        <f>IF(Sheet1!EQ240="FM",CH238,0)</f>
        <v>0</v>
      </c>
      <c r="CA238" s="560">
        <f t="shared" si="504"/>
        <v>0</v>
      </c>
      <c r="CB238" s="560">
        <f>IF(Sheet1!EQ240="OTHER",CH238,0)</f>
        <v>0</v>
      </c>
      <c r="CC238" s="560">
        <f t="shared" si="505"/>
        <v>0</v>
      </c>
      <c r="CD238" s="560">
        <f t="shared" si="506"/>
        <v>0</v>
      </c>
      <c r="CE238" s="560">
        <f t="shared" si="507"/>
        <v>3.64</v>
      </c>
      <c r="CF238" s="560">
        <f t="shared" si="508"/>
        <v>3.6770348837209306</v>
      </c>
      <c r="CG238" s="560">
        <f>IF(Sheet1!EQ240="CWA",SUM(Sheet1!BC240:'Sheet1'!BF240),0)</f>
        <v>0</v>
      </c>
      <c r="CH238" s="560">
        <f>IF(OR(Sheet1!EQ240="FM", Sheet1!EQ240="OTHER"),SUM(Sheet1!BC240:'Sheet1'!BF240),0)</f>
        <v>0</v>
      </c>
      <c r="CI238" s="545">
        <f>IF(AND($B238&gt;=$FV238,$B238&lt;=$FW238),MAX(CF238,Sheet1!EJ240,0),MAX(CF238-(7/36)*$K238,0))</f>
        <v>4</v>
      </c>
      <c r="CJ238" s="560">
        <f t="shared" si="509"/>
        <v>0</v>
      </c>
      <c r="CK238" s="545">
        <f t="shared" si="510"/>
        <v>0</v>
      </c>
      <c r="CL238" s="545">
        <f>IF(AND($O238&gt;0,Sheet1!EN240=1),(1-($O238-Sheet1!$L240)/$O238)*CF238,0)</f>
        <v>0</v>
      </c>
      <c r="CM238" s="545">
        <f>IF(AND(Sheet1!$L240=0,Sheet1!$L239=0, Calculation!CE238&lt;Sheet1!EJ240-0.1,Sheet1!EJ240=Sheet1!EJ239,Sheet1!EJ240=Sheet1!EJ241),Sheet1!EJ240,CF238-CL238)</f>
        <v>3.6770348837209306</v>
      </c>
      <c r="CN238" s="545"/>
      <c r="CO238" s="560"/>
      <c r="CP238" s="560">
        <f t="shared" si="511"/>
        <v>418.42143146696856</v>
      </c>
      <c r="CQ238" s="560"/>
      <c r="CR238" s="560">
        <f ca="1">IF(B238&gt;Summary!$A$1,#N/A,CP238*MGtoAF)</f>
        <v>1283.7169517406596</v>
      </c>
      <c r="CS238" s="560">
        <f>Sheet1!BK240+Sheet1!BL240+Sheet1!BM240-Sheet1!ER240-DA238</f>
        <v>10.5</v>
      </c>
      <c r="CT238" s="560">
        <f t="shared" si="512"/>
        <v>10.606831395348838</v>
      </c>
      <c r="CU238" s="560">
        <f>IF(Sheet1!ER240="FM",DA238,0)</f>
        <v>0</v>
      </c>
      <c r="CV238" s="560">
        <f t="shared" si="513"/>
        <v>0</v>
      </c>
      <c r="CW238" s="560">
        <f>IF(Sheet1!ER240="OTHER",DA238,0)</f>
        <v>0</v>
      </c>
      <c r="CX238" s="560">
        <f t="shared" si="514"/>
        <v>0</v>
      </c>
      <c r="CY238" s="560">
        <f t="shared" si="515"/>
        <v>10.5</v>
      </c>
      <c r="CZ238" s="560">
        <f t="shared" si="516"/>
        <v>10.606831395348838</v>
      </c>
      <c r="DA238" s="560">
        <f>IF(OR(Sheet1!ER240="FM", Sheet1!ER240="OTHER"),SUM(Sheet1!BK240:'Sheet1'!BM240),0)</f>
        <v>0</v>
      </c>
      <c r="DB238" s="545">
        <f>IF(AND($B238&gt;=$FV238,$B238&lt;=$FW238),MAX($CT238,Sheet1!EK240,0),MAX($CT238-(7/36)*$K238,0))</f>
        <v>11</v>
      </c>
      <c r="DC238" s="560">
        <f t="shared" si="517"/>
        <v>0</v>
      </c>
      <c r="DD238" s="545">
        <f t="shared" si="518"/>
        <v>0</v>
      </c>
      <c r="DE238" s="545">
        <f>IF(AND($O238&gt;0,Sheet1!EO240=1),(1-($O238-Sheet1!$L240)/$O238)*CZ238,0)</f>
        <v>0</v>
      </c>
      <c r="DF238" s="545">
        <f>IF(AND(Sheet1!$L240=0,Sheet1!$L239=0, Calculation!CY238&lt;Sheet1!$EK240-0.1,Sheet1!$EK240=Sheet1!$EK239,Sheet1!$EK240=Sheet1!$EK241),Sheet1!$EK240,CZ238-DE238)</f>
        <v>10.606831395348838</v>
      </c>
      <c r="DG238" s="545"/>
      <c r="DH238" s="560">
        <f t="shared" si="519"/>
        <v>16.16</v>
      </c>
      <c r="DI238" s="560">
        <f t="shared" si="520"/>
        <v>197.4449357574253</v>
      </c>
      <c r="DJ238" s="698">
        <f t="shared" si="521"/>
        <v>16.324418604651164</v>
      </c>
      <c r="DK238" s="560">
        <f ca="1">IF(B238&gt;Summary!$A$1,#N/A,DI238*MGtoAF)</f>
        <v>605.76106290378084</v>
      </c>
      <c r="DL238" s="698">
        <f t="shared" si="522"/>
        <v>16.16</v>
      </c>
      <c r="DM238" s="560">
        <f t="shared" si="523"/>
        <v>13.76</v>
      </c>
      <c r="DN238" s="560">
        <f>Sheet1!AB240-DM238</f>
        <v>0.14000000000000057</v>
      </c>
      <c r="DO238" s="823">
        <f t="shared" si="524"/>
        <v>1.0174418604651203E-2</v>
      </c>
      <c r="DP238" s="560">
        <f>(VLOOKUP(Sheet1!DC240,hhdcap_wcm,4)-(((VLOOKUP(Sheet1!DC240,hhdcap_wcm,3)-Sheet1!DC240)/(VLOOKUP(Sheet1!DC240,hhdcap_wcm,3)-VLOOKUP(Sheet1!DC240,hhdcap_wcm,1)))*(VLOOKUP(Sheet1!DC240,hhdcap_wcm,4)-VLOOKUP(Sheet1!DC240,hhdcap_wcm,2))))</f>
        <v>40044.000000099768</v>
      </c>
      <c r="DQ238" s="560">
        <f t="shared" si="525"/>
        <v>-226.80000000120344</v>
      </c>
      <c r="DR238" s="560">
        <f t="shared" si="526"/>
        <v>-114.37216338941171</v>
      </c>
      <c r="DS238" s="560">
        <f>Sheet1!EA240*AFtoMG</f>
        <v>0</v>
      </c>
      <c r="DT238" s="560">
        <f>Sheet1!EB240*AFtoMG</f>
        <v>0</v>
      </c>
      <c r="DU238" s="560">
        <f>Sheet1!EC240*AFtoMG</f>
        <v>0</v>
      </c>
      <c r="DV238" s="560">
        <f>Sheet1!ED240*AFtoMG</f>
        <v>0</v>
      </c>
      <c r="DW238" s="560">
        <f t="shared" si="527"/>
        <v>0</v>
      </c>
      <c r="DX238" s="560">
        <f t="shared" si="528"/>
        <v>0</v>
      </c>
      <c r="DY238" s="560">
        <f t="shared" si="529"/>
        <v>2361.3021220570886</v>
      </c>
      <c r="DZ238" s="560">
        <f t="shared" si="530"/>
        <v>7244.4749104711482</v>
      </c>
      <c r="EA238" s="560"/>
      <c r="EB238" s="545">
        <f>IF(OR(B238&lt;FV238,B238&gt;FW238),(MIN(BF238+BY238+CT238+MAX(Sheet1!AA240+AQ238-73,0),K238)),0)</f>
        <v>0</v>
      </c>
      <c r="EC238" s="560"/>
      <c r="ED238" s="560">
        <f t="shared" si="531"/>
        <v>16.324418604651164</v>
      </c>
      <c r="EE238" s="560"/>
      <c r="EF238" s="560">
        <f>Sheet1!EH240+Sheet1!EI240+Sheet1!EJ240+Sheet1!EK240</f>
        <v>17</v>
      </c>
      <c r="EG238" s="560"/>
      <c r="EH238" s="545">
        <f t="shared" si="532"/>
        <v>0</v>
      </c>
      <c r="EI238" s="560">
        <f>IF(Sheet1!ET240=1,SUM('Calculations II'!AT238:BA238)+'Calculations II'!BC238+Sheet1!BV240+'Calculations II'!BE238+AP238,SUM('Calculations II'!AT238:BA238)+'Calculations II'!BC238+Sheet1!BV240+'Calculations II'!BE238+AP238)</f>
        <v>70.316255999999996</v>
      </c>
      <c r="EJ238" s="560">
        <f>Sheet1!AA240+Sheet1!AB240+'Calculations II'!BC238</f>
        <v>74.23</v>
      </c>
      <c r="EK238" s="560"/>
      <c r="EL238" s="560"/>
      <c r="EM238" s="560">
        <f t="shared" si="533"/>
        <v>41866</v>
      </c>
      <c r="EN238" s="560">
        <f t="shared" si="534"/>
        <v>-17.040552325581395</v>
      </c>
      <c r="EO238" s="560">
        <f t="shared" si="535"/>
        <v>-26.361734447674415</v>
      </c>
      <c r="EP238" s="560">
        <v>0</v>
      </c>
      <c r="EQ238" s="560">
        <v>0</v>
      </c>
      <c r="ER238" s="560">
        <v>0</v>
      </c>
      <c r="ES238" s="545">
        <f t="shared" si="454"/>
        <v>1.387957496252235</v>
      </c>
      <c r="ET238" s="560">
        <f>-(VLOOKUP(Sheet1!BQ240,Lookup!$O$4:$Q$262,2)-VLOOKUP(Sheet1!BQ239,Lookup!$O$4:$Q$262,2))/1000000</f>
        <v>0.69399478670597081</v>
      </c>
      <c r="EU238" s="560">
        <f>-(VLOOKUP(Sheet1!BR240,Lookup!$O$4:$Q$262,3)-VLOOKUP(Sheet1!BR239,Lookup!$O$4:$Q$262,3))/1000000</f>
        <v>0.69396270954626427</v>
      </c>
      <c r="EV238" s="560"/>
      <c r="EW238" s="560"/>
      <c r="EX238" s="560"/>
      <c r="EY238" s="560"/>
      <c r="EZ238" s="560"/>
      <c r="FA238" s="560"/>
      <c r="FB238" s="560"/>
      <c r="FC238" s="560"/>
      <c r="FD238" s="594">
        <f t="shared" si="536"/>
        <v>1133.415873015799</v>
      </c>
      <c r="FE238" s="594" t="e">
        <f t="shared" si="537"/>
        <v>#N/A</v>
      </c>
      <c r="FF238" s="595" t="e">
        <f t="shared" si="538"/>
        <v>#N/A</v>
      </c>
      <c r="FG238" s="596" t="s">
        <v>692</v>
      </c>
      <c r="FH238" s="596" t="s">
        <v>692</v>
      </c>
      <c r="FI238" s="594" t="e">
        <v>#N/A</v>
      </c>
      <c r="FJ238" s="778">
        <v>18383</v>
      </c>
      <c r="FK238" s="560"/>
      <c r="FL238" s="560"/>
      <c r="FM238" s="560"/>
      <c r="FN238" s="560"/>
      <c r="FO238" s="560">
        <f>O238+((Sheet1!CS240)*GPMtoMGD)</f>
        <v>74.23</v>
      </c>
      <c r="FP238" s="560">
        <f>IF(Sheet1!AA240+AQ238&lt;=Calculation!N238,AQ238,Calculation!N238-Sheet1!AA240)</f>
        <v>-4.0406976744186052</v>
      </c>
      <c r="FQ238" s="560">
        <f>(Sheet1!BP240+Sheet1!BO240)/694.4</f>
        <v>2.8002592165898617</v>
      </c>
      <c r="FR238" s="560"/>
      <c r="FS238" s="560"/>
      <c r="FT238" s="560"/>
      <c r="FU238" s="560"/>
      <c r="FV238" s="695">
        <f t="shared" si="455"/>
        <v>41827</v>
      </c>
      <c r="FW238" s="695">
        <f t="shared" si="456"/>
        <v>41934</v>
      </c>
      <c r="FX238" s="560"/>
      <c r="FY238" s="560"/>
      <c r="FZ238" s="560"/>
      <c r="GA238" s="560"/>
      <c r="GB238" s="560" t="str">
        <f t="shared" si="457"/>
        <v>n</v>
      </c>
      <c r="GC238" s="564">
        <f t="shared" si="458"/>
        <v>41691</v>
      </c>
      <c r="GD238" s="695">
        <f t="shared" si="459"/>
        <v>41807</v>
      </c>
      <c r="GE238" s="560">
        <v>6518.9</v>
      </c>
      <c r="GF238" s="695">
        <f t="shared" si="460"/>
        <v>41808</v>
      </c>
      <c r="GG238" s="560">
        <f t="shared" si="479"/>
        <v>3259</v>
      </c>
      <c r="GH238" s="564">
        <f t="shared" si="461"/>
        <v>41934</v>
      </c>
      <c r="GJ238" s="545">
        <f t="shared" si="462"/>
        <v>0</v>
      </c>
      <c r="GK238" s="560" t="str">
        <f t="shared" si="539"/>
        <v/>
      </c>
      <c r="GL238" s="560">
        <f t="shared" si="463"/>
        <v>0</v>
      </c>
      <c r="GM238" s="560" t="str">
        <f t="shared" si="464"/>
        <v/>
      </c>
      <c r="GN238" s="560">
        <f>IF(GK238="P",Lookup!$M$12,IF(GK238="PP",Lookup!$M$13,IF(GK238="PPP",Lookup!$M$14,IF(GK238="T",Lookup!$M$15,IF(GK238="TP",Lookup!$M$16,IF(GK238="TPP",Lookup!$M$17,IF(GK238="TPPP",Lookup!$M$18,0)))))))*GJ238</f>
        <v>0</v>
      </c>
      <c r="GO238" s="560">
        <f t="shared" si="465"/>
        <v>0</v>
      </c>
      <c r="GP238" s="560">
        <f t="shared" si="540"/>
        <v>3733.2579613333337</v>
      </c>
      <c r="GQ238" s="560">
        <f t="shared" si="473"/>
        <v>1216.8376666666668</v>
      </c>
      <c r="GR238" s="560"/>
      <c r="GS238" s="560">
        <f t="shared" si="466"/>
        <v>0</v>
      </c>
      <c r="GT238" s="560" t="str">
        <f t="shared" si="467"/>
        <v/>
      </c>
      <c r="GU238" s="560">
        <f>IF(GK238="P",Lookup!$N$12,IF(GK238="PP",Lookup!$N$13,IF(GK238="PPP",Lookup!$N$14,IF(GK238="T",Lookup!$N$15,IF(GK238="TP",Lookup!$N$16,IF(GK238="TPP",Lookup!$N$17,IF(GK238="TPPP",Lookup!$N$18,0)))))))*GJ238</f>
        <v>0</v>
      </c>
      <c r="GV238" s="560">
        <f t="shared" si="468"/>
        <v>0</v>
      </c>
      <c r="GW238" s="560">
        <f t="shared" si="541"/>
        <v>1621.7389344933731</v>
      </c>
      <c r="GX238" s="560">
        <f t="shared" si="474"/>
        <v>528.59808816602776</v>
      </c>
      <c r="GY238" s="560"/>
      <c r="GZ238" s="560">
        <f t="shared" si="469"/>
        <v>0</v>
      </c>
      <c r="HA238" s="560" t="str">
        <f t="shared" si="470"/>
        <v/>
      </c>
      <c r="HB238" s="560">
        <f>IF(GK238="P",Lookup!$N$12,IF(GK238="PP",Lookup!$N$13,IF(GK238="PPP",Lookup!$N$14,IF(GK238="T",Lookup!$N$15,IF(GK238="TP",Lookup!$N$16,IF(GK238="TPP",Lookup!$N$17,IF(GK238="TPPP",Lookup!$N$18,0)))))))*GJ238</f>
        <v>0</v>
      </c>
      <c r="HC238" s="545">
        <f t="shared" si="542"/>
        <v>0</v>
      </c>
      <c r="HD238" s="560">
        <f t="shared" si="543"/>
        <v>1283.7169517406596</v>
      </c>
      <c r="HE238" s="560">
        <f t="shared" si="475"/>
        <v>418.42143146696856</v>
      </c>
      <c r="HF238" s="560"/>
      <c r="HG238" s="560">
        <f t="shared" si="471"/>
        <v>0</v>
      </c>
      <c r="HH238" s="560" t="str">
        <f t="shared" si="472"/>
        <v/>
      </c>
      <c r="HI238" s="560">
        <f>IF(GK238="P",Lookup!$N$12,IF(GK238="PP",Lookup!$N$13,IF(GK238="PPP",Lookup!$N$14,IF(GK238="T",Lookup!$N$15,IF(GK238="TP",Lookup!$N$16,IF(GK238="TPP",Lookup!$N$17,IF(GK238="TPPP",Lookup!$N$18,0)))))))*GJ238</f>
        <v>0</v>
      </c>
      <c r="HJ238" s="545">
        <f t="shared" si="544"/>
        <v>0</v>
      </c>
      <c r="HK238" s="560">
        <f t="shared" si="545"/>
        <v>605.76106290378084</v>
      </c>
      <c r="HL238" s="560">
        <f t="shared" si="476"/>
        <v>197.4449357574253</v>
      </c>
    </row>
    <row r="239" spans="1:220">
      <c r="A239" s="580" t="s">
        <v>9</v>
      </c>
      <c r="B239" s="556">
        <v>41867</v>
      </c>
      <c r="C239" s="561">
        <v>0</v>
      </c>
      <c r="D239" s="529">
        <f t="shared" si="477"/>
        <v>200</v>
      </c>
      <c r="E239" s="529">
        <f t="shared" si="478"/>
        <v>400</v>
      </c>
      <c r="F239" s="529">
        <v>250</v>
      </c>
      <c r="G239" s="560">
        <f>DR239+Sheet1!CZ241</f>
        <v>215.67120524494587</v>
      </c>
      <c r="H239" s="914">
        <f t="shared" si="480"/>
        <v>0</v>
      </c>
      <c r="I239" s="559">
        <f>MAX(Sheet1!Z241-AT239+(Sheet1!DA241-E239)*CFStoMGD,0)</f>
        <v>32.645600000000002</v>
      </c>
      <c r="J239" s="562">
        <f>IF(AND(B239&gt;=Calculation!GC239,B239&lt;=Calculation!GD239),IF(Sheet1!DB241&gt;=Calculation!D239,64.64,0),MAX(Sheet1!Z241-AT239+(Sheet1!DB241-D239)*CFStoMGD,0))</f>
        <v>44.280799999999999</v>
      </c>
      <c r="K239" s="904">
        <f t="shared" si="481"/>
        <v>0</v>
      </c>
      <c r="L239" s="560">
        <f>Sheet1!AA241+Sheet1!AB241-Sheet1!L241+(Sheet1!DA241-F239)*CFStoMGD</f>
        <v>188.53559999999999</v>
      </c>
      <c r="M239" s="560">
        <f t="shared" si="482"/>
        <v>142.19806441173967</v>
      </c>
      <c r="N239" s="910">
        <f>IF(Sheet1!DA241&gt;=F239,MIN(73,MIN(MAX(L239,0),MAX(M239,0))),0)</f>
        <v>73</v>
      </c>
      <c r="O239" s="563">
        <f>Sheet1!AA241+Sheet1!AB241</f>
        <v>72.83</v>
      </c>
      <c r="P239" s="563">
        <f t="shared" si="483"/>
        <v>112.66801</v>
      </c>
      <c r="Q239" s="898">
        <f t="shared" si="444"/>
        <v>55.33</v>
      </c>
      <c r="R239" s="829">
        <f t="shared" si="484"/>
        <v>17.5</v>
      </c>
      <c r="S239" s="898">
        <f t="shared" si="445"/>
        <v>0</v>
      </c>
      <c r="T239" s="898">
        <f t="shared" si="446"/>
        <v>0</v>
      </c>
      <c r="U239" s="898">
        <f t="shared" si="447"/>
        <v>17.5</v>
      </c>
      <c r="V239" s="898"/>
      <c r="W239" s="898">
        <f t="shared" si="448"/>
        <v>0</v>
      </c>
      <c r="X239" s="898">
        <f t="shared" si="449"/>
        <v>0</v>
      </c>
      <c r="Y239" s="898" t="str">
        <f t="shared" si="450"/>
        <v>FALSE</v>
      </c>
      <c r="Z239" s="898">
        <f t="shared" si="451"/>
        <v>72.83</v>
      </c>
      <c r="AA239" s="898">
        <f t="shared" si="452"/>
        <v>72.83</v>
      </c>
      <c r="AB239" s="898" t="str">
        <f t="shared" si="453"/>
        <v/>
      </c>
      <c r="AC239" s="563">
        <f>Sheet1!Y241*MGDtoCFS</f>
        <v>93.33050999999999</v>
      </c>
      <c r="AD239" s="563">
        <f>Sheet1!Z241*MGDtoCFS</f>
        <v>21.503299999999999</v>
      </c>
      <c r="AE239" s="563">
        <f>Sheet1!AA241*MGDtoCFS</f>
        <v>91.319409999999991</v>
      </c>
      <c r="AF239" s="563">
        <f>Sheet1!AB241*MGDtoCFS</f>
        <v>21.348600000000001</v>
      </c>
      <c r="AG239" s="563">
        <f>Sheet1!L241*MGDtoCFS</f>
        <v>0</v>
      </c>
      <c r="AH239" s="545">
        <f t="shared" si="485"/>
        <v>17.5</v>
      </c>
      <c r="AI239" s="560">
        <f t="shared" si="486"/>
        <v>27.072499999999998</v>
      </c>
      <c r="AJ239" s="560">
        <f t="shared" si="487"/>
        <v>0</v>
      </c>
      <c r="AK239" s="560">
        <f t="shared" si="488"/>
        <v>0</v>
      </c>
      <c r="AL239" s="560">
        <f>(VLOOKUP(Sheet1!DC241,hhdcap_wcm,4)-(((VLOOKUP(Sheet1!DC241,hhdcap_wcm,3)-Sheet1!DC241)/(VLOOKUP(Sheet1!DC241,hhdcap_wcm,3)-VLOOKUP(Sheet1!DC241,hhdcap_wcm,1)))*(VLOOKUP(Sheet1!DC241,hhdcap_wcm,4)-VLOOKUP(Sheet1!DC241,hhdcap_wcm,2))))</f>
        <v>39734.000000100496</v>
      </c>
      <c r="AM239" s="560">
        <f t="shared" si="489"/>
        <v>-309.9999999992724</v>
      </c>
      <c r="AN239" s="560">
        <f t="shared" si="490"/>
        <v>2343.8021220570886</v>
      </c>
      <c r="AO239" s="560">
        <f t="shared" si="491"/>
        <v>7190.7849104711477</v>
      </c>
      <c r="AP239" s="560">
        <f>Sheet1!BA241+Sheet1!BB241+Sheet1!BN241+CD239</f>
        <v>-3.4</v>
      </c>
      <c r="AQ239" s="560">
        <f>Sheet1!BN241+(DO239*Sheet1!BN241)</f>
        <v>-4.9426934097421213</v>
      </c>
      <c r="AR239" s="560">
        <f>Sheet1!BA241+CD239</f>
        <v>0</v>
      </c>
      <c r="AS239" s="560">
        <f>Sheet1!BA241+Sheet1!BB241+CD239</f>
        <v>1.6</v>
      </c>
      <c r="AT239" s="698">
        <f>0</f>
        <v>0</v>
      </c>
      <c r="AU239" s="560">
        <f>IF(EB239&lt;K239,0,MAX(Sheet1!AA241+AQ239-15/36*K239-N239,Sheet1!EH241,0))</f>
        <v>0</v>
      </c>
      <c r="AV239" s="560">
        <f>IF(OR(B239&gt;=GD239,B239&lt;GC239),0,15/36*K239-MAX(0,64.6-(137.6-(Sheet1!AA241+Sheet1!AB241))))</f>
        <v>0</v>
      </c>
      <c r="AW239" s="698">
        <f>Sheet1!DB241-110</f>
        <v>137</v>
      </c>
      <c r="AX239" s="698">
        <f>Sheet1!DA241-265</f>
        <v>164</v>
      </c>
      <c r="AY239" s="698">
        <f t="shared" si="492"/>
        <v>17.670000000000002</v>
      </c>
      <c r="AZ239" s="1082"/>
      <c r="BA239" s="698">
        <f t="shared" si="493"/>
        <v>0</v>
      </c>
      <c r="BB239" s="560">
        <f t="shared" si="494"/>
        <v>1216.8376666666668</v>
      </c>
      <c r="BC239" s="560"/>
      <c r="BD239" s="560">
        <f ca="1">IF(B239&gt;Summary!$A$1,#N/A,BB239*MGtoAF)</f>
        <v>3733.2579613333337</v>
      </c>
      <c r="BE239" s="560">
        <f>Sheet1!BG241+Sheet1!BH241+Sheet1!BI241-BM239</f>
        <v>2.02</v>
      </c>
      <c r="BF239" s="560">
        <f t="shared" si="495"/>
        <v>1.9968481375358169</v>
      </c>
      <c r="BG239" s="560">
        <f>IF(Sheet1!EP241="FM",BM239,0)</f>
        <v>0</v>
      </c>
      <c r="BH239" s="560">
        <f t="shared" si="496"/>
        <v>0</v>
      </c>
      <c r="BI239" s="560">
        <f>IF(Sheet1!EP241="OTHER",BM239,0)</f>
        <v>0</v>
      </c>
      <c r="BJ239" s="560">
        <f t="shared" si="497"/>
        <v>0</v>
      </c>
      <c r="BK239" s="560">
        <f t="shared" si="498"/>
        <v>2.02</v>
      </c>
      <c r="BL239" s="560">
        <f t="shared" si="499"/>
        <v>1.9968481375358169</v>
      </c>
      <c r="BM239" s="560">
        <f>IF(OR(Sheet1!EP241="FM", Sheet1!EP241="OTHER"),SUM(Sheet1!BG241:'Sheet1'!BI241),0)</f>
        <v>0</v>
      </c>
      <c r="BN239" s="545">
        <f>IF(AND($B239&gt;=$FV239,$B239&lt;=$FW239),MAX(BF239,Sheet1!EI241,0),MAX(BF239-(7/36)*$K239,0))</f>
        <v>2</v>
      </c>
      <c r="BO239" s="560">
        <f t="shared" si="500"/>
        <v>0</v>
      </c>
      <c r="BP239" s="545">
        <f t="shared" si="501"/>
        <v>0</v>
      </c>
      <c r="BQ239" s="545">
        <f>IF(AND($O239&gt;0,Sheet1!EM241=1),(1-($O239-Sheet1!$L241)/$O239)*BL239,0)</f>
        <v>0</v>
      </c>
      <c r="BR239" s="545">
        <f>IF(AND(Sheet1!$L241=0,Sheet1!$L240=0, Calculation!BK239&lt;Sheet1!$EI241-0.1,Sheet1!$EI241=Sheet1!$EI240,Sheet1!$EI241=Sheet1!$EI242),Sheet1!$EI241,BL239-BQ239)</f>
        <v>1.9968481375358169</v>
      </c>
      <c r="BS239" s="560"/>
      <c r="BT239" s="560"/>
      <c r="BU239" s="560">
        <f t="shared" si="502"/>
        <v>526.59808816602776</v>
      </c>
      <c r="BV239" s="560"/>
      <c r="BW239" s="560">
        <f ca="1">IF(B239&gt;Summary!$A$1,#N/A,BU239*MGtoAF)</f>
        <v>1615.6029344933731</v>
      </c>
      <c r="BX239" s="560">
        <f>Sheet1!BC241+Sheet1!BD241+Sheet1!BE241+Sheet1!BF241-CG239-CH239</f>
        <v>4.34</v>
      </c>
      <c r="BY239" s="560">
        <f t="shared" si="503"/>
        <v>4.2902578796561608</v>
      </c>
      <c r="BZ239" s="560">
        <f>IF(Sheet1!EQ241="FM",CH239,0)</f>
        <v>0</v>
      </c>
      <c r="CA239" s="560">
        <f t="shared" si="504"/>
        <v>0</v>
      </c>
      <c r="CB239" s="560">
        <f>IF(Sheet1!EQ241="OTHER",CH239,0)</f>
        <v>0</v>
      </c>
      <c r="CC239" s="560">
        <f t="shared" si="505"/>
        <v>0</v>
      </c>
      <c r="CD239" s="560">
        <f t="shared" si="506"/>
        <v>0</v>
      </c>
      <c r="CE239" s="560">
        <f t="shared" si="507"/>
        <v>4.34</v>
      </c>
      <c r="CF239" s="560">
        <f t="shared" si="508"/>
        <v>4.2902578796561608</v>
      </c>
      <c r="CG239" s="560">
        <f>IF(Sheet1!EQ241="CWA",SUM(Sheet1!BC241:'Sheet1'!BF241),0)</f>
        <v>0</v>
      </c>
      <c r="CH239" s="560">
        <f>IF(OR(Sheet1!EQ241="FM", Sheet1!EQ241="OTHER"),SUM(Sheet1!BC241:'Sheet1'!BF241),0)</f>
        <v>0</v>
      </c>
      <c r="CI239" s="545">
        <f>IF(AND($B239&gt;=$FV239,$B239&lt;=$FW239),MAX(CF239,Sheet1!EJ241,0),MAX(CF239-(7/36)*$K239,0))</f>
        <v>4.5</v>
      </c>
      <c r="CJ239" s="560">
        <f t="shared" si="509"/>
        <v>0</v>
      </c>
      <c r="CK239" s="545">
        <f t="shared" si="510"/>
        <v>0</v>
      </c>
      <c r="CL239" s="545">
        <f>IF(AND($O239&gt;0,Sheet1!EN241=1),(1-($O239-Sheet1!$L241)/$O239)*CF239,0)</f>
        <v>0</v>
      </c>
      <c r="CM239" s="545">
        <f>IF(AND(Sheet1!$L241=0,Sheet1!$L240=0, Calculation!CE239&lt;Sheet1!EJ241-0.1,Sheet1!EJ241=Sheet1!EJ240,Sheet1!EJ241=Sheet1!EJ242),Sheet1!EJ241,CF239-CL239)</f>
        <v>4.2902578796561608</v>
      </c>
      <c r="CN239" s="545"/>
      <c r="CO239" s="560"/>
      <c r="CP239" s="560">
        <f t="shared" si="511"/>
        <v>413.92143146696856</v>
      </c>
      <c r="CQ239" s="560"/>
      <c r="CR239" s="560">
        <f ca="1">IF(B239&gt;Summary!$A$1,#N/A,CP239*MGtoAF)</f>
        <v>1269.9109517406596</v>
      </c>
      <c r="CS239" s="560">
        <f>Sheet1!BK241+Sheet1!BL241+Sheet1!BM241-Sheet1!ER241-DA239</f>
        <v>11</v>
      </c>
      <c r="CT239" s="560">
        <f t="shared" si="512"/>
        <v>10.873925501432666</v>
      </c>
      <c r="CU239" s="560">
        <f>IF(Sheet1!ER241="FM",DA239,0)</f>
        <v>0</v>
      </c>
      <c r="CV239" s="560">
        <f t="shared" si="513"/>
        <v>0</v>
      </c>
      <c r="CW239" s="560">
        <f>IF(Sheet1!ER241="OTHER",DA239,0)</f>
        <v>0</v>
      </c>
      <c r="CX239" s="560">
        <f t="shared" si="514"/>
        <v>0</v>
      </c>
      <c r="CY239" s="560">
        <f t="shared" si="515"/>
        <v>11</v>
      </c>
      <c r="CZ239" s="560">
        <f t="shared" si="516"/>
        <v>10.873925501432666</v>
      </c>
      <c r="DA239" s="560">
        <f>IF(OR(Sheet1!ER241="FM", Sheet1!ER241="OTHER"),SUM(Sheet1!BK241:'Sheet1'!BM241),0)</f>
        <v>0</v>
      </c>
      <c r="DB239" s="545">
        <f>IF(AND($B239&gt;=$FV239,$B239&lt;=$FW239),MAX($CT239,Sheet1!EK241,0),MAX($CT239-(7/36)*$K239,0))</f>
        <v>11</v>
      </c>
      <c r="DC239" s="560">
        <f t="shared" si="517"/>
        <v>0</v>
      </c>
      <c r="DD239" s="545">
        <f t="shared" si="518"/>
        <v>0</v>
      </c>
      <c r="DE239" s="545">
        <f>IF(AND($O239&gt;0,Sheet1!EO241=1),(1-($O239-Sheet1!$L241)/$O239)*CZ239,0)</f>
        <v>0</v>
      </c>
      <c r="DF239" s="545">
        <f>IF(AND(Sheet1!$L241=0,Sheet1!$L240=0, Calculation!CY239&lt;Sheet1!$EK241-0.1,Sheet1!$EK241=Sheet1!$EK240,Sheet1!$EK241=Sheet1!$EK242),Sheet1!$EK241,CZ239-DE239)</f>
        <v>10.873925501432666</v>
      </c>
      <c r="DG239" s="545"/>
      <c r="DH239" s="560">
        <f t="shared" si="519"/>
        <v>17.36</v>
      </c>
      <c r="DI239" s="560">
        <f t="shared" si="520"/>
        <v>186.4449357574253</v>
      </c>
      <c r="DJ239" s="698">
        <f t="shared" si="521"/>
        <v>17.161031518624643</v>
      </c>
      <c r="DK239" s="560">
        <f ca="1">IF(B239&gt;Summary!$A$1,#N/A,DI239*MGtoAF)</f>
        <v>572.01306290378079</v>
      </c>
      <c r="DL239" s="698">
        <f t="shared" si="522"/>
        <v>17.36</v>
      </c>
      <c r="DM239" s="560">
        <f t="shared" si="523"/>
        <v>13.959999999999999</v>
      </c>
      <c r="DN239" s="560">
        <f>Sheet1!AB241-DM239</f>
        <v>-0.15999999999999837</v>
      </c>
      <c r="DO239" s="823">
        <f t="shared" si="524"/>
        <v>-1.1461318051575815E-2</v>
      </c>
      <c r="DP239" s="560">
        <f>(VLOOKUP(Sheet1!DC241,hhdcap_wcm,4)-(((VLOOKUP(Sheet1!DC241,hhdcap_wcm,3)-Sheet1!DC241)/(VLOOKUP(Sheet1!DC241,hhdcap_wcm,3)-VLOOKUP(Sheet1!DC241,hhdcap_wcm,1)))*(VLOOKUP(Sheet1!DC241,hhdcap_wcm,4)-VLOOKUP(Sheet1!DC241,hhdcap_wcm,2))))</f>
        <v>39734.000000100496</v>
      </c>
      <c r="DQ239" s="560">
        <f t="shared" si="525"/>
        <v>-309.9999999992724</v>
      </c>
      <c r="DR239" s="560">
        <f t="shared" si="526"/>
        <v>-156.32879475505413</v>
      </c>
      <c r="DS239" s="560">
        <f>Sheet1!EA241*AFtoMG</f>
        <v>0</v>
      </c>
      <c r="DT239" s="560">
        <f>Sheet1!EB241*AFtoMG</f>
        <v>0</v>
      </c>
      <c r="DU239" s="560">
        <f>Sheet1!EC241*AFtoMG</f>
        <v>0</v>
      </c>
      <c r="DV239" s="560">
        <f>Sheet1!ED241*AFtoMG</f>
        <v>0</v>
      </c>
      <c r="DW239" s="560">
        <f t="shared" si="527"/>
        <v>0</v>
      </c>
      <c r="DX239" s="560">
        <f t="shared" si="528"/>
        <v>0</v>
      </c>
      <c r="DY239" s="560">
        <f t="shared" si="529"/>
        <v>2343.8021220570886</v>
      </c>
      <c r="DZ239" s="560">
        <f t="shared" si="530"/>
        <v>7190.7849104711477</v>
      </c>
      <c r="EA239" s="560"/>
      <c r="EB239" s="545">
        <f>IF(OR(B239&lt;FV239,B239&gt;FW239),(MIN(BF239+BY239+CT239+MAX(Sheet1!AA241+AQ239-73,0),K239)),0)</f>
        <v>0</v>
      </c>
      <c r="EC239" s="560"/>
      <c r="ED239" s="560">
        <f t="shared" si="531"/>
        <v>17.161031518624643</v>
      </c>
      <c r="EE239" s="560"/>
      <c r="EF239" s="560">
        <f>Sheet1!EH241+Sheet1!EI241+Sheet1!EJ241+Sheet1!EK241</f>
        <v>17.5</v>
      </c>
      <c r="EG239" s="560"/>
      <c r="EH239" s="545">
        <f t="shared" si="532"/>
        <v>0</v>
      </c>
      <c r="EI239" s="560">
        <f>IF(Sheet1!ET241=1,SUM('Calculations II'!AT239:BA239)+'Calculations II'!BC239+Sheet1!BV241+'Calculations II'!BE239+AP239,SUM('Calculations II'!AT239:BA239)+'Calculations II'!BC239+Sheet1!BV241+'Calculations II'!BE239+AP239)</f>
        <v>72.331551999999988</v>
      </c>
      <c r="EJ239" s="560">
        <f>Sheet1!AA241+Sheet1!AB241+'Calculations II'!BC239</f>
        <v>72.83</v>
      </c>
      <c r="EK239" s="560"/>
      <c r="EL239" s="560"/>
      <c r="EM239" s="560">
        <f t="shared" si="533"/>
        <v>41867</v>
      </c>
      <c r="EN239" s="560">
        <f t="shared" si="534"/>
        <v>-17.5</v>
      </c>
      <c r="EO239" s="560">
        <f t="shared" si="535"/>
        <v>-27.072499999999998</v>
      </c>
      <c r="EP239" s="560">
        <v>0</v>
      </c>
      <c r="EQ239" s="560">
        <v>0</v>
      </c>
      <c r="ER239" s="560">
        <v>0</v>
      </c>
      <c r="ES239" s="545">
        <f t="shared" si="454"/>
        <v>5.1326556799709238</v>
      </c>
      <c r="ET239" s="560">
        <f>-(VLOOKUP(Sheet1!BQ241,Lookup!$O$4:$Q$262,2)-VLOOKUP(Sheet1!BQ240,Lookup!$O$4:$Q$262,2))/1000000</f>
        <v>2.6357176956559494</v>
      </c>
      <c r="EU239" s="560">
        <f>-(VLOOKUP(Sheet1!BR241,Lookup!$O$4:$Q$262,3)-VLOOKUP(Sheet1!BR240,Lookup!$O$4:$Q$262,3))/1000000</f>
        <v>2.4969379843149744</v>
      </c>
      <c r="EV239" s="560"/>
      <c r="EW239" s="560"/>
      <c r="EX239" s="560"/>
      <c r="EY239" s="560"/>
      <c r="EZ239" s="560"/>
      <c r="FA239" s="560"/>
      <c r="FB239" s="560"/>
      <c r="FC239" s="560"/>
      <c r="FD239" s="594">
        <f t="shared" si="536"/>
        <v>1133.1507936507198</v>
      </c>
      <c r="FE239" s="594" t="e">
        <f t="shared" si="537"/>
        <v>#N/A</v>
      </c>
      <c r="FF239" s="595" t="e">
        <f t="shared" si="538"/>
        <v>#N/A</v>
      </c>
      <c r="FG239" s="596" t="s">
        <v>692</v>
      </c>
      <c r="FH239" s="596" t="s">
        <v>692</v>
      </c>
      <c r="FI239" s="594" t="e">
        <v>#N/A</v>
      </c>
      <c r="FJ239" s="778">
        <v>18216</v>
      </c>
      <c r="FK239" s="560"/>
      <c r="FL239" s="560"/>
      <c r="FM239" s="560"/>
      <c r="FN239" s="560"/>
      <c r="FO239" s="560">
        <f>O239+((Sheet1!CS241)*GPMtoMGD)</f>
        <v>72.83</v>
      </c>
      <c r="FP239" s="560">
        <f>IF(Sheet1!AA241+AQ239&lt;=Calculation!N239,AQ239,Calculation!N239-Sheet1!AA241)</f>
        <v>-4.9426934097421213</v>
      </c>
      <c r="FQ239" s="560">
        <f>(Sheet1!BP241+Sheet1!BO241)/694.4</f>
        <v>3.1460253456221197</v>
      </c>
      <c r="FR239" s="560"/>
      <c r="FS239" s="560"/>
      <c r="FT239" s="560"/>
      <c r="FU239" s="560"/>
      <c r="FV239" s="695">
        <f t="shared" si="455"/>
        <v>41827</v>
      </c>
      <c r="FW239" s="695">
        <f t="shared" si="456"/>
        <v>41934</v>
      </c>
      <c r="FX239" s="560"/>
      <c r="FY239" s="560"/>
      <c r="FZ239" s="560"/>
      <c r="GA239" s="560"/>
      <c r="GB239" s="560" t="str">
        <f t="shared" si="457"/>
        <v>n</v>
      </c>
      <c r="GC239" s="564">
        <f t="shared" si="458"/>
        <v>41691</v>
      </c>
      <c r="GD239" s="695">
        <f t="shared" si="459"/>
        <v>41807</v>
      </c>
      <c r="GE239" s="560">
        <v>6518.9</v>
      </c>
      <c r="GF239" s="695">
        <f t="shared" si="460"/>
        <v>41808</v>
      </c>
      <c r="GG239" s="560">
        <f t="shared" si="479"/>
        <v>3259</v>
      </c>
      <c r="GH239" s="564">
        <f t="shared" si="461"/>
        <v>41934</v>
      </c>
      <c r="GJ239" s="545">
        <f t="shared" si="462"/>
        <v>0</v>
      </c>
      <c r="GK239" s="560" t="str">
        <f t="shared" si="539"/>
        <v/>
      </c>
      <c r="GL239" s="560">
        <f t="shared" si="463"/>
        <v>0</v>
      </c>
      <c r="GM239" s="560" t="str">
        <f t="shared" si="464"/>
        <v/>
      </c>
      <c r="GN239" s="560">
        <f>IF(GK239="P",Lookup!$M$12,IF(GK239="PP",Lookup!$M$13,IF(GK239="PPP",Lookup!$M$14,IF(GK239="T",Lookup!$M$15,IF(GK239="TP",Lookup!$M$16,IF(GK239="TPP",Lookup!$M$17,IF(GK239="TPPP",Lookup!$M$18,0)))))))*GJ239</f>
        <v>0</v>
      </c>
      <c r="GO239" s="560">
        <f t="shared" si="465"/>
        <v>0</v>
      </c>
      <c r="GP239" s="560">
        <f t="shared" si="540"/>
        <v>3733.2579613333337</v>
      </c>
      <c r="GQ239" s="560">
        <f t="shared" si="473"/>
        <v>1216.8376666666668</v>
      </c>
      <c r="GR239" s="560"/>
      <c r="GS239" s="560">
        <f t="shared" si="466"/>
        <v>0</v>
      </c>
      <c r="GT239" s="560" t="str">
        <f t="shared" si="467"/>
        <v/>
      </c>
      <c r="GU239" s="560">
        <f>IF(GK239="P",Lookup!$N$12,IF(GK239="PP",Lookup!$N$13,IF(GK239="PPP",Lookup!$N$14,IF(GK239="T",Lookup!$N$15,IF(GK239="TP",Lookup!$N$16,IF(GK239="TPP",Lookup!$N$17,IF(GK239="TPPP",Lookup!$N$18,0)))))))*GJ239</f>
        <v>0</v>
      </c>
      <c r="GV239" s="560">
        <f t="shared" si="468"/>
        <v>0</v>
      </c>
      <c r="GW239" s="560">
        <f t="shared" si="541"/>
        <v>1615.6029344933731</v>
      </c>
      <c r="GX239" s="560">
        <f t="shared" si="474"/>
        <v>526.59808816602776</v>
      </c>
      <c r="GY239" s="560"/>
      <c r="GZ239" s="560">
        <f t="shared" si="469"/>
        <v>0</v>
      </c>
      <c r="HA239" s="560" t="str">
        <f t="shared" si="470"/>
        <v/>
      </c>
      <c r="HB239" s="560">
        <f>IF(GK239="P",Lookup!$N$12,IF(GK239="PP",Lookup!$N$13,IF(GK239="PPP",Lookup!$N$14,IF(GK239="T",Lookup!$N$15,IF(GK239="TP",Lookup!$N$16,IF(GK239="TPP",Lookup!$N$17,IF(GK239="TPPP",Lookup!$N$18,0)))))))*GJ239</f>
        <v>0</v>
      </c>
      <c r="HC239" s="545">
        <f t="shared" si="542"/>
        <v>0</v>
      </c>
      <c r="HD239" s="560">
        <f t="shared" si="543"/>
        <v>1269.9109517406596</v>
      </c>
      <c r="HE239" s="560">
        <f t="shared" si="475"/>
        <v>413.92143146696856</v>
      </c>
      <c r="HF239" s="560"/>
      <c r="HG239" s="560">
        <f t="shared" si="471"/>
        <v>0</v>
      </c>
      <c r="HH239" s="560" t="str">
        <f t="shared" si="472"/>
        <v/>
      </c>
      <c r="HI239" s="560">
        <f>IF(GK239="P",Lookup!$N$12,IF(GK239="PP",Lookup!$N$13,IF(GK239="PPP",Lookup!$N$14,IF(GK239="T",Lookup!$N$15,IF(GK239="TP",Lookup!$N$16,IF(GK239="TPP",Lookup!$N$17,IF(GK239="TPPP",Lookup!$N$18,0)))))))*GJ239</f>
        <v>0</v>
      </c>
      <c r="HJ239" s="545">
        <f t="shared" si="544"/>
        <v>0</v>
      </c>
      <c r="HK239" s="560">
        <f t="shared" si="545"/>
        <v>572.01306290378079</v>
      </c>
      <c r="HL239" s="560">
        <f t="shared" si="476"/>
        <v>186.4449357574253</v>
      </c>
    </row>
    <row r="240" spans="1:220">
      <c r="A240" s="580" t="s">
        <v>3</v>
      </c>
      <c r="B240" s="556">
        <v>41868</v>
      </c>
      <c r="C240" s="561">
        <v>0</v>
      </c>
      <c r="D240" s="529">
        <f t="shared" si="477"/>
        <v>200</v>
      </c>
      <c r="E240" s="529">
        <f t="shared" si="478"/>
        <v>400</v>
      </c>
      <c r="F240" s="529">
        <v>250</v>
      </c>
      <c r="G240" s="560">
        <f>DR240+Sheet1!CZ242</f>
        <v>191.2133131601845</v>
      </c>
      <c r="H240" s="914">
        <f t="shared" si="480"/>
        <v>0</v>
      </c>
      <c r="I240" s="559">
        <f>MAX(Sheet1!Z242-AT240+(Sheet1!DA242-E240)*CFStoMGD,0)</f>
        <v>0</v>
      </c>
      <c r="J240" s="562">
        <f>IF(AND(B240&gt;=Calculation!GC240,B240&lt;=Calculation!GD240),IF(Sheet1!DB242&gt;=Calculation!D240,64.64,0),MAX(Sheet1!Z242-AT240+(Sheet1!DB242-D240)*CFStoMGD,0))</f>
        <v>39.009599999999999</v>
      </c>
      <c r="K240" s="904">
        <f t="shared" si="481"/>
        <v>0</v>
      </c>
      <c r="L240" s="560">
        <f>Sheet1!AA242+Sheet1!AB242-Sheet1!L242+(Sheet1!DA242-F240)*CFStoMGD</f>
        <v>154.30160000000001</v>
      </c>
      <c r="M240" s="560">
        <f t="shared" si="482"/>
        <v>126.07229133927812</v>
      </c>
      <c r="N240" s="910">
        <f>IF(Sheet1!DA242&gt;=F240,MIN(73,MIN(MAX(L240,0),MAX(M240,0))),0)</f>
        <v>73</v>
      </c>
      <c r="O240" s="563">
        <f>Sheet1!AA242+Sheet1!AB242</f>
        <v>77.38</v>
      </c>
      <c r="P240" s="563">
        <f t="shared" si="483"/>
        <v>119.70685999999999</v>
      </c>
      <c r="Q240" s="898">
        <f t="shared" si="444"/>
        <v>59.379999999999995</v>
      </c>
      <c r="R240" s="829">
        <f t="shared" si="484"/>
        <v>18</v>
      </c>
      <c r="S240" s="898">
        <f t="shared" si="445"/>
        <v>0</v>
      </c>
      <c r="T240" s="898">
        <f t="shared" si="446"/>
        <v>0</v>
      </c>
      <c r="U240" s="898">
        <f t="shared" si="447"/>
        <v>18</v>
      </c>
      <c r="V240" s="898"/>
      <c r="W240" s="898">
        <f t="shared" si="448"/>
        <v>0</v>
      </c>
      <c r="X240" s="898">
        <f t="shared" si="449"/>
        <v>0</v>
      </c>
      <c r="Y240" s="898" t="str">
        <f t="shared" si="450"/>
        <v>FALSE</v>
      </c>
      <c r="Z240" s="898">
        <f t="shared" si="451"/>
        <v>77.38</v>
      </c>
      <c r="AA240" s="898">
        <f t="shared" si="452"/>
        <v>77.38</v>
      </c>
      <c r="AB240" s="898" t="str">
        <f t="shared" si="453"/>
        <v/>
      </c>
      <c r="AC240" s="563">
        <f>Sheet1!Y242*MGDtoCFS</f>
        <v>91.319409999999991</v>
      </c>
      <c r="AD240" s="563">
        <f>Sheet1!Z242*MGDtoCFS</f>
        <v>21.348600000000001</v>
      </c>
      <c r="AE240" s="563">
        <f>Sheet1!AA242*MGDtoCFS</f>
        <v>91.783509999999993</v>
      </c>
      <c r="AF240" s="563">
        <f>Sheet1!AB242*MGDtoCFS</f>
        <v>27.923349999999999</v>
      </c>
      <c r="AG240" s="563">
        <f>Sheet1!L242*MGDtoCFS</f>
        <v>0</v>
      </c>
      <c r="AH240" s="545">
        <f t="shared" si="485"/>
        <v>18</v>
      </c>
      <c r="AI240" s="560">
        <f t="shared" si="486"/>
        <v>27.846</v>
      </c>
      <c r="AJ240" s="560">
        <f t="shared" si="487"/>
        <v>0</v>
      </c>
      <c r="AK240" s="560">
        <f t="shared" si="488"/>
        <v>0</v>
      </c>
      <c r="AL240" s="560">
        <f>(VLOOKUP(Sheet1!DC242,hhdcap_wcm,4)-(((VLOOKUP(Sheet1!DC242,hhdcap_wcm,3)-Sheet1!DC242)/(VLOOKUP(Sheet1!DC242,hhdcap_wcm,3)-VLOOKUP(Sheet1!DC242,hhdcap_wcm,1)))*(VLOOKUP(Sheet1!DC242,hhdcap_wcm,4)-VLOOKUP(Sheet1!DC242,hhdcap_wcm,2))))</f>
        <v>39375.500000097141</v>
      </c>
      <c r="AM240" s="560">
        <f t="shared" si="489"/>
        <v>-358.50000000335422</v>
      </c>
      <c r="AN240" s="560">
        <f t="shared" si="490"/>
        <v>2325.8021220570886</v>
      </c>
      <c r="AO240" s="560">
        <f t="shared" si="491"/>
        <v>7135.5609104711475</v>
      </c>
      <c r="AP240" s="560">
        <f>Sheet1!BA242+Sheet1!BB242+Sheet1!BN242+CD240</f>
        <v>0.60000000000000009</v>
      </c>
      <c r="AQ240" s="560">
        <f>Sheet1!BN242+(DO240*Sheet1!BN242)</f>
        <v>-0.98365122615803813</v>
      </c>
      <c r="AR240" s="560">
        <f>Sheet1!BA242+CD240</f>
        <v>0</v>
      </c>
      <c r="AS240" s="560">
        <f>Sheet1!BA242+Sheet1!BB242+CD240</f>
        <v>1.6</v>
      </c>
      <c r="AT240" s="698">
        <f>0</f>
        <v>0</v>
      </c>
      <c r="AU240" s="560">
        <f>IF(EB240&lt;K240,0,MAX(Sheet1!AA242+AQ240-15/36*K240-N240,Sheet1!EH242,0))</f>
        <v>0</v>
      </c>
      <c r="AV240" s="560">
        <f>IF(OR(B240&gt;=GD240,B240&lt;GC240),0,15/36*K240-MAX(0,64.6-(137.6-(Sheet1!AA242+Sheet1!AB242))))</f>
        <v>0</v>
      </c>
      <c r="AW240" s="698">
        <f>Sheet1!DB242-110</f>
        <v>129</v>
      </c>
      <c r="AX240" s="698">
        <f>Sheet1!DA242-265</f>
        <v>104</v>
      </c>
      <c r="AY240" s="698">
        <f t="shared" si="492"/>
        <v>13.620000000000005</v>
      </c>
      <c r="AZ240" s="1082"/>
      <c r="BA240" s="698">
        <f t="shared" si="493"/>
        <v>0</v>
      </c>
      <c r="BB240" s="560">
        <f t="shared" si="494"/>
        <v>1216.8376666666668</v>
      </c>
      <c r="BC240" s="560"/>
      <c r="BD240" s="560">
        <f ca="1">IF(B240&gt;Summary!$A$1,#N/A,BB240*MGtoAF)</f>
        <v>3733.2579613333337</v>
      </c>
      <c r="BE240" s="560">
        <f>Sheet1!BG242+Sheet1!BH242+Sheet1!BI242-BM240</f>
        <v>2.02</v>
      </c>
      <c r="BF240" s="560">
        <f t="shared" si="495"/>
        <v>1.9869754768392369</v>
      </c>
      <c r="BG240" s="560">
        <f>IF(Sheet1!EP242="FM",BM240,0)</f>
        <v>0</v>
      </c>
      <c r="BH240" s="560">
        <f t="shared" si="496"/>
        <v>0</v>
      </c>
      <c r="BI240" s="560">
        <f>IF(Sheet1!EP242="OTHER",BM240,0)</f>
        <v>0</v>
      </c>
      <c r="BJ240" s="560">
        <f t="shared" si="497"/>
        <v>0</v>
      </c>
      <c r="BK240" s="560">
        <f t="shared" si="498"/>
        <v>2.02</v>
      </c>
      <c r="BL240" s="560">
        <f t="shared" si="499"/>
        <v>1.9869754768392369</v>
      </c>
      <c r="BM240" s="560">
        <f>IF(OR(Sheet1!EP242="FM", Sheet1!EP242="OTHER"),SUM(Sheet1!BG242:'Sheet1'!BI242),0)</f>
        <v>0</v>
      </c>
      <c r="BN240" s="545">
        <f>IF(AND($B240&gt;=$FV240,$B240&lt;=$FW240),MAX(BF240,Sheet1!EI242,0),MAX(BF240-(7/36)*$K240,0))</f>
        <v>2</v>
      </c>
      <c r="BO240" s="560">
        <f t="shared" si="500"/>
        <v>0</v>
      </c>
      <c r="BP240" s="545">
        <f t="shared" si="501"/>
        <v>0</v>
      </c>
      <c r="BQ240" s="545">
        <f>IF(AND($O240&gt;0,Sheet1!EM242=1),(1-($O240-Sheet1!$L242)/$O240)*BL240,0)</f>
        <v>0</v>
      </c>
      <c r="BR240" s="545">
        <f>IF(AND(Sheet1!$L242=0,Sheet1!$L241=0, Calculation!BK240&lt;Sheet1!$EI242-0.1,Sheet1!$EI242=Sheet1!$EI241,Sheet1!$EI242=Sheet1!$EI243),Sheet1!$EI242,BL240-BQ240)</f>
        <v>1.9869754768392369</v>
      </c>
      <c r="BS240" s="560"/>
      <c r="BT240" s="560"/>
      <c r="BU240" s="560">
        <f t="shared" si="502"/>
        <v>524.59808816602776</v>
      </c>
      <c r="BV240" s="560"/>
      <c r="BW240" s="560">
        <f ca="1">IF(B240&gt;Summary!$A$1,#N/A,BU240*MGtoAF)</f>
        <v>1609.4669344933732</v>
      </c>
      <c r="BX240" s="560">
        <f>Sheet1!BC242+Sheet1!BD242+Sheet1!BE242+Sheet1!BF242-CG240-CH240</f>
        <v>4.8499999999999996</v>
      </c>
      <c r="BY240" s="560">
        <f t="shared" si="503"/>
        <v>4.7707084468664842</v>
      </c>
      <c r="BZ240" s="560">
        <f>IF(Sheet1!EQ242="FM",CH240,0)</f>
        <v>0</v>
      </c>
      <c r="CA240" s="560">
        <f t="shared" si="504"/>
        <v>0</v>
      </c>
      <c r="CB240" s="560">
        <f>IF(Sheet1!EQ242="OTHER",CH240,0)</f>
        <v>0</v>
      </c>
      <c r="CC240" s="560">
        <f t="shared" si="505"/>
        <v>0</v>
      </c>
      <c r="CD240" s="560">
        <f t="shared" si="506"/>
        <v>0</v>
      </c>
      <c r="CE240" s="560">
        <f t="shared" si="507"/>
        <v>4.8499999999999996</v>
      </c>
      <c r="CF240" s="560">
        <f t="shared" si="508"/>
        <v>4.7707084468664842</v>
      </c>
      <c r="CG240" s="560">
        <f>IF(Sheet1!EQ242="CWA",SUM(Sheet1!BC242:'Sheet1'!BF242),0)</f>
        <v>0</v>
      </c>
      <c r="CH240" s="560">
        <f>IF(OR(Sheet1!EQ242="FM", Sheet1!EQ242="OTHER"),SUM(Sheet1!BC242:'Sheet1'!BF242),0)</f>
        <v>0</v>
      </c>
      <c r="CI240" s="545">
        <f>IF(AND($B240&gt;=$FV240,$B240&lt;=$FW240),MAX(CF240,Sheet1!EJ242,0),MAX(CF240-(7/36)*$K240,0))</f>
        <v>5</v>
      </c>
      <c r="CJ240" s="560">
        <f t="shared" si="509"/>
        <v>0</v>
      </c>
      <c r="CK240" s="545">
        <f t="shared" si="510"/>
        <v>0</v>
      </c>
      <c r="CL240" s="545">
        <f>IF(AND($O240&gt;0,Sheet1!EN242=1),(1-($O240-Sheet1!$L242)/$O240)*CF240,0)</f>
        <v>0</v>
      </c>
      <c r="CM240" s="545">
        <f>IF(AND(Sheet1!$L242=0,Sheet1!$L241=0, Calculation!CE240&lt;Sheet1!EJ242-0.1,Sheet1!EJ242=Sheet1!EJ241,Sheet1!EJ242=Sheet1!EJ243),Sheet1!EJ242,CF240-CL240)</f>
        <v>4.7707084468664842</v>
      </c>
      <c r="CN240" s="545"/>
      <c r="CO240" s="560"/>
      <c r="CP240" s="560">
        <f t="shared" si="511"/>
        <v>408.92143146696856</v>
      </c>
      <c r="CQ240" s="560"/>
      <c r="CR240" s="560">
        <f ca="1">IF(B240&gt;Summary!$A$1,#N/A,CP240*MGtoAF)</f>
        <v>1254.5709517406597</v>
      </c>
      <c r="CS240" s="560">
        <f>Sheet1!BK242+Sheet1!BL242+Sheet1!BM242-Sheet1!ER242-DA240</f>
        <v>10.879999999999999</v>
      </c>
      <c r="CT240" s="560">
        <f t="shared" si="512"/>
        <v>10.702125340599453</v>
      </c>
      <c r="CU240" s="560">
        <f>IF(Sheet1!ER242="FM",DA240,0)</f>
        <v>0</v>
      </c>
      <c r="CV240" s="560">
        <f t="shared" si="513"/>
        <v>0</v>
      </c>
      <c r="CW240" s="560">
        <f>IF(Sheet1!ER242="OTHER",DA240,0)</f>
        <v>0</v>
      </c>
      <c r="CX240" s="560">
        <f t="shared" si="514"/>
        <v>0</v>
      </c>
      <c r="CY240" s="560">
        <f t="shared" si="515"/>
        <v>10.879999999999999</v>
      </c>
      <c r="CZ240" s="560">
        <f t="shared" si="516"/>
        <v>10.702125340599453</v>
      </c>
      <c r="DA240" s="560">
        <f>IF(OR(Sheet1!ER242="FM", Sheet1!ER242="OTHER"),SUM(Sheet1!BK242:'Sheet1'!BM242),0)</f>
        <v>0</v>
      </c>
      <c r="DB240" s="545">
        <f>IF(AND($B240&gt;=$FV240,$B240&lt;=$FW240),MAX($CT240,Sheet1!EK242,0),MAX($CT240-(7/36)*$K240,0))</f>
        <v>11</v>
      </c>
      <c r="DC240" s="560">
        <f t="shared" si="517"/>
        <v>0</v>
      </c>
      <c r="DD240" s="545">
        <f t="shared" si="518"/>
        <v>0</v>
      </c>
      <c r="DE240" s="545">
        <f>IF(AND($O240&gt;0,Sheet1!EO242=1),(1-($O240-Sheet1!$L242)/$O240)*CZ240,0)</f>
        <v>0</v>
      </c>
      <c r="DF240" s="545">
        <f>IF(AND(Sheet1!$L242=0,Sheet1!$L241=0, Calculation!CY240&lt;Sheet1!$EK242-0.1,Sheet1!$EK242=Sheet1!$EK241,Sheet1!$EK242=Sheet1!$EK243),Sheet1!$EK242,CZ240-DE240)</f>
        <v>11</v>
      </c>
      <c r="DG240" s="545"/>
      <c r="DH240" s="560">
        <f t="shared" si="519"/>
        <v>17.75</v>
      </c>
      <c r="DI240" s="560">
        <f t="shared" si="520"/>
        <v>175.4449357574253</v>
      </c>
      <c r="DJ240" s="698">
        <f t="shared" si="521"/>
        <v>17.459809264305175</v>
      </c>
      <c r="DK240" s="560">
        <f ca="1">IF(B240&gt;Summary!$A$1,#N/A,DI240*MGtoAF)</f>
        <v>538.26506290378086</v>
      </c>
      <c r="DL240" s="698">
        <f t="shared" si="522"/>
        <v>17.75</v>
      </c>
      <c r="DM240" s="560">
        <f t="shared" si="523"/>
        <v>18.350000000000001</v>
      </c>
      <c r="DN240" s="560">
        <f>Sheet1!AB242-DM240</f>
        <v>-0.30000000000000071</v>
      </c>
      <c r="DO240" s="823">
        <f t="shared" si="524"/>
        <v>-1.634877384196189E-2</v>
      </c>
      <c r="DP240" s="560">
        <f>(VLOOKUP(Sheet1!DC242,hhdcap_wcm,4)-(((VLOOKUP(Sheet1!DC242,hhdcap_wcm,3)-Sheet1!DC242)/(VLOOKUP(Sheet1!DC242,hhdcap_wcm,3)-VLOOKUP(Sheet1!DC242,hhdcap_wcm,1)))*(VLOOKUP(Sheet1!DC242,hhdcap_wcm,4)-VLOOKUP(Sheet1!DC242,hhdcap_wcm,2))))</f>
        <v>39375.500000097141</v>
      </c>
      <c r="DQ240" s="560">
        <f t="shared" si="525"/>
        <v>-358.50000000335422</v>
      </c>
      <c r="DR240" s="560">
        <f t="shared" si="526"/>
        <v>-180.7866868398155</v>
      </c>
      <c r="DS240" s="560">
        <f>Sheet1!EA242*AFtoMG</f>
        <v>0</v>
      </c>
      <c r="DT240" s="560">
        <f>Sheet1!EB242*AFtoMG</f>
        <v>0</v>
      </c>
      <c r="DU240" s="560">
        <f>Sheet1!EC242*AFtoMG</f>
        <v>0</v>
      </c>
      <c r="DV240" s="560">
        <f>Sheet1!ED242*AFtoMG</f>
        <v>0</v>
      </c>
      <c r="DW240" s="560">
        <f t="shared" si="527"/>
        <v>0</v>
      </c>
      <c r="DX240" s="560">
        <f t="shared" si="528"/>
        <v>0</v>
      </c>
      <c r="DY240" s="560">
        <f t="shared" si="529"/>
        <v>2325.8021220570886</v>
      </c>
      <c r="DZ240" s="560">
        <f t="shared" si="530"/>
        <v>7135.5609104711475</v>
      </c>
      <c r="EA240" s="560"/>
      <c r="EB240" s="545">
        <f>IF(OR(B240&lt;FV240,B240&gt;FW240),(MIN(BF240+BY240+CT240+MAX(Sheet1!AA242+AQ240-73,0),K240)),0)</f>
        <v>0</v>
      </c>
      <c r="EC240" s="560"/>
      <c r="ED240" s="560">
        <f t="shared" si="531"/>
        <v>17.459809264305175</v>
      </c>
      <c r="EE240" s="560"/>
      <c r="EF240" s="560">
        <f>Sheet1!EH242+Sheet1!EI242+Sheet1!EJ242+Sheet1!EK242</f>
        <v>18</v>
      </c>
      <c r="EG240" s="560"/>
      <c r="EH240" s="545">
        <f t="shared" si="532"/>
        <v>0</v>
      </c>
      <c r="EI240" s="560">
        <f>IF(Sheet1!ET242=1,SUM('Calculations II'!AT240:BA240)+'Calculations II'!BC240+Sheet1!BV242+'Calculations II'!BE240+AP240,SUM('Calculations II'!AT240:BA240)+'Calculations II'!BC240+Sheet1!BV242+'Calculations II'!BE240+AP240)</f>
        <v>79.155983999999989</v>
      </c>
      <c r="EJ240" s="560">
        <f>Sheet1!AA242+Sheet1!AB242+'Calculations II'!BC240</f>
        <v>77.38</v>
      </c>
      <c r="EK240" s="560"/>
      <c r="EL240" s="560"/>
      <c r="EM240" s="560">
        <f t="shared" si="533"/>
        <v>41868</v>
      </c>
      <c r="EN240" s="560">
        <f t="shared" si="534"/>
        <v>-18</v>
      </c>
      <c r="EO240" s="560">
        <f t="shared" si="535"/>
        <v>-27.846</v>
      </c>
      <c r="EP240" s="560">
        <v>0</v>
      </c>
      <c r="EQ240" s="560">
        <v>0</v>
      </c>
      <c r="ER240" s="560">
        <v>0</v>
      </c>
      <c r="ES240" s="545">
        <f t="shared" si="454"/>
        <v>7.4830171046460903</v>
      </c>
      <c r="ET240" s="560">
        <f>-(VLOOKUP(Sheet1!BQ242,Lookup!$O$4:$Q$262,2)-VLOOKUP(Sheet1!BQ241,Lookup!$O$4:$Q$262,2))/1000000</f>
        <v>3.6030205733132288</v>
      </c>
      <c r="EU240" s="560">
        <f>-(VLOOKUP(Sheet1!BR242,Lookup!$O$4:$Q$262,3)-VLOOKUP(Sheet1!BR241,Lookup!$O$4:$Q$262,3))/1000000</f>
        <v>3.8799965313328615</v>
      </c>
      <c r="EV240" s="560"/>
      <c r="EW240" s="560"/>
      <c r="EX240" s="560"/>
      <c r="EY240" s="560"/>
      <c r="EZ240" s="560"/>
      <c r="FA240" s="560"/>
      <c r="FB240" s="560"/>
      <c r="FC240" s="560"/>
      <c r="FD240" s="594">
        <f t="shared" si="536"/>
        <v>1132.8822580644426</v>
      </c>
      <c r="FE240" s="594" t="e">
        <f t="shared" si="537"/>
        <v>#N/A</v>
      </c>
      <c r="FF240" s="595" t="e">
        <f t="shared" si="538"/>
        <v>#N/A</v>
      </c>
      <c r="FG240" s="596" t="s">
        <v>692</v>
      </c>
      <c r="FH240" s="596" t="s">
        <v>692</v>
      </c>
      <c r="FI240" s="594" t="e">
        <v>#N/A</v>
      </c>
      <c r="FJ240" s="778">
        <v>18048</v>
      </c>
      <c r="FK240" s="560"/>
      <c r="FL240" s="560"/>
      <c r="FM240" s="560"/>
      <c r="FN240" s="560"/>
      <c r="FO240" s="560">
        <f>O240+((Sheet1!CS242)*GPMtoMGD)</f>
        <v>77.38</v>
      </c>
      <c r="FP240" s="560">
        <f>IF(Sheet1!AA242+AQ240&lt;=Calculation!N240,AQ240,Calculation!N240-Sheet1!AA242)</f>
        <v>-0.98365122615803813</v>
      </c>
      <c r="FQ240" s="560">
        <f>(Sheet1!BP242+Sheet1!BO242)/694.4</f>
        <v>3.3732718894009217</v>
      </c>
      <c r="FR240" s="560"/>
      <c r="FS240" s="560"/>
      <c r="FT240" s="560"/>
      <c r="FU240" s="560"/>
      <c r="FV240" s="695">
        <f t="shared" si="455"/>
        <v>41827</v>
      </c>
      <c r="FW240" s="695">
        <f t="shared" si="456"/>
        <v>41934</v>
      </c>
      <c r="FX240" s="560"/>
      <c r="FY240" s="560"/>
      <c r="FZ240" s="560"/>
      <c r="GA240" s="560"/>
      <c r="GB240" s="560" t="str">
        <f t="shared" si="457"/>
        <v>n</v>
      </c>
      <c r="GC240" s="564">
        <f t="shared" si="458"/>
        <v>41691</v>
      </c>
      <c r="GD240" s="695">
        <f t="shared" si="459"/>
        <v>41807</v>
      </c>
      <c r="GE240" s="560">
        <v>6518.9</v>
      </c>
      <c r="GF240" s="695">
        <f t="shared" si="460"/>
        <v>41808</v>
      </c>
      <c r="GG240" s="560">
        <f t="shared" si="479"/>
        <v>3259</v>
      </c>
      <c r="GH240" s="564">
        <f t="shared" si="461"/>
        <v>41934</v>
      </c>
      <c r="GJ240" s="545">
        <f t="shared" si="462"/>
        <v>0</v>
      </c>
      <c r="GK240" s="560" t="str">
        <f t="shared" si="539"/>
        <v/>
      </c>
      <c r="GL240" s="560">
        <f t="shared" si="463"/>
        <v>0</v>
      </c>
      <c r="GM240" s="560" t="str">
        <f t="shared" si="464"/>
        <v/>
      </c>
      <c r="GN240" s="560">
        <f>IF(GK240="P",Lookup!$M$12,IF(GK240="PP",Lookup!$M$13,IF(GK240="PPP",Lookup!$M$14,IF(GK240="T",Lookup!$M$15,IF(GK240="TP",Lookup!$M$16,IF(GK240="TPP",Lookup!$M$17,IF(GK240="TPPP",Lookup!$M$18,0)))))))*GJ240</f>
        <v>0</v>
      </c>
      <c r="GO240" s="560">
        <f t="shared" si="465"/>
        <v>0</v>
      </c>
      <c r="GP240" s="560">
        <f t="shared" si="540"/>
        <v>3733.2579613333337</v>
      </c>
      <c r="GQ240" s="560">
        <f t="shared" si="473"/>
        <v>1216.8376666666668</v>
      </c>
      <c r="GR240" s="560"/>
      <c r="GS240" s="560">
        <f t="shared" si="466"/>
        <v>0</v>
      </c>
      <c r="GT240" s="560" t="str">
        <f t="shared" si="467"/>
        <v/>
      </c>
      <c r="GU240" s="560">
        <f>IF(GK240="P",Lookup!$N$12,IF(GK240="PP",Lookup!$N$13,IF(GK240="PPP",Lookup!$N$14,IF(GK240="T",Lookup!$N$15,IF(GK240="TP",Lookup!$N$16,IF(GK240="TPP",Lookup!$N$17,IF(GK240="TPPP",Lookup!$N$18,0)))))))*GJ240</f>
        <v>0</v>
      </c>
      <c r="GV240" s="560">
        <f t="shared" si="468"/>
        <v>0</v>
      </c>
      <c r="GW240" s="560">
        <f t="shared" si="541"/>
        <v>1609.4669344933732</v>
      </c>
      <c r="GX240" s="560">
        <f t="shared" si="474"/>
        <v>524.59808816602776</v>
      </c>
      <c r="GY240" s="560"/>
      <c r="GZ240" s="560">
        <f t="shared" si="469"/>
        <v>0</v>
      </c>
      <c r="HA240" s="560" t="str">
        <f t="shared" si="470"/>
        <v/>
      </c>
      <c r="HB240" s="560">
        <f>IF(GK240="P",Lookup!$N$12,IF(GK240="PP",Lookup!$N$13,IF(GK240="PPP",Lookup!$N$14,IF(GK240="T",Lookup!$N$15,IF(GK240="TP",Lookup!$N$16,IF(GK240="TPP",Lookup!$N$17,IF(GK240="TPPP",Lookup!$N$18,0)))))))*GJ240</f>
        <v>0</v>
      </c>
      <c r="HC240" s="545">
        <f t="shared" si="542"/>
        <v>0</v>
      </c>
      <c r="HD240" s="560">
        <f t="shared" si="543"/>
        <v>1254.5709517406597</v>
      </c>
      <c r="HE240" s="560">
        <f t="shared" si="475"/>
        <v>408.92143146696856</v>
      </c>
      <c r="HF240" s="560"/>
      <c r="HG240" s="560">
        <f t="shared" si="471"/>
        <v>0</v>
      </c>
      <c r="HH240" s="560" t="str">
        <f t="shared" si="472"/>
        <v/>
      </c>
      <c r="HI240" s="560">
        <f>IF(GK240="P",Lookup!$N$12,IF(GK240="PP",Lookup!$N$13,IF(GK240="PPP",Lookup!$N$14,IF(GK240="T",Lookup!$N$15,IF(GK240="TP",Lookup!$N$16,IF(GK240="TPP",Lookup!$N$17,IF(GK240="TPPP",Lookup!$N$18,0)))))))*GJ240</f>
        <v>0</v>
      </c>
      <c r="HJ240" s="545">
        <f t="shared" si="544"/>
        <v>0</v>
      </c>
      <c r="HK240" s="560">
        <f t="shared" si="545"/>
        <v>538.26506290378086</v>
      </c>
      <c r="HL240" s="560">
        <f t="shared" si="476"/>
        <v>175.4449357574253</v>
      </c>
    </row>
    <row r="241" spans="1:220">
      <c r="A241" s="580" t="s">
        <v>4</v>
      </c>
      <c r="B241" s="556">
        <v>41869</v>
      </c>
      <c r="C241" s="561">
        <v>0</v>
      </c>
      <c r="D241" s="529">
        <f t="shared" si="477"/>
        <v>200</v>
      </c>
      <c r="E241" s="529">
        <f t="shared" si="478"/>
        <v>400</v>
      </c>
      <c r="F241" s="529">
        <v>250</v>
      </c>
      <c r="G241" s="560">
        <f>DR241+Sheet1!CZ243</f>
        <v>100.57034795788945</v>
      </c>
      <c r="H241" s="914">
        <f t="shared" si="480"/>
        <v>0</v>
      </c>
      <c r="I241" s="559">
        <f>MAX(Sheet1!Z243-AT241+(Sheet1!DA243-E241)*CFStoMGD,0)</f>
        <v>6.4148000000000014</v>
      </c>
      <c r="J241" s="562">
        <f>IF(AND(B241&gt;=Calculation!GC241,B241&lt;=Calculation!GD241),IF(Sheet1!DB243&gt;=Calculation!D241,64.64,0),MAX(Sheet1!Z243-AT241+(Sheet1!DB243-D241)*CFStoMGD,0))</f>
        <v>23.867599999999999</v>
      </c>
      <c r="K241" s="904">
        <f t="shared" si="481"/>
        <v>0</v>
      </c>
      <c r="L241" s="560">
        <f>Sheet1!AA243+Sheet1!AB243-Sheet1!L243+(Sheet1!DA243-F241)*CFStoMGD</f>
        <v>169.56479999999999</v>
      </c>
      <c r="M241" s="560">
        <f t="shared" si="482"/>
        <v>66.308846378379343</v>
      </c>
      <c r="N241" s="910">
        <f>IF(Sheet1!DA243&gt;=F241,MIN(73,MIN(MAX(L241,0),MAX(M241,0))),0)</f>
        <v>66.308846378379343</v>
      </c>
      <c r="O241" s="563">
        <f>Sheet1!AA243+Sheet1!AB243</f>
        <v>84.240000000000009</v>
      </c>
      <c r="P241" s="563">
        <f t="shared" si="483"/>
        <v>130.31927999999999</v>
      </c>
      <c r="Q241" s="898">
        <f t="shared" si="444"/>
        <v>66.740000000000009</v>
      </c>
      <c r="R241" s="829">
        <f t="shared" si="484"/>
        <v>17.5</v>
      </c>
      <c r="S241" s="898">
        <f t="shared" si="445"/>
        <v>0</v>
      </c>
      <c r="T241" s="898">
        <f t="shared" si="446"/>
        <v>0</v>
      </c>
      <c r="U241" s="898">
        <f t="shared" si="447"/>
        <v>17.5</v>
      </c>
      <c r="V241" s="898"/>
      <c r="W241" s="898">
        <f t="shared" si="448"/>
        <v>0</v>
      </c>
      <c r="X241" s="898">
        <f t="shared" si="449"/>
        <v>0</v>
      </c>
      <c r="Y241" s="898" t="str">
        <f t="shared" si="450"/>
        <v>FALSE</v>
      </c>
      <c r="Z241" s="898">
        <f t="shared" si="451"/>
        <v>84.240000000000009</v>
      </c>
      <c r="AA241" s="898">
        <f t="shared" si="452"/>
        <v>84.240000000000009</v>
      </c>
      <c r="AB241" s="898" t="str">
        <f t="shared" si="453"/>
        <v/>
      </c>
      <c r="AC241" s="563">
        <f>Sheet1!Y243*MGDtoCFS</f>
        <v>91.783509999999993</v>
      </c>
      <c r="AD241" s="563">
        <f>Sheet1!Z243*MGDtoCFS</f>
        <v>27.923349999999999</v>
      </c>
      <c r="AE241" s="563">
        <f>Sheet1!AA243*MGDtoCFS</f>
        <v>90.329329999999999</v>
      </c>
      <c r="AF241" s="563">
        <f>Sheet1!AB243*MGDtoCFS</f>
        <v>39.98995</v>
      </c>
      <c r="AG241" s="563">
        <f>Sheet1!L243*MGDtoCFS</f>
        <v>0</v>
      </c>
      <c r="AH241" s="545">
        <f t="shared" si="485"/>
        <v>17.565207547169813</v>
      </c>
      <c r="AI241" s="560">
        <f t="shared" si="486"/>
        <v>27.173376075471698</v>
      </c>
      <c r="AJ241" s="560">
        <f t="shared" si="487"/>
        <v>0</v>
      </c>
      <c r="AK241" s="560">
        <f t="shared" si="488"/>
        <v>0</v>
      </c>
      <c r="AL241" s="560">
        <f>(VLOOKUP(Sheet1!DC243,hhdcap_wcm,4)-(((VLOOKUP(Sheet1!DC243,hhdcap_wcm,3)-Sheet1!DC243)/(VLOOKUP(Sheet1!DC243,hhdcap_wcm,3)-VLOOKUP(Sheet1!DC243,hhdcap_wcm,1)))*(VLOOKUP(Sheet1!DC243,hhdcap_wcm,4)-VLOOKUP(Sheet1!DC243,hhdcap_wcm,2))))</f>
        <v>38867.000000097636</v>
      </c>
      <c r="AM241" s="560">
        <f t="shared" si="489"/>
        <v>-508.49999999950523</v>
      </c>
      <c r="AN241" s="560">
        <f t="shared" si="490"/>
        <v>2308.2369145099187</v>
      </c>
      <c r="AO241" s="560">
        <f t="shared" si="491"/>
        <v>7081.6708537164304</v>
      </c>
      <c r="AP241" s="560">
        <f>Sheet1!BA243+Sheet1!BB243+Sheet1!BN243+CD241</f>
        <v>8.9</v>
      </c>
      <c r="AQ241" s="560">
        <f>Sheet1!BN243+(DO241*Sheet1!BN243)</f>
        <v>7.1209433962264157</v>
      </c>
      <c r="AR241" s="560">
        <f>Sheet1!BA243+CD241</f>
        <v>0</v>
      </c>
      <c r="AS241" s="560">
        <f>Sheet1!BA243+Sheet1!BB243+CD241</f>
        <v>1.6</v>
      </c>
      <c r="AT241" s="698">
        <f>0</f>
        <v>0</v>
      </c>
      <c r="AU241" s="560">
        <f>IF(EB241&lt;K241,0,MAX(Sheet1!AA243+AQ241-15/36*K241-N241,Sheet1!EH243,0))</f>
        <v>0</v>
      </c>
      <c r="AV241" s="560">
        <f>IF(OR(B241&gt;=GD241,B241&lt;GC241),0,15/36*K241-MAX(0,64.6-(137.6-(Sheet1!AA243+Sheet1!AB243))))</f>
        <v>0</v>
      </c>
      <c r="AW241" s="698">
        <f>Sheet1!DB243-110</f>
        <v>99</v>
      </c>
      <c r="AX241" s="698">
        <f>Sheet1!DA243-265</f>
        <v>117</v>
      </c>
      <c r="AY241" s="698">
        <f t="shared" si="492"/>
        <v>-0.43115362162066617</v>
      </c>
      <c r="AZ241" s="1082"/>
      <c r="BA241" s="698">
        <f t="shared" si="493"/>
        <v>0</v>
      </c>
      <c r="BB241" s="560">
        <f t="shared" si="494"/>
        <v>1216.8376666666668</v>
      </c>
      <c r="BC241" s="560"/>
      <c r="BD241" s="560">
        <f ca="1">IF(B241&gt;Summary!$A$1,#N/A,BB241*MGtoAF)</f>
        <v>3733.2579613333337</v>
      </c>
      <c r="BE241" s="560">
        <f>Sheet1!BG243+Sheet1!BH243+Sheet1!BI243-BM241</f>
        <v>2.0099999999999998</v>
      </c>
      <c r="BF241" s="560">
        <f t="shared" si="495"/>
        <v>1.9606981132075472</v>
      </c>
      <c r="BG241" s="560">
        <f>IF(Sheet1!EP243="FM",BM241,0)</f>
        <v>0</v>
      </c>
      <c r="BH241" s="560">
        <f t="shared" si="496"/>
        <v>0</v>
      </c>
      <c r="BI241" s="560">
        <f>IF(Sheet1!EP243="OTHER",BM241,0)</f>
        <v>0</v>
      </c>
      <c r="BJ241" s="560">
        <f t="shared" si="497"/>
        <v>0</v>
      </c>
      <c r="BK241" s="560">
        <f t="shared" si="498"/>
        <v>2.0099999999999998</v>
      </c>
      <c r="BL241" s="560">
        <f t="shared" si="499"/>
        <v>1.9606981132075472</v>
      </c>
      <c r="BM241" s="560">
        <f>IF(OR(Sheet1!EP243="FM", Sheet1!EP243="OTHER"),SUM(Sheet1!BG243:'Sheet1'!BI243),0)</f>
        <v>0</v>
      </c>
      <c r="BN241" s="545">
        <f>IF(AND($B241&gt;=$FV241,$B241&lt;=$FW241),MAX(BF241,Sheet1!EI243,0),MAX(BF241-(7/36)*$K241,0))</f>
        <v>2</v>
      </c>
      <c r="BO241" s="560">
        <f t="shared" si="500"/>
        <v>0</v>
      </c>
      <c r="BP241" s="545">
        <f t="shared" si="501"/>
        <v>0</v>
      </c>
      <c r="BQ241" s="545">
        <f>IF(AND($O241&gt;0,Sheet1!EM243=1),(1-($O241-Sheet1!$L243)/$O241)*BL241,0)</f>
        <v>0</v>
      </c>
      <c r="BR241" s="545">
        <f>IF(AND(Sheet1!$L243=0,Sheet1!$L242=0, Calculation!BK241&lt;Sheet1!$EI243-0.1,Sheet1!$EI243=Sheet1!$EI242,Sheet1!$EI243=Sheet1!$EI244),Sheet1!$EI243,BL241-BQ241)</f>
        <v>1.9606981132075472</v>
      </c>
      <c r="BS241" s="560"/>
      <c r="BT241" s="560"/>
      <c r="BU241" s="560">
        <f t="shared" si="502"/>
        <v>522.59808816602776</v>
      </c>
      <c r="BV241" s="560"/>
      <c r="BW241" s="560">
        <f ca="1">IF(B241&gt;Summary!$A$1,#N/A,BU241*MGtoAF)</f>
        <v>1603.3309344933732</v>
      </c>
      <c r="BX241" s="560">
        <f>Sheet1!BC243+Sheet1!BD243+Sheet1!BE243+Sheet1!BF243-CG241-CH241</f>
        <v>4.68</v>
      </c>
      <c r="BY241" s="560">
        <f t="shared" si="503"/>
        <v>4.5652075471698117</v>
      </c>
      <c r="BZ241" s="560">
        <f>IF(Sheet1!EQ243="FM",CH241,0)</f>
        <v>0</v>
      </c>
      <c r="CA241" s="560">
        <f t="shared" si="504"/>
        <v>0</v>
      </c>
      <c r="CB241" s="560">
        <f>IF(Sheet1!EQ243="OTHER",CH241,0)</f>
        <v>0</v>
      </c>
      <c r="CC241" s="560">
        <f t="shared" si="505"/>
        <v>0</v>
      </c>
      <c r="CD241" s="560">
        <f t="shared" si="506"/>
        <v>0</v>
      </c>
      <c r="CE241" s="560">
        <f t="shared" si="507"/>
        <v>4.68</v>
      </c>
      <c r="CF241" s="560">
        <f t="shared" si="508"/>
        <v>4.5652075471698117</v>
      </c>
      <c r="CG241" s="560">
        <f>IF(Sheet1!EQ243="CWA",SUM(Sheet1!BC243:'Sheet1'!BF243),0)</f>
        <v>0</v>
      </c>
      <c r="CH241" s="560">
        <f>IF(OR(Sheet1!EQ243="FM", Sheet1!EQ243="OTHER"),SUM(Sheet1!BC243:'Sheet1'!BF243),0)</f>
        <v>0</v>
      </c>
      <c r="CI241" s="545">
        <f>IF(AND($B241&gt;=$FV241,$B241&lt;=$FW241),MAX(CF241,Sheet1!EJ243,0),MAX(CF241-(7/36)*$K241,0))</f>
        <v>4.5652075471698117</v>
      </c>
      <c r="CJ241" s="560">
        <f t="shared" si="509"/>
        <v>0</v>
      </c>
      <c r="CK241" s="545">
        <f t="shared" si="510"/>
        <v>0</v>
      </c>
      <c r="CL241" s="545">
        <f>IF(AND($O241&gt;0,Sheet1!EN243=1),(1-($O241-Sheet1!$L243)/$O241)*CF241,0)</f>
        <v>0</v>
      </c>
      <c r="CM241" s="545">
        <f>IF(AND(Sheet1!$L243=0,Sheet1!$L242=0, Calculation!CE241&lt;Sheet1!EJ243-0.1,Sheet1!EJ243=Sheet1!EJ242,Sheet1!EJ243=Sheet1!EJ244),Sheet1!EJ243,CF241-CL241)</f>
        <v>4.5652075471698117</v>
      </c>
      <c r="CN241" s="545"/>
      <c r="CO241" s="560"/>
      <c r="CP241" s="560">
        <f t="shared" si="511"/>
        <v>404.35622391979877</v>
      </c>
      <c r="CQ241" s="560"/>
      <c r="CR241" s="560">
        <f ca="1">IF(B241&gt;Summary!$A$1,#N/A,CP241*MGtoAF)</f>
        <v>1240.5648949859426</v>
      </c>
      <c r="CS241" s="560">
        <f>Sheet1!BK243+Sheet1!BL243+Sheet1!BM243-Sheet1!ER243-DA241</f>
        <v>10.91</v>
      </c>
      <c r="CT241" s="560">
        <f t="shared" si="512"/>
        <v>10.642396226415094</v>
      </c>
      <c r="CU241" s="560">
        <f>IF(Sheet1!ER243="FM",DA241,0)</f>
        <v>0</v>
      </c>
      <c r="CV241" s="560">
        <f t="shared" si="513"/>
        <v>0</v>
      </c>
      <c r="CW241" s="560">
        <f>IF(Sheet1!ER243="OTHER",DA241,0)</f>
        <v>0</v>
      </c>
      <c r="CX241" s="560">
        <f t="shared" si="514"/>
        <v>0</v>
      </c>
      <c r="CY241" s="560">
        <f t="shared" si="515"/>
        <v>10.91</v>
      </c>
      <c r="CZ241" s="560">
        <f t="shared" si="516"/>
        <v>10.642396226415094</v>
      </c>
      <c r="DA241" s="560">
        <f>IF(OR(Sheet1!ER243="FM", Sheet1!ER243="OTHER"),SUM(Sheet1!BK243:'Sheet1'!BM243),0)</f>
        <v>0</v>
      </c>
      <c r="DB241" s="545">
        <f>IF(AND($B241&gt;=$FV241,$B241&lt;=$FW241),MAX($CT241,Sheet1!EK243,0),MAX($CT241-(7/36)*$K241,0))</f>
        <v>11</v>
      </c>
      <c r="DC241" s="560">
        <f t="shared" si="517"/>
        <v>0</v>
      </c>
      <c r="DD241" s="545">
        <f t="shared" si="518"/>
        <v>0</v>
      </c>
      <c r="DE241" s="545">
        <f>IF(AND($O241&gt;0,Sheet1!EO243=1),(1-($O241-Sheet1!$L243)/$O241)*CZ241,0)</f>
        <v>0</v>
      </c>
      <c r="DF241" s="545">
        <f>IF(AND(Sheet1!$L243=0,Sheet1!$L242=0, Calculation!CY241&lt;Sheet1!$EK243-0.1,Sheet1!$EK243=Sheet1!$EK242,Sheet1!$EK243=Sheet1!$EK244),Sheet1!$EK243,CZ241-DE241)</f>
        <v>10.642396226415094</v>
      </c>
      <c r="DG241" s="545"/>
      <c r="DH241" s="560">
        <f t="shared" si="519"/>
        <v>17.600000000000001</v>
      </c>
      <c r="DI241" s="560">
        <f t="shared" si="520"/>
        <v>164.4449357574253</v>
      </c>
      <c r="DJ241" s="698">
        <f t="shared" si="521"/>
        <v>17.168301886792452</v>
      </c>
      <c r="DK241" s="560">
        <f ca="1">IF(B241&gt;Summary!$A$1,#N/A,DI241*MGtoAF)</f>
        <v>504.51706290378081</v>
      </c>
      <c r="DL241" s="698">
        <f t="shared" si="522"/>
        <v>17.600000000000001</v>
      </c>
      <c r="DM241" s="560">
        <f t="shared" si="523"/>
        <v>26.5</v>
      </c>
      <c r="DN241" s="560">
        <f>Sheet1!AB243-DM241</f>
        <v>-0.64999999999999858</v>
      </c>
      <c r="DO241" s="823">
        <f t="shared" si="524"/>
        <v>-2.4528301886792399E-2</v>
      </c>
      <c r="DP241" s="560">
        <f>(VLOOKUP(Sheet1!DC243,hhdcap_wcm,4)-(((VLOOKUP(Sheet1!DC243,hhdcap_wcm,3)-Sheet1!DC243)/(VLOOKUP(Sheet1!DC243,hhdcap_wcm,3)-VLOOKUP(Sheet1!DC243,hhdcap_wcm,1)))*(VLOOKUP(Sheet1!DC243,hhdcap_wcm,4)-VLOOKUP(Sheet1!DC243,hhdcap_wcm,2))))</f>
        <v>38867.000000097636</v>
      </c>
      <c r="DQ241" s="560">
        <f t="shared" si="525"/>
        <v>-508.49999999950523</v>
      </c>
      <c r="DR241" s="560">
        <f t="shared" si="526"/>
        <v>-256.42965204211055</v>
      </c>
      <c r="DS241" s="560">
        <f>Sheet1!EA243*AFtoMG</f>
        <v>0</v>
      </c>
      <c r="DT241" s="560">
        <f>Sheet1!EB243*AFtoMG</f>
        <v>0</v>
      </c>
      <c r="DU241" s="560">
        <f>Sheet1!EC243*AFtoMG</f>
        <v>0</v>
      </c>
      <c r="DV241" s="560">
        <f>Sheet1!ED243*AFtoMG</f>
        <v>0</v>
      </c>
      <c r="DW241" s="560">
        <f t="shared" si="527"/>
        <v>0</v>
      </c>
      <c r="DX241" s="560">
        <f t="shared" si="528"/>
        <v>0</v>
      </c>
      <c r="DY241" s="560">
        <f t="shared" si="529"/>
        <v>2308.2369145099187</v>
      </c>
      <c r="DZ241" s="560">
        <f t="shared" si="530"/>
        <v>7081.6708537164304</v>
      </c>
      <c r="EA241" s="560"/>
      <c r="EB241" s="545">
        <f>IF(OR(B241&lt;FV241,B241&gt;FW241),(MIN(BF241+BY241+CT241+MAX(Sheet1!AA243+AQ241-73,0),K241)),0)</f>
        <v>0</v>
      </c>
      <c r="EC241" s="560"/>
      <c r="ED241" s="560">
        <f t="shared" si="531"/>
        <v>17.168301886792452</v>
      </c>
      <c r="EE241" s="560"/>
      <c r="EF241" s="560">
        <f>Sheet1!EH243+Sheet1!EI243+Sheet1!EJ243+Sheet1!EK243</f>
        <v>17.5</v>
      </c>
      <c r="EG241" s="560"/>
      <c r="EH241" s="545">
        <f t="shared" si="532"/>
        <v>0</v>
      </c>
      <c r="EI241" s="560">
        <f>IF(Sheet1!ET243=1,SUM('Calculations II'!AT241:BA241)+'Calculations II'!BC241+Sheet1!BV243+'Calculations II'!BE241+AP241,SUM('Calculations II'!AT241:BA241)+'Calculations II'!BC241+Sheet1!BV243+'Calculations II'!BE241+AP241)</f>
        <v>83.494416000000001</v>
      </c>
      <c r="EJ241" s="560">
        <f>Sheet1!AA243+Sheet1!AB243+'Calculations II'!BC241</f>
        <v>84.240000000000009</v>
      </c>
      <c r="EK241" s="560"/>
      <c r="EL241" s="560"/>
      <c r="EM241" s="560">
        <f t="shared" si="533"/>
        <v>41869</v>
      </c>
      <c r="EN241" s="560">
        <f t="shared" si="534"/>
        <v>-17.565207547169813</v>
      </c>
      <c r="EO241" s="560">
        <f t="shared" si="535"/>
        <v>-27.173376075471698</v>
      </c>
      <c r="EP241" s="560">
        <v>0</v>
      </c>
      <c r="EQ241" s="560">
        <v>0</v>
      </c>
      <c r="ER241" s="560">
        <v>0</v>
      </c>
      <c r="ES241" s="545">
        <f t="shared" si="454"/>
        <v>4.0148089945868062</v>
      </c>
      <c r="ET241" s="560">
        <f>-(VLOOKUP(Sheet1!BQ243,Lookup!$O$4:$Q$262,2)-VLOOKUP(Sheet1!BQ242,Lookup!$O$4:$Q$262,2))/1000000</f>
        <v>2.0766949394859857</v>
      </c>
      <c r="EU241" s="560">
        <f>-(VLOOKUP(Sheet1!BR243,Lookup!$O$4:$Q$262,3)-VLOOKUP(Sheet1!BR242,Lookup!$O$4:$Q$262,3))/1000000</f>
        <v>1.9381140551008209</v>
      </c>
      <c r="EV241" s="560"/>
      <c r="EW241" s="560"/>
      <c r="EX241" s="560"/>
      <c r="EY241" s="560"/>
      <c r="EZ241" s="560"/>
      <c r="FA241" s="560"/>
      <c r="FB241" s="560"/>
      <c r="FC241" s="560"/>
      <c r="FD241" s="594">
        <f t="shared" si="536"/>
        <v>1132.6112903225073</v>
      </c>
      <c r="FE241" s="594" t="e">
        <f t="shared" si="537"/>
        <v>#N/A</v>
      </c>
      <c r="FF241" s="595" t="e">
        <f t="shared" si="538"/>
        <v>#N/A</v>
      </c>
      <c r="FG241" s="596" t="s">
        <v>692</v>
      </c>
      <c r="FH241" s="596" t="s">
        <v>692</v>
      </c>
      <c r="FI241" s="594" t="e">
        <v>#N/A</v>
      </c>
      <c r="FJ241" s="778">
        <v>17880</v>
      </c>
      <c r="FK241" s="560"/>
      <c r="FL241" s="560"/>
      <c r="FM241" s="560"/>
      <c r="FN241" s="560"/>
      <c r="FO241" s="560">
        <f>O241+((Sheet1!CS243)*GPMtoMGD)</f>
        <v>84.240000000000009</v>
      </c>
      <c r="FP241" s="560">
        <f>IF(Sheet1!AA243+AQ241&lt;=Calculation!N241,AQ241,Calculation!N241-Sheet1!AA243)</f>
        <v>7.1209433962264157</v>
      </c>
      <c r="FQ241" s="560">
        <f>(Sheet1!BP243+Sheet1!BO243)/694.4</f>
        <v>3.2567684331797238</v>
      </c>
      <c r="FR241" s="560"/>
      <c r="FS241" s="560"/>
      <c r="FT241" s="560"/>
      <c r="FU241" s="560"/>
      <c r="FV241" s="695">
        <f t="shared" si="455"/>
        <v>41827</v>
      </c>
      <c r="FW241" s="695">
        <f t="shared" si="456"/>
        <v>41934</v>
      </c>
      <c r="FX241" s="560"/>
      <c r="FY241" s="560"/>
      <c r="FZ241" s="560"/>
      <c r="GA241" s="560"/>
      <c r="GB241" s="560" t="str">
        <f t="shared" si="457"/>
        <v>n</v>
      </c>
      <c r="GC241" s="564">
        <f t="shared" si="458"/>
        <v>41691</v>
      </c>
      <c r="GD241" s="695">
        <f t="shared" si="459"/>
        <v>41807</v>
      </c>
      <c r="GE241" s="560">
        <v>6518.9</v>
      </c>
      <c r="GF241" s="695">
        <f t="shared" si="460"/>
        <v>41808</v>
      </c>
      <c r="GG241" s="560">
        <f t="shared" si="479"/>
        <v>3259</v>
      </c>
      <c r="GH241" s="564">
        <f t="shared" si="461"/>
        <v>41934</v>
      </c>
      <c r="GJ241" s="545">
        <f t="shared" si="462"/>
        <v>0</v>
      </c>
      <c r="GK241" s="560" t="str">
        <f t="shared" si="539"/>
        <v/>
      </c>
      <c r="GL241" s="560">
        <f t="shared" si="463"/>
        <v>0</v>
      </c>
      <c r="GM241" s="560" t="str">
        <f t="shared" si="464"/>
        <v/>
      </c>
      <c r="GN241" s="560">
        <f>IF(GK241="P",Lookup!$M$12,IF(GK241="PP",Lookup!$M$13,IF(GK241="PPP",Lookup!$M$14,IF(GK241="T",Lookup!$M$15,IF(GK241="TP",Lookup!$M$16,IF(GK241="TPP",Lookup!$M$17,IF(GK241="TPPP",Lookup!$M$18,0)))))))*GJ241</f>
        <v>0</v>
      </c>
      <c r="GO241" s="560">
        <f t="shared" si="465"/>
        <v>0</v>
      </c>
      <c r="GP241" s="560">
        <f t="shared" si="540"/>
        <v>3733.2579613333337</v>
      </c>
      <c r="GQ241" s="560">
        <f t="shared" si="473"/>
        <v>1216.8376666666668</v>
      </c>
      <c r="GR241" s="560"/>
      <c r="GS241" s="560">
        <f t="shared" si="466"/>
        <v>0</v>
      </c>
      <c r="GT241" s="560" t="str">
        <f t="shared" si="467"/>
        <v/>
      </c>
      <c r="GU241" s="560">
        <f>IF(GK241="P",Lookup!$N$12,IF(GK241="PP",Lookup!$N$13,IF(GK241="PPP",Lookup!$N$14,IF(GK241="T",Lookup!$N$15,IF(GK241="TP",Lookup!$N$16,IF(GK241="TPP",Lookup!$N$17,IF(GK241="TPPP",Lookup!$N$18,0)))))))*GJ241</f>
        <v>0</v>
      </c>
      <c r="GV241" s="560">
        <f t="shared" si="468"/>
        <v>0</v>
      </c>
      <c r="GW241" s="560">
        <f t="shared" si="541"/>
        <v>1603.3309344933732</v>
      </c>
      <c r="GX241" s="560">
        <f t="shared" si="474"/>
        <v>522.59808816602776</v>
      </c>
      <c r="GY241" s="560"/>
      <c r="GZ241" s="560">
        <f t="shared" si="469"/>
        <v>0</v>
      </c>
      <c r="HA241" s="560" t="str">
        <f t="shared" si="470"/>
        <v/>
      </c>
      <c r="HB241" s="560">
        <f>IF(GK241="P",Lookup!$N$12,IF(GK241="PP",Lookup!$N$13,IF(GK241="PPP",Lookup!$N$14,IF(GK241="T",Lookup!$N$15,IF(GK241="TP",Lookup!$N$16,IF(GK241="TPP",Lookup!$N$17,IF(GK241="TPPP",Lookup!$N$18,0)))))))*GJ241</f>
        <v>0</v>
      </c>
      <c r="HC241" s="545">
        <f t="shared" si="542"/>
        <v>0</v>
      </c>
      <c r="HD241" s="560">
        <f t="shared" si="543"/>
        <v>1240.5648949859426</v>
      </c>
      <c r="HE241" s="560">
        <f t="shared" si="475"/>
        <v>404.35622391979877</v>
      </c>
      <c r="HF241" s="560"/>
      <c r="HG241" s="560">
        <f t="shared" si="471"/>
        <v>0</v>
      </c>
      <c r="HH241" s="560" t="str">
        <f t="shared" si="472"/>
        <v/>
      </c>
      <c r="HI241" s="560">
        <f>IF(GK241="P",Lookup!$N$12,IF(GK241="PP",Lookup!$N$13,IF(GK241="PPP",Lookup!$N$14,IF(GK241="T",Lookup!$N$15,IF(GK241="TP",Lookup!$N$16,IF(GK241="TPP",Lookup!$N$17,IF(GK241="TPPP",Lookup!$N$18,0)))))))*GJ241</f>
        <v>0</v>
      </c>
      <c r="HJ241" s="545">
        <f t="shared" si="544"/>
        <v>0</v>
      </c>
      <c r="HK241" s="560">
        <f t="shared" si="545"/>
        <v>504.51706290378081</v>
      </c>
      <c r="HL241" s="560">
        <f t="shared" si="476"/>
        <v>164.4449357574253</v>
      </c>
    </row>
    <row r="242" spans="1:220">
      <c r="A242" s="580" t="s">
        <v>5</v>
      </c>
      <c r="B242" s="556">
        <v>41870</v>
      </c>
      <c r="C242" s="561">
        <v>0</v>
      </c>
      <c r="D242" s="529">
        <f t="shared" si="477"/>
        <v>200</v>
      </c>
      <c r="E242" s="529">
        <f t="shared" si="478"/>
        <v>400</v>
      </c>
      <c r="F242" s="529">
        <v>250</v>
      </c>
      <c r="G242" s="560">
        <f>DR242+Sheet1!CZ244</f>
        <v>284.98789712556953</v>
      </c>
      <c r="H242" s="914">
        <f t="shared" si="480"/>
        <v>0</v>
      </c>
      <c r="I242" s="559">
        <f>MAX(Sheet1!Z244-AT242+(Sheet1!DA244-E242)*CFStoMGD,0)</f>
        <v>0</v>
      </c>
      <c r="J242" s="562">
        <f>IF(AND(B242&gt;=Calculation!GC242,B242&lt;=Calculation!GD242),IF(Sheet1!DB244&gt;=Calculation!D242,64.64,0),MAX(Sheet1!Z244-AT242+(Sheet1!DB244-D242)*CFStoMGD,0))</f>
        <v>29.728400000000001</v>
      </c>
      <c r="K242" s="904">
        <f t="shared" si="481"/>
        <v>0</v>
      </c>
      <c r="L242" s="560">
        <f>Sheet1!AA244+Sheet1!AB244-Sheet1!L244+(Sheet1!DA244-F242)*CFStoMGD</f>
        <v>159.024</v>
      </c>
      <c r="M242" s="560">
        <f t="shared" si="482"/>
        <v>187.9005002360075</v>
      </c>
      <c r="N242" s="910">
        <f>IF(Sheet1!DA244&gt;=F242,MIN(73,MIN(MAX(L242,0),MAX(M242,0))),0)</f>
        <v>73</v>
      </c>
      <c r="O242" s="563">
        <f>Sheet1!AA244+Sheet1!AB244</f>
        <v>87.92</v>
      </c>
      <c r="P242" s="563">
        <f t="shared" si="483"/>
        <v>136.01223999999999</v>
      </c>
      <c r="Q242" s="898">
        <f t="shared" si="444"/>
        <v>70.42</v>
      </c>
      <c r="R242" s="829">
        <f t="shared" si="484"/>
        <v>17.5</v>
      </c>
      <c r="S242" s="898">
        <f t="shared" si="445"/>
        <v>0</v>
      </c>
      <c r="T242" s="898">
        <f t="shared" si="446"/>
        <v>0</v>
      </c>
      <c r="U242" s="898">
        <f t="shared" si="447"/>
        <v>17.5</v>
      </c>
      <c r="V242" s="898"/>
      <c r="W242" s="898">
        <f t="shared" si="448"/>
        <v>0</v>
      </c>
      <c r="X242" s="898">
        <f t="shared" si="449"/>
        <v>0</v>
      </c>
      <c r="Y242" s="898" t="str">
        <f t="shared" si="450"/>
        <v>FALSE</v>
      </c>
      <c r="Z242" s="898">
        <f t="shared" si="451"/>
        <v>87.92</v>
      </c>
      <c r="AA242" s="898">
        <f t="shared" si="452"/>
        <v>87.92</v>
      </c>
      <c r="AB242" s="898" t="str">
        <f t="shared" si="453"/>
        <v/>
      </c>
      <c r="AC242" s="563">
        <f>Sheet1!Y244*MGDtoCFS</f>
        <v>90.329329999999999</v>
      </c>
      <c r="AD242" s="563">
        <f>Sheet1!Z244*MGDtoCFS</f>
        <v>39.98995</v>
      </c>
      <c r="AE242" s="563">
        <f>Sheet1!AA244*MGDtoCFS</f>
        <v>89.602239999999995</v>
      </c>
      <c r="AF242" s="563">
        <f>Sheet1!AB244*MGDtoCFS</f>
        <v>46.41</v>
      </c>
      <c r="AG242" s="563">
        <f>Sheet1!L244*MGDtoCFS</f>
        <v>0</v>
      </c>
      <c r="AH242" s="545">
        <f t="shared" si="485"/>
        <v>17.5</v>
      </c>
      <c r="AI242" s="560">
        <f t="shared" si="486"/>
        <v>27.072499999999998</v>
      </c>
      <c r="AJ242" s="560">
        <f t="shared" si="487"/>
        <v>0</v>
      </c>
      <c r="AK242" s="560">
        <f t="shared" si="488"/>
        <v>0</v>
      </c>
      <c r="AL242" s="560">
        <f>(VLOOKUP(Sheet1!DC244,hhdcap_wcm,4)-(((VLOOKUP(Sheet1!DC244,hhdcap_wcm,3)-Sheet1!DC244)/(VLOOKUP(Sheet1!DC244,hhdcap_wcm,3)-VLOOKUP(Sheet1!DC244,hhdcap_wcm,1)))*(VLOOKUP(Sheet1!DC244,hhdcap_wcm,4)-VLOOKUP(Sheet1!DC244,hhdcap_wcm,2))))</f>
        <v>38724.20000009764</v>
      </c>
      <c r="AM242" s="560">
        <f t="shared" si="489"/>
        <v>-142.79999999999563</v>
      </c>
      <c r="AN242" s="560">
        <f t="shared" si="490"/>
        <v>2290.7369145099187</v>
      </c>
      <c r="AO242" s="560">
        <f t="shared" si="491"/>
        <v>7027.9808537164308</v>
      </c>
      <c r="AP242" s="560">
        <f>Sheet1!BA244+Sheet1!BB244+Sheet1!BN244+CD242</f>
        <v>13</v>
      </c>
      <c r="AQ242" s="560">
        <f>Sheet1!BN244+(DO242*Sheet1!BN244)</f>
        <v>11.180124223602485</v>
      </c>
      <c r="AR242" s="560">
        <f>Sheet1!BA244+CD242</f>
        <v>0</v>
      </c>
      <c r="AS242" s="560">
        <f>Sheet1!BA244+Sheet1!BB244+CD242</f>
        <v>1.6</v>
      </c>
      <c r="AT242" s="698">
        <f>0</f>
        <v>0</v>
      </c>
      <c r="AU242" s="560">
        <f>IF(EB242&lt;K242,0,MAX(Sheet1!AA244+AQ242-15/36*K242-N242,Sheet1!EH244,0))</f>
        <v>0</v>
      </c>
      <c r="AV242" s="560">
        <f>IF(OR(B242&gt;=GD242,B242&lt;GC242),0,15/36*K242-MAX(0,64.6-(137.6-(Sheet1!AA244+Sheet1!AB244))))</f>
        <v>0</v>
      </c>
      <c r="AW242" s="698">
        <f>Sheet1!DB244-110</f>
        <v>96</v>
      </c>
      <c r="AX242" s="698">
        <f>Sheet1!DA244-265</f>
        <v>95</v>
      </c>
      <c r="AY242" s="698">
        <f t="shared" si="492"/>
        <v>2.5799999999999983</v>
      </c>
      <c r="AZ242" s="1082"/>
      <c r="BA242" s="698">
        <f t="shared" si="493"/>
        <v>0</v>
      </c>
      <c r="BB242" s="560">
        <f t="shared" si="494"/>
        <v>1216.8376666666668</v>
      </c>
      <c r="BC242" s="560"/>
      <c r="BD242" s="560">
        <f ca="1">IF(B242&gt;Summary!$A$1,#N/A,BB242*MGtoAF)</f>
        <v>3733.2579613333337</v>
      </c>
      <c r="BE242" s="560">
        <f>Sheet1!BG244+Sheet1!BH244+Sheet1!BI244-BM242</f>
        <v>2.02</v>
      </c>
      <c r="BF242" s="560">
        <f t="shared" si="495"/>
        <v>1.9810395554102649</v>
      </c>
      <c r="BG242" s="560">
        <f>IF(Sheet1!EP244="FM",BM242,0)</f>
        <v>0</v>
      </c>
      <c r="BH242" s="560">
        <f t="shared" si="496"/>
        <v>0</v>
      </c>
      <c r="BI242" s="560">
        <f>IF(Sheet1!EP244="OTHER",BM242,0)</f>
        <v>0</v>
      </c>
      <c r="BJ242" s="560">
        <f t="shared" si="497"/>
        <v>0</v>
      </c>
      <c r="BK242" s="560">
        <f t="shared" si="498"/>
        <v>2.02</v>
      </c>
      <c r="BL242" s="560">
        <f t="shared" si="499"/>
        <v>1.9810395554102649</v>
      </c>
      <c r="BM242" s="560">
        <f>IF(OR(Sheet1!EP244="FM", Sheet1!EP244="OTHER"),SUM(Sheet1!BG244:'Sheet1'!BI244),0)</f>
        <v>0</v>
      </c>
      <c r="BN242" s="545">
        <f>IF(AND($B242&gt;=$FV242,$B242&lt;=$FW242),MAX(BF242,Sheet1!EI244,0),MAX(BF242-(7/36)*$K242,0))</f>
        <v>2</v>
      </c>
      <c r="BO242" s="560">
        <f t="shared" si="500"/>
        <v>0</v>
      </c>
      <c r="BP242" s="545">
        <f t="shared" si="501"/>
        <v>0</v>
      </c>
      <c r="BQ242" s="545">
        <f>IF(AND($O242&gt;0,Sheet1!EM244=1),(1-($O242-Sheet1!$L244)/$O242)*BL242,0)</f>
        <v>0</v>
      </c>
      <c r="BR242" s="545">
        <f>IF(AND(Sheet1!$L244=0,Sheet1!$L243=0, Calculation!BK242&lt;Sheet1!$EI244-0.1,Sheet1!$EI244=Sheet1!$EI243,Sheet1!$EI244=Sheet1!$EI245),Sheet1!$EI244,BL242-BQ242)</f>
        <v>1.9810395554102649</v>
      </c>
      <c r="BS242" s="560"/>
      <c r="BT242" s="560"/>
      <c r="BU242" s="560">
        <f t="shared" si="502"/>
        <v>520.59808816602776</v>
      </c>
      <c r="BV242" s="560"/>
      <c r="BW242" s="560">
        <f ca="1">IF(B242&gt;Summary!$A$1,#N/A,BU242*MGtoAF)</f>
        <v>1597.1949344933732</v>
      </c>
      <c r="BX242" s="560">
        <f>Sheet1!BC244+Sheet1!BD244+Sheet1!BE244+Sheet1!BF244-CG242-CH242</f>
        <v>4.5</v>
      </c>
      <c r="BY242" s="560">
        <f t="shared" si="503"/>
        <v>4.4132069303694017</v>
      </c>
      <c r="BZ242" s="560">
        <f>IF(Sheet1!EQ244="FM",CH242,0)</f>
        <v>0</v>
      </c>
      <c r="CA242" s="560">
        <f t="shared" si="504"/>
        <v>0</v>
      </c>
      <c r="CB242" s="560">
        <f>IF(Sheet1!EQ244="OTHER",CH242,0)</f>
        <v>0</v>
      </c>
      <c r="CC242" s="560">
        <f t="shared" si="505"/>
        <v>0</v>
      </c>
      <c r="CD242" s="560">
        <f t="shared" si="506"/>
        <v>0</v>
      </c>
      <c r="CE242" s="560">
        <f t="shared" si="507"/>
        <v>4.5</v>
      </c>
      <c r="CF242" s="560">
        <f t="shared" si="508"/>
        <v>4.4132069303694017</v>
      </c>
      <c r="CG242" s="560">
        <f>IF(Sheet1!EQ244="CWA",SUM(Sheet1!BC244:'Sheet1'!BF244),0)</f>
        <v>0</v>
      </c>
      <c r="CH242" s="560">
        <f>IF(OR(Sheet1!EQ244="FM", Sheet1!EQ244="OTHER"),SUM(Sheet1!BC244:'Sheet1'!BF244),0)</f>
        <v>0</v>
      </c>
      <c r="CI242" s="545">
        <f>IF(AND($B242&gt;=$FV242,$B242&lt;=$FW242),MAX(CF242,Sheet1!EJ244,0),MAX(CF242-(7/36)*$K242,0))</f>
        <v>4.5</v>
      </c>
      <c r="CJ242" s="560">
        <f t="shared" si="509"/>
        <v>0</v>
      </c>
      <c r="CK242" s="545">
        <f t="shared" si="510"/>
        <v>0</v>
      </c>
      <c r="CL242" s="545">
        <f>IF(AND($O242&gt;0,Sheet1!EN244=1),(1-($O242-Sheet1!$L244)/$O242)*CF242,0)</f>
        <v>0</v>
      </c>
      <c r="CM242" s="545">
        <f>IF(AND(Sheet1!$L244=0,Sheet1!$L243=0, Calculation!CE242&lt;Sheet1!EJ244-0.1,Sheet1!EJ244=Sheet1!EJ243,Sheet1!EJ244=Sheet1!EJ245),Sheet1!EJ244,CF242-CL242)</f>
        <v>4.4132069303694017</v>
      </c>
      <c r="CN242" s="545"/>
      <c r="CO242" s="560"/>
      <c r="CP242" s="560">
        <f t="shared" si="511"/>
        <v>399.85622391979877</v>
      </c>
      <c r="CQ242" s="560"/>
      <c r="CR242" s="560">
        <f ca="1">IF(B242&gt;Summary!$A$1,#N/A,CP242*MGtoAF)</f>
        <v>1226.7588949859426</v>
      </c>
      <c r="CS242" s="560">
        <f>Sheet1!BK244+Sheet1!BL244+Sheet1!BM244-Sheet1!ER244-DA242</f>
        <v>11.07</v>
      </c>
      <c r="CT242" s="560">
        <f t="shared" si="512"/>
        <v>10.856489048708729</v>
      </c>
      <c r="CU242" s="560">
        <f>IF(Sheet1!ER244="FM",DA242,0)</f>
        <v>0</v>
      </c>
      <c r="CV242" s="560">
        <f t="shared" si="513"/>
        <v>0</v>
      </c>
      <c r="CW242" s="560">
        <f>IF(Sheet1!ER244="OTHER",DA242,0)</f>
        <v>0</v>
      </c>
      <c r="CX242" s="560">
        <f t="shared" si="514"/>
        <v>0</v>
      </c>
      <c r="CY242" s="560">
        <f t="shared" si="515"/>
        <v>11.07</v>
      </c>
      <c r="CZ242" s="560">
        <f t="shared" si="516"/>
        <v>10.856489048708729</v>
      </c>
      <c r="DA242" s="560">
        <f>IF(OR(Sheet1!ER244="FM", Sheet1!ER244="OTHER"),SUM(Sheet1!BK244:'Sheet1'!BM244),0)</f>
        <v>0</v>
      </c>
      <c r="DB242" s="545">
        <f>IF(AND($B242&gt;=$FV242,$B242&lt;=$FW242),MAX($CT242,Sheet1!EK244,0),MAX($CT242-(7/36)*$K242,0))</f>
        <v>11</v>
      </c>
      <c r="DC242" s="560">
        <f t="shared" si="517"/>
        <v>0</v>
      </c>
      <c r="DD242" s="545">
        <f t="shared" si="518"/>
        <v>0</v>
      </c>
      <c r="DE242" s="545">
        <f>IF(AND($O242&gt;0,Sheet1!EO244=1),(1-($O242-Sheet1!$L244)/$O242)*CZ242,0)</f>
        <v>0</v>
      </c>
      <c r="DF242" s="545">
        <f>IF(AND(Sheet1!$L244=0,Sheet1!$L243=0, Calculation!CY242&lt;Sheet1!$EK244-0.1,Sheet1!$EK244=Sheet1!$EK243,Sheet1!$EK244=Sheet1!$EK245),Sheet1!$EK244,CZ242-DE242)</f>
        <v>10.856489048708729</v>
      </c>
      <c r="DG242" s="545"/>
      <c r="DH242" s="560">
        <f t="shared" si="519"/>
        <v>17.59</v>
      </c>
      <c r="DI242" s="560">
        <f t="shared" si="520"/>
        <v>153.4449357574253</v>
      </c>
      <c r="DJ242" s="698">
        <f t="shared" si="521"/>
        <v>17.250735534488395</v>
      </c>
      <c r="DK242" s="560">
        <f ca="1">IF(B242&gt;Summary!$A$1,#N/A,DI242*MGtoAF)</f>
        <v>470.76906290378082</v>
      </c>
      <c r="DL242" s="698">
        <f t="shared" si="522"/>
        <v>17.59</v>
      </c>
      <c r="DM242" s="560">
        <f t="shared" si="523"/>
        <v>30.59</v>
      </c>
      <c r="DN242" s="560">
        <f>Sheet1!AB244-DM242</f>
        <v>-0.58999999999999986</v>
      </c>
      <c r="DO242" s="823">
        <f t="shared" si="524"/>
        <v>-1.9287348806799602E-2</v>
      </c>
      <c r="DP242" s="560">
        <f>(VLOOKUP(Sheet1!DC244,hhdcap_wcm,4)-(((VLOOKUP(Sheet1!DC244,hhdcap_wcm,3)-Sheet1!DC244)/(VLOOKUP(Sheet1!DC244,hhdcap_wcm,3)-VLOOKUP(Sheet1!DC244,hhdcap_wcm,1)))*(VLOOKUP(Sheet1!DC244,hhdcap_wcm,4)-VLOOKUP(Sheet1!DC244,hhdcap_wcm,2))))</f>
        <v>38724.20000009764</v>
      </c>
      <c r="DQ242" s="560">
        <f t="shared" si="525"/>
        <v>-142.79999999999563</v>
      </c>
      <c r="DR242" s="560">
        <f t="shared" si="526"/>
        <v>-72.012102874430468</v>
      </c>
      <c r="DS242" s="560">
        <f>Sheet1!EA244*AFtoMG</f>
        <v>0</v>
      </c>
      <c r="DT242" s="560">
        <f>Sheet1!EB244*AFtoMG</f>
        <v>0</v>
      </c>
      <c r="DU242" s="560">
        <f>Sheet1!EC244*AFtoMG</f>
        <v>0</v>
      </c>
      <c r="DV242" s="560">
        <f>Sheet1!ED244*AFtoMG</f>
        <v>0</v>
      </c>
      <c r="DW242" s="560">
        <f t="shared" si="527"/>
        <v>0</v>
      </c>
      <c r="DX242" s="560">
        <f t="shared" si="528"/>
        <v>0</v>
      </c>
      <c r="DY242" s="560">
        <f t="shared" si="529"/>
        <v>2290.7369145099187</v>
      </c>
      <c r="DZ242" s="560">
        <f t="shared" si="530"/>
        <v>7027.9808537164308</v>
      </c>
      <c r="EA242" s="560"/>
      <c r="EB242" s="545">
        <f>IF(OR(B242&lt;FV242,B242&gt;FW242),(MIN(BF242+BY242+CT242+MAX(Sheet1!AA244+AQ242-73,0),K242)),0)</f>
        <v>0</v>
      </c>
      <c r="EC242" s="560"/>
      <c r="ED242" s="560">
        <f t="shared" si="531"/>
        <v>17.250735534488395</v>
      </c>
      <c r="EE242" s="560"/>
      <c r="EF242" s="560">
        <f>Sheet1!EH244+Sheet1!EI244+Sheet1!EJ244+Sheet1!EK244</f>
        <v>17.5</v>
      </c>
      <c r="EG242" s="560"/>
      <c r="EH242" s="545">
        <f t="shared" si="532"/>
        <v>0</v>
      </c>
      <c r="EI242" s="560">
        <f>IF(Sheet1!ET244=1,SUM('Calculations II'!AT242:BA242)+'Calculations II'!BC242+Sheet1!BV244+'Calculations II'!BE242+AP242,SUM('Calculations II'!AT242:BA242)+'Calculations II'!BC242+Sheet1!BV244+'Calculations II'!BE242+AP242)</f>
        <v>79.657120000000006</v>
      </c>
      <c r="EJ242" s="560">
        <f>Sheet1!AA244+Sheet1!AB244+'Calculations II'!BC242</f>
        <v>88.482464000000007</v>
      </c>
      <c r="EK242" s="560"/>
      <c r="EL242" s="560"/>
      <c r="EM242" s="560">
        <f t="shared" si="533"/>
        <v>41870</v>
      </c>
      <c r="EN242" s="560">
        <f t="shared" si="534"/>
        <v>-17.5</v>
      </c>
      <c r="EO242" s="560">
        <f t="shared" si="535"/>
        <v>-27.072499999999998</v>
      </c>
      <c r="EP242" s="560">
        <v>0</v>
      </c>
      <c r="EQ242" s="560">
        <v>0</v>
      </c>
      <c r="ER242" s="560">
        <v>0</v>
      </c>
      <c r="ES242" s="545">
        <f t="shared" si="454"/>
        <v>-3.8763178114082182</v>
      </c>
      <c r="ET242" s="560">
        <f>-(VLOOKUP(Sheet1!BQ244,Lookup!$O$4:$Q$262,2)-VLOOKUP(Sheet1!BQ243,Lookup!$O$4:$Q$262,2))/1000000</f>
        <v>-1.9382037563073971</v>
      </c>
      <c r="EU242" s="560">
        <f>-(VLOOKUP(Sheet1!BR244,Lookup!$O$4:$Q$262,3)-VLOOKUP(Sheet1!BR243,Lookup!$O$4:$Q$262,3))/1000000</f>
        <v>-1.9381140551008209</v>
      </c>
      <c r="EV242" s="560"/>
      <c r="EW242" s="560"/>
      <c r="EX242" s="560"/>
      <c r="EY242" s="560"/>
      <c r="EZ242" s="560"/>
      <c r="FA242" s="560"/>
      <c r="FB242" s="560"/>
      <c r="FC242" s="560"/>
      <c r="FD242" s="594">
        <f t="shared" si="536"/>
        <v>1132.3403225805721</v>
      </c>
      <c r="FE242" s="594" t="e">
        <f t="shared" si="537"/>
        <v>#N/A</v>
      </c>
      <c r="FF242" s="595" t="e">
        <f t="shared" si="538"/>
        <v>#N/A</v>
      </c>
      <c r="FG242" s="596" t="s">
        <v>692</v>
      </c>
      <c r="FH242" s="596" t="s">
        <v>692</v>
      </c>
      <c r="FI242" s="594" t="e">
        <v>#N/A</v>
      </c>
      <c r="FJ242" s="778">
        <v>17712</v>
      </c>
      <c r="FK242" s="560"/>
      <c r="FL242" s="560"/>
      <c r="FM242" s="560"/>
      <c r="FN242" s="560"/>
      <c r="FO242" s="560">
        <f>O242+((Sheet1!CS244)*GPMtoMGD)</f>
        <v>88.482464000000007</v>
      </c>
      <c r="FP242" s="560">
        <f>IF(Sheet1!AA244+AQ242&lt;=Calculation!N242,AQ242,Calculation!N242-Sheet1!AA244)</f>
        <v>11.180124223602485</v>
      </c>
      <c r="FQ242" s="560">
        <f>(Sheet1!BP244+Sheet1!BO244)/694.4</f>
        <v>3.1540898617511521</v>
      </c>
      <c r="FR242" s="560"/>
      <c r="FS242" s="560"/>
      <c r="FT242" s="560"/>
      <c r="FU242" s="560"/>
      <c r="FV242" s="695">
        <f t="shared" si="455"/>
        <v>41827</v>
      </c>
      <c r="FW242" s="695">
        <f t="shared" si="456"/>
        <v>41934</v>
      </c>
      <c r="FX242" s="560"/>
      <c r="FY242" s="560"/>
      <c r="FZ242" s="560"/>
      <c r="GA242" s="560"/>
      <c r="GB242" s="560" t="str">
        <f t="shared" si="457"/>
        <v>n</v>
      </c>
      <c r="GC242" s="564">
        <f t="shared" si="458"/>
        <v>41691</v>
      </c>
      <c r="GD242" s="695">
        <f t="shared" si="459"/>
        <v>41807</v>
      </c>
      <c r="GE242" s="560">
        <v>6518.9</v>
      </c>
      <c r="GF242" s="695">
        <f t="shared" si="460"/>
        <v>41808</v>
      </c>
      <c r="GG242" s="560">
        <f t="shared" si="479"/>
        <v>3259</v>
      </c>
      <c r="GH242" s="564">
        <f t="shared" si="461"/>
        <v>41934</v>
      </c>
      <c r="GJ242" s="545">
        <f t="shared" si="462"/>
        <v>0</v>
      </c>
      <c r="GK242" s="560" t="str">
        <f t="shared" si="539"/>
        <v/>
      </c>
      <c r="GL242" s="560">
        <f t="shared" si="463"/>
        <v>0</v>
      </c>
      <c r="GM242" s="560" t="str">
        <f t="shared" si="464"/>
        <v/>
      </c>
      <c r="GN242" s="560">
        <f>IF(GK242="P",Lookup!$M$12,IF(GK242="PP",Lookup!$M$13,IF(GK242="PPP",Lookup!$M$14,IF(GK242="T",Lookup!$M$15,IF(GK242="TP",Lookup!$M$16,IF(GK242="TPP",Lookup!$M$17,IF(GK242="TPPP",Lookup!$M$18,0)))))))*GJ242</f>
        <v>0</v>
      </c>
      <c r="GO242" s="560">
        <f t="shared" si="465"/>
        <v>0</v>
      </c>
      <c r="GP242" s="560">
        <f t="shared" si="540"/>
        <v>3733.2579613333337</v>
      </c>
      <c r="GQ242" s="560">
        <f t="shared" si="473"/>
        <v>1216.8376666666668</v>
      </c>
      <c r="GR242" s="560"/>
      <c r="GS242" s="560">
        <f t="shared" si="466"/>
        <v>0</v>
      </c>
      <c r="GT242" s="560" t="str">
        <f t="shared" si="467"/>
        <v/>
      </c>
      <c r="GU242" s="560">
        <f>IF(GK242="P",Lookup!$N$12,IF(GK242="PP",Lookup!$N$13,IF(GK242="PPP",Lookup!$N$14,IF(GK242="T",Lookup!$N$15,IF(GK242="TP",Lookup!$N$16,IF(GK242="TPP",Lookup!$N$17,IF(GK242="TPPP",Lookup!$N$18,0)))))))*GJ242</f>
        <v>0</v>
      </c>
      <c r="GV242" s="560">
        <f t="shared" si="468"/>
        <v>0</v>
      </c>
      <c r="GW242" s="560">
        <f t="shared" si="541"/>
        <v>1597.1949344933732</v>
      </c>
      <c r="GX242" s="560">
        <f t="shared" si="474"/>
        <v>520.59808816602776</v>
      </c>
      <c r="GY242" s="560"/>
      <c r="GZ242" s="560">
        <f t="shared" si="469"/>
        <v>0</v>
      </c>
      <c r="HA242" s="560" t="str">
        <f t="shared" si="470"/>
        <v/>
      </c>
      <c r="HB242" s="560">
        <f>IF(GK242="P",Lookup!$N$12,IF(GK242="PP",Lookup!$N$13,IF(GK242="PPP",Lookup!$N$14,IF(GK242="T",Lookup!$N$15,IF(GK242="TP",Lookup!$N$16,IF(GK242="TPP",Lookup!$N$17,IF(GK242="TPPP",Lookup!$N$18,0)))))))*GJ242</f>
        <v>0</v>
      </c>
      <c r="HC242" s="545">
        <f t="shared" si="542"/>
        <v>0</v>
      </c>
      <c r="HD242" s="560">
        <f t="shared" si="543"/>
        <v>1226.7588949859426</v>
      </c>
      <c r="HE242" s="560">
        <f t="shared" si="475"/>
        <v>399.85622391979877</v>
      </c>
      <c r="HF242" s="560"/>
      <c r="HG242" s="560">
        <f t="shared" si="471"/>
        <v>0</v>
      </c>
      <c r="HH242" s="560" t="str">
        <f t="shared" si="472"/>
        <v/>
      </c>
      <c r="HI242" s="560">
        <f>IF(GK242="P",Lookup!$N$12,IF(GK242="PP",Lookup!$N$13,IF(GK242="PPP",Lookup!$N$14,IF(GK242="T",Lookup!$N$15,IF(GK242="TP",Lookup!$N$16,IF(GK242="TPP",Lookup!$N$17,IF(GK242="TPPP",Lookup!$N$18,0)))))))*GJ242</f>
        <v>0</v>
      </c>
      <c r="HJ242" s="545">
        <f t="shared" si="544"/>
        <v>0</v>
      </c>
      <c r="HK242" s="560">
        <f t="shared" si="545"/>
        <v>470.76906290378082</v>
      </c>
      <c r="HL242" s="560">
        <f t="shared" si="476"/>
        <v>153.4449357574253</v>
      </c>
    </row>
    <row r="243" spans="1:220">
      <c r="A243" s="580" t="s">
        <v>6</v>
      </c>
      <c r="B243" s="556">
        <v>41871</v>
      </c>
      <c r="C243" s="561">
        <v>0</v>
      </c>
      <c r="D243" s="529">
        <f t="shared" si="477"/>
        <v>200</v>
      </c>
      <c r="E243" s="529">
        <f t="shared" si="478"/>
        <v>400</v>
      </c>
      <c r="F243" s="529">
        <v>250</v>
      </c>
      <c r="G243" s="560">
        <f>DR243+Sheet1!CZ245</f>
        <v>158.3111447294913</v>
      </c>
      <c r="H243" s="914">
        <f t="shared" si="480"/>
        <v>0</v>
      </c>
      <c r="I243" s="559">
        <f>MAX(Sheet1!Z245-AT243+(Sheet1!DA245-E243)*CFStoMGD,0)</f>
        <v>0.91200000000000259</v>
      </c>
      <c r="J243" s="562">
        <f>IF(AND(B243&gt;=Calculation!GC243,B243&lt;=Calculation!GD243),IF(Sheet1!DB245&gt;=Calculation!D243,64.64,0),MAX(Sheet1!Z245-AT243+(Sheet1!DB245-D243)*CFStoMGD,0))</f>
        <v>35.171199999999999</v>
      </c>
      <c r="K243" s="904">
        <f t="shared" si="481"/>
        <v>0</v>
      </c>
      <c r="L243" s="560">
        <f>Sheet1!AA245+Sheet1!AB245-Sheet1!L245+(Sheet1!DA245-F243)*CFStoMGD</f>
        <v>155.77199999999999</v>
      </c>
      <c r="M243" s="560">
        <f t="shared" si="482"/>
        <v>104.37897043220605</v>
      </c>
      <c r="N243" s="910">
        <f>IF(Sheet1!DA245&gt;=F243,MIN(73,MIN(MAX(L243,0),MAX(M243,0))),0)</f>
        <v>73</v>
      </c>
      <c r="O243" s="563">
        <f>Sheet1!AA245+Sheet1!AB245</f>
        <v>87.9</v>
      </c>
      <c r="P243" s="563">
        <f t="shared" si="483"/>
        <v>135.98129999999998</v>
      </c>
      <c r="Q243" s="898">
        <f t="shared" si="444"/>
        <v>70.400000000000006</v>
      </c>
      <c r="R243" s="829">
        <f t="shared" si="484"/>
        <v>17.5</v>
      </c>
      <c r="S243" s="898">
        <f t="shared" si="445"/>
        <v>0</v>
      </c>
      <c r="T243" s="898">
        <f t="shared" si="446"/>
        <v>0</v>
      </c>
      <c r="U243" s="898">
        <f t="shared" si="447"/>
        <v>17.5</v>
      </c>
      <c r="V243" s="898"/>
      <c r="W243" s="898">
        <f t="shared" si="448"/>
        <v>0</v>
      </c>
      <c r="X243" s="898">
        <f t="shared" si="449"/>
        <v>0</v>
      </c>
      <c r="Y243" s="898" t="str">
        <f t="shared" si="450"/>
        <v>FALSE</v>
      </c>
      <c r="Z243" s="898">
        <f t="shared" si="451"/>
        <v>87.9</v>
      </c>
      <c r="AA243" s="898">
        <f t="shared" si="452"/>
        <v>87.9</v>
      </c>
      <c r="AB243" s="898" t="str">
        <f t="shared" si="453"/>
        <v/>
      </c>
      <c r="AC243" s="563">
        <f>Sheet1!Y245*MGDtoCFS</f>
        <v>89.602239999999995</v>
      </c>
      <c r="AD243" s="563">
        <f>Sheet1!Z245*MGDtoCFS</f>
        <v>46.41</v>
      </c>
      <c r="AE243" s="563">
        <f>Sheet1!AA245*MGDtoCFS</f>
        <v>89.571299999999994</v>
      </c>
      <c r="AF243" s="563">
        <f>Sheet1!AB245*MGDtoCFS</f>
        <v>46.41</v>
      </c>
      <c r="AG243" s="563">
        <f>Sheet1!L245*MGDtoCFS</f>
        <v>0</v>
      </c>
      <c r="AH243" s="545">
        <f>AU243+BN243+CI243+DB243</f>
        <v>17.5</v>
      </c>
      <c r="AI243" s="560">
        <f t="shared" si="486"/>
        <v>27.072499999999998</v>
      </c>
      <c r="AJ243" s="560">
        <f t="shared" si="487"/>
        <v>0</v>
      </c>
      <c r="AK243" s="560">
        <f t="shared" si="488"/>
        <v>0</v>
      </c>
      <c r="AL243" s="560">
        <f>(VLOOKUP(Sheet1!DC245,hhdcap_wcm,4)-(((VLOOKUP(Sheet1!DC245,hhdcap_wcm,3)-Sheet1!DC245)/(VLOOKUP(Sheet1!DC245,hhdcap_wcm,3)-VLOOKUP(Sheet1!DC245,hhdcap_wcm,1)))*(VLOOKUP(Sheet1!DC245,hhdcap_wcm,4)-VLOOKUP(Sheet1!DC245,hhdcap_wcm,2))))</f>
        <v>38330.200000096222</v>
      </c>
      <c r="AM243" s="560">
        <f t="shared" si="489"/>
        <v>-394.00000000141881</v>
      </c>
      <c r="AN243" s="560">
        <f t="shared" si="490"/>
        <v>2273.2369145099187</v>
      </c>
      <c r="AO243" s="560">
        <f t="shared" si="491"/>
        <v>6974.2908537164312</v>
      </c>
      <c r="AP243" s="560">
        <f>Sheet1!BA245+Sheet1!BB245+Sheet1!BN245+CD243</f>
        <v>13</v>
      </c>
      <c r="AQ243" s="560">
        <f>Sheet1!BN245+(DO243*Sheet1!BN245)</f>
        <v>11.18378024852845</v>
      </c>
      <c r="AR243" s="560">
        <f>Sheet1!BA245+CD243</f>
        <v>0</v>
      </c>
      <c r="AS243" s="560">
        <f>Sheet1!BA245+Sheet1!BB245+CD243</f>
        <v>1.6</v>
      </c>
      <c r="AT243" s="698">
        <f>0</f>
        <v>0</v>
      </c>
      <c r="AU243" s="560">
        <f>IF(EB243&lt;K243,0,MAX(Sheet1!AA245+AQ243-15/36*K243-N243,Sheet1!EH245,0))</f>
        <v>0</v>
      </c>
      <c r="AV243" s="560">
        <f>IF(OR(B243&gt;=GD243,B243&lt;GC243),0,15/36*K243-MAX(0,64.6-(137.6-(Sheet1!AA245+Sheet1!AB245))))</f>
        <v>0</v>
      </c>
      <c r="AW243" s="698">
        <f>Sheet1!DB245-110</f>
        <v>98</v>
      </c>
      <c r="AX243" s="698">
        <f>Sheet1!DA245-265</f>
        <v>90</v>
      </c>
      <c r="AY243" s="698">
        <f t="shared" si="492"/>
        <v>2.5999999999999943</v>
      </c>
      <c r="AZ243" s="1082"/>
      <c r="BA243" s="698">
        <f t="shared" si="493"/>
        <v>0</v>
      </c>
      <c r="BB243" s="560">
        <f t="shared" si="494"/>
        <v>1216.8376666666668</v>
      </c>
      <c r="BC243" s="560"/>
      <c r="BD243" s="560">
        <f ca="1">IF(B243&gt;Summary!$A$1,#N/A,BB243*MGtoAF)</f>
        <v>3733.2579613333337</v>
      </c>
      <c r="BE243" s="560">
        <f>Sheet1!BG245+Sheet1!BH245+Sheet1!BI245-BM243</f>
        <v>2.02</v>
      </c>
      <c r="BF243" s="560">
        <f t="shared" si="495"/>
        <v>1.9816873773708306</v>
      </c>
      <c r="BG243" s="560">
        <f>IF(Sheet1!EP245="FM",BM243,0)</f>
        <v>0</v>
      </c>
      <c r="BH243" s="560">
        <f t="shared" si="496"/>
        <v>0</v>
      </c>
      <c r="BI243" s="560">
        <f>IF(Sheet1!EP245="OTHER",BM243,0)</f>
        <v>0</v>
      </c>
      <c r="BJ243" s="560">
        <f t="shared" si="497"/>
        <v>0</v>
      </c>
      <c r="BK243" s="560">
        <f t="shared" si="498"/>
        <v>2.02</v>
      </c>
      <c r="BL243" s="560">
        <f t="shared" si="499"/>
        <v>1.9816873773708306</v>
      </c>
      <c r="BM243" s="560">
        <f>IF(OR(Sheet1!EP245="FM", Sheet1!EP245="OTHER"),SUM(Sheet1!BG245:'Sheet1'!BI245),0)</f>
        <v>0</v>
      </c>
      <c r="BN243" s="545">
        <f>IF(AND($B243&gt;=$FV243,$B243&lt;=$FW243),MAX(BF243,Sheet1!EI245,0),MAX(BF243-(7/36)*$K243,0))</f>
        <v>2</v>
      </c>
      <c r="BO243" s="560">
        <f t="shared" si="500"/>
        <v>0</v>
      </c>
      <c r="BP243" s="545">
        <f t="shared" si="501"/>
        <v>0</v>
      </c>
      <c r="BQ243" s="545">
        <f>IF(AND($O243&gt;0,Sheet1!EM245=1),(1-($O243-Sheet1!$L245)/$O243)*BL243,0)</f>
        <v>0</v>
      </c>
      <c r="BR243" s="545">
        <f>IF(AND(Sheet1!$L245=0,Sheet1!$L244=0, Calculation!BK243&lt;Sheet1!$EI245-0.1,Sheet1!$EI245=Sheet1!$EI244,Sheet1!$EI245=Sheet1!$EI246),Sheet1!$EI245,BL243-BQ243)</f>
        <v>1.9816873773708306</v>
      </c>
      <c r="BS243" s="560"/>
      <c r="BT243" s="560"/>
      <c r="BU243" s="560">
        <f t="shared" si="502"/>
        <v>518.59808816602776</v>
      </c>
      <c r="BV243" s="560"/>
      <c r="BW243" s="560">
        <f ca="1">IF(B243&gt;Summary!$A$1,#N/A,BU243*MGtoAF)</f>
        <v>1591.0589344933733</v>
      </c>
      <c r="BX243" s="560">
        <f>Sheet1!BC245+Sheet1!BD245+Sheet1!BE245+Sheet1!BF245-CG243-CH243</f>
        <v>4.51</v>
      </c>
      <c r="BY243" s="560">
        <f t="shared" si="503"/>
        <v>4.4244604316546754</v>
      </c>
      <c r="BZ243" s="560">
        <f>IF(Sheet1!EQ245="FM",CH243,0)</f>
        <v>0</v>
      </c>
      <c r="CA243" s="560">
        <f t="shared" si="504"/>
        <v>0</v>
      </c>
      <c r="CB243" s="560">
        <f>IF(Sheet1!EQ245="OTHER",CH243,0)</f>
        <v>0</v>
      </c>
      <c r="CC243" s="560">
        <f t="shared" si="505"/>
        <v>0</v>
      </c>
      <c r="CD243" s="560">
        <f t="shared" si="506"/>
        <v>0</v>
      </c>
      <c r="CE243" s="560">
        <f t="shared" si="507"/>
        <v>4.51</v>
      </c>
      <c r="CF243" s="560">
        <f t="shared" si="508"/>
        <v>4.4244604316546754</v>
      </c>
      <c r="CG243" s="560">
        <f>IF(Sheet1!EQ245="CWA",SUM(Sheet1!BC245:'Sheet1'!BF245),0)</f>
        <v>0</v>
      </c>
      <c r="CH243" s="560">
        <f>IF(OR(Sheet1!EQ245="FM", Sheet1!EQ245="OTHER"),SUM(Sheet1!BC245:'Sheet1'!BF245),0)</f>
        <v>0</v>
      </c>
      <c r="CI243" s="545">
        <f>IF(AND($B243&gt;=$FV243,$B243&lt;=$FW243),MAX(CF243,Sheet1!EJ245,0),MAX(CF243-(7/36)*$K243,0))</f>
        <v>4.5</v>
      </c>
      <c r="CJ243" s="560">
        <f t="shared" si="509"/>
        <v>0</v>
      </c>
      <c r="CK243" s="545">
        <f t="shared" si="510"/>
        <v>0</v>
      </c>
      <c r="CL243" s="545">
        <f>IF(AND($O243&gt;0,Sheet1!EN245=1),(1-($O243-Sheet1!$L245)/$O243)*CF243,0)</f>
        <v>0</v>
      </c>
      <c r="CM243" s="545">
        <f>IF(AND(Sheet1!$L245=0,Sheet1!$L244=0, Calculation!CE243&lt;Sheet1!EJ245-0.1,Sheet1!EJ245=Sheet1!EJ244,Sheet1!EJ245=Sheet1!EJ246),Sheet1!EJ245,CF243-CL243)</f>
        <v>4.4244604316546754</v>
      </c>
      <c r="CN243" s="545"/>
      <c r="CO243" s="560"/>
      <c r="CP243" s="560">
        <f t="shared" si="511"/>
        <v>395.35622391979877</v>
      </c>
      <c r="CQ243" s="560"/>
      <c r="CR243" s="560">
        <f ca="1">IF(B243&gt;Summary!$A$1,#N/A,CP243*MGtoAF)</f>
        <v>1212.9528949859427</v>
      </c>
      <c r="CS243" s="560">
        <f>Sheet1!BK245+Sheet1!BL245+Sheet1!BM245-Sheet1!ER245-DA243</f>
        <v>11.05</v>
      </c>
      <c r="CT243" s="560">
        <f t="shared" si="512"/>
        <v>10.840418574231524</v>
      </c>
      <c r="CU243" s="560">
        <f>IF(Sheet1!ER245="FM",DA243,0)</f>
        <v>0</v>
      </c>
      <c r="CV243" s="560">
        <f t="shared" si="513"/>
        <v>0</v>
      </c>
      <c r="CW243" s="560">
        <f>IF(Sheet1!ER245="OTHER",DA243,0)</f>
        <v>0</v>
      </c>
      <c r="CX243" s="560">
        <f t="shared" si="514"/>
        <v>0</v>
      </c>
      <c r="CY243" s="560">
        <f t="shared" si="515"/>
        <v>11.05</v>
      </c>
      <c r="CZ243" s="560">
        <f t="shared" si="516"/>
        <v>10.840418574231524</v>
      </c>
      <c r="DA243" s="560">
        <f>IF(OR(Sheet1!ER245="FM", Sheet1!ER245="OTHER"),SUM(Sheet1!BK245:'Sheet1'!BM245),0)</f>
        <v>0</v>
      </c>
      <c r="DB243" s="545">
        <f>IF(AND($B243&gt;=$FV243,$B243&lt;=$FW243),MAX($CT243,Sheet1!EK245,0),MAX($CT243-(7/36)*$K243,0))</f>
        <v>11</v>
      </c>
      <c r="DC243" s="560">
        <f t="shared" si="517"/>
        <v>0</v>
      </c>
      <c r="DD243" s="545">
        <f t="shared" si="518"/>
        <v>0</v>
      </c>
      <c r="DE243" s="545">
        <f>IF(AND($O243&gt;0,Sheet1!EO245=1),(1-($O243-Sheet1!$L245)/$O243)*CZ243,0)</f>
        <v>0</v>
      </c>
      <c r="DF243" s="545">
        <f>IF(AND(Sheet1!$L245=0,Sheet1!$L244=0, Calculation!CY243&lt;Sheet1!$EK245-0.1,Sheet1!$EK245=Sheet1!$EK244,Sheet1!$EK245=Sheet1!$EK246),Sheet1!$EK245,CZ243-DE243)</f>
        <v>10.840418574231524</v>
      </c>
      <c r="DG243" s="545"/>
      <c r="DH243" s="560">
        <f t="shared" si="519"/>
        <v>17.579999999999998</v>
      </c>
      <c r="DI243" s="560">
        <f t="shared" si="520"/>
        <v>142.4449357574253</v>
      </c>
      <c r="DJ243" s="698">
        <f t="shared" si="521"/>
        <v>17.246566383257029</v>
      </c>
      <c r="DK243" s="560">
        <f ca="1">IF(B243&gt;Summary!$A$1,#N/A,DI243*MGtoAF)</f>
        <v>437.02106290378083</v>
      </c>
      <c r="DL243" s="698">
        <f t="shared" si="522"/>
        <v>17.580000000000002</v>
      </c>
      <c r="DM243" s="560">
        <f t="shared" si="523"/>
        <v>30.580000000000002</v>
      </c>
      <c r="DN243" s="560">
        <f>Sheet1!AB245-DM243</f>
        <v>-0.58000000000000185</v>
      </c>
      <c r="DO243" s="823">
        <f t="shared" si="524"/>
        <v>-1.8966644865925499E-2</v>
      </c>
      <c r="DP243" s="560">
        <f>(VLOOKUP(Sheet1!DC245,hhdcap_wcm,4)-(((VLOOKUP(Sheet1!DC245,hhdcap_wcm,3)-Sheet1!DC245)/(VLOOKUP(Sheet1!DC245,hhdcap_wcm,3)-VLOOKUP(Sheet1!DC245,hhdcap_wcm,1)))*(VLOOKUP(Sheet1!DC245,hhdcap_wcm,4)-VLOOKUP(Sheet1!DC245,hhdcap_wcm,2))))</f>
        <v>38330.200000096222</v>
      </c>
      <c r="DQ243" s="560">
        <f t="shared" si="525"/>
        <v>-394.00000000141881</v>
      </c>
      <c r="DR243" s="560">
        <f t="shared" si="526"/>
        <v>-198.6888552705087</v>
      </c>
      <c r="DS243" s="560">
        <f>Sheet1!EA245*AFtoMG</f>
        <v>0</v>
      </c>
      <c r="DT243" s="560">
        <f>Sheet1!EB245*AFtoMG</f>
        <v>0</v>
      </c>
      <c r="DU243" s="560">
        <f>Sheet1!EC245*AFtoMG</f>
        <v>0</v>
      </c>
      <c r="DV243" s="560">
        <f>Sheet1!ED245*AFtoMG</f>
        <v>0</v>
      </c>
      <c r="DW243" s="560">
        <f t="shared" si="527"/>
        <v>0</v>
      </c>
      <c r="DX243" s="560">
        <f t="shared" si="528"/>
        <v>0</v>
      </c>
      <c r="DY243" s="560">
        <f t="shared" si="529"/>
        <v>2273.2369145099187</v>
      </c>
      <c r="DZ243" s="560">
        <f t="shared" si="530"/>
        <v>6974.2908537164312</v>
      </c>
      <c r="EA243" s="560"/>
      <c r="EB243" s="545">
        <f>IF(OR(B243&lt;FV243,B243&gt;FW243),(MIN(BF243+BY243+CT243+MAX(Sheet1!AA245+AQ243-73,0),K243)),0)</f>
        <v>0</v>
      </c>
      <c r="EC243" s="560"/>
      <c r="ED243" s="560">
        <f t="shared" si="531"/>
        <v>17.246566383257029</v>
      </c>
      <c r="EE243" s="560"/>
      <c r="EF243" s="560">
        <f>Sheet1!EH245+Sheet1!EI245+Sheet1!EJ245+Sheet1!EK245</f>
        <v>17.5</v>
      </c>
      <c r="EG243" s="560"/>
      <c r="EH243" s="545">
        <f t="shared" si="532"/>
        <v>0</v>
      </c>
      <c r="EI243" s="560">
        <f>IF(Sheet1!ET245=1,SUM('Calculations II'!AT243:BA243)+'Calculations II'!BC243+Sheet1!BV245+'Calculations II'!BE243+AP243,SUM('Calculations II'!AT243:BA243)+'Calculations II'!BC243+Sheet1!BV245+'Calculations II'!BE243+AP243)</f>
        <v>80.721632</v>
      </c>
      <c r="EJ243" s="560">
        <f>Sheet1!AA245+Sheet1!AB245+'Calculations II'!BC243</f>
        <v>87.9</v>
      </c>
      <c r="EK243" s="560"/>
      <c r="EL243" s="560"/>
      <c r="EM243" s="560">
        <f t="shared" si="533"/>
        <v>41871</v>
      </c>
      <c r="EN243" s="560">
        <f t="shared" si="534"/>
        <v>-17.5</v>
      </c>
      <c r="EO243" s="560">
        <f t="shared" si="535"/>
        <v>-27.072499999999998</v>
      </c>
      <c r="EP243" s="560">
        <v>0</v>
      </c>
      <c r="EQ243" s="560">
        <v>0</v>
      </c>
      <c r="ER243" s="560">
        <v>0</v>
      </c>
      <c r="ES243" s="545">
        <f t="shared" si="454"/>
        <v>-1.9391008697640038</v>
      </c>
      <c r="ET243" s="560">
        <f>-(VLOOKUP(Sheet1!BQ245,Lookup!$O$4:$Q$262,2)-VLOOKUP(Sheet1!BQ244,Lookup!$O$4:$Q$262,2))/1000000</f>
        <v>-0.9695728656152971</v>
      </c>
      <c r="EU243" s="560">
        <f>-(VLOOKUP(Sheet1!BR245,Lookup!$O$4:$Q$262,3)-VLOOKUP(Sheet1!BR244,Lookup!$O$4:$Q$262,3))/1000000</f>
        <v>-0.96952800414870677</v>
      </c>
      <c r="EV243" s="560"/>
      <c r="EW243" s="560"/>
      <c r="EX243" s="560"/>
      <c r="EY243" s="560"/>
      <c r="EZ243" s="560"/>
      <c r="FA243" s="560"/>
      <c r="FB243" s="560"/>
      <c r="FC243" s="560"/>
      <c r="FD243" s="594">
        <f t="shared" si="536"/>
        <v>1132.067741935411</v>
      </c>
      <c r="FE243" s="594" t="e">
        <f t="shared" si="537"/>
        <v>#N/A</v>
      </c>
      <c r="FF243" s="595" t="e">
        <f t="shared" si="538"/>
        <v>#N/A</v>
      </c>
      <c r="FG243" s="596" t="s">
        <v>692</v>
      </c>
      <c r="FH243" s="596" t="s">
        <v>692</v>
      </c>
      <c r="FI243" s="594" t="e">
        <v>#N/A</v>
      </c>
      <c r="FJ243" s="778">
        <v>17545</v>
      </c>
      <c r="FK243" s="560"/>
      <c r="FL243" s="560"/>
      <c r="FM243" s="560"/>
      <c r="FN243" s="560"/>
      <c r="FO243" s="560">
        <f>O243+((Sheet1!CS245)*GPMtoMGD)</f>
        <v>87.9</v>
      </c>
      <c r="FP243" s="560">
        <f>IF(Sheet1!AA245+AQ243&lt;=Calculation!N243,AQ243,Calculation!N243-Sheet1!AA245)</f>
        <v>11.18378024852845</v>
      </c>
      <c r="FQ243" s="560">
        <f>(Sheet1!BP245+Sheet1!BO245)/694.4</f>
        <v>3.2433755760368661</v>
      </c>
      <c r="FR243" s="560"/>
      <c r="FS243" s="560"/>
      <c r="FT243" s="560"/>
      <c r="FU243" s="560"/>
      <c r="FV243" s="695">
        <f t="shared" si="455"/>
        <v>41827</v>
      </c>
      <c r="FW243" s="695">
        <f t="shared" si="456"/>
        <v>41934</v>
      </c>
      <c r="FX243" s="560"/>
      <c r="FY243" s="560"/>
      <c r="FZ243" s="560"/>
      <c r="GA243" s="560"/>
      <c r="GB243" s="560" t="str">
        <f t="shared" si="457"/>
        <v>n</v>
      </c>
      <c r="GC243" s="564">
        <f t="shared" si="458"/>
        <v>41691</v>
      </c>
      <c r="GD243" s="695">
        <f t="shared" si="459"/>
        <v>41807</v>
      </c>
      <c r="GE243" s="560">
        <v>6518.9</v>
      </c>
      <c r="GF243" s="695">
        <f t="shared" si="460"/>
        <v>41808</v>
      </c>
      <c r="GG243" s="560">
        <f t="shared" si="479"/>
        <v>3259</v>
      </c>
      <c r="GH243" s="564">
        <f t="shared" si="461"/>
        <v>41934</v>
      </c>
      <c r="GJ243" s="545">
        <f t="shared" si="462"/>
        <v>0</v>
      </c>
      <c r="GK243" s="560" t="str">
        <f t="shared" si="539"/>
        <v/>
      </c>
      <c r="GL243" s="560">
        <f t="shared" si="463"/>
        <v>0</v>
      </c>
      <c r="GM243" s="560" t="str">
        <f t="shared" si="464"/>
        <v/>
      </c>
      <c r="GN243" s="560">
        <f>IF(GK243="P",Lookup!$M$12,IF(GK243="PP",Lookup!$M$13,IF(GK243="PPP",Lookup!$M$14,IF(GK243="T",Lookup!$M$15,IF(GK243="TP",Lookup!$M$16,IF(GK243="TPP",Lookup!$M$17,IF(GK243="TPPP",Lookup!$M$18,0)))))))*GJ243</f>
        <v>0</v>
      </c>
      <c r="GO243" s="560">
        <f t="shared" si="465"/>
        <v>0</v>
      </c>
      <c r="GP243" s="560">
        <f t="shared" si="540"/>
        <v>3733.2579613333337</v>
      </c>
      <c r="GQ243" s="560">
        <f t="shared" si="473"/>
        <v>1216.8376666666668</v>
      </c>
      <c r="GR243" s="560"/>
      <c r="GS243" s="560">
        <f t="shared" si="466"/>
        <v>0</v>
      </c>
      <c r="GT243" s="560" t="str">
        <f t="shared" si="467"/>
        <v/>
      </c>
      <c r="GU243" s="560">
        <f>IF(GK243="P",Lookup!$N$12,IF(GK243="PP",Lookup!$N$13,IF(GK243="PPP",Lookup!$N$14,IF(GK243="T",Lookup!$N$15,IF(GK243="TP",Lookup!$N$16,IF(GK243="TPP",Lookup!$N$17,IF(GK243="TPPP",Lookup!$N$18,0)))))))*GJ243</f>
        <v>0</v>
      </c>
      <c r="GV243" s="560">
        <f t="shared" si="468"/>
        <v>0</v>
      </c>
      <c r="GW243" s="560">
        <f t="shared" si="541"/>
        <v>1591.0589344933733</v>
      </c>
      <c r="GX243" s="560">
        <f t="shared" si="474"/>
        <v>518.59808816602776</v>
      </c>
      <c r="GY243" s="560"/>
      <c r="GZ243" s="560">
        <f t="shared" si="469"/>
        <v>0</v>
      </c>
      <c r="HA243" s="560" t="str">
        <f t="shared" si="470"/>
        <v/>
      </c>
      <c r="HB243" s="560">
        <f>IF(GK243="P",Lookup!$N$12,IF(GK243="PP",Lookup!$N$13,IF(GK243="PPP",Lookup!$N$14,IF(GK243="T",Lookup!$N$15,IF(GK243="TP",Lookup!$N$16,IF(GK243="TPP",Lookup!$N$17,IF(GK243="TPPP",Lookup!$N$18,0)))))))*GJ243</f>
        <v>0</v>
      </c>
      <c r="HC243" s="545">
        <f t="shared" si="542"/>
        <v>0</v>
      </c>
      <c r="HD243" s="560">
        <f t="shared" si="543"/>
        <v>1212.9528949859427</v>
      </c>
      <c r="HE243" s="560">
        <f t="shared" si="475"/>
        <v>395.35622391979877</v>
      </c>
      <c r="HF243" s="560"/>
      <c r="HG243" s="560">
        <f t="shared" si="471"/>
        <v>0</v>
      </c>
      <c r="HH243" s="560" t="str">
        <f t="shared" si="472"/>
        <v/>
      </c>
      <c r="HI243" s="560">
        <f>IF(GK243="P",Lookup!$N$12,IF(GK243="PP",Lookup!$N$13,IF(GK243="PPP",Lookup!$N$14,IF(GK243="T",Lookup!$N$15,IF(GK243="TP",Lookup!$N$16,IF(GK243="TPP",Lookup!$N$17,IF(GK243="TPPP",Lookup!$N$18,0)))))))*GJ243</f>
        <v>0</v>
      </c>
      <c r="HJ243" s="545">
        <f t="shared" si="544"/>
        <v>0</v>
      </c>
      <c r="HK243" s="560">
        <f t="shared" si="545"/>
        <v>437.02106290378083</v>
      </c>
      <c r="HL243" s="560">
        <f t="shared" si="476"/>
        <v>142.4449357574253</v>
      </c>
    </row>
    <row r="244" spans="1:220">
      <c r="A244" s="580" t="s">
        <v>7</v>
      </c>
      <c r="B244" s="556">
        <v>41872</v>
      </c>
      <c r="C244" s="561">
        <v>0</v>
      </c>
      <c r="D244" s="529">
        <f t="shared" si="477"/>
        <v>200</v>
      </c>
      <c r="E244" s="529">
        <f t="shared" si="478"/>
        <v>400</v>
      </c>
      <c r="F244" s="529">
        <v>250</v>
      </c>
      <c r="G244" s="560">
        <f>DR244+Sheet1!CZ246</f>
        <v>197.57034795704337</v>
      </c>
      <c r="H244" s="914">
        <f t="shared" si="480"/>
        <v>0</v>
      </c>
      <c r="I244" s="559">
        <f>MAX(Sheet1!Z246-AT244+(Sheet1!DA246-E244)*CFStoMGD,0)</f>
        <v>0.91200000000000259</v>
      </c>
      <c r="J244" s="562">
        <f>IF(AND(B244&gt;=Calculation!GC244,B244&lt;=Calculation!GD244),IF(Sheet1!DB246&gt;=Calculation!D244,64.64,0),MAX(Sheet1!Z246-AT244+(Sheet1!DB246-D244)*CFStoMGD,0))</f>
        <v>35.171199999999999</v>
      </c>
      <c r="K244" s="904">
        <f t="shared" si="481"/>
        <v>0</v>
      </c>
      <c r="L244" s="560">
        <f>Sheet1!AA246+Sheet1!AB246-Sheet1!L246+(Sheet1!DA246-F244)*CFStoMGD</f>
        <v>155.642</v>
      </c>
      <c r="M244" s="560">
        <f t="shared" si="482"/>
        <v>130.2636623778215</v>
      </c>
      <c r="N244" s="910">
        <f>IF(Sheet1!DA246&gt;=F244,MIN(73,MIN(MAX(L244,0),MAX(M244,0))),0)</f>
        <v>73</v>
      </c>
      <c r="O244" s="563">
        <f>Sheet1!AA246+Sheet1!AB246</f>
        <v>87.77</v>
      </c>
      <c r="P244" s="563">
        <f t="shared" si="483"/>
        <v>135.78018999999998</v>
      </c>
      <c r="Q244" s="898">
        <f t="shared" si="444"/>
        <v>70.27</v>
      </c>
      <c r="R244" s="829">
        <f t="shared" si="484"/>
        <v>17.5</v>
      </c>
      <c r="S244" s="898">
        <f t="shared" si="445"/>
        <v>0</v>
      </c>
      <c r="T244" s="898">
        <f t="shared" si="446"/>
        <v>0</v>
      </c>
      <c r="U244" s="898">
        <f t="shared" si="447"/>
        <v>17.5</v>
      </c>
      <c r="V244" s="898"/>
      <c r="W244" s="898">
        <f t="shared" si="448"/>
        <v>0</v>
      </c>
      <c r="X244" s="898">
        <f t="shared" si="449"/>
        <v>0</v>
      </c>
      <c r="Y244" s="898" t="str">
        <f t="shared" si="450"/>
        <v>FALSE</v>
      </c>
      <c r="Z244" s="898">
        <f t="shared" si="451"/>
        <v>87.77</v>
      </c>
      <c r="AA244" s="898">
        <f t="shared" si="452"/>
        <v>87.77</v>
      </c>
      <c r="AB244" s="898" t="str">
        <f t="shared" si="453"/>
        <v/>
      </c>
      <c r="AC244" s="563">
        <f>Sheet1!Y246*MGDtoCFS</f>
        <v>89.571299999999994</v>
      </c>
      <c r="AD244" s="563">
        <f>Sheet1!Z246*MGDtoCFS</f>
        <v>46.41</v>
      </c>
      <c r="AE244" s="563">
        <f>Sheet1!AA246*MGDtoCFS</f>
        <v>89.524889999999985</v>
      </c>
      <c r="AF244" s="563">
        <f>Sheet1!AB246*MGDtoCFS</f>
        <v>46.255299999999998</v>
      </c>
      <c r="AG244" s="563">
        <f>Sheet1!L246*MGDtoCFS</f>
        <v>0</v>
      </c>
      <c r="AH244" s="545">
        <f t="shared" si="485"/>
        <v>17.5</v>
      </c>
      <c r="AI244" s="560">
        <f t="shared" si="486"/>
        <v>27.072499999999998</v>
      </c>
      <c r="AJ244" s="560">
        <f t="shared" si="487"/>
        <v>0</v>
      </c>
      <c r="AK244" s="560">
        <f t="shared" si="488"/>
        <v>0</v>
      </c>
      <c r="AL244" s="560">
        <f>(VLOOKUP(Sheet1!DC246,hhdcap_wcm,4)-(((VLOOKUP(Sheet1!DC246,hhdcap_wcm,3)-Sheet1!DC246)/(VLOOKUP(Sheet1!DC246,hhdcap_wcm,3)-VLOOKUP(Sheet1!DC246,hhdcap_wcm,1)))*(VLOOKUP(Sheet1!DC246,hhdcap_wcm,4)-VLOOKUP(Sheet1!DC246,hhdcap_wcm,2))))</f>
        <v>38020.000000095039</v>
      </c>
      <c r="AM244" s="560">
        <f t="shared" si="489"/>
        <v>-310.20000000118307</v>
      </c>
      <c r="AN244" s="560">
        <f t="shared" si="490"/>
        <v>2255.7369145099187</v>
      </c>
      <c r="AO244" s="560">
        <f t="shared" si="491"/>
        <v>6920.6008537164307</v>
      </c>
      <c r="AP244" s="560">
        <f>Sheet1!BA246+Sheet1!BB246+Sheet1!BN246+CD244</f>
        <v>13</v>
      </c>
      <c r="AQ244" s="560">
        <f>Sheet1!BN246+(DO244*Sheet1!BN246)</f>
        <v>11.164755977726825</v>
      </c>
      <c r="AR244" s="560">
        <f>Sheet1!BA246+CD244</f>
        <v>0</v>
      </c>
      <c r="AS244" s="560">
        <f>Sheet1!BA246+Sheet1!BB246+CD244</f>
        <v>1.6</v>
      </c>
      <c r="AT244" s="698">
        <f>0</f>
        <v>0</v>
      </c>
      <c r="AU244" s="560">
        <f>IF(EB244&lt;K244,0,MAX(Sheet1!AA246+AQ244-15/36*K244-N244,Sheet1!EH246,0))</f>
        <v>0</v>
      </c>
      <c r="AV244" s="560">
        <f>IF(OR(B244&gt;=GD244,B244&lt;GC244),0,15/36*K244-MAX(0,64.6-(137.6-(Sheet1!AA246+Sheet1!AB246))))</f>
        <v>0</v>
      </c>
      <c r="AW244" s="698">
        <f>Sheet1!DB246-110</f>
        <v>98</v>
      </c>
      <c r="AX244" s="698">
        <f>Sheet1!DA246-265</f>
        <v>90</v>
      </c>
      <c r="AY244" s="698">
        <f t="shared" si="492"/>
        <v>2.730000000000004</v>
      </c>
      <c r="AZ244" s="1082"/>
      <c r="BA244" s="698">
        <f t="shared" si="493"/>
        <v>0</v>
      </c>
      <c r="BB244" s="560">
        <f t="shared" si="494"/>
        <v>1041.7756666666669</v>
      </c>
      <c r="BC244" s="560"/>
      <c r="BD244" s="560">
        <f ca="1">IF(B244&gt;Summary!$A$1,#N/A,BB244*MGtoAF)</f>
        <v>3196.1677453333341</v>
      </c>
      <c r="BE244" s="560">
        <f>Sheet1!BG246+Sheet1!BH246+Sheet1!BI246-BM244</f>
        <v>2.02</v>
      </c>
      <c r="BF244" s="560">
        <f t="shared" si="495"/>
        <v>1.9783164100884374</v>
      </c>
      <c r="BG244" s="560">
        <f>IF(Sheet1!EP246="FM",BM244,0)</f>
        <v>0</v>
      </c>
      <c r="BH244" s="560">
        <f t="shared" si="496"/>
        <v>0</v>
      </c>
      <c r="BI244" s="560">
        <f>IF(Sheet1!EP246="OTHER",BM244,0)</f>
        <v>0</v>
      </c>
      <c r="BJ244" s="560">
        <f t="shared" si="497"/>
        <v>0</v>
      </c>
      <c r="BK244" s="560">
        <f t="shared" si="498"/>
        <v>2.02</v>
      </c>
      <c r="BL244" s="560">
        <f t="shared" si="499"/>
        <v>1.9783164100884374</v>
      </c>
      <c r="BM244" s="560">
        <f>IF(OR(Sheet1!EP246="FM", Sheet1!EP246="OTHER"),SUM(Sheet1!BG246:'Sheet1'!BI246),0)</f>
        <v>0</v>
      </c>
      <c r="BN244" s="545">
        <f>IF(AND($B244&gt;=$FV244,$B244&lt;=$FW244),MAX(BF244,Sheet1!EI246,0),MAX(BF244-(7/36)*$K244,0))</f>
        <v>2</v>
      </c>
      <c r="BO244" s="560">
        <f t="shared" si="500"/>
        <v>0</v>
      </c>
      <c r="BP244" s="545">
        <f t="shared" si="501"/>
        <v>0</v>
      </c>
      <c r="BQ244" s="545">
        <f>IF(AND($O244&gt;0,Sheet1!EM246=1),(1-($O244-Sheet1!$L246)/$O244)*BL244,0)</f>
        <v>0</v>
      </c>
      <c r="BR244" s="545">
        <f>IF(AND(Sheet1!$L246=0,Sheet1!$L245=0, Calculation!BK244&lt;Sheet1!$EI246-0.1,Sheet1!$EI246=Sheet1!$EI245,Sheet1!$EI246=Sheet1!$EI247),Sheet1!$EI246,BL244-BQ244)</f>
        <v>1.9783164100884374</v>
      </c>
      <c r="BS244" s="560"/>
      <c r="BT244" s="560"/>
      <c r="BU244" s="560">
        <f t="shared" si="502"/>
        <v>516.59808816602776</v>
      </c>
      <c r="BV244" s="560"/>
      <c r="BW244" s="560">
        <f ca="1">IF(B244&gt;Summary!$A$1,#N/A,BU244*MGtoAF)</f>
        <v>1584.9229344933733</v>
      </c>
      <c r="BX244" s="560">
        <f>Sheet1!BC246+Sheet1!BD246+Sheet1!BE246+Sheet1!BF246-CG244-CH244</f>
        <v>4.5</v>
      </c>
      <c r="BY244" s="560">
        <f t="shared" si="503"/>
        <v>4.4071405175237466</v>
      </c>
      <c r="BZ244" s="560">
        <f>IF(Sheet1!EQ246="FM",CH244,0)</f>
        <v>0</v>
      </c>
      <c r="CA244" s="560">
        <f t="shared" si="504"/>
        <v>0</v>
      </c>
      <c r="CB244" s="560">
        <f>IF(Sheet1!EQ246="OTHER",CH244,0)</f>
        <v>0</v>
      </c>
      <c r="CC244" s="560">
        <f t="shared" si="505"/>
        <v>0</v>
      </c>
      <c r="CD244" s="560">
        <f t="shared" si="506"/>
        <v>0</v>
      </c>
      <c r="CE244" s="560">
        <f t="shared" si="507"/>
        <v>4.5</v>
      </c>
      <c r="CF244" s="560">
        <f t="shared" si="508"/>
        <v>4.4071405175237466</v>
      </c>
      <c r="CG244" s="560">
        <f>IF(Sheet1!EQ246="CWA",SUM(Sheet1!BC246:'Sheet1'!BF246),0)</f>
        <v>0</v>
      </c>
      <c r="CH244" s="560">
        <f>IF(OR(Sheet1!EQ246="FM", Sheet1!EQ246="OTHER"),SUM(Sheet1!BC246:'Sheet1'!BF246),0)</f>
        <v>0</v>
      </c>
      <c r="CI244" s="545">
        <f>IF(AND($B244&gt;=$FV244,$B244&lt;=$FW244),MAX(CF244,Sheet1!EJ246,0),MAX(CF244-(7/36)*$K244,0))</f>
        <v>4.5</v>
      </c>
      <c r="CJ244" s="560">
        <f t="shared" si="509"/>
        <v>0</v>
      </c>
      <c r="CK244" s="545">
        <f t="shared" si="510"/>
        <v>0</v>
      </c>
      <c r="CL244" s="545">
        <f>IF(AND($O244&gt;0,Sheet1!EN246=1),(1-($O244-Sheet1!$L246)/$O244)*CF244,0)</f>
        <v>0</v>
      </c>
      <c r="CM244" s="545">
        <f>IF(AND(Sheet1!$L246=0,Sheet1!$L245=0, Calculation!CE244&lt;Sheet1!EJ246-0.1,Sheet1!EJ246=Sheet1!EJ245,Sheet1!EJ246=Sheet1!EJ247),Sheet1!EJ246,CF244-CL244)</f>
        <v>4.4071405175237466</v>
      </c>
      <c r="CN244" s="545"/>
      <c r="CO244" s="560"/>
      <c r="CP244" s="560">
        <f t="shared" si="511"/>
        <v>390.85622391979877</v>
      </c>
      <c r="CQ244" s="560"/>
      <c r="CR244" s="560">
        <f ca="1">IF(B244&gt;Summary!$A$1,#N/A,CP244*MGtoAF)</f>
        <v>1199.1468949859427</v>
      </c>
      <c r="CS244" s="560">
        <f>Sheet1!BK246+Sheet1!BL246+Sheet1!BM246-Sheet1!ER246-DA244</f>
        <v>11.01</v>
      </c>
      <c r="CT244" s="560">
        <f t="shared" si="512"/>
        <v>10.782803799541433</v>
      </c>
      <c r="CU244" s="560">
        <f>IF(Sheet1!ER246="FM",DA244,0)</f>
        <v>0</v>
      </c>
      <c r="CV244" s="560">
        <f t="shared" si="513"/>
        <v>0</v>
      </c>
      <c r="CW244" s="560">
        <f>IF(Sheet1!ER246="OTHER",DA244,0)</f>
        <v>0</v>
      </c>
      <c r="CX244" s="560">
        <f t="shared" si="514"/>
        <v>0</v>
      </c>
      <c r="CY244" s="560">
        <f t="shared" si="515"/>
        <v>11.01</v>
      </c>
      <c r="CZ244" s="560">
        <f t="shared" si="516"/>
        <v>10.782803799541433</v>
      </c>
      <c r="DA244" s="560">
        <f>IF(OR(Sheet1!ER246="FM", Sheet1!ER246="OTHER"),SUM(Sheet1!BK246:'Sheet1'!BM246),0)</f>
        <v>0</v>
      </c>
      <c r="DB244" s="545">
        <f>IF(AND($B244&gt;=$FV244,$B244&lt;=$FW244),MAX($CT244,Sheet1!EK246,0),MAX($CT244-(7/36)*$K244,0))</f>
        <v>11</v>
      </c>
      <c r="DC244" s="560">
        <f t="shared" si="517"/>
        <v>0</v>
      </c>
      <c r="DD244" s="545">
        <f t="shared" si="518"/>
        <v>0</v>
      </c>
      <c r="DE244" s="545">
        <f>IF(AND($O244&gt;0,Sheet1!EO246=1),(1-($O244-Sheet1!$L246)/$O244)*CZ244,0)</f>
        <v>0</v>
      </c>
      <c r="DF244" s="545">
        <f>IF(AND(Sheet1!$L246=0,Sheet1!$L245=0, Calculation!CY244&lt;Sheet1!$EK246-0.1,Sheet1!$EK246=Sheet1!$EK245,Sheet1!$EK246=Sheet1!$EK247),Sheet1!$EK246,CZ244-DE244)</f>
        <v>10.782803799541433</v>
      </c>
      <c r="DG244" s="545"/>
      <c r="DH244" s="560">
        <f t="shared" si="519"/>
        <v>17.53</v>
      </c>
      <c r="DI244" s="560">
        <f t="shared" si="520"/>
        <v>306.50693575742531</v>
      </c>
      <c r="DJ244" s="698">
        <f t="shared" si="521"/>
        <v>17.168260727153616</v>
      </c>
      <c r="DK244" s="560">
        <f ca="1">IF(B244&gt;Summary!$A$1,#N/A,DI244*MGtoAF)</f>
        <v>940.36327890378084</v>
      </c>
      <c r="DL244" s="698">
        <f t="shared" si="522"/>
        <v>17.53</v>
      </c>
      <c r="DM244" s="560">
        <f t="shared" si="523"/>
        <v>30.53</v>
      </c>
      <c r="DN244" s="560">
        <f>Sheet1!AB246-DM244</f>
        <v>-0.63000000000000256</v>
      </c>
      <c r="DO244" s="823">
        <f t="shared" si="524"/>
        <v>-2.0635440550278498E-2</v>
      </c>
      <c r="DP244" s="560">
        <f>(VLOOKUP(Sheet1!DC246,hhdcap_wcm,4)-(((VLOOKUP(Sheet1!DC246,hhdcap_wcm,3)-Sheet1!DC246)/(VLOOKUP(Sheet1!DC246,hhdcap_wcm,3)-VLOOKUP(Sheet1!DC246,hhdcap_wcm,1)))*(VLOOKUP(Sheet1!DC246,hhdcap_wcm,4)-VLOOKUP(Sheet1!DC246,hhdcap_wcm,2))))</f>
        <v>38020.000000095039</v>
      </c>
      <c r="DQ244" s="560">
        <f t="shared" si="525"/>
        <v>-310.20000000118307</v>
      </c>
      <c r="DR244" s="560">
        <f t="shared" si="526"/>
        <v>-156.42965204295663</v>
      </c>
      <c r="DS244" s="560">
        <f>Sheet1!EA246*AFtoMG</f>
        <v>-175.06200000000001</v>
      </c>
      <c r="DT244" s="560">
        <f>Sheet1!EB246*AFtoMG</f>
        <v>0</v>
      </c>
      <c r="DU244" s="560">
        <f>Sheet1!EC246*AFtoMG</f>
        <v>0</v>
      </c>
      <c r="DV244" s="560">
        <f>Sheet1!ED246*AFtoMG</f>
        <v>175.06200000000001</v>
      </c>
      <c r="DW244" s="560">
        <f t="shared" si="527"/>
        <v>0</v>
      </c>
      <c r="DX244" s="560">
        <f t="shared" si="528"/>
        <v>0</v>
      </c>
      <c r="DY244" s="560">
        <f t="shared" si="529"/>
        <v>2255.7369145099187</v>
      </c>
      <c r="DZ244" s="560">
        <f t="shared" si="530"/>
        <v>6920.6008537164307</v>
      </c>
      <c r="EA244" s="560"/>
      <c r="EB244" s="545">
        <f>IF(OR(B244&lt;FV244,B244&gt;FW244),(MIN(BF244+BY244+CT244+MAX(Sheet1!AA246+AQ244-73,0),K244)),0)</f>
        <v>0</v>
      </c>
      <c r="EC244" s="560"/>
      <c r="ED244" s="560">
        <f t="shared" si="531"/>
        <v>17.168260727153616</v>
      </c>
      <c r="EE244" s="560"/>
      <c r="EF244" s="560">
        <f>Sheet1!EH246+Sheet1!EI246+Sheet1!EJ246+Sheet1!EK246</f>
        <v>17.5</v>
      </c>
      <c r="EG244" s="560"/>
      <c r="EH244" s="545">
        <f t="shared" si="532"/>
        <v>0</v>
      </c>
      <c r="EI244" s="560">
        <f>IF(Sheet1!ET246=1,SUM('Calculations II'!AT244:BA244)+'Calculations II'!BC244+Sheet1!BV246+'Calculations II'!BE244+AP244,SUM('Calculations II'!AT244:BA244)+'Calculations II'!BC244+Sheet1!BV246+'Calculations II'!BE244+AP244)</f>
        <v>84.337568000000005</v>
      </c>
      <c r="EJ244" s="560">
        <f>Sheet1!AA246+Sheet1!AB246+'Calculations II'!BC244</f>
        <v>87.77</v>
      </c>
      <c r="EK244" s="560"/>
      <c r="EL244" s="560"/>
      <c r="EM244" s="560">
        <f t="shared" si="533"/>
        <v>41872</v>
      </c>
      <c r="EN244" s="560">
        <f t="shared" si="534"/>
        <v>-17.5</v>
      </c>
      <c r="EO244" s="560">
        <f t="shared" si="535"/>
        <v>-27.072499999999998</v>
      </c>
      <c r="EP244" s="560">
        <v>0</v>
      </c>
      <c r="EQ244" s="560">
        <v>0</v>
      </c>
      <c r="ER244" s="560">
        <v>0</v>
      </c>
      <c r="ES244" s="545">
        <f t="shared" si="454"/>
        <v>1.3851361369018518</v>
      </c>
      <c r="ET244" s="560">
        <f>-(VLOOKUP(Sheet1!BQ246,Lookup!$O$4:$Q$262,2)-VLOOKUP(Sheet1!BQ245,Lookup!$O$4:$Q$262,2))/1000000</f>
        <v>0.69258409077277783</v>
      </c>
      <c r="EU244" s="560">
        <f>-(VLOOKUP(Sheet1!BR246,Lookup!$O$4:$Q$262,3)-VLOOKUP(Sheet1!BR245,Lookup!$O$4:$Q$262,3))/1000000</f>
        <v>0.69255204612907395</v>
      </c>
      <c r="EV244" s="560"/>
      <c r="EW244" s="560"/>
      <c r="EX244" s="560"/>
      <c r="EY244" s="560"/>
      <c r="EZ244" s="560"/>
      <c r="FA244" s="560"/>
      <c r="FB244" s="560"/>
      <c r="FC244" s="560"/>
      <c r="FD244" s="594">
        <f t="shared" si="536"/>
        <v>1131.7916666665942</v>
      </c>
      <c r="FE244" s="594" t="e">
        <f t="shared" si="537"/>
        <v>#N/A</v>
      </c>
      <c r="FF244" s="595" t="e">
        <f t="shared" si="538"/>
        <v>#N/A</v>
      </c>
      <c r="FG244" s="596" t="s">
        <v>692</v>
      </c>
      <c r="FH244" s="596" t="s">
        <v>692</v>
      </c>
      <c r="FI244" s="594" t="e">
        <v>#N/A</v>
      </c>
      <c r="FJ244" s="778">
        <v>17377</v>
      </c>
      <c r="FK244" s="560"/>
      <c r="FL244" s="560"/>
      <c r="FM244" s="560"/>
      <c r="FN244" s="560"/>
      <c r="FO244" s="560">
        <f>O244+((Sheet1!CS246)*GPMtoMGD)</f>
        <v>87.77</v>
      </c>
      <c r="FP244" s="560">
        <f>IF(Sheet1!AA246+AQ244&lt;=Calculation!N244,AQ244,Calculation!N244-Sheet1!AA246)</f>
        <v>11.164755977726825</v>
      </c>
      <c r="FQ244" s="560">
        <f>(Sheet1!BP246+Sheet1!BO246)/694.4</f>
        <v>3.1661866359447006</v>
      </c>
      <c r="FR244" s="560"/>
      <c r="FS244" s="560"/>
      <c r="FT244" s="560"/>
      <c r="FU244" s="560"/>
      <c r="FV244" s="695">
        <f t="shared" si="455"/>
        <v>41827</v>
      </c>
      <c r="FW244" s="695">
        <f t="shared" si="456"/>
        <v>41934</v>
      </c>
      <c r="FX244" s="560"/>
      <c r="FY244" s="560"/>
      <c r="FZ244" s="560"/>
      <c r="GA244" s="560"/>
      <c r="GB244" s="560" t="str">
        <f t="shared" si="457"/>
        <v>n</v>
      </c>
      <c r="GC244" s="564">
        <f t="shared" si="458"/>
        <v>41691</v>
      </c>
      <c r="GD244" s="695">
        <f t="shared" si="459"/>
        <v>41807</v>
      </c>
      <c r="GE244" s="560">
        <v>6518.9</v>
      </c>
      <c r="GF244" s="695">
        <f t="shared" si="460"/>
        <v>41808</v>
      </c>
      <c r="GG244" s="560">
        <f t="shared" si="479"/>
        <v>3259</v>
      </c>
      <c r="GH244" s="564">
        <f t="shared" si="461"/>
        <v>41934</v>
      </c>
      <c r="GJ244" s="545">
        <f t="shared" si="462"/>
        <v>0</v>
      </c>
      <c r="GK244" s="560" t="str">
        <f t="shared" si="539"/>
        <v/>
      </c>
      <c r="GL244" s="560">
        <f t="shared" si="463"/>
        <v>0</v>
      </c>
      <c r="GM244" s="560" t="str">
        <f t="shared" si="464"/>
        <v/>
      </c>
      <c r="GN244" s="560">
        <f>IF(GK244="P",Lookup!$M$12,IF(GK244="PP",Lookup!$M$13,IF(GK244="PPP",Lookup!$M$14,IF(GK244="T",Lookup!$M$15,IF(GK244="TP",Lookup!$M$16,IF(GK244="TPP",Lookup!$M$17,IF(GK244="TPPP",Lookup!$M$18,0)))))))*GJ244</f>
        <v>0</v>
      </c>
      <c r="GO244" s="560">
        <f t="shared" si="465"/>
        <v>0</v>
      </c>
      <c r="GP244" s="560">
        <f t="shared" si="540"/>
        <v>3196.1677453333341</v>
      </c>
      <c r="GQ244" s="560">
        <f t="shared" si="473"/>
        <v>1041.7756666666669</v>
      </c>
      <c r="GR244" s="560"/>
      <c r="GS244" s="560">
        <f t="shared" si="466"/>
        <v>0</v>
      </c>
      <c r="GT244" s="560" t="str">
        <f t="shared" si="467"/>
        <v/>
      </c>
      <c r="GU244" s="560">
        <f>IF(GK244="P",Lookup!$N$12,IF(GK244="PP",Lookup!$N$13,IF(GK244="PPP",Lookup!$N$14,IF(GK244="T",Lookup!$N$15,IF(GK244="TP",Lookup!$N$16,IF(GK244="TPP",Lookup!$N$17,IF(GK244="TPPP",Lookup!$N$18,0)))))))*GJ244</f>
        <v>0</v>
      </c>
      <c r="GV244" s="560">
        <f t="shared" si="468"/>
        <v>0</v>
      </c>
      <c r="GW244" s="560">
        <f t="shared" si="541"/>
        <v>1584.9229344933733</v>
      </c>
      <c r="GX244" s="560">
        <f t="shared" si="474"/>
        <v>516.59808816602776</v>
      </c>
      <c r="GY244" s="560"/>
      <c r="GZ244" s="560">
        <f t="shared" si="469"/>
        <v>0</v>
      </c>
      <c r="HA244" s="560" t="str">
        <f t="shared" si="470"/>
        <v/>
      </c>
      <c r="HB244" s="560">
        <f>IF(GK244="P",Lookup!$N$12,IF(GK244="PP",Lookup!$N$13,IF(GK244="PPP",Lookup!$N$14,IF(GK244="T",Lookup!$N$15,IF(GK244="TP",Lookup!$N$16,IF(GK244="TPP",Lookup!$N$17,IF(GK244="TPPP",Lookup!$N$18,0)))))))*GJ244</f>
        <v>0</v>
      </c>
      <c r="HC244" s="545">
        <f t="shared" si="542"/>
        <v>0</v>
      </c>
      <c r="HD244" s="560">
        <f t="shared" si="543"/>
        <v>1199.1468949859427</v>
      </c>
      <c r="HE244" s="560">
        <f t="shared" si="475"/>
        <v>390.85622391979877</v>
      </c>
      <c r="HF244" s="560"/>
      <c r="HG244" s="560">
        <f t="shared" si="471"/>
        <v>0</v>
      </c>
      <c r="HH244" s="560" t="str">
        <f t="shared" si="472"/>
        <v/>
      </c>
      <c r="HI244" s="560">
        <f>IF(GK244="P",Lookup!$N$12,IF(GK244="PP",Lookup!$N$13,IF(GK244="PPP",Lookup!$N$14,IF(GK244="T",Lookup!$N$15,IF(GK244="TP",Lookup!$N$16,IF(GK244="TPP",Lookup!$N$17,IF(GK244="TPPP",Lookup!$N$18,0)))))))*GJ244</f>
        <v>0</v>
      </c>
      <c r="HJ244" s="545">
        <f t="shared" si="544"/>
        <v>0</v>
      </c>
      <c r="HK244" s="560">
        <f t="shared" si="545"/>
        <v>940.36327890378084</v>
      </c>
      <c r="HL244" s="560">
        <f t="shared" si="476"/>
        <v>306.50693575742531</v>
      </c>
    </row>
    <row r="245" spans="1:220">
      <c r="A245" s="580" t="s">
        <v>8</v>
      </c>
      <c r="B245" s="556">
        <v>41873</v>
      </c>
      <c r="C245" s="561">
        <v>0</v>
      </c>
      <c r="D245" s="529">
        <f t="shared" si="477"/>
        <v>200</v>
      </c>
      <c r="E245" s="529">
        <f t="shared" si="478"/>
        <v>400</v>
      </c>
      <c r="F245" s="529">
        <v>250</v>
      </c>
      <c r="G245" s="560">
        <f>DR245+Sheet1!CZ247</f>
        <v>164.23398890594797</v>
      </c>
      <c r="H245" s="914">
        <f t="shared" si="480"/>
        <v>0</v>
      </c>
      <c r="I245" s="559">
        <f>MAX(Sheet1!Z247-AT245+(Sheet1!DA247-E245)*CFStoMGD,0)</f>
        <v>6.6295999999999999</v>
      </c>
      <c r="J245" s="562">
        <f>IF(AND(B245&gt;=Calculation!GC245,B245&lt;=Calculation!GD245),IF(Sheet1!DB247&gt;=Calculation!D245,64.64,0),MAX(Sheet1!Z247-AT245+(Sheet1!DB247-D245)*CFStoMGD,0))</f>
        <v>42.181599999999996</v>
      </c>
      <c r="K245" s="904">
        <f t="shared" si="481"/>
        <v>0</v>
      </c>
      <c r="L245" s="560">
        <f>Sheet1!AA247+Sheet1!AB247-Sheet1!L247+(Sheet1!DA247-F245)*CFStoMGD</f>
        <v>162.11959999999999</v>
      </c>
      <c r="M245" s="560">
        <f t="shared" si="482"/>
        <v>108.28406743738087</v>
      </c>
      <c r="N245" s="910">
        <f>IF(Sheet1!DA247&gt;=F245,MIN(73,MIN(MAX(L245,0),MAX(M245,0))),0)</f>
        <v>73</v>
      </c>
      <c r="O245" s="563">
        <f>Sheet1!AA247+Sheet1!AB247</f>
        <v>88.43</v>
      </c>
      <c r="P245" s="563">
        <f t="shared" si="483"/>
        <v>136.80121</v>
      </c>
      <c r="Q245" s="898">
        <f t="shared" si="444"/>
        <v>70.930000000000007</v>
      </c>
      <c r="R245" s="829">
        <f t="shared" si="484"/>
        <v>17.5</v>
      </c>
      <c r="S245" s="898">
        <f t="shared" si="445"/>
        <v>0</v>
      </c>
      <c r="T245" s="898">
        <f t="shared" si="446"/>
        <v>0</v>
      </c>
      <c r="U245" s="898">
        <f t="shared" si="447"/>
        <v>17.5</v>
      </c>
      <c r="V245" s="898"/>
      <c r="W245" s="898">
        <f t="shared" si="448"/>
        <v>0</v>
      </c>
      <c r="X245" s="898">
        <f t="shared" si="449"/>
        <v>0</v>
      </c>
      <c r="Y245" s="898" t="str">
        <f t="shared" si="450"/>
        <v>FALSE</v>
      </c>
      <c r="Z245" s="898">
        <f t="shared" si="451"/>
        <v>88.43</v>
      </c>
      <c r="AA245" s="898">
        <f t="shared" si="452"/>
        <v>88.43</v>
      </c>
      <c r="AB245" s="898" t="str">
        <f t="shared" si="453"/>
        <v/>
      </c>
      <c r="AC245" s="563">
        <f>Sheet1!Y247*MGDtoCFS</f>
        <v>89.524889999999985</v>
      </c>
      <c r="AD245" s="563">
        <f>Sheet1!Z247*MGDtoCFS</f>
        <v>46.255299999999998</v>
      </c>
      <c r="AE245" s="563">
        <f>Sheet1!AA247*MGDtoCFS</f>
        <v>89.463009999999997</v>
      </c>
      <c r="AF245" s="563">
        <f>Sheet1!AB247*MGDtoCFS</f>
        <v>47.338200000000001</v>
      </c>
      <c r="AG245" s="563">
        <f>Sheet1!L247*MGDtoCFS</f>
        <v>0</v>
      </c>
      <c r="AH245" s="545">
        <f t="shared" si="485"/>
        <v>17.5</v>
      </c>
      <c r="AI245" s="560">
        <f t="shared" si="486"/>
        <v>27.072499999999998</v>
      </c>
      <c r="AJ245" s="560">
        <f t="shared" si="487"/>
        <v>0</v>
      </c>
      <c r="AK245" s="560">
        <f t="shared" si="488"/>
        <v>0</v>
      </c>
      <c r="AL245" s="560">
        <f>(VLOOKUP(Sheet1!DC247,hhdcap_wcm,4)-(((VLOOKUP(Sheet1!DC247,hhdcap_wcm,3)-Sheet1!DC247)/(VLOOKUP(Sheet1!DC247,hhdcap_wcm,3)-VLOOKUP(Sheet1!DC247,hhdcap_wcm,1)))*(VLOOKUP(Sheet1!DC247,hhdcap_wcm,4)-VLOOKUP(Sheet1!DC247,hhdcap_wcm,2))))</f>
        <v>37608.000000095533</v>
      </c>
      <c r="AM245" s="560">
        <f t="shared" si="489"/>
        <v>-411.99999999950523</v>
      </c>
      <c r="AN245" s="560">
        <f t="shared" si="490"/>
        <v>2238.2369145099187</v>
      </c>
      <c r="AO245" s="560">
        <f t="shared" si="491"/>
        <v>6866.9108537164311</v>
      </c>
      <c r="AP245" s="560">
        <f>Sheet1!BA247+Sheet1!BB247+Sheet1!BN247+CD245</f>
        <v>13.6</v>
      </c>
      <c r="AQ245" s="560">
        <f>Sheet1!BN247+(DO245*Sheet1!BN247)</f>
        <v>11.780558229066409</v>
      </c>
      <c r="AR245" s="560">
        <f>Sheet1!BA247+CD245</f>
        <v>0</v>
      </c>
      <c r="AS245" s="560">
        <f>Sheet1!BA247+Sheet1!BB247+CD245</f>
        <v>1.6</v>
      </c>
      <c r="AT245" s="698">
        <f>0</f>
        <v>0</v>
      </c>
      <c r="AU245" s="560">
        <f>IF(EB245&lt;K245,0,MAX(Sheet1!AA247+AQ245-15/36*K245-N245,Sheet1!EH247,0))</f>
        <v>0</v>
      </c>
      <c r="AV245" s="560">
        <f>IF(OR(B245&gt;=GD245,B245&lt;GC245),0,15/36*K245-MAX(0,64.6-(137.6-(Sheet1!AA247+Sheet1!AB247))))</f>
        <v>0</v>
      </c>
      <c r="AW245" s="698">
        <f>Sheet1!DB247-110</f>
        <v>109</v>
      </c>
      <c r="AX245" s="698">
        <f>Sheet1!DA247-265</f>
        <v>99</v>
      </c>
      <c r="AY245" s="698">
        <f t="shared" si="492"/>
        <v>2.0699999999999932</v>
      </c>
      <c r="AZ245" s="1082"/>
      <c r="BA245" s="698">
        <f t="shared" si="493"/>
        <v>0</v>
      </c>
      <c r="BB245" s="560">
        <f t="shared" si="494"/>
        <v>1041.7756666666669</v>
      </c>
      <c r="BC245" s="560"/>
      <c r="BD245" s="560">
        <f ca="1">IF(B245&gt;Summary!$A$1,#N/A,BB245*MGtoAF)</f>
        <v>3196.1677453333341</v>
      </c>
      <c r="BE245" s="560">
        <f>Sheet1!BG247+Sheet1!BH247+Sheet1!BI247-BM245</f>
        <v>2.02</v>
      </c>
      <c r="BF245" s="560">
        <f t="shared" si="495"/>
        <v>1.983060635226179</v>
      </c>
      <c r="BG245" s="560">
        <f>IF(Sheet1!EP247="FM",BM245,0)</f>
        <v>0</v>
      </c>
      <c r="BH245" s="560">
        <f t="shared" si="496"/>
        <v>0</v>
      </c>
      <c r="BI245" s="560">
        <f>IF(Sheet1!EP247="OTHER",BM245,0)</f>
        <v>0</v>
      </c>
      <c r="BJ245" s="560">
        <f t="shared" si="497"/>
        <v>0</v>
      </c>
      <c r="BK245" s="560">
        <f t="shared" si="498"/>
        <v>2.02</v>
      </c>
      <c r="BL245" s="560">
        <f t="shared" si="499"/>
        <v>1.983060635226179</v>
      </c>
      <c r="BM245" s="560">
        <f>IF(OR(Sheet1!EP247="FM", Sheet1!EP247="OTHER"),SUM(Sheet1!BG247:'Sheet1'!BI247),0)</f>
        <v>0</v>
      </c>
      <c r="BN245" s="545">
        <f>IF(AND($B245&gt;=$FV245,$B245&lt;=$FW245),MAX(BF245,Sheet1!EI247,0),MAX(BF245-(7/36)*$K245,0))</f>
        <v>2</v>
      </c>
      <c r="BO245" s="560">
        <f t="shared" si="500"/>
        <v>0</v>
      </c>
      <c r="BP245" s="545">
        <f t="shared" si="501"/>
        <v>0</v>
      </c>
      <c r="BQ245" s="545">
        <f>IF(AND($O245&gt;0,Sheet1!EM247=1),(1-($O245-Sheet1!$L247)/$O245)*BL245,0)</f>
        <v>0</v>
      </c>
      <c r="BR245" s="545">
        <f>IF(AND(Sheet1!$L247=0,Sheet1!$L246=0, Calculation!BK245&lt;Sheet1!$EI247-0.1,Sheet1!$EI247=Sheet1!$EI246,Sheet1!$EI247=Sheet1!$EI248),Sheet1!$EI247,BL245-BQ245)</f>
        <v>1.983060635226179</v>
      </c>
      <c r="BS245" s="560"/>
      <c r="BT245" s="560"/>
      <c r="BU245" s="560">
        <f t="shared" si="502"/>
        <v>514.59808816602776</v>
      </c>
      <c r="BV245" s="560"/>
      <c r="BW245" s="560">
        <f ca="1">IF(B245&gt;Summary!$A$1,#N/A,BU245*MGtoAF)</f>
        <v>1578.7869344933731</v>
      </c>
      <c r="BX245" s="560">
        <f>Sheet1!BC247+Sheet1!BD247+Sheet1!BE247+Sheet1!BF247-CG245-CH245</f>
        <v>4.49</v>
      </c>
      <c r="BY245" s="560">
        <f t="shared" si="503"/>
        <v>4.4078922040423487</v>
      </c>
      <c r="BZ245" s="560">
        <f>IF(Sheet1!EQ247="FM",CH245,0)</f>
        <v>0</v>
      </c>
      <c r="CA245" s="560">
        <f t="shared" si="504"/>
        <v>0</v>
      </c>
      <c r="CB245" s="560">
        <f>IF(Sheet1!EQ247="OTHER",CH245,0)</f>
        <v>0</v>
      </c>
      <c r="CC245" s="560">
        <f t="shared" si="505"/>
        <v>0</v>
      </c>
      <c r="CD245" s="560">
        <f t="shared" si="506"/>
        <v>0</v>
      </c>
      <c r="CE245" s="560">
        <f t="shared" si="507"/>
        <v>4.49</v>
      </c>
      <c r="CF245" s="560">
        <f t="shared" si="508"/>
        <v>4.4078922040423487</v>
      </c>
      <c r="CG245" s="560">
        <f>IF(Sheet1!EQ247="CWA",SUM(Sheet1!BC247:'Sheet1'!BF247),0)</f>
        <v>0</v>
      </c>
      <c r="CH245" s="560">
        <f>IF(OR(Sheet1!EQ247="FM", Sheet1!EQ247="OTHER"),SUM(Sheet1!BC247:'Sheet1'!BF247),0)</f>
        <v>0</v>
      </c>
      <c r="CI245" s="545">
        <f>IF(AND($B245&gt;=$FV245,$B245&lt;=$FW245),MAX(CF245,Sheet1!EJ247,0),MAX(CF245-(7/36)*$K245,0))</f>
        <v>4.5</v>
      </c>
      <c r="CJ245" s="560">
        <f t="shared" si="509"/>
        <v>0</v>
      </c>
      <c r="CK245" s="545">
        <f t="shared" si="510"/>
        <v>0</v>
      </c>
      <c r="CL245" s="545">
        <f>IF(AND($O245&gt;0,Sheet1!EN247=1),(1-($O245-Sheet1!$L247)/$O245)*CF245,0)</f>
        <v>0</v>
      </c>
      <c r="CM245" s="545">
        <f>IF(AND(Sheet1!$L247=0,Sheet1!$L246=0, Calculation!CE245&lt;Sheet1!EJ247-0.1,Sheet1!EJ247=Sheet1!EJ246,Sheet1!EJ247=Sheet1!EJ248),Sheet1!EJ247,CF245-CL245)</f>
        <v>4.4078922040423487</v>
      </c>
      <c r="CN245" s="545"/>
      <c r="CO245" s="560"/>
      <c r="CP245" s="560">
        <f t="shared" si="511"/>
        <v>386.35622391979877</v>
      </c>
      <c r="CQ245" s="560"/>
      <c r="CR245" s="560">
        <f ca="1">IF(B245&gt;Summary!$A$1,#N/A,CP245*MGtoAF)</f>
        <v>1185.3408949859427</v>
      </c>
      <c r="CS245" s="560">
        <f>Sheet1!BK247+Sheet1!BL247+Sheet1!BM247-Sheet1!ER247-DA245</f>
        <v>11.06</v>
      </c>
      <c r="CT245" s="560">
        <f t="shared" si="512"/>
        <v>10.857747834456209</v>
      </c>
      <c r="CU245" s="560">
        <f>IF(Sheet1!ER247="FM",DA245,0)</f>
        <v>0</v>
      </c>
      <c r="CV245" s="560">
        <f t="shared" si="513"/>
        <v>0</v>
      </c>
      <c r="CW245" s="560">
        <f>IF(Sheet1!ER247="OTHER",DA245,0)</f>
        <v>0</v>
      </c>
      <c r="CX245" s="560">
        <f t="shared" si="514"/>
        <v>0</v>
      </c>
      <c r="CY245" s="560">
        <f t="shared" si="515"/>
        <v>11.06</v>
      </c>
      <c r="CZ245" s="560">
        <f t="shared" si="516"/>
        <v>10.857747834456209</v>
      </c>
      <c r="DA245" s="560">
        <f>IF(OR(Sheet1!ER247="FM", Sheet1!ER247="OTHER"),SUM(Sheet1!BK247:'Sheet1'!BM247),0)</f>
        <v>0</v>
      </c>
      <c r="DB245" s="545">
        <f>IF(AND($B245&gt;=$FV245,$B245&lt;=$FW245),MAX($CT245,Sheet1!EK247,0),MAX($CT245-(7/36)*$K245,0))</f>
        <v>11</v>
      </c>
      <c r="DC245" s="560">
        <f t="shared" si="517"/>
        <v>0</v>
      </c>
      <c r="DD245" s="545">
        <f t="shared" si="518"/>
        <v>0</v>
      </c>
      <c r="DE245" s="545">
        <f>IF(AND($O245&gt;0,Sheet1!EO247=1),(1-($O245-Sheet1!$L247)/$O245)*CZ245,0)</f>
        <v>0</v>
      </c>
      <c r="DF245" s="545">
        <f>IF(AND(Sheet1!$L247=0,Sheet1!$L246=0, Calculation!CY245&lt;Sheet1!$EK247-0.1,Sheet1!$EK247=Sheet1!$EK246,Sheet1!$EK247=Sheet1!$EK248),Sheet1!$EK247,CZ245-DE245)</f>
        <v>10.857747834456209</v>
      </c>
      <c r="DG245" s="545"/>
      <c r="DH245" s="560">
        <f t="shared" si="519"/>
        <v>17.57</v>
      </c>
      <c r="DI245" s="560">
        <f t="shared" si="520"/>
        <v>295.50693575742531</v>
      </c>
      <c r="DJ245" s="698">
        <f t="shared" si="521"/>
        <v>17.248700673724738</v>
      </c>
      <c r="DK245" s="560">
        <f ca="1">IF(B245&gt;Summary!$A$1,#N/A,DI245*MGtoAF)</f>
        <v>906.6152789037809</v>
      </c>
      <c r="DL245" s="698">
        <f t="shared" si="522"/>
        <v>17.57</v>
      </c>
      <c r="DM245" s="560">
        <f t="shared" si="523"/>
        <v>31.17</v>
      </c>
      <c r="DN245" s="560">
        <f>Sheet1!AB247-DM245</f>
        <v>-0.57000000000000028</v>
      </c>
      <c r="DO245" s="823">
        <f t="shared" si="524"/>
        <v>-1.8286814244465842E-2</v>
      </c>
      <c r="DP245" s="560">
        <f>(VLOOKUP(Sheet1!DC247,hhdcap_wcm,4)-(((VLOOKUP(Sheet1!DC247,hhdcap_wcm,3)-Sheet1!DC247)/(VLOOKUP(Sheet1!DC247,hhdcap_wcm,3)-VLOOKUP(Sheet1!DC247,hhdcap_wcm,1)))*(VLOOKUP(Sheet1!DC247,hhdcap_wcm,4)-VLOOKUP(Sheet1!DC247,hhdcap_wcm,2))))</f>
        <v>37608.000000095533</v>
      </c>
      <c r="DQ245" s="560">
        <f t="shared" si="525"/>
        <v>-411.99999999950523</v>
      </c>
      <c r="DR245" s="560">
        <f t="shared" si="526"/>
        <v>-207.76601109405203</v>
      </c>
      <c r="DS245" s="560">
        <f>Sheet1!EA247*AFtoMG</f>
        <v>0</v>
      </c>
      <c r="DT245" s="560">
        <f>Sheet1!EB247*AFtoMG</f>
        <v>0</v>
      </c>
      <c r="DU245" s="560">
        <f>Sheet1!EC247*AFtoMG</f>
        <v>0</v>
      </c>
      <c r="DV245" s="560">
        <f>Sheet1!ED247*AFtoMG</f>
        <v>0</v>
      </c>
      <c r="DW245" s="560">
        <f t="shared" si="527"/>
        <v>0</v>
      </c>
      <c r="DX245" s="560">
        <f t="shared" si="528"/>
        <v>0</v>
      </c>
      <c r="DY245" s="560">
        <f t="shared" si="529"/>
        <v>2238.2369145099187</v>
      </c>
      <c r="DZ245" s="560">
        <f t="shared" si="530"/>
        <v>6866.9108537164311</v>
      </c>
      <c r="EA245" s="560"/>
      <c r="EB245" s="545">
        <f>IF(OR(B245&lt;FV245,B245&gt;FW245),(MIN(BF245+BY245+CT245+MAX(Sheet1!AA247+AQ245-73,0),K245)),0)</f>
        <v>0</v>
      </c>
      <c r="EC245" s="560"/>
      <c r="ED245" s="560">
        <f t="shared" si="531"/>
        <v>17.248700673724738</v>
      </c>
      <c r="EE245" s="560"/>
      <c r="EF245" s="560">
        <f>Sheet1!EH247+Sheet1!EI247+Sheet1!EJ247+Sheet1!EK247</f>
        <v>17.5</v>
      </c>
      <c r="EG245" s="560"/>
      <c r="EH245" s="545">
        <f t="shared" si="532"/>
        <v>0</v>
      </c>
      <c r="EI245" s="560">
        <f>IF(Sheet1!ET247=1,SUM('Calculations II'!AT245:BA245)+'Calculations II'!BC245+Sheet1!BV247+'Calculations II'!BE245+AP245,SUM('Calculations II'!AT245:BA245)+'Calculations II'!BC245+Sheet1!BV247+'Calculations II'!BE245+AP245)</f>
        <v>83.14409599999999</v>
      </c>
      <c r="EJ245" s="560">
        <f>Sheet1!AA247+Sheet1!AB247+'Calculations II'!BC245</f>
        <v>88.43</v>
      </c>
      <c r="EK245" s="560"/>
      <c r="EL245" s="560"/>
      <c r="EM245" s="560">
        <f t="shared" si="533"/>
        <v>41873</v>
      </c>
      <c r="EN245" s="560">
        <f t="shared" si="534"/>
        <v>-17.5</v>
      </c>
      <c r="EO245" s="560">
        <f t="shared" si="535"/>
        <v>-27.072499999999998</v>
      </c>
      <c r="EP245" s="560">
        <v>0</v>
      </c>
      <c r="EQ245" s="560">
        <v>0</v>
      </c>
      <c r="ER245" s="560">
        <v>0</v>
      </c>
      <c r="ES245" s="545">
        <f t="shared" si="454"/>
        <v>-0.2770015919610001</v>
      </c>
      <c r="ET245" s="560">
        <f>-(VLOOKUP(Sheet1!BQ247,Lookup!$O$4:$Q$262,2)-VLOOKUP(Sheet1!BQ246,Lookup!$O$4:$Q$262,2))/1000000</f>
        <v>-0.13850400029706955</v>
      </c>
      <c r="EU245" s="560">
        <f>-(VLOOKUP(Sheet1!BR247,Lookup!$O$4:$Q$262,3)-VLOOKUP(Sheet1!BR246,Lookup!$O$4:$Q$262,3))/1000000</f>
        <v>-0.13849759166393055</v>
      </c>
      <c r="EV245" s="560"/>
      <c r="EW245" s="560"/>
      <c r="EX245" s="560"/>
      <c r="EY245" s="560"/>
      <c r="EZ245" s="560"/>
      <c r="FA245" s="560"/>
      <c r="FB245" s="560"/>
      <c r="FC245" s="560"/>
      <c r="FD245" s="594">
        <f t="shared" si="536"/>
        <v>1131.513333333261</v>
      </c>
      <c r="FE245" s="594" t="e">
        <f t="shared" si="537"/>
        <v>#N/A</v>
      </c>
      <c r="FF245" s="595" t="e">
        <f t="shared" si="538"/>
        <v>#N/A</v>
      </c>
      <c r="FG245" s="596" t="s">
        <v>692</v>
      </c>
      <c r="FH245" s="596" t="s">
        <v>692</v>
      </c>
      <c r="FI245" s="594" t="e">
        <v>#N/A</v>
      </c>
      <c r="FJ245" s="778">
        <v>17209</v>
      </c>
      <c r="FK245" s="560"/>
      <c r="FL245" s="560"/>
      <c r="FM245" s="560"/>
      <c r="FN245" s="560"/>
      <c r="FO245" s="560">
        <f>O245+((Sheet1!CS247)*GPMtoMGD)</f>
        <v>88.43</v>
      </c>
      <c r="FP245" s="560">
        <f>IF(Sheet1!AA247+AQ245&lt;=Calculation!N245,AQ245,Calculation!N245-Sheet1!AA247)</f>
        <v>11.780558229066409</v>
      </c>
      <c r="FQ245" s="560">
        <f>(Sheet1!BP247+Sheet1!BO247)/694.4</f>
        <v>3.2687211981566824</v>
      </c>
      <c r="FR245" s="560"/>
      <c r="FS245" s="560"/>
      <c r="FT245" s="560"/>
      <c r="FU245" s="560"/>
      <c r="FV245" s="695">
        <f t="shared" si="455"/>
        <v>41827</v>
      </c>
      <c r="FW245" s="695">
        <f t="shared" si="456"/>
        <v>41934</v>
      </c>
      <c r="FX245" s="560"/>
      <c r="FY245" s="560"/>
      <c r="FZ245" s="560"/>
      <c r="GA245" s="560"/>
      <c r="GB245" s="560" t="str">
        <f t="shared" si="457"/>
        <v>n</v>
      </c>
      <c r="GC245" s="564">
        <f t="shared" si="458"/>
        <v>41691</v>
      </c>
      <c r="GD245" s="695">
        <f t="shared" si="459"/>
        <v>41807</v>
      </c>
      <c r="GE245" s="560">
        <v>6518.9</v>
      </c>
      <c r="GF245" s="695">
        <f t="shared" si="460"/>
        <v>41808</v>
      </c>
      <c r="GG245" s="560">
        <f t="shared" si="479"/>
        <v>3259</v>
      </c>
      <c r="GH245" s="564">
        <f t="shared" si="461"/>
        <v>41934</v>
      </c>
      <c r="GJ245" s="545">
        <f t="shared" si="462"/>
        <v>0</v>
      </c>
      <c r="GK245" s="560" t="str">
        <f t="shared" si="539"/>
        <v/>
      </c>
      <c r="GL245" s="560">
        <f t="shared" si="463"/>
        <v>0</v>
      </c>
      <c r="GM245" s="560" t="str">
        <f t="shared" si="464"/>
        <v/>
      </c>
      <c r="GN245" s="560">
        <f>IF(GK245="P",Lookup!$M$12,IF(GK245="PP",Lookup!$M$13,IF(GK245="PPP",Lookup!$M$14,IF(GK245="T",Lookup!$M$15,IF(GK245="TP",Lookup!$M$16,IF(GK245="TPP",Lookup!$M$17,IF(GK245="TPPP",Lookup!$M$18,0)))))))*GJ245</f>
        <v>0</v>
      </c>
      <c r="GO245" s="560">
        <f t="shared" si="465"/>
        <v>0</v>
      </c>
      <c r="GP245" s="560">
        <f t="shared" si="540"/>
        <v>3196.1677453333341</v>
      </c>
      <c r="GQ245" s="560">
        <f t="shared" si="473"/>
        <v>1041.7756666666669</v>
      </c>
      <c r="GR245" s="560"/>
      <c r="GS245" s="560">
        <f t="shared" si="466"/>
        <v>0</v>
      </c>
      <c r="GT245" s="560" t="str">
        <f t="shared" si="467"/>
        <v/>
      </c>
      <c r="GU245" s="560">
        <f>IF(GK245="P",Lookup!$N$12,IF(GK245="PP",Lookup!$N$13,IF(GK245="PPP",Lookup!$N$14,IF(GK245="T",Lookup!$N$15,IF(GK245="TP",Lookup!$N$16,IF(GK245="TPP",Lookup!$N$17,IF(GK245="TPPP",Lookup!$N$18,0)))))))*GJ245</f>
        <v>0</v>
      </c>
      <c r="GV245" s="560">
        <f t="shared" si="468"/>
        <v>0</v>
      </c>
      <c r="GW245" s="560">
        <f t="shared" si="541"/>
        <v>1578.7869344933731</v>
      </c>
      <c r="GX245" s="560">
        <f t="shared" si="474"/>
        <v>514.59808816602776</v>
      </c>
      <c r="GY245" s="560"/>
      <c r="GZ245" s="560">
        <f t="shared" si="469"/>
        <v>0</v>
      </c>
      <c r="HA245" s="560" t="str">
        <f t="shared" si="470"/>
        <v/>
      </c>
      <c r="HB245" s="560">
        <f>IF(GK245="P",Lookup!$N$12,IF(GK245="PP",Lookup!$N$13,IF(GK245="PPP",Lookup!$N$14,IF(GK245="T",Lookup!$N$15,IF(GK245="TP",Lookup!$N$16,IF(GK245="TPP",Lookup!$N$17,IF(GK245="TPPP",Lookup!$N$18,0)))))))*GJ245</f>
        <v>0</v>
      </c>
      <c r="HC245" s="545">
        <f t="shared" si="542"/>
        <v>0</v>
      </c>
      <c r="HD245" s="560">
        <f t="shared" si="543"/>
        <v>1185.3408949859427</v>
      </c>
      <c r="HE245" s="560">
        <f t="shared" si="475"/>
        <v>386.35622391979877</v>
      </c>
      <c r="HF245" s="560"/>
      <c r="HG245" s="560">
        <f t="shared" si="471"/>
        <v>0</v>
      </c>
      <c r="HH245" s="560" t="str">
        <f t="shared" si="472"/>
        <v/>
      </c>
      <c r="HI245" s="560">
        <f>IF(GK245="P",Lookup!$N$12,IF(GK245="PP",Lookup!$N$13,IF(GK245="PPP",Lookup!$N$14,IF(GK245="T",Lookup!$N$15,IF(GK245="TP",Lookup!$N$16,IF(GK245="TPP",Lookup!$N$17,IF(GK245="TPPP",Lookup!$N$18,0)))))))*GJ245</f>
        <v>0</v>
      </c>
      <c r="HJ245" s="545">
        <f t="shared" si="544"/>
        <v>0</v>
      </c>
      <c r="HK245" s="560">
        <f t="shared" si="545"/>
        <v>906.6152789037809</v>
      </c>
      <c r="HL245" s="560">
        <f t="shared" si="476"/>
        <v>295.50693575742531</v>
      </c>
    </row>
    <row r="246" spans="1:220">
      <c r="A246" s="580" t="s">
        <v>9</v>
      </c>
      <c r="B246" s="556">
        <v>41874</v>
      </c>
      <c r="C246" s="561">
        <v>0</v>
      </c>
      <c r="D246" s="529">
        <f t="shared" si="477"/>
        <v>200</v>
      </c>
      <c r="E246" s="529">
        <f t="shared" si="478"/>
        <v>400</v>
      </c>
      <c r="F246" s="529">
        <v>250</v>
      </c>
      <c r="G246" s="560">
        <f>DR246+Sheet1!CZ248</f>
        <v>221.72264245985011</v>
      </c>
      <c r="H246" s="914">
        <f t="shared" si="480"/>
        <v>0</v>
      </c>
      <c r="I246" s="559">
        <f>MAX(Sheet1!Z248-AT246+(Sheet1!DA248-E246)*CFStoMGD,0)</f>
        <v>13.147200000000002</v>
      </c>
      <c r="J246" s="562">
        <f>IF(AND(B246&gt;=Calculation!GC246,B246&lt;=Calculation!GD246),IF(Sheet1!DB248&gt;=Calculation!D246,64.64,0),MAX(Sheet1!Z248-AT246+(Sheet1!DB248-D246)*CFStoMGD,0))</f>
        <v>42.881599999999999</v>
      </c>
      <c r="K246" s="904">
        <f t="shared" si="481"/>
        <v>0</v>
      </c>
      <c r="L246" s="560">
        <f>Sheet1!AA248+Sheet1!AB248-Sheet1!L248+(Sheet1!DA248-F246)*CFStoMGD</f>
        <v>169.19720000000001</v>
      </c>
      <c r="M246" s="560">
        <f t="shared" si="482"/>
        <v>146.18794640776807</v>
      </c>
      <c r="N246" s="910">
        <f>IF(Sheet1!DA248&gt;=F246,MIN(73,MIN(MAX(L246,0),MAX(M246,0))),0)</f>
        <v>73</v>
      </c>
      <c r="O246" s="563">
        <f>Sheet1!AA248+Sheet1!AB248</f>
        <v>89.69</v>
      </c>
      <c r="P246" s="563">
        <f t="shared" si="483"/>
        <v>138.75042999999999</v>
      </c>
      <c r="Q246" s="898">
        <f t="shared" si="444"/>
        <v>72.19</v>
      </c>
      <c r="R246" s="829">
        <f t="shared" si="484"/>
        <v>17.5</v>
      </c>
      <c r="S246" s="898">
        <f t="shared" si="445"/>
        <v>0</v>
      </c>
      <c r="T246" s="898">
        <f t="shared" si="446"/>
        <v>0</v>
      </c>
      <c r="U246" s="898">
        <f t="shared" si="447"/>
        <v>17.5</v>
      </c>
      <c r="V246" s="898"/>
      <c r="W246" s="898">
        <f t="shared" si="448"/>
        <v>0</v>
      </c>
      <c r="X246" s="898">
        <f t="shared" si="449"/>
        <v>0</v>
      </c>
      <c r="Y246" s="898" t="str">
        <f t="shared" si="450"/>
        <v>FALSE</v>
      </c>
      <c r="Z246" s="898">
        <f t="shared" si="451"/>
        <v>89.69</v>
      </c>
      <c r="AA246" s="898">
        <f t="shared" si="452"/>
        <v>89.69</v>
      </c>
      <c r="AB246" s="898" t="str">
        <f t="shared" si="453"/>
        <v/>
      </c>
      <c r="AC246" s="563">
        <f>Sheet1!Y248*MGDtoCFS</f>
        <v>89.463009999999997</v>
      </c>
      <c r="AD246" s="563">
        <f>Sheet1!Z248*MGDtoCFS</f>
        <v>47.338200000000001</v>
      </c>
      <c r="AE246" s="563">
        <f>Sheet1!AA248*MGDtoCFS</f>
        <v>89.261899999999997</v>
      </c>
      <c r="AF246" s="563">
        <f>Sheet1!AB248*MGDtoCFS</f>
        <v>49.488529999999997</v>
      </c>
      <c r="AG246" s="563">
        <f>Sheet1!L248*MGDtoCFS</f>
        <v>0</v>
      </c>
      <c r="AH246" s="545">
        <f t="shared" si="485"/>
        <v>17.5</v>
      </c>
      <c r="AI246" s="560">
        <f t="shared" si="486"/>
        <v>27.072499999999998</v>
      </c>
      <c r="AJ246" s="560">
        <f t="shared" si="487"/>
        <v>0</v>
      </c>
      <c r="AK246" s="560">
        <f t="shared" si="488"/>
        <v>0</v>
      </c>
      <c r="AL246" s="560">
        <f>(VLOOKUP(Sheet1!DC248,hhdcap_wcm,4)-(((VLOOKUP(Sheet1!DC248,hhdcap_wcm,3)-Sheet1!DC248)/(VLOOKUP(Sheet1!DC248,hhdcap_wcm,3)-VLOOKUP(Sheet1!DC248,hhdcap_wcm,1)))*(VLOOKUP(Sheet1!DC248,hhdcap_wcm,4)-VLOOKUP(Sheet1!DC248,hhdcap_wcm,2))))</f>
        <v>37310.000000093416</v>
      </c>
      <c r="AM246" s="560">
        <f t="shared" si="489"/>
        <v>-298.0000000021173</v>
      </c>
      <c r="AN246" s="560">
        <f t="shared" si="490"/>
        <v>2220.7369145099187</v>
      </c>
      <c r="AO246" s="560">
        <f t="shared" si="491"/>
        <v>6813.2208537164306</v>
      </c>
      <c r="AP246" s="560">
        <f>Sheet1!BA248+Sheet1!BB248+Sheet1!BN248+CD246</f>
        <v>15</v>
      </c>
      <c r="AQ246" s="560">
        <f>Sheet1!BN248+(DO246*Sheet1!BN248)</f>
        <v>13.177559176145095</v>
      </c>
      <c r="AR246" s="560">
        <f>Sheet1!BA248+CD246</f>
        <v>0</v>
      </c>
      <c r="AS246" s="560">
        <f>Sheet1!BA248+Sheet1!BB248+CD246</f>
        <v>1.6</v>
      </c>
      <c r="AT246" s="698">
        <f>0</f>
        <v>0</v>
      </c>
      <c r="AU246" s="560">
        <f>IF(EB246&lt;K246,0,MAX(Sheet1!AA248+AQ246-15/36*K246-N246,Sheet1!EH248,0))</f>
        <v>0</v>
      </c>
      <c r="AV246" s="560">
        <f>IF(OR(B246&gt;=GD246,B246&lt;GC246),0,15/36*K246-MAX(0,64.6-(137.6-(Sheet1!AA248+Sheet1!AB248))))</f>
        <v>0</v>
      </c>
      <c r="AW246" s="698">
        <f>Sheet1!DB248-110</f>
        <v>109</v>
      </c>
      <c r="AX246" s="698">
        <f>Sheet1!DA248-265</f>
        <v>108</v>
      </c>
      <c r="AY246" s="698">
        <f t="shared" si="492"/>
        <v>0.81000000000000227</v>
      </c>
      <c r="AZ246" s="1082"/>
      <c r="BA246" s="698">
        <f t="shared" si="493"/>
        <v>0</v>
      </c>
      <c r="BB246" s="560">
        <f t="shared" si="494"/>
        <v>1041.7756666666669</v>
      </c>
      <c r="BC246" s="560"/>
      <c r="BD246" s="560">
        <f ca="1">IF(B246&gt;Summary!$A$1,#N/A,BB246*MGtoAF)</f>
        <v>3196.1677453333341</v>
      </c>
      <c r="BE246" s="560">
        <f>Sheet1!BG248+Sheet1!BH248+Sheet1!BI248-BM246</f>
        <v>2.02</v>
      </c>
      <c r="BF246" s="560">
        <f t="shared" si="495"/>
        <v>1.9864678758069474</v>
      </c>
      <c r="BG246" s="560">
        <f>IF(Sheet1!EP248="FM",BM246,0)</f>
        <v>0</v>
      </c>
      <c r="BH246" s="560">
        <f t="shared" si="496"/>
        <v>0</v>
      </c>
      <c r="BI246" s="560">
        <f>IF(Sheet1!EP248="OTHER",BM246,0)</f>
        <v>0</v>
      </c>
      <c r="BJ246" s="560">
        <f t="shared" si="497"/>
        <v>0</v>
      </c>
      <c r="BK246" s="560">
        <f t="shared" si="498"/>
        <v>2.02</v>
      </c>
      <c r="BL246" s="560">
        <f t="shared" si="499"/>
        <v>1.9864678758069474</v>
      </c>
      <c r="BM246" s="560">
        <f>IF(OR(Sheet1!EP248="FM", Sheet1!EP248="OTHER"),SUM(Sheet1!BG248:'Sheet1'!BI248),0)</f>
        <v>0</v>
      </c>
      <c r="BN246" s="545">
        <f>IF(AND($B246&gt;=$FV246,$B246&lt;=$FW246),MAX(BF246,Sheet1!EI248,0),MAX(BF246-(7/36)*$K246,0))</f>
        <v>2</v>
      </c>
      <c r="BO246" s="560">
        <f t="shared" si="500"/>
        <v>0</v>
      </c>
      <c r="BP246" s="545">
        <f t="shared" si="501"/>
        <v>0</v>
      </c>
      <c r="BQ246" s="545">
        <f>IF(AND($O246&gt;0,Sheet1!EM248=1),(1-($O246-Sheet1!$L248)/$O246)*BL246,0)</f>
        <v>0</v>
      </c>
      <c r="BR246" s="545">
        <f>IF(AND(Sheet1!$L248=0,Sheet1!$L247=0, Calculation!BK246&lt;Sheet1!$EI248-0.1,Sheet1!$EI248=Sheet1!$EI247,Sheet1!$EI248=Sheet1!$EI249),Sheet1!$EI248,BL246-BQ246)</f>
        <v>1.9864678758069474</v>
      </c>
      <c r="BS246" s="560"/>
      <c r="BT246" s="560"/>
      <c r="BU246" s="560">
        <f t="shared" si="502"/>
        <v>512.59808816602776</v>
      </c>
      <c r="BV246" s="560"/>
      <c r="BW246" s="560">
        <f ca="1">IF(B246&gt;Summary!$A$1,#N/A,BU246*MGtoAF)</f>
        <v>1572.6509344933731</v>
      </c>
      <c r="BX246" s="560">
        <f>Sheet1!BC248+Sheet1!BD248+Sheet1!BE248+Sheet1!BF248-CG246-CH246</f>
        <v>4.5</v>
      </c>
      <c r="BY246" s="560">
        <f t="shared" si="503"/>
        <v>4.4252997233323086</v>
      </c>
      <c r="BZ246" s="560">
        <f>IF(Sheet1!EQ248="FM",CH246,0)</f>
        <v>0</v>
      </c>
      <c r="CA246" s="560">
        <f t="shared" si="504"/>
        <v>0</v>
      </c>
      <c r="CB246" s="560">
        <f>IF(Sheet1!EQ248="OTHER",CH246,0)</f>
        <v>0</v>
      </c>
      <c r="CC246" s="560">
        <f t="shared" si="505"/>
        <v>0</v>
      </c>
      <c r="CD246" s="560">
        <f t="shared" si="506"/>
        <v>0</v>
      </c>
      <c r="CE246" s="560">
        <f t="shared" si="507"/>
        <v>4.5</v>
      </c>
      <c r="CF246" s="560">
        <f t="shared" si="508"/>
        <v>4.4252997233323086</v>
      </c>
      <c r="CG246" s="560">
        <f>IF(Sheet1!EQ248="CWA",SUM(Sheet1!BC248:'Sheet1'!BF248),0)</f>
        <v>0</v>
      </c>
      <c r="CH246" s="560">
        <f>IF(OR(Sheet1!EQ248="FM", Sheet1!EQ248="OTHER"),SUM(Sheet1!BC248:'Sheet1'!BF248),0)</f>
        <v>0</v>
      </c>
      <c r="CI246" s="545">
        <f>IF(AND($B246&gt;=$FV246,$B246&lt;=$FW246),MAX(CF246,Sheet1!EJ248,0),MAX(CF246-(7/36)*$K246,0))</f>
        <v>4.5</v>
      </c>
      <c r="CJ246" s="560">
        <f t="shared" si="509"/>
        <v>0</v>
      </c>
      <c r="CK246" s="545">
        <f t="shared" si="510"/>
        <v>0</v>
      </c>
      <c r="CL246" s="545">
        <f>IF(AND($O246&gt;0,Sheet1!EN248=1),(1-($O246-Sheet1!$L248)/$O246)*CF246,0)</f>
        <v>0</v>
      </c>
      <c r="CM246" s="545">
        <f>IF(AND(Sheet1!$L248=0,Sheet1!$L247=0, Calculation!CE246&lt;Sheet1!EJ248-0.1,Sheet1!EJ248=Sheet1!EJ247,Sheet1!EJ248=Sheet1!EJ249),Sheet1!EJ248,CF246-CL246)</f>
        <v>4.4252997233323086</v>
      </c>
      <c r="CN246" s="545"/>
      <c r="CO246" s="560"/>
      <c r="CP246" s="560">
        <f t="shared" si="511"/>
        <v>381.85622391979877</v>
      </c>
      <c r="CQ246" s="560"/>
      <c r="CR246" s="560">
        <f ca="1">IF(B246&gt;Summary!$A$1,#N/A,CP246*MGtoAF)</f>
        <v>1171.5348949859426</v>
      </c>
      <c r="CS246" s="560">
        <f>Sheet1!BK248+Sheet1!BL248+Sheet1!BM248-Sheet1!ER248-DA246</f>
        <v>11.01</v>
      </c>
      <c r="CT246" s="560">
        <f t="shared" si="512"/>
        <v>10.82723332308638</v>
      </c>
      <c r="CU246" s="560">
        <f>IF(Sheet1!ER248="FM",DA246,0)</f>
        <v>0</v>
      </c>
      <c r="CV246" s="560">
        <f t="shared" si="513"/>
        <v>0</v>
      </c>
      <c r="CW246" s="560">
        <f>IF(Sheet1!ER248="OTHER",DA246,0)</f>
        <v>0</v>
      </c>
      <c r="CX246" s="560">
        <f t="shared" si="514"/>
        <v>0</v>
      </c>
      <c r="CY246" s="560">
        <f t="shared" si="515"/>
        <v>11.01</v>
      </c>
      <c r="CZ246" s="560">
        <f t="shared" si="516"/>
        <v>10.82723332308638</v>
      </c>
      <c r="DA246" s="560">
        <f>IF(OR(Sheet1!ER248="FM", Sheet1!ER248="OTHER"),SUM(Sheet1!BK248:'Sheet1'!BM248),0)</f>
        <v>0</v>
      </c>
      <c r="DB246" s="545">
        <f>IF(AND($B246&gt;=$FV246,$B246&lt;=$FW246),MAX($CT246,Sheet1!EK248,0),MAX($CT246-(7/36)*$K246,0))</f>
        <v>11</v>
      </c>
      <c r="DC246" s="560">
        <f t="shared" si="517"/>
        <v>0</v>
      </c>
      <c r="DD246" s="545">
        <f t="shared" si="518"/>
        <v>0</v>
      </c>
      <c r="DE246" s="545">
        <f>IF(AND($O246&gt;0,Sheet1!EO248=1),(1-($O246-Sheet1!$L248)/$O246)*CZ246,0)</f>
        <v>0</v>
      </c>
      <c r="DF246" s="545">
        <f>IF(AND(Sheet1!$L248=0,Sheet1!$L247=0, Calculation!CY246&lt;Sheet1!$EK248-0.1,Sheet1!$EK248=Sheet1!$EK247,Sheet1!$EK248=Sheet1!$EK249),Sheet1!$EK248,CZ246-DE246)</f>
        <v>10.82723332308638</v>
      </c>
      <c r="DG246" s="545"/>
      <c r="DH246" s="560">
        <f t="shared" si="519"/>
        <v>17.53</v>
      </c>
      <c r="DI246" s="560">
        <f t="shared" si="520"/>
        <v>284.50693575742531</v>
      </c>
      <c r="DJ246" s="698">
        <f t="shared" si="521"/>
        <v>17.239000922225635</v>
      </c>
      <c r="DK246" s="560">
        <f ca="1">IF(B246&gt;Summary!$A$1,#N/A,DI246*MGtoAF)</f>
        <v>872.86727890378086</v>
      </c>
      <c r="DL246" s="698">
        <f t="shared" si="522"/>
        <v>17.53</v>
      </c>
      <c r="DM246" s="560">
        <f t="shared" si="523"/>
        <v>32.53</v>
      </c>
      <c r="DN246" s="560">
        <f>Sheet1!AB248-DM246</f>
        <v>-0.5400000000000027</v>
      </c>
      <c r="DO246" s="823">
        <f t="shared" si="524"/>
        <v>-1.6600061481709272E-2</v>
      </c>
      <c r="DP246" s="560">
        <f>(VLOOKUP(Sheet1!DC248,hhdcap_wcm,4)-(((VLOOKUP(Sheet1!DC248,hhdcap_wcm,3)-Sheet1!DC248)/(VLOOKUP(Sheet1!DC248,hhdcap_wcm,3)-VLOOKUP(Sheet1!DC248,hhdcap_wcm,1)))*(VLOOKUP(Sheet1!DC248,hhdcap_wcm,4)-VLOOKUP(Sheet1!DC248,hhdcap_wcm,2))))</f>
        <v>37310.000000093416</v>
      </c>
      <c r="DQ246" s="560">
        <f t="shared" si="525"/>
        <v>-298.0000000021173</v>
      </c>
      <c r="DR246" s="560">
        <f t="shared" si="526"/>
        <v>-150.27735754014989</v>
      </c>
      <c r="DS246" s="560">
        <f>Sheet1!EA248*AFtoMG</f>
        <v>0</v>
      </c>
      <c r="DT246" s="560">
        <f>Sheet1!EB248*AFtoMG</f>
        <v>0</v>
      </c>
      <c r="DU246" s="560">
        <f>Sheet1!EC248*AFtoMG</f>
        <v>0</v>
      </c>
      <c r="DV246" s="560">
        <f>Sheet1!ED248*AFtoMG</f>
        <v>0</v>
      </c>
      <c r="DW246" s="560">
        <f t="shared" si="527"/>
        <v>0</v>
      </c>
      <c r="DX246" s="560">
        <f t="shared" si="528"/>
        <v>0</v>
      </c>
      <c r="DY246" s="560">
        <f t="shared" si="529"/>
        <v>2220.7369145099187</v>
      </c>
      <c r="DZ246" s="560">
        <f t="shared" si="530"/>
        <v>6813.2208537164306</v>
      </c>
      <c r="EA246" s="560"/>
      <c r="EB246" s="545">
        <f>IF(OR(B246&lt;FV246,B246&gt;FW246),(MIN(BF246+BY246+CT246+MAX(Sheet1!AA248+AQ246-73,0),K246)),0)</f>
        <v>0</v>
      </c>
      <c r="EC246" s="560"/>
      <c r="ED246" s="560">
        <f t="shared" si="531"/>
        <v>17.239000922225635</v>
      </c>
      <c r="EE246" s="560"/>
      <c r="EF246" s="560">
        <f>Sheet1!EH248+Sheet1!EI248+Sheet1!EJ248+Sheet1!EK248</f>
        <v>17.5</v>
      </c>
      <c r="EG246" s="560"/>
      <c r="EH246" s="545">
        <f t="shared" si="532"/>
        <v>0</v>
      </c>
      <c r="EI246" s="560">
        <f>IF(Sheet1!ET248=1,SUM('Calculations II'!AT246:BA246)+'Calculations II'!BC246+Sheet1!BV248+'Calculations II'!BE246+AP246,SUM('Calculations II'!AT246:BA246)+'Calculations II'!BC246+Sheet1!BV248+'Calculations II'!BE246+AP246)</f>
        <v>82.79883199999999</v>
      </c>
      <c r="EJ246" s="560">
        <f>Sheet1!AA248+Sheet1!AB248+'Calculations II'!BC246</f>
        <v>89.69</v>
      </c>
      <c r="EK246" s="560"/>
      <c r="EL246" s="560"/>
      <c r="EM246" s="560">
        <f t="shared" si="533"/>
        <v>41874</v>
      </c>
      <c r="EN246" s="560">
        <f t="shared" si="534"/>
        <v>-17.5</v>
      </c>
      <c r="EO246" s="560">
        <f t="shared" si="535"/>
        <v>-27.072499999999998</v>
      </c>
      <c r="EP246" s="560">
        <v>0</v>
      </c>
      <c r="EQ246" s="560">
        <v>0</v>
      </c>
      <c r="ER246" s="560">
        <v>0</v>
      </c>
      <c r="ES246" s="545">
        <f t="shared" si="454"/>
        <v>-1.3852002269282602</v>
      </c>
      <c r="ET246" s="560">
        <f>-(VLOOKUP(Sheet1!BQ248,Lookup!$O$4:$Q$262,2)-VLOOKUP(Sheet1!BQ247,Lookup!$O$4:$Q$262,2))/1000000</f>
        <v>-0.69261613615548234</v>
      </c>
      <c r="EU246" s="560">
        <f>-(VLOOKUP(Sheet1!BR248,Lookup!$O$4:$Q$262,3)-VLOOKUP(Sheet1!BR247,Lookup!$O$4:$Q$262,3))/1000000</f>
        <v>-0.69258409077277783</v>
      </c>
      <c r="EV246" s="560"/>
      <c r="EW246" s="560"/>
      <c r="EX246" s="560"/>
      <c r="EY246" s="560"/>
      <c r="EZ246" s="560"/>
      <c r="FA246" s="560"/>
      <c r="FB246" s="560"/>
      <c r="FC246" s="560"/>
      <c r="FD246" s="594">
        <f t="shared" si="536"/>
        <v>1131.2366666665946</v>
      </c>
      <c r="FE246" s="594" t="e">
        <f t="shared" si="537"/>
        <v>#N/A</v>
      </c>
      <c r="FF246" s="595" t="e">
        <f t="shared" si="538"/>
        <v>#N/A</v>
      </c>
      <c r="FG246" s="596" t="s">
        <v>692</v>
      </c>
      <c r="FH246" s="596" t="s">
        <v>692</v>
      </c>
      <c r="FI246" s="594" t="e">
        <v>#N/A</v>
      </c>
      <c r="FJ246" s="778">
        <v>17041</v>
      </c>
      <c r="FK246" s="560"/>
      <c r="FL246" s="560"/>
      <c r="FM246" s="560"/>
      <c r="FN246" s="560"/>
      <c r="FO246" s="560">
        <f>O246+((Sheet1!CS248)*GPMtoMGD)</f>
        <v>89.69</v>
      </c>
      <c r="FP246" s="560">
        <f>IF(Sheet1!AA248+AQ246&lt;=Calculation!N246,AQ246,Calculation!N246-Sheet1!AA248)</f>
        <v>13.177559176145095</v>
      </c>
      <c r="FQ246" s="560">
        <f>(Sheet1!BP248+Sheet1!BO248)/694.4</f>
        <v>2.9547811059907838</v>
      </c>
      <c r="FR246" s="560"/>
      <c r="FS246" s="560"/>
      <c r="FT246" s="560"/>
      <c r="FU246" s="560"/>
      <c r="FV246" s="695">
        <f t="shared" si="455"/>
        <v>41827</v>
      </c>
      <c r="FW246" s="695">
        <f t="shared" si="456"/>
        <v>41934</v>
      </c>
      <c r="FX246" s="560"/>
      <c r="FY246" s="560"/>
      <c r="FZ246" s="560"/>
      <c r="GA246" s="560"/>
      <c r="GB246" s="560" t="str">
        <f t="shared" si="457"/>
        <v>n</v>
      </c>
      <c r="GC246" s="564">
        <f t="shared" si="458"/>
        <v>41691</v>
      </c>
      <c r="GD246" s="695">
        <f t="shared" si="459"/>
        <v>41807</v>
      </c>
      <c r="GE246" s="560">
        <v>6518.9</v>
      </c>
      <c r="GF246" s="695">
        <f t="shared" si="460"/>
        <v>41808</v>
      </c>
      <c r="GG246" s="560">
        <f t="shared" si="479"/>
        <v>3259</v>
      </c>
      <c r="GH246" s="564">
        <f t="shared" si="461"/>
        <v>41934</v>
      </c>
      <c r="GJ246" s="545">
        <f t="shared" si="462"/>
        <v>0</v>
      </c>
      <c r="GK246" s="560" t="str">
        <f t="shared" si="539"/>
        <v/>
      </c>
      <c r="GL246" s="560">
        <f t="shared" si="463"/>
        <v>0</v>
      </c>
      <c r="GM246" s="560" t="str">
        <f t="shared" si="464"/>
        <v/>
      </c>
      <c r="GN246" s="560">
        <f>IF(GK246="P",Lookup!$M$12,IF(GK246="PP",Lookup!$M$13,IF(GK246="PPP",Lookup!$M$14,IF(GK246="T",Lookup!$M$15,IF(GK246="TP",Lookup!$M$16,IF(GK246="TPP",Lookup!$M$17,IF(GK246="TPPP",Lookup!$M$18,0)))))))*GJ246</f>
        <v>0</v>
      </c>
      <c r="GO246" s="560">
        <f t="shared" si="465"/>
        <v>0</v>
      </c>
      <c r="GP246" s="560">
        <f t="shared" si="540"/>
        <v>3196.1677453333341</v>
      </c>
      <c r="GQ246" s="560">
        <f t="shared" si="473"/>
        <v>1041.7756666666669</v>
      </c>
      <c r="GR246" s="560"/>
      <c r="GS246" s="560">
        <f t="shared" si="466"/>
        <v>0</v>
      </c>
      <c r="GT246" s="560" t="str">
        <f t="shared" si="467"/>
        <v/>
      </c>
      <c r="GU246" s="560">
        <f>IF(GK246="P",Lookup!$N$12,IF(GK246="PP",Lookup!$N$13,IF(GK246="PPP",Lookup!$N$14,IF(GK246="T",Lookup!$N$15,IF(GK246="TP",Lookup!$N$16,IF(GK246="TPP",Lookup!$N$17,IF(GK246="TPPP",Lookup!$N$18,0)))))))*GJ246</f>
        <v>0</v>
      </c>
      <c r="GV246" s="560">
        <f t="shared" si="468"/>
        <v>0</v>
      </c>
      <c r="GW246" s="560">
        <f t="shared" si="541"/>
        <v>1572.6509344933731</v>
      </c>
      <c r="GX246" s="560">
        <f t="shared" si="474"/>
        <v>512.59808816602776</v>
      </c>
      <c r="GY246" s="560"/>
      <c r="GZ246" s="560">
        <f t="shared" si="469"/>
        <v>0</v>
      </c>
      <c r="HA246" s="560" t="str">
        <f t="shared" si="470"/>
        <v/>
      </c>
      <c r="HB246" s="560">
        <f>IF(GK246="P",Lookup!$N$12,IF(GK246="PP",Lookup!$N$13,IF(GK246="PPP",Lookup!$N$14,IF(GK246="T",Lookup!$N$15,IF(GK246="TP",Lookup!$N$16,IF(GK246="TPP",Lookup!$N$17,IF(GK246="TPPP",Lookup!$N$18,0)))))))*GJ246</f>
        <v>0</v>
      </c>
      <c r="HC246" s="545">
        <f t="shared" si="542"/>
        <v>0</v>
      </c>
      <c r="HD246" s="560">
        <f t="shared" si="543"/>
        <v>1171.5348949859426</v>
      </c>
      <c r="HE246" s="560">
        <f t="shared" si="475"/>
        <v>381.85622391979877</v>
      </c>
      <c r="HF246" s="560"/>
      <c r="HG246" s="560">
        <f t="shared" si="471"/>
        <v>0</v>
      </c>
      <c r="HH246" s="560" t="str">
        <f t="shared" si="472"/>
        <v/>
      </c>
      <c r="HI246" s="560">
        <f>IF(GK246="P",Lookup!$N$12,IF(GK246="PP",Lookup!$N$13,IF(GK246="PPP",Lookup!$N$14,IF(GK246="T",Lookup!$N$15,IF(GK246="TP",Lookup!$N$16,IF(GK246="TPP",Lookup!$N$17,IF(GK246="TPPP",Lookup!$N$18,0)))))))*GJ246</f>
        <v>0</v>
      </c>
      <c r="HJ246" s="545">
        <f t="shared" si="544"/>
        <v>0</v>
      </c>
      <c r="HK246" s="560">
        <f t="shared" si="545"/>
        <v>872.86727890378086</v>
      </c>
      <c r="HL246" s="560">
        <f t="shared" si="476"/>
        <v>284.50693575742531</v>
      </c>
    </row>
    <row r="247" spans="1:220">
      <c r="A247" s="580" t="s">
        <v>3</v>
      </c>
      <c r="B247" s="556">
        <v>41875</v>
      </c>
      <c r="C247" s="561">
        <v>0</v>
      </c>
      <c r="D247" s="529">
        <f t="shared" si="477"/>
        <v>200</v>
      </c>
      <c r="E247" s="529">
        <f t="shared" si="478"/>
        <v>400</v>
      </c>
      <c r="F247" s="529">
        <v>250</v>
      </c>
      <c r="G247" s="560">
        <f>DR247+Sheet1!CZ249</f>
        <v>147.84467977788651</v>
      </c>
      <c r="H247" s="914">
        <f t="shared" si="480"/>
        <v>0</v>
      </c>
      <c r="I247" s="559">
        <f>MAX(Sheet1!Z249-AT247+(Sheet1!DA249-E247)*CFStoMGD,0)</f>
        <v>14.537199999999999</v>
      </c>
      <c r="J247" s="562">
        <f>IF(AND(B247&gt;=Calculation!GC247,B247&lt;=Calculation!GD247),IF(Sheet1!DB249&gt;=Calculation!D247,64.64,0),MAX(Sheet1!Z249-AT247+(Sheet1!DB249-D247)*CFStoMGD,0))</f>
        <v>44.271599999999999</v>
      </c>
      <c r="K247" s="904">
        <f t="shared" si="481"/>
        <v>0</v>
      </c>
      <c r="L247" s="560">
        <f>Sheet1!AA249+Sheet1!AB249-Sheet1!L249+(Sheet1!DA249-F247)*CFStoMGD</f>
        <v>169.1172</v>
      </c>
      <c r="M247" s="560">
        <f t="shared" si="482"/>
        <v>97.478137028594361</v>
      </c>
      <c r="N247" s="910">
        <f>IF(Sheet1!DA249&gt;=F247,MIN(73,MIN(MAX(L247,0),MAX(M247,0))),0)</f>
        <v>73</v>
      </c>
      <c r="O247" s="563">
        <f>Sheet1!AA249+Sheet1!AB249</f>
        <v>89.61</v>
      </c>
      <c r="P247" s="563">
        <f t="shared" si="483"/>
        <v>138.62666999999999</v>
      </c>
      <c r="Q247" s="898">
        <f t="shared" si="444"/>
        <v>72.11</v>
      </c>
      <c r="R247" s="829">
        <f t="shared" si="484"/>
        <v>17.5</v>
      </c>
      <c r="S247" s="898">
        <f t="shared" si="445"/>
        <v>0</v>
      </c>
      <c r="T247" s="898">
        <f t="shared" si="446"/>
        <v>0</v>
      </c>
      <c r="U247" s="898">
        <f t="shared" si="447"/>
        <v>17.5</v>
      </c>
      <c r="V247" s="898"/>
      <c r="W247" s="898">
        <f t="shared" si="448"/>
        <v>0</v>
      </c>
      <c r="X247" s="898">
        <f t="shared" si="449"/>
        <v>0</v>
      </c>
      <c r="Y247" s="898" t="str">
        <f t="shared" si="450"/>
        <v>FALSE</v>
      </c>
      <c r="Z247" s="898">
        <f t="shared" si="451"/>
        <v>89.61</v>
      </c>
      <c r="AA247" s="898">
        <f t="shared" si="452"/>
        <v>89.61</v>
      </c>
      <c r="AB247" s="898" t="str">
        <f t="shared" si="453"/>
        <v/>
      </c>
      <c r="AC247" s="563">
        <f>Sheet1!Y249*MGDtoCFS</f>
        <v>89.261899999999997</v>
      </c>
      <c r="AD247" s="563">
        <f>Sheet1!Z249*MGDtoCFS</f>
        <v>49.488529999999997</v>
      </c>
      <c r="AE247" s="563">
        <f>Sheet1!AA249*MGDtoCFS</f>
        <v>89.261899999999997</v>
      </c>
      <c r="AF247" s="563">
        <f>Sheet1!AB249*MGDtoCFS</f>
        <v>49.36477</v>
      </c>
      <c r="AG247" s="563">
        <f>Sheet1!L249*MGDtoCFS</f>
        <v>0</v>
      </c>
      <c r="AH247" s="545">
        <f t="shared" si="485"/>
        <v>17.5</v>
      </c>
      <c r="AI247" s="560">
        <f t="shared" si="486"/>
        <v>27.072499999999998</v>
      </c>
      <c r="AJ247" s="560">
        <f t="shared" si="487"/>
        <v>0</v>
      </c>
      <c r="AK247" s="560">
        <f t="shared" si="488"/>
        <v>0</v>
      </c>
      <c r="AL247" s="560">
        <f>(VLOOKUP(Sheet1!DC249,hhdcap_wcm,4)-(((VLOOKUP(Sheet1!DC249,hhdcap_wcm,3)-Sheet1!DC249)/(VLOOKUP(Sheet1!DC249,hhdcap_wcm,3)-VLOOKUP(Sheet1!DC249,hhdcap_wcm,1)))*(VLOOKUP(Sheet1!DC249,hhdcap_wcm,4)-VLOOKUP(Sheet1!DC249,hhdcap_wcm,2))))</f>
        <v>36865.500000092965</v>
      </c>
      <c r="AM247" s="560">
        <f t="shared" si="489"/>
        <v>-444.50000000045111</v>
      </c>
      <c r="AN247" s="560">
        <f t="shared" si="490"/>
        <v>2203.2369145099187</v>
      </c>
      <c r="AO247" s="560">
        <f t="shared" si="491"/>
        <v>6759.530853716431</v>
      </c>
      <c r="AP247" s="560">
        <f>Sheet1!BA249+Sheet1!BB249+Sheet1!BN249+CD247</f>
        <v>15</v>
      </c>
      <c r="AQ247" s="560">
        <f>Sheet1!BN249+(DO247*Sheet1!BN249)</f>
        <v>13.132493857493857</v>
      </c>
      <c r="AR247" s="560">
        <f>Sheet1!BA249+CD247</f>
        <v>0</v>
      </c>
      <c r="AS247" s="560">
        <f>Sheet1!BA249+Sheet1!BB249+CD247</f>
        <v>1.6</v>
      </c>
      <c r="AT247" s="698">
        <f>0</f>
        <v>0</v>
      </c>
      <c r="AU247" s="560">
        <f>IF(EB247&lt;K247,0,MAX(Sheet1!AA249+AQ247-15/36*K247-N247,Sheet1!EH249,0))</f>
        <v>0</v>
      </c>
      <c r="AV247" s="560">
        <f>IF(OR(B247&gt;=GD247,B247&lt;GC247),0,15/36*K247-MAX(0,64.6-(137.6-(Sheet1!AA249+Sheet1!AB249))))</f>
        <v>0</v>
      </c>
      <c r="AW247" s="698">
        <f>Sheet1!DB249-110</f>
        <v>109</v>
      </c>
      <c r="AX247" s="698">
        <f>Sheet1!DA249-265</f>
        <v>108</v>
      </c>
      <c r="AY247" s="698">
        <f t="shared" si="492"/>
        <v>0.89000000000000057</v>
      </c>
      <c r="AZ247" s="1082"/>
      <c r="BA247" s="698">
        <f t="shared" si="493"/>
        <v>0</v>
      </c>
      <c r="BB247" s="560">
        <f t="shared" si="494"/>
        <v>1041.7756666666669</v>
      </c>
      <c r="BC247" s="560"/>
      <c r="BD247" s="560">
        <f ca="1">IF(B247&gt;Summary!$A$1,#N/A,BB247*MGtoAF)</f>
        <v>3196.1677453333341</v>
      </c>
      <c r="BE247" s="560">
        <f>Sheet1!BG249+Sheet1!BH249+Sheet1!BI249-BM247</f>
        <v>2.02</v>
      </c>
      <c r="BF247" s="560">
        <f t="shared" si="495"/>
        <v>1.979674447174447</v>
      </c>
      <c r="BG247" s="560">
        <f>IF(Sheet1!EP249="FM",BM247,0)</f>
        <v>0</v>
      </c>
      <c r="BH247" s="560">
        <f t="shared" si="496"/>
        <v>0</v>
      </c>
      <c r="BI247" s="560">
        <f>IF(Sheet1!EP249="OTHER",BM247,0)</f>
        <v>0</v>
      </c>
      <c r="BJ247" s="560">
        <f t="shared" si="497"/>
        <v>0</v>
      </c>
      <c r="BK247" s="560">
        <f t="shared" si="498"/>
        <v>2.02</v>
      </c>
      <c r="BL247" s="560">
        <f t="shared" si="499"/>
        <v>1.979674447174447</v>
      </c>
      <c r="BM247" s="560">
        <f>IF(OR(Sheet1!EP249="FM", Sheet1!EP249="OTHER"),SUM(Sheet1!BG249:'Sheet1'!BI249),0)</f>
        <v>0</v>
      </c>
      <c r="BN247" s="545">
        <f>IF(AND($B247&gt;=$FV247,$B247&lt;=$FW247),MAX(BF247,Sheet1!EI249,0),MAX(BF247-(7/36)*$K247,0))</f>
        <v>2</v>
      </c>
      <c r="BO247" s="560">
        <f t="shared" si="500"/>
        <v>0</v>
      </c>
      <c r="BP247" s="545">
        <f t="shared" si="501"/>
        <v>0</v>
      </c>
      <c r="BQ247" s="545">
        <f>IF(AND($O247&gt;0,Sheet1!EM249=1),(1-($O247-Sheet1!$L249)/$O247)*BL247,0)</f>
        <v>0</v>
      </c>
      <c r="BR247" s="545">
        <f>IF(AND(Sheet1!$L249=0,Sheet1!$L248=0, Calculation!BK247&lt;Sheet1!$EI249-0.1,Sheet1!$EI249=Sheet1!$EI248,Sheet1!$EI249=Sheet1!$EI250),Sheet1!$EI249,BL247-BQ247)</f>
        <v>1.979674447174447</v>
      </c>
      <c r="BS247" s="560"/>
      <c r="BT247" s="560"/>
      <c r="BU247" s="560">
        <f t="shared" si="502"/>
        <v>510.59808816602776</v>
      </c>
      <c r="BV247" s="560"/>
      <c r="BW247" s="560">
        <f ca="1">IF(B247&gt;Summary!$A$1,#N/A,BU247*MGtoAF)</f>
        <v>1566.5149344933732</v>
      </c>
      <c r="BX247" s="560">
        <f>Sheet1!BC249+Sheet1!BD249+Sheet1!BE249+Sheet1!BF249-CG247-CH247</f>
        <v>4.5</v>
      </c>
      <c r="BY247" s="560">
        <f t="shared" si="503"/>
        <v>4.410165847665847</v>
      </c>
      <c r="BZ247" s="560">
        <f>IF(Sheet1!EQ249="FM",CH247,0)</f>
        <v>0</v>
      </c>
      <c r="CA247" s="560">
        <f t="shared" si="504"/>
        <v>0</v>
      </c>
      <c r="CB247" s="560">
        <f>IF(Sheet1!EQ249="OTHER",CH247,0)</f>
        <v>0</v>
      </c>
      <c r="CC247" s="560">
        <f t="shared" si="505"/>
        <v>0</v>
      </c>
      <c r="CD247" s="560">
        <f t="shared" si="506"/>
        <v>0</v>
      </c>
      <c r="CE247" s="560">
        <f t="shared" si="507"/>
        <v>4.5</v>
      </c>
      <c r="CF247" s="560">
        <f t="shared" si="508"/>
        <v>4.410165847665847</v>
      </c>
      <c r="CG247" s="560">
        <f>IF(Sheet1!EQ249="CWA",SUM(Sheet1!BC249:'Sheet1'!BF249),0)</f>
        <v>0</v>
      </c>
      <c r="CH247" s="560">
        <f>IF(OR(Sheet1!EQ249="FM", Sheet1!EQ249="OTHER"),SUM(Sheet1!BC249:'Sheet1'!BF249),0)</f>
        <v>0</v>
      </c>
      <c r="CI247" s="545">
        <f>IF(AND($B247&gt;=$FV247,$B247&lt;=$FW247),MAX(CF247,Sheet1!EJ249,0),MAX(CF247-(7/36)*$K247,0))</f>
        <v>4.5</v>
      </c>
      <c r="CJ247" s="560">
        <f t="shared" si="509"/>
        <v>0</v>
      </c>
      <c r="CK247" s="545">
        <f t="shared" si="510"/>
        <v>0</v>
      </c>
      <c r="CL247" s="545">
        <f>IF(AND($O247&gt;0,Sheet1!EN249=1),(1-($O247-Sheet1!$L249)/$O247)*CF247,0)</f>
        <v>0</v>
      </c>
      <c r="CM247" s="545">
        <f>IF(AND(Sheet1!$L249=0,Sheet1!$L248=0, Calculation!CE247&lt;Sheet1!EJ249-0.1,Sheet1!EJ249=Sheet1!EJ248,Sheet1!EJ249=Sheet1!EJ250),Sheet1!EJ249,CF247-CL247)</f>
        <v>4.410165847665847</v>
      </c>
      <c r="CN247" s="545"/>
      <c r="CO247" s="560"/>
      <c r="CP247" s="560">
        <f t="shared" si="511"/>
        <v>377.35622391979877</v>
      </c>
      <c r="CQ247" s="560"/>
      <c r="CR247" s="560">
        <f ca="1">IF(B247&gt;Summary!$A$1,#N/A,CP247*MGtoAF)</f>
        <v>1157.7288949859426</v>
      </c>
      <c r="CS247" s="560">
        <f>Sheet1!BK249+Sheet1!BL249+Sheet1!BM249-Sheet1!ER249-DA247</f>
        <v>11.04</v>
      </c>
      <c r="CT247" s="560">
        <f t="shared" si="512"/>
        <v>10.819606879606878</v>
      </c>
      <c r="CU247" s="560">
        <f>IF(Sheet1!ER249="FM",DA247,0)</f>
        <v>0</v>
      </c>
      <c r="CV247" s="560">
        <f t="shared" si="513"/>
        <v>0</v>
      </c>
      <c r="CW247" s="560">
        <f>IF(Sheet1!ER249="OTHER",DA247,0)</f>
        <v>0</v>
      </c>
      <c r="CX247" s="560">
        <f t="shared" si="514"/>
        <v>0</v>
      </c>
      <c r="CY247" s="560">
        <f t="shared" si="515"/>
        <v>11.04</v>
      </c>
      <c r="CZ247" s="560">
        <f t="shared" si="516"/>
        <v>10.819606879606878</v>
      </c>
      <c r="DA247" s="560">
        <f>IF(OR(Sheet1!ER249="FM", Sheet1!ER249="OTHER"),SUM(Sheet1!BK249:'Sheet1'!BM249),0)</f>
        <v>0</v>
      </c>
      <c r="DB247" s="545">
        <f>IF(AND($B247&gt;=$FV247,$B247&lt;=$FW247),MAX($CT247,Sheet1!EK249,0),MAX($CT247-(7/36)*$K247,0))</f>
        <v>11</v>
      </c>
      <c r="DC247" s="560">
        <f t="shared" si="517"/>
        <v>0</v>
      </c>
      <c r="DD247" s="545">
        <f t="shared" si="518"/>
        <v>0</v>
      </c>
      <c r="DE247" s="545">
        <f>IF(AND($O247&gt;0,Sheet1!EO249=1),(1-($O247-Sheet1!$L249)/$O247)*CZ247,0)</f>
        <v>0</v>
      </c>
      <c r="DF247" s="545">
        <f>IF(AND(Sheet1!$L249=0,Sheet1!$L248=0, Calculation!CY247&lt;Sheet1!$EK249-0.1,Sheet1!$EK249=Sheet1!$EK248,Sheet1!$EK249=Sheet1!$EK250),Sheet1!$EK249,CZ247-DE247)</f>
        <v>10.819606879606878</v>
      </c>
      <c r="DG247" s="545"/>
      <c r="DH247" s="560">
        <f t="shared" si="519"/>
        <v>17.559999999999999</v>
      </c>
      <c r="DI247" s="560">
        <f t="shared" si="520"/>
        <v>273.50693575742531</v>
      </c>
      <c r="DJ247" s="698">
        <f t="shared" si="521"/>
        <v>17.20944717444717</v>
      </c>
      <c r="DK247" s="560">
        <f ca="1">IF(B247&gt;Summary!$A$1,#N/A,DI247*MGtoAF)</f>
        <v>839.11927890378092</v>
      </c>
      <c r="DL247" s="698">
        <f t="shared" si="522"/>
        <v>17.559999999999999</v>
      </c>
      <c r="DM247" s="560">
        <f t="shared" si="523"/>
        <v>32.56</v>
      </c>
      <c r="DN247" s="560">
        <f>Sheet1!AB249-DM247</f>
        <v>-0.65000000000000213</v>
      </c>
      <c r="DO247" s="823">
        <f t="shared" si="524"/>
        <v>-1.9963144963145028E-2</v>
      </c>
      <c r="DP247" s="560">
        <f>(VLOOKUP(Sheet1!DC249,hhdcap_wcm,4)-(((VLOOKUP(Sheet1!DC249,hhdcap_wcm,3)-Sheet1!DC249)/(VLOOKUP(Sheet1!DC249,hhdcap_wcm,3)-VLOOKUP(Sheet1!DC249,hhdcap_wcm,1)))*(VLOOKUP(Sheet1!DC249,hhdcap_wcm,4)-VLOOKUP(Sheet1!DC249,hhdcap_wcm,2))))</f>
        <v>36865.500000092965</v>
      </c>
      <c r="DQ247" s="560">
        <f t="shared" si="525"/>
        <v>-444.50000000045111</v>
      </c>
      <c r="DR247" s="560">
        <f t="shared" si="526"/>
        <v>-224.15532022211349</v>
      </c>
      <c r="DS247" s="560">
        <f>Sheet1!EA249*AFtoMG</f>
        <v>0</v>
      </c>
      <c r="DT247" s="560">
        <f>Sheet1!EB249*AFtoMG</f>
        <v>0</v>
      </c>
      <c r="DU247" s="560">
        <f>Sheet1!EC249*AFtoMG</f>
        <v>0</v>
      </c>
      <c r="DV247" s="560">
        <f>Sheet1!ED249*AFtoMG</f>
        <v>0</v>
      </c>
      <c r="DW247" s="560">
        <f t="shared" si="527"/>
        <v>0</v>
      </c>
      <c r="DX247" s="560">
        <f t="shared" si="528"/>
        <v>0</v>
      </c>
      <c r="DY247" s="560">
        <f t="shared" si="529"/>
        <v>2203.2369145099187</v>
      </c>
      <c r="DZ247" s="560">
        <f t="shared" si="530"/>
        <v>6759.530853716431</v>
      </c>
      <c r="EA247" s="560"/>
      <c r="EB247" s="545">
        <f>IF(OR(B247&lt;FV247,B247&gt;FW247),(MIN(BF247+BY247+CT247+MAX(Sheet1!AA249+AQ247-73,0),K247)),0)</f>
        <v>0</v>
      </c>
      <c r="EC247" s="560"/>
      <c r="ED247" s="560">
        <f t="shared" si="531"/>
        <v>17.209447174447174</v>
      </c>
      <c r="EE247" s="560"/>
      <c r="EF247" s="560">
        <f>Sheet1!EH249+Sheet1!EI249+Sheet1!EJ249+Sheet1!EK249</f>
        <v>17.5</v>
      </c>
      <c r="EG247" s="560"/>
      <c r="EH247" s="545">
        <f t="shared" si="532"/>
        <v>0</v>
      </c>
      <c r="EI247" s="560">
        <f>IF(Sheet1!ET249=1,SUM('Calculations II'!AT247:BA247)+'Calculations II'!BC247+Sheet1!BV249+'Calculations II'!BE247+AP247,SUM('Calculations II'!AT247:BA247)+'Calculations II'!BC247+Sheet1!BV249+'Calculations II'!BE247+AP247)</f>
        <v>81.257455999999991</v>
      </c>
      <c r="EJ247" s="560">
        <f>Sheet1!AA249+Sheet1!AB249+'Calculations II'!BC247</f>
        <v>89.61</v>
      </c>
      <c r="EK247" s="560"/>
      <c r="EL247" s="560"/>
      <c r="EM247" s="560">
        <f t="shared" si="533"/>
        <v>41875</v>
      </c>
      <c r="EN247" s="560">
        <f t="shared" si="534"/>
        <v>-17.5</v>
      </c>
      <c r="EO247" s="560">
        <f t="shared" si="535"/>
        <v>-27.072499999999998</v>
      </c>
      <c r="EP247" s="560">
        <v>0</v>
      </c>
      <c r="EQ247" s="560">
        <v>0</v>
      </c>
      <c r="ER247" s="560">
        <v>0</v>
      </c>
      <c r="ES247" s="545">
        <f t="shared" si="454"/>
        <v>-3.3257881419731268</v>
      </c>
      <c r="ET247" s="560">
        <f>-(VLOOKUP(Sheet1!BQ249,Lookup!$O$4:$Q$262,2)-VLOOKUP(Sheet1!BQ248,Lookup!$O$4:$Q$262,2))/1000000</f>
        <v>-1.6629325329836198</v>
      </c>
      <c r="EU247" s="560">
        <f>-(VLOOKUP(Sheet1!BR249,Lookup!$O$4:$Q$262,3)-VLOOKUP(Sheet1!BR248,Lookup!$O$4:$Q$262,3))/1000000</f>
        <v>-1.662855608989507</v>
      </c>
      <c r="EV247" s="560"/>
      <c r="EW247" s="560"/>
      <c r="EX247" s="560"/>
      <c r="EY247" s="560"/>
      <c r="EZ247" s="560"/>
      <c r="FA247" s="560"/>
      <c r="FB247" s="560"/>
      <c r="FC247" s="560"/>
      <c r="FD247" s="594">
        <f t="shared" si="536"/>
        <v>1130.9559322033181</v>
      </c>
      <c r="FE247" s="594" t="e">
        <f t="shared" si="537"/>
        <v>#N/A</v>
      </c>
      <c r="FF247" s="595" t="e">
        <f t="shared" si="538"/>
        <v>#N/A</v>
      </c>
      <c r="FG247" s="596" t="s">
        <v>692</v>
      </c>
      <c r="FH247" s="596" t="s">
        <v>692</v>
      </c>
      <c r="FI247" s="594" t="e">
        <v>#N/A</v>
      </c>
      <c r="FJ247" s="778">
        <v>16874</v>
      </c>
      <c r="FK247" s="560"/>
      <c r="FL247" s="560"/>
      <c r="FM247" s="560"/>
      <c r="FN247" s="560"/>
      <c r="FO247" s="560">
        <f>O247+((Sheet1!CS249)*GPMtoMGD)</f>
        <v>89.61</v>
      </c>
      <c r="FP247" s="560">
        <f>IF(Sheet1!AA249+AQ247&lt;=Calculation!N247,AQ247,Calculation!N247-Sheet1!AA249)</f>
        <v>13.132493857493857</v>
      </c>
      <c r="FQ247" s="560">
        <f>(Sheet1!BP249+Sheet1!BO249)/694.4</f>
        <v>3.6610023041474653</v>
      </c>
      <c r="FR247" s="560"/>
      <c r="FS247" s="560"/>
      <c r="FT247" s="560"/>
      <c r="FU247" s="560"/>
      <c r="FV247" s="695">
        <f t="shared" si="455"/>
        <v>41827</v>
      </c>
      <c r="FW247" s="695">
        <f t="shared" si="456"/>
        <v>41934</v>
      </c>
      <c r="FX247" s="560"/>
      <c r="FY247" s="560"/>
      <c r="FZ247" s="560"/>
      <c r="GA247" s="560"/>
      <c r="GB247" s="560" t="str">
        <f t="shared" si="457"/>
        <v>n</v>
      </c>
      <c r="GC247" s="564">
        <f t="shared" si="458"/>
        <v>41691</v>
      </c>
      <c r="GD247" s="695">
        <f t="shared" si="459"/>
        <v>41807</v>
      </c>
      <c r="GE247" s="560">
        <v>6518.9</v>
      </c>
      <c r="GF247" s="695">
        <f t="shared" si="460"/>
        <v>41808</v>
      </c>
      <c r="GG247" s="560">
        <f t="shared" si="479"/>
        <v>3259</v>
      </c>
      <c r="GH247" s="564">
        <f t="shared" si="461"/>
        <v>41934</v>
      </c>
      <c r="GJ247" s="545">
        <f t="shared" si="462"/>
        <v>0</v>
      </c>
      <c r="GK247" s="560" t="str">
        <f t="shared" si="539"/>
        <v/>
      </c>
      <c r="GL247" s="560">
        <f t="shared" si="463"/>
        <v>0</v>
      </c>
      <c r="GM247" s="560" t="str">
        <f t="shared" si="464"/>
        <v/>
      </c>
      <c r="GN247" s="560">
        <f>IF(GK247="P",Lookup!$M$12,IF(GK247="PP",Lookup!$M$13,IF(GK247="PPP",Lookup!$M$14,IF(GK247="T",Lookup!$M$15,IF(GK247="TP",Lookup!$M$16,IF(GK247="TPP",Lookup!$M$17,IF(GK247="TPPP",Lookup!$M$18,0)))))))*GJ247</f>
        <v>0</v>
      </c>
      <c r="GO247" s="560">
        <f t="shared" si="465"/>
        <v>0</v>
      </c>
      <c r="GP247" s="560">
        <f t="shared" si="540"/>
        <v>3196.1677453333341</v>
      </c>
      <c r="GQ247" s="560">
        <f t="shared" si="473"/>
        <v>1041.7756666666669</v>
      </c>
      <c r="GR247" s="560"/>
      <c r="GS247" s="560">
        <f t="shared" si="466"/>
        <v>0</v>
      </c>
      <c r="GT247" s="560" t="str">
        <f t="shared" si="467"/>
        <v/>
      </c>
      <c r="GU247" s="560">
        <f>IF(GK247="P",Lookup!$N$12,IF(GK247="PP",Lookup!$N$13,IF(GK247="PPP",Lookup!$N$14,IF(GK247="T",Lookup!$N$15,IF(GK247="TP",Lookup!$N$16,IF(GK247="TPP",Lookup!$N$17,IF(GK247="TPPP",Lookup!$N$18,0)))))))*GJ247</f>
        <v>0</v>
      </c>
      <c r="GV247" s="560">
        <f t="shared" si="468"/>
        <v>0</v>
      </c>
      <c r="GW247" s="560">
        <f t="shared" si="541"/>
        <v>1566.5149344933732</v>
      </c>
      <c r="GX247" s="560">
        <f t="shared" si="474"/>
        <v>510.59808816602776</v>
      </c>
      <c r="GY247" s="560"/>
      <c r="GZ247" s="560">
        <f t="shared" si="469"/>
        <v>0</v>
      </c>
      <c r="HA247" s="560" t="str">
        <f t="shared" si="470"/>
        <v/>
      </c>
      <c r="HB247" s="560">
        <f>IF(GK247="P",Lookup!$N$12,IF(GK247="PP",Lookup!$N$13,IF(GK247="PPP",Lookup!$N$14,IF(GK247="T",Lookup!$N$15,IF(GK247="TP",Lookup!$N$16,IF(GK247="TPP",Lookup!$N$17,IF(GK247="TPPP",Lookup!$N$18,0)))))))*GJ247</f>
        <v>0</v>
      </c>
      <c r="HC247" s="545">
        <f t="shared" si="542"/>
        <v>0</v>
      </c>
      <c r="HD247" s="560">
        <f t="shared" si="543"/>
        <v>1157.7288949859426</v>
      </c>
      <c r="HE247" s="560">
        <f t="shared" si="475"/>
        <v>377.35622391979877</v>
      </c>
      <c r="HF247" s="560"/>
      <c r="HG247" s="560">
        <f t="shared" si="471"/>
        <v>0</v>
      </c>
      <c r="HH247" s="560" t="str">
        <f t="shared" si="472"/>
        <v/>
      </c>
      <c r="HI247" s="560">
        <f>IF(GK247="P",Lookup!$N$12,IF(GK247="PP",Lookup!$N$13,IF(GK247="PPP",Lookup!$N$14,IF(GK247="T",Lookup!$N$15,IF(GK247="TP",Lookup!$N$16,IF(GK247="TPP",Lookup!$N$17,IF(GK247="TPPP",Lookup!$N$18,0)))))))*GJ247</f>
        <v>0</v>
      </c>
      <c r="HJ247" s="545">
        <f t="shared" si="544"/>
        <v>0</v>
      </c>
      <c r="HK247" s="560">
        <f t="shared" si="545"/>
        <v>839.11927890378092</v>
      </c>
      <c r="HL247" s="560">
        <f t="shared" si="476"/>
        <v>273.50693575742531</v>
      </c>
    </row>
    <row r="248" spans="1:220">
      <c r="A248" s="580" t="s">
        <v>4</v>
      </c>
      <c r="B248" s="556">
        <v>41876</v>
      </c>
      <c r="C248" s="561">
        <v>0</v>
      </c>
      <c r="D248" s="529">
        <f t="shared" si="477"/>
        <v>200</v>
      </c>
      <c r="E248" s="529">
        <f t="shared" si="478"/>
        <v>400</v>
      </c>
      <c r="F248" s="529">
        <v>250</v>
      </c>
      <c r="G248" s="560">
        <f>DR248+Sheet1!CZ250</f>
        <v>187.48159354407622</v>
      </c>
      <c r="H248" s="914">
        <f t="shared" si="480"/>
        <v>0</v>
      </c>
      <c r="I248" s="559">
        <f>MAX(Sheet1!Z250-AT248+(Sheet1!DA250-E248)*CFStoMGD,0)</f>
        <v>11.871600000000001</v>
      </c>
      <c r="J248" s="562">
        <f>IF(AND(B248&gt;=Calculation!GC248,B248&lt;=Calculation!GD248),IF(Sheet1!DB250&gt;=Calculation!D248,64.64,0),MAX(Sheet1!Z250-AT248+(Sheet1!DB250-D248)*CFStoMGD,0))</f>
        <v>42.898800000000001</v>
      </c>
      <c r="K248" s="904">
        <f t="shared" si="481"/>
        <v>0</v>
      </c>
      <c r="L248" s="560">
        <f>Sheet1!AA250+Sheet1!AB250-Sheet1!L250+(Sheet1!DA250-F248)*CFStoMGD</f>
        <v>167.09159999999753</v>
      </c>
      <c r="M248" s="560">
        <f t="shared" si="482"/>
        <v>123.61186410822869</v>
      </c>
      <c r="N248" s="910">
        <f>IF(Sheet1!DA250&gt;=F248,MIN(73,MIN(MAX(L248,0),MAX(M248,0))),0)</f>
        <v>73</v>
      </c>
      <c r="O248" s="563">
        <f>Sheet1!AA250+Sheet1!AB250</f>
        <v>90.2</v>
      </c>
      <c r="P248" s="563">
        <f t="shared" si="483"/>
        <v>139.5394</v>
      </c>
      <c r="Q248" s="898">
        <f t="shared" si="444"/>
        <v>72.7</v>
      </c>
      <c r="R248" s="829">
        <f t="shared" si="484"/>
        <v>17.5</v>
      </c>
      <c r="S248" s="898">
        <f t="shared" si="445"/>
        <v>0</v>
      </c>
      <c r="T248" s="898">
        <f t="shared" si="446"/>
        <v>0</v>
      </c>
      <c r="U248" s="898">
        <f t="shared" si="447"/>
        <v>17.5</v>
      </c>
      <c r="V248" s="898"/>
      <c r="W248" s="898">
        <f t="shared" si="448"/>
        <v>0</v>
      </c>
      <c r="X248" s="898">
        <f t="shared" si="449"/>
        <v>0</v>
      </c>
      <c r="Y248" s="898" t="str">
        <f t="shared" si="450"/>
        <v>FALSE</v>
      </c>
      <c r="Z248" s="898">
        <f t="shared" si="451"/>
        <v>90.2</v>
      </c>
      <c r="AA248" s="898">
        <f t="shared" si="452"/>
        <v>90.2</v>
      </c>
      <c r="AB248" s="898" t="str">
        <f t="shared" si="453"/>
        <v/>
      </c>
      <c r="AC248" s="563">
        <f>Sheet1!Y250*MGDtoCFS</f>
        <v>89.261899999999997</v>
      </c>
      <c r="AD248" s="563">
        <f>Sheet1!Z250*MGDtoCFS</f>
        <v>49.36477</v>
      </c>
      <c r="AE248" s="563">
        <f>Sheet1!AA250*MGDtoCFS</f>
        <v>84.311499999999995</v>
      </c>
      <c r="AF248" s="563">
        <f>Sheet1!AB250*MGDtoCFS</f>
        <v>55.227900000000005</v>
      </c>
      <c r="AG248" s="563">
        <f>Sheet1!L250*MGDtoCFS</f>
        <v>4.6410000003827008E-2</v>
      </c>
      <c r="AH248" s="545">
        <f t="shared" si="485"/>
        <v>17.5</v>
      </c>
      <c r="AI248" s="560">
        <f t="shared" si="486"/>
        <v>27.072499999999998</v>
      </c>
      <c r="AJ248" s="560">
        <f t="shared" si="487"/>
        <v>0</v>
      </c>
      <c r="AK248" s="560">
        <f t="shared" si="488"/>
        <v>0</v>
      </c>
      <c r="AL248" s="560">
        <f>(VLOOKUP(Sheet1!DC250,hhdcap_wcm,4)-(((VLOOKUP(Sheet1!DC250,hhdcap_wcm,3)-Sheet1!DC250)/(VLOOKUP(Sheet1!DC250,hhdcap_wcm,3)-VLOOKUP(Sheet1!DC250,hhdcap_wcm,1)))*(VLOOKUP(Sheet1!DC250,hhdcap_wcm,4)-VLOOKUP(Sheet1!DC250,hhdcap_wcm,2))))</f>
        <v>36499.600000090868</v>
      </c>
      <c r="AM248" s="560">
        <f t="shared" si="489"/>
        <v>-365.90000000209693</v>
      </c>
      <c r="AN248" s="560">
        <f t="shared" si="490"/>
        <v>2185.7369145099187</v>
      </c>
      <c r="AO248" s="560">
        <f t="shared" si="491"/>
        <v>6705.8408537164305</v>
      </c>
      <c r="AP248" s="560">
        <f>Sheet1!BA250+Sheet1!BB250+Sheet1!BN250+CD248</f>
        <v>18.700000000000003</v>
      </c>
      <c r="AQ248" s="560">
        <f>Sheet1!BN250+(DO248*Sheet1!BN250)</f>
        <v>16.905843256715595</v>
      </c>
      <c r="AR248" s="560">
        <f>Sheet1!BA250+CD248</f>
        <v>0</v>
      </c>
      <c r="AS248" s="560">
        <f>Sheet1!BA250+Sheet1!BB250+CD248</f>
        <v>1.6</v>
      </c>
      <c r="AT248" s="698">
        <f>0</f>
        <v>0</v>
      </c>
      <c r="AU248" s="560">
        <f>IF(EB248&lt;K248,0,MAX(Sheet1!AA250+AQ248-15/36*K248-N248,Sheet1!EH250,0))</f>
        <v>0</v>
      </c>
      <c r="AV248" s="560">
        <f>IF(OR(B248&gt;=GD248,B248&lt;GC248),0,15/36*K248-MAX(0,64.6-(137.6-(Sheet1!AA250+Sheet1!AB250))))</f>
        <v>0</v>
      </c>
      <c r="AW248" s="698">
        <f>Sheet1!DB250-110</f>
        <v>107</v>
      </c>
      <c r="AX248" s="698">
        <f>Sheet1!DA250-265</f>
        <v>104</v>
      </c>
      <c r="AY248" s="698">
        <f t="shared" si="492"/>
        <v>0.29999999999999716</v>
      </c>
      <c r="AZ248" s="1082"/>
      <c r="BA248" s="698">
        <f t="shared" si="493"/>
        <v>0</v>
      </c>
      <c r="BB248" s="560">
        <f t="shared" si="494"/>
        <v>1041.7756666666669</v>
      </c>
      <c r="BC248" s="560"/>
      <c r="BD248" s="560">
        <f ca="1">IF(B248&gt;Summary!$A$1,#N/A,BB248*MGtoAF)</f>
        <v>3196.1677453333341</v>
      </c>
      <c r="BE248" s="560">
        <f>Sheet1!BG250+Sheet1!BH250+Sheet1!BI250-BM248</f>
        <v>2.02</v>
      </c>
      <c r="BF248" s="560">
        <f t="shared" si="495"/>
        <v>1.9970645250623098</v>
      </c>
      <c r="BG248" s="560">
        <f>IF(Sheet1!EP250="FM",BM248,0)</f>
        <v>0</v>
      </c>
      <c r="BH248" s="560">
        <f t="shared" si="496"/>
        <v>0</v>
      </c>
      <c r="BI248" s="560">
        <f>IF(Sheet1!EP250="OTHER",BM248,0)</f>
        <v>0</v>
      </c>
      <c r="BJ248" s="560">
        <f t="shared" si="497"/>
        <v>0</v>
      </c>
      <c r="BK248" s="560">
        <f t="shared" si="498"/>
        <v>2.02</v>
      </c>
      <c r="BL248" s="560">
        <f t="shared" si="499"/>
        <v>1.9970645250623098</v>
      </c>
      <c r="BM248" s="560">
        <f>IF(OR(Sheet1!EP250="FM", Sheet1!EP250="OTHER"),SUM(Sheet1!BG250:'Sheet1'!BI250),0)</f>
        <v>0</v>
      </c>
      <c r="BN248" s="545">
        <f>IF(AND($B248&gt;=$FV248,$B248&lt;=$FW248),MAX(BF248,Sheet1!EI250,0),MAX(BF248-(7/36)*$K248,0))</f>
        <v>2</v>
      </c>
      <c r="BO248" s="560">
        <f t="shared" si="500"/>
        <v>0</v>
      </c>
      <c r="BP248" s="545">
        <f t="shared" si="501"/>
        <v>0</v>
      </c>
      <c r="BQ248" s="545">
        <f>IF(AND($O248&gt;0,Sheet1!EM250=1),(1-($O248-Sheet1!$L250)/$O248)*BL248,0)</f>
        <v>0</v>
      </c>
      <c r="BR248" s="545">
        <f>IF(AND(Sheet1!$L250=0,Sheet1!$L249=0, Calculation!BK248&lt;Sheet1!$EI250-0.1,Sheet1!$EI250=Sheet1!$EI249,Sheet1!$EI250=Sheet1!$EI251),Sheet1!$EI250,BL248-BQ248)</f>
        <v>1.9970645250623098</v>
      </c>
      <c r="BS248" s="560"/>
      <c r="BT248" s="560"/>
      <c r="BU248" s="560">
        <f t="shared" si="502"/>
        <v>508.59808816602776</v>
      </c>
      <c r="BV248" s="560"/>
      <c r="BW248" s="560">
        <f ca="1">IF(B248&gt;Summary!$A$1,#N/A,BU248*MGtoAF)</f>
        <v>1560.3789344933732</v>
      </c>
      <c r="BX248" s="560">
        <f>Sheet1!BC250+Sheet1!BD250+Sheet1!BE250+Sheet1!BF250-CG248-CH248</f>
        <v>4.5</v>
      </c>
      <c r="BY248" s="560">
        <f t="shared" si="503"/>
        <v>4.4489061201883136</v>
      </c>
      <c r="BZ248" s="560">
        <f>IF(Sheet1!EQ250="FM",CH248,0)</f>
        <v>0</v>
      </c>
      <c r="CA248" s="560">
        <f t="shared" si="504"/>
        <v>0</v>
      </c>
      <c r="CB248" s="560">
        <f>IF(Sheet1!EQ250="OTHER",CH248,0)</f>
        <v>0</v>
      </c>
      <c r="CC248" s="560">
        <f t="shared" si="505"/>
        <v>0</v>
      </c>
      <c r="CD248" s="560">
        <f t="shared" si="506"/>
        <v>0</v>
      </c>
      <c r="CE248" s="560">
        <f t="shared" si="507"/>
        <v>4.5</v>
      </c>
      <c r="CF248" s="560">
        <f t="shared" si="508"/>
        <v>4.4489061201883136</v>
      </c>
      <c r="CG248" s="560">
        <f>IF(Sheet1!EQ250="CWA",SUM(Sheet1!BC250:'Sheet1'!BF250),0)</f>
        <v>0</v>
      </c>
      <c r="CH248" s="560">
        <f>IF(OR(Sheet1!EQ250="FM", Sheet1!EQ250="OTHER"),SUM(Sheet1!BC250:'Sheet1'!BF250),0)</f>
        <v>0</v>
      </c>
      <c r="CI248" s="545">
        <f>IF(AND($B248&gt;=$FV248,$B248&lt;=$FW248),MAX(CF248,Sheet1!EJ250,0),MAX(CF248-(7/36)*$K248,0))</f>
        <v>4.5</v>
      </c>
      <c r="CJ248" s="560">
        <f t="shared" si="509"/>
        <v>0</v>
      </c>
      <c r="CK248" s="545">
        <f t="shared" si="510"/>
        <v>0</v>
      </c>
      <c r="CL248" s="545">
        <f>IF(AND($O248&gt;0,Sheet1!EN250=1),(1-($O248-Sheet1!$L250)/$O248)*CF248,0)</f>
        <v>0</v>
      </c>
      <c r="CM248" s="545">
        <f>IF(AND(Sheet1!$L250=0,Sheet1!$L249=0, Calculation!CE248&lt;Sheet1!EJ250-0.1,Sheet1!EJ250=Sheet1!EJ249,Sheet1!EJ250=Sheet1!EJ251),Sheet1!EJ250,CF248-CL248)</f>
        <v>4.4489061201883136</v>
      </c>
      <c r="CN248" s="545"/>
      <c r="CO248" s="560"/>
      <c r="CP248" s="560">
        <f t="shared" si="511"/>
        <v>372.85622391979877</v>
      </c>
      <c r="CQ248" s="560"/>
      <c r="CR248" s="560">
        <f ca="1">IF(B248&gt;Summary!$A$1,#N/A,CP248*MGtoAF)</f>
        <v>1143.9228949859425</v>
      </c>
      <c r="CS248" s="560">
        <f>Sheet1!BK250+Sheet1!BL250+Sheet1!BM250-Sheet1!ER250-DA248</f>
        <v>10.89</v>
      </c>
      <c r="CT248" s="560">
        <f t="shared" si="512"/>
        <v>10.76635281085572</v>
      </c>
      <c r="CU248" s="560">
        <f>IF(Sheet1!ER250="FM",DA248,0)</f>
        <v>0</v>
      </c>
      <c r="CV248" s="560">
        <f t="shared" si="513"/>
        <v>0</v>
      </c>
      <c r="CW248" s="560">
        <f>IF(Sheet1!ER250="OTHER",DA248,0)</f>
        <v>0</v>
      </c>
      <c r="CX248" s="560">
        <f t="shared" si="514"/>
        <v>0</v>
      </c>
      <c r="CY248" s="560">
        <f t="shared" si="515"/>
        <v>10.89</v>
      </c>
      <c r="CZ248" s="560">
        <f t="shared" si="516"/>
        <v>10.76635281085572</v>
      </c>
      <c r="DA248" s="560">
        <f>IF(OR(Sheet1!ER250="FM", Sheet1!ER250="OTHER"),SUM(Sheet1!BK250:'Sheet1'!BM250),0)</f>
        <v>0</v>
      </c>
      <c r="DB248" s="545">
        <f>IF(AND($B248&gt;=$FV248,$B248&lt;=$FW248),MAX($CT248,Sheet1!EK250,0),MAX($CT248-(7/36)*$K248,0))</f>
        <v>11</v>
      </c>
      <c r="DC248" s="560">
        <f t="shared" si="517"/>
        <v>0</v>
      </c>
      <c r="DD248" s="545">
        <f t="shared" si="518"/>
        <v>0</v>
      </c>
      <c r="DE248" s="545">
        <f>IF(AND($O248&gt;0,Sheet1!EO250=1),(1-($O248-Sheet1!$L250)/$O248)*CZ248,0)</f>
        <v>0</v>
      </c>
      <c r="DF248" s="545">
        <f>IF(AND(Sheet1!$L250=0,Sheet1!$L249=0, Calculation!CY248&lt;Sheet1!$EK250-0.1,Sheet1!$EK250=Sheet1!$EK249,Sheet1!$EK250=Sheet1!$EK251),Sheet1!$EK250,CZ248-DE248)</f>
        <v>10.76635281085572</v>
      </c>
      <c r="DG248" s="545"/>
      <c r="DH248" s="560">
        <f t="shared" si="519"/>
        <v>17.41</v>
      </c>
      <c r="DI248" s="560">
        <f t="shared" si="520"/>
        <v>262.50693575742531</v>
      </c>
      <c r="DJ248" s="698">
        <f t="shared" si="521"/>
        <v>17.212323456106343</v>
      </c>
      <c r="DK248" s="560">
        <f ca="1">IF(B248&gt;Summary!$A$1,#N/A,DI248*MGtoAF)</f>
        <v>805.37127890378088</v>
      </c>
      <c r="DL248" s="698">
        <f t="shared" si="522"/>
        <v>17.41</v>
      </c>
      <c r="DM248" s="560">
        <f t="shared" si="523"/>
        <v>36.11</v>
      </c>
      <c r="DN248" s="560">
        <f>Sheet1!AB250-DM248</f>
        <v>-0.40999999999999659</v>
      </c>
      <c r="DO248" s="823">
        <f t="shared" si="524"/>
        <v>-1.135419551370802E-2</v>
      </c>
      <c r="DP248" s="560">
        <f>(VLOOKUP(Sheet1!DC250,hhdcap_wcm,4)-(((VLOOKUP(Sheet1!DC250,hhdcap_wcm,3)-Sheet1!DC250)/(VLOOKUP(Sheet1!DC250,hhdcap_wcm,3)-VLOOKUP(Sheet1!DC250,hhdcap_wcm,1)))*(VLOOKUP(Sheet1!DC250,hhdcap_wcm,4)-VLOOKUP(Sheet1!DC250,hhdcap_wcm,2))))</f>
        <v>36499.600000090868</v>
      </c>
      <c r="DQ248" s="560">
        <f t="shared" si="525"/>
        <v>-365.90000000209693</v>
      </c>
      <c r="DR248" s="560">
        <f t="shared" si="526"/>
        <v>-184.51840645592378</v>
      </c>
      <c r="DS248" s="560">
        <f>Sheet1!EA250*AFtoMG</f>
        <v>0</v>
      </c>
      <c r="DT248" s="560">
        <f>Sheet1!EB250*AFtoMG</f>
        <v>0</v>
      </c>
      <c r="DU248" s="560">
        <f>Sheet1!EC250*AFtoMG</f>
        <v>0</v>
      </c>
      <c r="DV248" s="560">
        <f>Sheet1!ED250*AFtoMG</f>
        <v>0</v>
      </c>
      <c r="DW248" s="560">
        <f t="shared" si="527"/>
        <v>0</v>
      </c>
      <c r="DX248" s="560">
        <f t="shared" si="528"/>
        <v>0</v>
      </c>
      <c r="DY248" s="560">
        <f t="shared" si="529"/>
        <v>2185.7369145099187</v>
      </c>
      <c r="DZ248" s="560">
        <f t="shared" si="530"/>
        <v>6705.8408537164305</v>
      </c>
      <c r="EA248" s="560"/>
      <c r="EB248" s="545">
        <f>IF(OR(B248&lt;FV248,B248&gt;FW248),(MIN(BF248+BY248+CT248+MAX(Sheet1!AA250+AQ248-73,0),K248)),0)</f>
        <v>0</v>
      </c>
      <c r="EC248" s="560"/>
      <c r="ED248" s="560">
        <f t="shared" si="531"/>
        <v>17.212323456106343</v>
      </c>
      <c r="EE248" s="560"/>
      <c r="EF248" s="560">
        <f>Sheet1!EH250+Sheet1!EI250+Sheet1!EJ250+Sheet1!EK250</f>
        <v>17.5</v>
      </c>
      <c r="EG248" s="560"/>
      <c r="EH248" s="545">
        <f t="shared" si="532"/>
        <v>0</v>
      </c>
      <c r="EI248" s="560">
        <f>IF(Sheet1!ET250=1,SUM('Calculations II'!AT248:BA248)+'Calculations II'!BC248+Sheet1!BV250+'Calculations II'!BE248+AP248,SUM('Calculations II'!AT248:BA248)+'Calculations II'!BC248+Sheet1!BV250+'Calculations II'!BE248+AP248)</f>
        <v>85.720559999999992</v>
      </c>
      <c r="EJ248" s="560">
        <f>Sheet1!AA250+Sheet1!AB250+'Calculations II'!BC248</f>
        <v>90.2</v>
      </c>
      <c r="EK248" s="560"/>
      <c r="EL248" s="560"/>
      <c r="EM248" s="560">
        <f t="shared" si="533"/>
        <v>41876</v>
      </c>
      <c r="EN248" s="560">
        <f t="shared" si="534"/>
        <v>-17.5</v>
      </c>
      <c r="EO248" s="560">
        <f t="shared" si="535"/>
        <v>-27.072499999999998</v>
      </c>
      <c r="EP248" s="560">
        <v>0</v>
      </c>
      <c r="EQ248" s="560">
        <v>0</v>
      </c>
      <c r="ER248" s="560">
        <v>0</v>
      </c>
      <c r="ES248" s="545">
        <f t="shared" si="454"/>
        <v>0.13861296967388689</v>
      </c>
      <c r="ET248" s="560">
        <f>-(VLOOKUP(Sheet1!BQ250,Lookup!$O$4:$Q$262,2)-VLOOKUP(Sheet1!BQ249,Lookup!$O$4:$Q$262,2))/1000000</f>
        <v>0.13861296967388689</v>
      </c>
      <c r="EU248" s="560">
        <f>-(VLOOKUP(Sheet1!BR250,Lookup!$O$4:$Q$262,3)-VLOOKUP(Sheet1!BR249,Lookup!$O$4:$Q$262,3))/1000000</f>
        <v>0</v>
      </c>
      <c r="EV248" s="560"/>
      <c r="EW248" s="560"/>
      <c r="EX248" s="560"/>
      <c r="EY248" s="560"/>
      <c r="EZ248" s="560"/>
      <c r="FA248" s="560"/>
      <c r="FB248" s="560"/>
      <c r="FC248" s="560"/>
      <c r="FD248" s="594">
        <f t="shared" si="536"/>
        <v>1130.6711864406063</v>
      </c>
      <c r="FE248" s="594" t="e">
        <f t="shared" si="537"/>
        <v>#N/A</v>
      </c>
      <c r="FF248" s="595" t="e">
        <f t="shared" si="538"/>
        <v>#N/A</v>
      </c>
      <c r="FG248" s="596" t="s">
        <v>692</v>
      </c>
      <c r="FH248" s="596" t="s">
        <v>692</v>
      </c>
      <c r="FI248" s="594" t="e">
        <v>#N/A</v>
      </c>
      <c r="FJ248" s="778">
        <v>16706</v>
      </c>
      <c r="FK248" s="560"/>
      <c r="FL248" s="560"/>
      <c r="FM248" s="560"/>
      <c r="FN248" s="560"/>
      <c r="FO248" s="560">
        <f>O248+((Sheet1!CS250)*GPMtoMGD)</f>
        <v>90.2</v>
      </c>
      <c r="FP248" s="560">
        <f>IF(Sheet1!AA250+AQ248&lt;=Calculation!N248,AQ248,Calculation!N248-Sheet1!AA250)</f>
        <v>16.905843256715595</v>
      </c>
      <c r="FQ248" s="560">
        <f>(Sheet1!BP250+Sheet1!BO250)/694.4</f>
        <v>3.6143433179723505</v>
      </c>
      <c r="FR248" s="560"/>
      <c r="FS248" s="560"/>
      <c r="FT248" s="560"/>
      <c r="FU248" s="560"/>
      <c r="FV248" s="695">
        <f t="shared" si="455"/>
        <v>41827</v>
      </c>
      <c r="FW248" s="695">
        <f t="shared" si="456"/>
        <v>41934</v>
      </c>
      <c r="FX248" s="560"/>
      <c r="FY248" s="560"/>
      <c r="FZ248" s="560"/>
      <c r="GA248" s="560"/>
      <c r="GB248" s="560" t="str">
        <f t="shared" si="457"/>
        <v>n</v>
      </c>
      <c r="GC248" s="564">
        <f t="shared" si="458"/>
        <v>41691</v>
      </c>
      <c r="GD248" s="695">
        <f t="shared" si="459"/>
        <v>41807</v>
      </c>
      <c r="GE248" s="560">
        <v>6518.9</v>
      </c>
      <c r="GF248" s="695">
        <f t="shared" si="460"/>
        <v>41808</v>
      </c>
      <c r="GG248" s="560">
        <f t="shared" si="479"/>
        <v>3259</v>
      </c>
      <c r="GH248" s="564">
        <f t="shared" si="461"/>
        <v>41934</v>
      </c>
      <c r="GJ248" s="545">
        <f t="shared" si="462"/>
        <v>0</v>
      </c>
      <c r="GK248" s="560" t="str">
        <f t="shared" si="539"/>
        <v/>
      </c>
      <c r="GL248" s="560">
        <f t="shared" si="463"/>
        <v>0</v>
      </c>
      <c r="GM248" s="560" t="str">
        <f t="shared" si="464"/>
        <v/>
      </c>
      <c r="GN248" s="560">
        <f>IF(GK248="P",Lookup!$M$12,IF(GK248="PP",Lookup!$M$13,IF(GK248="PPP",Lookup!$M$14,IF(GK248="T",Lookup!$M$15,IF(GK248="TP",Lookup!$M$16,IF(GK248="TPP",Lookup!$M$17,IF(GK248="TPPP",Lookup!$M$18,0)))))))*GJ248</f>
        <v>0</v>
      </c>
      <c r="GO248" s="560">
        <f t="shared" si="465"/>
        <v>0</v>
      </c>
      <c r="GP248" s="560">
        <f t="shared" si="540"/>
        <v>3196.1677453333341</v>
      </c>
      <c r="GQ248" s="560">
        <f t="shared" si="473"/>
        <v>1041.7756666666669</v>
      </c>
      <c r="GR248" s="560"/>
      <c r="GS248" s="560">
        <f t="shared" si="466"/>
        <v>0</v>
      </c>
      <c r="GT248" s="560" t="str">
        <f t="shared" si="467"/>
        <v/>
      </c>
      <c r="GU248" s="560">
        <f>IF(GK248="P",Lookup!$N$12,IF(GK248="PP",Lookup!$N$13,IF(GK248="PPP",Lookup!$N$14,IF(GK248="T",Lookup!$N$15,IF(GK248="TP",Lookup!$N$16,IF(GK248="TPP",Lookup!$N$17,IF(GK248="TPPP",Lookup!$N$18,0)))))))*GJ248</f>
        <v>0</v>
      </c>
      <c r="GV248" s="560">
        <f t="shared" si="468"/>
        <v>0</v>
      </c>
      <c r="GW248" s="560">
        <f t="shared" si="541"/>
        <v>1560.3789344933732</v>
      </c>
      <c r="GX248" s="560">
        <f t="shared" si="474"/>
        <v>508.59808816602776</v>
      </c>
      <c r="GY248" s="560"/>
      <c r="GZ248" s="560">
        <f t="shared" si="469"/>
        <v>0</v>
      </c>
      <c r="HA248" s="560" t="str">
        <f t="shared" si="470"/>
        <v/>
      </c>
      <c r="HB248" s="560">
        <f>IF(GK248="P",Lookup!$N$12,IF(GK248="PP",Lookup!$N$13,IF(GK248="PPP",Lookup!$N$14,IF(GK248="T",Lookup!$N$15,IF(GK248="TP",Lookup!$N$16,IF(GK248="TPP",Lookup!$N$17,IF(GK248="TPPP",Lookup!$N$18,0)))))))*GJ248</f>
        <v>0</v>
      </c>
      <c r="HC248" s="545">
        <f t="shared" si="542"/>
        <v>0</v>
      </c>
      <c r="HD248" s="560">
        <f t="shared" si="543"/>
        <v>1143.9228949859425</v>
      </c>
      <c r="HE248" s="560">
        <f t="shared" si="475"/>
        <v>372.85622391979877</v>
      </c>
      <c r="HF248" s="560"/>
      <c r="HG248" s="560">
        <f t="shared" si="471"/>
        <v>0</v>
      </c>
      <c r="HH248" s="560" t="str">
        <f t="shared" si="472"/>
        <v/>
      </c>
      <c r="HI248" s="560">
        <f>IF(GK248="P",Lookup!$N$12,IF(GK248="PP",Lookup!$N$13,IF(GK248="PPP",Lookup!$N$14,IF(GK248="T",Lookup!$N$15,IF(GK248="TP",Lookup!$N$16,IF(GK248="TPP",Lookup!$N$17,IF(GK248="TPPP",Lookup!$N$18,0)))))))*GJ248</f>
        <v>0</v>
      </c>
      <c r="HJ248" s="545">
        <f t="shared" si="544"/>
        <v>0</v>
      </c>
      <c r="HK248" s="560">
        <f t="shared" si="545"/>
        <v>805.37127890378088</v>
      </c>
      <c r="HL248" s="560">
        <f t="shared" si="476"/>
        <v>262.50693575742531</v>
      </c>
    </row>
    <row r="249" spans="1:220">
      <c r="A249" s="580" t="s">
        <v>5</v>
      </c>
      <c r="B249" s="556">
        <v>41877</v>
      </c>
      <c r="C249" s="561">
        <v>0</v>
      </c>
      <c r="D249" s="529">
        <f t="shared" si="477"/>
        <v>200</v>
      </c>
      <c r="E249" s="529">
        <f t="shared" si="478"/>
        <v>400</v>
      </c>
      <c r="F249" s="529">
        <v>250</v>
      </c>
      <c r="G249" s="560">
        <f>DR249+Sheet1!CZ251</f>
        <v>181.32829046876259</v>
      </c>
      <c r="H249" s="914">
        <f t="shared" si="480"/>
        <v>0</v>
      </c>
      <c r="I249" s="559">
        <f>MAX(Sheet1!Z251-AT249+(Sheet1!DA251-E249)*CFStoMGD,0)</f>
        <v>6.6120000000000054</v>
      </c>
      <c r="J249" s="562">
        <f>IF(AND(B249&gt;=Calculation!GC249,B249&lt;=Calculation!GD249),IF(Sheet1!DB251&gt;=Calculation!D249,64.64,0),MAX(Sheet1!Z251-AT249+(Sheet1!DB251-D249)*CFStoMGD,0))</f>
        <v>51.86</v>
      </c>
      <c r="K249" s="904">
        <f t="shared" si="481"/>
        <v>0</v>
      </c>
      <c r="L249" s="560">
        <f>Sheet1!AA251+Sheet1!AB251-Sheet1!L251+(Sheet1!DA251-F249)*CFStoMGD</f>
        <v>158.072</v>
      </c>
      <c r="M249" s="560">
        <f t="shared" si="482"/>
        <v>119.5548190981883</v>
      </c>
      <c r="N249" s="910">
        <f>IF(Sheet1!DA251&gt;=F249,MIN(73,MIN(MAX(L249,0),MAX(M249,0))),0)</f>
        <v>73</v>
      </c>
      <c r="O249" s="563">
        <f>Sheet1!AA251+Sheet1!AB251</f>
        <v>90.2</v>
      </c>
      <c r="P249" s="563">
        <f t="shared" si="483"/>
        <v>139.5394</v>
      </c>
      <c r="Q249" s="898">
        <f t="shared" si="444"/>
        <v>72.7</v>
      </c>
      <c r="R249" s="829">
        <f t="shared" si="484"/>
        <v>17.5</v>
      </c>
      <c r="S249" s="898">
        <f t="shared" si="445"/>
        <v>0</v>
      </c>
      <c r="T249" s="898">
        <f t="shared" si="446"/>
        <v>0</v>
      </c>
      <c r="U249" s="898">
        <f t="shared" si="447"/>
        <v>17.5</v>
      </c>
      <c r="V249" s="898"/>
      <c r="W249" s="898">
        <f t="shared" si="448"/>
        <v>0</v>
      </c>
      <c r="X249" s="898">
        <f t="shared" si="449"/>
        <v>0</v>
      </c>
      <c r="Y249" s="898" t="str">
        <f t="shared" si="450"/>
        <v>FALSE</v>
      </c>
      <c r="Z249" s="898">
        <f t="shared" si="451"/>
        <v>90.2</v>
      </c>
      <c r="AA249" s="898">
        <f t="shared" si="452"/>
        <v>90.2</v>
      </c>
      <c r="AB249" s="898" t="str">
        <f t="shared" si="453"/>
        <v/>
      </c>
      <c r="AC249" s="563">
        <f>Sheet1!Y251*MGDtoCFS</f>
        <v>84.311499999999995</v>
      </c>
      <c r="AD249" s="563">
        <f>Sheet1!Z251*MGDtoCFS</f>
        <v>55.227900000000005</v>
      </c>
      <c r="AE249" s="563">
        <f>Sheet1!AA251*MGDtoCFS</f>
        <v>80.753399999999999</v>
      </c>
      <c r="AF249" s="563">
        <f>Sheet1!AB251*MGDtoCFS</f>
        <v>58.785999999999994</v>
      </c>
      <c r="AG249" s="563">
        <f>Sheet1!L251*MGDtoCFS</f>
        <v>0</v>
      </c>
      <c r="AH249" s="545">
        <f t="shared" si="485"/>
        <v>17.5</v>
      </c>
      <c r="AI249" s="560">
        <f t="shared" si="486"/>
        <v>27.072499999999998</v>
      </c>
      <c r="AJ249" s="560">
        <f t="shared" si="487"/>
        <v>0</v>
      </c>
      <c r="AK249" s="560">
        <f t="shared" si="488"/>
        <v>0</v>
      </c>
      <c r="AL249" s="560">
        <f>(VLOOKUP(Sheet1!DC251,hhdcap_wcm,4)-(((VLOOKUP(Sheet1!DC251,hhdcap_wcm,3)-Sheet1!DC251)/(VLOOKUP(Sheet1!DC251,hhdcap_wcm,3)-VLOOKUP(Sheet1!DC251,hhdcap_wcm,1)))*(VLOOKUP(Sheet1!DC251,hhdcap_wcm,4)-VLOOKUP(Sheet1!DC251,hhdcap_wcm,2))))</f>
        <v>36109.600000090424</v>
      </c>
      <c r="AM249" s="560">
        <f t="shared" si="489"/>
        <v>-390.00000000044383</v>
      </c>
      <c r="AN249" s="560">
        <f>(IF(AND(B249&gt;=GC249,B249&lt;GF249),MIN(BB249+BU249+CP249+DI249,GE249),IF(B249=GF249,GG249,IF(AND(B249&gt;GF249,B249&lt;GH249),BB249+BU249+CP249+DI249,IF(B249&gt;=GH249,0,0)))))</f>
        <v>2168.2369145099187</v>
      </c>
      <c r="AO249" s="560">
        <f t="shared" si="491"/>
        <v>6652.1508537164309</v>
      </c>
      <c r="AP249" s="560">
        <f>Sheet1!BA251+Sheet1!BB251+Sheet1!BN251+CD249</f>
        <v>21</v>
      </c>
      <c r="AQ249" s="560">
        <f>Sheet1!BN251+(DO249*Sheet1!BN251)</f>
        <v>19.158004158004157</v>
      </c>
      <c r="AR249" s="560">
        <f>Sheet1!BA251+CD249</f>
        <v>0</v>
      </c>
      <c r="AS249" s="560">
        <f>Sheet1!BA251+Sheet1!BB251+CD249</f>
        <v>1.6</v>
      </c>
      <c r="AT249" s="698">
        <f>0</f>
        <v>0</v>
      </c>
      <c r="AU249" s="560">
        <f>IF(EB249&lt;K249,0,MAX(Sheet1!AA251+AQ249-15/36*K249-N249,Sheet1!EH251,0))</f>
        <v>0</v>
      </c>
      <c r="AV249" s="560">
        <f>IF(OR(B249&gt;=GD249,B249&lt;GC249),0,15/36*K249-MAX(0,64.6-(137.6-(Sheet1!AA251+Sheet1!AB251))))</f>
        <v>0</v>
      </c>
      <c r="AW249" s="698">
        <f>Sheet1!DB251-110</f>
        <v>115</v>
      </c>
      <c r="AX249" s="698">
        <f>Sheet1!DA251-265</f>
        <v>90</v>
      </c>
      <c r="AY249" s="698">
        <f t="shared" si="492"/>
        <v>0.29999999999999716</v>
      </c>
      <c r="AZ249" s="1082"/>
      <c r="BA249" s="698">
        <f t="shared" si="493"/>
        <v>0</v>
      </c>
      <c r="BB249" s="560">
        <f t="shared" si="494"/>
        <v>1041.7756666666669</v>
      </c>
      <c r="BC249" s="560"/>
      <c r="BD249" s="560">
        <f ca="1">IF(B249&gt;Summary!$A$1,#N/A,BB249*MGtoAF)</f>
        <v>3196.1677453333341</v>
      </c>
      <c r="BE249" s="560">
        <f>Sheet1!BG251+Sheet1!BH251+Sheet1!BI251-BM249</f>
        <v>2.0099999999999998</v>
      </c>
      <c r="BF249" s="560">
        <f t="shared" si="495"/>
        <v>1.9849272349272349</v>
      </c>
      <c r="BG249" s="560">
        <f>IF(Sheet1!EP251="FM",BM249,0)</f>
        <v>0</v>
      </c>
      <c r="BH249" s="560">
        <f t="shared" si="496"/>
        <v>0</v>
      </c>
      <c r="BI249" s="560">
        <f>IF(Sheet1!EP251="OTHER",BM249,0)</f>
        <v>0</v>
      </c>
      <c r="BJ249" s="560">
        <f t="shared" si="497"/>
        <v>0</v>
      </c>
      <c r="BK249" s="560">
        <f t="shared" si="498"/>
        <v>2.0099999999999998</v>
      </c>
      <c r="BL249" s="560">
        <f t="shared" si="499"/>
        <v>1.9849272349272349</v>
      </c>
      <c r="BM249" s="560">
        <f>IF(OR(Sheet1!EP251="FM", Sheet1!EP251="OTHER"),SUM(Sheet1!BG251:'Sheet1'!BI251),0)</f>
        <v>0</v>
      </c>
      <c r="BN249" s="545">
        <f>IF(AND($B249&gt;=$FV249,$B249&lt;=$FW249),MAX(BF249,Sheet1!EI251,0),MAX(BF249-(7/36)*$K249,0))</f>
        <v>2</v>
      </c>
      <c r="BO249" s="560">
        <f t="shared" si="500"/>
        <v>0</v>
      </c>
      <c r="BP249" s="545">
        <f t="shared" si="501"/>
        <v>0</v>
      </c>
      <c r="BQ249" s="545">
        <f>IF(AND($O249&gt;0,Sheet1!EM251=1),(1-($O249-Sheet1!$L251)/$O249)*BL249,0)</f>
        <v>0</v>
      </c>
      <c r="BR249" s="545">
        <f>IF(AND(Sheet1!$L251=0,Sheet1!$L250=0, Calculation!BK249&lt;Sheet1!$EI251-0.1,Sheet1!$EI251=Sheet1!$EI250,Sheet1!$EI251=Sheet1!$EI252),Sheet1!$EI251,BL249-BQ249)</f>
        <v>1.9849272349272349</v>
      </c>
      <c r="BS249" s="560"/>
      <c r="BT249" s="560"/>
      <c r="BU249" s="560">
        <f t="shared" si="502"/>
        <v>506.59808816602776</v>
      </c>
      <c r="BV249" s="560"/>
      <c r="BW249" s="560">
        <f ca="1">IF(B249&gt;Summary!$A$1,#N/A,BU249*MGtoAF)</f>
        <v>1554.2429344933732</v>
      </c>
      <c r="BX249" s="560">
        <f>Sheet1!BC251+Sheet1!BD251+Sheet1!BE251+Sheet1!BF251-CG249-CH249</f>
        <v>4.5</v>
      </c>
      <c r="BY249" s="560">
        <f t="shared" si="503"/>
        <v>4.4438669438669445</v>
      </c>
      <c r="BZ249" s="560">
        <f>IF(Sheet1!EQ251="FM",CH249,0)</f>
        <v>0</v>
      </c>
      <c r="CA249" s="560">
        <f t="shared" si="504"/>
        <v>0</v>
      </c>
      <c r="CB249" s="560">
        <f>IF(Sheet1!EQ251="OTHER",CH249,0)</f>
        <v>0</v>
      </c>
      <c r="CC249" s="560">
        <f t="shared" si="505"/>
        <v>0</v>
      </c>
      <c r="CD249" s="560">
        <f t="shared" si="506"/>
        <v>0</v>
      </c>
      <c r="CE249" s="560">
        <f t="shared" si="507"/>
        <v>4.5</v>
      </c>
      <c r="CF249" s="560">
        <f t="shared" si="508"/>
        <v>4.4438669438669445</v>
      </c>
      <c r="CG249" s="560">
        <f>IF(Sheet1!EQ251="CWA",SUM(Sheet1!BC251:'Sheet1'!BF251),0)</f>
        <v>0</v>
      </c>
      <c r="CH249" s="560">
        <f>IF(OR(Sheet1!EQ251="FM", Sheet1!EQ251="OTHER"),SUM(Sheet1!BC251:'Sheet1'!BF251),0)</f>
        <v>0</v>
      </c>
      <c r="CI249" s="545">
        <f>IF(AND($B249&gt;=$FV249,$B249&lt;=$FW249),MAX(CF249,Sheet1!EJ251,0),MAX(CF249-(7/36)*$K249,0))</f>
        <v>4.5</v>
      </c>
      <c r="CJ249" s="560">
        <f t="shared" si="509"/>
        <v>0</v>
      </c>
      <c r="CK249" s="545">
        <f t="shared" si="510"/>
        <v>0</v>
      </c>
      <c r="CL249" s="545">
        <f>IF(AND($O249&gt;0,Sheet1!EN251=1),(1-($O249-Sheet1!$L251)/$O249)*CF249,0)</f>
        <v>0</v>
      </c>
      <c r="CM249" s="545">
        <f>IF(AND(Sheet1!$L251=0,Sheet1!$L250=0, Calculation!CE249&lt;Sheet1!EJ251-0.1,Sheet1!EJ251=Sheet1!EJ250,Sheet1!EJ251=Sheet1!EJ252),Sheet1!EJ251,CF249-CL249)</f>
        <v>4.4438669438669445</v>
      </c>
      <c r="CN249" s="545"/>
      <c r="CO249" s="560"/>
      <c r="CP249" s="560">
        <f t="shared" si="511"/>
        <v>368.35622391979877</v>
      </c>
      <c r="CQ249" s="560"/>
      <c r="CR249" s="560">
        <f ca="1">IF(B249&gt;Summary!$A$1,#N/A,CP249*MGtoAF)</f>
        <v>1130.1168949859427</v>
      </c>
      <c r="CS249" s="560">
        <f>Sheet1!BK251+Sheet1!BL251+Sheet1!BM251-Sheet1!ER251-DA249</f>
        <v>10.969999999999999</v>
      </c>
      <c r="CT249" s="560">
        <f t="shared" si="512"/>
        <v>10.833160083160083</v>
      </c>
      <c r="CU249" s="560">
        <f>IF(Sheet1!ER251="FM",DA249,0)</f>
        <v>0</v>
      </c>
      <c r="CV249" s="560">
        <f t="shared" si="513"/>
        <v>0</v>
      </c>
      <c r="CW249" s="560">
        <f>IF(Sheet1!ER251="OTHER",DA249,0)</f>
        <v>0</v>
      </c>
      <c r="CX249" s="560">
        <f t="shared" si="514"/>
        <v>0</v>
      </c>
      <c r="CY249" s="560">
        <f t="shared" si="515"/>
        <v>10.969999999999999</v>
      </c>
      <c r="CZ249" s="560">
        <f t="shared" si="516"/>
        <v>10.833160083160083</v>
      </c>
      <c r="DA249" s="560">
        <f>IF(OR(Sheet1!ER251="FM", Sheet1!ER251="OTHER"),SUM(Sheet1!BK251:'Sheet1'!BM251),0)</f>
        <v>0</v>
      </c>
      <c r="DB249" s="545">
        <f>IF(AND($B249&gt;=$FV249,$B249&lt;=$FW249),MAX($CT249,Sheet1!EK251,0),MAX($CT249-(7/36)*$K249,0))</f>
        <v>11</v>
      </c>
      <c r="DC249" s="560">
        <f t="shared" si="517"/>
        <v>0</v>
      </c>
      <c r="DD249" s="545">
        <f t="shared" si="518"/>
        <v>0</v>
      </c>
      <c r="DE249" s="545">
        <f>IF(AND($O249&gt;0,Sheet1!EO251=1),(1-($O249-Sheet1!$L251)/$O249)*CZ249,0)</f>
        <v>0</v>
      </c>
      <c r="DF249" s="545">
        <f>IF(AND(Sheet1!$L251=0,Sheet1!$L250=0, Calculation!CY249&lt;Sheet1!$EK251-0.1,Sheet1!$EK251=Sheet1!$EK250,Sheet1!$EK251=Sheet1!$EK252),Sheet1!$EK251,CZ249-DE249)</f>
        <v>10.833160083160083</v>
      </c>
      <c r="DG249" s="545"/>
      <c r="DH249" s="560">
        <f t="shared" si="519"/>
        <v>17.479999999999997</v>
      </c>
      <c r="DI249" s="560">
        <f>HJ249+HL249</f>
        <v>251.50693575742531</v>
      </c>
      <c r="DJ249" s="698">
        <f t="shared" si="521"/>
        <v>17.261954261954262</v>
      </c>
      <c r="DK249" s="560">
        <f ca="1">IF(B249&gt;Summary!$A$1,#N/A,DI249*MGtoAF)</f>
        <v>771.62327890378083</v>
      </c>
      <c r="DL249" s="698">
        <f t="shared" si="522"/>
        <v>17.479999999999997</v>
      </c>
      <c r="DM249" s="560">
        <f t="shared" si="523"/>
        <v>38.479999999999997</v>
      </c>
      <c r="DN249" s="560">
        <f>Sheet1!AB251-DM249</f>
        <v>-0.47999999999999687</v>
      </c>
      <c r="DO249" s="823">
        <f t="shared" si="524"/>
        <v>-1.2474012474012393E-2</v>
      </c>
      <c r="DP249" s="560">
        <f>(VLOOKUP(Sheet1!DC251,hhdcap_wcm,4)-(((VLOOKUP(Sheet1!DC251,hhdcap_wcm,3)-Sheet1!DC251)/(VLOOKUP(Sheet1!DC251,hhdcap_wcm,3)-VLOOKUP(Sheet1!DC251,hhdcap_wcm,1)))*(VLOOKUP(Sheet1!DC251,hhdcap_wcm,4)-VLOOKUP(Sheet1!DC251,hhdcap_wcm,2))))</f>
        <v>36109.600000090424</v>
      </c>
      <c r="DQ249" s="560">
        <f t="shared" si="525"/>
        <v>-390.00000000044383</v>
      </c>
      <c r="DR249" s="560">
        <f t="shared" si="526"/>
        <v>-196.67170953123741</v>
      </c>
      <c r="DS249" s="560">
        <f>Sheet1!EA251*AFtoMG</f>
        <v>0</v>
      </c>
      <c r="DT249" s="560">
        <f>Sheet1!EB251*AFtoMG</f>
        <v>0</v>
      </c>
      <c r="DU249" s="560">
        <f>Sheet1!EC251*AFtoMG</f>
        <v>0</v>
      </c>
      <c r="DV249" s="560">
        <f>Sheet1!ED251*AFtoMG</f>
        <v>0</v>
      </c>
      <c r="DW249" s="560">
        <f t="shared" si="527"/>
        <v>0</v>
      </c>
      <c r="DX249" s="560">
        <f t="shared" si="528"/>
        <v>0</v>
      </c>
      <c r="DY249" s="560">
        <f t="shared" si="529"/>
        <v>2168.2369145099187</v>
      </c>
      <c r="DZ249" s="560">
        <f t="shared" si="530"/>
        <v>6652.1508537164309</v>
      </c>
      <c r="EA249" s="560"/>
      <c r="EB249" s="545">
        <f>IF(OR(B249&lt;FV249,B249&gt;FW249),(MIN(BF249+BY249+CT249+MAX(Sheet1!AA251+AQ249-73,0),K249)),0)</f>
        <v>0</v>
      </c>
      <c r="EC249" s="560"/>
      <c r="ED249" s="560">
        <f t="shared" si="531"/>
        <v>17.261954261954262</v>
      </c>
      <c r="EE249" s="560"/>
      <c r="EF249" s="560">
        <f>Sheet1!EH251+Sheet1!EI251+Sheet1!EJ251+Sheet1!EK251</f>
        <v>17.5</v>
      </c>
      <c r="EG249" s="560"/>
      <c r="EH249" s="545">
        <f t="shared" si="532"/>
        <v>0</v>
      </c>
      <c r="EI249" s="560">
        <f>IF(Sheet1!ET251=1,SUM('Calculations II'!AT249:BA249)+'Calculations II'!BC249+Sheet1!BV251+'Calculations II'!BE249+AP249,SUM('Calculations II'!AT249:BA249)+'Calculations II'!BC249+Sheet1!BV251+'Calculations II'!BE249+AP249)</f>
        <v>83.950639999999993</v>
      </c>
      <c r="EJ249" s="560">
        <f>Sheet1!AA251+Sheet1!AB251+'Calculations II'!BC249</f>
        <v>90.2</v>
      </c>
      <c r="EK249" s="560"/>
      <c r="EL249" s="560"/>
      <c r="EM249" s="560">
        <f t="shared" si="533"/>
        <v>41877</v>
      </c>
      <c r="EN249" s="560">
        <f t="shared" si="534"/>
        <v>-17.5</v>
      </c>
      <c r="EO249" s="560">
        <f t="shared" si="535"/>
        <v>-27.072499999999998</v>
      </c>
      <c r="EP249" s="560">
        <v>0</v>
      </c>
      <c r="EQ249" s="560">
        <v>0</v>
      </c>
      <c r="ER249" s="560">
        <v>0</v>
      </c>
      <c r="ES249" s="545">
        <f t="shared" si="454"/>
        <v>-0.69309049369137732</v>
      </c>
      <c r="ET249" s="560">
        <f>-(VLOOKUP(Sheet1!BQ251,Lookup!$O$4:$Q$262,2)-VLOOKUP(Sheet1!BQ250,Lookup!$O$4:$Q$262,2))/1000000</f>
        <v>-0.41585814305006713</v>
      </c>
      <c r="EU249" s="560">
        <f>-(VLOOKUP(Sheet1!BR251,Lookup!$O$4:$Q$262,3)-VLOOKUP(Sheet1!BR250,Lookup!$O$4:$Q$262,3))/1000000</f>
        <v>-0.27723235064131019</v>
      </c>
      <c r="EV249" s="560"/>
      <c r="EW249" s="560"/>
      <c r="EX249" s="560"/>
      <c r="EY249" s="560"/>
      <c r="EZ249" s="560"/>
      <c r="FA249" s="560"/>
      <c r="FB249" s="560"/>
      <c r="FC249" s="560"/>
      <c r="FD249" s="594">
        <f t="shared" si="536"/>
        <v>1130.3864406778948</v>
      </c>
      <c r="FE249" s="594" t="e">
        <f t="shared" si="537"/>
        <v>#N/A</v>
      </c>
      <c r="FF249" s="595" t="e">
        <f t="shared" si="538"/>
        <v>#N/A</v>
      </c>
      <c r="FG249" s="596" t="s">
        <v>692</v>
      </c>
      <c r="FH249" s="596" t="s">
        <v>692</v>
      </c>
      <c r="FI249" s="594" t="e">
        <v>#N/A</v>
      </c>
      <c r="FJ249" s="778">
        <v>16538</v>
      </c>
      <c r="FK249" s="560"/>
      <c r="FL249" s="560"/>
      <c r="FM249" s="560"/>
      <c r="FN249" s="560"/>
      <c r="FO249" s="560">
        <f>O249+((Sheet1!CS251)*GPMtoMGD)</f>
        <v>90.2</v>
      </c>
      <c r="FP249" s="560">
        <f>IF(Sheet1!AA251+AQ249&lt;=Calculation!N249,AQ249,Calculation!N249-Sheet1!AA251)</f>
        <v>19.158004158004157</v>
      </c>
      <c r="FQ249" s="560">
        <f>(Sheet1!BP251+Sheet1!BO251)/694.4</f>
        <v>3.4245391705069124</v>
      </c>
      <c r="FR249" s="560"/>
      <c r="FS249" s="560"/>
      <c r="FT249" s="560"/>
      <c r="FU249" s="560"/>
      <c r="FV249" s="695">
        <f t="shared" si="455"/>
        <v>41827</v>
      </c>
      <c r="FW249" s="695">
        <f t="shared" si="456"/>
        <v>41934</v>
      </c>
      <c r="FX249" s="560"/>
      <c r="FY249" s="560"/>
      <c r="FZ249" s="560"/>
      <c r="GA249" s="560"/>
      <c r="GB249" s="560" t="str">
        <f t="shared" si="457"/>
        <v>n</v>
      </c>
      <c r="GC249" s="564">
        <f t="shared" si="458"/>
        <v>41691</v>
      </c>
      <c r="GD249" s="695">
        <f t="shared" si="459"/>
        <v>41807</v>
      </c>
      <c r="GE249" s="560">
        <v>6518.9</v>
      </c>
      <c r="GF249" s="695">
        <f t="shared" si="460"/>
        <v>41808</v>
      </c>
      <c r="GG249" s="560">
        <f t="shared" si="479"/>
        <v>3259</v>
      </c>
      <c r="GH249" s="564">
        <f t="shared" si="461"/>
        <v>41934</v>
      </c>
      <c r="GJ249" s="545">
        <f t="shared" si="462"/>
        <v>0</v>
      </c>
      <c r="GK249" s="560" t="str">
        <f t="shared" si="539"/>
        <v/>
      </c>
      <c r="GL249" s="560">
        <f t="shared" si="463"/>
        <v>0</v>
      </c>
      <c r="GM249" s="560" t="str">
        <f t="shared" si="464"/>
        <v/>
      </c>
      <c r="GN249" s="560">
        <f>IF(GK249="P",Lookup!$M$12,IF(GK249="PP",Lookup!$M$13,IF(GK249="PPP",Lookup!$M$14,IF(GK249="T",Lookup!$M$15,IF(GK249="TP",Lookup!$M$16,IF(GK249="TPP",Lookup!$M$17,IF(GK249="TPPP",Lookup!$M$18,0)))))))*GJ249</f>
        <v>0</v>
      </c>
      <c r="GO249" s="560">
        <f t="shared" si="465"/>
        <v>0</v>
      </c>
      <c r="GP249" s="560">
        <f t="shared" si="540"/>
        <v>3196.1677453333341</v>
      </c>
      <c r="GQ249" s="560">
        <f t="shared" si="473"/>
        <v>1041.7756666666669</v>
      </c>
      <c r="GR249" s="560"/>
      <c r="GS249" s="560">
        <f t="shared" si="466"/>
        <v>0</v>
      </c>
      <c r="GT249" s="560" t="str">
        <f t="shared" si="467"/>
        <v/>
      </c>
      <c r="GU249" s="560">
        <f>IF(GK249="P",Lookup!$N$12,IF(GK249="PP",Lookup!$N$13,IF(GK249="PPP",Lookup!$N$14,IF(GK249="T",Lookup!$N$15,IF(GK249="TP",Lookup!$N$16,IF(GK249="TPP",Lookup!$N$17,IF(GK249="TPPP",Lookup!$N$18,0)))))))*GJ249</f>
        <v>0</v>
      </c>
      <c r="GV249" s="560">
        <f t="shared" si="468"/>
        <v>0</v>
      </c>
      <c r="GW249" s="560">
        <f t="shared" si="541"/>
        <v>1554.2429344933732</v>
      </c>
      <c r="GX249" s="560">
        <f t="shared" si="474"/>
        <v>506.59808816602776</v>
      </c>
      <c r="GY249" s="560"/>
      <c r="GZ249" s="560">
        <f t="shared" si="469"/>
        <v>0</v>
      </c>
      <c r="HA249" s="560" t="str">
        <f t="shared" si="470"/>
        <v/>
      </c>
      <c r="HB249" s="560">
        <f>IF(GK249="P",Lookup!$N$12,IF(GK249="PP",Lookup!$N$13,IF(GK249="PPP",Lookup!$N$14,IF(GK249="T",Lookup!$N$15,IF(GK249="TP",Lookup!$N$16,IF(GK249="TPP",Lookup!$N$17,IF(GK249="TPPP",Lookup!$N$18,0)))))))*GJ249</f>
        <v>0</v>
      </c>
      <c r="HC249" s="545">
        <f t="shared" si="542"/>
        <v>0</v>
      </c>
      <c r="HD249" s="560">
        <f t="shared" si="543"/>
        <v>1130.1168949859427</v>
      </c>
      <c r="HE249" s="560">
        <f t="shared" si="475"/>
        <v>368.35622391979877</v>
      </c>
      <c r="HF249" s="560"/>
      <c r="HG249" s="560">
        <f t="shared" si="471"/>
        <v>0</v>
      </c>
      <c r="HH249" s="560" t="str">
        <f t="shared" si="472"/>
        <v/>
      </c>
      <c r="HI249" s="560">
        <f>IF(GK249="P",Lookup!$N$12,IF(GK249="PP",Lookup!$N$13,IF(GK249="PPP",Lookup!$N$14,IF(GK249="T",Lookup!$N$15,IF(GK249="TP",Lookup!$N$16,IF(GK249="TPP",Lookup!$N$17,IF(GK249="TPPP",Lookup!$N$18,0)))))))*GJ249</f>
        <v>0</v>
      </c>
      <c r="HJ249" s="545">
        <f t="shared" si="544"/>
        <v>0</v>
      </c>
      <c r="HK249" s="560">
        <f t="shared" si="545"/>
        <v>771.62327890378083</v>
      </c>
      <c r="HL249" s="560">
        <f t="shared" si="476"/>
        <v>251.50693575742531</v>
      </c>
    </row>
    <row r="250" spans="1:220">
      <c r="A250" s="580" t="s">
        <v>6</v>
      </c>
      <c r="B250" s="556">
        <v>41878</v>
      </c>
      <c r="C250" s="561">
        <v>0</v>
      </c>
      <c r="D250" s="529">
        <f t="shared" si="477"/>
        <v>200</v>
      </c>
      <c r="E250" s="529">
        <f t="shared" si="478"/>
        <v>400</v>
      </c>
      <c r="F250" s="529">
        <v>250</v>
      </c>
      <c r="G250" s="560">
        <f>DR250+Sheet1!CZ252</f>
        <v>166.65355521925528</v>
      </c>
      <c r="H250" s="914">
        <f t="shared" si="480"/>
        <v>0</v>
      </c>
      <c r="I250" s="559">
        <f>MAX(Sheet1!Z252-AT250+(Sheet1!DA252-E250)*CFStoMGD,0)</f>
        <v>17.961600000000001</v>
      </c>
      <c r="J250" s="562">
        <f>IF(AND(B250&gt;=Calculation!GC250,B250&lt;=Calculation!GD250),IF(Sheet1!DB252&gt;=Calculation!D250,64.64,0),MAX(Sheet1!Z252-AT250+(Sheet1!DB252-D250)*CFStoMGD,0))</f>
        <v>52.867199999999997</v>
      </c>
      <c r="K250" s="904">
        <f t="shared" si="481"/>
        <v>0</v>
      </c>
      <c r="L250" s="560">
        <f>Sheet1!AA252+Sheet1!AB252-Sheet1!L252+(Sheet1!DA252-F250)*CFStoMGD</f>
        <v>166.92160000000001</v>
      </c>
      <c r="M250" s="560">
        <f t="shared" si="482"/>
        <v>109.87935525560115</v>
      </c>
      <c r="N250" s="910">
        <f>IF(Sheet1!DA252&gt;=F250,MIN(73,MIN(MAX(L250,0),MAX(M250,0))),0)</f>
        <v>73</v>
      </c>
      <c r="O250" s="563">
        <f>Sheet1!AA252+Sheet1!AB252</f>
        <v>90</v>
      </c>
      <c r="P250" s="563">
        <f t="shared" si="483"/>
        <v>139.22999999999999</v>
      </c>
      <c r="Q250" s="898">
        <f t="shared" si="444"/>
        <v>72.5</v>
      </c>
      <c r="R250" s="829">
        <f t="shared" si="484"/>
        <v>17.5</v>
      </c>
      <c r="S250" s="898">
        <f t="shared" si="445"/>
        <v>0</v>
      </c>
      <c r="T250" s="898">
        <f t="shared" si="446"/>
        <v>0</v>
      </c>
      <c r="U250" s="898">
        <f t="shared" si="447"/>
        <v>17.5</v>
      </c>
      <c r="V250" s="898"/>
      <c r="W250" s="898">
        <f t="shared" si="448"/>
        <v>0</v>
      </c>
      <c r="X250" s="898">
        <f t="shared" si="449"/>
        <v>0</v>
      </c>
      <c r="Y250" s="898" t="str">
        <f t="shared" si="450"/>
        <v>FALSE</v>
      </c>
      <c r="Z250" s="898">
        <f t="shared" si="451"/>
        <v>90</v>
      </c>
      <c r="AA250" s="898">
        <f t="shared" si="452"/>
        <v>90</v>
      </c>
      <c r="AB250" s="898" t="str">
        <f t="shared" si="453"/>
        <v/>
      </c>
      <c r="AC250" s="563">
        <f>Sheet1!Y252*MGDtoCFS</f>
        <v>80.753399999999999</v>
      </c>
      <c r="AD250" s="563">
        <f>Sheet1!Z252*MGDtoCFS</f>
        <v>58.785999999999994</v>
      </c>
      <c r="AE250" s="563">
        <f>Sheet1!AA252*MGDtoCFS</f>
        <v>80.598699999999994</v>
      </c>
      <c r="AF250" s="563">
        <f>Sheet1!AB252*MGDtoCFS</f>
        <v>58.631299999999996</v>
      </c>
      <c r="AG250" s="563">
        <f>Sheet1!L252*MGDtoCFS</f>
        <v>0</v>
      </c>
      <c r="AH250" s="545">
        <f t="shared" si="485"/>
        <v>17.5</v>
      </c>
      <c r="AI250" s="560">
        <f t="shared" si="486"/>
        <v>27.072499999999998</v>
      </c>
      <c r="AJ250" s="560">
        <f t="shared" si="487"/>
        <v>0</v>
      </c>
      <c r="AK250" s="560">
        <f t="shared" si="488"/>
        <v>0</v>
      </c>
      <c r="AL250" s="560">
        <f>(VLOOKUP(Sheet1!DC252,hhdcap_wcm,4)-(((VLOOKUP(Sheet1!DC252,hhdcap_wcm,3)-Sheet1!DC252)/(VLOOKUP(Sheet1!DC252,hhdcap_wcm,3)-VLOOKUP(Sheet1!DC252,hhdcap_wcm,1)))*(VLOOKUP(Sheet1!DC252,hhdcap_wcm,4)-VLOOKUP(Sheet1!DC252,hhdcap_wcm,2))))</f>
        <v>35690.500000090207</v>
      </c>
      <c r="AM250" s="560">
        <f t="shared" si="489"/>
        <v>-419.10000000021682</v>
      </c>
      <c r="AN250" s="560">
        <f t="shared" si="490"/>
        <v>2150.7369145099187</v>
      </c>
      <c r="AO250" s="560">
        <f t="shared" si="491"/>
        <v>6598.4608537164304</v>
      </c>
      <c r="AP250" s="560">
        <f>Sheet1!BA252+Sheet1!BB252+Sheet1!BN252+CD250</f>
        <v>21</v>
      </c>
      <c r="AQ250" s="560">
        <f>Sheet1!BN252+(DO250*Sheet1!BN252)</f>
        <v>19.072892347600519</v>
      </c>
      <c r="AR250" s="560">
        <f>Sheet1!BA252+CD250</f>
        <v>0</v>
      </c>
      <c r="AS250" s="560">
        <f>Sheet1!BA252+Sheet1!BB252+CD250</f>
        <v>1.6</v>
      </c>
      <c r="AT250" s="698">
        <f>0</f>
        <v>0</v>
      </c>
      <c r="AU250" s="560">
        <f>IF(EB250&lt;K250,0,MAX(Sheet1!AA252+AQ250-15/36*K250-N250,Sheet1!EH252,0))</f>
        <v>0</v>
      </c>
      <c r="AV250" s="560">
        <f>IF(OR(B250&gt;=GD250,B250&lt;GC250),0,15/36*K250-MAX(0,64.6-(137.6-(Sheet1!AA252+Sheet1!AB252))))</f>
        <v>0</v>
      </c>
      <c r="AW250" s="698">
        <f>Sheet1!DB252-110</f>
        <v>113</v>
      </c>
      <c r="AX250" s="698">
        <f>Sheet1!DA252-265</f>
        <v>104</v>
      </c>
      <c r="AY250" s="698">
        <f t="shared" si="492"/>
        <v>0.5</v>
      </c>
      <c r="AZ250" s="1082"/>
      <c r="BA250" s="698">
        <f t="shared" si="493"/>
        <v>0</v>
      </c>
      <c r="BB250" s="560">
        <f t="shared" si="494"/>
        <v>1041.7756666666669</v>
      </c>
      <c r="BC250" s="560"/>
      <c r="BD250" s="560">
        <f ca="1">IF(B250&gt;Summary!$A$1,#N/A,BB250*MGtoAF)</f>
        <v>3196.1677453333341</v>
      </c>
      <c r="BE250" s="560">
        <f>Sheet1!BG252+Sheet1!BH252+Sheet1!BI252-BM250</f>
        <v>2.02</v>
      </c>
      <c r="BF250" s="560">
        <f t="shared" si="495"/>
        <v>1.985940337224384</v>
      </c>
      <c r="BG250" s="560">
        <f>IF(Sheet1!EP252="FM",BM250,0)</f>
        <v>0</v>
      </c>
      <c r="BH250" s="560">
        <f t="shared" si="496"/>
        <v>0</v>
      </c>
      <c r="BI250" s="560">
        <f>IF(Sheet1!EP252="OTHER",BM250,0)</f>
        <v>0</v>
      </c>
      <c r="BJ250" s="560">
        <f t="shared" si="497"/>
        <v>0</v>
      </c>
      <c r="BK250" s="560">
        <f t="shared" si="498"/>
        <v>2.02</v>
      </c>
      <c r="BL250" s="560">
        <f t="shared" si="499"/>
        <v>1.985940337224384</v>
      </c>
      <c r="BM250" s="560">
        <f>IF(OR(Sheet1!EP252="FM", Sheet1!EP252="OTHER"),SUM(Sheet1!BG252:'Sheet1'!BI252),0)</f>
        <v>0</v>
      </c>
      <c r="BN250" s="545">
        <f>IF(AND($B250&gt;=$FV250,$B250&lt;=$FW250),MAX(BF250,Sheet1!EI252,0),MAX(BF250-(7/36)*$K250,0))</f>
        <v>2</v>
      </c>
      <c r="BO250" s="560">
        <f t="shared" si="500"/>
        <v>0</v>
      </c>
      <c r="BP250" s="545">
        <f t="shared" si="501"/>
        <v>0</v>
      </c>
      <c r="BQ250" s="545">
        <f>IF(AND($O250&gt;0,Sheet1!EM252=1),(1-($O250-Sheet1!$L252)/$O250)*BL250,0)</f>
        <v>0</v>
      </c>
      <c r="BR250" s="545">
        <f>IF(AND(Sheet1!$L252=0,Sheet1!$L251=0, Calculation!BK250&lt;Sheet1!$EI252-0.1,Sheet1!$EI252=Sheet1!$EI251,Sheet1!$EI252=Sheet1!$EI253),Sheet1!$EI252,BL250-BQ250)</f>
        <v>1.985940337224384</v>
      </c>
      <c r="BS250" s="560"/>
      <c r="BT250" s="560"/>
      <c r="BU250" s="560">
        <f t="shared" si="502"/>
        <v>504.59808816602776</v>
      </c>
      <c r="BV250" s="560"/>
      <c r="BW250" s="560">
        <f ca="1">IF(B250&gt;Summary!$A$1,#N/A,BU250*MGtoAF)</f>
        <v>1548.1069344933733</v>
      </c>
      <c r="BX250" s="560">
        <f>Sheet1!BC252+Sheet1!BD252+Sheet1!BE252+Sheet1!BF252-CG250-CH250</f>
        <v>4.5</v>
      </c>
      <c r="BY250" s="560">
        <f t="shared" si="503"/>
        <v>4.4241245136186773</v>
      </c>
      <c r="BZ250" s="560">
        <f>IF(Sheet1!EQ252="FM",CH250,0)</f>
        <v>0</v>
      </c>
      <c r="CA250" s="560">
        <f t="shared" si="504"/>
        <v>0</v>
      </c>
      <c r="CB250" s="560">
        <f>IF(Sheet1!EQ252="OTHER",CH250,0)</f>
        <v>0</v>
      </c>
      <c r="CC250" s="560">
        <f t="shared" si="505"/>
        <v>0</v>
      </c>
      <c r="CD250" s="560">
        <f t="shared" si="506"/>
        <v>0</v>
      </c>
      <c r="CE250" s="560">
        <f t="shared" si="507"/>
        <v>4.5</v>
      </c>
      <c r="CF250" s="560">
        <f t="shared" si="508"/>
        <v>4.4241245136186773</v>
      </c>
      <c r="CG250" s="560">
        <f>IF(Sheet1!EQ252="CWA",SUM(Sheet1!BC252:'Sheet1'!BF252),0)</f>
        <v>0</v>
      </c>
      <c r="CH250" s="560">
        <f>IF(OR(Sheet1!EQ252="FM", Sheet1!EQ252="OTHER"),SUM(Sheet1!BC252:'Sheet1'!BF252),0)</f>
        <v>0</v>
      </c>
      <c r="CI250" s="545">
        <f>IF(AND($B250&gt;=$FV250,$B250&lt;=$FW250),MAX(CF250,Sheet1!EJ252,0),MAX(CF250-(7/36)*$K250,0))</f>
        <v>4.5</v>
      </c>
      <c r="CJ250" s="560">
        <f t="shared" si="509"/>
        <v>0</v>
      </c>
      <c r="CK250" s="545">
        <f t="shared" si="510"/>
        <v>0</v>
      </c>
      <c r="CL250" s="545">
        <f>IF(AND($O250&gt;0,Sheet1!EN252=1),(1-($O250-Sheet1!$L252)/$O250)*CF250,0)</f>
        <v>0</v>
      </c>
      <c r="CM250" s="545">
        <f>IF(AND(Sheet1!$L252=0,Sheet1!$L251=0, Calculation!CE250&lt;Sheet1!EJ252-0.1,Sheet1!EJ252=Sheet1!EJ251,Sheet1!EJ252=Sheet1!EJ253),Sheet1!EJ252,CF250-CL250)</f>
        <v>4.4241245136186773</v>
      </c>
      <c r="CN250" s="545"/>
      <c r="CO250" s="560"/>
      <c r="CP250" s="560">
        <f t="shared" si="511"/>
        <v>363.85622391979877</v>
      </c>
      <c r="CQ250" s="560"/>
      <c r="CR250" s="560">
        <f ca="1">IF(B250&gt;Summary!$A$1,#N/A,CP250*MGtoAF)</f>
        <v>1116.3108949859427</v>
      </c>
      <c r="CS250" s="560">
        <f>Sheet1!BK252+Sheet1!BL252+Sheet1!BM252-Sheet1!ER252-DA250</f>
        <v>11.030000000000001</v>
      </c>
      <c r="CT250" s="560">
        <f t="shared" si="512"/>
        <v>10.844020752269781</v>
      </c>
      <c r="CU250" s="560">
        <f>IF(Sheet1!ER252="FM",DA250,0)</f>
        <v>0</v>
      </c>
      <c r="CV250" s="560">
        <f t="shared" si="513"/>
        <v>0</v>
      </c>
      <c r="CW250" s="560">
        <f>IF(Sheet1!ER252="OTHER",DA250,0)</f>
        <v>0</v>
      </c>
      <c r="CX250" s="560">
        <f t="shared" si="514"/>
        <v>0</v>
      </c>
      <c r="CY250" s="560">
        <f t="shared" si="515"/>
        <v>11.030000000000001</v>
      </c>
      <c r="CZ250" s="560">
        <f t="shared" si="516"/>
        <v>10.844020752269781</v>
      </c>
      <c r="DA250" s="560">
        <f>IF(OR(Sheet1!ER252="FM", Sheet1!ER252="OTHER"),SUM(Sheet1!BK252:'Sheet1'!BM252),0)</f>
        <v>0</v>
      </c>
      <c r="DB250" s="545">
        <f>IF(AND($B250&gt;=$FV250,$B250&lt;=$FW250),MAX($CT250,Sheet1!EK252,0),MAX($CT250-(7/36)*$K250,0))</f>
        <v>11</v>
      </c>
      <c r="DC250" s="560">
        <f t="shared" si="517"/>
        <v>0</v>
      </c>
      <c r="DD250" s="545">
        <f t="shared" si="518"/>
        <v>0</v>
      </c>
      <c r="DE250" s="545">
        <f>IF(AND($O250&gt;0,Sheet1!EO252=1),(1-($O250-Sheet1!$L252)/$O250)*CZ250,0)</f>
        <v>0</v>
      </c>
      <c r="DF250" s="545">
        <f>IF(AND(Sheet1!$L252=0,Sheet1!$L251=0, Calculation!CY250&lt;Sheet1!$EK252-0.1,Sheet1!$EK252=Sheet1!$EK251,Sheet1!$EK252=Sheet1!$EK253),Sheet1!$EK252,CZ250-DE250)</f>
        <v>10.844020752269781</v>
      </c>
      <c r="DG250" s="545"/>
      <c r="DH250" s="560">
        <f t="shared" si="519"/>
        <v>17.55</v>
      </c>
      <c r="DI250" s="560">
        <f>HJ250+HL250</f>
        <v>240.50693575742531</v>
      </c>
      <c r="DJ250" s="698">
        <f t="shared" si="521"/>
        <v>17.254085603112841</v>
      </c>
      <c r="DK250" s="560">
        <f ca="1">IF(B250&gt;Summary!$A$1,#N/A,DI250*MGtoAF)</f>
        <v>737.8752789037809</v>
      </c>
      <c r="DL250" s="698">
        <f t="shared" si="522"/>
        <v>17.55</v>
      </c>
      <c r="DM250" s="560">
        <f t="shared" si="523"/>
        <v>38.549999999999997</v>
      </c>
      <c r="DN250" s="560">
        <f>Sheet1!AB252-DM250</f>
        <v>-0.64999999999999858</v>
      </c>
      <c r="DO250" s="823">
        <f t="shared" si="524"/>
        <v>-1.686121919584951E-2</v>
      </c>
      <c r="DP250" s="560">
        <f>(VLOOKUP(Sheet1!DC252,hhdcap_wcm,4)-(((VLOOKUP(Sheet1!DC252,hhdcap_wcm,3)-Sheet1!DC252)/(VLOOKUP(Sheet1!DC252,hhdcap_wcm,3)-VLOOKUP(Sheet1!DC252,hhdcap_wcm,1)))*(VLOOKUP(Sheet1!DC252,hhdcap_wcm,4)-VLOOKUP(Sheet1!DC252,hhdcap_wcm,2))))</f>
        <v>35690.500000090207</v>
      </c>
      <c r="DQ250" s="560">
        <f t="shared" si="525"/>
        <v>-419.10000000021682</v>
      </c>
      <c r="DR250" s="560">
        <f t="shared" si="526"/>
        <v>-211.34644478074472</v>
      </c>
      <c r="DS250" s="560">
        <f>Sheet1!EA252*AFtoMG</f>
        <v>0</v>
      </c>
      <c r="DT250" s="560">
        <f>Sheet1!EB252*AFtoMG</f>
        <v>0</v>
      </c>
      <c r="DU250" s="560">
        <f>Sheet1!EC252*AFtoMG</f>
        <v>0</v>
      </c>
      <c r="DV250" s="560">
        <f>Sheet1!ED252*AFtoMG</f>
        <v>0</v>
      </c>
      <c r="DW250" s="560">
        <f t="shared" si="527"/>
        <v>0</v>
      </c>
      <c r="DX250" s="560">
        <f t="shared" si="528"/>
        <v>0</v>
      </c>
      <c r="DY250" s="560">
        <f t="shared" si="529"/>
        <v>2150.7369145099187</v>
      </c>
      <c r="DZ250" s="560">
        <f t="shared" si="530"/>
        <v>6598.4608537164304</v>
      </c>
      <c r="EA250" s="560"/>
      <c r="EB250" s="545">
        <f>IF(OR(B250&lt;FV250,B250&gt;FW250),(MIN(BF250+BY250+CT250+MAX(Sheet1!AA252+AQ250-73,0),K250)),0)</f>
        <v>0</v>
      </c>
      <c r="EC250" s="560"/>
      <c r="ED250" s="560">
        <f t="shared" si="531"/>
        <v>17.254085603112841</v>
      </c>
      <c r="EE250" s="560"/>
      <c r="EF250" s="560">
        <f>Sheet1!EH252+Sheet1!EI252+Sheet1!EJ252+Sheet1!EK252</f>
        <v>17.5</v>
      </c>
      <c r="EG250" s="560"/>
      <c r="EH250" s="545">
        <f t="shared" si="532"/>
        <v>0</v>
      </c>
      <c r="EI250" s="560">
        <f>IF(Sheet1!ET252=1,SUM('Calculations II'!AT250:BA250)+'Calculations II'!BC250+Sheet1!BV252+'Calculations II'!BE250+AP250,SUM('Calculations II'!AT250:BA250)+'Calculations II'!BC250+Sheet1!BV252+'Calculations II'!BE250+AP250)</f>
        <v>87.408895999999999</v>
      </c>
      <c r="EJ250" s="560">
        <f>Sheet1!AA252+Sheet1!AB252+'Calculations II'!BC250</f>
        <v>90</v>
      </c>
      <c r="EK250" s="560"/>
      <c r="EL250" s="560"/>
      <c r="EM250" s="560">
        <f t="shared" si="533"/>
        <v>41878</v>
      </c>
      <c r="EN250" s="560">
        <f t="shared" si="534"/>
        <v>-17.5</v>
      </c>
      <c r="EO250" s="560">
        <f t="shared" si="535"/>
        <v>-27.072499999999998</v>
      </c>
      <c r="EP250" s="560">
        <v>0</v>
      </c>
      <c r="EQ250" s="560">
        <v>0</v>
      </c>
      <c r="ER250" s="560">
        <v>0</v>
      </c>
      <c r="ES250" s="545">
        <f t="shared" si="454"/>
        <v>2.0790278619699256</v>
      </c>
      <c r="ET250" s="560">
        <f>-(VLOOKUP(Sheet1!BQ252,Lookup!$O$4:$Q$262,2)-VLOOKUP(Sheet1!BQ251,Lookup!$O$4:$Q$262,2))/1000000</f>
        <v>1.1088268271893411</v>
      </c>
      <c r="EU250" s="560">
        <f>-(VLOOKUP(Sheet1!BR252,Lookup!$O$4:$Q$262,3)-VLOOKUP(Sheet1!BR251,Lookup!$O$4:$Q$262,3))/1000000</f>
        <v>0.97020103478058428</v>
      </c>
      <c r="EV250" s="560"/>
      <c r="EW250" s="560"/>
      <c r="EX250" s="560"/>
      <c r="EY250" s="560"/>
      <c r="EZ250" s="560"/>
      <c r="FA250" s="560"/>
      <c r="FB250" s="560"/>
      <c r="FC250" s="560"/>
      <c r="FD250" s="594">
        <f t="shared" si="536"/>
        <v>1130.1033898304374</v>
      </c>
      <c r="FE250" s="594" t="e">
        <f t="shared" si="537"/>
        <v>#N/A</v>
      </c>
      <c r="FF250" s="595" t="e">
        <f t="shared" si="538"/>
        <v>#N/A</v>
      </c>
      <c r="FG250" s="596" t="s">
        <v>692</v>
      </c>
      <c r="FH250" s="596" t="s">
        <v>692</v>
      </c>
      <c r="FI250" s="594" t="e">
        <v>#N/A</v>
      </c>
      <c r="FJ250" s="778">
        <v>16370</v>
      </c>
      <c r="FK250" s="560"/>
      <c r="FL250" s="560"/>
      <c r="FM250" s="560"/>
      <c r="FN250" s="560"/>
      <c r="FO250" s="560">
        <f>O250+((Sheet1!CS252)*GPMtoMGD)</f>
        <v>90</v>
      </c>
      <c r="FP250" s="560">
        <f>IF(Sheet1!AA252+AQ250&lt;=Calculation!N250,AQ250,Calculation!N250-Sheet1!AA252)</f>
        <v>19.072892347600519</v>
      </c>
      <c r="FQ250" s="560">
        <f>(Sheet1!BP252+Sheet1!BO252)/694.4</f>
        <v>3.6009504608294933</v>
      </c>
      <c r="FR250" s="560"/>
      <c r="FS250" s="560"/>
      <c r="FT250" s="560"/>
      <c r="FU250" s="560"/>
      <c r="FV250" s="695">
        <f t="shared" si="455"/>
        <v>41827</v>
      </c>
      <c r="FW250" s="695">
        <f t="shared" si="456"/>
        <v>41934</v>
      </c>
      <c r="FX250" s="560"/>
      <c r="FY250" s="560"/>
      <c r="FZ250" s="560"/>
      <c r="GA250" s="560"/>
      <c r="GB250" s="560" t="str">
        <f t="shared" si="457"/>
        <v>n</v>
      </c>
      <c r="GC250" s="564">
        <f t="shared" si="458"/>
        <v>41691</v>
      </c>
      <c r="GD250" s="695">
        <f t="shared" si="459"/>
        <v>41807</v>
      </c>
      <c r="GE250" s="560">
        <v>6518.9</v>
      </c>
      <c r="GF250" s="695">
        <f t="shared" si="460"/>
        <v>41808</v>
      </c>
      <c r="GG250" s="560">
        <f t="shared" si="479"/>
        <v>3259</v>
      </c>
      <c r="GH250" s="564">
        <f t="shared" si="461"/>
        <v>41934</v>
      </c>
      <c r="GJ250" s="545">
        <f t="shared" si="462"/>
        <v>0</v>
      </c>
      <c r="GK250" s="560" t="str">
        <f t="shared" si="539"/>
        <v/>
      </c>
      <c r="GL250" s="560">
        <f t="shared" si="463"/>
        <v>0</v>
      </c>
      <c r="GM250" s="560" t="str">
        <f t="shared" si="464"/>
        <v/>
      </c>
      <c r="GN250" s="560">
        <f>IF(GK250="P",Lookup!$M$12,IF(GK250="PP",Lookup!$M$13,IF(GK250="PPP",Lookup!$M$14,IF(GK250="T",Lookup!$M$15,IF(GK250="TP",Lookup!$M$16,IF(GK250="TPP",Lookup!$M$17,IF(GK250="TPPP",Lookup!$M$18,0)))))))*GJ250</f>
        <v>0</v>
      </c>
      <c r="GO250" s="560">
        <f t="shared" si="465"/>
        <v>0</v>
      </c>
      <c r="GP250" s="560">
        <f t="shared" si="540"/>
        <v>3196.1677453333341</v>
      </c>
      <c r="GQ250" s="560">
        <f t="shared" si="473"/>
        <v>1041.7756666666669</v>
      </c>
      <c r="GR250" s="560"/>
      <c r="GS250" s="560">
        <f t="shared" si="466"/>
        <v>0</v>
      </c>
      <c r="GT250" s="560" t="str">
        <f t="shared" si="467"/>
        <v/>
      </c>
      <c r="GU250" s="560">
        <f>IF(GK250="P",Lookup!$N$12,IF(GK250="PP",Lookup!$N$13,IF(GK250="PPP",Lookup!$N$14,IF(GK250="T",Lookup!$N$15,IF(GK250="TP",Lookup!$N$16,IF(GK250="TPP",Lookup!$N$17,IF(GK250="TPPP",Lookup!$N$18,0)))))))*GJ250</f>
        <v>0</v>
      </c>
      <c r="GV250" s="560">
        <f t="shared" si="468"/>
        <v>0</v>
      </c>
      <c r="GW250" s="560">
        <f t="shared" si="541"/>
        <v>1548.1069344933733</v>
      </c>
      <c r="GX250" s="560">
        <f t="shared" si="474"/>
        <v>504.59808816602776</v>
      </c>
      <c r="GY250" s="560"/>
      <c r="GZ250" s="560">
        <f t="shared" si="469"/>
        <v>0</v>
      </c>
      <c r="HA250" s="560" t="str">
        <f t="shared" si="470"/>
        <v/>
      </c>
      <c r="HB250" s="560">
        <f>IF(GK250="P",Lookup!$N$12,IF(GK250="PP",Lookup!$N$13,IF(GK250="PPP",Lookup!$N$14,IF(GK250="T",Lookup!$N$15,IF(GK250="TP",Lookup!$N$16,IF(GK250="TPP",Lookup!$N$17,IF(GK250="TPPP",Lookup!$N$18,0)))))))*GJ250</f>
        <v>0</v>
      </c>
      <c r="HC250" s="545">
        <f t="shared" si="542"/>
        <v>0</v>
      </c>
      <c r="HD250" s="560">
        <f t="shared" si="543"/>
        <v>1116.3108949859427</v>
      </c>
      <c r="HE250" s="560">
        <f t="shared" si="475"/>
        <v>363.85622391979877</v>
      </c>
      <c r="HF250" s="560"/>
      <c r="HG250" s="560">
        <f t="shared" si="471"/>
        <v>0</v>
      </c>
      <c r="HH250" s="560" t="str">
        <f t="shared" si="472"/>
        <v/>
      </c>
      <c r="HI250" s="560">
        <f>IF(GK250="P",Lookup!$N$12,IF(GK250="PP",Lookup!$N$13,IF(GK250="PPP",Lookup!$N$14,IF(GK250="T",Lookup!$N$15,IF(GK250="TP",Lookup!$N$16,IF(GK250="TPP",Lookup!$N$17,IF(GK250="TPPP",Lookup!$N$18,0)))))))*GJ250</f>
        <v>0</v>
      </c>
      <c r="HJ250" s="545">
        <f t="shared" si="544"/>
        <v>0</v>
      </c>
      <c r="HK250" s="560">
        <f t="shared" si="545"/>
        <v>737.8752789037809</v>
      </c>
      <c r="HL250" s="560">
        <f>(IF(AND(GB250="Y",B250=GD250),1267.5,(IF(AND(B250&lt;GF250,B250&gt;=GC250),MIN(DI249+DC250-DB250,7/36*GE250),IF(B250=GF250,7/36*GG250,IF(AND(B250&gt;GF250,B250&lt;GH250),MIN(DI249+DC250-DB250,7/36*GG250),IF(B250&gt;=GH250,0,0)))))))+DV250</f>
        <v>240.50693575742531</v>
      </c>
    </row>
    <row r="251" spans="1:220">
      <c r="A251" s="580" t="s">
        <v>7</v>
      </c>
      <c r="B251" s="556">
        <v>41879</v>
      </c>
      <c r="C251" s="561">
        <v>0</v>
      </c>
      <c r="D251" s="529">
        <f t="shared" si="477"/>
        <v>200</v>
      </c>
      <c r="E251" s="529">
        <f t="shared" si="478"/>
        <v>400</v>
      </c>
      <c r="F251" s="529">
        <v>250</v>
      </c>
      <c r="G251" s="560">
        <f>DR251+Sheet1!CZ253</f>
        <v>163.72869389744363</v>
      </c>
      <c r="H251" s="914">
        <f t="shared" si="480"/>
        <v>0</v>
      </c>
      <c r="I251" s="559">
        <f>MAX(Sheet1!Z253-AT251+(Sheet1!DA253-E251)*CFStoMGD,0)</f>
        <v>20.447199999999999</v>
      </c>
      <c r="J251" s="562">
        <f>IF(AND(B251&gt;=Calculation!GC251,B251&lt;=Calculation!GD251),IF(Sheet1!DB253&gt;=Calculation!D251,64.64,0),MAX(Sheet1!Z253-AT251+(Sheet1!DB253-D251)*CFStoMGD,0))</f>
        <v>45.010399999999997</v>
      </c>
      <c r="K251" s="904">
        <f t="shared" si="481"/>
        <v>0</v>
      </c>
      <c r="L251" s="560">
        <f>Sheet1!AA253+Sheet1!AB253-Sheet1!L253+(Sheet1!DA253-F251)*CFStoMGD</f>
        <v>169.75720000000001</v>
      </c>
      <c r="M251" s="560">
        <f t="shared" si="482"/>
        <v>107.95091229001372</v>
      </c>
      <c r="N251" s="910">
        <f>IF(Sheet1!DA253&gt;=F251,MIN(73,MIN(MAX(L251,0),MAX(M251,0))),0)</f>
        <v>73</v>
      </c>
      <c r="O251" s="563">
        <f>Sheet1!AA253+Sheet1!AB253</f>
        <v>90.25</v>
      </c>
      <c r="P251" s="563">
        <f t="shared" si="483"/>
        <v>139.61675</v>
      </c>
      <c r="Q251" s="898">
        <f t="shared" si="444"/>
        <v>73</v>
      </c>
      <c r="R251" s="829">
        <f t="shared" si="484"/>
        <v>17.25</v>
      </c>
      <c r="S251" s="898">
        <f t="shared" si="445"/>
        <v>0</v>
      </c>
      <c r="T251" s="898">
        <f t="shared" si="446"/>
        <v>0</v>
      </c>
      <c r="U251" s="898">
        <f t="shared" si="447"/>
        <v>17.25</v>
      </c>
      <c r="V251" s="898"/>
      <c r="W251" s="898">
        <f t="shared" si="448"/>
        <v>0</v>
      </c>
      <c r="X251" s="898">
        <f t="shared" si="449"/>
        <v>0</v>
      </c>
      <c r="Y251" s="898" t="str">
        <f t="shared" si="450"/>
        <v>FALSE</v>
      </c>
      <c r="Z251" s="898">
        <f t="shared" si="451"/>
        <v>90.25</v>
      </c>
      <c r="AA251" s="898">
        <f t="shared" si="452"/>
        <v>90.25</v>
      </c>
      <c r="AB251" s="898" t="str">
        <f t="shared" si="453"/>
        <v/>
      </c>
      <c r="AC251" s="563">
        <f>Sheet1!Y253*MGDtoCFS</f>
        <v>80.598699999999994</v>
      </c>
      <c r="AD251" s="563">
        <f>Sheet1!Z253*MGDtoCFS</f>
        <v>58.631299999999996</v>
      </c>
      <c r="AE251" s="563">
        <f>Sheet1!AA253*MGDtoCFS</f>
        <v>81.913650000000004</v>
      </c>
      <c r="AF251" s="563">
        <f>Sheet1!AB253*MGDtoCFS</f>
        <v>57.703099999999992</v>
      </c>
      <c r="AG251" s="563">
        <f>Sheet1!L253*MGDtoCFS</f>
        <v>0</v>
      </c>
      <c r="AH251" s="545">
        <f t="shared" si="485"/>
        <v>17.420074946466809</v>
      </c>
      <c r="AI251" s="560">
        <f t="shared" si="486"/>
        <v>26.948855942184153</v>
      </c>
      <c r="AJ251" s="560">
        <f t="shared" si="487"/>
        <v>0</v>
      </c>
      <c r="AK251" s="560">
        <f t="shared" si="488"/>
        <v>0</v>
      </c>
      <c r="AL251" s="560">
        <f>(VLOOKUP(Sheet1!DC253,hhdcap_wcm,4)-(((VLOOKUP(Sheet1!DC253,hhdcap_wcm,3)-Sheet1!DC253)/(VLOOKUP(Sheet1!DC253,hhdcap_wcm,3)-VLOOKUP(Sheet1!DC253,hhdcap_wcm,1)))*(VLOOKUP(Sheet1!DC253,hhdcap_wcm,4)-VLOOKUP(Sheet1!DC253,hhdcap_wcm,2))))</f>
        <v>35265.600000088838</v>
      </c>
      <c r="AM251" s="560">
        <f t="shared" si="489"/>
        <v>-424.90000000136934</v>
      </c>
      <c r="AN251" s="560">
        <f t="shared" si="490"/>
        <v>2133.316839563452</v>
      </c>
      <c r="AO251" s="560">
        <f t="shared" si="491"/>
        <v>6545.0160637806712</v>
      </c>
      <c r="AP251" s="560">
        <f>Sheet1!BA253+Sheet1!BB253+Sheet1!BN253+CD251</f>
        <v>20.61</v>
      </c>
      <c r="AQ251" s="560">
        <f>Sheet1!BN253+(DO251*Sheet1!BN253)</f>
        <v>18.969486081370448</v>
      </c>
      <c r="AR251" s="560">
        <f>Sheet1!BA253+CD251</f>
        <v>0</v>
      </c>
      <c r="AS251" s="560">
        <f>Sheet1!BA253+Sheet1!BB253+CD251</f>
        <v>1.61</v>
      </c>
      <c r="AT251" s="698">
        <f>0</f>
        <v>0</v>
      </c>
      <c r="AU251" s="560">
        <f>IF(EB251&lt;K251,0,MAX(Sheet1!AA253+AQ251-15/36*K251-N251,Sheet1!EH253,0))</f>
        <v>0.25</v>
      </c>
      <c r="AV251" s="560">
        <f>IF(OR(B251&gt;=GD251,B251&lt;GC251),0,15/36*K251-MAX(0,64.6-(137.6-(Sheet1!AA253+Sheet1!AB253))))</f>
        <v>0</v>
      </c>
      <c r="AW251" s="698">
        <f>Sheet1!DB253-110</f>
        <v>101</v>
      </c>
      <c r="AX251" s="698">
        <f>Sheet1!DA253-265</f>
        <v>108</v>
      </c>
      <c r="AY251" s="698">
        <f t="shared" si="492"/>
        <v>0</v>
      </c>
      <c r="AZ251" s="1082"/>
      <c r="BA251" s="698">
        <f t="shared" si="493"/>
        <v>0</v>
      </c>
      <c r="BB251" s="560">
        <f t="shared" si="494"/>
        <v>1041.5256666666669</v>
      </c>
      <c r="BC251" s="560"/>
      <c r="BD251" s="560">
        <f ca="1">IF(B251&gt;Summary!$A$1,#N/A,BB251*MGtoAF)</f>
        <v>3195.4007453333343</v>
      </c>
      <c r="BE251" s="560">
        <f>Sheet1!BG253+Sheet1!BH253+Sheet1!BI253-BM251</f>
        <v>2.02</v>
      </c>
      <c r="BF251" s="560">
        <f t="shared" si="495"/>
        <v>2.0167558886509633</v>
      </c>
      <c r="BG251" s="560">
        <f>IF(Sheet1!EP253="FM",BM251,0)</f>
        <v>0</v>
      </c>
      <c r="BH251" s="560">
        <f t="shared" si="496"/>
        <v>0</v>
      </c>
      <c r="BI251" s="560">
        <f>IF(Sheet1!EP253="OTHER",BM251,0)</f>
        <v>0</v>
      </c>
      <c r="BJ251" s="560">
        <f t="shared" si="497"/>
        <v>0</v>
      </c>
      <c r="BK251" s="560">
        <f t="shared" si="498"/>
        <v>2.02</v>
      </c>
      <c r="BL251" s="560">
        <f t="shared" si="499"/>
        <v>2.0167558886509633</v>
      </c>
      <c r="BM251" s="560">
        <f>IF(OR(Sheet1!EP253="FM", Sheet1!EP253="OTHER"),SUM(Sheet1!BG253:'Sheet1'!BI253),0)</f>
        <v>0</v>
      </c>
      <c r="BN251" s="545">
        <f>IF(AND($B251&gt;=$FV251,$B251&lt;=$FW251),MAX(BF251,Sheet1!EI253,0),MAX(BF251-(7/36)*$K251,0))</f>
        <v>2.0167558886509633</v>
      </c>
      <c r="BO251" s="560">
        <f t="shared" si="500"/>
        <v>0</v>
      </c>
      <c r="BP251" s="545">
        <f t="shared" si="501"/>
        <v>0</v>
      </c>
      <c r="BQ251" s="545">
        <f>IF(AND($O251&gt;0,Sheet1!EM253=1),(1-($O251-Sheet1!$L253)/$O251)*BL251,0)</f>
        <v>0</v>
      </c>
      <c r="BR251" s="545">
        <f>IF(AND(Sheet1!$L253=0,Sheet1!$L252=0, Calculation!BK251&lt;Sheet1!$EI253-0.1,Sheet1!$EI253=Sheet1!$EI252,Sheet1!$EI253=Sheet1!$EI254),Sheet1!$EI253,BL251-BQ251)</f>
        <v>2.0167558886509633</v>
      </c>
      <c r="BS251" s="560"/>
      <c r="BT251" s="560"/>
      <c r="BU251" s="560">
        <f t="shared" si="502"/>
        <v>502.58133227737682</v>
      </c>
      <c r="BV251" s="560"/>
      <c r="BW251" s="560">
        <f ca="1">IF(B251&gt;Summary!$A$1,#N/A,BU251*MGtoAF)</f>
        <v>1541.9195274269921</v>
      </c>
      <c r="BX251" s="560">
        <f>Sheet1!BC253+Sheet1!BD253+Sheet1!BE253+Sheet1!BF253-CG251-CH251</f>
        <v>4.16</v>
      </c>
      <c r="BY251" s="560">
        <f t="shared" si="503"/>
        <v>4.1533190578158461</v>
      </c>
      <c r="BZ251" s="560">
        <f>IF(Sheet1!EQ253="FM",CH251,0)</f>
        <v>0</v>
      </c>
      <c r="CA251" s="560">
        <f t="shared" si="504"/>
        <v>0</v>
      </c>
      <c r="CB251" s="560">
        <f>IF(Sheet1!EQ253="OTHER",CH251,0)</f>
        <v>0</v>
      </c>
      <c r="CC251" s="560">
        <f t="shared" si="505"/>
        <v>0</v>
      </c>
      <c r="CD251" s="560">
        <f t="shared" si="506"/>
        <v>0</v>
      </c>
      <c r="CE251" s="560">
        <f t="shared" si="507"/>
        <v>4.16</v>
      </c>
      <c r="CF251" s="560">
        <f t="shared" si="508"/>
        <v>4.1533190578158461</v>
      </c>
      <c r="CG251" s="560">
        <f>IF(Sheet1!EQ253="CWA",SUM(Sheet1!BC253:'Sheet1'!BF253),0)</f>
        <v>0</v>
      </c>
      <c r="CH251" s="560">
        <f>IF(OR(Sheet1!EQ253="FM", Sheet1!EQ253="OTHER"),SUM(Sheet1!BC253:'Sheet1'!BF253),0)</f>
        <v>0</v>
      </c>
      <c r="CI251" s="545">
        <f>IF(AND($B251&gt;=$FV251,$B251&lt;=$FW251),MAX(CF251,Sheet1!EJ253,0),MAX(CF251-(7/36)*$K251,0))</f>
        <v>4.1533190578158461</v>
      </c>
      <c r="CJ251" s="560">
        <f t="shared" si="509"/>
        <v>0</v>
      </c>
      <c r="CK251" s="545">
        <f t="shared" si="510"/>
        <v>0</v>
      </c>
      <c r="CL251" s="545">
        <f>IF(AND($O251&gt;0,Sheet1!EN253=1),(1-($O251-Sheet1!$L253)/$O251)*CF251,0)</f>
        <v>0</v>
      </c>
      <c r="CM251" s="545">
        <f>IF(AND(Sheet1!$L253=0,Sheet1!$L252=0, Calculation!CE251&lt;Sheet1!EJ253-0.1,Sheet1!EJ253=Sheet1!EJ252,Sheet1!EJ253=Sheet1!EJ254),Sheet1!EJ253,CF251-CL251)</f>
        <v>4.1533190578158461</v>
      </c>
      <c r="CN251" s="545"/>
      <c r="CO251" s="560"/>
      <c r="CP251" s="560">
        <f t="shared" si="511"/>
        <v>359.70290486198292</v>
      </c>
      <c r="CQ251" s="560"/>
      <c r="CR251" s="560">
        <f ca="1">IF(B251&gt;Summary!$A$1,#N/A,CP251*MGtoAF)</f>
        <v>1103.5685121165636</v>
      </c>
      <c r="CS251" s="560">
        <f>Sheet1!BK253+Sheet1!BL253+Sheet1!BM253-Sheet1!ER253-DA251</f>
        <v>10.57</v>
      </c>
      <c r="CT251" s="560">
        <f t="shared" si="512"/>
        <v>10.553024625267666</v>
      </c>
      <c r="CU251" s="560">
        <f>IF(Sheet1!ER253="FM",DA251,0)</f>
        <v>0</v>
      </c>
      <c r="CV251" s="560">
        <f t="shared" si="513"/>
        <v>0</v>
      </c>
      <c r="CW251" s="560">
        <f>IF(Sheet1!ER253="OTHER",DA251,0)</f>
        <v>0</v>
      </c>
      <c r="CX251" s="560">
        <f t="shared" si="514"/>
        <v>0</v>
      </c>
      <c r="CY251" s="560">
        <f t="shared" si="515"/>
        <v>10.57</v>
      </c>
      <c r="CZ251" s="560">
        <f t="shared" si="516"/>
        <v>10.553024625267666</v>
      </c>
      <c r="DA251" s="560">
        <f>IF(OR(Sheet1!ER253="FM", Sheet1!ER253="OTHER"),SUM(Sheet1!BK253:'Sheet1'!BM253),0)</f>
        <v>0</v>
      </c>
      <c r="DB251" s="545">
        <f>IF(AND($B251&gt;=$FV251,$B251&lt;=$FW251),MAX($CT251,Sheet1!EK253,0),MAX($CT251-(7/36)*$K251,0))</f>
        <v>11</v>
      </c>
      <c r="DC251" s="560">
        <f t="shared" si="517"/>
        <v>0</v>
      </c>
      <c r="DD251" s="545">
        <f t="shared" si="518"/>
        <v>0</v>
      </c>
      <c r="DE251" s="545">
        <f>IF(AND($O251&gt;0,Sheet1!EO253=1),(1-($O251-Sheet1!$L253)/$O251)*CZ251,0)</f>
        <v>0</v>
      </c>
      <c r="DF251" s="545">
        <f>IF(AND(Sheet1!$L253=0,Sheet1!$L252=0, Calculation!CY251&lt;Sheet1!$EK253-0.1,Sheet1!$EK253=Sheet1!$EK252,Sheet1!$EK253=Sheet1!$EK254),Sheet1!$EK253,CZ251-DE251)</f>
        <v>10.553024625267666</v>
      </c>
      <c r="DG251" s="545"/>
      <c r="DH251" s="560">
        <f t="shared" si="519"/>
        <v>16.75</v>
      </c>
      <c r="DI251" s="560">
        <f t="shared" si="520"/>
        <v>229.50693575742531</v>
      </c>
      <c r="DJ251" s="698">
        <f t="shared" si="521"/>
        <v>16.723099571734476</v>
      </c>
      <c r="DK251" s="560">
        <f ca="1">IF(B251&gt;Summary!$A$1,#N/A,DI251*MGtoAF)</f>
        <v>704.12727890378085</v>
      </c>
      <c r="DL251" s="698">
        <f t="shared" si="522"/>
        <v>16.75</v>
      </c>
      <c r="DM251" s="560">
        <f t="shared" si="523"/>
        <v>37.36</v>
      </c>
      <c r="DN251" s="560">
        <f>Sheet1!AB253-DM251</f>
        <v>-6.0000000000002274E-2</v>
      </c>
      <c r="DO251" s="823">
        <f t="shared" si="524"/>
        <v>-1.6059957173448147E-3</v>
      </c>
      <c r="DP251" s="560">
        <f>(VLOOKUP(Sheet1!DC253,hhdcap_wcm,4)-(((VLOOKUP(Sheet1!DC253,hhdcap_wcm,3)-Sheet1!DC253)/(VLOOKUP(Sheet1!DC253,hhdcap_wcm,3)-VLOOKUP(Sheet1!DC253,hhdcap_wcm,1)))*(VLOOKUP(Sheet1!DC253,hhdcap_wcm,4)-VLOOKUP(Sheet1!DC253,hhdcap_wcm,2))))</f>
        <v>35265.600000088838</v>
      </c>
      <c r="DQ251" s="560">
        <f t="shared" si="525"/>
        <v>-424.90000000136934</v>
      </c>
      <c r="DR251" s="560">
        <f t="shared" si="526"/>
        <v>-214.27130610255637</v>
      </c>
      <c r="DS251" s="560">
        <f>Sheet1!EA253*AFtoMG</f>
        <v>0</v>
      </c>
      <c r="DT251" s="560">
        <f>Sheet1!EB253*AFtoMG</f>
        <v>0</v>
      </c>
      <c r="DU251" s="560">
        <f>Sheet1!EC253*AFtoMG</f>
        <v>0</v>
      </c>
      <c r="DV251" s="560">
        <f>Sheet1!ED253*AFtoMG</f>
        <v>0</v>
      </c>
      <c r="DW251" s="560">
        <f t="shared" si="527"/>
        <v>0</v>
      </c>
      <c r="DX251" s="560">
        <f t="shared" si="528"/>
        <v>0</v>
      </c>
      <c r="DY251" s="560">
        <f t="shared" si="529"/>
        <v>2133.316839563452</v>
      </c>
      <c r="DZ251" s="560">
        <f t="shared" si="530"/>
        <v>6545.0160637806712</v>
      </c>
      <c r="EA251" s="560"/>
      <c r="EB251" s="545">
        <f>IF(OR(B251&lt;FV251,B251&gt;FW251),(MIN(BF251+BY251+CT251+MAX(Sheet1!AA253+AQ251-73,0),K251)),0)</f>
        <v>0</v>
      </c>
      <c r="EC251" s="560"/>
      <c r="ED251" s="560">
        <f t="shared" si="531"/>
        <v>16.723099571734476</v>
      </c>
      <c r="EE251" s="560"/>
      <c r="EF251" s="560">
        <f>Sheet1!EH253+Sheet1!EI253+Sheet1!EJ253+Sheet1!EK253</f>
        <v>17.25</v>
      </c>
      <c r="EG251" s="560"/>
      <c r="EH251" s="545">
        <f t="shared" si="532"/>
        <v>0</v>
      </c>
      <c r="EI251" s="560">
        <f>IF(Sheet1!ET253=1,SUM('Calculations II'!AT251:BA251)+'Calculations II'!BC251+Sheet1!BV253+'Calculations II'!BE251+AP251,SUM('Calculations II'!AT251:BA251)+'Calculations II'!BC251+Sheet1!BV253+'Calculations II'!BE251+AP251)</f>
        <v>78.73854399999999</v>
      </c>
      <c r="EJ251" s="560">
        <f>Sheet1!AA253+Sheet1!AB253+'Calculations II'!BC251</f>
        <v>90.25</v>
      </c>
      <c r="EK251" s="560"/>
      <c r="EL251" s="560"/>
      <c r="EM251" s="560">
        <f t="shared" si="533"/>
        <v>41879</v>
      </c>
      <c r="EN251" s="560">
        <f t="shared" si="534"/>
        <v>-17.420074946466809</v>
      </c>
      <c r="EO251" s="560">
        <f t="shared" si="535"/>
        <v>-26.948855942184153</v>
      </c>
      <c r="EP251" s="560">
        <v>0</v>
      </c>
      <c r="EQ251" s="560">
        <v>0</v>
      </c>
      <c r="ER251" s="560">
        <v>0</v>
      </c>
      <c r="ES251" s="545">
        <f t="shared" si="454"/>
        <v>-5.9618068419353101</v>
      </c>
      <c r="ET251" s="560">
        <f>-(VLOOKUP(Sheet1!BQ253,Lookup!$O$4:$Q$262,2)-VLOOKUP(Sheet1!BQ252,Lookup!$O$4:$Q$262,2))/1000000</f>
        <v>-3.0502612050209268</v>
      </c>
      <c r="EU251" s="560">
        <f>-(VLOOKUP(Sheet1!BR253,Lookup!$O$4:$Q$262,3)-VLOOKUP(Sheet1!BR252,Lookup!$O$4:$Q$262,3))/1000000</f>
        <v>-2.9115456369143837</v>
      </c>
      <c r="EV251" s="560"/>
      <c r="EW251" s="560"/>
      <c r="EX251" s="560"/>
      <c r="EY251" s="560"/>
      <c r="EZ251" s="560"/>
      <c r="FA251" s="560"/>
      <c r="FB251" s="560"/>
      <c r="FC251" s="560"/>
      <c r="FD251" s="594">
        <f t="shared" si="536"/>
        <v>1129.8155172413085</v>
      </c>
      <c r="FE251" s="594" t="e">
        <f t="shared" si="537"/>
        <v>#N/A</v>
      </c>
      <c r="FF251" s="595" t="e">
        <f t="shared" si="538"/>
        <v>#N/A</v>
      </c>
      <c r="FG251" s="596" t="s">
        <v>692</v>
      </c>
      <c r="FH251" s="596" t="s">
        <v>692</v>
      </c>
      <c r="FI251" s="594" t="e">
        <v>#N/A</v>
      </c>
      <c r="FJ251" s="778">
        <v>16203</v>
      </c>
      <c r="FK251" s="560"/>
      <c r="FL251" s="560"/>
      <c r="FM251" s="560"/>
      <c r="FN251" s="560"/>
      <c r="FO251" s="560">
        <f>O251+((Sheet1!CS253)*GPMtoMGD)</f>
        <v>90.25</v>
      </c>
      <c r="FP251" s="560">
        <f>IF(Sheet1!AA253+AQ251&lt;=Calculation!N251,AQ251,Calculation!N251-Sheet1!AA253)</f>
        <v>18.969486081370448</v>
      </c>
      <c r="FQ251" s="560">
        <f>(Sheet1!BP253+Sheet1!BO253)/694.4</f>
        <v>2.6370967741935485</v>
      </c>
      <c r="FR251" s="560"/>
      <c r="FS251" s="560"/>
      <c r="FT251" s="560"/>
      <c r="FU251" s="560"/>
      <c r="FV251" s="695">
        <f t="shared" si="455"/>
        <v>41827</v>
      </c>
      <c r="FW251" s="695">
        <f t="shared" si="456"/>
        <v>41934</v>
      </c>
      <c r="FX251" s="560"/>
      <c r="FY251" s="560"/>
      <c r="FZ251" s="560"/>
      <c r="GA251" s="560"/>
      <c r="GB251" s="560" t="str">
        <f t="shared" si="457"/>
        <v>n</v>
      </c>
      <c r="GC251" s="564">
        <f t="shared" si="458"/>
        <v>41691</v>
      </c>
      <c r="GD251" s="695">
        <f t="shared" si="459"/>
        <v>41807</v>
      </c>
      <c r="GE251" s="560">
        <v>6518.9</v>
      </c>
      <c r="GF251" s="695">
        <f t="shared" si="460"/>
        <v>41808</v>
      </c>
      <c r="GG251" s="560">
        <f t="shared" si="479"/>
        <v>3259</v>
      </c>
      <c r="GH251" s="564">
        <f t="shared" si="461"/>
        <v>41934</v>
      </c>
      <c r="GJ251" s="545">
        <f t="shared" si="462"/>
        <v>0</v>
      </c>
      <c r="GK251" s="560" t="str">
        <f t="shared" si="539"/>
        <v/>
      </c>
      <c r="GL251" s="560">
        <f t="shared" si="463"/>
        <v>0</v>
      </c>
      <c r="GM251" s="560" t="str">
        <f t="shared" si="464"/>
        <v/>
      </c>
      <c r="GN251" s="560">
        <f>IF(GK251="P",Lookup!$M$12,IF(GK251="PP",Lookup!$M$13,IF(GK251="PPP",Lookup!$M$14,IF(GK251="T",Lookup!$M$15,IF(GK251="TP",Lookup!$M$16,IF(GK251="TPP",Lookup!$M$17,IF(GK251="TPPP",Lookup!$M$18,0)))))))*GJ251</f>
        <v>0</v>
      </c>
      <c r="GO251" s="560">
        <f t="shared" si="465"/>
        <v>0</v>
      </c>
      <c r="GP251" s="560">
        <f t="shared" si="540"/>
        <v>3195.4007453333343</v>
      </c>
      <c r="GQ251" s="560">
        <f t="shared" si="473"/>
        <v>1041.5256666666669</v>
      </c>
      <c r="GR251" s="560"/>
      <c r="GS251" s="560">
        <f t="shared" si="466"/>
        <v>0</v>
      </c>
      <c r="GT251" s="560" t="str">
        <f t="shared" si="467"/>
        <v/>
      </c>
      <c r="GU251" s="560">
        <f>IF(GK251="P",Lookup!$N$12,IF(GK251="PP",Lookup!$N$13,IF(GK251="PPP",Lookup!$N$14,IF(GK251="T",Lookup!$N$15,IF(GK251="TP",Lookup!$N$16,IF(GK251="TPP",Lookup!$N$17,IF(GK251="TPPP",Lookup!$N$18,0)))))))*GJ251</f>
        <v>0</v>
      </c>
      <c r="GV251" s="560">
        <f t="shared" si="468"/>
        <v>0</v>
      </c>
      <c r="GW251" s="560">
        <f t="shared" si="541"/>
        <v>1541.9195274269921</v>
      </c>
      <c r="GX251" s="560">
        <f t="shared" si="474"/>
        <v>502.58133227737682</v>
      </c>
      <c r="GY251" s="560"/>
      <c r="GZ251" s="560">
        <f t="shared" si="469"/>
        <v>0</v>
      </c>
      <c r="HA251" s="560" t="str">
        <f t="shared" si="470"/>
        <v/>
      </c>
      <c r="HB251" s="560">
        <f>IF(GK251="P",Lookup!$N$12,IF(GK251="PP",Lookup!$N$13,IF(GK251="PPP",Lookup!$N$14,IF(GK251="T",Lookup!$N$15,IF(GK251="TP",Lookup!$N$16,IF(GK251="TPP",Lookup!$N$17,IF(GK251="TPPP",Lookup!$N$18,0)))))))*GJ251</f>
        <v>0</v>
      </c>
      <c r="HC251" s="545">
        <f t="shared" si="542"/>
        <v>0</v>
      </c>
      <c r="HD251" s="560">
        <f t="shared" si="543"/>
        <v>1103.5685121165636</v>
      </c>
      <c r="HE251" s="560">
        <f t="shared" si="475"/>
        <v>359.70290486198292</v>
      </c>
      <c r="HF251" s="560"/>
      <c r="HG251" s="560">
        <f t="shared" si="471"/>
        <v>0</v>
      </c>
      <c r="HH251" s="560" t="str">
        <f t="shared" si="472"/>
        <v/>
      </c>
      <c r="HI251" s="560">
        <f>IF(GK251="P",Lookup!$N$12,IF(GK251="PP",Lookup!$N$13,IF(GK251="PPP",Lookup!$N$14,IF(GK251="T",Lookup!$N$15,IF(GK251="TP",Lookup!$N$16,IF(GK251="TPP",Lookup!$N$17,IF(GK251="TPPP",Lookup!$N$18,0)))))))*GJ251</f>
        <v>0</v>
      </c>
      <c r="HJ251" s="545">
        <f t="shared" si="544"/>
        <v>0</v>
      </c>
      <c r="HK251" s="560">
        <f t="shared" si="545"/>
        <v>704.12727890378085</v>
      </c>
      <c r="HL251" s="560">
        <f t="shared" si="476"/>
        <v>229.50693575742531</v>
      </c>
    </row>
    <row r="252" spans="1:220">
      <c r="A252" s="580" t="s">
        <v>8</v>
      </c>
      <c r="B252" s="556">
        <v>41880</v>
      </c>
      <c r="C252" s="561">
        <v>0</v>
      </c>
      <c r="D252" s="529">
        <f t="shared" si="477"/>
        <v>200</v>
      </c>
      <c r="E252" s="529">
        <f t="shared" si="478"/>
        <v>400</v>
      </c>
      <c r="F252" s="529">
        <v>250</v>
      </c>
      <c r="G252" s="560">
        <f>DR252+Sheet1!CZ254</f>
        <v>155.00857286917042</v>
      </c>
      <c r="H252" s="914">
        <f t="shared" si="480"/>
        <v>0</v>
      </c>
      <c r="I252" s="559">
        <f>MAX(Sheet1!Z254-AT252+(Sheet1!DA254-E252)*CFStoMGD,0)</f>
        <v>23.0792</v>
      </c>
      <c r="J252" s="562">
        <f>IF(AND(B252&gt;=Calculation!GC252,B252&lt;=Calculation!GD252),IF(Sheet1!DB254&gt;=Calculation!D252,64.64,0),MAX(Sheet1!Z254-AT252+(Sheet1!DB254-D252)*CFStoMGD,0))</f>
        <v>45.703199999999995</v>
      </c>
      <c r="K252" s="904">
        <f t="shared" si="481"/>
        <v>0</v>
      </c>
      <c r="L252" s="560">
        <f>Sheet1!AA254+Sheet1!AB254-Sheet1!L254+(Sheet1!DA254-F252)*CFStoMGD</f>
        <v>164.33920000000319</v>
      </c>
      <c r="M252" s="560">
        <f t="shared" si="482"/>
        <v>102.2014923326844</v>
      </c>
      <c r="N252" s="910">
        <f>IF(Sheet1!DA254&gt;=F252,MIN(73,MIN(MAX(L252,0),MAX(M252,0))),0)</f>
        <v>73</v>
      </c>
      <c r="O252" s="563">
        <f>Sheet1!AA254+Sheet1!AB254</f>
        <v>81.62</v>
      </c>
      <c r="P252" s="563">
        <f t="shared" si="483"/>
        <v>126.26613999999999</v>
      </c>
      <c r="Q252" s="898">
        <f t="shared" si="444"/>
        <v>66.628631866257251</v>
      </c>
      <c r="R252" s="829">
        <f t="shared" si="484"/>
        <v>14.5</v>
      </c>
      <c r="S252" s="898">
        <f t="shared" si="445"/>
        <v>0</v>
      </c>
      <c r="T252" s="898">
        <f t="shared" si="446"/>
        <v>0</v>
      </c>
      <c r="U252" s="898">
        <f t="shared" si="447"/>
        <v>14.991368133742748</v>
      </c>
      <c r="V252" s="898"/>
      <c r="W252" s="898">
        <f t="shared" si="448"/>
        <v>0</v>
      </c>
      <c r="X252" s="898">
        <f t="shared" si="449"/>
        <v>0</v>
      </c>
      <c r="Y252" s="898" t="str">
        <f t="shared" si="450"/>
        <v>FALSE</v>
      </c>
      <c r="Z252" s="898">
        <f t="shared" si="451"/>
        <v>81.62</v>
      </c>
      <c r="AA252" s="898">
        <f t="shared" si="452"/>
        <v>81.62</v>
      </c>
      <c r="AB252" s="898" t="str">
        <f t="shared" si="453"/>
        <v/>
      </c>
      <c r="AC252" s="563">
        <f>Sheet1!Y254*MGDtoCFS</f>
        <v>81.913650000000004</v>
      </c>
      <c r="AD252" s="563">
        <f>Sheet1!Z254*MGDtoCFS</f>
        <v>57.703099999999992</v>
      </c>
      <c r="AE252" s="563">
        <f>Sheet1!AA254*MGDtoCFS</f>
        <v>81.867239999999995</v>
      </c>
      <c r="AF252" s="563">
        <f>Sheet1!AB254*MGDtoCFS</f>
        <v>44.398899999999998</v>
      </c>
      <c r="AG252" s="563">
        <f>Sheet1!L254*MGDtoCFS</f>
        <v>3.0939999995047401E-2</v>
      </c>
      <c r="AH252" s="545">
        <f t="shared" si="485"/>
        <v>15.013408393039917</v>
      </c>
      <c r="AI252" s="560">
        <f t="shared" si="486"/>
        <v>23.22574278403275</v>
      </c>
      <c r="AJ252" s="560">
        <f t="shared" si="487"/>
        <v>0</v>
      </c>
      <c r="AK252" s="560">
        <f t="shared" si="488"/>
        <v>0</v>
      </c>
      <c r="AL252" s="560">
        <f>(VLOOKUP(Sheet1!DC254,hhdcap_wcm,4)-(((VLOOKUP(Sheet1!DC254,hhdcap_wcm,3)-Sheet1!DC254)/(VLOOKUP(Sheet1!DC254,hhdcap_wcm,3)-VLOOKUP(Sheet1!DC254,hhdcap_wcm,1)))*(VLOOKUP(Sheet1!DC254,hhdcap_wcm,4)-VLOOKUP(Sheet1!DC254,hhdcap_wcm,2))))</f>
        <v>34871.000000088403</v>
      </c>
      <c r="AM252" s="560">
        <f t="shared" si="489"/>
        <v>-394.6000000004351</v>
      </c>
      <c r="AN252" s="560">
        <f t="shared" si="490"/>
        <v>2118.3034311704118</v>
      </c>
      <c r="AO252" s="560">
        <f t="shared" si="491"/>
        <v>6498.9549268308238</v>
      </c>
      <c r="AP252" s="560">
        <f>Sheet1!BA254+Sheet1!BB254+Sheet1!BN254+CD252</f>
        <v>14</v>
      </c>
      <c r="AQ252" s="560">
        <f>Sheet1!BN254+(DO252*Sheet1!BN254)</f>
        <v>12.141931081542136</v>
      </c>
      <c r="AR252" s="560">
        <f>Sheet1!BA254+CD252</f>
        <v>0</v>
      </c>
      <c r="AS252" s="560">
        <f>Sheet1!BA254+Sheet1!BB254+CD252</f>
        <v>1.6</v>
      </c>
      <c r="AT252" s="698">
        <f>0</f>
        <v>0</v>
      </c>
      <c r="AU252" s="560">
        <f>IF(EB252&lt;K252,0,MAX(Sheet1!AA254+AQ252-15/36*K252-N252,Sheet1!EH254,0))</f>
        <v>0</v>
      </c>
      <c r="AV252" s="560">
        <f>IF(OR(B252&gt;=GD252,B252&lt;GC252),0,15/36*K252-MAX(0,64.6-(137.6-(Sheet1!AA254+Sheet1!AB254))))</f>
        <v>0</v>
      </c>
      <c r="AW252" s="698">
        <f>Sheet1!DB254-110</f>
        <v>103</v>
      </c>
      <c r="AX252" s="698">
        <f>Sheet1!DA254-265</f>
        <v>113</v>
      </c>
      <c r="AY252" s="698">
        <f t="shared" si="492"/>
        <v>6.3713681337427488</v>
      </c>
      <c r="AZ252" s="1082"/>
      <c r="BA252" s="698">
        <f t="shared" si="493"/>
        <v>0</v>
      </c>
      <c r="BB252" s="560">
        <f t="shared" si="494"/>
        <v>1041.5256666666669</v>
      </c>
      <c r="BC252" s="560"/>
      <c r="BD252" s="560">
        <f ca="1">IF(B252&gt;Summary!$A$1,#N/A,BB252*MGtoAF)</f>
        <v>3195.4007453333343</v>
      </c>
      <c r="BE252" s="560">
        <f>Sheet1!BG254+Sheet1!BH254+Sheet1!BI254-BM252</f>
        <v>2.02</v>
      </c>
      <c r="BF252" s="560">
        <f t="shared" si="495"/>
        <v>1.9779597407028318</v>
      </c>
      <c r="BG252" s="560">
        <f>IF(Sheet1!EP254="FM",BM252,0)</f>
        <v>0</v>
      </c>
      <c r="BH252" s="560">
        <f t="shared" si="496"/>
        <v>0</v>
      </c>
      <c r="BI252" s="560">
        <f>IF(Sheet1!EP254="OTHER",BM252,0)</f>
        <v>0</v>
      </c>
      <c r="BJ252" s="560">
        <f t="shared" si="497"/>
        <v>0</v>
      </c>
      <c r="BK252" s="560">
        <f t="shared" si="498"/>
        <v>2.02</v>
      </c>
      <c r="BL252" s="560">
        <f t="shared" si="499"/>
        <v>1.9779597407028318</v>
      </c>
      <c r="BM252" s="560">
        <f>IF(OR(Sheet1!EP254="FM", Sheet1!EP254="OTHER"),SUM(Sheet1!BG254:'Sheet1'!BI254),0)</f>
        <v>0</v>
      </c>
      <c r="BN252" s="545">
        <f>IF(AND($B252&gt;=$FV252,$B252&lt;=$FW252),MAX(BF252,Sheet1!EI254,0),MAX(BF252-(7/36)*$K252,0))</f>
        <v>2</v>
      </c>
      <c r="BO252" s="560">
        <f t="shared" si="500"/>
        <v>0</v>
      </c>
      <c r="BP252" s="545">
        <f t="shared" si="501"/>
        <v>0</v>
      </c>
      <c r="BQ252" s="545">
        <f>IF(AND($O252&gt;0,Sheet1!EM254=1),(1-($O252-Sheet1!$L254)/$O252)*BL252,0)</f>
        <v>0</v>
      </c>
      <c r="BR252" s="545">
        <f>IF(AND(Sheet1!$L254=0,Sheet1!$L253=0, Calculation!BK252&lt;Sheet1!$EI254-0.1,Sheet1!$EI254=Sheet1!$EI253,Sheet1!$EI254=Sheet1!$EI255),Sheet1!$EI254,BL252-BQ252)</f>
        <v>1.9779597407028318</v>
      </c>
      <c r="BS252" s="560"/>
      <c r="BT252" s="560"/>
      <c r="BU252" s="560">
        <f t="shared" si="502"/>
        <v>500.58133227737682</v>
      </c>
      <c r="BV252" s="560"/>
      <c r="BW252" s="560">
        <f ca="1">IF(B252&gt;Summary!$A$1,#N/A,BU252*MGtoAF)</f>
        <v>1535.7835274269921</v>
      </c>
      <c r="BX252" s="560">
        <f>Sheet1!BC254+Sheet1!BD254+Sheet1!BE254+Sheet1!BF254-CG252-CH252</f>
        <v>3.6799999999999997</v>
      </c>
      <c r="BY252" s="560">
        <f t="shared" si="503"/>
        <v>3.6034118048447628</v>
      </c>
      <c r="BZ252" s="560">
        <f>IF(Sheet1!EQ254="FM",CH252,0)</f>
        <v>0</v>
      </c>
      <c r="CA252" s="560">
        <f t="shared" si="504"/>
        <v>0</v>
      </c>
      <c r="CB252" s="560">
        <f>IF(Sheet1!EQ254="OTHER",CH252,0)</f>
        <v>0</v>
      </c>
      <c r="CC252" s="560">
        <f t="shared" si="505"/>
        <v>0</v>
      </c>
      <c r="CD252" s="560">
        <f t="shared" si="506"/>
        <v>0</v>
      </c>
      <c r="CE252" s="560">
        <f t="shared" si="507"/>
        <v>3.6799999999999997</v>
      </c>
      <c r="CF252" s="560">
        <f t="shared" si="508"/>
        <v>3.6034118048447628</v>
      </c>
      <c r="CG252" s="560">
        <f>IF(Sheet1!EQ254="CWA",SUM(Sheet1!BC254:'Sheet1'!BF254),0)</f>
        <v>0</v>
      </c>
      <c r="CH252" s="560">
        <f>IF(OR(Sheet1!EQ254="FM", Sheet1!EQ254="OTHER"),SUM(Sheet1!BC254:'Sheet1'!BF254),0)</f>
        <v>0</v>
      </c>
      <c r="CI252" s="545">
        <f>IF(AND($B252&gt;=$FV252,$B252&lt;=$FW252),MAX(CF252,Sheet1!EJ254,0),MAX(CF252-(7/36)*$K252,0))</f>
        <v>3.6034118048447628</v>
      </c>
      <c r="CJ252" s="560">
        <f t="shared" si="509"/>
        <v>0</v>
      </c>
      <c r="CK252" s="545">
        <f t="shared" si="510"/>
        <v>0</v>
      </c>
      <c r="CL252" s="545">
        <f>IF(AND($O252&gt;0,Sheet1!EN254=1),(1-($O252-Sheet1!$L254)/$O252)*CF252,0)</f>
        <v>0</v>
      </c>
      <c r="CM252" s="545">
        <f>IF(AND(Sheet1!$L254=0,Sheet1!$L253=0, Calculation!CE252&lt;Sheet1!EJ254-0.1,Sheet1!EJ254=Sheet1!EJ253,Sheet1!EJ254=Sheet1!EJ255),Sheet1!EJ254,CF252-CL252)</f>
        <v>3.6034118048447628</v>
      </c>
      <c r="CN252" s="545"/>
      <c r="CO252" s="560"/>
      <c r="CP252" s="560">
        <f t="shared" si="511"/>
        <v>356.09949305713815</v>
      </c>
      <c r="CQ252" s="560"/>
      <c r="CR252" s="560">
        <f ca="1">IF(B252&gt;Summary!$A$1,#N/A,CP252*MGtoAF)</f>
        <v>1092.5132446992998</v>
      </c>
      <c r="CS252" s="560">
        <f>Sheet1!BK254+Sheet1!BL254+Sheet1!BM254-Sheet1!ER254-DA252</f>
        <v>9.61</v>
      </c>
      <c r="CT252" s="560">
        <f t="shared" si="512"/>
        <v>9.4099965881951544</v>
      </c>
      <c r="CU252" s="560">
        <f>IF(Sheet1!ER254="FM",DA252,0)</f>
        <v>0</v>
      </c>
      <c r="CV252" s="560">
        <f t="shared" si="513"/>
        <v>0</v>
      </c>
      <c r="CW252" s="560">
        <f>IF(Sheet1!ER254="OTHER",DA252,0)</f>
        <v>0</v>
      </c>
      <c r="CX252" s="560">
        <f t="shared" si="514"/>
        <v>0</v>
      </c>
      <c r="CY252" s="560">
        <f t="shared" si="515"/>
        <v>9.61</v>
      </c>
      <c r="CZ252" s="560">
        <f t="shared" si="516"/>
        <v>9.4099965881951544</v>
      </c>
      <c r="DA252" s="560">
        <f>IF(OR(Sheet1!ER254="FM", Sheet1!ER254="OTHER"),SUM(Sheet1!BK254:'Sheet1'!BM254),0)</f>
        <v>0</v>
      </c>
      <c r="DB252" s="545">
        <f>IF(AND($B252&gt;=$FV252,$B252&lt;=$FW252),MAX($CT252,Sheet1!EK254,0),MAX($CT252-(7/36)*$K252,0))</f>
        <v>9.4099965881951544</v>
      </c>
      <c r="DC252" s="560">
        <f t="shared" si="517"/>
        <v>0</v>
      </c>
      <c r="DD252" s="545">
        <f t="shared" si="518"/>
        <v>0</v>
      </c>
      <c r="DE252" s="545">
        <f>IF(AND($O252&gt;0,Sheet1!EO254=1),(1-($O252-Sheet1!$L254)/$O252)*CZ252,0)</f>
        <v>0</v>
      </c>
      <c r="DF252" s="545">
        <f>IF(AND(Sheet1!$L254=0,Sheet1!$L253=0, Calculation!CY252&lt;Sheet1!$EK254-0.1,Sheet1!$EK254=Sheet1!$EK253,Sheet1!$EK254=Sheet1!$EK255),Sheet1!$EK254,CZ252-DE252)</f>
        <v>9.4099965881951544</v>
      </c>
      <c r="DG252" s="545"/>
      <c r="DH252" s="560">
        <f t="shared" si="519"/>
        <v>15.309999999999999</v>
      </c>
      <c r="DI252" s="560">
        <f t="shared" si="520"/>
        <v>220.09693916923015</v>
      </c>
      <c r="DJ252" s="698">
        <f t="shared" si="521"/>
        <v>14.99136813374275</v>
      </c>
      <c r="DK252" s="560">
        <f ca="1">IF(B252&gt;Summary!$A$1,#N/A,DI252*MGtoAF)</f>
        <v>675.25740937119815</v>
      </c>
      <c r="DL252" s="698">
        <f t="shared" si="522"/>
        <v>15.309999999999999</v>
      </c>
      <c r="DM252" s="560">
        <f t="shared" si="523"/>
        <v>29.31</v>
      </c>
      <c r="DN252" s="560">
        <f>Sheet1!AB254-DM252</f>
        <v>-0.60999999999999943</v>
      </c>
      <c r="DO252" s="823">
        <f t="shared" si="524"/>
        <v>-2.0812009553053547E-2</v>
      </c>
      <c r="DP252" s="560">
        <f>(VLOOKUP(Sheet1!DC254,hhdcap_wcm,4)-(((VLOOKUP(Sheet1!DC254,hhdcap_wcm,3)-Sheet1!DC254)/(VLOOKUP(Sheet1!DC254,hhdcap_wcm,3)-VLOOKUP(Sheet1!DC254,hhdcap_wcm,1)))*(VLOOKUP(Sheet1!DC254,hhdcap_wcm,4)-VLOOKUP(Sheet1!DC254,hhdcap_wcm,2))))</f>
        <v>34871.000000088403</v>
      </c>
      <c r="DQ252" s="560">
        <f t="shared" si="525"/>
        <v>-394.6000000004351</v>
      </c>
      <c r="DR252" s="560">
        <f t="shared" si="526"/>
        <v>-198.99142713082958</v>
      </c>
      <c r="DS252" s="560">
        <f>Sheet1!EA254*AFtoMG</f>
        <v>0</v>
      </c>
      <c r="DT252" s="560">
        <f>Sheet1!EB254*AFtoMG</f>
        <v>0</v>
      </c>
      <c r="DU252" s="560">
        <f>Sheet1!EC254*AFtoMG</f>
        <v>0</v>
      </c>
      <c r="DV252" s="560">
        <f>Sheet1!ED254*AFtoMG</f>
        <v>0</v>
      </c>
      <c r="DW252" s="560">
        <f t="shared" si="527"/>
        <v>0</v>
      </c>
      <c r="DX252" s="560">
        <f t="shared" si="528"/>
        <v>0</v>
      </c>
      <c r="DY252" s="560">
        <f t="shared" si="529"/>
        <v>2118.3034311704118</v>
      </c>
      <c r="DZ252" s="560">
        <f t="shared" si="530"/>
        <v>6498.9549268308238</v>
      </c>
      <c r="EA252" s="560"/>
      <c r="EB252" s="545">
        <f>IF(OR(B252&lt;FV252,B252&gt;FW252),(MIN(BF252+BY252+CT252+MAX(Sheet1!AA254+AQ252-73,0),K252)),0)</f>
        <v>0</v>
      </c>
      <c r="EC252" s="560"/>
      <c r="ED252" s="560">
        <f t="shared" si="531"/>
        <v>14.991368133742748</v>
      </c>
      <c r="EE252" s="560"/>
      <c r="EF252" s="560">
        <f>Sheet1!EH254+Sheet1!EI254+Sheet1!EJ254+Sheet1!EK254</f>
        <v>14.5</v>
      </c>
      <c r="EG252" s="560"/>
      <c r="EH252" s="545">
        <f t="shared" si="532"/>
        <v>0</v>
      </c>
      <c r="EI252" s="560">
        <f>IF(Sheet1!ET254=1,SUM('Calculations II'!AT252:BA252)+'Calculations II'!BC252+Sheet1!BV254+'Calculations II'!BE252+AP252,SUM('Calculations II'!AT252:BA252)+'Calculations II'!BC252+Sheet1!BV254+'Calculations II'!BE252+AP252)</f>
        <v>75.971727999999999</v>
      </c>
      <c r="EJ252" s="560">
        <f>Sheet1!AA254+Sheet1!AB254+'Calculations II'!BC252</f>
        <v>81.62</v>
      </c>
      <c r="EK252" s="560"/>
      <c r="EL252" s="560"/>
      <c r="EM252" s="560">
        <f t="shared" si="533"/>
        <v>41880</v>
      </c>
      <c r="EN252" s="560">
        <f t="shared" si="534"/>
        <v>-15.013408393039917</v>
      </c>
      <c r="EO252" s="560">
        <f t="shared" si="535"/>
        <v>-23.22574278403275</v>
      </c>
      <c r="EP252" s="560">
        <v>0</v>
      </c>
      <c r="EQ252" s="560">
        <v>0</v>
      </c>
      <c r="ER252" s="560">
        <v>0</v>
      </c>
      <c r="ES252" s="545">
        <f t="shared" si="454"/>
        <v>-2.9137324814291636</v>
      </c>
      <c r="ET252" s="560">
        <f>-(VLOOKUP(Sheet1!BQ254,Lookup!$O$4:$Q$262,2)-VLOOKUP(Sheet1!BQ253,Lookup!$O$4:$Q$262,2))/1000000</f>
        <v>-1.3875084566613101</v>
      </c>
      <c r="EU252" s="560">
        <f>-(VLOOKUP(Sheet1!BR254,Lookup!$O$4:$Q$262,3)-VLOOKUP(Sheet1!BR253,Lookup!$O$4:$Q$262,3))/1000000</f>
        <v>-1.5262240247678533</v>
      </c>
      <c r="EV252" s="560"/>
      <c r="EW252" s="560"/>
      <c r="EX252" s="560"/>
      <c r="EY252" s="560"/>
      <c r="EZ252" s="560"/>
      <c r="FA252" s="560"/>
      <c r="FB252" s="560"/>
      <c r="FC252" s="560"/>
      <c r="FD252" s="594">
        <f t="shared" si="536"/>
        <v>1129.5241379309639</v>
      </c>
      <c r="FE252" s="594" t="e">
        <f t="shared" si="537"/>
        <v>#N/A</v>
      </c>
      <c r="FF252" s="595" t="e">
        <f t="shared" si="538"/>
        <v>#N/A</v>
      </c>
      <c r="FG252" s="596" t="s">
        <v>692</v>
      </c>
      <c r="FH252" s="596" t="s">
        <v>692</v>
      </c>
      <c r="FI252" s="594" t="e">
        <v>#N/A</v>
      </c>
      <c r="FJ252" s="778">
        <v>16035</v>
      </c>
      <c r="FK252" s="560"/>
      <c r="FL252" s="560"/>
      <c r="FM252" s="560"/>
      <c r="FN252" s="560"/>
      <c r="FO252" s="560">
        <f>O252+((Sheet1!CS254)*GPMtoMGD)</f>
        <v>81.62</v>
      </c>
      <c r="FP252" s="560">
        <f>IF(Sheet1!AA254+AQ252&lt;=Calculation!N252,AQ252,Calculation!N252-Sheet1!AA254)</f>
        <v>12.141931081542136</v>
      </c>
      <c r="FQ252" s="560">
        <f>(Sheet1!BP254+Sheet1!BO254)/694.4</f>
        <v>2.8382776497695854</v>
      </c>
      <c r="FR252" s="560"/>
      <c r="FS252" s="560"/>
      <c r="FT252" s="560"/>
      <c r="FU252" s="560"/>
      <c r="FV252" s="695">
        <f t="shared" si="455"/>
        <v>41827</v>
      </c>
      <c r="FW252" s="695">
        <f t="shared" si="456"/>
        <v>41934</v>
      </c>
      <c r="FX252" s="560"/>
      <c r="FY252" s="560"/>
      <c r="FZ252" s="560"/>
      <c r="GA252" s="560"/>
      <c r="GB252" s="560" t="str">
        <f t="shared" si="457"/>
        <v>n</v>
      </c>
      <c r="GC252" s="564">
        <f t="shared" si="458"/>
        <v>41691</v>
      </c>
      <c r="GD252" s="695">
        <f t="shared" si="459"/>
        <v>41807</v>
      </c>
      <c r="GE252" s="560">
        <v>6518.9</v>
      </c>
      <c r="GF252" s="695">
        <f t="shared" si="460"/>
        <v>41808</v>
      </c>
      <c r="GG252" s="560">
        <f t="shared" si="479"/>
        <v>3259</v>
      </c>
      <c r="GH252" s="564">
        <f t="shared" si="461"/>
        <v>41934</v>
      </c>
      <c r="GJ252" s="545">
        <f t="shared" si="462"/>
        <v>0</v>
      </c>
      <c r="GK252" s="560" t="str">
        <f t="shared" si="539"/>
        <v/>
      </c>
      <c r="GL252" s="560">
        <f t="shared" si="463"/>
        <v>0</v>
      </c>
      <c r="GM252" s="560" t="str">
        <f t="shared" si="464"/>
        <v/>
      </c>
      <c r="GN252" s="560">
        <f>IF(GK252="P",Lookup!$M$12,IF(GK252="PP",Lookup!$M$13,IF(GK252="PPP",Lookup!$M$14,IF(GK252="T",Lookup!$M$15,IF(GK252="TP",Lookup!$M$16,IF(GK252="TPP",Lookup!$M$17,IF(GK252="TPPP",Lookup!$M$18,0)))))))*GJ252</f>
        <v>0</v>
      </c>
      <c r="GO252" s="560">
        <f t="shared" si="465"/>
        <v>0</v>
      </c>
      <c r="GP252" s="560">
        <f t="shared" si="540"/>
        <v>3195.4007453333343</v>
      </c>
      <c r="GQ252" s="560">
        <f t="shared" si="473"/>
        <v>1041.5256666666669</v>
      </c>
      <c r="GR252" s="560"/>
      <c r="GS252" s="560">
        <f t="shared" si="466"/>
        <v>0</v>
      </c>
      <c r="GT252" s="560" t="str">
        <f t="shared" si="467"/>
        <v/>
      </c>
      <c r="GU252" s="560">
        <f>IF(GK252="P",Lookup!$N$12,IF(GK252="PP",Lookup!$N$13,IF(GK252="PPP",Lookup!$N$14,IF(GK252="T",Lookup!$N$15,IF(GK252="TP",Lookup!$N$16,IF(GK252="TPP",Lookup!$N$17,IF(GK252="TPPP",Lookup!$N$18,0)))))))*GJ252</f>
        <v>0</v>
      </c>
      <c r="GV252" s="560">
        <f t="shared" si="468"/>
        <v>0</v>
      </c>
      <c r="GW252" s="560">
        <f t="shared" si="541"/>
        <v>1535.7835274269921</v>
      </c>
      <c r="GX252" s="560">
        <f t="shared" si="474"/>
        <v>500.58133227737682</v>
      </c>
      <c r="GY252" s="560"/>
      <c r="GZ252" s="560">
        <f t="shared" si="469"/>
        <v>0</v>
      </c>
      <c r="HA252" s="560" t="str">
        <f t="shared" si="470"/>
        <v/>
      </c>
      <c r="HB252" s="560">
        <f>IF(GK252="P",Lookup!$N$12,IF(GK252="PP",Lookup!$N$13,IF(GK252="PPP",Lookup!$N$14,IF(GK252="T",Lookup!$N$15,IF(GK252="TP",Lookup!$N$16,IF(GK252="TPP",Lookup!$N$17,IF(GK252="TPPP",Lookup!$N$18,0)))))))*GJ252</f>
        <v>0</v>
      </c>
      <c r="HC252" s="545">
        <f t="shared" si="542"/>
        <v>0</v>
      </c>
      <c r="HD252" s="560">
        <f t="shared" si="543"/>
        <v>1092.5132446992998</v>
      </c>
      <c r="HE252" s="560">
        <f t="shared" si="475"/>
        <v>356.09949305713815</v>
      </c>
      <c r="HF252" s="560"/>
      <c r="HG252" s="560">
        <f t="shared" si="471"/>
        <v>0</v>
      </c>
      <c r="HH252" s="560" t="str">
        <f t="shared" si="472"/>
        <v/>
      </c>
      <c r="HI252" s="560">
        <f>IF(GK252="P",Lookup!$N$12,IF(GK252="PP",Lookup!$N$13,IF(GK252="PPP",Lookup!$N$14,IF(GK252="T",Lookup!$N$15,IF(GK252="TP",Lookup!$N$16,IF(GK252="TPP",Lookup!$N$17,IF(GK252="TPPP",Lookup!$N$18,0)))))))*GJ252</f>
        <v>0</v>
      </c>
      <c r="HJ252" s="545">
        <f t="shared" si="544"/>
        <v>0</v>
      </c>
      <c r="HK252" s="560">
        <f t="shared" si="545"/>
        <v>675.25740937119815</v>
      </c>
      <c r="HL252" s="560">
        <f t="shared" si="476"/>
        <v>220.09693916923015</v>
      </c>
    </row>
    <row r="253" spans="1:220">
      <c r="A253" s="580" t="s">
        <v>9</v>
      </c>
      <c r="B253" s="556">
        <v>41881</v>
      </c>
      <c r="C253" s="561">
        <v>0</v>
      </c>
      <c r="D253" s="529">
        <f t="shared" si="477"/>
        <v>200</v>
      </c>
      <c r="E253" s="529">
        <f t="shared" si="478"/>
        <v>400</v>
      </c>
      <c r="F253" s="529">
        <v>250</v>
      </c>
      <c r="G253" s="560">
        <f>DR253+Sheet1!CZ255</f>
        <v>305.58850226928894</v>
      </c>
      <c r="H253" s="914">
        <f t="shared" si="480"/>
        <v>0</v>
      </c>
      <c r="I253" s="559">
        <f>MAX(Sheet1!Z255-AT253+(Sheet1!DA255-E253)*CFStoMGD,0)</f>
        <v>72.655199999999994</v>
      </c>
      <c r="J253" s="562">
        <f>IF(AND(B253&gt;=Calculation!GC253,B253&lt;=Calculation!GD253),IF(Sheet1!DB255&gt;=Calculation!D253,64.64,0),MAX(Sheet1!Z255-AT253+(Sheet1!DB255-D253)*CFStoMGD,0))</f>
        <v>72.655199999999994</v>
      </c>
      <c r="K253" s="904">
        <f t="shared" si="481"/>
        <v>0</v>
      </c>
      <c r="L253" s="560">
        <f>Sheet1!AA255+Sheet1!AB255-Sheet1!L255+(Sheet1!DA255-F253)*CFStoMGD</f>
        <v>214.16519999999679</v>
      </c>
      <c r="M253" s="560">
        <f t="shared" si="482"/>
        <v>201.48305602420575</v>
      </c>
      <c r="N253" s="910">
        <f>IF(Sheet1!DA255&gt;=F253,MIN(73,MIN(MAX(L253,0),MAX(M253,0))),0)</f>
        <v>73</v>
      </c>
      <c r="O253" s="563">
        <f>Sheet1!AA255+Sheet1!AB255</f>
        <v>74.22999999999999</v>
      </c>
      <c r="P253" s="563">
        <f t="shared" si="483"/>
        <v>114.83380999999999</v>
      </c>
      <c r="Q253" s="898">
        <f t="shared" si="444"/>
        <v>59.72999999999999</v>
      </c>
      <c r="R253" s="829">
        <f t="shared" si="484"/>
        <v>14.5</v>
      </c>
      <c r="S253" s="898">
        <f t="shared" si="445"/>
        <v>0</v>
      </c>
      <c r="T253" s="898">
        <f t="shared" si="446"/>
        <v>0</v>
      </c>
      <c r="U253" s="898">
        <f t="shared" si="447"/>
        <v>14.5</v>
      </c>
      <c r="V253" s="898"/>
      <c r="W253" s="898">
        <f t="shared" si="448"/>
        <v>0</v>
      </c>
      <c r="X253" s="898">
        <f t="shared" si="449"/>
        <v>0</v>
      </c>
      <c r="Y253" s="898" t="str">
        <f t="shared" si="450"/>
        <v>FALSE</v>
      </c>
      <c r="Z253" s="898">
        <f t="shared" si="451"/>
        <v>74.22999999999999</v>
      </c>
      <c r="AA253" s="898">
        <f t="shared" si="452"/>
        <v>74.22999999999999</v>
      </c>
      <c r="AB253" s="898" t="str">
        <f t="shared" si="453"/>
        <v/>
      </c>
      <c r="AC253" s="563">
        <f>Sheet1!Y255*MGDtoCFS</f>
        <v>81.867239999999995</v>
      </c>
      <c r="AD253" s="563">
        <f>Sheet1!Z255*MGDtoCFS</f>
        <v>44.398899999999998</v>
      </c>
      <c r="AE253" s="563">
        <f>Sheet1!AA255*MGDtoCFS</f>
        <v>77.705809999999985</v>
      </c>
      <c r="AF253" s="563">
        <f>Sheet1!AB255*MGDtoCFS</f>
        <v>37.128</v>
      </c>
      <c r="AG253" s="563">
        <f>Sheet1!L255*MGDtoCFS</f>
        <v>1.5160600000049524</v>
      </c>
      <c r="AH253" s="545">
        <f t="shared" si="485"/>
        <v>14.5</v>
      </c>
      <c r="AI253" s="560">
        <f t="shared" si="486"/>
        <v>22.4315</v>
      </c>
      <c r="AJ253" s="560">
        <f t="shared" si="487"/>
        <v>0</v>
      </c>
      <c r="AK253" s="560">
        <f t="shared" si="488"/>
        <v>0</v>
      </c>
      <c r="AL253" s="560">
        <f>(VLOOKUP(Sheet1!DC255,hhdcap_wcm,4)-(((VLOOKUP(Sheet1!DC255,hhdcap_wcm,3)-Sheet1!DC255)/(VLOOKUP(Sheet1!DC255,hhdcap_wcm,3)-VLOOKUP(Sheet1!DC255,hhdcap_wcm,1)))*(VLOOKUP(Sheet1!DC255,hhdcap_wcm,4)-VLOOKUP(Sheet1!DC255,hhdcap_wcm,2))))</f>
        <v>34775.000000088403</v>
      </c>
      <c r="AM253" s="560">
        <f t="shared" si="489"/>
        <v>-96</v>
      </c>
      <c r="AN253" s="560">
        <f t="shared" si="490"/>
        <v>2103.8034311704118</v>
      </c>
      <c r="AO253" s="560">
        <f t="shared" si="491"/>
        <v>6454.4689268308239</v>
      </c>
      <c r="AP253" s="560">
        <f>Sheet1!BA255+Sheet1!BB255+Sheet1!BN255+CD253</f>
        <v>10</v>
      </c>
      <c r="AQ253" s="560">
        <f>Sheet1!BN255+(DO253*Sheet1!BN255)</f>
        <v>8.1224818694601133</v>
      </c>
      <c r="AR253" s="560">
        <f>Sheet1!BA255+CD253</f>
        <v>0</v>
      </c>
      <c r="AS253" s="560">
        <f>Sheet1!BA255+Sheet1!BB255+CD253</f>
        <v>1.6</v>
      </c>
      <c r="AT253" s="698">
        <f>0</f>
        <v>0</v>
      </c>
      <c r="AU253" s="560">
        <f>IF(EB253&lt;K253,0,MAX(Sheet1!AA255+AQ253-15/36*K253-N253,Sheet1!EH255,0))</f>
        <v>0</v>
      </c>
      <c r="AV253" s="560">
        <f>IF(OR(B253&gt;=GD253,B253&lt;GC253),0,15/36*K253-MAX(0,64.6-(137.6-(Sheet1!AA255+Sheet1!AB255))))</f>
        <v>0</v>
      </c>
      <c r="AW253" s="698">
        <f>Sheet1!DB255-110</f>
        <v>158</v>
      </c>
      <c r="AX253" s="698">
        <f>Sheet1!DA255-265</f>
        <v>203</v>
      </c>
      <c r="AY253" s="698">
        <f t="shared" si="492"/>
        <v>13.27000000000001</v>
      </c>
      <c r="AZ253" s="1082"/>
      <c r="BA253" s="698">
        <f t="shared" si="493"/>
        <v>0</v>
      </c>
      <c r="BB253" s="560">
        <f t="shared" si="494"/>
        <v>1041.5256666666669</v>
      </c>
      <c r="BC253" s="560"/>
      <c r="BD253" s="560">
        <f ca="1">IF(B253&gt;Summary!$A$1,#N/A,BB253*MGtoAF)</f>
        <v>3195.4007453333343</v>
      </c>
      <c r="BE253" s="560">
        <f>Sheet1!BG255+Sheet1!BH255+Sheet1!BI255-BM253</f>
        <v>2.02</v>
      </c>
      <c r="BF253" s="560">
        <f t="shared" si="495"/>
        <v>1.9532634971796938</v>
      </c>
      <c r="BG253" s="560">
        <f>IF(Sheet1!EP255="FM",BM253,0)</f>
        <v>0</v>
      </c>
      <c r="BH253" s="560">
        <f t="shared" si="496"/>
        <v>0</v>
      </c>
      <c r="BI253" s="560">
        <f>IF(Sheet1!EP255="OTHER",BM253,0)</f>
        <v>0</v>
      </c>
      <c r="BJ253" s="560">
        <f t="shared" si="497"/>
        <v>0</v>
      </c>
      <c r="BK253" s="560">
        <f t="shared" si="498"/>
        <v>2.02</v>
      </c>
      <c r="BL253" s="560">
        <f t="shared" si="499"/>
        <v>1.9532634971796938</v>
      </c>
      <c r="BM253" s="560">
        <f>IF(OR(Sheet1!EP255="FM", Sheet1!EP255="OTHER"),SUM(Sheet1!BG255:'Sheet1'!BI255),0)</f>
        <v>0</v>
      </c>
      <c r="BN253" s="545">
        <f>IF(AND($B253&gt;=$FV253,$B253&lt;=$FW253),MAX(BF253,Sheet1!EI255,0),MAX(BF253-(7/36)*$K253,0))</f>
        <v>2</v>
      </c>
      <c r="BO253" s="560">
        <f t="shared" si="500"/>
        <v>0</v>
      </c>
      <c r="BP253" s="545">
        <f t="shared" si="501"/>
        <v>0</v>
      </c>
      <c r="BQ253" s="545">
        <f>IF(AND($O253&gt;0,Sheet1!EM255=1),(1-($O253-Sheet1!$L255)/$O253)*BL253,0)</f>
        <v>0</v>
      </c>
      <c r="BR253" s="545">
        <f>IF(AND(Sheet1!$L255=0,Sheet1!$L254=0, Calculation!BK253&lt;Sheet1!$EI255-0.1,Sheet1!$EI255=Sheet1!$EI254,Sheet1!$EI255=Sheet1!$EI256),Sheet1!$EI255,BL253-BQ253)</f>
        <v>1.9532634971796938</v>
      </c>
      <c r="BS253" s="560"/>
      <c r="BT253" s="560"/>
      <c r="BU253" s="560">
        <f t="shared" si="502"/>
        <v>498.58133227737682</v>
      </c>
      <c r="BV253" s="560"/>
      <c r="BW253" s="560">
        <f ca="1">IF(B253&gt;Summary!$A$1,#N/A,BU253*MGtoAF)</f>
        <v>1529.6475274269922</v>
      </c>
      <c r="BX253" s="560">
        <f>Sheet1!BC255+Sheet1!BD255+Sheet1!BE255+Sheet1!BF255-CG253-CH253</f>
        <v>3.51</v>
      </c>
      <c r="BY253" s="560">
        <f t="shared" si="503"/>
        <v>3.3940370668815469</v>
      </c>
      <c r="BZ253" s="560">
        <f>IF(Sheet1!EQ255="FM",CH253,0)</f>
        <v>0</v>
      </c>
      <c r="CA253" s="560">
        <f t="shared" si="504"/>
        <v>0</v>
      </c>
      <c r="CB253" s="560">
        <f>IF(Sheet1!EQ255="OTHER",CH253,0)</f>
        <v>0</v>
      </c>
      <c r="CC253" s="560">
        <f t="shared" si="505"/>
        <v>0</v>
      </c>
      <c r="CD253" s="560">
        <f t="shared" si="506"/>
        <v>0</v>
      </c>
      <c r="CE253" s="560">
        <f t="shared" si="507"/>
        <v>3.51</v>
      </c>
      <c r="CF253" s="560">
        <f t="shared" si="508"/>
        <v>3.3940370668815469</v>
      </c>
      <c r="CG253" s="560">
        <f>IF(Sheet1!EQ255="CWA",SUM(Sheet1!BC255:'Sheet1'!BF255),0)</f>
        <v>0</v>
      </c>
      <c r="CH253" s="560">
        <f>IF(OR(Sheet1!EQ255="FM", Sheet1!EQ255="OTHER"),SUM(Sheet1!BC255:'Sheet1'!BF255),0)</f>
        <v>0</v>
      </c>
      <c r="CI253" s="545">
        <f>IF(AND($B253&gt;=$FV253,$B253&lt;=$FW253),MAX(CF253,Sheet1!EJ255,0),MAX(CF253-(7/36)*$K253,0))</f>
        <v>3.5</v>
      </c>
      <c r="CJ253" s="560">
        <f t="shared" si="509"/>
        <v>0</v>
      </c>
      <c r="CK253" s="545">
        <f t="shared" si="510"/>
        <v>0</v>
      </c>
      <c r="CL253" s="545">
        <f>IF(AND($O253&gt;0,Sheet1!EN255=1),(1-($O253-Sheet1!$L255)/$O253)*CF253,0)</f>
        <v>0</v>
      </c>
      <c r="CM253" s="545">
        <f>IF(AND(Sheet1!$L255=0,Sheet1!$L254=0, Calculation!CE253&lt;Sheet1!EJ255-0.1,Sheet1!EJ255=Sheet1!EJ254,Sheet1!EJ255=Sheet1!EJ256),Sheet1!EJ255,CF253-CL253)</f>
        <v>3.3940370668815469</v>
      </c>
      <c r="CN253" s="545"/>
      <c r="CO253" s="560"/>
      <c r="CP253" s="560">
        <f t="shared" si="511"/>
        <v>352.59949305713815</v>
      </c>
      <c r="CQ253" s="560"/>
      <c r="CR253" s="560">
        <f ca="1">IF(B253&gt;Summary!$A$1,#N/A,CP253*MGtoAF)</f>
        <v>1081.7752446992999</v>
      </c>
      <c r="CS253" s="560">
        <f>Sheet1!BK255+Sheet1!BL255+Sheet1!BM255-Sheet1!ER255-DA253</f>
        <v>9.2899999999999991</v>
      </c>
      <c r="CT253" s="560">
        <f t="shared" si="512"/>
        <v>8.9830781627719567</v>
      </c>
      <c r="CU253" s="560">
        <f>IF(Sheet1!ER255="FM",DA253,0)</f>
        <v>0</v>
      </c>
      <c r="CV253" s="560">
        <f t="shared" si="513"/>
        <v>0</v>
      </c>
      <c r="CW253" s="560">
        <f>IF(Sheet1!ER255="OTHER",DA253,0)</f>
        <v>0</v>
      </c>
      <c r="CX253" s="560">
        <f t="shared" si="514"/>
        <v>0</v>
      </c>
      <c r="CY253" s="560">
        <f t="shared" si="515"/>
        <v>9.2899999999999991</v>
      </c>
      <c r="CZ253" s="560">
        <f t="shared" si="516"/>
        <v>8.9830781627719567</v>
      </c>
      <c r="DA253" s="560">
        <f>IF(OR(Sheet1!ER255="FM", Sheet1!ER255="OTHER"),SUM(Sheet1!BK255:'Sheet1'!BM255),0)</f>
        <v>0</v>
      </c>
      <c r="DB253" s="545">
        <f>IF(AND($B253&gt;=$FV253,$B253&lt;=$FW253),MAX($CT253,Sheet1!EK255,0),MAX($CT253-(7/36)*$K253,0))</f>
        <v>9</v>
      </c>
      <c r="DC253" s="560">
        <f t="shared" si="517"/>
        <v>0</v>
      </c>
      <c r="DD253" s="545">
        <f t="shared" si="518"/>
        <v>0</v>
      </c>
      <c r="DE253" s="545">
        <f>IF(AND($O253&gt;0,Sheet1!EO255=1),(1-($O253-Sheet1!$L255)/$O253)*CZ253,0)</f>
        <v>0</v>
      </c>
      <c r="DF253" s="545">
        <f>IF(AND(Sheet1!$L255=0,Sheet1!$L254=0, Calculation!CY253&lt;Sheet1!$EK255-0.1,Sheet1!$EK255=Sheet1!$EK254,Sheet1!$EK255=Sheet1!$EK256),Sheet1!$EK255,CZ253-DE253)</f>
        <v>8.9830781627719567</v>
      </c>
      <c r="DG253" s="545"/>
      <c r="DH253" s="560">
        <f t="shared" si="519"/>
        <v>14.819999999999999</v>
      </c>
      <c r="DI253" s="560">
        <f t="shared" si="520"/>
        <v>211.09693916923015</v>
      </c>
      <c r="DJ253" s="698">
        <f t="shared" si="521"/>
        <v>14.330378726833198</v>
      </c>
      <c r="DK253" s="560">
        <f ca="1">IF(B253&gt;Summary!$A$1,#N/A,DI253*MGtoAF)</f>
        <v>647.64540937119807</v>
      </c>
      <c r="DL253" s="698">
        <f t="shared" si="522"/>
        <v>14.819999999999999</v>
      </c>
      <c r="DM253" s="560">
        <f t="shared" si="523"/>
        <v>24.82</v>
      </c>
      <c r="DN253" s="560">
        <f>Sheet1!AB255-DM253</f>
        <v>-0.82000000000000028</v>
      </c>
      <c r="DO253" s="823">
        <f t="shared" si="524"/>
        <v>-3.3037872683319917E-2</v>
      </c>
      <c r="DP253" s="560">
        <f>(VLOOKUP(Sheet1!DC255,hhdcap_wcm,4)-(((VLOOKUP(Sheet1!DC255,hhdcap_wcm,3)-Sheet1!DC255)/(VLOOKUP(Sheet1!DC255,hhdcap_wcm,3)-VLOOKUP(Sheet1!DC255,hhdcap_wcm,1)))*(VLOOKUP(Sheet1!DC255,hhdcap_wcm,4)-VLOOKUP(Sheet1!DC255,hhdcap_wcm,2))))</f>
        <v>34775.000000088403</v>
      </c>
      <c r="DQ253" s="560">
        <f t="shared" si="525"/>
        <v>-96</v>
      </c>
      <c r="DR253" s="560">
        <f t="shared" si="526"/>
        <v>-48.411497730711034</v>
      </c>
      <c r="DS253" s="560">
        <f>Sheet1!EA255*AFtoMG</f>
        <v>0</v>
      </c>
      <c r="DT253" s="560">
        <f>Sheet1!EB255*AFtoMG</f>
        <v>0</v>
      </c>
      <c r="DU253" s="560">
        <f>Sheet1!EC255*AFtoMG</f>
        <v>0</v>
      </c>
      <c r="DV253" s="560">
        <f>Sheet1!ED255*AFtoMG</f>
        <v>0</v>
      </c>
      <c r="DW253" s="560">
        <f t="shared" si="527"/>
        <v>0</v>
      </c>
      <c r="DX253" s="560">
        <f t="shared" si="528"/>
        <v>0</v>
      </c>
      <c r="DY253" s="560">
        <f t="shared" si="529"/>
        <v>2103.8034311704118</v>
      </c>
      <c r="DZ253" s="560">
        <f t="shared" si="530"/>
        <v>6454.4689268308239</v>
      </c>
      <c r="EA253" s="560"/>
      <c r="EB253" s="545">
        <f>IF(OR(B253&lt;FV253,B253&gt;FW253),(MIN(BF253+BY253+CT253+MAX(Sheet1!AA255+AQ253-73,0),K253)),0)</f>
        <v>0</v>
      </c>
      <c r="EC253" s="560"/>
      <c r="ED253" s="560">
        <f t="shared" si="531"/>
        <v>14.330378726833198</v>
      </c>
      <c r="EE253" s="560"/>
      <c r="EF253" s="560">
        <f>Sheet1!EH255+Sheet1!EI255+Sheet1!EJ255+Sheet1!EK255</f>
        <v>14.5</v>
      </c>
      <c r="EG253" s="560"/>
      <c r="EH253" s="545">
        <f t="shared" si="532"/>
        <v>0</v>
      </c>
      <c r="EI253" s="560">
        <f>IF(Sheet1!ET255=1,SUM('Calculations II'!AT253:BA253)+'Calculations II'!BC253+Sheet1!BV255+'Calculations II'!BE253+AP253,SUM('Calculations II'!AT253:BA253)+'Calculations II'!BC253+Sheet1!BV255+'Calculations II'!BE253+AP253)</f>
        <v>72.825792000000007</v>
      </c>
      <c r="EJ253" s="560">
        <f>Sheet1!AA255+Sheet1!AB255+'Calculations II'!BC253</f>
        <v>74.22999999999999</v>
      </c>
      <c r="EK253" s="560"/>
      <c r="EL253" s="560"/>
      <c r="EM253" s="560">
        <f t="shared" si="533"/>
        <v>41881</v>
      </c>
      <c r="EN253" s="560">
        <f t="shared" si="534"/>
        <v>-14.5</v>
      </c>
      <c r="EO253" s="560">
        <f t="shared" si="535"/>
        <v>-22.4315</v>
      </c>
      <c r="EP253" s="560">
        <v>0</v>
      </c>
      <c r="EQ253" s="560">
        <v>0</v>
      </c>
      <c r="ER253" s="560">
        <v>0</v>
      </c>
      <c r="ES253" s="545">
        <f t="shared" si="454"/>
        <v>1.1101607120476589</v>
      </c>
      <c r="ET253" s="560">
        <f>-(VLOOKUP(Sheet1!BQ255,Lookup!$O$4:$Q$262,2)-VLOOKUP(Sheet1!BQ254,Lookup!$O$4:$Q$262,2))/1000000</f>
        <v>0.55508035602382944</v>
      </c>
      <c r="EU253" s="560">
        <f>-(VLOOKUP(Sheet1!BR255,Lookup!$O$4:$Q$262,3)-VLOOKUP(Sheet1!BR254,Lookup!$O$4:$Q$262,3))/1000000</f>
        <v>0.55508035602382944</v>
      </c>
      <c r="EV253" s="560"/>
      <c r="EW253" s="560"/>
      <c r="EX253" s="560"/>
      <c r="EY253" s="560"/>
      <c r="EZ253" s="560"/>
      <c r="FA253" s="560"/>
      <c r="FB253" s="560"/>
      <c r="FC253" s="560"/>
      <c r="FD253" s="594">
        <f t="shared" si="536"/>
        <v>1129.2327586206195</v>
      </c>
      <c r="FE253" s="594" t="e">
        <f t="shared" si="537"/>
        <v>#N/A</v>
      </c>
      <c r="FF253" s="595" t="e">
        <f t="shared" si="538"/>
        <v>#N/A</v>
      </c>
      <c r="FG253" s="596" t="s">
        <v>692</v>
      </c>
      <c r="FH253" s="596" t="s">
        <v>692</v>
      </c>
      <c r="FI253" s="594" t="e">
        <v>#N/A</v>
      </c>
      <c r="FJ253" s="778">
        <v>15867</v>
      </c>
      <c r="FK253" s="560"/>
      <c r="FL253" s="560"/>
      <c r="FM253" s="560"/>
      <c r="FN253" s="560"/>
      <c r="FO253" s="560">
        <f>O253+((Sheet1!CS255)*GPMtoMGD)</f>
        <v>74.22999999999999</v>
      </c>
      <c r="FP253" s="560">
        <f>IF(Sheet1!AA255+AQ253&lt;=Calculation!N253,AQ253,Calculation!N253-Sheet1!AA255)</f>
        <v>8.1224818694601133</v>
      </c>
      <c r="FQ253" s="560">
        <f>(Sheet1!BP255+Sheet1!BO255)/694.4</f>
        <v>2.9302995391705071</v>
      </c>
      <c r="FR253" s="560"/>
      <c r="FS253" s="560"/>
      <c r="FT253" s="560"/>
      <c r="FU253" s="560"/>
      <c r="FV253" s="695">
        <f t="shared" si="455"/>
        <v>41827</v>
      </c>
      <c r="FW253" s="695">
        <f t="shared" si="456"/>
        <v>41934</v>
      </c>
      <c r="FX253" s="560"/>
      <c r="FY253" s="560"/>
      <c r="FZ253" s="560"/>
      <c r="GA253" s="560"/>
      <c r="GB253" s="560" t="str">
        <f t="shared" si="457"/>
        <v>n</v>
      </c>
      <c r="GC253" s="564">
        <f t="shared" si="458"/>
        <v>41691</v>
      </c>
      <c r="GD253" s="695">
        <f t="shared" si="459"/>
        <v>41807</v>
      </c>
      <c r="GE253" s="560">
        <v>6518.9</v>
      </c>
      <c r="GF253" s="695">
        <f t="shared" si="460"/>
        <v>41808</v>
      </c>
      <c r="GG253" s="560">
        <f t="shared" si="479"/>
        <v>3259</v>
      </c>
      <c r="GH253" s="564">
        <f t="shared" si="461"/>
        <v>41934</v>
      </c>
      <c r="GJ253" s="545">
        <f t="shared" si="462"/>
        <v>0</v>
      </c>
      <c r="GK253" s="560" t="str">
        <f t="shared" si="539"/>
        <v/>
      </c>
      <c r="GL253" s="560">
        <f t="shared" si="463"/>
        <v>0</v>
      </c>
      <c r="GM253" s="560" t="str">
        <f t="shared" si="464"/>
        <v/>
      </c>
      <c r="GN253" s="560">
        <f>IF(GK253="P",Lookup!$M$12,IF(GK253="PP",Lookup!$M$13,IF(GK253="PPP",Lookup!$M$14,IF(GK253="T",Lookup!$M$15,IF(GK253="TP",Lookup!$M$16,IF(GK253="TPP",Lookup!$M$17,IF(GK253="TPPP",Lookup!$M$18,0)))))))*GJ253</f>
        <v>0</v>
      </c>
      <c r="GO253" s="560">
        <f t="shared" si="465"/>
        <v>0</v>
      </c>
      <c r="GP253" s="560">
        <f t="shared" si="540"/>
        <v>3195.4007453333343</v>
      </c>
      <c r="GQ253" s="560">
        <f t="shared" si="473"/>
        <v>1041.5256666666669</v>
      </c>
      <c r="GR253" s="560"/>
      <c r="GS253" s="560">
        <f t="shared" si="466"/>
        <v>0</v>
      </c>
      <c r="GT253" s="560" t="str">
        <f t="shared" si="467"/>
        <v/>
      </c>
      <c r="GU253" s="560">
        <f>IF(GK253="P",Lookup!$N$12,IF(GK253="PP",Lookup!$N$13,IF(GK253="PPP",Lookup!$N$14,IF(GK253="T",Lookup!$N$15,IF(GK253="TP",Lookup!$N$16,IF(GK253="TPP",Lookup!$N$17,IF(GK253="TPPP",Lookup!$N$18,0)))))))*GJ253</f>
        <v>0</v>
      </c>
      <c r="GV253" s="560">
        <f t="shared" si="468"/>
        <v>0</v>
      </c>
      <c r="GW253" s="560">
        <f t="shared" si="541"/>
        <v>1529.6475274269922</v>
      </c>
      <c r="GX253" s="560">
        <f t="shared" si="474"/>
        <v>498.58133227737682</v>
      </c>
      <c r="GY253" s="560"/>
      <c r="GZ253" s="560">
        <f t="shared" si="469"/>
        <v>0</v>
      </c>
      <c r="HA253" s="560" t="str">
        <f t="shared" si="470"/>
        <v/>
      </c>
      <c r="HB253" s="560">
        <f>IF(GK253="P",Lookup!$N$12,IF(GK253="PP",Lookup!$N$13,IF(GK253="PPP",Lookup!$N$14,IF(GK253="T",Lookup!$N$15,IF(GK253="TP",Lookup!$N$16,IF(GK253="TPP",Lookup!$N$17,IF(GK253="TPPP",Lookup!$N$18,0)))))))*GJ253</f>
        <v>0</v>
      </c>
      <c r="HC253" s="545">
        <f t="shared" si="542"/>
        <v>0</v>
      </c>
      <c r="HD253" s="560">
        <f t="shared" si="543"/>
        <v>1081.7752446992999</v>
      </c>
      <c r="HE253" s="560">
        <f t="shared" si="475"/>
        <v>352.59949305713815</v>
      </c>
      <c r="HF253" s="560"/>
      <c r="HG253" s="560">
        <f t="shared" si="471"/>
        <v>0</v>
      </c>
      <c r="HH253" s="560" t="str">
        <f t="shared" si="472"/>
        <v/>
      </c>
      <c r="HI253" s="560">
        <f>IF(GK253="P",Lookup!$N$12,IF(GK253="PP",Lookup!$N$13,IF(GK253="PPP",Lookup!$N$14,IF(GK253="T",Lookup!$N$15,IF(GK253="TP",Lookup!$N$16,IF(GK253="TPP",Lookup!$N$17,IF(GK253="TPPP",Lookup!$N$18,0)))))))*GJ253</f>
        <v>0</v>
      </c>
      <c r="HJ253" s="545">
        <f t="shared" si="544"/>
        <v>0</v>
      </c>
      <c r="HK253" s="560">
        <f t="shared" si="545"/>
        <v>647.64540937119807</v>
      </c>
      <c r="HL253" s="560">
        <f t="shared" si="476"/>
        <v>211.09693916923015</v>
      </c>
    </row>
    <row r="254" spans="1:220">
      <c r="A254" s="580" t="s">
        <v>3</v>
      </c>
      <c r="B254" s="556">
        <v>41882</v>
      </c>
      <c r="C254" s="561">
        <v>0</v>
      </c>
      <c r="D254" s="529">
        <f t="shared" si="477"/>
        <v>200</v>
      </c>
      <c r="E254" s="529">
        <f t="shared" si="478"/>
        <v>400</v>
      </c>
      <c r="F254" s="529">
        <v>250</v>
      </c>
      <c r="G254" s="560">
        <f>DR254+Sheet1!CZ256</f>
        <v>257.17700453846783</v>
      </c>
      <c r="H254" s="914">
        <f t="shared" si="480"/>
        <v>0</v>
      </c>
      <c r="I254" s="559">
        <f>MAX(Sheet1!Z256-AT254+(Sheet1!DA256-E254)*CFStoMGD,0)</f>
        <v>36.927999999999997</v>
      </c>
      <c r="J254" s="562">
        <f>IF(AND(B254&gt;=Calculation!GC254,B254&lt;=Calculation!GD254),IF(Sheet1!DB256&gt;=Calculation!D254,64.64,0),MAX(Sheet1!Z256-AT254+(Sheet1!DB256-D254)*CFStoMGD,0))</f>
        <v>55.6736</v>
      </c>
      <c r="K254" s="904">
        <f t="shared" si="481"/>
        <v>0</v>
      </c>
      <c r="L254" s="560">
        <f>Sheet1!AA256+Sheet1!AB256-Sheet1!L256+(Sheet1!DA256-F254)*CFStoMGD</f>
        <v>181.58799999999999</v>
      </c>
      <c r="M254" s="560">
        <f t="shared" si="482"/>
        <v>169.56400004833893</v>
      </c>
      <c r="N254" s="910">
        <f>IF(Sheet1!DA256&gt;=F254,MIN(73,MIN(MAX(L254,0),MAX(M254,0))),0)</f>
        <v>73</v>
      </c>
      <c r="O254" s="563">
        <f>Sheet1!AA256+Sheet1!AB256</f>
        <v>71.7</v>
      </c>
      <c r="P254" s="563">
        <f t="shared" si="483"/>
        <v>110.9199</v>
      </c>
      <c r="Q254" s="898">
        <f t="shared" si="444"/>
        <v>57.2</v>
      </c>
      <c r="R254" s="829">
        <f t="shared" si="484"/>
        <v>14.5</v>
      </c>
      <c r="S254" s="898">
        <f t="shared" si="445"/>
        <v>0</v>
      </c>
      <c r="T254" s="898">
        <f t="shared" si="446"/>
        <v>0</v>
      </c>
      <c r="U254" s="898">
        <f t="shared" si="447"/>
        <v>14.5</v>
      </c>
      <c r="V254" s="898"/>
      <c r="W254" s="898">
        <f t="shared" si="448"/>
        <v>0</v>
      </c>
      <c r="X254" s="898">
        <f t="shared" si="449"/>
        <v>0</v>
      </c>
      <c r="Y254" s="898" t="str">
        <f t="shared" si="450"/>
        <v>FALSE</v>
      </c>
      <c r="Z254" s="898">
        <f t="shared" si="451"/>
        <v>71.7</v>
      </c>
      <c r="AA254" s="898">
        <f t="shared" si="452"/>
        <v>71.7</v>
      </c>
      <c r="AB254" s="898" t="str">
        <f t="shared" si="453"/>
        <v/>
      </c>
      <c r="AC254" s="563">
        <f>Sheet1!Y256*MGDtoCFS</f>
        <v>77.705809999999985</v>
      </c>
      <c r="AD254" s="563">
        <f>Sheet1!Z256*MGDtoCFS</f>
        <v>37.128</v>
      </c>
      <c r="AE254" s="563">
        <f>Sheet1!AA256*MGDtoCFS</f>
        <v>72.863699999999994</v>
      </c>
      <c r="AF254" s="563">
        <f>Sheet1!AB256*MGDtoCFS</f>
        <v>38.056200000000004</v>
      </c>
      <c r="AG254" s="563">
        <f>Sheet1!L256*MGDtoCFS</f>
        <v>0</v>
      </c>
      <c r="AH254" s="545">
        <f t="shared" si="485"/>
        <v>14.5</v>
      </c>
      <c r="AI254" s="560">
        <f t="shared" si="486"/>
        <v>22.4315</v>
      </c>
      <c r="AJ254" s="560">
        <f t="shared" si="487"/>
        <v>0</v>
      </c>
      <c r="AK254" s="560">
        <f t="shared" si="488"/>
        <v>0</v>
      </c>
      <c r="AL254" s="560">
        <f>(VLOOKUP(Sheet1!DC256,hhdcap_wcm,4)-(((VLOOKUP(Sheet1!DC256,hhdcap_wcm,3)-Sheet1!DC256)/(VLOOKUP(Sheet1!DC256,hhdcap_wcm,3)-VLOOKUP(Sheet1!DC256,hhdcap_wcm,1)))*(VLOOKUP(Sheet1!DC256,hhdcap_wcm,4)-VLOOKUP(Sheet1!DC256,hhdcap_wcm,2))))</f>
        <v>34583.000000088185</v>
      </c>
      <c r="AM254" s="560">
        <f t="shared" si="489"/>
        <v>-192.00000000021828</v>
      </c>
      <c r="AN254" s="560">
        <f t="shared" si="490"/>
        <v>2089.3034311704118</v>
      </c>
      <c r="AO254" s="560">
        <f t="shared" si="491"/>
        <v>6409.982926830824</v>
      </c>
      <c r="AP254" s="560">
        <f>Sheet1!BA256+Sheet1!BB256+Sheet1!BN256+CD254</f>
        <v>10.6</v>
      </c>
      <c r="AQ254" s="560">
        <f>Sheet1!BN256+(DO254*Sheet1!BN256)</f>
        <v>8.8031809145129234</v>
      </c>
      <c r="AR254" s="560">
        <f>Sheet1!BA256+CD254</f>
        <v>0</v>
      </c>
      <c r="AS254" s="560">
        <f>Sheet1!BA256+Sheet1!BB256+CD254</f>
        <v>1.6</v>
      </c>
      <c r="AT254" s="698">
        <f>0</f>
        <v>0</v>
      </c>
      <c r="AU254" s="560">
        <f>IF(EB254&lt;K254,0,MAX(Sheet1!AA256+AQ254-15/36*K254-N254,Sheet1!EH256,0))</f>
        <v>0</v>
      </c>
      <c r="AV254" s="560">
        <f>IF(OR(B254&gt;=GD254,B254&lt;GC254),0,15/36*K254-MAX(0,64.6-(137.6-(Sheet1!AA256+Sheet1!AB256))))</f>
        <v>0</v>
      </c>
      <c r="AW254" s="698">
        <f>Sheet1!DB256-110</f>
        <v>139</v>
      </c>
      <c r="AX254" s="698">
        <f>Sheet1!DA256-265</f>
        <v>155</v>
      </c>
      <c r="AY254" s="698">
        <f t="shared" si="492"/>
        <v>15.799999999999997</v>
      </c>
      <c r="AZ254" s="1082"/>
      <c r="BA254" s="698">
        <f t="shared" si="493"/>
        <v>0</v>
      </c>
      <c r="BB254" s="560">
        <f t="shared" si="494"/>
        <v>1041.5256666666669</v>
      </c>
      <c r="BC254" s="560"/>
      <c r="BD254" s="560">
        <f ca="1">IF(B254&gt;Summary!$A$1,#N/A,BB254*MGtoAF)</f>
        <v>3195.4007453333343</v>
      </c>
      <c r="BE254" s="560">
        <f>Sheet1!BG256+Sheet1!BH256+Sheet1!BI256-BM254</f>
        <v>2.02</v>
      </c>
      <c r="BF254" s="560">
        <f t="shared" si="495"/>
        <v>1.9758250497017895</v>
      </c>
      <c r="BG254" s="560">
        <f>IF(Sheet1!EP256="FM",BM254,0)</f>
        <v>0</v>
      </c>
      <c r="BH254" s="560">
        <f t="shared" si="496"/>
        <v>0</v>
      </c>
      <c r="BI254" s="560">
        <f>IF(Sheet1!EP256="OTHER",BM254,0)</f>
        <v>0</v>
      </c>
      <c r="BJ254" s="560">
        <f t="shared" si="497"/>
        <v>0</v>
      </c>
      <c r="BK254" s="560">
        <f t="shared" si="498"/>
        <v>2.02</v>
      </c>
      <c r="BL254" s="560">
        <f t="shared" si="499"/>
        <v>1.9758250497017895</v>
      </c>
      <c r="BM254" s="560">
        <f>IF(OR(Sheet1!EP256="FM", Sheet1!EP256="OTHER"),SUM(Sheet1!BG256:'Sheet1'!BI256),0)</f>
        <v>0</v>
      </c>
      <c r="BN254" s="545">
        <f>IF(AND($B254&gt;=$FV254,$B254&lt;=$FW254),MAX(BF254,Sheet1!EI256,0),MAX(BF254-(7/36)*$K254,0))</f>
        <v>2</v>
      </c>
      <c r="BO254" s="560">
        <f t="shared" si="500"/>
        <v>0</v>
      </c>
      <c r="BP254" s="545">
        <f t="shared" si="501"/>
        <v>0</v>
      </c>
      <c r="BQ254" s="545">
        <f>IF(AND($O254&gt;0,Sheet1!EM256=1),(1-($O254-Sheet1!$L256)/$O254)*BL254,0)</f>
        <v>0</v>
      </c>
      <c r="BR254" s="545">
        <f>IF(AND(Sheet1!$L256=0,Sheet1!$L255=0, Calculation!BK254&lt;Sheet1!$EI256-0.1,Sheet1!$EI256=Sheet1!$EI255,Sheet1!$EI256=Sheet1!$EI257),Sheet1!$EI256,BL254-BQ254)</f>
        <v>1.9758250497017895</v>
      </c>
      <c r="BS254" s="560"/>
      <c r="BT254" s="560"/>
      <c r="BU254" s="560">
        <f t="shared" si="502"/>
        <v>496.58133227737682</v>
      </c>
      <c r="BV254" s="560"/>
      <c r="BW254" s="560">
        <f ca="1">IF(B254&gt;Summary!$A$1,#N/A,BU254*MGtoAF)</f>
        <v>1523.5115274269922</v>
      </c>
      <c r="BX254" s="560">
        <f>Sheet1!BC256+Sheet1!BD256+Sheet1!BE256+Sheet1!BF256-CG254-CH254</f>
        <v>3.51</v>
      </c>
      <c r="BY254" s="560">
        <f t="shared" si="503"/>
        <v>3.4332405566600399</v>
      </c>
      <c r="BZ254" s="560">
        <f>IF(Sheet1!EQ256="FM",CH254,0)</f>
        <v>0</v>
      </c>
      <c r="CA254" s="560">
        <f t="shared" si="504"/>
        <v>0</v>
      </c>
      <c r="CB254" s="560">
        <f>IF(Sheet1!EQ256="OTHER",CH254,0)</f>
        <v>0</v>
      </c>
      <c r="CC254" s="560">
        <f t="shared" si="505"/>
        <v>0</v>
      </c>
      <c r="CD254" s="560">
        <f t="shared" si="506"/>
        <v>0</v>
      </c>
      <c r="CE254" s="560">
        <f t="shared" si="507"/>
        <v>3.51</v>
      </c>
      <c r="CF254" s="560">
        <f t="shared" si="508"/>
        <v>3.4332405566600399</v>
      </c>
      <c r="CG254" s="560">
        <f>IF(Sheet1!EQ256="CWA",SUM(Sheet1!BC256:'Sheet1'!BF256),0)</f>
        <v>0</v>
      </c>
      <c r="CH254" s="560">
        <f>IF(OR(Sheet1!EQ256="FM", Sheet1!EQ256="OTHER"),SUM(Sheet1!BC256:'Sheet1'!BF256),0)</f>
        <v>0</v>
      </c>
      <c r="CI254" s="545">
        <f>IF(AND($B254&gt;=$FV254,$B254&lt;=$FW254),MAX(CF254,Sheet1!EJ256,0),MAX(CF254-(7/36)*$K254,0))</f>
        <v>3.5</v>
      </c>
      <c r="CJ254" s="560">
        <f t="shared" si="509"/>
        <v>0</v>
      </c>
      <c r="CK254" s="545">
        <f t="shared" si="510"/>
        <v>0</v>
      </c>
      <c r="CL254" s="545">
        <f>IF(AND($O254&gt;0,Sheet1!EN256=1),(1-($O254-Sheet1!$L256)/$O254)*CF254,0)</f>
        <v>0</v>
      </c>
      <c r="CM254" s="545">
        <f>IF(AND(Sheet1!$L256=0,Sheet1!$L255=0, Calculation!CE254&lt;Sheet1!EJ256-0.1,Sheet1!EJ256=Sheet1!EJ255,Sheet1!EJ256=Sheet1!EJ257),Sheet1!EJ256,CF254-CL254)</f>
        <v>3.4332405566600399</v>
      </c>
      <c r="CN254" s="545"/>
      <c r="CO254" s="560"/>
      <c r="CP254" s="560">
        <f t="shared" si="511"/>
        <v>349.09949305713815</v>
      </c>
      <c r="CQ254" s="560"/>
      <c r="CR254" s="560">
        <f ca="1">IF(B254&gt;Summary!$A$1,#N/A,CP254*MGtoAF)</f>
        <v>1071.0372446992999</v>
      </c>
      <c r="CS254" s="560">
        <f>Sheet1!BK256+Sheet1!BL256+Sheet1!BM256-Sheet1!ER256-DA254</f>
        <v>9.02</v>
      </c>
      <c r="CT254" s="560">
        <f t="shared" si="512"/>
        <v>8.822743538767396</v>
      </c>
      <c r="CU254" s="560">
        <f>IF(Sheet1!ER256="FM",DA254,0)</f>
        <v>0</v>
      </c>
      <c r="CV254" s="560">
        <f t="shared" si="513"/>
        <v>0</v>
      </c>
      <c r="CW254" s="560">
        <f>IF(Sheet1!ER256="OTHER",DA254,0)</f>
        <v>0</v>
      </c>
      <c r="CX254" s="560">
        <f t="shared" si="514"/>
        <v>0</v>
      </c>
      <c r="CY254" s="560">
        <f t="shared" si="515"/>
        <v>9.02</v>
      </c>
      <c r="CZ254" s="560">
        <f t="shared" si="516"/>
        <v>8.822743538767396</v>
      </c>
      <c r="DA254" s="560">
        <f>IF(OR(Sheet1!ER256="FM", Sheet1!ER256="OTHER"),SUM(Sheet1!BK256:'Sheet1'!BM256),0)</f>
        <v>0</v>
      </c>
      <c r="DB254" s="545">
        <f>IF(AND($B254&gt;=$FV254,$B254&lt;=$FW254),MAX($CT254,Sheet1!EK256,0),MAX($CT254-(7/36)*$K254,0))</f>
        <v>9</v>
      </c>
      <c r="DC254" s="560">
        <f t="shared" si="517"/>
        <v>0</v>
      </c>
      <c r="DD254" s="545">
        <f t="shared" si="518"/>
        <v>0</v>
      </c>
      <c r="DE254" s="545">
        <f>IF(AND($O254&gt;0,Sheet1!EO256=1),(1-($O254-Sheet1!$L256)/$O254)*CZ254,0)</f>
        <v>0</v>
      </c>
      <c r="DF254" s="545">
        <f>IF(AND(Sheet1!$L256=0,Sheet1!$L255=0, Calculation!CY254&lt;Sheet1!$EK256-0.1,Sheet1!$EK256=Sheet1!$EK255,Sheet1!$EK256=Sheet1!$EK257),Sheet1!$EK256,CZ254-DE254)</f>
        <v>8.822743538767396</v>
      </c>
      <c r="DG254" s="545"/>
      <c r="DH254" s="560">
        <f t="shared" si="519"/>
        <v>14.549999999999999</v>
      </c>
      <c r="DI254" s="560">
        <f t="shared" si="520"/>
        <v>202.09693916923015</v>
      </c>
      <c r="DJ254" s="698">
        <f t="shared" si="521"/>
        <v>14.231809145129226</v>
      </c>
      <c r="DK254" s="560">
        <f ca="1">IF(B254&gt;Summary!$A$1,#N/A,DI254*MGtoAF)</f>
        <v>620.0334093711981</v>
      </c>
      <c r="DL254" s="698">
        <f t="shared" si="522"/>
        <v>14.549999999999999</v>
      </c>
      <c r="DM254" s="560">
        <f t="shared" si="523"/>
        <v>25.15</v>
      </c>
      <c r="DN254" s="560">
        <f>Sheet1!AB256-DM254</f>
        <v>-0.54999999999999716</v>
      </c>
      <c r="DO254" s="823">
        <f t="shared" si="524"/>
        <v>-2.1868787276341835E-2</v>
      </c>
      <c r="DP254" s="560">
        <f>(VLOOKUP(Sheet1!DC256,hhdcap_wcm,4)-(((VLOOKUP(Sheet1!DC256,hhdcap_wcm,3)-Sheet1!DC256)/(VLOOKUP(Sheet1!DC256,hhdcap_wcm,3)-VLOOKUP(Sheet1!DC256,hhdcap_wcm,1)))*(VLOOKUP(Sheet1!DC256,hhdcap_wcm,4)-VLOOKUP(Sheet1!DC256,hhdcap_wcm,2))))</f>
        <v>34583.000000088185</v>
      </c>
      <c r="DQ254" s="560">
        <f t="shared" si="525"/>
        <v>-192.00000000021828</v>
      </c>
      <c r="DR254" s="560">
        <f t="shared" si="526"/>
        <v>-96.822995461532145</v>
      </c>
      <c r="DS254" s="560">
        <f>Sheet1!EA256*AFtoMG</f>
        <v>0</v>
      </c>
      <c r="DT254" s="560">
        <f>Sheet1!EB256*AFtoMG</f>
        <v>0</v>
      </c>
      <c r="DU254" s="560">
        <f>Sheet1!EC256*AFtoMG</f>
        <v>0</v>
      </c>
      <c r="DV254" s="560">
        <f>Sheet1!ED256*AFtoMG</f>
        <v>0</v>
      </c>
      <c r="DW254" s="560">
        <f t="shared" si="527"/>
        <v>0</v>
      </c>
      <c r="DX254" s="560">
        <f t="shared" si="528"/>
        <v>0</v>
      </c>
      <c r="DY254" s="560">
        <f t="shared" si="529"/>
        <v>2089.3034311704118</v>
      </c>
      <c r="DZ254" s="560">
        <f t="shared" si="530"/>
        <v>6409.982926830824</v>
      </c>
      <c r="EA254" s="560"/>
      <c r="EB254" s="545">
        <f>IF(OR(B254&lt;FV254,B254&gt;FW254),(MIN(BF254+BY254+CT254+MAX(Sheet1!AA256+AQ254-73,0),K254)),0)</f>
        <v>0</v>
      </c>
      <c r="EC254" s="560"/>
      <c r="ED254" s="560">
        <f t="shared" si="531"/>
        <v>14.231809145129226</v>
      </c>
      <c r="EE254" s="560"/>
      <c r="EF254" s="560">
        <f>Sheet1!EH256+Sheet1!EI256+Sheet1!EJ256+Sheet1!EK256</f>
        <v>14.5</v>
      </c>
      <c r="EG254" s="560"/>
      <c r="EH254" s="545">
        <f t="shared" si="532"/>
        <v>0</v>
      </c>
      <c r="EI254" s="560">
        <f>IF(Sheet1!ET256=1,SUM('Calculations II'!AT254:BA254)+'Calculations II'!BC254+Sheet1!BV256+'Calculations II'!BE254+AP254,SUM('Calculations II'!AT254:BA254)+'Calculations II'!BC254+Sheet1!BV256+'Calculations II'!BE254+AP254)</f>
        <v>67.836944000000003</v>
      </c>
      <c r="EJ254" s="560">
        <f>Sheet1!AA256+Sheet1!AB256+'Calculations II'!BC254</f>
        <v>71.7</v>
      </c>
      <c r="EK254" s="560"/>
      <c r="EL254" s="560"/>
      <c r="EM254" s="560">
        <f t="shared" si="533"/>
        <v>41882</v>
      </c>
      <c r="EN254" s="560">
        <f t="shared" si="534"/>
        <v>-14.5</v>
      </c>
      <c r="EO254" s="560">
        <f t="shared" si="535"/>
        <v>-22.4315</v>
      </c>
      <c r="EP254" s="560">
        <v>0</v>
      </c>
      <c r="EQ254" s="560">
        <v>0</v>
      </c>
      <c r="ER254" s="560">
        <v>0</v>
      </c>
      <c r="ES254" s="545">
        <f t="shared" si="454"/>
        <v>-1.6653180485251919</v>
      </c>
      <c r="ET254" s="560">
        <f>-(VLOOKUP(Sheet1!BQ256,Lookup!$O$4:$Q$262,2)-VLOOKUP(Sheet1!BQ255,Lookup!$O$4:$Q$262,2))/1000000</f>
        <v>-0.83265902426259597</v>
      </c>
      <c r="EU254" s="560">
        <f>-(VLOOKUP(Sheet1!BR256,Lookup!$O$4:$Q$262,3)-VLOOKUP(Sheet1!BR255,Lookup!$O$4:$Q$262,3))/1000000</f>
        <v>-0.83265902426259597</v>
      </c>
      <c r="EV254" s="560"/>
      <c r="EW254" s="560"/>
      <c r="EX254" s="560"/>
      <c r="EY254" s="560"/>
      <c r="EZ254" s="560"/>
      <c r="FA254" s="560"/>
      <c r="FB254" s="560"/>
      <c r="FC254" s="560"/>
      <c r="FD254" s="594">
        <f t="shared" si="536"/>
        <v>1128.942105263088</v>
      </c>
      <c r="FE254" s="594" t="e">
        <f t="shared" si="537"/>
        <v>#N/A</v>
      </c>
      <c r="FF254" s="595" t="e">
        <f t="shared" si="538"/>
        <v>#N/A</v>
      </c>
      <c r="FG254" s="596" t="s">
        <v>692</v>
      </c>
      <c r="FH254" s="596" t="s">
        <v>692</v>
      </c>
      <c r="FI254" s="594" t="e">
        <v>#N/A</v>
      </c>
      <c r="FJ254" s="778">
        <v>15700</v>
      </c>
      <c r="FK254" s="560"/>
      <c r="FL254" s="560"/>
      <c r="FM254" s="560"/>
      <c r="FN254" s="560"/>
      <c r="FO254" s="560">
        <f>O254+((Sheet1!CS256)*GPMtoMGD)</f>
        <v>71.7</v>
      </c>
      <c r="FP254" s="560">
        <f>IF(Sheet1!AA256+AQ254&lt;=Calculation!N254,AQ254,Calculation!N254-Sheet1!AA256)</f>
        <v>8.8031809145129234</v>
      </c>
      <c r="FQ254" s="560">
        <f>(Sheet1!BP256+Sheet1!BO256)/694.4</f>
        <v>2.0208813364055298</v>
      </c>
      <c r="FR254" s="560"/>
      <c r="FS254" s="560"/>
      <c r="FT254" s="560"/>
      <c r="FU254" s="560"/>
      <c r="FV254" s="695">
        <f t="shared" si="455"/>
        <v>41827</v>
      </c>
      <c r="FW254" s="695">
        <f t="shared" si="456"/>
        <v>41934</v>
      </c>
      <c r="FX254" s="560"/>
      <c r="FY254" s="560"/>
      <c r="FZ254" s="560"/>
      <c r="GA254" s="560"/>
      <c r="GB254" s="560" t="str">
        <f t="shared" si="457"/>
        <v>n</v>
      </c>
      <c r="GC254" s="564">
        <f t="shared" si="458"/>
        <v>41691</v>
      </c>
      <c r="GD254" s="695">
        <f t="shared" si="459"/>
        <v>41807</v>
      </c>
      <c r="GE254" s="560">
        <v>6518.9</v>
      </c>
      <c r="GF254" s="695">
        <f t="shared" si="460"/>
        <v>41808</v>
      </c>
      <c r="GG254" s="560">
        <f t="shared" si="479"/>
        <v>3259</v>
      </c>
      <c r="GH254" s="564">
        <f t="shared" si="461"/>
        <v>41934</v>
      </c>
      <c r="GJ254" s="545">
        <f t="shared" si="462"/>
        <v>0</v>
      </c>
      <c r="GK254" s="560" t="str">
        <f t="shared" si="539"/>
        <v/>
      </c>
      <c r="GL254" s="560">
        <f t="shared" si="463"/>
        <v>0</v>
      </c>
      <c r="GM254" s="560" t="str">
        <f t="shared" si="464"/>
        <v/>
      </c>
      <c r="GN254" s="560">
        <f>IF(GK254="P",Lookup!$M$12,IF(GK254="PP",Lookup!$M$13,IF(GK254="PPP",Lookup!$M$14,IF(GK254="T",Lookup!$M$15,IF(GK254="TP",Lookup!$M$16,IF(GK254="TPP",Lookup!$M$17,IF(GK254="TPPP",Lookup!$M$18,0)))))))*GJ254</f>
        <v>0</v>
      </c>
      <c r="GO254" s="560">
        <f t="shared" si="465"/>
        <v>0</v>
      </c>
      <c r="GP254" s="560">
        <f t="shared" si="540"/>
        <v>3195.4007453333343</v>
      </c>
      <c r="GQ254" s="560">
        <f t="shared" si="473"/>
        <v>1041.5256666666669</v>
      </c>
      <c r="GR254" s="560"/>
      <c r="GS254" s="560">
        <f t="shared" si="466"/>
        <v>0</v>
      </c>
      <c r="GT254" s="560" t="str">
        <f t="shared" si="467"/>
        <v/>
      </c>
      <c r="GU254" s="560">
        <f>IF(GK254="P",Lookup!$N$12,IF(GK254="PP",Lookup!$N$13,IF(GK254="PPP",Lookup!$N$14,IF(GK254="T",Lookup!$N$15,IF(GK254="TP",Lookup!$N$16,IF(GK254="TPP",Lookup!$N$17,IF(GK254="TPPP",Lookup!$N$18,0)))))))*GJ254</f>
        <v>0</v>
      </c>
      <c r="GV254" s="560">
        <f t="shared" si="468"/>
        <v>0</v>
      </c>
      <c r="GW254" s="560">
        <f t="shared" si="541"/>
        <v>1523.5115274269922</v>
      </c>
      <c r="GX254" s="560">
        <f t="shared" si="474"/>
        <v>496.58133227737682</v>
      </c>
      <c r="GY254" s="560"/>
      <c r="GZ254" s="560">
        <f t="shared" si="469"/>
        <v>0</v>
      </c>
      <c r="HA254" s="560" t="str">
        <f t="shared" si="470"/>
        <v/>
      </c>
      <c r="HB254" s="560">
        <f>IF(GK254="P",Lookup!$N$12,IF(GK254="PP",Lookup!$N$13,IF(GK254="PPP",Lookup!$N$14,IF(GK254="T",Lookup!$N$15,IF(GK254="TP",Lookup!$N$16,IF(GK254="TPP",Lookup!$N$17,IF(GK254="TPPP",Lookup!$N$18,0)))))))*GJ254</f>
        <v>0</v>
      </c>
      <c r="HC254" s="545">
        <f t="shared" si="542"/>
        <v>0</v>
      </c>
      <c r="HD254" s="560">
        <f t="shared" si="543"/>
        <v>1071.0372446992999</v>
      </c>
      <c r="HE254" s="560">
        <f t="shared" si="475"/>
        <v>349.09949305713815</v>
      </c>
      <c r="HF254" s="560"/>
      <c r="HG254" s="560">
        <f t="shared" si="471"/>
        <v>0</v>
      </c>
      <c r="HH254" s="560" t="str">
        <f t="shared" si="472"/>
        <v/>
      </c>
      <c r="HI254" s="560">
        <f>IF(GK254="P",Lookup!$N$12,IF(GK254="PP",Lookup!$N$13,IF(GK254="PPP",Lookup!$N$14,IF(GK254="T",Lookup!$N$15,IF(GK254="TP",Lookup!$N$16,IF(GK254="TPP",Lookup!$N$17,IF(GK254="TPPP",Lookup!$N$18,0)))))))*GJ254</f>
        <v>0</v>
      </c>
      <c r="HJ254" s="545">
        <f t="shared" si="544"/>
        <v>0</v>
      </c>
      <c r="HK254" s="560">
        <f t="shared" si="545"/>
        <v>620.0334093711981</v>
      </c>
      <c r="HL254" s="560">
        <f t="shared" si="476"/>
        <v>202.09693916923015</v>
      </c>
    </row>
    <row r="255" spans="1:220">
      <c r="A255" s="580" t="s">
        <v>4</v>
      </c>
      <c r="B255" s="556">
        <v>41883</v>
      </c>
      <c r="C255" s="561">
        <v>0</v>
      </c>
      <c r="D255" s="529">
        <f t="shared" si="477"/>
        <v>200</v>
      </c>
      <c r="E255" s="529">
        <f t="shared" si="478"/>
        <v>400</v>
      </c>
      <c r="F255" s="529">
        <v>250</v>
      </c>
      <c r="G255" s="560">
        <f>DR255+Sheet1!CZ257</f>
        <v>225.15481593487897</v>
      </c>
      <c r="H255" s="914">
        <f t="shared" si="480"/>
        <v>0</v>
      </c>
      <c r="I255" s="559">
        <f>MAX(Sheet1!Z257-AT255+(Sheet1!DA257-E255)*CFStoMGD,0)</f>
        <v>31.064</v>
      </c>
      <c r="J255" s="562">
        <f>IF(AND(B255&gt;=Calculation!GC255,B255&lt;=Calculation!GD255),IF(Sheet1!DB257&gt;=Calculation!D255,64.64,0),MAX(Sheet1!Z257-AT255+(Sheet1!DB257-D255)*CFStoMGD,0))</f>
        <v>49.809600000000003</v>
      </c>
      <c r="K255" s="904">
        <f t="shared" si="481"/>
        <v>0</v>
      </c>
      <c r="L255" s="560">
        <f>Sheet1!AA257+Sheet1!AB257-Sheet1!L257+(Sheet1!DA257-F255)*CFStoMGD</f>
        <v>170.774</v>
      </c>
      <c r="M255" s="560">
        <f t="shared" si="482"/>
        <v>148.45087448071189</v>
      </c>
      <c r="N255" s="910">
        <f>IF(Sheet1!DA257&gt;=F255,MIN(73,MIN(MAX(L255,0),MAX(M255,0))),0)</f>
        <v>73</v>
      </c>
      <c r="O255" s="563">
        <f>Sheet1!AA257+Sheet1!AB257</f>
        <v>67.349999999999994</v>
      </c>
      <c r="P255" s="563">
        <f t="shared" si="483"/>
        <v>104.19045</v>
      </c>
      <c r="Q255" s="898">
        <f t="shared" si="444"/>
        <v>52.849999999999994</v>
      </c>
      <c r="R255" s="829">
        <f t="shared" si="484"/>
        <v>14.5</v>
      </c>
      <c r="S255" s="898">
        <f t="shared" si="445"/>
        <v>0</v>
      </c>
      <c r="T255" s="898">
        <f t="shared" si="446"/>
        <v>0</v>
      </c>
      <c r="U255" s="898">
        <f t="shared" si="447"/>
        <v>14.5</v>
      </c>
      <c r="V255" s="898"/>
      <c r="W255" s="898">
        <f t="shared" si="448"/>
        <v>0</v>
      </c>
      <c r="X255" s="898">
        <f t="shared" si="449"/>
        <v>0</v>
      </c>
      <c r="Y255" s="898" t="str">
        <f t="shared" si="450"/>
        <v>FALSE</v>
      </c>
      <c r="Z255" s="898">
        <f t="shared" si="451"/>
        <v>67.349999999999994</v>
      </c>
      <c r="AA255" s="898">
        <f t="shared" si="452"/>
        <v>67.349999999999994</v>
      </c>
      <c r="AB255" s="898" t="str">
        <f t="shared" si="453"/>
        <v/>
      </c>
      <c r="AC255" s="563">
        <f>Sheet1!Y257*MGDtoCFS</f>
        <v>72.863699999999994</v>
      </c>
      <c r="AD255" s="563">
        <f>Sheet1!Z257*MGDtoCFS</f>
        <v>38.056200000000004</v>
      </c>
      <c r="AE255" s="563">
        <f>Sheet1!AA257*MGDtoCFS</f>
        <v>53.216799999999992</v>
      </c>
      <c r="AF255" s="563">
        <f>Sheet1!AB257*MGDtoCFS</f>
        <v>50.973649999999999</v>
      </c>
      <c r="AG255" s="563">
        <f>Sheet1!L257*MGDtoCFS</f>
        <v>0</v>
      </c>
      <c r="AH255" s="545">
        <f t="shared" si="485"/>
        <v>14.5</v>
      </c>
      <c r="AI255" s="560">
        <f t="shared" si="486"/>
        <v>22.4315</v>
      </c>
      <c r="AJ255" s="560">
        <f t="shared" si="487"/>
        <v>0</v>
      </c>
      <c r="AK255" s="560">
        <f t="shared" si="488"/>
        <v>0</v>
      </c>
      <c r="AL255" s="560">
        <f>(VLOOKUP(Sheet1!DC257,hhdcap_wcm,4)-(((VLOOKUP(Sheet1!DC257,hhdcap_wcm,3)-Sheet1!DC257)/(VLOOKUP(Sheet1!DC257,hhdcap_wcm,3)-VLOOKUP(Sheet1!DC257,hhdcap_wcm,1)))*(VLOOKUP(Sheet1!DC257,hhdcap_wcm,4)-VLOOKUP(Sheet1!DC257,hhdcap_wcm,2))))</f>
        <v>34327.50000008705</v>
      </c>
      <c r="AM255" s="560">
        <f t="shared" si="489"/>
        <v>-255.50000000113505</v>
      </c>
      <c r="AN255" s="560">
        <f t="shared" si="490"/>
        <v>2074.8034311704118</v>
      </c>
      <c r="AO255" s="560">
        <f t="shared" si="491"/>
        <v>6365.4969268308232</v>
      </c>
      <c r="AP255" s="560">
        <f>Sheet1!BA257+Sheet1!BB257+Sheet1!BN257+CD255</f>
        <v>18.8</v>
      </c>
      <c r="AQ255" s="560">
        <f>Sheet1!BN257+(DO255*Sheet1!BN257)</f>
        <v>16.958108916816279</v>
      </c>
      <c r="AR255" s="560">
        <f>Sheet1!BA257+CD255</f>
        <v>0</v>
      </c>
      <c r="AS255" s="560">
        <f>Sheet1!BA257+Sheet1!BB257+CD255</f>
        <v>1.6</v>
      </c>
      <c r="AT255" s="698">
        <f>0</f>
        <v>0</v>
      </c>
      <c r="AU255" s="560">
        <f>IF(EB255&lt;K255,0,MAX(Sheet1!AA257+AQ255-15/36*K255-N255,Sheet1!EH257,0))</f>
        <v>0</v>
      </c>
      <c r="AV255" s="560">
        <f>IF(OR(B255&gt;=GD255,B255&lt;GC255),0,15/36*K255-MAX(0,64.6-(137.6-(Sheet1!AA257+Sheet1!AB257))))</f>
        <v>0</v>
      </c>
      <c r="AW255" s="698">
        <f>Sheet1!DB257-110</f>
        <v>129</v>
      </c>
      <c r="AX255" s="698">
        <f>Sheet1!DA257-265</f>
        <v>145</v>
      </c>
      <c r="AY255" s="698">
        <f t="shared" si="492"/>
        <v>20.150000000000006</v>
      </c>
      <c r="AZ255" s="698">
        <v>0</v>
      </c>
      <c r="BA255" s="698">
        <f t="shared" si="493"/>
        <v>0</v>
      </c>
      <c r="BB255" s="560">
        <f t="shared" si="494"/>
        <v>1041.5256666666669</v>
      </c>
      <c r="BC255" s="560"/>
      <c r="BD255" s="560">
        <f ca="1">IF(B255&gt;Summary!$A$1,#N/A,BB255*MGtoAF)</f>
        <v>3195.4007453333343</v>
      </c>
      <c r="BE255" s="560">
        <f>Sheet1!BG257+Sheet1!BH257+Sheet1!BI257-BM255</f>
        <v>2.02</v>
      </c>
      <c r="BF255" s="560">
        <f t="shared" si="495"/>
        <v>1.9915918611609815</v>
      </c>
      <c r="BG255" s="560">
        <f>IF(Sheet1!EP257="FM",BM255,0)</f>
        <v>0</v>
      </c>
      <c r="BH255" s="560">
        <f t="shared" si="496"/>
        <v>0</v>
      </c>
      <c r="BI255" s="560">
        <f>IF(Sheet1!EP257="OTHER",BM255,0)</f>
        <v>0</v>
      </c>
      <c r="BJ255" s="560">
        <f t="shared" si="497"/>
        <v>0</v>
      </c>
      <c r="BK255" s="560">
        <f t="shared" si="498"/>
        <v>2.02</v>
      </c>
      <c r="BL255" s="560">
        <f t="shared" si="499"/>
        <v>1.9915918611609815</v>
      </c>
      <c r="BM255" s="560">
        <f>IF(OR(Sheet1!EP257="FM", Sheet1!EP257="OTHER"),SUM(Sheet1!BG257:'Sheet1'!BI257),0)</f>
        <v>0</v>
      </c>
      <c r="BN255" s="545">
        <f>IF(AND($B255&gt;=$FV255,$B255&lt;=$FW255),MAX(BF255,Sheet1!EI257,0),MAX(BF255-(7/36)*$K255,0))</f>
        <v>2</v>
      </c>
      <c r="BO255" s="560">
        <f t="shared" si="500"/>
        <v>0</v>
      </c>
      <c r="BP255" s="545">
        <f t="shared" si="501"/>
        <v>0</v>
      </c>
      <c r="BQ255" s="545">
        <f>IF(AND($O255&gt;0,Sheet1!EM257=1),(1-($O255-Sheet1!$L257)/$O255)*BL255,0)</f>
        <v>0</v>
      </c>
      <c r="BR255" s="545">
        <f>IF(AND(Sheet1!$L257=0,Sheet1!$L256=0, Calculation!BK255&lt;Sheet1!$EI257-0.1,Sheet1!$EI257=Sheet1!$EI256,Sheet1!$EI257=Sheet1!$EI258),Sheet1!$EI257,BL255-BQ255)</f>
        <v>1.9915918611609815</v>
      </c>
      <c r="BS255" s="560"/>
      <c r="BT255" s="560"/>
      <c r="BU255" s="560">
        <f t="shared" si="502"/>
        <v>494.58133227737682</v>
      </c>
      <c r="BV255" s="560"/>
      <c r="BW255" s="560">
        <f ca="1">IF(B255&gt;Summary!$A$1,#N/A,BU255*MGtoAF)</f>
        <v>1517.375527426992</v>
      </c>
      <c r="BX255" s="560">
        <f>Sheet1!BC257+Sheet1!BD257+Sheet1!BE257+Sheet1!BF257-CG255-CH255</f>
        <v>3.5</v>
      </c>
      <c r="BY255" s="560">
        <f t="shared" si="503"/>
        <v>3.4507779772591265</v>
      </c>
      <c r="BZ255" s="560">
        <f>IF(Sheet1!EQ257="FM",CH255,0)</f>
        <v>0</v>
      </c>
      <c r="CA255" s="560">
        <f t="shared" si="504"/>
        <v>0</v>
      </c>
      <c r="CB255" s="560">
        <f>IF(Sheet1!EQ257="OTHER",CH255,0)</f>
        <v>0</v>
      </c>
      <c r="CC255" s="560">
        <f t="shared" si="505"/>
        <v>0</v>
      </c>
      <c r="CD255" s="560">
        <f t="shared" si="506"/>
        <v>0</v>
      </c>
      <c r="CE255" s="560">
        <f t="shared" si="507"/>
        <v>3.5</v>
      </c>
      <c r="CF255" s="560">
        <f t="shared" si="508"/>
        <v>3.4507779772591265</v>
      </c>
      <c r="CG255" s="560">
        <f>IF(Sheet1!EQ257="CWA",SUM(Sheet1!BC257:'Sheet1'!BF257),0)</f>
        <v>0</v>
      </c>
      <c r="CH255" s="560">
        <f>IF(OR(Sheet1!EQ257="FM", Sheet1!EQ257="OTHER"),SUM(Sheet1!BC257:'Sheet1'!BF257),0)</f>
        <v>0</v>
      </c>
      <c r="CI255" s="545">
        <f>IF(AND($B255&gt;=$FV255,$B255&lt;=$FW255),MAX(CF255,Sheet1!EJ257,0),MAX(CF255-(7/36)*$K255,0))</f>
        <v>3.5</v>
      </c>
      <c r="CJ255" s="560">
        <f t="shared" si="509"/>
        <v>0</v>
      </c>
      <c r="CK255" s="545">
        <f t="shared" si="510"/>
        <v>0</v>
      </c>
      <c r="CL255" s="545">
        <f>IF(AND($O255&gt;0,Sheet1!EN257=1),(1-($O255-Sheet1!$L257)/$O255)*CF255,0)</f>
        <v>0</v>
      </c>
      <c r="CM255" s="545">
        <f>IF(AND(Sheet1!$L257=0,Sheet1!$L256=0, Calculation!CE255&lt;Sheet1!EJ257-0.1,Sheet1!EJ257=Sheet1!EJ256,Sheet1!EJ257=Sheet1!EJ258),Sheet1!EJ257,CF255-CL255)</f>
        <v>3.4507779772591265</v>
      </c>
      <c r="CN255" s="545"/>
      <c r="CO255" s="560"/>
      <c r="CP255" s="560">
        <f t="shared" si="511"/>
        <v>345.59949305713815</v>
      </c>
      <c r="CQ255" s="560"/>
      <c r="CR255" s="560">
        <f ca="1">IF(B255&gt;Summary!$A$1,#N/A,CP255*MGtoAF)</f>
        <v>1060.2992446992998</v>
      </c>
      <c r="CS255" s="560">
        <f>Sheet1!BK257+Sheet1!BL257+Sheet1!BM257-Sheet1!ER257-DA255</f>
        <v>9.1</v>
      </c>
      <c r="CT255" s="560">
        <f t="shared" si="512"/>
        <v>8.9720227408737276</v>
      </c>
      <c r="CU255" s="560">
        <f>IF(Sheet1!ER257="FM",DA255,0)</f>
        <v>0</v>
      </c>
      <c r="CV255" s="560">
        <f t="shared" si="513"/>
        <v>0</v>
      </c>
      <c r="CW255" s="560">
        <f>IF(Sheet1!ER257="OTHER",DA255,0)</f>
        <v>0</v>
      </c>
      <c r="CX255" s="560">
        <f t="shared" si="514"/>
        <v>0</v>
      </c>
      <c r="CY255" s="560">
        <f t="shared" si="515"/>
        <v>9.1</v>
      </c>
      <c r="CZ255" s="560">
        <f t="shared" si="516"/>
        <v>8.9720227408737276</v>
      </c>
      <c r="DA255" s="560">
        <f>IF(OR(Sheet1!ER257="FM", Sheet1!ER257="OTHER"),SUM(Sheet1!BK257:'Sheet1'!BM257),0)</f>
        <v>0</v>
      </c>
      <c r="DB255" s="545">
        <f>IF(AND($B255&gt;=$FV255,$B255&lt;=$FW255),MAX($CT255,Sheet1!EK257,0),MAX($CT255-(7/36)*$K255,0))</f>
        <v>9</v>
      </c>
      <c r="DC255" s="560">
        <f t="shared" si="517"/>
        <v>0</v>
      </c>
      <c r="DD255" s="545">
        <f t="shared" si="518"/>
        <v>0</v>
      </c>
      <c r="DE255" s="545">
        <f>IF(AND($O255&gt;0,Sheet1!EO257=1),(1-($O255-Sheet1!$L257)/$O255)*CZ255,0)</f>
        <v>0</v>
      </c>
      <c r="DF255" s="545">
        <f>IF(AND(Sheet1!$L257=0,Sheet1!$L256=0, Calculation!CY255&lt;Sheet1!$EK257-0.1,Sheet1!$EK257=Sheet1!$EK256,Sheet1!$EK257=Sheet1!$EK258),Sheet1!$EK257,CZ255-DE255)</f>
        <v>8.9720227408737276</v>
      </c>
      <c r="DG255" s="545"/>
      <c r="DH255" s="560">
        <f t="shared" si="519"/>
        <v>14.62</v>
      </c>
      <c r="DI255" s="560">
        <f t="shared" si="520"/>
        <v>193.09693916923015</v>
      </c>
      <c r="DJ255" s="698">
        <f t="shared" si="521"/>
        <v>14.414392579293835</v>
      </c>
      <c r="DK255" s="560">
        <f ca="1">IF(B255&gt;Summary!$A$1,#N/A,DI255*MGtoAF)</f>
        <v>592.42140937119814</v>
      </c>
      <c r="DL255" s="698">
        <f t="shared" si="522"/>
        <v>14.62</v>
      </c>
      <c r="DM255" s="560">
        <f t="shared" si="523"/>
        <v>33.42</v>
      </c>
      <c r="DN255" s="560">
        <f>Sheet1!AB257-DM255</f>
        <v>-0.46999999999999886</v>
      </c>
      <c r="DO255" s="823">
        <f t="shared" si="524"/>
        <v>-1.4063435068821031E-2</v>
      </c>
      <c r="DP255" s="560">
        <f>(VLOOKUP(Sheet1!DC257,hhdcap_wcm,4)-(((VLOOKUP(Sheet1!DC257,hhdcap_wcm,3)-Sheet1!DC257)/(VLOOKUP(Sheet1!DC257,hhdcap_wcm,3)-VLOOKUP(Sheet1!DC257,hhdcap_wcm,1)))*(VLOOKUP(Sheet1!DC257,hhdcap_wcm,4)-VLOOKUP(Sheet1!DC257,hhdcap_wcm,2))))</f>
        <v>34327.50000008705</v>
      </c>
      <c r="DQ255" s="560">
        <f t="shared" si="525"/>
        <v>-255.50000000113505</v>
      </c>
      <c r="DR255" s="560">
        <f t="shared" si="526"/>
        <v>-128.84518406512103</v>
      </c>
      <c r="DS255" s="560">
        <f>Sheet1!EA257*AFtoMG</f>
        <v>0</v>
      </c>
      <c r="DT255" s="560">
        <f>Sheet1!EB257*AFtoMG</f>
        <v>0</v>
      </c>
      <c r="DU255" s="560">
        <f>Sheet1!EC257*AFtoMG</f>
        <v>0</v>
      </c>
      <c r="DV255" s="560">
        <f>Sheet1!ED257*AFtoMG</f>
        <v>0</v>
      </c>
      <c r="DW255" s="560">
        <f t="shared" si="527"/>
        <v>0</v>
      </c>
      <c r="DX255" s="560">
        <f t="shared" si="528"/>
        <v>0</v>
      </c>
      <c r="DY255" s="560">
        <f t="shared" si="529"/>
        <v>2074.8034311704118</v>
      </c>
      <c r="DZ255" s="560">
        <f t="shared" si="530"/>
        <v>6365.4969268308232</v>
      </c>
      <c r="EA255" s="560"/>
      <c r="EB255" s="545">
        <f>IF(OR(B255&lt;FV255,B255&gt;FW255),(MIN(BF255+BY255+CT255+MAX(Sheet1!AA257+AQ255-73,0),K255)),0)</f>
        <v>0</v>
      </c>
      <c r="EC255" s="560"/>
      <c r="ED255" s="560">
        <f t="shared" si="531"/>
        <v>14.414392579293835</v>
      </c>
      <c r="EE255" s="560"/>
      <c r="EF255" s="560">
        <f>Sheet1!EH257+Sheet1!EI257+Sheet1!EJ257+Sheet1!EK257</f>
        <v>14.5</v>
      </c>
      <c r="EG255" s="560"/>
      <c r="EH255" s="545">
        <f t="shared" si="532"/>
        <v>0</v>
      </c>
      <c r="EI255" s="560">
        <f>IF(Sheet1!ET257=1,SUM('Calculations II'!AT255:BA255)+'Calculations II'!BC255+Sheet1!BV257+'Calculations II'!BE255+AP255,SUM('Calculations II'!AT255:BA255)+'Calculations II'!BC255+Sheet1!BV257+'Calculations II'!BE255+AP255)</f>
        <v>72.990607999999995</v>
      </c>
      <c r="EJ255" s="560">
        <f>Sheet1!AA257+Sheet1!AB257+'Calculations II'!BC255</f>
        <v>67.349999999999994</v>
      </c>
      <c r="EK255" s="560"/>
      <c r="EL255" s="560"/>
      <c r="EM255" s="560">
        <f t="shared" si="533"/>
        <v>41883</v>
      </c>
      <c r="EN255" s="560">
        <f t="shared" si="534"/>
        <v>-14.5</v>
      </c>
      <c r="EO255" s="560">
        <f t="shared" si="535"/>
        <v>-22.4315</v>
      </c>
      <c r="EP255" s="560">
        <v>0</v>
      </c>
      <c r="EQ255" s="560">
        <v>0</v>
      </c>
      <c r="ER255" s="560">
        <v>0</v>
      </c>
      <c r="ES255" s="545">
        <f t="shared" si="454"/>
        <v>9.8464137646323486</v>
      </c>
      <c r="ET255" s="560">
        <f>-(VLOOKUP(Sheet1!BQ257,Lookup!$O$4:$Q$262,2)-VLOOKUP(Sheet1!BQ256,Lookup!$O$4:$Q$262,2))/1000000</f>
        <v>4.9924909296949167</v>
      </c>
      <c r="EU255" s="560">
        <f>-(VLOOKUP(Sheet1!BR257,Lookup!$O$4:$Q$262,3)-VLOOKUP(Sheet1!BR256,Lookup!$O$4:$Q$262,3))/1000000</f>
        <v>4.853922834937431</v>
      </c>
      <c r="EV255" s="560"/>
      <c r="EW255" s="560"/>
      <c r="EX255" s="560"/>
      <c r="EY255" s="560"/>
      <c r="EZ255" s="560"/>
      <c r="FA255" s="560"/>
      <c r="FB255" s="560"/>
      <c r="FC255" s="560"/>
      <c r="FD255" s="594">
        <f t="shared" si="536"/>
        <v>1128.6428571427875</v>
      </c>
      <c r="FE255" s="594" t="e">
        <f t="shared" si="537"/>
        <v>#N/A</v>
      </c>
      <c r="FF255" s="595" t="e">
        <f t="shared" si="538"/>
        <v>#N/A</v>
      </c>
      <c r="FG255" s="596" t="s">
        <v>692</v>
      </c>
      <c r="FH255" s="596" t="s">
        <v>692</v>
      </c>
      <c r="FI255" s="594" t="e">
        <v>#N/A</v>
      </c>
      <c r="FJ255" s="778">
        <v>15483</v>
      </c>
      <c r="FK255" s="560"/>
      <c r="FL255" s="560"/>
      <c r="FM255" s="560"/>
      <c r="FN255" s="560"/>
      <c r="FO255" s="560">
        <f>O255+((Sheet1!CS257)*GPMtoMGD)</f>
        <v>67.349999999999994</v>
      </c>
      <c r="FP255" s="560">
        <f>IF(Sheet1!AA257+AQ255&lt;=Calculation!N255,AQ255,Calculation!N255-Sheet1!AA257)</f>
        <v>16.958108916816279</v>
      </c>
      <c r="FQ255" s="560">
        <f>(Sheet1!BP257+Sheet1!BO257)/694.4</f>
        <v>3.1313364055299542</v>
      </c>
      <c r="FR255" s="560"/>
      <c r="FS255" s="560"/>
      <c r="FT255" s="560"/>
      <c r="FU255" s="560"/>
      <c r="FV255" s="695">
        <f t="shared" si="455"/>
        <v>41827</v>
      </c>
      <c r="FW255" s="695">
        <f t="shared" si="456"/>
        <v>41934</v>
      </c>
      <c r="FX255" s="560"/>
      <c r="FY255" s="560"/>
      <c r="FZ255" s="560"/>
      <c r="GA255" s="560"/>
      <c r="GB255" s="560" t="str">
        <f t="shared" si="457"/>
        <v>n</v>
      </c>
      <c r="GC255" s="564">
        <f t="shared" si="458"/>
        <v>41691</v>
      </c>
      <c r="GD255" s="695">
        <f t="shared" si="459"/>
        <v>41807</v>
      </c>
      <c r="GE255" s="560">
        <v>6518.9</v>
      </c>
      <c r="GF255" s="695">
        <f t="shared" si="460"/>
        <v>41808</v>
      </c>
      <c r="GG255" s="560">
        <f t="shared" si="479"/>
        <v>3259</v>
      </c>
      <c r="GH255" s="564">
        <f t="shared" si="461"/>
        <v>41934</v>
      </c>
      <c r="GJ255" s="545">
        <f t="shared" si="462"/>
        <v>0</v>
      </c>
      <c r="GK255" s="560" t="str">
        <f t="shared" si="539"/>
        <v/>
      </c>
      <c r="GL255" s="560">
        <f t="shared" si="463"/>
        <v>0</v>
      </c>
      <c r="GM255" s="560" t="str">
        <f t="shared" si="464"/>
        <v/>
      </c>
      <c r="GN255" s="560">
        <f>IF(GK255="P",Lookup!$M$12,IF(GK255="PP",Lookup!$M$13,IF(GK255="PPP",Lookup!$M$14,IF(GK255="T",Lookup!$M$15,IF(GK255="TP",Lookup!$M$16,IF(GK255="TPP",Lookup!$M$17,IF(GK255="TPPP",Lookup!$M$18,0)))))))*GJ255</f>
        <v>0</v>
      </c>
      <c r="GO255" s="560">
        <f t="shared" si="465"/>
        <v>0</v>
      </c>
      <c r="GP255" s="560">
        <f t="shared" si="540"/>
        <v>3195.4007453333343</v>
      </c>
      <c r="GQ255" s="560">
        <f t="shared" si="473"/>
        <v>1041.5256666666669</v>
      </c>
      <c r="GR255" s="560"/>
      <c r="GS255" s="560">
        <f t="shared" si="466"/>
        <v>0</v>
      </c>
      <c r="GT255" s="560" t="str">
        <f t="shared" si="467"/>
        <v/>
      </c>
      <c r="GU255" s="560">
        <f>IF(GK255="P",Lookup!$N$12,IF(GK255="PP",Lookup!$N$13,IF(GK255="PPP",Lookup!$N$14,IF(GK255="T",Lookup!$N$15,IF(GK255="TP",Lookup!$N$16,IF(GK255="TPP",Lookup!$N$17,IF(GK255="TPPP",Lookup!$N$18,0)))))))*GJ255</f>
        <v>0</v>
      </c>
      <c r="GV255" s="560">
        <f t="shared" si="468"/>
        <v>0</v>
      </c>
      <c r="GW255" s="560">
        <f t="shared" si="541"/>
        <v>1517.375527426992</v>
      </c>
      <c r="GX255" s="560">
        <f t="shared" si="474"/>
        <v>494.58133227737682</v>
      </c>
      <c r="GY255" s="560"/>
      <c r="GZ255" s="560">
        <f t="shared" si="469"/>
        <v>0</v>
      </c>
      <c r="HA255" s="560" t="str">
        <f t="shared" si="470"/>
        <v/>
      </c>
      <c r="HB255" s="560">
        <f>IF(GK255="P",Lookup!$N$12,IF(GK255="PP",Lookup!$N$13,IF(GK255="PPP",Lookup!$N$14,IF(GK255="T",Lookup!$N$15,IF(GK255="TP",Lookup!$N$16,IF(GK255="TPP",Lookup!$N$17,IF(GK255="TPPP",Lookup!$N$18,0)))))))*GJ255</f>
        <v>0</v>
      </c>
      <c r="HC255" s="545">
        <f t="shared" si="542"/>
        <v>0</v>
      </c>
      <c r="HD255" s="560">
        <f t="shared" si="543"/>
        <v>1060.2992446992998</v>
      </c>
      <c r="HE255" s="560">
        <f t="shared" si="475"/>
        <v>345.59949305713815</v>
      </c>
      <c r="HF255" s="560"/>
      <c r="HG255" s="560">
        <f t="shared" si="471"/>
        <v>0</v>
      </c>
      <c r="HH255" s="560" t="str">
        <f t="shared" si="472"/>
        <v/>
      </c>
      <c r="HI255" s="560">
        <f>IF(GK255="P",Lookup!$N$12,IF(GK255="PP",Lookup!$N$13,IF(GK255="PPP",Lookup!$N$14,IF(GK255="T",Lookup!$N$15,IF(GK255="TP",Lookup!$N$16,IF(GK255="TPP",Lookup!$N$17,IF(GK255="TPPP",Lookup!$N$18,0)))))))*GJ255</f>
        <v>0</v>
      </c>
      <c r="HJ255" s="545">
        <f t="shared" si="544"/>
        <v>0</v>
      </c>
      <c r="HK255" s="560">
        <f t="shared" si="545"/>
        <v>592.42140937119814</v>
      </c>
      <c r="HL255" s="560">
        <f t="shared" si="476"/>
        <v>193.09693916923015</v>
      </c>
    </row>
    <row r="256" spans="1:220">
      <c r="A256" s="580" t="s">
        <v>5</v>
      </c>
      <c r="B256" s="556">
        <v>41884</v>
      </c>
      <c r="C256" s="561">
        <v>0</v>
      </c>
      <c r="D256" s="529">
        <f t="shared" si="477"/>
        <v>200</v>
      </c>
      <c r="E256" s="529">
        <f t="shared" si="478"/>
        <v>400</v>
      </c>
      <c r="F256" s="529">
        <v>250</v>
      </c>
      <c r="G256" s="560">
        <f>DR256+Sheet1!CZ258</f>
        <v>220.36409480573965</v>
      </c>
      <c r="H256" s="914">
        <f t="shared" si="480"/>
        <v>0</v>
      </c>
      <c r="I256" s="559">
        <f>MAX(Sheet1!Z258-AT256+(Sheet1!DA258-E256)*CFStoMGD,0)</f>
        <v>27.778800000000004</v>
      </c>
      <c r="J256" s="562">
        <f>IF(AND(B256&gt;=Calculation!GC256,B256&lt;=Calculation!GD256),IF(Sheet1!DB258&gt;=Calculation!D256,64.64,0),MAX(Sheet1!Z258-AT256+(Sheet1!DB258-D256)*CFStoMGD,0))</f>
        <v>62.037999999999997</v>
      </c>
      <c r="K256" s="904">
        <f>MAX(MIN(H256:J256,64.64),0)</f>
        <v>0</v>
      </c>
      <c r="L256" s="560">
        <f>Sheet1!AA258+Sheet1!AB258-Sheet1!L258+(Sheet1!DA258-F256)*CFStoMGD</f>
        <v>163.69880000000001</v>
      </c>
      <c r="M256" s="560">
        <f t="shared" si="482"/>
        <v>145.29221790007873</v>
      </c>
      <c r="N256" s="910">
        <f>IF(Sheet1!DA258&gt;=F256,MIN(73,MIN(MAX(L256,0),MAX(M256,0))),0)</f>
        <v>73</v>
      </c>
      <c r="O256" s="563">
        <f>Sheet1!AA258+Sheet1!AB258</f>
        <v>71.91</v>
      </c>
      <c r="P256" s="563">
        <f t="shared" si="483"/>
        <v>111.24476999999999</v>
      </c>
      <c r="Q256" s="898">
        <f t="shared" si="444"/>
        <v>57.41</v>
      </c>
      <c r="R256" s="829">
        <f t="shared" si="484"/>
        <v>14.5</v>
      </c>
      <c r="S256" s="898">
        <f t="shared" si="445"/>
        <v>0</v>
      </c>
      <c r="T256" s="898">
        <f t="shared" si="446"/>
        <v>0</v>
      </c>
      <c r="U256" s="898">
        <f t="shared" si="447"/>
        <v>14.5</v>
      </c>
      <c r="V256" s="898"/>
      <c r="W256" s="898">
        <f>MAX(K256-DJ256,0)</f>
        <v>0</v>
      </c>
      <c r="X256" s="898">
        <f t="shared" si="449"/>
        <v>0</v>
      </c>
      <c r="Y256" s="898" t="str">
        <f t="shared" si="450"/>
        <v>FALSE</v>
      </c>
      <c r="Z256" s="898">
        <f t="shared" si="451"/>
        <v>71.91</v>
      </c>
      <c r="AA256" s="898">
        <f t="shared" si="452"/>
        <v>71.91</v>
      </c>
      <c r="AB256" s="898" t="str">
        <f t="shared" si="453"/>
        <v/>
      </c>
      <c r="AC256" s="563">
        <f>Sheet1!Y258*MGDtoCFS</f>
        <v>53.216799999999992</v>
      </c>
      <c r="AD256" s="563">
        <f>Sheet1!Z258*MGDtoCFS</f>
        <v>50.973649999999999</v>
      </c>
      <c r="AE256" s="563">
        <f>Sheet1!AA258*MGDtoCFS</f>
        <v>51.8245</v>
      </c>
      <c r="AF256" s="563">
        <f>Sheet1!AB258*MGDtoCFS</f>
        <v>59.420269999999995</v>
      </c>
      <c r="AG256" s="563">
        <f>Sheet1!L258*MGDtoCFS</f>
        <v>0</v>
      </c>
      <c r="AH256" s="545">
        <f t="shared" si="485"/>
        <v>14.507976190476191</v>
      </c>
      <c r="AI256" s="560">
        <f t="shared" si="486"/>
        <v>22.443839166666667</v>
      </c>
      <c r="AJ256" s="560">
        <f t="shared" si="487"/>
        <v>0</v>
      </c>
      <c r="AK256" s="560">
        <f t="shared" si="488"/>
        <v>0</v>
      </c>
      <c r="AL256" s="560">
        <f>(VLOOKUP(Sheet1!DC258,hhdcap_wcm,4)-(((VLOOKUP(Sheet1!DC258,hhdcap_wcm,3)-Sheet1!DC258)/(VLOOKUP(Sheet1!DC258,hhdcap_wcm,3)-VLOOKUP(Sheet1!DC258,hhdcap_wcm,1)))*(VLOOKUP(Sheet1!DC258,hhdcap_wcm,4)-VLOOKUP(Sheet1!DC258,hhdcap_wcm,2))))</f>
        <v>34062.500000086831</v>
      </c>
      <c r="AM256" s="560">
        <f t="shared" si="489"/>
        <v>-265.00000000021828</v>
      </c>
      <c r="AN256" s="560">
        <f t="shared" si="490"/>
        <v>2060.295454979936</v>
      </c>
      <c r="AO256" s="560">
        <f t="shared" si="491"/>
        <v>6320.9864558784438</v>
      </c>
      <c r="AP256" s="560">
        <f>Sheet1!BA258+Sheet1!BB258+Sheet1!BN258+CD256</f>
        <v>24.1</v>
      </c>
      <c r="AQ256" s="560">
        <f>Sheet1!BN258+(DO256*Sheet1!BN258)</f>
        <v>22.366071428571427</v>
      </c>
      <c r="AR256" s="560">
        <f>Sheet1!BA258+CD256</f>
        <v>0</v>
      </c>
      <c r="AS256" s="560">
        <f>Sheet1!BA258+Sheet1!BB258+CD256</f>
        <v>1.6</v>
      </c>
      <c r="AT256" s="698">
        <f>0</f>
        <v>0</v>
      </c>
      <c r="AU256" s="560">
        <f>IF(EB256&lt;K256,0,MAX(Sheet1!AA258+AQ256-15/36*K256-N256,Sheet1!EH258,0))</f>
        <v>0</v>
      </c>
      <c r="AV256" s="560">
        <f>IF(OR(B256&gt;=GD256,B256&lt;GC256),0,15/36*K256-MAX(0,64.6-(137.6-(Sheet1!AA258+Sheet1!AB258))))</f>
        <v>0</v>
      </c>
      <c r="AW256" s="698">
        <f>Sheet1!DB258-110</f>
        <v>135</v>
      </c>
      <c r="AX256" s="698">
        <f>Sheet1!DA258-265</f>
        <v>127</v>
      </c>
      <c r="AY256" s="698">
        <f t="shared" si="492"/>
        <v>15.590000000000003</v>
      </c>
      <c r="AZ256" s="698">
        <v>0</v>
      </c>
      <c r="BA256" s="698">
        <f t="shared" si="493"/>
        <v>0</v>
      </c>
      <c r="BB256" s="560">
        <f t="shared" si="494"/>
        <v>1041.5256666666669</v>
      </c>
      <c r="BC256" s="560"/>
      <c r="BD256" s="560">
        <f ca="1">IF(B256&gt;Summary!$A$1,#N/A,BB256*MGtoAF)</f>
        <v>3195.4007453333343</v>
      </c>
      <c r="BE256" s="560">
        <f>Sheet1!BG258+Sheet1!BH258+Sheet1!BI258-BM256</f>
        <v>2.02</v>
      </c>
      <c r="BF256" s="560">
        <f t="shared" si="495"/>
        <v>2.0079761904761901</v>
      </c>
      <c r="BG256" s="560">
        <f>IF(Sheet1!EP258="FM",BM256,0)</f>
        <v>0</v>
      </c>
      <c r="BH256" s="560">
        <f t="shared" si="496"/>
        <v>0</v>
      </c>
      <c r="BI256" s="560">
        <f>IF(Sheet1!EP258="OTHER",BM256,0)</f>
        <v>0</v>
      </c>
      <c r="BJ256" s="560">
        <f t="shared" si="497"/>
        <v>0</v>
      </c>
      <c r="BK256" s="560">
        <f t="shared" si="498"/>
        <v>2.02</v>
      </c>
      <c r="BL256" s="560">
        <f t="shared" si="499"/>
        <v>2.0079761904761901</v>
      </c>
      <c r="BM256" s="560">
        <f>IF(OR(Sheet1!EP258="FM", Sheet1!EP258="OTHER"),SUM(Sheet1!BG258:'Sheet1'!BI258),0)</f>
        <v>0</v>
      </c>
      <c r="BN256" s="545">
        <f>IF(AND($B256&gt;=$FV256,$B256&lt;=$FW256),MAX(BF256,Sheet1!EI258,0),MAX(BF256-(7/36)*$K256,0))</f>
        <v>2.0079761904761901</v>
      </c>
      <c r="BO256" s="560">
        <f t="shared" si="500"/>
        <v>0</v>
      </c>
      <c r="BP256" s="545">
        <f t="shared" si="501"/>
        <v>0</v>
      </c>
      <c r="BQ256" s="545">
        <f>IF(AND($O256&gt;0,Sheet1!EM258=1),(1-($O256-Sheet1!$L258)/$O256)*BL256,0)</f>
        <v>0</v>
      </c>
      <c r="BR256" s="545">
        <f>IF(AND(Sheet1!$L258=0,Sheet1!$L257=0, Calculation!BK256&lt;Sheet1!$EI258-0.1,Sheet1!$EI258=Sheet1!$EI257,Sheet1!$EI258=Sheet1!$EI259),Sheet1!$EI258,BL256-BQ256)</f>
        <v>2.0079761904761901</v>
      </c>
      <c r="BS256" s="560"/>
      <c r="BT256" s="560"/>
      <c r="BU256" s="560">
        <f t="shared" si="502"/>
        <v>492.57335608690062</v>
      </c>
      <c r="BV256" s="560"/>
      <c r="BW256" s="560">
        <f ca="1">IF(B256&gt;Summary!$A$1,#N/A,BU256*MGtoAF)</f>
        <v>1511.2150564746112</v>
      </c>
      <c r="BX256" s="560">
        <f>Sheet1!BC258+Sheet1!BD258+Sheet1!BE258+Sheet1!BF258-CG256-CH256</f>
        <v>3.51</v>
      </c>
      <c r="BY256" s="560">
        <f t="shared" si="503"/>
        <v>3.4891071428571423</v>
      </c>
      <c r="BZ256" s="560">
        <f>IF(Sheet1!EQ258="FM",CH256,0)</f>
        <v>0</v>
      </c>
      <c r="CA256" s="560">
        <f t="shared" si="504"/>
        <v>0</v>
      </c>
      <c r="CB256" s="560">
        <f>IF(Sheet1!EQ258="OTHER",CH256,0)</f>
        <v>0</v>
      </c>
      <c r="CC256" s="560">
        <f t="shared" si="505"/>
        <v>0</v>
      </c>
      <c r="CD256" s="560">
        <f t="shared" si="506"/>
        <v>0</v>
      </c>
      <c r="CE256" s="560">
        <f t="shared" si="507"/>
        <v>3.51</v>
      </c>
      <c r="CF256" s="560">
        <f t="shared" si="508"/>
        <v>3.4891071428571423</v>
      </c>
      <c r="CG256" s="560">
        <f>IF(Sheet1!EQ258="CWA",SUM(Sheet1!BC258:'Sheet1'!BF258),0)</f>
        <v>0</v>
      </c>
      <c r="CH256" s="560">
        <f>IF(OR(Sheet1!EQ258="FM", Sheet1!EQ258="OTHER"),SUM(Sheet1!BC258:'Sheet1'!BF258),0)</f>
        <v>0</v>
      </c>
      <c r="CI256" s="545">
        <f>IF(AND($B256&gt;=$FV256,$B256&lt;=$FW256),MAX(CF256,Sheet1!EJ258,0),MAX(CF256-(7/36)*$K256,0))</f>
        <v>3.5</v>
      </c>
      <c r="CJ256" s="560">
        <f t="shared" si="509"/>
        <v>0</v>
      </c>
      <c r="CK256" s="545">
        <f t="shared" si="510"/>
        <v>0</v>
      </c>
      <c r="CL256" s="545">
        <f>IF(AND($O256&gt;0,Sheet1!EN258=1),(1-($O256-Sheet1!$L258)/$O256)*CF256,0)</f>
        <v>0</v>
      </c>
      <c r="CM256" s="545">
        <f>IF(AND(Sheet1!$L258=0,Sheet1!$L257=0, Calculation!CE256&lt;Sheet1!EJ258-0.1,Sheet1!EJ258=Sheet1!EJ257,Sheet1!EJ258=Sheet1!EJ259),Sheet1!EJ258,CF256-CL256)</f>
        <v>3.4891071428571423</v>
      </c>
      <c r="CN256" s="545"/>
      <c r="CO256" s="560"/>
      <c r="CP256" s="560">
        <f t="shared" si="511"/>
        <v>342.09949305713815</v>
      </c>
      <c r="CQ256" s="560"/>
      <c r="CR256" s="560">
        <f ca="1">IF(B256&gt;Summary!$A$1,#N/A,CP256*MGtoAF)</f>
        <v>1049.5612446992998</v>
      </c>
      <c r="CS256" s="560">
        <f>Sheet1!BK258+Sheet1!BL258+Sheet1!BM258-Sheet1!ER258-DA256</f>
        <v>9.01</v>
      </c>
      <c r="CT256" s="560">
        <f t="shared" si="512"/>
        <v>8.956369047619047</v>
      </c>
      <c r="CU256" s="560">
        <f>IF(Sheet1!ER258="FM",DA256,0)</f>
        <v>0</v>
      </c>
      <c r="CV256" s="560">
        <f t="shared" si="513"/>
        <v>0</v>
      </c>
      <c r="CW256" s="560">
        <f>IF(Sheet1!ER258="OTHER",DA256,0)</f>
        <v>0</v>
      </c>
      <c r="CX256" s="560">
        <f t="shared" si="514"/>
        <v>0</v>
      </c>
      <c r="CY256" s="560">
        <f t="shared" si="515"/>
        <v>9.01</v>
      </c>
      <c r="CZ256" s="560">
        <f t="shared" si="516"/>
        <v>8.956369047619047</v>
      </c>
      <c r="DA256" s="560">
        <f>IF(OR(Sheet1!ER258="FM", Sheet1!ER258="OTHER"),SUM(Sheet1!BK258:'Sheet1'!BM258),0)</f>
        <v>0</v>
      </c>
      <c r="DB256" s="545">
        <f>IF(AND($B256&gt;=$FV256,$B256&lt;=$FW256),MAX($CT256,Sheet1!EK258,0),MAX($CT256-(7/36)*$K256,0))</f>
        <v>9</v>
      </c>
      <c r="DC256" s="560">
        <f t="shared" si="517"/>
        <v>0</v>
      </c>
      <c r="DD256" s="545">
        <f t="shared" si="518"/>
        <v>0</v>
      </c>
      <c r="DE256" s="545">
        <f>IF(AND($O256&gt;0,Sheet1!EO258=1),(1-($O256-Sheet1!$L258)/$O256)*CZ256,0)</f>
        <v>0</v>
      </c>
      <c r="DF256" s="545">
        <f>IF(AND(Sheet1!$L258=0,Sheet1!$L257=0, Calculation!CY256&lt;Sheet1!$EK258-0.1,Sheet1!$EK258=Sheet1!$EK257,Sheet1!$EK258=Sheet1!$EK259),Sheet1!$EK258,CZ256-DE256)</f>
        <v>8.956369047619047</v>
      </c>
      <c r="DG256" s="545"/>
      <c r="DH256" s="560">
        <f t="shared" si="519"/>
        <v>14.54</v>
      </c>
      <c r="DI256" s="560">
        <f t="shared" si="520"/>
        <v>184.09693916923015</v>
      </c>
      <c r="DJ256" s="698">
        <f t="shared" si="521"/>
        <v>14.453452380952379</v>
      </c>
      <c r="DK256" s="560">
        <f ca="1">IF(B256&gt;Summary!$A$1,#N/A,DI256*MGtoAF)</f>
        <v>564.80940937119817</v>
      </c>
      <c r="DL256" s="698">
        <f t="shared" si="522"/>
        <v>14.54</v>
      </c>
      <c r="DM256" s="560">
        <f t="shared" si="523"/>
        <v>38.64</v>
      </c>
      <c r="DN256" s="560">
        <f>Sheet1!AB258-DM256</f>
        <v>-0.23000000000000398</v>
      </c>
      <c r="DO256" s="823">
        <f t="shared" si="524"/>
        <v>-5.9523809523810553E-3</v>
      </c>
      <c r="DP256" s="560">
        <f>(VLOOKUP(Sheet1!DC258,hhdcap_wcm,4)-(((VLOOKUP(Sheet1!DC258,hhdcap_wcm,3)-Sheet1!DC258)/(VLOOKUP(Sheet1!DC258,hhdcap_wcm,3)-VLOOKUP(Sheet1!DC258,hhdcap_wcm,1)))*(VLOOKUP(Sheet1!DC258,hhdcap_wcm,4)-VLOOKUP(Sheet1!DC258,hhdcap_wcm,2))))</f>
        <v>34062.500000086831</v>
      </c>
      <c r="DQ256" s="560">
        <f t="shared" si="525"/>
        <v>-265.00000000021828</v>
      </c>
      <c r="DR256" s="560">
        <f t="shared" si="526"/>
        <v>-133.63590519426035</v>
      </c>
      <c r="DS256" s="560">
        <f>Sheet1!EA258*AFtoMG</f>
        <v>0</v>
      </c>
      <c r="DT256" s="560">
        <f>Sheet1!EB258*AFtoMG</f>
        <v>0</v>
      </c>
      <c r="DU256" s="560">
        <f>Sheet1!EC258*AFtoMG</f>
        <v>0</v>
      </c>
      <c r="DV256" s="560">
        <f>Sheet1!ED258*AFtoMG</f>
        <v>0</v>
      </c>
      <c r="DW256" s="560">
        <f t="shared" si="527"/>
        <v>0</v>
      </c>
      <c r="DX256" s="560">
        <f t="shared" si="528"/>
        <v>0</v>
      </c>
      <c r="DY256" s="560">
        <f t="shared" si="529"/>
        <v>2060.295454979936</v>
      </c>
      <c r="DZ256" s="560">
        <f t="shared" si="530"/>
        <v>6320.9864558784438</v>
      </c>
      <c r="EA256" s="560"/>
      <c r="EB256" s="545">
        <f>IF(OR(B256&lt;FV256,B256&gt;FW256),(MIN(BF256+BY256+CT256+MAX(Sheet1!AA258+AQ256-73,0),K256)),0)</f>
        <v>0</v>
      </c>
      <c r="EC256" s="560"/>
      <c r="ED256" s="560">
        <f t="shared" si="531"/>
        <v>14.453452380952379</v>
      </c>
      <c r="EE256" s="560"/>
      <c r="EF256" s="560">
        <f>Sheet1!EH258+Sheet1!EI258+Sheet1!EJ258+Sheet1!EK258</f>
        <v>14.5</v>
      </c>
      <c r="EG256" s="560"/>
      <c r="EH256" s="545">
        <f t="shared" si="532"/>
        <v>0</v>
      </c>
      <c r="EI256" s="560">
        <f>IF(Sheet1!ET258=1,SUM('Calculations II'!AT256:BA256)+'Calculations II'!BC256+Sheet1!BV258+'Calculations II'!BE256+AP256,SUM('Calculations II'!AT256:BA256)+'Calculations II'!BC256+Sheet1!BV258+'Calculations II'!BE256+AP256)</f>
        <v>70.571584000000001</v>
      </c>
      <c r="EJ256" s="560">
        <f>Sheet1!AA258+Sheet1!AB258+'Calculations II'!BC256</f>
        <v>71.91</v>
      </c>
      <c r="EK256" s="560"/>
      <c r="EL256" s="560"/>
      <c r="EM256" s="560">
        <f t="shared" si="533"/>
        <v>41884</v>
      </c>
      <c r="EN256" s="560">
        <f t="shared" si="534"/>
        <v>-14.507976190476191</v>
      </c>
      <c r="EO256" s="560">
        <f t="shared" si="535"/>
        <v>-22.443839166666667</v>
      </c>
      <c r="EP256" s="560">
        <v>0</v>
      </c>
      <c r="EQ256" s="560">
        <v>0</v>
      </c>
      <c r="ER256" s="560">
        <v>0</v>
      </c>
      <c r="ES256" s="545">
        <f t="shared" si="454"/>
        <v>2.6322169258615413</v>
      </c>
      <c r="ET256" s="560">
        <f>-(VLOOKUP(Sheet1!BQ258,Lookup!$O$4:$Q$262,2)-VLOOKUP(Sheet1!BQ257,Lookup!$O$4:$Q$262,2))/1000000</f>
        <v>1.2468244155520276</v>
      </c>
      <c r="EU256" s="560">
        <f>-(VLOOKUP(Sheet1!BR258,Lookup!$O$4:$Q$262,3)-VLOOKUP(Sheet1!BR257,Lookup!$O$4:$Q$262,3))/1000000</f>
        <v>1.3853925103095137</v>
      </c>
      <c r="EV256" s="560"/>
      <c r="EW256" s="560"/>
      <c r="EX256" s="560"/>
      <c r="EY256" s="560"/>
      <c r="EZ256" s="560"/>
      <c r="FA256" s="560"/>
      <c r="FB256" s="560"/>
      <c r="FC256" s="560"/>
      <c r="FD256" s="594">
        <f t="shared" si="536"/>
        <v>1128.3428571427878</v>
      </c>
      <c r="FE256" s="594" t="e">
        <f t="shared" si="537"/>
        <v>#N/A</v>
      </c>
      <c r="FF256" s="595" t="e">
        <f t="shared" si="538"/>
        <v>#N/A</v>
      </c>
      <c r="FG256" s="596" t="s">
        <v>692</v>
      </c>
      <c r="FH256" s="596" t="s">
        <v>692</v>
      </c>
      <c r="FI256" s="594" t="e">
        <v>#N/A</v>
      </c>
      <c r="FJ256" s="778">
        <v>15266</v>
      </c>
      <c r="FK256" s="560"/>
      <c r="FL256" s="560"/>
      <c r="FM256" s="560"/>
      <c r="FN256" s="560"/>
      <c r="FO256" s="560">
        <f>O256+((Sheet1!CS258)*GPMtoMGD)</f>
        <v>71.91</v>
      </c>
      <c r="FP256" s="560">
        <f>IF(Sheet1!AA258+AQ256&lt;=Calculation!N256,AQ256,Calculation!N256-Sheet1!AA258)</f>
        <v>22.366071428571427</v>
      </c>
      <c r="FQ256" s="560">
        <f>(Sheet1!BP258+Sheet1!BO258)/694.4</f>
        <v>2.7060771889400921</v>
      </c>
      <c r="FR256" s="560"/>
      <c r="FS256" s="560"/>
      <c r="FT256" s="560"/>
      <c r="FU256" s="560"/>
      <c r="FV256" s="695">
        <f t="shared" si="455"/>
        <v>41827</v>
      </c>
      <c r="FW256" s="695">
        <f t="shared" si="456"/>
        <v>41934</v>
      </c>
      <c r="FX256" s="560"/>
      <c r="FY256" s="560"/>
      <c r="FZ256" s="560"/>
      <c r="GA256" s="560"/>
      <c r="GB256" s="560" t="str">
        <f t="shared" si="457"/>
        <v>n</v>
      </c>
      <c r="GC256" s="564">
        <f t="shared" si="458"/>
        <v>41691</v>
      </c>
      <c r="GD256" s="695">
        <f t="shared" si="459"/>
        <v>41807</v>
      </c>
      <c r="GE256" s="560">
        <v>6518.9</v>
      </c>
      <c r="GF256" s="695">
        <f t="shared" si="460"/>
        <v>41808</v>
      </c>
      <c r="GG256" s="560">
        <f t="shared" si="479"/>
        <v>3259</v>
      </c>
      <c r="GH256" s="564">
        <f t="shared" si="461"/>
        <v>41934</v>
      </c>
      <c r="GJ256" s="545">
        <f t="shared" si="462"/>
        <v>0</v>
      </c>
      <c r="GK256" s="560" t="str">
        <f t="shared" si="539"/>
        <v/>
      </c>
      <c r="GL256" s="560">
        <f t="shared" si="463"/>
        <v>0</v>
      </c>
      <c r="GM256" s="560" t="str">
        <f t="shared" si="464"/>
        <v/>
      </c>
      <c r="GN256" s="560">
        <f>IF(GK256="P",Lookup!$M$12,IF(GK256="PP",Lookup!$M$13,IF(GK256="PPP",Lookup!$M$14,IF(GK256="T",Lookup!$M$15,IF(GK256="TP",Lookup!$M$16,IF(GK256="TPP",Lookup!$M$17,IF(GK256="TPPP",Lookup!$M$18,0)))))))*GJ256</f>
        <v>0</v>
      </c>
      <c r="GO256" s="560">
        <f t="shared" si="465"/>
        <v>0</v>
      </c>
      <c r="GP256" s="560">
        <f t="shared" si="540"/>
        <v>3195.4007453333343</v>
      </c>
      <c r="GQ256" s="560">
        <f t="shared" si="473"/>
        <v>1041.5256666666669</v>
      </c>
      <c r="GR256" s="560"/>
      <c r="GS256" s="560">
        <f t="shared" si="466"/>
        <v>0</v>
      </c>
      <c r="GT256" s="560" t="str">
        <f t="shared" si="467"/>
        <v/>
      </c>
      <c r="GU256" s="560">
        <f>IF(GK256="P",Lookup!$N$12,IF(GK256="PP",Lookup!$N$13,IF(GK256="PPP",Lookup!$N$14,IF(GK256="T",Lookup!$N$15,IF(GK256="TP",Lookup!$N$16,IF(GK256="TPP",Lookup!$N$17,IF(GK256="TPPP",Lookup!$N$18,0)))))))*GJ256</f>
        <v>0</v>
      </c>
      <c r="GV256" s="560">
        <f t="shared" si="468"/>
        <v>0</v>
      </c>
      <c r="GW256" s="560">
        <f t="shared" si="541"/>
        <v>1511.2150564746112</v>
      </c>
      <c r="GX256" s="560">
        <f t="shared" si="474"/>
        <v>492.57335608690062</v>
      </c>
      <c r="GY256" s="560"/>
      <c r="GZ256" s="560">
        <f t="shared" si="469"/>
        <v>0</v>
      </c>
      <c r="HA256" s="560" t="str">
        <f t="shared" si="470"/>
        <v/>
      </c>
      <c r="HB256" s="560">
        <f>IF(GK256="P",Lookup!$N$12,IF(GK256="PP",Lookup!$N$13,IF(GK256="PPP",Lookup!$N$14,IF(GK256="T",Lookup!$N$15,IF(GK256="TP",Lookup!$N$16,IF(GK256="TPP",Lookup!$N$17,IF(GK256="TPPP",Lookup!$N$18,0)))))))*GJ256</f>
        <v>0</v>
      </c>
      <c r="HC256" s="545">
        <f t="shared" si="542"/>
        <v>0</v>
      </c>
      <c r="HD256" s="560">
        <f t="shared" si="543"/>
        <v>1049.5612446992998</v>
      </c>
      <c r="HE256" s="560">
        <f t="shared" si="475"/>
        <v>342.09949305713815</v>
      </c>
      <c r="HF256" s="560"/>
      <c r="HG256" s="560">
        <f t="shared" si="471"/>
        <v>0</v>
      </c>
      <c r="HH256" s="560" t="str">
        <f t="shared" si="472"/>
        <v/>
      </c>
      <c r="HI256" s="560">
        <f>IF(GK256="P",Lookup!$N$12,IF(GK256="PP",Lookup!$N$13,IF(GK256="PPP",Lookup!$N$14,IF(GK256="T",Lookup!$N$15,IF(GK256="TP",Lookup!$N$16,IF(GK256="TPP",Lookup!$N$17,IF(GK256="TPPP",Lookup!$N$18,0)))))))*GJ256</f>
        <v>0</v>
      </c>
      <c r="HJ256" s="545">
        <f t="shared" si="544"/>
        <v>0</v>
      </c>
      <c r="HK256" s="560">
        <f t="shared" si="545"/>
        <v>564.80940937119817</v>
      </c>
      <c r="HL256" s="560">
        <f t="shared" si="476"/>
        <v>184.09693916923015</v>
      </c>
    </row>
    <row r="257" spans="1:220">
      <c r="A257" s="580" t="s">
        <v>6</v>
      </c>
      <c r="B257" s="556">
        <v>41885</v>
      </c>
      <c r="C257" s="561">
        <v>0</v>
      </c>
      <c r="D257" s="529">
        <f t="shared" si="477"/>
        <v>200</v>
      </c>
      <c r="E257" s="529">
        <f t="shared" si="478"/>
        <v>400</v>
      </c>
      <c r="F257" s="529">
        <v>250</v>
      </c>
      <c r="G257" s="560">
        <f>DR257+Sheet1!CZ259</f>
        <v>315.82551689302829</v>
      </c>
      <c r="H257" s="914">
        <f t="shared" si="480"/>
        <v>1.8264141196534889</v>
      </c>
      <c r="I257" s="559">
        <f>MAX(Sheet1!Z259-AT257+(Sheet1!DA259-E257)*CFStoMGD,0)</f>
        <v>51.337999999999994</v>
      </c>
      <c r="J257" s="562">
        <f>IF(AND(B257&gt;=Calculation!GC257,B257&lt;=Calculation!GD257),IF(Sheet1!DB259&gt;=Calculation!D257,64.64,0),MAX(Sheet1!Z259-AT257+(Sheet1!DB259-D257)*CFStoMGD,0))</f>
        <v>50.691599999999994</v>
      </c>
      <c r="K257" s="904">
        <f t="shared" si="481"/>
        <v>1.8264141196534889</v>
      </c>
      <c r="L257" s="560">
        <f>Sheet1!AA259+Sheet1!AB259-Sheet1!L259+(Sheet1!DA259-F257)*CFStoMGD</f>
        <v>187.94799999999998</v>
      </c>
      <c r="M257" s="560">
        <f t="shared" si="482"/>
        <v>208.23260640204657</v>
      </c>
      <c r="N257" s="910">
        <f>IF(Sheet1!DA259&gt;=F257,MIN(73,MIN(MAX(L257,0),MAX(M257,0))),0)</f>
        <v>73</v>
      </c>
      <c r="O257" s="563">
        <f>Sheet1!AA259+Sheet1!AB259</f>
        <v>78.06</v>
      </c>
      <c r="P257" s="563">
        <f t="shared" si="483"/>
        <v>120.75881999999999</v>
      </c>
      <c r="Q257" s="898">
        <f t="shared" si="444"/>
        <v>63.545655050727838</v>
      </c>
      <c r="R257" s="829">
        <f t="shared" si="484"/>
        <v>14.5</v>
      </c>
      <c r="S257" s="898">
        <f t="shared" si="445"/>
        <v>0</v>
      </c>
      <c r="T257" s="898">
        <f t="shared" si="446"/>
        <v>0</v>
      </c>
      <c r="U257" s="898">
        <f t="shared" si="447"/>
        <v>14.514344949272163</v>
      </c>
      <c r="V257" s="898"/>
      <c r="W257" s="898">
        <f t="shared" si="448"/>
        <v>0</v>
      </c>
      <c r="X257" s="898">
        <f t="shared" si="449"/>
        <v>0</v>
      </c>
      <c r="Y257" s="898" t="str">
        <f t="shared" si="450"/>
        <v>FALSE</v>
      </c>
      <c r="Z257" s="898">
        <f t="shared" si="451"/>
        <v>78.06</v>
      </c>
      <c r="AA257" s="898">
        <f t="shared" si="452"/>
        <v>78.06</v>
      </c>
      <c r="AB257" s="898" t="str">
        <f t="shared" si="453"/>
        <v/>
      </c>
      <c r="AC257" s="563">
        <f>Sheet1!Y259*MGDtoCFS</f>
        <v>51.8245</v>
      </c>
      <c r="AD257" s="563">
        <f>Sheet1!Z259*MGDtoCFS</f>
        <v>59.420269999999995</v>
      </c>
      <c r="AE257" s="563">
        <f>Sheet1!AA259*MGDtoCFS</f>
        <v>50.741599999999991</v>
      </c>
      <c r="AF257" s="563">
        <f>Sheet1!AB259*MGDtoCFS</f>
        <v>70.017219999999995</v>
      </c>
      <c r="AG257" s="563">
        <f>Sheet1!L259*MGDtoCFS</f>
        <v>0</v>
      </c>
      <c r="AH257" s="545">
        <f t="shared" si="485"/>
        <v>14.520520511689455</v>
      </c>
      <c r="AI257" s="560">
        <f t="shared" si="486"/>
        <v>22.463245231583585</v>
      </c>
      <c r="AJ257" s="560">
        <f t="shared" si="487"/>
        <v>0</v>
      </c>
      <c r="AK257" s="560">
        <f t="shared" si="488"/>
        <v>0</v>
      </c>
      <c r="AL257" s="560">
        <f>(VLOOKUP(Sheet1!DC259,hhdcap_wcm,4)-(((VLOOKUP(Sheet1!DC259,hhdcap_wcm,3)-Sheet1!DC259)/(VLOOKUP(Sheet1!DC259,hhdcap_wcm,3)-VLOOKUP(Sheet1!DC259,hhdcap_wcm,1)))*(VLOOKUP(Sheet1!DC259,hhdcap_wcm,4)-VLOOKUP(Sheet1!DC259,hhdcap_wcm,2))))</f>
        <v>33986.800000085706</v>
      </c>
      <c r="AM257" s="560">
        <f t="shared" si="489"/>
        <v>-75.700000001124863</v>
      </c>
      <c r="AN257" s="560">
        <f t="shared" si="490"/>
        <v>2045.7749344682461</v>
      </c>
      <c r="AO257" s="560">
        <f t="shared" si="491"/>
        <v>6276.4374989485796</v>
      </c>
      <c r="AP257" s="560">
        <f>Sheet1!BA259+Sheet1!BB259+Sheet1!BN259+CD257</f>
        <v>30.8</v>
      </c>
      <c r="AQ257" s="560">
        <f>Sheet1!BN259+(DO257*Sheet1!BN259)</f>
        <v>29.148478164975735</v>
      </c>
      <c r="AR257" s="560">
        <f>Sheet1!BA259+CD257</f>
        <v>0</v>
      </c>
      <c r="AS257" s="560">
        <f>Sheet1!BA259+Sheet1!BB259+CD257</f>
        <v>1.6</v>
      </c>
      <c r="AT257" s="698">
        <f>0</f>
        <v>0</v>
      </c>
      <c r="AU257" s="560">
        <f>IF(EB257&lt;K257,0,MAX(Sheet1!AA259+AQ257-15/36*K257-N257,Sheet1!EH259,0))</f>
        <v>0</v>
      </c>
      <c r="AV257" s="560">
        <f>IF(OR(B257&gt;=GD257,B257&lt;GC257),0,15/36*K257-MAX(0,64.6-(137.6-(Sheet1!AA259+Sheet1!AB259))))</f>
        <v>0</v>
      </c>
      <c r="AW257" s="698">
        <f>Sheet1!DB259-110</f>
        <v>109</v>
      </c>
      <c r="AX257" s="698">
        <f>Sheet1!DA259-265</f>
        <v>155</v>
      </c>
      <c r="AY257" s="698">
        <f t="shared" si="492"/>
        <v>9.4543449492721621</v>
      </c>
      <c r="AZ257" s="698">
        <v>0</v>
      </c>
      <c r="BA257" s="698">
        <f t="shared" si="493"/>
        <v>0</v>
      </c>
      <c r="BB257" s="560">
        <f t="shared" si="494"/>
        <v>1041.5256666666669</v>
      </c>
      <c r="BC257" s="560"/>
      <c r="BD257" s="560">
        <f ca="1">IF(B257&gt;Summary!$A$1,#N/A,BB257*MGtoAF)</f>
        <v>3195.4007453333343</v>
      </c>
      <c r="BE257" s="560">
        <f>Sheet1!BG259+Sheet1!BH259+Sheet1!BI259-BM257</f>
        <v>2.02</v>
      </c>
      <c r="BF257" s="560">
        <f t="shared" si="495"/>
        <v>2.0164358182620199</v>
      </c>
      <c r="BG257" s="560">
        <f>IF(Sheet1!EP259="FM",BM257,0)</f>
        <v>0</v>
      </c>
      <c r="BH257" s="560">
        <f t="shared" si="496"/>
        <v>0</v>
      </c>
      <c r="BI257" s="560">
        <f>IF(Sheet1!EP259="OTHER",BM257,0)</f>
        <v>0</v>
      </c>
      <c r="BJ257" s="560">
        <f t="shared" si="497"/>
        <v>0</v>
      </c>
      <c r="BK257" s="560">
        <f t="shared" si="498"/>
        <v>2.02</v>
      </c>
      <c r="BL257" s="560">
        <f t="shared" si="499"/>
        <v>2.0164358182620199</v>
      </c>
      <c r="BM257" s="560">
        <f>IF(OR(Sheet1!EP259="FM", Sheet1!EP259="OTHER"),SUM(Sheet1!BG259:'Sheet1'!BI259),0)</f>
        <v>0</v>
      </c>
      <c r="BN257" s="545">
        <f>IF(AND($B257&gt;=$FV257,$B257&lt;=$FW257),MAX(BF257,Sheet1!EI259,0),MAX(BF257-(7/36)*$K257,0))</f>
        <v>2.0164358182620199</v>
      </c>
      <c r="BO257" s="560">
        <f t="shared" si="500"/>
        <v>0</v>
      </c>
      <c r="BP257" s="545">
        <f t="shared" si="501"/>
        <v>0</v>
      </c>
      <c r="BQ257" s="545">
        <f>IF(AND($O257&gt;0,Sheet1!EM259=1),(1-($O257-Sheet1!$L259)/$O257)*BL257,0)</f>
        <v>0</v>
      </c>
      <c r="BR257" s="545">
        <f>IF(AND(Sheet1!$L259=0,Sheet1!$L258=0, Calculation!BK257&lt;Sheet1!$EI259-0.1,Sheet1!$EI259=Sheet1!$EI258,Sheet1!$EI259=Sheet1!$EI260),Sheet1!$EI259,BL257-BQ257)</f>
        <v>2.0164358182620199</v>
      </c>
      <c r="BS257" s="560"/>
      <c r="BT257" s="560"/>
      <c r="BU257" s="560">
        <f t="shared" si="502"/>
        <v>490.55692026863858</v>
      </c>
      <c r="BV257" s="560"/>
      <c r="BW257" s="560">
        <f ca="1">IF(B257&gt;Summary!$A$1,#N/A,BU257*MGtoAF)</f>
        <v>1505.0286313841832</v>
      </c>
      <c r="BX257" s="560">
        <f>Sheet1!BC259+Sheet1!BD259+Sheet1!BE259+Sheet1!BF259-CG257-CH257</f>
        <v>3.5</v>
      </c>
      <c r="BY257" s="560">
        <f t="shared" si="503"/>
        <v>3.4938244375827079</v>
      </c>
      <c r="BZ257" s="560">
        <f>IF(Sheet1!EQ259="FM",CH257,0)</f>
        <v>0</v>
      </c>
      <c r="CA257" s="560">
        <f t="shared" si="504"/>
        <v>0</v>
      </c>
      <c r="CB257" s="560">
        <f>IF(Sheet1!EQ259="OTHER",CH257,0)</f>
        <v>0</v>
      </c>
      <c r="CC257" s="560">
        <f t="shared" si="505"/>
        <v>0</v>
      </c>
      <c r="CD257" s="560">
        <f t="shared" si="506"/>
        <v>0</v>
      </c>
      <c r="CE257" s="560">
        <f t="shared" si="507"/>
        <v>3.5</v>
      </c>
      <c r="CF257" s="560">
        <f t="shared" si="508"/>
        <v>3.4938244375827079</v>
      </c>
      <c r="CG257" s="560">
        <f>IF(Sheet1!EQ259="CWA",SUM(Sheet1!BC259:'Sheet1'!BF259),0)</f>
        <v>0</v>
      </c>
      <c r="CH257" s="560">
        <f>IF(OR(Sheet1!EQ259="FM", Sheet1!EQ259="OTHER"),SUM(Sheet1!BC259:'Sheet1'!BF259),0)</f>
        <v>0</v>
      </c>
      <c r="CI257" s="545">
        <f>IF(AND($B257&gt;=$FV257,$B257&lt;=$FW257),MAX(CF257,Sheet1!EJ259,0),MAX(CF257-(7/36)*$K257,0))</f>
        <v>3.5</v>
      </c>
      <c r="CJ257" s="560">
        <f t="shared" si="509"/>
        <v>0</v>
      </c>
      <c r="CK257" s="545">
        <f t="shared" si="510"/>
        <v>0</v>
      </c>
      <c r="CL257" s="545">
        <f>IF(AND($O257&gt;0,Sheet1!EN259=1),(1-($O257-Sheet1!$L259)/$O257)*CF257,0)</f>
        <v>0</v>
      </c>
      <c r="CM257" s="545">
        <f>IF(AND(Sheet1!$L259=0,Sheet1!$L258=0, Calculation!CE257&lt;Sheet1!EJ259-0.1,Sheet1!EJ259=Sheet1!EJ258,Sheet1!EJ259=Sheet1!EJ260),Sheet1!EJ259,CF257-CL257)</f>
        <v>3.4938244375827079</v>
      </c>
      <c r="CN257" s="545"/>
      <c r="CO257" s="560"/>
      <c r="CP257" s="560">
        <f t="shared" si="511"/>
        <v>338.59949305713815</v>
      </c>
      <c r="CQ257" s="560"/>
      <c r="CR257" s="560">
        <f ca="1">IF(B257&gt;Summary!$A$1,#N/A,CP257*MGtoAF)</f>
        <v>1038.8232446992999</v>
      </c>
      <c r="CS257" s="560">
        <f>Sheet1!BK259+Sheet1!BL259+Sheet1!BM259-Sheet1!ER259-DA257</f>
        <v>9.02</v>
      </c>
      <c r="CT257" s="560">
        <f t="shared" si="512"/>
        <v>9.0040846934274352</v>
      </c>
      <c r="CU257" s="560">
        <f>IF(Sheet1!ER259="FM",DA257,0)</f>
        <v>0</v>
      </c>
      <c r="CV257" s="560">
        <f t="shared" si="513"/>
        <v>0</v>
      </c>
      <c r="CW257" s="560">
        <f>IF(Sheet1!ER259="OTHER",DA257,0)</f>
        <v>0</v>
      </c>
      <c r="CX257" s="560">
        <f t="shared" si="514"/>
        <v>0</v>
      </c>
      <c r="CY257" s="560">
        <f t="shared" si="515"/>
        <v>9.02</v>
      </c>
      <c r="CZ257" s="560">
        <f t="shared" si="516"/>
        <v>9.0040846934274352</v>
      </c>
      <c r="DA257" s="560">
        <f>IF(OR(Sheet1!ER259="FM", Sheet1!ER259="OTHER"),SUM(Sheet1!BK259:'Sheet1'!BM259),0)</f>
        <v>0</v>
      </c>
      <c r="DB257" s="545">
        <f>IF(AND($B257&gt;=$FV257,$B257&lt;=$FW257),MAX($CT257,Sheet1!EK259,0),MAX($CT257-(7/36)*$K257,0))</f>
        <v>9.0040846934274352</v>
      </c>
      <c r="DC257" s="560">
        <f t="shared" si="517"/>
        <v>0</v>
      </c>
      <c r="DD257" s="545">
        <f t="shared" si="518"/>
        <v>0</v>
      </c>
      <c r="DE257" s="545">
        <f>IF(AND($O257&gt;0,Sheet1!EO259=1),(1-($O257-Sheet1!$L259)/$O257)*CZ257,0)</f>
        <v>0</v>
      </c>
      <c r="DF257" s="545">
        <f>IF(AND(Sheet1!$L259=0,Sheet1!$L258=0, Calculation!CY257&lt;Sheet1!$EK259-0.1,Sheet1!$EK259=Sheet1!$EK258,Sheet1!$EK259=Sheet1!$EK260),Sheet1!$EK259,CZ257-DE257)</f>
        <v>9.0040846934274352</v>
      </c>
      <c r="DG257" s="545"/>
      <c r="DH257" s="560">
        <f t="shared" si="519"/>
        <v>14.54</v>
      </c>
      <c r="DI257" s="560">
        <f t="shared" si="520"/>
        <v>175.09285447580271</v>
      </c>
      <c r="DJ257" s="698">
        <f t="shared" si="521"/>
        <v>14.514344949272163</v>
      </c>
      <c r="DK257" s="560">
        <f ca="1">IF(B257&gt;Summary!$A$1,#N/A,DI257*MGtoAF)</f>
        <v>537.18487753176271</v>
      </c>
      <c r="DL257" s="698">
        <f t="shared" si="522"/>
        <v>14.54</v>
      </c>
      <c r="DM257" s="560">
        <f t="shared" si="523"/>
        <v>45.34</v>
      </c>
      <c r="DN257" s="560">
        <f>Sheet1!AB259-DM257</f>
        <v>-8.00000000000054E-2</v>
      </c>
      <c r="DO257" s="823">
        <f t="shared" si="524"/>
        <v>-1.764446404940569E-3</v>
      </c>
      <c r="DP257" s="560">
        <f>(VLOOKUP(Sheet1!DC259,hhdcap_wcm,4)-(((VLOOKUP(Sheet1!DC259,hhdcap_wcm,3)-Sheet1!DC259)/(VLOOKUP(Sheet1!DC259,hhdcap_wcm,3)-VLOOKUP(Sheet1!DC259,hhdcap_wcm,1)))*(VLOOKUP(Sheet1!DC259,hhdcap_wcm,4)-VLOOKUP(Sheet1!DC259,hhdcap_wcm,2))))</f>
        <v>33986.800000085706</v>
      </c>
      <c r="DQ257" s="560">
        <f t="shared" si="525"/>
        <v>-75.700000001124863</v>
      </c>
      <c r="DR257" s="560">
        <f t="shared" si="526"/>
        <v>-38.174483106971685</v>
      </c>
      <c r="DS257" s="560">
        <f>Sheet1!EA259*AFtoMG</f>
        <v>0</v>
      </c>
      <c r="DT257" s="560">
        <f>Sheet1!EB259*AFtoMG</f>
        <v>0</v>
      </c>
      <c r="DU257" s="560">
        <f>Sheet1!EC259*AFtoMG</f>
        <v>0</v>
      </c>
      <c r="DV257" s="560">
        <f>Sheet1!ED259*AFtoMG</f>
        <v>0</v>
      </c>
      <c r="DW257" s="560">
        <f t="shared" si="527"/>
        <v>0</v>
      </c>
      <c r="DX257" s="560">
        <f t="shared" si="528"/>
        <v>0</v>
      </c>
      <c r="DY257" s="560">
        <f t="shared" si="529"/>
        <v>2045.7749344682461</v>
      </c>
      <c r="DZ257" s="560">
        <f t="shared" si="530"/>
        <v>6276.4374989485796</v>
      </c>
      <c r="EA257" s="560"/>
      <c r="EB257" s="545">
        <f>IF(OR(B257&lt;FV257,B257&gt;FW257),(MIN(BF257+BY257+CT257+MAX(Sheet1!AA259+AQ257-73,0),K257)),0)</f>
        <v>0</v>
      </c>
      <c r="EC257" s="560"/>
      <c r="ED257" s="560">
        <f t="shared" si="531"/>
        <v>14.514344949272163</v>
      </c>
      <c r="EE257" s="560"/>
      <c r="EF257" s="560">
        <f>Sheet1!EH259+Sheet1!EI259+Sheet1!EJ259+Sheet1!EK259</f>
        <v>14.5</v>
      </c>
      <c r="EG257" s="560"/>
      <c r="EH257" s="545">
        <f t="shared" si="532"/>
        <v>0</v>
      </c>
      <c r="EI257" s="560">
        <f>IF(Sheet1!ET259=1,SUM('Calculations II'!AT257:BA257)+'Calculations II'!BC257+Sheet1!BV259+'Calculations II'!BE257+AP257,SUM('Calculations II'!AT257:BA257)+'Calculations II'!BC257+Sheet1!BV259+'Calculations II'!BE257+AP257)</f>
        <v>72.239887999999993</v>
      </c>
      <c r="EJ257" s="560">
        <f>Sheet1!AA259+Sheet1!AB259+'Calculations II'!BC257</f>
        <v>78.06</v>
      </c>
      <c r="EK257" s="560"/>
      <c r="EL257" s="560"/>
      <c r="EM257" s="560">
        <f t="shared" si="533"/>
        <v>41885</v>
      </c>
      <c r="EN257" s="560">
        <f t="shared" si="534"/>
        <v>-14.520520511689455</v>
      </c>
      <c r="EO257" s="560">
        <f t="shared" si="535"/>
        <v>-22.463245231583585</v>
      </c>
      <c r="EP257" s="560">
        <v>0</v>
      </c>
      <c r="EQ257" s="560">
        <v>0</v>
      </c>
      <c r="ER257" s="560">
        <v>0</v>
      </c>
      <c r="ES257" s="545">
        <f t="shared" si="454"/>
        <v>-1.3852322723109647</v>
      </c>
      <c r="ET257" s="560">
        <f>-(VLOOKUP(Sheet1!BQ259,Lookup!$O$4:$Q$262,2)-VLOOKUP(Sheet1!BQ258,Lookup!$O$4:$Q$262,2))/1000000</f>
        <v>-0.69261613615548234</v>
      </c>
      <c r="EU257" s="560">
        <f>-(VLOOKUP(Sheet1!BR259,Lookup!$O$4:$Q$262,3)-VLOOKUP(Sheet1!BR258,Lookup!$O$4:$Q$262,3))/1000000</f>
        <v>-0.69261613615548234</v>
      </c>
      <c r="EV257" s="560"/>
      <c r="EW257" s="560"/>
      <c r="EX257" s="560"/>
      <c r="EY257" s="560"/>
      <c r="EZ257" s="560"/>
      <c r="FA257" s="560"/>
      <c r="FB257" s="560"/>
      <c r="FC257" s="560"/>
      <c r="FD257" s="594">
        <f t="shared" si="536"/>
        <v>1128.0464285713595</v>
      </c>
      <c r="FE257" s="594" t="e">
        <f t="shared" si="537"/>
        <v>#N/A</v>
      </c>
      <c r="FF257" s="595" t="e">
        <f t="shared" si="538"/>
        <v>#N/A</v>
      </c>
      <c r="FG257" s="596" t="s">
        <v>692</v>
      </c>
      <c r="FH257" s="596" t="s">
        <v>692</v>
      </c>
      <c r="FI257" s="594" t="e">
        <v>#N/A</v>
      </c>
      <c r="FJ257" s="778">
        <v>15050</v>
      </c>
      <c r="FK257" s="560"/>
      <c r="FL257" s="560"/>
      <c r="FM257" s="560"/>
      <c r="FN257" s="560"/>
      <c r="FO257" s="560">
        <f>O257+((Sheet1!CS259)*GPMtoMGD)</f>
        <v>78.06</v>
      </c>
      <c r="FP257" s="560">
        <f>IF(Sheet1!AA259+AQ257&lt;=Calculation!N257,AQ257,Calculation!N257-Sheet1!AA259)</f>
        <v>29.148478164975735</v>
      </c>
      <c r="FQ257" s="560">
        <f>(Sheet1!BP259+Sheet1!BO259)/694.4</f>
        <v>2.663738479262673</v>
      </c>
      <c r="FR257" s="560"/>
      <c r="FS257" s="560"/>
      <c r="FT257" s="560"/>
      <c r="FU257" s="560"/>
      <c r="FV257" s="695">
        <f t="shared" si="455"/>
        <v>41827</v>
      </c>
      <c r="FW257" s="695">
        <f t="shared" si="456"/>
        <v>41934</v>
      </c>
      <c r="FX257" s="560"/>
      <c r="FY257" s="560"/>
      <c r="FZ257" s="560"/>
      <c r="GA257" s="560"/>
      <c r="GB257" s="560" t="str">
        <f t="shared" si="457"/>
        <v>n</v>
      </c>
      <c r="GC257" s="564">
        <f t="shared" si="458"/>
        <v>41691</v>
      </c>
      <c r="GD257" s="695">
        <f t="shared" si="459"/>
        <v>41807</v>
      </c>
      <c r="GE257" s="560">
        <v>6518.9</v>
      </c>
      <c r="GF257" s="695">
        <f t="shared" si="460"/>
        <v>41808</v>
      </c>
      <c r="GG257" s="560">
        <f t="shared" si="479"/>
        <v>3259</v>
      </c>
      <c r="GH257" s="564">
        <f t="shared" si="461"/>
        <v>41934</v>
      </c>
      <c r="GJ257" s="545">
        <f t="shared" si="462"/>
        <v>0</v>
      </c>
      <c r="GK257" s="560" t="str">
        <f t="shared" si="539"/>
        <v/>
      </c>
      <c r="GL257" s="560">
        <f t="shared" si="463"/>
        <v>0</v>
      </c>
      <c r="GM257" s="560" t="str">
        <f t="shared" si="464"/>
        <v/>
      </c>
      <c r="GN257" s="560">
        <f>IF(GK257="P",Lookup!$M$12,IF(GK257="PP",Lookup!$M$13,IF(GK257="PPP",Lookup!$M$14,IF(GK257="T",Lookup!$M$15,IF(GK257="TP",Lookup!$M$16,IF(GK257="TPP",Lookup!$M$17,IF(GK257="TPPP",Lookup!$M$18,0)))))))*GJ257</f>
        <v>0</v>
      </c>
      <c r="GO257" s="560">
        <f t="shared" si="465"/>
        <v>0</v>
      </c>
      <c r="GP257" s="560">
        <f t="shared" si="540"/>
        <v>3195.4007453333343</v>
      </c>
      <c r="GQ257" s="560">
        <f t="shared" si="473"/>
        <v>1041.5256666666669</v>
      </c>
      <c r="GR257" s="560"/>
      <c r="GS257" s="560">
        <f t="shared" si="466"/>
        <v>0</v>
      </c>
      <c r="GT257" s="560" t="str">
        <f t="shared" si="467"/>
        <v/>
      </c>
      <c r="GU257" s="560">
        <f>IF(GK257="P",Lookup!$N$12,IF(GK257="PP",Lookup!$N$13,IF(GK257="PPP",Lookup!$N$14,IF(GK257="T",Lookup!$N$15,IF(GK257="TP",Lookup!$N$16,IF(GK257="TPP",Lookup!$N$17,IF(GK257="TPPP",Lookup!$N$18,0)))))))*GJ257</f>
        <v>0</v>
      </c>
      <c r="GV257" s="560">
        <f t="shared" si="468"/>
        <v>0</v>
      </c>
      <c r="GW257" s="560">
        <f t="shared" si="541"/>
        <v>1505.0286313841832</v>
      </c>
      <c r="GX257" s="560">
        <f t="shared" si="474"/>
        <v>490.55692026863858</v>
      </c>
      <c r="GY257" s="560"/>
      <c r="GZ257" s="560">
        <f t="shared" si="469"/>
        <v>0</v>
      </c>
      <c r="HA257" s="560" t="str">
        <f t="shared" si="470"/>
        <v/>
      </c>
      <c r="HB257" s="560">
        <f>IF(GK257="P",Lookup!$N$12,IF(GK257="PP",Lookup!$N$13,IF(GK257="PPP",Lookup!$N$14,IF(GK257="T",Lookup!$N$15,IF(GK257="TP",Lookup!$N$16,IF(GK257="TPP",Lookup!$N$17,IF(GK257="TPPP",Lookup!$N$18,0)))))))*GJ257</f>
        <v>0</v>
      </c>
      <c r="HC257" s="545">
        <f t="shared" si="542"/>
        <v>0</v>
      </c>
      <c r="HD257" s="560">
        <f t="shared" si="543"/>
        <v>1038.8232446992999</v>
      </c>
      <c r="HE257" s="560">
        <f t="shared" si="475"/>
        <v>338.59949305713815</v>
      </c>
      <c r="HF257" s="560"/>
      <c r="HG257" s="560">
        <f t="shared" si="471"/>
        <v>0</v>
      </c>
      <c r="HH257" s="560" t="str">
        <f t="shared" si="472"/>
        <v/>
      </c>
      <c r="HI257" s="560">
        <f>IF(GK257="P",Lookup!$N$12,IF(GK257="PP",Lookup!$N$13,IF(GK257="PPP",Lookup!$N$14,IF(GK257="T",Lookup!$N$15,IF(GK257="TP",Lookup!$N$16,IF(GK257="TPP",Lookup!$N$17,IF(GK257="TPPP",Lookup!$N$18,0)))))))*GJ257</f>
        <v>0</v>
      </c>
      <c r="HJ257" s="545">
        <f t="shared" si="544"/>
        <v>0</v>
      </c>
      <c r="HK257" s="560">
        <f t="shared" si="545"/>
        <v>537.18487753176271</v>
      </c>
      <c r="HL257" s="560">
        <f t="shared" si="476"/>
        <v>175.09285447580271</v>
      </c>
    </row>
    <row r="258" spans="1:220">
      <c r="A258" s="580" t="s">
        <v>7</v>
      </c>
      <c r="B258" s="556">
        <v>41886</v>
      </c>
      <c r="C258" s="561">
        <v>0</v>
      </c>
      <c r="D258" s="529">
        <f t="shared" si="477"/>
        <v>200</v>
      </c>
      <c r="E258" s="529">
        <f t="shared" si="478"/>
        <v>400</v>
      </c>
      <c r="F258" s="529">
        <v>250</v>
      </c>
      <c r="G258" s="560">
        <f>DR258+Sheet1!CZ260</f>
        <v>273.20927887039693</v>
      </c>
      <c r="H258" s="914">
        <f t="shared" si="480"/>
        <v>0</v>
      </c>
      <c r="I258" s="559">
        <f>MAX(Sheet1!Z260-AT258+(Sheet1!DA260-E258)*CFStoMGD,0)</f>
        <v>36.8568</v>
      </c>
      <c r="J258" s="562">
        <f>IF(AND(B258&gt;=Calculation!GC258,B258&lt;=Calculation!GD258),IF(Sheet1!DB260&gt;=Calculation!D258,64.64,0),MAX(Sheet1!Z260-AT258+(Sheet1!DB260-D258)*CFStoMGD,0))</f>
        <v>73.055199999999999</v>
      </c>
      <c r="K258" s="904">
        <f t="shared" si="481"/>
        <v>0</v>
      </c>
      <c r="L258" s="560">
        <f>Sheet1!AA260+Sheet1!AB260-Sheet1!L260+(Sheet1!DA260-F258)*CFStoMGD</f>
        <v>170.89679999999998</v>
      </c>
      <c r="M258" s="560">
        <f t="shared" si="482"/>
        <v>180.13452741906107</v>
      </c>
      <c r="N258" s="910">
        <f>IF(Sheet1!DA260&gt;=F258,MIN(73,MIN(MAX(L258,0),MAX(M258,0))),0)</f>
        <v>73</v>
      </c>
      <c r="O258" s="563">
        <f>Sheet1!AA260+Sheet1!AB260</f>
        <v>82.34</v>
      </c>
      <c r="P258" s="563">
        <f t="shared" si="483"/>
        <v>127.37997999999999</v>
      </c>
      <c r="Q258" s="898">
        <f t="shared" si="444"/>
        <v>67.770767993566551</v>
      </c>
      <c r="R258" s="829">
        <f t="shared" si="484"/>
        <v>14.5</v>
      </c>
      <c r="S258" s="898">
        <f t="shared" si="445"/>
        <v>0</v>
      </c>
      <c r="T258" s="898">
        <f t="shared" si="446"/>
        <v>0</v>
      </c>
      <c r="U258" s="898">
        <f t="shared" si="447"/>
        <v>14.569232006433452</v>
      </c>
      <c r="V258" s="898"/>
      <c r="W258" s="898">
        <f t="shared" si="448"/>
        <v>0</v>
      </c>
      <c r="X258" s="898">
        <f t="shared" si="449"/>
        <v>0</v>
      </c>
      <c r="Y258" s="898" t="str">
        <f t="shared" si="450"/>
        <v>FALSE</v>
      </c>
      <c r="Z258" s="898">
        <f t="shared" si="451"/>
        <v>82.34</v>
      </c>
      <c r="AA258" s="898">
        <f t="shared" si="452"/>
        <v>82.34</v>
      </c>
      <c r="AB258" s="898" t="str">
        <f t="shared" si="453"/>
        <v/>
      </c>
      <c r="AC258" s="563">
        <f>Sheet1!Y260*MGDtoCFS</f>
        <v>50.741599999999991</v>
      </c>
      <c r="AD258" s="563">
        <f>Sheet1!Z260*MGDtoCFS</f>
        <v>70.017219999999995</v>
      </c>
      <c r="AE258" s="563">
        <f>Sheet1!AA260*MGDtoCFS</f>
        <v>50.277499999999996</v>
      </c>
      <c r="AF258" s="563">
        <f>Sheet1!AB260*MGDtoCFS</f>
        <v>77.10248</v>
      </c>
      <c r="AG258" s="563">
        <f>Sheet1!L260*MGDtoCFS</f>
        <v>0</v>
      </c>
      <c r="AH258" s="545">
        <f t="shared" si="485"/>
        <v>14.569232006433454</v>
      </c>
      <c r="AI258" s="560">
        <f t="shared" si="486"/>
        <v>22.538601913952551</v>
      </c>
      <c r="AJ258" s="560">
        <f t="shared" si="487"/>
        <v>0</v>
      </c>
      <c r="AK258" s="560">
        <f t="shared" si="488"/>
        <v>0</v>
      </c>
      <c r="AL258" s="560">
        <f>(VLOOKUP(Sheet1!DC260,hhdcap_wcm,4)-(((VLOOKUP(Sheet1!DC260,hhdcap_wcm,3)-Sheet1!DC260)/(VLOOKUP(Sheet1!DC260,hhdcap_wcm,3)-VLOOKUP(Sheet1!DC260,hhdcap_wcm,1)))*(VLOOKUP(Sheet1!DC260,hhdcap_wcm,4)-VLOOKUP(Sheet1!DC260,hhdcap_wcm,2))))</f>
        <v>33779.000000085704</v>
      </c>
      <c r="AM258" s="560">
        <f t="shared" si="489"/>
        <v>-207.80000000000291</v>
      </c>
      <c r="AN258" s="560">
        <f t="shared" si="490"/>
        <v>2031.205702461813</v>
      </c>
      <c r="AO258" s="560">
        <f t="shared" si="491"/>
        <v>6231.7390951528423</v>
      </c>
      <c r="AP258" s="560">
        <f>Sheet1!BA260+Sheet1!BB260+Sheet1!BN260+CD258</f>
        <v>35.200000000000003</v>
      </c>
      <c r="AQ258" s="560">
        <f>Sheet1!BN260+(DO258*Sheet1!BN260)</f>
        <v>33.667551266586251</v>
      </c>
      <c r="AR258" s="560">
        <f>Sheet1!BA260+CD258</f>
        <v>0</v>
      </c>
      <c r="AS258" s="560">
        <f>Sheet1!BA260+Sheet1!BB260+CD258</f>
        <v>1.6</v>
      </c>
      <c r="AT258" s="698">
        <f>0</f>
        <v>0</v>
      </c>
      <c r="AU258" s="560">
        <f>IF(EB258&lt;K258,0,MAX(Sheet1!AA260+AQ258-15/36*K258-N258,Sheet1!EH260,0))</f>
        <v>0</v>
      </c>
      <c r="AV258" s="560">
        <f>IF(OR(B258&gt;=GD258,B258&lt;GC258),0,15/36*K258-MAX(0,64.6-(137.6-(Sheet1!AA260+Sheet1!AB260))))</f>
        <v>0</v>
      </c>
      <c r="AW258" s="698">
        <f>Sheet1!DB260-110</f>
        <v>133</v>
      </c>
      <c r="AX258" s="698">
        <f>Sheet1!DA260-265</f>
        <v>122</v>
      </c>
      <c r="AY258" s="698">
        <f t="shared" si="492"/>
        <v>5.229232006433449</v>
      </c>
      <c r="AZ258" s="698">
        <v>0</v>
      </c>
      <c r="BA258" s="698">
        <f t="shared" si="493"/>
        <v>0</v>
      </c>
      <c r="BB258" s="560">
        <f t="shared" si="494"/>
        <v>1041.5256666666669</v>
      </c>
      <c r="BC258" s="560"/>
      <c r="BD258" s="560">
        <f ca="1">IF(B258&gt;Summary!$A$1,#N/A,BB258*MGtoAF)</f>
        <v>3195.4007453333343</v>
      </c>
      <c r="BE258" s="560">
        <f>Sheet1!BG260+Sheet1!BH260+Sheet1!BI260-BM258</f>
        <v>2.02</v>
      </c>
      <c r="BF258" s="560">
        <f t="shared" si="495"/>
        <v>2.0240611178126255</v>
      </c>
      <c r="BG258" s="560">
        <f>IF(Sheet1!EP260="FM",BM258,0)</f>
        <v>0</v>
      </c>
      <c r="BH258" s="560">
        <f t="shared" si="496"/>
        <v>0</v>
      </c>
      <c r="BI258" s="560">
        <f>IF(Sheet1!EP260="OTHER",BM258,0)</f>
        <v>0</v>
      </c>
      <c r="BJ258" s="560">
        <f t="shared" si="497"/>
        <v>0</v>
      </c>
      <c r="BK258" s="560">
        <f t="shared" si="498"/>
        <v>2.02</v>
      </c>
      <c r="BL258" s="560">
        <f t="shared" si="499"/>
        <v>2.0240611178126255</v>
      </c>
      <c r="BM258" s="560">
        <f>IF(OR(Sheet1!EP260="FM", Sheet1!EP260="OTHER"),SUM(Sheet1!BG260:'Sheet1'!BI260),0)</f>
        <v>0</v>
      </c>
      <c r="BN258" s="545">
        <f>IF(AND($B258&gt;=$FV258,$B258&lt;=$FW258),MAX(BF258,Sheet1!EI260,0),MAX(BF258-(7/36)*$K258,0))</f>
        <v>2.0240611178126255</v>
      </c>
      <c r="BO258" s="560">
        <f t="shared" si="500"/>
        <v>0</v>
      </c>
      <c r="BP258" s="545">
        <f t="shared" si="501"/>
        <v>0</v>
      </c>
      <c r="BQ258" s="545">
        <f>IF(AND($O258&gt;0,Sheet1!EM260=1),(1-($O258-Sheet1!$L260)/$O258)*BL258,0)</f>
        <v>0</v>
      </c>
      <c r="BR258" s="545">
        <f>IF(AND(Sheet1!$L260=0,Sheet1!$L259=0, Calculation!BK258&lt;Sheet1!$EI260-0.1,Sheet1!$EI260=Sheet1!$EI259,Sheet1!$EI260=Sheet1!$EI261),Sheet1!$EI260,BL258-BQ258)</f>
        <v>2.0240611178126255</v>
      </c>
      <c r="BS258" s="560"/>
      <c r="BT258" s="560"/>
      <c r="BU258" s="560">
        <f t="shared" si="502"/>
        <v>488.53285915082597</v>
      </c>
      <c r="BV258" s="560"/>
      <c r="BW258" s="560">
        <f ca="1">IF(B258&gt;Summary!$A$1,#N/A,BU258*MGtoAF)</f>
        <v>1498.8188118747341</v>
      </c>
      <c r="BX258" s="560">
        <f>Sheet1!BC260+Sheet1!BD260+Sheet1!BE260+Sheet1!BF260-CG258-CH258</f>
        <v>3.51</v>
      </c>
      <c r="BY258" s="560">
        <f t="shared" si="503"/>
        <v>3.5170566948130277</v>
      </c>
      <c r="BZ258" s="560">
        <f>IF(Sheet1!EQ260="FM",CH258,0)</f>
        <v>0</v>
      </c>
      <c r="CA258" s="560">
        <f t="shared" si="504"/>
        <v>0</v>
      </c>
      <c r="CB258" s="560">
        <f>IF(Sheet1!EQ260="OTHER",CH258,0)</f>
        <v>0</v>
      </c>
      <c r="CC258" s="560">
        <f t="shared" si="505"/>
        <v>0</v>
      </c>
      <c r="CD258" s="560">
        <f t="shared" si="506"/>
        <v>0</v>
      </c>
      <c r="CE258" s="560">
        <f t="shared" si="507"/>
        <v>3.51</v>
      </c>
      <c r="CF258" s="560">
        <f t="shared" si="508"/>
        <v>3.5170566948130277</v>
      </c>
      <c r="CG258" s="560">
        <f>IF(Sheet1!EQ260="CWA",SUM(Sheet1!BC260:'Sheet1'!BF260),0)</f>
        <v>0</v>
      </c>
      <c r="CH258" s="560">
        <f>IF(OR(Sheet1!EQ260="FM", Sheet1!EQ260="OTHER"),SUM(Sheet1!BC260:'Sheet1'!BF260),0)</f>
        <v>0</v>
      </c>
      <c r="CI258" s="545">
        <f>IF(AND($B258&gt;=$FV258,$B258&lt;=$FW258),MAX(CF258,Sheet1!EJ260,0),MAX(CF258-(7/36)*$K258,0))</f>
        <v>3.5170566948130277</v>
      </c>
      <c r="CJ258" s="560">
        <f t="shared" si="509"/>
        <v>0</v>
      </c>
      <c r="CK258" s="545">
        <f t="shared" si="510"/>
        <v>0</v>
      </c>
      <c r="CL258" s="545">
        <f>IF(AND($O258&gt;0,Sheet1!EN260=1),(1-($O258-Sheet1!$L260)/$O258)*CF258,0)</f>
        <v>0</v>
      </c>
      <c r="CM258" s="545">
        <f>IF(AND(Sheet1!$L260=0,Sheet1!$L259=0, Calculation!CE258&lt;Sheet1!EJ260-0.1,Sheet1!EJ260=Sheet1!EJ259,Sheet1!EJ260=Sheet1!EJ261),Sheet1!EJ260,CF258-CL258)</f>
        <v>3.5170566948130277</v>
      </c>
      <c r="CN258" s="545"/>
      <c r="CO258" s="560"/>
      <c r="CP258" s="560">
        <f t="shared" si="511"/>
        <v>335.0824363623251</v>
      </c>
      <c r="CQ258" s="560"/>
      <c r="CR258" s="560">
        <f ca="1">IF(B258&gt;Summary!$A$1,#N/A,CP258*MGtoAF)</f>
        <v>1028.0329147596135</v>
      </c>
      <c r="CS258" s="560">
        <f>Sheet1!BK260+Sheet1!BL260+Sheet1!BM260-Sheet1!ER260-DA258</f>
        <v>9.01</v>
      </c>
      <c r="CT258" s="560">
        <f t="shared" si="512"/>
        <v>9.0281141938078004</v>
      </c>
      <c r="CU258" s="560">
        <f>IF(Sheet1!ER260="FM",DA258,0)</f>
        <v>0</v>
      </c>
      <c r="CV258" s="560">
        <f t="shared" si="513"/>
        <v>0</v>
      </c>
      <c r="CW258" s="560">
        <f>IF(Sheet1!ER260="OTHER",DA258,0)</f>
        <v>0</v>
      </c>
      <c r="CX258" s="560">
        <f t="shared" si="514"/>
        <v>0</v>
      </c>
      <c r="CY258" s="560">
        <f t="shared" si="515"/>
        <v>9.01</v>
      </c>
      <c r="CZ258" s="560">
        <f t="shared" si="516"/>
        <v>9.0281141938078004</v>
      </c>
      <c r="DA258" s="560">
        <f>IF(OR(Sheet1!ER260="FM", Sheet1!ER260="OTHER"),SUM(Sheet1!BK260:'Sheet1'!BM260),0)</f>
        <v>0</v>
      </c>
      <c r="DB258" s="545">
        <f>IF(AND($B258&gt;=$FV258,$B258&lt;=$FW258),MAX($CT258,Sheet1!EK260,0),MAX($CT258-(7/36)*$K258,0))</f>
        <v>9.0281141938078004</v>
      </c>
      <c r="DC258" s="560">
        <f t="shared" si="517"/>
        <v>0</v>
      </c>
      <c r="DD258" s="545">
        <f t="shared" si="518"/>
        <v>0</v>
      </c>
      <c r="DE258" s="545">
        <f>IF(AND($O258&gt;0,Sheet1!EO260=1),(1-($O258-Sheet1!$L260)/$O258)*CZ258,0)</f>
        <v>0</v>
      </c>
      <c r="DF258" s="545">
        <f>IF(AND(Sheet1!$L260=0,Sheet1!$L259=0, Calculation!CY258&lt;Sheet1!$EK260-0.1,Sheet1!$EK260=Sheet1!$EK259,Sheet1!$EK260=Sheet1!$EK261),Sheet1!$EK260,CZ258-DE258)</f>
        <v>9.0281141938078004</v>
      </c>
      <c r="DG258" s="545"/>
      <c r="DH258" s="560">
        <f t="shared" si="519"/>
        <v>14.54</v>
      </c>
      <c r="DI258" s="560">
        <f t="shared" si="520"/>
        <v>166.06474028199491</v>
      </c>
      <c r="DJ258" s="698">
        <f t="shared" si="521"/>
        <v>14.569232006433454</v>
      </c>
      <c r="DK258" s="560">
        <f ca="1">IF(B258&gt;Summary!$A$1,#N/A,DI258*MGtoAF)</f>
        <v>509.4866231851604</v>
      </c>
      <c r="DL258" s="698">
        <f t="shared" si="522"/>
        <v>14.54</v>
      </c>
      <c r="DM258" s="560">
        <f t="shared" si="523"/>
        <v>49.74</v>
      </c>
      <c r="DN258" s="560">
        <f>Sheet1!AB260-DM258</f>
        <v>0.10000000000000142</v>
      </c>
      <c r="DO258" s="823">
        <f t="shared" si="524"/>
        <v>2.0104543626859954E-3</v>
      </c>
      <c r="DP258" s="560">
        <f>(VLOOKUP(Sheet1!DC260,hhdcap_wcm,4)-(((VLOOKUP(Sheet1!DC260,hhdcap_wcm,3)-Sheet1!DC260)/(VLOOKUP(Sheet1!DC260,hhdcap_wcm,3)-VLOOKUP(Sheet1!DC260,hhdcap_wcm,1)))*(VLOOKUP(Sheet1!DC260,hhdcap_wcm,4)-VLOOKUP(Sheet1!DC260,hhdcap_wcm,2))))</f>
        <v>33779.000000085704</v>
      </c>
      <c r="DQ258" s="560">
        <f t="shared" si="525"/>
        <v>-207.80000000000291</v>
      </c>
      <c r="DR258" s="560">
        <f t="shared" si="526"/>
        <v>-104.79072112960307</v>
      </c>
      <c r="DS258" s="560">
        <f>Sheet1!EA260*AFtoMG</f>
        <v>0</v>
      </c>
      <c r="DT258" s="560">
        <f>Sheet1!EB260*AFtoMG</f>
        <v>0</v>
      </c>
      <c r="DU258" s="560">
        <f>Sheet1!EC260*AFtoMG</f>
        <v>0</v>
      </c>
      <c r="DV258" s="560">
        <f>Sheet1!ED260*AFtoMG</f>
        <v>0</v>
      </c>
      <c r="DW258" s="560">
        <f t="shared" si="527"/>
        <v>0</v>
      </c>
      <c r="DX258" s="560">
        <f t="shared" si="528"/>
        <v>0</v>
      </c>
      <c r="DY258" s="560">
        <f t="shared" si="529"/>
        <v>2031.205702461813</v>
      </c>
      <c r="DZ258" s="560">
        <f t="shared" si="530"/>
        <v>6231.7390951528423</v>
      </c>
      <c r="EA258" s="560"/>
      <c r="EB258" s="545">
        <f>IF(OR(B258&lt;FV258,B258&gt;FW258),(MIN(BF258+BY258+CT258+MAX(Sheet1!AA260+AQ258-73,0),K258)),0)</f>
        <v>0</v>
      </c>
      <c r="EC258" s="560"/>
      <c r="ED258" s="560">
        <f t="shared" si="531"/>
        <v>14.569232006433452</v>
      </c>
      <c r="EE258" s="560"/>
      <c r="EF258" s="560">
        <f>Sheet1!EH260+Sheet1!EI260+Sheet1!EJ260+Sheet1!EK260</f>
        <v>14.5</v>
      </c>
      <c r="EG258" s="560"/>
      <c r="EH258" s="545">
        <f t="shared" si="532"/>
        <v>0</v>
      </c>
      <c r="EI258" s="560">
        <f>IF(Sheet1!ET260=1,SUM('Calculations II'!AT258:BA258)+'Calculations II'!BC258+Sheet1!BV260+'Calculations II'!BE258+AP258,SUM('Calculations II'!AT258:BA258)+'Calculations II'!BC258+Sheet1!BV260+'Calculations II'!BE258+AP258)</f>
        <v>71.171807999999999</v>
      </c>
      <c r="EJ258" s="560">
        <f>Sheet1!AA260+Sheet1!AB260+'Calculations II'!BC258</f>
        <v>82.34</v>
      </c>
      <c r="EK258" s="560"/>
      <c r="EL258" s="560"/>
      <c r="EM258" s="560">
        <f t="shared" si="533"/>
        <v>41886</v>
      </c>
      <c r="EN258" s="560">
        <f t="shared" si="534"/>
        <v>-14.569232006433454</v>
      </c>
      <c r="EO258" s="560">
        <f t="shared" si="535"/>
        <v>-22.538601913952551</v>
      </c>
      <c r="EP258" s="560">
        <v>0</v>
      </c>
      <c r="EQ258" s="560">
        <v>0</v>
      </c>
      <c r="ER258" s="560">
        <v>0</v>
      </c>
      <c r="ES258" s="545">
        <f t="shared" si="454"/>
        <v>-6.6535765844744814</v>
      </c>
      <c r="ET258" s="560">
        <f>-(VLOOKUP(Sheet1!BQ260,Lookup!$O$4:$Q$262,2)-VLOOKUP(Sheet1!BQ259,Lookup!$O$4:$Q$262,2))/1000000</f>
        <v>-3.3267882922372407</v>
      </c>
      <c r="EU258" s="560">
        <f>-(VLOOKUP(Sheet1!BR260,Lookup!$O$4:$Q$262,3)-VLOOKUP(Sheet1!BR259,Lookup!$O$4:$Q$262,3))/1000000</f>
        <v>-3.3267882922372407</v>
      </c>
      <c r="EV258" s="560"/>
      <c r="EW258" s="560"/>
      <c r="EX258" s="560"/>
      <c r="EY258" s="560"/>
      <c r="EZ258" s="560"/>
      <c r="FA258" s="560"/>
      <c r="FB258" s="560"/>
      <c r="FC258" s="560"/>
      <c r="FD258" s="594">
        <f t="shared" si="536"/>
        <v>1127.6509090908403</v>
      </c>
      <c r="FE258" s="594" t="e">
        <f t="shared" si="537"/>
        <v>#N/A</v>
      </c>
      <c r="FF258" s="595" t="e">
        <f t="shared" si="538"/>
        <v>#N/A</v>
      </c>
      <c r="FG258" s="596" t="s">
        <v>692</v>
      </c>
      <c r="FH258" s="596" t="s">
        <v>692</v>
      </c>
      <c r="FI258" s="594" t="e">
        <v>#N/A</v>
      </c>
      <c r="FJ258" s="778">
        <v>14833</v>
      </c>
      <c r="FK258" s="560"/>
      <c r="FL258" s="560"/>
      <c r="FM258" s="560"/>
      <c r="FN258" s="560"/>
      <c r="FO258" s="560">
        <f>O258+((Sheet1!CS260)*GPMtoMGD)</f>
        <v>82.34</v>
      </c>
      <c r="FP258" s="560">
        <f>IF(Sheet1!AA260+AQ258&lt;=Calculation!N258,AQ258,Calculation!N258-Sheet1!AA260)</f>
        <v>33.667551266586251</v>
      </c>
      <c r="FQ258" s="560">
        <f>(Sheet1!BP260+Sheet1!BO260)/694.4</f>
        <v>2.8414458525345623</v>
      </c>
      <c r="FR258" s="560"/>
      <c r="FS258" s="560"/>
      <c r="FT258" s="560"/>
      <c r="FU258" s="560"/>
      <c r="FV258" s="695">
        <f t="shared" si="455"/>
        <v>41827</v>
      </c>
      <c r="FW258" s="695">
        <f t="shared" si="456"/>
        <v>41934</v>
      </c>
      <c r="FX258" s="560"/>
      <c r="FY258" s="560"/>
      <c r="FZ258" s="560"/>
      <c r="GA258" s="560"/>
      <c r="GB258" s="560" t="str">
        <f t="shared" si="457"/>
        <v>n</v>
      </c>
      <c r="GC258" s="564">
        <f t="shared" si="458"/>
        <v>41691</v>
      </c>
      <c r="GD258" s="695">
        <f t="shared" si="459"/>
        <v>41807</v>
      </c>
      <c r="GE258" s="560">
        <v>6518.9</v>
      </c>
      <c r="GF258" s="695">
        <f t="shared" si="460"/>
        <v>41808</v>
      </c>
      <c r="GG258" s="560">
        <f t="shared" si="479"/>
        <v>3259</v>
      </c>
      <c r="GH258" s="564">
        <f t="shared" si="461"/>
        <v>41934</v>
      </c>
      <c r="GJ258" s="545">
        <f t="shared" si="462"/>
        <v>0</v>
      </c>
      <c r="GK258" s="560" t="str">
        <f t="shared" si="539"/>
        <v/>
      </c>
      <c r="GL258" s="560">
        <f t="shared" si="463"/>
        <v>0</v>
      </c>
      <c r="GM258" s="560" t="str">
        <f t="shared" si="464"/>
        <v/>
      </c>
      <c r="GN258" s="560">
        <f>IF(GK258="P",Lookup!$M$12,IF(GK258="PP",Lookup!$M$13,IF(GK258="PPP",Lookup!$M$14,IF(GK258="T",Lookup!$M$15,IF(GK258="TP",Lookup!$M$16,IF(GK258="TPP",Lookup!$M$17,IF(GK258="TPPP",Lookup!$M$18,0)))))))*GJ258</f>
        <v>0</v>
      </c>
      <c r="GO258" s="560">
        <f t="shared" si="465"/>
        <v>0</v>
      </c>
      <c r="GP258" s="560">
        <f t="shared" si="540"/>
        <v>3195.4007453333343</v>
      </c>
      <c r="GQ258" s="560">
        <f t="shared" si="473"/>
        <v>1041.5256666666669</v>
      </c>
      <c r="GR258" s="560"/>
      <c r="GS258" s="560">
        <f t="shared" si="466"/>
        <v>0</v>
      </c>
      <c r="GT258" s="560" t="str">
        <f t="shared" si="467"/>
        <v/>
      </c>
      <c r="GU258" s="560">
        <f>IF(GK258="P",Lookup!$N$12,IF(GK258="PP",Lookup!$N$13,IF(GK258="PPP",Lookup!$N$14,IF(GK258="T",Lookup!$N$15,IF(GK258="TP",Lookup!$N$16,IF(GK258="TPP",Lookup!$N$17,IF(GK258="TPPP",Lookup!$N$18,0)))))))*GJ258</f>
        <v>0</v>
      </c>
      <c r="GV258" s="560">
        <f t="shared" si="468"/>
        <v>0</v>
      </c>
      <c r="GW258" s="560">
        <f t="shared" si="541"/>
        <v>1498.8188118747341</v>
      </c>
      <c r="GX258" s="560">
        <f t="shared" si="474"/>
        <v>488.53285915082597</v>
      </c>
      <c r="GY258" s="560"/>
      <c r="GZ258" s="560">
        <f t="shared" si="469"/>
        <v>0</v>
      </c>
      <c r="HA258" s="560" t="str">
        <f t="shared" si="470"/>
        <v/>
      </c>
      <c r="HB258" s="560">
        <f>IF(GK258="P",Lookup!$N$12,IF(GK258="PP",Lookup!$N$13,IF(GK258="PPP",Lookup!$N$14,IF(GK258="T",Lookup!$N$15,IF(GK258="TP",Lookup!$N$16,IF(GK258="TPP",Lookup!$N$17,IF(GK258="TPPP",Lookup!$N$18,0)))))))*GJ258</f>
        <v>0</v>
      </c>
      <c r="HC258" s="545">
        <f t="shared" si="542"/>
        <v>0</v>
      </c>
      <c r="HD258" s="560">
        <f t="shared" si="543"/>
        <v>1028.0329147596135</v>
      </c>
      <c r="HE258" s="560">
        <f t="shared" si="475"/>
        <v>335.0824363623251</v>
      </c>
      <c r="HF258" s="560"/>
      <c r="HG258" s="560">
        <f t="shared" si="471"/>
        <v>0</v>
      </c>
      <c r="HH258" s="560" t="str">
        <f t="shared" si="472"/>
        <v/>
      </c>
      <c r="HI258" s="560">
        <f>IF(GK258="P",Lookup!$N$12,IF(GK258="PP",Lookup!$N$13,IF(GK258="PPP",Lookup!$N$14,IF(GK258="T",Lookup!$N$15,IF(GK258="TP",Lookup!$N$16,IF(GK258="TPP",Lookup!$N$17,IF(GK258="TPPP",Lookup!$N$18,0)))))))*GJ258</f>
        <v>0</v>
      </c>
      <c r="HJ258" s="545">
        <f t="shared" si="544"/>
        <v>0</v>
      </c>
      <c r="HK258" s="560">
        <f t="shared" si="545"/>
        <v>509.4866231851604</v>
      </c>
      <c r="HL258" s="560">
        <f t="shared" si="476"/>
        <v>166.06474028199491</v>
      </c>
    </row>
    <row r="259" spans="1:220">
      <c r="A259" s="580" t="s">
        <v>8</v>
      </c>
      <c r="B259" s="556">
        <v>41887</v>
      </c>
      <c r="C259" s="561">
        <v>0</v>
      </c>
      <c r="D259" s="529">
        <f t="shared" si="477"/>
        <v>200</v>
      </c>
      <c r="E259" s="529">
        <f t="shared" si="478"/>
        <v>400</v>
      </c>
      <c r="F259" s="529">
        <v>250</v>
      </c>
      <c r="G259" s="560">
        <f>DR259+Sheet1!CZ261</f>
        <v>173.08976298516291</v>
      </c>
      <c r="H259" s="914">
        <f t="shared" si="480"/>
        <v>0</v>
      </c>
      <c r="I259" s="559">
        <f>MAX(Sheet1!Z261-AT259+(Sheet1!DA261-E259)*CFStoMGD,0)</f>
        <v>53.718400000000003</v>
      </c>
      <c r="J259" s="562">
        <f>IF(AND(B259&gt;=Calculation!GC259,B259&lt;=Calculation!GD259),IF(Sheet1!DB261&gt;=Calculation!D259,64.64,0),MAX(Sheet1!Z261-AT259+(Sheet1!DB261-D259)*CFStoMGD,0))</f>
        <v>53.718400000000003</v>
      </c>
      <c r="K259" s="904">
        <f t="shared" si="481"/>
        <v>0</v>
      </c>
      <c r="L259" s="560">
        <f>Sheet1!AA261+Sheet1!AB261-Sheet1!L261+(Sheet1!DA261-F259)*CFStoMGD</f>
        <v>181.51839999999999</v>
      </c>
      <c r="M259" s="560">
        <f t="shared" si="482"/>
        <v>114.12292724948149</v>
      </c>
      <c r="N259" s="910">
        <f>IF(Sheet1!DA261&gt;=F259,MIN(73,MIN(MAX(L259,0),MAX(M259,0))),0)</f>
        <v>73</v>
      </c>
      <c r="O259" s="563">
        <f>Sheet1!AA261+Sheet1!AB261</f>
        <v>80.680000000000007</v>
      </c>
      <c r="P259" s="563">
        <f t="shared" si="483"/>
        <v>124.81196</v>
      </c>
      <c r="Q259" s="898">
        <f t="shared" si="444"/>
        <v>67.074667781027998</v>
      </c>
      <c r="R259" s="829">
        <f t="shared" si="484"/>
        <v>13</v>
      </c>
      <c r="S259" s="898">
        <f t="shared" si="445"/>
        <v>0</v>
      </c>
      <c r="T259" s="898">
        <f t="shared" si="446"/>
        <v>0</v>
      </c>
      <c r="U259" s="898">
        <f t="shared" si="447"/>
        <v>13.605332218972004</v>
      </c>
      <c r="V259" s="898"/>
      <c r="W259" s="898">
        <f t="shared" si="448"/>
        <v>0</v>
      </c>
      <c r="X259" s="898">
        <f t="shared" si="449"/>
        <v>0</v>
      </c>
      <c r="Y259" s="898" t="str">
        <f t="shared" si="450"/>
        <v>FALSE</v>
      </c>
      <c r="Z259" s="898">
        <f t="shared" si="451"/>
        <v>80.680000000000007</v>
      </c>
      <c r="AA259" s="898">
        <f t="shared" si="452"/>
        <v>80.680000000000007</v>
      </c>
      <c r="AB259" s="898" t="str">
        <f t="shared" si="453"/>
        <v/>
      </c>
      <c r="AC259" s="563">
        <f>Sheet1!Y261*MGDtoCFS</f>
        <v>50.277499999999996</v>
      </c>
      <c r="AD259" s="563">
        <f>Sheet1!Z261*MGDtoCFS</f>
        <v>77.10248</v>
      </c>
      <c r="AE259" s="563">
        <f>Sheet1!AA261*MGDtoCFS</f>
        <v>50.525019999999991</v>
      </c>
      <c r="AF259" s="563">
        <f>Sheet1!AB261*MGDtoCFS</f>
        <v>74.286940000000001</v>
      </c>
      <c r="AG259" s="563">
        <f>Sheet1!L261*MGDtoCFS</f>
        <v>0</v>
      </c>
      <c r="AH259" s="545">
        <f t="shared" si="485"/>
        <v>13.605332218972002</v>
      </c>
      <c r="AI259" s="560">
        <f t="shared" si="486"/>
        <v>21.047448942749686</v>
      </c>
      <c r="AJ259" s="560">
        <f t="shared" si="487"/>
        <v>0</v>
      </c>
      <c r="AK259" s="560">
        <f t="shared" si="488"/>
        <v>0</v>
      </c>
      <c r="AL259" s="560">
        <f>(VLOOKUP(Sheet1!DC261,hhdcap_wcm,4)-(((VLOOKUP(Sheet1!DC261,hhdcap_wcm,3)-Sheet1!DC261)/(VLOOKUP(Sheet1!DC261,hhdcap_wcm,3)-VLOOKUP(Sheet1!DC261,hhdcap_wcm,1)))*(VLOOKUP(Sheet1!DC261,hhdcap_wcm,4)-VLOOKUP(Sheet1!DC261,hhdcap_wcm,2))))</f>
        <v>33450.000000085281</v>
      </c>
      <c r="AM259" s="560">
        <f t="shared" si="489"/>
        <v>-329.00000000042201</v>
      </c>
      <c r="AN259" s="560">
        <f t="shared" si="490"/>
        <v>2017.6003702428409</v>
      </c>
      <c r="AO259" s="560">
        <f t="shared" si="491"/>
        <v>6189.9979359050358</v>
      </c>
      <c r="AP259" s="560">
        <f>Sheet1!BA261+Sheet1!BB261+Sheet1!BN261+CD259</f>
        <v>34.300000000000004</v>
      </c>
      <c r="AQ259" s="560">
        <f>Sheet1!BN261+(DO259*Sheet1!BN261)</f>
        <v>32.809318846636025</v>
      </c>
      <c r="AR259" s="560">
        <f>Sheet1!BA261+CD259</f>
        <v>0</v>
      </c>
      <c r="AS259" s="560">
        <f>Sheet1!BA261+Sheet1!BB261+CD259</f>
        <v>1.6</v>
      </c>
      <c r="AT259" s="698">
        <f>0</f>
        <v>0</v>
      </c>
      <c r="AU259" s="560">
        <f>IF(EB259&lt;K259,0,MAX(Sheet1!AA261+AQ259-15/36*K259-N259,Sheet1!EH261,0))</f>
        <v>0</v>
      </c>
      <c r="AV259" s="560">
        <f>IF(OR(B259&gt;=GD259,B259&lt;GC259),0,15/36*K259-MAX(0,64.6-(137.6-(Sheet1!AA261+Sheet1!AB261))))</f>
        <v>0</v>
      </c>
      <c r="AW259" s="698">
        <f>Sheet1!DB261-110</f>
        <v>96</v>
      </c>
      <c r="AX259" s="698">
        <f>Sheet1!DA261-265</f>
        <v>141</v>
      </c>
      <c r="AY259" s="698">
        <f t="shared" si="492"/>
        <v>5.9253322189720024</v>
      </c>
      <c r="AZ259" s="698">
        <v>0</v>
      </c>
      <c r="BA259" s="698">
        <f t="shared" si="493"/>
        <v>0</v>
      </c>
      <c r="BB259" s="560">
        <f t="shared" si="494"/>
        <v>1041.5256666666669</v>
      </c>
      <c r="BC259" s="560"/>
      <c r="BD259" s="560">
        <f ca="1">IF(B259&gt;Summary!$A$1,#N/A,BB259*MGtoAF)</f>
        <v>3195.4007453333343</v>
      </c>
      <c r="BE259" s="560">
        <f>Sheet1!BG261+Sheet1!BH261+Sheet1!BI261-BM259</f>
        <v>2.02</v>
      </c>
      <c r="BF259" s="560">
        <f t="shared" si="495"/>
        <v>2.0267530296698708</v>
      </c>
      <c r="BG259" s="560">
        <f>IF(Sheet1!EP261="FM",BM259,0)</f>
        <v>0</v>
      </c>
      <c r="BH259" s="560">
        <f t="shared" si="496"/>
        <v>0</v>
      </c>
      <c r="BI259" s="560">
        <f>IF(Sheet1!EP261="OTHER",BM259,0)</f>
        <v>0</v>
      </c>
      <c r="BJ259" s="560">
        <f t="shared" si="497"/>
        <v>0</v>
      </c>
      <c r="BK259" s="560">
        <f t="shared" si="498"/>
        <v>2.02</v>
      </c>
      <c r="BL259" s="560">
        <f t="shared" si="499"/>
        <v>2.0267530296698708</v>
      </c>
      <c r="BM259" s="560">
        <f>IF(OR(Sheet1!EP261="FM", Sheet1!EP261="OTHER"),SUM(Sheet1!BG261:'Sheet1'!BI261),0)</f>
        <v>0</v>
      </c>
      <c r="BN259" s="545">
        <f>IF(AND($B259&gt;=$FV259,$B259&lt;=$FW259),MAX(BF259,Sheet1!EI261,0),MAX(BF259-(7/36)*$K259,0))</f>
        <v>2.0267530296698708</v>
      </c>
      <c r="BO259" s="560">
        <f t="shared" si="500"/>
        <v>0</v>
      </c>
      <c r="BP259" s="545">
        <f t="shared" si="501"/>
        <v>0</v>
      </c>
      <c r="BQ259" s="545">
        <f>IF(AND($O259&gt;0,Sheet1!EM261=1),(1-($O259-Sheet1!$L261)/$O259)*BL259,0)</f>
        <v>0</v>
      </c>
      <c r="BR259" s="545">
        <f>IF(AND(Sheet1!$L261=0,Sheet1!$L260=0, Calculation!BK259&lt;Sheet1!$EI261-0.1,Sheet1!$EI261=Sheet1!$EI260,Sheet1!$EI261=Sheet1!$EI262),Sheet1!$EI261,BL259-BQ259)</f>
        <v>2.0267530296698708</v>
      </c>
      <c r="BS259" s="560"/>
      <c r="BT259" s="560"/>
      <c r="BU259" s="560">
        <f t="shared" si="502"/>
        <v>486.50610612115611</v>
      </c>
      <c r="BV259" s="560"/>
      <c r="BW259" s="560">
        <f ca="1">IF(B259&gt;Summary!$A$1,#N/A,BU259*MGtoAF)</f>
        <v>1492.6007335797069</v>
      </c>
      <c r="BX259" s="560">
        <f>Sheet1!BC261+Sheet1!BD261+Sheet1!BE261+Sheet1!BF261-CG259-CH259</f>
        <v>2.5300000000000002</v>
      </c>
      <c r="BY259" s="560">
        <f t="shared" si="503"/>
        <v>2.5384580025073133</v>
      </c>
      <c r="BZ259" s="560">
        <f>IF(Sheet1!EQ261="FM",CH259,0)</f>
        <v>0</v>
      </c>
      <c r="CA259" s="560">
        <f t="shared" si="504"/>
        <v>0</v>
      </c>
      <c r="CB259" s="560">
        <f>IF(Sheet1!EQ261="OTHER",CH259,0)</f>
        <v>0</v>
      </c>
      <c r="CC259" s="560">
        <f t="shared" si="505"/>
        <v>0</v>
      </c>
      <c r="CD259" s="560">
        <f t="shared" si="506"/>
        <v>0</v>
      </c>
      <c r="CE259" s="560">
        <f t="shared" si="507"/>
        <v>2.5300000000000002</v>
      </c>
      <c r="CF259" s="560">
        <f t="shared" si="508"/>
        <v>2.5384580025073133</v>
      </c>
      <c r="CG259" s="560">
        <f>IF(Sheet1!EQ261="CWA",SUM(Sheet1!BC261:'Sheet1'!BF261),0)</f>
        <v>0</v>
      </c>
      <c r="CH259" s="560">
        <f>IF(OR(Sheet1!EQ261="FM", Sheet1!EQ261="OTHER"),SUM(Sheet1!BC261:'Sheet1'!BF261),0)</f>
        <v>0</v>
      </c>
      <c r="CI259" s="545">
        <f>IF(AND($B259&gt;=$FV259,$B259&lt;=$FW259),MAX(CF259,Sheet1!EJ261,0),MAX(CF259-(7/36)*$K259,0))</f>
        <v>2.5384580025073133</v>
      </c>
      <c r="CJ259" s="560">
        <f t="shared" si="509"/>
        <v>0</v>
      </c>
      <c r="CK259" s="545">
        <f t="shared" si="510"/>
        <v>0</v>
      </c>
      <c r="CL259" s="545">
        <f>IF(AND($O259&gt;0,Sheet1!EN261=1),(1-($O259-Sheet1!$L261)/$O259)*CF259,0)</f>
        <v>0</v>
      </c>
      <c r="CM259" s="545">
        <f>IF(AND(Sheet1!$L261=0,Sheet1!$L260=0, Calculation!CE259&lt;Sheet1!EJ261-0.1,Sheet1!EJ261=Sheet1!EJ260,Sheet1!EJ261=Sheet1!EJ262),Sheet1!EJ261,CF259-CL259)</f>
        <v>2.5384580025073133</v>
      </c>
      <c r="CN259" s="545"/>
      <c r="CO259" s="560"/>
      <c r="CP259" s="560">
        <f t="shared" si="511"/>
        <v>332.5439783598178</v>
      </c>
      <c r="CQ259" s="560"/>
      <c r="CR259" s="560">
        <f ca="1">IF(B259&gt;Summary!$A$1,#N/A,CP259*MGtoAF)</f>
        <v>1020.244925607921</v>
      </c>
      <c r="CS259" s="560">
        <f>Sheet1!BK261+Sheet1!BL261+Sheet1!BM261-Sheet1!ER261-DA259</f>
        <v>9.01</v>
      </c>
      <c r="CT259" s="560">
        <f t="shared" si="512"/>
        <v>9.0401211867948188</v>
      </c>
      <c r="CU259" s="560">
        <f>IF(Sheet1!ER261="FM",DA259,0)</f>
        <v>0</v>
      </c>
      <c r="CV259" s="560">
        <f t="shared" si="513"/>
        <v>0</v>
      </c>
      <c r="CW259" s="560">
        <f>IF(Sheet1!ER261="OTHER",DA259,0)</f>
        <v>0</v>
      </c>
      <c r="CX259" s="560">
        <f t="shared" si="514"/>
        <v>0</v>
      </c>
      <c r="CY259" s="560">
        <f t="shared" si="515"/>
        <v>9.01</v>
      </c>
      <c r="CZ259" s="560">
        <f t="shared" si="516"/>
        <v>9.0401211867948188</v>
      </c>
      <c r="DA259" s="560">
        <f>IF(OR(Sheet1!ER261="FM", Sheet1!ER261="OTHER"),SUM(Sheet1!BK261:'Sheet1'!BM261),0)</f>
        <v>0</v>
      </c>
      <c r="DB259" s="545">
        <f>IF(AND($B259&gt;=$FV259,$B259&lt;=$FW259),MAX($CT259,Sheet1!EK261,0),MAX($CT259-(7/36)*$K259,0))</f>
        <v>9.0401211867948188</v>
      </c>
      <c r="DC259" s="560">
        <f t="shared" si="517"/>
        <v>0</v>
      </c>
      <c r="DD259" s="545">
        <f t="shared" si="518"/>
        <v>0</v>
      </c>
      <c r="DE259" s="545">
        <f>IF(AND($O259&gt;0,Sheet1!EO261=1),(1-($O259-Sheet1!$L261)/$O259)*CZ259,0)</f>
        <v>0</v>
      </c>
      <c r="DF259" s="545">
        <f>IF(AND(Sheet1!$L261=0,Sheet1!$L260=0, Calculation!CY259&lt;Sheet1!$EK261-0.1,Sheet1!$EK261=Sheet1!$EK260,Sheet1!$EK261=Sheet1!$EK262),Sheet1!$EK261,CZ259-DE259)</f>
        <v>9.0401211867948188</v>
      </c>
      <c r="DG259" s="545"/>
      <c r="DH259" s="560">
        <f t="shared" si="519"/>
        <v>13.56</v>
      </c>
      <c r="DI259" s="560">
        <f t="shared" si="520"/>
        <v>157.02461909520011</v>
      </c>
      <c r="DJ259" s="698">
        <f t="shared" si="521"/>
        <v>13.605332218972002</v>
      </c>
      <c r="DK259" s="560">
        <f ca="1">IF(B259&gt;Summary!$A$1,#N/A,DI259*MGtoAF)</f>
        <v>481.75153138407393</v>
      </c>
      <c r="DL259" s="698">
        <f t="shared" si="522"/>
        <v>13.559999999999999</v>
      </c>
      <c r="DM259" s="560">
        <f t="shared" si="523"/>
        <v>47.86</v>
      </c>
      <c r="DN259" s="560">
        <f>Sheet1!AB261-DM259</f>
        <v>0.16000000000000369</v>
      </c>
      <c r="DO259" s="823">
        <f t="shared" si="524"/>
        <v>3.3430839949854514E-3</v>
      </c>
      <c r="DP259" s="560">
        <f>(VLOOKUP(Sheet1!DC261,hhdcap_wcm,4)-(((VLOOKUP(Sheet1!DC261,hhdcap_wcm,3)-Sheet1!DC261)/(VLOOKUP(Sheet1!DC261,hhdcap_wcm,3)-VLOOKUP(Sheet1!DC261,hhdcap_wcm,1)))*(VLOOKUP(Sheet1!DC261,hhdcap_wcm,4)-VLOOKUP(Sheet1!DC261,hhdcap_wcm,2))))</f>
        <v>33450.000000085281</v>
      </c>
      <c r="DQ259" s="560">
        <f t="shared" si="525"/>
        <v>-329.00000000042201</v>
      </c>
      <c r="DR259" s="560">
        <f t="shared" si="526"/>
        <v>-165.91023701483709</v>
      </c>
      <c r="DS259" s="560">
        <f>Sheet1!EA261*AFtoMG</f>
        <v>0</v>
      </c>
      <c r="DT259" s="560">
        <f>Sheet1!EB261*AFtoMG</f>
        <v>0</v>
      </c>
      <c r="DU259" s="560">
        <f>Sheet1!EC261*AFtoMG</f>
        <v>0</v>
      </c>
      <c r="DV259" s="560">
        <f>Sheet1!ED261*AFtoMG</f>
        <v>0</v>
      </c>
      <c r="DW259" s="560">
        <f t="shared" si="527"/>
        <v>0</v>
      </c>
      <c r="DX259" s="560">
        <f t="shared" si="528"/>
        <v>0</v>
      </c>
      <c r="DY259" s="560">
        <f t="shared" si="529"/>
        <v>2017.6003702428409</v>
      </c>
      <c r="DZ259" s="560">
        <f t="shared" si="530"/>
        <v>6189.9979359050358</v>
      </c>
      <c r="EA259" s="560"/>
      <c r="EB259" s="545">
        <f>IF(OR(B259&lt;FV259,B259&gt;FW259),(MIN(BF259+BY259+CT259+MAX(Sheet1!AA261+AQ259-73,0),K259)),0)</f>
        <v>0</v>
      </c>
      <c r="EC259" s="560"/>
      <c r="ED259" s="560">
        <f t="shared" si="531"/>
        <v>13.605332218972004</v>
      </c>
      <c r="EE259" s="560"/>
      <c r="EF259" s="560">
        <f>Sheet1!EH261+Sheet1!EI261+Sheet1!EJ261+Sheet1!EK261</f>
        <v>13</v>
      </c>
      <c r="EG259" s="560"/>
      <c r="EH259" s="545">
        <f t="shared" si="532"/>
        <v>0</v>
      </c>
      <c r="EI259" s="560">
        <f>IF(Sheet1!ET261=1,SUM('Calculations II'!AT259:BA259)+'Calculations II'!BC259+Sheet1!BV261+'Calculations II'!BE259+AP259,SUM('Calculations II'!AT259:BA259)+'Calculations II'!BC259+Sheet1!BV261+'Calculations II'!BE259+AP259)</f>
        <v>75.616399999999999</v>
      </c>
      <c r="EJ259" s="560">
        <f>Sheet1!AA261+Sheet1!AB261+'Calculations II'!BC259</f>
        <v>80.680000000000007</v>
      </c>
      <c r="EK259" s="560"/>
      <c r="EL259" s="560"/>
      <c r="EM259" s="560">
        <f t="shared" si="533"/>
        <v>41887</v>
      </c>
      <c r="EN259" s="560">
        <f t="shared" si="534"/>
        <v>-13.605332218972002</v>
      </c>
      <c r="EO259" s="560">
        <f t="shared" si="535"/>
        <v>-21.047448942749686</v>
      </c>
      <c r="EP259" s="560">
        <v>0</v>
      </c>
      <c r="EQ259" s="560">
        <v>0</v>
      </c>
      <c r="ER259" s="560">
        <v>0</v>
      </c>
      <c r="ES259" s="545">
        <f t="shared" si="454"/>
        <v>-0.97093201580174648</v>
      </c>
      <c r="ET259" s="560">
        <f>-(VLOOKUP(Sheet1!BQ261,Lookup!$O$4:$Q$262,2)-VLOOKUP(Sheet1!BQ260,Lookup!$O$4:$Q$262,2))/1000000</f>
        <v>-0.41610822384760154</v>
      </c>
      <c r="EU259" s="560">
        <f>-(VLOOKUP(Sheet1!BR261,Lookup!$O$4:$Q$262,3)-VLOOKUP(Sheet1!BR260,Lookup!$O$4:$Q$262,3))/1000000</f>
        <v>-0.55482379195414488</v>
      </c>
      <c r="EV259" s="560"/>
      <c r="EW259" s="560"/>
      <c r="EX259" s="560"/>
      <c r="EY259" s="560"/>
      <c r="EZ259" s="560"/>
      <c r="FA259" s="560"/>
      <c r="FB259" s="560"/>
      <c r="FC259" s="560"/>
      <c r="FD259" s="594">
        <f t="shared" si="536"/>
        <v>1127.2527272726588</v>
      </c>
      <c r="FE259" s="594" t="e">
        <f t="shared" si="537"/>
        <v>#N/A</v>
      </c>
      <c r="FF259" s="595" t="e">
        <f t="shared" si="538"/>
        <v>#N/A</v>
      </c>
      <c r="FG259" s="596" t="s">
        <v>692</v>
      </c>
      <c r="FH259" s="596" t="s">
        <v>692</v>
      </c>
      <c r="FI259" s="594" t="e">
        <v>#N/A</v>
      </c>
      <c r="FJ259" s="778">
        <v>14616</v>
      </c>
      <c r="FK259" s="560"/>
      <c r="FL259" s="560"/>
      <c r="FM259" s="560"/>
      <c r="FN259" s="560"/>
      <c r="FO259" s="560">
        <f>O259+((Sheet1!CS261)*GPMtoMGD)</f>
        <v>80.680000000000007</v>
      </c>
      <c r="FP259" s="560">
        <f>IF(Sheet1!AA261+AQ259&lt;=Calculation!N259,AQ259,Calculation!N259-Sheet1!AA261)</f>
        <v>32.809318846636025</v>
      </c>
      <c r="FQ259" s="560">
        <f>(Sheet1!BP261+Sheet1!BO261)/694.4</f>
        <v>2.7979550691244244</v>
      </c>
      <c r="FR259" s="560"/>
      <c r="FS259" s="560"/>
      <c r="FT259" s="560"/>
      <c r="FU259" s="560"/>
      <c r="FV259" s="695">
        <f t="shared" si="455"/>
        <v>41827</v>
      </c>
      <c r="FW259" s="695">
        <f t="shared" si="456"/>
        <v>41934</v>
      </c>
      <c r="FX259" s="560"/>
      <c r="FY259" s="560"/>
      <c r="FZ259" s="560"/>
      <c r="GA259" s="560"/>
      <c r="GB259" s="560" t="str">
        <f t="shared" si="457"/>
        <v>n</v>
      </c>
      <c r="GC259" s="564">
        <f t="shared" si="458"/>
        <v>41691</v>
      </c>
      <c r="GD259" s="695">
        <f t="shared" si="459"/>
        <v>41807</v>
      </c>
      <c r="GE259" s="560">
        <v>6518.9</v>
      </c>
      <c r="GF259" s="695">
        <f t="shared" si="460"/>
        <v>41808</v>
      </c>
      <c r="GG259" s="560">
        <f t="shared" si="479"/>
        <v>3259</v>
      </c>
      <c r="GH259" s="564">
        <f t="shared" si="461"/>
        <v>41934</v>
      </c>
      <c r="GJ259" s="545">
        <f t="shared" si="462"/>
        <v>0</v>
      </c>
      <c r="GK259" s="560" t="str">
        <f t="shared" si="539"/>
        <v/>
      </c>
      <c r="GL259" s="560">
        <f t="shared" si="463"/>
        <v>0</v>
      </c>
      <c r="GM259" s="560" t="str">
        <f t="shared" si="464"/>
        <v/>
      </c>
      <c r="GN259" s="560">
        <f>IF(GK259="P",Lookup!$M$12,IF(GK259="PP",Lookup!$M$13,IF(GK259="PPP",Lookup!$M$14,IF(GK259="T",Lookup!$M$15,IF(GK259="TP",Lookup!$M$16,IF(GK259="TPP",Lookup!$M$17,IF(GK259="TPPP",Lookup!$M$18,0)))))))*GJ259</f>
        <v>0</v>
      </c>
      <c r="GO259" s="560">
        <f t="shared" si="465"/>
        <v>0</v>
      </c>
      <c r="GP259" s="560">
        <f t="shared" si="540"/>
        <v>3195.4007453333343</v>
      </c>
      <c r="GQ259" s="560">
        <f t="shared" si="473"/>
        <v>1041.5256666666669</v>
      </c>
      <c r="GR259" s="560"/>
      <c r="GS259" s="560">
        <f t="shared" si="466"/>
        <v>0</v>
      </c>
      <c r="GT259" s="560" t="str">
        <f t="shared" si="467"/>
        <v/>
      </c>
      <c r="GU259" s="560">
        <f>IF(GK259="P",Lookup!$N$12,IF(GK259="PP",Lookup!$N$13,IF(GK259="PPP",Lookup!$N$14,IF(GK259="T",Lookup!$N$15,IF(GK259="TP",Lookup!$N$16,IF(GK259="TPP",Lookup!$N$17,IF(GK259="TPPP",Lookup!$N$18,0)))))))*GJ259</f>
        <v>0</v>
      </c>
      <c r="GV259" s="560">
        <f t="shared" si="468"/>
        <v>0</v>
      </c>
      <c r="GW259" s="560">
        <f t="shared" si="541"/>
        <v>1492.6007335797069</v>
      </c>
      <c r="GX259" s="560">
        <f t="shared" si="474"/>
        <v>486.50610612115611</v>
      </c>
      <c r="GY259" s="560"/>
      <c r="GZ259" s="560">
        <f t="shared" si="469"/>
        <v>0</v>
      </c>
      <c r="HA259" s="560" t="str">
        <f t="shared" si="470"/>
        <v/>
      </c>
      <c r="HB259" s="560">
        <f>IF(GK259="P",Lookup!$N$12,IF(GK259="PP",Lookup!$N$13,IF(GK259="PPP",Lookup!$N$14,IF(GK259="T",Lookup!$N$15,IF(GK259="TP",Lookup!$N$16,IF(GK259="TPP",Lookup!$N$17,IF(GK259="TPPP",Lookup!$N$18,0)))))))*GJ259</f>
        <v>0</v>
      </c>
      <c r="HC259" s="545">
        <f t="shared" si="542"/>
        <v>0</v>
      </c>
      <c r="HD259" s="560">
        <f t="shared" si="543"/>
        <v>1020.244925607921</v>
      </c>
      <c r="HE259" s="560">
        <f t="shared" si="475"/>
        <v>332.5439783598178</v>
      </c>
      <c r="HF259" s="560"/>
      <c r="HG259" s="560">
        <f t="shared" si="471"/>
        <v>0</v>
      </c>
      <c r="HH259" s="560" t="str">
        <f t="shared" si="472"/>
        <v/>
      </c>
      <c r="HI259" s="560">
        <f>IF(GK259="P",Lookup!$N$12,IF(GK259="PP",Lookup!$N$13,IF(GK259="PPP",Lookup!$N$14,IF(GK259="T",Lookup!$N$15,IF(GK259="TP",Lookup!$N$16,IF(GK259="TPP",Lookup!$N$17,IF(GK259="TPPP",Lookup!$N$18,0)))))))*GJ259</f>
        <v>0</v>
      </c>
      <c r="HJ259" s="545">
        <f t="shared" si="544"/>
        <v>0</v>
      </c>
      <c r="HK259" s="560">
        <f t="shared" si="545"/>
        <v>481.75153138407393</v>
      </c>
      <c r="HL259" s="560">
        <f t="shared" si="476"/>
        <v>157.02461909520011</v>
      </c>
    </row>
    <row r="260" spans="1:220">
      <c r="A260" s="580" t="s">
        <v>9</v>
      </c>
      <c r="B260" s="556">
        <v>41888</v>
      </c>
      <c r="C260" s="561">
        <v>0</v>
      </c>
      <c r="D260" s="529">
        <f t="shared" si="477"/>
        <v>200</v>
      </c>
      <c r="E260" s="529">
        <f t="shared" si="478"/>
        <v>400</v>
      </c>
      <c r="F260" s="529">
        <v>250</v>
      </c>
      <c r="G260" s="560">
        <f>DR260+Sheet1!CZ262</f>
        <v>245.20272314618231</v>
      </c>
      <c r="H260" s="914">
        <f t="shared" si="480"/>
        <v>0</v>
      </c>
      <c r="I260" s="559">
        <f>MAX(Sheet1!Z262-AT260+(Sheet1!DA262-E260)*CFStoMGD,0)</f>
        <v>29.801600000000004</v>
      </c>
      <c r="J260" s="562">
        <f>IF(AND(B260&gt;=Calculation!GC260,B260&lt;=Calculation!GD260),IF(Sheet1!DB262&gt;=Calculation!D260,64.64,0),MAX(Sheet1!Z262-AT260+(Sheet1!DB262-D260)*CFStoMGD,0))</f>
        <v>56.950400000000002</v>
      </c>
      <c r="K260" s="904">
        <f t="shared" si="481"/>
        <v>0</v>
      </c>
      <c r="L260" s="560">
        <f>Sheet1!AA262+Sheet1!AB262-Sheet1!L262+(Sheet1!DA262-F260)*CFStoMGD</f>
        <v>154.1816</v>
      </c>
      <c r="M260" s="560">
        <f t="shared" si="482"/>
        <v>161.6690210465261</v>
      </c>
      <c r="N260" s="910">
        <f>IF(Sheet1!DA262&gt;=F260,MIN(73,MIN(MAX(L260,0),MAX(M260,0))),0)</f>
        <v>73</v>
      </c>
      <c r="O260" s="563">
        <f>Sheet1!AA262+Sheet1!AB262</f>
        <v>77.260000000000005</v>
      </c>
      <c r="P260" s="563">
        <f t="shared" si="483"/>
        <v>119.52122</v>
      </c>
      <c r="Q260" s="898">
        <f t="shared" si="444"/>
        <v>64.217065706570665</v>
      </c>
      <c r="R260" s="829">
        <f t="shared" si="484"/>
        <v>13</v>
      </c>
      <c r="S260" s="898">
        <f t="shared" si="445"/>
        <v>0</v>
      </c>
      <c r="T260" s="898">
        <f t="shared" si="446"/>
        <v>0</v>
      </c>
      <c r="U260" s="898">
        <f t="shared" si="447"/>
        <v>13.042934293429342</v>
      </c>
      <c r="V260" s="898"/>
      <c r="W260" s="898">
        <f t="shared" si="448"/>
        <v>0</v>
      </c>
      <c r="X260" s="898">
        <f t="shared" si="449"/>
        <v>0</v>
      </c>
      <c r="Y260" s="898" t="str">
        <f t="shared" si="450"/>
        <v>FALSE</v>
      </c>
      <c r="Z260" s="898">
        <f t="shared" si="451"/>
        <v>77.260000000000005</v>
      </c>
      <c r="AA260" s="898">
        <f t="shared" si="452"/>
        <v>77.260000000000005</v>
      </c>
      <c r="AB260" s="898" t="str">
        <f t="shared" si="453"/>
        <v/>
      </c>
      <c r="AC260" s="563">
        <f>Sheet1!Y262*MGDtoCFS</f>
        <v>50.525019999999991</v>
      </c>
      <c r="AD260" s="563">
        <f>Sheet1!Z262*MGDtoCFS</f>
        <v>77.10248</v>
      </c>
      <c r="AE260" s="563">
        <f>Sheet1!AA262*MGDtoCFS</f>
        <v>50.757069999999999</v>
      </c>
      <c r="AF260" s="563">
        <f>Sheet1!AB262*MGDtoCFS</f>
        <v>68.764150000000001</v>
      </c>
      <c r="AG260" s="563">
        <f>Sheet1!L262*MGDtoCFS</f>
        <v>0</v>
      </c>
      <c r="AH260" s="545">
        <f t="shared" si="485"/>
        <v>13.042934293429344</v>
      </c>
      <c r="AI260" s="560">
        <f t="shared" si="486"/>
        <v>20.177419351935193</v>
      </c>
      <c r="AJ260" s="560">
        <f t="shared" si="487"/>
        <v>0</v>
      </c>
      <c r="AK260" s="560">
        <f t="shared" si="488"/>
        <v>0</v>
      </c>
      <c r="AL260" s="560">
        <f>(VLOOKUP(Sheet1!DC262,hhdcap_wcm,4)-(((VLOOKUP(Sheet1!DC262,hhdcap_wcm,3)-Sheet1!DC262)/(VLOOKUP(Sheet1!DC262,hhdcap_wcm,3)-VLOOKUP(Sheet1!DC262,hhdcap_wcm,1)))*(VLOOKUP(Sheet1!DC262,hhdcap_wcm,4)-VLOOKUP(Sheet1!DC262,hhdcap_wcm,2))))</f>
        <v>33264.000000084161</v>
      </c>
      <c r="AM260" s="560">
        <f t="shared" si="489"/>
        <v>-186.0000000011205</v>
      </c>
      <c r="AN260" s="560">
        <f t="shared" si="490"/>
        <v>2004.5574359494115</v>
      </c>
      <c r="AO260" s="560">
        <f t="shared" si="491"/>
        <v>6149.9822134927945</v>
      </c>
      <c r="AP260" s="560">
        <f>Sheet1!BA262+Sheet1!BB262+Sheet1!BN262+CD260</f>
        <v>31.400000000000002</v>
      </c>
      <c r="AQ260" s="560">
        <f>Sheet1!BN262+(DO260*Sheet1!BN262)</f>
        <v>29.806705670567062</v>
      </c>
      <c r="AR260" s="560">
        <f>Sheet1!BA262+CD260</f>
        <v>0</v>
      </c>
      <c r="AS260" s="560">
        <f>Sheet1!BA262+Sheet1!BB262+CD260</f>
        <v>1.6</v>
      </c>
      <c r="AT260" s="698">
        <f>0</f>
        <v>0</v>
      </c>
      <c r="AU260" s="560">
        <f>IF(EB260&lt;K260,0,MAX(Sheet1!AA262+AQ260-15/36*K260-N260,Sheet1!EH262,0))</f>
        <v>0</v>
      </c>
      <c r="AV260" s="560">
        <f>IF(OR(B260&gt;=GD260,B260&lt;GC260),0,15/36*K260-MAX(0,64.6-(137.6-(Sheet1!AA262+Sheet1!AB262))))</f>
        <v>0</v>
      </c>
      <c r="AW260" s="698">
        <f>Sheet1!DB262-110</f>
        <v>101</v>
      </c>
      <c r="AX260" s="698">
        <f>Sheet1!DA262-265</f>
        <v>104</v>
      </c>
      <c r="AY260" s="698">
        <f t="shared" si="492"/>
        <v>8.7829342934293351</v>
      </c>
      <c r="AZ260" s="698">
        <v>0</v>
      </c>
      <c r="BA260" s="698">
        <f t="shared" si="493"/>
        <v>0</v>
      </c>
      <c r="BB260" s="560">
        <f t="shared" si="494"/>
        <v>1041.5256666666669</v>
      </c>
      <c r="BC260" s="560"/>
      <c r="BD260" s="560">
        <f ca="1">IF(B260&gt;Summary!$A$1,#N/A,BB260*MGtoAF)</f>
        <v>3195.4007453333343</v>
      </c>
      <c r="BE260" s="560">
        <f>Sheet1!BG262+Sheet1!BH262+Sheet1!BI262-BM260</f>
        <v>2.02</v>
      </c>
      <c r="BF260" s="560">
        <f t="shared" si="495"/>
        <v>2.0204545454545455</v>
      </c>
      <c r="BG260" s="560">
        <f>IF(Sheet1!EP262="FM",BM260,0)</f>
        <v>0</v>
      </c>
      <c r="BH260" s="560">
        <f t="shared" si="496"/>
        <v>0</v>
      </c>
      <c r="BI260" s="560">
        <f>IF(Sheet1!EP262="OTHER",BM260,0)</f>
        <v>0</v>
      </c>
      <c r="BJ260" s="560">
        <f t="shared" si="497"/>
        <v>0</v>
      </c>
      <c r="BK260" s="560">
        <f t="shared" si="498"/>
        <v>2.02</v>
      </c>
      <c r="BL260" s="560">
        <f t="shared" si="499"/>
        <v>2.0204545454545455</v>
      </c>
      <c r="BM260" s="560">
        <f>IF(OR(Sheet1!EP262="FM", Sheet1!EP262="OTHER"),SUM(Sheet1!BG262:'Sheet1'!BI262),0)</f>
        <v>0</v>
      </c>
      <c r="BN260" s="545">
        <f>IF(AND($B260&gt;=$FV260,$B260&lt;=$FW260),MAX(BF260,Sheet1!EI262,0),MAX(BF260-(7/36)*$K260,0))</f>
        <v>2.0204545454545455</v>
      </c>
      <c r="BO260" s="560">
        <f t="shared" si="500"/>
        <v>0</v>
      </c>
      <c r="BP260" s="545">
        <f t="shared" si="501"/>
        <v>0</v>
      </c>
      <c r="BQ260" s="545">
        <f>IF(AND($O260&gt;0,Sheet1!EM262=1),(1-($O260-Sheet1!$L262)/$O260)*BL260,0)</f>
        <v>0</v>
      </c>
      <c r="BR260" s="545">
        <f>IF(AND(Sheet1!$L262=0,Sheet1!$L261=0, Calculation!BK260&lt;Sheet1!$EI262-0.1,Sheet1!$EI262=Sheet1!$EI261,Sheet1!$EI262=Sheet1!$EI263),Sheet1!$EI262,BL260-BQ260)</f>
        <v>2.0204545454545455</v>
      </c>
      <c r="BS260" s="560"/>
      <c r="BT260" s="560"/>
      <c r="BU260" s="560">
        <f t="shared" si="502"/>
        <v>484.48565157570158</v>
      </c>
      <c r="BV260" s="560"/>
      <c r="BW260" s="560">
        <f ca="1">IF(B260&gt;Summary!$A$1,#N/A,BU260*MGtoAF)</f>
        <v>1486.4019790342525</v>
      </c>
      <c r="BX260" s="560">
        <f>Sheet1!BC262+Sheet1!BD262+Sheet1!BE262+Sheet1!BF262-CG260-CH260</f>
        <v>2</v>
      </c>
      <c r="BY260" s="560">
        <f t="shared" si="503"/>
        <v>2.0004500450045009</v>
      </c>
      <c r="BZ260" s="560">
        <f>IF(Sheet1!EQ262="FM",CH260,0)</f>
        <v>0</v>
      </c>
      <c r="CA260" s="560">
        <f t="shared" si="504"/>
        <v>0</v>
      </c>
      <c r="CB260" s="560">
        <f>IF(Sheet1!EQ262="OTHER",CH260,0)</f>
        <v>0</v>
      </c>
      <c r="CC260" s="560">
        <f t="shared" si="505"/>
        <v>0</v>
      </c>
      <c r="CD260" s="560">
        <f t="shared" si="506"/>
        <v>0</v>
      </c>
      <c r="CE260" s="560">
        <f t="shared" si="507"/>
        <v>2</v>
      </c>
      <c r="CF260" s="560">
        <f t="shared" si="508"/>
        <v>2.0004500450045009</v>
      </c>
      <c r="CG260" s="560">
        <f>IF(Sheet1!EQ262="CWA",SUM(Sheet1!BC262:'Sheet1'!BF262),0)</f>
        <v>0</v>
      </c>
      <c r="CH260" s="560">
        <f>IF(OR(Sheet1!EQ262="FM", Sheet1!EQ262="OTHER"),SUM(Sheet1!BC262:'Sheet1'!BF262),0)</f>
        <v>0</v>
      </c>
      <c r="CI260" s="545">
        <f>IF(AND($B260&gt;=$FV260,$B260&lt;=$FW260),MAX(CF260,Sheet1!EJ262,0),MAX(CF260-(7/36)*$K260,0))</f>
        <v>2.0004500450045009</v>
      </c>
      <c r="CJ260" s="560">
        <f t="shared" si="509"/>
        <v>0</v>
      </c>
      <c r="CK260" s="545">
        <f t="shared" si="510"/>
        <v>0</v>
      </c>
      <c r="CL260" s="545">
        <f>IF(AND($O260&gt;0,Sheet1!EN262=1),(1-($O260-Sheet1!$L262)/$O260)*CF260,0)</f>
        <v>0</v>
      </c>
      <c r="CM260" s="545">
        <f>IF(AND(Sheet1!$L262=0,Sheet1!$L261=0, Calculation!CE260&lt;Sheet1!EJ262-0.1,Sheet1!EJ262=Sheet1!EJ261,Sheet1!EJ262=Sheet1!EJ263),Sheet1!EJ262,CF260-CL260)</f>
        <v>2.0004500450045009</v>
      </c>
      <c r="CN260" s="545"/>
      <c r="CO260" s="560"/>
      <c r="CP260" s="560">
        <f t="shared" si="511"/>
        <v>330.54352831481327</v>
      </c>
      <c r="CQ260" s="560"/>
      <c r="CR260" s="560">
        <f ca="1">IF(B260&gt;Summary!$A$1,#N/A,CP260*MGtoAF)</f>
        <v>1014.1075448698472</v>
      </c>
      <c r="CS260" s="560">
        <f>Sheet1!BK262+Sheet1!BL262+Sheet1!BM262-Sheet1!ER262-DA260</f>
        <v>9.02</v>
      </c>
      <c r="CT260" s="560">
        <f t="shared" si="512"/>
        <v>9.0220297029702969</v>
      </c>
      <c r="CU260" s="560">
        <f>IF(Sheet1!ER262="FM",DA260,0)</f>
        <v>0</v>
      </c>
      <c r="CV260" s="560">
        <f t="shared" si="513"/>
        <v>0</v>
      </c>
      <c r="CW260" s="560">
        <f>IF(Sheet1!ER262="OTHER",DA260,0)</f>
        <v>0</v>
      </c>
      <c r="CX260" s="560">
        <f t="shared" si="514"/>
        <v>0</v>
      </c>
      <c r="CY260" s="560">
        <f t="shared" si="515"/>
        <v>9.02</v>
      </c>
      <c r="CZ260" s="560">
        <f t="shared" si="516"/>
        <v>9.0220297029702969</v>
      </c>
      <c r="DA260" s="560">
        <f>IF(OR(Sheet1!ER262="FM", Sheet1!ER262="OTHER"),SUM(Sheet1!BK262:'Sheet1'!BM262),0)</f>
        <v>0</v>
      </c>
      <c r="DB260" s="545">
        <f>IF(AND($B260&gt;=$FV260,$B260&lt;=$FW260),MAX($CT260,Sheet1!EK262,0),MAX($CT260-(7/36)*$K260,0))</f>
        <v>9.0220297029702969</v>
      </c>
      <c r="DC260" s="560">
        <f t="shared" si="517"/>
        <v>0</v>
      </c>
      <c r="DD260" s="545">
        <f t="shared" si="518"/>
        <v>0</v>
      </c>
      <c r="DE260" s="545">
        <f>IF(AND($O260&gt;0,Sheet1!EO262=1),(1-($O260-Sheet1!$L262)/$O260)*CZ260,0)</f>
        <v>0</v>
      </c>
      <c r="DF260" s="545">
        <f>IF(AND(Sheet1!$L262=0,Sheet1!$L261=0, Calculation!CY260&lt;Sheet1!$EK262-0.1,Sheet1!$EK262=Sheet1!$EK261,Sheet1!$EK262=Sheet1!$EK263),Sheet1!$EK262,CZ260-DE260)</f>
        <v>9.0220297029702969</v>
      </c>
      <c r="DG260" s="545"/>
      <c r="DH260" s="560">
        <f t="shared" si="519"/>
        <v>13.04</v>
      </c>
      <c r="DI260" s="560">
        <f t="shared" si="520"/>
        <v>148.00258939222982</v>
      </c>
      <c r="DJ260" s="698">
        <f t="shared" si="521"/>
        <v>13.042934293429344</v>
      </c>
      <c r="DK260" s="560">
        <f ca="1">IF(B260&gt;Summary!$A$1,#N/A,DI260*MGtoAF)</f>
        <v>454.07194425536113</v>
      </c>
      <c r="DL260" s="698">
        <f t="shared" si="522"/>
        <v>13.04</v>
      </c>
      <c r="DM260" s="560">
        <f t="shared" si="523"/>
        <v>44.44</v>
      </c>
      <c r="DN260" s="560">
        <f>Sheet1!AB262-DM260</f>
        <v>1.0000000000005116E-2</v>
      </c>
      <c r="DO260" s="823">
        <f t="shared" si="524"/>
        <v>2.2502250225034016E-4</v>
      </c>
      <c r="DP260" s="560">
        <f>(VLOOKUP(Sheet1!DC262,hhdcap_wcm,4)-(((VLOOKUP(Sheet1!DC262,hhdcap_wcm,3)-Sheet1!DC262)/(VLOOKUP(Sheet1!DC262,hhdcap_wcm,3)-VLOOKUP(Sheet1!DC262,hhdcap_wcm,1)))*(VLOOKUP(Sheet1!DC262,hhdcap_wcm,4)-VLOOKUP(Sheet1!DC262,hhdcap_wcm,2))))</f>
        <v>33264.000000084161</v>
      </c>
      <c r="DQ260" s="560">
        <f t="shared" si="525"/>
        <v>-186.0000000011205</v>
      </c>
      <c r="DR260" s="560">
        <f t="shared" si="526"/>
        <v>-93.797276853817692</v>
      </c>
      <c r="DS260" s="560">
        <f>Sheet1!EA262*AFtoMG</f>
        <v>0</v>
      </c>
      <c r="DT260" s="560">
        <f>Sheet1!EB262*AFtoMG</f>
        <v>0</v>
      </c>
      <c r="DU260" s="560">
        <f>Sheet1!EC262*AFtoMG</f>
        <v>0</v>
      </c>
      <c r="DV260" s="560">
        <f>Sheet1!ED262*AFtoMG</f>
        <v>0</v>
      </c>
      <c r="DW260" s="560">
        <f t="shared" si="527"/>
        <v>0</v>
      </c>
      <c r="DX260" s="560">
        <f t="shared" si="528"/>
        <v>0</v>
      </c>
      <c r="DY260" s="560">
        <f t="shared" si="529"/>
        <v>2004.5574359494115</v>
      </c>
      <c r="DZ260" s="560">
        <f t="shared" si="530"/>
        <v>6149.9822134927945</v>
      </c>
      <c r="EA260" s="560"/>
      <c r="EB260" s="545">
        <f>IF(OR(B260&lt;FV260,B260&gt;FW260),(MIN(BF260+BY260+CT260+MAX(Sheet1!AA262+AQ260-73,0),K260)),0)</f>
        <v>0</v>
      </c>
      <c r="EC260" s="560"/>
      <c r="ED260" s="560">
        <f t="shared" si="531"/>
        <v>13.042934293429342</v>
      </c>
      <c r="EE260" s="560"/>
      <c r="EF260" s="560">
        <f>Sheet1!EH262+Sheet1!EI262+Sheet1!EJ262+Sheet1!EK262</f>
        <v>13</v>
      </c>
      <c r="EG260" s="560"/>
      <c r="EH260" s="545">
        <f t="shared" si="532"/>
        <v>0</v>
      </c>
      <c r="EI260" s="560">
        <f>IF(Sheet1!ET262=1,SUM('Calculations II'!AT260:BA260)+'Calculations II'!BC260+Sheet1!BV262+'Calculations II'!BE260+AP260,SUM('Calculations II'!AT260:BA260)+'Calculations II'!BC260+Sheet1!BV262+'Calculations II'!BE260+AP260)</f>
        <v>77.434000000000012</v>
      </c>
      <c r="EJ260" s="560">
        <f>Sheet1!AA262+Sheet1!AB262+'Calculations II'!BC260</f>
        <v>77.260000000000005</v>
      </c>
      <c r="EK260" s="560"/>
      <c r="EL260" s="560"/>
      <c r="EM260" s="560">
        <f t="shared" si="533"/>
        <v>41888</v>
      </c>
      <c r="EN260" s="560">
        <f t="shared" si="534"/>
        <v>-13.042934293429344</v>
      </c>
      <c r="EO260" s="560">
        <f t="shared" si="535"/>
        <v>-20.177419351935193</v>
      </c>
      <c r="EP260" s="560">
        <v>0</v>
      </c>
      <c r="EQ260" s="560">
        <v>0</v>
      </c>
      <c r="ER260" s="560">
        <v>0</v>
      </c>
      <c r="ES260" s="545">
        <f t="shared" si="454"/>
        <v>3.0509665204715244</v>
      </c>
      <c r="ET260" s="560">
        <f>-(VLOOKUP(Sheet1!BQ262,Lookup!$O$4:$Q$262,2)-VLOOKUP(Sheet1!BQ261,Lookup!$O$4:$Q$262,2))/1000000</f>
        <v>1.5254479899922833</v>
      </c>
      <c r="EU260" s="560">
        <f>-(VLOOKUP(Sheet1!BR262,Lookup!$O$4:$Q$262,3)-VLOOKUP(Sheet1!BR261,Lookup!$O$4:$Q$262,3))/1000000</f>
        <v>1.5255185304792411</v>
      </c>
      <c r="EV260" s="560"/>
      <c r="EW260" s="560"/>
      <c r="EX260" s="560"/>
      <c r="EY260" s="560"/>
      <c r="EZ260" s="560"/>
      <c r="FA260" s="560"/>
      <c r="FB260" s="560"/>
      <c r="FC260" s="560"/>
      <c r="FD260" s="594">
        <f t="shared" si="536"/>
        <v>1126.854716981064</v>
      </c>
      <c r="FE260" s="594" t="e">
        <f t="shared" si="537"/>
        <v>#N/A</v>
      </c>
      <c r="FF260" s="595" t="e">
        <f t="shared" si="538"/>
        <v>#N/A</v>
      </c>
      <c r="FG260" s="596" t="s">
        <v>692</v>
      </c>
      <c r="FH260" s="596" t="s">
        <v>692</v>
      </c>
      <c r="FI260" s="594" t="e">
        <v>#N/A</v>
      </c>
      <c r="FJ260" s="778">
        <v>14400</v>
      </c>
      <c r="FK260" s="560"/>
      <c r="FL260" s="560"/>
      <c r="FM260" s="560"/>
      <c r="FN260" s="560"/>
      <c r="FO260" s="560">
        <f>O260+((Sheet1!CS262)*GPMtoMGD)</f>
        <v>77.260000000000005</v>
      </c>
      <c r="FP260" s="560">
        <f>IF(Sheet1!AA262+AQ260&lt;=Calculation!N260,AQ260,Calculation!N260-Sheet1!AA262)</f>
        <v>29.806705670567062</v>
      </c>
      <c r="FQ260" s="560">
        <f>(Sheet1!BP262+Sheet1!BO262)/694.4</f>
        <v>3.0682603686635943</v>
      </c>
      <c r="FR260" s="560"/>
      <c r="FS260" s="560"/>
      <c r="FT260" s="560"/>
      <c r="FU260" s="560"/>
      <c r="FV260" s="695">
        <f t="shared" si="455"/>
        <v>41827</v>
      </c>
      <c r="FW260" s="695">
        <f t="shared" si="456"/>
        <v>41934</v>
      </c>
      <c r="FX260" s="560"/>
      <c r="FY260" s="560"/>
      <c r="FZ260" s="560"/>
      <c r="GA260" s="560"/>
      <c r="GB260" s="560" t="str">
        <f t="shared" si="457"/>
        <v>n</v>
      </c>
      <c r="GC260" s="564">
        <f t="shared" si="458"/>
        <v>41691</v>
      </c>
      <c r="GD260" s="695">
        <f t="shared" si="459"/>
        <v>41807</v>
      </c>
      <c r="GE260" s="560">
        <v>6518.9</v>
      </c>
      <c r="GF260" s="695">
        <f t="shared" si="460"/>
        <v>41808</v>
      </c>
      <c r="GG260" s="560">
        <f t="shared" si="479"/>
        <v>3259</v>
      </c>
      <c r="GH260" s="564">
        <f t="shared" si="461"/>
        <v>41934</v>
      </c>
      <c r="GJ260" s="545">
        <f t="shared" si="462"/>
        <v>0</v>
      </c>
      <c r="GK260" s="560" t="str">
        <f t="shared" si="539"/>
        <v/>
      </c>
      <c r="GL260" s="560">
        <f t="shared" si="463"/>
        <v>0</v>
      </c>
      <c r="GM260" s="560" t="str">
        <f t="shared" si="464"/>
        <v/>
      </c>
      <c r="GN260" s="560">
        <f>IF(GK260="P",Lookup!$M$12,IF(GK260="PP",Lookup!$M$13,IF(GK260="PPP",Lookup!$M$14,IF(GK260="T",Lookup!$M$15,IF(GK260="TP",Lookup!$M$16,IF(GK260="TPP",Lookup!$M$17,IF(GK260="TPPP",Lookup!$M$18,0)))))))*GJ260</f>
        <v>0</v>
      </c>
      <c r="GO260" s="560">
        <f t="shared" si="465"/>
        <v>0</v>
      </c>
      <c r="GP260" s="560">
        <f t="shared" si="540"/>
        <v>3195.4007453333343</v>
      </c>
      <c r="GQ260" s="560">
        <f t="shared" si="473"/>
        <v>1041.5256666666669</v>
      </c>
      <c r="GR260" s="560"/>
      <c r="GS260" s="560">
        <f t="shared" si="466"/>
        <v>0</v>
      </c>
      <c r="GT260" s="560" t="str">
        <f t="shared" si="467"/>
        <v/>
      </c>
      <c r="GU260" s="560">
        <f>IF(GK260="P",Lookup!$N$12,IF(GK260="PP",Lookup!$N$13,IF(GK260="PPP",Lookup!$N$14,IF(GK260="T",Lookup!$N$15,IF(GK260="TP",Lookup!$N$16,IF(GK260="TPP",Lookup!$N$17,IF(GK260="TPPP",Lookup!$N$18,0)))))))*GJ260</f>
        <v>0</v>
      </c>
      <c r="GV260" s="560">
        <f t="shared" si="468"/>
        <v>0</v>
      </c>
      <c r="GW260" s="560">
        <f t="shared" si="541"/>
        <v>1486.4019790342525</v>
      </c>
      <c r="GX260" s="560">
        <f t="shared" si="474"/>
        <v>484.48565157570158</v>
      </c>
      <c r="GY260" s="560"/>
      <c r="GZ260" s="560">
        <f t="shared" si="469"/>
        <v>0</v>
      </c>
      <c r="HA260" s="560" t="str">
        <f t="shared" si="470"/>
        <v/>
      </c>
      <c r="HB260" s="560">
        <f>IF(GK260="P",Lookup!$N$12,IF(GK260="PP",Lookup!$N$13,IF(GK260="PPP",Lookup!$N$14,IF(GK260="T",Lookup!$N$15,IF(GK260="TP",Lookup!$N$16,IF(GK260="TPP",Lookup!$N$17,IF(GK260="TPPP",Lookup!$N$18,0)))))))*GJ260</f>
        <v>0</v>
      </c>
      <c r="HC260" s="545">
        <f t="shared" si="542"/>
        <v>0</v>
      </c>
      <c r="HD260" s="560">
        <f t="shared" si="543"/>
        <v>1014.1075448698472</v>
      </c>
      <c r="HE260" s="560">
        <f t="shared" si="475"/>
        <v>330.54352831481327</v>
      </c>
      <c r="HF260" s="560"/>
      <c r="HG260" s="560">
        <f t="shared" si="471"/>
        <v>0</v>
      </c>
      <c r="HH260" s="560" t="str">
        <f t="shared" si="472"/>
        <v/>
      </c>
      <c r="HI260" s="560">
        <f>IF(GK260="P",Lookup!$N$12,IF(GK260="PP",Lookup!$N$13,IF(GK260="PPP",Lookup!$N$14,IF(GK260="T",Lookup!$N$15,IF(GK260="TP",Lookup!$N$16,IF(GK260="TPP",Lookup!$N$17,IF(GK260="TPPP",Lookup!$N$18,0)))))))*GJ260</f>
        <v>0</v>
      </c>
      <c r="HJ260" s="545">
        <f t="shared" si="544"/>
        <v>0</v>
      </c>
      <c r="HK260" s="560">
        <f t="shared" si="545"/>
        <v>454.07194425536113</v>
      </c>
      <c r="HL260" s="560">
        <f t="shared" si="476"/>
        <v>148.00258939222982</v>
      </c>
    </row>
    <row r="261" spans="1:220">
      <c r="A261" s="580" t="s">
        <v>3</v>
      </c>
      <c r="B261" s="556">
        <v>41889</v>
      </c>
      <c r="C261" s="561">
        <v>0</v>
      </c>
      <c r="D261" s="529">
        <f t="shared" si="477"/>
        <v>200</v>
      </c>
      <c r="E261" s="529">
        <f t="shared" si="478"/>
        <v>400</v>
      </c>
      <c r="F261" s="529">
        <v>250</v>
      </c>
      <c r="G261" s="560">
        <f>DR261+Sheet1!CZ263</f>
        <v>174.35047907200658</v>
      </c>
      <c r="H261" s="914">
        <f t="shared" si="480"/>
        <v>0</v>
      </c>
      <c r="I261" s="559">
        <f>MAX(Sheet1!Z263-AT261+(Sheet1!DA263-E261)*CFStoMGD,0)</f>
        <v>21.179600000000004</v>
      </c>
      <c r="J261" s="562">
        <f>IF(AND(B261&gt;=Calculation!GC261,B261&lt;=Calculation!GD261),IF(Sheet1!DB263&gt;=Calculation!D261,64.64,0),MAX(Sheet1!Z263-AT261+(Sheet1!DB263-D261)*CFStoMGD,0))</f>
        <v>43.157200000000003</v>
      </c>
      <c r="K261" s="904">
        <f t="shared" si="481"/>
        <v>0</v>
      </c>
      <c r="L261" s="560">
        <f>Sheet1!AA263+Sheet1!AB263-Sheet1!L263+(Sheet1!DA263-F261)*CFStoMGD</f>
        <v>150.46960000000001</v>
      </c>
      <c r="M261" s="560">
        <f t="shared" si="482"/>
        <v>114.95415266558796</v>
      </c>
      <c r="N261" s="910">
        <f>IF(Sheet1!DA263&gt;=F261,MIN(73,MIN(MAX(L261,0),MAX(M261,0))),0)</f>
        <v>73</v>
      </c>
      <c r="O261" s="563">
        <f>Sheet1!AA263+Sheet1!AB263</f>
        <v>76.78</v>
      </c>
      <c r="P261" s="563">
        <f t="shared" si="483"/>
        <v>118.77866</v>
      </c>
      <c r="Q261" s="898">
        <f t="shared" si="444"/>
        <v>63.737032316795634</v>
      </c>
      <c r="R261" s="829">
        <f t="shared" si="484"/>
        <v>13</v>
      </c>
      <c r="S261" s="898">
        <f t="shared" si="445"/>
        <v>0</v>
      </c>
      <c r="T261" s="898">
        <f t="shared" si="446"/>
        <v>0</v>
      </c>
      <c r="U261" s="898">
        <f t="shared" si="447"/>
        <v>13.04296768320437</v>
      </c>
      <c r="V261" s="898"/>
      <c r="W261" s="898">
        <f t="shared" si="448"/>
        <v>0</v>
      </c>
      <c r="X261" s="898">
        <f t="shared" si="449"/>
        <v>0</v>
      </c>
      <c r="Y261" s="898" t="str">
        <f t="shared" si="450"/>
        <v>FALSE</v>
      </c>
      <c r="Z261" s="898">
        <f t="shared" si="451"/>
        <v>76.78</v>
      </c>
      <c r="AA261" s="898">
        <f t="shared" si="452"/>
        <v>76.78</v>
      </c>
      <c r="AB261" s="898" t="str">
        <f t="shared" si="453"/>
        <v/>
      </c>
      <c r="AC261" s="563">
        <f>Sheet1!Y263*MGDtoCFS</f>
        <v>50.757069999999999</v>
      </c>
      <c r="AD261" s="563">
        <f>Sheet1!Z263*MGDtoCFS</f>
        <v>68.764150000000001</v>
      </c>
      <c r="AE261" s="563">
        <f>Sheet1!AA263*MGDtoCFS</f>
        <v>50.788009999999993</v>
      </c>
      <c r="AF261" s="563">
        <f>Sheet1!AB263*MGDtoCFS</f>
        <v>67.990650000000002</v>
      </c>
      <c r="AG261" s="563">
        <f>Sheet1!L263*MGDtoCFS</f>
        <v>0</v>
      </c>
      <c r="AH261" s="545">
        <f t="shared" si="485"/>
        <v>13.04296768320437</v>
      </c>
      <c r="AI261" s="560">
        <f t="shared" si="486"/>
        <v>20.177471005917159</v>
      </c>
      <c r="AJ261" s="560">
        <f t="shared" si="487"/>
        <v>0</v>
      </c>
      <c r="AK261" s="560">
        <f t="shared" si="488"/>
        <v>0</v>
      </c>
      <c r="AL261" s="560">
        <f>(VLOOKUP(Sheet1!DC263,hhdcap_wcm,4)-(((VLOOKUP(Sheet1!DC263,hhdcap_wcm,3)-Sheet1!DC263)/(VLOOKUP(Sheet1!DC263,hhdcap_wcm,3)-VLOOKUP(Sheet1!DC263,hhdcap_wcm,1)))*(VLOOKUP(Sheet1!DC263,hhdcap_wcm,4)-VLOOKUP(Sheet1!DC263,hhdcap_wcm,2))))</f>
        <v>32937.50000008395</v>
      </c>
      <c r="AM261" s="560">
        <f t="shared" si="489"/>
        <v>-326.500000000211</v>
      </c>
      <c r="AN261" s="560">
        <f t="shared" si="490"/>
        <v>1991.5144682662071</v>
      </c>
      <c r="AO261" s="560">
        <f t="shared" si="491"/>
        <v>6109.9663886407234</v>
      </c>
      <c r="AP261" s="560">
        <f>Sheet1!BA263+Sheet1!BB263+Sheet1!BN263+CD261</f>
        <v>30.900000000000002</v>
      </c>
      <c r="AQ261" s="560">
        <f>Sheet1!BN263+(DO261*Sheet1!BN263)</f>
        <v>29.306668183887123</v>
      </c>
      <c r="AR261" s="560">
        <f>Sheet1!BA263+CD261</f>
        <v>0</v>
      </c>
      <c r="AS261" s="560">
        <f>Sheet1!BA263+Sheet1!BB263+CD261</f>
        <v>1.6</v>
      </c>
      <c r="AT261" s="698">
        <f>0</f>
        <v>0</v>
      </c>
      <c r="AU261" s="560">
        <f>IF(EB261&lt;K261,0,MAX(Sheet1!AA263+AQ261-15/36*K261-N261,Sheet1!EH263,0))</f>
        <v>0</v>
      </c>
      <c r="AV261" s="560">
        <f>IF(OR(B261&gt;=GD261,B261&lt;GC261),0,15/36*K261-MAX(0,64.6-(137.6-(Sheet1!AA263+Sheet1!AB263))))</f>
        <v>0</v>
      </c>
      <c r="AW261" s="698">
        <f>Sheet1!DB263-110</f>
        <v>88</v>
      </c>
      <c r="AX261" s="698">
        <f>Sheet1!DA263-265</f>
        <v>99</v>
      </c>
      <c r="AY261" s="698">
        <f t="shared" si="492"/>
        <v>9.2629676832043657</v>
      </c>
      <c r="AZ261" s="698">
        <v>0</v>
      </c>
      <c r="BA261" s="698">
        <f t="shared" si="493"/>
        <v>0</v>
      </c>
      <c r="BB261" s="560">
        <f t="shared" si="494"/>
        <v>1041.5256666666669</v>
      </c>
      <c r="BC261" s="560"/>
      <c r="BD261" s="560">
        <f ca="1">IF(B261&gt;Summary!$A$1,#N/A,BB261*MGtoAF)</f>
        <v>3195.4007453333343</v>
      </c>
      <c r="BE261" s="560">
        <f>Sheet1!BG263+Sheet1!BH263+Sheet1!BI263-BM261</f>
        <v>2.02</v>
      </c>
      <c r="BF261" s="560">
        <f t="shared" si="495"/>
        <v>2.0204597177969963</v>
      </c>
      <c r="BG261" s="560">
        <f>IF(Sheet1!EP263="FM",BM261,0)</f>
        <v>0</v>
      </c>
      <c r="BH261" s="560">
        <f t="shared" si="496"/>
        <v>0</v>
      </c>
      <c r="BI261" s="560">
        <f>IF(Sheet1!EP263="OTHER",BM261,0)</f>
        <v>0</v>
      </c>
      <c r="BJ261" s="560">
        <f t="shared" si="497"/>
        <v>0</v>
      </c>
      <c r="BK261" s="560">
        <f t="shared" si="498"/>
        <v>2.02</v>
      </c>
      <c r="BL261" s="560">
        <f t="shared" si="499"/>
        <v>2.0204597177969963</v>
      </c>
      <c r="BM261" s="560">
        <f>IF(OR(Sheet1!EP263="FM", Sheet1!EP263="OTHER"),SUM(Sheet1!BG263:'Sheet1'!BI263),0)</f>
        <v>0</v>
      </c>
      <c r="BN261" s="545">
        <f>IF(AND($B261&gt;=$FV261,$B261&lt;=$FW261),MAX(BF261,Sheet1!EI263,0),MAX(BF261-(7/36)*$K261,0))</f>
        <v>2.0204597177969963</v>
      </c>
      <c r="BO261" s="560">
        <f t="shared" si="500"/>
        <v>0</v>
      </c>
      <c r="BP261" s="545">
        <f t="shared" si="501"/>
        <v>0</v>
      </c>
      <c r="BQ261" s="545">
        <f>IF(AND($O261&gt;0,Sheet1!EM263=1),(1-($O261-Sheet1!$L263)/$O261)*BL261,0)</f>
        <v>0</v>
      </c>
      <c r="BR261" s="545">
        <f>IF(AND(Sheet1!$L263=0,Sheet1!$L262=0, Calculation!BK261&lt;Sheet1!$EI263-0.1,Sheet1!$EI263=Sheet1!$EI262,Sheet1!$EI263=Sheet1!$EI264),Sheet1!$EI263,BL261-BQ261)</f>
        <v>2.0204597177969963</v>
      </c>
      <c r="BS261" s="560"/>
      <c r="BT261" s="560"/>
      <c r="BU261" s="560">
        <f t="shared" si="502"/>
        <v>482.46519185790459</v>
      </c>
      <c r="BV261" s="560"/>
      <c r="BW261" s="560">
        <f ca="1">IF(B261&gt;Summary!$A$1,#N/A,BU261*MGtoAF)</f>
        <v>1480.2032086200513</v>
      </c>
      <c r="BX261" s="560">
        <f>Sheet1!BC263+Sheet1!BD263+Sheet1!BE263+Sheet1!BF263-CG261-CH261</f>
        <v>2.0099999999999998</v>
      </c>
      <c r="BY261" s="560">
        <f t="shared" si="503"/>
        <v>2.0104574419663179</v>
      </c>
      <c r="BZ261" s="560">
        <f>IF(Sheet1!EQ263="FM",CH261,0)</f>
        <v>0</v>
      </c>
      <c r="CA261" s="560">
        <f t="shared" si="504"/>
        <v>0</v>
      </c>
      <c r="CB261" s="560">
        <f>IF(Sheet1!EQ263="OTHER",CH261,0)</f>
        <v>0</v>
      </c>
      <c r="CC261" s="560">
        <f t="shared" si="505"/>
        <v>0</v>
      </c>
      <c r="CD261" s="560">
        <f t="shared" si="506"/>
        <v>0</v>
      </c>
      <c r="CE261" s="560">
        <f t="shared" si="507"/>
        <v>2.0099999999999998</v>
      </c>
      <c r="CF261" s="560">
        <f t="shared" si="508"/>
        <v>2.0104574419663179</v>
      </c>
      <c r="CG261" s="560">
        <f>IF(Sheet1!EQ263="CWA",SUM(Sheet1!BC263:'Sheet1'!BF263),0)</f>
        <v>0</v>
      </c>
      <c r="CH261" s="560">
        <f>IF(OR(Sheet1!EQ263="FM", Sheet1!EQ263="OTHER"),SUM(Sheet1!BC263:'Sheet1'!BF263),0)</f>
        <v>0</v>
      </c>
      <c r="CI261" s="545">
        <f>IF(AND($B261&gt;=$FV261,$B261&lt;=$FW261),MAX(CF261,Sheet1!EJ263,0),MAX(CF261-(7/36)*$K261,0))</f>
        <v>2.0104574419663179</v>
      </c>
      <c r="CJ261" s="560">
        <f t="shared" si="509"/>
        <v>0</v>
      </c>
      <c r="CK261" s="545">
        <f t="shared" si="510"/>
        <v>0</v>
      </c>
      <c r="CL261" s="545">
        <f>IF(AND($O261&gt;0,Sheet1!EN263=1),(1-($O261-Sheet1!$L263)/$O261)*CF261,0)</f>
        <v>0</v>
      </c>
      <c r="CM261" s="545">
        <f>IF(AND(Sheet1!$L263=0,Sheet1!$L262=0, Calculation!CE261&lt;Sheet1!EJ263-0.1,Sheet1!EJ263=Sheet1!EJ262,Sheet1!EJ263=Sheet1!EJ264),Sheet1!EJ263,CF261-CL261)</f>
        <v>2.0104574419663179</v>
      </c>
      <c r="CN261" s="545"/>
      <c r="CO261" s="560"/>
      <c r="CP261" s="560">
        <f t="shared" si="511"/>
        <v>328.53307087284696</v>
      </c>
      <c r="CQ261" s="560"/>
      <c r="CR261" s="560">
        <f ca="1">IF(B261&gt;Summary!$A$1,#N/A,CP261*MGtoAF)</f>
        <v>1007.9394614378945</v>
      </c>
      <c r="CS261" s="560">
        <f>Sheet1!BK263+Sheet1!BL263+Sheet1!BM263-Sheet1!ER263-DA261</f>
        <v>9.01</v>
      </c>
      <c r="CT261" s="560">
        <f t="shared" si="512"/>
        <v>9.0120505234410562</v>
      </c>
      <c r="CU261" s="560">
        <f>IF(Sheet1!ER263="FM",DA261,0)</f>
        <v>0</v>
      </c>
      <c r="CV261" s="560">
        <f t="shared" si="513"/>
        <v>0</v>
      </c>
      <c r="CW261" s="560">
        <f>IF(Sheet1!ER263="OTHER",DA261,0)</f>
        <v>0</v>
      </c>
      <c r="CX261" s="560">
        <f t="shared" si="514"/>
        <v>0</v>
      </c>
      <c r="CY261" s="560">
        <f t="shared" si="515"/>
        <v>9.01</v>
      </c>
      <c r="CZ261" s="560">
        <f t="shared" si="516"/>
        <v>9.0120505234410562</v>
      </c>
      <c r="DA261" s="560">
        <f>IF(OR(Sheet1!ER263="FM", Sheet1!ER263="OTHER"),SUM(Sheet1!BK263:'Sheet1'!BM263),0)</f>
        <v>0</v>
      </c>
      <c r="DB261" s="545">
        <f>IF(AND($B261&gt;=$FV261,$B261&lt;=$FW261),MAX($CT261,Sheet1!EK263,0),MAX($CT261-(7/36)*$K261,0))</f>
        <v>9.0120505234410562</v>
      </c>
      <c r="DC261" s="560">
        <f t="shared" si="517"/>
        <v>0</v>
      </c>
      <c r="DD261" s="545">
        <f t="shared" si="518"/>
        <v>0</v>
      </c>
      <c r="DE261" s="545">
        <f>IF(AND($O261&gt;0,Sheet1!EO263=1),(1-($O261-Sheet1!$L263)/$O261)*CZ261,0)</f>
        <v>0</v>
      </c>
      <c r="DF261" s="545">
        <f>IF(AND(Sheet1!$L263=0,Sheet1!$L262=0, Calculation!CY261&lt;Sheet1!$EK263-0.1,Sheet1!$EK263=Sheet1!$EK262,Sheet1!$EK263=Sheet1!$EK264),Sheet1!$EK263,CZ261-DE261)</f>
        <v>9.0120505234410562</v>
      </c>
      <c r="DG261" s="545"/>
      <c r="DH261" s="560">
        <f t="shared" si="519"/>
        <v>13.04</v>
      </c>
      <c r="DI261" s="560">
        <f t="shared" si="520"/>
        <v>138.99053886878878</v>
      </c>
      <c r="DJ261" s="698">
        <f t="shared" si="521"/>
        <v>13.04296768320437</v>
      </c>
      <c r="DK261" s="560">
        <f ca="1">IF(B261&gt;Summary!$A$1,#N/A,DI261*MGtoAF)</f>
        <v>426.422973249444</v>
      </c>
      <c r="DL261" s="698">
        <f t="shared" si="522"/>
        <v>13.04</v>
      </c>
      <c r="DM261" s="560">
        <f t="shared" si="523"/>
        <v>43.94</v>
      </c>
      <c r="DN261" s="560">
        <f>Sheet1!AB263-DM261</f>
        <v>1.0000000000005116E-2</v>
      </c>
      <c r="DO261" s="823">
        <f t="shared" si="524"/>
        <v>2.2758306781987066E-4</v>
      </c>
      <c r="DP261" s="560">
        <f>(VLOOKUP(Sheet1!DC263,hhdcap_wcm,4)-(((VLOOKUP(Sheet1!DC263,hhdcap_wcm,3)-Sheet1!DC263)/(VLOOKUP(Sheet1!DC263,hhdcap_wcm,3)-VLOOKUP(Sheet1!DC263,hhdcap_wcm,1)))*(VLOOKUP(Sheet1!DC263,hhdcap_wcm,4)-VLOOKUP(Sheet1!DC263,hhdcap_wcm,2))))</f>
        <v>32937.50000008395</v>
      </c>
      <c r="DQ261" s="560">
        <f t="shared" si="525"/>
        <v>-326.500000000211</v>
      </c>
      <c r="DR261" s="560">
        <f t="shared" si="526"/>
        <v>-164.64952092799342</v>
      </c>
      <c r="DS261" s="560">
        <f>Sheet1!EA263*AFtoMG</f>
        <v>0</v>
      </c>
      <c r="DT261" s="560">
        <f>Sheet1!EB263*AFtoMG</f>
        <v>0</v>
      </c>
      <c r="DU261" s="560">
        <f>Sheet1!EC263*AFtoMG</f>
        <v>0</v>
      </c>
      <c r="DV261" s="560">
        <f>Sheet1!ED263*AFtoMG</f>
        <v>0</v>
      </c>
      <c r="DW261" s="560">
        <f t="shared" si="527"/>
        <v>0</v>
      </c>
      <c r="DX261" s="560">
        <f t="shared" si="528"/>
        <v>0</v>
      </c>
      <c r="DY261" s="560">
        <f t="shared" si="529"/>
        <v>1991.5144682662071</v>
      </c>
      <c r="DZ261" s="560">
        <f t="shared" si="530"/>
        <v>6109.9663886407234</v>
      </c>
      <c r="EA261" s="560"/>
      <c r="EB261" s="545">
        <f>IF(OR(B261&lt;FV261,B261&gt;FW261),(MIN(BF261+BY261+CT261+MAX(Sheet1!AA263+AQ261-73,0),K261)),0)</f>
        <v>0</v>
      </c>
      <c r="EC261" s="560"/>
      <c r="ED261" s="560">
        <f t="shared" si="531"/>
        <v>13.04296768320437</v>
      </c>
      <c r="EE261" s="560"/>
      <c r="EF261" s="560">
        <f>Sheet1!EH263+Sheet1!EI263+Sheet1!EJ263+Sheet1!EK263</f>
        <v>13</v>
      </c>
      <c r="EG261" s="560"/>
      <c r="EH261" s="545">
        <f t="shared" si="532"/>
        <v>0</v>
      </c>
      <c r="EI261" s="560">
        <f>IF(Sheet1!ET263=1,SUM('Calculations II'!AT261:BA261)+'Calculations II'!BC261+Sheet1!BV263+'Calculations II'!BE261+AP261,SUM('Calculations II'!AT261:BA261)+'Calculations II'!BC261+Sheet1!BV263+'Calculations II'!BE261+AP261)</f>
        <v>76.821520000000007</v>
      </c>
      <c r="EJ261" s="560">
        <f>Sheet1!AA263+Sheet1!AB263+'Calculations II'!BC261</f>
        <v>76.78</v>
      </c>
      <c r="EK261" s="560"/>
      <c r="EL261" s="560"/>
      <c r="EM261" s="560">
        <f t="shared" si="533"/>
        <v>41889</v>
      </c>
      <c r="EN261" s="560">
        <f t="shared" si="534"/>
        <v>-13.04296768320437</v>
      </c>
      <c r="EO261" s="560">
        <f t="shared" si="535"/>
        <v>-20.177471005917159</v>
      </c>
      <c r="EP261" s="560">
        <v>0</v>
      </c>
      <c r="EQ261" s="560">
        <v>0</v>
      </c>
      <c r="ER261" s="560">
        <v>0</v>
      </c>
      <c r="ES261" s="545">
        <f t="shared" si="454"/>
        <v>2.4950911646397227</v>
      </c>
      <c r="ET261" s="560">
        <f>-(VLOOKUP(Sheet1!BQ263,Lookup!$O$4:$Q$262,2)-VLOOKUP(Sheet1!BQ262,Lookup!$O$4:$Q$262,2))/1000000</f>
        <v>1.2475167314989268</v>
      </c>
      <c r="EU261" s="560">
        <f>-(VLOOKUP(Sheet1!BR263,Lookup!$O$4:$Q$262,3)-VLOOKUP(Sheet1!BR262,Lookup!$O$4:$Q$262,3))/1000000</f>
        <v>1.2475744331407956</v>
      </c>
      <c r="EV261" s="560"/>
      <c r="EW261" s="560"/>
      <c r="EX261" s="560"/>
      <c r="EY261" s="560"/>
      <c r="EZ261" s="560"/>
      <c r="FA261" s="560"/>
      <c r="FB261" s="560"/>
      <c r="FC261" s="560"/>
      <c r="FD261" s="594">
        <f t="shared" si="536"/>
        <v>1126.4471698112529</v>
      </c>
      <c r="FE261" s="594" t="e">
        <f t="shared" si="537"/>
        <v>#N/A</v>
      </c>
      <c r="FF261" s="595" t="e">
        <f t="shared" si="538"/>
        <v>#N/A</v>
      </c>
      <c r="FG261" s="596" t="s">
        <v>692</v>
      </c>
      <c r="FH261" s="596" t="s">
        <v>692</v>
      </c>
      <c r="FI261" s="594" t="e">
        <v>#N/A</v>
      </c>
      <c r="FJ261" s="778">
        <v>14183</v>
      </c>
      <c r="FK261" s="560"/>
      <c r="FL261" s="560"/>
      <c r="FM261" s="560"/>
      <c r="FN261" s="560"/>
      <c r="FO261" s="560">
        <f>O261+((Sheet1!CS263)*GPMtoMGD)</f>
        <v>76.78</v>
      </c>
      <c r="FP261" s="560">
        <f>IF(Sheet1!AA263+AQ261&lt;=Calculation!N261,AQ261,Calculation!N261-Sheet1!AA263)</f>
        <v>29.306668183887123</v>
      </c>
      <c r="FQ261" s="560">
        <f>(Sheet1!BP263+Sheet1!BO263)/694.4</f>
        <v>3.3643433179723501</v>
      </c>
      <c r="FR261" s="560"/>
      <c r="FS261" s="560"/>
      <c r="FT261" s="560"/>
      <c r="FU261" s="560"/>
      <c r="FV261" s="695">
        <f t="shared" si="455"/>
        <v>41827</v>
      </c>
      <c r="FW261" s="695">
        <f t="shared" si="456"/>
        <v>41934</v>
      </c>
      <c r="FX261" s="560"/>
      <c r="FY261" s="560"/>
      <c r="FZ261" s="560"/>
      <c r="GA261" s="560"/>
      <c r="GB261" s="560" t="str">
        <f t="shared" si="457"/>
        <v>n</v>
      </c>
      <c r="GC261" s="564">
        <f t="shared" si="458"/>
        <v>41691</v>
      </c>
      <c r="GD261" s="695">
        <f t="shared" si="459"/>
        <v>41807</v>
      </c>
      <c r="GE261" s="560">
        <v>6518.9</v>
      </c>
      <c r="GF261" s="695">
        <f t="shared" si="460"/>
        <v>41808</v>
      </c>
      <c r="GG261" s="560">
        <f t="shared" si="479"/>
        <v>3259</v>
      </c>
      <c r="GH261" s="564">
        <f t="shared" si="461"/>
        <v>41934</v>
      </c>
      <c r="GJ261" s="545">
        <f t="shared" si="462"/>
        <v>0</v>
      </c>
      <c r="GK261" s="560" t="str">
        <f t="shared" si="539"/>
        <v/>
      </c>
      <c r="GL261" s="560">
        <f t="shared" si="463"/>
        <v>0</v>
      </c>
      <c r="GM261" s="560" t="str">
        <f t="shared" si="464"/>
        <v/>
      </c>
      <c r="GN261" s="560">
        <f>IF(GK261="P",Lookup!$M$12,IF(GK261="PP",Lookup!$M$13,IF(GK261="PPP",Lookup!$M$14,IF(GK261="T",Lookup!$M$15,IF(GK261="TP",Lookup!$M$16,IF(GK261="TPP",Lookup!$M$17,IF(GK261="TPPP",Lookup!$M$18,0)))))))*GJ261</f>
        <v>0</v>
      </c>
      <c r="GO261" s="560">
        <f t="shared" si="465"/>
        <v>0</v>
      </c>
      <c r="GP261" s="560">
        <f t="shared" si="540"/>
        <v>3195.4007453333343</v>
      </c>
      <c r="GQ261" s="560">
        <f t="shared" si="473"/>
        <v>1041.5256666666669</v>
      </c>
      <c r="GR261" s="560"/>
      <c r="GS261" s="560">
        <f t="shared" si="466"/>
        <v>0</v>
      </c>
      <c r="GT261" s="560" t="str">
        <f t="shared" si="467"/>
        <v/>
      </c>
      <c r="GU261" s="560">
        <f>IF(GK261="P",Lookup!$N$12,IF(GK261="PP",Lookup!$N$13,IF(GK261="PPP",Lookup!$N$14,IF(GK261="T",Lookup!$N$15,IF(GK261="TP",Lookup!$N$16,IF(GK261="TPP",Lookup!$N$17,IF(GK261="TPPP",Lookup!$N$18,0)))))))*GJ261</f>
        <v>0</v>
      </c>
      <c r="GV261" s="560">
        <f t="shared" si="468"/>
        <v>0</v>
      </c>
      <c r="GW261" s="560">
        <f t="shared" si="541"/>
        <v>1480.2032086200513</v>
      </c>
      <c r="GX261" s="560">
        <f t="shared" si="474"/>
        <v>482.46519185790459</v>
      </c>
      <c r="GY261" s="560"/>
      <c r="GZ261" s="560">
        <f t="shared" si="469"/>
        <v>0</v>
      </c>
      <c r="HA261" s="560" t="str">
        <f t="shared" si="470"/>
        <v/>
      </c>
      <c r="HB261" s="560">
        <f>IF(GK261="P",Lookup!$N$12,IF(GK261="PP",Lookup!$N$13,IF(GK261="PPP",Lookup!$N$14,IF(GK261="T",Lookup!$N$15,IF(GK261="TP",Lookup!$N$16,IF(GK261="TPP",Lookup!$N$17,IF(GK261="TPPP",Lookup!$N$18,0)))))))*GJ261</f>
        <v>0</v>
      </c>
      <c r="HC261" s="545">
        <f t="shared" si="542"/>
        <v>0</v>
      </c>
      <c r="HD261" s="560">
        <f t="shared" si="543"/>
        <v>1007.9394614378945</v>
      </c>
      <c r="HE261" s="560">
        <f t="shared" si="475"/>
        <v>328.53307087284696</v>
      </c>
      <c r="HF261" s="560"/>
      <c r="HG261" s="560">
        <f t="shared" si="471"/>
        <v>0</v>
      </c>
      <c r="HH261" s="560" t="str">
        <f t="shared" si="472"/>
        <v/>
      </c>
      <c r="HI261" s="560">
        <f>IF(GK261="P",Lookup!$N$12,IF(GK261="PP",Lookup!$N$13,IF(GK261="PPP",Lookup!$N$14,IF(GK261="T",Lookup!$N$15,IF(GK261="TP",Lookup!$N$16,IF(GK261="TPP",Lookup!$N$17,IF(GK261="TPPP",Lookup!$N$18,0)))))))*GJ261</f>
        <v>0</v>
      </c>
      <c r="HJ261" s="545">
        <f t="shared" si="544"/>
        <v>0</v>
      </c>
      <c r="HK261" s="560">
        <f t="shared" si="545"/>
        <v>426.422973249444</v>
      </c>
      <c r="HL261" s="560">
        <f t="shared" si="476"/>
        <v>138.99053886878878</v>
      </c>
    </row>
    <row r="262" spans="1:220">
      <c r="A262" s="580" t="s">
        <v>4</v>
      </c>
      <c r="B262" s="556">
        <v>41890</v>
      </c>
      <c r="C262" s="561">
        <v>0</v>
      </c>
      <c r="D262" s="529">
        <f t="shared" si="477"/>
        <v>200</v>
      </c>
      <c r="E262" s="529">
        <f t="shared" si="478"/>
        <v>400</v>
      </c>
      <c r="F262" s="529">
        <v>250</v>
      </c>
      <c r="G262" s="560">
        <f>DR262+Sheet1!CZ264</f>
        <v>186.85476550624651</v>
      </c>
      <c r="H262" s="914">
        <f t="shared" si="480"/>
        <v>0</v>
      </c>
      <c r="I262" s="559">
        <f>MAX(Sheet1!Z264-AT262+(Sheet1!DA264-E262)*CFStoMGD,0)</f>
        <v>18.094000000000005</v>
      </c>
      <c r="J262" s="562">
        <f>IF(AND(B262&gt;=Calculation!GC262,B262&lt;=Calculation!GD262),IF(Sheet1!DB264&gt;=Calculation!D262,64.64,0),MAX(Sheet1!Z264-AT262+(Sheet1!DB264-D262)*CFStoMGD,0))</f>
        <v>54.938800000000001</v>
      </c>
      <c r="K262" s="904">
        <f t="shared" si="481"/>
        <v>0</v>
      </c>
      <c r="L262" s="560">
        <f>Sheet1!AA264+Sheet1!AB264-Sheet1!L264+(Sheet1!DA264-F262)*CFStoMGD</f>
        <v>145.554</v>
      </c>
      <c r="M262" s="560">
        <f t="shared" si="482"/>
        <v>123.19857883170251</v>
      </c>
      <c r="N262" s="910">
        <f>IF(Sheet1!DA264&gt;=F262,MIN(73,MIN(MAX(L262,0),MAX(M262,0))),0)</f>
        <v>73</v>
      </c>
      <c r="O262" s="563">
        <f>Sheet1!AA264+Sheet1!AB264</f>
        <v>74.45</v>
      </c>
      <c r="P262" s="563">
        <f t="shared" si="483"/>
        <v>115.17415</v>
      </c>
      <c r="Q262" s="898">
        <f t="shared" si="444"/>
        <v>61.358297192421823</v>
      </c>
      <c r="R262" s="829">
        <f t="shared" si="484"/>
        <v>13</v>
      </c>
      <c r="S262" s="898">
        <f t="shared" si="445"/>
        <v>0</v>
      </c>
      <c r="T262" s="898">
        <f t="shared" si="446"/>
        <v>0</v>
      </c>
      <c r="U262" s="898">
        <f t="shared" si="447"/>
        <v>13.09170280757818</v>
      </c>
      <c r="V262" s="898"/>
      <c r="W262" s="898">
        <f t="shared" si="448"/>
        <v>0</v>
      </c>
      <c r="X262" s="898">
        <f t="shared" si="449"/>
        <v>0</v>
      </c>
      <c r="Y262" s="898" t="str">
        <f t="shared" si="450"/>
        <v>FALSE</v>
      </c>
      <c r="Z262" s="898">
        <f t="shared" si="451"/>
        <v>74.45</v>
      </c>
      <c r="AA262" s="898">
        <f t="shared" si="452"/>
        <v>74.45</v>
      </c>
      <c r="AB262" s="898" t="str">
        <f t="shared" si="453"/>
        <v/>
      </c>
      <c r="AC262" s="563">
        <f>Sheet1!Y264*MGDtoCFS</f>
        <v>50.788009999999993</v>
      </c>
      <c r="AD262" s="563">
        <f>Sheet1!Z264*MGDtoCFS</f>
        <v>67.990650000000002</v>
      </c>
      <c r="AE262" s="563">
        <f>Sheet1!AA264*MGDtoCFS</f>
        <v>47.183499999999995</v>
      </c>
      <c r="AF262" s="563">
        <f>Sheet1!AB264*MGDtoCFS</f>
        <v>67.990650000000002</v>
      </c>
      <c r="AG262" s="563">
        <f>Sheet1!L264*MGDtoCFS</f>
        <v>0</v>
      </c>
      <c r="AH262" s="545">
        <f t="shared" si="485"/>
        <v>13.09170280757818</v>
      </c>
      <c r="AI262" s="560">
        <f t="shared" si="486"/>
        <v>20.252864243323444</v>
      </c>
      <c r="AJ262" s="560">
        <f t="shared" si="487"/>
        <v>0</v>
      </c>
      <c r="AK262" s="560">
        <f t="shared" si="488"/>
        <v>0</v>
      </c>
      <c r="AL262" s="560">
        <f>(VLOOKUP(Sheet1!DC264,hhdcap_wcm,4)-(((VLOOKUP(Sheet1!DC264,hhdcap_wcm,3)-Sheet1!DC264)/(VLOOKUP(Sheet1!DC264,hhdcap_wcm,3)-VLOOKUP(Sheet1!DC264,hhdcap_wcm,1)))*(VLOOKUP(Sheet1!DC264,hhdcap_wcm,4)-VLOOKUP(Sheet1!DC264,hhdcap_wcm,2))))</f>
        <v>32612.000000082837</v>
      </c>
      <c r="AM262" s="560">
        <f t="shared" si="489"/>
        <v>-325.50000000111322</v>
      </c>
      <c r="AN262" s="560">
        <f t="shared" si="490"/>
        <v>1978.4227654586289</v>
      </c>
      <c r="AO262" s="560">
        <f t="shared" si="491"/>
        <v>6069.8010444270731</v>
      </c>
      <c r="AP262" s="560">
        <f>Sheet1!BA264+Sheet1!BB264+Sheet1!BN264+CD262</f>
        <v>30.76</v>
      </c>
      <c r="AQ262" s="560">
        <f>Sheet1!BN264+(DO262*Sheet1!BN264)</f>
        <v>29.253184204519517</v>
      </c>
      <c r="AR262" s="560">
        <f>Sheet1!BA264+CD262</f>
        <v>0</v>
      </c>
      <c r="AS262" s="560">
        <f>Sheet1!BA264+Sheet1!BB264+CD262</f>
        <v>1.6</v>
      </c>
      <c r="AT262" s="698">
        <f>0</f>
        <v>0</v>
      </c>
      <c r="AU262" s="560">
        <f>IF(EB262&lt;K262,0,MAX(Sheet1!AA264+AQ262-15/36*K262-N262,Sheet1!EH264,0))</f>
        <v>0</v>
      </c>
      <c r="AV262" s="560">
        <f>IF(OR(B262&gt;=GD262,B262&lt;GC262),0,15/36*K262-MAX(0,64.6-(137.6-(Sheet1!AA264+Sheet1!AB264))))</f>
        <v>0</v>
      </c>
      <c r="AW262" s="698">
        <f>Sheet1!DB264-110</f>
        <v>107</v>
      </c>
      <c r="AX262" s="698">
        <f>Sheet1!DA264-265</f>
        <v>95</v>
      </c>
      <c r="AY262" s="698">
        <f t="shared" si="492"/>
        <v>11.641702807578177</v>
      </c>
      <c r="AZ262" s="698">
        <v>0</v>
      </c>
      <c r="BA262" s="698">
        <f t="shared" si="493"/>
        <v>0</v>
      </c>
      <c r="BB262" s="560">
        <f t="shared" si="494"/>
        <v>1041.5256666666669</v>
      </c>
      <c r="BC262" s="560"/>
      <c r="BD262" s="560">
        <f ca="1">IF(B262&gt;Summary!$A$1,#N/A,BB262*MGtoAF)</f>
        <v>3195.4007453333343</v>
      </c>
      <c r="BE262" s="560">
        <f>Sheet1!BG264+Sheet1!BH264+Sheet1!BI264-BM262</f>
        <v>2.02</v>
      </c>
      <c r="BF262" s="560">
        <f t="shared" si="495"/>
        <v>2.0264551472266605</v>
      </c>
      <c r="BG262" s="560">
        <f>IF(Sheet1!EP264="FM",BM262,0)</f>
        <v>0</v>
      </c>
      <c r="BH262" s="560">
        <f t="shared" si="496"/>
        <v>0</v>
      </c>
      <c r="BI262" s="560">
        <f>IF(Sheet1!EP264="OTHER",BM262,0)</f>
        <v>0</v>
      </c>
      <c r="BJ262" s="560">
        <f t="shared" si="497"/>
        <v>0</v>
      </c>
      <c r="BK262" s="560">
        <f t="shared" si="498"/>
        <v>2.02</v>
      </c>
      <c r="BL262" s="560">
        <f t="shared" si="499"/>
        <v>2.0264551472266605</v>
      </c>
      <c r="BM262" s="560">
        <f>IF(OR(Sheet1!EP264="FM", Sheet1!EP264="OTHER"),SUM(Sheet1!BG264:'Sheet1'!BI264),0)</f>
        <v>0</v>
      </c>
      <c r="BN262" s="545">
        <f>IF(AND($B262&gt;=$FV262,$B262&lt;=$FW262),MAX(BF262,Sheet1!EI264,0),MAX(BF262-(7/36)*$K262,0))</f>
        <v>2.0264551472266605</v>
      </c>
      <c r="BO262" s="560">
        <f t="shared" si="500"/>
        <v>0</v>
      </c>
      <c r="BP262" s="545">
        <f t="shared" si="501"/>
        <v>0</v>
      </c>
      <c r="BQ262" s="545">
        <f>IF(AND($O262&gt;0,Sheet1!EM264=1),(1-($O262-Sheet1!$L264)/$O262)*BL262,0)</f>
        <v>0</v>
      </c>
      <c r="BR262" s="545">
        <f>IF(AND(Sheet1!$L264=0,Sheet1!$L263=0, Calculation!BK262&lt;Sheet1!$EI264-0.1,Sheet1!$EI264=Sheet1!$EI263,Sheet1!$EI264=Sheet1!$EI265),Sheet1!$EI264,BL262-BQ262)</f>
        <v>2.0264551472266605</v>
      </c>
      <c r="BS262" s="560"/>
      <c r="BT262" s="560"/>
      <c r="BU262" s="560">
        <f t="shared" si="502"/>
        <v>180.38833671067789</v>
      </c>
      <c r="BV262" s="560"/>
      <c r="BW262" s="560">
        <f ca="1">IF(B262&gt;Summary!$A$1,#N/A,BU262*MGtoAF)</f>
        <v>553.43141702835976</v>
      </c>
      <c r="BX262" s="560">
        <f>Sheet1!BC264+Sheet1!BD264+Sheet1!BE264+Sheet1!BF264-CG262-CH262</f>
        <v>2</v>
      </c>
      <c r="BY262" s="560">
        <f t="shared" si="503"/>
        <v>2.0063912348778818</v>
      </c>
      <c r="BZ262" s="560">
        <f>IF(Sheet1!EQ264="FM",CH262,0)</f>
        <v>0</v>
      </c>
      <c r="CA262" s="560">
        <f t="shared" si="504"/>
        <v>0</v>
      </c>
      <c r="CB262" s="560">
        <f>IF(Sheet1!EQ264="OTHER",CH262,0)</f>
        <v>0</v>
      </c>
      <c r="CC262" s="560">
        <f t="shared" si="505"/>
        <v>0</v>
      </c>
      <c r="CD262" s="560">
        <f t="shared" si="506"/>
        <v>0</v>
      </c>
      <c r="CE262" s="560">
        <f t="shared" si="507"/>
        <v>2</v>
      </c>
      <c r="CF262" s="560">
        <f t="shared" si="508"/>
        <v>2.0063912348778818</v>
      </c>
      <c r="CG262" s="560">
        <f>IF(Sheet1!EQ264="CWA",SUM(Sheet1!BC264:'Sheet1'!BF264),0)</f>
        <v>0</v>
      </c>
      <c r="CH262" s="560">
        <f>IF(OR(Sheet1!EQ264="FM", Sheet1!EQ264="OTHER"),SUM(Sheet1!BC264:'Sheet1'!BF264),0)</f>
        <v>0</v>
      </c>
      <c r="CI262" s="545">
        <f>IF(AND($B262&gt;=$FV262,$B262&lt;=$FW262),MAX(CF262,Sheet1!EJ264,0),MAX(CF262-(7/36)*$K262,0))</f>
        <v>2.0063912348778818</v>
      </c>
      <c r="CJ262" s="560">
        <f t="shared" si="509"/>
        <v>0</v>
      </c>
      <c r="CK262" s="545">
        <f t="shared" si="510"/>
        <v>0</v>
      </c>
      <c r="CL262" s="545">
        <f>IF(AND($O262&gt;0,Sheet1!EN264=1),(1-($O262-Sheet1!$L264)/$O262)*CF262,0)</f>
        <v>0</v>
      </c>
      <c r="CM262" s="545">
        <f>IF(AND(Sheet1!$L264=0,Sheet1!$L263=0, Calculation!CE262&lt;Sheet1!EJ264-0.1,Sheet1!EJ264=Sheet1!EJ263,Sheet1!EJ264=Sheet1!EJ265),Sheet1!EJ264,CF262-CL262)</f>
        <v>2.0063912348778818</v>
      </c>
      <c r="CN262" s="545"/>
      <c r="CO262" s="560"/>
      <c r="CP262" s="560">
        <f t="shared" si="511"/>
        <v>276.5182796379691</v>
      </c>
      <c r="CQ262" s="560"/>
      <c r="CR262" s="560">
        <f ca="1">IF(B262&gt;Summary!$A$1,#N/A,CP262*MGtoAF)</f>
        <v>848.35808192928926</v>
      </c>
      <c r="CS262" s="560">
        <f>Sheet1!BK264+Sheet1!BL264+Sheet1!BM264-Sheet1!ER264-DA262</f>
        <v>9.0300000000000011</v>
      </c>
      <c r="CT262" s="560">
        <f t="shared" si="512"/>
        <v>9.0588564254736372</v>
      </c>
      <c r="CU262" s="560">
        <f>IF(Sheet1!ER264="FM",DA262,0)</f>
        <v>0</v>
      </c>
      <c r="CV262" s="560">
        <f t="shared" si="513"/>
        <v>0</v>
      </c>
      <c r="CW262" s="560">
        <f>IF(Sheet1!ER264="OTHER",DA262,0)</f>
        <v>0</v>
      </c>
      <c r="CX262" s="560">
        <f t="shared" si="514"/>
        <v>0</v>
      </c>
      <c r="CY262" s="560">
        <f t="shared" si="515"/>
        <v>9.0300000000000011</v>
      </c>
      <c r="CZ262" s="560">
        <f t="shared" si="516"/>
        <v>9.0588564254736372</v>
      </c>
      <c r="DA262" s="560">
        <f>IF(OR(Sheet1!ER264="FM", Sheet1!ER264="OTHER"),SUM(Sheet1!BK264:'Sheet1'!BM264),0)</f>
        <v>0</v>
      </c>
      <c r="DB262" s="545">
        <f>IF(AND($B262&gt;=$FV262,$B262&lt;=$FW262),MAX($CT262,Sheet1!EK264,0),MAX($CT262-(7/36)*$K262,0))</f>
        <v>9.0588564254736372</v>
      </c>
      <c r="DC262" s="560">
        <f t="shared" si="517"/>
        <v>0</v>
      </c>
      <c r="DD262" s="545">
        <f t="shared" si="518"/>
        <v>0</v>
      </c>
      <c r="DE262" s="545">
        <f>IF(AND($O262&gt;0,Sheet1!EO264=1),(1-($O262-Sheet1!$L264)/$O262)*CZ262,0)</f>
        <v>0</v>
      </c>
      <c r="DF262" s="545">
        <f>IF(AND(Sheet1!$L264=0,Sheet1!$L263=0, Calculation!CY262&lt;Sheet1!$EK264-0.1,Sheet1!$EK264=Sheet1!$EK263,Sheet1!$EK264=Sheet1!$EK265),Sheet1!$EK264,CZ262-DE262)</f>
        <v>9.0588564254736372</v>
      </c>
      <c r="DG262" s="545"/>
      <c r="DH262" s="560">
        <f t="shared" si="519"/>
        <v>13.05</v>
      </c>
      <c r="DI262" s="560">
        <f t="shared" si="520"/>
        <v>479.99048244331516</v>
      </c>
      <c r="DJ262" s="698">
        <f t="shared" si="521"/>
        <v>13.09170280757818</v>
      </c>
      <c r="DK262" s="560">
        <f ca="1">IF(B262&gt;Summary!$A$1,#N/A,DI262*MGtoAF)</f>
        <v>1472.610800136091</v>
      </c>
      <c r="DL262" s="698">
        <f t="shared" si="522"/>
        <v>13.05</v>
      </c>
      <c r="DM262" s="560">
        <f t="shared" si="523"/>
        <v>43.81</v>
      </c>
      <c r="DN262" s="560">
        <f>Sheet1!AB264-DM262</f>
        <v>0.14000000000000057</v>
      </c>
      <c r="DO262" s="823">
        <f t="shared" si="524"/>
        <v>3.195617438940894E-3</v>
      </c>
      <c r="DP262" s="560">
        <f>(VLOOKUP(Sheet1!DC264,hhdcap_wcm,4)-(((VLOOKUP(Sheet1!DC264,hhdcap_wcm,3)-Sheet1!DC264)/(VLOOKUP(Sheet1!DC264,hhdcap_wcm,3)-VLOOKUP(Sheet1!DC264,hhdcap_wcm,1)))*(VLOOKUP(Sheet1!DC264,hhdcap_wcm,4)-VLOOKUP(Sheet1!DC264,hhdcap_wcm,2))))</f>
        <v>32612.000000082837</v>
      </c>
      <c r="DQ262" s="560">
        <f t="shared" si="525"/>
        <v>-325.50000000111322</v>
      </c>
      <c r="DR262" s="560">
        <f t="shared" si="526"/>
        <v>-164.14523449375349</v>
      </c>
      <c r="DS262" s="560">
        <f>Sheet1!EA264*AFtoMG</f>
        <v>0</v>
      </c>
      <c r="DT262" s="560">
        <f>Sheet1!EB264*AFtoMG</f>
        <v>-300.05040000000002</v>
      </c>
      <c r="DU262" s="560">
        <f>Sheet1!EC264*AFtoMG</f>
        <v>-50.008400000000002</v>
      </c>
      <c r="DV262" s="560">
        <f>Sheet1!ED264*AFtoMG</f>
        <v>350.05880000000002</v>
      </c>
      <c r="DW262" s="560">
        <f t="shared" si="527"/>
        <v>0</v>
      </c>
      <c r="DX262" s="560">
        <f t="shared" si="528"/>
        <v>0</v>
      </c>
      <c r="DY262" s="560">
        <f t="shared" si="529"/>
        <v>1978.4227654586289</v>
      </c>
      <c r="DZ262" s="560">
        <f t="shared" si="530"/>
        <v>6069.8010444270731</v>
      </c>
      <c r="EA262" s="560"/>
      <c r="EB262" s="545">
        <f>IF(OR(B262&lt;FV262,B262&gt;FW262),(MIN(BF262+BY262+CT262+MAX(Sheet1!AA264+AQ262-73,0),K262)),0)</f>
        <v>0</v>
      </c>
      <c r="EC262" s="560"/>
      <c r="ED262" s="560">
        <f t="shared" si="531"/>
        <v>13.09170280757818</v>
      </c>
      <c r="EE262" s="560"/>
      <c r="EF262" s="560">
        <f>Sheet1!EH264+Sheet1!EI264+Sheet1!EJ264+Sheet1!EK264</f>
        <v>13</v>
      </c>
      <c r="EG262" s="560"/>
      <c r="EH262" s="545">
        <f t="shared" si="532"/>
        <v>0</v>
      </c>
      <c r="EI262" s="560">
        <f>IF(Sheet1!ET264=1,SUM('Calculations II'!AT262:BA262)+'Calculations II'!BC262+Sheet1!BV264+'Calculations II'!BE262+AP262,SUM('Calculations II'!AT262:BA262)+'Calculations II'!BC262+Sheet1!BV264+'Calculations II'!BE262+AP262)</f>
        <v>73.703280000000007</v>
      </c>
      <c r="EJ262" s="560">
        <f>Sheet1!AA264+Sheet1!AB264+'Calculations II'!BC262</f>
        <v>74.45</v>
      </c>
      <c r="EK262" s="560"/>
      <c r="EL262" s="560"/>
      <c r="EM262" s="560">
        <f t="shared" si="533"/>
        <v>41890</v>
      </c>
      <c r="EN262" s="560">
        <f t="shared" si="534"/>
        <v>-13.09170280757818</v>
      </c>
      <c r="EO262" s="560">
        <f t="shared" si="535"/>
        <v>-20.252864243323444</v>
      </c>
      <c r="EP262" s="560">
        <v>0</v>
      </c>
      <c r="EQ262" s="560">
        <v>0</v>
      </c>
      <c r="ER262" s="560">
        <v>0</v>
      </c>
      <c r="ES262" s="545">
        <f t="shared" si="454"/>
        <v>0.55432366184049098</v>
      </c>
      <c r="ET262" s="560">
        <f>-(VLOOKUP(Sheet1!BQ264,Lookup!$O$4:$Q$262,2)-VLOOKUP(Sheet1!BQ263,Lookup!$O$4:$Q$262,2))/1000000</f>
        <v>0.27715542043960095</v>
      </c>
      <c r="EU262" s="560">
        <f>-(VLOOKUP(Sheet1!BR264,Lookup!$O$4:$Q$262,3)-VLOOKUP(Sheet1!BR263,Lookup!$O$4:$Q$262,3))/1000000</f>
        <v>0.27716824140089003</v>
      </c>
      <c r="EV262" s="560"/>
      <c r="EW262" s="560"/>
      <c r="EX262" s="560"/>
      <c r="EY262" s="560"/>
      <c r="EZ262" s="560"/>
      <c r="FA262" s="560"/>
      <c r="FB262" s="560"/>
      <c r="FC262" s="560"/>
      <c r="FD262" s="594">
        <f t="shared" si="536"/>
        <v>1126.0407407406733</v>
      </c>
      <c r="FE262" s="594" t="e">
        <f t="shared" si="537"/>
        <v>#N/A</v>
      </c>
      <c r="FF262" s="595" t="e">
        <f t="shared" si="538"/>
        <v>#N/A</v>
      </c>
      <c r="FG262" s="596" t="s">
        <v>692</v>
      </c>
      <c r="FH262" s="596" t="s">
        <v>692</v>
      </c>
      <c r="FI262" s="594" t="e">
        <v>#N/A</v>
      </c>
      <c r="FJ262" s="778">
        <v>13966</v>
      </c>
      <c r="FK262" s="560"/>
      <c r="FL262" s="560"/>
      <c r="FM262" s="560"/>
      <c r="FN262" s="560"/>
      <c r="FO262" s="560">
        <f>O262+((Sheet1!CS264)*GPMtoMGD)</f>
        <v>74.45</v>
      </c>
      <c r="FP262" s="560">
        <f>IF(Sheet1!AA264+AQ262&lt;=Calculation!N262,AQ262,Calculation!N262-Sheet1!AA264)</f>
        <v>29.253184204519517</v>
      </c>
      <c r="FQ262" s="560">
        <f>(Sheet1!BP264+Sheet1!BO264)/694.4</f>
        <v>2.9639976958525343</v>
      </c>
      <c r="FR262" s="560"/>
      <c r="FS262" s="560"/>
      <c r="FT262" s="560"/>
      <c r="FU262" s="560"/>
      <c r="FV262" s="695">
        <f t="shared" si="455"/>
        <v>41827</v>
      </c>
      <c r="FW262" s="695">
        <f t="shared" si="456"/>
        <v>41934</v>
      </c>
      <c r="FX262" s="560"/>
      <c r="FY262" s="560"/>
      <c r="FZ262" s="560"/>
      <c r="GA262" s="560"/>
      <c r="GB262" s="560" t="str">
        <f t="shared" si="457"/>
        <v>n</v>
      </c>
      <c r="GC262" s="564">
        <f t="shared" si="458"/>
        <v>41691</v>
      </c>
      <c r="GD262" s="695">
        <f t="shared" si="459"/>
        <v>41807</v>
      </c>
      <c r="GE262" s="560">
        <v>6518.9</v>
      </c>
      <c r="GF262" s="695">
        <f t="shared" si="460"/>
        <v>41808</v>
      </c>
      <c r="GG262" s="560">
        <f t="shared" si="479"/>
        <v>3259</v>
      </c>
      <c r="GH262" s="564">
        <f t="shared" si="461"/>
        <v>41934</v>
      </c>
      <c r="GJ262" s="545">
        <f t="shared" si="462"/>
        <v>0</v>
      </c>
      <c r="GK262" s="560" t="str">
        <f t="shared" si="539"/>
        <v/>
      </c>
      <c r="GL262" s="560">
        <f t="shared" si="463"/>
        <v>0</v>
      </c>
      <c r="GM262" s="560" t="str">
        <f t="shared" si="464"/>
        <v/>
      </c>
      <c r="GN262" s="560">
        <f>IF(GK262="P",Lookup!$M$12,IF(GK262="PP",Lookup!$M$13,IF(GK262="PPP",Lookup!$M$14,IF(GK262="T",Lookup!$M$15,IF(GK262="TP",Lookup!$M$16,IF(GK262="TPP",Lookup!$M$17,IF(GK262="TPPP",Lookup!$M$18,0)))))))*GJ262</f>
        <v>0</v>
      </c>
      <c r="GO262" s="560">
        <f t="shared" si="465"/>
        <v>0</v>
      </c>
      <c r="GP262" s="560">
        <f t="shared" si="540"/>
        <v>3195.4007453333343</v>
      </c>
      <c r="GQ262" s="560">
        <f t="shared" si="473"/>
        <v>1041.5256666666669</v>
      </c>
      <c r="GR262" s="560"/>
      <c r="GS262" s="560">
        <f t="shared" si="466"/>
        <v>0</v>
      </c>
      <c r="GT262" s="560" t="str">
        <f t="shared" si="467"/>
        <v/>
      </c>
      <c r="GU262" s="560">
        <f>IF(GK262="P",Lookup!$N$12,IF(GK262="PP",Lookup!$N$13,IF(GK262="PPP",Lookup!$N$14,IF(GK262="T",Lookup!$N$15,IF(GK262="TP",Lookup!$N$16,IF(GK262="TPP",Lookup!$N$17,IF(GK262="TPPP",Lookup!$N$18,0)))))))*GJ262</f>
        <v>0</v>
      </c>
      <c r="GV262" s="560">
        <f t="shared" si="468"/>
        <v>0</v>
      </c>
      <c r="GW262" s="560">
        <f t="shared" si="541"/>
        <v>553.43141702835976</v>
      </c>
      <c r="GX262" s="560">
        <f t="shared" si="474"/>
        <v>180.38833671067789</v>
      </c>
      <c r="GY262" s="560"/>
      <c r="GZ262" s="560">
        <f t="shared" si="469"/>
        <v>0</v>
      </c>
      <c r="HA262" s="560" t="str">
        <f t="shared" si="470"/>
        <v/>
      </c>
      <c r="HB262" s="560">
        <f>IF(GK262="P",Lookup!$N$12,IF(GK262="PP",Lookup!$N$13,IF(GK262="PPP",Lookup!$N$14,IF(GK262="T",Lookup!$N$15,IF(GK262="TP",Lookup!$N$16,IF(GK262="TPP",Lookup!$N$17,IF(GK262="TPPP",Lookup!$N$18,0)))))))*GJ262</f>
        <v>0</v>
      </c>
      <c r="HC262" s="545">
        <f t="shared" si="542"/>
        <v>0</v>
      </c>
      <c r="HD262" s="560">
        <f t="shared" si="543"/>
        <v>848.35808192928926</v>
      </c>
      <c r="HE262" s="560">
        <f t="shared" si="475"/>
        <v>276.5182796379691</v>
      </c>
      <c r="HF262" s="560"/>
      <c r="HG262" s="560">
        <f t="shared" si="471"/>
        <v>0</v>
      </c>
      <c r="HH262" s="560" t="str">
        <f t="shared" si="472"/>
        <v/>
      </c>
      <c r="HI262" s="560">
        <f>IF(GK262="P",Lookup!$N$12,IF(GK262="PP",Lookup!$N$13,IF(GK262="PPP",Lookup!$N$14,IF(GK262="T",Lookup!$N$15,IF(GK262="TP",Lookup!$N$16,IF(GK262="TPP",Lookup!$N$17,IF(GK262="TPPP",Lookup!$N$18,0)))))))*GJ262</f>
        <v>0</v>
      </c>
      <c r="HJ262" s="545">
        <f t="shared" si="544"/>
        <v>0</v>
      </c>
      <c r="HK262" s="560">
        <f t="shared" si="545"/>
        <v>1472.610800136091</v>
      </c>
      <c r="HL262" s="560">
        <f t="shared" si="476"/>
        <v>479.99048244331516</v>
      </c>
    </row>
    <row r="263" spans="1:220">
      <c r="A263" s="580" t="s">
        <v>5</v>
      </c>
      <c r="B263" s="556">
        <v>41891</v>
      </c>
      <c r="C263" s="561">
        <v>0</v>
      </c>
      <c r="D263" s="529">
        <f t="shared" si="477"/>
        <v>200</v>
      </c>
      <c r="E263" s="529">
        <f t="shared" si="478"/>
        <v>400</v>
      </c>
      <c r="F263" s="529">
        <v>250</v>
      </c>
      <c r="G263" s="560">
        <f>DR263+Sheet1!CZ265</f>
        <v>184.28290468920048</v>
      </c>
      <c r="H263" s="914">
        <f t="shared" si="480"/>
        <v>0</v>
      </c>
      <c r="I263" s="559">
        <f>MAX(Sheet1!Z265-AT263+(Sheet1!DA265-E263)*CFStoMGD,0)</f>
        <v>18.229600000000001</v>
      </c>
      <c r="J263" s="562">
        <f>IF(AND(B263&gt;=Calculation!GC263,B263&lt;=Calculation!GD263),IF(Sheet1!DB265&gt;=Calculation!D263,64.64,0),MAX(Sheet1!Z265-AT263+(Sheet1!DB265-D263)*CFStoMGD,0))</f>
        <v>48.610399999999998</v>
      </c>
      <c r="K263" s="904">
        <f t="shared" si="481"/>
        <v>0</v>
      </c>
      <c r="L263" s="560">
        <f>Sheet1!AA265+Sheet1!AB265-Sheet1!L265+(Sheet1!DA265-F263)*CFStoMGD</f>
        <v>148.81959999999998</v>
      </c>
      <c r="M263" s="560">
        <f t="shared" si="482"/>
        <v>121.50287898292117</v>
      </c>
      <c r="N263" s="910">
        <f>IF(Sheet1!DA265&gt;=F263,MIN(73,MIN(MAX(L263,0),MAX(M263,0))),0)</f>
        <v>73</v>
      </c>
      <c r="O263" s="563">
        <f>Sheet1!AA265+Sheet1!AB265</f>
        <v>75.13</v>
      </c>
      <c r="P263" s="563">
        <f t="shared" si="483"/>
        <v>116.22611000000001</v>
      </c>
      <c r="Q263" s="898">
        <f t="shared" si="444"/>
        <v>62.070271503536389</v>
      </c>
      <c r="R263" s="829">
        <f t="shared" si="484"/>
        <v>13</v>
      </c>
      <c r="S263" s="898">
        <f t="shared" si="445"/>
        <v>0</v>
      </c>
      <c r="T263" s="898">
        <f t="shared" si="446"/>
        <v>0</v>
      </c>
      <c r="U263" s="898">
        <f t="shared" si="447"/>
        <v>13.059728496463608</v>
      </c>
      <c r="V263" s="898"/>
      <c r="W263" s="898">
        <f t="shared" si="448"/>
        <v>0</v>
      </c>
      <c r="X263" s="898">
        <f t="shared" si="449"/>
        <v>0</v>
      </c>
      <c r="Y263" s="898" t="str">
        <f t="shared" si="450"/>
        <v>FALSE</v>
      </c>
      <c r="Z263" s="898">
        <f t="shared" si="451"/>
        <v>75.13</v>
      </c>
      <c r="AA263" s="898">
        <f t="shared" si="452"/>
        <v>75.13</v>
      </c>
      <c r="AB263" s="898" t="str">
        <f t="shared" si="453"/>
        <v/>
      </c>
      <c r="AC263" s="563">
        <f>Sheet1!Y265*MGDtoCFS</f>
        <v>47.183499999999995</v>
      </c>
      <c r="AD263" s="563">
        <f>Sheet1!Z265*MGDtoCFS</f>
        <v>64.200499999999991</v>
      </c>
      <c r="AE263" s="563">
        <f>Sheet1!AA265*MGDtoCFS</f>
        <v>48.266399999999997</v>
      </c>
      <c r="AF263" s="563">
        <f>Sheet1!AB265*MGDtoCFS</f>
        <v>67.959710000000001</v>
      </c>
      <c r="AG263" s="563">
        <f>Sheet1!L265*MGDtoCFS</f>
        <v>0</v>
      </c>
      <c r="AH263" s="545">
        <f t="shared" si="485"/>
        <v>13.05972849646361</v>
      </c>
      <c r="AI263" s="560">
        <f t="shared" si="486"/>
        <v>20.203399984029204</v>
      </c>
      <c r="AJ263" s="560">
        <f t="shared" si="487"/>
        <v>0</v>
      </c>
      <c r="AK263" s="560">
        <f t="shared" si="488"/>
        <v>0</v>
      </c>
      <c r="AL263" s="560">
        <f>(VLOOKUP(Sheet1!DC265,hhdcap_wcm,4)-(((VLOOKUP(Sheet1!DC265,hhdcap_wcm,3)-Sheet1!DC265)/(VLOOKUP(Sheet1!DC265,hhdcap_wcm,3)-VLOOKUP(Sheet1!DC265,hhdcap_wcm,1)))*(VLOOKUP(Sheet1!DC265,hhdcap_wcm,4)-VLOOKUP(Sheet1!DC265,hhdcap_wcm,2))))</f>
        <v>32281.400000081521</v>
      </c>
      <c r="AM263" s="560">
        <f t="shared" si="489"/>
        <v>-330.60000000131549</v>
      </c>
      <c r="AN263" s="560">
        <f t="shared" si="490"/>
        <v>1639.3630369621656</v>
      </c>
      <c r="AO263" s="560">
        <f t="shared" si="491"/>
        <v>5029.5657973999241</v>
      </c>
      <c r="AP263" s="560">
        <f>Sheet1!BA265+Sheet1!BB265+Sheet1!BN265+CD263</f>
        <v>30.8</v>
      </c>
      <c r="AQ263" s="560">
        <f>Sheet1!BN265+(DO263*Sheet1!BN265)</f>
        <v>29.266621035820215</v>
      </c>
      <c r="AR263" s="560">
        <f>Sheet1!BA265+CD263</f>
        <v>0</v>
      </c>
      <c r="AS263" s="560">
        <f>Sheet1!BA265+Sheet1!BB265+CD263</f>
        <v>1.6</v>
      </c>
      <c r="AT263" s="698">
        <f>0</f>
        <v>0</v>
      </c>
      <c r="AU263" s="560">
        <f>IF(EB263&lt;K263,0,MAX(Sheet1!AA265+AQ263-15/36*K263-N263,Sheet1!EH265,0))</f>
        <v>0</v>
      </c>
      <c r="AV263" s="560">
        <f>IF(OR(B263&gt;=GD263,B263&lt;GC263),0,15/36*K263-MAX(0,64.6-(137.6-(Sheet1!AA265+Sheet1!AB265))))</f>
        <v>0</v>
      </c>
      <c r="AW263" s="698">
        <f>Sheet1!DB265-110</f>
        <v>101</v>
      </c>
      <c r="AX263" s="698">
        <f>Sheet1!DA265-265</f>
        <v>99</v>
      </c>
      <c r="AY263" s="698">
        <f t="shared" si="492"/>
        <v>10.929728496463611</v>
      </c>
      <c r="AZ263" s="698">
        <v>0</v>
      </c>
      <c r="BA263" s="698">
        <f t="shared" si="493"/>
        <v>0</v>
      </c>
      <c r="BB263" s="560">
        <f t="shared" si="494"/>
        <v>715.52566666666689</v>
      </c>
      <c r="BC263" s="560"/>
      <c r="BD263" s="560">
        <f ca="1">IF(B263&gt;Summary!$A$1,#N/A,BB263*MGtoAF)</f>
        <v>2195.2327453333342</v>
      </c>
      <c r="BE263" s="560">
        <f>Sheet1!BG265+Sheet1!BH265+Sheet1!BI265-BM263</f>
        <v>2.02</v>
      </c>
      <c r="BF263" s="560">
        <f t="shared" si="495"/>
        <v>2.0246087154916723</v>
      </c>
      <c r="BG263" s="560">
        <f>IF(Sheet1!EP265="FM",BM263,0)</f>
        <v>0</v>
      </c>
      <c r="BH263" s="560">
        <f t="shared" si="496"/>
        <v>0</v>
      </c>
      <c r="BI263" s="560">
        <f>IF(Sheet1!EP265="OTHER",BM263,0)</f>
        <v>0</v>
      </c>
      <c r="BJ263" s="560">
        <f t="shared" si="497"/>
        <v>0</v>
      </c>
      <c r="BK263" s="560">
        <f t="shared" si="498"/>
        <v>2.02</v>
      </c>
      <c r="BL263" s="560">
        <f t="shared" si="499"/>
        <v>2.0246087154916723</v>
      </c>
      <c r="BM263" s="560">
        <f>IF(OR(Sheet1!EP265="FM", Sheet1!EP265="OTHER"),SUM(Sheet1!BG265:'Sheet1'!BI265),0)</f>
        <v>0</v>
      </c>
      <c r="BN263" s="545">
        <f>IF(AND($B263&gt;=$FV263,$B263&lt;=$FW263),MAX(BF263,Sheet1!EI265,0),MAX(BF263-(7/36)*$K263,0))</f>
        <v>2.0246087154916723</v>
      </c>
      <c r="BO263" s="560">
        <f t="shared" si="500"/>
        <v>0</v>
      </c>
      <c r="BP263" s="545">
        <f t="shared" si="501"/>
        <v>0</v>
      </c>
      <c r="BQ263" s="545">
        <f>IF(AND($O263&gt;0,Sheet1!EM265=1),(1-($O263-Sheet1!$L265)/$O263)*BL263,0)</f>
        <v>0</v>
      </c>
      <c r="BR263" s="545">
        <f>IF(AND(Sheet1!$L265=0,Sheet1!$L264=0, Calculation!BK263&lt;Sheet1!$EI265-0.1,Sheet1!$EI265=Sheet1!$EI264,Sheet1!$EI265=Sheet1!$EI266),Sheet1!$EI265,BL263-BQ263)</f>
        <v>2.0246087154916723</v>
      </c>
      <c r="BS263" s="560"/>
      <c r="BT263" s="560"/>
      <c r="BU263" s="560">
        <f t="shared" si="502"/>
        <v>178.36372799518622</v>
      </c>
      <c r="BV263" s="560"/>
      <c r="BW263" s="560">
        <f ca="1">IF(B263&gt;Summary!$A$1,#N/A,BU263*MGtoAF)</f>
        <v>547.21991748923131</v>
      </c>
      <c r="BX263" s="560">
        <f>Sheet1!BC265+Sheet1!BD265+Sheet1!BE265+Sheet1!BF265-CG263-CH263</f>
        <v>2</v>
      </c>
      <c r="BY263" s="560">
        <f t="shared" si="503"/>
        <v>2.0045630846452203</v>
      </c>
      <c r="BZ263" s="560">
        <f>IF(Sheet1!EQ265="FM",CH263,0)</f>
        <v>0</v>
      </c>
      <c r="CA263" s="560">
        <f t="shared" si="504"/>
        <v>0</v>
      </c>
      <c r="CB263" s="560">
        <f>IF(Sheet1!EQ265="OTHER",CH263,0)</f>
        <v>0</v>
      </c>
      <c r="CC263" s="560">
        <f t="shared" si="505"/>
        <v>0</v>
      </c>
      <c r="CD263" s="560">
        <f t="shared" si="506"/>
        <v>0</v>
      </c>
      <c r="CE263" s="560">
        <f t="shared" si="507"/>
        <v>2</v>
      </c>
      <c r="CF263" s="560">
        <f t="shared" si="508"/>
        <v>2.0045630846452203</v>
      </c>
      <c r="CG263" s="560">
        <f>IF(Sheet1!EQ265="CWA",SUM(Sheet1!BC265:'Sheet1'!BF265),0)</f>
        <v>0</v>
      </c>
      <c r="CH263" s="560">
        <f>IF(OR(Sheet1!EQ265="FM", Sheet1!EQ265="OTHER"),SUM(Sheet1!BC265:'Sheet1'!BF265),0)</f>
        <v>0</v>
      </c>
      <c r="CI263" s="545">
        <f>IF(AND($B263&gt;=$FV263,$B263&lt;=$FW263),MAX(CF263,Sheet1!EJ265,0),MAX(CF263-(7/36)*$K263,0))</f>
        <v>2.0045630846452203</v>
      </c>
      <c r="CJ263" s="560">
        <f t="shared" si="509"/>
        <v>0</v>
      </c>
      <c r="CK263" s="545">
        <f t="shared" si="510"/>
        <v>0</v>
      </c>
      <c r="CL263" s="545">
        <f>IF(AND($O263&gt;0,Sheet1!EN265=1),(1-($O263-Sheet1!$L265)/$O263)*CF263,0)</f>
        <v>0</v>
      </c>
      <c r="CM263" s="545">
        <f>IF(AND(Sheet1!$L265=0,Sheet1!$L264=0, Calculation!CE263&lt;Sheet1!EJ265-0.1,Sheet1!EJ265=Sheet1!EJ264,Sheet1!EJ265=Sheet1!EJ266),Sheet1!EJ265,CF263-CL263)</f>
        <v>2.0045630846452203</v>
      </c>
      <c r="CN263" s="545"/>
      <c r="CO263" s="560"/>
      <c r="CP263" s="560">
        <f t="shared" si="511"/>
        <v>274.51371655332389</v>
      </c>
      <c r="CQ263" s="560"/>
      <c r="CR263" s="560">
        <f ca="1">IF(B263&gt;Summary!$A$1,#N/A,CP263*MGtoAF)</f>
        <v>842.20808238559766</v>
      </c>
      <c r="CS263" s="560">
        <f>Sheet1!BK265+Sheet1!BL265+Sheet1!BM265-Sheet1!ER265-DA263</f>
        <v>9.01</v>
      </c>
      <c r="CT263" s="560">
        <f t="shared" si="512"/>
        <v>9.0305566963267161</v>
      </c>
      <c r="CU263" s="560">
        <f>IF(Sheet1!ER265="FM",DA263,0)</f>
        <v>0</v>
      </c>
      <c r="CV263" s="560">
        <f t="shared" si="513"/>
        <v>0</v>
      </c>
      <c r="CW263" s="560">
        <f>IF(Sheet1!ER265="OTHER",DA263,0)</f>
        <v>0</v>
      </c>
      <c r="CX263" s="560">
        <f t="shared" si="514"/>
        <v>0</v>
      </c>
      <c r="CY263" s="560">
        <f t="shared" si="515"/>
        <v>9.01</v>
      </c>
      <c r="CZ263" s="560">
        <f t="shared" si="516"/>
        <v>9.0305566963267161</v>
      </c>
      <c r="DA263" s="560">
        <f>IF(OR(Sheet1!ER265="FM", Sheet1!ER265="OTHER"),SUM(Sheet1!BK265:'Sheet1'!BM265),0)</f>
        <v>0</v>
      </c>
      <c r="DB263" s="545">
        <f>IF(AND($B263&gt;=$FV263,$B263&lt;=$FW263),MAX($CT263,Sheet1!EK265,0),MAX($CT263-(7/36)*$K263,0))</f>
        <v>9.0305566963267161</v>
      </c>
      <c r="DC263" s="560">
        <f t="shared" si="517"/>
        <v>0</v>
      </c>
      <c r="DD263" s="545">
        <f t="shared" si="518"/>
        <v>0</v>
      </c>
      <c r="DE263" s="545">
        <f>IF(AND($O263&gt;0,Sheet1!EO265=1),(1-($O263-Sheet1!$L265)/$O263)*CZ263,0)</f>
        <v>0</v>
      </c>
      <c r="DF263" s="545">
        <f>IF(AND(Sheet1!$L265=0,Sheet1!$L264=0, Calculation!CY263&lt;Sheet1!$EK265-0.1,Sheet1!$EK265=Sheet1!$EK264,Sheet1!$EK265=Sheet1!$EK266),Sheet1!$EK265,CZ263-DE263)</f>
        <v>9.0305566963267161</v>
      </c>
      <c r="DG263" s="545"/>
      <c r="DH263" s="560">
        <f t="shared" si="519"/>
        <v>13.03</v>
      </c>
      <c r="DI263" s="560">
        <f t="shared" si="520"/>
        <v>470.95992574698846</v>
      </c>
      <c r="DJ263" s="698">
        <f t="shared" si="521"/>
        <v>13.05972849646361</v>
      </c>
      <c r="DK263" s="560">
        <f ca="1">IF(B263&gt;Summary!$A$1,#N/A,DI263*MGtoAF)</f>
        <v>1444.9050521917607</v>
      </c>
      <c r="DL263" s="698">
        <f t="shared" si="522"/>
        <v>13.03</v>
      </c>
      <c r="DM263" s="560">
        <f t="shared" si="523"/>
        <v>43.83</v>
      </c>
      <c r="DN263" s="560">
        <f>Sheet1!AB265-DM263</f>
        <v>0.10000000000000142</v>
      </c>
      <c r="DO263" s="823">
        <f t="shared" si="524"/>
        <v>2.2815423226101171E-3</v>
      </c>
      <c r="DP263" s="560">
        <f>(VLOOKUP(Sheet1!DC265,hhdcap_wcm,4)-(((VLOOKUP(Sheet1!DC265,hhdcap_wcm,3)-Sheet1!DC265)/(VLOOKUP(Sheet1!DC265,hhdcap_wcm,3)-VLOOKUP(Sheet1!DC265,hhdcap_wcm,1)))*(VLOOKUP(Sheet1!DC265,hhdcap_wcm,4)-VLOOKUP(Sheet1!DC265,hhdcap_wcm,2))))</f>
        <v>32281.400000081521</v>
      </c>
      <c r="DQ263" s="560">
        <f t="shared" si="525"/>
        <v>-330.60000000131549</v>
      </c>
      <c r="DR263" s="560">
        <f t="shared" si="526"/>
        <v>-166.71709531079952</v>
      </c>
      <c r="DS263" s="560">
        <f>Sheet1!EA265*AFtoMG</f>
        <v>-326</v>
      </c>
      <c r="DT263" s="560">
        <f>Sheet1!EB265*AFtoMG</f>
        <v>0</v>
      </c>
      <c r="DU263" s="560">
        <f>Sheet1!EC265*AFtoMG</f>
        <v>0</v>
      </c>
      <c r="DV263" s="560">
        <f>Sheet1!ED265*AFtoMG</f>
        <v>0</v>
      </c>
      <c r="DW263" s="560">
        <f t="shared" si="527"/>
        <v>-326</v>
      </c>
      <c r="DX263" s="560">
        <f t="shared" si="528"/>
        <v>-1000.168</v>
      </c>
      <c r="DY263" s="560">
        <f t="shared" si="529"/>
        <v>1639.3630369621656</v>
      </c>
      <c r="DZ263" s="560">
        <f t="shared" si="530"/>
        <v>5029.5657973999241</v>
      </c>
      <c r="EA263" s="560"/>
      <c r="EB263" s="545">
        <f>IF(OR(B263&lt;FV263,B263&gt;FW263),(MIN(BF263+BY263+CT263+MAX(Sheet1!AA265+AQ263-73,0),K263)),0)</f>
        <v>0</v>
      </c>
      <c r="EC263" s="560"/>
      <c r="ED263" s="560">
        <f t="shared" si="531"/>
        <v>13.059728496463608</v>
      </c>
      <c r="EE263" s="560"/>
      <c r="EF263" s="560">
        <f>Sheet1!EH265+Sheet1!EI265+Sheet1!EJ265+Sheet1!EK265</f>
        <v>13</v>
      </c>
      <c r="EG263" s="560"/>
      <c r="EH263" s="545">
        <f t="shared" si="532"/>
        <v>0</v>
      </c>
      <c r="EI263" s="560">
        <f>IF(Sheet1!ET265=1,SUM('Calculations II'!AT263:BA263)+'Calculations II'!BC263+Sheet1!BV265+'Calculations II'!BE263+AP263,SUM('Calculations II'!AT263:BA263)+'Calculations II'!BC263+Sheet1!BV265+'Calculations II'!BE263+AP263)</f>
        <v>71.910736</v>
      </c>
      <c r="EJ263" s="560">
        <f>Sheet1!AA265+Sheet1!AB265+'Calculations II'!BC263</f>
        <v>75.13</v>
      </c>
      <c r="EK263" s="560"/>
      <c r="EL263" s="560"/>
      <c r="EM263" s="560">
        <f t="shared" si="533"/>
        <v>41891</v>
      </c>
      <c r="EN263" s="560">
        <f t="shared" si="534"/>
        <v>-13.05972849646361</v>
      </c>
      <c r="EO263" s="560">
        <f t="shared" si="535"/>
        <v>-20.203399984029204</v>
      </c>
      <c r="EP263" s="560">
        <v>0</v>
      </c>
      <c r="EQ263" s="560">
        <v>0</v>
      </c>
      <c r="ER263" s="560">
        <v>0</v>
      </c>
      <c r="ES263" s="545">
        <f t="shared" si="454"/>
        <v>0</v>
      </c>
      <c r="ET263" s="560">
        <f>-(VLOOKUP(Sheet1!BQ265,Lookup!$O$4:$Q$262,2)-VLOOKUP(Sheet1!BQ264,Lookup!$O$4:$Q$262,2))/1000000</f>
        <v>0</v>
      </c>
      <c r="EU263" s="560">
        <f>-(VLOOKUP(Sheet1!BR265,Lookup!$O$4:$Q$262,3)-VLOOKUP(Sheet1!BR264,Lookup!$O$4:$Q$262,3))/1000000</f>
        <v>0</v>
      </c>
      <c r="EV263" s="560"/>
      <c r="EW263" s="560"/>
      <c r="EX263" s="560"/>
      <c r="EY263" s="560"/>
      <c r="EZ263" s="560"/>
      <c r="FA263" s="560"/>
      <c r="FB263" s="560"/>
      <c r="FC263" s="560"/>
      <c r="FD263" s="594">
        <f t="shared" si="536"/>
        <v>1125.6249999999332</v>
      </c>
      <c r="FE263" s="594" t="e">
        <f t="shared" si="537"/>
        <v>#N/A</v>
      </c>
      <c r="FF263" s="595" t="e">
        <f t="shared" si="538"/>
        <v>#N/A</v>
      </c>
      <c r="FG263" s="596" t="s">
        <v>692</v>
      </c>
      <c r="FH263" s="596" t="s">
        <v>692</v>
      </c>
      <c r="FI263" s="594" t="e">
        <v>#N/A</v>
      </c>
      <c r="FJ263" s="778">
        <v>13750</v>
      </c>
      <c r="FK263" s="560"/>
      <c r="FL263" s="560"/>
      <c r="FM263" s="560"/>
      <c r="FN263" s="560"/>
      <c r="FO263" s="560">
        <f>O263+((Sheet1!CS265)*GPMtoMGD)</f>
        <v>75.13</v>
      </c>
      <c r="FP263" s="560">
        <f>IF(Sheet1!AA265+AQ263&lt;=Calculation!N263,AQ263,Calculation!N263-Sheet1!AA265)</f>
        <v>29.266621035820215</v>
      </c>
      <c r="FQ263" s="560">
        <f>(Sheet1!BP265+Sheet1!BO265)/694.4</f>
        <v>2.9218029953917055</v>
      </c>
      <c r="FR263" s="560"/>
      <c r="FS263" s="560"/>
      <c r="FT263" s="560"/>
      <c r="FU263" s="560"/>
      <c r="FV263" s="695">
        <f t="shared" si="455"/>
        <v>41827</v>
      </c>
      <c r="FW263" s="695">
        <f t="shared" si="456"/>
        <v>41934</v>
      </c>
      <c r="FX263" s="560"/>
      <c r="FY263" s="560"/>
      <c r="FZ263" s="560"/>
      <c r="GA263" s="560"/>
      <c r="GB263" s="560" t="str">
        <f t="shared" si="457"/>
        <v>n</v>
      </c>
      <c r="GC263" s="564">
        <f t="shared" si="458"/>
        <v>41691</v>
      </c>
      <c r="GD263" s="695">
        <f t="shared" si="459"/>
        <v>41807</v>
      </c>
      <c r="GE263" s="560">
        <v>6518.9</v>
      </c>
      <c r="GF263" s="695">
        <f t="shared" si="460"/>
        <v>41808</v>
      </c>
      <c r="GG263" s="560">
        <f t="shared" si="479"/>
        <v>3259</v>
      </c>
      <c r="GH263" s="564">
        <f t="shared" si="461"/>
        <v>41934</v>
      </c>
      <c r="GJ263" s="545">
        <f t="shared" si="462"/>
        <v>0</v>
      </c>
      <c r="GK263" s="560" t="str">
        <f t="shared" si="539"/>
        <v/>
      </c>
      <c r="GL263" s="560">
        <f t="shared" si="463"/>
        <v>0</v>
      </c>
      <c r="GM263" s="560" t="str">
        <f t="shared" si="464"/>
        <v/>
      </c>
      <c r="GN263" s="560">
        <f>IF(GK263="P",Lookup!$M$12,IF(GK263="PP",Lookup!$M$13,IF(GK263="PPP",Lookup!$M$14,IF(GK263="T",Lookup!$M$15,IF(GK263="TP",Lookup!$M$16,IF(GK263="TPP",Lookup!$M$17,IF(GK263="TPPP",Lookup!$M$18,0)))))))*GJ263</f>
        <v>0</v>
      </c>
      <c r="GO263" s="560">
        <f t="shared" si="465"/>
        <v>0</v>
      </c>
      <c r="GP263" s="560">
        <f t="shared" si="540"/>
        <v>2195.2327453333342</v>
      </c>
      <c r="GQ263" s="560">
        <f t="shared" si="473"/>
        <v>715.52566666666689</v>
      </c>
      <c r="GR263" s="560"/>
      <c r="GS263" s="560">
        <f t="shared" si="466"/>
        <v>0</v>
      </c>
      <c r="GT263" s="560" t="str">
        <f t="shared" si="467"/>
        <v/>
      </c>
      <c r="GU263" s="560">
        <f>IF(GK263="P",Lookup!$N$12,IF(GK263="PP",Lookup!$N$13,IF(GK263="PPP",Lookup!$N$14,IF(GK263="T",Lookup!$N$15,IF(GK263="TP",Lookup!$N$16,IF(GK263="TPP",Lookup!$N$17,IF(GK263="TPPP",Lookup!$N$18,0)))))))*GJ263</f>
        <v>0</v>
      </c>
      <c r="GV263" s="560">
        <f t="shared" si="468"/>
        <v>0</v>
      </c>
      <c r="GW263" s="560">
        <f t="shared" si="541"/>
        <v>547.21991748923131</v>
      </c>
      <c r="GX263" s="560">
        <f t="shared" si="474"/>
        <v>178.36372799518622</v>
      </c>
      <c r="GY263" s="560"/>
      <c r="GZ263" s="560">
        <f t="shared" si="469"/>
        <v>0</v>
      </c>
      <c r="HA263" s="560" t="str">
        <f t="shared" si="470"/>
        <v/>
      </c>
      <c r="HB263" s="560">
        <f>IF(GK263="P",Lookup!$N$12,IF(GK263="PP",Lookup!$N$13,IF(GK263="PPP",Lookup!$N$14,IF(GK263="T",Lookup!$N$15,IF(GK263="TP",Lookup!$N$16,IF(GK263="TPP",Lookup!$N$17,IF(GK263="TPPP",Lookup!$N$18,0)))))))*GJ263</f>
        <v>0</v>
      </c>
      <c r="HC263" s="545">
        <f t="shared" si="542"/>
        <v>0</v>
      </c>
      <c r="HD263" s="560">
        <f t="shared" si="543"/>
        <v>842.20808238559766</v>
      </c>
      <c r="HE263" s="560">
        <f t="shared" si="475"/>
        <v>274.51371655332389</v>
      </c>
      <c r="HF263" s="560"/>
      <c r="HG263" s="560">
        <f t="shared" si="471"/>
        <v>0</v>
      </c>
      <c r="HH263" s="560" t="str">
        <f t="shared" si="472"/>
        <v/>
      </c>
      <c r="HI263" s="560">
        <f>IF(GK263="P",Lookup!$N$12,IF(GK263="PP",Lookup!$N$13,IF(GK263="PPP",Lookup!$N$14,IF(GK263="T",Lookup!$N$15,IF(GK263="TP",Lookup!$N$16,IF(GK263="TPP",Lookup!$N$17,IF(GK263="TPPP",Lookup!$N$18,0)))))))*GJ263</f>
        <v>0</v>
      </c>
      <c r="HJ263" s="545">
        <f t="shared" si="544"/>
        <v>0</v>
      </c>
      <c r="HK263" s="560">
        <f t="shared" si="545"/>
        <v>1444.9050521917607</v>
      </c>
      <c r="HL263" s="560">
        <f t="shared" si="476"/>
        <v>470.95992574698846</v>
      </c>
    </row>
    <row r="264" spans="1:220">
      <c r="A264" s="580" t="s">
        <v>6</v>
      </c>
      <c r="B264" s="556">
        <v>41892</v>
      </c>
      <c r="C264" s="561">
        <v>0</v>
      </c>
      <c r="D264" s="529">
        <f t="shared" si="477"/>
        <v>200</v>
      </c>
      <c r="E264" s="529">
        <f t="shared" si="478"/>
        <v>400</v>
      </c>
      <c r="F264" s="529">
        <v>250</v>
      </c>
      <c r="G264" s="560">
        <f>DR264+Sheet1!CZ266</f>
        <v>186.34543620800821</v>
      </c>
      <c r="H264" s="914">
        <f t="shared" ref="H264:H327" si="546">MAX((G264-113-D264)*CFStoMGD,0)</f>
        <v>0</v>
      </c>
      <c r="I264" s="559">
        <f>MAX(Sheet1!Z266-AT264+(Sheet1!DA266-E264)*CFStoMGD,0)</f>
        <v>18.074000000000002</v>
      </c>
      <c r="J264" s="562">
        <f>IF(AND(B264&gt;=Calculation!GC264,B264&lt;=Calculation!GD264),IF(Sheet1!DB266&gt;=Calculation!D264,64.64,0),MAX(Sheet1!Z266-AT264+(Sheet1!DB266-D264)*CFStoMGD,0))</f>
        <v>69.139600000000002</v>
      </c>
      <c r="K264" s="904">
        <f t="shared" si="481"/>
        <v>0</v>
      </c>
      <c r="L264" s="560">
        <f>Sheet1!AA266+Sheet1!AB266-Sheet1!L266+(Sheet1!DA266-F264)*CFStoMGD</f>
        <v>146.804</v>
      </c>
      <c r="M264" s="560">
        <f t="shared" si="482"/>
        <v>122.86276376415364</v>
      </c>
      <c r="N264" s="910">
        <f>IF(Sheet1!DA266&gt;=F264,MIN(73,MIN(MAX(L264,0),MAX(M264,0))),0)</f>
        <v>73</v>
      </c>
      <c r="O264" s="563">
        <f>Sheet1!AA266+Sheet1!AB266</f>
        <v>75.7</v>
      </c>
      <c r="P264" s="563">
        <f t="shared" si="483"/>
        <v>117.1079</v>
      </c>
      <c r="Q264" s="898">
        <f t="shared" si="444"/>
        <v>62.684982014388495</v>
      </c>
      <c r="R264" s="829">
        <f t="shared" si="484"/>
        <v>13</v>
      </c>
      <c r="S264" s="898">
        <f t="shared" si="445"/>
        <v>0</v>
      </c>
      <c r="T264" s="898">
        <f t="shared" si="446"/>
        <v>0</v>
      </c>
      <c r="U264" s="898">
        <f t="shared" si="447"/>
        <v>13.015017985611511</v>
      </c>
      <c r="V264" s="898"/>
      <c r="W264" s="898">
        <f t="shared" si="448"/>
        <v>0</v>
      </c>
      <c r="X264" s="898">
        <f t="shared" si="449"/>
        <v>0</v>
      </c>
      <c r="Y264" s="898" t="str">
        <f t="shared" si="450"/>
        <v>FALSE</v>
      </c>
      <c r="Z264" s="898">
        <f t="shared" si="451"/>
        <v>75.7</v>
      </c>
      <c r="AA264" s="898">
        <f t="shared" si="452"/>
        <v>75.7</v>
      </c>
      <c r="AB264" s="898" t="str">
        <f t="shared" si="453"/>
        <v/>
      </c>
      <c r="AC264" s="563">
        <f>Sheet1!Y266*MGDtoCFS</f>
        <v>48.266399999999997</v>
      </c>
      <c r="AD264" s="563">
        <f>Sheet1!Z266*MGDtoCFS</f>
        <v>67.959710000000001</v>
      </c>
      <c r="AE264" s="563">
        <f>Sheet1!AA266*MGDtoCFS</f>
        <v>48.111699999999999</v>
      </c>
      <c r="AF264" s="563">
        <f>Sheet1!AB266*MGDtoCFS</f>
        <v>68.996200000000002</v>
      </c>
      <c r="AG264" s="563">
        <f>Sheet1!L266*MGDtoCFS</f>
        <v>0</v>
      </c>
      <c r="AH264" s="545">
        <f t="shared" si="485"/>
        <v>13.030845323741007</v>
      </c>
      <c r="AI264" s="560">
        <f t="shared" si="486"/>
        <v>20.158717715827336</v>
      </c>
      <c r="AJ264" s="560">
        <f t="shared" si="487"/>
        <v>0</v>
      </c>
      <c r="AK264" s="560">
        <f t="shared" si="488"/>
        <v>0</v>
      </c>
      <c r="AL264" s="560">
        <f>(VLOOKUP(Sheet1!DC266,hhdcap_wcm,4)-(((VLOOKUP(Sheet1!DC266,hhdcap_wcm,3)-Sheet1!DC266)/(VLOOKUP(Sheet1!DC266,hhdcap_wcm,3)-VLOOKUP(Sheet1!DC266,hhdcap_wcm,1)))*(VLOOKUP(Sheet1!DC266,hhdcap_wcm,4)-VLOOKUP(Sheet1!DC266,hhdcap_wcm,2))))</f>
        <v>31895.400000082001</v>
      </c>
      <c r="AM264" s="560">
        <f t="shared" si="489"/>
        <v>-385.99999999951979</v>
      </c>
      <c r="AN264" s="560">
        <f t="shared" si="490"/>
        <v>1626.3321916384243</v>
      </c>
      <c r="AO264" s="560">
        <f t="shared" si="491"/>
        <v>4989.5871639466859</v>
      </c>
      <c r="AP264" s="560">
        <f>Sheet1!BA266+Sheet1!BB266+Sheet1!BN266+CD264</f>
        <v>31.5</v>
      </c>
      <c r="AQ264" s="560">
        <f>Sheet1!BN266+(DO264*Sheet1!BN266)</f>
        <v>29.980665467625897</v>
      </c>
      <c r="AR264" s="560">
        <f>Sheet1!BA266+CD264</f>
        <v>0</v>
      </c>
      <c r="AS264" s="560">
        <f>Sheet1!BA266+Sheet1!BB266+CD264</f>
        <v>1.6</v>
      </c>
      <c r="AT264" s="698">
        <f>0</f>
        <v>0</v>
      </c>
      <c r="AU264" s="560">
        <f>IF(EB264&lt;K264,0,MAX(Sheet1!AA266+AQ264-15/36*K264-N264,Sheet1!EH266,0))</f>
        <v>0</v>
      </c>
      <c r="AV264" s="560">
        <f>IF(OR(B264&gt;=GD264,B264&lt;GC264),0,15/36*K264-MAX(0,64.6-(137.6-(Sheet1!AA266+Sheet1!AB266))))</f>
        <v>0</v>
      </c>
      <c r="AW264" s="698">
        <f>Sheet1!DB266-110</f>
        <v>129</v>
      </c>
      <c r="AX264" s="698">
        <f>Sheet1!DC258-265</f>
        <v>887.45</v>
      </c>
      <c r="AY264" s="698">
        <f t="shared" si="492"/>
        <v>10.315017985611505</v>
      </c>
      <c r="AZ264" s="698">
        <v>0</v>
      </c>
      <c r="BA264" s="698">
        <f t="shared" si="493"/>
        <v>0</v>
      </c>
      <c r="BB264" s="560">
        <f t="shared" si="494"/>
        <v>715.52566666666689</v>
      </c>
      <c r="BC264" s="560"/>
      <c r="BD264" s="560">
        <f ca="1">IF(B264&gt;Summary!$A$1,#N/A,BB264*MGtoAF)</f>
        <v>2195.2327453333342</v>
      </c>
      <c r="BE264" s="560">
        <f>Sheet1!BG266+Sheet1!BH266+Sheet1!BI266-BM264</f>
        <v>2.02</v>
      </c>
      <c r="BF264" s="560">
        <f t="shared" si="495"/>
        <v>2.0254496402877695</v>
      </c>
      <c r="BG264" s="560">
        <f>IF(Sheet1!EP266="FM",BM264,0)</f>
        <v>0</v>
      </c>
      <c r="BH264" s="560">
        <f t="shared" si="496"/>
        <v>0</v>
      </c>
      <c r="BI264" s="560">
        <f>IF(Sheet1!EP266="OTHER",BM264,0)</f>
        <v>0</v>
      </c>
      <c r="BJ264" s="560">
        <f t="shared" si="497"/>
        <v>0</v>
      </c>
      <c r="BK264" s="560">
        <f t="shared" si="498"/>
        <v>2.02</v>
      </c>
      <c r="BL264" s="560">
        <f t="shared" si="499"/>
        <v>2.0254496402877695</v>
      </c>
      <c r="BM264" s="560">
        <f>IF(OR(Sheet1!EP266="FM", Sheet1!EP266="OTHER"),SUM(Sheet1!BG266:'Sheet1'!BI266),0)</f>
        <v>0</v>
      </c>
      <c r="BN264" s="545">
        <f>IF(AND($B264&gt;=$FV264,$B264&lt;=$FW264),MAX(BF264,Sheet1!EI266,0),MAX(BF264-(7/36)*$K264,0))</f>
        <v>2.0254496402877695</v>
      </c>
      <c r="BO264" s="560">
        <f t="shared" si="500"/>
        <v>0</v>
      </c>
      <c r="BP264" s="545">
        <f t="shared" si="501"/>
        <v>0</v>
      </c>
      <c r="BQ264" s="545">
        <f>IF(AND($O264&gt;0,Sheet1!EM266=1),(1-($O264-Sheet1!$L266)/$O264)*BL264,0)</f>
        <v>0</v>
      </c>
      <c r="BR264" s="545">
        <f>IF(AND(Sheet1!$L266=0,Sheet1!$L265=0, Calculation!BK264&lt;Sheet1!$EI266-0.1,Sheet1!$EI266=Sheet1!$EI265,Sheet1!$EI266=Sheet1!$EI267),Sheet1!$EI266,BL264-BQ264)</f>
        <v>2.0254496402877695</v>
      </c>
      <c r="BS264" s="560"/>
      <c r="BT264" s="560"/>
      <c r="BU264" s="560">
        <f t="shared" si="502"/>
        <v>176.33827835489845</v>
      </c>
      <c r="BV264" s="560"/>
      <c r="BW264" s="560">
        <f ca="1">IF(B264&gt;Summary!$A$1,#N/A,BU264*MGtoAF)</f>
        <v>541.00583799282845</v>
      </c>
      <c r="BX264" s="560">
        <f>Sheet1!BC266+Sheet1!BD266+Sheet1!BE266+Sheet1!BF266-CG264-CH264</f>
        <v>2</v>
      </c>
      <c r="BY264" s="560">
        <f t="shared" si="503"/>
        <v>2.0053956834532372</v>
      </c>
      <c r="BZ264" s="560">
        <f>IF(Sheet1!EQ266="FM",CH264,0)</f>
        <v>0</v>
      </c>
      <c r="CA264" s="560">
        <f t="shared" si="504"/>
        <v>0</v>
      </c>
      <c r="CB264" s="560">
        <f>IF(Sheet1!EQ266="OTHER",CH264,0)</f>
        <v>0</v>
      </c>
      <c r="CC264" s="560">
        <f t="shared" si="505"/>
        <v>0</v>
      </c>
      <c r="CD264" s="560">
        <f t="shared" si="506"/>
        <v>0</v>
      </c>
      <c r="CE264" s="560">
        <f t="shared" si="507"/>
        <v>2</v>
      </c>
      <c r="CF264" s="560">
        <f t="shared" si="508"/>
        <v>2.0053956834532372</v>
      </c>
      <c r="CG264" s="560">
        <f>IF(Sheet1!EQ266="CWA",SUM(Sheet1!BC266:'Sheet1'!BF266),0)</f>
        <v>0</v>
      </c>
      <c r="CH264" s="560">
        <f>IF(OR(Sheet1!EQ266="FM", Sheet1!EQ266="OTHER"),SUM(Sheet1!BC266:'Sheet1'!BF266),0)</f>
        <v>0</v>
      </c>
      <c r="CI264" s="545">
        <f>IF(AND($B264&gt;=$FV264,$B264&lt;=$FW264),MAX(CF264,Sheet1!EJ266,0),MAX(CF264-(7/36)*$K264,0))</f>
        <v>2.0053956834532372</v>
      </c>
      <c r="CJ264" s="560">
        <f t="shared" si="509"/>
        <v>0</v>
      </c>
      <c r="CK264" s="545">
        <f t="shared" si="510"/>
        <v>0</v>
      </c>
      <c r="CL264" s="545">
        <f>IF(AND($O264&gt;0,Sheet1!EN266=1),(1-($O264-Sheet1!$L266)/$O264)*CF264,0)</f>
        <v>0</v>
      </c>
      <c r="CM264" s="545">
        <f>IF(AND(Sheet1!$L266=0,Sheet1!$L265=0, Calculation!CE264&lt;Sheet1!EJ266-0.1,Sheet1!EJ266=Sheet1!EJ265,Sheet1!EJ266=Sheet1!EJ267),Sheet1!EJ266,CF264-CL264)</f>
        <v>2.0053956834532372</v>
      </c>
      <c r="CN264" s="545"/>
      <c r="CO264" s="560"/>
      <c r="CP264" s="560">
        <f t="shared" si="511"/>
        <v>272.50832086987066</v>
      </c>
      <c r="CQ264" s="560"/>
      <c r="CR264" s="560">
        <f ca="1">IF(B264&gt;Summary!$A$1,#N/A,CP264*MGtoAF)</f>
        <v>836.05552842876318</v>
      </c>
      <c r="CS264" s="560">
        <f>Sheet1!BK266+Sheet1!BL266+Sheet1!BM266-Sheet1!ER266-DA264</f>
        <v>8.9600000000000009</v>
      </c>
      <c r="CT264" s="560">
        <f t="shared" si="512"/>
        <v>8.9841726618705042</v>
      </c>
      <c r="CU264" s="560">
        <f>IF(Sheet1!ER266="FM",DA264,0)</f>
        <v>0</v>
      </c>
      <c r="CV264" s="560">
        <f t="shared" si="513"/>
        <v>0</v>
      </c>
      <c r="CW264" s="560">
        <f>IF(Sheet1!ER266="OTHER",DA264,0)</f>
        <v>0</v>
      </c>
      <c r="CX264" s="560">
        <f t="shared" si="514"/>
        <v>0</v>
      </c>
      <c r="CY264" s="560">
        <f t="shared" si="515"/>
        <v>8.9600000000000009</v>
      </c>
      <c r="CZ264" s="560">
        <f t="shared" si="516"/>
        <v>8.9841726618705042</v>
      </c>
      <c r="DA264" s="560">
        <f>IF(OR(Sheet1!ER266="FM", Sheet1!ER266="OTHER"),SUM(Sheet1!BK266:'Sheet1'!BM266),0)</f>
        <v>0</v>
      </c>
      <c r="DB264" s="545">
        <f>IF(AND($B264&gt;=$FV264,$B264&lt;=$FW264),MAX($CT264,Sheet1!EK266,0),MAX($CT264-(7/36)*$K264,0))</f>
        <v>9</v>
      </c>
      <c r="DC264" s="560">
        <f t="shared" si="517"/>
        <v>0</v>
      </c>
      <c r="DD264" s="545">
        <f t="shared" si="518"/>
        <v>0</v>
      </c>
      <c r="DE264" s="545">
        <f>IF(AND($O264&gt;0,Sheet1!EO266=1),(1-($O264-Sheet1!$L266)/$O264)*CZ264,0)</f>
        <v>0</v>
      </c>
      <c r="DF264" s="545">
        <f>IF(AND(Sheet1!$L266=0,Sheet1!$L265=0, Calculation!CY264&lt;Sheet1!$EK266-0.1,Sheet1!$EK266=Sheet1!$EK265,Sheet1!$EK266=Sheet1!$EK267),Sheet1!$EK266,CZ264-DE264)</f>
        <v>8.9841726618705042</v>
      </c>
      <c r="DG264" s="545"/>
      <c r="DH264" s="560">
        <f t="shared" si="519"/>
        <v>12.98</v>
      </c>
      <c r="DI264" s="560">
        <f t="shared" si="520"/>
        <v>461.95992574698846</v>
      </c>
      <c r="DJ264" s="698">
        <f t="shared" si="521"/>
        <v>13.015017985611511</v>
      </c>
      <c r="DK264" s="560">
        <f ca="1">IF(B264&gt;Summary!$A$1,#N/A,DI264*MGtoAF)</f>
        <v>1417.2930521917606</v>
      </c>
      <c r="DL264" s="698">
        <f t="shared" si="522"/>
        <v>12.98</v>
      </c>
      <c r="DM264" s="560">
        <f t="shared" si="523"/>
        <v>44.480000000000004</v>
      </c>
      <c r="DN264" s="560">
        <f>Sheet1!AB266-DM264</f>
        <v>0.11999999999999744</v>
      </c>
      <c r="DO264" s="823">
        <f t="shared" si="524"/>
        <v>2.6978417266186475E-3</v>
      </c>
      <c r="DP264" s="560">
        <f>(VLOOKUP(Sheet1!DC266,hhdcap_wcm,4)-(((VLOOKUP(Sheet1!DC266,hhdcap_wcm,3)-Sheet1!DC266)/(VLOOKUP(Sheet1!DC266,hhdcap_wcm,3)-VLOOKUP(Sheet1!DC266,hhdcap_wcm,1)))*(VLOOKUP(Sheet1!DC266,hhdcap_wcm,4)-VLOOKUP(Sheet1!DC266,hhdcap_wcm,2))))</f>
        <v>31895.400000082001</v>
      </c>
      <c r="DQ264" s="560">
        <f t="shared" si="525"/>
        <v>-385.99999999951979</v>
      </c>
      <c r="DR264" s="560">
        <f t="shared" si="526"/>
        <v>-194.65456379199179</v>
      </c>
      <c r="DS264" s="560">
        <f>Sheet1!EA266*AFtoMG</f>
        <v>0</v>
      </c>
      <c r="DT264" s="560">
        <f>Sheet1!EB266*AFtoMG</f>
        <v>0</v>
      </c>
      <c r="DU264" s="560">
        <f>Sheet1!EC266*AFtoMG</f>
        <v>0</v>
      </c>
      <c r="DV264" s="560">
        <f>Sheet1!ED266*AFtoMG</f>
        <v>0</v>
      </c>
      <c r="DW264" s="560">
        <f t="shared" si="527"/>
        <v>0</v>
      </c>
      <c r="DX264" s="560">
        <f t="shared" si="528"/>
        <v>0</v>
      </c>
      <c r="DY264" s="560">
        <f t="shared" si="529"/>
        <v>1626.3321916384243</v>
      </c>
      <c r="DZ264" s="560">
        <f t="shared" si="530"/>
        <v>4989.5871639466859</v>
      </c>
      <c r="EA264" s="560"/>
      <c r="EB264" s="545">
        <f>IF(OR(B264&lt;FV264,B264&gt;FW264),(MIN(BF264+BY264+CT264+MAX(Sheet1!AA266+AQ264-73,0),K264)),0)</f>
        <v>0</v>
      </c>
      <c r="EC264" s="560"/>
      <c r="ED264" s="560">
        <f t="shared" si="531"/>
        <v>13.015017985611511</v>
      </c>
      <c r="EE264" s="560"/>
      <c r="EF264" s="560">
        <f>Sheet1!EH266+Sheet1!EI266+Sheet1!EJ266+Sheet1!EK266</f>
        <v>13</v>
      </c>
      <c r="EG264" s="560"/>
      <c r="EH264" s="545">
        <f t="shared" si="532"/>
        <v>0</v>
      </c>
      <c r="EI264" s="560">
        <f>IF(Sheet1!ET266=1,SUM('Calculations II'!AT264:BA264)+'Calculations II'!BC264+Sheet1!BV266+'Calculations II'!BE264+AP264,SUM('Calculations II'!AT264:BA264)+'Calculations II'!BC264+Sheet1!BV266+'Calculations II'!BE264+AP264)</f>
        <v>76.277792000000005</v>
      </c>
      <c r="EJ264" s="560">
        <f>Sheet1!AA266+Sheet1!AB266+'Calculations II'!BC264</f>
        <v>75.7</v>
      </c>
      <c r="EK264" s="560"/>
      <c r="EL264" s="560"/>
      <c r="EM264" s="560">
        <f t="shared" si="533"/>
        <v>41892</v>
      </c>
      <c r="EN264" s="560">
        <f t="shared" si="534"/>
        <v>-13.030845323741007</v>
      </c>
      <c r="EO264" s="560">
        <f t="shared" si="535"/>
        <v>-20.158717715827336</v>
      </c>
      <c r="EP264" s="560">
        <v>0</v>
      </c>
      <c r="EQ264" s="560">
        <v>0</v>
      </c>
      <c r="ER264" s="560">
        <v>0</v>
      </c>
      <c r="ES264" s="545">
        <f t="shared" si="454"/>
        <v>3.0478635259325246</v>
      </c>
      <c r="ET264" s="560">
        <f>-(VLOOKUP(Sheet1!BQ266,Lookup!$O$4:$Q$262,2)-VLOOKUP(Sheet1!BQ265,Lookup!$O$4:$Q$262,2))/1000000</f>
        <v>1.5238965106065832</v>
      </c>
      <c r="EU264" s="560">
        <f>-(VLOOKUP(Sheet1!BR266,Lookup!$O$4:$Q$262,3)-VLOOKUP(Sheet1!BR265,Lookup!$O$4:$Q$262,3))/1000000</f>
        <v>1.5239670153259413</v>
      </c>
      <c r="EV264" s="560"/>
      <c r="EW264" s="560"/>
      <c r="EX264" s="560"/>
      <c r="EY264" s="560"/>
      <c r="EZ264" s="560"/>
      <c r="FA264" s="560"/>
      <c r="FB264" s="560"/>
      <c r="FC264" s="560"/>
      <c r="FD264" s="594">
        <f t="shared" si="536"/>
        <v>1125.2057692307026</v>
      </c>
      <c r="FE264" s="594" t="e">
        <f t="shared" si="537"/>
        <v>#N/A</v>
      </c>
      <c r="FF264" s="595" t="e">
        <f t="shared" si="538"/>
        <v>#N/A</v>
      </c>
      <c r="FG264" s="596" t="s">
        <v>692</v>
      </c>
      <c r="FH264" s="596" t="s">
        <v>692</v>
      </c>
      <c r="FI264" s="594" t="e">
        <v>#N/A</v>
      </c>
      <c r="FJ264" s="778">
        <v>13533</v>
      </c>
      <c r="FK264" s="560"/>
      <c r="FL264" s="560"/>
      <c r="FM264" s="560"/>
      <c r="FN264" s="560"/>
      <c r="FO264" s="560">
        <f>O264+((Sheet1!CS266)*GPMtoMGD)</f>
        <v>75.7</v>
      </c>
      <c r="FP264" s="560">
        <f>IF(Sheet1!AA266+AQ264&lt;=Calculation!N264,AQ264,Calculation!N264-Sheet1!AA266)</f>
        <v>29.980665467625897</v>
      </c>
      <c r="FQ264" s="560">
        <f>(Sheet1!BP266+Sheet1!BO266)/694.4</f>
        <v>2.8234447004608296</v>
      </c>
      <c r="FR264" s="560"/>
      <c r="FS264" s="560"/>
      <c r="FT264" s="560"/>
      <c r="FU264" s="560"/>
      <c r="FV264" s="695">
        <f t="shared" si="455"/>
        <v>41827</v>
      </c>
      <c r="FW264" s="695">
        <f t="shared" si="456"/>
        <v>41934</v>
      </c>
      <c r="FX264" s="560"/>
      <c r="FY264" s="560"/>
      <c r="FZ264" s="560"/>
      <c r="GA264" s="560"/>
      <c r="GB264" s="560" t="str">
        <f t="shared" si="457"/>
        <v>n</v>
      </c>
      <c r="GC264" s="564">
        <f t="shared" si="458"/>
        <v>41691</v>
      </c>
      <c r="GD264" s="695">
        <f t="shared" si="459"/>
        <v>41807</v>
      </c>
      <c r="GE264" s="560">
        <v>6518.9</v>
      </c>
      <c r="GF264" s="695">
        <f t="shared" si="460"/>
        <v>41808</v>
      </c>
      <c r="GG264" s="560">
        <f t="shared" si="479"/>
        <v>3259</v>
      </c>
      <c r="GH264" s="564">
        <f t="shared" si="461"/>
        <v>41934</v>
      </c>
      <c r="GJ264" s="545">
        <f t="shared" si="462"/>
        <v>0</v>
      </c>
      <c r="GK264" s="560" t="str">
        <f t="shared" si="539"/>
        <v/>
      </c>
      <c r="GL264" s="560">
        <f t="shared" si="463"/>
        <v>0</v>
      </c>
      <c r="GM264" s="560" t="str">
        <f t="shared" si="464"/>
        <v/>
      </c>
      <c r="GN264" s="560">
        <f>IF(GK264="P",Lookup!$M$12,IF(GK264="PP",Lookup!$M$13,IF(GK264="PPP",Lookup!$M$14,IF(GK264="T",Lookup!$M$15,IF(GK264="TP",Lookup!$M$16,IF(GK264="TPP",Lookup!$M$17,IF(GK264="TPPP",Lookup!$M$18,0)))))))*GJ264</f>
        <v>0</v>
      </c>
      <c r="GO264" s="560">
        <f t="shared" si="465"/>
        <v>0</v>
      </c>
      <c r="GP264" s="560">
        <f t="shared" si="540"/>
        <v>2195.2327453333342</v>
      </c>
      <c r="GQ264" s="560">
        <f t="shared" si="473"/>
        <v>715.52566666666689</v>
      </c>
      <c r="GR264" s="560"/>
      <c r="GS264" s="560">
        <f t="shared" si="466"/>
        <v>0</v>
      </c>
      <c r="GT264" s="560" t="str">
        <f t="shared" si="467"/>
        <v/>
      </c>
      <c r="GU264" s="560">
        <f>IF(GK264="P",Lookup!$N$12,IF(GK264="PP",Lookup!$N$13,IF(GK264="PPP",Lookup!$N$14,IF(GK264="T",Lookup!$N$15,IF(GK264="TP",Lookup!$N$16,IF(GK264="TPP",Lookup!$N$17,IF(GK264="TPPP",Lookup!$N$18,0)))))))*GJ264</f>
        <v>0</v>
      </c>
      <c r="GV264" s="560">
        <f t="shared" si="468"/>
        <v>0</v>
      </c>
      <c r="GW264" s="560">
        <f t="shared" si="541"/>
        <v>541.00583799282845</v>
      </c>
      <c r="GX264" s="560">
        <f t="shared" si="474"/>
        <v>176.33827835489845</v>
      </c>
      <c r="GY264" s="560"/>
      <c r="GZ264" s="560">
        <f t="shared" si="469"/>
        <v>0</v>
      </c>
      <c r="HA264" s="560" t="str">
        <f t="shared" si="470"/>
        <v/>
      </c>
      <c r="HB264" s="560">
        <f>IF(GK264="P",Lookup!$N$12,IF(GK264="PP",Lookup!$N$13,IF(GK264="PPP",Lookup!$N$14,IF(GK264="T",Lookup!$N$15,IF(GK264="TP",Lookup!$N$16,IF(GK264="TPP",Lookup!$N$17,IF(GK264="TPPP",Lookup!$N$18,0)))))))*GJ264</f>
        <v>0</v>
      </c>
      <c r="HC264" s="545">
        <f t="shared" si="542"/>
        <v>0</v>
      </c>
      <c r="HD264" s="560">
        <f t="shared" si="543"/>
        <v>836.05552842876318</v>
      </c>
      <c r="HE264" s="560">
        <f t="shared" si="475"/>
        <v>272.50832086987066</v>
      </c>
      <c r="HF264" s="560"/>
      <c r="HG264" s="560">
        <f t="shared" si="471"/>
        <v>0</v>
      </c>
      <c r="HH264" s="560" t="str">
        <f t="shared" si="472"/>
        <v/>
      </c>
      <c r="HI264" s="560">
        <f>IF(GK264="P",Lookup!$N$12,IF(GK264="PP",Lookup!$N$13,IF(GK264="PPP",Lookup!$N$14,IF(GK264="T",Lookup!$N$15,IF(GK264="TP",Lookup!$N$16,IF(GK264="TPP",Lookup!$N$17,IF(GK264="TPPP",Lookup!$N$18,0)))))))*GJ264</f>
        <v>0</v>
      </c>
      <c r="HJ264" s="545">
        <f t="shared" si="544"/>
        <v>0</v>
      </c>
      <c r="HK264" s="560">
        <f t="shared" si="545"/>
        <v>1417.2930521917606</v>
      </c>
      <c r="HL264" s="560">
        <f t="shared" si="476"/>
        <v>461.95992574698846</v>
      </c>
    </row>
    <row r="265" spans="1:220">
      <c r="A265" s="580" t="s">
        <v>7</v>
      </c>
      <c r="B265" s="556">
        <v>41893</v>
      </c>
      <c r="C265" s="561">
        <v>0</v>
      </c>
      <c r="D265" s="529">
        <f t="shared" si="477"/>
        <v>200</v>
      </c>
      <c r="E265" s="529">
        <f t="shared" si="478"/>
        <v>400</v>
      </c>
      <c r="F265" s="529">
        <v>250</v>
      </c>
      <c r="G265" s="560">
        <f>DR265+Sheet1!CZ267</f>
        <v>173.30912758391432</v>
      </c>
      <c r="H265" s="914">
        <f t="shared" si="546"/>
        <v>0</v>
      </c>
      <c r="I265" s="559">
        <f>MAX(Sheet1!Z267-AT265+(Sheet1!DA267-E265)*CFStoMGD,0)</f>
        <v>30.379200000000004</v>
      </c>
      <c r="J265" s="562">
        <f>IF(AND(B265&gt;=Calculation!GC265,B265&lt;=Calculation!GD265),IF(Sheet1!DB267&gt;=Calculation!D265,64.64,0),MAX(Sheet1!Z267-AT265+(Sheet1!DB267-D265)*CFStoMGD,0))</f>
        <v>65.931200000000004</v>
      </c>
      <c r="K265" s="904">
        <f t="shared" si="481"/>
        <v>0</v>
      </c>
      <c r="L265" s="560">
        <f>Sheet1!AA267+Sheet1!AB267-Sheet1!L267+(Sheet1!DA267-F265)*CFStoMGD</f>
        <v>160.28919999999999</v>
      </c>
      <c r="M265" s="560">
        <f t="shared" si="482"/>
        <v>114.26756047164706</v>
      </c>
      <c r="N265" s="910">
        <f>IF(Sheet1!DA267&gt;=F265,MIN(73,MIN(MAX(L265,0),MAX(M265,0))),0)</f>
        <v>73</v>
      </c>
      <c r="O265" s="563">
        <f>Sheet1!AA267+Sheet1!AB267</f>
        <v>77.55</v>
      </c>
      <c r="P265" s="563">
        <f t="shared" si="483"/>
        <v>119.96984999999998</v>
      </c>
      <c r="Q265" s="898">
        <f t="shared" ref="Q265:Q328" si="547">IF(OR(Y265="FALSE",AND(B265&gt;=FV265,B265&lt;=FW265)),O265-S265-U265,0)</f>
        <v>64.55</v>
      </c>
      <c r="R265" s="829">
        <f t="shared" si="484"/>
        <v>13</v>
      </c>
      <c r="S265" s="898">
        <f t="shared" ref="S265:S318" si="548">IF(OR(B265&lt;GC265,B265&gt;GH265),MIN(O265,K265),IF(AND(B265&gt;=FV265,B265&lt;=FW265),0,IF(AND(B265&gt;=GC265,B265&lt;=GD265),DL265,IF(AND(B265&gt;GD265,B265&lt;FV265),MIN(K265,O265),0))))</f>
        <v>0</v>
      </c>
      <c r="T265" s="898">
        <f t="shared" ref="T265:T328" si="549">IF(OR(B265&lt;GC265,B265&gt;GD265),0, K265-DL265)</f>
        <v>0</v>
      </c>
      <c r="U265" s="898">
        <f t="shared" ref="U265:U328" si="550">IF(AND(B265&gt;=FV265,B265&lt;=FW265),MAX(EF265,ED265),0)</f>
        <v>13</v>
      </c>
      <c r="V265" s="898"/>
      <c r="W265" s="898">
        <f t="shared" ref="W265:W328" si="551">MAX(K265-DJ265,0)</f>
        <v>0</v>
      </c>
      <c r="X265" s="898">
        <f t="shared" ref="X265:X328" si="552">S265+T265</f>
        <v>0</v>
      </c>
      <c r="Y265" s="898" t="str">
        <f t="shared" ref="Y265:Y328" si="553">IF(OR(O265&gt;K265,AND(B265&gt;=GC265,B265&lt;=GD265),), "FALSE","")</f>
        <v>FALSE</v>
      </c>
      <c r="Z265" s="898">
        <f t="shared" ref="Z265:Z328" si="554">O265</f>
        <v>77.55</v>
      </c>
      <c r="AA265" s="898">
        <f t="shared" ref="AA265:AA328" si="555">Q265+S265+U265</f>
        <v>77.55</v>
      </c>
      <c r="AB265" s="898" t="str">
        <f t="shared" ref="AB265:AB328" si="556">IF(OR(Z265-AA265&lt;-0.1,Z265-AA265&gt;0.1),"BAD ENGINEER","")</f>
        <v/>
      </c>
      <c r="AC265" s="563">
        <f>Sheet1!Y267*MGDtoCFS</f>
        <v>48.111699999999999</v>
      </c>
      <c r="AD265" s="563">
        <f>Sheet1!Z267*MGDtoCFS</f>
        <v>68.996200000000002</v>
      </c>
      <c r="AE265" s="563">
        <f>Sheet1!AA267*MGDtoCFS</f>
        <v>47.957000000000001</v>
      </c>
      <c r="AF265" s="563">
        <f>Sheet1!AB267*MGDtoCFS</f>
        <v>72.012849999999986</v>
      </c>
      <c r="AG265" s="563">
        <f>Sheet1!L267*MGDtoCFS</f>
        <v>0</v>
      </c>
      <c r="AH265" s="545">
        <f t="shared" si="485"/>
        <v>13</v>
      </c>
      <c r="AI265" s="560">
        <f t="shared" si="486"/>
        <v>20.111000000000001</v>
      </c>
      <c r="AJ265" s="560">
        <f t="shared" si="487"/>
        <v>0</v>
      </c>
      <c r="AK265" s="560">
        <f t="shared" si="488"/>
        <v>0</v>
      </c>
      <c r="AL265" s="560">
        <f>(VLOOKUP(Sheet1!DC267,hhdcap_wcm,4)-(((VLOOKUP(Sheet1!DC267,hhdcap_wcm,3)-Sheet1!DC267)/(VLOOKUP(Sheet1!DC267,hhdcap_wcm,3)-VLOOKUP(Sheet1!DC267,hhdcap_wcm,1)))*(VLOOKUP(Sheet1!DC267,hhdcap_wcm,4)-VLOOKUP(Sheet1!DC267,hhdcap_wcm,2))))</f>
        <v>31477.600000080904</v>
      </c>
      <c r="AM265" s="560">
        <f t="shared" si="489"/>
        <v>-417.80000000109794</v>
      </c>
      <c r="AN265" s="560">
        <f t="shared" si="490"/>
        <v>1613.3321916384243</v>
      </c>
      <c r="AO265" s="560">
        <f t="shared" si="491"/>
        <v>4949.7031639466859</v>
      </c>
      <c r="AP265" s="560">
        <f>Sheet1!BA267+Sheet1!BB267+Sheet1!BN267+CD265</f>
        <v>34.51</v>
      </c>
      <c r="AQ265" s="560">
        <f>Sheet1!BN267+(DO265*Sheet1!BN267)</f>
        <v>32.208096740273398</v>
      </c>
      <c r="AR265" s="560">
        <f>Sheet1!BA267+CD265</f>
        <v>0</v>
      </c>
      <c r="AS265" s="560">
        <f>Sheet1!BA267+Sheet1!BB267+CD265</f>
        <v>1.61</v>
      </c>
      <c r="AT265" s="698">
        <f>0</f>
        <v>0</v>
      </c>
      <c r="AU265" s="560">
        <f>IF(EB265&lt;K265,0,MAX(Sheet1!AA267+AQ265-15/36*K265-N265,Sheet1!EH267,0))</f>
        <v>0</v>
      </c>
      <c r="AV265" s="560">
        <f>IF(OR(B265&gt;=GD265,B265&lt;GC265),0,15/36*K265-MAX(0,64.6-(137.6-(Sheet1!AA267+Sheet1!AB267))))</f>
        <v>0</v>
      </c>
      <c r="AW265" s="698">
        <f>Sheet1!DB267-110</f>
        <v>123</v>
      </c>
      <c r="AX265" s="698">
        <f>Sheet1!DA267-265</f>
        <v>113</v>
      </c>
      <c r="AY265" s="698">
        <f t="shared" si="492"/>
        <v>8.4500000000000028</v>
      </c>
      <c r="AZ265" s="698">
        <v>0</v>
      </c>
      <c r="BA265" s="698">
        <f t="shared" si="493"/>
        <v>0</v>
      </c>
      <c r="BB265" s="560">
        <f t="shared" si="494"/>
        <v>715.52566666666689</v>
      </c>
      <c r="BC265" s="560"/>
      <c r="BD265" s="560">
        <f ca="1">IF(B265&gt;Summary!$A$1,#N/A,BB265*MGtoAF)</f>
        <v>2195.2327453333342</v>
      </c>
      <c r="BE265" s="560">
        <f>Sheet1!BG267+Sheet1!BH267+Sheet1!BI267-BM265</f>
        <v>2.02</v>
      </c>
      <c r="BF265" s="560">
        <f t="shared" si="495"/>
        <v>1.9775184016824396</v>
      </c>
      <c r="BG265" s="560">
        <f>IF(Sheet1!EP267="FM",BM265,0)</f>
        <v>0</v>
      </c>
      <c r="BH265" s="560">
        <f t="shared" si="496"/>
        <v>0</v>
      </c>
      <c r="BI265" s="560">
        <f>IF(Sheet1!EP267="OTHER",BM265,0)</f>
        <v>0</v>
      </c>
      <c r="BJ265" s="560">
        <f t="shared" si="497"/>
        <v>0</v>
      </c>
      <c r="BK265" s="560">
        <f t="shared" si="498"/>
        <v>2.02</v>
      </c>
      <c r="BL265" s="560">
        <f t="shared" si="499"/>
        <v>1.9775184016824396</v>
      </c>
      <c r="BM265" s="560">
        <f>IF(OR(Sheet1!EP267="FM", Sheet1!EP267="OTHER"),SUM(Sheet1!BG267:'Sheet1'!BI267),0)</f>
        <v>0</v>
      </c>
      <c r="BN265" s="545">
        <f>IF(AND($B265&gt;=$FV265,$B265&lt;=$FW265),MAX(BF265,Sheet1!EI267,0),MAX(BF265-(7/36)*$K265,0))</f>
        <v>2</v>
      </c>
      <c r="BO265" s="560">
        <f t="shared" si="500"/>
        <v>0</v>
      </c>
      <c r="BP265" s="545">
        <f t="shared" si="501"/>
        <v>0</v>
      </c>
      <c r="BQ265" s="545">
        <f>IF(AND($O265&gt;0,Sheet1!EM267=1),(1-($O265-Sheet1!$L267)/$O265)*BL265,0)</f>
        <v>0</v>
      </c>
      <c r="BR265" s="545">
        <f>IF(AND(Sheet1!$L267=0,Sheet1!$L266=0, Calculation!BK265&lt;Sheet1!$EI267-0.1,Sheet1!$EI267=Sheet1!$EI266,Sheet1!$EI267=Sheet1!$EI268),Sheet1!$EI267,BL265-BQ265)</f>
        <v>1.9775184016824396</v>
      </c>
      <c r="BS265" s="560"/>
      <c r="BT265" s="560"/>
      <c r="BU265" s="560">
        <f t="shared" si="502"/>
        <v>174.33827835489845</v>
      </c>
      <c r="BV265" s="560"/>
      <c r="BW265" s="560">
        <f ca="1">IF(B265&gt;Summary!$A$1,#N/A,BU265*MGtoAF)</f>
        <v>534.86983799282848</v>
      </c>
      <c r="BX265" s="560">
        <f>Sheet1!BC267+Sheet1!BD267+Sheet1!BE267+Sheet1!BF267-CG265-CH265</f>
        <v>1.98</v>
      </c>
      <c r="BY265" s="560">
        <f t="shared" si="503"/>
        <v>1.9383596214511041</v>
      </c>
      <c r="BZ265" s="560">
        <f>IF(Sheet1!EQ267="FM",CH265,0)</f>
        <v>0</v>
      </c>
      <c r="CA265" s="560">
        <f t="shared" si="504"/>
        <v>0</v>
      </c>
      <c r="CB265" s="560">
        <f>IF(Sheet1!EQ267="OTHER",CH265,0)</f>
        <v>0</v>
      </c>
      <c r="CC265" s="560">
        <f t="shared" si="505"/>
        <v>0</v>
      </c>
      <c r="CD265" s="560">
        <f t="shared" si="506"/>
        <v>0</v>
      </c>
      <c r="CE265" s="560">
        <f t="shared" si="507"/>
        <v>1.98</v>
      </c>
      <c r="CF265" s="560">
        <f t="shared" si="508"/>
        <v>1.9383596214511041</v>
      </c>
      <c r="CG265" s="560">
        <f>IF(Sheet1!EQ267="CWA",SUM(Sheet1!BC267:'Sheet1'!BF267),0)</f>
        <v>0</v>
      </c>
      <c r="CH265" s="560">
        <f>IF(OR(Sheet1!EQ267="FM", Sheet1!EQ267="OTHER"),SUM(Sheet1!BC267:'Sheet1'!BF267),0)</f>
        <v>0</v>
      </c>
      <c r="CI265" s="545">
        <f>IF(AND($B265&gt;=$FV265,$B265&lt;=$FW265),MAX(CF265,Sheet1!EJ267,0),MAX(CF265-(7/36)*$K265,0))</f>
        <v>2</v>
      </c>
      <c r="CJ265" s="560">
        <f t="shared" si="509"/>
        <v>0</v>
      </c>
      <c r="CK265" s="545">
        <f t="shared" si="510"/>
        <v>0</v>
      </c>
      <c r="CL265" s="545">
        <f>IF(AND($O265&gt;0,Sheet1!EN267=1),(1-($O265-Sheet1!$L267)/$O265)*CF265,0)</f>
        <v>0</v>
      </c>
      <c r="CM265" s="545">
        <f>IF(AND(Sheet1!$L267=0,Sheet1!$L266=0, Calculation!CE265&lt;Sheet1!EJ267-0.1,Sheet1!EJ267=Sheet1!EJ266,Sheet1!EJ267=Sheet1!EJ268),Sheet1!EJ267,CF265-CL265)</f>
        <v>1.9383596214511041</v>
      </c>
      <c r="CN265" s="545"/>
      <c r="CO265" s="560"/>
      <c r="CP265" s="560">
        <f t="shared" si="511"/>
        <v>270.50832086987066</v>
      </c>
      <c r="CQ265" s="560"/>
      <c r="CR265" s="560">
        <f ca="1">IF(B265&gt;Summary!$A$1,#N/A,CP265*MGtoAF)</f>
        <v>829.91952842876321</v>
      </c>
      <c r="CS265" s="560">
        <f>Sheet1!BK267+Sheet1!BL267+Sheet1!BM267-Sheet1!ER267-DA265</f>
        <v>9.0399999999999991</v>
      </c>
      <c r="CT265" s="560">
        <f t="shared" si="512"/>
        <v>8.8498843322818086</v>
      </c>
      <c r="CU265" s="560">
        <f>IF(Sheet1!ER267="FM",DA265,0)</f>
        <v>0</v>
      </c>
      <c r="CV265" s="560">
        <f t="shared" si="513"/>
        <v>0</v>
      </c>
      <c r="CW265" s="560">
        <f>IF(Sheet1!ER267="OTHER",DA265,0)</f>
        <v>0</v>
      </c>
      <c r="CX265" s="560">
        <f t="shared" si="514"/>
        <v>0</v>
      </c>
      <c r="CY265" s="560">
        <f t="shared" si="515"/>
        <v>9.0399999999999991</v>
      </c>
      <c r="CZ265" s="560">
        <f t="shared" si="516"/>
        <v>8.8498843322818086</v>
      </c>
      <c r="DA265" s="560">
        <f>IF(OR(Sheet1!ER267="FM", Sheet1!ER267="OTHER"),SUM(Sheet1!BK267:'Sheet1'!BM267),0)</f>
        <v>0</v>
      </c>
      <c r="DB265" s="545">
        <f>IF(AND($B265&gt;=$FV265,$B265&lt;=$FW265),MAX($CT265,Sheet1!EK267,0),MAX($CT265-(7/36)*$K265,0))</f>
        <v>9</v>
      </c>
      <c r="DC265" s="560">
        <f t="shared" si="517"/>
        <v>0</v>
      </c>
      <c r="DD265" s="545">
        <f t="shared" si="518"/>
        <v>0</v>
      </c>
      <c r="DE265" s="545">
        <f>IF(AND($O265&gt;0,Sheet1!EO267=1),(1-($O265-Sheet1!$L267)/$O265)*CZ265,0)</f>
        <v>0</v>
      </c>
      <c r="DF265" s="545">
        <f>IF(AND(Sheet1!$L267=0,Sheet1!$L266=0, Calculation!CY265&lt;Sheet1!$EK267-0.1,Sheet1!$EK267=Sheet1!$EK266,Sheet1!$EK267=Sheet1!$EK268),Sheet1!$EK267,CZ265-DE265)</f>
        <v>8.8498843322818086</v>
      </c>
      <c r="DG265" s="545"/>
      <c r="DH265" s="560">
        <f t="shared" si="519"/>
        <v>13.04</v>
      </c>
      <c r="DI265" s="560">
        <f t="shared" si="520"/>
        <v>452.95992574698846</v>
      </c>
      <c r="DJ265" s="698">
        <f t="shared" si="521"/>
        <v>12.765762355415353</v>
      </c>
      <c r="DK265" s="560">
        <f ca="1">IF(B265&gt;Summary!$A$1,#N/A,DI265*MGtoAF)</f>
        <v>1389.6810521917607</v>
      </c>
      <c r="DL265" s="698">
        <f t="shared" si="522"/>
        <v>13.04</v>
      </c>
      <c r="DM265" s="560">
        <f t="shared" si="523"/>
        <v>47.55</v>
      </c>
      <c r="DN265" s="560">
        <f>Sheet1!AB267-DM265</f>
        <v>-1</v>
      </c>
      <c r="DO265" s="823">
        <f t="shared" si="524"/>
        <v>-2.1030494216614092E-2</v>
      </c>
      <c r="DP265" s="560">
        <f>(VLOOKUP(Sheet1!DC267,hhdcap_wcm,4)-(((VLOOKUP(Sheet1!DC267,hhdcap_wcm,3)-Sheet1!DC267)/(VLOOKUP(Sheet1!DC267,hhdcap_wcm,3)-VLOOKUP(Sheet1!DC267,hhdcap_wcm,1)))*(VLOOKUP(Sheet1!DC267,hhdcap_wcm,4)-VLOOKUP(Sheet1!DC267,hhdcap_wcm,2))))</f>
        <v>31477.600000080904</v>
      </c>
      <c r="DQ265" s="560">
        <f t="shared" si="525"/>
        <v>-417.80000000109794</v>
      </c>
      <c r="DR265" s="560">
        <f t="shared" si="526"/>
        <v>-210.69087241608568</v>
      </c>
      <c r="DS265" s="560">
        <f>Sheet1!EA267*AFtoMG</f>
        <v>0</v>
      </c>
      <c r="DT265" s="560">
        <f>Sheet1!EB267*AFtoMG</f>
        <v>0</v>
      </c>
      <c r="DU265" s="560">
        <f>Sheet1!EC267*AFtoMG</f>
        <v>0</v>
      </c>
      <c r="DV265" s="560">
        <f>Sheet1!ED267*AFtoMG</f>
        <v>0</v>
      </c>
      <c r="DW265" s="560">
        <f t="shared" si="527"/>
        <v>0</v>
      </c>
      <c r="DX265" s="560">
        <f t="shared" si="528"/>
        <v>0</v>
      </c>
      <c r="DY265" s="560">
        <f t="shared" si="529"/>
        <v>1613.3321916384243</v>
      </c>
      <c r="DZ265" s="560">
        <f t="shared" si="530"/>
        <v>4949.7031639466859</v>
      </c>
      <c r="EA265" s="560"/>
      <c r="EB265" s="545">
        <f>IF(OR(B265&lt;FV265,B265&gt;FW265),(MIN(BF265+BY265+CT265+MAX(Sheet1!AA267+AQ265-73,0),K265)),0)</f>
        <v>0</v>
      </c>
      <c r="EC265" s="560"/>
      <c r="ED265" s="560">
        <f t="shared" si="531"/>
        <v>12.765762355415353</v>
      </c>
      <c r="EE265" s="560"/>
      <c r="EF265" s="560">
        <f>Sheet1!EH267+Sheet1!EI267+Sheet1!EJ267+Sheet1!EK267</f>
        <v>13</v>
      </c>
      <c r="EG265" s="560"/>
      <c r="EH265" s="545">
        <f t="shared" si="532"/>
        <v>0</v>
      </c>
      <c r="EI265" s="560">
        <f>IF(Sheet1!ET267=1,SUM('Calculations II'!AT265:BA265)+'Calculations II'!BC265+Sheet1!BV267+'Calculations II'!BE265+AP265,SUM('Calculations II'!AT265:BA265)+'Calculations II'!BC265+Sheet1!BV267+'Calculations II'!BE265+AP265)</f>
        <v>75.347968000000009</v>
      </c>
      <c r="EJ265" s="560">
        <f>Sheet1!AA267+Sheet1!AB267+'Calculations II'!BC265</f>
        <v>77.55</v>
      </c>
      <c r="EK265" s="560"/>
      <c r="EL265" s="560"/>
      <c r="EM265" s="560">
        <f t="shared" si="533"/>
        <v>41893</v>
      </c>
      <c r="EN265" s="560">
        <f t="shared" si="534"/>
        <v>-13</v>
      </c>
      <c r="EO265" s="560">
        <f t="shared" si="535"/>
        <v>-20.111000000000001</v>
      </c>
      <c r="EP265" s="560">
        <v>0</v>
      </c>
      <c r="EQ265" s="560">
        <v>0</v>
      </c>
      <c r="ER265" s="560">
        <v>0</v>
      </c>
      <c r="ES265" s="545">
        <f t="shared" ref="ES265:ES328" si="557">ET265+EU265</f>
        <v>-0.2770144093750827</v>
      </c>
      <c r="ET265" s="560">
        <f>-(VLOOKUP(Sheet1!BQ267,Lookup!$O$4:$Q$262,2)-VLOOKUP(Sheet1!BQ266,Lookup!$O$4:$Q$262,2))/1000000</f>
        <v>-0.13850400029706955</v>
      </c>
      <c r="EU265" s="560">
        <f>-(VLOOKUP(Sheet1!BR267,Lookup!$O$4:$Q$262,3)-VLOOKUP(Sheet1!BR266,Lookup!$O$4:$Q$262,3))/1000000</f>
        <v>-0.13851040907801315</v>
      </c>
      <c r="EV265" s="560"/>
      <c r="EW265" s="560"/>
      <c r="EX265" s="560"/>
      <c r="EY265" s="560"/>
      <c r="EZ265" s="560"/>
      <c r="FA265" s="560"/>
      <c r="FB265" s="560"/>
      <c r="FC265" s="560"/>
      <c r="FD265" s="594">
        <f t="shared" si="536"/>
        <v>1124.7803921567966</v>
      </c>
      <c r="FE265" s="594" t="e">
        <f t="shared" si="537"/>
        <v>#N/A</v>
      </c>
      <c r="FF265" s="595" t="e">
        <f t="shared" si="538"/>
        <v>#N/A</v>
      </c>
      <c r="FG265" s="596" t="s">
        <v>692</v>
      </c>
      <c r="FH265" s="596" t="s">
        <v>692</v>
      </c>
      <c r="FI265" s="594" t="e">
        <v>#N/A</v>
      </c>
      <c r="FJ265" s="778">
        <v>13316</v>
      </c>
      <c r="FK265" s="560"/>
      <c r="FL265" s="560"/>
      <c r="FM265" s="560"/>
      <c r="FN265" s="560"/>
      <c r="FO265" s="560">
        <f>O265+((Sheet1!CS267)*GPMtoMGD)</f>
        <v>77.55</v>
      </c>
      <c r="FP265" s="560">
        <f>IF(Sheet1!AA267+AQ265&lt;=Calculation!N265,AQ265,Calculation!N265-Sheet1!AA267)</f>
        <v>32.208096740273398</v>
      </c>
      <c r="FQ265" s="560">
        <f>(Sheet1!BP267+Sheet1!BO267)/694.4</f>
        <v>5.3935771889400925</v>
      </c>
      <c r="FR265" s="560"/>
      <c r="FS265" s="560"/>
      <c r="FT265" s="560"/>
      <c r="FU265" s="560"/>
      <c r="FV265" s="695">
        <f t="shared" ref="FV265:FV328" si="558">$FV$4</f>
        <v>41827</v>
      </c>
      <c r="FW265" s="695">
        <f t="shared" ref="FW265:FW328" si="559">$FW$4</f>
        <v>41934</v>
      </c>
      <c r="FX265" s="560"/>
      <c r="FY265" s="560"/>
      <c r="FZ265" s="560"/>
      <c r="GA265" s="560"/>
      <c r="GB265" s="560" t="str">
        <f t="shared" ref="GB265:GB328" si="560">$GB$4</f>
        <v>n</v>
      </c>
      <c r="GC265" s="564">
        <f t="shared" ref="GC265:GC328" si="561">$GC$4</f>
        <v>41691</v>
      </c>
      <c r="GD265" s="695">
        <f t="shared" ref="GD265:GD328" si="562">$GD$4</f>
        <v>41807</v>
      </c>
      <c r="GE265" s="560">
        <v>6518.9</v>
      </c>
      <c r="GF265" s="695">
        <f t="shared" ref="GF265:GF328" si="563">$GF$4</f>
        <v>41808</v>
      </c>
      <c r="GG265" s="560">
        <f t="shared" si="479"/>
        <v>3259</v>
      </c>
      <c r="GH265" s="564">
        <f t="shared" ref="GH265:GH328" si="564">$GH$4</f>
        <v>41934</v>
      </c>
      <c r="GJ265" s="545">
        <f t="shared" ref="GJ265:GJ328" si="565">IF(AND(B265&gt;=GD265,B265&lt;GF265),AFtoMG*(20000-AO264),GL265+GZ265+GS265+HG265)</f>
        <v>0</v>
      </c>
      <c r="GK265" s="560" t="str">
        <f t="shared" si="539"/>
        <v/>
      </c>
      <c r="GL265" s="560">
        <f t="shared" ref="GL265:GL328" si="566">IF(GP265&gt;=8333.3,AV265,0)</f>
        <v>0</v>
      </c>
      <c r="GM265" s="560" t="str">
        <f t="shared" ref="GM265:GM328" si="567">IF(AND(GP265&lt;8333.3,GJ265&gt;0),"T","")</f>
        <v/>
      </c>
      <c r="GN265" s="560">
        <f>IF(GK265="P",Lookup!$M$12,IF(GK265="PP",Lookup!$M$13,IF(GK265="PPP",Lookup!$M$14,IF(GK265="T",Lookup!$M$15,IF(GK265="TP",Lookup!$M$16,IF(GK265="TPP",Lookup!$M$17,IF(GK265="TPPP",Lookup!$M$18,0)))))))*GJ265</f>
        <v>0</v>
      </c>
      <c r="GO265" s="560">
        <f t="shared" ref="GO265:GO328" si="568">IF(GM265="T", MIN(GN265, 2716.2-$GQ265),0)</f>
        <v>0</v>
      </c>
      <c r="GP265" s="560">
        <f t="shared" si="540"/>
        <v>2195.2327453333342</v>
      </c>
      <c r="GQ265" s="560">
        <f t="shared" si="473"/>
        <v>715.52566666666689</v>
      </c>
      <c r="GR265" s="560"/>
      <c r="GS265" s="560">
        <f t="shared" ref="GS265:GS328" si="569">IF(GW265&gt;=3888.8,BO265,0)</f>
        <v>0</v>
      </c>
      <c r="GT265" s="560" t="str">
        <f t="shared" ref="GT265:GT328" si="570">IF(AND(GW265&lt;3888.8,GJ265&gt;0),"P","")</f>
        <v/>
      </c>
      <c r="GU265" s="560">
        <f>IF(GK265="P",Lookup!$N$12,IF(GK265="PP",Lookup!$N$13,IF(GK265="PPP",Lookup!$N$14,IF(GK265="T",Lookup!$N$15,IF(GK265="TP",Lookup!$N$16,IF(GK265="TPP",Lookup!$N$17,IF(GK265="TPPP",Lookup!$N$18,0)))))))*GJ265</f>
        <v>0</v>
      </c>
      <c r="GV265" s="560">
        <f t="shared" ref="GV265:GV328" si="571">IF(GT265="P",MIN(GU265,7/36*GE265-GX265),0)</f>
        <v>0</v>
      </c>
      <c r="GW265" s="560">
        <f t="shared" si="541"/>
        <v>534.86983799282848</v>
      </c>
      <c r="GX265" s="560">
        <f t="shared" si="474"/>
        <v>174.33827835489845</v>
      </c>
      <c r="GY265" s="560"/>
      <c r="GZ265" s="560">
        <f t="shared" ref="GZ265:GZ328" si="572">IF(HD265&gt;=3888.8,CJ265,0)</f>
        <v>0</v>
      </c>
      <c r="HA265" s="560" t="str">
        <f t="shared" ref="HA265:HA328" si="573">IF(AND(HD265&lt;3888.8,GJ265&gt;0),"P","")</f>
        <v/>
      </c>
      <c r="HB265" s="560">
        <f>IF(GK265="P",Lookup!$N$12,IF(GK265="PP",Lookup!$N$13,IF(GK265="PPP",Lookup!$N$14,IF(GK265="T",Lookup!$N$15,IF(GK265="TP",Lookup!$N$16,IF(GK265="TPP",Lookup!$N$17,IF(GK265="TPPP",Lookup!$N$18,0)))))))*GJ265</f>
        <v>0</v>
      </c>
      <c r="HC265" s="545">
        <f t="shared" si="542"/>
        <v>0</v>
      </c>
      <c r="HD265" s="560">
        <f t="shared" si="543"/>
        <v>829.91952842876321</v>
      </c>
      <c r="HE265" s="560">
        <f t="shared" si="475"/>
        <v>270.50832086987066</v>
      </c>
      <c r="HF265" s="560"/>
      <c r="HG265" s="560">
        <f t="shared" ref="HG265:HG328" si="574">IF(HK265&gt;=3888.8,DC265,0)</f>
        <v>0</v>
      </c>
      <c r="HH265" s="560" t="str">
        <f t="shared" ref="HH265:HH328" si="575">IF(AND(HK265&lt;3888.8,GJ265&gt;0),"P","")</f>
        <v/>
      </c>
      <c r="HI265" s="560">
        <f>IF(GK265="P",Lookup!$N$12,IF(GK265="PP",Lookup!$N$13,IF(GK265="PPP",Lookup!$N$14,IF(GK265="T",Lookup!$N$15,IF(GK265="TP",Lookup!$N$16,IF(GK265="TPP",Lookup!$N$17,IF(GK265="TPPP",Lookup!$N$18,0)))))))*GJ265</f>
        <v>0</v>
      </c>
      <c r="HJ265" s="545">
        <f t="shared" si="544"/>
        <v>0</v>
      </c>
      <c r="HK265" s="560">
        <f t="shared" si="545"/>
        <v>1389.6810521917607</v>
      </c>
      <c r="HL265" s="560">
        <f t="shared" si="476"/>
        <v>452.95992574698846</v>
      </c>
    </row>
    <row r="266" spans="1:220">
      <c r="A266" s="580" t="s">
        <v>8</v>
      </c>
      <c r="B266" s="556">
        <v>41894</v>
      </c>
      <c r="C266" s="561">
        <v>0</v>
      </c>
      <c r="D266" s="529">
        <f t="shared" si="477"/>
        <v>200</v>
      </c>
      <c r="E266" s="529">
        <f t="shared" si="478"/>
        <v>400</v>
      </c>
      <c r="F266" s="529">
        <v>250</v>
      </c>
      <c r="G266" s="560">
        <f>DR266+Sheet1!CZ268</f>
        <v>170.91427130589165</v>
      </c>
      <c r="H266" s="914">
        <f t="shared" si="546"/>
        <v>0</v>
      </c>
      <c r="I266" s="559">
        <f>MAX(Sheet1!Z268-AT266+(Sheet1!DA268-E266)*CFStoMGD,0)</f>
        <v>38.146799999999999</v>
      </c>
      <c r="J266" s="562">
        <f>IF(AND(B266&gt;=Calculation!GC266,B266&lt;=Calculation!GD266),IF(Sheet1!DB268&gt;=Calculation!D266,64.64,0),MAX(Sheet1!Z268-AT266+(Sheet1!DB268-D266)*CFStoMGD,0))</f>
        <v>66.588399999999993</v>
      </c>
      <c r="K266" s="904">
        <f t="shared" si="481"/>
        <v>0</v>
      </c>
      <c r="L266" s="560">
        <f>Sheet1!AA268+Sheet1!AB268-Sheet1!L268+(Sheet1!DA268-F266)*CFStoMGD</f>
        <v>167.30680000000001</v>
      </c>
      <c r="M266" s="560">
        <f t="shared" si="482"/>
        <v>112.68856467157093</v>
      </c>
      <c r="N266" s="910">
        <f>IF(Sheet1!DA268&gt;=F266,MIN(73,MIN(MAX(L266,0),MAX(M266,0))),0)</f>
        <v>73</v>
      </c>
      <c r="O266" s="563">
        <f>Sheet1!AA268+Sheet1!AB268</f>
        <v>78.75</v>
      </c>
      <c r="P266" s="563">
        <f t="shared" si="483"/>
        <v>121.82624999999999</v>
      </c>
      <c r="Q266" s="898">
        <f t="shared" si="547"/>
        <v>64.25</v>
      </c>
      <c r="R266" s="829">
        <f t="shared" si="484"/>
        <v>14.5</v>
      </c>
      <c r="S266" s="898">
        <f t="shared" si="548"/>
        <v>0</v>
      </c>
      <c r="T266" s="898">
        <f t="shared" si="549"/>
        <v>0</v>
      </c>
      <c r="U266" s="898">
        <f t="shared" si="550"/>
        <v>14.5</v>
      </c>
      <c r="V266" s="898"/>
      <c r="W266" s="898">
        <f t="shared" si="551"/>
        <v>0</v>
      </c>
      <c r="X266" s="898">
        <f t="shared" si="552"/>
        <v>0</v>
      </c>
      <c r="Y266" s="898" t="str">
        <f t="shared" si="553"/>
        <v>FALSE</v>
      </c>
      <c r="Z266" s="898">
        <f t="shared" si="554"/>
        <v>78.75</v>
      </c>
      <c r="AA266" s="898">
        <f t="shared" si="555"/>
        <v>78.75</v>
      </c>
      <c r="AB266" s="898" t="str">
        <f t="shared" si="556"/>
        <v/>
      </c>
      <c r="AC266" s="563">
        <f>Sheet1!Y268*MGDtoCFS</f>
        <v>47.957000000000001</v>
      </c>
      <c r="AD266" s="563">
        <f>Sheet1!Z268*MGDtoCFS</f>
        <v>72.012849999999986</v>
      </c>
      <c r="AE266" s="563">
        <f>Sheet1!AA268*MGDtoCFS</f>
        <v>47.957000000000001</v>
      </c>
      <c r="AF266" s="563">
        <f>Sheet1!AB268*MGDtoCFS</f>
        <v>73.869249999999994</v>
      </c>
      <c r="AG266" s="563">
        <f>Sheet1!L268*MGDtoCFS</f>
        <v>0</v>
      </c>
      <c r="AH266" s="545">
        <f t="shared" si="485"/>
        <v>14.52381451951322</v>
      </c>
      <c r="AI266" s="560">
        <f t="shared" si="486"/>
        <v>22.468341061686949</v>
      </c>
      <c r="AJ266" s="560">
        <f t="shared" si="487"/>
        <v>0</v>
      </c>
      <c r="AK266" s="560">
        <f t="shared" si="488"/>
        <v>0</v>
      </c>
      <c r="AL266" s="560">
        <f>(VLOOKUP(Sheet1!DC268,hhdcap_wcm,4)-(((VLOOKUP(Sheet1!DC268,hhdcap_wcm,3)-Sheet1!DC268)/(VLOOKUP(Sheet1!DC268,hhdcap_wcm,3)-VLOOKUP(Sheet1!DC268,hhdcap_wcm,1)))*(VLOOKUP(Sheet1!DC268,hhdcap_wcm,4)-VLOOKUP(Sheet1!DC268,hhdcap_wcm,2))))</f>
        <v>31061.000000080487</v>
      </c>
      <c r="AM266" s="560">
        <f t="shared" si="489"/>
        <v>-416.60000000041691</v>
      </c>
      <c r="AN266" s="560">
        <f t="shared" si="490"/>
        <v>1598.8083771189113</v>
      </c>
      <c r="AO266" s="560">
        <f t="shared" si="491"/>
        <v>4905.1441010008202</v>
      </c>
      <c r="AP266" s="560">
        <f>Sheet1!BA268+Sheet1!BB268+Sheet1!BN268+CD266</f>
        <v>33.700000000000003</v>
      </c>
      <c r="AQ266" s="560">
        <f>Sheet1!BN268+(DO266*Sheet1!BN268)</f>
        <v>32.160616869492237</v>
      </c>
      <c r="AR266" s="560">
        <f>Sheet1!BA268+CD266</f>
        <v>0</v>
      </c>
      <c r="AS266" s="560">
        <f>Sheet1!BA268+Sheet1!BB268+CD266</f>
        <v>1.6</v>
      </c>
      <c r="AT266" s="698">
        <f>0</f>
        <v>0</v>
      </c>
      <c r="AU266" s="560">
        <f>IF(EB266&lt;K266,0,MAX(Sheet1!AA268+AQ266-15/36*K266-N266,Sheet1!EH268,0))</f>
        <v>0</v>
      </c>
      <c r="AV266" s="560">
        <f>IF(OR(B266&gt;=GD266,B266&lt;GC266),0,15/36*K266-MAX(0,64.6-(137.6-(Sheet1!AA268+Sheet1!AB268))))</f>
        <v>0</v>
      </c>
      <c r="AW266" s="698">
        <f>Sheet1!DB268-110</f>
        <v>121</v>
      </c>
      <c r="AX266" s="698">
        <f>Sheet1!DA268-265</f>
        <v>122</v>
      </c>
      <c r="AY266" s="698">
        <f t="shared" si="492"/>
        <v>8.75</v>
      </c>
      <c r="AZ266" s="698">
        <v>0</v>
      </c>
      <c r="BA266" s="698">
        <f t="shared" si="493"/>
        <v>0</v>
      </c>
      <c r="BB266" s="560">
        <f t="shared" si="494"/>
        <v>715.52566666666689</v>
      </c>
      <c r="BC266" s="560"/>
      <c r="BD266" s="560">
        <f ca="1">IF(B266&gt;Summary!$A$1,#N/A,BB266*MGtoAF)</f>
        <v>2195.2327453333342</v>
      </c>
      <c r="BE266" s="560">
        <f>Sheet1!BG268+Sheet1!BH268+Sheet1!BI268-BM266</f>
        <v>2.02</v>
      </c>
      <c r="BF266" s="560">
        <f t="shared" si="495"/>
        <v>2.0238145195132189</v>
      </c>
      <c r="BG266" s="560">
        <f>IF(Sheet1!EP268="FM",BM266,0)</f>
        <v>0</v>
      </c>
      <c r="BH266" s="560">
        <f t="shared" si="496"/>
        <v>0</v>
      </c>
      <c r="BI266" s="560">
        <f>IF(Sheet1!EP268="OTHER",BM266,0)</f>
        <v>0</v>
      </c>
      <c r="BJ266" s="560">
        <f t="shared" si="497"/>
        <v>0</v>
      </c>
      <c r="BK266" s="560">
        <f t="shared" si="498"/>
        <v>2.02</v>
      </c>
      <c r="BL266" s="560">
        <f t="shared" si="499"/>
        <v>2.0238145195132189</v>
      </c>
      <c r="BM266" s="560">
        <f>IF(OR(Sheet1!EP268="FM", Sheet1!EP268="OTHER"),SUM(Sheet1!BG268:'Sheet1'!BI268),0)</f>
        <v>0</v>
      </c>
      <c r="BN266" s="545">
        <f>IF(AND($B266&gt;=$FV266,$B266&lt;=$FW266),MAX(BF266,Sheet1!EI268,0),MAX(BF266-(7/36)*$K266,0))</f>
        <v>2.0238145195132189</v>
      </c>
      <c r="BO266" s="560">
        <f t="shared" si="500"/>
        <v>0</v>
      </c>
      <c r="BP266" s="545">
        <f t="shared" si="501"/>
        <v>0</v>
      </c>
      <c r="BQ266" s="545">
        <f>IF(AND($O266&gt;0,Sheet1!EM268=1),(1-($O266-Sheet1!$L268)/$O266)*BL266,0)</f>
        <v>0</v>
      </c>
      <c r="BR266" s="545">
        <f>IF(AND(Sheet1!$L268=0,Sheet1!$L267=0, Calculation!BK266&lt;Sheet1!$EI268-0.1,Sheet1!$EI268=Sheet1!$EI267,Sheet1!$EI268=Sheet1!$EI269),Sheet1!$EI268,BL266-BQ266)</f>
        <v>2.0238145195132189</v>
      </c>
      <c r="BS266" s="560"/>
      <c r="BT266" s="560"/>
      <c r="BU266" s="560">
        <f t="shared" si="502"/>
        <v>172.31446383538523</v>
      </c>
      <c r="BV266" s="560"/>
      <c r="BW266" s="560">
        <f ca="1">IF(B266&gt;Summary!$A$1,#N/A,BU266*MGtoAF)</f>
        <v>528.66077504696193</v>
      </c>
      <c r="BX266" s="560">
        <f>Sheet1!BC268+Sheet1!BD268+Sheet1!BE268+Sheet1!BF268-CG266-CH266</f>
        <v>2.9699999999999998</v>
      </c>
      <c r="BY266" s="560">
        <f t="shared" si="503"/>
        <v>2.9756084767100295</v>
      </c>
      <c r="BZ266" s="560">
        <f>IF(Sheet1!EQ268="FM",CH266,0)</f>
        <v>0</v>
      </c>
      <c r="CA266" s="560">
        <f t="shared" si="504"/>
        <v>0</v>
      </c>
      <c r="CB266" s="560">
        <f>IF(Sheet1!EQ268="OTHER",CH266,0)</f>
        <v>0</v>
      </c>
      <c r="CC266" s="560">
        <f t="shared" si="505"/>
        <v>0</v>
      </c>
      <c r="CD266" s="560">
        <f t="shared" si="506"/>
        <v>0</v>
      </c>
      <c r="CE266" s="560">
        <f t="shared" si="507"/>
        <v>2.9699999999999998</v>
      </c>
      <c r="CF266" s="560">
        <f t="shared" si="508"/>
        <v>2.9756084767100295</v>
      </c>
      <c r="CG266" s="560">
        <f>IF(Sheet1!EQ268="CWA",SUM(Sheet1!BC268:'Sheet1'!BF268),0)</f>
        <v>0</v>
      </c>
      <c r="CH266" s="560">
        <f>IF(OR(Sheet1!EQ268="FM", Sheet1!EQ268="OTHER"),SUM(Sheet1!BC268:'Sheet1'!BF268),0)</f>
        <v>0</v>
      </c>
      <c r="CI266" s="545">
        <f>IF(AND($B266&gt;=$FV266,$B266&lt;=$FW266),MAX(CF266,Sheet1!EJ268,0),MAX(CF266-(7/36)*$K266,0))</f>
        <v>3.5</v>
      </c>
      <c r="CJ266" s="560">
        <f t="shared" si="509"/>
        <v>0</v>
      </c>
      <c r="CK266" s="545">
        <f t="shared" si="510"/>
        <v>0</v>
      </c>
      <c r="CL266" s="545">
        <f>IF(AND($O266&gt;0,Sheet1!EN268=1),(1-($O266-Sheet1!$L268)/$O266)*CF266,0)</f>
        <v>0</v>
      </c>
      <c r="CM266" s="545">
        <f>IF(AND(Sheet1!$L268=0,Sheet1!$L267=0, Calculation!CE266&lt;Sheet1!EJ268-0.1,Sheet1!EJ268=Sheet1!EJ267,Sheet1!EJ268=Sheet1!EJ269),Sheet1!EJ268,CF266-CL266)</f>
        <v>2.9756084767100295</v>
      </c>
      <c r="CN266" s="545"/>
      <c r="CO266" s="560"/>
      <c r="CP266" s="560">
        <f t="shared" si="511"/>
        <v>267.00832086987066</v>
      </c>
      <c r="CQ266" s="560"/>
      <c r="CR266" s="560">
        <f ca="1">IF(B266&gt;Summary!$A$1,#N/A,CP266*MGtoAF)</f>
        <v>819.18152842876316</v>
      </c>
      <c r="CS266" s="560">
        <f>Sheet1!BK268+Sheet1!BL268+Sheet1!BM268-Sheet1!ER268-DA266</f>
        <v>8.9699999999999989</v>
      </c>
      <c r="CT266" s="560">
        <f t="shared" si="512"/>
        <v>8.986938732689886</v>
      </c>
      <c r="CU266" s="560">
        <f>IF(Sheet1!ER268="FM",DA266,0)</f>
        <v>0</v>
      </c>
      <c r="CV266" s="560">
        <f t="shared" si="513"/>
        <v>0</v>
      </c>
      <c r="CW266" s="560">
        <f>IF(Sheet1!ER268="OTHER",DA266,0)</f>
        <v>0</v>
      </c>
      <c r="CX266" s="560">
        <f t="shared" si="514"/>
        <v>0</v>
      </c>
      <c r="CY266" s="560">
        <f t="shared" si="515"/>
        <v>8.9699999999999989</v>
      </c>
      <c r="CZ266" s="560">
        <f t="shared" si="516"/>
        <v>8.986938732689886</v>
      </c>
      <c r="DA266" s="560">
        <f>IF(OR(Sheet1!ER268="FM", Sheet1!ER268="OTHER"),SUM(Sheet1!BK268:'Sheet1'!BM268),0)</f>
        <v>0</v>
      </c>
      <c r="DB266" s="545">
        <f>IF(AND($B266&gt;=$FV266,$B266&lt;=$FW266),MAX($CT266,Sheet1!EK268,0),MAX($CT266-(7/36)*$K266,0))</f>
        <v>9</v>
      </c>
      <c r="DC266" s="560">
        <f t="shared" si="517"/>
        <v>0</v>
      </c>
      <c r="DD266" s="545">
        <f t="shared" si="518"/>
        <v>0</v>
      </c>
      <c r="DE266" s="545">
        <f>IF(AND($O266&gt;0,Sheet1!EO268=1),(1-($O266-Sheet1!$L268)/$O266)*CZ266,0)</f>
        <v>0</v>
      </c>
      <c r="DF266" s="545">
        <f>IF(AND(Sheet1!$L268=0,Sheet1!$L267=0, Calculation!CY266&lt;Sheet1!$EK268-0.1,Sheet1!$EK268=Sheet1!$EK267,Sheet1!$EK268=Sheet1!$EK269),Sheet1!$EK268,CZ266-DE266)</f>
        <v>8.986938732689886</v>
      </c>
      <c r="DG266" s="545"/>
      <c r="DH266" s="560">
        <f t="shared" si="519"/>
        <v>13.959999999999999</v>
      </c>
      <c r="DI266" s="560">
        <f t="shared" si="520"/>
        <v>443.95992574698846</v>
      </c>
      <c r="DJ266" s="698">
        <f t="shared" si="521"/>
        <v>13.986361728913135</v>
      </c>
      <c r="DK266" s="560">
        <f ca="1">IF(B266&gt;Summary!$A$1,#N/A,DI266*MGtoAF)</f>
        <v>1362.0690521917606</v>
      </c>
      <c r="DL266" s="698">
        <f t="shared" si="522"/>
        <v>13.959999999999997</v>
      </c>
      <c r="DM266" s="560">
        <f t="shared" si="523"/>
        <v>47.66</v>
      </c>
      <c r="DN266" s="560">
        <f>Sheet1!AB268-DM266</f>
        <v>9.0000000000003411E-2</v>
      </c>
      <c r="DO266" s="823">
        <f t="shared" si="524"/>
        <v>1.8883759966429588E-3</v>
      </c>
      <c r="DP266" s="560">
        <f>(VLOOKUP(Sheet1!DC268,hhdcap_wcm,4)-(((VLOOKUP(Sheet1!DC268,hhdcap_wcm,3)-Sheet1!DC268)/(VLOOKUP(Sheet1!DC268,hhdcap_wcm,3)-VLOOKUP(Sheet1!DC268,hhdcap_wcm,1)))*(VLOOKUP(Sheet1!DC268,hhdcap_wcm,4)-VLOOKUP(Sheet1!DC268,hhdcap_wcm,2))))</f>
        <v>31061.000000080487</v>
      </c>
      <c r="DQ266" s="560">
        <f t="shared" si="525"/>
        <v>-416.60000000041691</v>
      </c>
      <c r="DR266" s="560">
        <f t="shared" si="526"/>
        <v>-210.08572869410835</v>
      </c>
      <c r="DS266" s="560">
        <f>Sheet1!EA268*AFtoMG</f>
        <v>0</v>
      </c>
      <c r="DT266" s="560">
        <f>Sheet1!EB268*AFtoMG</f>
        <v>0</v>
      </c>
      <c r="DU266" s="560">
        <f>Sheet1!EC268*AFtoMG</f>
        <v>0</v>
      </c>
      <c r="DV266" s="560">
        <f>Sheet1!ED268*AFtoMG</f>
        <v>0</v>
      </c>
      <c r="DW266" s="560">
        <f t="shared" si="527"/>
        <v>0</v>
      </c>
      <c r="DX266" s="560">
        <f t="shared" si="528"/>
        <v>0</v>
      </c>
      <c r="DY266" s="560">
        <f t="shared" si="529"/>
        <v>1598.8083771189113</v>
      </c>
      <c r="DZ266" s="560">
        <f t="shared" si="530"/>
        <v>4905.1441010008202</v>
      </c>
      <c r="EA266" s="560"/>
      <c r="EB266" s="545">
        <f>IF(OR(B266&lt;FV266,B266&gt;FW266),(MIN(BF266+BY266+CT266+MAX(Sheet1!AA268+AQ266-73,0),K266)),0)</f>
        <v>0</v>
      </c>
      <c r="EC266" s="560"/>
      <c r="ED266" s="560">
        <f t="shared" si="531"/>
        <v>13.986361728913135</v>
      </c>
      <c r="EE266" s="560"/>
      <c r="EF266" s="560">
        <f>Sheet1!EH268+Sheet1!EI268+Sheet1!EJ268+Sheet1!EK268</f>
        <v>14.5</v>
      </c>
      <c r="EG266" s="560"/>
      <c r="EH266" s="545">
        <f t="shared" si="532"/>
        <v>0</v>
      </c>
      <c r="EI266" s="560">
        <f>IF(Sheet1!ET268=1,SUM('Calculations II'!AT266:BA266)+'Calculations II'!BC266+Sheet1!BV268+'Calculations II'!BE266+AP266,SUM('Calculations II'!AT266:BA266)+'Calculations II'!BC266+Sheet1!BV268+'Calculations II'!BE266+AP266)</f>
        <v>77.396240000000006</v>
      </c>
      <c r="EJ266" s="560">
        <f>Sheet1!AA268+Sheet1!AB268+'Calculations II'!BC266</f>
        <v>78.75</v>
      </c>
      <c r="EK266" s="560"/>
      <c r="EL266" s="560"/>
      <c r="EM266" s="560">
        <f t="shared" si="533"/>
        <v>41894</v>
      </c>
      <c r="EN266" s="560">
        <f t="shared" si="534"/>
        <v>-14.52381451951322</v>
      </c>
      <c r="EO266" s="560">
        <f t="shared" si="535"/>
        <v>-22.468341061686949</v>
      </c>
      <c r="EP266" s="560">
        <v>0</v>
      </c>
      <c r="EQ266" s="560">
        <v>0</v>
      </c>
      <c r="ER266" s="560">
        <v>0</v>
      </c>
      <c r="ES266" s="545">
        <f t="shared" si="557"/>
        <v>2.4926682822991868</v>
      </c>
      <c r="ET266" s="560">
        <f>-(VLOOKUP(Sheet1!BQ268,Lookup!$O$4:$Q$262,2)-VLOOKUP(Sheet1!BQ267,Lookup!$O$4:$Q$262,2))/1000000</f>
        <v>1.2463053042957559</v>
      </c>
      <c r="EU266" s="560">
        <f>-(VLOOKUP(Sheet1!BR268,Lookup!$O$4:$Q$262,3)-VLOOKUP(Sheet1!BR267,Lookup!$O$4:$Q$262,3))/1000000</f>
        <v>1.2463629780034311</v>
      </c>
      <c r="EV266" s="560"/>
      <c r="EW266" s="560"/>
      <c r="EX266" s="560"/>
      <c r="EY266" s="560"/>
      <c r="EZ266" s="560"/>
      <c r="FA266" s="560"/>
      <c r="FB266" s="560"/>
      <c r="FC266" s="560"/>
      <c r="FD266" s="594">
        <f t="shared" si="536"/>
        <v>1124.3519999999342</v>
      </c>
      <c r="FE266" s="594" t="e">
        <f t="shared" si="537"/>
        <v>#N/A</v>
      </c>
      <c r="FF266" s="595" t="e">
        <f t="shared" si="538"/>
        <v>#N/A</v>
      </c>
      <c r="FG266" s="596" t="s">
        <v>692</v>
      </c>
      <c r="FH266" s="596" t="s">
        <v>692</v>
      </c>
      <c r="FI266" s="594" t="e">
        <v>#N/A</v>
      </c>
      <c r="FJ266" s="778">
        <v>13100</v>
      </c>
      <c r="FK266" s="560"/>
      <c r="FL266" s="560"/>
      <c r="FM266" s="560"/>
      <c r="FN266" s="560"/>
      <c r="FO266" s="560">
        <f>O266+((Sheet1!CS268)*GPMtoMGD)</f>
        <v>78.75</v>
      </c>
      <c r="FP266" s="560">
        <f>IF(Sheet1!AA268+AQ266&lt;=Calculation!N266,AQ266,Calculation!N266-Sheet1!AA268)</f>
        <v>32.160616869492237</v>
      </c>
      <c r="FQ266" s="560">
        <f>(Sheet1!BP268+Sheet1!BO268)/694.4</f>
        <v>2.8449020737327189</v>
      </c>
      <c r="FR266" s="560"/>
      <c r="FS266" s="560"/>
      <c r="FT266" s="560"/>
      <c r="FU266" s="560"/>
      <c r="FV266" s="695">
        <f t="shared" si="558"/>
        <v>41827</v>
      </c>
      <c r="FW266" s="695">
        <f t="shared" si="559"/>
        <v>41934</v>
      </c>
      <c r="FX266" s="560"/>
      <c r="FY266" s="560"/>
      <c r="FZ266" s="560"/>
      <c r="GA266" s="560"/>
      <c r="GB266" s="560" t="str">
        <f t="shared" si="560"/>
        <v>n</v>
      </c>
      <c r="GC266" s="564">
        <f t="shared" si="561"/>
        <v>41691</v>
      </c>
      <c r="GD266" s="695">
        <f t="shared" si="562"/>
        <v>41807</v>
      </c>
      <c r="GE266" s="560">
        <v>6518.9</v>
      </c>
      <c r="GF266" s="695">
        <f t="shared" si="563"/>
        <v>41808</v>
      </c>
      <c r="GG266" s="560">
        <f t="shared" si="479"/>
        <v>3259</v>
      </c>
      <c r="GH266" s="564">
        <f t="shared" si="564"/>
        <v>41934</v>
      </c>
      <c r="GJ266" s="545">
        <f t="shared" si="565"/>
        <v>0</v>
      </c>
      <c r="GK266" s="560" t="str">
        <f t="shared" si="539"/>
        <v/>
      </c>
      <c r="GL266" s="560">
        <f t="shared" si="566"/>
        <v>0</v>
      </c>
      <c r="GM266" s="560" t="str">
        <f t="shared" si="567"/>
        <v/>
      </c>
      <c r="GN266" s="560">
        <f>IF(GK266="P",Lookup!$M$12,IF(GK266="PP",Lookup!$M$13,IF(GK266="PPP",Lookup!$M$14,IF(GK266="T",Lookup!$M$15,IF(GK266="TP",Lookup!$M$16,IF(GK266="TPP",Lookup!$M$17,IF(GK266="TPPP",Lookup!$M$18,0)))))))*GJ266</f>
        <v>0</v>
      </c>
      <c r="GO266" s="560">
        <f t="shared" si="568"/>
        <v>0</v>
      </c>
      <c r="GP266" s="560">
        <f t="shared" si="540"/>
        <v>2195.2327453333342</v>
      </c>
      <c r="GQ266" s="560">
        <f t="shared" ref="GQ266:GQ329" si="576">(IF(AND(GB265="Y",B266=GD266),2716.2,(IF(AND(B266&lt;GF266,B266&gt;=GC266),MIN(BB265+AV266-AU266,15/36*GE266),IF(B266=GF266,15/36*GG266,IF(AND(B266&gt;GF266,B266&lt;GH266),MIN(BB265+AV266-AU266,15/36*GG266),IF(B266&gt;=GH266,0,0)))))))+DS266</f>
        <v>715.52566666666689</v>
      </c>
      <c r="GR266" s="560"/>
      <c r="GS266" s="560">
        <f t="shared" si="569"/>
        <v>0</v>
      </c>
      <c r="GT266" s="560" t="str">
        <f t="shared" si="570"/>
        <v/>
      </c>
      <c r="GU266" s="560">
        <f>IF(GK266="P",Lookup!$N$12,IF(GK266="PP",Lookup!$N$13,IF(GK266="PPP",Lookup!$N$14,IF(GK266="T",Lookup!$N$15,IF(GK266="TP",Lookup!$N$16,IF(GK266="TPP",Lookup!$N$17,IF(GK266="TPPP",Lookup!$N$18,0)))))))*GJ266</f>
        <v>0</v>
      </c>
      <c r="GV266" s="560">
        <f t="shared" si="571"/>
        <v>0</v>
      </c>
      <c r="GW266" s="560">
        <f t="shared" si="541"/>
        <v>528.66077504696193</v>
      </c>
      <c r="GX266" s="560">
        <f t="shared" ref="GX266:GX329" si="577">(IF(AND(GB266="Y",B266=GD266),1267.5,(IF(AND(B266&lt;GF266,B266&gt;=GC266),MIN(BU265+BO266-BN266,7/36*GE266),IF(B266=GF266,7/36*GG266,IF(AND(B266&gt;GF266,B266&lt;GH266),MIN(BU265+BO266-BN266,7/36*GG266),IF(B266&gt;=GH266,0,0)))))))+DT266</f>
        <v>172.31446383538523</v>
      </c>
      <c r="GY266" s="560"/>
      <c r="GZ266" s="560">
        <f t="shared" si="572"/>
        <v>0</v>
      </c>
      <c r="HA266" s="560" t="str">
        <f t="shared" si="573"/>
        <v/>
      </c>
      <c r="HB266" s="560">
        <f>IF(GK266="P",Lookup!$N$12,IF(GK266="PP",Lookup!$N$13,IF(GK266="PPP",Lookup!$N$14,IF(GK266="T",Lookup!$N$15,IF(GK266="TP",Lookup!$N$16,IF(GK266="TPP",Lookup!$N$17,IF(GK266="TPPP",Lookup!$N$18,0)))))))*GJ266</f>
        <v>0</v>
      </c>
      <c r="HC266" s="545">
        <f t="shared" si="542"/>
        <v>0</v>
      </c>
      <c r="HD266" s="560">
        <f t="shared" si="543"/>
        <v>819.18152842876316</v>
      </c>
      <c r="HE266" s="560">
        <f t="shared" ref="HE266:HE329" si="578">(IF(AND(GB266="Y",B266=GD266),1267.5,IF(AND(B266&lt;GF266,B266&gt;=GC266),MIN(CP265+CJ266-CI266,7/36*GE266),IF(B266=GF266,7/36*GG266,IF(AND(B266&gt;GF266,B266&lt;GH266),MIN(CP265+CJ266-CI266,7/36*GG266),IF(B266&gt;=GH266,0,0))))))+DU266</f>
        <v>267.00832086987066</v>
      </c>
      <c r="HF266" s="560"/>
      <c r="HG266" s="560">
        <f t="shared" si="574"/>
        <v>0</v>
      </c>
      <c r="HH266" s="560" t="str">
        <f t="shared" si="575"/>
        <v/>
      </c>
      <c r="HI266" s="560">
        <f>IF(GK266="P",Lookup!$N$12,IF(GK266="PP",Lookup!$N$13,IF(GK266="PPP",Lookup!$N$14,IF(GK266="T",Lookup!$N$15,IF(GK266="TP",Lookup!$N$16,IF(GK266="TPP",Lookup!$N$17,IF(GK266="TPPP",Lookup!$N$18,0)))))))*GJ266</f>
        <v>0</v>
      </c>
      <c r="HJ266" s="545">
        <f t="shared" si="544"/>
        <v>0</v>
      </c>
      <c r="HK266" s="560">
        <f t="shared" si="545"/>
        <v>1362.0690521917606</v>
      </c>
      <c r="HL266" s="560">
        <f t="shared" ref="HL266:HL329" si="579">(IF(AND(GB266="Y",B266=GD266),1267.5,(IF(AND(B266&lt;GF266,B266&gt;=GC266),MIN(DI265+DC266-DB266,7/36*GE266),IF(B266=GF266,7/36*GG266,IF(AND(B266&gt;GF266,B266&lt;GH266),MIN(DI265+DC266-DB266,7/36*GG266),IF(B266&gt;=GH266,0,0)))))))+DV266</f>
        <v>443.95992574698846</v>
      </c>
    </row>
    <row r="267" spans="1:220">
      <c r="A267" s="580" t="s">
        <v>9</v>
      </c>
      <c r="B267" s="556">
        <v>41895</v>
      </c>
      <c r="C267" s="561">
        <v>0</v>
      </c>
      <c r="D267" s="529">
        <f t="shared" si="477"/>
        <v>200</v>
      </c>
      <c r="E267" s="529">
        <f t="shared" si="478"/>
        <v>400</v>
      </c>
      <c r="F267" s="529">
        <v>250</v>
      </c>
      <c r="G267" s="560">
        <f>DR267+Sheet1!CZ269</f>
        <v>154.57539082133565</v>
      </c>
      <c r="H267" s="914">
        <f t="shared" si="546"/>
        <v>0</v>
      </c>
      <c r="I267" s="559">
        <f>MAX(Sheet1!Z269-AT267+(Sheet1!DA269-E267)*CFStoMGD,0)</f>
        <v>39.346800000000002</v>
      </c>
      <c r="J267" s="562">
        <f>IF(AND(B267&gt;=Calculation!GC267,B267&lt;=Calculation!GD267),IF(Sheet1!DB269&gt;=Calculation!D267,64.64,0),MAX(Sheet1!Z269-AT267+(Sheet1!DB269-D267)*CFStoMGD,0))</f>
        <v>67.788399999999996</v>
      </c>
      <c r="K267" s="904">
        <f t="shared" si="481"/>
        <v>0</v>
      </c>
      <c r="L267" s="560">
        <f>Sheet1!AA269+Sheet1!AB269-Sheet1!L269+(Sheet1!DA269-F267)*CFStoMGD</f>
        <v>167.55680000000001</v>
      </c>
      <c r="M267" s="560">
        <f t="shared" si="482"/>
        <v>101.91588327944959</v>
      </c>
      <c r="N267" s="910">
        <f>IF(Sheet1!DA269&gt;=F267,MIN(73,MIN(MAX(L267,0),MAX(M267,0))),0)</f>
        <v>73</v>
      </c>
      <c r="O267" s="563">
        <f>Sheet1!AA269+Sheet1!AB269</f>
        <v>79</v>
      </c>
      <c r="P267" s="563">
        <f t="shared" si="483"/>
        <v>122.21299999999999</v>
      </c>
      <c r="Q267" s="898">
        <f t="shared" si="547"/>
        <v>64</v>
      </c>
      <c r="R267" s="829">
        <f t="shared" si="484"/>
        <v>15</v>
      </c>
      <c r="S267" s="898">
        <f t="shared" si="548"/>
        <v>0</v>
      </c>
      <c r="T267" s="898">
        <f t="shared" si="549"/>
        <v>0</v>
      </c>
      <c r="U267" s="898">
        <f t="shared" si="550"/>
        <v>15</v>
      </c>
      <c r="V267" s="898"/>
      <c r="W267" s="898">
        <f t="shared" si="551"/>
        <v>0</v>
      </c>
      <c r="X267" s="898">
        <f t="shared" si="552"/>
        <v>0</v>
      </c>
      <c r="Y267" s="898" t="str">
        <f t="shared" si="553"/>
        <v>FALSE</v>
      </c>
      <c r="Z267" s="898">
        <f t="shared" si="554"/>
        <v>79</v>
      </c>
      <c r="AA267" s="898">
        <f t="shared" si="555"/>
        <v>79</v>
      </c>
      <c r="AB267" s="898" t="str">
        <f t="shared" si="556"/>
        <v/>
      </c>
      <c r="AC267" s="563">
        <f>Sheet1!Y269*MGDtoCFS</f>
        <v>47.957000000000001</v>
      </c>
      <c r="AD267" s="563">
        <f>Sheet1!Z269*MGDtoCFS</f>
        <v>73.869249999999994</v>
      </c>
      <c r="AE267" s="563">
        <f>Sheet1!AA269*MGDtoCFS</f>
        <v>47.957000000000001</v>
      </c>
      <c r="AF267" s="563">
        <f>Sheet1!AB269*MGDtoCFS</f>
        <v>74.256</v>
      </c>
      <c r="AG267" s="563">
        <f>Sheet1!L269*MGDtoCFS</f>
        <v>0</v>
      </c>
      <c r="AH267" s="545">
        <f t="shared" si="485"/>
        <v>15.025485690411532</v>
      </c>
      <c r="AI267" s="560">
        <f t="shared" si="486"/>
        <v>23.244426363066641</v>
      </c>
      <c r="AJ267" s="560">
        <f t="shared" si="487"/>
        <v>0</v>
      </c>
      <c r="AK267" s="560">
        <f t="shared" si="488"/>
        <v>0</v>
      </c>
      <c r="AL267" s="560">
        <f>(VLOOKUP(Sheet1!DC269,hhdcap_wcm,4)-(((VLOOKUP(Sheet1!DC269,hhdcap_wcm,3)-Sheet1!DC269)/(VLOOKUP(Sheet1!DC269,hhdcap_wcm,3)-VLOOKUP(Sheet1!DC269,hhdcap_wcm,1)))*(VLOOKUP(Sheet1!DC269,hhdcap_wcm,4)-VLOOKUP(Sheet1!DC269,hhdcap_wcm,2))))</f>
        <v>30612.000000079195</v>
      </c>
      <c r="AM267" s="560">
        <f t="shared" si="489"/>
        <v>-449.00000000129148</v>
      </c>
      <c r="AN267" s="560">
        <f t="shared" si="490"/>
        <v>1583.7828914284996</v>
      </c>
      <c r="AO267" s="560">
        <f t="shared" si="491"/>
        <v>4859.0459109026369</v>
      </c>
      <c r="AP267" s="560">
        <f>Sheet1!BA269+Sheet1!BB269+Sheet1!BN269+CD267</f>
        <v>33.1</v>
      </c>
      <c r="AQ267" s="560">
        <f>Sheet1!BN269+(DO267*Sheet1!BN269)</f>
        <v>31.585544182160014</v>
      </c>
      <c r="AR267" s="560">
        <f>Sheet1!BA269+CD267</f>
        <v>0</v>
      </c>
      <c r="AS267" s="560">
        <f>Sheet1!BA269+Sheet1!BB269+CD267</f>
        <v>1.6</v>
      </c>
      <c r="AT267" s="698">
        <f>0</f>
        <v>0</v>
      </c>
      <c r="AU267" s="560">
        <f>IF(EB267&lt;K267,0,MAX(Sheet1!AA269+AQ267-15/36*K267-N267,Sheet1!EH269,0))</f>
        <v>0</v>
      </c>
      <c r="AV267" s="560">
        <f>IF(OR(B267&gt;=GD267,B267&lt;GC267),0,15/36*K267-MAX(0,64.6-(137.6-(Sheet1!AA269+Sheet1!AB269))))</f>
        <v>0</v>
      </c>
      <c r="AW267" s="698">
        <f>Sheet1!DB269-110</f>
        <v>121</v>
      </c>
      <c r="AX267" s="698">
        <f>Sheet1!DA269-265</f>
        <v>122</v>
      </c>
      <c r="AY267" s="698">
        <f t="shared" si="492"/>
        <v>9</v>
      </c>
      <c r="AZ267" s="698">
        <v>0</v>
      </c>
      <c r="BA267" s="698">
        <f t="shared" si="493"/>
        <v>0</v>
      </c>
      <c r="BB267" s="560">
        <f t="shared" si="494"/>
        <v>715.52566666666689</v>
      </c>
      <c r="BC267" s="560"/>
      <c r="BD267" s="560">
        <f ca="1">IF(B267&gt;Summary!$A$1,#N/A,BB267*MGtoAF)</f>
        <v>2195.2327453333342</v>
      </c>
      <c r="BE267" s="560">
        <f>Sheet1!BG269+Sheet1!BH269+Sheet1!BI269-BM267</f>
        <v>2.02</v>
      </c>
      <c r="BF267" s="560">
        <f t="shared" si="495"/>
        <v>2.0254856904115313</v>
      </c>
      <c r="BG267" s="560">
        <f>IF(Sheet1!EP269="FM",BM267,0)</f>
        <v>0</v>
      </c>
      <c r="BH267" s="560">
        <f t="shared" si="496"/>
        <v>0</v>
      </c>
      <c r="BI267" s="560">
        <f>IF(Sheet1!EP269="OTHER",BM267,0)</f>
        <v>0</v>
      </c>
      <c r="BJ267" s="560">
        <f t="shared" si="497"/>
        <v>0</v>
      </c>
      <c r="BK267" s="560">
        <f t="shared" si="498"/>
        <v>2.02</v>
      </c>
      <c r="BL267" s="560">
        <f t="shared" si="499"/>
        <v>2.0254856904115313</v>
      </c>
      <c r="BM267" s="560">
        <f>IF(OR(Sheet1!EP269="FM", Sheet1!EP269="OTHER"),SUM(Sheet1!BG269:'Sheet1'!BI269),0)</f>
        <v>0</v>
      </c>
      <c r="BN267" s="545">
        <f>IF(AND($B267&gt;=$FV267,$B267&lt;=$FW267),MAX(BF267,Sheet1!EI269,0),MAX(BF267-(7/36)*$K267,0))</f>
        <v>2.0254856904115313</v>
      </c>
      <c r="BO267" s="560">
        <f t="shared" si="500"/>
        <v>0</v>
      </c>
      <c r="BP267" s="545">
        <f t="shared" si="501"/>
        <v>0</v>
      </c>
      <c r="BQ267" s="545">
        <f>IF(AND($O267&gt;0,Sheet1!EM269=1),(1-($O267-Sheet1!$L269)/$O267)*BL267,0)</f>
        <v>0</v>
      </c>
      <c r="BR267" s="545">
        <f>IF(AND(Sheet1!$L269=0,Sheet1!$L268=0, Calculation!BK267&lt;Sheet1!$EI269-0.1,Sheet1!$EI269=Sheet1!$EI268,Sheet1!$EI269=Sheet1!$EI270),Sheet1!$EI269,BL267-BQ267)</f>
        <v>2.0254856904115313</v>
      </c>
      <c r="BS267" s="560"/>
      <c r="BT267" s="560"/>
      <c r="BU267" s="560">
        <f t="shared" si="502"/>
        <v>170.2889781449737</v>
      </c>
      <c r="BV267" s="560"/>
      <c r="BW267" s="560">
        <f ca="1">IF(B267&gt;Summary!$A$1,#N/A,BU267*MGtoAF)</f>
        <v>522.44658494877933</v>
      </c>
      <c r="BX267" s="560">
        <f>Sheet1!BC269+Sheet1!BD269+Sheet1!BE269+Sheet1!BF269-CG267-CH267</f>
        <v>3.82</v>
      </c>
      <c r="BY267" s="560">
        <f t="shared" si="503"/>
        <v>3.8303739293921031</v>
      </c>
      <c r="BZ267" s="560">
        <f>IF(Sheet1!EQ269="FM",CH267,0)</f>
        <v>0</v>
      </c>
      <c r="CA267" s="560">
        <f t="shared" si="504"/>
        <v>0</v>
      </c>
      <c r="CB267" s="560">
        <f>IF(Sheet1!EQ269="OTHER",CH267,0)</f>
        <v>0</v>
      </c>
      <c r="CC267" s="560">
        <f t="shared" si="505"/>
        <v>0</v>
      </c>
      <c r="CD267" s="560">
        <f t="shared" si="506"/>
        <v>0</v>
      </c>
      <c r="CE267" s="560">
        <f t="shared" si="507"/>
        <v>3.82</v>
      </c>
      <c r="CF267" s="560">
        <f t="shared" si="508"/>
        <v>3.8303739293921031</v>
      </c>
      <c r="CG267" s="560">
        <f>IF(Sheet1!EQ269="CWA",SUM(Sheet1!BC269:'Sheet1'!BF269),0)</f>
        <v>0</v>
      </c>
      <c r="CH267" s="560">
        <f>IF(OR(Sheet1!EQ269="FM", Sheet1!EQ269="OTHER"),SUM(Sheet1!BC269:'Sheet1'!BF269),0)</f>
        <v>0</v>
      </c>
      <c r="CI267" s="545">
        <f>IF(AND($B267&gt;=$FV267,$B267&lt;=$FW267),MAX(CF267,Sheet1!EJ269,0),MAX(CF267-(7/36)*$K267,0))</f>
        <v>4</v>
      </c>
      <c r="CJ267" s="560">
        <f t="shared" si="509"/>
        <v>0</v>
      </c>
      <c r="CK267" s="545">
        <f t="shared" si="510"/>
        <v>0</v>
      </c>
      <c r="CL267" s="545">
        <f>IF(AND($O267&gt;0,Sheet1!EN269=1),(1-($O267-Sheet1!$L269)/$O267)*CF267,0)</f>
        <v>0</v>
      </c>
      <c r="CM267" s="545">
        <f>IF(AND(Sheet1!$L269=0,Sheet1!$L268=0, Calculation!CE267&lt;Sheet1!EJ269-0.1,Sheet1!EJ269=Sheet1!EJ268,Sheet1!EJ269=Sheet1!EJ270),Sheet1!EJ269,CF267-CL267)</f>
        <v>3.8303739293921031</v>
      </c>
      <c r="CN267" s="545"/>
      <c r="CO267" s="560"/>
      <c r="CP267" s="560">
        <f t="shared" si="511"/>
        <v>263.00832086987066</v>
      </c>
      <c r="CQ267" s="560"/>
      <c r="CR267" s="560">
        <f ca="1">IF(B267&gt;Summary!$A$1,#N/A,CP267*MGtoAF)</f>
        <v>806.90952842876322</v>
      </c>
      <c r="CS267" s="560">
        <f>Sheet1!BK269+Sheet1!BL269+Sheet1!BM269-Sheet1!ER269-DA267</f>
        <v>8.93</v>
      </c>
      <c r="CT267" s="560">
        <f t="shared" si="512"/>
        <v>8.9542510967202826</v>
      </c>
      <c r="CU267" s="560">
        <f>IF(Sheet1!ER269="FM",DA267,0)</f>
        <v>0</v>
      </c>
      <c r="CV267" s="560">
        <f t="shared" si="513"/>
        <v>0</v>
      </c>
      <c r="CW267" s="560">
        <f>IF(Sheet1!ER269="OTHER",DA267,0)</f>
        <v>0</v>
      </c>
      <c r="CX267" s="560">
        <f t="shared" si="514"/>
        <v>0</v>
      </c>
      <c r="CY267" s="560">
        <f t="shared" si="515"/>
        <v>8.93</v>
      </c>
      <c r="CZ267" s="560">
        <f t="shared" si="516"/>
        <v>8.9542510967202826</v>
      </c>
      <c r="DA267" s="560">
        <f>IF(OR(Sheet1!ER269="FM", Sheet1!ER269="OTHER"),SUM(Sheet1!BK269:'Sheet1'!BM269),0)</f>
        <v>0</v>
      </c>
      <c r="DB267" s="545">
        <f>IF(AND($B267&gt;=$FV267,$B267&lt;=$FW267),MAX($CT267,Sheet1!EK269,0),MAX($CT267-(7/36)*$K267,0))</f>
        <v>9</v>
      </c>
      <c r="DC267" s="560">
        <f t="shared" si="517"/>
        <v>0</v>
      </c>
      <c r="DD267" s="545">
        <f t="shared" si="518"/>
        <v>0</v>
      </c>
      <c r="DE267" s="545">
        <f>IF(AND($O267&gt;0,Sheet1!EO269=1),(1-($O267-Sheet1!$L269)/$O267)*CZ267,0)</f>
        <v>0</v>
      </c>
      <c r="DF267" s="545">
        <f>IF(AND(Sheet1!$L269=0,Sheet1!$L268=0, Calculation!CY267&lt;Sheet1!$EK269-0.1,Sheet1!$EK269=Sheet1!$EK268,Sheet1!$EK269=Sheet1!$EK270),Sheet1!$EK269,CZ267-DE267)</f>
        <v>8.9542510967202826</v>
      </c>
      <c r="DG267" s="545"/>
      <c r="DH267" s="560">
        <f t="shared" si="519"/>
        <v>14.77</v>
      </c>
      <c r="DI267" s="560">
        <f t="shared" si="520"/>
        <v>434.95992574698846</v>
      </c>
      <c r="DJ267" s="698">
        <f t="shared" si="521"/>
        <v>14.810110716523917</v>
      </c>
      <c r="DK267" s="560">
        <f ca="1">IF(B267&gt;Summary!$A$1,#N/A,DI267*MGtoAF)</f>
        <v>1334.4570521917606</v>
      </c>
      <c r="DL267" s="698">
        <f t="shared" si="522"/>
        <v>14.77</v>
      </c>
      <c r="DM267" s="560">
        <f t="shared" si="523"/>
        <v>47.870000000000005</v>
      </c>
      <c r="DN267" s="560">
        <f>Sheet1!AB269-DM267</f>
        <v>0.12999999999999545</v>
      </c>
      <c r="DO267" s="823">
        <f t="shared" si="524"/>
        <v>2.7156883225401178E-3</v>
      </c>
      <c r="DP267" s="560">
        <f>(VLOOKUP(Sheet1!DC269,hhdcap_wcm,4)-(((VLOOKUP(Sheet1!DC269,hhdcap_wcm,3)-Sheet1!DC269)/(VLOOKUP(Sheet1!DC269,hhdcap_wcm,3)-VLOOKUP(Sheet1!DC269,hhdcap_wcm,1)))*(VLOOKUP(Sheet1!DC269,hhdcap_wcm,4)-VLOOKUP(Sheet1!DC269,hhdcap_wcm,2))))</f>
        <v>30612.000000079195</v>
      </c>
      <c r="DQ267" s="560">
        <f t="shared" si="525"/>
        <v>-449.00000000129148</v>
      </c>
      <c r="DR267" s="560">
        <f t="shared" si="526"/>
        <v>-226.42460917866435</v>
      </c>
      <c r="DS267" s="560">
        <f>Sheet1!EA269*AFtoMG</f>
        <v>0</v>
      </c>
      <c r="DT267" s="560">
        <f>Sheet1!EB269*AFtoMG</f>
        <v>0</v>
      </c>
      <c r="DU267" s="560">
        <f>Sheet1!EC269*AFtoMG</f>
        <v>0</v>
      </c>
      <c r="DV267" s="560">
        <f>Sheet1!ED269*AFtoMG</f>
        <v>0</v>
      </c>
      <c r="DW267" s="560">
        <f t="shared" si="527"/>
        <v>0</v>
      </c>
      <c r="DX267" s="560">
        <f t="shared" si="528"/>
        <v>0</v>
      </c>
      <c r="DY267" s="560">
        <f t="shared" si="529"/>
        <v>1583.7828914284996</v>
      </c>
      <c r="DZ267" s="560">
        <f t="shared" si="530"/>
        <v>4859.0459109026369</v>
      </c>
      <c r="EA267" s="560"/>
      <c r="EB267" s="545">
        <f>IF(OR(B267&lt;FV267,B267&gt;FW267),(MIN(BF267+BY267+CT267+MAX(Sheet1!AA269+AQ267-73,0),K267)),0)</f>
        <v>0</v>
      </c>
      <c r="EC267" s="560"/>
      <c r="ED267" s="560">
        <f t="shared" si="531"/>
        <v>14.810110716523916</v>
      </c>
      <c r="EE267" s="560"/>
      <c r="EF267" s="560">
        <f>Sheet1!EH269+Sheet1!EI269+Sheet1!EJ269+Sheet1!EK269</f>
        <v>15</v>
      </c>
      <c r="EG267" s="560"/>
      <c r="EH267" s="545">
        <f t="shared" si="532"/>
        <v>0</v>
      </c>
      <c r="EI267" s="560">
        <f>IF(Sheet1!ET269=1,SUM('Calculations II'!AT267:BA267)+'Calculations II'!BC267+Sheet1!BV269+'Calculations II'!BE267+AP267,SUM('Calculations II'!AT267:BA267)+'Calculations II'!BC267+Sheet1!BV269+'Calculations II'!BE267+AP267)</f>
        <v>77.024096</v>
      </c>
      <c r="EJ267" s="560">
        <f>Sheet1!AA269+Sheet1!AB269+'Calculations II'!BC267</f>
        <v>79</v>
      </c>
      <c r="EK267" s="560"/>
      <c r="EL267" s="560"/>
      <c r="EM267" s="560">
        <f t="shared" si="533"/>
        <v>41895</v>
      </c>
      <c r="EN267" s="560">
        <f t="shared" si="534"/>
        <v>-15.025485690411532</v>
      </c>
      <c r="EO267" s="560">
        <f t="shared" si="535"/>
        <v>-23.244426363066641</v>
      </c>
      <c r="EP267" s="560">
        <v>0</v>
      </c>
      <c r="EQ267" s="560">
        <v>0</v>
      </c>
      <c r="ER267" s="560">
        <v>0</v>
      </c>
      <c r="ES267" s="545">
        <f t="shared" si="557"/>
        <v>3.045184933510773</v>
      </c>
      <c r="ET267" s="560">
        <f>-(VLOOKUP(Sheet1!BQ269,Lookup!$O$4:$Q$262,2)-VLOOKUP(Sheet1!BQ268,Lookup!$O$4:$Q$262,2))/1000000</f>
        <v>1.5225572298408114</v>
      </c>
      <c r="EU267" s="560">
        <f>-(VLOOKUP(Sheet1!BR269,Lookup!$O$4:$Q$262,3)-VLOOKUP(Sheet1!BR268,Lookup!$O$4:$Q$262,3))/1000000</f>
        <v>1.5226277036699616</v>
      </c>
      <c r="EV267" s="560"/>
      <c r="EW267" s="560"/>
      <c r="EX267" s="560"/>
      <c r="EY267" s="560"/>
      <c r="EZ267" s="560"/>
      <c r="FA267" s="560"/>
      <c r="FB267" s="560"/>
      <c r="FC267" s="560"/>
      <c r="FD267" s="594">
        <f t="shared" si="536"/>
        <v>1123.9183673468733</v>
      </c>
      <c r="FE267" s="594" t="e">
        <f t="shared" si="537"/>
        <v>#N/A</v>
      </c>
      <c r="FF267" s="595" t="e">
        <f t="shared" si="538"/>
        <v>#N/A</v>
      </c>
      <c r="FG267" s="596" t="s">
        <v>692</v>
      </c>
      <c r="FH267" s="596" t="s">
        <v>692</v>
      </c>
      <c r="FI267" s="594" t="e">
        <v>#N/A</v>
      </c>
      <c r="FJ267" s="778">
        <v>12883</v>
      </c>
      <c r="FK267" s="560"/>
      <c r="FL267" s="560"/>
      <c r="FM267" s="560"/>
      <c r="FN267" s="560"/>
      <c r="FO267" s="560">
        <f>O267+((Sheet1!CS269)*GPMtoMGD)</f>
        <v>79</v>
      </c>
      <c r="FP267" s="560">
        <f>IF(Sheet1!AA269+AQ267&lt;=Calculation!N267,AQ267,Calculation!N267-Sheet1!AA269)</f>
        <v>31.585544182160014</v>
      </c>
      <c r="FQ267" s="560">
        <f>(Sheet1!BP269+Sheet1!BO269)/694.4</f>
        <v>3.0349942396313363</v>
      </c>
      <c r="FR267" s="560"/>
      <c r="FS267" s="560"/>
      <c r="FT267" s="560"/>
      <c r="FU267" s="560"/>
      <c r="FV267" s="695">
        <f t="shared" si="558"/>
        <v>41827</v>
      </c>
      <c r="FW267" s="695">
        <f t="shared" si="559"/>
        <v>41934</v>
      </c>
      <c r="FX267" s="560"/>
      <c r="FY267" s="560"/>
      <c r="FZ267" s="560"/>
      <c r="GA267" s="560"/>
      <c r="GB267" s="560" t="str">
        <f t="shared" si="560"/>
        <v>n</v>
      </c>
      <c r="GC267" s="564">
        <f t="shared" si="561"/>
        <v>41691</v>
      </c>
      <c r="GD267" s="695">
        <f t="shared" si="562"/>
        <v>41807</v>
      </c>
      <c r="GE267" s="560">
        <v>6518.9</v>
      </c>
      <c r="GF267" s="695">
        <f t="shared" si="563"/>
        <v>41808</v>
      </c>
      <c r="GG267" s="560">
        <f t="shared" si="479"/>
        <v>3259</v>
      </c>
      <c r="GH267" s="564">
        <f t="shared" si="564"/>
        <v>41934</v>
      </c>
      <c r="GJ267" s="545">
        <f t="shared" si="565"/>
        <v>0</v>
      </c>
      <c r="GK267" s="560" t="str">
        <f t="shared" si="539"/>
        <v/>
      </c>
      <c r="GL267" s="560">
        <f t="shared" si="566"/>
        <v>0</v>
      </c>
      <c r="GM267" s="560" t="str">
        <f t="shared" si="567"/>
        <v/>
      </c>
      <c r="GN267" s="560">
        <f>IF(GK267="P",Lookup!$M$12,IF(GK267="PP",Lookup!$M$13,IF(GK267="PPP",Lookup!$M$14,IF(GK267="T",Lookup!$M$15,IF(GK267="TP",Lookup!$M$16,IF(GK267="TPP",Lookup!$M$17,IF(GK267="TPPP",Lookup!$M$18,0)))))))*GJ267</f>
        <v>0</v>
      </c>
      <c r="GO267" s="560">
        <f t="shared" si="568"/>
        <v>0</v>
      </c>
      <c r="GP267" s="560">
        <f t="shared" si="540"/>
        <v>2195.2327453333342</v>
      </c>
      <c r="GQ267" s="560">
        <f t="shared" si="576"/>
        <v>715.52566666666689</v>
      </c>
      <c r="GR267" s="560"/>
      <c r="GS267" s="560">
        <f t="shared" si="569"/>
        <v>0</v>
      </c>
      <c r="GT267" s="560" t="str">
        <f t="shared" si="570"/>
        <v/>
      </c>
      <c r="GU267" s="560">
        <f>IF(GK267="P",Lookup!$N$12,IF(GK267="PP",Lookup!$N$13,IF(GK267="PPP",Lookup!$N$14,IF(GK267="T",Lookup!$N$15,IF(GK267="TP",Lookup!$N$16,IF(GK267="TPP",Lookup!$N$17,IF(GK267="TPPP",Lookup!$N$18,0)))))))*GJ267</f>
        <v>0</v>
      </c>
      <c r="GV267" s="560">
        <f t="shared" si="571"/>
        <v>0</v>
      </c>
      <c r="GW267" s="560">
        <f t="shared" si="541"/>
        <v>522.44658494877933</v>
      </c>
      <c r="GX267" s="560">
        <f t="shared" si="577"/>
        <v>170.2889781449737</v>
      </c>
      <c r="GY267" s="560"/>
      <c r="GZ267" s="560">
        <f t="shared" si="572"/>
        <v>0</v>
      </c>
      <c r="HA267" s="560" t="str">
        <f t="shared" si="573"/>
        <v/>
      </c>
      <c r="HB267" s="560">
        <f>IF(GK267="P",Lookup!$N$12,IF(GK267="PP",Lookup!$N$13,IF(GK267="PPP",Lookup!$N$14,IF(GK267="T",Lookup!$N$15,IF(GK267="TP",Lookup!$N$16,IF(GK267="TPP",Lookup!$N$17,IF(GK267="TPPP",Lookup!$N$18,0)))))))*GJ267</f>
        <v>0</v>
      </c>
      <c r="HC267" s="545">
        <f t="shared" si="542"/>
        <v>0</v>
      </c>
      <c r="HD267" s="560">
        <f t="shared" si="543"/>
        <v>806.90952842876322</v>
      </c>
      <c r="HE267" s="560">
        <f t="shared" si="578"/>
        <v>263.00832086987066</v>
      </c>
      <c r="HF267" s="560"/>
      <c r="HG267" s="560">
        <f t="shared" si="574"/>
        <v>0</v>
      </c>
      <c r="HH267" s="560" t="str">
        <f t="shared" si="575"/>
        <v/>
      </c>
      <c r="HI267" s="560">
        <f>IF(GK267="P",Lookup!$N$12,IF(GK267="PP",Lookup!$N$13,IF(GK267="PPP",Lookup!$N$14,IF(GK267="T",Lookup!$N$15,IF(GK267="TP",Lookup!$N$16,IF(GK267="TPP",Lookup!$N$17,IF(GK267="TPPP",Lookup!$N$18,0)))))))*GJ267</f>
        <v>0</v>
      </c>
      <c r="HJ267" s="545">
        <f t="shared" si="544"/>
        <v>0</v>
      </c>
      <c r="HK267" s="560">
        <f t="shared" si="545"/>
        <v>1334.4570521917606</v>
      </c>
      <c r="HL267" s="560">
        <f t="shared" si="579"/>
        <v>434.95992574698846</v>
      </c>
    </row>
    <row r="268" spans="1:220">
      <c r="A268" s="580" t="s">
        <v>3</v>
      </c>
      <c r="B268" s="556">
        <v>41896</v>
      </c>
      <c r="C268" s="561">
        <v>0</v>
      </c>
      <c r="D268" s="529">
        <f t="shared" si="477"/>
        <v>200</v>
      </c>
      <c r="E268" s="529">
        <f t="shared" si="478"/>
        <v>400</v>
      </c>
      <c r="F268" s="529">
        <v>250</v>
      </c>
      <c r="G268" s="560">
        <f>DR268+Sheet1!CZ270</f>
        <v>171.24256177488098</v>
      </c>
      <c r="H268" s="914">
        <f t="shared" si="546"/>
        <v>0</v>
      </c>
      <c r="I268" s="559">
        <f>MAX(Sheet1!Z270-AT268+(Sheet1!DA270-E268)*CFStoMGD,0)</f>
        <v>24.729600000000001</v>
      </c>
      <c r="J268" s="562">
        <f>IF(AND(B268&gt;=Calculation!GC268,B268&lt;=Calculation!GD268),IF(Sheet1!DB270&gt;=Calculation!D268,64.64,0),MAX(Sheet1!Z270-AT268+(Sheet1!DB270-D268)*CFStoMGD,0))</f>
        <v>64.16</v>
      </c>
      <c r="K268" s="904">
        <f t="shared" si="481"/>
        <v>0</v>
      </c>
      <c r="L268" s="560">
        <f>Sheet1!AA270+Sheet1!AB270-Sheet1!L270+(Sheet1!DA270-F268)*CFStoMGD</f>
        <v>154.4196</v>
      </c>
      <c r="M268" s="560">
        <f t="shared" si="482"/>
        <v>112.90501576990873</v>
      </c>
      <c r="N268" s="910">
        <f>IF(Sheet1!DA270&gt;=F268,MIN(73,MIN(MAX(L268,0),MAX(M268,0))),0)</f>
        <v>73</v>
      </c>
      <c r="O268" s="563">
        <f>Sheet1!AA270+Sheet1!AB270</f>
        <v>80.72999999999999</v>
      </c>
      <c r="P268" s="563">
        <f t="shared" si="483"/>
        <v>124.88930999999999</v>
      </c>
      <c r="Q268" s="898">
        <f t="shared" si="547"/>
        <v>65.701376146788988</v>
      </c>
      <c r="R268" s="829">
        <f t="shared" si="484"/>
        <v>15</v>
      </c>
      <c r="S268" s="898">
        <f t="shared" si="548"/>
        <v>0</v>
      </c>
      <c r="T268" s="898">
        <f t="shared" si="549"/>
        <v>0</v>
      </c>
      <c r="U268" s="898">
        <f t="shared" si="550"/>
        <v>15.028623853211009</v>
      </c>
      <c r="V268" s="898"/>
      <c r="W268" s="898">
        <f t="shared" si="551"/>
        <v>0</v>
      </c>
      <c r="X268" s="898">
        <f t="shared" si="552"/>
        <v>0</v>
      </c>
      <c r="Y268" s="898" t="str">
        <f t="shared" si="553"/>
        <v>FALSE</v>
      </c>
      <c r="Z268" s="898">
        <f t="shared" si="554"/>
        <v>80.72999999999999</v>
      </c>
      <c r="AA268" s="898">
        <f t="shared" si="555"/>
        <v>80.72999999999999</v>
      </c>
      <c r="AB268" s="898" t="str">
        <f t="shared" si="556"/>
        <v/>
      </c>
      <c r="AC268" s="563">
        <f>Sheet1!Y270*MGDtoCFS</f>
        <v>47.957000000000001</v>
      </c>
      <c r="AD268" s="563">
        <f>Sheet1!Z270*MGDtoCFS</f>
        <v>74.256</v>
      </c>
      <c r="AE268" s="563">
        <f>Sheet1!AA270*MGDtoCFS</f>
        <v>50.354849999999992</v>
      </c>
      <c r="AF268" s="563">
        <f>Sheet1!AB270*MGDtoCFS</f>
        <v>74.534459999999996</v>
      </c>
      <c r="AG268" s="563">
        <f>Sheet1!L270*MGDtoCFS</f>
        <v>0</v>
      </c>
      <c r="AH268" s="545">
        <f t="shared" si="485"/>
        <v>15.057660550458715</v>
      </c>
      <c r="AI268" s="560">
        <f t="shared" si="486"/>
        <v>23.294200871559632</v>
      </c>
      <c r="AJ268" s="560">
        <f t="shared" si="487"/>
        <v>0</v>
      </c>
      <c r="AK268" s="560">
        <f t="shared" si="488"/>
        <v>0</v>
      </c>
      <c r="AL268" s="560">
        <f>(VLOOKUP(Sheet1!DC270,hhdcap_wcm,4)-(((VLOOKUP(Sheet1!DC270,hhdcap_wcm,3)-Sheet1!DC270)/(VLOOKUP(Sheet1!DC270,hhdcap_wcm,3)-VLOOKUP(Sheet1!DC270,hhdcap_wcm,1)))*(VLOOKUP(Sheet1!DC270,hhdcap_wcm,4)-VLOOKUP(Sheet1!DC270,hhdcap_wcm,2))))</f>
        <v>30202.000000078784</v>
      </c>
      <c r="AM268" s="560">
        <f t="shared" si="489"/>
        <v>-410.00000000041109</v>
      </c>
      <c r="AN268" s="560">
        <f t="shared" si="490"/>
        <v>1568.7252308780412</v>
      </c>
      <c r="AO268" s="560">
        <f t="shared" si="491"/>
        <v>4812.8490083338302</v>
      </c>
      <c r="AP268" s="560">
        <f>Sheet1!BA270+Sheet1!BB270+Sheet1!BN270+CD268</f>
        <v>33</v>
      </c>
      <c r="AQ268" s="560">
        <f>Sheet1!BN270+(DO268*Sheet1!BN270)</f>
        <v>31.544036697247705</v>
      </c>
      <c r="AR268" s="560">
        <f>Sheet1!BA270+CD268</f>
        <v>0</v>
      </c>
      <c r="AS268" s="560">
        <f>Sheet1!BA270+Sheet1!BB270+CD268</f>
        <v>1.6</v>
      </c>
      <c r="AT268" s="698">
        <f>0</f>
        <v>0</v>
      </c>
      <c r="AU268" s="560">
        <f>IF(EB268&lt;K268,0,MAX(Sheet1!AA270+AQ268-15/36*K268-N268,Sheet1!EH270,0))</f>
        <v>0</v>
      </c>
      <c r="AV268" s="560">
        <f>IF(OR(B268&gt;=GD268,B268&lt;GC268),0,15/36*K268-MAX(0,64.6-(137.6-(Sheet1!AA270+Sheet1!AB270))))</f>
        <v>0</v>
      </c>
      <c r="AW268" s="698">
        <f>Sheet1!DB270-110</f>
        <v>115</v>
      </c>
      <c r="AX268" s="698">
        <f>Sheet1!DA270-265</f>
        <v>99</v>
      </c>
      <c r="AY268" s="698">
        <f t="shared" si="492"/>
        <v>7.2986238532110121</v>
      </c>
      <c r="AZ268" s="698">
        <v>0</v>
      </c>
      <c r="BA268" s="698">
        <f t="shared" si="493"/>
        <v>0</v>
      </c>
      <c r="BB268" s="560">
        <f t="shared" si="494"/>
        <v>715.52566666666689</v>
      </c>
      <c r="BC268" s="560"/>
      <c r="BD268" s="560">
        <f ca="1">IF(B268&gt;Summary!$A$1,#N/A,BB268*MGtoAF)</f>
        <v>2195.2327453333342</v>
      </c>
      <c r="BE268" s="560">
        <f>Sheet1!BG270+Sheet1!BH270+Sheet1!BI270-BM268</f>
        <v>2.02</v>
      </c>
      <c r="BF268" s="560">
        <f t="shared" si="495"/>
        <v>2.0292660550458717</v>
      </c>
      <c r="BG268" s="560">
        <f>IF(Sheet1!EP270="FM",BM268,0)</f>
        <v>0</v>
      </c>
      <c r="BH268" s="560">
        <f t="shared" si="496"/>
        <v>0</v>
      </c>
      <c r="BI268" s="560">
        <f>IF(Sheet1!EP270="OTHER",BM268,0)</f>
        <v>0</v>
      </c>
      <c r="BJ268" s="560">
        <f t="shared" si="497"/>
        <v>0</v>
      </c>
      <c r="BK268" s="560">
        <f t="shared" si="498"/>
        <v>2.02</v>
      </c>
      <c r="BL268" s="560">
        <f t="shared" si="499"/>
        <v>2.0292660550458717</v>
      </c>
      <c r="BM268" s="560">
        <f>IF(OR(Sheet1!EP270="FM", Sheet1!EP270="OTHER"),SUM(Sheet1!BG270:'Sheet1'!BI270),0)</f>
        <v>0</v>
      </c>
      <c r="BN268" s="545">
        <f>IF(AND($B268&gt;=$FV268,$B268&lt;=$FW268),MAX(BF268,Sheet1!EI270,0),MAX(BF268-(7/36)*$K268,0))</f>
        <v>2.0292660550458717</v>
      </c>
      <c r="BO268" s="560">
        <f t="shared" si="500"/>
        <v>0</v>
      </c>
      <c r="BP268" s="545">
        <f t="shared" si="501"/>
        <v>0</v>
      </c>
      <c r="BQ268" s="545">
        <f>IF(AND($O268&gt;0,Sheet1!EM270=1),(1-($O268-Sheet1!$L270)/$O268)*BL268,0)</f>
        <v>0</v>
      </c>
      <c r="BR268" s="545">
        <f>IF(AND(Sheet1!$L270=0,Sheet1!$L269=0, Calculation!BK268&lt;Sheet1!$EI270-0.1,Sheet1!$EI270=Sheet1!$EI269,Sheet1!$EI270=Sheet1!$EI271),Sheet1!$EI270,BL268-BQ268)</f>
        <v>2.0292660550458717</v>
      </c>
      <c r="BS268" s="560"/>
      <c r="BT268" s="560"/>
      <c r="BU268" s="560">
        <f t="shared" si="502"/>
        <v>168.25971208992783</v>
      </c>
      <c r="BV268" s="560"/>
      <c r="BW268" s="560">
        <f ca="1">IF(B268&gt;Summary!$A$1,#N/A,BU268*MGtoAF)</f>
        <v>516.22079669189861</v>
      </c>
      <c r="BX268" s="560">
        <f>Sheet1!BC270+Sheet1!BD270+Sheet1!BE270+Sheet1!BF270-CG268-CH268</f>
        <v>4.01</v>
      </c>
      <c r="BY268" s="560">
        <f t="shared" si="503"/>
        <v>4.0283944954128437</v>
      </c>
      <c r="BZ268" s="560">
        <f>IF(Sheet1!EQ270="FM",CH268,0)</f>
        <v>0</v>
      </c>
      <c r="CA268" s="560">
        <f t="shared" si="504"/>
        <v>0</v>
      </c>
      <c r="CB268" s="560">
        <f>IF(Sheet1!EQ270="OTHER",CH268,0)</f>
        <v>0</v>
      </c>
      <c r="CC268" s="560">
        <f t="shared" si="505"/>
        <v>0</v>
      </c>
      <c r="CD268" s="560">
        <f t="shared" si="506"/>
        <v>0</v>
      </c>
      <c r="CE268" s="560">
        <f t="shared" si="507"/>
        <v>4.01</v>
      </c>
      <c r="CF268" s="560">
        <f t="shared" si="508"/>
        <v>4.0283944954128437</v>
      </c>
      <c r="CG268" s="560">
        <f>IF(Sheet1!EQ270="CWA",SUM(Sheet1!BC270:'Sheet1'!BF270),0)</f>
        <v>0</v>
      </c>
      <c r="CH268" s="560">
        <f>IF(OR(Sheet1!EQ270="FM", Sheet1!EQ270="OTHER"),SUM(Sheet1!BC270:'Sheet1'!BF270),0)</f>
        <v>0</v>
      </c>
      <c r="CI268" s="545">
        <f>IF(AND($B268&gt;=$FV268,$B268&lt;=$FW268),MAX(CF268,Sheet1!EJ270,0),MAX(CF268-(7/36)*$K268,0))</f>
        <v>4.0283944954128437</v>
      </c>
      <c r="CJ268" s="560">
        <f t="shared" si="509"/>
        <v>0</v>
      </c>
      <c r="CK268" s="545">
        <f t="shared" si="510"/>
        <v>0</v>
      </c>
      <c r="CL268" s="545">
        <f>IF(AND($O268&gt;0,Sheet1!EN270=1),(1-($O268-Sheet1!$L270)/$O268)*CF268,0)</f>
        <v>0</v>
      </c>
      <c r="CM268" s="545">
        <f>IF(AND(Sheet1!$L270=0,Sheet1!$L269=0, Calculation!CE268&lt;Sheet1!EJ270-0.1,Sheet1!EJ270=Sheet1!EJ269,Sheet1!EJ270=Sheet1!EJ271),Sheet1!EJ270,CF268-CL268)</f>
        <v>4.0283944954128437</v>
      </c>
      <c r="CN268" s="545"/>
      <c r="CO268" s="560"/>
      <c r="CP268" s="560">
        <f t="shared" si="511"/>
        <v>258.97992637445782</v>
      </c>
      <c r="CQ268" s="560"/>
      <c r="CR268" s="560">
        <f ca="1">IF(B268&gt;Summary!$A$1,#N/A,CP268*MGtoAF)</f>
        <v>794.55041411683658</v>
      </c>
      <c r="CS268" s="560">
        <f>Sheet1!BK270+Sheet1!BL270+Sheet1!BM270-Sheet1!ER270-DA268</f>
        <v>8.93</v>
      </c>
      <c r="CT268" s="560">
        <f t="shared" si="512"/>
        <v>8.9709633027522937</v>
      </c>
      <c r="CU268" s="560">
        <f>IF(Sheet1!ER270="FM",DA268,0)</f>
        <v>0</v>
      </c>
      <c r="CV268" s="560">
        <f t="shared" si="513"/>
        <v>0</v>
      </c>
      <c r="CW268" s="560">
        <f>IF(Sheet1!ER270="OTHER",DA268,0)</f>
        <v>0</v>
      </c>
      <c r="CX268" s="560">
        <f t="shared" si="514"/>
        <v>0</v>
      </c>
      <c r="CY268" s="560">
        <f t="shared" si="515"/>
        <v>8.93</v>
      </c>
      <c r="CZ268" s="560">
        <f t="shared" si="516"/>
        <v>8.9709633027522937</v>
      </c>
      <c r="DA268" s="560">
        <f>IF(OR(Sheet1!ER270="FM", Sheet1!ER270="OTHER"),SUM(Sheet1!BK270:'Sheet1'!BM270),0)</f>
        <v>0</v>
      </c>
      <c r="DB268" s="545">
        <f>IF(AND($B268&gt;=$FV268,$B268&lt;=$FW268),MAX($CT268,Sheet1!EK270,0),MAX($CT268-(7/36)*$K268,0))</f>
        <v>9</v>
      </c>
      <c r="DC268" s="560">
        <f t="shared" si="517"/>
        <v>0</v>
      </c>
      <c r="DD268" s="545">
        <f t="shared" si="518"/>
        <v>0</v>
      </c>
      <c r="DE268" s="545">
        <f>IF(AND($O268&gt;0,Sheet1!EO270=1),(1-($O268-Sheet1!$L270)/$O268)*CZ268,0)</f>
        <v>0</v>
      </c>
      <c r="DF268" s="545">
        <f>IF(AND(Sheet1!$L270=0,Sheet1!$L269=0, Calculation!CY268&lt;Sheet1!$EK270-0.1,Sheet1!$EK270=Sheet1!$EK269,Sheet1!$EK270=Sheet1!$EK271),Sheet1!$EK270,CZ268-DE268)</f>
        <v>8.9709633027522937</v>
      </c>
      <c r="DG268" s="545"/>
      <c r="DH268" s="560">
        <f t="shared" si="519"/>
        <v>14.959999999999999</v>
      </c>
      <c r="DI268" s="560">
        <f t="shared" si="520"/>
        <v>425.95992574698846</v>
      </c>
      <c r="DJ268" s="698">
        <f t="shared" si="521"/>
        <v>15.028623853211009</v>
      </c>
      <c r="DK268" s="560">
        <f ca="1">IF(B268&gt;Summary!$A$1,#N/A,DI268*MGtoAF)</f>
        <v>1306.8450521917607</v>
      </c>
      <c r="DL268" s="698">
        <f t="shared" si="522"/>
        <v>14.959999999999999</v>
      </c>
      <c r="DM268" s="560">
        <f t="shared" si="523"/>
        <v>47.96</v>
      </c>
      <c r="DN268" s="560">
        <f>Sheet1!AB270-DM268</f>
        <v>0.21999999999999886</v>
      </c>
      <c r="DO268" s="823">
        <f t="shared" si="524"/>
        <v>4.5871559633027283E-3</v>
      </c>
      <c r="DP268" s="560">
        <f>(VLOOKUP(Sheet1!DC270,hhdcap_wcm,4)-(((VLOOKUP(Sheet1!DC270,hhdcap_wcm,3)-Sheet1!DC270)/(VLOOKUP(Sheet1!DC270,hhdcap_wcm,3)-VLOOKUP(Sheet1!DC270,hhdcap_wcm,1)))*(VLOOKUP(Sheet1!DC270,hhdcap_wcm,4)-VLOOKUP(Sheet1!DC270,hhdcap_wcm,2))))</f>
        <v>30202.000000078784</v>
      </c>
      <c r="DQ268" s="560">
        <f t="shared" si="525"/>
        <v>-410.00000000041109</v>
      </c>
      <c r="DR268" s="560">
        <f t="shared" si="526"/>
        <v>-206.75743822511902</v>
      </c>
      <c r="DS268" s="560">
        <f>Sheet1!EA270*AFtoMG</f>
        <v>0</v>
      </c>
      <c r="DT268" s="560">
        <f>Sheet1!EB270*AFtoMG</f>
        <v>0</v>
      </c>
      <c r="DU268" s="560">
        <f>Sheet1!EC270*AFtoMG</f>
        <v>0</v>
      </c>
      <c r="DV268" s="560">
        <f>Sheet1!ED270*AFtoMG</f>
        <v>0</v>
      </c>
      <c r="DW268" s="560">
        <f t="shared" si="527"/>
        <v>0</v>
      </c>
      <c r="DX268" s="560">
        <f t="shared" si="528"/>
        <v>0</v>
      </c>
      <c r="DY268" s="560">
        <f t="shared" si="529"/>
        <v>1568.7252308780412</v>
      </c>
      <c r="DZ268" s="560">
        <f t="shared" si="530"/>
        <v>4812.8490083338302</v>
      </c>
      <c r="EA268" s="560"/>
      <c r="EB268" s="545">
        <f>IF(OR(B268&lt;FV268,B268&gt;FW268),(MIN(BF268+BY268+CT268+MAX(Sheet1!AA270+AQ268-73,0),K268)),0)</f>
        <v>0</v>
      </c>
      <c r="EC268" s="560"/>
      <c r="ED268" s="560">
        <f t="shared" si="531"/>
        <v>15.028623853211009</v>
      </c>
      <c r="EE268" s="560"/>
      <c r="EF268" s="560">
        <f>Sheet1!EH270+Sheet1!EI270+Sheet1!EJ270+Sheet1!EK270</f>
        <v>15</v>
      </c>
      <c r="EG268" s="560"/>
      <c r="EH268" s="545">
        <f t="shared" si="532"/>
        <v>0</v>
      </c>
      <c r="EI268" s="560">
        <f>IF(Sheet1!ET270=1,SUM('Calculations II'!AT268:BA268)+'Calculations II'!BC268+Sheet1!BV270+'Calculations II'!BE268+AP268,SUM('Calculations II'!AT268:BA268)+'Calculations II'!BC268+Sheet1!BV270+'Calculations II'!BE268+AP268)</f>
        <v>76.315888000000001</v>
      </c>
      <c r="EJ268" s="560">
        <f>Sheet1!AA270+Sheet1!AB270+'Calculations II'!BC268</f>
        <v>80.72999999999999</v>
      </c>
      <c r="EK268" s="560"/>
      <c r="EL268" s="560"/>
      <c r="EM268" s="560">
        <f t="shared" si="533"/>
        <v>41896</v>
      </c>
      <c r="EN268" s="560">
        <f t="shared" si="534"/>
        <v>-15.057660550458715</v>
      </c>
      <c r="EO268" s="560">
        <f t="shared" si="535"/>
        <v>-23.294200871559632</v>
      </c>
      <c r="EP268" s="560">
        <v>0</v>
      </c>
      <c r="EQ268" s="560">
        <v>0</v>
      </c>
      <c r="ER268" s="560">
        <v>0</v>
      </c>
      <c r="ES268" s="545">
        <f t="shared" si="557"/>
        <v>0.27675811725742744</v>
      </c>
      <c r="ET268" s="560">
        <f>-(VLOOKUP(Sheet1!BQ270,Lookup!$O$4:$Q$262,2)-VLOOKUP(Sheet1!BQ269,Lookup!$O$4:$Q$262,2))/1000000</f>
        <v>0.13837585571623967</v>
      </c>
      <c r="EU268" s="560">
        <f>-(VLOOKUP(Sheet1!BR270,Lookup!$O$4:$Q$262,3)-VLOOKUP(Sheet1!BR269,Lookup!$O$4:$Q$262,3))/1000000</f>
        <v>0.13838226154118777</v>
      </c>
      <c r="EV268" s="560"/>
      <c r="EW268" s="560"/>
      <c r="EX268" s="560"/>
      <c r="EY268" s="560"/>
      <c r="EZ268" s="560"/>
      <c r="FA268" s="560"/>
      <c r="FB268" s="560"/>
      <c r="FC268" s="560"/>
      <c r="FD268" s="594">
        <f t="shared" si="536"/>
        <v>1123.4729166666016</v>
      </c>
      <c r="FE268" s="594" t="e">
        <f t="shared" si="537"/>
        <v>#N/A</v>
      </c>
      <c r="FF268" s="595" t="e">
        <f t="shared" si="538"/>
        <v>#N/A</v>
      </c>
      <c r="FG268" s="596" t="s">
        <v>692</v>
      </c>
      <c r="FH268" s="596" t="s">
        <v>692</v>
      </c>
      <c r="FI268" s="594" t="e">
        <v>#N/A</v>
      </c>
      <c r="FJ268" s="778">
        <v>12666</v>
      </c>
      <c r="FK268" s="560"/>
      <c r="FL268" s="560"/>
      <c r="FM268" s="560"/>
      <c r="FN268" s="560"/>
      <c r="FO268" s="560">
        <f>O268+((Sheet1!CS270)*GPMtoMGD)</f>
        <v>80.72999999999999</v>
      </c>
      <c r="FP268" s="560">
        <f>IF(Sheet1!AA270+AQ268&lt;=Calculation!N268,AQ268,Calculation!N268-Sheet1!AA270)</f>
        <v>31.544036697247705</v>
      </c>
      <c r="FQ268" s="560">
        <f>(Sheet1!BP270+Sheet1!BO270)/694.4</f>
        <v>3.1504896313364052</v>
      </c>
      <c r="FR268" s="560"/>
      <c r="FS268" s="560"/>
      <c r="FT268" s="560"/>
      <c r="FU268" s="560"/>
      <c r="FV268" s="695">
        <f t="shared" si="558"/>
        <v>41827</v>
      </c>
      <c r="FW268" s="695">
        <f t="shared" si="559"/>
        <v>41934</v>
      </c>
      <c r="FX268" s="560"/>
      <c r="FY268" s="560"/>
      <c r="FZ268" s="560"/>
      <c r="GA268" s="560"/>
      <c r="GB268" s="560" t="str">
        <f t="shared" si="560"/>
        <v>n</v>
      </c>
      <c r="GC268" s="564">
        <f t="shared" si="561"/>
        <v>41691</v>
      </c>
      <c r="GD268" s="695">
        <f t="shared" si="562"/>
        <v>41807</v>
      </c>
      <c r="GE268" s="560">
        <v>6518.9</v>
      </c>
      <c r="GF268" s="695">
        <f t="shared" si="563"/>
        <v>41808</v>
      </c>
      <c r="GG268" s="560">
        <f t="shared" si="479"/>
        <v>3259</v>
      </c>
      <c r="GH268" s="564">
        <f t="shared" si="564"/>
        <v>41934</v>
      </c>
      <c r="GJ268" s="545">
        <f t="shared" si="565"/>
        <v>0</v>
      </c>
      <c r="GK268" s="560" t="str">
        <f t="shared" si="539"/>
        <v/>
      </c>
      <c r="GL268" s="560">
        <f t="shared" si="566"/>
        <v>0</v>
      </c>
      <c r="GM268" s="560" t="str">
        <f t="shared" si="567"/>
        <v/>
      </c>
      <c r="GN268" s="560">
        <f>IF(GK268="P",Lookup!$M$12,IF(GK268="PP",Lookup!$M$13,IF(GK268="PPP",Lookup!$M$14,IF(GK268="T",Lookup!$M$15,IF(GK268="TP",Lookup!$M$16,IF(GK268="TPP",Lookup!$M$17,IF(GK268="TPPP",Lookup!$M$18,0)))))))*GJ268</f>
        <v>0</v>
      </c>
      <c r="GO268" s="560">
        <f t="shared" si="568"/>
        <v>0</v>
      </c>
      <c r="GP268" s="560">
        <f t="shared" si="540"/>
        <v>2195.2327453333342</v>
      </c>
      <c r="GQ268" s="560">
        <f t="shared" si="576"/>
        <v>715.52566666666689</v>
      </c>
      <c r="GR268" s="560"/>
      <c r="GS268" s="560">
        <f t="shared" si="569"/>
        <v>0</v>
      </c>
      <c r="GT268" s="560" t="str">
        <f t="shared" si="570"/>
        <v/>
      </c>
      <c r="GU268" s="560">
        <f>IF(GK268="P",Lookup!$N$12,IF(GK268="PP",Lookup!$N$13,IF(GK268="PPP",Lookup!$N$14,IF(GK268="T",Lookup!$N$15,IF(GK268="TP",Lookup!$N$16,IF(GK268="TPP",Lookup!$N$17,IF(GK268="TPPP",Lookup!$N$18,0)))))))*GJ268</f>
        <v>0</v>
      </c>
      <c r="GV268" s="560">
        <f t="shared" si="571"/>
        <v>0</v>
      </c>
      <c r="GW268" s="560">
        <f t="shared" si="541"/>
        <v>516.22079669189861</v>
      </c>
      <c r="GX268" s="560">
        <f t="shared" si="577"/>
        <v>168.25971208992783</v>
      </c>
      <c r="GY268" s="560"/>
      <c r="GZ268" s="560">
        <f t="shared" si="572"/>
        <v>0</v>
      </c>
      <c r="HA268" s="560" t="str">
        <f t="shared" si="573"/>
        <v/>
      </c>
      <c r="HB268" s="560">
        <f>IF(GK268="P",Lookup!$N$12,IF(GK268="PP",Lookup!$N$13,IF(GK268="PPP",Lookup!$N$14,IF(GK268="T",Lookup!$N$15,IF(GK268="TP",Lookup!$N$16,IF(GK268="TPP",Lookup!$N$17,IF(GK268="TPPP",Lookup!$N$18,0)))))))*GJ268</f>
        <v>0</v>
      </c>
      <c r="HC268" s="545">
        <f t="shared" si="542"/>
        <v>0</v>
      </c>
      <c r="HD268" s="560">
        <f t="shared" si="543"/>
        <v>794.55041411683658</v>
      </c>
      <c r="HE268" s="560">
        <f t="shared" si="578"/>
        <v>258.97992637445782</v>
      </c>
      <c r="HF268" s="560"/>
      <c r="HG268" s="560">
        <f t="shared" si="574"/>
        <v>0</v>
      </c>
      <c r="HH268" s="560" t="str">
        <f t="shared" si="575"/>
        <v/>
      </c>
      <c r="HI268" s="560">
        <f>IF(GK268="P",Lookup!$N$12,IF(GK268="PP",Lookup!$N$13,IF(GK268="PPP",Lookup!$N$14,IF(GK268="T",Lookup!$N$15,IF(GK268="TP",Lookup!$N$16,IF(GK268="TPP",Lookup!$N$17,IF(GK268="TPPP",Lookup!$N$18,0)))))))*GJ268</f>
        <v>0</v>
      </c>
      <c r="HJ268" s="545">
        <f t="shared" si="544"/>
        <v>0</v>
      </c>
      <c r="HK268" s="560">
        <f t="shared" si="545"/>
        <v>1306.8450521917607</v>
      </c>
      <c r="HL268" s="560">
        <f t="shared" si="579"/>
        <v>425.95992574698846</v>
      </c>
    </row>
    <row r="269" spans="1:220">
      <c r="A269" s="580" t="s">
        <v>4</v>
      </c>
      <c r="B269" s="556">
        <v>41897</v>
      </c>
      <c r="C269" s="561">
        <v>0</v>
      </c>
      <c r="D269" s="529">
        <f t="shared" si="477"/>
        <v>200</v>
      </c>
      <c r="E269" s="529">
        <f t="shared" si="478"/>
        <v>400</v>
      </c>
      <c r="F269" s="529">
        <v>250</v>
      </c>
      <c r="G269" s="560">
        <f>DR269+Sheet1!CZ271</f>
        <v>163.7791225400795</v>
      </c>
      <c r="H269" s="914">
        <f t="shared" si="546"/>
        <v>0</v>
      </c>
      <c r="I269" s="559">
        <f>MAX(Sheet1!Z271-AT269+(Sheet1!DA271-E269)*CFStoMGD,0)</f>
        <v>24.909600000000001</v>
      </c>
      <c r="J269" s="562">
        <f>IF(AND(B269&gt;=Calculation!GC269,B269&lt;=Calculation!GD269),IF(Sheet1!DB271&gt;=Calculation!D269,64.64,0),MAX(Sheet1!Z271-AT269+(Sheet1!DB271-D269)*CFStoMGD,0))</f>
        <v>61.754399999999997</v>
      </c>
      <c r="K269" s="904">
        <f t="shared" si="481"/>
        <v>0</v>
      </c>
      <c r="L269" s="560">
        <f>Sheet1!AA271+Sheet1!AB271-Sheet1!L271+(Sheet1!DA271-F269)*CFStoMGD</f>
        <v>155.09960000000001</v>
      </c>
      <c r="M269" s="560">
        <f t="shared" si="482"/>
        <v>107.98416130610553</v>
      </c>
      <c r="N269" s="910">
        <f>IF(Sheet1!DA271&gt;=F269,MIN(73,MIN(MAX(L269,0),MAX(M269,0))),0)</f>
        <v>73</v>
      </c>
      <c r="O269" s="563">
        <f>Sheet1!AA271+Sheet1!AB271</f>
        <v>81.41</v>
      </c>
      <c r="P269" s="563">
        <f t="shared" si="483"/>
        <v>125.94127</v>
      </c>
      <c r="Q269" s="898">
        <f t="shared" si="547"/>
        <v>66.41</v>
      </c>
      <c r="R269" s="829">
        <f t="shared" si="484"/>
        <v>15</v>
      </c>
      <c r="S269" s="898">
        <f t="shared" si="548"/>
        <v>0</v>
      </c>
      <c r="T269" s="898">
        <f t="shared" si="549"/>
        <v>0</v>
      </c>
      <c r="U269" s="898">
        <f t="shared" si="550"/>
        <v>15</v>
      </c>
      <c r="V269" s="898"/>
      <c r="W269" s="898">
        <f t="shared" si="551"/>
        <v>0</v>
      </c>
      <c r="X269" s="898">
        <f t="shared" si="552"/>
        <v>0</v>
      </c>
      <c r="Y269" s="898" t="str">
        <f t="shared" si="553"/>
        <v>FALSE</v>
      </c>
      <c r="Z269" s="898">
        <f t="shared" si="554"/>
        <v>81.41</v>
      </c>
      <c r="AA269" s="898">
        <f t="shared" si="555"/>
        <v>81.41</v>
      </c>
      <c r="AB269" s="898" t="str">
        <f t="shared" si="556"/>
        <v/>
      </c>
      <c r="AC269" s="563">
        <f>Sheet1!Y271*MGDtoCFS</f>
        <v>50.354849999999992</v>
      </c>
      <c r="AD269" s="563">
        <f>Sheet1!Z271*MGDtoCFS</f>
        <v>74.534459999999996</v>
      </c>
      <c r="AE269" s="563">
        <f>Sheet1!AA271*MGDtoCFS</f>
        <v>51.80903</v>
      </c>
      <c r="AF269" s="563">
        <f>Sheet1!AB271*MGDtoCFS</f>
        <v>74.132239999999996</v>
      </c>
      <c r="AG269" s="563">
        <f>Sheet1!L271*MGDtoCFS</f>
        <v>0</v>
      </c>
      <c r="AH269" s="545">
        <f t="shared" si="485"/>
        <v>15.022955067920586</v>
      </c>
      <c r="AI269" s="560">
        <f t="shared" si="486"/>
        <v>23.240511490073146</v>
      </c>
      <c r="AJ269" s="560">
        <f t="shared" si="487"/>
        <v>0</v>
      </c>
      <c r="AK269" s="560">
        <f t="shared" si="488"/>
        <v>0</v>
      </c>
      <c r="AL269" s="560">
        <f>(VLOOKUP(Sheet1!DC271,hhdcap_wcm,4)-(((VLOOKUP(Sheet1!DC271,hhdcap_wcm,3)-Sheet1!DC271)/(VLOOKUP(Sheet1!DC271,hhdcap_wcm,3)-VLOOKUP(Sheet1!DC271,hhdcap_wcm,1)))*(VLOOKUP(Sheet1!DC271,hhdcap_wcm,4)-VLOOKUP(Sheet1!DC271,hhdcap_wcm,2))))</f>
        <v>29777.200000075762</v>
      </c>
      <c r="AM269" s="560">
        <f t="shared" si="489"/>
        <v>-424.80000000302243</v>
      </c>
      <c r="AN269" s="560">
        <f t="shared" si="490"/>
        <v>1553.7022758101207</v>
      </c>
      <c r="AO269" s="560">
        <f t="shared" si="491"/>
        <v>4766.75858218545</v>
      </c>
      <c r="AP269" s="560">
        <f>Sheet1!BA271+Sheet1!BB271+Sheet1!BN271+CD269</f>
        <v>32.9</v>
      </c>
      <c r="AQ269" s="560">
        <f>Sheet1!BN271+(DO269*Sheet1!BN271)</f>
        <v>31.345788923719965</v>
      </c>
      <c r="AR269" s="560">
        <f>Sheet1!BA271+CD269</f>
        <v>0</v>
      </c>
      <c r="AS269" s="560">
        <f>Sheet1!BA271+Sheet1!BB271+CD269</f>
        <v>1.6</v>
      </c>
      <c r="AT269" s="698">
        <f>0</f>
        <v>0</v>
      </c>
      <c r="AU269" s="560">
        <f>IF(EB269&lt;K269,0,MAX(Sheet1!AA271+AQ269-15/36*K269-N269,Sheet1!EH271,0))</f>
        <v>0</v>
      </c>
      <c r="AV269" s="560">
        <f>IF(OR(B269&gt;=GD269,B269&lt;GC269),0,15/36*K269-MAX(0,64.6-(137.6-(Sheet1!AA271+Sheet1!AB271))))</f>
        <v>0</v>
      </c>
      <c r="AW269" s="698">
        <f>Sheet1!DB271-110</f>
        <v>111</v>
      </c>
      <c r="AX269" s="698">
        <f>Sheet1!DA271-265</f>
        <v>99</v>
      </c>
      <c r="AY269" s="698">
        <f t="shared" si="492"/>
        <v>6.5900000000000034</v>
      </c>
      <c r="AZ269" s="698">
        <v>0</v>
      </c>
      <c r="BA269" s="698">
        <f t="shared" si="493"/>
        <v>0</v>
      </c>
      <c r="BB269" s="560">
        <f t="shared" si="494"/>
        <v>715.52566666666689</v>
      </c>
      <c r="BC269" s="560"/>
      <c r="BD269" s="560">
        <f ca="1">IF(B269&gt;Summary!$A$1,#N/A,BB269*MGtoAF)</f>
        <v>2195.2327453333342</v>
      </c>
      <c r="BE269" s="560">
        <f>Sheet1!BG271+Sheet1!BH271+Sheet1!BI271-BM269</f>
        <v>2.02</v>
      </c>
      <c r="BF269" s="560">
        <f t="shared" si="495"/>
        <v>2.0229550679205857</v>
      </c>
      <c r="BG269" s="560">
        <f>IF(Sheet1!EP271="FM",BM269,0)</f>
        <v>0</v>
      </c>
      <c r="BH269" s="560">
        <f t="shared" si="496"/>
        <v>0</v>
      </c>
      <c r="BI269" s="560">
        <f>IF(Sheet1!EP271="OTHER",BM269,0)</f>
        <v>0</v>
      </c>
      <c r="BJ269" s="560">
        <f t="shared" si="497"/>
        <v>0</v>
      </c>
      <c r="BK269" s="560">
        <f t="shared" si="498"/>
        <v>2.02</v>
      </c>
      <c r="BL269" s="560">
        <f t="shared" si="499"/>
        <v>2.0229550679205857</v>
      </c>
      <c r="BM269" s="560">
        <f>IF(OR(Sheet1!EP271="FM", Sheet1!EP271="OTHER"),SUM(Sheet1!BG271:'Sheet1'!BI271),0)</f>
        <v>0</v>
      </c>
      <c r="BN269" s="545">
        <f>IF(AND($B269&gt;=$FV269,$B269&lt;=$FW269),MAX(BF269,Sheet1!EI271,0),MAX(BF269-(7/36)*$K269,0))</f>
        <v>2.0229550679205857</v>
      </c>
      <c r="BO269" s="560">
        <f t="shared" si="500"/>
        <v>0</v>
      </c>
      <c r="BP269" s="545">
        <f t="shared" si="501"/>
        <v>0</v>
      </c>
      <c r="BQ269" s="545">
        <f>IF(AND($O269&gt;0,Sheet1!EM271=1),(1-($O269-Sheet1!$L271)/$O269)*BL269,0)</f>
        <v>0</v>
      </c>
      <c r="BR269" s="545">
        <f>IF(AND(Sheet1!$L271=0,Sheet1!$L270=0, Calculation!BK269&lt;Sheet1!$EI271-0.1,Sheet1!$EI271=Sheet1!$EI270,Sheet1!$EI271=Sheet1!$EI272),Sheet1!$EI271,BL269-BQ269)</f>
        <v>2.0229550679205857</v>
      </c>
      <c r="BS269" s="560"/>
      <c r="BT269" s="560"/>
      <c r="BU269" s="560">
        <f t="shared" si="502"/>
        <v>166.23675702200725</v>
      </c>
      <c r="BV269" s="560"/>
      <c r="BW269" s="560">
        <f ca="1">IF(B269&gt;Summary!$A$1,#N/A,BU269*MGtoAF)</f>
        <v>510.01437054351828</v>
      </c>
      <c r="BX269" s="560">
        <f>Sheet1!BC271+Sheet1!BD271+Sheet1!BE271+Sheet1!BF271-CG269-CH269</f>
        <v>3.99</v>
      </c>
      <c r="BY269" s="560">
        <f t="shared" si="503"/>
        <v>3.9958369905956119</v>
      </c>
      <c r="BZ269" s="560">
        <f>IF(Sheet1!EQ271="FM",CH269,0)</f>
        <v>0</v>
      </c>
      <c r="CA269" s="560">
        <f t="shared" si="504"/>
        <v>0</v>
      </c>
      <c r="CB269" s="560">
        <f>IF(Sheet1!EQ271="OTHER",CH269,0)</f>
        <v>0</v>
      </c>
      <c r="CC269" s="560">
        <f t="shared" si="505"/>
        <v>0</v>
      </c>
      <c r="CD269" s="560">
        <f t="shared" si="506"/>
        <v>0</v>
      </c>
      <c r="CE269" s="560">
        <f t="shared" si="507"/>
        <v>3.99</v>
      </c>
      <c r="CF269" s="560">
        <f t="shared" si="508"/>
        <v>3.9958369905956119</v>
      </c>
      <c r="CG269" s="560">
        <f>IF(Sheet1!EQ271="CWA",SUM(Sheet1!BC271:'Sheet1'!BF271),0)</f>
        <v>0</v>
      </c>
      <c r="CH269" s="560">
        <f>IF(OR(Sheet1!EQ271="FM", Sheet1!EQ271="OTHER"),SUM(Sheet1!BC271:'Sheet1'!BF271),0)</f>
        <v>0</v>
      </c>
      <c r="CI269" s="545">
        <f>IF(AND($B269&gt;=$FV269,$B269&lt;=$FW269),MAX(CF269,Sheet1!EJ271,0),MAX(CF269-(7/36)*$K269,0))</f>
        <v>4</v>
      </c>
      <c r="CJ269" s="560">
        <f t="shared" si="509"/>
        <v>0</v>
      </c>
      <c r="CK269" s="545">
        <f t="shared" si="510"/>
        <v>0</v>
      </c>
      <c r="CL269" s="545">
        <f>IF(AND($O269&gt;0,Sheet1!EN271=1),(1-($O269-Sheet1!$L271)/$O269)*CF269,0)</f>
        <v>0</v>
      </c>
      <c r="CM269" s="545">
        <f>IF(AND(Sheet1!$L271=0,Sheet1!$L270=0, Calculation!CE269&lt;Sheet1!EJ271-0.1,Sheet1!EJ271=Sheet1!EJ270,Sheet1!EJ271=Sheet1!EJ272),Sheet1!EJ271,CF269-CL269)</f>
        <v>3.9958369905956119</v>
      </c>
      <c r="CN269" s="545"/>
      <c r="CO269" s="560"/>
      <c r="CP269" s="560">
        <f t="shared" si="511"/>
        <v>254.97992637445782</v>
      </c>
      <c r="CQ269" s="560"/>
      <c r="CR269" s="560">
        <f ca="1">IF(B269&gt;Summary!$A$1,#N/A,CP269*MGtoAF)</f>
        <v>782.27841411683664</v>
      </c>
      <c r="CS269" s="560">
        <f>Sheet1!BK271+Sheet1!BL271+Sheet1!BM271-Sheet1!ER271-DA269</f>
        <v>8.94</v>
      </c>
      <c r="CT269" s="560">
        <f t="shared" si="512"/>
        <v>8.9530783699059562</v>
      </c>
      <c r="CU269" s="560">
        <f>IF(Sheet1!ER271="FM",DA269,0)</f>
        <v>0</v>
      </c>
      <c r="CV269" s="560">
        <f t="shared" si="513"/>
        <v>0</v>
      </c>
      <c r="CW269" s="560">
        <f>IF(Sheet1!ER271="OTHER",DA269,0)</f>
        <v>0</v>
      </c>
      <c r="CX269" s="560">
        <f t="shared" si="514"/>
        <v>0</v>
      </c>
      <c r="CY269" s="560">
        <f t="shared" si="515"/>
        <v>8.94</v>
      </c>
      <c r="CZ269" s="560">
        <f t="shared" si="516"/>
        <v>8.9530783699059562</v>
      </c>
      <c r="DA269" s="560">
        <f>IF(OR(Sheet1!ER271="FM", Sheet1!ER271="OTHER"),SUM(Sheet1!BK271:'Sheet1'!BM271),0)</f>
        <v>0</v>
      </c>
      <c r="DB269" s="545">
        <f>IF(AND($B269&gt;=$FV269,$B269&lt;=$FW269),MAX($CT269,Sheet1!EK271,0),MAX($CT269-(7/36)*$K269,0))</f>
        <v>9</v>
      </c>
      <c r="DC269" s="560">
        <f t="shared" si="517"/>
        <v>0</v>
      </c>
      <c r="DD269" s="545">
        <f t="shared" si="518"/>
        <v>0</v>
      </c>
      <c r="DE269" s="545">
        <f>IF(AND($O269&gt;0,Sheet1!EO271=1),(1-($O269-Sheet1!$L271)/$O269)*CZ269,0)</f>
        <v>0</v>
      </c>
      <c r="DF269" s="545">
        <f>IF(AND(Sheet1!$L271=0,Sheet1!$L270=0, Calculation!CY269&lt;Sheet1!$EK271-0.1,Sheet1!$EK271=Sheet1!$EK270,Sheet1!$EK271=Sheet1!$EK272),Sheet1!$EK271,CZ269-DE269)</f>
        <v>8.9530783699059562</v>
      </c>
      <c r="DG269" s="545"/>
      <c r="DH269" s="560">
        <f t="shared" si="519"/>
        <v>14.95</v>
      </c>
      <c r="DI269" s="560">
        <f t="shared" si="520"/>
        <v>416.95992574698846</v>
      </c>
      <c r="DJ269" s="698">
        <f t="shared" si="521"/>
        <v>14.971870428422154</v>
      </c>
      <c r="DK269" s="560">
        <f ca="1">IF(B269&gt;Summary!$A$1,#N/A,DI269*MGtoAF)</f>
        <v>1279.2330521917606</v>
      </c>
      <c r="DL269" s="698">
        <f t="shared" si="522"/>
        <v>14.95</v>
      </c>
      <c r="DM269" s="560">
        <f t="shared" si="523"/>
        <v>47.849999999999994</v>
      </c>
      <c r="DN269" s="560">
        <f>Sheet1!AB271-DM269</f>
        <v>7.000000000000739E-2</v>
      </c>
      <c r="DO269" s="823">
        <f t="shared" si="524"/>
        <v>1.4629049111809279E-3</v>
      </c>
      <c r="DP269" s="560">
        <f>(VLOOKUP(Sheet1!DC271,hhdcap_wcm,4)-(((VLOOKUP(Sheet1!DC271,hhdcap_wcm,3)-Sheet1!DC271)/(VLOOKUP(Sheet1!DC271,hhdcap_wcm,3)-VLOOKUP(Sheet1!DC271,hhdcap_wcm,1)))*(VLOOKUP(Sheet1!DC271,hhdcap_wcm,4)-VLOOKUP(Sheet1!DC271,hhdcap_wcm,2))))</f>
        <v>29777.200000075762</v>
      </c>
      <c r="DQ269" s="560">
        <f t="shared" si="525"/>
        <v>-424.80000000302243</v>
      </c>
      <c r="DR269" s="560">
        <f t="shared" si="526"/>
        <v>-214.2208774599205</v>
      </c>
      <c r="DS269" s="560">
        <f>Sheet1!EA271*AFtoMG</f>
        <v>0</v>
      </c>
      <c r="DT269" s="560">
        <f>Sheet1!EB271*AFtoMG</f>
        <v>0</v>
      </c>
      <c r="DU269" s="560">
        <f>Sheet1!EC271*AFtoMG</f>
        <v>0</v>
      </c>
      <c r="DV269" s="560">
        <f>Sheet1!ED271*AFtoMG</f>
        <v>0</v>
      </c>
      <c r="DW269" s="560">
        <f t="shared" si="527"/>
        <v>0</v>
      </c>
      <c r="DX269" s="560">
        <f t="shared" si="528"/>
        <v>0</v>
      </c>
      <c r="DY269" s="560">
        <f t="shared" si="529"/>
        <v>1553.7022758101207</v>
      </c>
      <c r="DZ269" s="560">
        <f t="shared" si="530"/>
        <v>4766.75858218545</v>
      </c>
      <c r="EA269" s="560"/>
      <c r="EB269" s="545">
        <f>IF(OR(B269&lt;FV269,B269&gt;FW269),(MIN(BF269+BY269+CT269+MAX(Sheet1!AA271+AQ269-73,0),K269)),0)</f>
        <v>0</v>
      </c>
      <c r="EC269" s="560"/>
      <c r="ED269" s="560">
        <f t="shared" si="531"/>
        <v>14.971870428422154</v>
      </c>
      <c r="EE269" s="560"/>
      <c r="EF269" s="560">
        <f>Sheet1!EH271+Sheet1!EI271+Sheet1!EJ271+Sheet1!EK271</f>
        <v>15</v>
      </c>
      <c r="EG269" s="560"/>
      <c r="EH269" s="545">
        <f t="shared" si="532"/>
        <v>0</v>
      </c>
      <c r="EI269" s="560">
        <f>IF(Sheet1!ET271=1,SUM('Calculations II'!AT269:BA269)+'Calculations II'!BC269+Sheet1!BV271+'Calculations II'!BE269+AP269,SUM('Calculations II'!AT269:BA269)+'Calculations II'!BC269+Sheet1!BV271+'Calculations II'!BE269+AP269)</f>
        <v>76.343327999999985</v>
      </c>
      <c r="EJ269" s="560">
        <f>Sheet1!AA271+Sheet1!AB271+'Calculations II'!BC269</f>
        <v>81.41</v>
      </c>
      <c r="EK269" s="560"/>
      <c r="EL269" s="560"/>
      <c r="EM269" s="560">
        <f t="shared" si="533"/>
        <v>41897</v>
      </c>
      <c r="EN269" s="560">
        <f t="shared" si="534"/>
        <v>-15.022955067920586</v>
      </c>
      <c r="EO269" s="560">
        <f t="shared" si="535"/>
        <v>-23.240511490073146</v>
      </c>
      <c r="EP269" s="560">
        <v>0</v>
      </c>
      <c r="EQ269" s="560">
        <v>0</v>
      </c>
      <c r="ER269" s="560">
        <v>0</v>
      </c>
      <c r="ES269" s="545">
        <f t="shared" si="557"/>
        <v>-0.27675811725742744</v>
      </c>
      <c r="ET269" s="560">
        <f>-(VLOOKUP(Sheet1!BQ271,Lookup!$O$4:$Q$262,2)-VLOOKUP(Sheet1!BQ270,Lookup!$O$4:$Q$262,2))/1000000</f>
        <v>-0.13837585571623967</v>
      </c>
      <c r="EU269" s="560">
        <f>-(VLOOKUP(Sheet1!BR271,Lookup!$O$4:$Q$262,3)-VLOOKUP(Sheet1!BR270,Lookup!$O$4:$Q$262,3))/1000000</f>
        <v>-0.13838226154118777</v>
      </c>
      <c r="EV269" s="560"/>
      <c r="EW269" s="560"/>
      <c r="EX269" s="560"/>
      <c r="EY269" s="560"/>
      <c r="EZ269" s="560"/>
      <c r="FA269" s="560"/>
      <c r="FB269" s="560"/>
      <c r="FC269" s="560"/>
      <c r="FD269" s="594">
        <f t="shared" si="536"/>
        <v>1123.0291666666021</v>
      </c>
      <c r="FE269" s="594" t="e">
        <f t="shared" si="537"/>
        <v>#N/A</v>
      </c>
      <c r="FF269" s="595" t="e">
        <f t="shared" si="538"/>
        <v>#N/A</v>
      </c>
      <c r="FG269" s="596" t="s">
        <v>692</v>
      </c>
      <c r="FH269" s="596" t="s">
        <v>692</v>
      </c>
      <c r="FI269" s="594" t="e">
        <v>#N/A</v>
      </c>
      <c r="FJ269" s="778">
        <v>12450</v>
      </c>
      <c r="FK269" s="560"/>
      <c r="FL269" s="560"/>
      <c r="FM269" s="560"/>
      <c r="FN269" s="560"/>
      <c r="FO269" s="560">
        <f>O269+((Sheet1!CS271)*GPMtoMGD)</f>
        <v>81.41</v>
      </c>
      <c r="FP269" s="560">
        <f>IF(Sheet1!AA271+AQ269&lt;=Calculation!N269,AQ269,Calculation!N269-Sheet1!AA271)</f>
        <v>31.345788923719965</v>
      </c>
      <c r="FQ269" s="560">
        <f>(Sheet1!BP271+Sheet1!BO271)/694.4</f>
        <v>3.0279377880184333</v>
      </c>
      <c r="FR269" s="560"/>
      <c r="FS269" s="560"/>
      <c r="FT269" s="560"/>
      <c r="FU269" s="560"/>
      <c r="FV269" s="695">
        <f t="shared" si="558"/>
        <v>41827</v>
      </c>
      <c r="FW269" s="695">
        <f t="shared" si="559"/>
        <v>41934</v>
      </c>
      <c r="FX269" s="560"/>
      <c r="FY269" s="560"/>
      <c r="FZ269" s="560"/>
      <c r="GA269" s="560"/>
      <c r="GB269" s="560" t="str">
        <f t="shared" si="560"/>
        <v>n</v>
      </c>
      <c r="GC269" s="564">
        <f t="shared" si="561"/>
        <v>41691</v>
      </c>
      <c r="GD269" s="695">
        <f t="shared" si="562"/>
        <v>41807</v>
      </c>
      <c r="GE269" s="560">
        <v>6518.9</v>
      </c>
      <c r="GF269" s="695">
        <f t="shared" si="563"/>
        <v>41808</v>
      </c>
      <c r="GG269" s="560">
        <f t="shared" si="479"/>
        <v>3259</v>
      </c>
      <c r="GH269" s="564">
        <f t="shared" si="564"/>
        <v>41934</v>
      </c>
      <c r="GJ269" s="545">
        <f t="shared" si="565"/>
        <v>0</v>
      </c>
      <c r="GK269" s="560" t="str">
        <f t="shared" si="539"/>
        <v/>
      </c>
      <c r="GL269" s="560">
        <f t="shared" si="566"/>
        <v>0</v>
      </c>
      <c r="GM269" s="560" t="str">
        <f t="shared" si="567"/>
        <v/>
      </c>
      <c r="GN269" s="560">
        <f>IF(GK269="P",Lookup!$M$12,IF(GK269="PP",Lookup!$M$13,IF(GK269="PPP",Lookup!$M$14,IF(GK269="T",Lookup!$M$15,IF(GK269="TP",Lookup!$M$16,IF(GK269="TPP",Lookup!$M$17,IF(GK269="TPPP",Lookup!$M$18,0)))))))*GJ269</f>
        <v>0</v>
      </c>
      <c r="GO269" s="560">
        <f t="shared" si="568"/>
        <v>0</v>
      </c>
      <c r="GP269" s="560">
        <f t="shared" si="540"/>
        <v>2195.2327453333342</v>
      </c>
      <c r="GQ269" s="560">
        <f t="shared" si="576"/>
        <v>715.52566666666689</v>
      </c>
      <c r="GR269" s="560"/>
      <c r="GS269" s="560">
        <f t="shared" si="569"/>
        <v>0</v>
      </c>
      <c r="GT269" s="560" t="str">
        <f t="shared" si="570"/>
        <v/>
      </c>
      <c r="GU269" s="560">
        <f>IF(GK269="P",Lookup!$N$12,IF(GK269="PP",Lookup!$N$13,IF(GK269="PPP",Lookup!$N$14,IF(GK269="T",Lookup!$N$15,IF(GK269="TP",Lookup!$N$16,IF(GK269="TPP",Lookup!$N$17,IF(GK269="TPPP",Lookup!$N$18,0)))))))*GJ269</f>
        <v>0</v>
      </c>
      <c r="GV269" s="560">
        <f t="shared" si="571"/>
        <v>0</v>
      </c>
      <c r="GW269" s="560">
        <f t="shared" si="541"/>
        <v>510.01437054351828</v>
      </c>
      <c r="GX269" s="560">
        <f t="shared" si="577"/>
        <v>166.23675702200725</v>
      </c>
      <c r="GY269" s="560"/>
      <c r="GZ269" s="560">
        <f t="shared" si="572"/>
        <v>0</v>
      </c>
      <c r="HA269" s="560" t="str">
        <f t="shared" si="573"/>
        <v/>
      </c>
      <c r="HB269" s="560">
        <f>IF(GK269="P",Lookup!$N$12,IF(GK269="PP",Lookup!$N$13,IF(GK269="PPP",Lookup!$N$14,IF(GK269="T",Lookup!$N$15,IF(GK269="TP",Lookup!$N$16,IF(GK269="TPP",Lookup!$N$17,IF(GK269="TPPP",Lookup!$N$18,0)))))))*GJ269</f>
        <v>0</v>
      </c>
      <c r="HC269" s="545">
        <f t="shared" si="542"/>
        <v>0</v>
      </c>
      <c r="HD269" s="560">
        <f t="shared" si="543"/>
        <v>782.27841411683664</v>
      </c>
      <c r="HE269" s="560">
        <f t="shared" si="578"/>
        <v>254.97992637445782</v>
      </c>
      <c r="HF269" s="560"/>
      <c r="HG269" s="560">
        <f t="shared" si="574"/>
        <v>0</v>
      </c>
      <c r="HH269" s="560" t="str">
        <f t="shared" si="575"/>
        <v/>
      </c>
      <c r="HI269" s="560">
        <f>IF(GK269="P",Lookup!$N$12,IF(GK269="PP",Lookup!$N$13,IF(GK269="PPP",Lookup!$N$14,IF(GK269="T",Lookup!$N$15,IF(GK269="TP",Lookup!$N$16,IF(GK269="TPP",Lookup!$N$17,IF(GK269="TPPP",Lookup!$N$18,0)))))))*GJ269</f>
        <v>0</v>
      </c>
      <c r="HJ269" s="545">
        <f t="shared" si="544"/>
        <v>0</v>
      </c>
      <c r="HK269" s="560">
        <f t="shared" si="545"/>
        <v>1279.2330521917606</v>
      </c>
      <c r="HL269" s="560">
        <f t="shared" si="579"/>
        <v>416.95992574698846</v>
      </c>
    </row>
    <row r="270" spans="1:220">
      <c r="A270" s="580" t="s">
        <v>5</v>
      </c>
      <c r="B270" s="556">
        <v>41898</v>
      </c>
      <c r="C270" s="561">
        <v>0</v>
      </c>
      <c r="D270" s="529">
        <f t="shared" si="477"/>
        <v>300</v>
      </c>
      <c r="E270" s="529">
        <f t="shared" si="478"/>
        <v>250</v>
      </c>
      <c r="F270" s="529">
        <v>250</v>
      </c>
      <c r="G270" s="560">
        <f>DR270+Sheet1!CZ272</f>
        <v>165.39283913242812</v>
      </c>
      <c r="H270" s="914">
        <f t="shared" si="546"/>
        <v>0</v>
      </c>
      <c r="I270" s="559">
        <f>MAX(Sheet1!Z272-AT270+(Sheet1!DA272-E270)*CFStoMGD,0)</f>
        <v>130.6592</v>
      </c>
      <c r="J270" s="562">
        <f>IF(AND(B270&gt;=Calculation!GC270,B270&lt;=Calculation!GD270),IF(Sheet1!DB272&gt;=Calculation!D270,64.64,0),MAX(Sheet1!Z272-AT270+(Sheet1!DB272-D270)*CFStoMGD,0))</f>
        <v>0</v>
      </c>
      <c r="K270" s="904">
        <f t="shared" si="481"/>
        <v>0</v>
      </c>
      <c r="L270" s="560">
        <f>Sheet1!AA272+Sheet1!AB272-Sheet1!L272+(Sheet1!DA272-F270)*CFStoMGD</f>
        <v>163.99919999999997</v>
      </c>
      <c r="M270" s="560">
        <f t="shared" si="482"/>
        <v>109.04812983950558</v>
      </c>
      <c r="N270" s="910">
        <f>IF(Sheet1!DA272&gt;=F270,MIN(73,MIN(MAX(L270,0),MAX(M270,0))),0)</f>
        <v>73</v>
      </c>
      <c r="O270" s="563">
        <f>Sheet1!AA272+Sheet1!AB272</f>
        <v>81.259999999999991</v>
      </c>
      <c r="P270" s="563">
        <f t="shared" si="483"/>
        <v>125.70921999999999</v>
      </c>
      <c r="Q270" s="898">
        <f t="shared" si="547"/>
        <v>66.63335705316031</v>
      </c>
      <c r="R270" s="829">
        <f t="shared" si="484"/>
        <v>14.5</v>
      </c>
      <c r="S270" s="898">
        <f t="shared" si="548"/>
        <v>0</v>
      </c>
      <c r="T270" s="898">
        <f t="shared" si="549"/>
        <v>0</v>
      </c>
      <c r="U270" s="898">
        <f t="shared" si="550"/>
        <v>14.626642946839681</v>
      </c>
      <c r="V270" s="898"/>
      <c r="W270" s="898">
        <f t="shared" si="551"/>
        <v>0</v>
      </c>
      <c r="X270" s="898">
        <f t="shared" si="552"/>
        <v>0</v>
      </c>
      <c r="Y270" s="898" t="str">
        <f t="shared" si="553"/>
        <v>FALSE</v>
      </c>
      <c r="Z270" s="898">
        <f t="shared" si="554"/>
        <v>81.259999999999991</v>
      </c>
      <c r="AA270" s="898">
        <f t="shared" si="555"/>
        <v>81.259999999999991</v>
      </c>
      <c r="AB270" s="898" t="str">
        <f t="shared" si="556"/>
        <v/>
      </c>
      <c r="AC270" s="563">
        <f>Sheet1!Y272*MGDtoCFS</f>
        <v>51.80903</v>
      </c>
      <c r="AD270" s="563">
        <f>Sheet1!Z272*MGDtoCFS</f>
        <v>74.132239999999996</v>
      </c>
      <c r="AE270" s="563">
        <f>Sheet1!AA272*MGDtoCFS</f>
        <v>51.60792</v>
      </c>
      <c r="AF270" s="563">
        <f>Sheet1!AB272*MGDtoCFS</f>
        <v>74.101299999999995</v>
      </c>
      <c r="AG270" s="563">
        <f>Sheet1!L272*MGDtoCFS</f>
        <v>0</v>
      </c>
      <c r="AH270" s="545">
        <f t="shared" si="485"/>
        <v>14.704290498116366</v>
      </c>
      <c r="AI270" s="560">
        <f t="shared" si="486"/>
        <v>22.747537400586019</v>
      </c>
      <c r="AJ270" s="560">
        <f t="shared" si="487"/>
        <v>0</v>
      </c>
      <c r="AK270" s="560">
        <f t="shared" si="488"/>
        <v>0</v>
      </c>
      <c r="AL270" s="560">
        <f>(VLOOKUP(Sheet1!DC272,hhdcap_wcm,4)-(((VLOOKUP(Sheet1!DC272,hhdcap_wcm,3)-Sheet1!DC272)/(VLOOKUP(Sheet1!DC272,hhdcap_wcm,3)-VLOOKUP(Sheet1!DC272,hhdcap_wcm,1)))*(VLOOKUP(Sheet1!DC272,hhdcap_wcm,4)-VLOOKUP(Sheet1!DC272,hhdcap_wcm,2))))</f>
        <v>29355.600000075367</v>
      </c>
      <c r="AM270" s="560">
        <f t="shared" si="489"/>
        <v>-421.60000000039508</v>
      </c>
      <c r="AN270" s="560">
        <f t="shared" si="490"/>
        <v>1538.9979853120039</v>
      </c>
      <c r="AO270" s="560">
        <f t="shared" si="491"/>
        <v>4721.6458189372279</v>
      </c>
      <c r="AP270" s="560">
        <f>Sheet1!BA272+Sheet1!BB272+Sheet1!BN272+CD270</f>
        <v>33.190000000000005</v>
      </c>
      <c r="AQ270" s="560">
        <f>Sheet1!BN272+(DO270*Sheet1!BN272)</f>
        <v>31.67936375052323</v>
      </c>
      <c r="AR270" s="560">
        <f>Sheet1!BA272+CD270</f>
        <v>0</v>
      </c>
      <c r="AS270" s="560">
        <f>Sheet1!BA272+Sheet1!BB272+CD270</f>
        <v>1.59</v>
      </c>
      <c r="AT270" s="698">
        <f>0</f>
        <v>0</v>
      </c>
      <c r="AU270" s="560">
        <f>IF(EB270&lt;K270,0,MAX(Sheet1!AA272+AQ270-15/36*K270-N270,Sheet1!EH272,0))</f>
        <v>0</v>
      </c>
      <c r="AV270" s="560">
        <f>IF(OR(B270&gt;=GD270,B270&lt;GC270),0,15/36*K270-MAX(0,64.6-(137.6-(Sheet1!AA272+Sheet1!AB272))))</f>
        <v>0</v>
      </c>
      <c r="AW270" s="698">
        <f>Sheet1!DB272-110</f>
        <v>115</v>
      </c>
      <c r="AX270" s="698">
        <f>Sheet1!DA272-265</f>
        <v>113</v>
      </c>
      <c r="AY270" s="698">
        <f t="shared" si="492"/>
        <v>6.3666429468396899</v>
      </c>
      <c r="AZ270" s="698">
        <v>0</v>
      </c>
      <c r="BA270" s="698">
        <f t="shared" si="493"/>
        <v>0</v>
      </c>
      <c r="BB270" s="560">
        <f t="shared" si="494"/>
        <v>715.52566666666689</v>
      </c>
      <c r="BC270" s="560"/>
      <c r="BD270" s="560">
        <f ca="1">IF(B270&gt;Summary!$A$1,#N/A,BB270*MGtoAF)</f>
        <v>2195.2327453333342</v>
      </c>
      <c r="BE270" s="560">
        <f>Sheet1!BG272+Sheet1!BH272+Sheet1!BI272-BM270</f>
        <v>2.02</v>
      </c>
      <c r="BF270" s="560">
        <f t="shared" si="495"/>
        <v>2.0250732524068646</v>
      </c>
      <c r="BG270" s="560">
        <f>IF(Sheet1!EP272="FM",BM270,0)</f>
        <v>0</v>
      </c>
      <c r="BH270" s="560">
        <f t="shared" si="496"/>
        <v>0</v>
      </c>
      <c r="BI270" s="560">
        <f>IF(Sheet1!EP272="OTHER",BM270,0)</f>
        <v>0</v>
      </c>
      <c r="BJ270" s="560">
        <f t="shared" si="497"/>
        <v>0</v>
      </c>
      <c r="BK270" s="560">
        <f t="shared" si="498"/>
        <v>2.02</v>
      </c>
      <c r="BL270" s="560">
        <f t="shared" si="499"/>
        <v>2.0250732524068646</v>
      </c>
      <c r="BM270" s="560">
        <f>IF(OR(Sheet1!EP272="FM", Sheet1!EP272="OTHER"),SUM(Sheet1!BG272:'Sheet1'!BI272),0)</f>
        <v>0</v>
      </c>
      <c r="BN270" s="545">
        <f>IF(AND($B270&gt;=$FV270,$B270&lt;=$FW270),MAX(BF270,Sheet1!EI272,0),MAX(BF270-(7/36)*$K270,0))</f>
        <v>2.0250732524068646</v>
      </c>
      <c r="BO270" s="560">
        <f t="shared" si="500"/>
        <v>0</v>
      </c>
      <c r="BP270" s="545">
        <f t="shared" si="501"/>
        <v>0</v>
      </c>
      <c r="BQ270" s="545">
        <f>IF(AND($O270&gt;0,Sheet1!EM272=1),(1-($O270-Sheet1!$L272)/$O270)*BL270,0)</f>
        <v>0</v>
      </c>
      <c r="BR270" s="545">
        <f>IF(AND(Sheet1!$L272=0,Sheet1!$L271=0, Calculation!BK270&lt;Sheet1!$EI272-0.1,Sheet1!$EI272=Sheet1!$EI271,Sheet1!$EI272=Sheet1!$EI273),Sheet1!$EI272,BL270-BQ270)</f>
        <v>2.0250732524068646</v>
      </c>
      <c r="BS270" s="560"/>
      <c r="BT270" s="560"/>
      <c r="BU270" s="560">
        <f t="shared" si="502"/>
        <v>164.2116837696004</v>
      </c>
      <c r="BV270" s="560"/>
      <c r="BW270" s="560">
        <f ca="1">IF(B270&gt;Summary!$A$1,#N/A,BU270*MGtoAF)</f>
        <v>503.80144580513405</v>
      </c>
      <c r="BX270" s="560">
        <f>Sheet1!BC272+Sheet1!BD272+Sheet1!BE272+Sheet1!BF272-CG270-CH270</f>
        <v>3.67</v>
      </c>
      <c r="BY270" s="560">
        <f t="shared" si="503"/>
        <v>3.6792172457095016</v>
      </c>
      <c r="BZ270" s="560">
        <f>IF(Sheet1!EQ272="FM",CH270,0)</f>
        <v>0</v>
      </c>
      <c r="CA270" s="560">
        <f t="shared" si="504"/>
        <v>0</v>
      </c>
      <c r="CB270" s="560">
        <f>IF(Sheet1!EQ272="OTHER",CH270,0)</f>
        <v>0</v>
      </c>
      <c r="CC270" s="560">
        <f t="shared" si="505"/>
        <v>0</v>
      </c>
      <c r="CD270" s="560">
        <f t="shared" si="506"/>
        <v>0</v>
      </c>
      <c r="CE270" s="560">
        <f t="shared" si="507"/>
        <v>3.67</v>
      </c>
      <c r="CF270" s="560">
        <f t="shared" si="508"/>
        <v>3.6792172457095016</v>
      </c>
      <c r="CG270" s="560">
        <f>IF(Sheet1!EQ272="CWA",SUM(Sheet1!BC272:'Sheet1'!BF272),0)</f>
        <v>0</v>
      </c>
      <c r="CH270" s="560">
        <f>IF(OR(Sheet1!EQ272="FM", Sheet1!EQ272="OTHER"),SUM(Sheet1!BC272:'Sheet1'!BF272),0)</f>
        <v>0</v>
      </c>
      <c r="CI270" s="545">
        <f>IF(AND($B270&gt;=$FV270,$B270&lt;=$FW270),MAX(CF270,Sheet1!EJ272,0),MAX(CF270-(7/36)*$K270,0))</f>
        <v>3.6792172457095016</v>
      </c>
      <c r="CJ270" s="560">
        <f t="shared" si="509"/>
        <v>0</v>
      </c>
      <c r="CK270" s="545">
        <f t="shared" si="510"/>
        <v>0</v>
      </c>
      <c r="CL270" s="545">
        <f>IF(AND($O270&gt;0,Sheet1!EN272=1),(1-($O270-Sheet1!$L272)/$O270)*CF270,0)</f>
        <v>0</v>
      </c>
      <c r="CM270" s="545">
        <f>IF(AND(Sheet1!$L272=0,Sheet1!$L271=0, Calculation!CE270&lt;Sheet1!EJ272-0.1,Sheet1!EJ272=Sheet1!EJ271,Sheet1!EJ272=Sheet1!EJ273),Sheet1!EJ272,CF270-CL270)</f>
        <v>3.6792172457095016</v>
      </c>
      <c r="CN270" s="545"/>
      <c r="CO270" s="560"/>
      <c r="CP270" s="560">
        <f t="shared" si="511"/>
        <v>251.30070912874831</v>
      </c>
      <c r="CQ270" s="560"/>
      <c r="CR270" s="560">
        <f ca="1">IF(B270&gt;Summary!$A$1,#N/A,CP270*MGtoAF)</f>
        <v>770.99057560699987</v>
      </c>
      <c r="CS270" s="560">
        <f>Sheet1!BK272+Sheet1!BL272+Sheet1!BM272-Sheet1!ER272-DA270</f>
        <v>8.9</v>
      </c>
      <c r="CT270" s="560">
        <f t="shared" si="512"/>
        <v>8.9223524487233146</v>
      </c>
      <c r="CU270" s="560">
        <f>IF(Sheet1!ER272="FM",DA270,0)</f>
        <v>0</v>
      </c>
      <c r="CV270" s="560">
        <f t="shared" si="513"/>
        <v>0</v>
      </c>
      <c r="CW270" s="560">
        <f>IF(Sheet1!ER272="OTHER",DA270,0)</f>
        <v>0</v>
      </c>
      <c r="CX270" s="560">
        <f t="shared" si="514"/>
        <v>0</v>
      </c>
      <c r="CY270" s="560">
        <f t="shared" si="515"/>
        <v>8.9</v>
      </c>
      <c r="CZ270" s="560">
        <f t="shared" si="516"/>
        <v>8.9223524487233146</v>
      </c>
      <c r="DA270" s="560">
        <f>IF(OR(Sheet1!ER272="FM", Sheet1!ER272="OTHER"),SUM(Sheet1!BK272:'Sheet1'!BM272),0)</f>
        <v>0</v>
      </c>
      <c r="DB270" s="545">
        <f>IF(AND($B270&gt;=$FV270,$B270&lt;=$FW270),MAX($CT270,Sheet1!EK272,0),MAX($CT270-(7/36)*$K270,0))</f>
        <v>9</v>
      </c>
      <c r="DC270" s="560">
        <f t="shared" si="517"/>
        <v>0</v>
      </c>
      <c r="DD270" s="545">
        <f t="shared" si="518"/>
        <v>0</v>
      </c>
      <c r="DE270" s="545">
        <f>IF(AND($O270&gt;0,Sheet1!EO272=1),(1-($O270-Sheet1!$L272)/$O270)*CZ270,0)</f>
        <v>0</v>
      </c>
      <c r="DF270" s="545">
        <f>IF(AND(Sheet1!$L272=0,Sheet1!$L271=0, Calculation!CY270&lt;Sheet1!$EK272-0.1,Sheet1!$EK272=Sheet1!$EK271,Sheet1!$EK272=Sheet1!$EK273),Sheet1!$EK272,CZ270-DE270)</f>
        <v>8.9223524487233146</v>
      </c>
      <c r="DG270" s="545"/>
      <c r="DH270" s="560">
        <f t="shared" si="519"/>
        <v>14.59</v>
      </c>
      <c r="DI270" s="560">
        <f t="shared" si="520"/>
        <v>407.95992574698846</v>
      </c>
      <c r="DJ270" s="698">
        <f t="shared" si="521"/>
        <v>14.626642946839681</v>
      </c>
      <c r="DK270" s="560">
        <f ca="1">IF(B270&gt;Summary!$A$1,#N/A,DI270*MGtoAF)</f>
        <v>1251.6210521917606</v>
      </c>
      <c r="DL270" s="698">
        <f t="shared" si="522"/>
        <v>14.59</v>
      </c>
      <c r="DM270" s="560">
        <f t="shared" si="523"/>
        <v>47.78</v>
      </c>
      <c r="DN270" s="560">
        <f>Sheet1!AB272-DM270</f>
        <v>0.11999999999999744</v>
      </c>
      <c r="DO270" s="823">
        <f t="shared" si="524"/>
        <v>2.5115110925072715E-3</v>
      </c>
      <c r="DP270" s="560">
        <f>(VLOOKUP(Sheet1!DC272,hhdcap_wcm,4)-(((VLOOKUP(Sheet1!DC272,hhdcap_wcm,3)-Sheet1!DC272)/(VLOOKUP(Sheet1!DC272,hhdcap_wcm,3)-VLOOKUP(Sheet1!DC272,hhdcap_wcm,1)))*(VLOOKUP(Sheet1!DC272,hhdcap_wcm,4)-VLOOKUP(Sheet1!DC272,hhdcap_wcm,2))))</f>
        <v>29355.600000075367</v>
      </c>
      <c r="DQ270" s="560">
        <f t="shared" si="525"/>
        <v>-421.60000000039508</v>
      </c>
      <c r="DR270" s="560">
        <f t="shared" si="526"/>
        <v>-212.60716086757188</v>
      </c>
      <c r="DS270" s="560">
        <f>Sheet1!EA272*AFtoMG</f>
        <v>0</v>
      </c>
      <c r="DT270" s="560">
        <f>Sheet1!EB272*AFtoMG</f>
        <v>0</v>
      </c>
      <c r="DU270" s="560">
        <f>Sheet1!EC272*AFtoMG</f>
        <v>0</v>
      </c>
      <c r="DV270" s="560">
        <f>Sheet1!ED272*AFtoMG</f>
        <v>0</v>
      </c>
      <c r="DW270" s="560">
        <f t="shared" si="527"/>
        <v>0</v>
      </c>
      <c r="DX270" s="560">
        <f t="shared" si="528"/>
        <v>0</v>
      </c>
      <c r="DY270" s="560">
        <f t="shared" si="529"/>
        <v>1538.9979853120039</v>
      </c>
      <c r="DZ270" s="560">
        <f t="shared" si="530"/>
        <v>4721.6458189372279</v>
      </c>
      <c r="EA270" s="560"/>
      <c r="EB270" s="545">
        <f>IF(OR(B270&lt;FV270,B270&gt;FW270),(MIN(BF270+BY270+CT270+MAX(Sheet1!AA272+AQ270-73,0),K270)),0)</f>
        <v>0</v>
      </c>
      <c r="EC270" s="560"/>
      <c r="ED270" s="560">
        <f t="shared" si="531"/>
        <v>14.626642946839681</v>
      </c>
      <c r="EE270" s="560"/>
      <c r="EF270" s="560">
        <f>Sheet1!EH272+Sheet1!EI272+Sheet1!EJ272+Sheet1!EK272</f>
        <v>14.5</v>
      </c>
      <c r="EG270" s="560"/>
      <c r="EH270" s="545">
        <f t="shared" si="532"/>
        <v>0</v>
      </c>
      <c r="EI270" s="560">
        <f>IF(Sheet1!ET272=1,SUM('Calculations II'!AT270:BA270)+'Calculations II'!BC270+Sheet1!BV272+'Calculations II'!BE270+AP270,SUM('Calculations II'!AT270:BA270)+'Calculations II'!BC270+Sheet1!BV272+'Calculations II'!BE270+AP270)</f>
        <v>72.512991999999997</v>
      </c>
      <c r="EJ270" s="560">
        <f>Sheet1!AA272+Sheet1!AB272+'Calculations II'!BC270</f>
        <v>81.259999999999991</v>
      </c>
      <c r="EK270" s="560"/>
      <c r="EL270" s="560"/>
      <c r="EM270" s="560">
        <f t="shared" si="533"/>
        <v>41898</v>
      </c>
      <c r="EN270" s="560">
        <f t="shared" si="534"/>
        <v>-14.704290498116366</v>
      </c>
      <c r="EO270" s="560">
        <f t="shared" si="535"/>
        <v>-22.747537400586019</v>
      </c>
      <c r="EP270" s="560">
        <v>0</v>
      </c>
      <c r="EQ270" s="560">
        <v>0</v>
      </c>
      <c r="ER270" s="560">
        <v>0</v>
      </c>
      <c r="ES270" s="545">
        <f t="shared" si="557"/>
        <v>-4.1529093401193728</v>
      </c>
      <c r="ET270" s="560">
        <f>-(VLOOKUP(Sheet1!BQ272,Lookup!$O$4:$Q$262,2)-VLOOKUP(Sheet1!BQ271,Lookup!$O$4:$Q$262,2))/1000000</f>
        <v>-2.0764066175046265</v>
      </c>
      <c r="EU270" s="560">
        <f>-(VLOOKUP(Sheet1!BR272,Lookup!$O$4:$Q$262,3)-VLOOKUP(Sheet1!BR271,Lookup!$O$4:$Q$262,3))/1000000</f>
        <v>-2.0765027226147463</v>
      </c>
      <c r="EV270" s="560"/>
      <c r="EW270" s="560"/>
      <c r="EX270" s="560"/>
      <c r="EY270" s="560"/>
      <c r="EZ270" s="560"/>
      <c r="FA270" s="560"/>
      <c r="FB270" s="560"/>
      <c r="FC270" s="560"/>
      <c r="FD270" s="594">
        <f t="shared" si="536"/>
        <v>1122.5702127658933</v>
      </c>
      <c r="FE270" s="594" t="e">
        <f t="shared" si="537"/>
        <v>#N/A</v>
      </c>
      <c r="FF270" s="595" t="e">
        <f t="shared" si="538"/>
        <v>#N/A</v>
      </c>
      <c r="FG270" s="596" t="s">
        <v>692</v>
      </c>
      <c r="FH270" s="596" t="s">
        <v>692</v>
      </c>
      <c r="FI270" s="594" t="e">
        <v>#N/A</v>
      </c>
      <c r="FJ270" s="778">
        <v>12233</v>
      </c>
      <c r="FK270" s="560"/>
      <c r="FL270" s="560"/>
      <c r="FM270" s="560"/>
      <c r="FN270" s="560"/>
      <c r="FO270" s="560">
        <f>O270+((Sheet1!CS272)*GPMtoMGD)</f>
        <v>81.259999999999991</v>
      </c>
      <c r="FP270" s="560">
        <f>IF(Sheet1!AA272+AQ270&lt;=Calculation!N270,AQ270,Calculation!N270-Sheet1!AA272)</f>
        <v>31.67936375052323</v>
      </c>
      <c r="FQ270" s="560">
        <f>(Sheet1!BP272+Sheet1!BO272)/694.4</f>
        <v>2.8837845622119818</v>
      </c>
      <c r="FR270" s="560"/>
      <c r="FS270" s="560"/>
      <c r="FT270" s="560"/>
      <c r="FU270" s="560"/>
      <c r="FV270" s="695">
        <f t="shared" si="558"/>
        <v>41827</v>
      </c>
      <c r="FW270" s="695">
        <f t="shared" si="559"/>
        <v>41934</v>
      </c>
      <c r="FX270" s="560"/>
      <c r="FY270" s="560"/>
      <c r="FZ270" s="560"/>
      <c r="GA270" s="560"/>
      <c r="GB270" s="560" t="str">
        <f t="shared" si="560"/>
        <v>n</v>
      </c>
      <c r="GC270" s="564">
        <f t="shared" si="561"/>
        <v>41691</v>
      </c>
      <c r="GD270" s="695">
        <f t="shared" si="562"/>
        <v>41807</v>
      </c>
      <c r="GE270" s="560">
        <v>6518.9</v>
      </c>
      <c r="GF270" s="695">
        <f t="shared" si="563"/>
        <v>41808</v>
      </c>
      <c r="GG270" s="560">
        <f t="shared" si="479"/>
        <v>3259</v>
      </c>
      <c r="GH270" s="564">
        <f t="shared" si="564"/>
        <v>41934</v>
      </c>
      <c r="GJ270" s="545">
        <f t="shared" si="565"/>
        <v>0</v>
      </c>
      <c r="GK270" s="560" t="str">
        <f t="shared" si="539"/>
        <v/>
      </c>
      <c r="GL270" s="560">
        <f t="shared" si="566"/>
        <v>0</v>
      </c>
      <c r="GM270" s="560" t="str">
        <f t="shared" si="567"/>
        <v/>
      </c>
      <c r="GN270" s="560">
        <f>IF(GK270="P",Lookup!$M$12,IF(GK270="PP",Lookup!$M$13,IF(GK270="PPP",Lookup!$M$14,IF(GK270="T",Lookup!$M$15,IF(GK270="TP",Lookup!$M$16,IF(GK270="TPP",Lookup!$M$17,IF(GK270="TPPP",Lookup!$M$18,0)))))))*GJ270</f>
        <v>0</v>
      </c>
      <c r="GO270" s="560">
        <f t="shared" si="568"/>
        <v>0</v>
      </c>
      <c r="GP270" s="560">
        <f t="shared" si="540"/>
        <v>2195.2327453333342</v>
      </c>
      <c r="GQ270" s="560">
        <f t="shared" si="576"/>
        <v>715.52566666666689</v>
      </c>
      <c r="GR270" s="560"/>
      <c r="GS270" s="560">
        <f t="shared" si="569"/>
        <v>0</v>
      </c>
      <c r="GT270" s="560" t="str">
        <f t="shared" si="570"/>
        <v/>
      </c>
      <c r="GU270" s="560">
        <f>IF(GK270="P",Lookup!$N$12,IF(GK270="PP",Lookup!$N$13,IF(GK270="PPP",Lookup!$N$14,IF(GK270="T",Lookup!$N$15,IF(GK270="TP",Lookup!$N$16,IF(GK270="TPP",Lookup!$N$17,IF(GK270="TPPP",Lookup!$N$18,0)))))))*GJ270</f>
        <v>0</v>
      </c>
      <c r="GV270" s="560">
        <f t="shared" si="571"/>
        <v>0</v>
      </c>
      <c r="GW270" s="560">
        <f t="shared" si="541"/>
        <v>503.80144580513405</v>
      </c>
      <c r="GX270" s="560">
        <f t="shared" si="577"/>
        <v>164.2116837696004</v>
      </c>
      <c r="GY270" s="560"/>
      <c r="GZ270" s="560">
        <f t="shared" si="572"/>
        <v>0</v>
      </c>
      <c r="HA270" s="560" t="str">
        <f t="shared" si="573"/>
        <v/>
      </c>
      <c r="HB270" s="560">
        <f>IF(GK270="P",Lookup!$N$12,IF(GK270="PP",Lookup!$N$13,IF(GK270="PPP",Lookup!$N$14,IF(GK270="T",Lookup!$N$15,IF(GK270="TP",Lookup!$N$16,IF(GK270="TPP",Lookup!$N$17,IF(GK270="TPPP",Lookup!$N$18,0)))))))*GJ270</f>
        <v>0</v>
      </c>
      <c r="HC270" s="545">
        <f t="shared" si="542"/>
        <v>0</v>
      </c>
      <c r="HD270" s="560">
        <f t="shared" si="543"/>
        <v>770.99057560699987</v>
      </c>
      <c r="HE270" s="560">
        <f t="shared" si="578"/>
        <v>251.30070912874831</v>
      </c>
      <c r="HF270" s="560"/>
      <c r="HG270" s="560">
        <f t="shared" si="574"/>
        <v>0</v>
      </c>
      <c r="HH270" s="560" t="str">
        <f t="shared" si="575"/>
        <v/>
      </c>
      <c r="HI270" s="560">
        <f>IF(GK270="P",Lookup!$N$12,IF(GK270="PP",Lookup!$N$13,IF(GK270="PPP",Lookup!$N$14,IF(GK270="T",Lookup!$N$15,IF(GK270="TP",Lookup!$N$16,IF(GK270="TPP",Lookup!$N$17,IF(GK270="TPPP",Lookup!$N$18,0)))))))*GJ270</f>
        <v>0</v>
      </c>
      <c r="HJ270" s="545">
        <f t="shared" si="544"/>
        <v>0</v>
      </c>
      <c r="HK270" s="560">
        <f t="shared" si="545"/>
        <v>1251.6210521917606</v>
      </c>
      <c r="HL270" s="560">
        <f t="shared" si="579"/>
        <v>407.95992574698846</v>
      </c>
    </row>
    <row r="271" spans="1:220">
      <c r="A271" s="580" t="s">
        <v>6</v>
      </c>
      <c r="B271" s="556">
        <v>41899</v>
      </c>
      <c r="C271" s="561">
        <v>0</v>
      </c>
      <c r="D271" s="529">
        <f t="shared" si="477"/>
        <v>300</v>
      </c>
      <c r="E271" s="529">
        <f t="shared" si="478"/>
        <v>250</v>
      </c>
      <c r="F271" s="529">
        <v>250</v>
      </c>
      <c r="G271" s="560">
        <f>DR271+Sheet1!CZ273</f>
        <v>158.23197175932529</v>
      </c>
      <c r="H271" s="914">
        <f t="shared" si="546"/>
        <v>0</v>
      </c>
      <c r="I271" s="559">
        <f>MAX(Sheet1!Z273-AT271+(Sheet1!DA273-E271)*CFStoMGD,0)</f>
        <v>130.63919999999999</v>
      </c>
      <c r="J271" s="562">
        <f>IF(AND(B271&gt;=Calculation!GC271,B271&lt;=Calculation!GD271),IF(Sheet1!DB273&gt;=Calculation!D271,64.64,0),MAX(Sheet1!Z273-AT271+(Sheet1!DB273-D271)*CFStoMGD,0))</f>
        <v>18.812000000000001</v>
      </c>
      <c r="K271" s="904">
        <f t="shared" si="481"/>
        <v>0</v>
      </c>
      <c r="L271" s="560">
        <f>Sheet1!AA273+Sheet1!AB273-Sheet1!L273+(Sheet1!DA273-F271)*CFStoMGD</f>
        <v>164.03919999999999</v>
      </c>
      <c r="M271" s="560">
        <f t="shared" si="482"/>
        <v>104.32676947613243</v>
      </c>
      <c r="N271" s="910">
        <f>IF(Sheet1!DA273&gt;=F271,MIN(73,MIN(MAX(L271,0),MAX(M271,0))),0)</f>
        <v>73</v>
      </c>
      <c r="O271" s="563">
        <f>Sheet1!AA273+Sheet1!AB273</f>
        <v>81.3</v>
      </c>
      <c r="P271" s="563">
        <f t="shared" si="483"/>
        <v>125.77109999999999</v>
      </c>
      <c r="Q271" s="898">
        <f t="shared" si="547"/>
        <v>66.697230381871591</v>
      </c>
      <c r="R271" s="829">
        <f t="shared" si="484"/>
        <v>14.5</v>
      </c>
      <c r="S271" s="898">
        <f t="shared" si="548"/>
        <v>0</v>
      </c>
      <c r="T271" s="898">
        <f t="shared" si="549"/>
        <v>0</v>
      </c>
      <c r="U271" s="898">
        <f t="shared" si="550"/>
        <v>14.602769618128409</v>
      </c>
      <c r="V271" s="898"/>
      <c r="W271" s="898">
        <f t="shared" si="551"/>
        <v>0</v>
      </c>
      <c r="X271" s="898">
        <f t="shared" si="552"/>
        <v>0</v>
      </c>
      <c r="Y271" s="898" t="str">
        <f t="shared" si="553"/>
        <v>FALSE</v>
      </c>
      <c r="Z271" s="898">
        <f t="shared" si="554"/>
        <v>81.3</v>
      </c>
      <c r="AA271" s="898">
        <f t="shared" si="555"/>
        <v>81.3</v>
      </c>
      <c r="AB271" s="898" t="str">
        <f t="shared" si="556"/>
        <v/>
      </c>
      <c r="AC271" s="563">
        <f>Sheet1!Y273*MGDtoCFS</f>
        <v>51.60792</v>
      </c>
      <c r="AD271" s="563">
        <f>Sheet1!Z273*MGDtoCFS</f>
        <v>74.101299999999995</v>
      </c>
      <c r="AE271" s="563">
        <f>Sheet1!AA273*MGDtoCFS</f>
        <v>51.8245</v>
      </c>
      <c r="AF271" s="563">
        <f>Sheet1!AB273*MGDtoCFS</f>
        <v>73.946599999999989</v>
      </c>
      <c r="AG271" s="563">
        <f>Sheet1!L273*MGDtoCFS</f>
        <v>0</v>
      </c>
      <c r="AH271" s="545">
        <f t="shared" si="485"/>
        <v>14.602769618128407</v>
      </c>
      <c r="AI271" s="560">
        <f t="shared" si="486"/>
        <v>22.590484599244647</v>
      </c>
      <c r="AJ271" s="560">
        <f t="shared" si="487"/>
        <v>0</v>
      </c>
      <c r="AK271" s="560">
        <f t="shared" si="488"/>
        <v>0</v>
      </c>
      <c r="AL271" s="560">
        <f>(VLOOKUP(Sheet1!DC273,hhdcap_wcm,4)-(((VLOOKUP(Sheet1!DC273,hhdcap_wcm,3)-Sheet1!DC273)/(VLOOKUP(Sheet1!DC273,hhdcap_wcm,3)-VLOOKUP(Sheet1!DC273,hhdcap_wcm,1)))*(VLOOKUP(Sheet1!DC273,hhdcap_wcm,4)-VLOOKUP(Sheet1!DC273,hhdcap_wcm,2))))</f>
        <v>28919.800000074109</v>
      </c>
      <c r="AM271" s="560">
        <f t="shared" si="489"/>
        <v>-435.80000000125801</v>
      </c>
      <c r="AN271" s="560">
        <f t="shared" si="490"/>
        <v>1524.3952156938758</v>
      </c>
      <c r="AO271" s="560">
        <f t="shared" si="491"/>
        <v>4676.8445217488106</v>
      </c>
      <c r="AP271" s="560">
        <f>Sheet1!BA273+Sheet1!BB273+Sheet1!BN273+CD271</f>
        <v>33.1</v>
      </c>
      <c r="AQ271" s="560">
        <f>Sheet1!BN273+(DO271*Sheet1!BN273)</f>
        <v>31.592530423835498</v>
      </c>
      <c r="AR271" s="560">
        <f>Sheet1!BA273+CD271</f>
        <v>0</v>
      </c>
      <c r="AS271" s="560">
        <f>Sheet1!BA273+Sheet1!BB273+CD271</f>
        <v>1.6</v>
      </c>
      <c r="AT271" s="698">
        <f>0</f>
        <v>0</v>
      </c>
      <c r="AU271" s="560">
        <f>IF(EB271&lt;K271,0,MAX(Sheet1!AA273+AQ271-15/36*K271-N271,Sheet1!EH273,0))</f>
        <v>0</v>
      </c>
      <c r="AV271" s="560">
        <f>IF(OR(B271&gt;=GD271,B271&lt;GC271),0,15/36*K271-MAX(0,64.6-(137.6-(Sheet1!AA273+Sheet1!AB273))))</f>
        <v>0</v>
      </c>
      <c r="AW271" s="698">
        <f>Sheet1!DB273-110</f>
        <v>145</v>
      </c>
      <c r="AX271" s="698">
        <f>Sheet1!DA273-265</f>
        <v>113</v>
      </c>
      <c r="AY271" s="698">
        <f t="shared" si="492"/>
        <v>6.3027696181284085</v>
      </c>
      <c r="AZ271" s="698">
        <v>0</v>
      </c>
      <c r="BA271" s="698">
        <f t="shared" si="493"/>
        <v>0</v>
      </c>
      <c r="BB271" s="560">
        <f t="shared" si="494"/>
        <v>715.52566666666689</v>
      </c>
      <c r="BC271" s="560"/>
      <c r="BD271" s="560">
        <f ca="1">IF(B271&gt;Summary!$A$1,#N/A,BB271*MGtoAF)</f>
        <v>2195.2327453333342</v>
      </c>
      <c r="BE271" s="560">
        <f>Sheet1!BG273+Sheet1!BH273+Sheet1!BI273-BM271</f>
        <v>2.02</v>
      </c>
      <c r="BF271" s="560">
        <f t="shared" si="495"/>
        <v>2.0259336970205619</v>
      </c>
      <c r="BG271" s="560">
        <f>IF(Sheet1!EP273="FM",BM271,0)</f>
        <v>0</v>
      </c>
      <c r="BH271" s="560">
        <f t="shared" si="496"/>
        <v>0</v>
      </c>
      <c r="BI271" s="560">
        <f>IF(Sheet1!EP273="OTHER",BM271,0)</f>
        <v>0</v>
      </c>
      <c r="BJ271" s="560">
        <f t="shared" si="497"/>
        <v>0</v>
      </c>
      <c r="BK271" s="560">
        <f t="shared" si="498"/>
        <v>2.02</v>
      </c>
      <c r="BL271" s="560">
        <f t="shared" si="499"/>
        <v>2.0259336970205619</v>
      </c>
      <c r="BM271" s="560">
        <f>IF(OR(Sheet1!EP273="FM", Sheet1!EP273="OTHER"),SUM(Sheet1!BG273:'Sheet1'!BI273),0)</f>
        <v>0</v>
      </c>
      <c r="BN271" s="545">
        <f>IF(AND($B271&gt;=$FV271,$B271&lt;=$FW271),MAX(BF271,Sheet1!EI273,0),MAX(BF271-(7/36)*$K271,0))</f>
        <v>2.0259336970205619</v>
      </c>
      <c r="BO271" s="560">
        <f t="shared" si="500"/>
        <v>0</v>
      </c>
      <c r="BP271" s="545">
        <f t="shared" si="501"/>
        <v>0</v>
      </c>
      <c r="BQ271" s="545">
        <f>IF(AND($O271&gt;0,Sheet1!EM273=1),(1-($O271-Sheet1!$L273)/$O271)*BL271,0)</f>
        <v>0</v>
      </c>
      <c r="BR271" s="545">
        <f>IF(AND(Sheet1!$L273=0,Sheet1!$L272=0, Calculation!BK271&lt;Sheet1!$EI273-0.1,Sheet1!$EI273=Sheet1!$EI272,Sheet1!$EI273=Sheet1!$EI274),Sheet1!$EI273,BL271-BQ271)</f>
        <v>2.0259336970205619</v>
      </c>
      <c r="BS271" s="560"/>
      <c r="BT271" s="560"/>
      <c r="BU271" s="560">
        <f t="shared" si="502"/>
        <v>162.18575007257985</v>
      </c>
      <c r="BV271" s="560"/>
      <c r="BW271" s="560">
        <f ca="1">IF(B271&gt;Summary!$A$1,#N/A,BU271*MGtoAF)</f>
        <v>497.58588122267497</v>
      </c>
      <c r="BX271" s="560">
        <f>Sheet1!BC273+Sheet1!BD273+Sheet1!BE273+Sheet1!BF273-CG271-CH271</f>
        <v>3.5</v>
      </c>
      <c r="BY271" s="560">
        <f t="shared" si="503"/>
        <v>3.5102811582039442</v>
      </c>
      <c r="BZ271" s="560">
        <f>IF(Sheet1!EQ273="FM",CH271,0)</f>
        <v>0</v>
      </c>
      <c r="CA271" s="560">
        <f t="shared" si="504"/>
        <v>0</v>
      </c>
      <c r="CB271" s="560">
        <f>IF(Sheet1!EQ273="OTHER",CH271,0)</f>
        <v>0</v>
      </c>
      <c r="CC271" s="560">
        <f t="shared" si="505"/>
        <v>0</v>
      </c>
      <c r="CD271" s="560">
        <f t="shared" si="506"/>
        <v>0</v>
      </c>
      <c r="CE271" s="560">
        <f t="shared" si="507"/>
        <v>3.5</v>
      </c>
      <c r="CF271" s="560">
        <f t="shared" si="508"/>
        <v>3.5102811582039442</v>
      </c>
      <c r="CG271" s="560">
        <f>IF(Sheet1!EQ273="CWA",SUM(Sheet1!BC273:'Sheet1'!BF273),0)</f>
        <v>0</v>
      </c>
      <c r="CH271" s="560">
        <f>IF(OR(Sheet1!EQ273="FM", Sheet1!EQ273="OTHER"),SUM(Sheet1!BC273:'Sheet1'!BF273),0)</f>
        <v>0</v>
      </c>
      <c r="CI271" s="545">
        <f>IF(AND($B271&gt;=$FV271,$B271&lt;=$FW271),MAX(CF271,Sheet1!EJ273,0),MAX(CF271-(7/36)*$K271,0))</f>
        <v>3.5102811582039442</v>
      </c>
      <c r="CJ271" s="560">
        <f t="shared" si="509"/>
        <v>0</v>
      </c>
      <c r="CK271" s="545">
        <f t="shared" si="510"/>
        <v>0</v>
      </c>
      <c r="CL271" s="545">
        <f>IF(AND($O271&gt;0,Sheet1!EN273=1),(1-($O271-Sheet1!$L273)/$O271)*CF271,0)</f>
        <v>0</v>
      </c>
      <c r="CM271" s="545">
        <f>IF(AND(Sheet1!$L273=0,Sheet1!$L272=0, Calculation!CE271&lt;Sheet1!EJ273-0.1,Sheet1!EJ273=Sheet1!EJ272,Sheet1!EJ273=Sheet1!EJ274),Sheet1!EJ273,CF271-CL271)</f>
        <v>3.5102811582039442</v>
      </c>
      <c r="CN271" s="545"/>
      <c r="CO271" s="560"/>
      <c r="CP271" s="560">
        <f t="shared" si="511"/>
        <v>247.79042797054436</v>
      </c>
      <c r="CQ271" s="560"/>
      <c r="CR271" s="560">
        <f ca="1">IF(B271&gt;Summary!$A$1,#N/A,CP271*MGtoAF)</f>
        <v>760.22103301363006</v>
      </c>
      <c r="CS271" s="560">
        <f>Sheet1!BK273+Sheet1!BL273+Sheet1!BM273-Sheet1!ER273-DA271</f>
        <v>9.0400000000000009</v>
      </c>
      <c r="CT271" s="560">
        <f t="shared" si="512"/>
        <v>9.0665547629039018</v>
      </c>
      <c r="CU271" s="560">
        <f>IF(Sheet1!ER273="FM",DA271,0)</f>
        <v>0</v>
      </c>
      <c r="CV271" s="560">
        <f t="shared" si="513"/>
        <v>0</v>
      </c>
      <c r="CW271" s="560">
        <f>IF(Sheet1!ER273="OTHER",DA271,0)</f>
        <v>0</v>
      </c>
      <c r="CX271" s="560">
        <f t="shared" si="514"/>
        <v>0</v>
      </c>
      <c r="CY271" s="560">
        <f t="shared" si="515"/>
        <v>9.0400000000000009</v>
      </c>
      <c r="CZ271" s="560">
        <f t="shared" si="516"/>
        <v>9.0665547629039018</v>
      </c>
      <c r="DA271" s="560">
        <f>IF(OR(Sheet1!ER273="FM", Sheet1!ER273="OTHER"),SUM(Sheet1!BK273:'Sheet1'!BM273),0)</f>
        <v>0</v>
      </c>
      <c r="DB271" s="545">
        <f>IF(AND($B271&gt;=$FV271,$B271&lt;=$FW271),MAX($CT271,Sheet1!EK273,0),MAX($CT271-(7/36)*$K271,0))</f>
        <v>9.0665547629039018</v>
      </c>
      <c r="DC271" s="560">
        <f t="shared" si="517"/>
        <v>0</v>
      </c>
      <c r="DD271" s="545">
        <f t="shared" si="518"/>
        <v>0</v>
      </c>
      <c r="DE271" s="545">
        <f>IF(AND($O271&gt;0,Sheet1!EO273=1),(1-($O271-Sheet1!$L273)/$O271)*CZ271,0)</f>
        <v>0</v>
      </c>
      <c r="DF271" s="545">
        <f>IF(AND(Sheet1!$L273=0,Sheet1!$L272=0, Calculation!CY271&lt;Sheet1!$EK273-0.1,Sheet1!$EK273=Sheet1!$EK272,Sheet1!$EK273=Sheet1!$EK274),Sheet1!$EK273,CZ271-DE271)</f>
        <v>9.0665547629039018</v>
      </c>
      <c r="DG271" s="545"/>
      <c r="DH271" s="560">
        <f t="shared" si="519"/>
        <v>14.56</v>
      </c>
      <c r="DI271" s="560">
        <f t="shared" si="520"/>
        <v>398.89337098408458</v>
      </c>
      <c r="DJ271" s="698">
        <f t="shared" si="521"/>
        <v>14.602769618128407</v>
      </c>
      <c r="DK271" s="560">
        <f ca="1">IF(B271&gt;Summary!$A$1,#N/A,DI271*MGtoAF)</f>
        <v>1223.8048621791716</v>
      </c>
      <c r="DL271" s="698">
        <f t="shared" si="522"/>
        <v>14.56</v>
      </c>
      <c r="DM271" s="560">
        <f t="shared" si="523"/>
        <v>47.660000000000004</v>
      </c>
      <c r="DN271" s="560">
        <f>Sheet1!AB273-DM271</f>
        <v>0.13999999999999346</v>
      </c>
      <c r="DO271" s="823">
        <f t="shared" si="524"/>
        <v>2.9374737725554648E-3</v>
      </c>
      <c r="DP271" s="560">
        <f>(VLOOKUP(Sheet1!DC273,hhdcap_wcm,4)-(((VLOOKUP(Sheet1!DC273,hhdcap_wcm,3)-Sheet1!DC273)/(VLOOKUP(Sheet1!DC273,hhdcap_wcm,3)-VLOOKUP(Sheet1!DC273,hhdcap_wcm,1)))*(VLOOKUP(Sheet1!DC273,hhdcap_wcm,4)-VLOOKUP(Sheet1!DC273,hhdcap_wcm,2))))</f>
        <v>28919.800000074109</v>
      </c>
      <c r="DQ271" s="560">
        <f t="shared" si="525"/>
        <v>-435.80000000125801</v>
      </c>
      <c r="DR271" s="560">
        <f t="shared" si="526"/>
        <v>-219.76802824067471</v>
      </c>
      <c r="DS271" s="560">
        <f>Sheet1!EA273*AFtoMG</f>
        <v>0</v>
      </c>
      <c r="DT271" s="560">
        <f>Sheet1!EB273*AFtoMG</f>
        <v>0</v>
      </c>
      <c r="DU271" s="560">
        <f>Sheet1!EC273*AFtoMG</f>
        <v>0</v>
      </c>
      <c r="DV271" s="560">
        <f>Sheet1!ED273*AFtoMG</f>
        <v>0</v>
      </c>
      <c r="DW271" s="560">
        <f t="shared" si="527"/>
        <v>0</v>
      </c>
      <c r="DX271" s="560">
        <f t="shared" si="528"/>
        <v>0</v>
      </c>
      <c r="DY271" s="560">
        <f t="shared" si="529"/>
        <v>1524.3952156938758</v>
      </c>
      <c r="DZ271" s="560">
        <f t="shared" si="530"/>
        <v>4676.8445217488106</v>
      </c>
      <c r="EA271" s="560"/>
      <c r="EB271" s="545">
        <f>IF(OR(B271&lt;FV271,B271&gt;FW271),(MIN(BF271+BY271+CT271+MAX(Sheet1!AA273+AQ271-73,0),K271)),0)</f>
        <v>0</v>
      </c>
      <c r="EC271" s="560"/>
      <c r="ED271" s="560">
        <f t="shared" si="531"/>
        <v>14.602769618128409</v>
      </c>
      <c r="EE271" s="560"/>
      <c r="EF271" s="560">
        <f>Sheet1!EH273+Sheet1!EI273+Sheet1!EJ273+Sheet1!EK273</f>
        <v>14.5</v>
      </c>
      <c r="EG271" s="560"/>
      <c r="EH271" s="545">
        <f t="shared" si="532"/>
        <v>0</v>
      </c>
      <c r="EI271" s="560">
        <f>IF(Sheet1!ET273=1,SUM('Calculations II'!AT271:BA271)+'Calculations II'!BC271+Sheet1!BV273+'Calculations II'!BE271+AP271,SUM('Calculations II'!AT271:BA271)+'Calculations II'!BC271+Sheet1!BV273+'Calculations II'!BE271+AP271)</f>
        <v>72.468768000000011</v>
      </c>
      <c r="EJ271" s="560">
        <f>Sheet1!AA273+Sheet1!AB273+'Calculations II'!BC271</f>
        <v>81.3</v>
      </c>
      <c r="EK271" s="560"/>
      <c r="EL271" s="560"/>
      <c r="EM271" s="560">
        <f t="shared" si="533"/>
        <v>41899</v>
      </c>
      <c r="EN271" s="560">
        <f t="shared" si="534"/>
        <v>-14.602769618128407</v>
      </c>
      <c r="EO271" s="560">
        <f t="shared" si="535"/>
        <v>-22.590484599244647</v>
      </c>
      <c r="EP271" s="560">
        <v>0</v>
      </c>
      <c r="EQ271" s="560">
        <v>0</v>
      </c>
      <c r="ER271" s="560">
        <v>0</v>
      </c>
      <c r="ES271" s="545">
        <f t="shared" si="557"/>
        <v>-4.1557929922480286</v>
      </c>
      <c r="ET271" s="560">
        <f>-(VLOOKUP(Sheet1!BQ273,Lookup!$O$4:$Q$262,2)-VLOOKUP(Sheet1!BQ272,Lookup!$O$4:$Q$262,2))/1000000</f>
        <v>-2.0778484269414546</v>
      </c>
      <c r="EU271" s="560">
        <f>-(VLOOKUP(Sheet1!BR273,Lookup!$O$4:$Q$262,3)-VLOOKUP(Sheet1!BR272,Lookup!$O$4:$Q$262,3))/1000000</f>
        <v>-2.077944565306574</v>
      </c>
      <c r="EV271" s="560"/>
      <c r="EW271" s="560"/>
      <c r="EX271" s="560"/>
      <c r="EY271" s="560"/>
      <c r="EZ271" s="560"/>
      <c r="FA271" s="560"/>
      <c r="FB271" s="560"/>
      <c r="FC271" s="560"/>
      <c r="FD271" s="594">
        <f t="shared" si="536"/>
        <v>1122.1106382978085</v>
      </c>
      <c r="FE271" s="594" t="e">
        <f t="shared" si="537"/>
        <v>#N/A</v>
      </c>
      <c r="FF271" s="595" t="e">
        <f t="shared" si="538"/>
        <v>#N/A</v>
      </c>
      <c r="FG271" s="596" t="s">
        <v>692</v>
      </c>
      <c r="FH271" s="596" t="s">
        <v>692</v>
      </c>
      <c r="FI271" s="594" t="e">
        <v>#N/A</v>
      </c>
      <c r="FJ271" s="778">
        <v>12016</v>
      </c>
      <c r="FK271" s="560"/>
      <c r="FL271" s="560"/>
      <c r="FM271" s="560"/>
      <c r="FN271" s="560"/>
      <c r="FO271" s="560">
        <f>O271+((Sheet1!CS273)*GPMtoMGD)</f>
        <v>81.3</v>
      </c>
      <c r="FP271" s="560">
        <f>IF(Sheet1!AA273+AQ271&lt;=Calculation!N271,AQ271,Calculation!N271-Sheet1!AA273)</f>
        <v>31.592530423835498</v>
      </c>
      <c r="FQ271" s="560">
        <f>(Sheet1!BP273+Sheet1!BO273)/694.4</f>
        <v>2.7353110599078345</v>
      </c>
      <c r="FR271" s="560"/>
      <c r="FS271" s="560"/>
      <c r="FT271" s="560"/>
      <c r="FU271" s="560"/>
      <c r="FV271" s="695">
        <f t="shared" si="558"/>
        <v>41827</v>
      </c>
      <c r="FW271" s="695">
        <f t="shared" si="559"/>
        <v>41934</v>
      </c>
      <c r="FX271" s="560"/>
      <c r="FY271" s="560"/>
      <c r="FZ271" s="560"/>
      <c r="GA271" s="560"/>
      <c r="GB271" s="560" t="str">
        <f t="shared" si="560"/>
        <v>n</v>
      </c>
      <c r="GC271" s="564">
        <f t="shared" si="561"/>
        <v>41691</v>
      </c>
      <c r="GD271" s="695">
        <f t="shared" si="562"/>
        <v>41807</v>
      </c>
      <c r="GE271" s="560">
        <v>6518.9</v>
      </c>
      <c r="GF271" s="695">
        <f t="shared" si="563"/>
        <v>41808</v>
      </c>
      <c r="GG271" s="560">
        <f t="shared" si="479"/>
        <v>3259</v>
      </c>
      <c r="GH271" s="564">
        <f t="shared" si="564"/>
        <v>41934</v>
      </c>
      <c r="GJ271" s="545">
        <f t="shared" si="565"/>
        <v>0</v>
      </c>
      <c r="GK271" s="560" t="str">
        <f t="shared" si="539"/>
        <v/>
      </c>
      <c r="GL271" s="560">
        <f t="shared" si="566"/>
        <v>0</v>
      </c>
      <c r="GM271" s="560" t="str">
        <f t="shared" si="567"/>
        <v/>
      </c>
      <c r="GN271" s="560">
        <f>IF(GK271="P",Lookup!$M$12,IF(GK271="PP",Lookup!$M$13,IF(GK271="PPP",Lookup!$M$14,IF(GK271="T",Lookup!$M$15,IF(GK271="TP",Lookup!$M$16,IF(GK271="TPP",Lookup!$M$17,IF(GK271="TPPP",Lookup!$M$18,0)))))))*GJ271</f>
        <v>0</v>
      </c>
      <c r="GO271" s="560">
        <f t="shared" si="568"/>
        <v>0</v>
      </c>
      <c r="GP271" s="560">
        <f t="shared" si="540"/>
        <v>2195.2327453333342</v>
      </c>
      <c r="GQ271" s="560">
        <f t="shared" si="576"/>
        <v>715.52566666666689</v>
      </c>
      <c r="GR271" s="560"/>
      <c r="GS271" s="560">
        <f t="shared" si="569"/>
        <v>0</v>
      </c>
      <c r="GT271" s="560" t="str">
        <f t="shared" si="570"/>
        <v/>
      </c>
      <c r="GU271" s="560">
        <f>IF(GK271="P",Lookup!$N$12,IF(GK271="PP",Lookup!$N$13,IF(GK271="PPP",Lookup!$N$14,IF(GK271="T",Lookup!$N$15,IF(GK271="TP",Lookup!$N$16,IF(GK271="TPP",Lookup!$N$17,IF(GK271="TPPP",Lookup!$N$18,0)))))))*GJ271</f>
        <v>0</v>
      </c>
      <c r="GV271" s="560">
        <f t="shared" si="571"/>
        <v>0</v>
      </c>
      <c r="GW271" s="560">
        <f t="shared" si="541"/>
        <v>497.58588122267497</v>
      </c>
      <c r="GX271" s="560">
        <f t="shared" si="577"/>
        <v>162.18575007257985</v>
      </c>
      <c r="GY271" s="560"/>
      <c r="GZ271" s="560">
        <f t="shared" si="572"/>
        <v>0</v>
      </c>
      <c r="HA271" s="560" t="str">
        <f t="shared" si="573"/>
        <v/>
      </c>
      <c r="HB271" s="560">
        <f>IF(GK271="P",Lookup!$N$12,IF(GK271="PP",Lookup!$N$13,IF(GK271="PPP",Lookup!$N$14,IF(GK271="T",Lookup!$N$15,IF(GK271="TP",Lookup!$N$16,IF(GK271="TPP",Lookup!$N$17,IF(GK271="TPPP",Lookup!$N$18,0)))))))*GJ271</f>
        <v>0</v>
      </c>
      <c r="HC271" s="545">
        <f t="shared" si="542"/>
        <v>0</v>
      </c>
      <c r="HD271" s="560">
        <f t="shared" si="543"/>
        <v>760.22103301363006</v>
      </c>
      <c r="HE271" s="560">
        <f t="shared" si="578"/>
        <v>247.79042797054436</v>
      </c>
      <c r="HF271" s="560"/>
      <c r="HG271" s="560">
        <f t="shared" si="574"/>
        <v>0</v>
      </c>
      <c r="HH271" s="560" t="str">
        <f t="shared" si="575"/>
        <v/>
      </c>
      <c r="HI271" s="560">
        <f>IF(GK271="P",Lookup!$N$12,IF(GK271="PP",Lookup!$N$13,IF(GK271="PPP",Lookup!$N$14,IF(GK271="T",Lookup!$N$15,IF(GK271="TP",Lookup!$N$16,IF(GK271="TPP",Lookup!$N$17,IF(GK271="TPPP",Lookup!$N$18,0)))))))*GJ271</f>
        <v>0</v>
      </c>
      <c r="HJ271" s="545">
        <f t="shared" si="544"/>
        <v>0</v>
      </c>
      <c r="HK271" s="560">
        <f t="shared" si="545"/>
        <v>1223.8048621791716</v>
      </c>
      <c r="HL271" s="560">
        <f t="shared" si="579"/>
        <v>398.89337098408458</v>
      </c>
    </row>
    <row r="272" spans="1:220">
      <c r="A272" s="580" t="s">
        <v>7</v>
      </c>
      <c r="B272" s="556">
        <v>41900</v>
      </c>
      <c r="C272" s="561">
        <v>0</v>
      </c>
      <c r="D272" s="529">
        <f t="shared" si="477"/>
        <v>300</v>
      </c>
      <c r="E272" s="529">
        <f t="shared" si="478"/>
        <v>250</v>
      </c>
      <c r="F272" s="529">
        <v>250</v>
      </c>
      <c r="G272" s="560">
        <f>DR272+Sheet1!CZ274</f>
        <v>177.6601109432516</v>
      </c>
      <c r="H272" s="914">
        <f t="shared" si="546"/>
        <v>0</v>
      </c>
      <c r="I272" s="559">
        <f>MAX(Sheet1!Z274-AT272+(Sheet1!DA274-E272)*CFStoMGD,0)</f>
        <v>130.53919999999999</v>
      </c>
      <c r="J272" s="562">
        <f>IF(AND(B272&gt;=Calculation!GC272,B272&lt;=Calculation!GD272),IF(Sheet1!DB274&gt;=Calculation!D272,64.64,0),MAX(Sheet1!Z274-AT272+(Sheet1!DB274-D272)*CFStoMGD,0))</f>
        <v>45.214399999999998</v>
      </c>
      <c r="K272" s="904">
        <f t="shared" si="481"/>
        <v>0</v>
      </c>
      <c r="L272" s="560">
        <f>Sheet1!AA274+Sheet1!AB274-Sheet1!L274+(Sheet1!DA274-F272)*CFStoMGD</f>
        <v>160.30919999999998</v>
      </c>
      <c r="M272" s="560">
        <f t="shared" si="482"/>
        <v>117.13628562799219</v>
      </c>
      <c r="N272" s="910">
        <f>IF(Sheet1!DA274&gt;=F272,MIN(73,MIN(MAX(L272,0),MAX(M272,0))),0)</f>
        <v>73</v>
      </c>
      <c r="O272" s="563">
        <f>Sheet1!AA274+Sheet1!AB274</f>
        <v>77.569999999999993</v>
      </c>
      <c r="P272" s="563">
        <f t="shared" si="483"/>
        <v>120.00078999999999</v>
      </c>
      <c r="Q272" s="898">
        <f t="shared" si="547"/>
        <v>62.867736969430382</v>
      </c>
      <c r="R272" s="829">
        <f t="shared" si="484"/>
        <v>14.5</v>
      </c>
      <c r="S272" s="898">
        <f t="shared" si="548"/>
        <v>0</v>
      </c>
      <c r="T272" s="898">
        <f t="shared" si="549"/>
        <v>0</v>
      </c>
      <c r="U272" s="898">
        <f t="shared" si="550"/>
        <v>14.702263030569608</v>
      </c>
      <c r="V272" s="898"/>
      <c r="W272" s="898">
        <f t="shared" si="551"/>
        <v>0</v>
      </c>
      <c r="X272" s="898">
        <f t="shared" si="552"/>
        <v>0</v>
      </c>
      <c r="Y272" s="898" t="str">
        <f t="shared" si="553"/>
        <v>FALSE</v>
      </c>
      <c r="Z272" s="898">
        <f t="shared" si="554"/>
        <v>77.569999999999993</v>
      </c>
      <c r="AA272" s="898">
        <f t="shared" si="555"/>
        <v>77.569999999999993</v>
      </c>
      <c r="AB272" s="898" t="str">
        <f t="shared" si="556"/>
        <v/>
      </c>
      <c r="AC272" s="563">
        <f>Sheet1!Y274*MGDtoCFS</f>
        <v>51.8245</v>
      </c>
      <c r="AD272" s="563">
        <f>Sheet1!Z274*MGDtoCFS</f>
        <v>73.946599999999989</v>
      </c>
      <c r="AE272" s="563">
        <f>Sheet1!AA274*MGDtoCFS</f>
        <v>49.503999999999998</v>
      </c>
      <c r="AF272" s="563">
        <f>Sheet1!AB274*MGDtoCFS</f>
        <v>70.496790000000004</v>
      </c>
      <c r="AG272" s="563">
        <f>Sheet1!L274*MGDtoCFS</f>
        <v>0</v>
      </c>
      <c r="AH272" s="545">
        <f t="shared" si="485"/>
        <v>14.702263030569608</v>
      </c>
      <c r="AI272" s="560">
        <f t="shared" si="486"/>
        <v>22.744400908291183</v>
      </c>
      <c r="AJ272" s="560">
        <f t="shared" si="487"/>
        <v>0</v>
      </c>
      <c r="AK272" s="560">
        <f t="shared" si="488"/>
        <v>0</v>
      </c>
      <c r="AL272" s="560">
        <f>(VLOOKUP(Sheet1!DC274,hhdcap_wcm,4)-(((VLOOKUP(Sheet1!DC274,hhdcap_wcm,3)-Sheet1!DC274)/(VLOOKUP(Sheet1!DC274,hhdcap_wcm,3)-VLOOKUP(Sheet1!DC274,hhdcap_wcm,1)))*(VLOOKUP(Sheet1!DC274,hhdcap_wcm,4)-VLOOKUP(Sheet1!DC274,hhdcap_wcm,2))))</f>
        <v>28478.900000074576</v>
      </c>
      <c r="AM272" s="560">
        <f t="shared" si="489"/>
        <v>-440.89999999953216</v>
      </c>
      <c r="AN272" s="560">
        <f t="shared" si="490"/>
        <v>1509.6929526633062</v>
      </c>
      <c r="AO272" s="560">
        <f t="shared" si="491"/>
        <v>4631.7379787710233</v>
      </c>
      <c r="AP272" s="560">
        <f>Sheet1!BA274+Sheet1!BB274+Sheet1!BN274+CD272</f>
        <v>30.8</v>
      </c>
      <c r="AQ272" s="560">
        <f>Sheet1!BN274+(DO272*Sheet1!BN274)</f>
        <v>29.264218165823621</v>
      </c>
      <c r="AR272" s="560">
        <f>Sheet1!BA274+CD272</f>
        <v>0</v>
      </c>
      <c r="AS272" s="560">
        <f>Sheet1!BA274+Sheet1!BB274+CD272</f>
        <v>1.6</v>
      </c>
      <c r="AT272" s="698">
        <f>0</f>
        <v>0</v>
      </c>
      <c r="AU272" s="560">
        <f>IF(EB272&lt;K272,0,MAX(Sheet1!AA274+AQ272-15/36*K272-N272,Sheet1!EH274,0))</f>
        <v>0</v>
      </c>
      <c r="AV272" s="560">
        <f>IF(OR(B272&gt;=GD272,B272&lt;GC272),0,15/36*K272-MAX(0,64.6-(137.6-(Sheet1!AA274+Sheet1!AB274))))</f>
        <v>0</v>
      </c>
      <c r="AW272" s="698">
        <f>Sheet1!DB274-110</f>
        <v>186</v>
      </c>
      <c r="AX272" s="698">
        <f>Sheet1!DA274-265</f>
        <v>113</v>
      </c>
      <c r="AY272" s="698">
        <f t="shared" si="492"/>
        <v>10.132263030569618</v>
      </c>
      <c r="AZ272" s="698">
        <v>0</v>
      </c>
      <c r="BA272" s="698">
        <f t="shared" si="493"/>
        <v>0</v>
      </c>
      <c r="BB272" s="560">
        <f t="shared" si="494"/>
        <v>715.52566666666689</v>
      </c>
      <c r="BC272" s="560"/>
      <c r="BD272" s="560">
        <f ca="1">IF(B272&gt;Summary!$A$1,#N/A,BB272*MGtoAF)</f>
        <v>2195.2327453333342</v>
      </c>
      <c r="BE272" s="560">
        <f>Sheet1!BG274+Sheet1!BH274+Sheet1!BI274-BM272</f>
        <v>2.02</v>
      </c>
      <c r="BF272" s="560">
        <f t="shared" si="495"/>
        <v>2.024442489553552</v>
      </c>
      <c r="BG272" s="560">
        <f>IF(Sheet1!EP274="FM",BM272,0)</f>
        <v>0</v>
      </c>
      <c r="BH272" s="560">
        <f t="shared" si="496"/>
        <v>0</v>
      </c>
      <c r="BI272" s="560">
        <f>IF(Sheet1!EP274="OTHER",BM272,0)</f>
        <v>0</v>
      </c>
      <c r="BJ272" s="560">
        <f t="shared" si="497"/>
        <v>0</v>
      </c>
      <c r="BK272" s="560">
        <f t="shared" si="498"/>
        <v>2.02</v>
      </c>
      <c r="BL272" s="560">
        <f t="shared" si="499"/>
        <v>2.024442489553552</v>
      </c>
      <c r="BM272" s="560">
        <f>IF(OR(Sheet1!EP274="FM", Sheet1!EP274="OTHER"),SUM(Sheet1!BG274:'Sheet1'!BI274),0)</f>
        <v>0</v>
      </c>
      <c r="BN272" s="545">
        <f>IF(AND($B272&gt;=$FV272,$B272&lt;=$FW272),MAX(BF272,Sheet1!EI274,0),MAX(BF272-(7/36)*$K272,0))</f>
        <v>2.024442489553552</v>
      </c>
      <c r="BO272" s="560">
        <f t="shared" si="500"/>
        <v>0</v>
      </c>
      <c r="BP272" s="545">
        <f t="shared" si="501"/>
        <v>0</v>
      </c>
      <c r="BQ272" s="545">
        <f>IF(AND($O272&gt;0,Sheet1!EM274=1),(1-($O272-Sheet1!$L274)/$O272)*BL272,0)</f>
        <v>0</v>
      </c>
      <c r="BR272" s="545">
        <f>IF(AND(Sheet1!$L274=0,Sheet1!$L273=0, Calculation!BK272&lt;Sheet1!$EI274-0.1,Sheet1!$EI274=Sheet1!$EI273,Sheet1!$EI274=Sheet1!$EI275),Sheet1!$EI274,BL272-BQ272)</f>
        <v>2.024442489553552</v>
      </c>
      <c r="BS272" s="560"/>
      <c r="BT272" s="560"/>
      <c r="BU272" s="560">
        <f t="shared" si="502"/>
        <v>160.16130758302629</v>
      </c>
      <c r="BV272" s="560"/>
      <c r="BW272" s="560">
        <f ca="1">IF(B272&gt;Summary!$A$1,#N/A,BU272*MGtoAF)</f>
        <v>491.37489166472466</v>
      </c>
      <c r="BX272" s="560">
        <f>Sheet1!BC274+Sheet1!BD274+Sheet1!BE274+Sheet1!BF274-CG272-CH272</f>
        <v>3.51</v>
      </c>
      <c r="BY272" s="560">
        <f t="shared" si="503"/>
        <v>3.5177193754123599</v>
      </c>
      <c r="BZ272" s="560">
        <f>IF(Sheet1!EQ274="FM",CH272,0)</f>
        <v>0</v>
      </c>
      <c r="CA272" s="560">
        <f t="shared" si="504"/>
        <v>0</v>
      </c>
      <c r="CB272" s="560">
        <f>IF(Sheet1!EQ274="OTHER",CH272,0)</f>
        <v>0</v>
      </c>
      <c r="CC272" s="560">
        <f t="shared" si="505"/>
        <v>0</v>
      </c>
      <c r="CD272" s="560">
        <f t="shared" si="506"/>
        <v>0</v>
      </c>
      <c r="CE272" s="560">
        <f t="shared" si="507"/>
        <v>3.51</v>
      </c>
      <c r="CF272" s="560">
        <f t="shared" si="508"/>
        <v>3.5177193754123599</v>
      </c>
      <c r="CG272" s="560">
        <f>IF(Sheet1!EQ274="CWA",SUM(Sheet1!BC274:'Sheet1'!BF274),0)</f>
        <v>0</v>
      </c>
      <c r="CH272" s="560">
        <f>IF(OR(Sheet1!EQ274="FM", Sheet1!EQ274="OTHER"),SUM(Sheet1!BC274:'Sheet1'!BF274),0)</f>
        <v>0</v>
      </c>
      <c r="CI272" s="545">
        <f>IF(AND($B272&gt;=$FV272,$B272&lt;=$FW272),MAX(CF272,Sheet1!EJ274,0),MAX(CF272-(7/36)*$K272,0))</f>
        <v>3.5177193754123599</v>
      </c>
      <c r="CJ272" s="560">
        <f t="shared" si="509"/>
        <v>0</v>
      </c>
      <c r="CK272" s="545">
        <f t="shared" si="510"/>
        <v>0</v>
      </c>
      <c r="CL272" s="545">
        <f>IF(AND($O272&gt;0,Sheet1!EN274=1),(1-($O272-Sheet1!$L274)/$O272)*CF272,0)</f>
        <v>0</v>
      </c>
      <c r="CM272" s="545">
        <f>IF(AND(Sheet1!$L274=0,Sheet1!$L273=0, Calculation!CE272&lt;Sheet1!EJ274-0.1,Sheet1!EJ274=Sheet1!EJ273,Sheet1!EJ274=Sheet1!EJ275),Sheet1!EJ274,CF272-CL272)</f>
        <v>3.5177193754123599</v>
      </c>
      <c r="CN272" s="545"/>
      <c r="CO272" s="560"/>
      <c r="CP272" s="560">
        <f t="shared" si="511"/>
        <v>244.272708595132</v>
      </c>
      <c r="CQ272" s="560"/>
      <c r="CR272" s="560">
        <f ca="1">IF(B272&gt;Summary!$A$1,#N/A,CP272*MGtoAF)</f>
        <v>749.42866996986504</v>
      </c>
      <c r="CS272" s="560">
        <f>Sheet1!BK274+Sheet1!BL274+Sheet1!BM274-Sheet1!ER274-DA272</f>
        <v>9.14</v>
      </c>
      <c r="CT272" s="560">
        <f t="shared" si="512"/>
        <v>9.1601011656036953</v>
      </c>
      <c r="CU272" s="560">
        <f>IF(Sheet1!ER274="FM",DA272,0)</f>
        <v>0</v>
      </c>
      <c r="CV272" s="560">
        <f t="shared" si="513"/>
        <v>0</v>
      </c>
      <c r="CW272" s="560">
        <f>IF(Sheet1!ER274="OTHER",DA272,0)</f>
        <v>0</v>
      </c>
      <c r="CX272" s="560">
        <f t="shared" si="514"/>
        <v>0</v>
      </c>
      <c r="CY272" s="560">
        <f t="shared" si="515"/>
        <v>9.14</v>
      </c>
      <c r="CZ272" s="560">
        <f t="shared" si="516"/>
        <v>9.1601011656036953</v>
      </c>
      <c r="DA272" s="560">
        <f>IF(OR(Sheet1!ER274="FM", Sheet1!ER274="OTHER"),SUM(Sheet1!BK274:'Sheet1'!BM274),0)</f>
        <v>0</v>
      </c>
      <c r="DB272" s="545">
        <f>IF(AND($B272&gt;=$FV272,$B272&lt;=$FW272),MAX($CT272,Sheet1!EK274,0),MAX($CT272-(7/36)*$K272,0))</f>
        <v>9.1601011656036953</v>
      </c>
      <c r="DC272" s="560">
        <f t="shared" si="517"/>
        <v>0</v>
      </c>
      <c r="DD272" s="545">
        <f t="shared" si="518"/>
        <v>0</v>
      </c>
      <c r="DE272" s="545">
        <f>IF(AND($O272&gt;0,Sheet1!EO274=1),(1-($O272-Sheet1!$L274)/$O272)*CZ272,0)</f>
        <v>0</v>
      </c>
      <c r="DF272" s="545">
        <f>IF(AND(Sheet1!$L274=0,Sheet1!$L273=0, Calculation!CY272&lt;Sheet1!$EK274-0.1,Sheet1!$EK274=Sheet1!$EK273,Sheet1!$EK274=Sheet1!$EK275),Sheet1!$EK274,CZ272-DE272)</f>
        <v>9.1601011656036953</v>
      </c>
      <c r="DG272" s="545"/>
      <c r="DH272" s="560">
        <f t="shared" si="519"/>
        <v>14.67</v>
      </c>
      <c r="DI272" s="560">
        <f t="shared" si="520"/>
        <v>389.73326981848089</v>
      </c>
      <c r="DJ272" s="698">
        <f t="shared" si="521"/>
        <v>14.702263030569608</v>
      </c>
      <c r="DK272" s="560">
        <f ca="1">IF(B272&gt;Summary!$A$1,#N/A,DI272*MGtoAF)</f>
        <v>1195.7016718030993</v>
      </c>
      <c r="DL272" s="698">
        <f t="shared" si="522"/>
        <v>14.67</v>
      </c>
      <c r="DM272" s="560">
        <f t="shared" si="523"/>
        <v>45.47</v>
      </c>
      <c r="DN272" s="560">
        <f>Sheet1!AB274-DM272</f>
        <v>0.10000000000000142</v>
      </c>
      <c r="DO272" s="823">
        <f t="shared" si="524"/>
        <v>2.1992522542335917E-3</v>
      </c>
      <c r="DP272" s="560">
        <f>(VLOOKUP(Sheet1!DC274,hhdcap_wcm,4)-(((VLOOKUP(Sheet1!DC274,hhdcap_wcm,3)-Sheet1!DC274)/(VLOOKUP(Sheet1!DC274,hhdcap_wcm,3)-VLOOKUP(Sheet1!DC274,hhdcap_wcm,1)))*(VLOOKUP(Sheet1!DC274,hhdcap_wcm,4)-VLOOKUP(Sheet1!DC274,hhdcap_wcm,2))))</f>
        <v>28478.900000074576</v>
      </c>
      <c r="DQ272" s="560">
        <f t="shared" si="525"/>
        <v>-440.89999999953216</v>
      </c>
      <c r="DR272" s="560">
        <f t="shared" si="526"/>
        <v>-222.3398890567484</v>
      </c>
      <c r="DS272" s="560">
        <f>Sheet1!EA274*AFtoMG</f>
        <v>0</v>
      </c>
      <c r="DT272" s="560">
        <f>Sheet1!EB274*AFtoMG</f>
        <v>0</v>
      </c>
      <c r="DU272" s="560">
        <f>Sheet1!EC274*AFtoMG</f>
        <v>0</v>
      </c>
      <c r="DV272" s="560">
        <f>Sheet1!ED274*AFtoMG</f>
        <v>0</v>
      </c>
      <c r="DW272" s="560">
        <f t="shared" si="527"/>
        <v>0</v>
      </c>
      <c r="DX272" s="560">
        <f t="shared" si="528"/>
        <v>0</v>
      </c>
      <c r="DY272" s="560">
        <f t="shared" si="529"/>
        <v>1509.6929526633062</v>
      </c>
      <c r="DZ272" s="560">
        <f t="shared" si="530"/>
        <v>4631.7379787710233</v>
      </c>
      <c r="EA272" s="560"/>
      <c r="EB272" s="545">
        <f>IF(OR(B272&lt;FV272,B272&gt;FW272),(MIN(BF272+BY272+CT272+MAX(Sheet1!AA274+AQ272-73,0),K272)),0)</f>
        <v>0</v>
      </c>
      <c r="EC272" s="560"/>
      <c r="ED272" s="560">
        <f t="shared" si="531"/>
        <v>14.702263030569608</v>
      </c>
      <c r="EE272" s="560"/>
      <c r="EF272" s="560">
        <f>Sheet1!EH274+Sheet1!EI274+Sheet1!EJ274+Sheet1!EK274</f>
        <v>14.5</v>
      </c>
      <c r="EG272" s="560"/>
      <c r="EH272" s="545">
        <f t="shared" si="532"/>
        <v>0</v>
      </c>
      <c r="EI272" s="560">
        <f>IF(Sheet1!ET274=1,SUM('Calculations II'!AT272:BA272)+'Calculations II'!BC272+Sheet1!BV274+'Calculations II'!BE272+AP272,SUM('Calculations II'!AT272:BA272)+'Calculations II'!BC272+Sheet1!BV274+'Calculations II'!BE272+AP272)</f>
        <v>70.744367999999994</v>
      </c>
      <c r="EJ272" s="560">
        <f>Sheet1!AA274+Sheet1!AB274+'Calculations II'!BC272</f>
        <v>77.569999999999993</v>
      </c>
      <c r="EK272" s="560"/>
      <c r="EL272" s="560"/>
      <c r="EM272" s="560">
        <f t="shared" si="533"/>
        <v>41900</v>
      </c>
      <c r="EN272" s="560">
        <f t="shared" si="534"/>
        <v>-14.702263030569608</v>
      </c>
      <c r="EO272" s="560">
        <f t="shared" si="535"/>
        <v>-22.744400908291183</v>
      </c>
      <c r="EP272" s="560">
        <v>0</v>
      </c>
      <c r="EQ272" s="560">
        <v>0</v>
      </c>
      <c r="ER272" s="560">
        <v>0</v>
      </c>
      <c r="ES272" s="545">
        <f t="shared" si="557"/>
        <v>-2.0789829860189295</v>
      </c>
      <c r="ET272" s="560">
        <f>-(VLOOKUP(Sheet1!BQ274,Lookup!$O$4:$Q$262,2)-VLOOKUP(Sheet1!BQ273,Lookup!$O$4:$Q$262,2))/1000000</f>
        <v>-0.97015615882958839</v>
      </c>
      <c r="EU272" s="560">
        <f>-(VLOOKUP(Sheet1!BR274,Lookup!$O$4:$Q$262,3)-VLOOKUP(Sheet1!BR273,Lookup!$O$4:$Q$262,3))/1000000</f>
        <v>-1.1088268271893411</v>
      </c>
      <c r="EV272" s="560"/>
      <c r="EW272" s="560"/>
      <c r="EX272" s="560"/>
      <c r="EY272" s="560"/>
      <c r="EZ272" s="560"/>
      <c r="FA272" s="560"/>
      <c r="FB272" s="560"/>
      <c r="FC272" s="560"/>
      <c r="FD272" s="594">
        <f t="shared" si="536"/>
        <v>1121.6413043477628</v>
      </c>
      <c r="FE272" s="594" t="e">
        <f t="shared" si="537"/>
        <v>#N/A</v>
      </c>
      <c r="FF272" s="595" t="e">
        <f t="shared" si="538"/>
        <v>#N/A</v>
      </c>
      <c r="FG272" s="596" t="s">
        <v>692</v>
      </c>
      <c r="FH272" s="596" t="s">
        <v>692</v>
      </c>
      <c r="FI272" s="594" t="e">
        <v>#N/A</v>
      </c>
      <c r="FJ272" s="778">
        <v>11800</v>
      </c>
      <c r="FK272" s="560"/>
      <c r="FL272" s="560"/>
      <c r="FM272" s="560"/>
      <c r="FN272" s="560"/>
      <c r="FO272" s="560">
        <f>O272+((Sheet1!CS274)*GPMtoMGD)</f>
        <v>77.569999999999993</v>
      </c>
      <c r="FP272" s="560">
        <f>IF(Sheet1!AA274+AQ272&lt;=Calculation!N272,AQ272,Calculation!N272-Sheet1!AA274)</f>
        <v>29.264218165823621</v>
      </c>
      <c r="FQ272" s="560">
        <f>(Sheet1!BP274+Sheet1!BO274)/694.4</f>
        <v>2.3784562211981566</v>
      </c>
      <c r="FR272" s="560"/>
      <c r="FS272" s="560"/>
      <c r="FT272" s="560"/>
      <c r="FU272" s="560"/>
      <c r="FV272" s="695">
        <f t="shared" si="558"/>
        <v>41827</v>
      </c>
      <c r="FW272" s="695">
        <f t="shared" si="559"/>
        <v>41934</v>
      </c>
      <c r="FX272" s="560"/>
      <c r="FY272" s="560"/>
      <c r="FZ272" s="560"/>
      <c r="GA272" s="560"/>
      <c r="GB272" s="560" t="str">
        <f t="shared" si="560"/>
        <v>n</v>
      </c>
      <c r="GC272" s="564">
        <f t="shared" si="561"/>
        <v>41691</v>
      </c>
      <c r="GD272" s="695">
        <f t="shared" si="562"/>
        <v>41807</v>
      </c>
      <c r="GE272" s="560">
        <v>6518.9</v>
      </c>
      <c r="GF272" s="695">
        <f t="shared" si="563"/>
        <v>41808</v>
      </c>
      <c r="GG272" s="560">
        <f t="shared" si="479"/>
        <v>3259</v>
      </c>
      <c r="GH272" s="564">
        <f t="shared" si="564"/>
        <v>41934</v>
      </c>
      <c r="GJ272" s="545">
        <f t="shared" si="565"/>
        <v>0</v>
      </c>
      <c r="GK272" s="560" t="str">
        <f t="shared" si="539"/>
        <v/>
      </c>
      <c r="GL272" s="560">
        <f t="shared" si="566"/>
        <v>0</v>
      </c>
      <c r="GM272" s="560" t="str">
        <f t="shared" si="567"/>
        <v/>
      </c>
      <c r="GN272" s="560">
        <f>IF(GK272="P",Lookup!$M$12,IF(GK272="PP",Lookup!$M$13,IF(GK272="PPP",Lookup!$M$14,IF(GK272="T",Lookup!$M$15,IF(GK272="TP",Lookup!$M$16,IF(GK272="TPP",Lookup!$M$17,IF(GK272="TPPP",Lookup!$M$18,0)))))))*GJ272</f>
        <v>0</v>
      </c>
      <c r="GO272" s="560">
        <f t="shared" si="568"/>
        <v>0</v>
      </c>
      <c r="GP272" s="560">
        <f t="shared" si="540"/>
        <v>2195.2327453333342</v>
      </c>
      <c r="GQ272" s="560">
        <f t="shared" si="576"/>
        <v>715.52566666666689</v>
      </c>
      <c r="GR272" s="560"/>
      <c r="GS272" s="560">
        <f t="shared" si="569"/>
        <v>0</v>
      </c>
      <c r="GT272" s="560" t="str">
        <f t="shared" si="570"/>
        <v/>
      </c>
      <c r="GU272" s="560">
        <f>IF(GK272="P",Lookup!$N$12,IF(GK272="PP",Lookup!$N$13,IF(GK272="PPP",Lookup!$N$14,IF(GK272="T",Lookup!$N$15,IF(GK272="TP",Lookup!$N$16,IF(GK272="TPP",Lookup!$N$17,IF(GK272="TPPP",Lookup!$N$18,0)))))))*GJ272</f>
        <v>0</v>
      </c>
      <c r="GV272" s="560">
        <f t="shared" si="571"/>
        <v>0</v>
      </c>
      <c r="GW272" s="560">
        <f t="shared" si="541"/>
        <v>491.37489166472466</v>
      </c>
      <c r="GX272" s="560">
        <f t="shared" si="577"/>
        <v>160.16130758302629</v>
      </c>
      <c r="GY272" s="560"/>
      <c r="GZ272" s="560">
        <f t="shared" si="572"/>
        <v>0</v>
      </c>
      <c r="HA272" s="560" t="str">
        <f t="shared" si="573"/>
        <v/>
      </c>
      <c r="HB272" s="560">
        <f>IF(GK272="P",Lookup!$N$12,IF(GK272="PP",Lookup!$N$13,IF(GK272="PPP",Lookup!$N$14,IF(GK272="T",Lookup!$N$15,IF(GK272="TP",Lookup!$N$16,IF(GK272="TPP",Lookup!$N$17,IF(GK272="TPPP",Lookup!$N$18,0)))))))*GJ272</f>
        <v>0</v>
      </c>
      <c r="HC272" s="545">
        <f t="shared" si="542"/>
        <v>0</v>
      </c>
      <c r="HD272" s="560">
        <f t="shared" si="543"/>
        <v>749.42866996986504</v>
      </c>
      <c r="HE272" s="560">
        <f t="shared" si="578"/>
        <v>244.272708595132</v>
      </c>
      <c r="HF272" s="560"/>
      <c r="HG272" s="560">
        <f t="shared" si="574"/>
        <v>0</v>
      </c>
      <c r="HH272" s="560" t="str">
        <f t="shared" si="575"/>
        <v/>
      </c>
      <c r="HI272" s="560">
        <f>IF(GK272="P",Lookup!$N$12,IF(GK272="PP",Lookup!$N$13,IF(GK272="PPP",Lookup!$N$14,IF(GK272="T",Lookup!$N$15,IF(GK272="TP",Lookup!$N$16,IF(GK272="TPP",Lookup!$N$17,IF(GK272="TPPP",Lookup!$N$18,0)))))))*GJ272</f>
        <v>0</v>
      </c>
      <c r="HJ272" s="545">
        <f t="shared" si="544"/>
        <v>0</v>
      </c>
      <c r="HK272" s="560">
        <f t="shared" si="545"/>
        <v>1195.7016718030993</v>
      </c>
      <c r="HL272" s="560">
        <f t="shared" si="579"/>
        <v>389.73326981848089</v>
      </c>
    </row>
    <row r="273" spans="1:220">
      <c r="A273" s="580" t="s">
        <v>8</v>
      </c>
      <c r="B273" s="556">
        <v>41901</v>
      </c>
      <c r="C273" s="561">
        <v>0</v>
      </c>
      <c r="D273" s="529">
        <f t="shared" si="477"/>
        <v>300</v>
      </c>
      <c r="E273" s="529">
        <f t="shared" si="478"/>
        <v>250</v>
      </c>
      <c r="F273" s="529">
        <v>250</v>
      </c>
      <c r="G273" s="560">
        <f>DR273+Sheet1!CZ275</f>
        <v>215.95007564233524</v>
      </c>
      <c r="H273" s="914">
        <f t="shared" si="546"/>
        <v>0</v>
      </c>
      <c r="I273" s="559">
        <f>MAX(Sheet1!Z275-AT273+(Sheet1!DA275-E273)*CFStoMGD,0)</f>
        <v>161.2756</v>
      </c>
      <c r="J273" s="562">
        <f>IF(AND(B273&gt;=Calculation!GC273,B273&lt;=Calculation!GD273),IF(Sheet1!DB275&gt;=Calculation!D273,64.64,0),MAX(Sheet1!Z275-AT273+(Sheet1!DB275-D273)*CFStoMGD,0))</f>
        <v>79.8292</v>
      </c>
      <c r="K273" s="904">
        <f t="shared" si="481"/>
        <v>0</v>
      </c>
      <c r="L273" s="560">
        <f>Sheet1!AA275+Sheet1!AB275-Sheet1!L275+(Sheet1!DA275-F273)*CFStoMGD</f>
        <v>191.03559999999999</v>
      </c>
      <c r="M273" s="560">
        <f t="shared" si="482"/>
        <v>142.3819314731096</v>
      </c>
      <c r="N273" s="910">
        <f>IF(Sheet1!DA275&gt;=F273,MIN(73,MIN(MAX(L273,0),MAX(M273,0))),0)</f>
        <v>73</v>
      </c>
      <c r="O273" s="563">
        <f>Sheet1!AA275+Sheet1!AB275</f>
        <v>75.33</v>
      </c>
      <c r="P273" s="563">
        <f t="shared" si="483"/>
        <v>116.53550999999999</v>
      </c>
      <c r="Q273" s="898">
        <f t="shared" si="547"/>
        <v>60.573137647320436</v>
      </c>
      <c r="R273" s="829">
        <f t="shared" si="484"/>
        <v>14.5</v>
      </c>
      <c r="S273" s="898">
        <f t="shared" si="548"/>
        <v>0</v>
      </c>
      <c r="T273" s="898">
        <f t="shared" si="549"/>
        <v>0</v>
      </c>
      <c r="U273" s="898">
        <f t="shared" si="550"/>
        <v>14.756862352679565</v>
      </c>
      <c r="V273" s="898"/>
      <c r="W273" s="898">
        <f t="shared" si="551"/>
        <v>0</v>
      </c>
      <c r="X273" s="898">
        <f t="shared" si="552"/>
        <v>0</v>
      </c>
      <c r="Y273" s="898" t="str">
        <f t="shared" si="553"/>
        <v>FALSE</v>
      </c>
      <c r="Z273" s="898">
        <f t="shared" si="554"/>
        <v>75.33</v>
      </c>
      <c r="AA273" s="898">
        <f t="shared" si="555"/>
        <v>75.33</v>
      </c>
      <c r="AB273" s="898" t="str">
        <f t="shared" si="556"/>
        <v/>
      </c>
      <c r="AC273" s="563">
        <f>Sheet1!Y275*MGDtoCFS</f>
        <v>49.503999999999998</v>
      </c>
      <c r="AD273" s="563">
        <f>Sheet1!Z275*MGDtoCFS</f>
        <v>70.496790000000004</v>
      </c>
      <c r="AE273" s="563">
        <f>Sheet1!AA275*MGDtoCFS</f>
        <v>47.028799999999997</v>
      </c>
      <c r="AF273" s="563">
        <f>Sheet1!AB275*MGDtoCFS</f>
        <v>69.506709999999998</v>
      </c>
      <c r="AG273" s="563">
        <f>Sheet1!L275*MGDtoCFS</f>
        <v>0</v>
      </c>
      <c r="AH273" s="545">
        <f t="shared" si="485"/>
        <v>14.759975539248389</v>
      </c>
      <c r="AI273" s="560">
        <f t="shared" si="486"/>
        <v>22.833682159217258</v>
      </c>
      <c r="AJ273" s="560">
        <f t="shared" si="487"/>
        <v>0</v>
      </c>
      <c r="AK273" s="560">
        <f t="shared" si="488"/>
        <v>0</v>
      </c>
      <c r="AL273" s="560">
        <f>(VLOOKUP(Sheet1!DC275,hhdcap_wcm,4)-(((VLOOKUP(Sheet1!DC275,hhdcap_wcm,3)-Sheet1!DC275)/(VLOOKUP(Sheet1!DC275,hhdcap_wcm,3)-VLOOKUP(Sheet1!DC275,hhdcap_wcm,1)))*(VLOOKUP(Sheet1!DC275,hhdcap_wcm,4)-VLOOKUP(Sheet1!DC275,hhdcap_wcm,2))))</f>
        <v>27989.000000073327</v>
      </c>
      <c r="AM273" s="560">
        <f t="shared" si="489"/>
        <v>-489.90000000124928</v>
      </c>
      <c r="AN273" s="560">
        <f t="shared" si="490"/>
        <v>1494.9329771240577</v>
      </c>
      <c r="AO273" s="560">
        <f t="shared" si="491"/>
        <v>4586.4543738166094</v>
      </c>
      <c r="AP273" s="560">
        <f>Sheet1!BA275+Sheet1!BB275+Sheet1!BN275+CD273</f>
        <v>30.200000000000003</v>
      </c>
      <c r="AQ273" s="560">
        <f>Sheet1!BN275+(DO273*Sheet1!BN275)</f>
        <v>28.574560818323327</v>
      </c>
      <c r="AR273" s="560">
        <f>Sheet1!BA275+CD273</f>
        <v>0</v>
      </c>
      <c r="AS273" s="560">
        <f>Sheet1!BA275+Sheet1!BB275+CD273</f>
        <v>1.6</v>
      </c>
      <c r="AT273" s="698">
        <f>0</f>
        <v>0</v>
      </c>
      <c r="AU273" s="560">
        <f>IF(EB273&lt;K273,0,MAX(Sheet1!AA275+AQ273-15/36*K273-N273,Sheet1!EH275,0))</f>
        <v>0</v>
      </c>
      <c r="AV273" s="560">
        <f>IF(OR(B273&gt;=GD273,B273&lt;GC273),0,15/36*K273-MAX(0,64.6-(137.6-(Sheet1!AA275+Sheet1!AB275))))</f>
        <v>0</v>
      </c>
      <c r="AW273" s="698">
        <f>Sheet1!DB275-110</f>
        <v>243</v>
      </c>
      <c r="AX273" s="698">
        <f>Sheet1!DA275-265</f>
        <v>164</v>
      </c>
      <c r="AY273" s="698">
        <f t="shared" si="492"/>
        <v>12.426862352679564</v>
      </c>
      <c r="AZ273" s="698">
        <v>0</v>
      </c>
      <c r="BA273" s="698">
        <f t="shared" si="493"/>
        <v>0</v>
      </c>
      <c r="BB273" s="560">
        <f>GO273+GQ273</f>
        <v>715.52566666666689</v>
      </c>
      <c r="BC273" s="560"/>
      <c r="BD273" s="560">
        <f ca="1">IF(B273&gt;Summary!$A$1,#N/A,BB273*MGtoAF)</f>
        <v>2195.2327453333342</v>
      </c>
      <c r="BE273" s="560">
        <f>Sheet1!BG275+Sheet1!BH275+Sheet1!BI275-BM273</f>
        <v>2.02</v>
      </c>
      <c r="BF273" s="560">
        <f t="shared" si="495"/>
        <v>2.0182032466088504</v>
      </c>
      <c r="BG273" s="560">
        <f>IF(Sheet1!EP275="FM",BM273,0)</f>
        <v>0</v>
      </c>
      <c r="BH273" s="560">
        <f t="shared" si="496"/>
        <v>0</v>
      </c>
      <c r="BI273" s="560">
        <f>IF(Sheet1!EP275="OTHER",BM273,0)</f>
        <v>0</v>
      </c>
      <c r="BJ273" s="560">
        <f t="shared" si="497"/>
        <v>0</v>
      </c>
      <c r="BK273" s="560">
        <f t="shared" si="498"/>
        <v>2.02</v>
      </c>
      <c r="BL273" s="560">
        <f t="shared" si="499"/>
        <v>2.0182032466088504</v>
      </c>
      <c r="BM273" s="560">
        <f>IF(OR(Sheet1!EP275="FM", Sheet1!EP275="OTHER"),SUM(Sheet1!BG275:'Sheet1'!BI275),0)</f>
        <v>0</v>
      </c>
      <c r="BN273" s="545">
        <f>IF(AND($B273&gt;=$FV273,$B273&lt;=$FW273),MAX(BF273,Sheet1!EI275,0),MAX(BF273-(7/36)*$K273,0))</f>
        <v>2.0182032466088504</v>
      </c>
      <c r="BO273" s="560">
        <f t="shared" si="500"/>
        <v>0</v>
      </c>
      <c r="BP273" s="545">
        <f t="shared" si="501"/>
        <v>0</v>
      </c>
      <c r="BQ273" s="545">
        <f>IF(AND($O273&gt;0,Sheet1!EM275=1),(1-($O273-Sheet1!$L275)/$O273)*BL273,0)</f>
        <v>0</v>
      </c>
      <c r="BR273" s="545">
        <f>IF(AND(Sheet1!$L275=0,Sheet1!$L274=0, Calculation!BK273&lt;Sheet1!$EI275-0.1,Sheet1!$EI275=Sheet1!$EI274,Sheet1!$EI275=Sheet1!$EI276),Sheet1!$EI275,BL273-BQ273)</f>
        <v>2.0182032466088504</v>
      </c>
      <c r="BS273" s="560"/>
      <c r="BT273" s="560"/>
      <c r="BU273" s="560">
        <f t="shared" si="502"/>
        <v>158.14310433641742</v>
      </c>
      <c r="BV273" s="560"/>
      <c r="BW273" s="560">
        <f ca="1">IF(B273&gt;Summary!$A$1,#N/A,BU273*MGtoAF)</f>
        <v>485.18304410412867</v>
      </c>
      <c r="BX273" s="560">
        <f>Sheet1!BC275+Sheet1!BD275+Sheet1!BE275+Sheet1!BF275-CG273-CH273</f>
        <v>3.5</v>
      </c>
      <c r="BY273" s="560">
        <f t="shared" si="503"/>
        <v>3.4968868134311766</v>
      </c>
      <c r="BZ273" s="560">
        <f>IF(Sheet1!EQ275="FM",CH273,0)</f>
        <v>0</v>
      </c>
      <c r="CA273" s="560">
        <f t="shared" si="504"/>
        <v>0</v>
      </c>
      <c r="CB273" s="560">
        <f>IF(Sheet1!EQ275="OTHER",CH273,0)</f>
        <v>0</v>
      </c>
      <c r="CC273" s="560">
        <f t="shared" si="505"/>
        <v>0</v>
      </c>
      <c r="CD273" s="560">
        <f t="shared" si="506"/>
        <v>0</v>
      </c>
      <c r="CE273" s="560">
        <f t="shared" si="507"/>
        <v>3.5</v>
      </c>
      <c r="CF273" s="560">
        <f t="shared" si="508"/>
        <v>3.4968868134311766</v>
      </c>
      <c r="CG273" s="560">
        <f>IF(Sheet1!EQ275="CWA",SUM(Sheet1!BC275:'Sheet1'!BF275),0)</f>
        <v>0</v>
      </c>
      <c r="CH273" s="560">
        <f>IF(OR(Sheet1!EQ275="FM", Sheet1!EQ275="OTHER"),SUM(Sheet1!BC275:'Sheet1'!BF275),0)</f>
        <v>0</v>
      </c>
      <c r="CI273" s="545">
        <f>IF(AND($B273&gt;=$FV273,$B273&lt;=$FW273),MAX(CF273,Sheet1!EJ275,0),MAX(CF273-(7/36)*$K273,0))</f>
        <v>3.5</v>
      </c>
      <c r="CJ273" s="560">
        <f t="shared" si="509"/>
        <v>0</v>
      </c>
      <c r="CK273" s="545">
        <f t="shared" si="510"/>
        <v>0</v>
      </c>
      <c r="CL273" s="545">
        <f>IF(AND($O273&gt;0,Sheet1!EN275=1),(1-($O273-Sheet1!$L275)/$O273)*CF273,0)</f>
        <v>0</v>
      </c>
      <c r="CM273" s="545">
        <f>IF(AND(Sheet1!$L275=0,Sheet1!$L274=0, Calculation!CE273&lt;Sheet1!EJ275-0.1,Sheet1!EJ275=Sheet1!EJ274,Sheet1!EJ275=Sheet1!EJ276),Sheet1!EJ275,CF273-CL273)</f>
        <v>3.4968868134311766</v>
      </c>
      <c r="CN273" s="545"/>
      <c r="CO273" s="560"/>
      <c r="CP273" s="560">
        <f t="shared" si="511"/>
        <v>240.772708595132</v>
      </c>
      <c r="CQ273" s="560"/>
      <c r="CR273" s="560">
        <f ca="1">IF(B273&gt;Summary!$A$1,#N/A,CP273*MGtoAF)</f>
        <v>738.69066996986498</v>
      </c>
      <c r="CS273" s="560">
        <f>Sheet1!BK275+Sheet1!BL275+Sheet1!BM275-Sheet1!ER275-DA273</f>
        <v>9.25</v>
      </c>
      <c r="CT273" s="560">
        <f t="shared" si="512"/>
        <v>9.2417722926395385</v>
      </c>
      <c r="CU273" s="560">
        <f>IF(Sheet1!ER275="FM",DA273,0)</f>
        <v>0</v>
      </c>
      <c r="CV273" s="560">
        <f t="shared" si="513"/>
        <v>0</v>
      </c>
      <c r="CW273" s="560">
        <f>IF(Sheet1!ER275="OTHER",DA273,0)</f>
        <v>0</v>
      </c>
      <c r="CX273" s="560">
        <f t="shared" si="514"/>
        <v>0</v>
      </c>
      <c r="CY273" s="560">
        <f t="shared" si="515"/>
        <v>9.25</v>
      </c>
      <c r="CZ273" s="560">
        <f t="shared" si="516"/>
        <v>9.2417722926395385</v>
      </c>
      <c r="DA273" s="560">
        <f>IF(OR(Sheet1!ER275="FM", Sheet1!ER275="OTHER"),SUM(Sheet1!BK275:'Sheet1'!BM275),0)</f>
        <v>0</v>
      </c>
      <c r="DB273" s="545">
        <f>IF(AND($B273&gt;=$FV273,$B273&lt;=$FW273),MAX($CT273,Sheet1!EK275,0),MAX($CT273-(7/36)*$K273,0))</f>
        <v>9.2417722926395385</v>
      </c>
      <c r="DC273" s="560">
        <f t="shared" si="517"/>
        <v>0</v>
      </c>
      <c r="DD273" s="545">
        <f t="shared" si="518"/>
        <v>0</v>
      </c>
      <c r="DE273" s="545">
        <f>IF(AND($O273&gt;0,Sheet1!EO275=1),(1-($O273-Sheet1!$L275)/$O273)*CZ273,0)</f>
        <v>0</v>
      </c>
      <c r="DF273" s="545">
        <f>IF(AND(Sheet1!$L275=0,Sheet1!$L274=0, Calculation!CY273&lt;Sheet1!$EK275-0.1,Sheet1!$EK275=Sheet1!$EK274,Sheet1!$EK275=Sheet1!$EK276),Sheet1!$EK275,CZ273-DE273)</f>
        <v>9.2417722926395385</v>
      </c>
      <c r="DG273" s="545"/>
      <c r="DH273" s="560">
        <f t="shared" si="519"/>
        <v>14.77</v>
      </c>
      <c r="DI273" s="560">
        <f t="shared" si="520"/>
        <v>380.49149752584134</v>
      </c>
      <c r="DJ273" s="698">
        <f t="shared" si="521"/>
        <v>14.756862352679565</v>
      </c>
      <c r="DK273" s="560">
        <f ca="1">IF(B273&gt;Summary!$A$1,#N/A,DI273*MGtoAF)</f>
        <v>1167.3479144092812</v>
      </c>
      <c r="DL273" s="698">
        <f t="shared" si="522"/>
        <v>14.77</v>
      </c>
      <c r="DM273" s="560">
        <f t="shared" si="523"/>
        <v>44.97</v>
      </c>
      <c r="DN273" s="560">
        <f>Sheet1!AB275-DM273</f>
        <v>-3.9999999999999147E-2</v>
      </c>
      <c r="DO273" s="823">
        <f t="shared" si="524"/>
        <v>-8.8948187680674116E-4</v>
      </c>
      <c r="DP273" s="560">
        <f>(VLOOKUP(Sheet1!DC275,hhdcap_wcm,4)-(((VLOOKUP(Sheet1!DC275,hhdcap_wcm,3)-Sheet1!DC275)/(VLOOKUP(Sheet1!DC275,hhdcap_wcm,3)-VLOOKUP(Sheet1!DC275,hhdcap_wcm,1)))*(VLOOKUP(Sheet1!DC275,hhdcap_wcm,4)-VLOOKUP(Sheet1!DC275,hhdcap_wcm,2))))</f>
        <v>27989.000000073327</v>
      </c>
      <c r="DQ273" s="560">
        <f t="shared" si="525"/>
        <v>-489.90000000124928</v>
      </c>
      <c r="DR273" s="560">
        <f t="shared" si="526"/>
        <v>-247.04992435766476</v>
      </c>
      <c r="DS273" s="560">
        <f>Sheet1!EA275*AFtoMG</f>
        <v>0</v>
      </c>
      <c r="DT273" s="560">
        <f>Sheet1!EB275*AFtoMG</f>
        <v>0</v>
      </c>
      <c r="DU273" s="560">
        <f>Sheet1!EC275*AFtoMG</f>
        <v>0</v>
      </c>
      <c r="DV273" s="560">
        <f>Sheet1!ED275*AFtoMG</f>
        <v>0</v>
      </c>
      <c r="DW273" s="560">
        <f t="shared" si="527"/>
        <v>0</v>
      </c>
      <c r="DX273" s="560">
        <f t="shared" si="528"/>
        <v>0</v>
      </c>
      <c r="DY273" s="560">
        <f t="shared" si="529"/>
        <v>1494.9329771240577</v>
      </c>
      <c r="DZ273" s="560">
        <f t="shared" si="530"/>
        <v>4586.4543738166094</v>
      </c>
      <c r="EA273" s="560"/>
      <c r="EB273" s="545">
        <f>IF(OR(B273&lt;FV273,B273&gt;FW273),(MIN(BF273+BY273+CT273+MAX(Sheet1!AA275+AQ273-73,0),K273)),0)</f>
        <v>0</v>
      </c>
      <c r="EC273" s="560"/>
      <c r="ED273" s="560">
        <f t="shared" si="531"/>
        <v>14.756862352679565</v>
      </c>
      <c r="EE273" s="560"/>
      <c r="EF273" s="560">
        <f>Sheet1!EH275+Sheet1!EI275+Sheet1!EJ275+Sheet1!EK275</f>
        <v>14.5</v>
      </c>
      <c r="EG273" s="560"/>
      <c r="EH273" s="545">
        <f t="shared" si="532"/>
        <v>0</v>
      </c>
      <c r="EI273" s="560">
        <f>IF(Sheet1!ET275=1,SUM('Calculations II'!AT273:BA273)+'Calculations II'!BC273+Sheet1!BV275+'Calculations II'!BE273+AP273,SUM('Calculations II'!AT273:BA273)+'Calculations II'!BC273+Sheet1!BV275+'Calculations II'!BE273+AP273)</f>
        <v>73.888976000000014</v>
      </c>
      <c r="EJ273" s="560">
        <f>Sheet1!AA275+Sheet1!AB275+'Calculations II'!BC273</f>
        <v>75.33</v>
      </c>
      <c r="EK273" s="560"/>
      <c r="EL273" s="560"/>
      <c r="EM273" s="560">
        <f t="shared" si="533"/>
        <v>41901</v>
      </c>
      <c r="EN273" s="560">
        <f t="shared" si="534"/>
        <v>-14.759975539248389</v>
      </c>
      <c r="EO273" s="560">
        <f t="shared" si="535"/>
        <v>-22.833682159217258</v>
      </c>
      <c r="EP273" s="560">
        <v>0</v>
      </c>
      <c r="EQ273" s="560">
        <v>0</v>
      </c>
      <c r="ER273" s="560">
        <v>0</v>
      </c>
      <c r="ES273" s="545">
        <f t="shared" si="557"/>
        <v>3.1874764640765005</v>
      </c>
      <c r="ET273" s="560">
        <f>-(VLOOKUP(Sheet1!BQ275,Lookup!$O$4:$Q$262,2)-VLOOKUP(Sheet1!BQ274,Lookup!$O$4:$Q$262,2))/1000000</f>
        <v>1.5243900777838939</v>
      </c>
      <c r="EU273" s="560">
        <f>-(VLOOKUP(Sheet1!BR275,Lookup!$O$4:$Q$262,3)-VLOOKUP(Sheet1!BR274,Lookup!$O$4:$Q$262,3))/1000000</f>
        <v>1.6630863862926066</v>
      </c>
      <c r="EV273" s="560"/>
      <c r="EW273" s="560"/>
      <c r="EX273" s="560"/>
      <c r="EY273" s="560"/>
      <c r="EZ273" s="560"/>
      <c r="FA273" s="560"/>
      <c r="FB273" s="560"/>
      <c r="FC273" s="560"/>
      <c r="FD273" s="594">
        <f t="shared" si="536"/>
        <v>1121.1652173912414</v>
      </c>
      <c r="FE273" s="594" t="e">
        <f t="shared" si="537"/>
        <v>#N/A</v>
      </c>
      <c r="FF273" s="595" t="e">
        <f t="shared" si="538"/>
        <v>#N/A</v>
      </c>
      <c r="FG273" s="596" t="s">
        <v>692</v>
      </c>
      <c r="FH273" s="596" t="s">
        <v>692</v>
      </c>
      <c r="FI273" s="594" t="e">
        <v>#N/A</v>
      </c>
      <c r="FJ273" s="778">
        <v>11583</v>
      </c>
      <c r="FK273" s="560"/>
      <c r="FL273" s="560"/>
      <c r="FM273" s="560"/>
      <c r="FN273" s="560"/>
      <c r="FO273" s="560">
        <f>O273+((Sheet1!CS275)*GPMtoMGD)</f>
        <v>75.33</v>
      </c>
      <c r="FP273" s="560">
        <f>IF(Sheet1!AA275+AQ273&lt;=Calculation!N273,AQ273,Calculation!N273-Sheet1!AA275)</f>
        <v>28.574560818323327</v>
      </c>
      <c r="FQ273" s="560">
        <f>(Sheet1!BP275+Sheet1!BO275)/694.4</f>
        <v>2.7095334101382491</v>
      </c>
      <c r="FR273" s="560"/>
      <c r="FS273" s="560"/>
      <c r="FT273" s="560"/>
      <c r="FU273" s="560"/>
      <c r="FV273" s="695">
        <f t="shared" si="558"/>
        <v>41827</v>
      </c>
      <c r="FW273" s="695">
        <f t="shared" si="559"/>
        <v>41934</v>
      </c>
      <c r="FX273" s="560"/>
      <c r="FY273" s="560"/>
      <c r="FZ273" s="560"/>
      <c r="GA273" s="560"/>
      <c r="GB273" s="560" t="str">
        <f t="shared" si="560"/>
        <v>n</v>
      </c>
      <c r="GC273" s="564">
        <f t="shared" si="561"/>
        <v>41691</v>
      </c>
      <c r="GD273" s="695">
        <f t="shared" si="562"/>
        <v>41807</v>
      </c>
      <c r="GE273" s="560">
        <v>6518.9</v>
      </c>
      <c r="GF273" s="695">
        <f t="shared" si="563"/>
        <v>41808</v>
      </c>
      <c r="GG273" s="560">
        <f t="shared" si="479"/>
        <v>3259</v>
      </c>
      <c r="GH273" s="564">
        <f t="shared" si="564"/>
        <v>41934</v>
      </c>
      <c r="GJ273" s="545">
        <f t="shared" si="565"/>
        <v>0</v>
      </c>
      <c r="GK273" s="560" t="str">
        <f t="shared" si="539"/>
        <v/>
      </c>
      <c r="GL273" s="560">
        <f t="shared" si="566"/>
        <v>0</v>
      </c>
      <c r="GM273" s="560" t="str">
        <f t="shared" si="567"/>
        <v/>
      </c>
      <c r="GN273" s="560">
        <f>IF(GK273="P",Lookup!$M$12,IF(GK273="PP",Lookup!$M$13,IF(GK273="PPP",Lookup!$M$14,IF(GK273="T",Lookup!$M$15,IF(GK273="TP",Lookup!$M$16,IF(GK273="TPP",Lookup!$M$17,IF(GK273="TPPP",Lookup!$M$18,0)))))))*GJ273</f>
        <v>0</v>
      </c>
      <c r="GO273" s="560">
        <f t="shared" si="568"/>
        <v>0</v>
      </c>
      <c r="GP273" s="560">
        <f t="shared" si="540"/>
        <v>2195.2327453333342</v>
      </c>
      <c r="GQ273" s="560">
        <f>(IF(AND(GB272="Y",B273=GD273),2716.2,(IF(AND(B273&lt;GF273,B273&gt;=GC273),MIN(BB272+AV273-AU273,15/36*GE273),IF(B273=GF273,15/36*GG273,IF(AND(B273&gt;GF273,B273&lt;GH273),MIN(BB272+AV273-AU273,15/36*GG273),IF(B273&gt;=GH273,0,0)))))))+DS273</f>
        <v>715.52566666666689</v>
      </c>
      <c r="GR273" s="560"/>
      <c r="GS273" s="560">
        <f t="shared" si="569"/>
        <v>0</v>
      </c>
      <c r="GT273" s="560" t="str">
        <f t="shared" si="570"/>
        <v/>
      </c>
      <c r="GU273" s="560">
        <f>IF(GK273="P",Lookup!$N$12,IF(GK273="PP",Lookup!$N$13,IF(GK273="PPP",Lookup!$N$14,IF(GK273="T",Lookup!$N$15,IF(GK273="TP",Lookup!$N$16,IF(GK273="TPP",Lookup!$N$17,IF(GK273="TPPP",Lookup!$N$18,0)))))))*GJ273</f>
        <v>0</v>
      </c>
      <c r="GV273" s="560">
        <f t="shared" si="571"/>
        <v>0</v>
      </c>
      <c r="GW273" s="560">
        <f t="shared" si="541"/>
        <v>485.18304410412867</v>
      </c>
      <c r="GX273" s="560">
        <f t="shared" si="577"/>
        <v>158.14310433641742</v>
      </c>
      <c r="GY273" s="560"/>
      <c r="GZ273" s="560">
        <f t="shared" si="572"/>
        <v>0</v>
      </c>
      <c r="HA273" s="560" t="str">
        <f t="shared" si="573"/>
        <v/>
      </c>
      <c r="HB273" s="560">
        <f>IF(GK273="P",Lookup!$N$12,IF(GK273="PP",Lookup!$N$13,IF(GK273="PPP",Lookup!$N$14,IF(GK273="T",Lookup!$N$15,IF(GK273="TP",Lookup!$N$16,IF(GK273="TPP",Lookup!$N$17,IF(GK273="TPPP",Lookup!$N$18,0)))))))*GJ273</f>
        <v>0</v>
      </c>
      <c r="HC273" s="545">
        <f t="shared" si="542"/>
        <v>0</v>
      </c>
      <c r="HD273" s="560">
        <f t="shared" si="543"/>
        <v>738.69066996986498</v>
      </c>
      <c r="HE273" s="560">
        <f t="shared" si="578"/>
        <v>240.772708595132</v>
      </c>
      <c r="HF273" s="560"/>
      <c r="HG273" s="560">
        <f t="shared" si="574"/>
        <v>0</v>
      </c>
      <c r="HH273" s="560" t="str">
        <f t="shared" si="575"/>
        <v/>
      </c>
      <c r="HI273" s="560">
        <f>IF(GK273="P",Lookup!$N$12,IF(GK273="PP",Lookup!$N$13,IF(GK273="PPP",Lookup!$N$14,IF(GK273="T",Lookup!$N$15,IF(GK273="TP",Lookup!$N$16,IF(GK273="TPP",Lookup!$N$17,IF(GK273="TPPP",Lookup!$N$18,0)))))))*GJ273</f>
        <v>0</v>
      </c>
      <c r="HJ273" s="545">
        <f t="shared" si="544"/>
        <v>0</v>
      </c>
      <c r="HK273" s="560">
        <f t="shared" si="545"/>
        <v>1167.3479144092812</v>
      </c>
      <c r="HL273" s="560">
        <f t="shared" si="579"/>
        <v>380.49149752584134</v>
      </c>
    </row>
    <row r="274" spans="1:220">
      <c r="A274" s="580" t="s">
        <v>9</v>
      </c>
      <c r="B274" s="556">
        <v>41902</v>
      </c>
      <c r="C274" s="561">
        <v>0</v>
      </c>
      <c r="D274" s="529">
        <f t="shared" ref="D274:D337" si="580">IF(AND(B274&gt;=DATE($A$1,7,15),B274&lt;=DATE($A$1,9,15)),200,300)</f>
        <v>300</v>
      </c>
      <c r="E274" s="529">
        <f t="shared" ref="E274:E337" si="581">IF(AND(B274&gt;=DATE($A$1,7,15),B274&lt;=DATE($A$1,9,15)),400,250)</f>
        <v>250</v>
      </c>
      <c r="F274" s="529">
        <v>250</v>
      </c>
      <c r="G274" s="560">
        <f>DR274+Sheet1!CZ276</f>
        <v>159.44528492111283</v>
      </c>
      <c r="H274" s="914">
        <f t="shared" si="546"/>
        <v>0</v>
      </c>
      <c r="I274" s="559">
        <f>MAX(Sheet1!Z276-AT274+(Sheet1!DA276-E274)*CFStoMGD,0)</f>
        <v>185.84520000000001</v>
      </c>
      <c r="J274" s="562">
        <f>IF(AND(B274&gt;=Calculation!GC274,B274&lt;=Calculation!GD274),IF(Sheet1!DB276&gt;=Calculation!D274,64.64,0),MAX(Sheet1!Z276-AT274+(Sheet1!DB276-D274)*CFStoMGD,0))</f>
        <v>79.1892</v>
      </c>
      <c r="K274" s="904">
        <f t="shared" si="481"/>
        <v>0</v>
      </c>
      <c r="L274" s="560">
        <f>Sheet1!AA276+Sheet1!AB276-Sheet1!L276+(Sheet1!DA276-F274)*CFStoMGD</f>
        <v>216.3152</v>
      </c>
      <c r="M274" s="560">
        <f t="shared" si="482"/>
        <v>105.12674081646749</v>
      </c>
      <c r="N274" s="910">
        <f>IF(Sheet1!DA276&gt;=F274,MIN(73,MIN(MAX(L274,0),MAX(M274,0))),0)</f>
        <v>73</v>
      </c>
      <c r="O274" s="563">
        <f>Sheet1!AA276+Sheet1!AB276</f>
        <v>75.400000000000006</v>
      </c>
      <c r="P274" s="563">
        <f t="shared" si="483"/>
        <v>116.6438</v>
      </c>
      <c r="Q274" s="898">
        <f t="shared" si="547"/>
        <v>60.336567994658367</v>
      </c>
      <c r="R274" s="829">
        <f t="shared" si="484"/>
        <v>15</v>
      </c>
      <c r="S274" s="898">
        <f t="shared" si="548"/>
        <v>0</v>
      </c>
      <c r="T274" s="898">
        <f t="shared" si="549"/>
        <v>0</v>
      </c>
      <c r="U274" s="898">
        <f t="shared" si="550"/>
        <v>15.063432005341642</v>
      </c>
      <c r="V274" s="898"/>
      <c r="W274" s="898">
        <f t="shared" si="551"/>
        <v>0</v>
      </c>
      <c r="X274" s="898">
        <f t="shared" si="552"/>
        <v>0</v>
      </c>
      <c r="Y274" s="898" t="str">
        <f t="shared" si="553"/>
        <v>FALSE</v>
      </c>
      <c r="Z274" s="898">
        <f t="shared" si="554"/>
        <v>75.400000000000006</v>
      </c>
      <c r="AA274" s="898">
        <f t="shared" si="555"/>
        <v>75.400000000000006</v>
      </c>
      <c r="AB274" s="898" t="str">
        <f t="shared" si="556"/>
        <v/>
      </c>
      <c r="AC274" s="563">
        <f>Sheet1!Y276*MGDtoCFS</f>
        <v>47.028799999999997</v>
      </c>
      <c r="AD274" s="563">
        <f>Sheet1!Z276*MGDtoCFS</f>
        <v>69.506709999999998</v>
      </c>
      <c r="AE274" s="563">
        <f>Sheet1!AA276*MGDtoCFS</f>
        <v>47.028799999999997</v>
      </c>
      <c r="AF274" s="563">
        <f>Sheet1!AB276*MGDtoCFS</f>
        <v>69.614999999999995</v>
      </c>
      <c r="AG274" s="563">
        <f>Sheet1!L276*MGDtoCFS</f>
        <v>0</v>
      </c>
      <c r="AH274" s="545">
        <f t="shared" si="485"/>
        <v>15.217449365679947</v>
      </c>
      <c r="AI274" s="560">
        <f t="shared" si="486"/>
        <v>23.541394168706876</v>
      </c>
      <c r="AJ274" s="560">
        <f t="shared" si="487"/>
        <v>0</v>
      </c>
      <c r="AK274" s="560">
        <f t="shared" si="488"/>
        <v>0</v>
      </c>
      <c r="AL274" s="560">
        <f>(VLOOKUP(Sheet1!DC276,hhdcap_wcm,4)-(((VLOOKUP(Sheet1!DC276,hhdcap_wcm,3)-Sheet1!DC276)/(VLOOKUP(Sheet1!DC276,hhdcap_wcm,3)-VLOOKUP(Sheet1!DC276,hhdcap_wcm,1)))*(VLOOKUP(Sheet1!DC276,hhdcap_wcm,4)-VLOOKUP(Sheet1!DC276,hhdcap_wcm,2))))</f>
        <v>27393.000000071894</v>
      </c>
      <c r="AM274" s="560">
        <f t="shared" si="489"/>
        <v>-596.00000000143336</v>
      </c>
      <c r="AN274" s="560">
        <f t="shared" si="490"/>
        <v>1479.7155277583777</v>
      </c>
      <c r="AO274" s="560">
        <f t="shared" si="491"/>
        <v>4539.7672391627029</v>
      </c>
      <c r="AP274" s="560">
        <f>Sheet1!BA276+Sheet1!BB276+Sheet1!BN276+CD274</f>
        <v>29.89</v>
      </c>
      <c r="AQ274" s="560">
        <f>Sheet1!BN276+(DO274*Sheet1!BN276)</f>
        <v>28.344090807923436</v>
      </c>
      <c r="AR274" s="560">
        <f>Sheet1!BA276+CD274</f>
        <v>0</v>
      </c>
      <c r="AS274" s="560">
        <f>Sheet1!BA276+Sheet1!BB276+CD274</f>
        <v>1.59</v>
      </c>
      <c r="AT274" s="698">
        <f>0</f>
        <v>0</v>
      </c>
      <c r="AU274" s="560">
        <f>IF(EB274&lt;K274,0,MAX(Sheet1!AA276+AQ274-15/36*K274-N274,Sheet1!EH276,0))</f>
        <v>0</v>
      </c>
      <c r="AV274" s="560">
        <f>IF(OR(B274&gt;=GD274,B274&lt;GC274),0,15/36*K274-MAX(0,64.6-(137.6-(Sheet1!AA276+Sheet1!AB276))))</f>
        <v>0</v>
      </c>
      <c r="AW274" s="698">
        <f>Sheet1!DB276-110</f>
        <v>243</v>
      </c>
      <c r="AX274" s="698">
        <f>Sheet1!DA276-265</f>
        <v>203</v>
      </c>
      <c r="AY274" s="698">
        <f t="shared" si="492"/>
        <v>12.663432005341633</v>
      </c>
      <c r="AZ274" s="698">
        <v>0</v>
      </c>
      <c r="BA274" s="698">
        <f t="shared" si="493"/>
        <v>0</v>
      </c>
      <c r="BB274" s="560">
        <f t="shared" si="494"/>
        <v>715.52566666666689</v>
      </c>
      <c r="BC274" s="560"/>
      <c r="BD274" s="560">
        <f ca="1">IF(B274&gt;Summary!$A$1,#N/A,BB274*MGtoAF)</f>
        <v>2195.2327453333342</v>
      </c>
      <c r="BE274" s="560">
        <f>Sheet1!BG276+Sheet1!BH276+Sheet1!BI276-BM274</f>
        <v>2.02</v>
      </c>
      <c r="BF274" s="560">
        <f t="shared" si="495"/>
        <v>2.0231471177387048</v>
      </c>
      <c r="BG274" s="560">
        <f>IF(Sheet1!EP276="FM",BM274,0)</f>
        <v>0</v>
      </c>
      <c r="BH274" s="560">
        <f t="shared" si="496"/>
        <v>0</v>
      </c>
      <c r="BI274" s="560">
        <f>IF(Sheet1!EP276="OTHER",BM274,0)</f>
        <v>0</v>
      </c>
      <c r="BJ274" s="560">
        <f t="shared" si="497"/>
        <v>0</v>
      </c>
      <c r="BK274" s="560">
        <f t="shared" si="498"/>
        <v>2.02</v>
      </c>
      <c r="BL274" s="560">
        <f t="shared" si="499"/>
        <v>2.0231471177387048</v>
      </c>
      <c r="BM274" s="560">
        <f>IF(OR(Sheet1!EP276="FM", Sheet1!EP276="OTHER"),SUM(Sheet1!BG276:'Sheet1'!BI276),0)</f>
        <v>0</v>
      </c>
      <c r="BN274" s="545">
        <f>IF(AND($B274&gt;=$FV274,$B274&lt;=$FW274),MAX(BF274,Sheet1!EI276,0),MAX(BF274-(7/36)*$K274,0))</f>
        <v>2.0231471177387048</v>
      </c>
      <c r="BO274" s="560">
        <f t="shared" si="500"/>
        <v>0</v>
      </c>
      <c r="BP274" s="545">
        <f t="shared" si="501"/>
        <v>0</v>
      </c>
      <c r="BQ274" s="545">
        <f>IF(AND($O274&gt;0,Sheet1!EM276=1),(1-($O274-Sheet1!$L276)/$O274)*BL274,0)</f>
        <v>0</v>
      </c>
      <c r="BR274" s="545">
        <f>IF(AND(Sheet1!$L276=0,Sheet1!$L275=0, Calculation!BK274&lt;Sheet1!$EI276-0.1,Sheet1!$EI276=Sheet1!$EI275,Sheet1!$EI276=Sheet1!$EI277),Sheet1!$EI276,BL274-BQ274)</f>
        <v>2.0231471177387048</v>
      </c>
      <c r="BS274" s="560"/>
      <c r="BT274" s="560"/>
      <c r="BU274" s="560">
        <f t="shared" si="502"/>
        <v>156.11995721867871</v>
      </c>
      <c r="BV274" s="560"/>
      <c r="BW274" s="560">
        <f ca="1">IF(B274&gt;Summary!$A$1,#N/A,BU274*MGtoAF)</f>
        <v>478.97602874690631</v>
      </c>
      <c r="BX274" s="560">
        <f>Sheet1!BC276+Sheet1!BD276+Sheet1!BE276+Sheet1!BF276-CG274-CH274</f>
        <v>3.84</v>
      </c>
      <c r="BY274" s="560">
        <f t="shared" si="503"/>
        <v>3.8459826396616958</v>
      </c>
      <c r="BZ274" s="560">
        <f>IF(Sheet1!EQ276="FM",CH274,0)</f>
        <v>0</v>
      </c>
      <c r="CA274" s="560">
        <f t="shared" si="504"/>
        <v>0</v>
      </c>
      <c r="CB274" s="560">
        <f>IF(Sheet1!EQ276="OTHER",CH274,0)</f>
        <v>0</v>
      </c>
      <c r="CC274" s="560">
        <f t="shared" si="505"/>
        <v>0</v>
      </c>
      <c r="CD274" s="560">
        <f t="shared" si="506"/>
        <v>0</v>
      </c>
      <c r="CE274" s="560">
        <f t="shared" si="507"/>
        <v>3.84</v>
      </c>
      <c r="CF274" s="560">
        <f t="shared" si="508"/>
        <v>3.8459826396616958</v>
      </c>
      <c r="CG274" s="560">
        <f>IF(Sheet1!EQ276="CWA",SUM(Sheet1!BC276:'Sheet1'!BF276),0)</f>
        <v>0</v>
      </c>
      <c r="CH274" s="560">
        <f>IF(OR(Sheet1!EQ276="FM", Sheet1!EQ276="OTHER"),SUM(Sheet1!BC276:'Sheet1'!BF276),0)</f>
        <v>0</v>
      </c>
      <c r="CI274" s="545">
        <f>IF(AND($B274&gt;=$FV274,$B274&lt;=$FW274),MAX(CF274,Sheet1!EJ276,0),MAX(CF274-(7/36)*$K274,0))</f>
        <v>4</v>
      </c>
      <c r="CJ274" s="560">
        <f t="shared" si="509"/>
        <v>0</v>
      </c>
      <c r="CK274" s="545">
        <f t="shared" si="510"/>
        <v>0</v>
      </c>
      <c r="CL274" s="545">
        <f>IF(AND($O274&gt;0,Sheet1!EN276=1),(1-($O274-Sheet1!$L276)/$O274)*CF274,0)</f>
        <v>0</v>
      </c>
      <c r="CM274" s="545">
        <f>IF(AND(Sheet1!$L276=0,Sheet1!$L275=0, Calculation!CE274&lt;Sheet1!EJ276-0.1,Sheet1!EJ276=Sheet1!EJ275,Sheet1!EJ276=Sheet1!EJ277),Sheet1!EJ276,CF274-CL274)</f>
        <v>3.8459826396616958</v>
      </c>
      <c r="CN274" s="545"/>
      <c r="CO274" s="560"/>
      <c r="CP274" s="560">
        <f t="shared" si="511"/>
        <v>236.772708595132</v>
      </c>
      <c r="CQ274" s="560"/>
      <c r="CR274" s="560">
        <f ca="1">IF(B274&gt;Summary!$A$1,#N/A,CP274*MGtoAF)</f>
        <v>726.41866996986505</v>
      </c>
      <c r="CS274" s="560">
        <f>Sheet1!BK276+Sheet1!BL276+Sheet1!BM276-Sheet1!ER276-DA274</f>
        <v>9.18</v>
      </c>
      <c r="CT274" s="560">
        <f t="shared" si="512"/>
        <v>9.1943022479412413</v>
      </c>
      <c r="CU274" s="560">
        <f>IF(Sheet1!ER276="FM",DA274,0)</f>
        <v>0</v>
      </c>
      <c r="CV274" s="560">
        <f t="shared" si="513"/>
        <v>0</v>
      </c>
      <c r="CW274" s="560">
        <f>IF(Sheet1!ER276="OTHER",DA274,0)</f>
        <v>0</v>
      </c>
      <c r="CX274" s="560">
        <f t="shared" si="514"/>
        <v>0</v>
      </c>
      <c r="CY274" s="560">
        <f t="shared" si="515"/>
        <v>9.18</v>
      </c>
      <c r="CZ274" s="560">
        <f t="shared" si="516"/>
        <v>9.1943022479412413</v>
      </c>
      <c r="DA274" s="560">
        <f>IF(OR(Sheet1!ER276="FM", Sheet1!ER276="OTHER"),SUM(Sheet1!BK276:'Sheet1'!BM276),0)</f>
        <v>0</v>
      </c>
      <c r="DB274" s="545">
        <f>IF(AND($B274&gt;=$FV274,$B274&lt;=$FW274),MAX($CT274,Sheet1!EK276,0),MAX($CT274-(7/36)*$K274,0))</f>
        <v>9.1943022479412413</v>
      </c>
      <c r="DC274" s="560">
        <f t="shared" si="517"/>
        <v>0</v>
      </c>
      <c r="DD274" s="545">
        <f t="shared" si="518"/>
        <v>0</v>
      </c>
      <c r="DE274" s="545">
        <f>IF(AND($O274&gt;0,Sheet1!EO276=1),(1-($O274-Sheet1!$L276)/$O274)*CZ274,0)</f>
        <v>0</v>
      </c>
      <c r="DF274" s="545">
        <f>IF(AND(Sheet1!$L276=0,Sheet1!$L275=0, Calculation!CY274&lt;Sheet1!$EK276-0.1,Sheet1!$EK276=Sheet1!$EK275,Sheet1!$EK276=Sheet1!$EK277),Sheet1!$EK276,CZ274-DE274)</f>
        <v>9.1943022479412413</v>
      </c>
      <c r="DG274" s="545"/>
      <c r="DH274" s="560">
        <f t="shared" si="519"/>
        <v>15.04</v>
      </c>
      <c r="DI274" s="560">
        <f t="shared" si="520"/>
        <v>371.29719527790007</v>
      </c>
      <c r="DJ274" s="698">
        <f t="shared" si="521"/>
        <v>15.063432005341642</v>
      </c>
      <c r="DK274" s="560">
        <f ca="1">IF(B274&gt;Summary!$A$1,#N/A,DI274*MGtoAF)</f>
        <v>1139.1397951125975</v>
      </c>
      <c r="DL274" s="698">
        <f t="shared" si="522"/>
        <v>15.04</v>
      </c>
      <c r="DM274" s="560">
        <f t="shared" si="523"/>
        <v>44.93</v>
      </c>
      <c r="DN274" s="560">
        <f>Sheet1!AB276-DM274</f>
        <v>7.0000000000000284E-2</v>
      </c>
      <c r="DO274" s="823">
        <f t="shared" si="524"/>
        <v>1.5579790785666657E-3</v>
      </c>
      <c r="DP274" s="560">
        <f>(VLOOKUP(Sheet1!DC276,hhdcap_wcm,4)-(((VLOOKUP(Sheet1!DC276,hhdcap_wcm,3)-Sheet1!DC276)/(VLOOKUP(Sheet1!DC276,hhdcap_wcm,3)-VLOOKUP(Sheet1!DC276,hhdcap_wcm,1)))*(VLOOKUP(Sheet1!DC276,hhdcap_wcm,4)-VLOOKUP(Sheet1!DC276,hhdcap_wcm,2))))</f>
        <v>27393.000000071894</v>
      </c>
      <c r="DQ274" s="560">
        <f t="shared" si="525"/>
        <v>-596.00000000143336</v>
      </c>
      <c r="DR274" s="560">
        <f t="shared" si="526"/>
        <v>-300.55471507888717</v>
      </c>
      <c r="DS274" s="560">
        <f>Sheet1!EA276*AFtoMG</f>
        <v>0</v>
      </c>
      <c r="DT274" s="560">
        <f>Sheet1!EB276*AFtoMG</f>
        <v>0</v>
      </c>
      <c r="DU274" s="560">
        <f>Sheet1!EC276*AFtoMG</f>
        <v>0</v>
      </c>
      <c r="DV274" s="560">
        <f>Sheet1!ED276*AFtoMG</f>
        <v>0</v>
      </c>
      <c r="DW274" s="560">
        <f t="shared" si="527"/>
        <v>0</v>
      </c>
      <c r="DX274" s="560">
        <f t="shared" si="528"/>
        <v>0</v>
      </c>
      <c r="DY274" s="560">
        <f>AN274</f>
        <v>1479.7155277583777</v>
      </c>
      <c r="DZ274" s="560">
        <f t="shared" si="530"/>
        <v>4539.7672391627029</v>
      </c>
      <c r="EA274" s="560"/>
      <c r="EB274" s="545">
        <f>IF(OR(B274&lt;FV274,B274&gt;FW274),(MIN(BF274+BY274+CT274+MAX(Sheet1!AA276+AQ274-73,0),K274)),0)</f>
        <v>0</v>
      </c>
      <c r="EC274" s="560"/>
      <c r="ED274" s="560">
        <f t="shared" si="531"/>
        <v>15.063432005341642</v>
      </c>
      <c r="EE274" s="560"/>
      <c r="EF274" s="560">
        <f>Sheet1!EH276+Sheet1!EI276+Sheet1!EJ276+Sheet1!EK276</f>
        <v>15</v>
      </c>
      <c r="EG274" s="560"/>
      <c r="EH274" s="545">
        <f t="shared" si="532"/>
        <v>0</v>
      </c>
      <c r="EI274" s="560">
        <f>IF(Sheet1!ET276=1,SUM('Calculations II'!AT274:BA274)+'Calculations II'!BC274+Sheet1!BV276+'Calculations II'!BE274+AP274,SUM('Calculations II'!AT274:BA274)+'Calculations II'!BC274+Sheet1!BV276+'Calculations II'!BE274+AP274)</f>
        <v>72.267184</v>
      </c>
      <c r="EJ274" s="560">
        <f>Sheet1!AA276+Sheet1!AB276+'Calculations II'!BC274</f>
        <v>75.400000000000006</v>
      </c>
      <c r="EK274" s="560"/>
      <c r="EL274" s="560"/>
      <c r="EM274" s="560">
        <f t="shared" si="533"/>
        <v>41902</v>
      </c>
      <c r="EN274" s="560">
        <f t="shared" si="534"/>
        <v>-15.217449365679947</v>
      </c>
      <c r="EO274" s="560">
        <f t="shared" si="535"/>
        <v>-23.541394168706876</v>
      </c>
      <c r="EP274" s="560">
        <v>0</v>
      </c>
      <c r="EQ274" s="560">
        <v>0</v>
      </c>
      <c r="ER274" s="560">
        <v>0</v>
      </c>
      <c r="ES274" s="545">
        <f t="shared" si="557"/>
        <v>2.0778676395388844</v>
      </c>
      <c r="ET274" s="560">
        <f>-(VLOOKUP(Sheet1!BQ276,Lookup!$O$4:$Q$262,2)-VLOOKUP(Sheet1!BQ275,Lookup!$O$4:$Q$262,2))/1000000</f>
        <v>1.1081601833162085</v>
      </c>
      <c r="EU274" s="560">
        <f>-(VLOOKUP(Sheet1!BR276,Lookup!$O$4:$Q$262,3)-VLOOKUP(Sheet1!BR275,Lookup!$O$4:$Q$262,3))/1000000</f>
        <v>0.96970745622267573</v>
      </c>
      <c r="EV274" s="560"/>
      <c r="EW274" s="560"/>
      <c r="EX274" s="560"/>
      <c r="EY274" s="560"/>
      <c r="EZ274" s="560"/>
      <c r="FA274" s="560"/>
      <c r="FB274" s="560"/>
      <c r="FC274" s="560"/>
      <c r="FD274" s="594">
        <f t="shared" si="536"/>
        <v>1120.6795454544831</v>
      </c>
      <c r="FE274" s="594" t="e">
        <f t="shared" si="537"/>
        <v>#N/A</v>
      </c>
      <c r="FF274" s="595" t="e">
        <f t="shared" si="538"/>
        <v>#N/A</v>
      </c>
      <c r="FG274" s="596" t="s">
        <v>692</v>
      </c>
      <c r="FH274" s="596" t="s">
        <v>692</v>
      </c>
      <c r="FI274" s="594" t="e">
        <v>#N/A</v>
      </c>
      <c r="FJ274" s="778">
        <v>11366</v>
      </c>
      <c r="FK274" s="560"/>
      <c r="FL274" s="560"/>
      <c r="FM274" s="560"/>
      <c r="FN274" s="560"/>
      <c r="FO274" s="560">
        <f>O274+((Sheet1!CS276)*GPMtoMGD)</f>
        <v>75.400000000000006</v>
      </c>
      <c r="FP274" s="560">
        <f>IF(Sheet1!AA276+AQ274&lt;=Calculation!N274,AQ274,Calculation!N274-Sheet1!AA276)</f>
        <v>28.344090807923436</v>
      </c>
      <c r="FQ274" s="560">
        <f>(Sheet1!BP276+Sheet1!BO276)/694.4</f>
        <v>2.6743951612903225</v>
      </c>
      <c r="FR274" s="560"/>
      <c r="FS274" s="560"/>
      <c r="FT274" s="560"/>
      <c r="FU274" s="560"/>
      <c r="FV274" s="695">
        <f t="shared" si="558"/>
        <v>41827</v>
      </c>
      <c r="FW274" s="695">
        <f t="shared" si="559"/>
        <v>41934</v>
      </c>
      <c r="FX274" s="560"/>
      <c r="FY274" s="560"/>
      <c r="FZ274" s="560"/>
      <c r="GA274" s="560"/>
      <c r="GB274" s="560" t="str">
        <f t="shared" si="560"/>
        <v>n</v>
      </c>
      <c r="GC274" s="564">
        <f t="shared" si="561"/>
        <v>41691</v>
      </c>
      <c r="GD274" s="695">
        <f t="shared" si="562"/>
        <v>41807</v>
      </c>
      <c r="GE274" s="560">
        <v>6518.9</v>
      </c>
      <c r="GF274" s="695">
        <f t="shared" si="563"/>
        <v>41808</v>
      </c>
      <c r="GG274" s="560">
        <f t="shared" ref="GG274:GG337" si="582">GG273</f>
        <v>3259</v>
      </c>
      <c r="GH274" s="564">
        <f t="shared" si="564"/>
        <v>41934</v>
      </c>
      <c r="GJ274" s="545">
        <f t="shared" si="565"/>
        <v>0</v>
      </c>
      <c r="GK274" s="560" t="str">
        <f t="shared" si="539"/>
        <v/>
      </c>
      <c r="GL274" s="560">
        <f t="shared" si="566"/>
        <v>0</v>
      </c>
      <c r="GM274" s="560" t="str">
        <f t="shared" si="567"/>
        <v/>
      </c>
      <c r="GN274" s="560">
        <f>IF(GK274="P",Lookup!$M$12,IF(GK274="PP",Lookup!$M$13,IF(GK274="PPP",Lookup!$M$14,IF(GK274="T",Lookup!$M$15,IF(GK274="TP",Lookup!$M$16,IF(GK274="TPP",Lookup!$M$17,IF(GK274="TPPP",Lookup!$M$18,0)))))))*GJ274</f>
        <v>0</v>
      </c>
      <c r="GO274" s="560">
        <f t="shared" si="568"/>
        <v>0</v>
      </c>
      <c r="GP274" s="560">
        <f t="shared" si="540"/>
        <v>2195.2327453333342</v>
      </c>
      <c r="GQ274" s="560">
        <f t="shared" si="576"/>
        <v>715.52566666666689</v>
      </c>
      <c r="GR274" s="560"/>
      <c r="GS274" s="560">
        <f t="shared" si="569"/>
        <v>0</v>
      </c>
      <c r="GT274" s="560" t="str">
        <f t="shared" si="570"/>
        <v/>
      </c>
      <c r="GU274" s="560">
        <f>IF(GK274="P",Lookup!$N$12,IF(GK274="PP",Lookup!$N$13,IF(GK274="PPP",Lookup!$N$14,IF(GK274="T",Lookup!$N$15,IF(GK274="TP",Lookup!$N$16,IF(GK274="TPP",Lookup!$N$17,IF(GK274="TPPP",Lookup!$N$18,0)))))))*GJ274</f>
        <v>0</v>
      </c>
      <c r="GV274" s="560">
        <f t="shared" si="571"/>
        <v>0</v>
      </c>
      <c r="GW274" s="560">
        <f t="shared" si="541"/>
        <v>478.97602874690631</v>
      </c>
      <c r="GX274" s="560">
        <f t="shared" si="577"/>
        <v>156.11995721867871</v>
      </c>
      <c r="GY274" s="560"/>
      <c r="GZ274" s="560">
        <f t="shared" si="572"/>
        <v>0</v>
      </c>
      <c r="HA274" s="560" t="str">
        <f t="shared" si="573"/>
        <v/>
      </c>
      <c r="HB274" s="560">
        <f>IF(GK274="P",Lookup!$N$12,IF(GK274="PP",Lookup!$N$13,IF(GK274="PPP",Lookup!$N$14,IF(GK274="T",Lookup!$N$15,IF(GK274="TP",Lookup!$N$16,IF(GK274="TPP",Lookup!$N$17,IF(GK274="TPPP",Lookup!$N$18,0)))))))*GJ274</f>
        <v>0</v>
      </c>
      <c r="HC274" s="545">
        <f t="shared" si="542"/>
        <v>0</v>
      </c>
      <c r="HD274" s="560">
        <f t="shared" si="543"/>
        <v>726.41866996986505</v>
      </c>
      <c r="HE274" s="560">
        <f t="shared" si="578"/>
        <v>236.772708595132</v>
      </c>
      <c r="HF274" s="560"/>
      <c r="HG274" s="560">
        <f t="shared" si="574"/>
        <v>0</v>
      </c>
      <c r="HH274" s="560" t="str">
        <f t="shared" si="575"/>
        <v/>
      </c>
      <c r="HI274" s="560">
        <f>IF(GK274="P",Lookup!$N$12,IF(GK274="PP",Lookup!$N$13,IF(GK274="PPP",Lookup!$N$14,IF(GK274="T",Lookup!$N$15,IF(GK274="TP",Lookup!$N$16,IF(GK274="TPP",Lookup!$N$17,IF(GK274="TPPP",Lookup!$N$18,0)))))))*GJ274</f>
        <v>0</v>
      </c>
      <c r="HJ274" s="545">
        <f t="shared" si="544"/>
        <v>0</v>
      </c>
      <c r="HK274" s="560">
        <f t="shared" si="545"/>
        <v>1139.1397951125975</v>
      </c>
      <c r="HL274" s="560">
        <f t="shared" si="579"/>
        <v>371.29719527790007</v>
      </c>
    </row>
    <row r="275" spans="1:220">
      <c r="A275" s="580" t="s">
        <v>3</v>
      </c>
      <c r="B275" s="556">
        <v>41903</v>
      </c>
      <c r="C275" s="561">
        <v>0</v>
      </c>
      <c r="D275" s="529">
        <f t="shared" si="580"/>
        <v>300</v>
      </c>
      <c r="E275" s="529">
        <f t="shared" si="581"/>
        <v>250</v>
      </c>
      <c r="F275" s="529">
        <v>250</v>
      </c>
      <c r="G275" s="560">
        <f>DR275+Sheet1!CZ277</f>
        <v>173.96873424033492</v>
      </c>
      <c r="H275" s="914">
        <f t="shared" si="546"/>
        <v>0</v>
      </c>
      <c r="I275" s="559">
        <f>MAX(Sheet1!Z277-AT275+(Sheet1!DA277-E275)*CFStoMGD,0)</f>
        <v>182.6832</v>
      </c>
      <c r="J275" s="562">
        <f>IF(AND(B275&gt;=Calculation!GC275,B275&lt;=Calculation!GD275),IF(Sheet1!DB277&gt;=Calculation!D275,64.64,0),MAX(Sheet1!Z277-AT275+(Sheet1!DB277-D275)*CFStoMGD,0))</f>
        <v>77.966399999999993</v>
      </c>
      <c r="K275" s="904">
        <f t="shared" si="481"/>
        <v>0</v>
      </c>
      <c r="L275" s="560">
        <f>Sheet1!AA277+Sheet1!AB277-Sheet1!L277+(Sheet1!DA277-F275)*CFStoMGD</f>
        <v>212.98320000000001</v>
      </c>
      <c r="M275" s="560">
        <f t="shared" si="482"/>
        <v>114.70245760921155</v>
      </c>
      <c r="N275" s="910">
        <f>IF(Sheet1!DA277&gt;=F275,MIN(73,MIN(MAX(L275,0),MAX(M275,0))),0)</f>
        <v>73</v>
      </c>
      <c r="O275" s="563">
        <f>Sheet1!AA277+Sheet1!AB277</f>
        <v>75.3</v>
      </c>
      <c r="P275" s="563">
        <f t="shared" si="483"/>
        <v>116.48909999999998</v>
      </c>
      <c r="Q275" s="898">
        <f t="shared" si="547"/>
        <v>60.209917539558717</v>
      </c>
      <c r="R275" s="829">
        <f t="shared" si="484"/>
        <v>15</v>
      </c>
      <c r="S275" s="898">
        <f t="shared" si="548"/>
        <v>0</v>
      </c>
      <c r="T275" s="898">
        <f t="shared" si="549"/>
        <v>0</v>
      </c>
      <c r="U275" s="898">
        <f t="shared" si="550"/>
        <v>15.090082460441277</v>
      </c>
      <c r="V275" s="898"/>
      <c r="W275" s="898">
        <f t="shared" si="551"/>
        <v>0</v>
      </c>
      <c r="X275" s="898">
        <f t="shared" si="552"/>
        <v>0</v>
      </c>
      <c r="Y275" s="898" t="str">
        <f t="shared" si="553"/>
        <v>FALSE</v>
      </c>
      <c r="Z275" s="898">
        <f t="shared" si="554"/>
        <v>75.3</v>
      </c>
      <c r="AA275" s="898">
        <f t="shared" si="555"/>
        <v>75.3</v>
      </c>
      <c r="AB275" s="898" t="str">
        <f t="shared" si="556"/>
        <v/>
      </c>
      <c r="AC275" s="563">
        <f>Sheet1!Y277*MGDtoCFS</f>
        <v>47.028799999999997</v>
      </c>
      <c r="AD275" s="563">
        <f>Sheet1!Z277*MGDtoCFS</f>
        <v>69.614999999999995</v>
      </c>
      <c r="AE275" s="563">
        <f>Sheet1!AA277*MGDtoCFS</f>
        <v>47.028799999999997</v>
      </c>
      <c r="AF275" s="563">
        <f>Sheet1!AB277*MGDtoCFS</f>
        <v>69.460299999999989</v>
      </c>
      <c r="AG275" s="563">
        <f>Sheet1!L277*MGDtoCFS</f>
        <v>0</v>
      </c>
      <c r="AH275" s="545">
        <f t="shared" si="485"/>
        <v>15.090082460441275</v>
      </c>
      <c r="AI275" s="560">
        <f t="shared" si="486"/>
        <v>23.344357566302651</v>
      </c>
      <c r="AJ275" s="560">
        <f t="shared" si="487"/>
        <v>0</v>
      </c>
      <c r="AK275" s="560">
        <f t="shared" si="488"/>
        <v>0</v>
      </c>
      <c r="AL275" s="560">
        <f>(VLOOKUP(Sheet1!DC277,hhdcap_wcm,4)-(((VLOOKUP(Sheet1!DC277,hhdcap_wcm,3)-Sheet1!DC277)/(VLOOKUP(Sheet1!DC277,hhdcap_wcm,3)-VLOOKUP(Sheet1!DC277,hhdcap_wcm,1)))*(VLOOKUP(Sheet1!DC277,hhdcap_wcm,4)-VLOOKUP(Sheet1!DC277,hhdcap_wcm,2))))</f>
        <v>26825.800000070478</v>
      </c>
      <c r="AM275" s="560">
        <f t="shared" si="489"/>
        <v>-567.2000000014159</v>
      </c>
      <c r="AN275" s="560">
        <f t="shared" si="490"/>
        <v>1464.6254452979365</v>
      </c>
      <c r="AO275" s="560">
        <f t="shared" si="491"/>
        <v>4493.4708661740697</v>
      </c>
      <c r="AP275" s="560">
        <f>Sheet1!BA277+Sheet1!BB277+Sheet1!BN277+CD275</f>
        <v>29.79</v>
      </c>
      <c r="AQ275" s="560">
        <f>Sheet1!BN277+(DO275*Sheet1!BN277)</f>
        <v>28.218854468464453</v>
      </c>
      <c r="AR275" s="560">
        <f>Sheet1!BA277+CD275</f>
        <v>0</v>
      </c>
      <c r="AS275" s="560">
        <f>Sheet1!BA277+Sheet1!BB277+CD275</f>
        <v>1.59</v>
      </c>
      <c r="AT275" s="698">
        <f>0</f>
        <v>0</v>
      </c>
      <c r="AU275" s="560">
        <f>IF(EB275&lt;K275,0,MAX(Sheet1!AA277+AQ275-15/36*K275-N275,Sheet1!EH277,0))</f>
        <v>0</v>
      </c>
      <c r="AV275" s="560">
        <f>IF(OR(B275&gt;=GD275,B275&lt;GC275),0,15/36*K275-MAX(0,64.6-(137.6-(Sheet1!AA277+Sheet1!AB277))))</f>
        <v>0</v>
      </c>
      <c r="AW275" s="698">
        <f>Sheet1!DB277-110</f>
        <v>241</v>
      </c>
      <c r="AX275" s="698">
        <f>Sheet1!DA277-265</f>
        <v>198</v>
      </c>
      <c r="AY275" s="698">
        <f t="shared" si="492"/>
        <v>12.790082460441283</v>
      </c>
      <c r="AZ275" s="698">
        <v>0</v>
      </c>
      <c r="BA275" s="698">
        <f t="shared" si="493"/>
        <v>0</v>
      </c>
      <c r="BB275" s="560">
        <f t="shared" si="494"/>
        <v>715.52566666666689</v>
      </c>
      <c r="BC275" s="560"/>
      <c r="BD275" s="560">
        <f ca="1">IF(B275&gt;Summary!$A$1,#N/A,BB275*MGtoAF)</f>
        <v>2195.2327453333342</v>
      </c>
      <c r="BE275" s="560">
        <f>Sheet1!BG277+Sheet1!BH277+Sheet1!BI277-BM275</f>
        <v>2.02</v>
      </c>
      <c r="BF275" s="560">
        <f t="shared" si="495"/>
        <v>2.0213505683084465</v>
      </c>
      <c r="BG275" s="560">
        <f>IF(Sheet1!EP277="FM",BM275,0)</f>
        <v>0</v>
      </c>
      <c r="BH275" s="560">
        <f t="shared" si="496"/>
        <v>0</v>
      </c>
      <c r="BI275" s="560">
        <f>IF(Sheet1!EP277="OTHER",BM275,0)</f>
        <v>0</v>
      </c>
      <c r="BJ275" s="560">
        <f t="shared" si="497"/>
        <v>0</v>
      </c>
      <c r="BK275" s="560">
        <f t="shared" si="498"/>
        <v>2.02</v>
      </c>
      <c r="BL275" s="560">
        <f t="shared" si="499"/>
        <v>2.0213505683084465</v>
      </c>
      <c r="BM275" s="560">
        <f>IF(OR(Sheet1!EP277="FM", Sheet1!EP277="OTHER"),SUM(Sheet1!BG277:'Sheet1'!BI277),0)</f>
        <v>0</v>
      </c>
      <c r="BN275" s="545">
        <f>IF(AND($B275&gt;=$FV275,$B275&lt;=$FW275),MAX(BF275,Sheet1!EI277,0),MAX(BF275-(7/36)*$K275,0))</f>
        <v>2.0213505683084465</v>
      </c>
      <c r="BO275" s="560">
        <f t="shared" si="500"/>
        <v>0</v>
      </c>
      <c r="BP275" s="545">
        <f t="shared" si="501"/>
        <v>0</v>
      </c>
      <c r="BQ275" s="545">
        <f>IF(AND($O275&gt;0,Sheet1!EM277=1),(1-($O275-Sheet1!$L277)/$O275)*BL275,0)</f>
        <v>0</v>
      </c>
      <c r="BR275" s="545">
        <f>IF(AND(Sheet1!$L277=0,Sheet1!$L276=0, Calculation!BK275&lt;Sheet1!$EI277-0.1,Sheet1!$EI277=Sheet1!$EI276,Sheet1!$EI277=Sheet1!$EI278),Sheet1!$EI277,BL275-BQ275)</f>
        <v>2.0213505683084465</v>
      </c>
      <c r="BS275" s="560"/>
      <c r="BT275" s="560"/>
      <c r="BU275" s="560">
        <f t="shared" si="502"/>
        <v>154.09860665037027</v>
      </c>
      <c r="BV275" s="560"/>
      <c r="BW275" s="560">
        <f ca="1">IF(B275&gt;Summary!$A$1,#N/A,BU275*MGtoAF)</f>
        <v>472.774525203336</v>
      </c>
      <c r="BX275" s="560">
        <f>Sheet1!BC277+Sheet1!BD277+Sheet1!BE277+Sheet1!BF277-CG275-CH275</f>
        <v>4.01</v>
      </c>
      <c r="BY275" s="560">
        <f t="shared" si="503"/>
        <v>4.0126810786717177</v>
      </c>
      <c r="BZ275" s="560">
        <f>IF(Sheet1!EQ277="FM",CH275,0)</f>
        <v>0</v>
      </c>
      <c r="CA275" s="560">
        <f t="shared" si="504"/>
        <v>0</v>
      </c>
      <c r="CB275" s="560">
        <f>IF(Sheet1!EQ277="OTHER",CH275,0)</f>
        <v>0</v>
      </c>
      <c r="CC275" s="560">
        <f t="shared" si="505"/>
        <v>0</v>
      </c>
      <c r="CD275" s="560">
        <f t="shared" si="506"/>
        <v>0</v>
      </c>
      <c r="CE275" s="560">
        <f t="shared" si="507"/>
        <v>4.01</v>
      </c>
      <c r="CF275" s="560">
        <f t="shared" si="508"/>
        <v>4.0126810786717177</v>
      </c>
      <c r="CG275" s="560">
        <f>IF(Sheet1!EQ277="CWA",SUM(Sheet1!BC277:'Sheet1'!BF277),0)</f>
        <v>0</v>
      </c>
      <c r="CH275" s="560">
        <f>IF(OR(Sheet1!EQ277="FM", Sheet1!EQ277="OTHER"),SUM(Sheet1!BC277:'Sheet1'!BF277),0)</f>
        <v>0</v>
      </c>
      <c r="CI275" s="545">
        <f>IF(AND($B275&gt;=$FV275,$B275&lt;=$FW275),MAX(CF275,Sheet1!EJ277,0),MAX(CF275-(7/36)*$K275,0))</f>
        <v>4.0126810786717177</v>
      </c>
      <c r="CJ275" s="560">
        <f t="shared" si="509"/>
        <v>0</v>
      </c>
      <c r="CK275" s="545">
        <f t="shared" si="510"/>
        <v>0</v>
      </c>
      <c r="CL275" s="545">
        <f>IF(AND($O275&gt;0,Sheet1!EN277=1),(1-($O275-Sheet1!$L277)/$O275)*CF275,0)</f>
        <v>0</v>
      </c>
      <c r="CM275" s="545">
        <f>IF(AND(Sheet1!$L277=0,Sheet1!$L276=0, Calculation!CE275&lt;Sheet1!EJ277-0.1,Sheet1!EJ277=Sheet1!EJ276,Sheet1!EJ277=Sheet1!EJ278),Sheet1!EJ277,CF275-CL275)</f>
        <v>4.0126810786717177</v>
      </c>
      <c r="CN275" s="545"/>
      <c r="CO275" s="560"/>
      <c r="CP275" s="560">
        <f t="shared" si="511"/>
        <v>232.7600275164603</v>
      </c>
      <c r="CQ275" s="560"/>
      <c r="CR275" s="560">
        <f ca="1">IF(B275&gt;Summary!$A$1,#N/A,CP275*MGtoAF)</f>
        <v>714.10776442050019</v>
      </c>
      <c r="CS275" s="560">
        <f>Sheet1!BK277+Sheet1!BL277+Sheet1!BM277-Sheet1!ER277-DA275</f>
        <v>9.0500000000000007</v>
      </c>
      <c r="CT275" s="560">
        <f t="shared" si="512"/>
        <v>9.0560508134611108</v>
      </c>
      <c r="CU275" s="560">
        <f>IF(Sheet1!ER277="FM",DA275,0)</f>
        <v>0</v>
      </c>
      <c r="CV275" s="560">
        <f t="shared" si="513"/>
        <v>0</v>
      </c>
      <c r="CW275" s="560">
        <f>IF(Sheet1!ER277="OTHER",DA275,0)</f>
        <v>0</v>
      </c>
      <c r="CX275" s="560">
        <f t="shared" si="514"/>
        <v>0</v>
      </c>
      <c r="CY275" s="560">
        <f t="shared" si="515"/>
        <v>9.0500000000000007</v>
      </c>
      <c r="CZ275" s="560">
        <f t="shared" si="516"/>
        <v>9.0560508134611108</v>
      </c>
      <c r="DA275" s="560">
        <f>IF(OR(Sheet1!ER277="FM", Sheet1!ER277="OTHER"),SUM(Sheet1!BK277:'Sheet1'!BM277),0)</f>
        <v>0</v>
      </c>
      <c r="DB275" s="545">
        <f>IF(AND($B275&gt;=$FV275,$B275&lt;=$FW275),MAX($CT275,Sheet1!EK277,0),MAX($CT275-(7/36)*$K275,0))</f>
        <v>9.0560508134611108</v>
      </c>
      <c r="DC275" s="560">
        <f t="shared" si="517"/>
        <v>0</v>
      </c>
      <c r="DD275" s="545">
        <f t="shared" si="518"/>
        <v>0</v>
      </c>
      <c r="DE275" s="545">
        <f>IF(AND($O275&gt;0,Sheet1!EO277=1),(1-($O275-Sheet1!$L277)/$O275)*CZ275,0)</f>
        <v>0</v>
      </c>
      <c r="DF275" s="545">
        <f>IF(AND(Sheet1!$L277=0,Sheet1!$L276=0, Calculation!CY275&lt;Sheet1!$EK277-0.1,Sheet1!$EK277=Sheet1!$EK276,Sheet1!$EK277=Sheet1!$EK278),Sheet1!$EK277,CZ275-DE275)</f>
        <v>9.0560508134611108</v>
      </c>
      <c r="DG275" s="545"/>
      <c r="DH275" s="560">
        <f t="shared" si="519"/>
        <v>15.08</v>
      </c>
      <c r="DI275" s="560">
        <f t="shared" si="520"/>
        <v>362.24114446443895</v>
      </c>
      <c r="DJ275" s="698">
        <f t="shared" si="521"/>
        <v>15.090082460441275</v>
      </c>
      <c r="DK275" s="560">
        <f ca="1">IF(B275&gt;Summary!$A$1,#N/A,DI275*MGtoAF)</f>
        <v>1111.3558312168987</v>
      </c>
      <c r="DL275" s="698">
        <f t="shared" si="522"/>
        <v>15.08</v>
      </c>
      <c r="DM275" s="560">
        <f t="shared" si="523"/>
        <v>44.87</v>
      </c>
      <c r="DN275" s="560">
        <f>Sheet1!AB277-DM275</f>
        <v>3.0000000000001137E-2</v>
      </c>
      <c r="DO275" s="823">
        <f t="shared" si="524"/>
        <v>6.6859817249835388E-4</v>
      </c>
      <c r="DP275" s="560">
        <f>(VLOOKUP(Sheet1!DC277,hhdcap_wcm,4)-(((VLOOKUP(Sheet1!DC277,hhdcap_wcm,3)-Sheet1!DC277)/(VLOOKUP(Sheet1!DC277,hhdcap_wcm,3)-VLOOKUP(Sheet1!DC277,hhdcap_wcm,1)))*(VLOOKUP(Sheet1!DC277,hhdcap_wcm,4)-VLOOKUP(Sheet1!DC277,hhdcap_wcm,2))))</f>
        <v>26825.800000070478</v>
      </c>
      <c r="DQ275" s="560">
        <f t="shared" si="525"/>
        <v>-567.2000000014159</v>
      </c>
      <c r="DR275" s="560">
        <f t="shared" si="526"/>
        <v>-286.03126575966508</v>
      </c>
      <c r="DS275" s="560">
        <f>Sheet1!EA277*AFtoMG</f>
        <v>0</v>
      </c>
      <c r="DT275" s="560">
        <f>Sheet1!EB277*AFtoMG</f>
        <v>0</v>
      </c>
      <c r="DU275" s="560">
        <f>Sheet1!EC277*AFtoMG</f>
        <v>0</v>
      </c>
      <c r="DV275" s="560">
        <f>Sheet1!ED277*AFtoMG</f>
        <v>0</v>
      </c>
      <c r="DW275" s="560">
        <f t="shared" si="527"/>
        <v>0</v>
      </c>
      <c r="DX275" s="560">
        <f t="shared" si="528"/>
        <v>0</v>
      </c>
      <c r="DY275" s="560">
        <f t="shared" si="529"/>
        <v>1464.6254452979365</v>
      </c>
      <c r="DZ275" s="560">
        <f t="shared" si="530"/>
        <v>4493.4708661740697</v>
      </c>
      <c r="EA275" s="560"/>
      <c r="EB275" s="545">
        <f>IF(OR(B275&lt;FV275,B275&gt;FW275),(MIN(BF275+BY275+CT275+MAX(Sheet1!AA277+AQ275-73,0),K275)),0)</f>
        <v>0</v>
      </c>
      <c r="EC275" s="560"/>
      <c r="ED275" s="560">
        <f t="shared" si="531"/>
        <v>15.090082460441277</v>
      </c>
      <c r="EE275" s="560"/>
      <c r="EF275" s="560">
        <f>Sheet1!EH277+Sheet1!EI277+Sheet1!EJ277+Sheet1!EK277</f>
        <v>15</v>
      </c>
      <c r="EG275" s="560"/>
      <c r="EH275" s="545">
        <f t="shared" si="532"/>
        <v>0</v>
      </c>
      <c r="EI275" s="560">
        <f>IF(Sheet1!ET277=1,SUM('Calculations II'!AT275:BA275)+'Calculations II'!BC275+Sheet1!BV277+'Calculations II'!BE275+AP275,SUM('Calculations II'!AT275:BA275)+'Calculations II'!BC275+Sheet1!BV277+'Calculations II'!BE275+AP275)</f>
        <v>73.095280000000002</v>
      </c>
      <c r="EJ275" s="560">
        <f>Sheet1!AA277+Sheet1!AB277+'Calculations II'!BC275</f>
        <v>75.3</v>
      </c>
      <c r="EK275" s="560"/>
      <c r="EL275" s="560"/>
      <c r="EM275" s="560">
        <f t="shared" si="533"/>
        <v>41903</v>
      </c>
      <c r="EN275" s="560">
        <f t="shared" si="534"/>
        <v>-15.090082460441275</v>
      </c>
      <c r="EO275" s="560">
        <f t="shared" si="535"/>
        <v>-23.344357566302651</v>
      </c>
      <c r="EP275" s="560">
        <v>0</v>
      </c>
      <c r="EQ275" s="560">
        <v>0</v>
      </c>
      <c r="ER275" s="560">
        <v>0</v>
      </c>
      <c r="ES275" s="545">
        <f t="shared" si="557"/>
        <v>2.0771562812601738</v>
      </c>
      <c r="ET275" s="560">
        <f>-(VLOOKUP(Sheet1!BQ277,Lookup!$O$4:$Q$262,2)-VLOOKUP(Sheet1!BQ276,Lookup!$O$4:$Q$262,2))/1000000</f>
        <v>0.96930371233475576</v>
      </c>
      <c r="EU275" s="560">
        <f>-(VLOOKUP(Sheet1!BR277,Lookup!$O$4:$Q$262,3)-VLOOKUP(Sheet1!BR276,Lookup!$O$4:$Q$262,3))/1000000</f>
        <v>1.1078525689254179</v>
      </c>
      <c r="EV275" s="560"/>
      <c r="EW275" s="560"/>
      <c r="EX275" s="560"/>
      <c r="EY275" s="560"/>
      <c r="EZ275" s="560"/>
      <c r="FA275" s="560"/>
      <c r="FB275" s="560"/>
      <c r="FC275" s="560"/>
      <c r="FD275" s="594">
        <f t="shared" si="536"/>
        <v>1120.1909090908471</v>
      </c>
      <c r="FE275" s="594" t="e">
        <f t="shared" si="537"/>
        <v>#N/A</v>
      </c>
      <c r="FF275" s="595" t="e">
        <f t="shared" si="538"/>
        <v>#N/A</v>
      </c>
      <c r="FG275" s="596" t="s">
        <v>692</v>
      </c>
      <c r="FH275" s="596" t="s">
        <v>692</v>
      </c>
      <c r="FI275" s="594" t="e">
        <v>#N/A</v>
      </c>
      <c r="FJ275" s="778">
        <v>11150</v>
      </c>
      <c r="FK275" s="560"/>
      <c r="FL275" s="560"/>
      <c r="FM275" s="560"/>
      <c r="FN275" s="560"/>
      <c r="FO275" s="560">
        <f>O275+((Sheet1!CS277)*GPMtoMGD)</f>
        <v>75.3</v>
      </c>
      <c r="FP275" s="560">
        <f>IF(Sheet1!AA277+AQ275&lt;=Calculation!N275,AQ275,Calculation!N275-Sheet1!AA277)</f>
        <v>28.218854468464453</v>
      </c>
      <c r="FQ275" s="560">
        <f>(Sheet1!BP277+Sheet1!BO277)/694.4</f>
        <v>2.9413882488479262</v>
      </c>
      <c r="FR275" s="560"/>
      <c r="FS275" s="560"/>
      <c r="FT275" s="560"/>
      <c r="FU275" s="560"/>
      <c r="FV275" s="695">
        <f t="shared" si="558"/>
        <v>41827</v>
      </c>
      <c r="FW275" s="695">
        <f t="shared" si="559"/>
        <v>41934</v>
      </c>
      <c r="FX275" s="560"/>
      <c r="FY275" s="560"/>
      <c r="FZ275" s="560"/>
      <c r="GA275" s="560"/>
      <c r="GB275" s="560" t="str">
        <f t="shared" si="560"/>
        <v>n</v>
      </c>
      <c r="GC275" s="564">
        <f t="shared" si="561"/>
        <v>41691</v>
      </c>
      <c r="GD275" s="695">
        <f t="shared" si="562"/>
        <v>41807</v>
      </c>
      <c r="GE275" s="560">
        <v>6518.9</v>
      </c>
      <c r="GF275" s="695">
        <f t="shared" si="563"/>
        <v>41808</v>
      </c>
      <c r="GG275" s="560">
        <f t="shared" si="582"/>
        <v>3259</v>
      </c>
      <c r="GH275" s="564">
        <f t="shared" si="564"/>
        <v>41934</v>
      </c>
      <c r="GJ275" s="545">
        <f t="shared" si="565"/>
        <v>0</v>
      </c>
      <c r="GK275" s="560" t="str">
        <f t="shared" si="539"/>
        <v/>
      </c>
      <c r="GL275" s="560">
        <f t="shared" si="566"/>
        <v>0</v>
      </c>
      <c r="GM275" s="560" t="str">
        <f t="shared" si="567"/>
        <v/>
      </c>
      <c r="GN275" s="560">
        <f>IF(GK275="P",Lookup!$M$12,IF(GK275="PP",Lookup!$M$13,IF(GK275="PPP",Lookup!$M$14,IF(GK275="T",Lookup!$M$15,IF(GK275="TP",Lookup!$M$16,IF(GK275="TPP",Lookup!$M$17,IF(GK275="TPPP",Lookup!$M$18,0)))))))*GJ275</f>
        <v>0</v>
      </c>
      <c r="GO275" s="560">
        <f t="shared" si="568"/>
        <v>0</v>
      </c>
      <c r="GP275" s="560">
        <f t="shared" si="540"/>
        <v>2195.2327453333342</v>
      </c>
      <c r="GQ275" s="560">
        <f t="shared" si="576"/>
        <v>715.52566666666689</v>
      </c>
      <c r="GR275" s="560"/>
      <c r="GS275" s="560">
        <f t="shared" si="569"/>
        <v>0</v>
      </c>
      <c r="GT275" s="560" t="str">
        <f t="shared" si="570"/>
        <v/>
      </c>
      <c r="GU275" s="560">
        <f>IF(GK275="P",Lookup!$N$12,IF(GK275="PP",Lookup!$N$13,IF(GK275="PPP",Lookup!$N$14,IF(GK275="T",Lookup!$N$15,IF(GK275="TP",Lookup!$N$16,IF(GK275="TPP",Lookup!$N$17,IF(GK275="TPPP",Lookup!$N$18,0)))))))*GJ275</f>
        <v>0</v>
      </c>
      <c r="GV275" s="560">
        <f t="shared" si="571"/>
        <v>0</v>
      </c>
      <c r="GW275" s="560">
        <f t="shared" si="541"/>
        <v>472.774525203336</v>
      </c>
      <c r="GX275" s="560">
        <f t="shared" si="577"/>
        <v>154.09860665037027</v>
      </c>
      <c r="GY275" s="560"/>
      <c r="GZ275" s="560">
        <f t="shared" si="572"/>
        <v>0</v>
      </c>
      <c r="HA275" s="560" t="str">
        <f t="shared" si="573"/>
        <v/>
      </c>
      <c r="HB275" s="560">
        <f>IF(GK275="P",Lookup!$N$12,IF(GK275="PP",Lookup!$N$13,IF(GK275="PPP",Lookup!$N$14,IF(GK275="T",Lookup!$N$15,IF(GK275="TP",Lookup!$N$16,IF(GK275="TPP",Lookup!$N$17,IF(GK275="TPPP",Lookup!$N$18,0)))))))*GJ275</f>
        <v>0</v>
      </c>
      <c r="HC275" s="545">
        <f t="shared" si="542"/>
        <v>0</v>
      </c>
      <c r="HD275" s="560">
        <f t="shared" si="543"/>
        <v>714.10776442050019</v>
      </c>
      <c r="HE275" s="560">
        <f t="shared" si="578"/>
        <v>232.7600275164603</v>
      </c>
      <c r="HF275" s="560"/>
      <c r="HG275" s="560">
        <f t="shared" si="574"/>
        <v>0</v>
      </c>
      <c r="HH275" s="560" t="str">
        <f t="shared" si="575"/>
        <v/>
      </c>
      <c r="HI275" s="560">
        <f>IF(GK275="P",Lookup!$N$12,IF(GK275="PP",Lookup!$N$13,IF(GK275="PPP",Lookup!$N$14,IF(GK275="T",Lookup!$N$15,IF(GK275="TP",Lookup!$N$16,IF(GK275="TPP",Lookup!$N$17,IF(GK275="TPPP",Lookup!$N$18,0)))))))*GJ275</f>
        <v>0</v>
      </c>
      <c r="HJ275" s="545">
        <f t="shared" si="544"/>
        <v>0</v>
      </c>
      <c r="HK275" s="560">
        <f t="shared" si="545"/>
        <v>1111.3558312168987</v>
      </c>
      <c r="HL275" s="560">
        <f t="shared" si="579"/>
        <v>362.24114446443895</v>
      </c>
    </row>
    <row r="276" spans="1:220">
      <c r="A276" s="580" t="s">
        <v>4</v>
      </c>
      <c r="B276" s="556">
        <v>41904</v>
      </c>
      <c r="C276" s="561">
        <v>0</v>
      </c>
      <c r="D276" s="529">
        <f t="shared" si="580"/>
        <v>300</v>
      </c>
      <c r="E276" s="529">
        <f t="shared" si="581"/>
        <v>250</v>
      </c>
      <c r="F276" s="529">
        <v>250</v>
      </c>
      <c r="G276" s="560">
        <f>DR276+Sheet1!CZ278</f>
        <v>168.19415027622819</v>
      </c>
      <c r="H276" s="914">
        <f t="shared" si="546"/>
        <v>0</v>
      </c>
      <c r="I276" s="559">
        <f>MAX(Sheet1!Z278-AT276+(Sheet1!DA278-E276)*CFStoMGD,0)</f>
        <v>185.8152</v>
      </c>
      <c r="J276" s="562">
        <f>IF(AND(B276&gt;=Calculation!GC276,B276&lt;=Calculation!GD276),IF(Sheet1!DB278&gt;=Calculation!D276,64.64,0),MAX(Sheet1!Z278-AT276+(Sheet1!DB278-D276)*CFStoMGD,0))</f>
        <v>81.098399999999998</v>
      </c>
      <c r="K276" s="904">
        <f t="shared" si="481"/>
        <v>0</v>
      </c>
      <c r="L276" s="560">
        <f>Sheet1!AA278+Sheet1!AB278-Sheet1!L278+(Sheet1!DA278-F276)*CFStoMGD</f>
        <v>216.3152</v>
      </c>
      <c r="M276" s="560">
        <f t="shared" si="482"/>
        <v>110.89511271332498</v>
      </c>
      <c r="N276" s="910">
        <f>IF(Sheet1!DA278&gt;=F276,MIN(73,MIN(MAX(L276,0),MAX(M276,0))),0)</f>
        <v>73</v>
      </c>
      <c r="O276" s="563">
        <f>Sheet1!AA278+Sheet1!AB278</f>
        <v>75.400000000000006</v>
      </c>
      <c r="P276" s="563">
        <f t="shared" si="483"/>
        <v>116.6438</v>
      </c>
      <c r="Q276" s="898">
        <f t="shared" si="547"/>
        <v>61.631867886632449</v>
      </c>
      <c r="R276" s="829">
        <f t="shared" si="484"/>
        <v>13</v>
      </c>
      <c r="S276" s="898">
        <f t="shared" si="548"/>
        <v>0</v>
      </c>
      <c r="T276" s="898">
        <f t="shared" si="549"/>
        <v>0</v>
      </c>
      <c r="U276" s="898">
        <f t="shared" si="550"/>
        <v>13.768132113367553</v>
      </c>
      <c r="V276" s="898"/>
      <c r="W276" s="898">
        <f t="shared" si="551"/>
        <v>0</v>
      </c>
      <c r="X276" s="898">
        <f t="shared" si="552"/>
        <v>0</v>
      </c>
      <c r="Y276" s="898" t="str">
        <f t="shared" si="553"/>
        <v>FALSE</v>
      </c>
      <c r="Z276" s="898">
        <f t="shared" si="554"/>
        <v>75.400000000000006</v>
      </c>
      <c r="AA276" s="898">
        <f t="shared" si="555"/>
        <v>75.400000000000006</v>
      </c>
      <c r="AB276" s="898" t="str">
        <f t="shared" si="556"/>
        <v/>
      </c>
      <c r="AC276" s="563">
        <f>Sheet1!Y278*MGDtoCFS</f>
        <v>47.028799999999997</v>
      </c>
      <c r="AD276" s="563">
        <f>Sheet1!Z278*MGDtoCFS</f>
        <v>69.460299999999989</v>
      </c>
      <c r="AE276" s="563">
        <f>Sheet1!AA278*MGDtoCFS</f>
        <v>47.028799999999997</v>
      </c>
      <c r="AF276" s="563">
        <f>Sheet1!AB278*MGDtoCFS</f>
        <v>69.614999999999995</v>
      </c>
      <c r="AG276" s="563">
        <f>Sheet1!L278*MGDtoCFS</f>
        <v>0</v>
      </c>
      <c r="AH276" s="545">
        <f t="shared" si="485"/>
        <v>13.768132113367551</v>
      </c>
      <c r="AI276" s="560">
        <f t="shared" si="486"/>
        <v>21.299300379379602</v>
      </c>
      <c r="AJ276" s="560">
        <f t="shared" si="487"/>
        <v>0</v>
      </c>
      <c r="AK276" s="560">
        <f t="shared" si="488"/>
        <v>0</v>
      </c>
      <c r="AL276" s="560">
        <f>(VLOOKUP(Sheet1!DC278,hhdcap_wcm,4)-(((VLOOKUP(Sheet1!DC278,hhdcap_wcm,3)-Sheet1!DC278)/(VLOOKUP(Sheet1!DC278,hhdcap_wcm,3)-VLOOKUP(Sheet1!DC278,hhdcap_wcm,1)))*(VLOOKUP(Sheet1!DC278,hhdcap_wcm,4)-VLOOKUP(Sheet1!DC278,hhdcap_wcm,2))))</f>
        <v>26241.200000068238</v>
      </c>
      <c r="AM276" s="560">
        <f t="shared" si="489"/>
        <v>-584.60000000223954</v>
      </c>
      <c r="AN276" s="560">
        <f t="shared" si="490"/>
        <v>1450.8573131845687</v>
      </c>
      <c r="AO276" s="560">
        <f t="shared" si="491"/>
        <v>4451.2302368502569</v>
      </c>
      <c r="AP276" s="560">
        <f>Sheet1!BA278+Sheet1!BB278+Sheet1!BN278+CD276</f>
        <v>31.1</v>
      </c>
      <c r="AQ276" s="560">
        <f>Sheet1!BN278+(DO276*Sheet1!BN278)</f>
        <v>29.62508368667708</v>
      </c>
      <c r="AR276" s="560">
        <f>Sheet1!BA278+CD276</f>
        <v>0</v>
      </c>
      <c r="AS276" s="560">
        <f>Sheet1!BA278+Sheet1!BB278+CD276</f>
        <v>1.6</v>
      </c>
      <c r="AT276" s="698">
        <f>0</f>
        <v>0</v>
      </c>
      <c r="AU276" s="560">
        <f>IF(EB276&lt;K276,0,MAX(Sheet1!AA278+AQ276-15/36*K276-N276,Sheet1!EH278,0))</f>
        <v>0</v>
      </c>
      <c r="AV276" s="560">
        <f>IF(OR(B276&gt;=GD276,B276&lt;GC276),0,15/36*K276-MAX(0,64.6-(137.6-(Sheet1!AA278+Sheet1!AB278))))</f>
        <v>0</v>
      </c>
      <c r="AW276" s="698">
        <f>Sheet1!DB278-110</f>
        <v>246</v>
      </c>
      <c r="AX276" s="698">
        <f>Sheet1!DA278-265</f>
        <v>203</v>
      </c>
      <c r="AY276" s="698">
        <f t="shared" si="492"/>
        <v>11.368132113367551</v>
      </c>
      <c r="AZ276" s="698">
        <v>0</v>
      </c>
      <c r="BA276" s="698">
        <f t="shared" si="493"/>
        <v>0</v>
      </c>
      <c r="BB276" s="560">
        <f t="shared" si="494"/>
        <v>715.52566666666689</v>
      </c>
      <c r="BC276" s="560"/>
      <c r="BD276" s="560">
        <f ca="1">IF(B276&gt;Summary!$A$1,#N/A,BB276*MGtoAF)</f>
        <v>2195.2327453333342</v>
      </c>
      <c r="BE276" s="560">
        <f>Sheet1!BG278+Sheet1!BH278+Sheet1!BI278-BM276</f>
        <v>2.02</v>
      </c>
      <c r="BF276" s="560">
        <f t="shared" si="495"/>
        <v>2.0285650524436507</v>
      </c>
      <c r="BG276" s="560">
        <f>IF(Sheet1!EP278="FM",BM276,0)</f>
        <v>0</v>
      </c>
      <c r="BH276" s="560">
        <f t="shared" si="496"/>
        <v>0</v>
      </c>
      <c r="BI276" s="560">
        <f>IF(Sheet1!EP278="OTHER",BM276,0)</f>
        <v>0</v>
      </c>
      <c r="BJ276" s="560">
        <f t="shared" si="497"/>
        <v>0</v>
      </c>
      <c r="BK276" s="560">
        <f t="shared" si="498"/>
        <v>2.02</v>
      </c>
      <c r="BL276" s="560">
        <f t="shared" si="499"/>
        <v>2.0285650524436507</v>
      </c>
      <c r="BM276" s="560">
        <f>IF(OR(Sheet1!EP278="FM", Sheet1!EP278="OTHER"),SUM(Sheet1!BG278:'Sheet1'!BI278),0)</f>
        <v>0</v>
      </c>
      <c r="BN276" s="545">
        <f>IF(AND($B276&gt;=$FV276,$B276&lt;=$FW276),MAX(BF276,Sheet1!EI278,0),MAX(BF276-(7/36)*$K276,0))</f>
        <v>2.0285650524436507</v>
      </c>
      <c r="BO276" s="560">
        <f t="shared" si="500"/>
        <v>0</v>
      </c>
      <c r="BP276" s="545">
        <f t="shared" si="501"/>
        <v>0</v>
      </c>
      <c r="BQ276" s="545">
        <f>IF(AND($O276&gt;0,Sheet1!EM278=1),(1-($O276-Sheet1!$L278)/$O276)*BL276,0)</f>
        <v>0</v>
      </c>
      <c r="BR276" s="545">
        <f>IF(AND(Sheet1!$L278=0,Sheet1!$L277=0, Calculation!BK276&lt;Sheet1!$EI278-0.1,Sheet1!$EI278=Sheet1!$EI277,Sheet1!$EI278=Sheet1!$EI279),Sheet1!$EI278,BL276-BQ276)</f>
        <v>2.0285650524436507</v>
      </c>
      <c r="BS276" s="560"/>
      <c r="BT276" s="560"/>
      <c r="BU276" s="560">
        <f t="shared" si="502"/>
        <v>152.07004159792663</v>
      </c>
      <c r="BV276" s="560"/>
      <c r="BW276" s="560">
        <f ca="1">IF(B276&gt;Summary!$A$1,#N/A,BU276*MGtoAF)</f>
        <v>466.55088762243889</v>
      </c>
      <c r="BX276" s="560">
        <f>Sheet1!BC278+Sheet1!BD278+Sheet1!BE278+Sheet1!BF278-CG276-CH276</f>
        <v>3.3600000000000003</v>
      </c>
      <c r="BY276" s="560">
        <f t="shared" si="503"/>
        <v>3.3742468199062712</v>
      </c>
      <c r="BZ276" s="560">
        <f>IF(Sheet1!EQ278="FM",CH276,0)</f>
        <v>0</v>
      </c>
      <c r="CA276" s="560">
        <f t="shared" si="504"/>
        <v>0</v>
      </c>
      <c r="CB276" s="560">
        <f>IF(Sheet1!EQ278="OTHER",CH276,0)</f>
        <v>0</v>
      </c>
      <c r="CC276" s="560">
        <f t="shared" si="505"/>
        <v>0</v>
      </c>
      <c r="CD276" s="560">
        <f t="shared" si="506"/>
        <v>0</v>
      </c>
      <c r="CE276" s="560">
        <f t="shared" si="507"/>
        <v>3.3600000000000003</v>
      </c>
      <c r="CF276" s="560">
        <f t="shared" si="508"/>
        <v>3.3742468199062712</v>
      </c>
      <c r="CG276" s="560">
        <f>IF(Sheet1!EQ278="CWA",SUM(Sheet1!BC278:'Sheet1'!BF278),0)</f>
        <v>0</v>
      </c>
      <c r="CH276" s="560">
        <f>IF(OR(Sheet1!EQ278="FM", Sheet1!EQ278="OTHER"),SUM(Sheet1!BC278:'Sheet1'!BF278),0)</f>
        <v>0</v>
      </c>
      <c r="CI276" s="545">
        <f>IF(AND($B276&gt;=$FV276,$B276&lt;=$FW276),MAX(CF276,Sheet1!EJ278,0),MAX(CF276-(7/36)*$K276,0))</f>
        <v>3.3742468199062712</v>
      </c>
      <c r="CJ276" s="560">
        <f t="shared" si="509"/>
        <v>0</v>
      </c>
      <c r="CK276" s="545">
        <f t="shared" si="510"/>
        <v>0</v>
      </c>
      <c r="CL276" s="545">
        <f>IF(AND($O276&gt;0,Sheet1!EN278=1),(1-($O276-Sheet1!$L278)/$O276)*CF276,0)</f>
        <v>0</v>
      </c>
      <c r="CM276" s="545">
        <f>IF(AND(Sheet1!$L278=0,Sheet1!$L277=0, Calculation!CE276&lt;Sheet1!EJ278-0.1,Sheet1!EJ278=Sheet1!EJ277,Sheet1!EJ278=Sheet1!EJ279),Sheet1!EJ278,CF276-CL276)</f>
        <v>3.3742468199062712</v>
      </c>
      <c r="CN276" s="545"/>
      <c r="CO276" s="560"/>
      <c r="CP276" s="560">
        <f t="shared" si="511"/>
        <v>229.38578069655404</v>
      </c>
      <c r="CQ276" s="560"/>
      <c r="CR276" s="560">
        <f ca="1">IF(B276&gt;Summary!$A$1,#N/A,CP276*MGtoAF)</f>
        <v>703.75557517702782</v>
      </c>
      <c r="CS276" s="560">
        <f>Sheet1!BK278+Sheet1!BL278+Sheet1!BM278-Sheet1!ER278-DA276</f>
        <v>8.33</v>
      </c>
      <c r="CT276" s="560">
        <f t="shared" si="512"/>
        <v>8.3653202410176295</v>
      </c>
      <c r="CU276" s="560">
        <f>IF(Sheet1!ER278="FM",DA276,0)</f>
        <v>0</v>
      </c>
      <c r="CV276" s="560">
        <f t="shared" si="513"/>
        <v>0</v>
      </c>
      <c r="CW276" s="560">
        <f>IF(Sheet1!ER278="OTHER",DA276,0)</f>
        <v>0</v>
      </c>
      <c r="CX276" s="560">
        <f t="shared" si="514"/>
        <v>0</v>
      </c>
      <c r="CY276" s="560">
        <f t="shared" si="515"/>
        <v>8.33</v>
      </c>
      <c r="CZ276" s="560">
        <f t="shared" si="516"/>
        <v>8.3653202410176295</v>
      </c>
      <c r="DA276" s="560">
        <f>IF(OR(Sheet1!ER278="FM", Sheet1!ER278="OTHER"),SUM(Sheet1!BK278:'Sheet1'!BM278),0)</f>
        <v>0</v>
      </c>
      <c r="DB276" s="545">
        <f>IF(AND($B276&gt;=$FV276,$B276&lt;=$FW276),MAX($CT276,Sheet1!EK278,0),MAX($CT276-(7/36)*$K276,0))</f>
        <v>8.3653202410176295</v>
      </c>
      <c r="DC276" s="560">
        <f t="shared" si="517"/>
        <v>0</v>
      </c>
      <c r="DD276" s="545">
        <f t="shared" si="518"/>
        <v>0</v>
      </c>
      <c r="DE276" s="545">
        <f>IF(AND($O276&gt;0,Sheet1!EO278=1),(1-($O276-Sheet1!$L278)/$O276)*CZ276,0)</f>
        <v>0</v>
      </c>
      <c r="DF276" s="545">
        <f>IF(AND(Sheet1!$L278=0,Sheet1!$L277=0, Calculation!CY276&lt;Sheet1!$EK278-0.1,Sheet1!$EK278=Sheet1!$EK277,Sheet1!$EK278=Sheet1!$EK279),Sheet1!$EK278,CZ276-DE276)</f>
        <v>8.3653202410176295</v>
      </c>
      <c r="DG276" s="545"/>
      <c r="DH276" s="560">
        <f t="shared" si="519"/>
        <v>13.71</v>
      </c>
      <c r="DI276" s="560">
        <f t="shared" si="520"/>
        <v>353.87582422342132</v>
      </c>
      <c r="DJ276" s="698">
        <f t="shared" si="521"/>
        <v>13.768132113367551</v>
      </c>
      <c r="DK276" s="560">
        <f ca="1">IF(B276&gt;Summary!$A$1,#N/A,DI276*MGtoAF)</f>
        <v>1085.6910287174567</v>
      </c>
      <c r="DL276" s="698">
        <f t="shared" si="522"/>
        <v>13.71</v>
      </c>
      <c r="DM276" s="560">
        <f t="shared" si="523"/>
        <v>44.81</v>
      </c>
      <c r="DN276" s="560">
        <f>Sheet1!AB278-DM276</f>
        <v>0.18999999999999773</v>
      </c>
      <c r="DO276" s="823">
        <f t="shared" si="524"/>
        <v>4.2401249721043897E-3</v>
      </c>
      <c r="DP276" s="560">
        <f>(VLOOKUP(Sheet1!DC278,hhdcap_wcm,4)-(((VLOOKUP(Sheet1!DC278,hhdcap_wcm,3)-Sheet1!DC278)/(VLOOKUP(Sheet1!DC278,hhdcap_wcm,3)-VLOOKUP(Sheet1!DC278,hhdcap_wcm,1)))*(VLOOKUP(Sheet1!DC278,hhdcap_wcm,4)-VLOOKUP(Sheet1!DC278,hhdcap_wcm,2))))</f>
        <v>26241.200000068238</v>
      </c>
      <c r="DQ276" s="560">
        <f t="shared" si="525"/>
        <v>-584.60000000223954</v>
      </c>
      <c r="DR276" s="560">
        <f t="shared" si="526"/>
        <v>-294.80584972377181</v>
      </c>
      <c r="DS276" s="560">
        <f>Sheet1!EA278*AFtoMG</f>
        <v>0</v>
      </c>
      <c r="DT276" s="560">
        <f>Sheet1!EB278*AFtoMG</f>
        <v>0</v>
      </c>
      <c r="DU276" s="560">
        <f>Sheet1!EC278*AFtoMG</f>
        <v>0</v>
      </c>
      <c r="DV276" s="560">
        <f>Sheet1!ED278*AFtoMG</f>
        <v>0</v>
      </c>
      <c r="DW276" s="560">
        <f t="shared" si="527"/>
        <v>0</v>
      </c>
      <c r="DX276" s="560">
        <f t="shared" si="528"/>
        <v>0</v>
      </c>
      <c r="DY276" s="560">
        <f t="shared" si="529"/>
        <v>1450.8573131845687</v>
      </c>
      <c r="DZ276" s="560">
        <f t="shared" si="530"/>
        <v>4451.2302368502569</v>
      </c>
      <c r="EA276" s="560"/>
      <c r="EB276" s="545">
        <f>IF(OR(B276&lt;FV276,B276&gt;FW276),(MIN(BF276+BY276+CT276+MAX(Sheet1!AA278+AQ276-73,0),K276)),0)</f>
        <v>0</v>
      </c>
      <c r="EC276" s="560"/>
      <c r="ED276" s="560">
        <f t="shared" si="531"/>
        <v>13.768132113367553</v>
      </c>
      <c r="EE276" s="560"/>
      <c r="EF276" s="560">
        <f>Sheet1!EH278+Sheet1!EI278+Sheet1!EJ278+Sheet1!EK278</f>
        <v>13</v>
      </c>
      <c r="EG276" s="560"/>
      <c r="EH276" s="545">
        <f t="shared" si="532"/>
        <v>0</v>
      </c>
      <c r="EI276" s="560">
        <f>IF(Sheet1!ET278=1,SUM('Calculations II'!AT276:BA276)+'Calculations II'!BC276+Sheet1!BV278+'Calculations II'!BE276+AP276,SUM('Calculations II'!AT276:BA276)+'Calculations II'!BC276+Sheet1!BV278+'Calculations II'!BE276+AP276)</f>
        <v>69.015360000000001</v>
      </c>
      <c r="EJ276" s="560">
        <f>Sheet1!AA278+Sheet1!AB278+'Calculations II'!BC276</f>
        <v>75.400000000000006</v>
      </c>
      <c r="EK276" s="560"/>
      <c r="EL276" s="560"/>
      <c r="EM276" s="560">
        <f t="shared" si="533"/>
        <v>41904</v>
      </c>
      <c r="EN276" s="560">
        <f t="shared" si="534"/>
        <v>-13.768132113367551</v>
      </c>
      <c r="EO276" s="560">
        <f t="shared" si="535"/>
        <v>-21.299300379379602</v>
      </c>
      <c r="EP276" s="560">
        <v>0</v>
      </c>
      <c r="EQ276" s="560">
        <v>0</v>
      </c>
      <c r="ER276" s="560">
        <v>0</v>
      </c>
      <c r="ES276" s="545">
        <f t="shared" si="557"/>
        <v>-2.3541642820021176</v>
      </c>
      <c r="ET276" s="560">
        <f>-(VLOOKUP(Sheet1!BQ278,Lookup!$O$4:$Q$262,2)-VLOOKUP(Sheet1!BQ277,Lookup!$O$4:$Q$262,2))/1000000</f>
        <v>-1.1078013039986865</v>
      </c>
      <c r="EU276" s="560">
        <f>-(VLOOKUP(Sheet1!BR278,Lookup!$O$4:$Q$262,3)-VLOOKUP(Sheet1!BR277,Lookup!$O$4:$Q$262,3))/1000000</f>
        <v>-1.2463629780034311</v>
      </c>
      <c r="EV276" s="560"/>
      <c r="EW276" s="560"/>
      <c r="EX276" s="560"/>
      <c r="EY276" s="560"/>
      <c r="EZ276" s="560"/>
      <c r="FA276" s="560"/>
      <c r="FB276" s="560"/>
      <c r="FC276" s="560"/>
      <c r="FD276" s="594">
        <f t="shared" si="536"/>
        <v>1119.6883720929618</v>
      </c>
      <c r="FE276" s="594" t="e">
        <f t="shared" si="537"/>
        <v>#N/A</v>
      </c>
      <c r="FF276" s="595" t="e">
        <f t="shared" si="538"/>
        <v>#N/A</v>
      </c>
      <c r="FG276" s="596" t="s">
        <v>692</v>
      </c>
      <c r="FH276" s="596" t="s">
        <v>692</v>
      </c>
      <c r="FI276" s="594" t="e">
        <v>#N/A</v>
      </c>
      <c r="FJ276" s="778">
        <v>10933</v>
      </c>
      <c r="FK276" s="560"/>
      <c r="FL276" s="560"/>
      <c r="FM276" s="560"/>
      <c r="FN276" s="560"/>
      <c r="FO276" s="560">
        <f>O276+((Sheet1!CS278)*GPMtoMGD)</f>
        <v>75.400000000000006</v>
      </c>
      <c r="FP276" s="560">
        <f>IF(Sheet1!AA278+AQ276&lt;=Calculation!N276,AQ276,Calculation!N276-Sheet1!AA278)</f>
        <v>29.62508368667708</v>
      </c>
      <c r="FQ276" s="560">
        <f>(Sheet1!BP278+Sheet1!BO278)/694.4</f>
        <v>2.6548099078341014</v>
      </c>
      <c r="FR276" s="560"/>
      <c r="FS276" s="560"/>
      <c r="FT276" s="560"/>
      <c r="FU276" s="560"/>
      <c r="FV276" s="695">
        <f t="shared" si="558"/>
        <v>41827</v>
      </c>
      <c r="FW276" s="695">
        <f t="shared" si="559"/>
        <v>41934</v>
      </c>
      <c r="FX276" s="560"/>
      <c r="FY276" s="560"/>
      <c r="FZ276" s="560"/>
      <c r="GA276" s="560"/>
      <c r="GB276" s="560" t="str">
        <f t="shared" si="560"/>
        <v>n</v>
      </c>
      <c r="GC276" s="564">
        <f t="shared" si="561"/>
        <v>41691</v>
      </c>
      <c r="GD276" s="695">
        <f t="shared" si="562"/>
        <v>41807</v>
      </c>
      <c r="GE276" s="560">
        <v>6518.9</v>
      </c>
      <c r="GF276" s="695">
        <f t="shared" si="563"/>
        <v>41808</v>
      </c>
      <c r="GG276" s="560">
        <f t="shared" si="582"/>
        <v>3259</v>
      </c>
      <c r="GH276" s="564">
        <f t="shared" si="564"/>
        <v>41934</v>
      </c>
      <c r="GJ276" s="545">
        <f t="shared" si="565"/>
        <v>0</v>
      </c>
      <c r="GK276" s="560" t="str">
        <f t="shared" si="539"/>
        <v/>
      </c>
      <c r="GL276" s="560">
        <f t="shared" si="566"/>
        <v>0</v>
      </c>
      <c r="GM276" s="560" t="str">
        <f t="shared" si="567"/>
        <v/>
      </c>
      <c r="GN276" s="560">
        <f>IF(GK276="P",Lookup!$M$12,IF(GK276="PP",Lookup!$M$13,IF(GK276="PPP",Lookup!$M$14,IF(GK276="T",Lookup!$M$15,IF(GK276="TP",Lookup!$M$16,IF(GK276="TPP",Lookup!$M$17,IF(GK276="TPPP",Lookup!$M$18,0)))))))*GJ276</f>
        <v>0</v>
      </c>
      <c r="GO276" s="560">
        <f t="shared" si="568"/>
        <v>0</v>
      </c>
      <c r="GP276" s="560">
        <f t="shared" si="540"/>
        <v>2195.2327453333342</v>
      </c>
      <c r="GQ276" s="560">
        <f t="shared" si="576"/>
        <v>715.52566666666689</v>
      </c>
      <c r="GR276" s="560"/>
      <c r="GS276" s="560">
        <f t="shared" si="569"/>
        <v>0</v>
      </c>
      <c r="GT276" s="560" t="str">
        <f t="shared" si="570"/>
        <v/>
      </c>
      <c r="GU276" s="560">
        <f>IF(GK276="P",Lookup!$N$12,IF(GK276="PP",Lookup!$N$13,IF(GK276="PPP",Lookup!$N$14,IF(GK276="T",Lookup!$N$15,IF(GK276="TP",Lookup!$N$16,IF(GK276="TPP",Lookup!$N$17,IF(GK276="TPPP",Lookup!$N$18,0)))))))*GJ276</f>
        <v>0</v>
      </c>
      <c r="GV276" s="560">
        <f t="shared" si="571"/>
        <v>0</v>
      </c>
      <c r="GW276" s="560">
        <f t="shared" si="541"/>
        <v>466.55088762243889</v>
      </c>
      <c r="GX276" s="560">
        <f t="shared" si="577"/>
        <v>152.07004159792663</v>
      </c>
      <c r="GY276" s="560"/>
      <c r="GZ276" s="560">
        <f t="shared" si="572"/>
        <v>0</v>
      </c>
      <c r="HA276" s="560" t="str">
        <f t="shared" si="573"/>
        <v/>
      </c>
      <c r="HB276" s="560">
        <f>IF(GK276="P",Lookup!$N$12,IF(GK276="PP",Lookup!$N$13,IF(GK276="PPP",Lookup!$N$14,IF(GK276="T",Lookup!$N$15,IF(GK276="TP",Lookup!$N$16,IF(GK276="TPP",Lookup!$N$17,IF(GK276="TPPP",Lookup!$N$18,0)))))))*GJ276</f>
        <v>0</v>
      </c>
      <c r="HC276" s="545">
        <f t="shared" si="542"/>
        <v>0</v>
      </c>
      <c r="HD276" s="560">
        <f t="shared" si="543"/>
        <v>703.75557517702782</v>
      </c>
      <c r="HE276" s="560">
        <f t="shared" si="578"/>
        <v>229.38578069655404</v>
      </c>
      <c r="HF276" s="560"/>
      <c r="HG276" s="560">
        <f t="shared" si="574"/>
        <v>0</v>
      </c>
      <c r="HH276" s="560" t="str">
        <f t="shared" si="575"/>
        <v/>
      </c>
      <c r="HI276" s="560">
        <f>IF(GK276="P",Lookup!$N$12,IF(GK276="PP",Lookup!$N$13,IF(GK276="PPP",Lookup!$N$14,IF(GK276="T",Lookup!$N$15,IF(GK276="TP",Lookup!$N$16,IF(GK276="TPP",Lookup!$N$17,IF(GK276="TPPP",Lookup!$N$18,0)))))))*GJ276</f>
        <v>0</v>
      </c>
      <c r="HJ276" s="545">
        <f t="shared" si="544"/>
        <v>0</v>
      </c>
      <c r="HK276" s="560">
        <f t="shared" si="545"/>
        <v>1085.6910287174567</v>
      </c>
      <c r="HL276" s="560">
        <f t="shared" si="579"/>
        <v>353.87582422342132</v>
      </c>
    </row>
    <row r="277" spans="1:220">
      <c r="A277" s="580" t="s">
        <v>5</v>
      </c>
      <c r="B277" s="556">
        <v>41905</v>
      </c>
      <c r="C277" s="561">
        <v>0</v>
      </c>
      <c r="D277" s="529">
        <f t="shared" si="580"/>
        <v>300</v>
      </c>
      <c r="E277" s="529">
        <f t="shared" si="581"/>
        <v>250</v>
      </c>
      <c r="F277" s="529">
        <v>250</v>
      </c>
      <c r="G277" s="560">
        <f>DR277+Sheet1!CZ279</f>
        <v>202.7629853745795</v>
      </c>
      <c r="H277" s="914">
        <f t="shared" si="546"/>
        <v>0</v>
      </c>
      <c r="I277" s="559">
        <f>MAX(Sheet1!Z279-AT277+(Sheet1!DA279-E277)*CFStoMGD,0)</f>
        <v>225.34559999999999</v>
      </c>
      <c r="J277" s="562">
        <f>IF(AND(B277&gt;=Calculation!GC277,B277&lt;=Calculation!GD277),IF(Sheet1!DB279&gt;=Calculation!D277,64.64,0),MAX(Sheet1!Z279-AT277+(Sheet1!DB279-D277)*CFStoMGD,0))</f>
        <v>112.872</v>
      </c>
      <c r="K277" s="904">
        <f t="shared" si="481"/>
        <v>0</v>
      </c>
      <c r="L277" s="560">
        <f>Sheet1!AA279+Sheet1!AB279-Sheet1!L279+(Sheet1!DA279-F277)*CFStoMGD</f>
        <v>255.71559999999999</v>
      </c>
      <c r="M277" s="560">
        <f t="shared" si="482"/>
        <v>133.68731362105075</v>
      </c>
      <c r="N277" s="910">
        <f>IF(Sheet1!DA279&gt;=F277,MIN(73,MIN(MAX(L277,0),MAX(M277,0))),0)</f>
        <v>73</v>
      </c>
      <c r="O277" s="563">
        <f>Sheet1!AA279+Sheet1!AB279</f>
        <v>75.37</v>
      </c>
      <c r="P277" s="563">
        <f t="shared" si="483"/>
        <v>116.59738999999999</v>
      </c>
      <c r="Q277" s="898">
        <f t="shared" si="547"/>
        <v>62.299308498773144</v>
      </c>
      <c r="R277" s="829">
        <f t="shared" si="484"/>
        <v>13</v>
      </c>
      <c r="S277" s="898">
        <f t="shared" si="548"/>
        <v>0</v>
      </c>
      <c r="T277" s="898">
        <f t="shared" si="549"/>
        <v>0</v>
      </c>
      <c r="U277" s="898">
        <f t="shared" si="550"/>
        <v>13.070691501226857</v>
      </c>
      <c r="V277" s="898"/>
      <c r="W277" s="898">
        <f t="shared" si="551"/>
        <v>0</v>
      </c>
      <c r="X277" s="898">
        <f t="shared" si="552"/>
        <v>0</v>
      </c>
      <c r="Y277" s="898" t="str">
        <f t="shared" si="553"/>
        <v>FALSE</v>
      </c>
      <c r="Z277" s="898">
        <f t="shared" si="554"/>
        <v>75.37</v>
      </c>
      <c r="AA277" s="898">
        <f t="shared" si="555"/>
        <v>75.37</v>
      </c>
      <c r="AB277" s="898" t="str">
        <f t="shared" si="556"/>
        <v/>
      </c>
      <c r="AC277" s="563">
        <f>Sheet1!Y279*MGDtoCFS</f>
        <v>47.028799999999997</v>
      </c>
      <c r="AD277" s="563">
        <f>Sheet1!Z279*MGDtoCFS</f>
        <v>69.614999999999995</v>
      </c>
      <c r="AE277" s="563">
        <f>Sheet1!AA279*MGDtoCFS</f>
        <v>47.028799999999997</v>
      </c>
      <c r="AF277" s="563">
        <f>Sheet1!AB279*MGDtoCFS</f>
        <v>69.56859</v>
      </c>
      <c r="AG277" s="563">
        <f>Sheet1!L279*MGDtoCFS</f>
        <v>0</v>
      </c>
      <c r="AH277" s="545">
        <f t="shared" si="485"/>
        <v>13.070691501226857</v>
      </c>
      <c r="AI277" s="560">
        <f t="shared" si="486"/>
        <v>20.220359752397947</v>
      </c>
      <c r="AJ277" s="560">
        <f t="shared" si="487"/>
        <v>0</v>
      </c>
      <c r="AK277" s="560">
        <f t="shared" si="488"/>
        <v>0</v>
      </c>
      <c r="AL277" s="560">
        <f>(VLOOKUP(Sheet1!DC279,hhdcap_wcm,4)-(((VLOOKUP(Sheet1!DC279,hhdcap_wcm,3)-Sheet1!DC279)/(VLOOKUP(Sheet1!DC279,hhdcap_wcm,3)-VLOOKUP(Sheet1!DC279,hhdcap_wcm,1)))*(VLOOKUP(Sheet1!DC279,hhdcap_wcm,4)-VLOOKUP(Sheet1!DC279,hhdcap_wcm,2))))</f>
        <v>25626.000000066029</v>
      </c>
      <c r="AM277" s="560">
        <f t="shared" si="489"/>
        <v>-615.20000000220898</v>
      </c>
      <c r="AN277" s="560">
        <f t="shared" si="490"/>
        <v>1437.786621683342</v>
      </c>
      <c r="AO277" s="560">
        <f t="shared" si="491"/>
        <v>4411.1293553244932</v>
      </c>
      <c r="AP277" s="560">
        <f>Sheet1!BA279+Sheet1!BB279+Sheet1!BN279+CD277</f>
        <v>31.8</v>
      </c>
      <c r="AQ277" s="560">
        <f>Sheet1!BN279+(DO277*Sheet1!BN279)</f>
        <v>30.294311844746822</v>
      </c>
      <c r="AR277" s="560">
        <f>Sheet1!BA279+CD277</f>
        <v>0</v>
      </c>
      <c r="AS277" s="560">
        <f>Sheet1!BA279+Sheet1!BB279+CD277</f>
        <v>1.6</v>
      </c>
      <c r="AT277" s="698">
        <f>0</f>
        <v>0</v>
      </c>
      <c r="AU277" s="560">
        <f>IF(EB277&lt;K277,0,MAX(Sheet1!AA279+AQ277-15/36*K277-N277,Sheet1!EH279,0))</f>
        <v>0</v>
      </c>
      <c r="AV277" s="560">
        <f>IF(OR(B277&gt;=GD277,B277&lt;GC277),0,15/36*K277-MAX(0,64.6-(137.6-(Sheet1!AA279+Sheet1!AB279))))</f>
        <v>0</v>
      </c>
      <c r="AW277" s="698">
        <f>Sheet1!DB279-110</f>
        <v>295</v>
      </c>
      <c r="AX277" s="698">
        <f>Sheet1!DA279-265</f>
        <v>264</v>
      </c>
      <c r="AY277" s="698">
        <f t="shared" si="492"/>
        <v>10.700691501226856</v>
      </c>
      <c r="AZ277" s="698">
        <v>0</v>
      </c>
      <c r="BA277" s="698">
        <f t="shared" si="493"/>
        <v>0</v>
      </c>
      <c r="BB277" s="560">
        <f t="shared" si="494"/>
        <v>715.52566666666689</v>
      </c>
      <c r="BC277" s="560"/>
      <c r="BD277" s="560">
        <f ca="1">IF(B277&gt;Summary!$A$1,#N/A,BB277*MGtoAF)</f>
        <v>2195.2327453333342</v>
      </c>
      <c r="BE277" s="560">
        <f>Sheet1!BG279+Sheet1!BH279+Sheet1!BI279-BM277</f>
        <v>2.02</v>
      </c>
      <c r="BF277" s="560">
        <f t="shared" si="495"/>
        <v>2.0263082757082311</v>
      </c>
      <c r="BG277" s="560">
        <f>IF(Sheet1!EP279="FM",BM277,0)</f>
        <v>0</v>
      </c>
      <c r="BH277" s="560">
        <f t="shared" si="496"/>
        <v>0</v>
      </c>
      <c r="BI277" s="560">
        <f>IF(Sheet1!EP279="OTHER",BM277,0)</f>
        <v>0</v>
      </c>
      <c r="BJ277" s="560">
        <f t="shared" si="497"/>
        <v>0</v>
      </c>
      <c r="BK277" s="560">
        <f t="shared" si="498"/>
        <v>2.02</v>
      </c>
      <c r="BL277" s="560">
        <f t="shared" si="499"/>
        <v>2.0263082757082311</v>
      </c>
      <c r="BM277" s="560">
        <f>IF(OR(Sheet1!EP279="FM", Sheet1!EP279="OTHER"),SUM(Sheet1!BG279:'Sheet1'!BI279),0)</f>
        <v>0</v>
      </c>
      <c r="BN277" s="545">
        <f>IF(AND($B277&gt;=$FV277,$B277&lt;=$FW277),MAX(BF277,Sheet1!EI279,0),MAX(BF277-(7/36)*$K277,0))</f>
        <v>2.0263082757082311</v>
      </c>
      <c r="BO277" s="560">
        <f t="shared" si="500"/>
        <v>0</v>
      </c>
      <c r="BP277" s="545">
        <f t="shared" si="501"/>
        <v>0</v>
      </c>
      <c r="BQ277" s="545">
        <f>IF(AND($O277&gt;0,Sheet1!EM279=1),(1-($O277-Sheet1!$L279)/$O277)*BL277,0)</f>
        <v>0</v>
      </c>
      <c r="BR277" s="545">
        <f>IF(AND(Sheet1!$L279=0,Sheet1!$L278=0, Calculation!BK277&lt;Sheet1!$EI279-0.1,Sheet1!$EI279=Sheet1!$EI278,Sheet1!$EI279=Sheet1!$EI280),Sheet1!$EI279,BL277-BQ277)</f>
        <v>2.0263082757082311</v>
      </c>
      <c r="BS277" s="560"/>
      <c r="BT277" s="560"/>
      <c r="BU277" s="560">
        <f t="shared" si="502"/>
        <v>150.0437333222184</v>
      </c>
      <c r="BV277" s="560"/>
      <c r="BW277" s="560">
        <f ca="1">IF(B277&gt;Summary!$A$1,#N/A,BU277*MGtoAF)</f>
        <v>460.33417383256608</v>
      </c>
      <c r="BX277" s="560">
        <f>Sheet1!BC279+Sheet1!BD279+Sheet1!BE279+Sheet1!BF279-CG277-CH277</f>
        <v>3.01</v>
      </c>
      <c r="BY277" s="560">
        <f t="shared" si="503"/>
        <v>3.0193999553870174</v>
      </c>
      <c r="BZ277" s="560">
        <f>IF(Sheet1!EQ279="FM",CH277,0)</f>
        <v>0</v>
      </c>
      <c r="CA277" s="560">
        <f t="shared" si="504"/>
        <v>0</v>
      </c>
      <c r="CB277" s="560">
        <f>IF(Sheet1!EQ279="OTHER",CH277,0)</f>
        <v>0</v>
      </c>
      <c r="CC277" s="560">
        <f t="shared" si="505"/>
        <v>0</v>
      </c>
      <c r="CD277" s="560">
        <f t="shared" si="506"/>
        <v>0</v>
      </c>
      <c r="CE277" s="560">
        <f t="shared" si="507"/>
        <v>3.01</v>
      </c>
      <c r="CF277" s="560">
        <f t="shared" si="508"/>
        <v>3.0193999553870174</v>
      </c>
      <c r="CG277" s="560">
        <f>IF(Sheet1!EQ279="CWA",SUM(Sheet1!BC279:'Sheet1'!BF279),0)</f>
        <v>0</v>
      </c>
      <c r="CH277" s="560">
        <f>IF(OR(Sheet1!EQ279="FM", Sheet1!EQ279="OTHER"),SUM(Sheet1!BC279:'Sheet1'!BF279),0)</f>
        <v>0</v>
      </c>
      <c r="CI277" s="545">
        <f>IF(AND($B277&gt;=$FV277,$B277&lt;=$FW277),MAX(CF277,Sheet1!EJ279,0),MAX(CF277-(7/36)*$K277,0))</f>
        <v>3.0193999553870174</v>
      </c>
      <c r="CJ277" s="560">
        <f t="shared" si="509"/>
        <v>0</v>
      </c>
      <c r="CK277" s="545">
        <f t="shared" si="510"/>
        <v>0</v>
      </c>
      <c r="CL277" s="545">
        <f>IF(AND($O277&gt;0,Sheet1!EN279=1),(1-($O277-Sheet1!$L279)/$O277)*CF277,0)</f>
        <v>0</v>
      </c>
      <c r="CM277" s="545">
        <f>IF(AND(Sheet1!$L279=0,Sheet1!$L278=0, Calculation!CE277&lt;Sheet1!EJ279-0.1,Sheet1!EJ279=Sheet1!EJ278,Sheet1!EJ279=Sheet1!EJ280),Sheet1!EJ279,CF277-CL277)</f>
        <v>3.0193999553870174</v>
      </c>
      <c r="CN277" s="545"/>
      <c r="CO277" s="560"/>
      <c r="CP277" s="560">
        <f t="shared" si="511"/>
        <v>226.36638074116701</v>
      </c>
      <c r="CQ277" s="560"/>
      <c r="CR277" s="560">
        <f ca="1">IF(B277&gt;Summary!$A$1,#N/A,CP277*MGtoAF)</f>
        <v>694.49205611390039</v>
      </c>
      <c r="CS277" s="560">
        <f>Sheet1!BK279+Sheet1!BL279+Sheet1!BM279-Sheet1!ER279-DA277</f>
        <v>8</v>
      </c>
      <c r="CT277" s="560">
        <f t="shared" si="512"/>
        <v>8.0249832701316084</v>
      </c>
      <c r="CU277" s="560">
        <f>IF(Sheet1!ER279="FM",DA277,0)</f>
        <v>0</v>
      </c>
      <c r="CV277" s="560">
        <f t="shared" si="513"/>
        <v>0</v>
      </c>
      <c r="CW277" s="560">
        <f>IF(Sheet1!ER279="OTHER",DA277,0)</f>
        <v>0</v>
      </c>
      <c r="CX277" s="560">
        <f t="shared" si="514"/>
        <v>0</v>
      </c>
      <c r="CY277" s="560">
        <f t="shared" si="515"/>
        <v>8</v>
      </c>
      <c r="CZ277" s="560">
        <f t="shared" si="516"/>
        <v>8.0249832701316084</v>
      </c>
      <c r="DA277" s="560">
        <f>IF(OR(Sheet1!ER279="FM", Sheet1!ER279="OTHER"),SUM(Sheet1!BK279:'Sheet1'!BM279),0)</f>
        <v>0</v>
      </c>
      <c r="DB277" s="545">
        <f>IF(AND($B277&gt;=$FV277,$B277&lt;=$FW277),MAX($CT277,Sheet1!EK279,0),MAX($CT277-(7/36)*$K277,0))</f>
        <v>8.0249832701316084</v>
      </c>
      <c r="DC277" s="560">
        <f t="shared" si="517"/>
        <v>0</v>
      </c>
      <c r="DD277" s="545">
        <f t="shared" si="518"/>
        <v>0</v>
      </c>
      <c r="DE277" s="545">
        <f>IF(AND($O277&gt;0,Sheet1!EO279=1),(1-($O277-Sheet1!$L279)/$O277)*CZ277,0)</f>
        <v>0</v>
      </c>
      <c r="DF277" s="545">
        <f>IF(AND(Sheet1!$L279=0,Sheet1!$L278=0, Calculation!CY277&lt;Sheet1!$EK279-0.1,Sheet1!$EK279=Sheet1!$EK278,Sheet1!$EK279=Sheet1!$EK280),Sheet1!$EK279,CZ277-DE277)</f>
        <v>8.0249832701316084</v>
      </c>
      <c r="DG277" s="545"/>
      <c r="DH277" s="560">
        <f t="shared" si="519"/>
        <v>13.03</v>
      </c>
      <c r="DI277" s="560">
        <f t="shared" si="520"/>
        <v>345.85084095328972</v>
      </c>
      <c r="DJ277" s="698">
        <f t="shared" si="521"/>
        <v>13.070691501226857</v>
      </c>
      <c r="DK277" s="560">
        <f ca="1">IF(B277&gt;Summary!$A$1,#N/A,DI277*MGtoAF)</f>
        <v>1061.0703800446929</v>
      </c>
      <c r="DL277" s="698">
        <f t="shared" si="522"/>
        <v>13.03</v>
      </c>
      <c r="DM277" s="560">
        <f t="shared" si="523"/>
        <v>44.83</v>
      </c>
      <c r="DN277" s="560">
        <f>Sheet1!AB279-DM277</f>
        <v>0.14000000000000057</v>
      </c>
      <c r="DO277" s="823">
        <f t="shared" si="524"/>
        <v>3.12290876645105E-3</v>
      </c>
      <c r="DP277" s="560">
        <f>(VLOOKUP(Sheet1!DC279,hhdcap_wcm,4)-(((VLOOKUP(Sheet1!DC279,hhdcap_wcm,3)-Sheet1!DC279)/(VLOOKUP(Sheet1!DC279,hhdcap_wcm,3)-VLOOKUP(Sheet1!DC279,hhdcap_wcm,1)))*(VLOOKUP(Sheet1!DC279,hhdcap_wcm,4)-VLOOKUP(Sheet1!DC279,hhdcap_wcm,2))))</f>
        <v>25626.000000066029</v>
      </c>
      <c r="DQ277" s="560">
        <f t="shared" si="525"/>
        <v>-615.20000000220898</v>
      </c>
      <c r="DR277" s="560">
        <f t="shared" si="526"/>
        <v>-310.2370146254205</v>
      </c>
      <c r="DS277" s="560">
        <f>Sheet1!EA279*AFtoMG</f>
        <v>0</v>
      </c>
      <c r="DT277" s="560">
        <f>Sheet1!EB279*AFtoMG</f>
        <v>0</v>
      </c>
      <c r="DU277" s="560">
        <f>Sheet1!EC279*AFtoMG</f>
        <v>0</v>
      </c>
      <c r="DV277" s="560">
        <f>Sheet1!ED279*AFtoMG</f>
        <v>0</v>
      </c>
      <c r="DW277" s="560">
        <f t="shared" si="527"/>
        <v>0</v>
      </c>
      <c r="DX277" s="560">
        <f t="shared" si="528"/>
        <v>0</v>
      </c>
      <c r="DY277" s="560">
        <f t="shared" si="529"/>
        <v>1437.786621683342</v>
      </c>
      <c r="DZ277" s="560">
        <f t="shared" si="530"/>
        <v>4411.1293553244932</v>
      </c>
      <c r="EA277" s="560"/>
      <c r="EB277" s="545">
        <f>IF(OR(B277&lt;FV277,B277&gt;FW277),(MIN(BF277+BY277+CT277+MAX(Sheet1!AA279+AQ277-73,0),K277)),0)</f>
        <v>0</v>
      </c>
      <c r="EC277" s="560"/>
      <c r="ED277" s="560">
        <f t="shared" si="531"/>
        <v>13.070691501226857</v>
      </c>
      <c r="EE277" s="560"/>
      <c r="EF277" s="560">
        <f>Sheet1!EH279+Sheet1!EI279+Sheet1!EJ279+Sheet1!EK279</f>
        <v>13</v>
      </c>
      <c r="EG277" s="560"/>
      <c r="EH277" s="545">
        <f t="shared" si="532"/>
        <v>0</v>
      </c>
      <c r="EI277" s="560">
        <f>IF(Sheet1!ET279=1,SUM('Calculations II'!AT277:BA277)+'Calculations II'!BC277+Sheet1!BV279+'Calculations II'!BE277+AP277,SUM('Calculations II'!AT277:BA277)+'Calculations II'!BC277+Sheet1!BV279+'Calculations II'!BE277+AP277)</f>
        <v>64.808319999999995</v>
      </c>
      <c r="EJ277" s="560">
        <f>Sheet1!AA279+Sheet1!AB279+'Calculations II'!BC277</f>
        <v>75.37</v>
      </c>
      <c r="EK277" s="560"/>
      <c r="EL277" s="560"/>
      <c r="EM277" s="560">
        <f t="shared" si="533"/>
        <v>41905</v>
      </c>
      <c r="EN277" s="560">
        <f t="shared" si="534"/>
        <v>-13.070691501226857</v>
      </c>
      <c r="EO277" s="560">
        <f t="shared" si="535"/>
        <v>-20.220359752397947</v>
      </c>
      <c r="EP277" s="560">
        <v>0</v>
      </c>
      <c r="EQ277" s="560">
        <v>0</v>
      </c>
      <c r="ER277" s="560">
        <v>0</v>
      </c>
      <c r="ES277" s="545">
        <f t="shared" si="557"/>
        <v>-6.9293664947206866</v>
      </c>
      <c r="ET277" s="560">
        <f>-(VLOOKUP(Sheet1!BQ279,Lookup!$O$4:$Q$262,2)-VLOOKUP(Sheet1!BQ278,Lookup!$O$4:$Q$262,2))/1000000</f>
        <v>-3.4645229816492984</v>
      </c>
      <c r="EU277" s="560">
        <f>-(VLOOKUP(Sheet1!BR279,Lookup!$O$4:$Q$262,3)-VLOOKUP(Sheet1!BR278,Lookup!$O$4:$Q$262,3))/1000000</f>
        <v>-3.4648435130713882</v>
      </c>
      <c r="EV277" s="560"/>
      <c r="EW277" s="560"/>
      <c r="EX277" s="560"/>
      <c r="EY277" s="560"/>
      <c r="EZ277" s="560"/>
      <c r="FA277" s="560"/>
      <c r="FB277" s="560"/>
      <c r="FC277" s="560"/>
      <c r="FD277" s="594">
        <f t="shared" si="536"/>
        <v>1119.1790697673807</v>
      </c>
      <c r="FE277" s="594" t="e">
        <f t="shared" si="537"/>
        <v>#N/A</v>
      </c>
      <c r="FF277" s="595" t="e">
        <f t="shared" si="538"/>
        <v>#N/A</v>
      </c>
      <c r="FG277" s="596" t="s">
        <v>692</v>
      </c>
      <c r="FH277" s="596" t="s">
        <v>692</v>
      </c>
      <c r="FI277" s="594" t="e">
        <v>#N/A</v>
      </c>
      <c r="FJ277" s="778">
        <v>10716</v>
      </c>
      <c r="FK277" s="560"/>
      <c r="FL277" s="560"/>
      <c r="FM277" s="560"/>
      <c r="FN277" s="560"/>
      <c r="FO277" s="560">
        <f>O277+((Sheet1!CS279)*GPMtoMGD)</f>
        <v>75.37</v>
      </c>
      <c r="FP277" s="560">
        <f>IF(Sheet1!AA279+AQ277&lt;=Calculation!N277,AQ277,Calculation!N277-Sheet1!AA279)</f>
        <v>30.294311844746822</v>
      </c>
      <c r="FQ277" s="560">
        <f>(Sheet1!BP279+Sheet1!BO279)/694.4</f>
        <v>2.0138248847926268</v>
      </c>
      <c r="FR277" s="560"/>
      <c r="FS277" s="560"/>
      <c r="FT277" s="560"/>
      <c r="FU277" s="560"/>
      <c r="FV277" s="695">
        <f t="shared" si="558"/>
        <v>41827</v>
      </c>
      <c r="FW277" s="695">
        <f t="shared" si="559"/>
        <v>41934</v>
      </c>
      <c r="FX277" s="560"/>
      <c r="FY277" s="560"/>
      <c r="FZ277" s="560"/>
      <c r="GA277" s="560"/>
      <c r="GB277" s="560" t="str">
        <f t="shared" si="560"/>
        <v>n</v>
      </c>
      <c r="GC277" s="564">
        <f t="shared" si="561"/>
        <v>41691</v>
      </c>
      <c r="GD277" s="695">
        <f t="shared" si="562"/>
        <v>41807</v>
      </c>
      <c r="GE277" s="560">
        <v>6518.9</v>
      </c>
      <c r="GF277" s="695">
        <f t="shared" si="563"/>
        <v>41808</v>
      </c>
      <c r="GG277" s="560">
        <f t="shared" si="582"/>
        <v>3259</v>
      </c>
      <c r="GH277" s="564">
        <f t="shared" si="564"/>
        <v>41934</v>
      </c>
      <c r="GJ277" s="545">
        <f t="shared" si="565"/>
        <v>0</v>
      </c>
      <c r="GK277" s="560" t="str">
        <f t="shared" si="539"/>
        <v/>
      </c>
      <c r="GL277" s="560">
        <f t="shared" si="566"/>
        <v>0</v>
      </c>
      <c r="GM277" s="560" t="str">
        <f t="shared" si="567"/>
        <v/>
      </c>
      <c r="GN277" s="560">
        <f>IF(GK277="P",Lookup!$M$12,IF(GK277="PP",Lookup!$M$13,IF(GK277="PPP",Lookup!$M$14,IF(GK277="T",Lookup!$M$15,IF(GK277="TP",Lookup!$M$16,IF(GK277="TPP",Lookup!$M$17,IF(GK277="TPPP",Lookup!$M$18,0)))))))*GJ277</f>
        <v>0</v>
      </c>
      <c r="GO277" s="560">
        <f t="shared" si="568"/>
        <v>0</v>
      </c>
      <c r="GP277" s="560">
        <f t="shared" si="540"/>
        <v>2195.2327453333342</v>
      </c>
      <c r="GQ277" s="560">
        <f t="shared" si="576"/>
        <v>715.52566666666689</v>
      </c>
      <c r="GR277" s="560"/>
      <c r="GS277" s="560">
        <f t="shared" si="569"/>
        <v>0</v>
      </c>
      <c r="GT277" s="560" t="str">
        <f t="shared" si="570"/>
        <v/>
      </c>
      <c r="GU277" s="560">
        <f>IF(GK277="P",Lookup!$N$12,IF(GK277="PP",Lookup!$N$13,IF(GK277="PPP",Lookup!$N$14,IF(GK277="T",Lookup!$N$15,IF(GK277="TP",Lookup!$N$16,IF(GK277="TPP",Lookup!$N$17,IF(GK277="TPPP",Lookup!$N$18,0)))))))*GJ277</f>
        <v>0</v>
      </c>
      <c r="GV277" s="560">
        <f t="shared" si="571"/>
        <v>0</v>
      </c>
      <c r="GW277" s="560">
        <f t="shared" si="541"/>
        <v>460.33417383256608</v>
      </c>
      <c r="GX277" s="560">
        <f t="shared" si="577"/>
        <v>150.0437333222184</v>
      </c>
      <c r="GY277" s="560"/>
      <c r="GZ277" s="560">
        <f t="shared" si="572"/>
        <v>0</v>
      </c>
      <c r="HA277" s="560" t="str">
        <f t="shared" si="573"/>
        <v/>
      </c>
      <c r="HB277" s="560">
        <f>IF(GK277="P",Lookup!$N$12,IF(GK277="PP",Lookup!$N$13,IF(GK277="PPP",Lookup!$N$14,IF(GK277="T",Lookup!$N$15,IF(GK277="TP",Lookup!$N$16,IF(GK277="TPP",Lookup!$N$17,IF(GK277="TPPP",Lookup!$N$18,0)))))))*GJ277</f>
        <v>0</v>
      </c>
      <c r="HC277" s="545">
        <f t="shared" si="542"/>
        <v>0</v>
      </c>
      <c r="HD277" s="560">
        <f t="shared" si="543"/>
        <v>694.49205611390039</v>
      </c>
      <c r="HE277" s="560">
        <f t="shared" si="578"/>
        <v>226.36638074116701</v>
      </c>
      <c r="HF277" s="560"/>
      <c r="HG277" s="560">
        <f t="shared" si="574"/>
        <v>0</v>
      </c>
      <c r="HH277" s="560" t="str">
        <f t="shared" si="575"/>
        <v/>
      </c>
      <c r="HI277" s="560">
        <f>IF(GK277="P",Lookup!$N$12,IF(GK277="PP",Lookup!$N$13,IF(GK277="PPP",Lookup!$N$14,IF(GK277="T",Lookup!$N$15,IF(GK277="TP",Lookup!$N$16,IF(GK277="TPP",Lookup!$N$17,IF(GK277="TPPP",Lookup!$N$18,0)))))))*GJ277</f>
        <v>0</v>
      </c>
      <c r="HJ277" s="545">
        <f t="shared" si="544"/>
        <v>0</v>
      </c>
      <c r="HK277" s="560">
        <f t="shared" si="545"/>
        <v>1061.0703800446929</v>
      </c>
      <c r="HL277" s="560">
        <f t="shared" si="579"/>
        <v>345.85084095328972</v>
      </c>
    </row>
    <row r="278" spans="1:220">
      <c r="A278" s="580" t="s">
        <v>6</v>
      </c>
      <c r="B278" s="556">
        <v>41906</v>
      </c>
      <c r="C278" s="561">
        <v>0</v>
      </c>
      <c r="D278" s="529">
        <f t="shared" si="580"/>
        <v>300</v>
      </c>
      <c r="E278" s="529">
        <f t="shared" si="581"/>
        <v>250</v>
      </c>
      <c r="F278" s="529">
        <v>250</v>
      </c>
      <c r="G278" s="560">
        <f>DR278+Sheet1!CZ280</f>
        <v>280.04639435130326</v>
      </c>
      <c r="H278" s="914">
        <f t="shared" si="546"/>
        <v>0</v>
      </c>
      <c r="I278" s="559">
        <f>MAX(Sheet1!Z280-AT278+(Sheet1!DA280-E278)*CFStoMGD,0)</f>
        <v>362.99879999999996</v>
      </c>
      <c r="J278" s="562">
        <f>IF(AND(B278&gt;=Calculation!GC278,B278&lt;=Calculation!GD278),IF(Sheet1!DB280&gt;=Calculation!D278,64.64,0),MAX(Sheet1!Z280-AT278+(Sheet1!DB280-D278)*CFStoMGD,0))</f>
        <v>177.482</v>
      </c>
      <c r="K278" s="904">
        <f t="shared" si="481"/>
        <v>0</v>
      </c>
      <c r="L278" s="560">
        <f>Sheet1!AA280+Sheet1!AB280-Sheet1!L280+(Sheet1!DA280-F278)*CFStoMGD</f>
        <v>389.72879999999998</v>
      </c>
      <c r="M278" s="560">
        <f t="shared" si="482"/>
        <v>184.64242909485608</v>
      </c>
      <c r="N278" s="910">
        <f>IF(Sheet1!DA280&gt;=F278,MIN(73,MIN(MAX(L278,0),MAX(M278,0))),0)</f>
        <v>73</v>
      </c>
      <c r="O278" s="563">
        <f>Sheet1!AA280+Sheet1!AB280</f>
        <v>71.7</v>
      </c>
      <c r="P278" s="563">
        <f t="shared" si="483"/>
        <v>110.9199</v>
      </c>
      <c r="Q278" s="898">
        <f t="shared" si="547"/>
        <v>58.627277155382373</v>
      </c>
      <c r="R278" s="829">
        <f t="shared" si="484"/>
        <v>13</v>
      </c>
      <c r="S278" s="898">
        <f t="shared" si="548"/>
        <v>0</v>
      </c>
      <c r="T278" s="898">
        <f t="shared" si="549"/>
        <v>0</v>
      </c>
      <c r="U278" s="898">
        <f t="shared" si="550"/>
        <v>13.072722844617632</v>
      </c>
      <c r="V278" s="898"/>
      <c r="W278" s="898">
        <f t="shared" si="551"/>
        <v>0</v>
      </c>
      <c r="X278" s="898">
        <f t="shared" si="552"/>
        <v>0</v>
      </c>
      <c r="Y278" s="898" t="str">
        <f t="shared" si="553"/>
        <v>FALSE</v>
      </c>
      <c r="Z278" s="898">
        <f t="shared" si="554"/>
        <v>71.7</v>
      </c>
      <c r="AA278" s="898">
        <f t="shared" si="555"/>
        <v>71.7</v>
      </c>
      <c r="AB278" s="898" t="str">
        <f t="shared" si="556"/>
        <v/>
      </c>
      <c r="AC278" s="563">
        <f>Sheet1!Y280*MGDtoCFS</f>
        <v>47.028799999999997</v>
      </c>
      <c r="AD278" s="563">
        <f>Sheet1!Z280*MGDtoCFS</f>
        <v>69.56859</v>
      </c>
      <c r="AE278" s="563">
        <f>Sheet1!AA280*MGDtoCFS</f>
        <v>47.338200000000001</v>
      </c>
      <c r="AF278" s="563">
        <f>Sheet1!AB280*MGDtoCFS</f>
        <v>63.581699999999998</v>
      </c>
      <c r="AG278" s="563">
        <f>Sheet1!L280*MGDtoCFS</f>
        <v>0</v>
      </c>
      <c r="AH278" s="545">
        <f t="shared" si="485"/>
        <v>13.072722844617632</v>
      </c>
      <c r="AI278" s="560">
        <f t="shared" si="486"/>
        <v>20.223502240623475</v>
      </c>
      <c r="AJ278" s="560">
        <f t="shared" si="487"/>
        <v>0</v>
      </c>
      <c r="AK278" s="560">
        <f t="shared" si="488"/>
        <v>0</v>
      </c>
      <c r="AL278" s="560">
        <f>(VLOOKUP(Sheet1!DC280,hhdcap_wcm,4)-(((VLOOKUP(Sheet1!DC280,hhdcap_wcm,3)-Sheet1!DC280)/(VLOOKUP(Sheet1!DC280,hhdcap_wcm,3)-VLOOKUP(Sheet1!DC280,hhdcap_wcm,1)))*(VLOOKUP(Sheet1!DC280,hhdcap_wcm,4)-VLOOKUP(Sheet1!DC280,hhdcap_wcm,2))))</f>
        <v>24983.600000064664</v>
      </c>
      <c r="AM278" s="560">
        <f t="shared" si="489"/>
        <v>-642.4000000013657</v>
      </c>
      <c r="AN278" s="560">
        <f t="shared" si="490"/>
        <v>1424.7138988387246</v>
      </c>
      <c r="AO278" s="560">
        <f t="shared" si="491"/>
        <v>4371.0222416372071</v>
      </c>
      <c r="AP278" s="560">
        <f>Sheet1!BA280+Sheet1!BB280+Sheet1!BN280+CD278</f>
        <v>28</v>
      </c>
      <c r="AQ278" s="560">
        <f>Sheet1!BN280+(DO278*Sheet1!BN280)</f>
        <v>26.425718460789088</v>
      </c>
      <c r="AR278" s="560">
        <f>Sheet1!BA280+CD278</f>
        <v>0</v>
      </c>
      <c r="AS278" s="560">
        <f>Sheet1!BA280+Sheet1!BB280+CD278</f>
        <v>1.6</v>
      </c>
      <c r="AT278" s="698">
        <f>0</f>
        <v>0</v>
      </c>
      <c r="AU278" s="560">
        <f>IF(EB278&lt;K278,0,MAX(Sheet1!AA280+AQ278-15/36*K278-N278,Sheet1!EH280,0))</f>
        <v>0</v>
      </c>
      <c r="AV278" s="560">
        <f>IF(OR(B278&gt;=GD278,B278&lt;GC278),0,15/36*K278-MAX(0,64.6-(137.6-(Sheet1!AA280+Sheet1!AB280))))</f>
        <v>0</v>
      </c>
      <c r="AW278" s="698">
        <f>Sheet1!DB280-110</f>
        <v>395</v>
      </c>
      <c r="AX278" s="698">
        <f>Sheet1!DA280-265</f>
        <v>477</v>
      </c>
      <c r="AY278" s="698">
        <f t="shared" si="492"/>
        <v>14.372722844617627</v>
      </c>
      <c r="AZ278" s="698">
        <v>0</v>
      </c>
      <c r="BA278" s="698">
        <f t="shared" si="493"/>
        <v>0</v>
      </c>
      <c r="BB278" s="560">
        <f t="shared" si="494"/>
        <v>715.52566666666689</v>
      </c>
      <c r="BC278" s="560"/>
      <c r="BD278" s="560">
        <f ca="1">IF(B278&gt;Summary!$A$1,#N/A,BB278*MGtoAF)</f>
        <v>2195.2327453333342</v>
      </c>
      <c r="BE278" s="560">
        <f>Sheet1!BG280+Sheet1!BH280+Sheet1!BI280-BM278</f>
        <v>2.02</v>
      </c>
      <c r="BF278" s="560">
        <f t="shared" si="495"/>
        <v>2.0219678519240136</v>
      </c>
      <c r="BG278" s="560">
        <f>IF(Sheet1!EP280="FM",BM278,0)</f>
        <v>0</v>
      </c>
      <c r="BH278" s="560">
        <f t="shared" si="496"/>
        <v>0</v>
      </c>
      <c r="BI278" s="560">
        <f>IF(Sheet1!EP280="OTHER",BM278,0)</f>
        <v>0</v>
      </c>
      <c r="BJ278" s="560">
        <f t="shared" si="497"/>
        <v>0</v>
      </c>
      <c r="BK278" s="560">
        <f t="shared" si="498"/>
        <v>2.02</v>
      </c>
      <c r="BL278" s="560">
        <f t="shared" si="499"/>
        <v>2.0219678519240136</v>
      </c>
      <c r="BM278" s="560">
        <f>IF(OR(Sheet1!EP280="FM", Sheet1!EP280="OTHER"),SUM(Sheet1!BG280:'Sheet1'!BI280),0)</f>
        <v>0</v>
      </c>
      <c r="BN278" s="545">
        <f>IF(AND($B278&gt;=$FV278,$B278&lt;=$FW278),MAX(BF278,Sheet1!EI280,0),MAX(BF278-(7/36)*$K278,0))</f>
        <v>2.0219678519240136</v>
      </c>
      <c r="BO278" s="560">
        <f t="shared" si="500"/>
        <v>0</v>
      </c>
      <c r="BP278" s="545">
        <f t="shared" si="501"/>
        <v>0</v>
      </c>
      <c r="BQ278" s="545">
        <f>IF(AND($O278&gt;0,Sheet1!EM280=1),(1-($O278-Sheet1!$L280)/$O278)*BL278,0)</f>
        <v>0</v>
      </c>
      <c r="BR278" s="545">
        <f>IF(AND(Sheet1!$L280=0,Sheet1!$L279=0, Calculation!BK278&lt;Sheet1!$EI280-0.1,Sheet1!$EI280=Sheet1!$EI279,Sheet1!$EI280=Sheet1!$EI281),Sheet1!$EI280,BL278-BQ278)</f>
        <v>2.0219678519240136</v>
      </c>
      <c r="BS278" s="560"/>
      <c r="BT278" s="560"/>
      <c r="BU278" s="560">
        <f t="shared" si="502"/>
        <v>148.02176547029438</v>
      </c>
      <c r="BV278" s="560"/>
      <c r="BW278" s="560">
        <f ca="1">IF(B278&gt;Summary!$A$1,#N/A,BU278*MGtoAF)</f>
        <v>454.1307764628632</v>
      </c>
      <c r="BX278" s="560">
        <f>Sheet1!BC280+Sheet1!BD280+Sheet1!BE280+Sheet1!BF280-CG278-CH278</f>
        <v>3.0199999999999996</v>
      </c>
      <c r="BY278" s="560">
        <f t="shared" si="503"/>
        <v>3.022942036044812</v>
      </c>
      <c r="BZ278" s="560">
        <f>IF(Sheet1!EQ280="FM",CH278,0)</f>
        <v>0</v>
      </c>
      <c r="CA278" s="560">
        <f t="shared" si="504"/>
        <v>0</v>
      </c>
      <c r="CB278" s="560">
        <f>IF(Sheet1!EQ280="OTHER",CH278,0)</f>
        <v>0</v>
      </c>
      <c r="CC278" s="560">
        <f t="shared" si="505"/>
        <v>0</v>
      </c>
      <c r="CD278" s="560">
        <f t="shared" si="506"/>
        <v>0</v>
      </c>
      <c r="CE278" s="560">
        <f t="shared" si="507"/>
        <v>3.0199999999999996</v>
      </c>
      <c r="CF278" s="560">
        <f t="shared" si="508"/>
        <v>3.022942036044812</v>
      </c>
      <c r="CG278" s="560">
        <f>IF(Sheet1!EQ280="CWA",SUM(Sheet1!BC280:'Sheet1'!BF280),0)</f>
        <v>0</v>
      </c>
      <c r="CH278" s="560">
        <f>IF(OR(Sheet1!EQ280="FM", Sheet1!EQ280="OTHER"),SUM(Sheet1!BC280:'Sheet1'!BF280),0)</f>
        <v>0</v>
      </c>
      <c r="CI278" s="545">
        <f>IF(AND($B278&gt;=$FV278,$B278&lt;=$FW278),MAX(CF278,Sheet1!EJ280,0),MAX(CF278-(7/36)*$K278,0))</f>
        <v>3.022942036044812</v>
      </c>
      <c r="CJ278" s="560">
        <f t="shared" si="509"/>
        <v>0</v>
      </c>
      <c r="CK278" s="545">
        <f t="shared" si="510"/>
        <v>0</v>
      </c>
      <c r="CL278" s="545">
        <f>IF(AND($O278&gt;0,Sheet1!EN280=1),(1-($O278-Sheet1!$L280)/$O278)*CF278,0)</f>
        <v>0</v>
      </c>
      <c r="CM278" s="545">
        <f>IF(AND(Sheet1!$L280=0,Sheet1!$L279=0, Calculation!CE278&lt;Sheet1!EJ280-0.1,Sheet1!EJ280=Sheet1!EJ279,Sheet1!EJ280=Sheet1!EJ281),Sheet1!EJ280,CF278-CL278)</f>
        <v>3.022942036044812</v>
      </c>
      <c r="CN278" s="545"/>
      <c r="CO278" s="560"/>
      <c r="CP278" s="560">
        <f t="shared" si="511"/>
        <v>223.3434387051222</v>
      </c>
      <c r="CQ278" s="560"/>
      <c r="CR278" s="560">
        <f ca="1">IF(B278&gt;Summary!$A$1,#N/A,CP278*MGtoAF)</f>
        <v>685.2176699473149</v>
      </c>
      <c r="CS278" s="560">
        <f>Sheet1!BK280+Sheet1!BL280+Sheet1!BM280-Sheet1!ER280-DA278</f>
        <v>8.02</v>
      </c>
      <c r="CT278" s="560">
        <f t="shared" si="512"/>
        <v>8.0278129566488055</v>
      </c>
      <c r="CU278" s="560">
        <f>IF(Sheet1!ER280="FM",DA278,0)</f>
        <v>0</v>
      </c>
      <c r="CV278" s="560">
        <f t="shared" si="513"/>
        <v>0</v>
      </c>
      <c r="CW278" s="560">
        <f>IF(Sheet1!ER280="OTHER",DA278,0)</f>
        <v>0</v>
      </c>
      <c r="CX278" s="560">
        <f t="shared" si="514"/>
        <v>0</v>
      </c>
      <c r="CY278" s="560">
        <f t="shared" si="515"/>
        <v>8.02</v>
      </c>
      <c r="CZ278" s="560">
        <f t="shared" si="516"/>
        <v>8.0278129566488055</v>
      </c>
      <c r="DA278" s="560">
        <f>IF(OR(Sheet1!ER280="FM", Sheet1!ER280="OTHER"),SUM(Sheet1!BK280:'Sheet1'!BM280),0)</f>
        <v>0</v>
      </c>
      <c r="DB278" s="545">
        <f>IF(AND($B278&gt;=$FV278,$B278&lt;=$FW278),MAX($CT278,Sheet1!EK280,0),MAX($CT278-(7/36)*$K278,0))</f>
        <v>8.0278129566488055</v>
      </c>
      <c r="DC278" s="560">
        <f t="shared" si="517"/>
        <v>0</v>
      </c>
      <c r="DD278" s="545">
        <f t="shared" si="518"/>
        <v>0</v>
      </c>
      <c r="DE278" s="545">
        <f>IF(AND($O278&gt;0,Sheet1!EO280=1),(1-($O278-Sheet1!$L280)/$O278)*CZ278,0)</f>
        <v>0</v>
      </c>
      <c r="DF278" s="545">
        <f>IF(AND(Sheet1!$L280=0,Sheet1!$L279=0, Calculation!CY278&lt;Sheet1!$EK280-0.1,Sheet1!$EK280=Sheet1!$EK279,Sheet1!$EK280=Sheet1!$EK281),Sheet1!$EK280,CZ278-DE278)</f>
        <v>8.0278129566488055</v>
      </c>
      <c r="DG278" s="545"/>
      <c r="DH278" s="560">
        <f t="shared" si="519"/>
        <v>13.059999999999999</v>
      </c>
      <c r="DI278" s="560">
        <f t="shared" si="520"/>
        <v>337.82302799664092</v>
      </c>
      <c r="DJ278" s="698">
        <f t="shared" si="521"/>
        <v>13.072722844617632</v>
      </c>
      <c r="DK278" s="560">
        <f ca="1">IF(B278&gt;Summary!$A$1,#N/A,DI278*MGtoAF)</f>
        <v>1036.4410498936943</v>
      </c>
      <c r="DL278" s="698">
        <f t="shared" si="522"/>
        <v>13.059999999999999</v>
      </c>
      <c r="DM278" s="560">
        <f t="shared" si="523"/>
        <v>41.06</v>
      </c>
      <c r="DN278" s="560">
        <f>Sheet1!AB280-DM278</f>
        <v>3.9999999999999147E-2</v>
      </c>
      <c r="DO278" s="823">
        <f t="shared" si="524"/>
        <v>9.741841207988102E-4</v>
      </c>
      <c r="DP278" s="560">
        <f>(VLOOKUP(Sheet1!DC280,hhdcap_wcm,4)-(((VLOOKUP(Sheet1!DC280,hhdcap_wcm,3)-Sheet1!DC280)/(VLOOKUP(Sheet1!DC280,hhdcap_wcm,3)-VLOOKUP(Sheet1!DC280,hhdcap_wcm,1)))*(VLOOKUP(Sheet1!DC280,hhdcap_wcm,4)-VLOOKUP(Sheet1!DC280,hhdcap_wcm,2))))</f>
        <v>24983.600000064664</v>
      </c>
      <c r="DQ278" s="560">
        <f t="shared" si="525"/>
        <v>-642.4000000013657</v>
      </c>
      <c r="DR278" s="560">
        <f t="shared" si="526"/>
        <v>-323.95360564869674</v>
      </c>
      <c r="DS278" s="560">
        <f>Sheet1!EA280*AFtoMG</f>
        <v>0</v>
      </c>
      <c r="DT278" s="560">
        <f>Sheet1!EB280*AFtoMG</f>
        <v>0</v>
      </c>
      <c r="DU278" s="560">
        <f>Sheet1!EC280*AFtoMG</f>
        <v>0</v>
      </c>
      <c r="DV278" s="560">
        <f>Sheet1!ED280*AFtoMG</f>
        <v>0</v>
      </c>
      <c r="DW278" s="560">
        <f t="shared" si="527"/>
        <v>0</v>
      </c>
      <c r="DX278" s="560">
        <f t="shared" si="528"/>
        <v>0</v>
      </c>
      <c r="DY278" s="560">
        <f t="shared" si="529"/>
        <v>1424.7138988387246</v>
      </c>
      <c r="DZ278" s="560">
        <f t="shared" si="530"/>
        <v>4371.0222416372071</v>
      </c>
      <c r="EA278" s="560"/>
      <c r="EB278" s="545">
        <f>IF(OR(B278&lt;FV278,B278&gt;FW278),(MIN(BF278+BY278+CT278+MAX(Sheet1!AA280+AQ278-73,0),K278)),0)</f>
        <v>0</v>
      </c>
      <c r="EC278" s="560"/>
      <c r="ED278" s="560">
        <f t="shared" si="531"/>
        <v>13.072722844617632</v>
      </c>
      <c r="EE278" s="560"/>
      <c r="EF278" s="560">
        <f>Sheet1!EH280+Sheet1!EI280+Sheet1!EJ280+Sheet1!EK280</f>
        <v>13</v>
      </c>
      <c r="EG278" s="560"/>
      <c r="EH278" s="545">
        <f t="shared" si="532"/>
        <v>0</v>
      </c>
      <c r="EI278" s="560">
        <f>IF(Sheet1!ET280=1,SUM('Calculations II'!AT278:BA278)+'Calculations II'!BC278+Sheet1!BV280+'Calculations II'!BE278+AP278,SUM('Calculations II'!AT278:BA278)+'Calculations II'!BC278+Sheet1!BV280+'Calculations II'!BE278+AP278)</f>
        <v>66.976640000000003</v>
      </c>
      <c r="EJ278" s="560">
        <f>Sheet1!AA280+Sheet1!AB280+'Calculations II'!BC278</f>
        <v>71.7</v>
      </c>
      <c r="EK278" s="560"/>
      <c r="EL278" s="560"/>
      <c r="EM278" s="560">
        <f t="shared" si="533"/>
        <v>41906</v>
      </c>
      <c r="EN278" s="560">
        <f t="shared" si="534"/>
        <v>-13.072722844617632</v>
      </c>
      <c r="EO278" s="560">
        <f t="shared" si="535"/>
        <v>-20.223502240623475</v>
      </c>
      <c r="EP278" s="560">
        <v>0</v>
      </c>
      <c r="EQ278" s="560">
        <v>0</v>
      </c>
      <c r="ER278" s="560">
        <v>0</v>
      </c>
      <c r="ES278" s="545">
        <f t="shared" si="557"/>
        <v>-1.5255313505537362</v>
      </c>
      <c r="ET278" s="560">
        <f>-(VLOOKUP(Sheet1!BQ280,Lookup!$O$4:$Q$262,2)-VLOOKUP(Sheet1!BQ279,Lookup!$O$4:$Q$262,2))/1000000</f>
        <v>-0.83208177505882086</v>
      </c>
      <c r="EU278" s="560">
        <f>-(VLOOKUP(Sheet1!BR280,Lookup!$O$4:$Q$262,3)-VLOOKUP(Sheet1!BR279,Lookup!$O$4:$Q$262,3))/1000000</f>
        <v>-0.69344957549491526</v>
      </c>
      <c r="EV278" s="560"/>
      <c r="EW278" s="560"/>
      <c r="EX278" s="560"/>
      <c r="EY278" s="560"/>
      <c r="EZ278" s="560"/>
      <c r="FA278" s="560"/>
      <c r="FB278" s="560"/>
      <c r="FC278" s="560"/>
      <c r="FD278" s="594">
        <f t="shared" si="536"/>
        <v>1118.6634146340857</v>
      </c>
      <c r="FE278" s="594" t="e">
        <f t="shared" si="537"/>
        <v>#N/A</v>
      </c>
      <c r="FF278" s="595" t="e">
        <f t="shared" si="538"/>
        <v>#N/A</v>
      </c>
      <c r="FG278" s="596" t="s">
        <v>692</v>
      </c>
      <c r="FH278" s="596" t="s">
        <v>692</v>
      </c>
      <c r="FI278" s="594" t="e">
        <v>#N/A</v>
      </c>
      <c r="FJ278" s="816">
        <v>10500</v>
      </c>
      <c r="FK278" s="560"/>
      <c r="FL278" s="560"/>
      <c r="FM278" s="560"/>
      <c r="FN278" s="560"/>
      <c r="FO278" s="560">
        <f>O278+((Sheet1!CS280)*GPMtoMGD)</f>
        <v>71.7</v>
      </c>
      <c r="FP278" s="560">
        <f>IF(Sheet1!AA280+AQ278&lt;=Calculation!N278,AQ278,Calculation!N278-Sheet1!AA280)</f>
        <v>26.425718460789088</v>
      </c>
      <c r="FQ278" s="560">
        <f>(Sheet1!BP280+Sheet1!BO280)/694.4</f>
        <v>1.7354550691244239</v>
      </c>
      <c r="FR278" s="560"/>
      <c r="FS278" s="560"/>
      <c r="FT278" s="560"/>
      <c r="FU278" s="560"/>
      <c r="FV278" s="695">
        <f t="shared" si="558"/>
        <v>41827</v>
      </c>
      <c r="FW278" s="695">
        <f t="shared" si="559"/>
        <v>41934</v>
      </c>
      <c r="FX278" s="560"/>
      <c r="FY278" s="560"/>
      <c r="FZ278" s="560"/>
      <c r="GA278" s="560"/>
      <c r="GB278" s="560" t="str">
        <f t="shared" si="560"/>
        <v>n</v>
      </c>
      <c r="GC278" s="564">
        <f t="shared" si="561"/>
        <v>41691</v>
      </c>
      <c r="GD278" s="695">
        <f t="shared" si="562"/>
        <v>41807</v>
      </c>
      <c r="GE278" s="560">
        <v>6518.9</v>
      </c>
      <c r="GF278" s="695">
        <f t="shared" si="563"/>
        <v>41808</v>
      </c>
      <c r="GG278" s="560">
        <f t="shared" si="582"/>
        <v>3259</v>
      </c>
      <c r="GH278" s="564">
        <f t="shared" si="564"/>
        <v>41934</v>
      </c>
      <c r="GJ278" s="545">
        <f t="shared" si="565"/>
        <v>0</v>
      </c>
      <c r="GK278" s="560" t="str">
        <f t="shared" si="539"/>
        <v/>
      </c>
      <c r="GL278" s="560">
        <f t="shared" si="566"/>
        <v>0</v>
      </c>
      <c r="GM278" s="560" t="str">
        <f t="shared" si="567"/>
        <v/>
      </c>
      <c r="GN278" s="560">
        <f>IF(GK278="P",Lookup!$M$12,IF(GK278="PP",Lookup!$M$13,IF(GK278="PPP",Lookup!$M$14,IF(GK278="T",Lookup!$M$15,IF(GK278="TP",Lookup!$M$16,IF(GK278="TPP",Lookup!$M$17,IF(GK278="TPPP",Lookup!$M$18,0)))))))*GJ278</f>
        <v>0</v>
      </c>
      <c r="GO278" s="560">
        <f t="shared" si="568"/>
        <v>0</v>
      </c>
      <c r="GP278" s="560">
        <f t="shared" si="540"/>
        <v>2195.2327453333342</v>
      </c>
      <c r="GQ278" s="560">
        <f t="shared" si="576"/>
        <v>715.52566666666689</v>
      </c>
      <c r="GR278" s="560"/>
      <c r="GS278" s="560">
        <f t="shared" si="569"/>
        <v>0</v>
      </c>
      <c r="GT278" s="560" t="str">
        <f t="shared" si="570"/>
        <v/>
      </c>
      <c r="GU278" s="560">
        <f>IF(GK278="P",Lookup!$N$12,IF(GK278="PP",Lookup!$N$13,IF(GK278="PPP",Lookup!$N$14,IF(GK278="T",Lookup!$N$15,IF(GK278="TP",Lookup!$N$16,IF(GK278="TPP",Lookup!$N$17,IF(GK278="TPPP",Lookup!$N$18,0)))))))*GJ278</f>
        <v>0</v>
      </c>
      <c r="GV278" s="560">
        <f t="shared" si="571"/>
        <v>0</v>
      </c>
      <c r="GW278" s="560">
        <f t="shared" si="541"/>
        <v>454.1307764628632</v>
      </c>
      <c r="GX278" s="560">
        <f t="shared" si="577"/>
        <v>148.02176547029438</v>
      </c>
      <c r="GY278" s="560"/>
      <c r="GZ278" s="560">
        <f t="shared" si="572"/>
        <v>0</v>
      </c>
      <c r="HA278" s="560" t="str">
        <f t="shared" si="573"/>
        <v/>
      </c>
      <c r="HB278" s="560">
        <f>IF(GK278="P",Lookup!$N$12,IF(GK278="PP",Lookup!$N$13,IF(GK278="PPP",Lookup!$N$14,IF(GK278="T",Lookup!$N$15,IF(GK278="TP",Lookup!$N$16,IF(GK278="TPP",Lookup!$N$17,IF(GK278="TPPP",Lookup!$N$18,0)))))))*GJ278</f>
        <v>0</v>
      </c>
      <c r="HC278" s="545">
        <f t="shared" si="542"/>
        <v>0</v>
      </c>
      <c r="HD278" s="560">
        <f t="shared" si="543"/>
        <v>685.2176699473149</v>
      </c>
      <c r="HE278" s="560">
        <f t="shared" si="578"/>
        <v>223.3434387051222</v>
      </c>
      <c r="HF278" s="560"/>
      <c r="HG278" s="560">
        <f t="shared" si="574"/>
        <v>0</v>
      </c>
      <c r="HH278" s="560" t="str">
        <f t="shared" si="575"/>
        <v/>
      </c>
      <c r="HI278" s="560">
        <f>IF(GK278="P",Lookup!$N$12,IF(GK278="PP",Lookup!$N$13,IF(GK278="PPP",Lookup!$N$14,IF(GK278="T",Lookup!$N$15,IF(GK278="TP",Lookup!$N$16,IF(GK278="TPP",Lookup!$N$17,IF(GK278="TPPP",Lookup!$N$18,0)))))))*GJ278</f>
        <v>0</v>
      </c>
      <c r="HJ278" s="545">
        <f t="shared" si="544"/>
        <v>0</v>
      </c>
      <c r="HK278" s="560">
        <f t="shared" si="545"/>
        <v>1036.4410498936943</v>
      </c>
      <c r="HL278" s="560">
        <f t="shared" si="579"/>
        <v>337.82302799664092</v>
      </c>
    </row>
    <row r="279" spans="1:220">
      <c r="A279" s="580" t="s">
        <v>7</v>
      </c>
      <c r="B279" s="556">
        <v>41907</v>
      </c>
      <c r="C279" s="561">
        <v>0</v>
      </c>
      <c r="D279" s="529">
        <f t="shared" si="580"/>
        <v>300</v>
      </c>
      <c r="E279" s="529">
        <f t="shared" si="581"/>
        <v>250</v>
      </c>
      <c r="F279" s="529">
        <v>250</v>
      </c>
      <c r="G279" s="560">
        <f>DR279+Sheet1!CZ281</f>
        <v>217.17750882433239</v>
      </c>
      <c r="H279" s="914">
        <f t="shared" si="546"/>
        <v>0</v>
      </c>
      <c r="I279" s="559">
        <f>MAX(Sheet1!Z281-AT279+(Sheet1!DA281-E279)*CFStoMGD,0)</f>
        <v>293.8424</v>
      </c>
      <c r="J279" s="562">
        <f>IF(AND(B279&gt;=Calculation!GC279,B279&lt;=Calculation!GD279),IF(Sheet1!DB281&gt;=Calculation!D279,64.64,0),MAX(Sheet1!Z281-AT279+(Sheet1!DB281-D279)*CFStoMGD,0))</f>
        <v>154.8664</v>
      </c>
      <c r="K279" s="904">
        <f t="shared" si="481"/>
        <v>0</v>
      </c>
      <c r="L279" s="560">
        <f>Sheet1!AA281+Sheet1!AB281-Sheet1!L281+(Sheet1!DA281-F279)*CFStoMGD</f>
        <v>320.51240000000001</v>
      </c>
      <c r="M279" s="560">
        <f t="shared" si="482"/>
        <v>143.19121253812943</v>
      </c>
      <c r="N279" s="910">
        <f>IF(Sheet1!DA281&gt;=F279,MIN(73,MIN(MAX(L279,0),MAX(M279,0))),0)</f>
        <v>73</v>
      </c>
      <c r="O279" s="563">
        <f>Sheet1!AA281+Sheet1!AB281</f>
        <v>67.77</v>
      </c>
      <c r="P279" s="563">
        <f t="shared" si="483"/>
        <v>104.84018999999999</v>
      </c>
      <c r="Q279" s="898">
        <f t="shared" si="547"/>
        <v>54.769999999999996</v>
      </c>
      <c r="R279" s="829">
        <f t="shared" si="484"/>
        <v>13</v>
      </c>
      <c r="S279" s="898">
        <f t="shared" si="548"/>
        <v>0</v>
      </c>
      <c r="T279" s="898">
        <f t="shared" si="549"/>
        <v>0</v>
      </c>
      <c r="U279" s="898">
        <f t="shared" si="550"/>
        <v>13</v>
      </c>
      <c r="V279" s="898"/>
      <c r="W279" s="898">
        <f t="shared" si="551"/>
        <v>0</v>
      </c>
      <c r="X279" s="898">
        <f t="shared" si="552"/>
        <v>0</v>
      </c>
      <c r="Y279" s="898" t="str">
        <f t="shared" si="553"/>
        <v>FALSE</v>
      </c>
      <c r="Z279" s="898">
        <f t="shared" si="554"/>
        <v>67.77</v>
      </c>
      <c r="AA279" s="898">
        <f t="shared" si="555"/>
        <v>67.77</v>
      </c>
      <c r="AB279" s="898" t="str">
        <f t="shared" si="556"/>
        <v/>
      </c>
      <c r="AC279" s="563">
        <f>Sheet1!Y281*MGDtoCFS</f>
        <v>47.338200000000001</v>
      </c>
      <c r="AD279" s="563">
        <f>Sheet1!Z281*MGDtoCFS</f>
        <v>63.581699999999998</v>
      </c>
      <c r="AE279" s="563">
        <f>Sheet1!AA281*MGDtoCFS</f>
        <v>47.647599999999997</v>
      </c>
      <c r="AF279" s="563">
        <f>Sheet1!AB281*MGDtoCFS</f>
        <v>57.192589999999996</v>
      </c>
      <c r="AG279" s="563">
        <f>Sheet1!L281*MGDtoCFS</f>
        <v>0</v>
      </c>
      <c r="AH279" s="545">
        <f t="shared" si="485"/>
        <v>13.016161943319839</v>
      </c>
      <c r="AI279" s="560">
        <f t="shared" si="486"/>
        <v>20.136002526315789</v>
      </c>
      <c r="AJ279" s="560">
        <f t="shared" si="487"/>
        <v>0</v>
      </c>
      <c r="AK279" s="560">
        <f t="shared" si="488"/>
        <v>0</v>
      </c>
      <c r="AL279" s="560">
        <f>(VLOOKUP(Sheet1!DC281,hhdcap_wcm,4)-(((VLOOKUP(Sheet1!DC281,hhdcap_wcm,3)-Sheet1!DC281)/(VLOOKUP(Sheet1!DC281,hhdcap_wcm,3)-VLOOKUP(Sheet1!DC281,hhdcap_wcm,1)))*(VLOOKUP(Sheet1!DC281,hhdcap_wcm,4)-VLOOKUP(Sheet1!DC281,hhdcap_wcm,2))))</f>
        <v>24301.800000063315</v>
      </c>
      <c r="AM279" s="560">
        <f t="shared" si="489"/>
        <v>-681.80000000134896</v>
      </c>
      <c r="AN279" s="560">
        <f t="shared" si="490"/>
        <v>1411.6977368954044</v>
      </c>
      <c r="AO279" s="560">
        <f t="shared" si="491"/>
        <v>4331.0886567951011</v>
      </c>
      <c r="AP279" s="560">
        <f>Sheet1!BA281+Sheet1!BB281+Sheet1!BN281+CD279</f>
        <v>24.400000000000002</v>
      </c>
      <c r="AQ279" s="560">
        <f>Sheet1!BN281+(DO279*Sheet1!BN281)</f>
        <v>22.750769230769233</v>
      </c>
      <c r="AR279" s="560">
        <f>Sheet1!BA281+CD279</f>
        <v>0</v>
      </c>
      <c r="AS279" s="560">
        <f>Sheet1!BA281+Sheet1!BB281+CD279</f>
        <v>1.6</v>
      </c>
      <c r="AT279" s="698">
        <f>0</f>
        <v>0</v>
      </c>
      <c r="AU279" s="560">
        <f>IF(EB279&lt;K279,0,MAX(Sheet1!AA281+AQ279-15/36*K279-N279,Sheet1!EH281,0))</f>
        <v>0</v>
      </c>
      <c r="AV279" s="560">
        <f>IF(OR(B279&gt;=GD279,B279&lt;GC279),0,15/36*K279-MAX(0,64.6-(137.6-(Sheet1!AA281+Sheet1!AB281))))</f>
        <v>0</v>
      </c>
      <c r="AW279" s="698">
        <f>Sheet1!DB281-110</f>
        <v>366</v>
      </c>
      <c r="AX279" s="698">
        <f>Sheet1!DA281-265</f>
        <v>376</v>
      </c>
      <c r="AY279" s="698">
        <f t="shared" si="492"/>
        <v>18.230000000000004</v>
      </c>
      <c r="AZ279" s="698">
        <v>0</v>
      </c>
      <c r="BA279" s="698">
        <f t="shared" si="493"/>
        <v>0</v>
      </c>
      <c r="BB279" s="560">
        <f t="shared" si="494"/>
        <v>715.52566666666689</v>
      </c>
      <c r="BC279" s="560"/>
      <c r="BD279" s="560">
        <f ca="1">IF(B279&gt;Summary!$A$1,#N/A,BB279*MGtoAF)</f>
        <v>2195.2327453333342</v>
      </c>
      <c r="BE279" s="560">
        <f>Sheet1!BG281+Sheet1!BH281+Sheet1!BI281-BM279</f>
        <v>1.61</v>
      </c>
      <c r="BF279" s="560">
        <f t="shared" si="495"/>
        <v>1.6065236167341432</v>
      </c>
      <c r="BG279" s="560">
        <f>IF(Sheet1!EP281="FM",BM279,0)</f>
        <v>0</v>
      </c>
      <c r="BH279" s="560">
        <f t="shared" si="496"/>
        <v>0</v>
      </c>
      <c r="BI279" s="560">
        <f>IF(Sheet1!EP281="OTHER",BM279,0)</f>
        <v>0</v>
      </c>
      <c r="BJ279" s="560">
        <f t="shared" si="497"/>
        <v>0</v>
      </c>
      <c r="BK279" s="560">
        <f t="shared" si="498"/>
        <v>1.61</v>
      </c>
      <c r="BL279" s="560">
        <f t="shared" si="499"/>
        <v>1.6065236167341432</v>
      </c>
      <c r="BM279" s="560">
        <f>IF(OR(Sheet1!EP281="FM", Sheet1!EP281="OTHER"),SUM(Sheet1!BG281:'Sheet1'!BI281),0)</f>
        <v>0</v>
      </c>
      <c r="BN279" s="545">
        <f>IF(AND($B279&gt;=$FV279,$B279&lt;=$FW279),MAX(BF279,Sheet1!EI281,0),MAX(BF279-(7/36)*$K279,0))</f>
        <v>2</v>
      </c>
      <c r="BO279" s="560">
        <f t="shared" si="500"/>
        <v>0</v>
      </c>
      <c r="BP279" s="545">
        <f t="shared" si="501"/>
        <v>0</v>
      </c>
      <c r="BQ279" s="545">
        <f>IF(AND($O279&gt;0,Sheet1!EM281=1),(1-($O279-Sheet1!$L281)/$O279)*BL279,0)</f>
        <v>0</v>
      </c>
      <c r="BR279" s="545">
        <f>IF(AND(Sheet1!$L281=0,Sheet1!$L280=0, Calculation!BK279&lt;Sheet1!$EI281-0.1,Sheet1!$EI281=Sheet1!$EI280,Sheet1!$EI281=Sheet1!$EI282),Sheet1!$EI281,BL279-BQ279)</f>
        <v>1.6065236167341432</v>
      </c>
      <c r="BS279" s="560"/>
      <c r="BT279" s="560"/>
      <c r="BU279" s="560">
        <f t="shared" si="502"/>
        <v>146.02176547029438</v>
      </c>
      <c r="BV279" s="560"/>
      <c r="BW279" s="560">
        <f ca="1">IF(B279&gt;Summary!$A$1,#N/A,BU279*MGtoAF)</f>
        <v>447.99477646286317</v>
      </c>
      <c r="BX279" s="560">
        <f>Sheet1!BC281+Sheet1!BD281+Sheet1!BE281+Sheet1!BF281-CG279-CH279</f>
        <v>3.01</v>
      </c>
      <c r="BY279" s="560">
        <f t="shared" si="503"/>
        <v>3.0035006747638326</v>
      </c>
      <c r="BZ279" s="560">
        <f>IF(Sheet1!EQ281="FM",CH279,0)</f>
        <v>0</v>
      </c>
      <c r="CA279" s="560">
        <f t="shared" si="504"/>
        <v>0</v>
      </c>
      <c r="CB279" s="560">
        <f>IF(Sheet1!EQ281="OTHER",CH279,0)</f>
        <v>0</v>
      </c>
      <c r="CC279" s="560">
        <f t="shared" si="505"/>
        <v>0</v>
      </c>
      <c r="CD279" s="560">
        <f t="shared" si="506"/>
        <v>0</v>
      </c>
      <c r="CE279" s="560">
        <f t="shared" si="507"/>
        <v>3.01</v>
      </c>
      <c r="CF279" s="560">
        <f t="shared" si="508"/>
        <v>3.0035006747638326</v>
      </c>
      <c r="CG279" s="560">
        <f>IF(Sheet1!EQ281="CWA",SUM(Sheet1!BC281:'Sheet1'!BF281),0)</f>
        <v>0</v>
      </c>
      <c r="CH279" s="560">
        <f>IF(OR(Sheet1!EQ281="FM", Sheet1!EQ281="OTHER"),SUM(Sheet1!BC281:'Sheet1'!BF281),0)</f>
        <v>0</v>
      </c>
      <c r="CI279" s="545">
        <f>IF(AND($B279&gt;=$FV279,$B279&lt;=$FW279),MAX(CF279,Sheet1!EJ281,0),MAX(CF279-(7/36)*$K279,0))</f>
        <v>3.0035006747638326</v>
      </c>
      <c r="CJ279" s="560">
        <f t="shared" si="509"/>
        <v>0</v>
      </c>
      <c r="CK279" s="545">
        <f t="shared" si="510"/>
        <v>0</v>
      </c>
      <c r="CL279" s="545">
        <f>IF(AND($O279&gt;0,Sheet1!EN281=1),(1-($O279-Sheet1!$L281)/$O279)*CF279,0)</f>
        <v>0</v>
      </c>
      <c r="CM279" s="545">
        <f>IF(AND(Sheet1!$L281=0,Sheet1!$L280=0, Calculation!CE279&lt;Sheet1!EJ281-0.1,Sheet1!EJ281=Sheet1!EJ280,Sheet1!EJ281=Sheet1!EJ282),Sheet1!EJ281,CF279-CL279)</f>
        <v>3.0035006747638326</v>
      </c>
      <c r="CN279" s="545"/>
      <c r="CO279" s="560"/>
      <c r="CP279" s="560">
        <f t="shared" si="511"/>
        <v>220.33993803035835</v>
      </c>
      <c r="CQ279" s="560"/>
      <c r="CR279" s="560">
        <f ca="1">IF(B279&gt;Summary!$A$1,#N/A,CP279*MGtoAF)</f>
        <v>676.00292987713942</v>
      </c>
      <c r="CS279" s="560">
        <f>Sheet1!BK281+Sheet1!BL281+Sheet1!BM281-Sheet1!ER281-DA279</f>
        <v>8.0299999999999994</v>
      </c>
      <c r="CT279" s="560">
        <f t="shared" si="512"/>
        <v>8.0126612685560055</v>
      </c>
      <c r="CU279" s="560">
        <f>IF(Sheet1!ER281="FM",DA279,0)</f>
        <v>0</v>
      </c>
      <c r="CV279" s="560">
        <f t="shared" si="513"/>
        <v>0</v>
      </c>
      <c r="CW279" s="560">
        <f>IF(Sheet1!ER281="OTHER",DA279,0)</f>
        <v>0</v>
      </c>
      <c r="CX279" s="560">
        <f t="shared" si="514"/>
        <v>0</v>
      </c>
      <c r="CY279" s="560">
        <f t="shared" si="515"/>
        <v>8.0299999999999994</v>
      </c>
      <c r="CZ279" s="560">
        <f t="shared" si="516"/>
        <v>8.0126612685560055</v>
      </c>
      <c r="DA279" s="560">
        <f>IF(OR(Sheet1!ER281="FM", Sheet1!ER281="OTHER"),SUM(Sheet1!BK281:'Sheet1'!BM281),0)</f>
        <v>0</v>
      </c>
      <c r="DB279" s="545">
        <f>IF(AND($B279&gt;=$FV279,$B279&lt;=$FW279),MAX($CT279,Sheet1!EK281,0),MAX($CT279-(7/36)*$K279,0))</f>
        <v>8.0126612685560055</v>
      </c>
      <c r="DC279" s="560">
        <f t="shared" si="517"/>
        <v>0</v>
      </c>
      <c r="DD279" s="545">
        <f t="shared" si="518"/>
        <v>0</v>
      </c>
      <c r="DE279" s="545">
        <f>IF(AND($O279&gt;0,Sheet1!EO281=1),(1-($O279-Sheet1!$L281)/$O279)*CZ279,0)</f>
        <v>0</v>
      </c>
      <c r="DF279" s="545">
        <f>IF(AND(Sheet1!$L281=0,Sheet1!$L280=0, Calculation!CY279&lt;Sheet1!$EK281-0.1,Sheet1!$EK281=Sheet1!$EK280,Sheet1!$EK281=Sheet1!$EK282),Sheet1!$EK281,CZ279-DE279)</f>
        <v>8.0126612685560055</v>
      </c>
      <c r="DG279" s="545"/>
      <c r="DH279" s="560">
        <f t="shared" si="519"/>
        <v>12.649999999999999</v>
      </c>
      <c r="DI279" s="560">
        <f t="shared" si="520"/>
        <v>329.81036672808489</v>
      </c>
      <c r="DJ279" s="698">
        <f t="shared" si="521"/>
        <v>12.622685560053981</v>
      </c>
      <c r="DK279" s="560">
        <f ca="1">IF(B279&gt;Summary!$A$1,#N/A,DI279*MGtoAF)</f>
        <v>1011.8582051217644</v>
      </c>
      <c r="DL279" s="698">
        <f t="shared" si="522"/>
        <v>12.649999999999999</v>
      </c>
      <c r="DM279" s="560">
        <f t="shared" si="523"/>
        <v>37.049999999999997</v>
      </c>
      <c r="DN279" s="560">
        <f>Sheet1!AB281-DM279</f>
        <v>-7.9999999999998295E-2</v>
      </c>
      <c r="DO279" s="823">
        <f t="shared" si="524"/>
        <v>-2.1592442645073763E-3</v>
      </c>
      <c r="DP279" s="560">
        <f>(VLOOKUP(Sheet1!DC281,hhdcap_wcm,4)-(((VLOOKUP(Sheet1!DC281,hhdcap_wcm,3)-Sheet1!DC281)/(VLOOKUP(Sheet1!DC281,hhdcap_wcm,3)-VLOOKUP(Sheet1!DC281,hhdcap_wcm,1)))*(VLOOKUP(Sheet1!DC281,hhdcap_wcm,4)-VLOOKUP(Sheet1!DC281,hhdcap_wcm,2))))</f>
        <v>24301.800000063315</v>
      </c>
      <c r="DQ279" s="560">
        <f t="shared" si="525"/>
        <v>-681.80000000134896</v>
      </c>
      <c r="DR279" s="560">
        <f t="shared" si="526"/>
        <v>-343.82249117566761</v>
      </c>
      <c r="DS279" s="560">
        <f>Sheet1!EA281*AFtoMG</f>
        <v>0</v>
      </c>
      <c r="DT279" s="560">
        <f>Sheet1!EB281*AFtoMG</f>
        <v>0</v>
      </c>
      <c r="DU279" s="560">
        <f>Sheet1!EC281*AFtoMG</f>
        <v>0</v>
      </c>
      <c r="DV279" s="560">
        <f>Sheet1!ED281*AFtoMG</f>
        <v>0</v>
      </c>
      <c r="DW279" s="560">
        <f t="shared" si="527"/>
        <v>0</v>
      </c>
      <c r="DX279" s="560">
        <f t="shared" si="528"/>
        <v>0</v>
      </c>
      <c r="DY279" s="560">
        <f t="shared" si="529"/>
        <v>1411.6977368954044</v>
      </c>
      <c r="DZ279" s="560">
        <f t="shared" si="530"/>
        <v>4331.0886567951011</v>
      </c>
      <c r="EA279" s="560"/>
      <c r="EB279" s="545">
        <f>IF(OR(B279&lt;FV279,B279&gt;FW279),(MIN(BF279+BY279+CT279+MAX(Sheet1!AA281+AQ279-73,0),K279)),0)</f>
        <v>0</v>
      </c>
      <c r="EC279" s="560"/>
      <c r="ED279" s="560">
        <f t="shared" si="531"/>
        <v>12.622685560053982</v>
      </c>
      <c r="EE279" s="560"/>
      <c r="EF279" s="560">
        <f>Sheet1!EH281+Sheet1!EI281+Sheet1!EJ281+Sheet1!EK281</f>
        <v>13</v>
      </c>
      <c r="EG279" s="560"/>
      <c r="EH279" s="545">
        <f t="shared" si="532"/>
        <v>0</v>
      </c>
      <c r="EI279" s="560">
        <f>IF(Sheet1!ET281=1,SUM('Calculations II'!AT279:BA279)+'Calculations II'!BC279+Sheet1!BV281+'Calculations II'!BE279+AP279,SUM('Calculations II'!AT279:BA279)+'Calculations II'!BC279+Sheet1!BV281+'Calculations II'!BE279+AP279)</f>
        <v>63.055712</v>
      </c>
      <c r="EJ279" s="560">
        <f>Sheet1!AA281+Sheet1!AB281+'Calculations II'!BC279</f>
        <v>67.77</v>
      </c>
      <c r="EK279" s="560"/>
      <c r="EL279" s="560"/>
      <c r="EM279" s="560">
        <f t="shared" si="533"/>
        <v>41907</v>
      </c>
      <c r="EN279" s="560">
        <f t="shared" si="534"/>
        <v>-13.016161943319839</v>
      </c>
      <c r="EO279" s="560">
        <f t="shared" si="535"/>
        <v>-20.136002526315789</v>
      </c>
      <c r="EP279" s="560">
        <v>0</v>
      </c>
      <c r="EQ279" s="560">
        <v>0</v>
      </c>
      <c r="ER279" s="560">
        <v>0</v>
      </c>
      <c r="ES279" s="545">
        <f t="shared" si="557"/>
        <v>-1.3871877508352026</v>
      </c>
      <c r="ET279" s="560">
        <f>-(VLOOKUP(Sheet1!BQ281,Lookup!$O$4:$Q$262,2)-VLOOKUP(Sheet1!BQ280,Lookup!$O$4:$Q$262,2))/1000000</f>
        <v>-0.69357784127175059</v>
      </c>
      <c r="EU279" s="560">
        <f>-(VLOOKUP(Sheet1!BR281,Lookup!$O$4:$Q$262,3)-VLOOKUP(Sheet1!BR280,Lookup!$O$4:$Q$262,3))/1000000</f>
        <v>-0.69360990956345203</v>
      </c>
      <c r="EV279" s="560"/>
      <c r="EW279" s="560"/>
      <c r="EX279" s="560"/>
      <c r="EY279" s="560"/>
      <c r="EZ279" s="560"/>
      <c r="FA279" s="560"/>
      <c r="FB279" s="560"/>
      <c r="FC279" s="560"/>
      <c r="FD279" s="594">
        <f t="shared" si="536"/>
        <v>1118.1390243901837</v>
      </c>
      <c r="FE279" s="594" t="e">
        <f t="shared" si="537"/>
        <v>#N/A</v>
      </c>
      <c r="FF279" s="595" t="e">
        <f t="shared" si="538"/>
        <v>#N/A</v>
      </c>
      <c r="FG279" s="596" t="s">
        <v>692</v>
      </c>
      <c r="FH279" s="596" t="s">
        <v>692</v>
      </c>
      <c r="FI279" s="594" t="e">
        <v>#N/A</v>
      </c>
      <c r="FJ279" s="778">
        <v>10283</v>
      </c>
      <c r="FK279" s="560"/>
      <c r="FL279" s="560"/>
      <c r="FM279" s="560"/>
      <c r="FN279" s="560"/>
      <c r="FO279" s="560">
        <f>O279+((Sheet1!CS281)*GPMtoMGD)</f>
        <v>67.77</v>
      </c>
      <c r="FP279" s="560">
        <f>IF(Sheet1!AA281+AQ279&lt;=Calculation!N279,AQ279,Calculation!N279-Sheet1!AA281)</f>
        <v>22.750769230769233</v>
      </c>
      <c r="FQ279" s="560">
        <f>(Sheet1!BP281+Sheet1!BO281)/694.4</f>
        <v>2.0888536866359448</v>
      </c>
      <c r="FR279" s="560"/>
      <c r="FS279" s="560"/>
      <c r="FT279" s="560"/>
      <c r="FU279" s="560"/>
      <c r="FV279" s="695">
        <f t="shared" si="558"/>
        <v>41827</v>
      </c>
      <c r="FW279" s="695">
        <f t="shared" si="559"/>
        <v>41934</v>
      </c>
      <c r="FX279" s="560"/>
      <c r="FY279" s="560"/>
      <c r="FZ279" s="560"/>
      <c r="GA279" s="560"/>
      <c r="GB279" s="560" t="str">
        <f t="shared" si="560"/>
        <v>n</v>
      </c>
      <c r="GC279" s="564">
        <f t="shared" si="561"/>
        <v>41691</v>
      </c>
      <c r="GD279" s="695">
        <f t="shared" si="562"/>
        <v>41807</v>
      </c>
      <c r="GE279" s="560">
        <v>6518.9</v>
      </c>
      <c r="GF279" s="695">
        <f t="shared" si="563"/>
        <v>41808</v>
      </c>
      <c r="GG279" s="560">
        <f t="shared" si="582"/>
        <v>3259</v>
      </c>
      <c r="GH279" s="564">
        <f t="shared" si="564"/>
        <v>41934</v>
      </c>
      <c r="GJ279" s="545">
        <f t="shared" si="565"/>
        <v>0</v>
      </c>
      <c r="GK279" s="560" t="str">
        <f t="shared" si="539"/>
        <v/>
      </c>
      <c r="GL279" s="560">
        <f t="shared" si="566"/>
        <v>0</v>
      </c>
      <c r="GM279" s="560" t="str">
        <f t="shared" si="567"/>
        <v/>
      </c>
      <c r="GN279" s="560">
        <f>IF(GK279="P",Lookup!$M$12,IF(GK279="PP",Lookup!$M$13,IF(GK279="PPP",Lookup!$M$14,IF(GK279="T",Lookup!$M$15,IF(GK279="TP",Lookup!$M$16,IF(GK279="TPP",Lookup!$M$17,IF(GK279="TPPP",Lookup!$M$18,0)))))))*GJ279</f>
        <v>0</v>
      </c>
      <c r="GO279" s="560">
        <f t="shared" si="568"/>
        <v>0</v>
      </c>
      <c r="GP279" s="560">
        <f t="shared" si="540"/>
        <v>2195.2327453333342</v>
      </c>
      <c r="GQ279" s="560">
        <f>(IF(AND(GB278="Y",B279=GD279),2716.2,(IF(AND(B279&lt;GF279,B279&gt;=GC279),MIN(BB278+AV279-AU279,15/36*GE279),IF(B279=GF279,15/36*GG279,IF(AND(B279&gt;GF279,B279&lt;GH279),MIN(BB278+AV279-AU279,15/36*GG279),IF(B279&gt;=GH279,0,0)))))))+DS279</f>
        <v>715.52566666666689</v>
      </c>
      <c r="GR279" s="560"/>
      <c r="GS279" s="560">
        <f t="shared" si="569"/>
        <v>0</v>
      </c>
      <c r="GT279" s="560" t="str">
        <f t="shared" si="570"/>
        <v/>
      </c>
      <c r="GU279" s="560">
        <f>IF(GK279="P",Lookup!$N$12,IF(GK279="PP",Lookup!$N$13,IF(GK279="PPP",Lookup!$N$14,IF(GK279="T",Lookup!$N$15,IF(GK279="TP",Lookup!$N$16,IF(GK279="TPP",Lookup!$N$17,IF(GK279="TPPP",Lookup!$N$18,0)))))))*GJ279</f>
        <v>0</v>
      </c>
      <c r="GV279" s="560">
        <f t="shared" si="571"/>
        <v>0</v>
      </c>
      <c r="GW279" s="560">
        <f t="shared" si="541"/>
        <v>447.99477646286317</v>
      </c>
      <c r="GX279" s="560">
        <f t="shared" si="577"/>
        <v>146.02176547029438</v>
      </c>
      <c r="GY279" s="560"/>
      <c r="GZ279" s="560">
        <f t="shared" si="572"/>
        <v>0</v>
      </c>
      <c r="HA279" s="560" t="str">
        <f t="shared" si="573"/>
        <v/>
      </c>
      <c r="HB279" s="560">
        <f>IF(GK279="P",Lookup!$N$12,IF(GK279="PP",Lookup!$N$13,IF(GK279="PPP",Lookup!$N$14,IF(GK279="T",Lookup!$N$15,IF(GK279="TP",Lookup!$N$16,IF(GK279="TPP",Lookup!$N$17,IF(GK279="TPPP",Lookup!$N$18,0)))))))*GJ279</f>
        <v>0</v>
      </c>
      <c r="HC279" s="545">
        <f t="shared" si="542"/>
        <v>0</v>
      </c>
      <c r="HD279" s="560">
        <f t="shared" si="543"/>
        <v>676.00292987713942</v>
      </c>
      <c r="HE279" s="560">
        <f t="shared" si="578"/>
        <v>220.33993803035835</v>
      </c>
      <c r="HF279" s="560"/>
      <c r="HG279" s="560">
        <f t="shared" si="574"/>
        <v>0</v>
      </c>
      <c r="HH279" s="560" t="str">
        <f t="shared" si="575"/>
        <v/>
      </c>
      <c r="HI279" s="560">
        <f>IF(GK279="P",Lookup!$N$12,IF(GK279="PP",Lookup!$N$13,IF(GK279="PPP",Lookup!$N$14,IF(GK279="T",Lookup!$N$15,IF(GK279="TP",Lookup!$N$16,IF(GK279="TPP",Lookup!$N$17,IF(GK279="TPPP",Lookup!$N$18,0)))))))*GJ279</f>
        <v>0</v>
      </c>
      <c r="HJ279" s="545">
        <f t="shared" si="544"/>
        <v>0</v>
      </c>
      <c r="HK279" s="560">
        <f t="shared" si="545"/>
        <v>1011.8582051217644</v>
      </c>
      <c r="HL279" s="560">
        <f t="shared" si="579"/>
        <v>329.81036672808489</v>
      </c>
    </row>
    <row r="280" spans="1:220" s="696" customFormat="1">
      <c r="A280" s="580" t="s">
        <v>8</v>
      </c>
      <c r="B280" s="556">
        <v>41908</v>
      </c>
      <c r="C280" s="809">
        <v>0</v>
      </c>
      <c r="D280" s="691">
        <f t="shared" si="580"/>
        <v>300</v>
      </c>
      <c r="E280" s="691">
        <f t="shared" si="581"/>
        <v>250</v>
      </c>
      <c r="F280" s="691">
        <v>250</v>
      </c>
      <c r="G280" s="560">
        <f>DR280+Sheet1!CZ282</f>
        <v>263.8103882989829</v>
      </c>
      <c r="H280" s="914">
        <f t="shared" si="546"/>
        <v>0</v>
      </c>
      <c r="I280" s="559">
        <f>MAX(Sheet1!Z282-AT280+(Sheet1!DA282-E280)*CFStoMGD,0)</f>
        <v>307.16520000000003</v>
      </c>
      <c r="J280" s="562">
        <f>IF(AND(B280&gt;=Calculation!GC280,B280&lt;=Calculation!GD280),IF(Sheet1!DB282&gt;=Calculation!D280,64.64,0),MAX(Sheet1!Z282-AT280+(Sheet1!DB282-D280)*CFStoMGD,0))</f>
        <v>165.6036</v>
      </c>
      <c r="K280" s="904">
        <f t="shared" si="481"/>
        <v>0</v>
      </c>
      <c r="L280" s="560">
        <f>Sheet1!AA282+Sheet1!AB282-Sheet1!L282+(Sheet1!DA282-F280)*CFStoMGD</f>
        <v>335.54520000000002</v>
      </c>
      <c r="M280" s="698">
        <f t="shared" si="482"/>
        <v>173.9375756963918</v>
      </c>
      <c r="N280" s="910">
        <f>IF(Sheet1!DA282&gt;=F280,MIN(73,MIN(MAX(L280,0),MAX(M280,0))),0)</f>
        <v>73</v>
      </c>
      <c r="O280" s="812">
        <f>Sheet1!AA282+Sheet1!AB282</f>
        <v>65.349999999999994</v>
      </c>
      <c r="P280" s="812">
        <f t="shared" si="483"/>
        <v>101.09645</v>
      </c>
      <c r="Q280" s="898">
        <f t="shared" si="547"/>
        <v>52.849999999999994</v>
      </c>
      <c r="R280" s="829">
        <f t="shared" si="484"/>
        <v>12.5</v>
      </c>
      <c r="S280" s="898">
        <f t="shared" si="548"/>
        <v>0</v>
      </c>
      <c r="T280" s="898">
        <f t="shared" si="549"/>
        <v>0</v>
      </c>
      <c r="U280" s="898">
        <f t="shared" si="550"/>
        <v>12.5</v>
      </c>
      <c r="V280" s="898"/>
      <c r="W280" s="898">
        <f t="shared" si="551"/>
        <v>0</v>
      </c>
      <c r="X280" s="898">
        <f t="shared" si="552"/>
        <v>0</v>
      </c>
      <c r="Y280" s="898" t="str">
        <f t="shared" si="553"/>
        <v>FALSE</v>
      </c>
      <c r="Z280" s="898">
        <f t="shared" si="554"/>
        <v>65.349999999999994</v>
      </c>
      <c r="AA280" s="898">
        <f t="shared" si="555"/>
        <v>65.349999999999994</v>
      </c>
      <c r="AB280" s="898" t="str">
        <f t="shared" si="556"/>
        <v/>
      </c>
      <c r="AC280" s="812">
        <f>Sheet1!Y282*MGDtoCFS</f>
        <v>47.647599999999997</v>
      </c>
      <c r="AD280" s="812">
        <f>Sheet1!Z282*MGDtoCFS</f>
        <v>57.192589999999996</v>
      </c>
      <c r="AE280" s="812">
        <f>Sheet1!AA282*MGDtoCFS</f>
        <v>47.802299999999995</v>
      </c>
      <c r="AF280" s="812">
        <f>Sheet1!AB282*MGDtoCFS</f>
        <v>53.294150000000002</v>
      </c>
      <c r="AG280" s="812">
        <f>Sheet1!L282*MGDtoCFS</f>
        <v>0</v>
      </c>
      <c r="AH280" s="545">
        <f t="shared" si="485"/>
        <v>12.671052631578949</v>
      </c>
      <c r="AI280" s="560">
        <f t="shared" si="486"/>
        <v>19.602118421052634</v>
      </c>
      <c r="AJ280" s="698">
        <f t="shared" si="487"/>
        <v>0</v>
      </c>
      <c r="AK280" s="698">
        <f t="shared" si="488"/>
        <v>0</v>
      </c>
      <c r="AL280" s="560">
        <f>(VLOOKUP(Sheet1!DC282,hhdcap_wcm,4)-(((VLOOKUP(Sheet1!DC282,hhdcap_wcm,3)-Sheet1!DC282)/(VLOOKUP(Sheet1!DC282,hhdcap_wcm,3)-VLOOKUP(Sheet1!DC282,hhdcap_wcm,1)))*(VLOOKUP(Sheet1!DC282,hhdcap_wcm,4)-VLOOKUP(Sheet1!DC282,hhdcap_wcm,2))))</f>
        <v>23651.000000060198</v>
      </c>
      <c r="AM280" s="560">
        <f t="shared" si="489"/>
        <v>-650.80000000311702</v>
      </c>
      <c r="AN280" s="560">
        <f t="shared" si="490"/>
        <v>1399.0266842638257</v>
      </c>
      <c r="AO280" s="560">
        <f t="shared" si="491"/>
        <v>4292.2138673214176</v>
      </c>
      <c r="AP280" s="560">
        <f>Sheet1!BA282+Sheet1!BB282+Sheet1!BN282+CD280</f>
        <v>22.5</v>
      </c>
      <c r="AQ280" s="560">
        <f>Sheet1!BN282+(DO280*Sheet1!BN282)</f>
        <v>20.821428571428573</v>
      </c>
      <c r="AR280" s="698">
        <f>Sheet1!BA282+CD280</f>
        <v>0</v>
      </c>
      <c r="AS280" s="560">
        <f>Sheet1!BA282+Sheet1!BB282+CD280</f>
        <v>1.6</v>
      </c>
      <c r="AT280" s="698">
        <f>0</f>
        <v>0</v>
      </c>
      <c r="AU280" s="698">
        <f>IF(EB280&lt;K280,0,MAX(Sheet1!AA282+AQ280-15/36*K280-N280,Sheet1!EH282,0))</f>
        <v>0</v>
      </c>
      <c r="AV280" s="698">
        <f>IF(OR(B280&gt;=GD280,B280&lt;GC280),0,15/36*K280-MAX(0,64.6-(137.6-(Sheet1!AA282+Sheet1!AB282))))</f>
        <v>0</v>
      </c>
      <c r="AW280" s="698">
        <f>Sheet1!DB282-110</f>
        <v>389</v>
      </c>
      <c r="AX280" s="698">
        <f>Sheet1!DA282-265</f>
        <v>403</v>
      </c>
      <c r="AY280" s="698">
        <f t="shared" si="492"/>
        <v>20.150000000000006</v>
      </c>
      <c r="AZ280" s="698">
        <v>0</v>
      </c>
      <c r="BA280" s="698">
        <f t="shared" si="493"/>
        <v>0</v>
      </c>
      <c r="BB280" s="698">
        <f t="shared" si="494"/>
        <v>715.52566666666689</v>
      </c>
      <c r="BC280" s="698"/>
      <c r="BD280" s="698">
        <f ca="1">IF(B280&gt;Summary!$A$1,#N/A,BB280*MGtoAF)</f>
        <v>2195.2327453333342</v>
      </c>
      <c r="BE280" s="698">
        <f>Sheet1!BG282+Sheet1!BH282+Sheet1!BI282-BM280</f>
        <v>1.44</v>
      </c>
      <c r="BF280" s="698">
        <f t="shared" si="495"/>
        <v>1.4345864661654137</v>
      </c>
      <c r="BG280" s="698">
        <f>IF(Sheet1!EP282="FM",BM280,0)</f>
        <v>0</v>
      </c>
      <c r="BH280" s="698">
        <f t="shared" si="496"/>
        <v>0</v>
      </c>
      <c r="BI280" s="698">
        <f>IF(Sheet1!EP282="OTHER",BM280,0)</f>
        <v>0</v>
      </c>
      <c r="BJ280" s="698">
        <f t="shared" si="497"/>
        <v>0</v>
      </c>
      <c r="BK280" s="698">
        <f t="shared" si="498"/>
        <v>1.44</v>
      </c>
      <c r="BL280" s="698">
        <f t="shared" si="499"/>
        <v>1.4345864661654137</v>
      </c>
      <c r="BM280" s="698">
        <f>IF(OR(Sheet1!EP282="FM", Sheet1!EP282="OTHER"),SUM(Sheet1!BG282:'Sheet1'!BI282),0)</f>
        <v>0</v>
      </c>
      <c r="BN280" s="799">
        <f>IF(AND($B280&gt;=$FV280,$B280&lt;=$FW280),MAX(BF280,Sheet1!EI282,0),MAX(BF280-(7/36)*$K280,0))</f>
        <v>1.5</v>
      </c>
      <c r="BO280" s="698">
        <f t="shared" si="500"/>
        <v>0</v>
      </c>
      <c r="BP280" s="799">
        <f t="shared" si="501"/>
        <v>0</v>
      </c>
      <c r="BQ280" s="799">
        <f>IF(AND($O280&gt;0,Sheet1!EM282=1),(1-($O280-Sheet1!$L282)/$O280)*BL280,0)</f>
        <v>0</v>
      </c>
      <c r="BR280" s="799">
        <f>IF(AND(Sheet1!$L282=0,Sheet1!$L281=0, Calculation!BK280&lt;Sheet1!$EI282-0.1,Sheet1!$EI282=Sheet1!$EI281,Sheet1!$EI282=Sheet1!$EI283),Sheet1!$EI282,BL280-BQ280)</f>
        <v>1.4345864661654137</v>
      </c>
      <c r="BS280" s="698"/>
      <c r="BT280" s="698"/>
      <c r="BU280" s="698">
        <f t="shared" si="502"/>
        <v>144.52176547029438</v>
      </c>
      <c r="BV280" s="698"/>
      <c r="BW280" s="698">
        <f ca="1">IF(B280&gt;Summary!$A$1,#N/A,BU280*MGtoAF)</f>
        <v>443.3927764628632</v>
      </c>
      <c r="BX280" s="698">
        <f>Sheet1!BC282+Sheet1!BD282+Sheet1!BE282+Sheet1!BF282-CG280-CH280</f>
        <v>2.94</v>
      </c>
      <c r="BY280" s="698">
        <f t="shared" si="503"/>
        <v>2.9289473684210527</v>
      </c>
      <c r="BZ280" s="698">
        <f>IF(Sheet1!EQ282="FM",CH280,0)</f>
        <v>0</v>
      </c>
      <c r="CA280" s="698">
        <f t="shared" si="504"/>
        <v>0</v>
      </c>
      <c r="CB280" s="698">
        <f>IF(Sheet1!EQ282="OTHER",CH280,0)</f>
        <v>0</v>
      </c>
      <c r="CC280" s="698">
        <f t="shared" si="505"/>
        <v>0</v>
      </c>
      <c r="CD280" s="698">
        <f t="shared" si="506"/>
        <v>0</v>
      </c>
      <c r="CE280" s="698">
        <f t="shared" si="507"/>
        <v>2.94</v>
      </c>
      <c r="CF280" s="698">
        <f t="shared" si="508"/>
        <v>2.9289473684210527</v>
      </c>
      <c r="CG280" s="698">
        <f>IF(Sheet1!EQ282="CWA",SUM(Sheet1!BC282:'Sheet1'!BF282),0)</f>
        <v>0</v>
      </c>
      <c r="CH280" s="698">
        <f>IF(OR(Sheet1!EQ282="FM", Sheet1!EQ282="OTHER"),SUM(Sheet1!BC282:'Sheet1'!BF282),0)</f>
        <v>0</v>
      </c>
      <c r="CI280" s="799">
        <f>IF(AND($B280&gt;=$FV280,$B280&lt;=$FW280),MAX(CF280,Sheet1!EJ282,0),MAX(CF280-(7/36)*$K280,0))</f>
        <v>3.5</v>
      </c>
      <c r="CJ280" s="698">
        <f t="shared" si="509"/>
        <v>0</v>
      </c>
      <c r="CK280" s="799">
        <f t="shared" si="510"/>
        <v>0</v>
      </c>
      <c r="CL280" s="799">
        <f>IF(AND($O280&gt;0,Sheet1!EN282=1),(1-($O280-Sheet1!$L282)/$O280)*CF280,0)</f>
        <v>0</v>
      </c>
      <c r="CM280" s="799">
        <f>IF(AND(Sheet1!$L282=0,Sheet1!$L281=0, Calculation!CE280&lt;Sheet1!EJ282-0.1,Sheet1!EJ282=Sheet1!EJ281,Sheet1!EJ282=Sheet1!EJ283),Sheet1!EJ282,CF280-CL280)</f>
        <v>2.9289473684210527</v>
      </c>
      <c r="CN280" s="799"/>
      <c r="CO280" s="698"/>
      <c r="CP280" s="698">
        <f t="shared" si="511"/>
        <v>216.83993803035835</v>
      </c>
      <c r="CQ280" s="698"/>
      <c r="CR280" s="698">
        <f ca="1">IF(B280&gt;Summary!$A$1,#N/A,CP280*MGtoAF)</f>
        <v>665.26492987713948</v>
      </c>
      <c r="CS280" s="698">
        <f>Sheet1!BK282+Sheet1!BL282+Sheet1!BM282-Sheet1!ER282-DA280</f>
        <v>7.6999999999999993</v>
      </c>
      <c r="CT280" s="698">
        <f t="shared" si="512"/>
        <v>7.6710526315789478</v>
      </c>
      <c r="CU280" s="698">
        <f>IF(Sheet1!ER282="FM",DA280,0)</f>
        <v>0</v>
      </c>
      <c r="CV280" s="698">
        <f t="shared" si="513"/>
        <v>0</v>
      </c>
      <c r="CW280" s="698">
        <f>IF(Sheet1!ER282="OTHER",DA280,0)</f>
        <v>0</v>
      </c>
      <c r="CX280" s="698">
        <f t="shared" si="514"/>
        <v>0</v>
      </c>
      <c r="CY280" s="698">
        <f t="shared" si="515"/>
        <v>7.6999999999999993</v>
      </c>
      <c r="CZ280" s="698">
        <f t="shared" si="516"/>
        <v>7.6710526315789478</v>
      </c>
      <c r="DA280" s="698">
        <f>IF(OR(Sheet1!ER282="FM", Sheet1!ER282="OTHER"),SUM(Sheet1!BK282:'Sheet1'!BM282),0)</f>
        <v>0</v>
      </c>
      <c r="DB280" s="799">
        <f>IF(AND($B280&gt;=$FV280,$B280&lt;=$FW280),MAX($CT280,Sheet1!EK282,0),MAX($CT280-(7/36)*$K280,0))</f>
        <v>7.6710526315789478</v>
      </c>
      <c r="DC280" s="698">
        <f t="shared" si="517"/>
        <v>0</v>
      </c>
      <c r="DD280" s="799">
        <f t="shared" si="518"/>
        <v>0</v>
      </c>
      <c r="DE280" s="799">
        <f>IF(AND($O280&gt;0,Sheet1!EO282=1),(1-($O280-Sheet1!$L282)/$O280)*CZ280,0)</f>
        <v>0</v>
      </c>
      <c r="DF280" s="799">
        <f>IF(AND(Sheet1!$L282=0,Sheet1!$L281=0, Calculation!CY280&lt;Sheet1!$EK282-0.1,Sheet1!$EK282=Sheet1!$EK281,Sheet1!$EK282=Sheet1!$EK283),Sheet1!$EK282,CZ280-DE280)</f>
        <v>7.6710526315789478</v>
      </c>
      <c r="DG280" s="799"/>
      <c r="DH280" s="698">
        <f t="shared" si="519"/>
        <v>12.079999999999998</v>
      </c>
      <c r="DI280" s="698">
        <f t="shared" si="520"/>
        <v>322.13931409650593</v>
      </c>
      <c r="DJ280" s="698">
        <f t="shared" si="521"/>
        <v>12.034586466165415</v>
      </c>
      <c r="DK280" s="698">
        <f ca="1">IF(B280&gt;Summary!$A$1,#N/A,DI280*MGtoAF)</f>
        <v>988.32341564808019</v>
      </c>
      <c r="DL280" s="698">
        <f t="shared" si="522"/>
        <v>12.079999999999998</v>
      </c>
      <c r="DM280" s="698">
        <f t="shared" si="523"/>
        <v>34.58</v>
      </c>
      <c r="DN280" s="698">
        <f>Sheet1!AB282-DM280</f>
        <v>-0.12999999999999545</v>
      </c>
      <c r="DO280" s="824">
        <f t="shared" si="524"/>
        <v>-3.7593984962404703E-3</v>
      </c>
      <c r="DP280" s="560">
        <f>(VLOOKUP(Sheet1!DC282,hhdcap_wcm,4)-(((VLOOKUP(Sheet1!DC282,hhdcap_wcm,3)-Sheet1!DC282)/(VLOOKUP(Sheet1!DC282,hhdcap_wcm,3)-VLOOKUP(Sheet1!DC282,hhdcap_wcm,1)))*(VLOOKUP(Sheet1!DC282,hhdcap_wcm,4)-VLOOKUP(Sheet1!DC282,hhdcap_wcm,2))))</f>
        <v>23651.000000060198</v>
      </c>
      <c r="DQ280" s="698">
        <f t="shared" si="525"/>
        <v>-650.80000000311702</v>
      </c>
      <c r="DR280" s="698">
        <f t="shared" si="526"/>
        <v>-328.1896117010171</v>
      </c>
      <c r="DS280" s="560">
        <f>Sheet1!EA282*AFtoMG</f>
        <v>0</v>
      </c>
      <c r="DT280" s="698">
        <f>Sheet1!EB282*AFtoMG</f>
        <v>0</v>
      </c>
      <c r="DU280" s="698">
        <f>Sheet1!EC282*AFtoMG</f>
        <v>0</v>
      </c>
      <c r="DV280" s="698">
        <f>Sheet1!ED282*AFtoMG</f>
        <v>0</v>
      </c>
      <c r="DW280" s="698">
        <f t="shared" si="527"/>
        <v>0</v>
      </c>
      <c r="DX280" s="698">
        <f t="shared" si="528"/>
        <v>0</v>
      </c>
      <c r="DY280" s="698">
        <f t="shared" si="529"/>
        <v>1399.0266842638257</v>
      </c>
      <c r="DZ280" s="698">
        <f t="shared" si="530"/>
        <v>4292.2138673214176</v>
      </c>
      <c r="EA280" s="698"/>
      <c r="EB280" s="545">
        <f>IF(OR(B280&lt;FV280,B280&gt;FW280),(MIN(BF280+BY280+CT280+MAX(Sheet1!AA282+AQ280-73,0),K280)),0)</f>
        <v>0</v>
      </c>
      <c r="EC280" s="698"/>
      <c r="ED280" s="698">
        <f t="shared" si="531"/>
        <v>12.034586466165415</v>
      </c>
      <c r="EE280" s="698"/>
      <c r="EF280" s="698">
        <f>Sheet1!EH282+Sheet1!EI282+Sheet1!EJ282+Sheet1!EK282</f>
        <v>12.5</v>
      </c>
      <c r="EG280" s="698"/>
      <c r="EH280" s="799">
        <f t="shared" si="532"/>
        <v>0</v>
      </c>
      <c r="EI280" s="560">
        <f>IF(Sheet1!ET282=1,SUM('Calculations II'!AT280:BA280)+'Calculations II'!BC280+Sheet1!BV282+'Calculations II'!BE280+AP280,SUM('Calculations II'!AT280:BA280)+'Calculations II'!BC280+Sheet1!BV282+'Calculations II'!BE280+AP280)</f>
        <v>61.394416</v>
      </c>
      <c r="EJ280" s="698">
        <f>Sheet1!AA282+Sheet1!AB282+'Calculations II'!BC280</f>
        <v>65.349999999999994</v>
      </c>
      <c r="EK280" s="698"/>
      <c r="EL280" s="698"/>
      <c r="EM280" s="698">
        <f t="shared" si="533"/>
        <v>41908</v>
      </c>
      <c r="EN280" s="698">
        <f t="shared" si="534"/>
        <v>-12.671052631578949</v>
      </c>
      <c r="EO280" s="698">
        <f t="shared" si="535"/>
        <v>-19.602118421052634</v>
      </c>
      <c r="EP280" s="560">
        <v>0</v>
      </c>
      <c r="EQ280" s="560">
        <v>0</v>
      </c>
      <c r="ER280" s="560">
        <v>0</v>
      </c>
      <c r="ES280" s="545">
        <f t="shared" si="557"/>
        <v>-1.8038219264438375</v>
      </c>
      <c r="ET280" s="698">
        <f>-(VLOOKUP(Sheet1!BQ282,Lookup!$O$4:$Q$262,2)-VLOOKUP(Sheet1!BQ281,Lookup!$O$4:$Q$262,2))/1000000</f>
        <v>-0.97127836798440292</v>
      </c>
      <c r="EU280" s="698">
        <f>-(VLOOKUP(Sheet1!BR282,Lookup!$O$4:$Q$262,3)-VLOOKUP(Sheet1!BR281,Lookup!$O$4:$Q$262,3))/1000000</f>
        <v>-0.83254355845943462</v>
      </c>
      <c r="EV280" s="698"/>
      <c r="EW280" s="698"/>
      <c r="EX280" s="698"/>
      <c r="EY280" s="698"/>
      <c r="EZ280" s="698"/>
      <c r="FA280" s="698"/>
      <c r="FB280" s="698"/>
      <c r="FC280" s="698"/>
      <c r="FD280" s="813">
        <f t="shared" si="536"/>
        <v>1117.6024999999404</v>
      </c>
      <c r="FE280" s="813" t="e">
        <f t="shared" si="537"/>
        <v>#N/A</v>
      </c>
      <c r="FF280" s="814" t="e">
        <f t="shared" si="538"/>
        <v>#N/A</v>
      </c>
      <c r="FG280" s="815" t="s">
        <v>692</v>
      </c>
      <c r="FH280" s="815" t="s">
        <v>692</v>
      </c>
      <c r="FI280" s="813" t="e">
        <v>#N/A</v>
      </c>
      <c r="FJ280" s="778">
        <v>10066</v>
      </c>
      <c r="FK280" s="698"/>
      <c r="FL280" s="698"/>
      <c r="FM280" s="698"/>
      <c r="FN280" s="698"/>
      <c r="FO280" s="698">
        <f>O280+((Sheet1!CS282)*GPMtoMGD)</f>
        <v>65.349999999999994</v>
      </c>
      <c r="FP280" s="698">
        <f>IF(Sheet1!AA282+AQ280&lt;=Calculation!N280,AQ280,Calculation!N280-Sheet1!AA282)</f>
        <v>20.821428571428573</v>
      </c>
      <c r="FQ280" s="698">
        <f>(Sheet1!BP282+Sheet1!BO282)/694.4</f>
        <v>1.1677707373271888</v>
      </c>
      <c r="FR280" s="698"/>
      <c r="FS280" s="698"/>
      <c r="FT280" s="698"/>
      <c r="FU280" s="698"/>
      <c r="FV280" s="695">
        <f t="shared" si="558"/>
        <v>41827</v>
      </c>
      <c r="FW280" s="695">
        <f t="shared" si="559"/>
        <v>41934</v>
      </c>
      <c r="FX280" s="698"/>
      <c r="FY280" s="698"/>
      <c r="FZ280" s="698"/>
      <c r="GA280" s="698"/>
      <c r="GB280" s="698" t="str">
        <f t="shared" si="560"/>
        <v>n</v>
      </c>
      <c r="GC280" s="564">
        <f t="shared" si="561"/>
        <v>41691</v>
      </c>
      <c r="GD280" s="695">
        <f t="shared" si="562"/>
        <v>41807</v>
      </c>
      <c r="GE280" s="698">
        <v>6518.9</v>
      </c>
      <c r="GF280" s="695">
        <f t="shared" si="563"/>
        <v>41808</v>
      </c>
      <c r="GG280" s="698">
        <f t="shared" si="582"/>
        <v>3259</v>
      </c>
      <c r="GH280" s="564">
        <f t="shared" si="564"/>
        <v>41934</v>
      </c>
      <c r="GI280" s="818"/>
      <c r="GJ280" s="799">
        <f t="shared" si="565"/>
        <v>0</v>
      </c>
      <c r="GK280" s="698" t="str">
        <f t="shared" si="539"/>
        <v/>
      </c>
      <c r="GL280" s="698">
        <f t="shared" si="566"/>
        <v>0</v>
      </c>
      <c r="GM280" s="698" t="str">
        <f t="shared" si="567"/>
        <v/>
      </c>
      <c r="GN280" s="698">
        <f>IF(GK280="P",Lookup!$M$12,IF(GK280="PP",Lookup!$M$13,IF(GK280="PPP",Lookup!$M$14,IF(GK280="T",Lookup!$M$15,IF(GK280="TP",Lookup!$M$16,IF(GK280="TPP",Lookup!$M$17,IF(GK280="TPPP",Lookup!$M$18,0)))))))*GJ280</f>
        <v>0</v>
      </c>
      <c r="GO280" s="698">
        <f t="shared" si="568"/>
        <v>0</v>
      </c>
      <c r="GP280" s="698">
        <f t="shared" si="540"/>
        <v>2195.2327453333342</v>
      </c>
      <c r="GQ280" s="698">
        <f t="shared" si="576"/>
        <v>715.52566666666689</v>
      </c>
      <c r="GR280" s="698"/>
      <c r="GS280" s="698">
        <f t="shared" si="569"/>
        <v>0</v>
      </c>
      <c r="GT280" s="698" t="str">
        <f t="shared" si="570"/>
        <v/>
      </c>
      <c r="GU280" s="698">
        <f>IF(GK280="P",Lookup!$N$12,IF(GK280="PP",Lookup!$N$13,IF(GK280="PPP",Lookup!$N$14,IF(GK280="T",Lookup!$N$15,IF(GK280="TP",Lookup!$N$16,IF(GK280="TPP",Lookup!$N$17,IF(GK280="TPPP",Lookup!$N$18,0)))))))*GJ280</f>
        <v>0</v>
      </c>
      <c r="GV280" s="698">
        <f t="shared" si="571"/>
        <v>0</v>
      </c>
      <c r="GW280" s="698">
        <f t="shared" si="541"/>
        <v>443.3927764628632</v>
      </c>
      <c r="GX280" s="698">
        <f t="shared" si="577"/>
        <v>144.52176547029438</v>
      </c>
      <c r="GY280" s="698"/>
      <c r="GZ280" s="698">
        <f t="shared" si="572"/>
        <v>0</v>
      </c>
      <c r="HA280" s="698" t="str">
        <f t="shared" si="573"/>
        <v/>
      </c>
      <c r="HB280" s="698">
        <f>IF(GK280="P",Lookup!$N$12,IF(GK280="PP",Lookup!$N$13,IF(GK280="PPP",Lookup!$N$14,IF(GK280="T",Lookup!$N$15,IF(GK280="TP",Lookup!$N$16,IF(GK280="TPP",Lookup!$N$17,IF(GK280="TPPP",Lookup!$N$18,0)))))))*GJ280</f>
        <v>0</v>
      </c>
      <c r="HC280" s="799">
        <f t="shared" si="542"/>
        <v>0</v>
      </c>
      <c r="HD280" s="698">
        <f t="shared" si="543"/>
        <v>665.26492987713948</v>
      </c>
      <c r="HE280" s="698">
        <f t="shared" si="578"/>
        <v>216.83993803035835</v>
      </c>
      <c r="HF280" s="698"/>
      <c r="HG280" s="698">
        <f t="shared" si="574"/>
        <v>0</v>
      </c>
      <c r="HH280" s="698" t="str">
        <f t="shared" si="575"/>
        <v/>
      </c>
      <c r="HI280" s="698">
        <f>IF(GK280="P",Lookup!$N$12,IF(GK280="PP",Lookup!$N$13,IF(GK280="PPP",Lookup!$N$14,IF(GK280="T",Lookup!$N$15,IF(GK280="TP",Lookup!$N$16,IF(GK280="TPP",Lookup!$N$17,IF(GK280="TPPP",Lookup!$N$18,0)))))))*GJ280</f>
        <v>0</v>
      </c>
      <c r="HJ280" s="799">
        <f t="shared" si="544"/>
        <v>0</v>
      </c>
      <c r="HK280" s="698">
        <f t="shared" si="545"/>
        <v>988.32341564808019</v>
      </c>
      <c r="HL280" s="698">
        <f t="shared" si="579"/>
        <v>322.13931409650593</v>
      </c>
    </row>
    <row r="281" spans="1:220">
      <c r="A281" s="580" t="s">
        <v>9</v>
      </c>
      <c r="B281" s="556">
        <v>41909</v>
      </c>
      <c r="C281" s="561">
        <v>0</v>
      </c>
      <c r="D281" s="529">
        <f t="shared" si="580"/>
        <v>300</v>
      </c>
      <c r="E281" s="529">
        <f t="shared" si="581"/>
        <v>250</v>
      </c>
      <c r="F281" s="529">
        <v>250</v>
      </c>
      <c r="G281" s="560">
        <f>DR281+Sheet1!CZ283</f>
        <v>253.64952092682671</v>
      </c>
      <c r="H281" s="914">
        <f t="shared" si="546"/>
        <v>0</v>
      </c>
      <c r="I281" s="559">
        <f>MAX(Sheet1!Z283-AT281+(Sheet1!DA283-E281)*CFStoMGD,0)</f>
        <v>297.53479999999996</v>
      </c>
      <c r="J281" s="562">
        <f>IF(AND(B281&gt;=Calculation!GC281,B281&lt;=Calculation!GD281),IF(Sheet1!DB283&gt;=Calculation!D281,64.64,0),MAX(Sheet1!Z283-AT281+(Sheet1!DB283-D281)*CFStoMGD,0))</f>
        <v>155.32679999999999</v>
      </c>
      <c r="K281" s="904">
        <f t="shared" si="481"/>
        <v>0</v>
      </c>
      <c r="L281" s="560">
        <f>Sheet1!AA283+Sheet1!AB283-Sheet1!L283+(Sheet1!DA283-F281)*CFStoMGD</f>
        <v>326.28479999999996</v>
      </c>
      <c r="M281" s="560">
        <f t="shared" si="482"/>
        <v>167.2382313336428</v>
      </c>
      <c r="N281" s="910">
        <f>IF(Sheet1!DA283&gt;=F281,MIN(73,MIN(MAX(L281,0),MAX(M281,0))),0)</f>
        <v>73</v>
      </c>
      <c r="O281" s="563">
        <f>Sheet1!AA283+Sheet1!AB283</f>
        <v>63.2</v>
      </c>
      <c r="P281" s="563">
        <f t="shared" si="483"/>
        <v>97.770399999999995</v>
      </c>
      <c r="Q281" s="898">
        <f t="shared" si="547"/>
        <v>50.7</v>
      </c>
      <c r="R281" s="829">
        <f t="shared" si="484"/>
        <v>12.5</v>
      </c>
      <c r="S281" s="898">
        <f t="shared" si="548"/>
        <v>0</v>
      </c>
      <c r="T281" s="898">
        <f t="shared" si="549"/>
        <v>0</v>
      </c>
      <c r="U281" s="898">
        <f t="shared" si="550"/>
        <v>12.5</v>
      </c>
      <c r="V281" s="898"/>
      <c r="W281" s="898">
        <f t="shared" si="551"/>
        <v>0</v>
      </c>
      <c r="X281" s="898">
        <f t="shared" si="552"/>
        <v>0</v>
      </c>
      <c r="Y281" s="898" t="str">
        <f t="shared" si="553"/>
        <v>FALSE</v>
      </c>
      <c r="Z281" s="898">
        <f t="shared" si="554"/>
        <v>63.2</v>
      </c>
      <c r="AA281" s="898">
        <f t="shared" si="555"/>
        <v>63.2</v>
      </c>
      <c r="AB281" s="898" t="str">
        <f t="shared" si="556"/>
        <v/>
      </c>
      <c r="AC281" s="563">
        <f>Sheet1!Y283*MGDtoCFS</f>
        <v>47.802299999999995</v>
      </c>
      <c r="AD281" s="563">
        <f>Sheet1!Z283*MGDtoCFS</f>
        <v>53.294150000000002</v>
      </c>
      <c r="AE281" s="563">
        <f>Sheet1!AA283*MGDtoCFS</f>
        <v>47.957000000000001</v>
      </c>
      <c r="AF281" s="563">
        <f>Sheet1!AB283*MGDtoCFS</f>
        <v>49.813400000000001</v>
      </c>
      <c r="AG281" s="563">
        <f>Sheet1!L283*MGDtoCFS</f>
        <v>0</v>
      </c>
      <c r="AH281" s="545">
        <f t="shared" si="485"/>
        <v>12.739907550077042</v>
      </c>
      <c r="AI281" s="560">
        <f t="shared" si="486"/>
        <v>19.708636979969185</v>
      </c>
      <c r="AJ281" s="560">
        <f t="shared" si="487"/>
        <v>0</v>
      </c>
      <c r="AK281" s="560">
        <f t="shared" si="488"/>
        <v>0</v>
      </c>
      <c r="AL281" s="560">
        <f>(VLOOKUP(Sheet1!DC283,hhdcap_wcm,4)-(((VLOOKUP(Sheet1!DC283,hhdcap_wcm,3)-Sheet1!DC283)/(VLOOKUP(Sheet1!DC283,hhdcap_wcm,3)-VLOOKUP(Sheet1!DC283,hhdcap_wcm,1)))*(VLOOKUP(Sheet1!DC283,hhdcap_wcm,4)-VLOOKUP(Sheet1!DC283,hhdcap_wcm,2))))</f>
        <v>22986.000000058095</v>
      </c>
      <c r="AM281" s="560">
        <f t="shared" si="489"/>
        <v>-665.00000000210275</v>
      </c>
      <c r="AN281" s="560">
        <f t="shared" si="490"/>
        <v>1386.2867767137486</v>
      </c>
      <c r="AO281" s="560">
        <f t="shared" si="491"/>
        <v>4253.127830957781</v>
      </c>
      <c r="AP281" s="560">
        <f>Sheet1!BA283+Sheet1!BB283+Sheet1!BN283+CD281</f>
        <v>20.700000000000003</v>
      </c>
      <c r="AQ281" s="560">
        <f>Sheet1!BN283+(DO281*Sheet1!BN283)</f>
        <v>18.952850539291219</v>
      </c>
      <c r="AR281" s="560">
        <f>Sheet1!BA283+CD281</f>
        <v>0</v>
      </c>
      <c r="AS281" s="560">
        <f>Sheet1!BA283+Sheet1!BB283+CD281</f>
        <v>1.6</v>
      </c>
      <c r="AT281" s="698">
        <f>0</f>
        <v>0</v>
      </c>
      <c r="AU281" s="560">
        <f>IF(EB281&lt;K281,0,MAX(Sheet1!AA283+AQ281-15/36*K281-N281,Sheet1!EH283,0))</f>
        <v>0</v>
      </c>
      <c r="AV281" s="560">
        <f>IF(OR(B281&gt;=GD281,B281&lt;GC281),0,15/36*K281-MAX(0,64.6-(137.6-(Sheet1!AA283+Sheet1!AB283))))</f>
        <v>0</v>
      </c>
      <c r="AW281" s="698">
        <f>Sheet1!DB283-110</f>
        <v>377</v>
      </c>
      <c r="AX281" s="698">
        <f>Sheet1!DA283-265</f>
        <v>392</v>
      </c>
      <c r="AY281" s="698">
        <f t="shared" si="492"/>
        <v>22.299999999999997</v>
      </c>
      <c r="AZ281" s="698">
        <v>0</v>
      </c>
      <c r="BA281" s="698">
        <f t="shared" si="493"/>
        <v>0</v>
      </c>
      <c r="BB281" s="560">
        <f t="shared" si="494"/>
        <v>715.52566666666689</v>
      </c>
      <c r="BC281" s="560"/>
      <c r="BD281" s="560">
        <f ca="1">IF(B281&gt;Summary!$A$1,#N/A,BB281*MGtoAF)</f>
        <v>2195.2327453333342</v>
      </c>
      <c r="BE281" s="560">
        <f>Sheet1!BG283+Sheet1!BH283+Sheet1!BI283-BM281</f>
        <v>1.44</v>
      </c>
      <c r="BF281" s="560">
        <f t="shared" si="495"/>
        <v>1.4289060092449923</v>
      </c>
      <c r="BG281" s="560">
        <f>IF(Sheet1!EP283="FM",BM281,0)</f>
        <v>0</v>
      </c>
      <c r="BH281" s="560">
        <f t="shared" si="496"/>
        <v>0</v>
      </c>
      <c r="BI281" s="560">
        <f>IF(Sheet1!EP283="OTHER",BM281,0)</f>
        <v>0</v>
      </c>
      <c r="BJ281" s="560">
        <f t="shared" si="497"/>
        <v>0</v>
      </c>
      <c r="BK281" s="560">
        <f t="shared" si="498"/>
        <v>1.44</v>
      </c>
      <c r="BL281" s="560">
        <f t="shared" si="499"/>
        <v>1.4289060092449923</v>
      </c>
      <c r="BM281" s="560">
        <f>IF(OR(Sheet1!EP283="FM", Sheet1!EP283="OTHER"),SUM(Sheet1!BG283:'Sheet1'!BI283),0)</f>
        <v>0</v>
      </c>
      <c r="BN281" s="545">
        <f>IF(AND($B281&gt;=$FV281,$B281&lt;=$FW281),MAX(BF281,Sheet1!EI283,0),MAX(BF281-(7/36)*$K281,0))</f>
        <v>1.5</v>
      </c>
      <c r="BO281" s="560">
        <f t="shared" si="500"/>
        <v>0</v>
      </c>
      <c r="BP281" s="545">
        <f t="shared" si="501"/>
        <v>0</v>
      </c>
      <c r="BQ281" s="545">
        <f>IF(AND($O281&gt;0,Sheet1!EM283=1),(1-($O281-Sheet1!$L283)/$O281)*BL281,0)</f>
        <v>0</v>
      </c>
      <c r="BR281" s="545">
        <f>IF(AND(Sheet1!$L283=0,Sheet1!$L282=0, Calculation!BK281&lt;Sheet1!$EI283-0.1,Sheet1!$EI283=Sheet1!$EI282,Sheet1!$EI283=Sheet1!$EI284),Sheet1!$EI283,BL281-BQ281)</f>
        <v>1.4289060092449923</v>
      </c>
      <c r="BS281" s="560"/>
      <c r="BT281" s="560"/>
      <c r="BU281" s="560">
        <f t="shared" si="502"/>
        <v>143.02176547029438</v>
      </c>
      <c r="BV281" s="560"/>
      <c r="BW281" s="560">
        <f ca="1">IF(B281&gt;Summary!$A$1,#N/A,BU281*MGtoAF)</f>
        <v>438.79077646286316</v>
      </c>
      <c r="BX281" s="560">
        <f>Sheet1!BC283+Sheet1!BD283+Sheet1!BE283+Sheet1!BF283-CG281-CH281</f>
        <v>2.5099999999999998</v>
      </c>
      <c r="BY281" s="560">
        <f t="shared" si="503"/>
        <v>2.4906625577812016</v>
      </c>
      <c r="BZ281" s="560">
        <f>IF(Sheet1!EQ283="FM",CH281,0)</f>
        <v>0</v>
      </c>
      <c r="CA281" s="560">
        <f t="shared" si="504"/>
        <v>0</v>
      </c>
      <c r="CB281" s="560">
        <f>IF(Sheet1!EQ283="OTHER",CH281,0)</f>
        <v>0</v>
      </c>
      <c r="CC281" s="560">
        <f t="shared" si="505"/>
        <v>0</v>
      </c>
      <c r="CD281" s="560">
        <f t="shared" si="506"/>
        <v>0</v>
      </c>
      <c r="CE281" s="560">
        <f t="shared" si="507"/>
        <v>2.5099999999999998</v>
      </c>
      <c r="CF281" s="560">
        <f t="shared" si="508"/>
        <v>2.4906625577812016</v>
      </c>
      <c r="CG281" s="560">
        <f>IF(Sheet1!EQ283="CWA",SUM(Sheet1!BC283:'Sheet1'!BF283),0)</f>
        <v>0</v>
      </c>
      <c r="CH281" s="560">
        <f>IF(OR(Sheet1!EQ283="FM", Sheet1!EQ283="OTHER"),SUM(Sheet1!BC283:'Sheet1'!BF283),0)</f>
        <v>0</v>
      </c>
      <c r="CI281" s="545">
        <f>IF(AND($B281&gt;=$FV281,$B281&lt;=$FW281),MAX(CF281,Sheet1!EJ283,0),MAX(CF281-(7/36)*$K281,0))</f>
        <v>3.5</v>
      </c>
      <c r="CJ281" s="560">
        <f t="shared" si="509"/>
        <v>0</v>
      </c>
      <c r="CK281" s="545">
        <f t="shared" si="510"/>
        <v>0</v>
      </c>
      <c r="CL281" s="545">
        <f>IF(AND($O281&gt;0,Sheet1!EN283=1),(1-($O281-Sheet1!$L283)/$O281)*CF281,0)</f>
        <v>0</v>
      </c>
      <c r="CM281" s="545">
        <f>IF(AND(Sheet1!$L283=0,Sheet1!$L282=0, Calculation!CE281&lt;Sheet1!EJ283-0.1,Sheet1!EJ283=Sheet1!EJ282,Sheet1!EJ283=Sheet1!EJ284),Sheet1!EJ283,CF281-CL281)</f>
        <v>3.5</v>
      </c>
      <c r="CN281" s="545"/>
      <c r="CO281" s="560"/>
      <c r="CP281" s="560">
        <f t="shared" si="511"/>
        <v>213.33993803035835</v>
      </c>
      <c r="CQ281" s="560"/>
      <c r="CR281" s="560">
        <f ca="1">IF(B281&gt;Summary!$A$1,#N/A,CP281*MGtoAF)</f>
        <v>654.52692987713942</v>
      </c>
      <c r="CS281" s="560">
        <f>Sheet1!BK283+Sheet1!BL283+Sheet1!BM283-Sheet1!ER283-DA281</f>
        <v>7.8000000000000007</v>
      </c>
      <c r="CT281" s="560">
        <f t="shared" si="512"/>
        <v>7.7399075500770422</v>
      </c>
      <c r="CU281" s="560">
        <f>IF(Sheet1!ER283="FM",DA281,0)</f>
        <v>0</v>
      </c>
      <c r="CV281" s="560">
        <f t="shared" si="513"/>
        <v>0</v>
      </c>
      <c r="CW281" s="560">
        <f>IF(Sheet1!ER283="OTHER",DA281,0)</f>
        <v>0</v>
      </c>
      <c r="CX281" s="560">
        <f t="shared" si="514"/>
        <v>0</v>
      </c>
      <c r="CY281" s="560">
        <f t="shared" si="515"/>
        <v>7.8000000000000007</v>
      </c>
      <c r="CZ281" s="560">
        <f t="shared" si="516"/>
        <v>7.7399075500770422</v>
      </c>
      <c r="DA281" s="560">
        <f>IF(OR(Sheet1!ER283="FM", Sheet1!ER283="OTHER"),SUM(Sheet1!BK283:'Sheet1'!BM283),0)</f>
        <v>0</v>
      </c>
      <c r="DB281" s="545">
        <f>IF(AND($B281&gt;=$FV281,$B281&lt;=$FW281),MAX($CT281,Sheet1!EK283,0),MAX($CT281-(7/36)*$K281,0))</f>
        <v>7.7399075500770422</v>
      </c>
      <c r="DC281" s="560">
        <f t="shared" si="517"/>
        <v>0</v>
      </c>
      <c r="DD281" s="545">
        <f t="shared" si="518"/>
        <v>0</v>
      </c>
      <c r="DE281" s="545">
        <f>IF(AND($O281&gt;0,Sheet1!EO283=1),(1-($O281-Sheet1!$L283)/$O281)*CZ281,0)</f>
        <v>0</v>
      </c>
      <c r="DF281" s="545">
        <f>IF(AND(Sheet1!$L283=0,Sheet1!$L282=0, Calculation!CY281&lt;Sheet1!$EK283-0.1,Sheet1!$EK283=Sheet1!$EK282,Sheet1!$EK283=Sheet1!$EK284),Sheet1!$EK283,CZ281-DE281)</f>
        <v>7.7399075500770422</v>
      </c>
      <c r="DG281" s="545"/>
      <c r="DH281" s="560">
        <f t="shared" si="519"/>
        <v>11.75</v>
      </c>
      <c r="DI281" s="560">
        <f t="shared" si="520"/>
        <v>314.39940654642891</v>
      </c>
      <c r="DJ281" s="698">
        <f t="shared" si="521"/>
        <v>11.659476117103235</v>
      </c>
      <c r="DK281" s="560">
        <f ca="1">IF(B281&gt;Summary!$A$1,#N/A,DI281*MGtoAF)</f>
        <v>964.57737928444385</v>
      </c>
      <c r="DL281" s="698">
        <f t="shared" si="522"/>
        <v>11.75</v>
      </c>
      <c r="DM281" s="560">
        <f t="shared" si="523"/>
        <v>32.450000000000003</v>
      </c>
      <c r="DN281" s="560">
        <f>Sheet1!AB283-DM281</f>
        <v>-0.25</v>
      </c>
      <c r="DO281" s="823">
        <f t="shared" si="524"/>
        <v>-7.7041602465331271E-3</v>
      </c>
      <c r="DP281" s="560">
        <f>(VLOOKUP(Sheet1!DC283,hhdcap_wcm,4)-(((VLOOKUP(Sheet1!DC283,hhdcap_wcm,3)-Sheet1!DC283)/(VLOOKUP(Sheet1!DC283,hhdcap_wcm,3)-VLOOKUP(Sheet1!DC283,hhdcap_wcm,1)))*(VLOOKUP(Sheet1!DC283,hhdcap_wcm,4)-VLOOKUP(Sheet1!DC283,hhdcap_wcm,2))))</f>
        <v>22986.000000058095</v>
      </c>
      <c r="DQ281" s="560">
        <f t="shared" si="525"/>
        <v>-665.00000000210275</v>
      </c>
      <c r="DR281" s="560">
        <f t="shared" si="526"/>
        <v>-335.35047907317329</v>
      </c>
      <c r="DS281" s="560">
        <f>Sheet1!EA283*AFtoMG</f>
        <v>0</v>
      </c>
      <c r="DT281" s="560">
        <f>Sheet1!EB283*AFtoMG</f>
        <v>0</v>
      </c>
      <c r="DU281" s="560">
        <f>Sheet1!EC283*AFtoMG</f>
        <v>0</v>
      </c>
      <c r="DV281" s="560">
        <f>Sheet1!ED283*AFtoMG</f>
        <v>0</v>
      </c>
      <c r="DW281" s="560">
        <f t="shared" si="527"/>
        <v>0</v>
      </c>
      <c r="DX281" s="560">
        <f t="shared" si="528"/>
        <v>0</v>
      </c>
      <c r="DY281" s="560">
        <f t="shared" si="529"/>
        <v>1386.2867767137486</v>
      </c>
      <c r="DZ281" s="560">
        <f t="shared" si="530"/>
        <v>4253.127830957781</v>
      </c>
      <c r="EA281" s="560"/>
      <c r="EB281" s="545">
        <f>IF(OR(B281&lt;FV281,B281&gt;FW281),(MIN(BF281+BY281+CT281+MAX(Sheet1!AA283+AQ281-73,0),K281)),0)</f>
        <v>0</v>
      </c>
      <c r="EC281" s="560"/>
      <c r="ED281" s="560">
        <f t="shared" si="531"/>
        <v>11.659476117103235</v>
      </c>
      <c r="EE281" s="560"/>
      <c r="EF281" s="560">
        <f>Sheet1!EH283+Sheet1!EI283+Sheet1!EJ283+Sheet1!EK283</f>
        <v>12.5</v>
      </c>
      <c r="EG281" s="560"/>
      <c r="EH281" s="545">
        <f t="shared" si="532"/>
        <v>0</v>
      </c>
      <c r="EI281" s="560">
        <f>IF(Sheet1!ET283=1,SUM('Calculations II'!AT281:BA281)+'Calculations II'!BC281+Sheet1!BV283+'Calculations II'!BE281+AP281,SUM('Calculations II'!AT281:BA281)+'Calculations II'!BC281+Sheet1!BV283+'Calculations II'!BE281+AP281)</f>
        <v>61.133375999999998</v>
      </c>
      <c r="EJ281" s="560">
        <f>Sheet1!AA283+Sheet1!AB283+'Calculations II'!BC281</f>
        <v>63.2</v>
      </c>
      <c r="EK281" s="560"/>
      <c r="EL281" s="560"/>
      <c r="EM281" s="560">
        <f t="shared" si="533"/>
        <v>41909</v>
      </c>
      <c r="EN281" s="560">
        <f t="shared" si="534"/>
        <v>-12.739907550077042</v>
      </c>
      <c r="EO281" s="560">
        <f t="shared" si="535"/>
        <v>-19.708636979969185</v>
      </c>
      <c r="EP281" s="560">
        <v>0</v>
      </c>
      <c r="EQ281" s="560">
        <v>0</v>
      </c>
      <c r="ER281" s="560">
        <v>0</v>
      </c>
      <c r="ES281" s="545">
        <f t="shared" si="557"/>
        <v>0.41631347421653198</v>
      </c>
      <c r="ET281" s="560">
        <f>-(VLOOKUP(Sheet1!BQ283,Lookup!$O$4:$Q$262,2)-VLOOKUP(Sheet1!BQ282,Lookup!$O$4:$Q$262,2))/1000000</f>
        <v>0.27754017786411567</v>
      </c>
      <c r="EU281" s="560">
        <f>-(VLOOKUP(Sheet1!BR283,Lookup!$O$4:$Q$262,3)-VLOOKUP(Sheet1!BR282,Lookup!$O$4:$Q$262,3))/1000000</f>
        <v>0.13877329635241628</v>
      </c>
      <c r="EV281" s="560"/>
      <c r="EW281" s="560"/>
      <c r="EX281" s="560"/>
      <c r="EY281" s="560"/>
      <c r="EZ281" s="560"/>
      <c r="FA281" s="560"/>
      <c r="FB281" s="560"/>
      <c r="FC281" s="560"/>
      <c r="FD281" s="594">
        <f t="shared" si="536"/>
        <v>1117.0634146340872</v>
      </c>
      <c r="FE281" s="594" t="e">
        <f t="shared" si="537"/>
        <v>#N/A</v>
      </c>
      <c r="FF281" s="595" t="e">
        <f t="shared" si="538"/>
        <v>#N/A</v>
      </c>
      <c r="FG281" s="596" t="s">
        <v>692</v>
      </c>
      <c r="FH281" s="596" t="s">
        <v>692</v>
      </c>
      <c r="FI281" s="594" t="e">
        <v>#N/A</v>
      </c>
      <c r="FJ281" s="778">
        <v>9850</v>
      </c>
      <c r="FK281" s="560"/>
      <c r="FL281" s="560"/>
      <c r="FM281" s="560"/>
      <c r="FN281" s="560"/>
      <c r="FO281" s="560">
        <f>O281+((Sheet1!CS283)*GPMtoMGD)</f>
        <v>63.2</v>
      </c>
      <c r="FP281" s="560">
        <f>IF(Sheet1!AA283+AQ281&lt;=Calculation!N281,AQ281,Calculation!N281-Sheet1!AA283)</f>
        <v>18.952850539291219</v>
      </c>
      <c r="FQ281" s="560">
        <f>(Sheet1!BP283+Sheet1!BO283)/694.4</f>
        <v>1.9504608294930879</v>
      </c>
      <c r="FR281" s="560"/>
      <c r="FS281" s="560"/>
      <c r="FT281" s="560"/>
      <c r="FU281" s="560"/>
      <c r="FV281" s="695">
        <f t="shared" si="558"/>
        <v>41827</v>
      </c>
      <c r="FW281" s="695">
        <f t="shared" si="559"/>
        <v>41934</v>
      </c>
      <c r="FX281" s="560"/>
      <c r="FY281" s="560"/>
      <c r="FZ281" s="560"/>
      <c r="GA281" s="560"/>
      <c r="GB281" s="560" t="str">
        <f t="shared" si="560"/>
        <v>n</v>
      </c>
      <c r="GC281" s="564">
        <f t="shared" si="561"/>
        <v>41691</v>
      </c>
      <c r="GD281" s="695">
        <f t="shared" si="562"/>
        <v>41807</v>
      </c>
      <c r="GE281" s="560">
        <v>6518.9</v>
      </c>
      <c r="GF281" s="695">
        <f t="shared" si="563"/>
        <v>41808</v>
      </c>
      <c r="GG281" s="560">
        <f t="shared" si="582"/>
        <v>3259</v>
      </c>
      <c r="GH281" s="564">
        <f t="shared" si="564"/>
        <v>41934</v>
      </c>
      <c r="GJ281" s="545">
        <f t="shared" si="565"/>
        <v>0</v>
      </c>
      <c r="GK281" s="560" t="str">
        <f t="shared" si="539"/>
        <v/>
      </c>
      <c r="GL281" s="560">
        <f t="shared" si="566"/>
        <v>0</v>
      </c>
      <c r="GM281" s="560" t="str">
        <f t="shared" si="567"/>
        <v/>
      </c>
      <c r="GN281" s="560">
        <f>IF(GK281="P",Lookup!$M$12,IF(GK281="PP",Lookup!$M$13,IF(GK281="PPP",Lookup!$M$14,IF(GK281="T",Lookup!$M$15,IF(GK281="TP",Lookup!$M$16,IF(GK281="TPP",Lookup!$M$17,IF(GK281="TPPP",Lookup!$M$18,0)))))))*GJ281</f>
        <v>0</v>
      </c>
      <c r="GO281" s="560">
        <f t="shared" si="568"/>
        <v>0</v>
      </c>
      <c r="GP281" s="560">
        <f t="shared" si="540"/>
        <v>2195.2327453333342</v>
      </c>
      <c r="GQ281" s="560">
        <f t="shared" si="576"/>
        <v>715.52566666666689</v>
      </c>
      <c r="GR281" s="560"/>
      <c r="GS281" s="560">
        <f t="shared" si="569"/>
        <v>0</v>
      </c>
      <c r="GT281" s="560" t="str">
        <f t="shared" si="570"/>
        <v/>
      </c>
      <c r="GU281" s="560">
        <f>IF(GK281="P",Lookup!$N$12,IF(GK281="PP",Lookup!$N$13,IF(GK281="PPP",Lookup!$N$14,IF(GK281="T",Lookup!$N$15,IF(GK281="TP",Lookup!$N$16,IF(GK281="TPP",Lookup!$N$17,IF(GK281="TPPP",Lookup!$N$18,0)))))))*GJ281</f>
        <v>0</v>
      </c>
      <c r="GV281" s="560">
        <f t="shared" si="571"/>
        <v>0</v>
      </c>
      <c r="GW281" s="560">
        <f t="shared" si="541"/>
        <v>438.79077646286316</v>
      </c>
      <c r="GX281" s="560">
        <f t="shared" si="577"/>
        <v>143.02176547029438</v>
      </c>
      <c r="GY281" s="560"/>
      <c r="GZ281" s="560">
        <f t="shared" si="572"/>
        <v>0</v>
      </c>
      <c r="HA281" s="560" t="str">
        <f t="shared" si="573"/>
        <v/>
      </c>
      <c r="HB281" s="560">
        <f>IF(GK281="P",Lookup!$N$12,IF(GK281="PP",Lookup!$N$13,IF(GK281="PPP",Lookup!$N$14,IF(GK281="T",Lookup!$N$15,IF(GK281="TP",Lookup!$N$16,IF(GK281="TPP",Lookup!$N$17,IF(GK281="TPPP",Lookup!$N$18,0)))))))*GJ281</f>
        <v>0</v>
      </c>
      <c r="HC281" s="545">
        <f t="shared" si="542"/>
        <v>0</v>
      </c>
      <c r="HD281" s="560">
        <f t="shared" si="543"/>
        <v>654.52692987713942</v>
      </c>
      <c r="HE281" s="560">
        <f t="shared" si="578"/>
        <v>213.33993803035835</v>
      </c>
      <c r="HF281" s="560"/>
      <c r="HG281" s="560">
        <f t="shared" si="574"/>
        <v>0</v>
      </c>
      <c r="HH281" s="560" t="str">
        <f t="shared" si="575"/>
        <v/>
      </c>
      <c r="HI281" s="560">
        <f>IF(GK281="P",Lookup!$N$12,IF(GK281="PP",Lookup!$N$13,IF(GK281="PPP",Lookup!$N$14,IF(GK281="T",Lookup!$N$15,IF(GK281="TP",Lookup!$N$16,IF(GK281="TPP",Lookup!$N$17,IF(GK281="TPPP",Lookup!$N$18,0)))))))*GJ281</f>
        <v>0</v>
      </c>
      <c r="HJ281" s="545">
        <f t="shared" si="544"/>
        <v>0</v>
      </c>
      <c r="HK281" s="560">
        <f t="shared" si="545"/>
        <v>964.57737928444385</v>
      </c>
      <c r="HL281" s="560">
        <f t="shared" si="579"/>
        <v>314.39940654642891</v>
      </c>
    </row>
    <row r="282" spans="1:220">
      <c r="A282" s="580" t="s">
        <v>3</v>
      </c>
      <c r="B282" s="556">
        <v>41910</v>
      </c>
      <c r="C282" s="561">
        <v>0</v>
      </c>
      <c r="D282" s="529">
        <f t="shared" si="580"/>
        <v>300</v>
      </c>
      <c r="E282" s="529">
        <f t="shared" si="581"/>
        <v>250</v>
      </c>
      <c r="F282" s="529">
        <v>250</v>
      </c>
      <c r="G282" s="560">
        <f>DR282+Sheet1!CZ284</f>
        <v>212.1306101858533</v>
      </c>
      <c r="H282" s="914">
        <f t="shared" si="546"/>
        <v>0</v>
      </c>
      <c r="I282" s="559">
        <f>MAX(Sheet1!Z284-AT282+(Sheet1!DA284-E282)*CFStoMGD,0)</f>
        <v>281.06400000000002</v>
      </c>
      <c r="J282" s="562">
        <f>IF(AND(B282&gt;=Calculation!GC282,B282&lt;=Calculation!GD282),IF(Sheet1!DB284&gt;=Calculation!D282,64.64,0),MAX(Sheet1!Z284-AT282+(Sheet1!DB284-D282)*CFStoMGD,0))</f>
        <v>151.13759999999999</v>
      </c>
      <c r="K282" s="904">
        <f t="shared" si="481"/>
        <v>0</v>
      </c>
      <c r="L282" s="560">
        <f>Sheet1!AA284+Sheet1!AB284-Sheet1!L284+(Sheet1!DA284-F282)*CFStoMGD</f>
        <v>309.904</v>
      </c>
      <c r="M282" s="560">
        <f t="shared" si="482"/>
        <v>139.86365095261829</v>
      </c>
      <c r="N282" s="910">
        <f>IF(Sheet1!DA284&gt;=F282,MIN(73,MIN(MAX(L282,0),MAX(M282,0))),0)</f>
        <v>73</v>
      </c>
      <c r="O282" s="563">
        <f>Sheet1!AA284+Sheet1!AB284</f>
        <v>61.04</v>
      </c>
      <c r="P282" s="563">
        <f t="shared" si="483"/>
        <v>94.428879999999992</v>
      </c>
      <c r="Q282" s="898">
        <f t="shared" si="547"/>
        <v>48.54</v>
      </c>
      <c r="R282" s="829">
        <f t="shared" si="484"/>
        <v>12.5</v>
      </c>
      <c r="S282" s="898">
        <f t="shared" si="548"/>
        <v>0</v>
      </c>
      <c r="T282" s="898">
        <f t="shared" si="549"/>
        <v>0</v>
      </c>
      <c r="U282" s="898">
        <f>IF(AND(B282&gt;=FV282,B282&lt;=FW282),MAX(EF282,ED282),0)</f>
        <v>12.5</v>
      </c>
      <c r="V282" s="898"/>
      <c r="W282" s="898">
        <f t="shared" si="551"/>
        <v>0</v>
      </c>
      <c r="X282" s="898">
        <f t="shared" si="552"/>
        <v>0</v>
      </c>
      <c r="Y282" s="898" t="str">
        <f t="shared" si="553"/>
        <v>FALSE</v>
      </c>
      <c r="Z282" s="898">
        <f t="shared" si="554"/>
        <v>61.04</v>
      </c>
      <c r="AA282" s="898">
        <f t="shared" si="555"/>
        <v>61.04</v>
      </c>
      <c r="AB282" s="898" t="str">
        <f t="shared" si="556"/>
        <v/>
      </c>
      <c r="AC282" s="563">
        <f>Sheet1!Y284*MGDtoCFS</f>
        <v>47.957000000000001</v>
      </c>
      <c r="AD282" s="563">
        <f>Sheet1!Z284*MGDtoCFS</f>
        <v>49.813400000000001</v>
      </c>
      <c r="AE282" s="563">
        <f>Sheet1!AA284*MGDtoCFS</f>
        <v>48.018879999999996</v>
      </c>
      <c r="AF282" s="563">
        <f>Sheet1!AB284*MGDtoCFS</f>
        <v>46.41</v>
      </c>
      <c r="AG282" s="563">
        <f>Sheet1!L284*MGDtoCFS</f>
        <v>0</v>
      </c>
      <c r="AH282" s="545">
        <f t="shared" si="485"/>
        <v>12.5</v>
      </c>
      <c r="AI282" s="560">
        <f t="shared" si="486"/>
        <v>19.337499999999999</v>
      </c>
      <c r="AJ282" s="560">
        <f t="shared" si="487"/>
        <v>0</v>
      </c>
      <c r="AK282" s="560">
        <f t="shared" si="488"/>
        <v>0</v>
      </c>
      <c r="AL282" s="560">
        <f>(VLOOKUP(Sheet1!DC284,hhdcap_wcm,4)-(((VLOOKUP(Sheet1!DC284,hhdcap_wcm,3)-Sheet1!DC284)/(VLOOKUP(Sheet1!DC284,hhdcap_wcm,3)-VLOOKUP(Sheet1!DC284,hhdcap_wcm,1)))*(VLOOKUP(Sheet1!DC284,hhdcap_wcm,4)-VLOOKUP(Sheet1!DC284,hhdcap_wcm,2))))</f>
        <v>22246.600000056642</v>
      </c>
      <c r="AM282" s="560">
        <f t="shared" si="489"/>
        <v>-739.40000000145301</v>
      </c>
      <c r="AN282" s="560">
        <f t="shared" si="490"/>
        <v>1373.7867767137486</v>
      </c>
      <c r="AO282" s="560">
        <f t="shared" si="491"/>
        <v>4214.7778309577807</v>
      </c>
      <c r="AP282" s="560">
        <f>Sheet1!BA284+Sheet1!BB284+Sheet1!BN284+CD282</f>
        <v>18.8</v>
      </c>
      <c r="AQ282" s="560">
        <f>Sheet1!BN284+(DO282*Sheet1!BN284)</f>
        <v>17.052214144084598</v>
      </c>
      <c r="AR282" s="560">
        <f>Sheet1!BA284+CD282</f>
        <v>0</v>
      </c>
      <c r="AS282" s="560">
        <f>Sheet1!BA284+Sheet1!BB284+CD282</f>
        <v>1.6</v>
      </c>
      <c r="AT282" s="698">
        <f>0</f>
        <v>0</v>
      </c>
      <c r="AU282" s="560">
        <f>IF(EB282&lt;K282,0,MAX(Sheet1!AA284+AQ282-15/36*K282-N282,Sheet1!EH284,0))</f>
        <v>0</v>
      </c>
      <c r="AV282" s="560">
        <f>IF(OR(B282&gt;=GD282,B282&lt;GC282),0,15/36*K282-MAX(0,64.6-(137.6-(Sheet1!AA284+Sheet1!AB284))))</f>
        <v>0</v>
      </c>
      <c r="AW282" s="698">
        <f>Sheet1!DB284-110</f>
        <v>374</v>
      </c>
      <c r="AX282" s="698">
        <f>Sheet1!DA284-265</f>
        <v>370</v>
      </c>
      <c r="AY282" s="698">
        <f t="shared" si="492"/>
        <v>24.46</v>
      </c>
      <c r="AZ282" s="698">
        <v>0</v>
      </c>
      <c r="BA282" s="698">
        <f t="shared" si="493"/>
        <v>0</v>
      </c>
      <c r="BB282" s="560">
        <f t="shared" si="494"/>
        <v>715.52566666666689</v>
      </c>
      <c r="BC282" s="560"/>
      <c r="BD282" s="560">
        <f ca="1">IF(B282&gt;Summary!$A$1,#N/A,BB282*MGtoAF)</f>
        <v>2195.2327453333342</v>
      </c>
      <c r="BE282" s="560">
        <f>Sheet1!BG284+Sheet1!BH284+Sheet1!BI284-BM282</f>
        <v>1.43</v>
      </c>
      <c r="BF282" s="560">
        <f t="shared" si="495"/>
        <v>1.417713152676801</v>
      </c>
      <c r="BG282" s="560">
        <f>IF(Sheet1!EP284="FM",BM282,0)</f>
        <v>0</v>
      </c>
      <c r="BH282" s="560">
        <f t="shared" si="496"/>
        <v>0</v>
      </c>
      <c r="BI282" s="560">
        <f>IF(Sheet1!EP284="OTHER",BM282,0)</f>
        <v>0</v>
      </c>
      <c r="BJ282" s="560">
        <f t="shared" si="497"/>
        <v>0</v>
      </c>
      <c r="BK282" s="560">
        <f t="shared" si="498"/>
        <v>1.43</v>
      </c>
      <c r="BL282" s="560">
        <f t="shared" si="499"/>
        <v>1.417713152676801</v>
      </c>
      <c r="BM282" s="560">
        <f>IF(OR(Sheet1!EP284="FM", Sheet1!EP284="OTHER"),SUM(Sheet1!BG284:'Sheet1'!BI284),0)</f>
        <v>0</v>
      </c>
      <c r="BN282" s="545">
        <f>IF(AND($B282&gt;=$FV282,$B282&lt;=$FW282),MAX(BF282,Sheet1!EI284,0),MAX(BF282-(7/36)*$K282,0))</f>
        <v>1.5</v>
      </c>
      <c r="BO282" s="560">
        <f t="shared" si="500"/>
        <v>0</v>
      </c>
      <c r="BP282" s="545">
        <f t="shared" si="501"/>
        <v>0</v>
      </c>
      <c r="BQ282" s="545">
        <f>IF(AND($O282&gt;0,Sheet1!EM284=1),(1-($O282-Sheet1!$L284)/$O282)*BL282,0)</f>
        <v>0</v>
      </c>
      <c r="BR282" s="545">
        <f>IF(AND(Sheet1!$L284=0,Sheet1!$L283=0, Calculation!BK282&lt;Sheet1!$EI284-0.1,Sheet1!$EI284=Sheet1!$EI283,Sheet1!$EI284=Sheet1!$EI285),Sheet1!$EI284,BL282-BQ282)</f>
        <v>1.417713152676801</v>
      </c>
      <c r="BS282" s="560"/>
      <c r="BT282" s="560"/>
      <c r="BU282" s="560">
        <f t="shared" si="502"/>
        <v>141.52176547029438</v>
      </c>
      <c r="BV282" s="560"/>
      <c r="BW282" s="560">
        <f ca="1">IF(B282&gt;Summary!$A$1,#N/A,BU282*MGtoAF)</f>
        <v>434.18877646286319</v>
      </c>
      <c r="BX282" s="560">
        <f>Sheet1!BC284+Sheet1!BD284+Sheet1!BE284+Sheet1!BF284-CG282-CH282</f>
        <v>2.5</v>
      </c>
      <c r="BY282" s="560">
        <f t="shared" si="503"/>
        <v>2.4785194976867149</v>
      </c>
      <c r="BZ282" s="560">
        <f>IF(Sheet1!EQ284="FM",CH282,0)</f>
        <v>0</v>
      </c>
      <c r="CA282" s="560">
        <f t="shared" si="504"/>
        <v>0</v>
      </c>
      <c r="CB282" s="560">
        <f>IF(Sheet1!EQ284="OTHER",CH282,0)</f>
        <v>0</v>
      </c>
      <c r="CC282" s="560">
        <f t="shared" si="505"/>
        <v>0</v>
      </c>
      <c r="CD282" s="560">
        <f t="shared" si="506"/>
        <v>0</v>
      </c>
      <c r="CE282" s="560">
        <f t="shared" si="507"/>
        <v>2.5</v>
      </c>
      <c r="CF282" s="560">
        <f t="shared" si="508"/>
        <v>2.4785194976867149</v>
      </c>
      <c r="CG282" s="560">
        <f>IF(Sheet1!EQ284="CWA",SUM(Sheet1!BC284:'Sheet1'!BF284),0)</f>
        <v>0</v>
      </c>
      <c r="CH282" s="560">
        <f>IF(OR(Sheet1!EQ284="FM", Sheet1!EQ284="OTHER"),SUM(Sheet1!BC284:'Sheet1'!BF284),0)</f>
        <v>0</v>
      </c>
      <c r="CI282" s="545">
        <f>IF(AND($B282&gt;=$FV282,$B282&lt;=$FW282),MAX(CF282,Sheet1!EJ284,0),MAX(CF282-(7/36)*$K282,0))</f>
        <v>3.5</v>
      </c>
      <c r="CJ282" s="560">
        <f t="shared" si="509"/>
        <v>0</v>
      </c>
      <c r="CK282" s="545">
        <f t="shared" si="510"/>
        <v>0</v>
      </c>
      <c r="CL282" s="545">
        <f>IF(AND($O282&gt;0,Sheet1!EN284=1),(1-($O282-Sheet1!$L284)/$O282)*CF282,0)</f>
        <v>0</v>
      </c>
      <c r="CM282" s="545">
        <f>IF(AND(Sheet1!$L284=0,Sheet1!$L283=0, Calculation!CE282&lt;Sheet1!EJ284-0.1,Sheet1!EJ284=Sheet1!EJ283,Sheet1!EJ284=Sheet1!EJ285),Sheet1!EJ284,CF282-CL282)</f>
        <v>2.4785194976867149</v>
      </c>
      <c r="CN282" s="545"/>
      <c r="CO282" s="560"/>
      <c r="CP282" s="560">
        <f t="shared" si="511"/>
        <v>209.83993803035835</v>
      </c>
      <c r="CQ282" s="560"/>
      <c r="CR282" s="560">
        <f ca="1">IF(B282&gt;Summary!$A$1,#N/A,CP282*MGtoAF)</f>
        <v>643.78892987713948</v>
      </c>
      <c r="CS282" s="560">
        <f>Sheet1!BK284+Sheet1!BL284+Sheet1!BM284-Sheet1!ER284-DA282</f>
        <v>7.53</v>
      </c>
      <c r="CT282" s="560">
        <f t="shared" si="512"/>
        <v>7.4653007270323855</v>
      </c>
      <c r="CU282" s="560">
        <f>IF(Sheet1!ER284="FM",DA282,0)</f>
        <v>0</v>
      </c>
      <c r="CV282" s="560">
        <f t="shared" si="513"/>
        <v>0</v>
      </c>
      <c r="CW282" s="560">
        <f>IF(Sheet1!ER284="OTHER",DA282,0)</f>
        <v>0</v>
      </c>
      <c r="CX282" s="560">
        <f t="shared" si="514"/>
        <v>0</v>
      </c>
      <c r="CY282" s="560">
        <f t="shared" si="515"/>
        <v>7.53</v>
      </c>
      <c r="CZ282" s="560">
        <f t="shared" si="516"/>
        <v>7.4653007270323855</v>
      </c>
      <c r="DA282" s="560">
        <f>IF(OR(Sheet1!ER284="FM", Sheet1!ER284="OTHER"),SUM(Sheet1!BK284:'Sheet1'!BM284),0)</f>
        <v>0</v>
      </c>
      <c r="DB282" s="545">
        <f>IF(AND($B282&gt;=$FV282,$B282&lt;=$FW282),MAX($CT282,Sheet1!EK284,0),MAX($CT282-(7/36)*$K282,0))</f>
        <v>7.5</v>
      </c>
      <c r="DC282" s="560">
        <f t="shared" si="517"/>
        <v>0</v>
      </c>
      <c r="DD282" s="545">
        <f t="shared" si="518"/>
        <v>0</v>
      </c>
      <c r="DE282" s="545">
        <f>IF(AND($O282&gt;0,Sheet1!EO284=1),(1-($O282-Sheet1!$L284)/$O282)*CZ282,0)</f>
        <v>0</v>
      </c>
      <c r="DF282" s="545">
        <f>IF(AND(Sheet1!$L284=0,Sheet1!$L283=0, Calculation!CY282&lt;Sheet1!$EK284-0.1,Sheet1!$EK284=Sheet1!$EK283,Sheet1!$EK284=Sheet1!$EK285),Sheet1!$EK284,CZ282-DE282)</f>
        <v>7.4653007270323855</v>
      </c>
      <c r="DG282" s="545"/>
      <c r="DH282" s="560">
        <f t="shared" si="519"/>
        <v>11.46</v>
      </c>
      <c r="DI282" s="560">
        <f t="shared" si="520"/>
        <v>306.89940654642891</v>
      </c>
      <c r="DJ282" s="698">
        <f t="shared" si="521"/>
        <v>11.361533377395901</v>
      </c>
      <c r="DK282" s="560">
        <f ca="1">IF(B282&gt;Summary!$A$1,#N/A,DI282*MGtoAF)</f>
        <v>941.56737928444386</v>
      </c>
      <c r="DL282" s="698">
        <f t="shared" si="522"/>
        <v>11.46</v>
      </c>
      <c r="DM282" s="560">
        <f t="shared" si="523"/>
        <v>30.26</v>
      </c>
      <c r="DN282" s="560">
        <f>Sheet1!AB284-DM282</f>
        <v>-0.26000000000000156</v>
      </c>
      <c r="DO282" s="823">
        <f t="shared" si="524"/>
        <v>-8.5922009253139968E-3</v>
      </c>
      <c r="DP282" s="560">
        <f>(VLOOKUP(Sheet1!DC284,hhdcap_wcm,4)-(((VLOOKUP(Sheet1!DC284,hhdcap_wcm,3)-Sheet1!DC284)/(VLOOKUP(Sheet1!DC284,hhdcap_wcm,3)-VLOOKUP(Sheet1!DC284,hhdcap_wcm,1)))*(VLOOKUP(Sheet1!DC284,hhdcap_wcm,4)-VLOOKUP(Sheet1!DC284,hhdcap_wcm,2))))</f>
        <v>22246.600000056642</v>
      </c>
      <c r="DQ282" s="560">
        <f t="shared" si="525"/>
        <v>-739.40000000145301</v>
      </c>
      <c r="DR282" s="560">
        <f t="shared" si="526"/>
        <v>-372.8693898141467</v>
      </c>
      <c r="DS282" s="560">
        <f>Sheet1!EA284*AFtoMG</f>
        <v>0</v>
      </c>
      <c r="DT282" s="560">
        <f>Sheet1!EB284*AFtoMG</f>
        <v>0</v>
      </c>
      <c r="DU282" s="560">
        <f>Sheet1!EC284*AFtoMG</f>
        <v>0</v>
      </c>
      <c r="DV282" s="560">
        <f>Sheet1!ED284*AFtoMG</f>
        <v>0</v>
      </c>
      <c r="DW282" s="560">
        <f t="shared" si="527"/>
        <v>0</v>
      </c>
      <c r="DX282" s="560">
        <f t="shared" si="528"/>
        <v>0</v>
      </c>
      <c r="DY282" s="560">
        <f t="shared" si="529"/>
        <v>1373.7867767137486</v>
      </c>
      <c r="DZ282" s="560">
        <f t="shared" si="530"/>
        <v>4214.7778309577807</v>
      </c>
      <c r="EA282" s="560"/>
      <c r="EB282" s="545">
        <f>IF(OR(B282&lt;FV282,B282&gt;FW282),(MIN(BF282+BY282+CT282+MAX(Sheet1!AA284+AQ282-73,0),K282)),0)</f>
        <v>0</v>
      </c>
      <c r="EC282" s="560"/>
      <c r="ED282" s="560">
        <f t="shared" si="531"/>
        <v>11.361533377395901</v>
      </c>
      <c r="EE282" s="560"/>
      <c r="EF282" s="560">
        <f>Sheet1!EH284+Sheet1!EI284+Sheet1!EJ284+Sheet1!EK284</f>
        <v>12.5</v>
      </c>
      <c r="EG282" s="560"/>
      <c r="EH282" s="545">
        <f t="shared" si="532"/>
        <v>0</v>
      </c>
      <c r="EI282" s="560">
        <f>IF(Sheet1!ET284=1,SUM('Calculations II'!AT282:BA282)+'Calculations II'!BC282+Sheet1!BV284+'Calculations II'!BE282+AP282,SUM('Calculations II'!AT282:BA282)+'Calculations II'!BC282+Sheet1!BV284+'Calculations II'!BE282+AP282)</f>
        <v>63.836095999999998</v>
      </c>
      <c r="EJ282" s="560">
        <f>Sheet1!AA284+Sheet1!AB284+'Calculations II'!BC282</f>
        <v>61.04</v>
      </c>
      <c r="EK282" s="560"/>
      <c r="EL282" s="560"/>
      <c r="EM282" s="560">
        <f t="shared" si="533"/>
        <v>41910</v>
      </c>
      <c r="EN282" s="560">
        <f t="shared" si="534"/>
        <v>-12.5</v>
      </c>
      <c r="EO282" s="560">
        <f t="shared" si="535"/>
        <v>-19.337499999999999</v>
      </c>
      <c r="EP282" s="560">
        <v>0</v>
      </c>
      <c r="EQ282" s="560">
        <v>0</v>
      </c>
      <c r="ER282" s="560">
        <v>0</v>
      </c>
      <c r="ES282" s="545">
        <f t="shared" si="557"/>
        <v>4.1615632894556223</v>
      </c>
      <c r="ET282" s="560">
        <f>-(VLOOKUP(Sheet1!BQ284,Lookup!$O$4:$Q$262,2)-VLOOKUP(Sheet1!BQ283,Lookup!$O$4:$Q$262,2))/1000000</f>
        <v>2.0807335422902367</v>
      </c>
      <c r="EU282" s="560">
        <f>-(VLOOKUP(Sheet1!BR284,Lookup!$O$4:$Q$262,3)-VLOOKUP(Sheet1!BR283,Lookup!$O$4:$Q$262,3))/1000000</f>
        <v>2.0808297471653856</v>
      </c>
      <c r="EV282" s="560"/>
      <c r="EW282" s="560"/>
      <c r="EX282" s="560"/>
      <c r="EY282" s="560"/>
      <c r="EZ282" s="560"/>
      <c r="FA282" s="560"/>
      <c r="FB282" s="560"/>
      <c r="FC282" s="560"/>
      <c r="FD282" s="594">
        <f t="shared" si="536"/>
        <v>1116.5076923076335</v>
      </c>
      <c r="FE282" s="594" t="e">
        <f t="shared" si="537"/>
        <v>#N/A</v>
      </c>
      <c r="FF282" s="595" t="e">
        <f t="shared" si="538"/>
        <v>#N/A</v>
      </c>
      <c r="FG282" s="596" t="s">
        <v>692</v>
      </c>
      <c r="FH282" s="596" t="s">
        <v>692</v>
      </c>
      <c r="FI282" s="594" t="e">
        <v>#N/A</v>
      </c>
      <c r="FJ282" s="778">
        <v>9633</v>
      </c>
      <c r="FK282" s="560"/>
      <c r="FL282" s="560"/>
      <c r="FM282" s="560"/>
      <c r="FN282" s="560"/>
      <c r="FO282" s="560">
        <f>O282+((Sheet1!CS284)*GPMtoMGD)</f>
        <v>61.04</v>
      </c>
      <c r="FP282" s="560">
        <f>IF(Sheet1!AA284+AQ282&lt;=Calculation!N282,AQ282,Calculation!N282-Sheet1!AA284)</f>
        <v>17.052214144084598</v>
      </c>
      <c r="FQ282" s="560">
        <f>(Sheet1!BP284+Sheet1!BO284)/694.4</f>
        <v>2.4432603686635943</v>
      </c>
      <c r="FR282" s="560"/>
      <c r="FS282" s="560"/>
      <c r="FT282" s="560"/>
      <c r="FU282" s="560"/>
      <c r="FV282" s="695">
        <f t="shared" si="558"/>
        <v>41827</v>
      </c>
      <c r="FW282" s="695">
        <f t="shared" si="559"/>
        <v>41934</v>
      </c>
      <c r="FX282" s="560"/>
      <c r="FY282" s="560"/>
      <c r="FZ282" s="560"/>
      <c r="GA282" s="560"/>
      <c r="GB282" s="560" t="str">
        <f t="shared" si="560"/>
        <v>n</v>
      </c>
      <c r="GC282" s="564">
        <f t="shared" si="561"/>
        <v>41691</v>
      </c>
      <c r="GD282" s="695">
        <f t="shared" si="562"/>
        <v>41807</v>
      </c>
      <c r="GE282" s="560">
        <v>6518.9</v>
      </c>
      <c r="GF282" s="695">
        <f t="shared" si="563"/>
        <v>41808</v>
      </c>
      <c r="GG282" s="560">
        <f t="shared" si="582"/>
        <v>3259</v>
      </c>
      <c r="GH282" s="564">
        <f t="shared" si="564"/>
        <v>41934</v>
      </c>
      <c r="GJ282" s="545">
        <f t="shared" si="565"/>
        <v>0</v>
      </c>
      <c r="GK282" s="560" t="str">
        <f t="shared" si="539"/>
        <v/>
      </c>
      <c r="GL282" s="560">
        <f t="shared" si="566"/>
        <v>0</v>
      </c>
      <c r="GM282" s="560" t="str">
        <f t="shared" si="567"/>
        <v/>
      </c>
      <c r="GN282" s="560">
        <f>IF(GK282="P",Lookup!$M$12,IF(GK282="PP",Lookup!$M$13,IF(GK282="PPP",Lookup!$M$14,IF(GK282="T",Lookup!$M$15,IF(GK282="TP",Lookup!$M$16,IF(GK282="TPP",Lookup!$M$17,IF(GK282="TPPP",Lookup!$M$18,0)))))))*GJ282</f>
        <v>0</v>
      </c>
      <c r="GO282" s="560">
        <f t="shared" si="568"/>
        <v>0</v>
      </c>
      <c r="GP282" s="560">
        <f t="shared" si="540"/>
        <v>2195.2327453333342</v>
      </c>
      <c r="GQ282" s="560">
        <f t="shared" si="576"/>
        <v>715.52566666666689</v>
      </c>
      <c r="GR282" s="560"/>
      <c r="GS282" s="560">
        <f t="shared" si="569"/>
        <v>0</v>
      </c>
      <c r="GT282" s="560" t="str">
        <f t="shared" si="570"/>
        <v/>
      </c>
      <c r="GU282" s="560">
        <f>IF(GK282="P",Lookup!$N$12,IF(GK282="PP",Lookup!$N$13,IF(GK282="PPP",Lookup!$N$14,IF(GK282="T",Lookup!$N$15,IF(GK282="TP",Lookup!$N$16,IF(GK282="TPP",Lookup!$N$17,IF(GK282="TPPP",Lookup!$N$18,0)))))))*GJ282</f>
        <v>0</v>
      </c>
      <c r="GV282" s="560">
        <f t="shared" si="571"/>
        <v>0</v>
      </c>
      <c r="GW282" s="560">
        <f t="shared" si="541"/>
        <v>434.18877646286319</v>
      </c>
      <c r="GX282" s="560">
        <f t="shared" si="577"/>
        <v>141.52176547029438</v>
      </c>
      <c r="GY282" s="560"/>
      <c r="GZ282" s="560">
        <f t="shared" si="572"/>
        <v>0</v>
      </c>
      <c r="HA282" s="560" t="str">
        <f t="shared" si="573"/>
        <v/>
      </c>
      <c r="HB282" s="560">
        <f>IF(GK282="P",Lookup!$N$12,IF(GK282="PP",Lookup!$N$13,IF(GK282="PPP",Lookup!$N$14,IF(GK282="T",Lookup!$N$15,IF(GK282="TP",Lookup!$N$16,IF(GK282="TPP",Lookup!$N$17,IF(GK282="TPPP",Lookup!$N$18,0)))))))*GJ282</f>
        <v>0</v>
      </c>
      <c r="HC282" s="545">
        <f t="shared" si="542"/>
        <v>0</v>
      </c>
      <c r="HD282" s="560">
        <f t="shared" si="543"/>
        <v>643.78892987713948</v>
      </c>
      <c r="HE282" s="560">
        <f t="shared" si="578"/>
        <v>209.83993803035835</v>
      </c>
      <c r="HF282" s="560"/>
      <c r="HG282" s="560">
        <f t="shared" si="574"/>
        <v>0</v>
      </c>
      <c r="HH282" s="560" t="str">
        <f t="shared" si="575"/>
        <v/>
      </c>
      <c r="HI282" s="560">
        <f>IF(GK282="P",Lookup!$N$12,IF(GK282="PP",Lookup!$N$13,IF(GK282="PPP",Lookup!$N$14,IF(GK282="T",Lookup!$N$15,IF(GK282="TP",Lookup!$N$16,IF(GK282="TPP",Lookup!$N$17,IF(GK282="TPPP",Lookup!$N$18,0)))))))*GJ282</f>
        <v>0</v>
      </c>
      <c r="HJ282" s="545">
        <f t="shared" si="544"/>
        <v>0</v>
      </c>
      <c r="HK282" s="560">
        <f t="shared" si="545"/>
        <v>941.56737928444386</v>
      </c>
      <c r="HL282" s="560">
        <f t="shared" si="579"/>
        <v>306.89940654642891</v>
      </c>
    </row>
    <row r="283" spans="1:220">
      <c r="A283" s="1073" t="s">
        <v>4</v>
      </c>
      <c r="B283" s="556">
        <v>41911</v>
      </c>
      <c r="C283" s="561">
        <v>0</v>
      </c>
      <c r="D283" s="529">
        <f t="shared" si="580"/>
        <v>300</v>
      </c>
      <c r="E283" s="529">
        <f t="shared" si="581"/>
        <v>250</v>
      </c>
      <c r="F283" s="529">
        <v>250</v>
      </c>
      <c r="G283" s="560">
        <f>DR283+Sheet1!CZ285</f>
        <v>186.1119515877802</v>
      </c>
      <c r="H283" s="914">
        <f t="shared" si="546"/>
        <v>0</v>
      </c>
      <c r="I283" s="559">
        <f>MAX(Sheet1!Z285-AT283+(Sheet1!DA285-E283)*CFStoMGD,0)</f>
        <v>243.95839999999998</v>
      </c>
      <c r="J283" s="562">
        <f>IF(AND(B283&gt;=Calculation!GC283,B283&lt;=Calculation!GD283),IF(Sheet1!DB285&gt;=Calculation!D283,64.64,0),MAX(Sheet1!Z285-AT283+(Sheet1!DB285-D283)*CFStoMGD,0))</f>
        <v>112.0928</v>
      </c>
      <c r="K283" s="904">
        <f t="shared" si="481"/>
        <v>0</v>
      </c>
      <c r="L283" s="560">
        <f>Sheet1!AA285+Sheet1!AB285-Sheet1!L285+(Sheet1!DA285-F283)*CFStoMGD</f>
        <v>275.01839999999999</v>
      </c>
      <c r="M283" s="560">
        <f t="shared" si="482"/>
        <v>122.70882081646795</v>
      </c>
      <c r="N283" s="910">
        <f>IF(Sheet1!DA285&gt;=F283,MIN(73,MIN(MAX(L283,0),MAX(M283,0))),0)</f>
        <v>73</v>
      </c>
      <c r="O283" s="563">
        <f>Sheet1!AA285+Sheet1!AB285</f>
        <v>61.06</v>
      </c>
      <c r="P283" s="563">
        <f t="shared" si="483"/>
        <v>94.459819999999993</v>
      </c>
      <c r="Q283" s="898">
        <f t="shared" si="547"/>
        <v>49.06</v>
      </c>
      <c r="R283" s="829">
        <f t="shared" si="484"/>
        <v>12</v>
      </c>
      <c r="S283" s="898">
        <f t="shared" si="548"/>
        <v>0</v>
      </c>
      <c r="T283" s="898">
        <f t="shared" si="549"/>
        <v>0</v>
      </c>
      <c r="U283" s="898">
        <f t="shared" si="550"/>
        <v>12</v>
      </c>
      <c r="V283" s="898"/>
      <c r="W283" s="898">
        <f t="shared" si="551"/>
        <v>0</v>
      </c>
      <c r="X283" s="898">
        <f t="shared" si="552"/>
        <v>0</v>
      </c>
      <c r="Y283" s="898" t="str">
        <f t="shared" si="553"/>
        <v>FALSE</v>
      </c>
      <c r="Z283" s="898">
        <f t="shared" si="554"/>
        <v>61.06</v>
      </c>
      <c r="AA283" s="898">
        <f t="shared" si="555"/>
        <v>61.06</v>
      </c>
      <c r="AB283" s="898" t="str">
        <f t="shared" si="556"/>
        <v/>
      </c>
      <c r="AC283" s="563">
        <f>Sheet1!Y285*MGDtoCFS</f>
        <v>48.018879999999996</v>
      </c>
      <c r="AD283" s="563">
        <f>Sheet1!Z285*MGDtoCFS</f>
        <v>46.41</v>
      </c>
      <c r="AE283" s="563">
        <f>Sheet1!AA285*MGDtoCFS</f>
        <v>48.049819999999997</v>
      </c>
      <c r="AF283" s="563">
        <f>Sheet1!AB285*MGDtoCFS</f>
        <v>46.41</v>
      </c>
      <c r="AG283" s="563">
        <f>Sheet1!L285*MGDtoCFS</f>
        <v>0</v>
      </c>
      <c r="AH283" s="545">
        <f t="shared" si="485"/>
        <v>12</v>
      </c>
      <c r="AI283" s="560">
        <f t="shared" si="486"/>
        <v>18.564</v>
      </c>
      <c r="AJ283" s="560">
        <f t="shared" si="487"/>
        <v>0</v>
      </c>
      <c r="AK283" s="560">
        <f t="shared" si="488"/>
        <v>0</v>
      </c>
      <c r="AL283" s="560">
        <f>(VLOOKUP(Sheet1!DC285,hhdcap_wcm,4)-(((VLOOKUP(Sheet1!DC285,hhdcap_wcm,3)-Sheet1!DC285)/(VLOOKUP(Sheet1!DC285,hhdcap_wcm,3)-VLOOKUP(Sheet1!DC285,hhdcap_wcm,1)))*(VLOOKUP(Sheet1!DC285,hhdcap_wcm,4)-VLOOKUP(Sheet1!DC285,hhdcap_wcm,2))))</f>
        <v>21584.50000005521</v>
      </c>
      <c r="AM283" s="560">
        <f t="shared" si="489"/>
        <v>-662.10000000143191</v>
      </c>
      <c r="AN283" s="560">
        <f t="shared" si="490"/>
        <v>1361.7867767137486</v>
      </c>
      <c r="AO283" s="560">
        <f t="shared" si="491"/>
        <v>4177.9618309577809</v>
      </c>
      <c r="AP283" s="560">
        <f>Sheet1!BA285+Sheet1!BB285+Sheet1!BN285+CD283</f>
        <v>18.600000000000001</v>
      </c>
      <c r="AQ283" s="560">
        <f>Sheet1!BN285+(DO283*Sheet1!BN285)</f>
        <v>16.803953871499175</v>
      </c>
      <c r="AR283" s="560">
        <f>Sheet1!BA285+CD283</f>
        <v>0</v>
      </c>
      <c r="AS283" s="560">
        <f>Sheet1!BA285+Sheet1!BB285+CD283</f>
        <v>1.6</v>
      </c>
      <c r="AT283" s="698">
        <f>0</f>
        <v>0</v>
      </c>
      <c r="AU283" s="560">
        <f>IF(EB283&lt;K283,0,MAX(Sheet1!AA285+AQ283-15/36*K283-N283,Sheet1!EH285,0))</f>
        <v>0</v>
      </c>
      <c r="AV283" s="560">
        <f>IF(OR(B283&gt;=GD283,B283&lt;GC283),0,15/36*K283-MAX(0,64.6-(137.6-(Sheet1!AA285+Sheet1!AB285))))</f>
        <v>0</v>
      </c>
      <c r="AW283" s="698">
        <f>Sheet1!DB285-110</f>
        <v>317</v>
      </c>
      <c r="AX283" s="698">
        <f>Sheet1!DA285-265</f>
        <v>316</v>
      </c>
      <c r="AY283" s="698">
        <f t="shared" si="492"/>
        <v>23.939999999999998</v>
      </c>
      <c r="AZ283" s="698">
        <v>0</v>
      </c>
      <c r="BA283" s="698">
        <f t="shared" si="493"/>
        <v>0</v>
      </c>
      <c r="BB283" s="560">
        <f t="shared" si="494"/>
        <v>715.52566666666689</v>
      </c>
      <c r="BC283" s="560"/>
      <c r="BD283" s="560">
        <f ca="1">IF(B283&gt;Summary!$A$1,#N/A,BB283*MGtoAF)</f>
        <v>2195.2327453333342</v>
      </c>
      <c r="BE283" s="560">
        <f>Sheet1!BG285+Sheet1!BH285+Sheet1!BI285-BM283</f>
        <v>1.45</v>
      </c>
      <c r="BF283" s="560">
        <f t="shared" si="495"/>
        <v>1.4332784184514002</v>
      </c>
      <c r="BG283" s="560">
        <f>IF(Sheet1!EP285="FM",BM283,0)</f>
        <v>0</v>
      </c>
      <c r="BH283" s="560">
        <f t="shared" si="496"/>
        <v>0</v>
      </c>
      <c r="BI283" s="560">
        <f>IF(Sheet1!EP285="OTHER",BM283,0)</f>
        <v>0</v>
      </c>
      <c r="BJ283" s="560">
        <f t="shared" si="497"/>
        <v>0</v>
      </c>
      <c r="BK283" s="560">
        <f t="shared" si="498"/>
        <v>1.45</v>
      </c>
      <c r="BL283" s="560">
        <f t="shared" si="499"/>
        <v>1.4332784184514002</v>
      </c>
      <c r="BM283" s="560">
        <f>IF(OR(Sheet1!EP285="FM", Sheet1!EP285="OTHER"),SUM(Sheet1!BG285:'Sheet1'!BI285),0)</f>
        <v>0</v>
      </c>
      <c r="BN283" s="545">
        <f>IF(AND($B283&gt;=$FV283,$B283&lt;=$FW283),MAX(BF283,Sheet1!EI285,0),MAX(BF283-(7/36)*$K283,0))</f>
        <v>1.5</v>
      </c>
      <c r="BO283" s="560">
        <f t="shared" si="500"/>
        <v>0</v>
      </c>
      <c r="BP283" s="545">
        <f t="shared" si="501"/>
        <v>0</v>
      </c>
      <c r="BQ283" s="545">
        <f>IF(AND($O283&gt;0,Sheet1!EM285=1),(1-($O283-Sheet1!$L285)/$O283)*BL283,0)</f>
        <v>0</v>
      </c>
      <c r="BR283" s="545">
        <f>IF(AND(Sheet1!$L285=0,Sheet1!$L284=0, Calculation!BK283&lt;Sheet1!$EI285-0.1,Sheet1!$EI285=Sheet1!$EI284,Sheet1!$EI285=Sheet1!$EI286),Sheet1!$EI285,BL283-BQ283)</f>
        <v>1.4332784184514002</v>
      </c>
      <c r="BS283" s="560"/>
      <c r="BT283" s="560"/>
      <c r="BU283" s="560">
        <f t="shared" si="502"/>
        <v>140.02176547029438</v>
      </c>
      <c r="BV283" s="560"/>
      <c r="BW283" s="560">
        <f ca="1">IF(B283&gt;Summary!$A$1,#N/A,BU283*MGtoAF)</f>
        <v>429.58677646286316</v>
      </c>
      <c r="BX283" s="560">
        <f>Sheet1!BC285+Sheet1!BD285+Sheet1!BE285+Sheet1!BF285-CG283-CH283</f>
        <v>2.78</v>
      </c>
      <c r="BY283" s="560">
        <f t="shared" si="503"/>
        <v>2.747940691927512</v>
      </c>
      <c r="BZ283" s="560">
        <f>IF(Sheet1!EQ285="FM",CH283,0)</f>
        <v>0</v>
      </c>
      <c r="CA283" s="560">
        <f t="shared" si="504"/>
        <v>0</v>
      </c>
      <c r="CB283" s="560">
        <f>IF(Sheet1!EQ285="OTHER",CH283,0)</f>
        <v>0</v>
      </c>
      <c r="CC283" s="560">
        <f t="shared" si="505"/>
        <v>0</v>
      </c>
      <c r="CD283" s="560">
        <f t="shared" si="506"/>
        <v>0</v>
      </c>
      <c r="CE283" s="560">
        <f t="shared" si="507"/>
        <v>2.78</v>
      </c>
      <c r="CF283" s="560">
        <f t="shared" si="508"/>
        <v>2.747940691927512</v>
      </c>
      <c r="CG283" s="560">
        <f>IF(Sheet1!EQ285="CWA",SUM(Sheet1!BC285:'Sheet1'!BF285),0)</f>
        <v>0</v>
      </c>
      <c r="CH283" s="560">
        <f>IF(OR(Sheet1!EQ285="FM", Sheet1!EQ285="OTHER"),SUM(Sheet1!BC285:'Sheet1'!BF285),0)</f>
        <v>0</v>
      </c>
      <c r="CI283" s="545">
        <f>IF(AND($B283&gt;=$FV283,$B283&lt;=$FW283),MAX(CF283,Sheet1!EJ285,0),MAX(CF283-(7/36)*$K283,0))</f>
        <v>3</v>
      </c>
      <c r="CJ283" s="560">
        <f t="shared" si="509"/>
        <v>0</v>
      </c>
      <c r="CK283" s="545">
        <f t="shared" si="510"/>
        <v>0</v>
      </c>
      <c r="CL283" s="545">
        <f>IF(AND($O283&gt;0,Sheet1!EN285=1),(1-($O283-Sheet1!$L285)/$O283)*CF283,0)</f>
        <v>0</v>
      </c>
      <c r="CM283" s="545">
        <f>IF(AND(Sheet1!$L285=0,Sheet1!$L284=0, Calculation!CE283&lt;Sheet1!EJ285-0.1,Sheet1!EJ285=Sheet1!EJ284,Sheet1!EJ285=Sheet1!EJ286),Sheet1!EJ285,CF283-CL283)</f>
        <v>2.747940691927512</v>
      </c>
      <c r="CN283" s="545"/>
      <c r="CO283" s="560"/>
      <c r="CP283" s="560">
        <f t="shared" si="511"/>
        <v>206.83993803035835</v>
      </c>
      <c r="CQ283" s="560"/>
      <c r="CR283" s="560">
        <f ca="1">IF(B283&gt;Summary!$A$1,#N/A,CP283*MGtoAF)</f>
        <v>634.58492987713942</v>
      </c>
      <c r="CS283" s="560">
        <f>Sheet1!BK285+Sheet1!BL285+Sheet1!BM285-Sheet1!ER285-DA283</f>
        <v>7.52</v>
      </c>
      <c r="CT283" s="560">
        <f t="shared" si="512"/>
        <v>7.4332784184513994</v>
      </c>
      <c r="CU283" s="560">
        <f>IF(Sheet1!ER285="FM",DA283,0)</f>
        <v>0</v>
      </c>
      <c r="CV283" s="560">
        <f t="shared" si="513"/>
        <v>0</v>
      </c>
      <c r="CW283" s="560">
        <f>IF(Sheet1!ER285="OTHER",DA283,0)</f>
        <v>0</v>
      </c>
      <c r="CX283" s="560">
        <f t="shared" si="514"/>
        <v>0</v>
      </c>
      <c r="CY283" s="560">
        <f t="shared" si="515"/>
        <v>7.52</v>
      </c>
      <c r="CZ283" s="560">
        <f t="shared" si="516"/>
        <v>7.4332784184513994</v>
      </c>
      <c r="DA283" s="560">
        <f>IF(OR(Sheet1!ER285="FM", Sheet1!ER285="OTHER"),SUM(Sheet1!BK285:'Sheet1'!BM285),0)</f>
        <v>0</v>
      </c>
      <c r="DB283" s="545">
        <f>IF(AND($B283&gt;=$FV283,$B283&lt;=$FW283),MAX($CT283,Sheet1!EK285,0),MAX($CT283-(7/36)*$K283,0))</f>
        <v>7.5</v>
      </c>
      <c r="DC283" s="560">
        <f t="shared" si="517"/>
        <v>0</v>
      </c>
      <c r="DD283" s="545">
        <f t="shared" si="518"/>
        <v>0</v>
      </c>
      <c r="DE283" s="545">
        <f>IF(AND($O283&gt;0,Sheet1!EO285=1),(1-($O283-Sheet1!$L285)/$O283)*CZ283,0)</f>
        <v>0</v>
      </c>
      <c r="DF283" s="545">
        <f>IF(AND(Sheet1!$L285=0,Sheet1!$L284=0, Calculation!CY283&lt;Sheet1!$EK285-0.1,Sheet1!$EK285=Sheet1!$EK284,Sheet1!$EK285=Sheet1!$EK286),Sheet1!$EK285,CZ283-DE283)</f>
        <v>7.4332784184513994</v>
      </c>
      <c r="DG283" s="545"/>
      <c r="DH283" s="560">
        <f t="shared" si="519"/>
        <v>11.75</v>
      </c>
      <c r="DI283" s="560">
        <f t="shared" si="520"/>
        <v>299.39940654642891</v>
      </c>
      <c r="DJ283" s="698">
        <f t="shared" si="521"/>
        <v>11.614497528830311</v>
      </c>
      <c r="DK283" s="560">
        <f ca="1">IF(B283&gt;Summary!$A$1,#N/A,DI283*MGtoAF)</f>
        <v>918.55737928444387</v>
      </c>
      <c r="DL283" s="698">
        <f t="shared" si="522"/>
        <v>11.749999999999998</v>
      </c>
      <c r="DM283" s="560">
        <f t="shared" si="523"/>
        <v>30.35</v>
      </c>
      <c r="DN283" s="560">
        <f>Sheet1!AB285-DM283</f>
        <v>-0.35000000000000142</v>
      </c>
      <c r="DO283" s="823">
        <f t="shared" si="524"/>
        <v>-1.1532125205930853E-2</v>
      </c>
      <c r="DP283" s="560">
        <f>(VLOOKUP(Sheet1!DC285,hhdcap_wcm,4)-(((VLOOKUP(Sheet1!DC285,hhdcap_wcm,3)-Sheet1!DC285)/(VLOOKUP(Sheet1!DC285,hhdcap_wcm,3)-VLOOKUP(Sheet1!DC285,hhdcap_wcm,1)))*(VLOOKUP(Sheet1!DC285,hhdcap_wcm,4)-VLOOKUP(Sheet1!DC285,hhdcap_wcm,2))))</f>
        <v>21584.50000005521</v>
      </c>
      <c r="DQ283" s="560">
        <f t="shared" si="525"/>
        <v>-662.10000000143191</v>
      </c>
      <c r="DR283" s="560">
        <f t="shared" si="526"/>
        <v>-333.8880484122198</v>
      </c>
      <c r="DS283" s="560">
        <f>Sheet1!EA285*AFtoMG</f>
        <v>0</v>
      </c>
      <c r="DT283" s="560">
        <f>Sheet1!EB285*AFtoMG</f>
        <v>0</v>
      </c>
      <c r="DU283" s="560">
        <f>Sheet1!EC285*AFtoMG</f>
        <v>0</v>
      </c>
      <c r="DV283" s="560">
        <f>Sheet1!ED285*AFtoMG</f>
        <v>0</v>
      </c>
      <c r="DW283" s="560">
        <f t="shared" si="527"/>
        <v>0</v>
      </c>
      <c r="DX283" s="560">
        <f t="shared" si="528"/>
        <v>0</v>
      </c>
      <c r="DY283" s="560">
        <f t="shared" si="529"/>
        <v>1361.7867767137486</v>
      </c>
      <c r="DZ283" s="560">
        <f t="shared" si="530"/>
        <v>4177.9618309577809</v>
      </c>
      <c r="EA283" s="560"/>
      <c r="EB283" s="545">
        <f>IF(OR(B283&lt;FV283,B283&gt;FW283),(MIN(BF283+BY283+CT283+MAX(Sheet1!AA285+AQ283-73,0),K283)),0)</f>
        <v>0</v>
      </c>
      <c r="EC283" s="560"/>
      <c r="ED283" s="560">
        <f t="shared" si="531"/>
        <v>11.614497528830311</v>
      </c>
      <c r="EE283" s="560"/>
      <c r="EF283" s="560">
        <f>Sheet1!EH285+Sheet1!EI285+Sheet1!EJ285+Sheet1!EK285</f>
        <v>12</v>
      </c>
      <c r="EG283" s="560"/>
      <c r="EH283" s="545">
        <f t="shared" si="532"/>
        <v>0</v>
      </c>
      <c r="EI283" s="560">
        <f>IF(Sheet1!ET285=1,SUM('Calculations II'!AT283:BA283)+'Calculations II'!BC283+Sheet1!BV285+'Calculations II'!BE283+AP283,SUM('Calculations II'!AT283:BA283)+'Calculations II'!BC283+Sheet1!BV285+'Calculations II'!BE283+AP283)</f>
        <v>59.649056000000002</v>
      </c>
      <c r="EJ283" s="560">
        <f>Sheet1!AA285+Sheet1!AB285+'Calculations II'!BC283</f>
        <v>61.06</v>
      </c>
      <c r="EK283" s="560"/>
      <c r="EL283" s="560"/>
      <c r="EM283" s="560">
        <f t="shared" si="533"/>
        <v>41911</v>
      </c>
      <c r="EN283" s="560">
        <f t="shared" si="534"/>
        <v>-12</v>
      </c>
      <c r="EO283" s="560">
        <f t="shared" si="535"/>
        <v>-18.564</v>
      </c>
      <c r="EP283" s="560">
        <v>0</v>
      </c>
      <c r="EQ283" s="560">
        <v>0</v>
      </c>
      <c r="ER283" s="560">
        <v>0</v>
      </c>
      <c r="ES283" s="545">
        <f t="shared" si="557"/>
        <v>0.69330849644239612</v>
      </c>
      <c r="ET283" s="560">
        <f>-(VLOOKUP(Sheet1!BQ285,Lookup!$O$4:$Q$262,2)-VLOOKUP(Sheet1!BQ284,Lookup!$O$4:$Q$262,2))/1000000</f>
        <v>0.4159735556452237</v>
      </c>
      <c r="EU283" s="560">
        <f>-(VLOOKUP(Sheet1!BR285,Lookup!$O$4:$Q$262,3)-VLOOKUP(Sheet1!BR284,Lookup!$O$4:$Q$262,3))/1000000</f>
        <v>0.27733494079717247</v>
      </c>
      <c r="EV283" s="560"/>
      <c r="EW283" s="560"/>
      <c r="EX283" s="560"/>
      <c r="EY283" s="560"/>
      <c r="EZ283" s="560"/>
      <c r="FA283" s="560"/>
      <c r="FB283" s="560"/>
      <c r="FC283" s="560"/>
      <c r="FD283" s="594">
        <f t="shared" si="536"/>
        <v>1115.9473684209945</v>
      </c>
      <c r="FE283" s="594" t="e">
        <f t="shared" si="537"/>
        <v>#N/A</v>
      </c>
      <c r="FF283" s="595" t="e">
        <f t="shared" si="538"/>
        <v>#N/A</v>
      </c>
      <c r="FG283" s="596" t="s">
        <v>692</v>
      </c>
      <c r="FH283" s="596" t="s">
        <v>692</v>
      </c>
      <c r="FI283" s="594" t="e">
        <v>#N/A</v>
      </c>
      <c r="FJ283" s="778">
        <v>9416</v>
      </c>
      <c r="FK283" s="560"/>
      <c r="FL283" s="560"/>
      <c r="FM283" s="560"/>
      <c r="FN283" s="560"/>
      <c r="FO283" s="560">
        <f>O283+((Sheet1!CS285)*GPMtoMGD)</f>
        <v>61.06</v>
      </c>
      <c r="FP283" s="560">
        <f>IF(Sheet1!AA285+AQ283&lt;=Calculation!N283,AQ283,Calculation!N283-Sheet1!AA285)</f>
        <v>16.803953871499175</v>
      </c>
      <c r="FQ283" s="560">
        <f>(Sheet1!BP285+Sheet1!BO285)/694.4</f>
        <v>1.3281970046082949</v>
      </c>
      <c r="FR283" s="560"/>
      <c r="FS283" s="560"/>
      <c r="FT283" s="560"/>
      <c r="FU283" s="560"/>
      <c r="FV283" s="695">
        <f t="shared" si="558"/>
        <v>41827</v>
      </c>
      <c r="FW283" s="695">
        <f t="shared" si="559"/>
        <v>41934</v>
      </c>
      <c r="FX283" s="560"/>
      <c r="FY283" s="560"/>
      <c r="FZ283" s="560"/>
      <c r="GA283" s="560"/>
      <c r="GB283" s="560" t="str">
        <f t="shared" si="560"/>
        <v>n</v>
      </c>
      <c r="GC283" s="564">
        <f t="shared" si="561"/>
        <v>41691</v>
      </c>
      <c r="GD283" s="695">
        <f t="shared" si="562"/>
        <v>41807</v>
      </c>
      <c r="GE283" s="560">
        <v>6518.9</v>
      </c>
      <c r="GF283" s="695">
        <f t="shared" si="563"/>
        <v>41808</v>
      </c>
      <c r="GG283" s="560">
        <f t="shared" si="582"/>
        <v>3259</v>
      </c>
      <c r="GH283" s="564">
        <f t="shared" si="564"/>
        <v>41934</v>
      </c>
      <c r="GJ283" s="545">
        <f t="shared" si="565"/>
        <v>0</v>
      </c>
      <c r="GK283" s="560" t="str">
        <f t="shared" si="539"/>
        <v/>
      </c>
      <c r="GL283" s="560">
        <f t="shared" si="566"/>
        <v>0</v>
      </c>
      <c r="GM283" s="560" t="str">
        <f t="shared" si="567"/>
        <v/>
      </c>
      <c r="GN283" s="560">
        <f>IF(GK283="P",Lookup!$M$12,IF(GK283="PP",Lookup!$M$13,IF(GK283="PPP",Lookup!$M$14,IF(GK283="T",Lookup!$M$15,IF(GK283="TP",Lookup!$M$16,IF(GK283="TPP",Lookup!$M$17,IF(GK283="TPPP",Lookup!$M$18,0)))))))*GJ283</f>
        <v>0</v>
      </c>
      <c r="GO283" s="560">
        <f t="shared" si="568"/>
        <v>0</v>
      </c>
      <c r="GP283" s="560">
        <f t="shared" si="540"/>
        <v>2195.2327453333342</v>
      </c>
      <c r="GQ283" s="560">
        <f t="shared" si="576"/>
        <v>715.52566666666689</v>
      </c>
      <c r="GR283" s="560"/>
      <c r="GS283" s="560">
        <f t="shared" si="569"/>
        <v>0</v>
      </c>
      <c r="GT283" s="560" t="str">
        <f t="shared" si="570"/>
        <v/>
      </c>
      <c r="GU283" s="560">
        <f>IF(GK283="P",Lookup!$N$12,IF(GK283="PP",Lookup!$N$13,IF(GK283="PPP",Lookup!$N$14,IF(GK283="T",Lookup!$N$15,IF(GK283="TP",Lookup!$N$16,IF(GK283="TPP",Lookup!$N$17,IF(GK283="TPPP",Lookup!$N$18,0)))))))*GJ283</f>
        <v>0</v>
      </c>
      <c r="GV283" s="560">
        <f t="shared" si="571"/>
        <v>0</v>
      </c>
      <c r="GW283" s="560">
        <f t="shared" si="541"/>
        <v>429.58677646286316</v>
      </c>
      <c r="GX283" s="560">
        <f t="shared" si="577"/>
        <v>140.02176547029438</v>
      </c>
      <c r="GY283" s="560"/>
      <c r="GZ283" s="560">
        <f t="shared" si="572"/>
        <v>0</v>
      </c>
      <c r="HA283" s="560" t="str">
        <f t="shared" si="573"/>
        <v/>
      </c>
      <c r="HB283" s="560">
        <f>IF(GK283="P",Lookup!$N$12,IF(GK283="PP",Lookup!$N$13,IF(GK283="PPP",Lookup!$N$14,IF(GK283="T",Lookup!$N$15,IF(GK283="TP",Lookup!$N$16,IF(GK283="TPP",Lookup!$N$17,IF(GK283="TPPP",Lookup!$N$18,0)))))))*GJ283</f>
        <v>0</v>
      </c>
      <c r="HC283" s="545">
        <f t="shared" si="542"/>
        <v>0</v>
      </c>
      <c r="HD283" s="560">
        <f t="shared" si="543"/>
        <v>634.58492987713942</v>
      </c>
      <c r="HE283" s="560">
        <f t="shared" si="578"/>
        <v>206.83993803035835</v>
      </c>
      <c r="HF283" s="560"/>
      <c r="HG283" s="560">
        <f t="shared" si="574"/>
        <v>0</v>
      </c>
      <c r="HH283" s="560" t="str">
        <f t="shared" si="575"/>
        <v/>
      </c>
      <c r="HI283" s="560">
        <f>IF(GK283="P",Lookup!$N$12,IF(GK283="PP",Lookup!$N$13,IF(GK283="PPP",Lookup!$N$14,IF(GK283="T",Lookup!$N$15,IF(GK283="TP",Lookup!$N$16,IF(GK283="TPP",Lookup!$N$17,IF(GK283="TPPP",Lookup!$N$18,0)))))))*GJ283</f>
        <v>0</v>
      </c>
      <c r="HJ283" s="545">
        <f t="shared" si="544"/>
        <v>0</v>
      </c>
      <c r="HK283" s="560">
        <f t="shared" si="545"/>
        <v>918.55737928444387</v>
      </c>
      <c r="HL283" s="560">
        <f t="shared" si="579"/>
        <v>299.39940654642891</v>
      </c>
    </row>
    <row r="284" spans="1:220">
      <c r="A284" s="580" t="s">
        <v>5</v>
      </c>
      <c r="B284" s="556">
        <v>41912</v>
      </c>
      <c r="C284" s="1074">
        <v>0</v>
      </c>
      <c r="D284" s="1075">
        <f t="shared" si="580"/>
        <v>300</v>
      </c>
      <c r="E284" s="1075">
        <f t="shared" si="581"/>
        <v>250</v>
      </c>
      <c r="F284" s="1075">
        <v>250</v>
      </c>
      <c r="G284" s="560">
        <f>DR284+Sheet1!CZ286</f>
        <v>271.0630358033165</v>
      </c>
      <c r="H284" s="914">
        <f t="shared" si="546"/>
        <v>0</v>
      </c>
      <c r="I284" s="559">
        <f>MAX(Sheet1!Z286-AT284+(Sheet1!DA286-E284)*CFStoMGD,0)</f>
        <v>251.06879999999998</v>
      </c>
      <c r="J284" s="562">
        <f>IF(AND(B284&gt;=Calculation!GC284,B284&lt;=Calculation!GD284),IF(Sheet1!DB286&gt;=Calculation!D284,64.64,0),MAX(Sheet1!Z286-AT284+(Sheet1!DB286-D284)*CFStoMGD,0))</f>
        <v>128.25279999999998</v>
      </c>
      <c r="K284" s="904">
        <f t="shared" si="481"/>
        <v>0</v>
      </c>
      <c r="L284" s="560">
        <f>Sheet1!AA286+Sheet1!AB286-Sheet1!L286+(Sheet1!DA286-F284)*CFStoMGD</f>
        <v>282.09879999999998</v>
      </c>
      <c r="M284" s="560">
        <f t="shared" si="482"/>
        <v>178.71944927012908</v>
      </c>
      <c r="N284" s="910">
        <f>IF(Sheet1!DA286&gt;=F284,MIN(73,MIN(MAX(L284,0),MAX(M284,0))),0)</f>
        <v>73</v>
      </c>
      <c r="O284" s="563">
        <f>Sheet1!AA286+Sheet1!AB286</f>
        <v>61.03</v>
      </c>
      <c r="P284" s="563">
        <f t="shared" si="483"/>
        <v>94.413409999999999</v>
      </c>
      <c r="Q284" s="898">
        <f t="shared" si="547"/>
        <v>49.03</v>
      </c>
      <c r="R284" s="829">
        <f t="shared" si="484"/>
        <v>12</v>
      </c>
      <c r="S284" s="898">
        <f t="shared" si="548"/>
        <v>0</v>
      </c>
      <c r="T284" s="898">
        <f t="shared" si="549"/>
        <v>0</v>
      </c>
      <c r="U284" s="898">
        <f t="shared" si="550"/>
        <v>12</v>
      </c>
      <c r="V284" s="898"/>
      <c r="W284" s="898">
        <f t="shared" si="551"/>
        <v>0</v>
      </c>
      <c r="X284" s="898">
        <f t="shared" si="552"/>
        <v>0</v>
      </c>
      <c r="Y284" s="898" t="str">
        <f t="shared" si="553"/>
        <v>FALSE</v>
      </c>
      <c r="Z284" s="898">
        <f t="shared" si="554"/>
        <v>61.03</v>
      </c>
      <c r="AA284" s="898">
        <f t="shared" si="555"/>
        <v>61.03</v>
      </c>
      <c r="AB284" s="898" t="str">
        <f t="shared" si="556"/>
        <v/>
      </c>
      <c r="AC284" s="563">
        <f>Sheet1!Y286*MGDtoCFS</f>
        <v>48.049819999999997</v>
      </c>
      <c r="AD284" s="563">
        <f>Sheet1!Z286*MGDtoCFS</f>
        <v>46.41</v>
      </c>
      <c r="AE284" s="563">
        <f>Sheet1!AA286*MGDtoCFS</f>
        <v>48.111699999999999</v>
      </c>
      <c r="AF284" s="563">
        <f>Sheet1!AB286*MGDtoCFS</f>
        <v>46.30171</v>
      </c>
      <c r="AG284" s="563">
        <f>Sheet1!L286*MGDtoCFS</f>
        <v>0</v>
      </c>
      <c r="AH284" s="545">
        <f t="shared" si="485"/>
        <v>12.09065703022339</v>
      </c>
      <c r="AI284" s="560">
        <f t="shared" si="486"/>
        <v>18.704246425755585</v>
      </c>
      <c r="AJ284" s="560">
        <f t="shared" si="487"/>
        <v>0</v>
      </c>
      <c r="AK284" s="560">
        <f t="shared" si="488"/>
        <v>0</v>
      </c>
      <c r="AL284" s="560">
        <f>(VLOOKUP(Sheet1!DC286,hhdcap_wcm,4)-(((VLOOKUP(Sheet1!DC286,hhdcap_wcm,3)-Sheet1!DC286)/(VLOOKUP(Sheet1!DC286,hhdcap_wcm,3)-VLOOKUP(Sheet1!DC286,hhdcap_wcm,1)))*(VLOOKUP(Sheet1!DC286,hhdcap_wcm,4)-VLOOKUP(Sheet1!DC286,hhdcap_wcm,2))))</f>
        <v>21039.300000053187</v>
      </c>
      <c r="AM284" s="560">
        <f t="shared" si="489"/>
        <v>-545.20000000202344</v>
      </c>
      <c r="AN284" s="560">
        <f t="shared" si="490"/>
        <v>1349.6961196835252</v>
      </c>
      <c r="AO284" s="560">
        <f t="shared" si="491"/>
        <v>4140.8676951890557</v>
      </c>
      <c r="AP284" s="560">
        <f>Sheet1!BA286+Sheet1!BB286+Sheet1!BN286+CD284</f>
        <v>18.29</v>
      </c>
      <c r="AQ284" s="560">
        <f>Sheet1!BN286+(DO284*Sheet1!BN286)</f>
        <v>16.420203679369251</v>
      </c>
      <c r="AR284" s="560">
        <f>Sheet1!BA286+CD284</f>
        <v>0</v>
      </c>
      <c r="AS284" s="560">
        <f>Sheet1!BA286+Sheet1!BB286+CD284</f>
        <v>1.59</v>
      </c>
      <c r="AT284" s="698">
        <f>0</f>
        <v>0</v>
      </c>
      <c r="AU284" s="560">
        <f>IF(EB284&lt;K284,0,MAX(Sheet1!AA286+AQ284-15/36*K284-N284,Sheet1!EH286,0))</f>
        <v>0</v>
      </c>
      <c r="AV284" s="560">
        <f>IF(OR(B284&gt;=GD284,B284&lt;GC284),0,15/36*K284-MAX(0,64.6-(137.6-(Sheet1!AA286+Sheet1!AB286))))</f>
        <v>0</v>
      </c>
      <c r="AW284" s="698">
        <f>Sheet1!DB286-110</f>
        <v>342</v>
      </c>
      <c r="AX284" s="698">
        <f>Sheet1!DA286-265</f>
        <v>327</v>
      </c>
      <c r="AY284" s="698">
        <f t="shared" si="492"/>
        <v>23.97</v>
      </c>
      <c r="AZ284" s="698">
        <v>0</v>
      </c>
      <c r="BA284" s="698">
        <f t="shared" si="493"/>
        <v>0</v>
      </c>
      <c r="BB284" s="560">
        <f t="shared" si="494"/>
        <v>715.52566666666689</v>
      </c>
      <c r="BC284" s="560"/>
      <c r="BD284" s="560">
        <f ca="1">IF(B284&gt;Summary!$A$1,#N/A,BB284*MGtoAF)</f>
        <v>2195.2327453333342</v>
      </c>
      <c r="BE284" s="560">
        <f>Sheet1!BG286+Sheet1!BH286+Sheet1!BI286-BM284</f>
        <v>1.44</v>
      </c>
      <c r="BF284" s="560">
        <f t="shared" si="495"/>
        <v>1.4158738501971091</v>
      </c>
      <c r="BG284" s="560">
        <f>IF(Sheet1!EP286="FM",BM284,0)</f>
        <v>0</v>
      </c>
      <c r="BH284" s="560">
        <f t="shared" si="496"/>
        <v>0</v>
      </c>
      <c r="BI284" s="560">
        <f>IF(Sheet1!EP286="OTHER",BM284,0)</f>
        <v>0</v>
      </c>
      <c r="BJ284" s="560">
        <f t="shared" si="497"/>
        <v>0</v>
      </c>
      <c r="BK284" s="560">
        <f t="shared" si="498"/>
        <v>1.44</v>
      </c>
      <c r="BL284" s="560">
        <f t="shared" si="499"/>
        <v>1.4158738501971091</v>
      </c>
      <c r="BM284" s="560">
        <f>IF(OR(Sheet1!EP286="FM", Sheet1!EP286="OTHER"),SUM(Sheet1!BG286:'Sheet1'!BI286),0)</f>
        <v>0</v>
      </c>
      <c r="BN284" s="545">
        <f>IF(AND($B284&gt;=$FV284,$B284&lt;=$FW284),MAX(BF284,Sheet1!EI286,0),MAX(BF284-(7/36)*$K284,0))</f>
        <v>1.5</v>
      </c>
      <c r="BO284" s="560">
        <f t="shared" si="500"/>
        <v>0</v>
      </c>
      <c r="BP284" s="545">
        <f t="shared" si="501"/>
        <v>0</v>
      </c>
      <c r="BQ284" s="545">
        <f>IF(AND($O284&gt;0,Sheet1!EM286=1),(1-($O284-Sheet1!$L286)/$O284)*BL284,0)</f>
        <v>0</v>
      </c>
      <c r="BR284" s="545">
        <f>IF(AND(Sheet1!$L286=0,Sheet1!$L285=0, Calculation!BK284&lt;Sheet1!$EI286-0.1,Sheet1!$EI286=Sheet1!$EI285,Sheet1!$EI286=Sheet1!$EI287),Sheet1!$EI286,BL284-BQ284)</f>
        <v>1.4158738501971091</v>
      </c>
      <c r="BS284" s="560"/>
      <c r="BT284" s="560"/>
      <c r="BU284" s="560">
        <f t="shared" si="502"/>
        <v>138.52176547029438</v>
      </c>
      <c r="BV284" s="560"/>
      <c r="BW284" s="560">
        <f ca="1">IF(B284&gt;Summary!$A$1,#N/A,BU284*MGtoAF)</f>
        <v>424.98477646286318</v>
      </c>
      <c r="BX284" s="560">
        <f>Sheet1!BC286+Sheet1!BD286+Sheet1!BE286+Sheet1!BF286-CG284-CH284</f>
        <v>2.99</v>
      </c>
      <c r="BY284" s="560">
        <f t="shared" si="503"/>
        <v>2.9399047306176089</v>
      </c>
      <c r="BZ284" s="560">
        <f>IF(Sheet1!EQ286="FM",CH284,0)</f>
        <v>0</v>
      </c>
      <c r="CA284" s="560">
        <f t="shared" si="504"/>
        <v>0</v>
      </c>
      <c r="CB284" s="560">
        <f>IF(Sheet1!EQ286="OTHER",CH284,0)</f>
        <v>0</v>
      </c>
      <c r="CC284" s="560">
        <f t="shared" si="505"/>
        <v>0</v>
      </c>
      <c r="CD284" s="560">
        <f t="shared" si="506"/>
        <v>0</v>
      </c>
      <c r="CE284" s="560">
        <f t="shared" si="507"/>
        <v>2.99</v>
      </c>
      <c r="CF284" s="560">
        <f t="shared" si="508"/>
        <v>2.9399047306176089</v>
      </c>
      <c r="CG284" s="560">
        <f>IF(Sheet1!EQ286="CWA",SUM(Sheet1!BC286:'Sheet1'!BF286),0)</f>
        <v>0</v>
      </c>
      <c r="CH284" s="560">
        <f>IF(OR(Sheet1!EQ286="FM", Sheet1!EQ286="OTHER"),SUM(Sheet1!BC286:'Sheet1'!BF286),0)</f>
        <v>0</v>
      </c>
      <c r="CI284" s="545">
        <f>IF(AND($B284&gt;=$FV284,$B284&lt;=$FW284),MAX(CF284,Sheet1!EJ286,0),MAX(CF284-(7/36)*$K284,0))</f>
        <v>3</v>
      </c>
      <c r="CJ284" s="560">
        <f t="shared" si="509"/>
        <v>0</v>
      </c>
      <c r="CK284" s="545">
        <f t="shared" si="510"/>
        <v>0</v>
      </c>
      <c r="CL284" s="545">
        <f>IF(AND($O284&gt;0,Sheet1!EN286=1),(1-($O284-Sheet1!$L286)/$O284)*CF284,0)</f>
        <v>0</v>
      </c>
      <c r="CM284" s="545">
        <f>IF(AND(Sheet1!$L286=0,Sheet1!$L285=0, Calculation!CE284&lt;Sheet1!EJ286-0.1,Sheet1!EJ286=Sheet1!EJ285,Sheet1!EJ286=Sheet1!EJ287),Sheet1!EJ286,CF284-CL284)</f>
        <v>2.9399047306176089</v>
      </c>
      <c r="CN284" s="545"/>
      <c r="CO284" s="560"/>
      <c r="CP284" s="560">
        <f t="shared" si="511"/>
        <v>203.83993803035835</v>
      </c>
      <c r="CQ284" s="560"/>
      <c r="CR284" s="560">
        <f ca="1">IF(B284&gt;Summary!$A$1,#N/A,CP284*MGtoAF)</f>
        <v>625.38092987713947</v>
      </c>
      <c r="CS284" s="560">
        <f>Sheet1!BK286+Sheet1!BL286+Sheet1!BM286-Sheet1!ER286-DA284</f>
        <v>7.72</v>
      </c>
      <c r="CT284" s="560">
        <f t="shared" si="512"/>
        <v>7.5906570302233902</v>
      </c>
      <c r="CU284" s="560">
        <f>IF(Sheet1!ER286="FM",DA284,0)</f>
        <v>0</v>
      </c>
      <c r="CV284" s="560">
        <f t="shared" si="513"/>
        <v>0</v>
      </c>
      <c r="CW284" s="560">
        <f>IF(Sheet1!ER286="OTHER",DA284,0)</f>
        <v>0</v>
      </c>
      <c r="CX284" s="560">
        <f t="shared" si="514"/>
        <v>0</v>
      </c>
      <c r="CY284" s="560">
        <f t="shared" si="515"/>
        <v>7.72</v>
      </c>
      <c r="CZ284" s="560">
        <f t="shared" si="516"/>
        <v>7.5906570302233902</v>
      </c>
      <c r="DA284" s="560">
        <f>IF(OR(Sheet1!ER286="FM", Sheet1!ER286="OTHER"),SUM(Sheet1!BK286:'Sheet1'!BM286),0)</f>
        <v>0</v>
      </c>
      <c r="DB284" s="545">
        <f>IF(AND($B284&gt;=$FV284,$B284&lt;=$FW284),MAX($CT284,Sheet1!EK286,0),MAX($CT284-(7/36)*$K284,0))</f>
        <v>7.5906570302233902</v>
      </c>
      <c r="DC284" s="560">
        <f t="shared" si="517"/>
        <v>0</v>
      </c>
      <c r="DD284" s="545">
        <f t="shared" si="518"/>
        <v>0</v>
      </c>
      <c r="DE284" s="545">
        <f>IF(AND($O284&gt;0,Sheet1!EO286=1),(1-($O284-Sheet1!$L286)/$O284)*CZ284,0)</f>
        <v>0</v>
      </c>
      <c r="DF284" s="545">
        <f>IF(AND(Sheet1!$L286=0,Sheet1!$L285=0, Calculation!CY284&lt;Sheet1!$EK286-0.1,Sheet1!$EK286=Sheet1!$EK285,Sheet1!$EK286=Sheet1!$EK287),Sheet1!$EK286,CZ284-DE284)</f>
        <v>7.5906570302233902</v>
      </c>
      <c r="DG284" s="545"/>
      <c r="DH284" s="560">
        <f t="shared" si="519"/>
        <v>12.149999999999999</v>
      </c>
      <c r="DI284" s="560">
        <f t="shared" si="520"/>
        <v>291.80874951620552</v>
      </c>
      <c r="DJ284" s="698">
        <f t="shared" si="521"/>
        <v>11.946435611038108</v>
      </c>
      <c r="DK284" s="560">
        <f ca="1">IF(B284&gt;Summary!$A$1,#N/A,DI284*MGtoAF)</f>
        <v>895.26924351571859</v>
      </c>
      <c r="DL284" s="698">
        <f t="shared" si="522"/>
        <v>12.15</v>
      </c>
      <c r="DM284" s="560">
        <f t="shared" si="523"/>
        <v>30.439999999999998</v>
      </c>
      <c r="DN284" s="560">
        <f>Sheet1!AB286-DM284</f>
        <v>-0.50999999999999801</v>
      </c>
      <c r="DO284" s="823">
        <f t="shared" si="524"/>
        <v>-1.6754270696451974E-2</v>
      </c>
      <c r="DP284" s="560">
        <f>(VLOOKUP(Sheet1!DC286,hhdcap_wcm,4)-(((VLOOKUP(Sheet1!DC286,hhdcap_wcm,3)-Sheet1!DC286)/(VLOOKUP(Sheet1!DC286,hhdcap_wcm,3)-VLOOKUP(Sheet1!DC286,hhdcap_wcm,1)))*(VLOOKUP(Sheet1!DC286,hhdcap_wcm,4)-VLOOKUP(Sheet1!DC286,hhdcap_wcm,2))))</f>
        <v>21039.300000053187</v>
      </c>
      <c r="DQ284" s="560">
        <f t="shared" si="525"/>
        <v>-545.20000000202344</v>
      </c>
      <c r="DR284" s="560">
        <f t="shared" si="526"/>
        <v>-274.9369641966835</v>
      </c>
      <c r="DS284" s="560">
        <f>Sheet1!EA286*AFtoMG</f>
        <v>0</v>
      </c>
      <c r="DT284" s="560">
        <f>Sheet1!EB286*AFtoMG</f>
        <v>0</v>
      </c>
      <c r="DU284" s="560">
        <f>Sheet1!EC286*AFtoMG</f>
        <v>0</v>
      </c>
      <c r="DV284" s="560">
        <f>Sheet1!ED286*AFtoMG</f>
        <v>0</v>
      </c>
      <c r="DW284" s="560">
        <f t="shared" si="527"/>
        <v>0</v>
      </c>
      <c r="DX284" s="560">
        <f t="shared" si="528"/>
        <v>0</v>
      </c>
      <c r="DY284" s="560">
        <f t="shared" si="529"/>
        <v>1349.6961196835252</v>
      </c>
      <c r="DZ284" s="560">
        <f t="shared" si="530"/>
        <v>4140.8676951890557</v>
      </c>
      <c r="EA284" s="560"/>
      <c r="EB284" s="545">
        <f>IF(OR(B284&lt;FV284,B284&gt;FW284),(MIN(BF284+BY284+CT284+MAX(Sheet1!AA286+AQ284-73,0),K284)),0)</f>
        <v>0</v>
      </c>
      <c r="EC284" s="560"/>
      <c r="ED284" s="560">
        <f t="shared" si="531"/>
        <v>11.946435611038108</v>
      </c>
      <c r="EE284" s="560"/>
      <c r="EF284" s="560">
        <f>Sheet1!EH286+Sheet1!EI286+Sheet1!EJ286+Sheet1!EK286</f>
        <v>12</v>
      </c>
      <c r="EG284" s="560"/>
      <c r="EH284" s="545">
        <f t="shared" si="532"/>
        <v>0</v>
      </c>
      <c r="EI284" s="560">
        <f>IF(Sheet1!ET286=1,SUM('Calculations II'!AT284:BA284)+'Calculations II'!BC284+Sheet1!BV286+'Calculations II'!BE284+AP284,SUM('Calculations II'!AT284:BA284)+'Calculations II'!BC284+Sheet1!BV286+'Calculations II'!BE284+AP284)</f>
        <v>58.382335999999995</v>
      </c>
      <c r="EJ284" s="560">
        <f>Sheet1!AA286+Sheet1!AB286+'Calculations II'!BC284</f>
        <v>61.03</v>
      </c>
      <c r="EK284" s="560"/>
      <c r="EL284" s="560"/>
      <c r="EM284" s="560">
        <f t="shared" si="533"/>
        <v>41912</v>
      </c>
      <c r="EN284" s="560">
        <f t="shared" si="534"/>
        <v>-12.09065703022339</v>
      </c>
      <c r="EO284" s="560">
        <f t="shared" si="535"/>
        <v>-18.704246425755585</v>
      </c>
      <c r="EP284" s="560">
        <v>0</v>
      </c>
      <c r="EQ284" s="560">
        <v>0</v>
      </c>
      <c r="ER284" s="560">
        <v>0</v>
      </c>
      <c r="ES284" s="545">
        <f t="shared" si="557"/>
        <v>-0.13865143965213372</v>
      </c>
      <c r="ET284" s="560">
        <f>-(VLOOKUP(Sheet1!BQ286,Lookup!$O$4:$Q$262,2)-VLOOKUP(Sheet1!BQ285,Lookup!$O$4:$Q$262,2))/1000000</f>
        <v>-0.13865143965213372</v>
      </c>
      <c r="EU284" s="560">
        <f>-(VLOOKUP(Sheet1!BR286,Lookup!$O$4:$Q$262,3)-VLOOKUP(Sheet1!BR285,Lookup!$O$4:$Q$262,3))/1000000</f>
        <v>0</v>
      </c>
      <c r="EV284" s="560"/>
      <c r="EW284" s="560"/>
      <c r="EX284" s="560"/>
      <c r="EY284" s="560"/>
      <c r="EZ284" s="560"/>
      <c r="FA284" s="560"/>
      <c r="FB284" s="560"/>
      <c r="FC284" s="560"/>
      <c r="FD284" s="594">
        <f t="shared" si="536"/>
        <v>1115.3736842104686</v>
      </c>
      <c r="FE284" s="594" t="e">
        <f t="shared" si="537"/>
        <v>#N/A</v>
      </c>
      <c r="FF284" s="595" t="e">
        <f t="shared" si="538"/>
        <v>#N/A</v>
      </c>
      <c r="FG284" s="596" t="s">
        <v>692</v>
      </c>
      <c r="FH284" s="596" t="s">
        <v>692</v>
      </c>
      <c r="FI284" s="594" t="e">
        <v>#N/A</v>
      </c>
      <c r="FJ284" s="778">
        <v>9200</v>
      </c>
      <c r="FK284" s="560"/>
      <c r="FL284" s="560"/>
      <c r="FM284" s="560"/>
      <c r="FN284" s="560"/>
      <c r="FO284" s="560">
        <f>O284+((Sheet1!CS286)*GPMtoMGD)</f>
        <v>61.03</v>
      </c>
      <c r="FP284" s="560">
        <f>IF(Sheet1!AA286+AQ284&lt;=Calculation!N284,AQ284,Calculation!N284-Sheet1!AA286)</f>
        <v>16.420203679369251</v>
      </c>
      <c r="FQ284" s="560">
        <f>(Sheet1!BP286+Sheet1!BO286)/694.4</f>
        <v>1.7780817972350231</v>
      </c>
      <c r="FR284" s="560"/>
      <c r="FS284" s="560"/>
      <c r="FT284" s="560"/>
      <c r="FU284" s="560"/>
      <c r="FV284" s="695">
        <f t="shared" si="558"/>
        <v>41827</v>
      </c>
      <c r="FW284" s="695">
        <f t="shared" si="559"/>
        <v>41934</v>
      </c>
      <c r="FX284" s="560"/>
      <c r="FY284" s="560"/>
      <c r="FZ284" s="560"/>
      <c r="GA284" s="560"/>
      <c r="GB284" s="560" t="str">
        <f t="shared" si="560"/>
        <v>n</v>
      </c>
      <c r="GC284" s="564">
        <f t="shared" si="561"/>
        <v>41691</v>
      </c>
      <c r="GD284" s="695">
        <f t="shared" si="562"/>
        <v>41807</v>
      </c>
      <c r="GE284" s="560">
        <v>6518.9</v>
      </c>
      <c r="GF284" s="695">
        <f t="shared" si="563"/>
        <v>41808</v>
      </c>
      <c r="GG284" s="560">
        <f t="shared" si="582"/>
        <v>3259</v>
      </c>
      <c r="GH284" s="564">
        <f t="shared" si="564"/>
        <v>41934</v>
      </c>
      <c r="GJ284" s="545">
        <f t="shared" si="565"/>
        <v>0</v>
      </c>
      <c r="GK284" s="560" t="str">
        <f t="shared" si="539"/>
        <v/>
      </c>
      <c r="GL284" s="560">
        <f t="shared" si="566"/>
        <v>0</v>
      </c>
      <c r="GM284" s="560" t="str">
        <f t="shared" si="567"/>
        <v/>
      </c>
      <c r="GN284" s="560">
        <f>IF(GK284="P",Lookup!$M$12,IF(GK284="PP",Lookup!$M$13,IF(GK284="PPP",Lookup!$M$14,IF(GK284="T",Lookup!$M$15,IF(GK284="TP",Lookup!$M$16,IF(GK284="TPP",Lookup!$M$17,IF(GK284="TPPP",Lookup!$M$18,0)))))))*GJ284</f>
        <v>0</v>
      </c>
      <c r="GO284" s="560">
        <f t="shared" si="568"/>
        <v>0</v>
      </c>
      <c r="GP284" s="560">
        <f t="shared" si="540"/>
        <v>2195.2327453333342</v>
      </c>
      <c r="GQ284" s="560">
        <f t="shared" si="576"/>
        <v>715.52566666666689</v>
      </c>
      <c r="GR284" s="560"/>
      <c r="GS284" s="560">
        <f t="shared" si="569"/>
        <v>0</v>
      </c>
      <c r="GT284" s="560" t="str">
        <f t="shared" si="570"/>
        <v/>
      </c>
      <c r="GU284" s="560">
        <f>IF(GK284="P",Lookup!$N$12,IF(GK284="PP",Lookup!$N$13,IF(GK284="PPP",Lookup!$N$14,IF(GK284="T",Lookup!$N$15,IF(GK284="TP",Lookup!$N$16,IF(GK284="TPP",Lookup!$N$17,IF(GK284="TPPP",Lookup!$N$18,0)))))))*GJ284</f>
        <v>0</v>
      </c>
      <c r="GV284" s="560">
        <f t="shared" si="571"/>
        <v>0</v>
      </c>
      <c r="GW284" s="560">
        <f t="shared" si="541"/>
        <v>424.98477646286318</v>
      </c>
      <c r="GX284" s="560">
        <f t="shared" si="577"/>
        <v>138.52176547029438</v>
      </c>
      <c r="GY284" s="560"/>
      <c r="GZ284" s="560">
        <f t="shared" si="572"/>
        <v>0</v>
      </c>
      <c r="HA284" s="560" t="str">
        <f t="shared" si="573"/>
        <v/>
      </c>
      <c r="HB284" s="560">
        <f>IF(GK284="P",Lookup!$N$12,IF(GK284="PP",Lookup!$N$13,IF(GK284="PPP",Lookup!$N$14,IF(GK284="T",Lookup!$N$15,IF(GK284="TP",Lookup!$N$16,IF(GK284="TPP",Lookup!$N$17,IF(GK284="TPPP",Lookup!$N$18,0)))))))*GJ284</f>
        <v>0</v>
      </c>
      <c r="HC284" s="545">
        <f t="shared" si="542"/>
        <v>0</v>
      </c>
      <c r="HD284" s="560">
        <f t="shared" si="543"/>
        <v>625.38092987713947</v>
      </c>
      <c r="HE284" s="560">
        <f t="shared" si="578"/>
        <v>203.83993803035835</v>
      </c>
      <c r="HF284" s="560"/>
      <c r="HG284" s="560">
        <f t="shared" si="574"/>
        <v>0</v>
      </c>
      <c r="HH284" s="560" t="str">
        <f t="shared" si="575"/>
        <v/>
      </c>
      <c r="HI284" s="560">
        <f>IF(GK284="P",Lookup!$N$12,IF(GK284="PP",Lookup!$N$13,IF(GK284="PPP",Lookup!$N$14,IF(GK284="T",Lookup!$N$15,IF(GK284="TP",Lookup!$N$16,IF(GK284="TPP",Lookup!$N$17,IF(GK284="TPPP",Lookup!$N$18,0)))))))*GJ284</f>
        <v>0</v>
      </c>
      <c r="HJ284" s="545">
        <f t="shared" si="544"/>
        <v>0</v>
      </c>
      <c r="HK284" s="560">
        <f t="shared" si="545"/>
        <v>895.26924351571859</v>
      </c>
      <c r="HL284" s="560">
        <f t="shared" si="579"/>
        <v>291.80874951620552</v>
      </c>
    </row>
    <row r="285" spans="1:220">
      <c r="A285" s="580" t="s">
        <v>6</v>
      </c>
      <c r="B285" s="556">
        <v>41913</v>
      </c>
      <c r="C285" s="561">
        <v>0</v>
      </c>
      <c r="D285" s="529">
        <f t="shared" si="580"/>
        <v>300</v>
      </c>
      <c r="E285" s="529">
        <f t="shared" si="581"/>
        <v>250</v>
      </c>
      <c r="F285" s="529">
        <v>250</v>
      </c>
      <c r="G285" s="560">
        <f>DR285+Sheet1!CZ287</f>
        <v>270.14170448667983</v>
      </c>
      <c r="H285" s="914">
        <f t="shared" si="546"/>
        <v>0</v>
      </c>
      <c r="I285" s="559">
        <f>MAX(Sheet1!Z287-AT285+(Sheet1!DA287-E285)*CFStoMGD,0)</f>
        <v>261.34119999999996</v>
      </c>
      <c r="J285" s="562">
        <f>IF(AND(B285&gt;=Calculation!GC285,B285&lt;=Calculation!GD285),IF(Sheet1!DB287&gt;=Calculation!D285,64.64,0),MAX(Sheet1!Z287-AT285+(Sheet1!DB287-D285)*CFStoMGD,0))</f>
        <v>146.92839999999998</v>
      </c>
      <c r="K285" s="904">
        <f t="shared" si="481"/>
        <v>0</v>
      </c>
      <c r="L285" s="560">
        <f>Sheet1!AA287+Sheet1!AB287-Sheet1!L287+(Sheet1!DA287-F285)*CFStoMGD</f>
        <v>292.5412</v>
      </c>
      <c r="M285" s="560">
        <f t="shared" si="482"/>
        <v>178.11198973579366</v>
      </c>
      <c r="N285" s="910">
        <f>IF(Sheet1!DA287&gt;=F285,MIN(73,MIN(MAX(L285,0),MAX(M285,0))),0)</f>
        <v>73</v>
      </c>
      <c r="O285" s="563">
        <f>Sheet1!AA287+Sheet1!AB287</f>
        <v>61.13</v>
      </c>
      <c r="P285" s="563">
        <f t="shared" si="483"/>
        <v>94.56810999999999</v>
      </c>
      <c r="Q285" s="898">
        <f t="shared" si="547"/>
        <v>48.973606237816767</v>
      </c>
      <c r="R285" s="829">
        <f t="shared" si="484"/>
        <v>12</v>
      </c>
      <c r="S285" s="898">
        <f t="shared" si="548"/>
        <v>0</v>
      </c>
      <c r="T285" s="898">
        <f t="shared" si="549"/>
        <v>0</v>
      </c>
      <c r="U285" s="898">
        <f t="shared" si="550"/>
        <v>12.156393762183235</v>
      </c>
      <c r="V285" s="898"/>
      <c r="W285" s="898">
        <f t="shared" si="551"/>
        <v>0</v>
      </c>
      <c r="X285" s="898">
        <f t="shared" si="552"/>
        <v>0</v>
      </c>
      <c r="Y285" s="898" t="str">
        <f t="shared" si="553"/>
        <v>FALSE</v>
      </c>
      <c r="Z285" s="898">
        <f t="shared" si="554"/>
        <v>61.13</v>
      </c>
      <c r="AA285" s="898">
        <f t="shared" si="555"/>
        <v>61.13</v>
      </c>
      <c r="AB285" s="898" t="str">
        <f t="shared" si="556"/>
        <v/>
      </c>
      <c r="AC285" s="563">
        <f>Sheet1!Y287*MGDtoCFS</f>
        <v>48.111699999999999</v>
      </c>
      <c r="AD285" s="563">
        <f>Sheet1!Z287*MGDtoCFS</f>
        <v>46.30171</v>
      </c>
      <c r="AE285" s="563">
        <f>Sheet1!AA287*MGDtoCFS</f>
        <v>48.111699999999999</v>
      </c>
      <c r="AF285" s="563">
        <f>Sheet1!AB287*MGDtoCFS</f>
        <v>46.456409999999998</v>
      </c>
      <c r="AG285" s="563">
        <f>Sheet1!L287*MGDtoCFS</f>
        <v>0</v>
      </c>
      <c r="AH285" s="545">
        <f t="shared" si="485"/>
        <v>12.324580896686159</v>
      </c>
      <c r="AI285" s="560">
        <f t="shared" si="486"/>
        <v>19.066126647173487</v>
      </c>
      <c r="AJ285" s="560">
        <f t="shared" si="487"/>
        <v>0</v>
      </c>
      <c r="AK285" s="560">
        <f t="shared" si="488"/>
        <v>0</v>
      </c>
      <c r="AL285" s="560">
        <f>(VLOOKUP(Sheet1!DC287,hhdcap_wcm,4)-(((VLOOKUP(Sheet1!DC287,hhdcap_wcm,3)-Sheet1!DC287)/(VLOOKUP(Sheet1!DC287,hhdcap_wcm,3)-VLOOKUP(Sheet1!DC287,hhdcap_wcm,1)))*(VLOOKUP(Sheet1!DC287,hhdcap_wcm,4)-VLOOKUP(Sheet1!DC287,hhdcap_wcm,2))))</f>
        <v>20430.800000050273</v>
      </c>
      <c r="AM285" s="560">
        <f t="shared" si="489"/>
        <v>-608.50000000291402</v>
      </c>
      <c r="AN285" s="560">
        <f t="shared" si="490"/>
        <v>1337.371538786839</v>
      </c>
      <c r="AO285" s="560">
        <f t="shared" si="491"/>
        <v>4103.0558809980221</v>
      </c>
      <c r="AP285" s="560">
        <f>Sheet1!BA287+Sheet1!BB287+Sheet1!BN287+CD285</f>
        <v>18.32</v>
      </c>
      <c r="AQ285" s="560">
        <f>Sheet1!BN287+(DO285*Sheet1!BN287)</f>
        <v>16.683333333333334</v>
      </c>
      <c r="AR285" s="560">
        <f>Sheet1!BA287+CD285</f>
        <v>0</v>
      </c>
      <c r="AS285" s="560">
        <f>Sheet1!BA287+Sheet1!BB287+CD285</f>
        <v>1.22</v>
      </c>
      <c r="AT285" s="698">
        <f>0</f>
        <v>0</v>
      </c>
      <c r="AU285" s="560">
        <f>IF(EB285&lt;K285,0,MAX(Sheet1!AA287+AQ285-15/36*K285-N285,Sheet1!EH287,0))</f>
        <v>0</v>
      </c>
      <c r="AV285" s="560">
        <f>IF(OR(B285&gt;=GD285,B285&lt;GC285),0,15/36*K285-MAX(0,64.6-(137.6-(Sheet1!AA287+Sheet1!AB287))))</f>
        <v>0</v>
      </c>
      <c r="AW285" s="698">
        <f>Sheet1!DB287-110</f>
        <v>371</v>
      </c>
      <c r="AX285" s="698">
        <f>Sheet1!DA287-265</f>
        <v>343</v>
      </c>
      <c r="AY285" s="698">
        <f t="shared" si="492"/>
        <v>24.026393762183233</v>
      </c>
      <c r="AZ285" s="698">
        <v>0</v>
      </c>
      <c r="BA285" s="698">
        <f t="shared" si="493"/>
        <v>0</v>
      </c>
      <c r="BB285" s="560">
        <f t="shared" si="494"/>
        <v>715.52566666666689</v>
      </c>
      <c r="BC285" s="560"/>
      <c r="BD285" s="560">
        <f ca="1">IF(B285&gt;Summary!$A$1,#N/A,BB285*MGtoAF)</f>
        <v>2195.2327453333342</v>
      </c>
      <c r="BE285" s="560">
        <f>Sheet1!BG287+Sheet1!BH287+Sheet1!BI287-BM285</f>
        <v>1.44</v>
      </c>
      <c r="BF285" s="560">
        <f t="shared" si="495"/>
        <v>1.4049122807017542</v>
      </c>
      <c r="BG285" s="560">
        <f>IF(Sheet1!EP287="FM",BM285,0)</f>
        <v>0</v>
      </c>
      <c r="BH285" s="560">
        <f t="shared" si="496"/>
        <v>0</v>
      </c>
      <c r="BI285" s="560">
        <f>IF(Sheet1!EP287="OTHER",BM285,0)</f>
        <v>0</v>
      </c>
      <c r="BJ285" s="560">
        <f t="shared" si="497"/>
        <v>0</v>
      </c>
      <c r="BK285" s="560">
        <f t="shared" si="498"/>
        <v>1.44</v>
      </c>
      <c r="BL285" s="560">
        <f t="shared" si="499"/>
        <v>1.4049122807017542</v>
      </c>
      <c r="BM285" s="560">
        <f>IF(OR(Sheet1!EP287="FM", Sheet1!EP287="OTHER"),SUM(Sheet1!BG287:'Sheet1'!BI287),0)</f>
        <v>0</v>
      </c>
      <c r="BN285" s="545">
        <f>IF(AND($B285&gt;=$FV285,$B285&lt;=$FW285),MAX(BF285,Sheet1!EI287,0),MAX(BF285-(7/36)*$K285,0))</f>
        <v>1.5</v>
      </c>
      <c r="BO285" s="560">
        <f t="shared" si="500"/>
        <v>0</v>
      </c>
      <c r="BP285" s="545">
        <f t="shared" si="501"/>
        <v>0</v>
      </c>
      <c r="BQ285" s="545">
        <f>IF(AND($O285&gt;0,Sheet1!EM287=1),(1-($O285-Sheet1!$L287)/$O285)*BL285,0)</f>
        <v>0</v>
      </c>
      <c r="BR285" s="545">
        <f>IF(AND(Sheet1!$L287=0,Sheet1!$L286=0, Calculation!BK285&lt;Sheet1!$EI287-0.1,Sheet1!$EI287=Sheet1!$EI286,Sheet1!$EI287=Sheet1!$EI288),Sheet1!$EI287,BL285-BQ285)</f>
        <v>1.4049122807017542</v>
      </c>
      <c r="BS285" s="560"/>
      <c r="BT285" s="560"/>
      <c r="BU285" s="560">
        <f t="shared" si="502"/>
        <v>137.02176547029438</v>
      </c>
      <c r="BV285" s="560"/>
      <c r="BW285" s="560">
        <f ca="1">IF(B285&gt;Summary!$A$1,#N/A,BU285*MGtoAF)</f>
        <v>420.38277646286315</v>
      </c>
      <c r="BX285" s="560">
        <f>Sheet1!BC287+Sheet1!BD287+Sheet1!BE287+Sheet1!BF287-CG285-CH285</f>
        <v>3</v>
      </c>
      <c r="BY285" s="560">
        <f t="shared" si="503"/>
        <v>2.9269005847953218</v>
      </c>
      <c r="BZ285" s="560">
        <f>IF(Sheet1!EQ287="FM",CH285,0)</f>
        <v>0</v>
      </c>
      <c r="CA285" s="560">
        <f t="shared" si="504"/>
        <v>0</v>
      </c>
      <c r="CB285" s="560">
        <f>IF(Sheet1!EQ287="OTHER",CH285,0)</f>
        <v>0</v>
      </c>
      <c r="CC285" s="560">
        <f t="shared" si="505"/>
        <v>0</v>
      </c>
      <c r="CD285" s="560">
        <f t="shared" si="506"/>
        <v>0</v>
      </c>
      <c r="CE285" s="560">
        <f t="shared" si="507"/>
        <v>3</v>
      </c>
      <c r="CF285" s="560">
        <f t="shared" si="508"/>
        <v>2.9269005847953218</v>
      </c>
      <c r="CG285" s="560">
        <f>IF(Sheet1!EQ287="CWA",SUM(Sheet1!BC287:'Sheet1'!BF287),0)</f>
        <v>0</v>
      </c>
      <c r="CH285" s="560">
        <f>IF(OR(Sheet1!EQ287="FM", Sheet1!EQ287="OTHER"),SUM(Sheet1!BC287:'Sheet1'!BF287),0)</f>
        <v>0</v>
      </c>
      <c r="CI285" s="545">
        <f>IF(AND($B285&gt;=$FV285,$B285&lt;=$FW285),MAX(CF285,Sheet1!EJ287,0),MAX(CF285-(7/36)*$K285,0))</f>
        <v>3</v>
      </c>
      <c r="CJ285" s="560">
        <f t="shared" si="509"/>
        <v>0</v>
      </c>
      <c r="CK285" s="545">
        <f t="shared" si="510"/>
        <v>0</v>
      </c>
      <c r="CL285" s="545">
        <f>IF(AND($O285&gt;0,Sheet1!EN287=1),(1-($O285-Sheet1!$L287)/$O285)*CF285,0)</f>
        <v>0</v>
      </c>
      <c r="CM285" s="545">
        <f>IF(AND(Sheet1!$L287=0,Sheet1!$L286=0, Calculation!CE285&lt;Sheet1!EJ287-0.1,Sheet1!EJ287=Sheet1!EJ286,Sheet1!EJ287=Sheet1!EJ288),Sheet1!EJ287,CF285-CL285)</f>
        <v>2.9269005847953218</v>
      </c>
      <c r="CN285" s="545"/>
      <c r="CO285" s="560"/>
      <c r="CP285" s="560">
        <f t="shared" si="511"/>
        <v>200.83993803035835</v>
      </c>
      <c r="CQ285" s="560"/>
      <c r="CR285" s="560">
        <f ca="1">IF(B285&gt;Summary!$A$1,#N/A,CP285*MGtoAF)</f>
        <v>616.1769298771394</v>
      </c>
      <c r="CS285" s="560">
        <f>Sheet1!BK287+Sheet1!BL287+Sheet1!BM287-Sheet1!ER287-DA285</f>
        <v>8.02</v>
      </c>
      <c r="CT285" s="560">
        <f t="shared" si="512"/>
        <v>7.8245808966861592</v>
      </c>
      <c r="CU285" s="560">
        <f>IF(Sheet1!ER287="FM",DA285,0)</f>
        <v>0</v>
      </c>
      <c r="CV285" s="560">
        <f t="shared" si="513"/>
        <v>0</v>
      </c>
      <c r="CW285" s="560">
        <f>IF(Sheet1!ER287="OTHER",DA285,0)</f>
        <v>0</v>
      </c>
      <c r="CX285" s="560">
        <f t="shared" si="514"/>
        <v>0</v>
      </c>
      <c r="CY285" s="560">
        <f t="shared" si="515"/>
        <v>8.02</v>
      </c>
      <c r="CZ285" s="560">
        <f t="shared" si="516"/>
        <v>7.8245808966861592</v>
      </c>
      <c r="DA285" s="560">
        <f>IF(OR(Sheet1!ER287="FM", Sheet1!ER287="OTHER"),SUM(Sheet1!BK287:'Sheet1'!BM287),0)</f>
        <v>0</v>
      </c>
      <c r="DB285" s="545">
        <f>IF(AND($B285&gt;=$FV285,$B285&lt;=$FW285),MAX($CT285,Sheet1!EK287,0),MAX($CT285-(7/36)*$K285,0))</f>
        <v>7.8245808966861592</v>
      </c>
      <c r="DC285" s="560">
        <f t="shared" si="517"/>
        <v>0</v>
      </c>
      <c r="DD285" s="545">
        <f t="shared" si="518"/>
        <v>0</v>
      </c>
      <c r="DE285" s="545">
        <f>IF(AND($O285&gt;0,Sheet1!EO287=1),(1-($O285-Sheet1!$L287)/$O285)*CZ285,0)</f>
        <v>0</v>
      </c>
      <c r="DF285" s="545">
        <f>IF(AND(Sheet1!$L287=0,Sheet1!$L286=0, Calculation!CY285&lt;Sheet1!$EK287-0.1,Sheet1!$EK287=Sheet1!$EK286,Sheet1!$EK287=Sheet1!$EK288),Sheet1!$EK287,CZ285-DE285)</f>
        <v>7.8245808966861592</v>
      </c>
      <c r="DG285" s="545"/>
      <c r="DH285" s="560">
        <f t="shared" si="519"/>
        <v>12.459999999999999</v>
      </c>
      <c r="DI285" s="560">
        <f t="shared" si="520"/>
        <v>283.98416861951938</v>
      </c>
      <c r="DJ285" s="698">
        <f t="shared" si="521"/>
        <v>12.156393762183235</v>
      </c>
      <c r="DK285" s="560">
        <f ca="1">IF(B285&gt;Summary!$A$1,#N/A,DI285*MGtoAF)</f>
        <v>871.26342932468549</v>
      </c>
      <c r="DL285" s="698">
        <f>CY285+CE285+BK285</f>
        <v>12.459999999999999</v>
      </c>
      <c r="DM285" s="560">
        <f t="shared" si="523"/>
        <v>30.78</v>
      </c>
      <c r="DN285" s="560">
        <f>Sheet1!AB287-DM285</f>
        <v>-0.75</v>
      </c>
      <c r="DO285" s="823">
        <f t="shared" si="524"/>
        <v>-2.4366471734892786E-2</v>
      </c>
      <c r="DP285" s="560">
        <f>(VLOOKUP(Sheet1!DC287,hhdcap_wcm,4)-(((VLOOKUP(Sheet1!DC287,hhdcap_wcm,3)-Sheet1!DC287)/(VLOOKUP(Sheet1!DC287,hhdcap_wcm,3)-VLOOKUP(Sheet1!DC287,hhdcap_wcm,1)))*(VLOOKUP(Sheet1!DC287,hhdcap_wcm,4)-VLOOKUP(Sheet1!DC287,hhdcap_wcm,2))))</f>
        <v>20430.800000050273</v>
      </c>
      <c r="DQ285" s="560">
        <f t="shared" si="525"/>
        <v>-608.50000000291402</v>
      </c>
      <c r="DR285" s="560">
        <f t="shared" si="526"/>
        <v>-306.85829551332017</v>
      </c>
      <c r="DS285" s="560">
        <f>Sheet1!EA287*AFtoMG</f>
        <v>0</v>
      </c>
      <c r="DT285" s="560">
        <f>Sheet1!EB287*AFtoMG</f>
        <v>0</v>
      </c>
      <c r="DU285" s="560">
        <f>Sheet1!EC287*AFtoMG</f>
        <v>0</v>
      </c>
      <c r="DV285" s="560">
        <f>Sheet1!ED287*AFtoMG</f>
        <v>0</v>
      </c>
      <c r="DW285" s="560">
        <f t="shared" si="527"/>
        <v>0</v>
      </c>
      <c r="DX285" s="560">
        <f t="shared" si="528"/>
        <v>0</v>
      </c>
      <c r="DY285" s="560">
        <f t="shared" si="529"/>
        <v>1337.371538786839</v>
      </c>
      <c r="DZ285" s="560">
        <f t="shared" si="530"/>
        <v>4103.0558809980221</v>
      </c>
      <c r="EA285" s="560"/>
      <c r="EB285" s="545">
        <f>IF(OR(B285&lt;FV285,B285&gt;FW285),(MIN(BF285+BY285+CT285+MAX(Sheet1!AA287+AQ285-73,0),K285)),0)</f>
        <v>0</v>
      </c>
      <c r="EC285" s="560"/>
      <c r="ED285" s="560">
        <f t="shared" si="531"/>
        <v>12.156393762183235</v>
      </c>
      <c r="EE285" s="560"/>
      <c r="EF285" s="560">
        <f>Sheet1!EH287+Sheet1!EI287+Sheet1!EJ287+Sheet1!EK287</f>
        <v>12</v>
      </c>
      <c r="EG285" s="560"/>
      <c r="EH285" s="545">
        <f t="shared" si="532"/>
        <v>0</v>
      </c>
      <c r="EI285" s="560">
        <f>IF(Sheet1!ET287=1,SUM('Calculations II'!AT285:BA285)+'Calculations II'!BC285+Sheet1!BV287+'Calculations II'!BE285+AP285,SUM('Calculations II'!AT285:BA285)+'Calculations II'!BC285+Sheet1!BV287+'Calculations II'!BE285+AP285)</f>
        <v>55.373280000000001</v>
      </c>
      <c r="EJ285" s="560">
        <f>Sheet1!AA287+Sheet1!AB287+'Calculations II'!BC285</f>
        <v>61.13</v>
      </c>
      <c r="EK285" s="560"/>
      <c r="EL285" s="560"/>
      <c r="EM285" s="560">
        <f t="shared" si="533"/>
        <v>41913</v>
      </c>
      <c r="EN285" s="560">
        <f t="shared" si="534"/>
        <v>-12.324580896686159</v>
      </c>
      <c r="EO285" s="560">
        <f t="shared" si="535"/>
        <v>-19.066126647173487</v>
      </c>
      <c r="EP285" s="560">
        <v>0</v>
      </c>
      <c r="EQ285" s="560">
        <v>0</v>
      </c>
      <c r="ER285" s="560">
        <v>0</v>
      </c>
      <c r="ES285" s="545">
        <f t="shared" si="557"/>
        <v>-2.9125267071576788</v>
      </c>
      <c r="ET285" s="560">
        <f>-(VLOOKUP(Sheet1!BQ287,Lookup!$O$4:$Q$262,2)-VLOOKUP(Sheet1!BQ286,Lookup!$O$4:$Q$262,2))/1000000</f>
        <v>-1.3868670908271075</v>
      </c>
      <c r="EU285" s="560">
        <f>-(VLOOKUP(Sheet1!BR287,Lookup!$O$4:$Q$262,3)-VLOOKUP(Sheet1!BR286,Lookup!$O$4:$Q$262,3))/1000000</f>
        <v>-1.5256596163305716</v>
      </c>
      <c r="EV285" s="560"/>
      <c r="EW285" s="560"/>
      <c r="EX285" s="560"/>
      <c r="EY285" s="560"/>
      <c r="EZ285" s="560"/>
      <c r="FA285" s="560"/>
      <c r="FB285" s="560"/>
      <c r="FC285" s="560"/>
      <c r="FD285" s="594">
        <f t="shared" si="536"/>
        <v>1114.7918918918349</v>
      </c>
      <c r="FE285" s="594" t="e">
        <f t="shared" si="537"/>
        <v>#N/A</v>
      </c>
      <c r="FF285" s="595" t="e">
        <f t="shared" si="538"/>
        <v>#N/A</v>
      </c>
      <c r="FG285" s="596" t="s">
        <v>692</v>
      </c>
      <c r="FH285" s="596" t="s">
        <v>692</v>
      </c>
      <c r="FI285" s="594" t="e">
        <v>#N/A</v>
      </c>
      <c r="FJ285" s="778">
        <v>8990</v>
      </c>
      <c r="FK285" s="560"/>
      <c r="FL285" s="560"/>
      <c r="FM285" s="560"/>
      <c r="FN285" s="560"/>
      <c r="FO285" s="560">
        <f>O285+((Sheet1!CS287)*GPMtoMGD)</f>
        <v>61.13</v>
      </c>
      <c r="FP285" s="560">
        <f>IF(Sheet1!AA287+AQ285&lt;=Calculation!N285,AQ285,Calculation!N285-Sheet1!AA287)</f>
        <v>16.683333333333334</v>
      </c>
      <c r="FQ285" s="560">
        <f>(Sheet1!BP287+Sheet1!BO287)/694.4</f>
        <v>2.1311923963133643</v>
      </c>
      <c r="FR285" s="560"/>
      <c r="FS285" s="560"/>
      <c r="FT285" s="560"/>
      <c r="FU285" s="560"/>
      <c r="FV285" s="695">
        <f t="shared" si="558"/>
        <v>41827</v>
      </c>
      <c r="FW285" s="695">
        <f t="shared" si="559"/>
        <v>41934</v>
      </c>
      <c r="FX285" s="560"/>
      <c r="FY285" s="560"/>
      <c r="FZ285" s="560"/>
      <c r="GA285" s="560"/>
      <c r="GB285" s="560" t="str">
        <f t="shared" si="560"/>
        <v>n</v>
      </c>
      <c r="GC285" s="564">
        <f t="shared" si="561"/>
        <v>41691</v>
      </c>
      <c r="GD285" s="695">
        <f t="shared" si="562"/>
        <v>41807</v>
      </c>
      <c r="GE285" s="560">
        <v>6518.9</v>
      </c>
      <c r="GF285" s="695">
        <f t="shared" si="563"/>
        <v>41808</v>
      </c>
      <c r="GG285" s="560">
        <f t="shared" si="582"/>
        <v>3259</v>
      </c>
      <c r="GH285" s="564">
        <f t="shared" si="564"/>
        <v>41934</v>
      </c>
      <c r="GJ285" s="545">
        <f t="shared" si="565"/>
        <v>0</v>
      </c>
      <c r="GK285" s="560" t="str">
        <f t="shared" si="539"/>
        <v/>
      </c>
      <c r="GL285" s="560">
        <f t="shared" si="566"/>
        <v>0</v>
      </c>
      <c r="GM285" s="560" t="str">
        <f t="shared" si="567"/>
        <v/>
      </c>
      <c r="GN285" s="560">
        <f>IF(GK285="P",Lookup!$M$12,IF(GK285="PP",Lookup!$M$13,IF(GK285="PPP",Lookup!$M$14,IF(GK285="T",Lookup!$M$15,IF(GK285="TP",Lookup!$M$16,IF(GK285="TPP",Lookup!$M$17,IF(GK285="TPPP",Lookup!$M$18,0)))))))*GJ285</f>
        <v>0</v>
      </c>
      <c r="GO285" s="560">
        <f t="shared" si="568"/>
        <v>0</v>
      </c>
      <c r="GP285" s="560">
        <f t="shared" si="540"/>
        <v>2195.2327453333342</v>
      </c>
      <c r="GQ285" s="560">
        <f t="shared" si="576"/>
        <v>715.52566666666689</v>
      </c>
      <c r="GR285" s="560"/>
      <c r="GS285" s="560">
        <f t="shared" si="569"/>
        <v>0</v>
      </c>
      <c r="GT285" s="560" t="str">
        <f t="shared" si="570"/>
        <v/>
      </c>
      <c r="GU285" s="560">
        <f>IF(GK285="P",Lookup!$N$12,IF(GK285="PP",Lookup!$N$13,IF(GK285="PPP",Lookup!$N$14,IF(GK285="T",Lookup!$N$15,IF(GK285="TP",Lookup!$N$16,IF(GK285="TPP",Lookup!$N$17,IF(GK285="TPPP",Lookup!$N$18,0)))))))*GJ285</f>
        <v>0</v>
      </c>
      <c r="GV285" s="560">
        <f t="shared" si="571"/>
        <v>0</v>
      </c>
      <c r="GW285" s="560">
        <f t="shared" si="541"/>
        <v>420.38277646286315</v>
      </c>
      <c r="GX285" s="560">
        <f t="shared" si="577"/>
        <v>137.02176547029438</v>
      </c>
      <c r="GY285" s="560"/>
      <c r="GZ285" s="560">
        <f t="shared" si="572"/>
        <v>0</v>
      </c>
      <c r="HA285" s="560" t="str">
        <f t="shared" si="573"/>
        <v/>
      </c>
      <c r="HB285" s="560">
        <f>IF(GK285="P",Lookup!$N$12,IF(GK285="PP",Lookup!$N$13,IF(GK285="PPP",Lookup!$N$14,IF(GK285="T",Lookup!$N$15,IF(GK285="TP",Lookup!$N$16,IF(GK285="TPP",Lookup!$N$17,IF(GK285="TPPP",Lookup!$N$18,0)))))))*GJ285</f>
        <v>0</v>
      </c>
      <c r="HC285" s="545">
        <f t="shared" si="542"/>
        <v>0</v>
      </c>
      <c r="HD285" s="560">
        <f t="shared" si="543"/>
        <v>616.1769298771394</v>
      </c>
      <c r="HE285" s="560">
        <f t="shared" si="578"/>
        <v>200.83993803035835</v>
      </c>
      <c r="HF285" s="560"/>
      <c r="HG285" s="560">
        <f t="shared" si="574"/>
        <v>0</v>
      </c>
      <c r="HH285" s="560" t="str">
        <f t="shared" si="575"/>
        <v/>
      </c>
      <c r="HI285" s="560">
        <f>IF(GK285="P",Lookup!$N$12,IF(GK285="PP",Lookup!$N$13,IF(GK285="PPP",Lookup!$N$14,IF(GK285="T",Lookup!$N$15,IF(GK285="TP",Lookup!$N$16,IF(GK285="TPP",Lookup!$N$17,IF(GK285="TPPP",Lookup!$N$18,0)))))))*GJ285</f>
        <v>0</v>
      </c>
      <c r="HJ285" s="545">
        <f t="shared" si="544"/>
        <v>0</v>
      </c>
      <c r="HK285" s="560">
        <f t="shared" si="545"/>
        <v>871.26342932468549</v>
      </c>
      <c r="HL285" s="560">
        <f t="shared" si="579"/>
        <v>283.98416861951938</v>
      </c>
    </row>
    <row r="286" spans="1:220">
      <c r="A286" s="580" t="s">
        <v>7</v>
      </c>
      <c r="B286" s="556">
        <v>41914</v>
      </c>
      <c r="C286" s="561">
        <v>0</v>
      </c>
      <c r="D286" s="529">
        <f t="shared" si="580"/>
        <v>300</v>
      </c>
      <c r="E286" s="529">
        <f t="shared" si="581"/>
        <v>250</v>
      </c>
      <c r="F286" s="529">
        <v>250</v>
      </c>
      <c r="G286" s="560">
        <f>DR286+Sheet1!CZ288</f>
        <v>217.52395360496598</v>
      </c>
      <c r="H286" s="914">
        <f t="shared" si="546"/>
        <v>0</v>
      </c>
      <c r="I286" s="559">
        <f>MAX(Sheet1!Z288-AT286+(Sheet1!DA288-E286)*CFStoMGD,0)</f>
        <v>261.44119999999998</v>
      </c>
      <c r="J286" s="562">
        <f>IF(AND(B286&gt;=Calculation!GC286,B286&lt;=Calculation!GD286),IF(Sheet1!DB288&gt;=Calculation!D286,64.64,0),MAX(Sheet1!Z288-AT286+(Sheet1!DB288-D286)*CFStoMGD,0))</f>
        <v>134.10039999999998</v>
      </c>
      <c r="K286" s="904">
        <f t="shared" si="481"/>
        <v>0</v>
      </c>
      <c r="L286" s="560">
        <f>Sheet1!AA288+Sheet1!AB288-Sheet1!L288+(Sheet1!DA288-F286)*CFStoMGD</f>
        <v>291.06119999999999</v>
      </c>
      <c r="M286" s="560">
        <f t="shared" si="482"/>
        <v>143.41963328245501</v>
      </c>
      <c r="N286" s="910">
        <f>IF(Sheet1!DA288&gt;=F286,MIN(73,MIN(MAX(L286,0),MAX(M286,0))),0)</f>
        <v>73</v>
      </c>
      <c r="O286" s="563">
        <f>Sheet1!AA288+Sheet1!AB288</f>
        <v>59.650000000000006</v>
      </c>
      <c r="P286" s="563">
        <f t="shared" si="483"/>
        <v>92.278549999999996</v>
      </c>
      <c r="Q286" s="898">
        <f t="shared" si="547"/>
        <v>47.650000000000006</v>
      </c>
      <c r="R286" s="829">
        <f t="shared" si="484"/>
        <v>12</v>
      </c>
      <c r="S286" s="898">
        <f t="shared" si="548"/>
        <v>0</v>
      </c>
      <c r="T286" s="898">
        <f t="shared" si="549"/>
        <v>0</v>
      </c>
      <c r="U286" s="898">
        <f t="shared" si="550"/>
        <v>12</v>
      </c>
      <c r="V286" s="898"/>
      <c r="W286" s="898">
        <f t="shared" si="551"/>
        <v>0</v>
      </c>
      <c r="X286" s="898">
        <f t="shared" si="552"/>
        <v>0</v>
      </c>
      <c r="Y286" s="898" t="str">
        <f t="shared" si="553"/>
        <v>FALSE</v>
      </c>
      <c r="Z286" s="898">
        <f t="shared" si="554"/>
        <v>59.650000000000006</v>
      </c>
      <c r="AA286" s="898">
        <f t="shared" si="555"/>
        <v>59.650000000000006</v>
      </c>
      <c r="AB286" s="898" t="str">
        <f t="shared" si="556"/>
        <v/>
      </c>
      <c r="AC286" s="563">
        <f>Sheet1!Y288*MGDtoCFS</f>
        <v>48.111699999999999</v>
      </c>
      <c r="AD286" s="563">
        <f>Sheet1!Z288*MGDtoCFS</f>
        <v>46.456409999999998</v>
      </c>
      <c r="AE286" s="563">
        <f>Sheet1!AA288*MGDtoCFS</f>
        <v>48.111699999999999</v>
      </c>
      <c r="AF286" s="563">
        <f>Sheet1!AB288*MGDtoCFS</f>
        <v>44.166849999999997</v>
      </c>
      <c r="AG286" s="563">
        <f>Sheet1!L288*MGDtoCFS</f>
        <v>0</v>
      </c>
      <c r="AH286" s="545">
        <f t="shared" si="485"/>
        <v>12.009527096996894</v>
      </c>
      <c r="AI286" s="560">
        <f t="shared" si="486"/>
        <v>18.578738419054194</v>
      </c>
      <c r="AJ286" s="560">
        <f t="shared" si="487"/>
        <v>0</v>
      </c>
      <c r="AK286" s="560">
        <f t="shared" si="488"/>
        <v>0</v>
      </c>
      <c r="AL286" s="560">
        <f>(VLOOKUP(Sheet1!DC288,hhdcap_wcm,4)-(((VLOOKUP(Sheet1!DC288,hhdcap_wcm,3)-Sheet1!DC288)/(VLOOKUP(Sheet1!DC288,hhdcap_wcm,3)-VLOOKUP(Sheet1!DC288,hhdcap_wcm,1)))*(VLOOKUP(Sheet1!DC288,hhdcap_wcm,4)-VLOOKUP(Sheet1!DC288,hhdcap_wcm,2))))</f>
        <v>19771.50000004892</v>
      </c>
      <c r="AM286" s="560">
        <f t="shared" si="489"/>
        <v>-659.3000000013526</v>
      </c>
      <c r="AN286" s="560">
        <f t="shared" si="490"/>
        <v>1325.3620116898421</v>
      </c>
      <c r="AO286" s="560">
        <f t="shared" si="491"/>
        <v>4066.2106518644359</v>
      </c>
      <c r="AP286" s="560">
        <f>Sheet1!BA288+Sheet1!BB288+Sheet1!BN288+CD286</f>
        <v>16.899999999999999</v>
      </c>
      <c r="AQ286" s="560">
        <f>Sheet1!BN288+(DO286*Sheet1!BN288)</f>
        <v>15.669485674836039</v>
      </c>
      <c r="AR286" s="560">
        <f>Sheet1!BA288+CD286</f>
        <v>0</v>
      </c>
      <c r="AS286" s="560">
        <f>Sheet1!BA288+Sheet1!BB288+CD286</f>
        <v>1</v>
      </c>
      <c r="AT286" s="698">
        <f>0</f>
        <v>0</v>
      </c>
      <c r="AU286" s="560">
        <f>IF(EB286&lt;K286,0,MAX(Sheet1!AA288+AQ286-15/36*K286-N286,Sheet1!EH288,0))</f>
        <v>0</v>
      </c>
      <c r="AV286" s="560">
        <f>IF(OR(B286&gt;=GD286,B286&lt;GC286),0,15/36*K286-MAX(0,64.6-(137.6-(Sheet1!AA288+Sheet1!AB288))))</f>
        <v>0</v>
      </c>
      <c r="AW286" s="698">
        <f>Sheet1!DB288-110</f>
        <v>351</v>
      </c>
      <c r="AX286" s="698">
        <f>Sheet1!DA288-265</f>
        <v>343</v>
      </c>
      <c r="AY286" s="698">
        <f t="shared" si="492"/>
        <v>25.349999999999994</v>
      </c>
      <c r="AZ286" s="698">
        <v>0</v>
      </c>
      <c r="BA286" s="698">
        <f t="shared" si="493"/>
        <v>0</v>
      </c>
      <c r="BB286" s="560">
        <f t="shared" si="494"/>
        <v>715.52566666666689</v>
      </c>
      <c r="BC286" s="560"/>
      <c r="BD286" s="560">
        <f ca="1">IF(B286&gt;Summary!$A$1,#N/A,BB286*MGtoAF)</f>
        <v>2195.2327453333342</v>
      </c>
      <c r="BE286" s="560">
        <f>Sheet1!BG288+Sheet1!BH288+Sheet1!BI288-BM286</f>
        <v>1.44</v>
      </c>
      <c r="BF286" s="560">
        <f t="shared" si="495"/>
        <v>1.4191232309285469</v>
      </c>
      <c r="BG286" s="560">
        <f>IF(Sheet1!EP288="FM",BM286,0)</f>
        <v>0</v>
      </c>
      <c r="BH286" s="560">
        <f t="shared" si="496"/>
        <v>0</v>
      </c>
      <c r="BI286" s="560">
        <f>IF(Sheet1!EP288="OTHER",BM286,0)</f>
        <v>0</v>
      </c>
      <c r="BJ286" s="560">
        <f t="shared" si="497"/>
        <v>0</v>
      </c>
      <c r="BK286" s="560">
        <f t="shared" si="498"/>
        <v>1.44</v>
      </c>
      <c r="BL286" s="560">
        <f t="shared" si="499"/>
        <v>1.4191232309285469</v>
      </c>
      <c r="BM286" s="560">
        <f>IF(OR(Sheet1!EP288="FM", Sheet1!EP288="OTHER"),SUM(Sheet1!BG288:'Sheet1'!BI288),0)</f>
        <v>0</v>
      </c>
      <c r="BN286" s="545">
        <f>IF(AND($B286&gt;=$FV286,$B286&lt;=$FW286),MAX(BF286,Sheet1!EI288,0),MAX(BF286-(7/36)*$K286,0))</f>
        <v>1.5</v>
      </c>
      <c r="BO286" s="560">
        <f t="shared" si="500"/>
        <v>0</v>
      </c>
      <c r="BP286" s="545">
        <f t="shared" si="501"/>
        <v>0</v>
      </c>
      <c r="BQ286" s="545">
        <f>IF(AND($O286&gt;0,Sheet1!EM288=1),(1-($O286-Sheet1!$L288)/$O286)*BL286,0)</f>
        <v>0</v>
      </c>
      <c r="BR286" s="545">
        <f>IF(AND(Sheet1!$L288=0,Sheet1!$L287=0, Calculation!BK286&lt;Sheet1!$EI288-0.1,Sheet1!$EI288=Sheet1!$EI287,Sheet1!$EI288=Sheet1!$EI289),Sheet1!$EI288,BL286-BQ286)</f>
        <v>1.4191232309285469</v>
      </c>
      <c r="BS286" s="560"/>
      <c r="BT286" s="560"/>
      <c r="BU286" s="560">
        <f t="shared" si="502"/>
        <v>135.52176547029438</v>
      </c>
      <c r="BV286" s="560"/>
      <c r="BW286" s="560">
        <f ca="1">IF(B286&gt;Summary!$A$1,#N/A,BU286*MGtoAF)</f>
        <v>415.78077646286317</v>
      </c>
      <c r="BX286" s="560">
        <f>Sheet1!BC288+Sheet1!BD288+Sheet1!BE288+Sheet1!BF288-CG286-CH286</f>
        <v>3.0100000000000002</v>
      </c>
      <c r="BY286" s="560">
        <f t="shared" si="503"/>
        <v>2.9663617535381435</v>
      </c>
      <c r="BZ286" s="560">
        <f>IF(Sheet1!EQ288="FM",CH286,0)</f>
        <v>0</v>
      </c>
      <c r="CA286" s="560">
        <f t="shared" si="504"/>
        <v>0</v>
      </c>
      <c r="CB286" s="560">
        <f>IF(Sheet1!EQ288="OTHER",CH286,0)</f>
        <v>0</v>
      </c>
      <c r="CC286" s="560">
        <f t="shared" si="505"/>
        <v>0</v>
      </c>
      <c r="CD286" s="560">
        <f t="shared" si="506"/>
        <v>0</v>
      </c>
      <c r="CE286" s="560">
        <f t="shared" si="507"/>
        <v>3.0100000000000002</v>
      </c>
      <c r="CF286" s="560">
        <f t="shared" si="508"/>
        <v>2.9663617535381435</v>
      </c>
      <c r="CG286" s="560">
        <f>IF(Sheet1!EQ288="CWA",SUM(Sheet1!BC288:'Sheet1'!BF288),0)</f>
        <v>0</v>
      </c>
      <c r="CH286" s="560">
        <f>IF(OR(Sheet1!EQ288="FM", Sheet1!EQ288="OTHER"),SUM(Sheet1!BC288:'Sheet1'!BF288),0)</f>
        <v>0</v>
      </c>
      <c r="CI286" s="545">
        <f>IF(AND($B286&gt;=$FV286,$B286&lt;=$FW286),MAX(CF286,Sheet1!EJ288,0),MAX(CF286-(7/36)*$K286,0))</f>
        <v>3</v>
      </c>
      <c r="CJ286" s="560">
        <f t="shared" si="509"/>
        <v>0</v>
      </c>
      <c r="CK286" s="545">
        <f t="shared" si="510"/>
        <v>0</v>
      </c>
      <c r="CL286" s="545">
        <f>IF(AND($O286&gt;0,Sheet1!EN288=1),(1-($O286-Sheet1!$L288)/$O286)*CF286,0)</f>
        <v>0</v>
      </c>
      <c r="CM286" s="545">
        <f>IF(AND(Sheet1!$L288=0,Sheet1!$L287=0, Calculation!CE286&lt;Sheet1!EJ288-0.1,Sheet1!EJ288=Sheet1!EJ287,Sheet1!EJ288=Sheet1!EJ289),Sheet1!EJ288,CF286-CL286)</f>
        <v>2.9663617535381435</v>
      </c>
      <c r="CN286" s="545"/>
      <c r="CO286" s="560"/>
      <c r="CP286" s="560">
        <f t="shared" si="511"/>
        <v>197.83993803035835</v>
      </c>
      <c r="CQ286" s="560"/>
      <c r="CR286" s="560">
        <f ca="1">IF(B286&gt;Summary!$A$1,#N/A,CP286*MGtoAF)</f>
        <v>606.97292987713945</v>
      </c>
      <c r="CS286" s="560">
        <f>Sheet1!BK288+Sheet1!BL288+Sheet1!BM288-Sheet1!ER288-DA286</f>
        <v>7.6199999999999992</v>
      </c>
      <c r="CT286" s="560">
        <f t="shared" si="512"/>
        <v>7.5095270969968935</v>
      </c>
      <c r="CU286" s="560">
        <f>IF(Sheet1!ER288="FM",DA286,0)</f>
        <v>0</v>
      </c>
      <c r="CV286" s="560">
        <f t="shared" si="513"/>
        <v>0</v>
      </c>
      <c r="CW286" s="560">
        <f>IF(Sheet1!ER288="OTHER",DA286,0)</f>
        <v>0</v>
      </c>
      <c r="CX286" s="560">
        <f t="shared" si="514"/>
        <v>0</v>
      </c>
      <c r="CY286" s="560">
        <f t="shared" si="515"/>
        <v>7.6199999999999992</v>
      </c>
      <c r="CZ286" s="560">
        <f t="shared" si="516"/>
        <v>7.5095270969968935</v>
      </c>
      <c r="DA286" s="560">
        <f>IF(OR(Sheet1!ER288="FM", Sheet1!ER288="OTHER"),SUM(Sheet1!BK288:'Sheet1'!BM288),0)</f>
        <v>0</v>
      </c>
      <c r="DB286" s="545">
        <f>IF(AND($B286&gt;=$FV286,$B286&lt;=$FW286),MAX($CT286,Sheet1!EK288,0),MAX($CT286-(7/36)*$K286,0))</f>
        <v>7.5095270969968935</v>
      </c>
      <c r="DC286" s="560">
        <f t="shared" si="517"/>
        <v>0</v>
      </c>
      <c r="DD286" s="545">
        <f t="shared" si="518"/>
        <v>0</v>
      </c>
      <c r="DE286" s="545">
        <f>IF(AND($O286&gt;0,Sheet1!EO288=1),(1-($O286-Sheet1!$L288)/$O286)*CZ286,0)</f>
        <v>0</v>
      </c>
      <c r="DF286" s="545">
        <f>IF(AND(Sheet1!$L288=0,Sheet1!$L287=0, Calculation!CY286&lt;Sheet1!$EK288-0.1,Sheet1!$EK288=Sheet1!$EK287,Sheet1!$EK288=Sheet1!$EK289),Sheet1!$EK288,CZ286-DE286)</f>
        <v>7.5095270969968935</v>
      </c>
      <c r="DG286" s="545"/>
      <c r="DH286" s="560">
        <f t="shared" si="519"/>
        <v>12.07</v>
      </c>
      <c r="DI286" s="560">
        <f t="shared" si="520"/>
        <v>276.47464152252246</v>
      </c>
      <c r="DJ286" s="698">
        <f t="shared" si="521"/>
        <v>11.895012081463584</v>
      </c>
      <c r="DK286" s="560">
        <f ca="1">IF(B286&gt;Summary!$A$1,#N/A,DI286*MGtoAF)</f>
        <v>848.22420019109893</v>
      </c>
      <c r="DL286" s="698">
        <f t="shared" si="522"/>
        <v>12.069999999999999</v>
      </c>
      <c r="DM286" s="560">
        <f>DL286+AP286</f>
        <v>28.97</v>
      </c>
      <c r="DN286" s="560">
        <f>Sheet1!AB288-DM286</f>
        <v>-0.41999999999999815</v>
      </c>
      <c r="DO286" s="823">
        <f>IF(DM286=0,0,DN286/DM286)</f>
        <v>-1.4497756299620234E-2</v>
      </c>
      <c r="DP286" s="560">
        <f>(VLOOKUP(Sheet1!DC288,hhdcap_wcm,4)-(((VLOOKUP(Sheet1!DC288,hhdcap_wcm,3)-Sheet1!DC288)/(VLOOKUP(Sheet1!DC288,hhdcap_wcm,3)-VLOOKUP(Sheet1!DC288,hhdcap_wcm,1)))*(VLOOKUP(Sheet1!DC288,hhdcap_wcm,4)-VLOOKUP(Sheet1!DC288,hhdcap_wcm,2))))</f>
        <v>19771.50000004892</v>
      </c>
      <c r="DQ286" s="560">
        <f t="shared" si="525"/>
        <v>-659.3000000013526</v>
      </c>
      <c r="DR286" s="560">
        <f t="shared" si="526"/>
        <v>-332.47604639503402</v>
      </c>
      <c r="DS286" s="560">
        <f>Sheet1!EA288*AFtoMG</f>
        <v>0</v>
      </c>
      <c r="DT286" s="560">
        <f>Sheet1!EB288*AFtoMG</f>
        <v>0</v>
      </c>
      <c r="DU286" s="560">
        <f>Sheet1!EC288*AFtoMG</f>
        <v>0</v>
      </c>
      <c r="DV286" s="560">
        <f>Sheet1!ED288*AFtoMG</f>
        <v>0</v>
      </c>
      <c r="DW286" s="560">
        <f t="shared" si="527"/>
        <v>0</v>
      </c>
      <c r="DX286" s="560">
        <f t="shared" si="528"/>
        <v>0</v>
      </c>
      <c r="DY286" s="560">
        <f t="shared" si="529"/>
        <v>1325.3620116898421</v>
      </c>
      <c r="DZ286" s="560">
        <f t="shared" si="530"/>
        <v>4066.2106518644359</v>
      </c>
      <c r="EA286" s="560"/>
      <c r="EB286" s="545">
        <f>IF(OR(B286&lt;FV286,B286&gt;FW286),(MIN(BF286+BY286+CT286+MAX(Sheet1!AA288+AQ286-73,0),K286)),0)</f>
        <v>0</v>
      </c>
      <c r="EC286" s="560"/>
      <c r="ED286" s="560">
        <f t="shared" si="531"/>
        <v>11.895012081463584</v>
      </c>
      <c r="EE286" s="560"/>
      <c r="EF286" s="560">
        <f>Sheet1!EH288+Sheet1!EI288+Sheet1!EJ288+Sheet1!EK288</f>
        <v>12</v>
      </c>
      <c r="EG286" s="560"/>
      <c r="EH286" s="545">
        <f t="shared" si="532"/>
        <v>0</v>
      </c>
      <c r="EI286" s="560">
        <f>IF(Sheet1!ET288=1,SUM('Calculations II'!AT286:BA286)+'Calculations II'!BC286+Sheet1!BV288+'Calculations II'!BE286+AP286,SUM('Calculations II'!AT286:BA286)+'Calculations II'!BC286+Sheet1!BV288+'Calculations II'!BE286+AP286)</f>
        <v>56.375695999999991</v>
      </c>
      <c r="EJ286" s="560">
        <f>Sheet1!AA288+Sheet1!AB288+'Calculations II'!BC286</f>
        <v>59.650000000000006</v>
      </c>
      <c r="EK286" s="560"/>
      <c r="EL286" s="560"/>
      <c r="EM286" s="560">
        <f t="shared" si="533"/>
        <v>41914</v>
      </c>
      <c r="EN286" s="560">
        <f t="shared" si="534"/>
        <v>-12.009527096996894</v>
      </c>
      <c r="EO286" s="560">
        <f t="shared" si="535"/>
        <v>-18.578738419054194</v>
      </c>
      <c r="EP286" s="560">
        <v>0</v>
      </c>
      <c r="EQ286" s="560">
        <v>0</v>
      </c>
      <c r="ER286" s="560">
        <v>0</v>
      </c>
      <c r="ES286" s="545">
        <f t="shared" si="557"/>
        <v>0</v>
      </c>
      <c r="ET286" s="560">
        <f>-(VLOOKUP(Sheet1!BQ288,Lookup!$O$4:$Q$262,2)-VLOOKUP(Sheet1!BQ287,Lookup!$O$4:$Q$262,2))/1000000</f>
        <v>0</v>
      </c>
      <c r="EU286" s="560">
        <f>-(VLOOKUP(Sheet1!BR288,Lookup!$O$4:$Q$262,3)-VLOOKUP(Sheet1!BR287,Lookup!$O$4:$Q$262,3))/1000000</f>
        <v>0</v>
      </c>
      <c r="EV286" s="560"/>
      <c r="EW286" s="560"/>
      <c r="EX286" s="560"/>
      <c r="EY286" s="560"/>
      <c r="EZ286" s="560"/>
      <c r="FA286" s="560"/>
      <c r="FB286" s="560"/>
      <c r="FC286" s="560"/>
      <c r="FD286" s="594">
        <f t="shared" si="536"/>
        <v>1114.1999999999434</v>
      </c>
      <c r="FE286" s="594" t="e">
        <f t="shared" si="537"/>
        <v>#N/A</v>
      </c>
      <c r="FF286" s="595" t="e">
        <f t="shared" si="538"/>
        <v>#N/A</v>
      </c>
      <c r="FG286" s="596" t="s">
        <v>692</v>
      </c>
      <c r="FH286" s="596" t="s">
        <v>692</v>
      </c>
      <c r="FI286" s="594" t="e">
        <v>#N/A</v>
      </c>
      <c r="FJ286" s="778">
        <v>8780</v>
      </c>
      <c r="FK286" s="560"/>
      <c r="FL286" s="560"/>
      <c r="FM286" s="560"/>
      <c r="FN286" s="560"/>
      <c r="FO286" s="560">
        <f>O286+((Sheet1!CS288)*GPMtoMGD)</f>
        <v>59.650000000000006</v>
      </c>
      <c r="FP286" s="560">
        <f>IF(Sheet1!AA288+AQ286&lt;=Calculation!N286,AQ286,Calculation!N286-Sheet1!AA288)</f>
        <v>15.669485674836039</v>
      </c>
      <c r="FQ286" s="560">
        <f>(Sheet1!BP288+Sheet1!BO288)/694.4</f>
        <v>1.2569124423963134</v>
      </c>
      <c r="FR286" s="560"/>
      <c r="FS286" s="560"/>
      <c r="FT286" s="560"/>
      <c r="FU286" s="560"/>
      <c r="FV286" s="695">
        <f t="shared" si="558"/>
        <v>41827</v>
      </c>
      <c r="FW286" s="695">
        <f t="shared" si="559"/>
        <v>41934</v>
      </c>
      <c r="FX286" s="560"/>
      <c r="FY286" s="560"/>
      <c r="FZ286" s="560"/>
      <c r="GA286" s="560"/>
      <c r="GB286" s="560" t="str">
        <f t="shared" si="560"/>
        <v>n</v>
      </c>
      <c r="GC286" s="564">
        <f t="shared" si="561"/>
        <v>41691</v>
      </c>
      <c r="GD286" s="695">
        <f t="shared" si="562"/>
        <v>41807</v>
      </c>
      <c r="GE286" s="560">
        <v>6518.9</v>
      </c>
      <c r="GF286" s="695">
        <f t="shared" si="563"/>
        <v>41808</v>
      </c>
      <c r="GG286" s="560">
        <f t="shared" si="582"/>
        <v>3259</v>
      </c>
      <c r="GH286" s="564">
        <f t="shared" si="564"/>
        <v>41934</v>
      </c>
      <c r="GJ286" s="545">
        <f t="shared" si="565"/>
        <v>0</v>
      </c>
      <c r="GK286" s="560" t="str">
        <f t="shared" si="539"/>
        <v/>
      </c>
      <c r="GL286" s="560">
        <f t="shared" si="566"/>
        <v>0</v>
      </c>
      <c r="GM286" s="560" t="str">
        <f t="shared" si="567"/>
        <v/>
      </c>
      <c r="GN286" s="560">
        <f>IF(GK286="P",Lookup!$M$12,IF(GK286="PP",Lookup!$M$13,IF(GK286="PPP",Lookup!$M$14,IF(GK286="T",Lookup!$M$15,IF(GK286="TP",Lookup!$M$16,IF(GK286="TPP",Lookup!$M$17,IF(GK286="TPPP",Lookup!$M$18,0)))))))*GJ286</f>
        <v>0</v>
      </c>
      <c r="GO286" s="560">
        <f t="shared" si="568"/>
        <v>0</v>
      </c>
      <c r="GP286" s="560">
        <f t="shared" si="540"/>
        <v>2195.2327453333342</v>
      </c>
      <c r="GQ286" s="560">
        <f t="shared" si="576"/>
        <v>715.52566666666689</v>
      </c>
      <c r="GR286" s="560"/>
      <c r="GS286" s="560">
        <f t="shared" si="569"/>
        <v>0</v>
      </c>
      <c r="GT286" s="560" t="str">
        <f t="shared" si="570"/>
        <v/>
      </c>
      <c r="GU286" s="560">
        <f>IF(GK286="P",Lookup!$N$12,IF(GK286="PP",Lookup!$N$13,IF(GK286="PPP",Lookup!$N$14,IF(GK286="T",Lookup!$N$15,IF(GK286="TP",Lookup!$N$16,IF(GK286="TPP",Lookup!$N$17,IF(GK286="TPPP",Lookup!$N$18,0)))))))*GJ286</f>
        <v>0</v>
      </c>
      <c r="GV286" s="560">
        <f t="shared" si="571"/>
        <v>0</v>
      </c>
      <c r="GW286" s="560">
        <f t="shared" si="541"/>
        <v>415.78077646286317</v>
      </c>
      <c r="GX286" s="560">
        <f t="shared" si="577"/>
        <v>135.52176547029438</v>
      </c>
      <c r="GY286" s="560"/>
      <c r="GZ286" s="560">
        <f t="shared" si="572"/>
        <v>0</v>
      </c>
      <c r="HA286" s="560" t="str">
        <f t="shared" si="573"/>
        <v/>
      </c>
      <c r="HB286" s="560">
        <f>IF(GK286="P",Lookup!$N$12,IF(GK286="PP",Lookup!$N$13,IF(GK286="PPP",Lookup!$N$14,IF(GK286="T",Lookup!$N$15,IF(GK286="TP",Lookup!$N$16,IF(GK286="TPP",Lookup!$N$17,IF(GK286="TPPP",Lookup!$N$18,0)))))))*GJ286</f>
        <v>0</v>
      </c>
      <c r="HC286" s="545">
        <f t="shared" si="542"/>
        <v>0</v>
      </c>
      <c r="HD286" s="560">
        <f t="shared" si="543"/>
        <v>606.97292987713945</v>
      </c>
      <c r="HE286" s="560">
        <f t="shared" si="578"/>
        <v>197.83993803035835</v>
      </c>
      <c r="HF286" s="560"/>
      <c r="HG286" s="560">
        <f t="shared" si="574"/>
        <v>0</v>
      </c>
      <c r="HH286" s="560" t="str">
        <f t="shared" si="575"/>
        <v/>
      </c>
      <c r="HI286" s="560">
        <f>IF(GK286="P",Lookup!$N$12,IF(GK286="PP",Lookup!$N$13,IF(GK286="PPP",Lookup!$N$14,IF(GK286="T",Lookup!$N$15,IF(GK286="TP",Lookup!$N$16,IF(GK286="TPP",Lookup!$N$17,IF(GK286="TPPP",Lookup!$N$18,0)))))))*GJ286</f>
        <v>0</v>
      </c>
      <c r="HJ286" s="545">
        <f t="shared" si="544"/>
        <v>0</v>
      </c>
      <c r="HK286" s="560">
        <f t="shared" si="545"/>
        <v>848.22420019109893</v>
      </c>
      <c r="HL286" s="560">
        <f t="shared" si="579"/>
        <v>276.47464152252246</v>
      </c>
    </row>
    <row r="287" spans="1:220">
      <c r="A287" s="580" t="s">
        <v>8</v>
      </c>
      <c r="B287" s="556">
        <v>41915</v>
      </c>
      <c r="C287" s="561">
        <v>0</v>
      </c>
      <c r="D287" s="529">
        <f t="shared" si="580"/>
        <v>300</v>
      </c>
      <c r="E287" s="529">
        <f t="shared" si="581"/>
        <v>250</v>
      </c>
      <c r="F287" s="529">
        <v>250</v>
      </c>
      <c r="G287" s="560">
        <f>DR287+Sheet1!CZ289</f>
        <v>212.00453857686477</v>
      </c>
      <c r="H287" s="914">
        <f t="shared" si="546"/>
        <v>0</v>
      </c>
      <c r="I287" s="559">
        <f>MAX(Sheet1!Z289-AT287+(Sheet1!DA289-E287)*CFStoMGD,0)</f>
        <v>242.50839999999999</v>
      </c>
      <c r="J287" s="562">
        <f>IF(AND(B287&gt;=Calculation!GC287,B287&lt;=Calculation!GD287),IF(Sheet1!DB289&gt;=Calculation!D287,64.64,0),MAX(Sheet1!Z289-AT287+(Sheet1!DB289-D287)*CFStoMGD,0))</f>
        <v>123.57079999999999</v>
      </c>
      <c r="K287" s="904">
        <f t="shared" si="481"/>
        <v>0</v>
      </c>
      <c r="L287" s="560">
        <f>Sheet1!AA289+Sheet1!AB289-Sheet1!L289+(Sheet1!DA289-F287)*CFStoMGD</f>
        <v>272.2484</v>
      </c>
      <c r="M287" s="560">
        <f t="shared" si="482"/>
        <v>139.78052841080711</v>
      </c>
      <c r="N287" s="910">
        <f>IF(Sheet1!DA289&gt;=F287,MIN(73,MIN(MAX(L287,0),MAX(M287,0))),0)</f>
        <v>73</v>
      </c>
      <c r="O287" s="563">
        <f>Sheet1!AA289+Sheet1!AB289</f>
        <v>58.29</v>
      </c>
      <c r="P287" s="563">
        <f t="shared" si="483"/>
        <v>90.174629999999993</v>
      </c>
      <c r="Q287" s="898">
        <f t="shared" si="547"/>
        <v>47.110313525337219</v>
      </c>
      <c r="R287" s="829">
        <f t="shared" si="484"/>
        <v>11</v>
      </c>
      <c r="S287" s="898">
        <f t="shared" si="548"/>
        <v>0</v>
      </c>
      <c r="T287" s="898">
        <f t="shared" si="549"/>
        <v>0</v>
      </c>
      <c r="U287" s="898">
        <f t="shared" si="550"/>
        <v>11.179686474662779</v>
      </c>
      <c r="V287" s="898"/>
      <c r="W287" s="898">
        <f t="shared" si="551"/>
        <v>0</v>
      </c>
      <c r="X287" s="898">
        <f t="shared" si="552"/>
        <v>0</v>
      </c>
      <c r="Y287" s="898" t="str">
        <f t="shared" si="553"/>
        <v>FALSE</v>
      </c>
      <c r="Z287" s="898">
        <f t="shared" si="554"/>
        <v>58.29</v>
      </c>
      <c r="AA287" s="898">
        <f t="shared" si="555"/>
        <v>58.29</v>
      </c>
      <c r="AB287" s="898" t="str">
        <f t="shared" si="556"/>
        <v/>
      </c>
      <c r="AC287" s="563">
        <f>Sheet1!Y289*MGDtoCFS</f>
        <v>48.111699999999999</v>
      </c>
      <c r="AD287" s="563">
        <f>Sheet1!Z289*MGDtoCFS</f>
        <v>44.166849999999997</v>
      </c>
      <c r="AE287" s="563">
        <f>Sheet1!AA289*MGDtoCFS</f>
        <v>48.266399999999997</v>
      </c>
      <c r="AF287" s="563">
        <f>Sheet1!AB289*MGDtoCFS</f>
        <v>41.908229999999996</v>
      </c>
      <c r="AG287" s="563">
        <f>Sheet1!L289*MGDtoCFS</f>
        <v>0</v>
      </c>
      <c r="AH287" s="545">
        <f t="shared" si="485"/>
        <v>11.257535545023696</v>
      </c>
      <c r="AI287" s="560">
        <f t="shared" si="486"/>
        <v>17.415407488151658</v>
      </c>
      <c r="AJ287" s="560">
        <f t="shared" si="487"/>
        <v>0</v>
      </c>
      <c r="AK287" s="560">
        <f t="shared" si="488"/>
        <v>0</v>
      </c>
      <c r="AL287" s="560">
        <f>(VLOOKUP(Sheet1!DC289,hhdcap_wcm,4)-(((VLOOKUP(Sheet1!DC289,hhdcap_wcm,3)-Sheet1!DC289)/(VLOOKUP(Sheet1!DC289,hhdcap_wcm,3)-VLOOKUP(Sheet1!DC289,hhdcap_wcm,1)))*(VLOOKUP(Sheet1!DC289,hhdcap_wcm,4)-VLOOKUP(Sheet1!DC289,hhdcap_wcm,2))))</f>
        <v>19131.000000046843</v>
      </c>
      <c r="AM287" s="560">
        <f t="shared" si="489"/>
        <v>-640.50000000207729</v>
      </c>
      <c r="AN287" s="560">
        <f t="shared" si="490"/>
        <v>1314.1044761448184</v>
      </c>
      <c r="AO287" s="560">
        <f t="shared" si="491"/>
        <v>4031.672532812303</v>
      </c>
      <c r="AP287" s="560">
        <f>Sheet1!BA289+Sheet1!BB289+Sheet1!BN289+CD287</f>
        <v>16.11</v>
      </c>
      <c r="AQ287" s="560">
        <f>Sheet1!BN289+(DO287*Sheet1!BN289)</f>
        <v>14.912832664965366</v>
      </c>
      <c r="AR287" s="560">
        <f>Sheet1!BA289+CD287</f>
        <v>0</v>
      </c>
      <c r="AS287" s="560">
        <f>Sheet1!BA289+Sheet1!BB289+CD287</f>
        <v>1.01</v>
      </c>
      <c r="AT287" s="698">
        <f>0</f>
        <v>0</v>
      </c>
      <c r="AU287" s="560">
        <f>IF(EB287&lt;K287,0,MAX(Sheet1!AA289+AQ287-15/36*K287-N287,Sheet1!EH289,0))</f>
        <v>0</v>
      </c>
      <c r="AV287" s="560">
        <f>IF(OR(B287&gt;=GD287,B287&lt;GC287),0,15/36*K287-MAX(0,64.6-(137.6-(Sheet1!AA289+Sheet1!AB289))))</f>
        <v>0</v>
      </c>
      <c r="AW287" s="698">
        <f>Sheet1!DB289-110</f>
        <v>337</v>
      </c>
      <c r="AX287" s="698">
        <f>Sheet1!DA289-265</f>
        <v>316</v>
      </c>
      <c r="AY287" s="698">
        <f t="shared" si="492"/>
        <v>25.889686474662781</v>
      </c>
      <c r="AZ287" s="698">
        <v>0</v>
      </c>
      <c r="BA287" s="698">
        <f t="shared" si="493"/>
        <v>0</v>
      </c>
      <c r="BB287" s="560">
        <f t="shared" si="494"/>
        <v>715.52566666666689</v>
      </c>
      <c r="BC287" s="560"/>
      <c r="BD287" s="560">
        <f ca="1">IF(B287&gt;Summary!$A$1,#N/A,BB287*MGtoAF)</f>
        <v>2195.2327453333342</v>
      </c>
      <c r="BE287" s="560">
        <f>Sheet1!BG289+Sheet1!BH289+Sheet1!BI289-BM287</f>
        <v>1.44</v>
      </c>
      <c r="BF287" s="560">
        <f t="shared" si="495"/>
        <v>1.4221509296390813</v>
      </c>
      <c r="BG287" s="560">
        <f>IF(Sheet1!EP289="FM",BM287,0)</f>
        <v>0</v>
      </c>
      <c r="BH287" s="560">
        <f t="shared" si="496"/>
        <v>0</v>
      </c>
      <c r="BI287" s="560">
        <f>IF(Sheet1!EP289="OTHER",BM287,0)</f>
        <v>0</v>
      </c>
      <c r="BJ287" s="560">
        <f t="shared" si="497"/>
        <v>0</v>
      </c>
      <c r="BK287" s="560">
        <f t="shared" si="498"/>
        <v>1.44</v>
      </c>
      <c r="BL287" s="560">
        <f t="shared" si="499"/>
        <v>1.4221509296390813</v>
      </c>
      <c r="BM287" s="560">
        <f>IF(OR(Sheet1!EP289="FM", Sheet1!EP289="OTHER"),SUM(Sheet1!BG289:'Sheet1'!BI289),0)</f>
        <v>0</v>
      </c>
      <c r="BN287" s="545">
        <f>IF(AND($B287&gt;=$FV287,$B287&lt;=$FW287),MAX(BF287,Sheet1!EI289,0),MAX(BF287-(7/36)*$K287,0))</f>
        <v>1.5</v>
      </c>
      <c r="BO287" s="560">
        <f t="shared" si="500"/>
        <v>0</v>
      </c>
      <c r="BP287" s="545">
        <f t="shared" si="501"/>
        <v>0</v>
      </c>
      <c r="BQ287" s="545">
        <f>IF(AND($O287&gt;0,Sheet1!EM289=1),(1-($O287-Sheet1!$L289)/$O287)*BL287,0)</f>
        <v>0</v>
      </c>
      <c r="BR287" s="545">
        <f>IF(AND(Sheet1!$L289=0,Sheet1!$L288=0, Calculation!BK287&lt;Sheet1!$EI289-0.1,Sheet1!$EI289=Sheet1!$EI288,Sheet1!$EI289=Sheet1!$EI290),Sheet1!$EI289,BL287-BQ287)</f>
        <v>1.4221509296390813</v>
      </c>
      <c r="BS287" s="560"/>
      <c r="BT287" s="560"/>
      <c r="BU287" s="560">
        <f t="shared" si="502"/>
        <v>134.02176547029438</v>
      </c>
      <c r="BV287" s="560"/>
      <c r="BW287" s="560">
        <f ca="1">IF(B287&gt;Summary!$A$1,#N/A,BU287*MGtoAF)</f>
        <v>411.1787764628632</v>
      </c>
      <c r="BX287" s="560">
        <f>Sheet1!BC289+Sheet1!BD289+Sheet1!BE289+Sheet1!BF289-CG287-CH287</f>
        <v>2.69</v>
      </c>
      <c r="BY287" s="560">
        <f t="shared" si="503"/>
        <v>2.6566569449507837</v>
      </c>
      <c r="BZ287" s="560">
        <f>IF(Sheet1!EQ289="FM",CH287,0)</f>
        <v>0</v>
      </c>
      <c r="CA287" s="560">
        <f t="shared" si="504"/>
        <v>0</v>
      </c>
      <c r="CB287" s="560">
        <f>IF(Sheet1!EQ289="OTHER",CH287,0)</f>
        <v>0</v>
      </c>
      <c r="CC287" s="560">
        <f t="shared" si="505"/>
        <v>0</v>
      </c>
      <c r="CD287" s="560">
        <f t="shared" si="506"/>
        <v>0</v>
      </c>
      <c r="CE287" s="560">
        <f t="shared" si="507"/>
        <v>2.69</v>
      </c>
      <c r="CF287" s="560">
        <f t="shared" si="508"/>
        <v>2.6566569449507837</v>
      </c>
      <c r="CG287" s="560">
        <f>IF(Sheet1!EQ289="CWA",SUM(Sheet1!BC289:'Sheet1'!BF289),0)</f>
        <v>0</v>
      </c>
      <c r="CH287" s="560">
        <f>IF(OR(Sheet1!EQ289="FM", Sheet1!EQ289="OTHER"),SUM(Sheet1!BC289:'Sheet1'!BF289),0)</f>
        <v>0</v>
      </c>
      <c r="CI287" s="545">
        <f>IF(AND($B287&gt;=$FV287,$B287&lt;=$FW287),MAX(CF287,Sheet1!EJ289,0),MAX(CF287-(7/36)*$K287,0))</f>
        <v>2.6566569449507837</v>
      </c>
      <c r="CJ287" s="560">
        <f t="shared" si="509"/>
        <v>0</v>
      </c>
      <c r="CK287" s="545">
        <f t="shared" si="510"/>
        <v>0</v>
      </c>
      <c r="CL287" s="545">
        <f>IF(AND($O287&gt;0,Sheet1!EN289=1),(1-($O287-Sheet1!$L289)/$O287)*CF287,0)</f>
        <v>0</v>
      </c>
      <c r="CM287" s="545">
        <f>IF(AND(Sheet1!$L289=0,Sheet1!$L288=0, Calculation!CE287&lt;Sheet1!EJ289-0.1,Sheet1!EJ289=Sheet1!EJ288,Sheet1!EJ289=Sheet1!EJ290),Sheet1!EJ289,CF287-CL287)</f>
        <v>2.6566569449507837</v>
      </c>
      <c r="CN287" s="545"/>
      <c r="CO287" s="560"/>
      <c r="CP287" s="560">
        <f t="shared" si="511"/>
        <v>195.18328108540757</v>
      </c>
      <c r="CQ287" s="560"/>
      <c r="CR287" s="560">
        <f ca="1">IF(B287&gt;Summary!$A$1,#N/A,CP287*MGtoAF)</f>
        <v>598.82230637003045</v>
      </c>
      <c r="CS287" s="560">
        <f>Sheet1!BK289+Sheet1!BL289+Sheet1!BM289-Sheet1!ER289-DA287</f>
        <v>7.19</v>
      </c>
      <c r="CT287" s="560">
        <f t="shared" si="512"/>
        <v>7.1008786000729129</v>
      </c>
      <c r="CU287" s="560">
        <f>IF(Sheet1!ER289="FM",DA287,0)</f>
        <v>0</v>
      </c>
      <c r="CV287" s="560">
        <f t="shared" si="513"/>
        <v>0</v>
      </c>
      <c r="CW287" s="560">
        <f>IF(Sheet1!ER289="OTHER",DA287,0)</f>
        <v>0</v>
      </c>
      <c r="CX287" s="560">
        <f t="shared" si="514"/>
        <v>0</v>
      </c>
      <c r="CY287" s="560">
        <f t="shared" si="515"/>
        <v>7.19</v>
      </c>
      <c r="CZ287" s="560">
        <f t="shared" si="516"/>
        <v>7.1008786000729129</v>
      </c>
      <c r="DA287" s="560">
        <f>IF(OR(Sheet1!ER289="FM", Sheet1!ER289="OTHER"),SUM(Sheet1!BK289:'Sheet1'!BM289),0)</f>
        <v>0</v>
      </c>
      <c r="DB287" s="545">
        <f>IF(AND($B287&gt;=$FV287,$B287&lt;=$FW287),MAX($CT287,Sheet1!EK289,0),MAX($CT287-(7/36)*$K287,0))</f>
        <v>7.1008786000729129</v>
      </c>
      <c r="DC287" s="560">
        <f t="shared" si="517"/>
        <v>0</v>
      </c>
      <c r="DD287" s="545">
        <f t="shared" si="518"/>
        <v>0</v>
      </c>
      <c r="DE287" s="545">
        <f>IF(AND($O287&gt;0,Sheet1!EO289=1),(1-($O287-Sheet1!$L289)/$O287)*CZ287,0)</f>
        <v>0</v>
      </c>
      <c r="DF287" s="545">
        <f>IF(AND(Sheet1!$L289=0,Sheet1!$L288=0, Calculation!CY287&lt;Sheet1!$EK289-0.1,Sheet1!$EK289=Sheet1!$EK288,Sheet1!$EK289=Sheet1!$EK290),Sheet1!$EK289,CZ287-DE287)</f>
        <v>7.1008786000729129</v>
      </c>
      <c r="DG287" s="545"/>
      <c r="DH287" s="560">
        <f t="shared" si="519"/>
        <v>11.32</v>
      </c>
      <c r="DI287" s="560">
        <f t="shared" si="520"/>
        <v>269.37376292244954</v>
      </c>
      <c r="DJ287" s="698">
        <f t="shared" si="521"/>
        <v>11.179686474662777</v>
      </c>
      <c r="DK287" s="560">
        <f ca="1">IF(B287&gt;Summary!$A$1,#N/A,DI287*MGtoAF)</f>
        <v>826.43870464607517</v>
      </c>
      <c r="DL287" s="698">
        <f t="shared" si="522"/>
        <v>11.32</v>
      </c>
      <c r="DM287" s="560">
        <f t="shared" si="523"/>
        <v>27.43</v>
      </c>
      <c r="DN287" s="560">
        <f>Sheet1!AB289-DM287</f>
        <v>-0.33999999999999986</v>
      </c>
      <c r="DO287" s="823">
        <f t="shared" si="524"/>
        <v>-1.2395187750637983E-2</v>
      </c>
      <c r="DP287" s="560">
        <f>(VLOOKUP(Sheet1!DC289,hhdcap_wcm,4)-(((VLOOKUP(Sheet1!DC289,hhdcap_wcm,3)-Sheet1!DC289)/(VLOOKUP(Sheet1!DC289,hhdcap_wcm,3)-VLOOKUP(Sheet1!DC289,hhdcap_wcm,1)))*(VLOOKUP(Sheet1!DC289,hhdcap_wcm,4)-VLOOKUP(Sheet1!DC289,hhdcap_wcm,2))))</f>
        <v>19131.000000046843</v>
      </c>
      <c r="DQ287" s="560">
        <f t="shared" si="525"/>
        <v>-640.50000000207729</v>
      </c>
      <c r="DR287" s="560">
        <f t="shared" si="526"/>
        <v>-322.99546142313523</v>
      </c>
      <c r="DS287" s="560">
        <f>Sheet1!EA289*AFtoMG</f>
        <v>0</v>
      </c>
      <c r="DT287" s="560">
        <f>Sheet1!EB289*AFtoMG</f>
        <v>0</v>
      </c>
      <c r="DU287" s="560">
        <f>Sheet1!EC289*AFtoMG</f>
        <v>0</v>
      </c>
      <c r="DV287" s="560">
        <f>Sheet1!ED289*AFtoMG</f>
        <v>0</v>
      </c>
      <c r="DW287" s="560">
        <f t="shared" si="527"/>
        <v>0</v>
      </c>
      <c r="DX287" s="560">
        <f t="shared" si="528"/>
        <v>0</v>
      </c>
      <c r="DY287" s="560">
        <f t="shared" si="529"/>
        <v>1314.1044761448184</v>
      </c>
      <c r="DZ287" s="560">
        <f t="shared" si="530"/>
        <v>4031.672532812303</v>
      </c>
      <c r="EA287" s="560"/>
      <c r="EB287" s="545">
        <f>IF(OR(B287&lt;FV287,B287&gt;FW287),(MIN(BF287+BY287+CT287+MAX(Sheet1!AA289+AQ287-73,0),K287)),0)</f>
        <v>0</v>
      </c>
      <c r="EC287" s="560"/>
      <c r="ED287" s="560">
        <f t="shared" si="531"/>
        <v>11.179686474662779</v>
      </c>
      <c r="EE287" s="560"/>
      <c r="EF287" s="560">
        <f>Sheet1!EH289+Sheet1!EI289+Sheet1!EJ289+Sheet1!EK289</f>
        <v>11</v>
      </c>
      <c r="EG287" s="560"/>
      <c r="EH287" s="545">
        <f t="shared" si="532"/>
        <v>0</v>
      </c>
      <c r="EI287" s="560">
        <f>IF(Sheet1!ET289=1,SUM('Calculations II'!AT287:BA287)+'Calculations II'!BC287+Sheet1!BV289+'Calculations II'!BE287+AP287,SUM('Calculations II'!AT287:BA287)+'Calculations II'!BC287+Sheet1!BV289+'Calculations II'!BE287+AP287)</f>
        <v>55.980415999999998</v>
      </c>
      <c r="EJ287" s="560">
        <f>Sheet1!AA289+Sheet1!AB289+'Calculations II'!BC287</f>
        <v>58.29</v>
      </c>
      <c r="EK287" s="560"/>
      <c r="EL287" s="560"/>
      <c r="EM287" s="560">
        <f t="shared" si="533"/>
        <v>41915</v>
      </c>
      <c r="EN287" s="560">
        <f t="shared" si="534"/>
        <v>-11.257535545023696</v>
      </c>
      <c r="EO287" s="560">
        <f t="shared" si="535"/>
        <v>-17.415407488151658</v>
      </c>
      <c r="EP287" s="560">
        <v>0</v>
      </c>
      <c r="EQ287" s="560">
        <v>0</v>
      </c>
      <c r="ER287" s="560">
        <v>0</v>
      </c>
      <c r="ES287" s="545">
        <f t="shared" si="557"/>
        <v>0.27744396367757396</v>
      </c>
      <c r="ET287" s="560">
        <f>-(VLOOKUP(Sheet1!BQ289,Lookup!$O$4:$Q$262,2)-VLOOKUP(Sheet1!BQ288,Lookup!$O$4:$Q$262,2))/1000000</f>
        <v>0.13871556810654329</v>
      </c>
      <c r="EU287" s="560">
        <f>-(VLOOKUP(Sheet1!BR289,Lookup!$O$4:$Q$262,3)-VLOOKUP(Sheet1!BR288,Lookup!$O$4:$Q$262,3))/1000000</f>
        <v>0.13872839557103067</v>
      </c>
      <c r="EV287" s="560"/>
      <c r="EW287" s="560"/>
      <c r="EX287" s="560"/>
      <c r="EY287" s="560"/>
      <c r="EZ287" s="560"/>
      <c r="FA287" s="560"/>
      <c r="FB287" s="560"/>
      <c r="FC287" s="560"/>
      <c r="FD287" s="594">
        <f t="shared" si="536"/>
        <v>1113.5944444443885</v>
      </c>
      <c r="FE287" s="594" t="e">
        <f t="shared" si="537"/>
        <v>#N/A</v>
      </c>
      <c r="FF287" s="595" t="e">
        <f t="shared" si="538"/>
        <v>#N/A</v>
      </c>
      <c r="FG287" s="596" t="s">
        <v>692</v>
      </c>
      <c r="FH287" s="596" t="s">
        <v>692</v>
      </c>
      <c r="FI287" s="594" t="e">
        <v>#N/A</v>
      </c>
      <c r="FJ287" s="778">
        <v>8570</v>
      </c>
      <c r="FK287" s="560"/>
      <c r="FL287" s="560"/>
      <c r="FM287" s="560"/>
      <c r="FN287" s="560"/>
      <c r="FO287" s="560">
        <f>O287+((Sheet1!CS289)*GPMtoMGD)</f>
        <v>58.29</v>
      </c>
      <c r="FP287" s="560">
        <f>IF(Sheet1!AA289+AQ287&lt;=Calculation!N287,AQ287,Calculation!N287-Sheet1!AA289)</f>
        <v>14.912832664965366</v>
      </c>
      <c r="FQ287" s="560">
        <f>(Sheet1!BP289+Sheet1!BO289)/694.4</f>
        <v>1.6180875576036866</v>
      </c>
      <c r="FR287" s="560"/>
      <c r="FS287" s="560"/>
      <c r="FT287" s="560"/>
      <c r="FU287" s="560"/>
      <c r="FV287" s="695">
        <f t="shared" si="558"/>
        <v>41827</v>
      </c>
      <c r="FW287" s="695">
        <f t="shared" si="559"/>
        <v>41934</v>
      </c>
      <c r="FX287" s="560"/>
      <c r="FY287" s="560"/>
      <c r="FZ287" s="560"/>
      <c r="GA287" s="560"/>
      <c r="GB287" s="560" t="str">
        <f t="shared" si="560"/>
        <v>n</v>
      </c>
      <c r="GC287" s="564">
        <f t="shared" si="561"/>
        <v>41691</v>
      </c>
      <c r="GD287" s="695">
        <f t="shared" si="562"/>
        <v>41807</v>
      </c>
      <c r="GE287" s="560">
        <v>6518.9</v>
      </c>
      <c r="GF287" s="695">
        <f t="shared" si="563"/>
        <v>41808</v>
      </c>
      <c r="GG287" s="560">
        <f t="shared" si="582"/>
        <v>3259</v>
      </c>
      <c r="GH287" s="564">
        <f t="shared" si="564"/>
        <v>41934</v>
      </c>
      <c r="GJ287" s="545">
        <f t="shared" si="565"/>
        <v>0</v>
      </c>
      <c r="GK287" s="560" t="str">
        <f t="shared" si="539"/>
        <v/>
      </c>
      <c r="GL287" s="560">
        <f t="shared" si="566"/>
        <v>0</v>
      </c>
      <c r="GM287" s="560" t="str">
        <f t="shared" si="567"/>
        <v/>
      </c>
      <c r="GN287" s="560">
        <f>IF(GK287="P",Lookup!$M$12,IF(GK287="PP",Lookup!$M$13,IF(GK287="PPP",Lookup!$M$14,IF(GK287="T",Lookup!$M$15,IF(GK287="TP",Lookup!$M$16,IF(GK287="TPP",Lookup!$M$17,IF(GK287="TPPP",Lookup!$M$18,0)))))))*GJ287</f>
        <v>0</v>
      </c>
      <c r="GO287" s="560">
        <f t="shared" si="568"/>
        <v>0</v>
      </c>
      <c r="GP287" s="560">
        <f t="shared" si="540"/>
        <v>2195.2327453333342</v>
      </c>
      <c r="GQ287" s="560">
        <f t="shared" si="576"/>
        <v>715.52566666666689</v>
      </c>
      <c r="GR287" s="560"/>
      <c r="GS287" s="560">
        <f t="shared" si="569"/>
        <v>0</v>
      </c>
      <c r="GT287" s="560" t="str">
        <f t="shared" si="570"/>
        <v/>
      </c>
      <c r="GU287" s="560">
        <f>IF(GK287="P",Lookup!$N$12,IF(GK287="PP",Lookup!$N$13,IF(GK287="PPP",Lookup!$N$14,IF(GK287="T",Lookup!$N$15,IF(GK287="TP",Lookup!$N$16,IF(GK287="TPP",Lookup!$N$17,IF(GK287="TPPP",Lookup!$N$18,0)))))))*GJ287</f>
        <v>0</v>
      </c>
      <c r="GV287" s="560">
        <f t="shared" si="571"/>
        <v>0</v>
      </c>
      <c r="GW287" s="560">
        <f t="shared" si="541"/>
        <v>411.1787764628632</v>
      </c>
      <c r="GX287" s="560">
        <f t="shared" si="577"/>
        <v>134.02176547029438</v>
      </c>
      <c r="GY287" s="560"/>
      <c r="GZ287" s="560">
        <f t="shared" si="572"/>
        <v>0</v>
      </c>
      <c r="HA287" s="560" t="str">
        <f t="shared" si="573"/>
        <v/>
      </c>
      <c r="HB287" s="560">
        <f>IF(GK287="P",Lookup!$N$12,IF(GK287="PP",Lookup!$N$13,IF(GK287="PPP",Lookup!$N$14,IF(GK287="T",Lookup!$N$15,IF(GK287="TP",Lookup!$N$16,IF(GK287="TPP",Lookup!$N$17,IF(GK287="TPPP",Lookup!$N$18,0)))))))*GJ287</f>
        <v>0</v>
      </c>
      <c r="HC287" s="545">
        <f t="shared" si="542"/>
        <v>0</v>
      </c>
      <c r="HD287" s="560">
        <f t="shared" si="543"/>
        <v>598.82230637003045</v>
      </c>
      <c r="HE287" s="560">
        <f t="shared" si="578"/>
        <v>195.18328108540757</v>
      </c>
      <c r="HF287" s="560"/>
      <c r="HG287" s="560">
        <f t="shared" si="574"/>
        <v>0</v>
      </c>
      <c r="HH287" s="560" t="str">
        <f t="shared" si="575"/>
        <v/>
      </c>
      <c r="HI287" s="560">
        <f>IF(GK287="P",Lookup!$N$12,IF(GK287="PP",Lookup!$N$13,IF(GK287="PPP",Lookup!$N$14,IF(GK287="T",Lookup!$N$15,IF(GK287="TP",Lookup!$N$16,IF(GK287="TPP",Lookup!$N$17,IF(GK287="TPPP",Lookup!$N$18,0)))))))*GJ287</f>
        <v>0</v>
      </c>
      <c r="HJ287" s="545">
        <f t="shared" si="544"/>
        <v>0</v>
      </c>
      <c r="HK287" s="560">
        <f t="shared" si="545"/>
        <v>826.43870464607517</v>
      </c>
      <c r="HL287" s="560">
        <f t="shared" si="579"/>
        <v>269.37376292244954</v>
      </c>
    </row>
    <row r="288" spans="1:220">
      <c r="A288" s="580" t="s">
        <v>9</v>
      </c>
      <c r="B288" s="556">
        <v>41916</v>
      </c>
      <c r="C288" s="561">
        <v>0</v>
      </c>
      <c r="D288" s="529">
        <f t="shared" si="580"/>
        <v>300</v>
      </c>
      <c r="E288" s="529">
        <f t="shared" si="581"/>
        <v>250</v>
      </c>
      <c r="F288" s="529">
        <v>250</v>
      </c>
      <c r="G288" s="560">
        <f>DR288+Sheet1!CZ290</f>
        <v>212.79525970685347</v>
      </c>
      <c r="H288" s="914">
        <f t="shared" si="546"/>
        <v>0</v>
      </c>
      <c r="I288" s="559">
        <f>MAX(Sheet1!Z290-AT288+(Sheet1!DA290-E288)*CFStoMGD,0)</f>
        <v>241.04839999999999</v>
      </c>
      <c r="J288" s="562">
        <f>IF(AND(B288&gt;=Calculation!GC288,B288&lt;=Calculation!GD288),IF(Sheet1!DB290&gt;=Calculation!D288,64.64,0),MAX(Sheet1!Z290-AT288+(Sheet1!DB290-D288)*CFStoMGD,0))</f>
        <v>120.1716</v>
      </c>
      <c r="K288" s="904">
        <f t="shared" si="481"/>
        <v>0</v>
      </c>
      <c r="L288" s="560">
        <f>Sheet1!AA290+Sheet1!AB290-Sheet1!L290+(Sheet1!DA290-F288)*CFStoMGD</f>
        <v>272.09839999999997</v>
      </c>
      <c r="M288" s="560">
        <f t="shared" si="482"/>
        <v>140.30187299200028</v>
      </c>
      <c r="N288" s="910">
        <f>IF(Sheet1!DA290&gt;=F288,MIN(73,MIN(MAX(L288,0),MAX(M288,0))),0)</f>
        <v>73</v>
      </c>
      <c r="O288" s="563">
        <f>Sheet1!AA290+Sheet1!AB290</f>
        <v>58.14</v>
      </c>
      <c r="P288" s="563">
        <f t="shared" si="483"/>
        <v>89.942579999999992</v>
      </c>
      <c r="Q288" s="898">
        <f t="shared" si="547"/>
        <v>47.14</v>
      </c>
      <c r="R288" s="829">
        <f t="shared" si="484"/>
        <v>11</v>
      </c>
      <c r="S288" s="898">
        <f t="shared" si="548"/>
        <v>0</v>
      </c>
      <c r="T288" s="898">
        <f t="shared" si="549"/>
        <v>0</v>
      </c>
      <c r="U288" s="898">
        <f t="shared" si="550"/>
        <v>11</v>
      </c>
      <c r="V288" s="898"/>
      <c r="W288" s="898">
        <f t="shared" si="551"/>
        <v>0</v>
      </c>
      <c r="X288" s="898">
        <f t="shared" si="552"/>
        <v>0</v>
      </c>
      <c r="Y288" s="898" t="str">
        <f t="shared" si="553"/>
        <v>FALSE</v>
      </c>
      <c r="Z288" s="898">
        <f t="shared" si="554"/>
        <v>58.14</v>
      </c>
      <c r="AA288" s="898">
        <f t="shared" si="555"/>
        <v>58.14</v>
      </c>
      <c r="AB288" s="898" t="str">
        <f t="shared" si="556"/>
        <v/>
      </c>
      <c r="AC288" s="563">
        <f>Sheet1!Y290*MGDtoCFS</f>
        <v>48.266399999999997</v>
      </c>
      <c r="AD288" s="563">
        <f>Sheet1!Z290*MGDtoCFS</f>
        <v>41.908229999999996</v>
      </c>
      <c r="AE288" s="563">
        <f>Sheet1!AA290*MGDtoCFS</f>
        <v>48.173580000000001</v>
      </c>
      <c r="AF288" s="563">
        <f>Sheet1!AB290*MGDtoCFS</f>
        <v>41.768999999999998</v>
      </c>
      <c r="AG288" s="563">
        <f>Sheet1!L290*MGDtoCFS</f>
        <v>0</v>
      </c>
      <c r="AH288" s="545">
        <f t="shared" si="485"/>
        <v>11</v>
      </c>
      <c r="AI288" s="560">
        <f t="shared" si="486"/>
        <v>17.016999999999999</v>
      </c>
      <c r="AJ288" s="560">
        <f t="shared" si="487"/>
        <v>0</v>
      </c>
      <c r="AK288" s="560">
        <f t="shared" si="488"/>
        <v>0</v>
      </c>
      <c r="AL288" s="560">
        <f>(VLOOKUP(Sheet1!DC290,hhdcap_wcm,4)-(((VLOOKUP(Sheet1!DC290,hhdcap_wcm,3)-Sheet1!DC290)/(VLOOKUP(Sheet1!DC290,hhdcap_wcm,3)-VLOOKUP(Sheet1!DC290,hhdcap_wcm,1)))*(VLOOKUP(Sheet1!DC290,hhdcap_wcm,4)-VLOOKUP(Sheet1!DC290,hhdcap_wcm,2))))</f>
        <v>18500.000000045533</v>
      </c>
      <c r="AM288" s="560">
        <f t="shared" si="489"/>
        <v>-631.00000000130967</v>
      </c>
      <c r="AN288" s="560">
        <f t="shared" si="490"/>
        <v>1303.1044761448184</v>
      </c>
      <c r="AO288" s="560">
        <f t="shared" si="491"/>
        <v>3997.9245328123029</v>
      </c>
      <c r="AP288" s="560">
        <f>Sheet1!BA290+Sheet1!BB290+Sheet1!BN290+CD288</f>
        <v>16.399999999999999</v>
      </c>
      <c r="AQ288" s="560">
        <f>Sheet1!BN290+(DO288*Sheet1!BN290)</f>
        <v>15.191815856777495</v>
      </c>
      <c r="AR288" s="560">
        <f>Sheet1!BA290+CD288</f>
        <v>0</v>
      </c>
      <c r="AS288" s="560">
        <f>Sheet1!BA290+Sheet1!BB290+CD288</f>
        <v>1</v>
      </c>
      <c r="AT288" s="698">
        <f>0</f>
        <v>0</v>
      </c>
      <c r="AU288" s="560">
        <f>IF(EB288&lt;K288,0,MAX(Sheet1!AA290+AQ288-15/36*K288-N288,Sheet1!EH290,0))</f>
        <v>0</v>
      </c>
      <c r="AV288" s="560">
        <f>IF(OR(B288&gt;=GD288,B288&lt;GC288),0,15/36*K288-MAX(0,64.6-(137.6-(Sheet1!AA290+Sheet1!AB290))))</f>
        <v>0</v>
      </c>
      <c r="AW288" s="698">
        <f>Sheet1!DB290-110</f>
        <v>334</v>
      </c>
      <c r="AX288" s="698">
        <f>Sheet1!DA290-265</f>
        <v>316</v>
      </c>
      <c r="AY288" s="698">
        <f t="shared" si="492"/>
        <v>25.86</v>
      </c>
      <c r="AZ288" s="698">
        <v>0</v>
      </c>
      <c r="BA288" s="698">
        <f t="shared" si="493"/>
        <v>0</v>
      </c>
      <c r="BB288" s="560">
        <f t="shared" si="494"/>
        <v>715.52566666666689</v>
      </c>
      <c r="BC288" s="560"/>
      <c r="BD288" s="560">
        <f ca="1">IF(B288&gt;Summary!$A$1,#N/A,BB288*MGtoAF)</f>
        <v>2195.2327453333342</v>
      </c>
      <c r="BE288" s="560">
        <f>Sheet1!BG290+Sheet1!BH290+Sheet1!BI290-BM288</f>
        <v>1.44</v>
      </c>
      <c r="BF288" s="560">
        <f t="shared" si="495"/>
        <v>1.4205334307636099</v>
      </c>
      <c r="BG288" s="560">
        <f>IF(Sheet1!EP290="FM",BM288,0)</f>
        <v>0</v>
      </c>
      <c r="BH288" s="560">
        <f t="shared" si="496"/>
        <v>0</v>
      </c>
      <c r="BI288" s="560">
        <f>IF(Sheet1!EP290="OTHER",BM288,0)</f>
        <v>0</v>
      </c>
      <c r="BJ288" s="560">
        <f t="shared" si="497"/>
        <v>0</v>
      </c>
      <c r="BK288" s="560">
        <f t="shared" si="498"/>
        <v>1.44</v>
      </c>
      <c r="BL288" s="560">
        <f t="shared" si="499"/>
        <v>1.4205334307636099</v>
      </c>
      <c r="BM288" s="560">
        <f>IF(OR(Sheet1!EP290="FM", Sheet1!EP290="OTHER"),SUM(Sheet1!BG290:'Sheet1'!BI290),0)</f>
        <v>0</v>
      </c>
      <c r="BN288" s="545">
        <f>IF(AND($B288&gt;=$FV288,$B288&lt;=$FW288),MAX(BF288,Sheet1!EI290,0),MAX(BF288-(7/36)*$K288,0))</f>
        <v>1.5</v>
      </c>
      <c r="BO288" s="560">
        <f t="shared" si="500"/>
        <v>0</v>
      </c>
      <c r="BP288" s="545">
        <f t="shared" si="501"/>
        <v>0</v>
      </c>
      <c r="BQ288" s="545">
        <f>IF(AND($O288&gt;0,Sheet1!EM290=1),(1-($O288-Sheet1!$L290)/$O288)*BL288,0)</f>
        <v>0</v>
      </c>
      <c r="BR288" s="545">
        <f>IF(AND(Sheet1!$L290=0,Sheet1!$L289=0, Calculation!BK288&lt;Sheet1!$EI290-0.1,Sheet1!$EI290=Sheet1!$EI289,Sheet1!$EI290=Sheet1!$EI291),Sheet1!$EI290,BL288-BQ288)</f>
        <v>1.4205334307636099</v>
      </c>
      <c r="BS288" s="560"/>
      <c r="BT288" s="560"/>
      <c r="BU288" s="560">
        <f t="shared" si="502"/>
        <v>132.52176547029438</v>
      </c>
      <c r="BV288" s="560"/>
      <c r="BW288" s="560">
        <f ca="1">IF(B288&gt;Summary!$A$1,#N/A,BU288*MGtoAF)</f>
        <v>406.57677646286317</v>
      </c>
      <c r="BX288" s="560">
        <f>Sheet1!BC290+Sheet1!BD290+Sheet1!BE290+Sheet1!BF290-CG288-CH288</f>
        <v>2.5</v>
      </c>
      <c r="BY288" s="560">
        <f t="shared" si="503"/>
        <v>2.4662038728534896</v>
      </c>
      <c r="BZ288" s="560">
        <f>IF(Sheet1!EQ290="FM",CH288,0)</f>
        <v>0</v>
      </c>
      <c r="CA288" s="560">
        <f t="shared" si="504"/>
        <v>0</v>
      </c>
      <c r="CB288" s="560">
        <f>IF(Sheet1!EQ290="OTHER",CH288,0)</f>
        <v>0</v>
      </c>
      <c r="CC288" s="560">
        <f t="shared" si="505"/>
        <v>0</v>
      </c>
      <c r="CD288" s="560">
        <f t="shared" si="506"/>
        <v>0</v>
      </c>
      <c r="CE288" s="560">
        <f t="shared" si="507"/>
        <v>2.5</v>
      </c>
      <c r="CF288" s="560">
        <f t="shared" si="508"/>
        <v>2.4662038728534896</v>
      </c>
      <c r="CG288" s="560">
        <f>IF(Sheet1!EQ290="CWA",SUM(Sheet1!BC290:'Sheet1'!BF290),0)</f>
        <v>0</v>
      </c>
      <c r="CH288" s="560">
        <f>IF(OR(Sheet1!EQ290="FM", Sheet1!EQ290="OTHER"),SUM(Sheet1!BC290:'Sheet1'!BF290),0)</f>
        <v>0</v>
      </c>
      <c r="CI288" s="545">
        <f>IF(AND($B288&gt;=$FV288,$B288&lt;=$FW288),MAX(CF288,Sheet1!EJ290,0),MAX(CF288-(7/36)*$K288,0))</f>
        <v>2.5</v>
      </c>
      <c r="CJ288" s="560">
        <f t="shared" si="509"/>
        <v>0</v>
      </c>
      <c r="CK288" s="545">
        <f t="shared" si="510"/>
        <v>0</v>
      </c>
      <c r="CL288" s="545">
        <f>IF(AND($O288&gt;0,Sheet1!EN290=1),(1-($O288-Sheet1!$L290)/$O288)*CF288,0)</f>
        <v>0</v>
      </c>
      <c r="CM288" s="545">
        <f>IF(AND(Sheet1!$L290=0,Sheet1!$L289=0, Calculation!CE288&lt;Sheet1!EJ290-0.1,Sheet1!EJ290=Sheet1!EJ289,Sheet1!EJ290=Sheet1!EJ291),Sheet1!EJ290,CF288-CL288)</f>
        <v>2.4662038728534896</v>
      </c>
      <c r="CN288" s="545"/>
      <c r="CO288" s="560"/>
      <c r="CP288" s="560">
        <f t="shared" si="511"/>
        <v>192.68328108540757</v>
      </c>
      <c r="CQ288" s="560"/>
      <c r="CR288" s="560">
        <f ca="1">IF(B288&gt;Summary!$A$1,#N/A,CP288*MGtoAF)</f>
        <v>591.15230637003049</v>
      </c>
      <c r="CS288" s="560">
        <f>Sheet1!BK290+Sheet1!BL290+Sheet1!BM290-Sheet1!ER290-DA288</f>
        <v>7.0299999999999994</v>
      </c>
      <c r="CT288" s="560">
        <f t="shared" si="512"/>
        <v>6.934965290464012</v>
      </c>
      <c r="CU288" s="560">
        <f>IF(Sheet1!ER290="FM",DA288,0)</f>
        <v>0</v>
      </c>
      <c r="CV288" s="560">
        <f t="shared" si="513"/>
        <v>0</v>
      </c>
      <c r="CW288" s="560">
        <f>IF(Sheet1!ER290="OTHER",DA288,0)</f>
        <v>0</v>
      </c>
      <c r="CX288" s="560">
        <f t="shared" si="514"/>
        <v>0</v>
      </c>
      <c r="CY288" s="560">
        <f t="shared" si="515"/>
        <v>7.0299999999999994</v>
      </c>
      <c r="CZ288" s="560">
        <f t="shared" si="516"/>
        <v>6.934965290464012</v>
      </c>
      <c r="DA288" s="560">
        <f>IF(OR(Sheet1!ER290="FM", Sheet1!ER290="OTHER"),SUM(Sheet1!BK290:'Sheet1'!BM290),0)</f>
        <v>0</v>
      </c>
      <c r="DB288" s="545">
        <f>IF(AND($B288&gt;=$FV288,$B288&lt;=$FW288),MAX($CT288,Sheet1!EK290,0),MAX($CT288-(7/36)*$K288,0))</f>
        <v>7</v>
      </c>
      <c r="DC288" s="560">
        <f t="shared" si="517"/>
        <v>0</v>
      </c>
      <c r="DD288" s="545">
        <f t="shared" si="518"/>
        <v>0</v>
      </c>
      <c r="DE288" s="545">
        <f>IF(AND($O288&gt;0,Sheet1!EO290=1),(1-($O288-Sheet1!$L290)/$O288)*CZ288,0)</f>
        <v>0</v>
      </c>
      <c r="DF288" s="545">
        <f>IF(AND(Sheet1!$L290=0,Sheet1!$L289=0, Calculation!CY288&lt;Sheet1!$EK290-0.1,Sheet1!$EK290=Sheet1!$EK289,Sheet1!$EK290=Sheet1!$EK291),Sheet1!$EK290,CZ288-DE288)</f>
        <v>6.934965290464012</v>
      </c>
      <c r="DG288" s="545"/>
      <c r="DH288" s="560">
        <f t="shared" si="519"/>
        <v>10.969999999999999</v>
      </c>
      <c r="DI288" s="560">
        <f t="shared" si="520"/>
        <v>262.37376292244954</v>
      </c>
      <c r="DJ288" s="698">
        <f t="shared" si="521"/>
        <v>10.821702594081112</v>
      </c>
      <c r="DK288" s="560">
        <f ca="1">IF(B288&gt;Summary!$A$1,#N/A,DI288*MGtoAF)</f>
        <v>804.96270464607517</v>
      </c>
      <c r="DL288" s="698">
        <f t="shared" si="522"/>
        <v>10.969999999999999</v>
      </c>
      <c r="DM288" s="560">
        <f t="shared" si="523"/>
        <v>27.369999999999997</v>
      </c>
      <c r="DN288" s="560">
        <f>Sheet1!AB290-DM288</f>
        <v>-0.36999999999999744</v>
      </c>
      <c r="DO288" s="823">
        <f t="shared" si="524"/>
        <v>-1.3518450858604219E-2</v>
      </c>
      <c r="DP288" s="560">
        <f>(VLOOKUP(Sheet1!DC290,hhdcap_wcm,4)-(((VLOOKUP(Sheet1!DC290,hhdcap_wcm,3)-Sheet1!DC290)/(VLOOKUP(Sheet1!DC290,hhdcap_wcm,3)-VLOOKUP(Sheet1!DC290,hhdcap_wcm,1)))*(VLOOKUP(Sheet1!DC290,hhdcap_wcm,4)-VLOOKUP(Sheet1!DC290,hhdcap_wcm,2))))</f>
        <v>18500.000000045533</v>
      </c>
      <c r="DQ288" s="560">
        <f t="shared" si="525"/>
        <v>-631.00000000130967</v>
      </c>
      <c r="DR288" s="560">
        <f t="shared" si="526"/>
        <v>-318.20474029314653</v>
      </c>
      <c r="DS288" s="560">
        <f>Sheet1!EA290*AFtoMG</f>
        <v>0</v>
      </c>
      <c r="DT288" s="560">
        <f>Sheet1!EB290*AFtoMG</f>
        <v>0</v>
      </c>
      <c r="DU288" s="560">
        <f>Sheet1!EC290*AFtoMG</f>
        <v>0</v>
      </c>
      <c r="DV288" s="560">
        <f>Sheet1!ED290*AFtoMG</f>
        <v>0</v>
      </c>
      <c r="DW288" s="560">
        <f t="shared" si="527"/>
        <v>0</v>
      </c>
      <c r="DX288" s="560">
        <f t="shared" si="528"/>
        <v>0</v>
      </c>
      <c r="DY288" s="560">
        <f t="shared" si="529"/>
        <v>1303.1044761448184</v>
      </c>
      <c r="DZ288" s="560">
        <f t="shared" si="530"/>
        <v>3997.9245328123029</v>
      </c>
      <c r="EA288" s="560"/>
      <c r="EB288" s="545">
        <f>IF(OR(B288&lt;FV288,B288&gt;FW288),(MIN(BF288+BY288+CT288+MAX(Sheet1!AA290+AQ288-73,0),K288)),0)</f>
        <v>0</v>
      </c>
      <c r="EC288" s="560"/>
      <c r="ED288" s="560">
        <f t="shared" si="531"/>
        <v>10.821702594081112</v>
      </c>
      <c r="EE288" s="560"/>
      <c r="EF288" s="560">
        <f>Sheet1!EH290+Sheet1!EI290+Sheet1!EJ290+Sheet1!EK290</f>
        <v>11</v>
      </c>
      <c r="EG288" s="560"/>
      <c r="EH288" s="545">
        <f t="shared" si="532"/>
        <v>0</v>
      </c>
      <c r="EI288" s="560">
        <f>IF(Sheet1!ET290=1,SUM('Calculations II'!AT288:BA288)+'Calculations II'!BC288+Sheet1!BV290+'Calculations II'!BE288+AP288,SUM('Calculations II'!AT288:BA288)+'Calculations II'!BC288+Sheet1!BV290+'Calculations II'!BE288+AP288)</f>
        <v>60.855456000000004</v>
      </c>
      <c r="EJ288" s="560">
        <f>Sheet1!AA290+Sheet1!AB290+'Calculations II'!BC288</f>
        <v>58.14</v>
      </c>
      <c r="EK288" s="560"/>
      <c r="EL288" s="560"/>
      <c r="EM288" s="560">
        <f t="shared" si="533"/>
        <v>41916</v>
      </c>
      <c r="EN288" s="560">
        <f t="shared" si="534"/>
        <v>-11</v>
      </c>
      <c r="EO288" s="560">
        <f t="shared" si="535"/>
        <v>-17.016999999999999</v>
      </c>
      <c r="EP288" s="560">
        <v>0</v>
      </c>
      <c r="EQ288" s="560">
        <v>0</v>
      </c>
      <c r="ER288" s="560">
        <v>0</v>
      </c>
      <c r="ES288" s="545">
        <f t="shared" si="557"/>
        <v>4.2987461351064669</v>
      </c>
      <c r="ET288" s="560">
        <f>-(VLOOKUP(Sheet1!BQ290,Lookup!$O$4:$Q$262,2)-VLOOKUP(Sheet1!BQ289,Lookup!$O$4:$Q$262,2))/1000000</f>
        <v>2.0799639831012229</v>
      </c>
      <c r="EU288" s="560">
        <f>-(VLOOKUP(Sheet1!BR290,Lookup!$O$4:$Q$262,3)-VLOOKUP(Sheet1!BR289,Lookup!$O$4:$Q$262,3))/1000000</f>
        <v>2.218782152005244</v>
      </c>
      <c r="EV288" s="560"/>
      <c r="EW288" s="560"/>
      <c r="EX288" s="560"/>
      <c r="EY288" s="560"/>
      <c r="EZ288" s="560"/>
      <c r="FA288" s="560"/>
      <c r="FB288" s="560"/>
      <c r="FC288" s="560"/>
      <c r="FD288" s="594">
        <f t="shared" si="536"/>
        <v>1113.0028571428018</v>
      </c>
      <c r="FE288" s="594" t="e">
        <f t="shared" si="537"/>
        <v>#N/A</v>
      </c>
      <c r="FF288" s="595" t="e">
        <f t="shared" si="538"/>
        <v>#N/A</v>
      </c>
      <c r="FG288" s="596" t="s">
        <v>692</v>
      </c>
      <c r="FH288" s="596" t="s">
        <v>692</v>
      </c>
      <c r="FI288" s="594" t="e">
        <v>#N/A</v>
      </c>
      <c r="FJ288" s="778">
        <v>8361</v>
      </c>
      <c r="FK288" s="560"/>
      <c r="FL288" s="560"/>
      <c r="FM288" s="560"/>
      <c r="FN288" s="560"/>
      <c r="FO288" s="560">
        <f>O288+((Sheet1!CS290)*GPMtoMGD)</f>
        <v>58.14</v>
      </c>
      <c r="FP288" s="560">
        <f>IF(Sheet1!AA290+AQ288&lt;=Calculation!N288,AQ288,Calculation!N288-Sheet1!AA290)</f>
        <v>15.191815856777495</v>
      </c>
      <c r="FQ288" s="560">
        <f>(Sheet1!BP290+Sheet1!BO290)/694.4</f>
        <v>2.2950748847926268</v>
      </c>
      <c r="FR288" s="560"/>
      <c r="FS288" s="560"/>
      <c r="FT288" s="560"/>
      <c r="FU288" s="560"/>
      <c r="FV288" s="695">
        <f t="shared" si="558"/>
        <v>41827</v>
      </c>
      <c r="FW288" s="695">
        <f t="shared" si="559"/>
        <v>41934</v>
      </c>
      <c r="FX288" s="560"/>
      <c r="FY288" s="560"/>
      <c r="FZ288" s="560"/>
      <c r="GA288" s="560"/>
      <c r="GB288" s="560" t="str">
        <f t="shared" si="560"/>
        <v>n</v>
      </c>
      <c r="GC288" s="564">
        <f t="shared" si="561"/>
        <v>41691</v>
      </c>
      <c r="GD288" s="695">
        <f t="shared" si="562"/>
        <v>41807</v>
      </c>
      <c r="GE288" s="560">
        <v>6518.9</v>
      </c>
      <c r="GF288" s="695">
        <f t="shared" si="563"/>
        <v>41808</v>
      </c>
      <c r="GG288" s="560">
        <f t="shared" si="582"/>
        <v>3259</v>
      </c>
      <c r="GH288" s="564">
        <f t="shared" si="564"/>
        <v>41934</v>
      </c>
      <c r="GJ288" s="545">
        <f t="shared" si="565"/>
        <v>0</v>
      </c>
      <c r="GK288" s="560" t="str">
        <f t="shared" si="539"/>
        <v/>
      </c>
      <c r="GL288" s="560">
        <f t="shared" si="566"/>
        <v>0</v>
      </c>
      <c r="GM288" s="560" t="str">
        <f t="shared" si="567"/>
        <v/>
      </c>
      <c r="GN288" s="560">
        <f>IF(GK288="P",Lookup!$M$12,IF(GK288="PP",Lookup!$M$13,IF(GK288="PPP",Lookup!$M$14,IF(GK288="T",Lookup!$M$15,IF(GK288="TP",Lookup!$M$16,IF(GK288="TPP",Lookup!$M$17,IF(GK288="TPPP",Lookup!$M$18,0)))))))*GJ288</f>
        <v>0</v>
      </c>
      <c r="GO288" s="560">
        <f t="shared" si="568"/>
        <v>0</v>
      </c>
      <c r="GP288" s="560">
        <f t="shared" si="540"/>
        <v>2195.2327453333342</v>
      </c>
      <c r="GQ288" s="560">
        <f t="shared" si="576"/>
        <v>715.52566666666689</v>
      </c>
      <c r="GR288" s="560"/>
      <c r="GS288" s="560">
        <f t="shared" si="569"/>
        <v>0</v>
      </c>
      <c r="GT288" s="560" t="str">
        <f t="shared" si="570"/>
        <v/>
      </c>
      <c r="GU288" s="560">
        <f>IF(GK288="P",Lookup!$N$12,IF(GK288="PP",Lookup!$N$13,IF(GK288="PPP",Lookup!$N$14,IF(GK288="T",Lookup!$N$15,IF(GK288="TP",Lookup!$N$16,IF(GK288="TPP",Lookup!$N$17,IF(GK288="TPPP",Lookup!$N$18,0)))))))*GJ288</f>
        <v>0</v>
      </c>
      <c r="GV288" s="560">
        <f t="shared" si="571"/>
        <v>0</v>
      </c>
      <c r="GW288" s="560">
        <f t="shared" si="541"/>
        <v>406.57677646286317</v>
      </c>
      <c r="GX288" s="560">
        <f t="shared" si="577"/>
        <v>132.52176547029438</v>
      </c>
      <c r="GY288" s="560"/>
      <c r="GZ288" s="560">
        <f t="shared" si="572"/>
        <v>0</v>
      </c>
      <c r="HA288" s="560" t="str">
        <f t="shared" si="573"/>
        <v/>
      </c>
      <c r="HB288" s="560">
        <f>IF(GK288="P",Lookup!$N$12,IF(GK288="PP",Lookup!$N$13,IF(GK288="PPP",Lookup!$N$14,IF(GK288="T",Lookup!$N$15,IF(GK288="TP",Lookup!$N$16,IF(GK288="TPP",Lookup!$N$17,IF(GK288="TPPP",Lookup!$N$18,0)))))))*GJ288</f>
        <v>0</v>
      </c>
      <c r="HC288" s="545">
        <f t="shared" si="542"/>
        <v>0</v>
      </c>
      <c r="HD288" s="560">
        <f t="shared" si="543"/>
        <v>591.15230637003049</v>
      </c>
      <c r="HE288" s="560">
        <f t="shared" si="578"/>
        <v>192.68328108540757</v>
      </c>
      <c r="HF288" s="560"/>
      <c r="HG288" s="560">
        <f t="shared" si="574"/>
        <v>0</v>
      </c>
      <c r="HH288" s="560" t="str">
        <f t="shared" si="575"/>
        <v/>
      </c>
      <c r="HI288" s="560">
        <f>IF(GK288="P",Lookup!$N$12,IF(GK288="PP",Lookup!$N$13,IF(GK288="PPP",Lookup!$N$14,IF(GK288="T",Lookup!$N$15,IF(GK288="TP",Lookup!$N$16,IF(GK288="TPP",Lookup!$N$17,IF(GK288="TPPP",Lookup!$N$18,0)))))))*GJ288</f>
        <v>0</v>
      </c>
      <c r="HJ288" s="545">
        <f t="shared" si="544"/>
        <v>0</v>
      </c>
      <c r="HK288" s="560">
        <f t="shared" si="545"/>
        <v>804.96270464607517</v>
      </c>
      <c r="HL288" s="560">
        <f t="shared" si="579"/>
        <v>262.37376292244954</v>
      </c>
    </row>
    <row r="289" spans="1:220">
      <c r="A289" s="580" t="s">
        <v>3</v>
      </c>
      <c r="B289" s="556">
        <v>41917</v>
      </c>
      <c r="C289" s="561">
        <v>0</v>
      </c>
      <c r="D289" s="529">
        <f t="shared" si="580"/>
        <v>300</v>
      </c>
      <c r="E289" s="529">
        <f t="shared" si="581"/>
        <v>250</v>
      </c>
      <c r="F289" s="529">
        <v>250</v>
      </c>
      <c r="G289" s="560">
        <f>DR289+Sheet1!CZ291</f>
        <v>207.78668683710777</v>
      </c>
      <c r="H289" s="914">
        <f t="shared" si="546"/>
        <v>0</v>
      </c>
      <c r="I289" s="559">
        <f>MAX(Sheet1!Z291-AT289+(Sheet1!DA291-E289)*CFStoMGD,0)</f>
        <v>237.72639999999998</v>
      </c>
      <c r="J289" s="562">
        <f>IF(AND(B289&gt;=Calculation!GC289,B289&lt;=Calculation!GD289),IF(Sheet1!DB291&gt;=Calculation!D289,64.64,0),MAX(Sheet1!Z291-AT289+(Sheet1!DB291-D289)*CFStoMGD,0))</f>
        <v>118.14239999999999</v>
      </c>
      <c r="K289" s="904">
        <f t="shared" si="481"/>
        <v>0</v>
      </c>
      <c r="L289" s="560">
        <f>Sheet1!AA291+Sheet1!AB291-Sheet1!L291+(Sheet1!DA291-F289)*CFStoMGD</f>
        <v>268.89639999999997</v>
      </c>
      <c r="M289" s="560">
        <f t="shared" si="482"/>
        <v>136.99958065893659</v>
      </c>
      <c r="N289" s="910">
        <f>IF(Sheet1!DA291&gt;=F289,MIN(73,MIN(MAX(L289,0),MAX(M289,0))),0)</f>
        <v>73</v>
      </c>
      <c r="O289" s="563">
        <f>Sheet1!AA291+Sheet1!AB291</f>
        <v>58.17</v>
      </c>
      <c r="P289" s="563">
        <f t="shared" si="483"/>
        <v>89.988990000000001</v>
      </c>
      <c r="Q289" s="898">
        <f t="shared" si="547"/>
        <v>47.17</v>
      </c>
      <c r="R289" s="829">
        <f t="shared" si="484"/>
        <v>11</v>
      </c>
      <c r="S289" s="898">
        <f t="shared" si="548"/>
        <v>0</v>
      </c>
      <c r="T289" s="898">
        <f t="shared" si="549"/>
        <v>0</v>
      </c>
      <c r="U289" s="898">
        <f t="shared" si="550"/>
        <v>11</v>
      </c>
      <c r="V289" s="898"/>
      <c r="W289" s="898">
        <f t="shared" si="551"/>
        <v>0</v>
      </c>
      <c r="X289" s="898">
        <f t="shared" si="552"/>
        <v>0</v>
      </c>
      <c r="Y289" s="898" t="str">
        <f t="shared" si="553"/>
        <v>FALSE</v>
      </c>
      <c r="Z289" s="898">
        <f t="shared" si="554"/>
        <v>58.17</v>
      </c>
      <c r="AA289" s="898">
        <f t="shared" si="555"/>
        <v>58.17</v>
      </c>
      <c r="AB289" s="898" t="str">
        <f t="shared" si="556"/>
        <v/>
      </c>
      <c r="AC289" s="563">
        <f>Sheet1!Y291*MGDtoCFS</f>
        <v>48.173580000000001</v>
      </c>
      <c r="AD289" s="563">
        <f>Sheet1!Z291*MGDtoCFS</f>
        <v>41.768999999999998</v>
      </c>
      <c r="AE289" s="563">
        <f>Sheet1!AA291*MGDtoCFS</f>
        <v>48.219990000000003</v>
      </c>
      <c r="AF289" s="563">
        <f>Sheet1!AB291*MGDtoCFS</f>
        <v>41.768999999999998</v>
      </c>
      <c r="AG289" s="563">
        <f>Sheet1!L291*MGDtoCFS</f>
        <v>0</v>
      </c>
      <c r="AH289" s="545">
        <f t="shared" si="485"/>
        <v>11</v>
      </c>
      <c r="AI289" s="560">
        <f t="shared" si="486"/>
        <v>17.016999999999999</v>
      </c>
      <c r="AJ289" s="560">
        <f t="shared" si="487"/>
        <v>0</v>
      </c>
      <c r="AK289" s="560">
        <f t="shared" si="488"/>
        <v>0</v>
      </c>
      <c r="AL289" s="560">
        <f>(VLOOKUP(Sheet1!DC291,hhdcap_wcm,4)-(((VLOOKUP(Sheet1!DC291,hhdcap_wcm,3)-Sheet1!DC291)/(VLOOKUP(Sheet1!DC291,hhdcap_wcm,3)-VLOOKUP(Sheet1!DC291,hhdcap_wcm,1)))*(VLOOKUP(Sheet1!DC291,hhdcap_wcm,4)-VLOOKUP(Sheet1!DC291,hhdcap_wcm,2))))</f>
        <v>17867.000000043518</v>
      </c>
      <c r="AM289" s="560">
        <f t="shared" si="489"/>
        <v>-633.00000000201544</v>
      </c>
      <c r="AN289" s="560">
        <f t="shared" si="490"/>
        <v>1292.1044761448184</v>
      </c>
      <c r="AO289" s="560">
        <f t="shared" si="491"/>
        <v>3964.1765328123029</v>
      </c>
      <c r="AP289" s="560">
        <f>Sheet1!BA291+Sheet1!BB291+Sheet1!BN291+CD289</f>
        <v>16.41</v>
      </c>
      <c r="AQ289" s="560">
        <f>Sheet1!BN291+(DO289*Sheet1!BN291)</f>
        <v>15.180722891566266</v>
      </c>
      <c r="AR289" s="560">
        <f>Sheet1!BA291+CD289</f>
        <v>0</v>
      </c>
      <c r="AS289" s="560">
        <f>Sheet1!BA291+Sheet1!BB291+CD289</f>
        <v>1.01</v>
      </c>
      <c r="AT289" s="698">
        <f>0</f>
        <v>0</v>
      </c>
      <c r="AU289" s="560">
        <f>IF(EB289&lt;K289,0,MAX(Sheet1!AA291+AQ289-15/36*K289-N289,Sheet1!EH291,0))</f>
        <v>0</v>
      </c>
      <c r="AV289" s="560">
        <f>IF(OR(B289&gt;=GD289,B289&lt;GC289),0,15/36*K289-MAX(0,64.6-(137.6-(Sheet1!AA291+Sheet1!AB291))))</f>
        <v>0</v>
      </c>
      <c r="AW289" s="698">
        <f>Sheet1!DB291-110</f>
        <v>331</v>
      </c>
      <c r="AX289" s="698">
        <f>Sheet1!DA291-265</f>
        <v>311</v>
      </c>
      <c r="AY289" s="698">
        <f t="shared" si="492"/>
        <v>25.83</v>
      </c>
      <c r="AZ289" s="698">
        <v>0</v>
      </c>
      <c r="BA289" s="698">
        <f t="shared" si="493"/>
        <v>0</v>
      </c>
      <c r="BB289" s="560">
        <f t="shared" si="494"/>
        <v>715.52566666666689</v>
      </c>
      <c r="BC289" s="560"/>
      <c r="BD289" s="560">
        <f ca="1">IF(B289&gt;Summary!$A$1,#N/A,BB289*MGtoAF)</f>
        <v>2195.2327453333342</v>
      </c>
      <c r="BE289" s="560">
        <f>Sheet1!BG291+Sheet1!BH291+Sheet1!BI291-BM289</f>
        <v>1.45</v>
      </c>
      <c r="BF289" s="560">
        <f t="shared" si="495"/>
        <v>1.429353778751369</v>
      </c>
      <c r="BG289" s="560">
        <f>IF(Sheet1!EP291="FM",BM289,0)</f>
        <v>0</v>
      </c>
      <c r="BH289" s="560">
        <f t="shared" si="496"/>
        <v>0</v>
      </c>
      <c r="BI289" s="560">
        <f>IF(Sheet1!EP291="OTHER",BM289,0)</f>
        <v>0</v>
      </c>
      <c r="BJ289" s="560">
        <f t="shared" si="497"/>
        <v>0</v>
      </c>
      <c r="BK289" s="560">
        <f t="shared" si="498"/>
        <v>1.45</v>
      </c>
      <c r="BL289" s="560">
        <f t="shared" si="499"/>
        <v>1.429353778751369</v>
      </c>
      <c r="BM289" s="560">
        <f>IF(OR(Sheet1!EP291="FM", Sheet1!EP291="OTHER"),SUM(Sheet1!BG291:'Sheet1'!BI291),0)</f>
        <v>0</v>
      </c>
      <c r="BN289" s="545">
        <f>IF(AND($B289&gt;=$FV289,$B289&lt;=$FW289),MAX(BF289,Sheet1!EI291,0),MAX(BF289-(7/36)*$K289,0))</f>
        <v>1.5</v>
      </c>
      <c r="BO289" s="560">
        <f t="shared" si="500"/>
        <v>0</v>
      </c>
      <c r="BP289" s="545">
        <f t="shared" si="501"/>
        <v>0</v>
      </c>
      <c r="BQ289" s="545">
        <f>IF(AND($O289&gt;0,Sheet1!EM291=1),(1-($O289-Sheet1!$L291)/$O289)*BL289,0)</f>
        <v>0</v>
      </c>
      <c r="BR289" s="545">
        <f>IF(AND(Sheet1!$L291=0,Sheet1!$L290=0, Calculation!BK289&lt;Sheet1!$EI291-0.1,Sheet1!$EI291=Sheet1!$EI290,Sheet1!$EI291=Sheet1!$EI292),Sheet1!$EI291,BL289-BQ289)</f>
        <v>1.429353778751369</v>
      </c>
      <c r="BS289" s="560"/>
      <c r="BT289" s="560"/>
      <c r="BU289" s="560">
        <f t="shared" si="502"/>
        <v>131.02176547029438</v>
      </c>
      <c r="BV289" s="560"/>
      <c r="BW289" s="560">
        <f ca="1">IF(B289&gt;Summary!$A$1,#N/A,BU289*MGtoAF)</f>
        <v>401.97477646286319</v>
      </c>
      <c r="BX289" s="560">
        <f>Sheet1!BC291+Sheet1!BD291+Sheet1!BE291+Sheet1!BF291-CG289-CH289</f>
        <v>2.5</v>
      </c>
      <c r="BY289" s="560">
        <f t="shared" si="503"/>
        <v>2.4644030668127055</v>
      </c>
      <c r="BZ289" s="560">
        <f>IF(Sheet1!EQ291="FM",CH289,0)</f>
        <v>0</v>
      </c>
      <c r="CA289" s="560">
        <f t="shared" si="504"/>
        <v>0</v>
      </c>
      <c r="CB289" s="560">
        <f>IF(Sheet1!EQ291="OTHER",CH289,0)</f>
        <v>0</v>
      </c>
      <c r="CC289" s="560">
        <f t="shared" si="505"/>
        <v>0</v>
      </c>
      <c r="CD289" s="560">
        <f t="shared" si="506"/>
        <v>0</v>
      </c>
      <c r="CE289" s="560">
        <f t="shared" si="507"/>
        <v>2.5</v>
      </c>
      <c r="CF289" s="560">
        <f t="shared" si="508"/>
        <v>2.4644030668127055</v>
      </c>
      <c r="CG289" s="560">
        <f>IF(Sheet1!EQ291="CWA",SUM(Sheet1!BC291:'Sheet1'!BF291),0)</f>
        <v>0</v>
      </c>
      <c r="CH289" s="560">
        <f>IF(OR(Sheet1!EQ291="FM", Sheet1!EQ291="OTHER"),SUM(Sheet1!BC291:'Sheet1'!BF291),0)</f>
        <v>0</v>
      </c>
      <c r="CI289" s="545">
        <f>IF(AND($B289&gt;=$FV289,$B289&lt;=$FW289),MAX(CF289,Sheet1!EJ291,0),MAX(CF289-(7/36)*$K289,0))</f>
        <v>2.5</v>
      </c>
      <c r="CJ289" s="560">
        <f t="shared" si="509"/>
        <v>0</v>
      </c>
      <c r="CK289" s="545">
        <f t="shared" si="510"/>
        <v>0</v>
      </c>
      <c r="CL289" s="545">
        <f>IF(AND($O289&gt;0,Sheet1!EN291=1),(1-($O289-Sheet1!$L291)/$O289)*CF289,0)</f>
        <v>0</v>
      </c>
      <c r="CM289" s="545">
        <f>IF(AND(Sheet1!$L291=0,Sheet1!$L290=0, Calculation!CE289&lt;Sheet1!EJ291-0.1,Sheet1!EJ291=Sheet1!EJ290,Sheet1!EJ291=Sheet1!EJ292),Sheet1!EJ291,CF289-CL289)</f>
        <v>2.4644030668127055</v>
      </c>
      <c r="CN289" s="545"/>
      <c r="CO289" s="560"/>
      <c r="CP289" s="560">
        <f t="shared" si="511"/>
        <v>190.18328108540757</v>
      </c>
      <c r="CQ289" s="560"/>
      <c r="CR289" s="560">
        <f ca="1">IF(B289&gt;Summary!$A$1,#N/A,CP289*MGtoAF)</f>
        <v>583.48230637003041</v>
      </c>
      <c r="CS289" s="560">
        <f>Sheet1!BK291+Sheet1!BL291+Sheet1!BM291-Sheet1!ER291-DA289</f>
        <v>7.0299999999999994</v>
      </c>
      <c r="CT289" s="560">
        <f t="shared" si="512"/>
        <v>6.9299014238773271</v>
      </c>
      <c r="CU289" s="560">
        <f>IF(Sheet1!ER291="FM",DA289,0)</f>
        <v>0</v>
      </c>
      <c r="CV289" s="560">
        <f t="shared" si="513"/>
        <v>0</v>
      </c>
      <c r="CW289" s="560">
        <f>IF(Sheet1!ER291="OTHER",DA289,0)</f>
        <v>0</v>
      </c>
      <c r="CX289" s="560">
        <f t="shared" si="514"/>
        <v>0</v>
      </c>
      <c r="CY289" s="560">
        <f t="shared" si="515"/>
        <v>7.0299999999999994</v>
      </c>
      <c r="CZ289" s="560">
        <f t="shared" si="516"/>
        <v>6.9299014238773271</v>
      </c>
      <c r="DA289" s="560">
        <f>IF(OR(Sheet1!ER291="FM", Sheet1!ER291="OTHER"),SUM(Sheet1!BK291:'Sheet1'!BM291),0)</f>
        <v>0</v>
      </c>
      <c r="DB289" s="545">
        <f>IF(AND($B289&gt;=$FV289,$B289&lt;=$FW289),MAX($CT289,Sheet1!EK291,0),MAX($CT289-(7/36)*$K289,0))</f>
        <v>7</v>
      </c>
      <c r="DC289" s="560">
        <f t="shared" si="517"/>
        <v>0</v>
      </c>
      <c r="DD289" s="545">
        <f t="shared" si="518"/>
        <v>0</v>
      </c>
      <c r="DE289" s="545">
        <f>IF(AND($O289&gt;0,Sheet1!EO291=1),(1-($O289-Sheet1!$L291)/$O289)*CZ289,0)</f>
        <v>0</v>
      </c>
      <c r="DF289" s="545">
        <f>IF(AND(Sheet1!$L291=0,Sheet1!$L290=0, Calculation!CY289&lt;Sheet1!$EK291-0.1,Sheet1!$EK291=Sheet1!$EK290,Sheet1!$EK291=Sheet1!$EK292),Sheet1!$EK291,CZ289-DE289)</f>
        <v>6.9299014238773271</v>
      </c>
      <c r="DG289" s="545"/>
      <c r="DH289" s="560">
        <f t="shared" si="519"/>
        <v>10.98</v>
      </c>
      <c r="DI289" s="560">
        <f t="shared" si="520"/>
        <v>255.37376292244954</v>
      </c>
      <c r="DJ289" s="698">
        <f t="shared" si="521"/>
        <v>10.823658269441403</v>
      </c>
      <c r="DK289" s="560">
        <f ca="1">IF(B289&gt;Summary!$A$1,#N/A,DI289*MGtoAF)</f>
        <v>783.48670464607517</v>
      </c>
      <c r="DL289" s="698">
        <f t="shared" si="522"/>
        <v>10.979999999999999</v>
      </c>
      <c r="DM289" s="560">
        <f t="shared" si="523"/>
        <v>27.39</v>
      </c>
      <c r="DN289" s="560">
        <f>Sheet1!AB291-DM289</f>
        <v>-0.39000000000000057</v>
      </c>
      <c r="DO289" s="823">
        <f t="shared" si="524"/>
        <v>-1.4238773274917873E-2</v>
      </c>
      <c r="DP289" s="560">
        <f>(VLOOKUP(Sheet1!DC291,hhdcap_wcm,4)-(((VLOOKUP(Sheet1!DC291,hhdcap_wcm,3)-Sheet1!DC291)/(VLOOKUP(Sheet1!DC291,hhdcap_wcm,3)-VLOOKUP(Sheet1!DC291,hhdcap_wcm,1)))*(VLOOKUP(Sheet1!DC291,hhdcap_wcm,4)-VLOOKUP(Sheet1!DC291,hhdcap_wcm,2))))</f>
        <v>17867.000000043518</v>
      </c>
      <c r="DQ289" s="560">
        <f t="shared" si="525"/>
        <v>-633.00000000201544</v>
      </c>
      <c r="DR289" s="560">
        <f t="shared" si="526"/>
        <v>-319.21331316289223</v>
      </c>
      <c r="DS289" s="560">
        <f>Sheet1!EA291*AFtoMG</f>
        <v>0</v>
      </c>
      <c r="DT289" s="560">
        <f>Sheet1!EB291*AFtoMG</f>
        <v>0</v>
      </c>
      <c r="DU289" s="560">
        <f>Sheet1!EC291*AFtoMG</f>
        <v>0</v>
      </c>
      <c r="DV289" s="560">
        <f>Sheet1!ED291*AFtoMG</f>
        <v>0</v>
      </c>
      <c r="DW289" s="560">
        <f t="shared" si="527"/>
        <v>0</v>
      </c>
      <c r="DX289" s="560">
        <f t="shared" si="528"/>
        <v>0</v>
      </c>
      <c r="DY289" s="560">
        <f t="shared" si="529"/>
        <v>1292.1044761448184</v>
      </c>
      <c r="DZ289" s="560">
        <f t="shared" si="530"/>
        <v>3964.1765328123029</v>
      </c>
      <c r="EA289" s="560"/>
      <c r="EB289" s="545">
        <f>IF(OR(B289&lt;FV289,B289&gt;FW289),(MIN(BF289+BY289+CT289+MAX(Sheet1!AA291+AQ289-73,0),K289)),0)</f>
        <v>0</v>
      </c>
      <c r="EC289" s="560"/>
      <c r="ED289" s="560">
        <f t="shared" si="531"/>
        <v>10.823658269441401</v>
      </c>
      <c r="EE289" s="560"/>
      <c r="EF289" s="560">
        <f>Sheet1!EH291+Sheet1!EI291+Sheet1!EJ291+Sheet1!EK291</f>
        <v>11</v>
      </c>
      <c r="EG289" s="560"/>
      <c r="EH289" s="545">
        <f t="shared" si="532"/>
        <v>0</v>
      </c>
      <c r="EI289" s="560">
        <f>IF(Sheet1!ET291=1,SUM('Calculations II'!AT289:BA289)+'Calculations II'!BC289+Sheet1!BV291+'Calculations II'!BE289+AP289,SUM('Calculations II'!AT289:BA289)+'Calculations II'!BC289+Sheet1!BV291+'Calculations II'!BE289+AP289)</f>
        <v>59.689295999999999</v>
      </c>
      <c r="EJ289" s="560">
        <f>Sheet1!AA291+Sheet1!AB291+'Calculations II'!BC289</f>
        <v>58.17</v>
      </c>
      <c r="EK289" s="560"/>
      <c r="EL289" s="560"/>
      <c r="EM289" s="560">
        <f t="shared" si="533"/>
        <v>41917</v>
      </c>
      <c r="EN289" s="560">
        <f t="shared" si="534"/>
        <v>-11</v>
      </c>
      <c r="EO289" s="560">
        <f t="shared" si="535"/>
        <v>-17.016999999999999</v>
      </c>
      <c r="EP289" s="560">
        <v>0</v>
      </c>
      <c r="EQ289" s="560">
        <v>0</v>
      </c>
      <c r="ER289" s="560">
        <v>0</v>
      </c>
      <c r="ES289" s="545">
        <f t="shared" si="557"/>
        <v>3.4644780374147111</v>
      </c>
      <c r="ET289" s="560">
        <f>-(VLOOKUP(Sheet1!BQ291,Lookup!$O$4:$Q$262,2)-VLOOKUP(Sheet1!BQ290,Lookup!$O$4:$Q$262,2))/1000000</f>
        <v>1.8014685786633939</v>
      </c>
      <c r="EU289" s="560">
        <f>-(VLOOKUP(Sheet1!BR291,Lookup!$O$4:$Q$262,3)-VLOOKUP(Sheet1!BR290,Lookup!$O$4:$Q$262,3))/1000000</f>
        <v>1.6630094587513171</v>
      </c>
      <c r="EV289" s="560"/>
      <c r="EW289" s="560"/>
      <c r="EX289" s="560"/>
      <c r="EY289" s="560"/>
      <c r="EZ289" s="560"/>
      <c r="FA289" s="560"/>
      <c r="FB289" s="560"/>
      <c r="FC289" s="560"/>
      <c r="FD289" s="594">
        <f t="shared" si="536"/>
        <v>1112.3911764705333</v>
      </c>
      <c r="FE289" s="594" t="e">
        <f t="shared" si="537"/>
        <v>#N/A</v>
      </c>
      <c r="FF289" s="595" t="e">
        <f t="shared" si="538"/>
        <v>#N/A</v>
      </c>
      <c r="FG289" s="596" t="s">
        <v>692</v>
      </c>
      <c r="FH289" s="596" t="s">
        <v>692</v>
      </c>
      <c r="FI289" s="594" t="e">
        <v>#N/A</v>
      </c>
      <c r="FJ289" s="778">
        <v>8151</v>
      </c>
      <c r="FK289" s="560"/>
      <c r="FL289" s="560"/>
      <c r="FM289" s="560"/>
      <c r="FN289" s="560"/>
      <c r="FO289" s="560">
        <f>O289+((Sheet1!CS291)*GPMtoMGD)</f>
        <v>58.17</v>
      </c>
      <c r="FP289" s="560">
        <f>IF(Sheet1!AA291+AQ289&lt;=Calculation!N289,AQ289,Calculation!N289-Sheet1!AA291)</f>
        <v>15.180722891566266</v>
      </c>
      <c r="FQ289" s="560">
        <f>(Sheet1!BP291+Sheet1!BO291)/694.4</f>
        <v>2.1402649769585254</v>
      </c>
      <c r="FR289" s="560"/>
      <c r="FS289" s="560"/>
      <c r="FT289" s="560"/>
      <c r="FU289" s="560"/>
      <c r="FV289" s="695">
        <f t="shared" si="558"/>
        <v>41827</v>
      </c>
      <c r="FW289" s="695">
        <f t="shared" si="559"/>
        <v>41934</v>
      </c>
      <c r="FX289" s="560"/>
      <c r="FY289" s="560"/>
      <c r="FZ289" s="560"/>
      <c r="GA289" s="560"/>
      <c r="GB289" s="560" t="str">
        <f t="shared" si="560"/>
        <v>n</v>
      </c>
      <c r="GC289" s="564">
        <f t="shared" si="561"/>
        <v>41691</v>
      </c>
      <c r="GD289" s="695">
        <f t="shared" si="562"/>
        <v>41807</v>
      </c>
      <c r="GE289" s="560">
        <v>6518.9</v>
      </c>
      <c r="GF289" s="695">
        <f t="shared" si="563"/>
        <v>41808</v>
      </c>
      <c r="GG289" s="560">
        <f t="shared" si="582"/>
        <v>3259</v>
      </c>
      <c r="GH289" s="564">
        <f t="shared" si="564"/>
        <v>41934</v>
      </c>
      <c r="GJ289" s="545">
        <f t="shared" si="565"/>
        <v>0</v>
      </c>
      <c r="GK289" s="560" t="str">
        <f t="shared" si="539"/>
        <v/>
      </c>
      <c r="GL289" s="560">
        <f t="shared" si="566"/>
        <v>0</v>
      </c>
      <c r="GM289" s="560" t="str">
        <f t="shared" si="567"/>
        <v/>
      </c>
      <c r="GN289" s="560">
        <f>IF(GK289="P",Lookup!$M$12,IF(GK289="PP",Lookup!$M$13,IF(GK289="PPP",Lookup!$M$14,IF(GK289="T",Lookup!$M$15,IF(GK289="TP",Lookup!$M$16,IF(GK289="TPP",Lookup!$M$17,IF(GK289="TPPP",Lookup!$M$18,0)))))))*GJ289</f>
        <v>0</v>
      </c>
      <c r="GO289" s="560">
        <f t="shared" si="568"/>
        <v>0</v>
      </c>
      <c r="GP289" s="560">
        <f t="shared" si="540"/>
        <v>2195.2327453333342</v>
      </c>
      <c r="GQ289" s="560">
        <f t="shared" si="576"/>
        <v>715.52566666666689</v>
      </c>
      <c r="GR289" s="560"/>
      <c r="GS289" s="560">
        <f t="shared" si="569"/>
        <v>0</v>
      </c>
      <c r="GT289" s="560" t="str">
        <f t="shared" si="570"/>
        <v/>
      </c>
      <c r="GU289" s="560">
        <f>IF(GK289="P",Lookup!$N$12,IF(GK289="PP",Lookup!$N$13,IF(GK289="PPP",Lookup!$N$14,IF(GK289="T",Lookup!$N$15,IF(GK289="TP",Lookup!$N$16,IF(GK289="TPP",Lookup!$N$17,IF(GK289="TPPP",Lookup!$N$18,0)))))))*GJ289</f>
        <v>0</v>
      </c>
      <c r="GV289" s="560">
        <f t="shared" si="571"/>
        <v>0</v>
      </c>
      <c r="GW289" s="560">
        <f t="shared" si="541"/>
        <v>401.97477646286319</v>
      </c>
      <c r="GX289" s="560">
        <f t="shared" si="577"/>
        <v>131.02176547029438</v>
      </c>
      <c r="GY289" s="560"/>
      <c r="GZ289" s="560">
        <f t="shared" si="572"/>
        <v>0</v>
      </c>
      <c r="HA289" s="560" t="str">
        <f t="shared" si="573"/>
        <v/>
      </c>
      <c r="HB289" s="560">
        <f>IF(GK289="P",Lookup!$N$12,IF(GK289="PP",Lookup!$N$13,IF(GK289="PPP",Lookup!$N$14,IF(GK289="T",Lookup!$N$15,IF(GK289="TP",Lookup!$N$16,IF(GK289="TPP",Lookup!$N$17,IF(GK289="TPPP",Lookup!$N$18,0)))))))*GJ289</f>
        <v>0</v>
      </c>
      <c r="HC289" s="545">
        <f t="shared" si="542"/>
        <v>0</v>
      </c>
      <c r="HD289" s="560">
        <f t="shared" si="543"/>
        <v>583.48230637003041</v>
      </c>
      <c r="HE289" s="560">
        <f t="shared" si="578"/>
        <v>190.18328108540757</v>
      </c>
      <c r="HF289" s="560"/>
      <c r="HG289" s="560">
        <f t="shared" si="574"/>
        <v>0</v>
      </c>
      <c r="HH289" s="560" t="str">
        <f t="shared" si="575"/>
        <v/>
      </c>
      <c r="HI289" s="560">
        <f>IF(GK289="P",Lookup!$N$12,IF(GK289="PP",Lookup!$N$13,IF(GK289="PPP",Lookup!$N$14,IF(GK289="T",Lookup!$N$15,IF(GK289="TP",Lookup!$N$16,IF(GK289="TPP",Lookup!$N$17,IF(GK289="TPPP",Lookup!$N$18,0)))))))*GJ289</f>
        <v>0</v>
      </c>
      <c r="HJ289" s="545">
        <f t="shared" si="544"/>
        <v>0</v>
      </c>
      <c r="HK289" s="560">
        <f t="shared" si="545"/>
        <v>783.48670464607517</v>
      </c>
      <c r="HL289" s="560">
        <f t="shared" si="579"/>
        <v>255.37376292244954</v>
      </c>
    </row>
    <row r="290" spans="1:220">
      <c r="A290" s="580" t="s">
        <v>4</v>
      </c>
      <c r="B290" s="556">
        <v>41918</v>
      </c>
      <c r="C290" s="561">
        <v>0</v>
      </c>
      <c r="D290" s="529">
        <f t="shared" si="580"/>
        <v>300</v>
      </c>
      <c r="E290" s="529">
        <f t="shared" si="581"/>
        <v>250</v>
      </c>
      <c r="F290" s="529">
        <v>250</v>
      </c>
      <c r="G290" s="560">
        <f>DR290+Sheet1!CZ292</f>
        <v>200.7771053952294</v>
      </c>
      <c r="H290" s="914">
        <f t="shared" si="546"/>
        <v>0</v>
      </c>
      <c r="I290" s="559">
        <f>MAX(Sheet1!Z292-AT290+(Sheet1!DA292-E290)*CFStoMGD,0)</f>
        <v>233.84799999999998</v>
      </c>
      <c r="J290" s="562">
        <f>IF(AND(B290&gt;=Calculation!GC290,B290&lt;=Calculation!GD290),IF(Sheet1!DB292&gt;=Calculation!D290,64.64,0),MAX(Sheet1!Z292-AT290+(Sheet1!DB292-D290)*CFStoMGD,0))</f>
        <v>116.2032</v>
      </c>
      <c r="K290" s="904">
        <f t="shared" si="481"/>
        <v>0</v>
      </c>
      <c r="L290" s="560">
        <f>Sheet1!AA292+Sheet1!AB292-Sheet1!L292+(Sheet1!DA292-F290)*CFStoMGD</f>
        <v>264.97800000000001</v>
      </c>
      <c r="M290" s="560">
        <f t="shared" si="482"/>
        <v>132.37796734602583</v>
      </c>
      <c r="N290" s="910">
        <f>IF(Sheet1!DA292&gt;=F290,MIN(73,MIN(MAX(L290,0),MAX(M290,0))),0)</f>
        <v>73</v>
      </c>
      <c r="O290" s="563">
        <f>Sheet1!AA292+Sheet1!AB292</f>
        <v>58.13</v>
      </c>
      <c r="P290" s="563">
        <f t="shared" si="483"/>
        <v>89.927109999999999</v>
      </c>
      <c r="Q290" s="898">
        <f t="shared" si="547"/>
        <v>45.63</v>
      </c>
      <c r="R290" s="829">
        <f t="shared" si="484"/>
        <v>12.5</v>
      </c>
      <c r="S290" s="898">
        <f t="shared" si="548"/>
        <v>0</v>
      </c>
      <c r="T290" s="898">
        <f t="shared" si="549"/>
        <v>0</v>
      </c>
      <c r="U290" s="898">
        <f t="shared" si="550"/>
        <v>12.5</v>
      </c>
      <c r="V290" s="898"/>
      <c r="W290" s="898">
        <f t="shared" si="551"/>
        <v>0</v>
      </c>
      <c r="X290" s="898">
        <f t="shared" si="552"/>
        <v>0</v>
      </c>
      <c r="Y290" s="898" t="str">
        <f t="shared" si="553"/>
        <v>FALSE</v>
      </c>
      <c r="Z290" s="898">
        <f t="shared" si="554"/>
        <v>58.13</v>
      </c>
      <c r="AA290" s="898">
        <f t="shared" si="555"/>
        <v>58.13</v>
      </c>
      <c r="AB290" s="898" t="str">
        <f t="shared" si="556"/>
        <v/>
      </c>
      <c r="AC290" s="563">
        <f>Sheet1!Y292*MGDtoCFS</f>
        <v>48.219990000000003</v>
      </c>
      <c r="AD290" s="563">
        <f>Sheet1!Z292*MGDtoCFS</f>
        <v>41.768999999999998</v>
      </c>
      <c r="AE290" s="563">
        <f>Sheet1!AA292*MGDtoCFS</f>
        <v>48.250929999999997</v>
      </c>
      <c r="AF290" s="563">
        <f>Sheet1!AB292*MGDtoCFS</f>
        <v>41.676180000000002</v>
      </c>
      <c r="AG290" s="563">
        <f>Sheet1!L292*MGDtoCFS</f>
        <v>0</v>
      </c>
      <c r="AH290" s="545">
        <f>AU290+BN290+CI290+DB290</f>
        <v>12.5</v>
      </c>
      <c r="AI290" s="560">
        <f t="shared" si="486"/>
        <v>19.337499999999999</v>
      </c>
      <c r="AJ290" s="560">
        <f t="shared" si="487"/>
        <v>0</v>
      </c>
      <c r="AK290" s="560">
        <f t="shared" si="488"/>
        <v>0</v>
      </c>
      <c r="AL290" s="560">
        <f>(VLOOKUP(Sheet1!DC292,hhdcap_wcm,4)-(((VLOOKUP(Sheet1!DC292,hhdcap_wcm,3)-Sheet1!DC292)/(VLOOKUP(Sheet1!DC292,hhdcap_wcm,3)-VLOOKUP(Sheet1!DC292,hhdcap_wcm,1)))*(VLOOKUP(Sheet1!DC292,hhdcap_wcm,4)-VLOOKUP(Sheet1!DC292,hhdcap_wcm,2))))</f>
        <v>17220.100000042257</v>
      </c>
      <c r="AM290" s="560">
        <f t="shared" si="489"/>
        <v>-646.9000000012602</v>
      </c>
      <c r="AN290" s="560">
        <f t="shared" si="490"/>
        <v>1279.6044761448184</v>
      </c>
      <c r="AO290" s="560">
        <f t="shared" si="491"/>
        <v>3925.826532812303</v>
      </c>
      <c r="AP290" s="560">
        <f>Sheet1!BA292+Sheet1!BB292+Sheet1!BN292+CD290</f>
        <v>16.5</v>
      </c>
      <c r="AQ290" s="560">
        <f>Sheet1!BN292+(DO290*Sheet1!BN292)</f>
        <v>15.59843107956668</v>
      </c>
      <c r="AR290" s="560">
        <f>Sheet1!BA292+CD290</f>
        <v>0</v>
      </c>
      <c r="AS290" s="560">
        <f>Sheet1!BA292+Sheet1!BB292+CD290</f>
        <v>1</v>
      </c>
      <c r="AT290" s="698">
        <f>0</f>
        <v>0</v>
      </c>
      <c r="AU290" s="560">
        <f>IF(EB290&lt;K290,0,MAX(Sheet1!AA292+AQ290-15/36*K290-N290,Sheet1!EH292,0))</f>
        <v>0</v>
      </c>
      <c r="AV290" s="560">
        <f>IF(OR(B290&gt;=GD290,B290&lt;GC290),0,15/36*K290-MAX(0,64.6-(137.6-(Sheet1!AA292+Sheet1!AB292))))</f>
        <v>0</v>
      </c>
      <c r="AW290" s="698">
        <f>Sheet1!DB292-110</f>
        <v>328</v>
      </c>
      <c r="AX290" s="698">
        <f>Sheet1!DA292-265</f>
        <v>305</v>
      </c>
      <c r="AY290" s="698">
        <f t="shared" si="492"/>
        <v>27.369999999999997</v>
      </c>
      <c r="AZ290" s="698">
        <v>0</v>
      </c>
      <c r="BA290" s="698">
        <f t="shared" si="493"/>
        <v>0</v>
      </c>
      <c r="BB290" s="560">
        <f t="shared" si="494"/>
        <v>715.52566666666689</v>
      </c>
      <c r="BC290" s="560"/>
      <c r="BD290" s="560">
        <f ca="1">IF(B290&gt;Summary!$A$1,#N/A,BB290*MGtoAF)</f>
        <v>2195.2327453333342</v>
      </c>
      <c r="BE290" s="560">
        <f>Sheet1!BG292+Sheet1!BH292+Sheet1!BI292-BM290</f>
        <v>1.1200000000000001</v>
      </c>
      <c r="BF290" s="560">
        <f t="shared" si="495"/>
        <v>1.1271124392977214</v>
      </c>
      <c r="BG290" s="560">
        <f>IF(Sheet1!EP292="FM",BM290,0)</f>
        <v>0</v>
      </c>
      <c r="BH290" s="560">
        <f t="shared" si="496"/>
        <v>0</v>
      </c>
      <c r="BI290" s="560">
        <f>IF(Sheet1!EP292="OTHER",BM290,0)</f>
        <v>0</v>
      </c>
      <c r="BJ290" s="560">
        <f t="shared" si="497"/>
        <v>0</v>
      </c>
      <c r="BK290" s="560">
        <f t="shared" si="498"/>
        <v>1.1200000000000001</v>
      </c>
      <c r="BL290" s="560">
        <f t="shared" si="499"/>
        <v>1.1271124392977214</v>
      </c>
      <c r="BM290" s="560">
        <f>IF(OR(Sheet1!EP292="FM", Sheet1!EP292="OTHER"),SUM(Sheet1!BG292:'Sheet1'!BI292),0)</f>
        <v>0</v>
      </c>
      <c r="BN290" s="545">
        <f>IF(AND($B290&gt;=$FV290,$B290&lt;=$FW290),MAX(BF290,Sheet1!EI292,0),MAX(BF290-(7/36)*$K290,0))</f>
        <v>3</v>
      </c>
      <c r="BO290" s="560">
        <f t="shared" si="500"/>
        <v>0</v>
      </c>
      <c r="BP290" s="545">
        <f t="shared" si="501"/>
        <v>0</v>
      </c>
      <c r="BQ290" s="545">
        <f>IF(AND($O290&gt;0,Sheet1!EM292=1),(1-($O290-Sheet1!$L292)/$O290)*BL290,0)</f>
        <v>0</v>
      </c>
      <c r="BR290" s="545">
        <f>IF(AND(Sheet1!$L292=0,Sheet1!$L291=0, Calculation!BK290&lt;Sheet1!$EI292-0.1,Sheet1!$EI292=Sheet1!$EI291,Sheet1!$EI292=Sheet1!$EI293),Sheet1!$EI292,BL290-BQ290)</f>
        <v>1.1271124392977214</v>
      </c>
      <c r="BS290" s="560"/>
      <c r="BT290" s="560"/>
      <c r="BU290" s="560">
        <f t="shared" si="502"/>
        <v>128.02176547029438</v>
      </c>
      <c r="BV290" s="560"/>
      <c r="BW290" s="560">
        <f ca="1">IF(B290&gt;Summary!$A$1,#N/A,BU290*MGtoAF)</f>
        <v>392.77077646286318</v>
      </c>
      <c r="BX290" s="560">
        <f>Sheet1!BC292+Sheet1!BD292+Sheet1!BE292+Sheet1!BF292-CG290-CH290</f>
        <v>2.2400000000000002</v>
      </c>
      <c r="BY290" s="560">
        <f t="shared" si="503"/>
        <v>2.2542248785954428</v>
      </c>
      <c r="BZ290" s="560">
        <f>IF(Sheet1!EQ292="FM",CH290,0)</f>
        <v>0</v>
      </c>
      <c r="CA290" s="560">
        <f t="shared" si="504"/>
        <v>0</v>
      </c>
      <c r="CB290" s="560">
        <f>IF(Sheet1!EQ292="OTHER",CH290,0)</f>
        <v>0</v>
      </c>
      <c r="CC290" s="560">
        <f t="shared" si="505"/>
        <v>0</v>
      </c>
      <c r="CD290" s="560">
        <f t="shared" si="506"/>
        <v>0</v>
      </c>
      <c r="CE290" s="560">
        <f t="shared" si="507"/>
        <v>2.2400000000000002</v>
      </c>
      <c r="CF290" s="560">
        <f t="shared" si="508"/>
        <v>2.2542248785954428</v>
      </c>
      <c r="CG290" s="560">
        <f>IF(Sheet1!EQ292="CWA",SUM(Sheet1!BC292:'Sheet1'!BF292),0)</f>
        <v>0</v>
      </c>
      <c r="CH290" s="560">
        <f>IF(OR(Sheet1!EQ292="FM", Sheet1!EQ292="OTHER"),SUM(Sheet1!BC292:'Sheet1'!BF292),0)</f>
        <v>0</v>
      </c>
      <c r="CI290" s="545">
        <f>IF(AND($B290&gt;=$FV290,$B290&lt;=$FW290),MAX(CF290,Sheet1!EJ292,0),MAX(CF290-(7/36)*$K290,0))</f>
        <v>2.5</v>
      </c>
      <c r="CJ290" s="560">
        <f t="shared" si="509"/>
        <v>0</v>
      </c>
      <c r="CK290" s="545">
        <f t="shared" si="510"/>
        <v>0</v>
      </c>
      <c r="CL290" s="545">
        <f>IF(AND($O290&gt;0,Sheet1!EN292=1),(1-($O290-Sheet1!$L292)/$O290)*CF290,0)</f>
        <v>0</v>
      </c>
      <c r="CM290" s="545">
        <f>IF(AND(Sheet1!$L292=0,Sheet1!$L291=0, Calculation!CE290&lt;Sheet1!EJ292-0.1,Sheet1!EJ292=Sheet1!EJ291,Sheet1!EJ292=Sheet1!EJ293),Sheet1!EJ292,CF290-CL290)</f>
        <v>2.5</v>
      </c>
      <c r="CN290" s="545"/>
      <c r="CO290" s="560"/>
      <c r="CP290" s="560">
        <f t="shared" si="511"/>
        <v>187.68328108540757</v>
      </c>
      <c r="CQ290" s="560"/>
      <c r="CR290" s="560">
        <f ca="1">IF(B290&gt;Summary!$A$1,#N/A,CP290*MGtoAF)</f>
        <v>575.81230637003046</v>
      </c>
      <c r="CS290" s="560">
        <f>Sheet1!BK292+Sheet1!BL292+Sheet1!BM292-Sheet1!ER292-DA290</f>
        <v>6.91</v>
      </c>
      <c r="CT290" s="560">
        <f t="shared" si="512"/>
        <v>6.9538812103100494</v>
      </c>
      <c r="CU290" s="560">
        <f>IF(Sheet1!ER292="FM",DA290,0)</f>
        <v>0</v>
      </c>
      <c r="CV290" s="560">
        <f t="shared" si="513"/>
        <v>0</v>
      </c>
      <c r="CW290" s="560">
        <f>IF(Sheet1!ER292="OTHER",DA290,0)</f>
        <v>0</v>
      </c>
      <c r="CX290" s="560">
        <f t="shared" si="514"/>
        <v>0</v>
      </c>
      <c r="CY290" s="560">
        <f t="shared" si="515"/>
        <v>6.91</v>
      </c>
      <c r="CZ290" s="560">
        <f t="shared" si="516"/>
        <v>6.9538812103100494</v>
      </c>
      <c r="DA290" s="560">
        <f>IF(OR(Sheet1!ER292="FM", Sheet1!ER292="OTHER"),SUM(Sheet1!BK292:'Sheet1'!BM292),0)</f>
        <v>0</v>
      </c>
      <c r="DB290" s="545">
        <f>IF(AND($B290&gt;=$FV290,$B290&lt;=$FW290),MAX($CT290,Sheet1!EK292,0),MAX($CT290-(7/36)*$K290,0))</f>
        <v>7</v>
      </c>
      <c r="DC290" s="560">
        <f t="shared" si="517"/>
        <v>0</v>
      </c>
      <c r="DD290" s="545">
        <f t="shared" si="518"/>
        <v>0</v>
      </c>
      <c r="DE290" s="545">
        <f>IF(AND($O290&gt;0,Sheet1!EO292=1),(1-($O290-Sheet1!$L292)/$O290)*CZ290,0)</f>
        <v>0</v>
      </c>
      <c r="DF290" s="545">
        <f>IF(AND(Sheet1!$L292=0,Sheet1!$L291=0, Calculation!CY290&lt;Sheet1!$EK292-0.1,Sheet1!$EK292=Sheet1!$EK291,Sheet1!$EK292=Sheet1!$EK293),Sheet1!$EK292,CZ290-DE290)</f>
        <v>6.9538812103100494</v>
      </c>
      <c r="DG290" s="545"/>
      <c r="DH290" s="560">
        <f t="shared" si="519"/>
        <v>10.27</v>
      </c>
      <c r="DI290" s="560">
        <f t="shared" si="520"/>
        <v>248.37376292244954</v>
      </c>
      <c r="DJ290" s="698">
        <f t="shared" si="521"/>
        <v>10.335218528203214</v>
      </c>
      <c r="DK290" s="560">
        <f ca="1">IF(B290&gt;Summary!$A$1,#N/A,DI290*MGtoAF)</f>
        <v>762.01070464607517</v>
      </c>
      <c r="DL290" s="698">
        <f t="shared" si="522"/>
        <v>10.27</v>
      </c>
      <c r="DM290" s="560">
        <f t="shared" si="523"/>
        <v>26.77</v>
      </c>
      <c r="DN290" s="560">
        <f>Sheet1!AB292-DM290</f>
        <v>0.17000000000000171</v>
      </c>
      <c r="DO290" s="823">
        <f t="shared" si="524"/>
        <v>6.350392230108394E-3</v>
      </c>
      <c r="DP290" s="560">
        <f>(VLOOKUP(Sheet1!DC292,hhdcap_wcm,4)-(((VLOOKUP(Sheet1!DC292,hhdcap_wcm,3)-Sheet1!DC292)/(VLOOKUP(Sheet1!DC292,hhdcap_wcm,3)-VLOOKUP(Sheet1!DC292,hhdcap_wcm,1)))*(VLOOKUP(Sheet1!DC292,hhdcap_wcm,4)-VLOOKUP(Sheet1!DC292,hhdcap_wcm,2))))</f>
        <v>17220.100000042257</v>
      </c>
      <c r="DQ290" s="560">
        <f t="shared" si="525"/>
        <v>-646.9000000012602</v>
      </c>
      <c r="DR290" s="560">
        <f t="shared" si="526"/>
        <v>-326.2228946047706</v>
      </c>
      <c r="DS290" s="560">
        <f>Sheet1!EA292*AFtoMG</f>
        <v>0</v>
      </c>
      <c r="DT290" s="560">
        <f>Sheet1!EB292*AFtoMG</f>
        <v>0</v>
      </c>
      <c r="DU290" s="560">
        <f>Sheet1!EC292*AFtoMG</f>
        <v>0</v>
      </c>
      <c r="DV290" s="560">
        <f>Sheet1!ED292*AFtoMG</f>
        <v>0</v>
      </c>
      <c r="DW290" s="560">
        <f t="shared" si="527"/>
        <v>0</v>
      </c>
      <c r="DX290" s="560">
        <f t="shared" si="528"/>
        <v>0</v>
      </c>
      <c r="DY290" s="560">
        <f t="shared" si="529"/>
        <v>1279.6044761448184</v>
      </c>
      <c r="DZ290" s="560">
        <f t="shared" si="530"/>
        <v>3925.826532812303</v>
      </c>
      <c r="EA290" s="560"/>
      <c r="EB290" s="545">
        <f>IF(OR(B290&lt;FV290,B290&gt;FW290),(MIN(BF290+BY290+CT290+MAX(Sheet1!AA292+AQ290-73,0),K290)),0)</f>
        <v>0</v>
      </c>
      <c r="EC290" s="560"/>
      <c r="ED290" s="560">
        <f t="shared" si="531"/>
        <v>10.335218528203214</v>
      </c>
      <c r="EE290" s="560"/>
      <c r="EF290" s="560">
        <f>Sheet1!EH292+Sheet1!EI292+Sheet1!EJ292+Sheet1!EK292</f>
        <v>12.5</v>
      </c>
      <c r="EG290" s="560"/>
      <c r="EH290" s="545">
        <f t="shared" si="532"/>
        <v>0</v>
      </c>
      <c r="EI290" s="560">
        <f>IF(Sheet1!ET292=1,SUM('Calculations II'!AT290:BA290)+'Calculations II'!BC290+Sheet1!BV292+'Calculations II'!BE290+AP290,SUM('Calculations II'!AT290:BA290)+'Calculations II'!BC290+Sheet1!BV292+'Calculations II'!BE290+AP290)</f>
        <v>59.336447999999997</v>
      </c>
      <c r="EJ290" s="560">
        <f>Sheet1!AA292+Sheet1!AB292+'Calculations II'!BC290</f>
        <v>58.13</v>
      </c>
      <c r="EK290" s="560"/>
      <c r="EL290" s="560"/>
      <c r="EM290" s="560">
        <f t="shared" si="533"/>
        <v>41918</v>
      </c>
      <c r="EN290" s="560">
        <f t="shared" si="534"/>
        <v>-12.5</v>
      </c>
      <c r="EO290" s="560">
        <f t="shared" si="535"/>
        <v>-19.337499999999999</v>
      </c>
      <c r="EP290" s="560">
        <v>0</v>
      </c>
      <c r="EQ290" s="560">
        <v>0</v>
      </c>
      <c r="ER290" s="560">
        <v>0</v>
      </c>
      <c r="ES290" s="545">
        <f t="shared" si="557"/>
        <v>3.3240191259976442</v>
      </c>
      <c r="ET290" s="560">
        <f>-(VLOOKUP(Sheet1!BQ292,Lookup!$O$4:$Q$262,2)-VLOOKUP(Sheet1!BQ291,Lookup!$O$4:$Q$262,2))/1000000</f>
        <v>1.6619326594011261</v>
      </c>
      <c r="EU290" s="560">
        <f>-(VLOOKUP(Sheet1!BR292,Lookup!$O$4:$Q$262,3)-VLOOKUP(Sheet1!BR291,Lookup!$O$4:$Q$262,3))/1000000</f>
        <v>1.6620864665965178</v>
      </c>
      <c r="EV290" s="560"/>
      <c r="EW290" s="560"/>
      <c r="EX290" s="560"/>
      <c r="EY290" s="560"/>
      <c r="EZ290" s="560"/>
      <c r="FA290" s="560"/>
      <c r="FB290" s="560"/>
      <c r="FC290" s="560"/>
      <c r="FD290" s="594">
        <f t="shared" si="536"/>
        <v>1111.7705882352398</v>
      </c>
      <c r="FE290" s="594" t="e">
        <f t="shared" si="537"/>
        <v>#N/A</v>
      </c>
      <c r="FF290" s="595" t="e">
        <f t="shared" si="538"/>
        <v>#N/A</v>
      </c>
      <c r="FG290" s="596" t="s">
        <v>692</v>
      </c>
      <c r="FH290" s="596" t="s">
        <v>692</v>
      </c>
      <c r="FI290" s="594" t="e">
        <v>#N/A</v>
      </c>
      <c r="FJ290" s="778">
        <v>7941</v>
      </c>
      <c r="FK290" s="560"/>
      <c r="FL290" s="560"/>
      <c r="FM290" s="560"/>
      <c r="FN290" s="560"/>
      <c r="FO290" s="560">
        <f>O290+((Sheet1!CS292)*GPMtoMGD)</f>
        <v>58.13</v>
      </c>
      <c r="FP290" s="560">
        <f>IF(Sheet1!AA292+AQ290&lt;=Calculation!N290,AQ290,Calculation!N290-Sheet1!AA292)</f>
        <v>15.59843107956668</v>
      </c>
      <c r="FQ290" s="560">
        <f>(Sheet1!BP292+Sheet1!BO292)/694.4</f>
        <v>1.7122695852534562</v>
      </c>
      <c r="FR290" s="560"/>
      <c r="FS290" s="560"/>
      <c r="FT290" s="560"/>
      <c r="FU290" s="560"/>
      <c r="FV290" s="695">
        <f t="shared" si="558"/>
        <v>41827</v>
      </c>
      <c r="FW290" s="695">
        <f t="shared" si="559"/>
        <v>41934</v>
      </c>
      <c r="FX290" s="560"/>
      <c r="FY290" s="560"/>
      <c r="FZ290" s="560"/>
      <c r="GA290" s="560"/>
      <c r="GB290" s="560" t="str">
        <f t="shared" si="560"/>
        <v>n</v>
      </c>
      <c r="GC290" s="564">
        <f t="shared" si="561"/>
        <v>41691</v>
      </c>
      <c r="GD290" s="695">
        <f t="shared" si="562"/>
        <v>41807</v>
      </c>
      <c r="GE290" s="560">
        <v>6518.9</v>
      </c>
      <c r="GF290" s="695">
        <f t="shared" si="563"/>
        <v>41808</v>
      </c>
      <c r="GG290" s="560">
        <f t="shared" si="582"/>
        <v>3259</v>
      </c>
      <c r="GH290" s="564">
        <f t="shared" si="564"/>
        <v>41934</v>
      </c>
      <c r="GJ290" s="545">
        <f t="shared" si="565"/>
        <v>0</v>
      </c>
      <c r="GK290" s="560" t="str">
        <f t="shared" si="539"/>
        <v/>
      </c>
      <c r="GL290" s="560">
        <f t="shared" si="566"/>
        <v>0</v>
      </c>
      <c r="GM290" s="560" t="str">
        <f t="shared" si="567"/>
        <v/>
      </c>
      <c r="GN290" s="560">
        <f>IF(GK290="P",Lookup!$M$12,IF(GK290="PP",Lookup!$M$13,IF(GK290="PPP",Lookup!$M$14,IF(GK290="T",Lookup!$M$15,IF(GK290="TP",Lookup!$M$16,IF(GK290="TPP",Lookup!$M$17,IF(GK290="TPPP",Lookup!$M$18,0)))))))*GJ290</f>
        <v>0</v>
      </c>
      <c r="GO290" s="560">
        <f t="shared" si="568"/>
        <v>0</v>
      </c>
      <c r="GP290" s="560">
        <f t="shared" si="540"/>
        <v>2195.2327453333342</v>
      </c>
      <c r="GQ290" s="560">
        <f t="shared" si="576"/>
        <v>715.52566666666689</v>
      </c>
      <c r="GR290" s="560"/>
      <c r="GS290" s="560">
        <f t="shared" si="569"/>
        <v>0</v>
      </c>
      <c r="GT290" s="560" t="str">
        <f t="shared" si="570"/>
        <v/>
      </c>
      <c r="GU290" s="560">
        <f>IF(GK290="P",Lookup!$N$12,IF(GK290="PP",Lookup!$N$13,IF(GK290="PPP",Lookup!$N$14,IF(GK290="T",Lookup!$N$15,IF(GK290="TP",Lookup!$N$16,IF(GK290="TPP",Lookup!$N$17,IF(GK290="TPPP",Lookup!$N$18,0)))))))*GJ290</f>
        <v>0</v>
      </c>
      <c r="GV290" s="560">
        <f t="shared" si="571"/>
        <v>0</v>
      </c>
      <c r="GW290" s="560">
        <f t="shared" si="541"/>
        <v>392.77077646286318</v>
      </c>
      <c r="GX290" s="560">
        <f t="shared" si="577"/>
        <v>128.02176547029438</v>
      </c>
      <c r="GY290" s="560"/>
      <c r="GZ290" s="560">
        <f t="shared" si="572"/>
        <v>0</v>
      </c>
      <c r="HA290" s="560" t="str">
        <f t="shared" si="573"/>
        <v/>
      </c>
      <c r="HB290" s="560">
        <f>IF(GK290="P",Lookup!$N$12,IF(GK290="PP",Lookup!$N$13,IF(GK290="PPP",Lookup!$N$14,IF(GK290="T",Lookup!$N$15,IF(GK290="TP",Lookup!$N$16,IF(GK290="TPP",Lookup!$N$17,IF(GK290="TPPP",Lookup!$N$18,0)))))))*GJ290</f>
        <v>0</v>
      </c>
      <c r="HC290" s="545">
        <f t="shared" si="542"/>
        <v>0</v>
      </c>
      <c r="HD290" s="560">
        <f t="shared" si="543"/>
        <v>575.81230637003046</v>
      </c>
      <c r="HE290" s="560">
        <f t="shared" si="578"/>
        <v>187.68328108540757</v>
      </c>
      <c r="HF290" s="560"/>
      <c r="HG290" s="560">
        <f t="shared" si="574"/>
        <v>0</v>
      </c>
      <c r="HH290" s="560" t="str">
        <f t="shared" si="575"/>
        <v/>
      </c>
      <c r="HI290" s="560">
        <f>IF(GK290="P",Lookup!$N$12,IF(GK290="PP",Lookup!$N$13,IF(GK290="PPP",Lookup!$N$14,IF(GK290="T",Lookup!$N$15,IF(GK290="TP",Lookup!$N$16,IF(GK290="TPP",Lookup!$N$17,IF(GK290="TPPP",Lookup!$N$18,0)))))))*GJ290</f>
        <v>0</v>
      </c>
      <c r="HJ290" s="545">
        <f t="shared" si="544"/>
        <v>0</v>
      </c>
      <c r="HK290" s="560">
        <f t="shared" si="545"/>
        <v>762.01070464607517</v>
      </c>
      <c r="HL290" s="560">
        <f t="shared" si="579"/>
        <v>248.37376292244954</v>
      </c>
    </row>
    <row r="291" spans="1:220">
      <c r="A291" s="580" t="s">
        <v>5</v>
      </c>
      <c r="B291" s="556">
        <v>41919</v>
      </c>
      <c r="C291" s="561">
        <v>0</v>
      </c>
      <c r="D291" s="529">
        <f t="shared" si="580"/>
        <v>300</v>
      </c>
      <c r="E291" s="529">
        <f t="shared" si="581"/>
        <v>250</v>
      </c>
      <c r="F291" s="529">
        <v>250</v>
      </c>
      <c r="G291" s="560">
        <f>DR291+Sheet1!CZ293</f>
        <v>248.96621280818277</v>
      </c>
      <c r="H291" s="914">
        <f t="shared" si="546"/>
        <v>0</v>
      </c>
      <c r="I291" s="559">
        <f>MAX(Sheet1!Z293-AT291+(Sheet1!DA293-E291)*CFStoMGD,0)</f>
        <v>227.32399999999998</v>
      </c>
      <c r="J291" s="562">
        <f>IF(AND(B291&gt;=Calculation!GC291,B291&lt;=Calculation!GD291),IF(Sheet1!DB293&gt;=Calculation!D291,64.64,0),MAX(Sheet1!Z293-AT291+(Sheet1!DB293-D291)*CFStoMGD,0))</f>
        <v>127.13199999999999</v>
      </c>
      <c r="K291" s="904">
        <f t="shared" si="481"/>
        <v>0</v>
      </c>
      <c r="L291" s="560">
        <f>Sheet1!AA293+Sheet1!AB293-Sheet1!L293+(Sheet1!DA293-F291)*CFStoMGD</f>
        <v>259.98399999999998</v>
      </c>
      <c r="M291" s="560">
        <f t="shared" si="482"/>
        <v>164.15039515839354</v>
      </c>
      <c r="N291" s="910">
        <f>IF(Sheet1!DA293&gt;=F291,MIN(73,MIN(MAX(L291,0),MAX(M291,0))),0)</f>
        <v>73</v>
      </c>
      <c r="O291" s="563">
        <f>Sheet1!AA293+Sheet1!AB293</f>
        <v>59.6</v>
      </c>
      <c r="P291" s="563">
        <f t="shared" si="483"/>
        <v>92.2012</v>
      </c>
      <c r="Q291" s="898">
        <f t="shared" si="547"/>
        <v>47.1</v>
      </c>
      <c r="R291" s="829">
        <f t="shared" si="484"/>
        <v>12.5</v>
      </c>
      <c r="S291" s="898">
        <f t="shared" si="548"/>
        <v>0</v>
      </c>
      <c r="T291" s="898">
        <f t="shared" si="549"/>
        <v>0</v>
      </c>
      <c r="U291" s="898">
        <f t="shared" si="550"/>
        <v>12.5</v>
      </c>
      <c r="V291" s="898"/>
      <c r="W291" s="898">
        <f t="shared" si="551"/>
        <v>0</v>
      </c>
      <c r="X291" s="898">
        <f t="shared" si="552"/>
        <v>0</v>
      </c>
      <c r="Y291" s="898" t="str">
        <f t="shared" si="553"/>
        <v>FALSE</v>
      </c>
      <c r="Z291" s="898">
        <f t="shared" si="554"/>
        <v>59.6</v>
      </c>
      <c r="AA291" s="898">
        <f t="shared" si="555"/>
        <v>59.6</v>
      </c>
      <c r="AB291" s="898" t="str">
        <f t="shared" si="556"/>
        <v/>
      </c>
      <c r="AC291" s="563">
        <f>Sheet1!Y293*MGDtoCFS</f>
        <v>48.250929999999997</v>
      </c>
      <c r="AD291" s="563">
        <f>Sheet1!Z293*MGDtoCFS</f>
        <v>41.676180000000002</v>
      </c>
      <c r="AE291" s="563">
        <f>Sheet1!AA293*MGDtoCFS</f>
        <v>48.111699999999999</v>
      </c>
      <c r="AF291" s="563">
        <f>Sheet1!AB293*MGDtoCFS</f>
        <v>44.089500000000001</v>
      </c>
      <c r="AG291" s="563">
        <f>Sheet1!L293*MGDtoCFS</f>
        <v>0</v>
      </c>
      <c r="AH291" s="545">
        <f t="shared" si="485"/>
        <v>12.5</v>
      </c>
      <c r="AI291" s="560">
        <f t="shared" si="486"/>
        <v>19.337499999999999</v>
      </c>
      <c r="AJ291" s="560">
        <f t="shared" si="487"/>
        <v>0</v>
      </c>
      <c r="AK291" s="560">
        <f t="shared" si="488"/>
        <v>0</v>
      </c>
      <c r="AL291" s="560">
        <f>(VLOOKUP(Sheet1!DC293,hhdcap_wcm,4)-(((VLOOKUP(Sheet1!DC293,hhdcap_wcm,3)-Sheet1!DC293)/(VLOOKUP(Sheet1!DC293,hhdcap_wcm,3)-VLOOKUP(Sheet1!DC293,hhdcap_wcm,1)))*(VLOOKUP(Sheet1!DC293,hhdcap_wcm,4)-VLOOKUP(Sheet1!DC293,hhdcap_wcm,2))))</f>
        <v>16524.000000040884</v>
      </c>
      <c r="AM291" s="560">
        <f t="shared" si="489"/>
        <v>-696.1000000013737</v>
      </c>
      <c r="AN291" s="560">
        <f t="shared" si="490"/>
        <v>941.10447614481836</v>
      </c>
      <c r="AO291" s="560">
        <f t="shared" si="491"/>
        <v>2887.3085328123029</v>
      </c>
      <c r="AP291" s="560">
        <f>Sheet1!BA293+Sheet1!BB293+Sheet1!BN293+CD291</f>
        <v>17.899999999999999</v>
      </c>
      <c r="AQ291" s="560">
        <f>Sheet1!BN293+(DO291*Sheet1!BN293)</f>
        <v>16.747218358831709</v>
      </c>
      <c r="AR291" s="560">
        <f>Sheet1!BA293+CD291</f>
        <v>0</v>
      </c>
      <c r="AS291" s="560">
        <f>Sheet1!BA293+Sheet1!BB293+CD291</f>
        <v>1</v>
      </c>
      <c r="AT291" s="698">
        <f>0</f>
        <v>0</v>
      </c>
      <c r="AU291" s="560">
        <f>IF(EB291&lt;K291,0,MAX(Sheet1!AA293+AQ291-15/36*K291-N291,Sheet1!EH293,0))</f>
        <v>0</v>
      </c>
      <c r="AV291" s="560">
        <f>IF(OR(B291&gt;=GD291,B291&lt;GC291),0,15/36*K291-MAX(0,64.6-(137.6-(Sheet1!AA293+Sheet1!AB293))))</f>
        <v>0</v>
      </c>
      <c r="AW291" s="698">
        <f>Sheet1!DB293-110</f>
        <v>345</v>
      </c>
      <c r="AX291" s="698">
        <f>Sheet1!DA293-265</f>
        <v>295</v>
      </c>
      <c r="AY291" s="698">
        <f t="shared" si="492"/>
        <v>25.9</v>
      </c>
      <c r="AZ291" s="698">
        <v>0</v>
      </c>
      <c r="BA291" s="698">
        <f t="shared" si="493"/>
        <v>0</v>
      </c>
      <c r="BB291" s="560">
        <f t="shared" si="494"/>
        <v>389.52566666666689</v>
      </c>
      <c r="BC291" s="560"/>
      <c r="BD291" s="560">
        <f ca="1">IF(B291&gt;Summary!$A$1,#N/A,BB291*MGtoAF)</f>
        <v>1195.064745333334</v>
      </c>
      <c r="BE291" s="560">
        <f>Sheet1!BG293+Sheet1!BH293+Sheet1!BI293-BM291</f>
        <v>1.85</v>
      </c>
      <c r="BF291" s="560">
        <f t="shared" si="495"/>
        <v>1.8332753824756609</v>
      </c>
      <c r="BG291" s="560">
        <f>IF(Sheet1!EP293="FM",BM291,0)</f>
        <v>0</v>
      </c>
      <c r="BH291" s="560">
        <f t="shared" si="496"/>
        <v>0</v>
      </c>
      <c r="BI291" s="560">
        <f>IF(Sheet1!EP293="OTHER",BM291,0)</f>
        <v>0</v>
      </c>
      <c r="BJ291" s="560">
        <f t="shared" si="497"/>
        <v>0</v>
      </c>
      <c r="BK291" s="560">
        <f t="shared" si="498"/>
        <v>1.85</v>
      </c>
      <c r="BL291" s="560">
        <f t="shared" si="499"/>
        <v>1.8332753824756609</v>
      </c>
      <c r="BM291" s="560">
        <f>IF(OR(Sheet1!EP293="FM", Sheet1!EP293="OTHER"),SUM(Sheet1!BG293:'Sheet1'!BI293),0)</f>
        <v>0</v>
      </c>
      <c r="BN291" s="545">
        <f>IF(AND($B291&gt;=$FV291,$B291&lt;=$FW291),MAX(BF291,Sheet1!EI293,0),MAX(BF291-(7/36)*$K291,0))</f>
        <v>3</v>
      </c>
      <c r="BO291" s="560">
        <f t="shared" si="500"/>
        <v>0</v>
      </c>
      <c r="BP291" s="545">
        <f t="shared" si="501"/>
        <v>0</v>
      </c>
      <c r="BQ291" s="545">
        <f>IF(AND($O291&gt;0,Sheet1!EM293=1),(1-($O291-Sheet1!$L293)/$O291)*BL291,0)</f>
        <v>0</v>
      </c>
      <c r="BR291" s="545">
        <f>IF(AND(Sheet1!$L293=0,Sheet1!$L292=0, Calculation!BK291&lt;Sheet1!$EI293-0.1,Sheet1!$EI293=Sheet1!$EI292,Sheet1!$EI293=Sheet1!$EI294),Sheet1!$EI293,BL291-BQ291)</f>
        <v>3</v>
      </c>
      <c r="BS291" s="560"/>
      <c r="BT291" s="560"/>
      <c r="BU291" s="560">
        <f t="shared" si="502"/>
        <v>125.02176547029438</v>
      </c>
      <c r="BV291" s="560"/>
      <c r="BW291" s="560">
        <f ca="1">IF(B291&gt;Summary!$A$1,#N/A,BU291*MGtoAF)</f>
        <v>383.56677646286317</v>
      </c>
      <c r="BX291" s="560">
        <f>Sheet1!BC293+Sheet1!BD293+Sheet1!BE293+Sheet1!BF293-CG291-CH291</f>
        <v>2.0099999999999998</v>
      </c>
      <c r="BY291" s="560">
        <f t="shared" si="503"/>
        <v>1.9918289290681501</v>
      </c>
      <c r="BZ291" s="560">
        <f>IF(Sheet1!EQ293="FM",CH291,0)</f>
        <v>0</v>
      </c>
      <c r="CA291" s="560">
        <f t="shared" si="504"/>
        <v>0</v>
      </c>
      <c r="CB291" s="560">
        <f>IF(Sheet1!EQ293="OTHER",CH291,0)</f>
        <v>0</v>
      </c>
      <c r="CC291" s="560">
        <f t="shared" si="505"/>
        <v>0</v>
      </c>
      <c r="CD291" s="560">
        <f t="shared" si="506"/>
        <v>0</v>
      </c>
      <c r="CE291" s="560">
        <f t="shared" si="507"/>
        <v>2.0099999999999998</v>
      </c>
      <c r="CF291" s="560">
        <f t="shared" si="508"/>
        <v>1.9918289290681501</v>
      </c>
      <c r="CG291" s="560">
        <f>IF(Sheet1!EQ293="CWA",SUM(Sheet1!BC293:'Sheet1'!BF293),0)</f>
        <v>0</v>
      </c>
      <c r="CH291" s="560">
        <f>IF(OR(Sheet1!EQ293="FM", Sheet1!EQ293="OTHER"),SUM(Sheet1!BC293:'Sheet1'!BF293),0)</f>
        <v>0</v>
      </c>
      <c r="CI291" s="545">
        <f>IF(AND($B291&gt;=$FV291,$B291&lt;=$FW291),MAX(CF291,Sheet1!EJ293,0),MAX(CF291-(7/36)*$K291,0))</f>
        <v>2.5</v>
      </c>
      <c r="CJ291" s="560">
        <f t="shared" si="509"/>
        <v>0</v>
      </c>
      <c r="CK291" s="545">
        <f t="shared" si="510"/>
        <v>0</v>
      </c>
      <c r="CL291" s="545">
        <f>IF(AND($O291&gt;0,Sheet1!EN293=1),(1-($O291-Sheet1!$L293)/$O291)*CF291,0)</f>
        <v>0</v>
      </c>
      <c r="CM291" s="545">
        <f>IF(AND(Sheet1!$L293=0,Sheet1!$L292=0, Calculation!CE291&lt;Sheet1!EJ293-0.1,Sheet1!EJ293=Sheet1!EJ292,Sheet1!EJ293=Sheet1!EJ294),Sheet1!EJ293,CF291-CL291)</f>
        <v>2.5</v>
      </c>
      <c r="CN291" s="545"/>
      <c r="CO291" s="560"/>
      <c r="CP291" s="560">
        <f t="shared" si="511"/>
        <v>185.18328108540757</v>
      </c>
      <c r="CQ291" s="560"/>
      <c r="CR291" s="560">
        <f ca="1">IF(B291&gt;Summary!$A$1,#N/A,CP291*MGtoAF)</f>
        <v>568.1423063700305</v>
      </c>
      <c r="CS291" s="560">
        <f>Sheet1!BK293+Sheet1!BL293+Sheet1!BM293-Sheet1!ER293-DA291</f>
        <v>7</v>
      </c>
      <c r="CT291" s="560">
        <f t="shared" si="512"/>
        <v>6.9367176634214189</v>
      </c>
      <c r="CU291" s="560">
        <f>IF(Sheet1!ER293="FM",DA291,0)</f>
        <v>0</v>
      </c>
      <c r="CV291" s="560">
        <f t="shared" si="513"/>
        <v>0</v>
      </c>
      <c r="CW291" s="560">
        <f>IF(Sheet1!ER293="OTHER",DA291,0)</f>
        <v>0</v>
      </c>
      <c r="CX291" s="560">
        <f t="shared" si="514"/>
        <v>0</v>
      </c>
      <c r="CY291" s="560">
        <f t="shared" si="515"/>
        <v>7</v>
      </c>
      <c r="CZ291" s="560">
        <f t="shared" si="516"/>
        <v>6.9367176634214189</v>
      </c>
      <c r="DA291" s="560">
        <f>IF(OR(Sheet1!ER293="FM", Sheet1!ER293="OTHER"),SUM(Sheet1!BK293:'Sheet1'!BM293),0)</f>
        <v>0</v>
      </c>
      <c r="DB291" s="545">
        <f>IF(AND($B291&gt;=$FV291,$B291&lt;=$FW291),MAX($CT291,Sheet1!EK293,0),MAX($CT291-(7/36)*$K291,0))</f>
        <v>7</v>
      </c>
      <c r="DC291" s="560">
        <f t="shared" si="517"/>
        <v>0</v>
      </c>
      <c r="DD291" s="545">
        <f t="shared" si="518"/>
        <v>0</v>
      </c>
      <c r="DE291" s="545">
        <f>IF(AND($O291&gt;0,Sheet1!EO293=1),(1-($O291-Sheet1!$L293)/$O291)*CZ291,0)</f>
        <v>0</v>
      </c>
      <c r="DF291" s="545">
        <f>IF(AND(Sheet1!$L293=0,Sheet1!$L292=0, Calculation!CY291&lt;Sheet1!$EK293-0.1,Sheet1!$EK293=Sheet1!$EK292,Sheet1!$EK293=Sheet1!$EK294),Sheet1!$EK293,CZ291-DE291)</f>
        <v>6.9367176634214189</v>
      </c>
      <c r="DG291" s="545"/>
      <c r="DH291" s="560">
        <f t="shared" si="519"/>
        <v>10.86</v>
      </c>
      <c r="DI291" s="560">
        <f t="shared" si="520"/>
        <v>241.37376292244954</v>
      </c>
      <c r="DJ291" s="698">
        <f t="shared" si="521"/>
        <v>10.76182197496523</v>
      </c>
      <c r="DK291" s="560">
        <f ca="1">IF(B291&gt;Summary!$A$1,#N/A,DI291*MGtoAF)</f>
        <v>740.53470464607517</v>
      </c>
      <c r="DL291" s="698">
        <f t="shared" si="522"/>
        <v>10.86</v>
      </c>
      <c r="DM291" s="560">
        <f t="shared" si="523"/>
        <v>28.759999999999998</v>
      </c>
      <c r="DN291" s="560">
        <f>Sheet1!AB293-DM291</f>
        <v>-0.25999999999999801</v>
      </c>
      <c r="DO291" s="823">
        <f t="shared" si="524"/>
        <v>-9.0403337969401261E-3</v>
      </c>
      <c r="DP291" s="560">
        <f>(VLOOKUP(Sheet1!DC293,hhdcap_wcm,4)-(((VLOOKUP(Sheet1!DC293,hhdcap_wcm,3)-Sheet1!DC293)/(VLOOKUP(Sheet1!DC293,hhdcap_wcm,3)-VLOOKUP(Sheet1!DC293,hhdcap_wcm,1)))*(VLOOKUP(Sheet1!DC293,hhdcap_wcm,4)-VLOOKUP(Sheet1!DC293,hhdcap_wcm,2))))</f>
        <v>16524.000000040884</v>
      </c>
      <c r="DQ291" s="560">
        <f t="shared" si="525"/>
        <v>-696.1000000013737</v>
      </c>
      <c r="DR291" s="560">
        <f t="shared" si="526"/>
        <v>-351.03378719181723</v>
      </c>
      <c r="DS291" s="560">
        <f>Sheet1!EA293*AFtoMG</f>
        <v>-326</v>
      </c>
      <c r="DT291" s="560">
        <f>Sheet1!EB293*AFtoMG</f>
        <v>0</v>
      </c>
      <c r="DU291" s="560">
        <f>Sheet1!EC293*AFtoMG</f>
        <v>0</v>
      </c>
      <c r="DV291" s="560">
        <f>Sheet1!ED293*AFtoMG</f>
        <v>0</v>
      </c>
      <c r="DW291" s="560">
        <f t="shared" si="527"/>
        <v>-326</v>
      </c>
      <c r="DX291" s="560">
        <f t="shared" si="528"/>
        <v>-1000.168</v>
      </c>
      <c r="DY291" s="560">
        <f t="shared" si="529"/>
        <v>941.10447614481836</v>
      </c>
      <c r="DZ291" s="560">
        <f t="shared" si="530"/>
        <v>2887.3085328123029</v>
      </c>
      <c r="EA291" s="560"/>
      <c r="EB291" s="545">
        <f>IF(OR(B291&lt;FV291,B291&gt;FW291),(MIN(BF291+BY291+CT291+MAX(Sheet1!AA293+AQ291-73,0),K291)),0)</f>
        <v>0</v>
      </c>
      <c r="EC291" s="560"/>
      <c r="ED291" s="560">
        <f t="shared" si="531"/>
        <v>10.76182197496523</v>
      </c>
      <c r="EE291" s="560"/>
      <c r="EF291" s="560">
        <f>Sheet1!EH293+Sheet1!EI293+Sheet1!EJ293+Sheet1!EK293</f>
        <v>12.5</v>
      </c>
      <c r="EG291" s="560"/>
      <c r="EH291" s="545">
        <f t="shared" si="532"/>
        <v>0</v>
      </c>
      <c r="EI291" s="560">
        <f>IF(Sheet1!ET293=1,SUM('Calculations II'!AT291:BA291)+'Calculations II'!BC291+Sheet1!BV293+'Calculations II'!BE291+AP291,SUM('Calculations II'!AT291:BA291)+'Calculations II'!BC291+Sheet1!BV293+'Calculations II'!BE291+AP291)</f>
        <v>59.512576000000003</v>
      </c>
      <c r="EJ291" s="560">
        <f>Sheet1!AA293+Sheet1!AB293+'Calculations II'!BC291</f>
        <v>59.6</v>
      </c>
      <c r="EK291" s="560"/>
      <c r="EL291" s="560"/>
      <c r="EM291" s="560">
        <f t="shared" si="533"/>
        <v>41919</v>
      </c>
      <c r="EN291" s="560">
        <f t="shared" si="534"/>
        <v>-12.5</v>
      </c>
      <c r="EO291" s="560">
        <f t="shared" si="535"/>
        <v>-19.337499999999999</v>
      </c>
      <c r="EP291" s="560">
        <v>0</v>
      </c>
      <c r="EQ291" s="560">
        <v>0</v>
      </c>
      <c r="ER291" s="560">
        <v>0</v>
      </c>
      <c r="ES291" s="545">
        <f t="shared" si="557"/>
        <v>2.2149874797197802</v>
      </c>
      <c r="ET291" s="560">
        <f>-(VLOOKUP(Sheet1!BQ293,Lookup!$O$4:$Q$262,2)-VLOOKUP(Sheet1!BQ292,Lookup!$O$4:$Q$262,2))/1000000</f>
        <v>1.1074424826187528</v>
      </c>
      <c r="EU291" s="560">
        <f>-(VLOOKUP(Sheet1!BR293,Lookup!$O$4:$Q$262,3)-VLOOKUP(Sheet1!BR292,Lookup!$O$4:$Q$262,3))/1000000</f>
        <v>1.1075449971010276</v>
      </c>
      <c r="EV291" s="560"/>
      <c r="EW291" s="560"/>
      <c r="EX291" s="560"/>
      <c r="EY291" s="560"/>
      <c r="EZ291" s="560"/>
      <c r="FA291" s="560"/>
      <c r="FB291" s="560"/>
      <c r="FC291" s="560"/>
      <c r="FD291" s="594">
        <f t="shared" si="536"/>
        <v>1111.1424242423705</v>
      </c>
      <c r="FE291" s="594" t="e">
        <f t="shared" si="537"/>
        <v>#N/A</v>
      </c>
      <c r="FF291" s="595" t="e">
        <f t="shared" si="538"/>
        <v>#N/A</v>
      </c>
      <c r="FG291" s="596" t="s">
        <v>692</v>
      </c>
      <c r="FH291" s="596" t="s">
        <v>692</v>
      </c>
      <c r="FI291" s="594" t="e">
        <v>#N/A</v>
      </c>
      <c r="FJ291" s="778">
        <v>7732</v>
      </c>
      <c r="FK291" s="560"/>
      <c r="FL291" s="560"/>
      <c r="FM291" s="560"/>
      <c r="FN291" s="560"/>
      <c r="FO291" s="560">
        <f>O291+((Sheet1!CS293)*GPMtoMGD)</f>
        <v>59.6</v>
      </c>
      <c r="FP291" s="560">
        <f>IF(Sheet1!AA293+AQ291&lt;=Calculation!N291,AQ291,Calculation!N291-Sheet1!AA293)</f>
        <v>16.747218358831709</v>
      </c>
      <c r="FQ291" s="560">
        <f>(Sheet1!BP293+Sheet1!BO293)/694.4</f>
        <v>1.6686347926267282</v>
      </c>
      <c r="FR291" s="560"/>
      <c r="FS291" s="560"/>
      <c r="FT291" s="560"/>
      <c r="FU291" s="560"/>
      <c r="FV291" s="695">
        <f t="shared" si="558"/>
        <v>41827</v>
      </c>
      <c r="FW291" s="695">
        <f t="shared" si="559"/>
        <v>41934</v>
      </c>
      <c r="FX291" s="560"/>
      <c r="FY291" s="560"/>
      <c r="FZ291" s="560"/>
      <c r="GA291" s="560"/>
      <c r="GB291" s="560" t="str">
        <f t="shared" si="560"/>
        <v>n</v>
      </c>
      <c r="GC291" s="564">
        <f t="shared" si="561"/>
        <v>41691</v>
      </c>
      <c r="GD291" s="695">
        <f t="shared" si="562"/>
        <v>41807</v>
      </c>
      <c r="GE291" s="560">
        <v>6518.9</v>
      </c>
      <c r="GF291" s="695">
        <f t="shared" si="563"/>
        <v>41808</v>
      </c>
      <c r="GG291" s="560">
        <f t="shared" si="582"/>
        <v>3259</v>
      </c>
      <c r="GH291" s="564">
        <f t="shared" si="564"/>
        <v>41934</v>
      </c>
      <c r="GJ291" s="545">
        <f t="shared" si="565"/>
        <v>0</v>
      </c>
      <c r="GK291" s="560" t="str">
        <f t="shared" si="539"/>
        <v/>
      </c>
      <c r="GL291" s="560">
        <f t="shared" si="566"/>
        <v>0</v>
      </c>
      <c r="GM291" s="560" t="str">
        <f t="shared" si="567"/>
        <v/>
      </c>
      <c r="GN291" s="560">
        <f>IF(GK291="P",Lookup!$M$12,IF(GK291="PP",Lookup!$M$13,IF(GK291="PPP",Lookup!$M$14,IF(GK291="T",Lookup!$M$15,IF(GK291="TP",Lookup!$M$16,IF(GK291="TPP",Lookup!$M$17,IF(GK291="TPPP",Lookup!$M$18,0)))))))*GJ291</f>
        <v>0</v>
      </c>
      <c r="GO291" s="560">
        <f t="shared" si="568"/>
        <v>0</v>
      </c>
      <c r="GP291" s="560">
        <f t="shared" si="540"/>
        <v>1195.064745333334</v>
      </c>
      <c r="GQ291" s="560">
        <f t="shared" si="576"/>
        <v>389.52566666666689</v>
      </c>
      <c r="GR291" s="560"/>
      <c r="GS291" s="560">
        <f t="shared" si="569"/>
        <v>0</v>
      </c>
      <c r="GT291" s="560" t="str">
        <f t="shared" si="570"/>
        <v/>
      </c>
      <c r="GU291" s="560">
        <f>IF(GK291="P",Lookup!$N$12,IF(GK291="PP",Lookup!$N$13,IF(GK291="PPP",Lookup!$N$14,IF(GK291="T",Lookup!$N$15,IF(GK291="TP",Lookup!$N$16,IF(GK291="TPP",Lookup!$N$17,IF(GK291="TPPP",Lookup!$N$18,0)))))))*GJ291</f>
        <v>0</v>
      </c>
      <c r="GV291" s="560">
        <f t="shared" si="571"/>
        <v>0</v>
      </c>
      <c r="GW291" s="560">
        <f t="shared" si="541"/>
        <v>383.56677646286317</v>
      </c>
      <c r="GX291" s="560">
        <f t="shared" si="577"/>
        <v>125.02176547029438</v>
      </c>
      <c r="GY291" s="560"/>
      <c r="GZ291" s="560">
        <f t="shared" si="572"/>
        <v>0</v>
      </c>
      <c r="HA291" s="560" t="str">
        <f t="shared" si="573"/>
        <v/>
      </c>
      <c r="HB291" s="560">
        <f>IF(GK291="P",Lookup!$N$12,IF(GK291="PP",Lookup!$N$13,IF(GK291="PPP",Lookup!$N$14,IF(GK291="T",Lookup!$N$15,IF(GK291="TP",Lookup!$N$16,IF(GK291="TPP",Lookup!$N$17,IF(GK291="TPPP",Lookup!$N$18,0)))))))*GJ291</f>
        <v>0</v>
      </c>
      <c r="HC291" s="545">
        <f t="shared" si="542"/>
        <v>0</v>
      </c>
      <c r="HD291" s="560">
        <f t="shared" si="543"/>
        <v>568.1423063700305</v>
      </c>
      <c r="HE291" s="560">
        <f t="shared" si="578"/>
        <v>185.18328108540757</v>
      </c>
      <c r="HF291" s="560"/>
      <c r="HG291" s="560">
        <f t="shared" si="574"/>
        <v>0</v>
      </c>
      <c r="HH291" s="560" t="str">
        <f t="shared" si="575"/>
        <v/>
      </c>
      <c r="HI291" s="560">
        <f>IF(GK291="P",Lookup!$N$12,IF(GK291="PP",Lookup!$N$13,IF(GK291="PPP",Lookup!$N$14,IF(GK291="T",Lookup!$N$15,IF(GK291="TP",Lookup!$N$16,IF(GK291="TPP",Lookup!$N$17,IF(GK291="TPPP",Lookup!$N$18,0)))))))*GJ291</f>
        <v>0</v>
      </c>
      <c r="HJ291" s="545">
        <f t="shared" si="544"/>
        <v>0</v>
      </c>
      <c r="HK291" s="560">
        <f t="shared" si="545"/>
        <v>740.53470464607517</v>
      </c>
      <c r="HL291" s="560">
        <f t="shared" si="579"/>
        <v>241.37376292244954</v>
      </c>
    </row>
    <row r="292" spans="1:220">
      <c r="A292" s="580" t="s">
        <v>6</v>
      </c>
      <c r="B292" s="556">
        <v>41920</v>
      </c>
      <c r="C292" s="561">
        <v>0</v>
      </c>
      <c r="D292" s="529">
        <f t="shared" si="580"/>
        <v>300</v>
      </c>
      <c r="E292" s="529">
        <f t="shared" si="581"/>
        <v>250</v>
      </c>
      <c r="F292" s="529">
        <v>250</v>
      </c>
      <c r="G292" s="560">
        <f>DR292+Sheet1!CZ294</f>
        <v>193.06858295408534</v>
      </c>
      <c r="H292" s="914">
        <f t="shared" si="546"/>
        <v>0</v>
      </c>
      <c r="I292" s="559">
        <f>MAX(Sheet1!Z294-AT292+(Sheet1!DA294-E292)*CFStoMGD,0)</f>
        <v>270.25360000000001</v>
      </c>
      <c r="J292" s="562">
        <f>IF(AND(B292&gt;=Calculation!GC292,B292&lt;=Calculation!GD292),IF(Sheet1!DB294&gt;=Calculation!D292,64.64,0),MAX(Sheet1!Z294-AT292+(Sheet1!DB294-D292)*CFStoMGD,0))</f>
        <v>119.64239999999999</v>
      </c>
      <c r="K292" s="904">
        <f t="shared" si="481"/>
        <v>0</v>
      </c>
      <c r="L292" s="560">
        <f>Sheet1!AA294+Sheet1!AB294-Sheet1!L294+(Sheet1!DA294-F292)*CFStoMGD</f>
        <v>303.1336</v>
      </c>
      <c r="M292" s="560">
        <f t="shared" si="482"/>
        <v>127.29552266195118</v>
      </c>
      <c r="N292" s="910">
        <f>IF(Sheet1!DA294&gt;=F292,MIN(73,MIN(MAX(L292,0),MAX(M292,0))),0)</f>
        <v>73</v>
      </c>
      <c r="O292" s="563">
        <f>Sheet1!AA294+Sheet1!AB294</f>
        <v>61.38</v>
      </c>
      <c r="P292" s="563">
        <f t="shared" si="483"/>
        <v>94.954859999999996</v>
      </c>
      <c r="Q292" s="898">
        <f t="shared" si="547"/>
        <v>48.88</v>
      </c>
      <c r="R292" s="829">
        <f t="shared" si="484"/>
        <v>12.5</v>
      </c>
      <c r="S292" s="898">
        <f t="shared" si="548"/>
        <v>0</v>
      </c>
      <c r="T292" s="898">
        <f t="shared" si="549"/>
        <v>0</v>
      </c>
      <c r="U292" s="898">
        <f t="shared" si="550"/>
        <v>12.5</v>
      </c>
      <c r="V292" s="898"/>
      <c r="W292" s="898">
        <f t="shared" si="551"/>
        <v>0</v>
      </c>
      <c r="X292" s="898">
        <f t="shared" si="552"/>
        <v>0</v>
      </c>
      <c r="Y292" s="898" t="str">
        <f t="shared" si="553"/>
        <v>FALSE</v>
      </c>
      <c r="Z292" s="898">
        <f t="shared" si="554"/>
        <v>61.38</v>
      </c>
      <c r="AA292" s="898">
        <f t="shared" si="555"/>
        <v>61.38</v>
      </c>
      <c r="AB292" s="898" t="str">
        <f t="shared" si="556"/>
        <v/>
      </c>
      <c r="AC292" s="563">
        <f>Sheet1!Y294*MGDtoCFS</f>
        <v>48.111699999999999</v>
      </c>
      <c r="AD292" s="563">
        <f>Sheet1!Z294*MGDtoCFS</f>
        <v>44.089500000000001</v>
      </c>
      <c r="AE292" s="563">
        <f>Sheet1!AA294*MGDtoCFS</f>
        <v>47.864179999999998</v>
      </c>
      <c r="AF292" s="563">
        <f>Sheet1!AB294*MGDtoCFS</f>
        <v>47.090679999999999</v>
      </c>
      <c r="AG292" s="563">
        <f>Sheet1!L294*MGDtoCFS</f>
        <v>0</v>
      </c>
      <c r="AH292" s="545">
        <f t="shared" si="485"/>
        <v>12.587817886178861</v>
      </c>
      <c r="AI292" s="560">
        <f t="shared" si="486"/>
        <v>19.473354269918698</v>
      </c>
      <c r="AJ292" s="560">
        <f t="shared" si="487"/>
        <v>0</v>
      </c>
      <c r="AK292" s="560">
        <f t="shared" si="488"/>
        <v>0</v>
      </c>
      <c r="AL292" s="560">
        <f>(VLOOKUP(Sheet1!DC294,hhdcap_wcm,4)-(((VLOOKUP(Sheet1!DC294,hhdcap_wcm,3)-Sheet1!DC294)/(VLOOKUP(Sheet1!DC294,hhdcap_wcm,3)-VLOOKUP(Sheet1!DC294,hhdcap_wcm,1)))*(VLOOKUP(Sheet1!DC294,hhdcap_wcm,4)-VLOOKUP(Sheet1!DC294,hhdcap_wcm,2))))</f>
        <v>15746.800000038835</v>
      </c>
      <c r="AM292" s="560">
        <f t="shared" si="489"/>
        <v>-777.20000000204891</v>
      </c>
      <c r="AN292" s="560">
        <f t="shared" si="490"/>
        <v>928.51665825863961</v>
      </c>
      <c r="AO292" s="560">
        <f t="shared" si="491"/>
        <v>2848.6891075375065</v>
      </c>
      <c r="AP292" s="560">
        <f>Sheet1!BA294+Sheet1!BB294+Sheet1!BN294+CD292</f>
        <v>19.21</v>
      </c>
      <c r="AQ292" s="560">
        <f>Sheet1!BN294+(DO292*Sheet1!BN294)</f>
        <v>18.016520325203253</v>
      </c>
      <c r="AR292" s="560">
        <f>Sheet1!BA294+CD292</f>
        <v>0</v>
      </c>
      <c r="AS292" s="560">
        <f>Sheet1!BA294+Sheet1!BB294+CD292</f>
        <v>1.01</v>
      </c>
      <c r="AT292" s="698">
        <f>0</f>
        <v>0</v>
      </c>
      <c r="AU292" s="560">
        <f>IF(EB292&lt;K292,0,MAX(Sheet1!AA294+AQ292-15/36*K292-N292,Sheet1!EH294,0))</f>
        <v>0</v>
      </c>
      <c r="AV292" s="560">
        <f>IF(OR(B292&gt;=GD292,B292&lt;GC292),0,15/36*K292-MAX(0,64.6-(137.6-(Sheet1!AA294+Sheet1!AB294))))</f>
        <v>0</v>
      </c>
      <c r="AW292" s="698">
        <f>Sheet1!DB294-110</f>
        <v>331</v>
      </c>
      <c r="AX292" s="698">
        <f>Sheet1!DA294-265</f>
        <v>359</v>
      </c>
      <c r="AY292" s="698">
        <f t="shared" si="492"/>
        <v>24.119999999999997</v>
      </c>
      <c r="AZ292" s="698">
        <v>0</v>
      </c>
      <c r="BA292" s="698">
        <f t="shared" si="493"/>
        <v>0</v>
      </c>
      <c r="BB292" s="560">
        <f t="shared" si="494"/>
        <v>389.52566666666689</v>
      </c>
      <c r="BC292" s="560"/>
      <c r="BD292" s="560">
        <f ca="1">IF(B292&gt;Summary!$A$1,#N/A,BB292*MGtoAF)</f>
        <v>1195.064745333334</v>
      </c>
      <c r="BE292" s="560">
        <f>Sheet1!BG294+Sheet1!BH294+Sheet1!BI294-BM292</f>
        <v>2.08</v>
      </c>
      <c r="BF292" s="560">
        <f t="shared" si="495"/>
        <v>2.0590308943089433</v>
      </c>
      <c r="BG292" s="560">
        <f>IF(Sheet1!EP294="FM",BM292,0)</f>
        <v>0</v>
      </c>
      <c r="BH292" s="560">
        <f t="shared" si="496"/>
        <v>0</v>
      </c>
      <c r="BI292" s="560">
        <f>IF(Sheet1!EP294="OTHER",BM292,0)</f>
        <v>0</v>
      </c>
      <c r="BJ292" s="560">
        <f t="shared" si="497"/>
        <v>0</v>
      </c>
      <c r="BK292" s="560">
        <f t="shared" si="498"/>
        <v>2.08</v>
      </c>
      <c r="BL292" s="560">
        <f t="shared" si="499"/>
        <v>2.0590308943089433</v>
      </c>
      <c r="BM292" s="560">
        <f>IF(OR(Sheet1!EP294="FM", Sheet1!EP294="OTHER"),SUM(Sheet1!BG294:'Sheet1'!BI294),0)</f>
        <v>0</v>
      </c>
      <c r="BN292" s="545">
        <f>IF(AND($B292&gt;=$FV292,$B292&lt;=$FW292),MAX(BF292,Sheet1!EI294,0),MAX(BF292-(7/36)*$K292,0))</f>
        <v>3</v>
      </c>
      <c r="BO292" s="560">
        <f t="shared" si="500"/>
        <v>0</v>
      </c>
      <c r="BP292" s="545">
        <f t="shared" si="501"/>
        <v>0</v>
      </c>
      <c r="BQ292" s="545">
        <f>IF(AND($O292&gt;0,Sheet1!EM294=1),(1-($O292-Sheet1!$L294)/$O292)*BL292,0)</f>
        <v>0</v>
      </c>
      <c r="BR292" s="545">
        <f>IF(AND(Sheet1!$L294=0,Sheet1!$L293=0, Calculation!BK292&lt;Sheet1!$EI294-0.1,Sheet1!$EI294=Sheet1!$EI293,Sheet1!$EI294=Sheet1!$EI295),Sheet1!$EI294,BL292-BQ292)</f>
        <v>3</v>
      </c>
      <c r="BS292" s="560"/>
      <c r="BT292" s="560"/>
      <c r="BU292" s="560">
        <f t="shared" si="502"/>
        <v>122.02176547029438</v>
      </c>
      <c r="BV292" s="560"/>
      <c r="BW292" s="560">
        <f ca="1">IF(B292&gt;Summary!$A$1,#N/A,BU292*MGtoAF)</f>
        <v>374.36277646286317</v>
      </c>
      <c r="BX292" s="560">
        <f>Sheet1!BC294+Sheet1!BD294+Sheet1!BE294+Sheet1!BF294-CG292-CH292</f>
        <v>2.2999999999999998</v>
      </c>
      <c r="BY292" s="560">
        <f t="shared" si="503"/>
        <v>2.2768130081300813</v>
      </c>
      <c r="BZ292" s="560">
        <f>IF(Sheet1!EQ294="FM",CH292,0)</f>
        <v>0</v>
      </c>
      <c r="CA292" s="560">
        <f t="shared" si="504"/>
        <v>0</v>
      </c>
      <c r="CB292" s="560">
        <f>IF(Sheet1!EQ294="OTHER",CH292,0)</f>
        <v>0</v>
      </c>
      <c r="CC292" s="560">
        <f t="shared" si="505"/>
        <v>0</v>
      </c>
      <c r="CD292" s="560">
        <f t="shared" si="506"/>
        <v>0</v>
      </c>
      <c r="CE292" s="560">
        <f t="shared" si="507"/>
        <v>2.2999999999999998</v>
      </c>
      <c r="CF292" s="560">
        <f t="shared" si="508"/>
        <v>2.2768130081300813</v>
      </c>
      <c r="CG292" s="560">
        <f>IF(Sheet1!EQ294="CWA",SUM(Sheet1!BC294:'Sheet1'!BF294),0)</f>
        <v>0</v>
      </c>
      <c r="CH292" s="560">
        <f>IF(OR(Sheet1!EQ294="FM", Sheet1!EQ294="OTHER"),SUM(Sheet1!BC294:'Sheet1'!BF294),0)</f>
        <v>0</v>
      </c>
      <c r="CI292" s="545">
        <f>IF(AND($B292&gt;=$FV292,$B292&lt;=$FW292),MAX(CF292,Sheet1!EJ294,0),MAX(CF292-(7/36)*$K292,0))</f>
        <v>2.5</v>
      </c>
      <c r="CJ292" s="560">
        <f t="shared" si="509"/>
        <v>0</v>
      </c>
      <c r="CK292" s="545">
        <f t="shared" si="510"/>
        <v>0</v>
      </c>
      <c r="CL292" s="545">
        <f>IF(AND($O292&gt;0,Sheet1!EN294=1),(1-($O292-Sheet1!$L294)/$O292)*CF292,0)</f>
        <v>0</v>
      </c>
      <c r="CM292" s="545">
        <f>IF(AND(Sheet1!$L294=0,Sheet1!$L293=0, Calculation!CE292&lt;Sheet1!EJ294-0.1,Sheet1!EJ294=Sheet1!EJ293,Sheet1!EJ294=Sheet1!EJ295),Sheet1!EJ294,CF292-CL292)</f>
        <v>2.5</v>
      </c>
      <c r="CN292" s="545"/>
      <c r="CO292" s="560"/>
      <c r="CP292" s="560">
        <f t="shared" si="511"/>
        <v>182.68328108540757</v>
      </c>
      <c r="CQ292" s="560"/>
      <c r="CR292" s="560">
        <f ca="1">IF(B292&gt;Summary!$A$1,#N/A,CP292*MGtoAF)</f>
        <v>560.47230637003042</v>
      </c>
      <c r="CS292" s="560">
        <f>Sheet1!BK294+Sheet1!BL294+Sheet1!BM294-Sheet1!ER294-DA292</f>
        <v>7.16</v>
      </c>
      <c r="CT292" s="560">
        <f t="shared" si="512"/>
        <v>7.0878178861788621</v>
      </c>
      <c r="CU292" s="560">
        <f>IF(Sheet1!ER294="FM",DA292,0)</f>
        <v>0</v>
      </c>
      <c r="CV292" s="560">
        <f t="shared" si="513"/>
        <v>0</v>
      </c>
      <c r="CW292" s="560">
        <f>IF(Sheet1!ER294="OTHER",DA292,0)</f>
        <v>0</v>
      </c>
      <c r="CX292" s="560">
        <f t="shared" si="514"/>
        <v>0</v>
      </c>
      <c r="CY292" s="560">
        <f t="shared" si="515"/>
        <v>7.16</v>
      </c>
      <c r="CZ292" s="560">
        <f t="shared" si="516"/>
        <v>7.0878178861788621</v>
      </c>
      <c r="DA292" s="560">
        <f>IF(OR(Sheet1!ER294="FM", Sheet1!ER294="OTHER"),SUM(Sheet1!BK294:'Sheet1'!BM294),0)</f>
        <v>0</v>
      </c>
      <c r="DB292" s="545">
        <f>IF(AND($B292&gt;=$FV292,$B292&lt;=$FW292),MAX($CT292,Sheet1!EK294,0),MAX($CT292-(7/36)*$K292,0))</f>
        <v>7.0878178861788621</v>
      </c>
      <c r="DC292" s="560">
        <f t="shared" si="517"/>
        <v>0</v>
      </c>
      <c r="DD292" s="545">
        <f t="shared" si="518"/>
        <v>0</v>
      </c>
      <c r="DE292" s="545">
        <f>IF(AND($O292&gt;0,Sheet1!EO294=1),(1-($O292-Sheet1!$L294)/$O292)*CZ292,0)</f>
        <v>0</v>
      </c>
      <c r="DF292" s="545">
        <f>IF(AND(Sheet1!$L294=0,Sheet1!$L293=0, Calculation!CY292&lt;Sheet1!$EK294-0.1,Sheet1!$EK294=Sheet1!$EK293,Sheet1!$EK294=Sheet1!$EK295),Sheet1!$EK294,CZ292-DE292)</f>
        <v>7.0878178861788621</v>
      </c>
      <c r="DG292" s="545"/>
      <c r="DH292" s="560">
        <f t="shared" si="519"/>
        <v>11.54</v>
      </c>
      <c r="DI292" s="560">
        <f t="shared" si="520"/>
        <v>234.28594503627068</v>
      </c>
      <c r="DJ292" s="698">
        <f t="shared" si="521"/>
        <v>11.423661788617887</v>
      </c>
      <c r="DK292" s="560">
        <f ca="1">IF(B292&gt;Summary!$A$1,#N/A,DI292*MGtoAF)</f>
        <v>718.78927937127844</v>
      </c>
      <c r="DL292" s="698">
        <f t="shared" si="522"/>
        <v>11.540000000000001</v>
      </c>
      <c r="DM292" s="560">
        <f t="shared" si="523"/>
        <v>30.75</v>
      </c>
      <c r="DN292" s="560">
        <f>Sheet1!AB294-DM292</f>
        <v>-0.30999999999999872</v>
      </c>
      <c r="DO292" s="823">
        <f t="shared" si="524"/>
        <v>-1.0081300813008089E-2</v>
      </c>
      <c r="DP292" s="560">
        <f>(VLOOKUP(Sheet1!DC294,hhdcap_wcm,4)-(((VLOOKUP(Sheet1!DC294,hhdcap_wcm,3)-Sheet1!DC294)/(VLOOKUP(Sheet1!DC294,hhdcap_wcm,3)-VLOOKUP(Sheet1!DC294,hhdcap_wcm,1)))*(VLOOKUP(Sheet1!DC294,hhdcap_wcm,4)-VLOOKUP(Sheet1!DC294,hhdcap_wcm,2))))</f>
        <v>15746.800000038835</v>
      </c>
      <c r="DQ292" s="560">
        <f t="shared" si="525"/>
        <v>-777.20000000204891</v>
      </c>
      <c r="DR292" s="560">
        <f t="shared" si="526"/>
        <v>-391.93141704591466</v>
      </c>
      <c r="DS292" s="560">
        <f>Sheet1!EA294*AFtoMG</f>
        <v>0</v>
      </c>
      <c r="DT292" s="560">
        <f>Sheet1!EB294*AFtoMG</f>
        <v>0</v>
      </c>
      <c r="DU292" s="560">
        <f>Sheet1!EC294*AFtoMG</f>
        <v>0</v>
      </c>
      <c r="DV292" s="560">
        <f>Sheet1!ED294*AFtoMG</f>
        <v>0</v>
      </c>
      <c r="DW292" s="560">
        <f t="shared" si="527"/>
        <v>0</v>
      </c>
      <c r="DX292" s="560">
        <f t="shared" si="528"/>
        <v>0</v>
      </c>
      <c r="DY292" s="560">
        <f t="shared" si="529"/>
        <v>928.51665825863961</v>
      </c>
      <c r="DZ292" s="560">
        <f t="shared" si="530"/>
        <v>2848.6891075375065</v>
      </c>
      <c r="EA292" s="560"/>
      <c r="EB292" s="545">
        <f>IF(OR(B292&lt;FV292,B292&gt;FW292),(MIN(BF292+BY292+CT292+MAX(Sheet1!AA294+AQ292-73,0),K292)),0)</f>
        <v>0</v>
      </c>
      <c r="EC292" s="560"/>
      <c r="ED292" s="560">
        <f t="shared" si="531"/>
        <v>11.423661788617885</v>
      </c>
      <c r="EE292" s="560"/>
      <c r="EF292" s="560">
        <f>Sheet1!EH294+Sheet1!EI294+Sheet1!EJ294+Sheet1!EK294</f>
        <v>12.5</v>
      </c>
      <c r="EG292" s="560"/>
      <c r="EH292" s="545">
        <f t="shared" si="532"/>
        <v>0</v>
      </c>
      <c r="EI292" s="560">
        <f>IF(Sheet1!ET294=1,SUM('Calculations II'!AT292:BA292)+'Calculations II'!BC292+Sheet1!BV294+'Calculations II'!BE292+AP292,SUM('Calculations II'!AT292:BA292)+'Calculations II'!BC292+Sheet1!BV294+'Calculations II'!BE292+AP292)</f>
        <v>58.9268</v>
      </c>
      <c r="EJ292" s="560">
        <f>Sheet1!AA294+Sheet1!AB294+'Calculations II'!BC292</f>
        <v>61.38</v>
      </c>
      <c r="EK292" s="560"/>
      <c r="EL292" s="560"/>
      <c r="EM292" s="560">
        <f t="shared" si="533"/>
        <v>41920</v>
      </c>
      <c r="EN292" s="560">
        <f t="shared" si="534"/>
        <v>-12.587817886178861</v>
      </c>
      <c r="EO292" s="560">
        <f t="shared" si="535"/>
        <v>-19.473354269918698</v>
      </c>
      <c r="EP292" s="560">
        <v>0</v>
      </c>
      <c r="EQ292" s="560">
        <v>0</v>
      </c>
      <c r="ER292" s="560">
        <v>0</v>
      </c>
      <c r="ES292" s="545">
        <f t="shared" si="557"/>
        <v>0.27681577278570457</v>
      </c>
      <c r="ET292" s="560">
        <f>-(VLOOKUP(Sheet1!BQ294,Lookup!$O$4:$Q$262,2)-VLOOKUP(Sheet1!BQ293,Lookup!$O$4:$Q$262,2))/1000000</f>
        <v>0.13840147990281507</v>
      </c>
      <c r="EU292" s="560">
        <f>-(VLOOKUP(Sheet1!BR294,Lookup!$O$4:$Q$262,3)-VLOOKUP(Sheet1!BR293,Lookup!$O$4:$Q$262,3))/1000000</f>
        <v>0.13841429288288951</v>
      </c>
      <c r="EV292" s="560"/>
      <c r="EW292" s="560"/>
      <c r="EX292" s="560"/>
      <c r="EY292" s="560"/>
      <c r="EZ292" s="560"/>
      <c r="FA292" s="560"/>
      <c r="FB292" s="560"/>
      <c r="FC292" s="560"/>
      <c r="FD292" s="594">
        <f t="shared" si="536"/>
        <v>1110.4969696969165</v>
      </c>
      <c r="FE292" s="594" t="e">
        <f t="shared" si="537"/>
        <v>#N/A</v>
      </c>
      <c r="FF292" s="595" t="e">
        <f t="shared" si="538"/>
        <v>#N/A</v>
      </c>
      <c r="FG292" s="596" t="s">
        <v>692</v>
      </c>
      <c r="FH292" s="596" t="s">
        <v>692</v>
      </c>
      <c r="FI292" s="594" t="e">
        <v>#N/A</v>
      </c>
      <c r="FJ292" s="778">
        <v>7522</v>
      </c>
      <c r="FK292" s="560"/>
      <c r="FL292" s="560"/>
      <c r="FM292" s="560"/>
      <c r="FN292" s="560"/>
      <c r="FO292" s="560">
        <f>O292+((Sheet1!CS294)*GPMtoMGD)</f>
        <v>61.38</v>
      </c>
      <c r="FP292" s="560">
        <f>IF(Sheet1!AA294+AQ292&lt;=Calculation!N292,AQ292,Calculation!N292-Sheet1!AA294)</f>
        <v>18.016520325203253</v>
      </c>
      <c r="FQ292" s="560">
        <f>(Sheet1!BP294+Sheet1!BO294)/694.4</f>
        <v>1.7570564516129032</v>
      </c>
      <c r="FR292" s="560"/>
      <c r="FS292" s="560"/>
      <c r="FT292" s="560"/>
      <c r="FU292" s="560"/>
      <c r="FV292" s="695">
        <f t="shared" si="558"/>
        <v>41827</v>
      </c>
      <c r="FW292" s="695">
        <f t="shared" si="559"/>
        <v>41934</v>
      </c>
      <c r="FX292" s="560"/>
      <c r="FY292" s="560"/>
      <c r="FZ292" s="560"/>
      <c r="GA292" s="560"/>
      <c r="GB292" s="560" t="str">
        <f t="shared" si="560"/>
        <v>n</v>
      </c>
      <c r="GC292" s="564">
        <f t="shared" si="561"/>
        <v>41691</v>
      </c>
      <c r="GD292" s="695">
        <f t="shared" si="562"/>
        <v>41807</v>
      </c>
      <c r="GE292" s="560">
        <v>6518.9</v>
      </c>
      <c r="GF292" s="695">
        <f t="shared" si="563"/>
        <v>41808</v>
      </c>
      <c r="GG292" s="560">
        <f t="shared" si="582"/>
        <v>3259</v>
      </c>
      <c r="GH292" s="564">
        <f t="shared" si="564"/>
        <v>41934</v>
      </c>
      <c r="GJ292" s="545">
        <f t="shared" si="565"/>
        <v>0</v>
      </c>
      <c r="GK292" s="560" t="str">
        <f t="shared" si="539"/>
        <v/>
      </c>
      <c r="GL292" s="560">
        <f t="shared" si="566"/>
        <v>0</v>
      </c>
      <c r="GM292" s="560" t="str">
        <f t="shared" si="567"/>
        <v/>
      </c>
      <c r="GN292" s="560">
        <f>IF(GK292="P",Lookup!$M$12,IF(GK292="PP",Lookup!$M$13,IF(GK292="PPP",Lookup!$M$14,IF(GK292="T",Lookup!$M$15,IF(GK292="TP",Lookup!$M$16,IF(GK292="TPP",Lookup!$M$17,IF(GK292="TPPP",Lookup!$M$18,0)))))))*GJ292</f>
        <v>0</v>
      </c>
      <c r="GO292" s="560">
        <f t="shared" si="568"/>
        <v>0</v>
      </c>
      <c r="GP292" s="560">
        <f t="shared" si="540"/>
        <v>1195.064745333334</v>
      </c>
      <c r="GQ292" s="560">
        <f t="shared" si="576"/>
        <v>389.52566666666689</v>
      </c>
      <c r="GR292" s="560"/>
      <c r="GS292" s="560">
        <f t="shared" si="569"/>
        <v>0</v>
      </c>
      <c r="GT292" s="560" t="str">
        <f t="shared" si="570"/>
        <v/>
      </c>
      <c r="GU292" s="560">
        <f>IF(GK292="P",Lookup!$N$12,IF(GK292="PP",Lookup!$N$13,IF(GK292="PPP",Lookup!$N$14,IF(GK292="T",Lookup!$N$15,IF(GK292="TP",Lookup!$N$16,IF(GK292="TPP",Lookup!$N$17,IF(GK292="TPPP",Lookup!$N$18,0)))))))*GJ292</f>
        <v>0</v>
      </c>
      <c r="GV292" s="560">
        <f t="shared" si="571"/>
        <v>0</v>
      </c>
      <c r="GW292" s="560">
        <f t="shared" si="541"/>
        <v>374.36277646286317</v>
      </c>
      <c r="GX292" s="560">
        <f t="shared" si="577"/>
        <v>122.02176547029438</v>
      </c>
      <c r="GY292" s="560"/>
      <c r="GZ292" s="560">
        <f t="shared" si="572"/>
        <v>0</v>
      </c>
      <c r="HA292" s="560" t="str">
        <f t="shared" si="573"/>
        <v/>
      </c>
      <c r="HB292" s="560">
        <f>IF(GK292="P",Lookup!$N$12,IF(GK292="PP",Lookup!$N$13,IF(GK292="PPP",Lookup!$N$14,IF(GK292="T",Lookup!$N$15,IF(GK292="TP",Lookup!$N$16,IF(GK292="TPP",Lookup!$N$17,IF(GK292="TPPP",Lookup!$N$18,0)))))))*GJ292</f>
        <v>0</v>
      </c>
      <c r="HC292" s="545">
        <f t="shared" si="542"/>
        <v>0</v>
      </c>
      <c r="HD292" s="560">
        <f t="shared" si="543"/>
        <v>560.47230637003042</v>
      </c>
      <c r="HE292" s="560">
        <f t="shared" si="578"/>
        <v>182.68328108540757</v>
      </c>
      <c r="HF292" s="560"/>
      <c r="HG292" s="560">
        <f t="shared" si="574"/>
        <v>0</v>
      </c>
      <c r="HH292" s="560" t="str">
        <f t="shared" si="575"/>
        <v/>
      </c>
      <c r="HI292" s="560">
        <f>IF(GK292="P",Lookup!$N$12,IF(GK292="PP",Lookup!$N$13,IF(GK292="PPP",Lookup!$N$14,IF(GK292="T",Lookup!$N$15,IF(GK292="TP",Lookup!$N$16,IF(GK292="TPP",Lookup!$N$17,IF(GK292="TPPP",Lookup!$N$18,0)))))))*GJ292</f>
        <v>0</v>
      </c>
      <c r="HJ292" s="545">
        <f t="shared" si="544"/>
        <v>0</v>
      </c>
      <c r="HK292" s="560">
        <f t="shared" si="545"/>
        <v>718.78927937127844</v>
      </c>
      <c r="HL292" s="560">
        <f t="shared" si="579"/>
        <v>234.28594503627068</v>
      </c>
    </row>
    <row r="293" spans="1:220">
      <c r="A293" s="580" t="s">
        <v>7</v>
      </c>
      <c r="B293" s="556">
        <v>41921</v>
      </c>
      <c r="C293" s="561">
        <v>0</v>
      </c>
      <c r="D293" s="529">
        <f t="shared" si="580"/>
        <v>300</v>
      </c>
      <c r="E293" s="529">
        <f t="shared" si="581"/>
        <v>250</v>
      </c>
      <c r="F293" s="529">
        <v>250</v>
      </c>
      <c r="G293" s="560">
        <f>DR293+Sheet1!CZ295</f>
        <v>201.62531517760857</v>
      </c>
      <c r="H293" s="914">
        <f t="shared" si="546"/>
        <v>0</v>
      </c>
      <c r="I293" s="559">
        <f>MAX(Sheet1!Z295-AT293+(Sheet1!DA295-E293)*CFStoMGD,0)</f>
        <v>265.08319999999998</v>
      </c>
      <c r="J293" s="562">
        <f>IF(AND(B293&gt;=Calculation!GC293,B293&lt;=Calculation!GD293),IF(Sheet1!DB295&gt;=Calculation!D293,64.64,0),MAX(Sheet1!Z295-AT293+(Sheet1!DB295-D293)*CFStoMGD,0))</f>
        <v>121.58239999999999</v>
      </c>
      <c r="K293" s="904">
        <f t="shared" si="481"/>
        <v>0</v>
      </c>
      <c r="L293" s="560">
        <f>Sheet1!AA295+Sheet1!AB295-Sheet1!L295+(Sheet1!DA295-F293)*CFStoMGD</f>
        <v>298.64319999999998</v>
      </c>
      <c r="M293" s="560">
        <f t="shared" si="482"/>
        <v>132.93721580542231</v>
      </c>
      <c r="N293" s="910">
        <f>IF(Sheet1!DA295&gt;=F293,MIN(73,MIN(MAX(L293,0),MAX(M293,0))),0)</f>
        <v>73</v>
      </c>
      <c r="O293" s="563">
        <f>Sheet1!AA295+Sheet1!AB295</f>
        <v>64</v>
      </c>
      <c r="P293" s="563">
        <f t="shared" si="483"/>
        <v>99.007999999999996</v>
      </c>
      <c r="Q293" s="898">
        <f t="shared" si="547"/>
        <v>51.5</v>
      </c>
      <c r="R293" s="829">
        <f t="shared" si="484"/>
        <v>12.5</v>
      </c>
      <c r="S293" s="898">
        <f t="shared" si="548"/>
        <v>0</v>
      </c>
      <c r="T293" s="898">
        <f t="shared" si="549"/>
        <v>0</v>
      </c>
      <c r="U293" s="898">
        <f t="shared" si="550"/>
        <v>12.5</v>
      </c>
      <c r="V293" s="898"/>
      <c r="W293" s="898">
        <f t="shared" si="551"/>
        <v>0</v>
      </c>
      <c r="X293" s="898">
        <f t="shared" si="552"/>
        <v>0</v>
      </c>
      <c r="Y293" s="898" t="str">
        <f t="shared" si="553"/>
        <v>FALSE</v>
      </c>
      <c r="Z293" s="898">
        <f t="shared" si="554"/>
        <v>64</v>
      </c>
      <c r="AA293" s="898">
        <f t="shared" si="555"/>
        <v>64</v>
      </c>
      <c r="AB293" s="898" t="str">
        <f t="shared" si="556"/>
        <v/>
      </c>
      <c r="AC293" s="563">
        <f>Sheet1!Y295*MGDtoCFS</f>
        <v>47.864179999999998</v>
      </c>
      <c r="AD293" s="563">
        <f>Sheet1!Z295*MGDtoCFS</f>
        <v>47.090679999999999</v>
      </c>
      <c r="AE293" s="563">
        <f>Sheet1!AA295*MGDtoCFS</f>
        <v>47.864179999999998</v>
      </c>
      <c r="AF293" s="563">
        <f>Sheet1!AB295*MGDtoCFS</f>
        <v>51.143819999999998</v>
      </c>
      <c r="AG293" s="563">
        <f>Sheet1!L295*MGDtoCFS</f>
        <v>0</v>
      </c>
      <c r="AH293" s="545">
        <f t="shared" si="485"/>
        <v>12.654159613059253</v>
      </c>
      <c r="AI293" s="560">
        <f t="shared" si="486"/>
        <v>19.575984921402664</v>
      </c>
      <c r="AJ293" s="560">
        <f t="shared" si="487"/>
        <v>0</v>
      </c>
      <c r="AK293" s="560">
        <f t="shared" si="488"/>
        <v>0</v>
      </c>
      <c r="AL293" s="560">
        <f>(VLOOKUP(Sheet1!DC295,hhdcap_wcm,4)-(((VLOOKUP(Sheet1!DC295,hhdcap_wcm,3)-Sheet1!DC295)/(VLOOKUP(Sheet1!DC295,hhdcap_wcm,3)-VLOOKUP(Sheet1!DC295,hhdcap_wcm,1)))*(VLOOKUP(Sheet1!DC295,hhdcap_wcm,4)-VLOOKUP(Sheet1!DC295,hhdcap_wcm,2))))</f>
        <v>14994.500000036032</v>
      </c>
      <c r="AM293" s="560">
        <f t="shared" si="489"/>
        <v>-752.30000000280234</v>
      </c>
      <c r="AN293" s="560">
        <f t="shared" si="490"/>
        <v>915.86249864558022</v>
      </c>
      <c r="AO293" s="560">
        <f t="shared" si="491"/>
        <v>2809.86614584464</v>
      </c>
      <c r="AP293" s="560">
        <f>Sheet1!BA295+Sheet1!BB295+Sheet1!BN295+CD293</f>
        <v>21.2</v>
      </c>
      <c r="AQ293" s="560">
        <f>Sheet1!BN295+(DO293*Sheet1!BN295)</f>
        <v>20.18778718258767</v>
      </c>
      <c r="AR293" s="560">
        <f>Sheet1!BA295+CD293</f>
        <v>0</v>
      </c>
      <c r="AS293" s="560">
        <f>Sheet1!BA295+Sheet1!BB295+CD293</f>
        <v>1</v>
      </c>
      <c r="AT293" s="698">
        <f>0</f>
        <v>0</v>
      </c>
      <c r="AU293" s="560">
        <f>IF(EB293&lt;K293,0,MAX(Sheet1!AA295+AQ293-15/36*K293-N293,Sheet1!EH295,0))</f>
        <v>0</v>
      </c>
      <c r="AV293" s="560">
        <f>IF(OR(B293&gt;=GD293,B293&lt;GC293),0,15/36*K293-MAX(0,64.6-(137.6-(Sheet1!AA295+Sheet1!AB295))))</f>
        <v>0</v>
      </c>
      <c r="AW293" s="698">
        <f>Sheet1!DB295-110</f>
        <v>331</v>
      </c>
      <c r="AX293" s="698">
        <f>Sheet1!DA295-265</f>
        <v>348</v>
      </c>
      <c r="AY293" s="698">
        <f t="shared" si="492"/>
        <v>21.5</v>
      </c>
      <c r="AZ293" s="698">
        <v>0</v>
      </c>
      <c r="BA293" s="698">
        <f t="shared" si="493"/>
        <v>0</v>
      </c>
      <c r="BB293" s="560">
        <f t="shared" si="494"/>
        <v>389.52566666666689</v>
      </c>
      <c r="BC293" s="560"/>
      <c r="BD293" s="560">
        <f ca="1">IF(B293&gt;Summary!$A$1,#N/A,BB293*MGtoAF)</f>
        <v>1195.064745333334</v>
      </c>
      <c r="BE293" s="560">
        <f>Sheet1!BG295+Sheet1!BH295+Sheet1!BI295-BM293</f>
        <v>2.2200000000000002</v>
      </c>
      <c r="BF293" s="560">
        <f t="shared" si="495"/>
        <v>2.2186577992744865</v>
      </c>
      <c r="BG293" s="560">
        <f>IF(Sheet1!EP295="FM",BM293,0)</f>
        <v>0</v>
      </c>
      <c r="BH293" s="560">
        <f t="shared" si="496"/>
        <v>0</v>
      </c>
      <c r="BI293" s="560">
        <f>IF(Sheet1!EP295="OTHER",BM293,0)</f>
        <v>0</v>
      </c>
      <c r="BJ293" s="560">
        <f t="shared" si="497"/>
        <v>0</v>
      </c>
      <c r="BK293" s="560">
        <f t="shared" si="498"/>
        <v>2.2200000000000002</v>
      </c>
      <c r="BL293" s="560">
        <f t="shared" si="499"/>
        <v>2.2186577992744865</v>
      </c>
      <c r="BM293" s="560">
        <f>IF(OR(Sheet1!EP295="FM", Sheet1!EP295="OTHER"),SUM(Sheet1!BG295:'Sheet1'!BI295),0)</f>
        <v>0</v>
      </c>
      <c r="BN293" s="545">
        <f>IF(AND($B293&gt;=$FV293,$B293&lt;=$FW293),MAX(BF293,Sheet1!EI295,0),MAX(BF293-(7/36)*$K293,0))</f>
        <v>3</v>
      </c>
      <c r="BO293" s="560">
        <f t="shared" si="500"/>
        <v>0</v>
      </c>
      <c r="BP293" s="545">
        <f t="shared" si="501"/>
        <v>0</v>
      </c>
      <c r="BQ293" s="545">
        <f>IF(AND($O293&gt;0,Sheet1!EM295=1),(1-($O293-Sheet1!$L295)/$O293)*BL293,0)</f>
        <v>0</v>
      </c>
      <c r="BR293" s="545">
        <f>IF(AND(Sheet1!$L295=0,Sheet1!$L294=0, Calculation!BK293&lt;Sheet1!$EI295-0.1,Sheet1!$EI295=Sheet1!$EI294,Sheet1!$EI295=Sheet1!$EI296),Sheet1!$EI295,BL293-BQ293)</f>
        <v>2.2186577992744865</v>
      </c>
      <c r="BS293" s="560"/>
      <c r="BT293" s="560"/>
      <c r="BU293" s="560">
        <f t="shared" si="502"/>
        <v>119.02176547029438</v>
      </c>
      <c r="BV293" s="560"/>
      <c r="BW293" s="560">
        <f ca="1">IF(B293&gt;Summary!$A$1,#N/A,BU293*MGtoAF)</f>
        <v>365.15877646286316</v>
      </c>
      <c r="BX293" s="560">
        <f>Sheet1!BC295+Sheet1!BD295+Sheet1!BE295+Sheet1!BF295-CG293-CH293</f>
        <v>2.5099999999999998</v>
      </c>
      <c r="BY293" s="560">
        <f t="shared" si="503"/>
        <v>2.5084824667472794</v>
      </c>
      <c r="BZ293" s="560">
        <f>IF(Sheet1!EQ295="FM",CH293,0)</f>
        <v>0</v>
      </c>
      <c r="CA293" s="560">
        <f t="shared" si="504"/>
        <v>0</v>
      </c>
      <c r="CB293" s="560">
        <f>IF(Sheet1!EQ295="OTHER",CH293,0)</f>
        <v>0</v>
      </c>
      <c r="CC293" s="560">
        <f t="shared" si="505"/>
        <v>0</v>
      </c>
      <c r="CD293" s="560">
        <f t="shared" si="506"/>
        <v>0</v>
      </c>
      <c r="CE293" s="560">
        <f t="shared" si="507"/>
        <v>2.5099999999999998</v>
      </c>
      <c r="CF293" s="560">
        <f t="shared" si="508"/>
        <v>2.5084824667472794</v>
      </c>
      <c r="CG293" s="560">
        <f>IF(Sheet1!EQ295="CWA",SUM(Sheet1!BC295:'Sheet1'!BF295),0)</f>
        <v>0</v>
      </c>
      <c r="CH293" s="560">
        <f>IF(OR(Sheet1!EQ295="FM", Sheet1!EQ295="OTHER"),SUM(Sheet1!BC295:'Sheet1'!BF295),0)</f>
        <v>0</v>
      </c>
      <c r="CI293" s="545">
        <f>IF(AND($B293&gt;=$FV293,$B293&lt;=$FW293),MAX(CF293,Sheet1!EJ295,0),MAX(CF293-(7/36)*$K293,0))</f>
        <v>2.5084824667472794</v>
      </c>
      <c r="CJ293" s="560">
        <f t="shared" si="509"/>
        <v>0</v>
      </c>
      <c r="CK293" s="545">
        <f t="shared" si="510"/>
        <v>0</v>
      </c>
      <c r="CL293" s="545">
        <f>IF(AND($O293&gt;0,Sheet1!EN295=1),(1-($O293-Sheet1!$L295)/$O293)*CF293,0)</f>
        <v>0</v>
      </c>
      <c r="CM293" s="545">
        <f>IF(AND(Sheet1!$L295=0,Sheet1!$L294=0, Calculation!CE293&lt;Sheet1!EJ295-0.1,Sheet1!EJ295=Sheet1!EJ294,Sheet1!EJ295=Sheet1!EJ296),Sheet1!EJ295,CF293-CL293)</f>
        <v>2.5084824667472794</v>
      </c>
      <c r="CN293" s="545"/>
      <c r="CO293" s="560"/>
      <c r="CP293" s="560">
        <f t="shared" si="511"/>
        <v>180.1747986186603</v>
      </c>
      <c r="CQ293" s="560"/>
      <c r="CR293" s="560">
        <f ca="1">IF(B293&gt;Summary!$A$1,#N/A,CP293*MGtoAF)</f>
        <v>552.77628216204982</v>
      </c>
      <c r="CS293" s="560">
        <f>Sheet1!BK295+Sheet1!BL295+Sheet1!BM295-Sheet1!ER295-DA293</f>
        <v>7.15</v>
      </c>
      <c r="CT293" s="560">
        <f t="shared" si="512"/>
        <v>7.1456771463119724</v>
      </c>
      <c r="CU293" s="560">
        <f>IF(Sheet1!ER295="FM",DA293,0)</f>
        <v>0</v>
      </c>
      <c r="CV293" s="560">
        <f t="shared" si="513"/>
        <v>0</v>
      </c>
      <c r="CW293" s="560">
        <f>IF(Sheet1!ER295="OTHER",DA293,0)</f>
        <v>0</v>
      </c>
      <c r="CX293" s="560">
        <f t="shared" si="514"/>
        <v>0</v>
      </c>
      <c r="CY293" s="560">
        <f t="shared" si="515"/>
        <v>7.15</v>
      </c>
      <c r="CZ293" s="560">
        <f t="shared" si="516"/>
        <v>7.1456771463119724</v>
      </c>
      <c r="DA293" s="560">
        <f>IF(OR(Sheet1!ER295="FM", Sheet1!ER295="OTHER"),SUM(Sheet1!BK295:'Sheet1'!BM295),0)</f>
        <v>0</v>
      </c>
      <c r="DB293" s="545">
        <f>IF(AND($B293&gt;=$FV293,$B293&lt;=$FW293),MAX($CT293,Sheet1!EK295,0),MAX($CT293-(7/36)*$K293,0))</f>
        <v>7.1456771463119724</v>
      </c>
      <c r="DC293" s="560">
        <f t="shared" si="517"/>
        <v>0</v>
      </c>
      <c r="DD293" s="545">
        <f t="shared" si="518"/>
        <v>0</v>
      </c>
      <c r="DE293" s="545">
        <f>IF(AND($O293&gt;0,Sheet1!EO295=1),(1-($O293-Sheet1!$L295)/$O293)*CZ293,0)</f>
        <v>0</v>
      </c>
      <c r="DF293" s="545">
        <f>IF(AND(Sheet1!$L295=0,Sheet1!$L294=0, Calculation!CY293&lt;Sheet1!$EK295-0.1,Sheet1!$EK295=Sheet1!$EK294,Sheet1!$EK295=Sheet1!$EK296),Sheet1!$EK295,CZ293-DE293)</f>
        <v>7.1456771463119724</v>
      </c>
      <c r="DG293" s="545"/>
      <c r="DH293" s="560">
        <f t="shared" si="519"/>
        <v>11.88</v>
      </c>
      <c r="DI293" s="560">
        <f t="shared" si="520"/>
        <v>227.14026788995869</v>
      </c>
      <c r="DJ293" s="698">
        <f t="shared" si="521"/>
        <v>11.872817412333738</v>
      </c>
      <c r="DK293" s="560">
        <f ca="1">IF(B293&gt;Summary!$A$1,#N/A,DI293*MGtoAF)</f>
        <v>696.86634188639323</v>
      </c>
      <c r="DL293" s="698">
        <f t="shared" si="522"/>
        <v>11.88</v>
      </c>
      <c r="DM293" s="560">
        <f t="shared" si="523"/>
        <v>33.08</v>
      </c>
      <c r="DN293" s="560">
        <f>Sheet1!AB295-DM293</f>
        <v>-1.9999999999996021E-2</v>
      </c>
      <c r="DO293" s="823">
        <f t="shared" si="524"/>
        <v>-6.0459492140253995E-4</v>
      </c>
      <c r="DP293" s="560">
        <f>(VLOOKUP(Sheet1!DC295,hhdcap_wcm,4)-(((VLOOKUP(Sheet1!DC295,hhdcap_wcm,3)-Sheet1!DC295)/(VLOOKUP(Sheet1!DC295,hhdcap_wcm,3)-VLOOKUP(Sheet1!DC295,hhdcap_wcm,1)))*(VLOOKUP(Sheet1!DC295,hhdcap_wcm,4)-VLOOKUP(Sheet1!DC295,hhdcap_wcm,2))))</f>
        <v>14994.500000036032</v>
      </c>
      <c r="DQ293" s="560">
        <f t="shared" si="525"/>
        <v>-752.30000000280234</v>
      </c>
      <c r="DR293" s="560">
        <f t="shared" si="526"/>
        <v>-379.37468482239143</v>
      </c>
      <c r="DS293" s="560">
        <f>Sheet1!EA295*AFtoMG</f>
        <v>0</v>
      </c>
      <c r="DT293" s="560">
        <f>Sheet1!EB295*AFtoMG</f>
        <v>0</v>
      </c>
      <c r="DU293" s="560">
        <f>Sheet1!EC295*AFtoMG</f>
        <v>0</v>
      </c>
      <c r="DV293" s="560">
        <f>Sheet1!ED295*AFtoMG</f>
        <v>0</v>
      </c>
      <c r="DW293" s="560">
        <f t="shared" si="527"/>
        <v>0</v>
      </c>
      <c r="DX293" s="560">
        <f t="shared" si="528"/>
        <v>0</v>
      </c>
      <c r="DY293" s="560">
        <f t="shared" si="529"/>
        <v>915.86249864558022</v>
      </c>
      <c r="DZ293" s="560">
        <f t="shared" si="530"/>
        <v>2809.86614584464</v>
      </c>
      <c r="EA293" s="560"/>
      <c r="EB293" s="545">
        <f>IF(OR(B293&lt;FV293,B293&gt;FW293),(MIN(BF293+BY293+CT293+MAX(Sheet1!AA295+AQ293-73,0),K293)),0)</f>
        <v>0</v>
      </c>
      <c r="EC293" s="560"/>
      <c r="ED293" s="560">
        <f t="shared" si="531"/>
        <v>11.872817412333738</v>
      </c>
      <c r="EE293" s="560"/>
      <c r="EF293" s="560">
        <f>Sheet1!EH295+Sheet1!EI295+Sheet1!EJ295+Sheet1!EK295</f>
        <v>12.5</v>
      </c>
      <c r="EG293" s="560"/>
      <c r="EH293" s="545">
        <f t="shared" si="532"/>
        <v>0</v>
      </c>
      <c r="EI293" s="560">
        <f>IF(Sheet1!ET295=1,SUM('Calculations II'!AT293:BA293)+'Calculations II'!BC293+Sheet1!BV295+'Calculations II'!BE293+AP293,SUM('Calculations II'!AT293:BA293)+'Calculations II'!BC293+Sheet1!BV295+'Calculations II'!BE293+AP293)</f>
        <v>55.261055999999996</v>
      </c>
      <c r="EJ293" s="560">
        <f>Sheet1!AA295+Sheet1!AB295+'Calculations II'!BC293</f>
        <v>64</v>
      </c>
      <c r="EK293" s="560"/>
      <c r="EL293" s="560"/>
      <c r="EM293" s="560">
        <f t="shared" si="533"/>
        <v>41921</v>
      </c>
      <c r="EN293" s="560">
        <f t="shared" si="534"/>
        <v>-12.654159613059253</v>
      </c>
      <c r="EO293" s="560">
        <f t="shared" si="535"/>
        <v>-19.575984921402664</v>
      </c>
      <c r="EP293" s="560">
        <v>0</v>
      </c>
      <c r="EQ293" s="560">
        <v>0</v>
      </c>
      <c r="ER293" s="560">
        <v>0</v>
      </c>
      <c r="ES293" s="545">
        <f t="shared" si="557"/>
        <v>-5.5387502869957679</v>
      </c>
      <c r="ET293" s="560">
        <f>-(VLOOKUP(Sheet1!BQ295,Lookup!$O$4:$Q$262,2)-VLOOKUP(Sheet1!BQ294,Lookup!$O$4:$Q$262,2))/1000000</f>
        <v>-2.7692469856150597</v>
      </c>
      <c r="EU293" s="560">
        <f>-(VLOOKUP(Sheet1!BR295,Lookup!$O$4:$Q$262,3)-VLOOKUP(Sheet1!BR294,Lookup!$O$4:$Q$262,3))/1000000</f>
        <v>-2.7695033013807087</v>
      </c>
      <c r="EV293" s="560"/>
      <c r="EW293" s="560"/>
      <c r="EX293" s="560"/>
      <c r="EY293" s="560"/>
      <c r="EZ293" s="560"/>
      <c r="FA293" s="560"/>
      <c r="FB293" s="560"/>
      <c r="FC293" s="560"/>
      <c r="FD293" s="594">
        <f t="shared" si="536"/>
        <v>1109.8437499999475</v>
      </c>
      <c r="FE293" s="594" t="e">
        <f t="shared" si="537"/>
        <v>#N/A</v>
      </c>
      <c r="FF293" s="595" t="e">
        <f t="shared" si="538"/>
        <v>#N/A</v>
      </c>
      <c r="FG293" s="596" t="s">
        <v>692</v>
      </c>
      <c r="FH293" s="596" t="s">
        <v>692</v>
      </c>
      <c r="FI293" s="594" t="e">
        <v>#N/A</v>
      </c>
      <c r="FJ293" s="778">
        <v>7312</v>
      </c>
      <c r="FK293" s="560"/>
      <c r="FL293" s="560"/>
      <c r="FM293" s="560"/>
      <c r="FN293" s="560"/>
      <c r="FO293" s="560">
        <f>O293+((Sheet1!CS295)*GPMtoMGD)</f>
        <v>64</v>
      </c>
      <c r="FP293" s="560">
        <f>IF(Sheet1!AA295+AQ293&lt;=Calculation!N293,AQ293,Calculation!N293-Sheet1!AA295)</f>
        <v>20.18778718258767</v>
      </c>
      <c r="FQ293" s="560">
        <f>(Sheet1!BP295+Sheet1!BO295)/694.4</f>
        <v>0.21039746543778801</v>
      </c>
      <c r="FR293" s="560"/>
      <c r="FS293" s="560"/>
      <c r="FT293" s="560"/>
      <c r="FU293" s="560"/>
      <c r="FV293" s="695">
        <f t="shared" si="558"/>
        <v>41827</v>
      </c>
      <c r="FW293" s="695">
        <f t="shared" si="559"/>
        <v>41934</v>
      </c>
      <c r="FX293" s="560"/>
      <c r="FY293" s="560"/>
      <c r="FZ293" s="560"/>
      <c r="GA293" s="560"/>
      <c r="GB293" s="560" t="str">
        <f t="shared" si="560"/>
        <v>n</v>
      </c>
      <c r="GC293" s="564">
        <f t="shared" si="561"/>
        <v>41691</v>
      </c>
      <c r="GD293" s="695">
        <f t="shared" si="562"/>
        <v>41807</v>
      </c>
      <c r="GE293" s="560">
        <v>6518.9</v>
      </c>
      <c r="GF293" s="695">
        <f t="shared" si="563"/>
        <v>41808</v>
      </c>
      <c r="GG293" s="560">
        <f t="shared" si="582"/>
        <v>3259</v>
      </c>
      <c r="GH293" s="564">
        <f t="shared" si="564"/>
        <v>41934</v>
      </c>
      <c r="GJ293" s="545">
        <f t="shared" si="565"/>
        <v>0</v>
      </c>
      <c r="GK293" s="560" t="str">
        <f t="shared" si="539"/>
        <v/>
      </c>
      <c r="GL293" s="560">
        <f t="shared" si="566"/>
        <v>0</v>
      </c>
      <c r="GM293" s="560" t="str">
        <f t="shared" si="567"/>
        <v/>
      </c>
      <c r="GN293" s="560">
        <f>IF(GK293="P",Lookup!$M$12,IF(GK293="PP",Lookup!$M$13,IF(GK293="PPP",Lookup!$M$14,IF(GK293="T",Lookup!$M$15,IF(GK293="TP",Lookup!$M$16,IF(GK293="TPP",Lookup!$M$17,IF(GK293="TPPP",Lookup!$M$18,0)))))))*GJ293</f>
        <v>0</v>
      </c>
      <c r="GO293" s="560">
        <f t="shared" si="568"/>
        <v>0</v>
      </c>
      <c r="GP293" s="560">
        <f t="shared" si="540"/>
        <v>1195.064745333334</v>
      </c>
      <c r="GQ293" s="560">
        <f t="shared" si="576"/>
        <v>389.52566666666689</v>
      </c>
      <c r="GR293" s="560"/>
      <c r="GS293" s="560">
        <f t="shared" si="569"/>
        <v>0</v>
      </c>
      <c r="GT293" s="560" t="str">
        <f t="shared" si="570"/>
        <v/>
      </c>
      <c r="GU293" s="560">
        <f>IF(GK293="P",Lookup!$N$12,IF(GK293="PP",Lookup!$N$13,IF(GK293="PPP",Lookup!$N$14,IF(GK293="T",Lookup!$N$15,IF(GK293="TP",Lookup!$N$16,IF(GK293="TPP",Lookup!$N$17,IF(GK293="TPPP",Lookup!$N$18,0)))))))*GJ293</f>
        <v>0</v>
      </c>
      <c r="GV293" s="560">
        <f t="shared" si="571"/>
        <v>0</v>
      </c>
      <c r="GW293" s="560">
        <f t="shared" si="541"/>
        <v>365.15877646286316</v>
      </c>
      <c r="GX293" s="560">
        <f t="shared" si="577"/>
        <v>119.02176547029438</v>
      </c>
      <c r="GY293" s="560"/>
      <c r="GZ293" s="560">
        <f t="shared" si="572"/>
        <v>0</v>
      </c>
      <c r="HA293" s="560" t="str">
        <f t="shared" si="573"/>
        <v/>
      </c>
      <c r="HB293" s="560">
        <f>IF(GK293="P",Lookup!$N$12,IF(GK293="PP",Lookup!$N$13,IF(GK293="PPP",Lookup!$N$14,IF(GK293="T",Lookup!$N$15,IF(GK293="TP",Lookup!$N$16,IF(GK293="TPP",Lookup!$N$17,IF(GK293="TPPP",Lookup!$N$18,0)))))))*GJ293</f>
        <v>0</v>
      </c>
      <c r="HC293" s="545">
        <f t="shared" si="542"/>
        <v>0</v>
      </c>
      <c r="HD293" s="560">
        <f t="shared" si="543"/>
        <v>552.77628216204982</v>
      </c>
      <c r="HE293" s="560">
        <f t="shared" si="578"/>
        <v>180.1747986186603</v>
      </c>
      <c r="HF293" s="560"/>
      <c r="HG293" s="560">
        <f t="shared" si="574"/>
        <v>0</v>
      </c>
      <c r="HH293" s="560" t="str">
        <f t="shared" si="575"/>
        <v/>
      </c>
      <c r="HI293" s="560">
        <f>IF(GK293="P",Lookup!$N$12,IF(GK293="PP",Lookup!$N$13,IF(GK293="PPP",Lookup!$N$14,IF(GK293="T",Lookup!$N$15,IF(GK293="TP",Lookup!$N$16,IF(GK293="TPP",Lookup!$N$17,IF(GK293="TPPP",Lookup!$N$18,0)))))))*GJ293</f>
        <v>0</v>
      </c>
      <c r="HJ293" s="545">
        <f t="shared" si="544"/>
        <v>0</v>
      </c>
      <c r="HK293" s="560">
        <f t="shared" si="545"/>
        <v>696.86634188639323</v>
      </c>
      <c r="HL293" s="560">
        <f t="shared" si="579"/>
        <v>227.14026788995869</v>
      </c>
    </row>
    <row r="294" spans="1:220">
      <c r="A294" s="580" t="s">
        <v>8</v>
      </c>
      <c r="B294" s="556">
        <v>41922</v>
      </c>
      <c r="C294" s="561">
        <v>0</v>
      </c>
      <c r="D294" s="529">
        <f t="shared" si="580"/>
        <v>300</v>
      </c>
      <c r="E294" s="529">
        <f t="shared" si="581"/>
        <v>250</v>
      </c>
      <c r="F294" s="529">
        <v>250</v>
      </c>
      <c r="G294" s="560">
        <f>DR294+Sheet1!CZ296</f>
        <v>185.25869894029773</v>
      </c>
      <c r="H294" s="914">
        <f t="shared" si="546"/>
        <v>0</v>
      </c>
      <c r="I294" s="559">
        <f>MAX(Sheet1!Z296-AT294+(Sheet1!DA296-E294)*CFStoMGD,0)</f>
        <v>281.92399999999998</v>
      </c>
      <c r="J294" s="562">
        <f>IF(AND(B294&gt;=Calculation!GC294,B294&lt;=Calculation!GD294),IF(Sheet1!DB296&gt;=Calculation!D294,64.64,0),MAX(Sheet1!Z296-AT294+(Sheet1!DB296-D294)*CFStoMGD,0))</f>
        <v>133.25200000000001</v>
      </c>
      <c r="K294" s="904">
        <f t="shared" si="481"/>
        <v>0</v>
      </c>
      <c r="L294" s="560">
        <f>Sheet1!AA296+Sheet1!AB296-Sheet1!L296+(Sheet1!DA296-F294)*CFStoMGD</f>
        <v>312.45400000000001</v>
      </c>
      <c r="M294" s="560">
        <f t="shared" si="482"/>
        <v>122.14624745490863</v>
      </c>
      <c r="N294" s="910">
        <f>IF(Sheet1!DA296&gt;=F294,MIN(73,MIN(MAX(L294,0),MAX(M294,0))),0)</f>
        <v>73</v>
      </c>
      <c r="O294" s="563">
        <f>Sheet1!AA296+Sheet1!AB296</f>
        <v>63.59</v>
      </c>
      <c r="P294" s="563">
        <f t="shared" si="483"/>
        <v>98.373729999999995</v>
      </c>
      <c r="Q294" s="898">
        <f t="shared" si="547"/>
        <v>51.59</v>
      </c>
      <c r="R294" s="829">
        <f t="shared" si="484"/>
        <v>12</v>
      </c>
      <c r="S294" s="898">
        <f t="shared" si="548"/>
        <v>0</v>
      </c>
      <c r="T294" s="898">
        <f t="shared" si="549"/>
        <v>0</v>
      </c>
      <c r="U294" s="898">
        <f t="shared" si="550"/>
        <v>12</v>
      </c>
      <c r="V294" s="898"/>
      <c r="W294" s="898">
        <f t="shared" si="551"/>
        <v>0</v>
      </c>
      <c r="X294" s="898">
        <f t="shared" si="552"/>
        <v>0</v>
      </c>
      <c r="Y294" s="898" t="str">
        <f t="shared" si="553"/>
        <v>FALSE</v>
      </c>
      <c r="Z294" s="898">
        <f t="shared" si="554"/>
        <v>63.59</v>
      </c>
      <c r="AA294" s="898">
        <f t="shared" si="555"/>
        <v>63.59</v>
      </c>
      <c r="AB294" s="898" t="str">
        <f t="shared" si="556"/>
        <v/>
      </c>
      <c r="AC294" s="563">
        <f>Sheet1!Y296*MGDtoCFS</f>
        <v>47.864179999999998</v>
      </c>
      <c r="AD294" s="563">
        <f>Sheet1!Z296*MGDtoCFS</f>
        <v>51.143819999999998</v>
      </c>
      <c r="AE294" s="563">
        <f>Sheet1!AA296*MGDtoCFS</f>
        <v>47.833240000000004</v>
      </c>
      <c r="AF294" s="563">
        <f>Sheet1!AB296*MGDtoCFS</f>
        <v>50.540489999999998</v>
      </c>
      <c r="AG294" s="563">
        <f>Sheet1!L296*MGDtoCFS</f>
        <v>0</v>
      </c>
      <c r="AH294" s="545">
        <f t="shared" si="485"/>
        <v>12.26</v>
      </c>
      <c r="AI294" s="560">
        <f t="shared" si="486"/>
        <v>18.96622</v>
      </c>
      <c r="AJ294" s="560">
        <f t="shared" si="487"/>
        <v>0</v>
      </c>
      <c r="AK294" s="560">
        <f t="shared" si="488"/>
        <v>0</v>
      </c>
      <c r="AL294" s="560">
        <f>(VLOOKUP(Sheet1!DC296,hhdcap_wcm,4)-(((VLOOKUP(Sheet1!DC296,hhdcap_wcm,3)-Sheet1!DC296)/(VLOOKUP(Sheet1!DC296,hhdcap_wcm,3)-VLOOKUP(Sheet1!DC296,hhdcap_wcm,1)))*(VLOOKUP(Sheet1!DC296,hhdcap_wcm,4)-VLOOKUP(Sheet1!DC296,hhdcap_wcm,2))))</f>
        <v>14180.000000034643</v>
      </c>
      <c r="AM294" s="560">
        <f t="shared" si="489"/>
        <v>-814.50000000138971</v>
      </c>
      <c r="AN294" s="560">
        <f t="shared" si="490"/>
        <v>903.60249864558023</v>
      </c>
      <c r="AO294" s="560">
        <f t="shared" si="491"/>
        <v>2772.25246584464</v>
      </c>
      <c r="AP294" s="560">
        <f>Sheet1!BA296+Sheet1!BB296+Sheet1!BN296+CD294</f>
        <v>20.7</v>
      </c>
      <c r="AQ294" s="560">
        <f>Sheet1!BN296+(DO294*Sheet1!BN296)</f>
        <v>19.7</v>
      </c>
      <c r="AR294" s="560">
        <f>Sheet1!BA296+CD294</f>
        <v>0</v>
      </c>
      <c r="AS294" s="560">
        <f>Sheet1!BA296+Sheet1!BB296+CD294</f>
        <v>1</v>
      </c>
      <c r="AT294" s="698">
        <f>0</f>
        <v>0</v>
      </c>
      <c r="AU294" s="560">
        <f>IF(EB294&lt;K294,0,MAX(Sheet1!AA296+AQ294-15/36*K294-N294,Sheet1!EH296,0))</f>
        <v>0</v>
      </c>
      <c r="AV294" s="560">
        <f>IF(OR(B294&gt;=GD294,B294&lt;GC294),0,15/36*K294-MAX(0,64.6-(137.6-(Sheet1!AA296+Sheet1!AB296))))</f>
        <v>0</v>
      </c>
      <c r="AW294" s="698">
        <f>Sheet1!DB296-110</f>
        <v>345</v>
      </c>
      <c r="AX294" s="698">
        <f>Sheet1!DA296-265</f>
        <v>370</v>
      </c>
      <c r="AY294" s="698">
        <f t="shared" si="492"/>
        <v>21.409999999999997</v>
      </c>
      <c r="AZ294" s="698">
        <v>0</v>
      </c>
      <c r="BA294" s="698">
        <f t="shared" si="493"/>
        <v>0</v>
      </c>
      <c r="BB294" s="560">
        <f t="shared" si="494"/>
        <v>389.52566666666689</v>
      </c>
      <c r="BC294" s="560"/>
      <c r="BD294" s="560">
        <f ca="1">IF(B294&gt;Summary!$A$1,#N/A,BB294*MGtoAF)</f>
        <v>1195.064745333334</v>
      </c>
      <c r="BE294" s="560">
        <f>Sheet1!BG296+Sheet1!BH296+Sheet1!BI296-BM294</f>
        <v>2.21</v>
      </c>
      <c r="BF294" s="560">
        <f t="shared" si="495"/>
        <v>2.21</v>
      </c>
      <c r="BG294" s="560">
        <f>IF(Sheet1!EP296="FM",BM294,0)</f>
        <v>0</v>
      </c>
      <c r="BH294" s="560">
        <f t="shared" si="496"/>
        <v>0</v>
      </c>
      <c r="BI294" s="560">
        <f>IF(Sheet1!EP296="OTHER",BM294,0)</f>
        <v>0</v>
      </c>
      <c r="BJ294" s="560">
        <f t="shared" si="497"/>
        <v>0</v>
      </c>
      <c r="BK294" s="560">
        <f t="shared" si="498"/>
        <v>2.21</v>
      </c>
      <c r="BL294" s="560">
        <f t="shared" si="499"/>
        <v>2.21</v>
      </c>
      <c r="BM294" s="560">
        <f>IF(OR(Sheet1!EP296="FM", Sheet1!EP296="OTHER"),SUM(Sheet1!BG296:'Sheet1'!BI296),0)</f>
        <v>0</v>
      </c>
      <c r="BN294" s="545">
        <f>IF(AND($B294&gt;=$FV294,$B294&lt;=$FW294),MAX(BF294,Sheet1!EI296,0),MAX(BF294-(7/36)*$K294,0))</f>
        <v>2.5</v>
      </c>
      <c r="BO294" s="560">
        <f t="shared" si="500"/>
        <v>0</v>
      </c>
      <c r="BP294" s="545">
        <f t="shared" si="501"/>
        <v>0</v>
      </c>
      <c r="BQ294" s="545">
        <f>IF(AND($O294&gt;0,Sheet1!EM296=1),(1-($O294-Sheet1!$L296)/$O294)*BL294,0)</f>
        <v>0</v>
      </c>
      <c r="BR294" s="545">
        <f>IF(AND(Sheet1!$L296=0,Sheet1!$L295=0, Calculation!BK294&lt;Sheet1!$EI296-0.1,Sheet1!$EI296=Sheet1!$EI295,Sheet1!$EI296=Sheet1!$EI297),Sheet1!$EI296,BL294-BQ294)</f>
        <v>2.21</v>
      </c>
      <c r="BS294" s="560"/>
      <c r="BT294" s="560"/>
      <c r="BU294" s="560">
        <f t="shared" si="502"/>
        <v>116.52176547029438</v>
      </c>
      <c r="BV294" s="560"/>
      <c r="BW294" s="560">
        <f ca="1">IF(B294&gt;Summary!$A$1,#N/A,BU294*MGtoAF)</f>
        <v>357.4887764628632</v>
      </c>
      <c r="BX294" s="560">
        <f>Sheet1!BC296+Sheet1!BD296+Sheet1!BE296+Sheet1!BF296-CG294-CH294</f>
        <v>2.5100000000000002</v>
      </c>
      <c r="BY294" s="560">
        <f t="shared" si="503"/>
        <v>2.5100000000000002</v>
      </c>
      <c r="BZ294" s="560">
        <f>IF(Sheet1!EQ296="FM",CH294,0)</f>
        <v>0</v>
      </c>
      <c r="CA294" s="560">
        <f t="shared" si="504"/>
        <v>0</v>
      </c>
      <c r="CB294" s="560">
        <f>IF(Sheet1!EQ296="OTHER",CH294,0)</f>
        <v>0</v>
      </c>
      <c r="CC294" s="560">
        <f t="shared" si="505"/>
        <v>0</v>
      </c>
      <c r="CD294" s="560">
        <f t="shared" si="506"/>
        <v>0</v>
      </c>
      <c r="CE294" s="560">
        <f t="shared" si="507"/>
        <v>2.5100000000000002</v>
      </c>
      <c r="CF294" s="560">
        <f t="shared" si="508"/>
        <v>2.5100000000000002</v>
      </c>
      <c r="CG294" s="560">
        <f>IF(Sheet1!EQ296="CWA",SUM(Sheet1!BC296:'Sheet1'!BF296),0)</f>
        <v>0</v>
      </c>
      <c r="CH294" s="560">
        <f>IF(OR(Sheet1!EQ296="FM", Sheet1!EQ296="OTHER"),SUM(Sheet1!BC296:'Sheet1'!BF296),0)</f>
        <v>0</v>
      </c>
      <c r="CI294" s="545">
        <f>IF(AND($B294&gt;=$FV294,$B294&lt;=$FW294),MAX(CF294,Sheet1!EJ296,0),MAX(CF294-(7/36)*$K294,0))</f>
        <v>2.5100000000000002</v>
      </c>
      <c r="CJ294" s="560">
        <f t="shared" si="509"/>
        <v>0</v>
      </c>
      <c r="CK294" s="545">
        <f t="shared" si="510"/>
        <v>0</v>
      </c>
      <c r="CL294" s="545">
        <f>IF(AND($O294&gt;0,Sheet1!EN296=1),(1-($O294-Sheet1!$L296)/$O294)*CF294,0)</f>
        <v>0</v>
      </c>
      <c r="CM294" s="545">
        <f>IF(AND(Sheet1!$L296=0,Sheet1!$L295=0, Calculation!CE294&lt;Sheet1!EJ296-0.1,Sheet1!EJ296=Sheet1!EJ295,Sheet1!EJ296=Sheet1!EJ297),Sheet1!EJ296,CF294-CL294)</f>
        <v>2.5100000000000002</v>
      </c>
      <c r="CN294" s="545"/>
      <c r="CO294" s="560"/>
      <c r="CP294" s="560">
        <f t="shared" si="511"/>
        <v>177.66479861866031</v>
      </c>
      <c r="CQ294" s="560"/>
      <c r="CR294" s="560">
        <f ca="1">IF(B294&gt;Summary!$A$1,#N/A,CP294*MGtoAF)</f>
        <v>545.0756021620499</v>
      </c>
      <c r="CS294" s="560">
        <f>Sheet1!BK296+Sheet1!BL296+Sheet1!BM296-Sheet1!ER296-DA294</f>
        <v>7.25</v>
      </c>
      <c r="CT294" s="560">
        <f t="shared" si="512"/>
        <v>7.25</v>
      </c>
      <c r="CU294" s="560">
        <f>IF(Sheet1!ER296="FM",DA294,0)</f>
        <v>0</v>
      </c>
      <c r="CV294" s="560">
        <f t="shared" si="513"/>
        <v>0</v>
      </c>
      <c r="CW294" s="560">
        <f>IF(Sheet1!ER296="OTHER",DA294,0)</f>
        <v>0</v>
      </c>
      <c r="CX294" s="560">
        <f t="shared" si="514"/>
        <v>0</v>
      </c>
      <c r="CY294" s="560">
        <f t="shared" si="515"/>
        <v>7.25</v>
      </c>
      <c r="CZ294" s="560">
        <f t="shared" si="516"/>
        <v>7.25</v>
      </c>
      <c r="DA294" s="560">
        <f>IF(OR(Sheet1!ER296="FM", Sheet1!ER296="OTHER"),SUM(Sheet1!BK296:'Sheet1'!BM296),0)</f>
        <v>0</v>
      </c>
      <c r="DB294" s="545">
        <f>IF(AND($B294&gt;=$FV294,$B294&lt;=$FW294),MAX($CT294,Sheet1!EK296,0),MAX($CT294-(7/36)*$K294,0))</f>
        <v>7.25</v>
      </c>
      <c r="DC294" s="560">
        <f t="shared" si="517"/>
        <v>0</v>
      </c>
      <c r="DD294" s="545">
        <f t="shared" si="518"/>
        <v>0</v>
      </c>
      <c r="DE294" s="545">
        <f>IF(AND($O294&gt;0,Sheet1!EO296=1),(1-($O294-Sheet1!$L296)/$O294)*CZ294,0)</f>
        <v>0</v>
      </c>
      <c r="DF294" s="545">
        <f>IF(AND(Sheet1!$L296=0,Sheet1!$L295=0, Calculation!CY294&lt;Sheet1!$EK296-0.1,Sheet1!$EK296=Sheet1!$EK295,Sheet1!$EK296=Sheet1!$EK297),Sheet1!$EK296,CZ294-DE294)</f>
        <v>7.25</v>
      </c>
      <c r="DG294" s="545"/>
      <c r="DH294" s="560">
        <f t="shared" si="519"/>
        <v>11.97</v>
      </c>
      <c r="DI294" s="560">
        <f t="shared" si="520"/>
        <v>219.89026788995869</v>
      </c>
      <c r="DJ294" s="698">
        <f t="shared" si="521"/>
        <v>11.97</v>
      </c>
      <c r="DK294" s="560">
        <f ca="1">IF(B294&gt;Summary!$A$1,#N/A,DI294*MGtoAF)</f>
        <v>674.62334188639329</v>
      </c>
      <c r="DL294" s="698">
        <f t="shared" si="522"/>
        <v>11.969999999999999</v>
      </c>
      <c r="DM294" s="560">
        <f t="shared" si="523"/>
        <v>32.67</v>
      </c>
      <c r="DN294" s="560">
        <f>Sheet1!AB296-DM294</f>
        <v>0</v>
      </c>
      <c r="DO294" s="823">
        <f t="shared" si="524"/>
        <v>0</v>
      </c>
      <c r="DP294" s="560">
        <f>(VLOOKUP(Sheet1!DC296,hhdcap_wcm,4)-(((VLOOKUP(Sheet1!DC296,hhdcap_wcm,3)-Sheet1!DC296)/(VLOOKUP(Sheet1!DC296,hhdcap_wcm,3)-VLOOKUP(Sheet1!DC296,hhdcap_wcm,1)))*(VLOOKUP(Sheet1!DC296,hhdcap_wcm,4)-VLOOKUP(Sheet1!DC296,hhdcap_wcm,2))))</f>
        <v>14180.000000034643</v>
      </c>
      <c r="DQ294" s="560">
        <f t="shared" si="525"/>
        <v>-814.50000000138971</v>
      </c>
      <c r="DR294" s="560">
        <f t="shared" si="526"/>
        <v>-410.74130105970227</v>
      </c>
      <c r="DS294" s="560">
        <f>Sheet1!EA296*AFtoMG</f>
        <v>0</v>
      </c>
      <c r="DT294" s="560">
        <f>Sheet1!EB296*AFtoMG</f>
        <v>0</v>
      </c>
      <c r="DU294" s="560">
        <f>Sheet1!EC296*AFtoMG</f>
        <v>0</v>
      </c>
      <c r="DV294" s="560">
        <f>Sheet1!ED296*AFtoMG</f>
        <v>0</v>
      </c>
      <c r="DW294" s="560">
        <f t="shared" si="527"/>
        <v>0</v>
      </c>
      <c r="DX294" s="560">
        <f t="shared" si="528"/>
        <v>0</v>
      </c>
      <c r="DY294" s="560">
        <f t="shared" si="529"/>
        <v>903.60249864558023</v>
      </c>
      <c r="DZ294" s="560">
        <f t="shared" si="530"/>
        <v>2772.25246584464</v>
      </c>
      <c r="EA294" s="560"/>
      <c r="EB294" s="545">
        <f>IF(OR(B294&lt;FV294,B294&gt;FW294),(MIN(BF294+BY294+CT294+MAX(Sheet1!AA296+AQ294-73,0),K294)),0)</f>
        <v>0</v>
      </c>
      <c r="EC294" s="560"/>
      <c r="ED294" s="560">
        <f t="shared" si="531"/>
        <v>11.97</v>
      </c>
      <c r="EE294" s="560"/>
      <c r="EF294" s="560">
        <f>Sheet1!EH296+Sheet1!EI296+Sheet1!EJ296+Sheet1!EK296</f>
        <v>12</v>
      </c>
      <c r="EG294" s="560"/>
      <c r="EH294" s="545">
        <f t="shared" si="532"/>
        <v>0</v>
      </c>
      <c r="EI294" s="560">
        <f>IF(Sheet1!ET296=1,SUM('Calculations II'!AT294:BA294)+'Calculations II'!BC294+Sheet1!BV296+'Calculations II'!BE294+AP294,SUM('Calculations II'!AT294:BA294)+'Calculations II'!BC294+Sheet1!BV296+'Calculations II'!BE294+AP294)</f>
        <v>58.616911999999999</v>
      </c>
      <c r="EJ294" s="560">
        <f>Sheet1!AA296+Sheet1!AB296+'Calculations II'!BC294</f>
        <v>63.59</v>
      </c>
      <c r="EK294" s="560"/>
      <c r="EL294" s="560"/>
      <c r="EM294" s="560">
        <f t="shared" si="533"/>
        <v>41922</v>
      </c>
      <c r="EN294" s="560">
        <f t="shared" si="534"/>
        <v>-12.26</v>
      </c>
      <c r="EO294" s="560">
        <f t="shared" si="535"/>
        <v>-18.96622</v>
      </c>
      <c r="EP294" s="560">
        <v>0</v>
      </c>
      <c r="EQ294" s="560">
        <v>0</v>
      </c>
      <c r="ER294" s="560">
        <v>0</v>
      </c>
      <c r="ES294" s="545">
        <f t="shared" si="557"/>
        <v>-1.5240503355379849</v>
      </c>
      <c r="ET294" s="560">
        <f>-(VLOOKUP(Sheet1!BQ296,Lookup!$O$4:$Q$262,2)-VLOOKUP(Sheet1!BQ295,Lookup!$O$4:$Q$262,2))/1000000</f>
        <v>-0.83127396138395371</v>
      </c>
      <c r="EU294" s="560">
        <f>-(VLOOKUP(Sheet1!BR296,Lookup!$O$4:$Q$262,3)-VLOOKUP(Sheet1!BR295,Lookup!$O$4:$Q$262,3))/1000000</f>
        <v>-0.69277637415403126</v>
      </c>
      <c r="EV294" s="560"/>
      <c r="EW294" s="560"/>
      <c r="EX294" s="560"/>
      <c r="EY294" s="560"/>
      <c r="EZ294" s="560"/>
      <c r="FA294" s="560"/>
      <c r="FB294" s="560"/>
      <c r="FC294" s="560"/>
      <c r="FD294" s="594">
        <f t="shared" si="536"/>
        <v>1109.1781249999481</v>
      </c>
      <c r="FE294" s="594" t="e">
        <f t="shared" si="537"/>
        <v>#N/A</v>
      </c>
      <c r="FF294" s="595" t="e">
        <f t="shared" si="538"/>
        <v>#N/A</v>
      </c>
      <c r="FG294" s="596" t="s">
        <v>692</v>
      </c>
      <c r="FH294" s="596" t="s">
        <v>692</v>
      </c>
      <c r="FI294" s="594" t="e">
        <v>#N/A</v>
      </c>
      <c r="FJ294" s="778">
        <v>7103</v>
      </c>
      <c r="FK294" s="560"/>
      <c r="FL294" s="560"/>
      <c r="FM294" s="560"/>
      <c r="FN294" s="560"/>
      <c r="FO294" s="560">
        <f>O294+((Sheet1!CS296)*GPMtoMGD)</f>
        <v>63.59</v>
      </c>
      <c r="FP294" s="560">
        <f>IF(Sheet1!AA296+AQ294&lt;=Calculation!N294,AQ294,Calculation!N294-Sheet1!AA296)</f>
        <v>19.7</v>
      </c>
      <c r="FQ294" s="560">
        <f>(Sheet1!BP296+Sheet1!BO296)/694.4</f>
        <v>2.5048963133640556</v>
      </c>
      <c r="FR294" s="560"/>
      <c r="FS294" s="560"/>
      <c r="FT294" s="560"/>
      <c r="FU294" s="560"/>
      <c r="FV294" s="695">
        <f t="shared" si="558"/>
        <v>41827</v>
      </c>
      <c r="FW294" s="695">
        <f t="shared" si="559"/>
        <v>41934</v>
      </c>
      <c r="FX294" s="560"/>
      <c r="FY294" s="560"/>
      <c r="FZ294" s="560"/>
      <c r="GA294" s="560"/>
      <c r="GB294" s="560" t="str">
        <f t="shared" si="560"/>
        <v>n</v>
      </c>
      <c r="GC294" s="564">
        <f t="shared" si="561"/>
        <v>41691</v>
      </c>
      <c r="GD294" s="695">
        <f t="shared" si="562"/>
        <v>41807</v>
      </c>
      <c r="GE294" s="560">
        <v>6518.9</v>
      </c>
      <c r="GF294" s="695">
        <f t="shared" si="563"/>
        <v>41808</v>
      </c>
      <c r="GG294" s="560">
        <f t="shared" si="582"/>
        <v>3259</v>
      </c>
      <c r="GH294" s="564">
        <f t="shared" si="564"/>
        <v>41934</v>
      </c>
      <c r="GJ294" s="545">
        <f t="shared" si="565"/>
        <v>0</v>
      </c>
      <c r="GK294" s="560" t="str">
        <f t="shared" si="539"/>
        <v/>
      </c>
      <c r="GL294" s="560">
        <f t="shared" si="566"/>
        <v>0</v>
      </c>
      <c r="GM294" s="560" t="str">
        <f t="shared" si="567"/>
        <v/>
      </c>
      <c r="GN294" s="560">
        <f>IF(GK294="P",Lookup!$M$12,IF(GK294="PP",Lookup!$M$13,IF(GK294="PPP",Lookup!$M$14,IF(GK294="T",Lookup!$M$15,IF(GK294="TP",Lookup!$M$16,IF(GK294="TPP",Lookup!$M$17,IF(GK294="TPPP",Lookup!$M$18,0)))))))*GJ294</f>
        <v>0</v>
      </c>
      <c r="GO294" s="560">
        <f t="shared" si="568"/>
        <v>0</v>
      </c>
      <c r="GP294" s="560">
        <f t="shared" si="540"/>
        <v>1195.064745333334</v>
      </c>
      <c r="GQ294" s="560">
        <f t="shared" si="576"/>
        <v>389.52566666666689</v>
      </c>
      <c r="GR294" s="560"/>
      <c r="GS294" s="560">
        <f t="shared" si="569"/>
        <v>0</v>
      </c>
      <c r="GT294" s="560" t="str">
        <f t="shared" si="570"/>
        <v/>
      </c>
      <c r="GU294" s="560">
        <f>IF(GK294="P",Lookup!$N$12,IF(GK294="PP",Lookup!$N$13,IF(GK294="PPP",Lookup!$N$14,IF(GK294="T",Lookup!$N$15,IF(GK294="TP",Lookup!$N$16,IF(GK294="TPP",Lookup!$N$17,IF(GK294="TPPP",Lookup!$N$18,0)))))))*GJ294</f>
        <v>0</v>
      </c>
      <c r="GV294" s="560">
        <f t="shared" si="571"/>
        <v>0</v>
      </c>
      <c r="GW294" s="560">
        <f t="shared" si="541"/>
        <v>357.4887764628632</v>
      </c>
      <c r="GX294" s="560">
        <f t="shared" si="577"/>
        <v>116.52176547029438</v>
      </c>
      <c r="GY294" s="560"/>
      <c r="GZ294" s="560">
        <f t="shared" si="572"/>
        <v>0</v>
      </c>
      <c r="HA294" s="560" t="str">
        <f t="shared" si="573"/>
        <v/>
      </c>
      <c r="HB294" s="560">
        <f>IF(GK294="P",Lookup!$N$12,IF(GK294="PP",Lookup!$N$13,IF(GK294="PPP",Lookup!$N$14,IF(GK294="T",Lookup!$N$15,IF(GK294="TP",Lookup!$N$16,IF(GK294="TPP",Lookup!$N$17,IF(GK294="TPPP",Lookup!$N$18,0)))))))*GJ294</f>
        <v>0</v>
      </c>
      <c r="HC294" s="545">
        <f t="shared" si="542"/>
        <v>0</v>
      </c>
      <c r="HD294" s="560">
        <f t="shared" si="543"/>
        <v>545.0756021620499</v>
      </c>
      <c r="HE294" s="560">
        <f t="shared" si="578"/>
        <v>177.66479861866031</v>
      </c>
      <c r="HF294" s="560"/>
      <c r="HG294" s="560">
        <f t="shared" si="574"/>
        <v>0</v>
      </c>
      <c r="HH294" s="560" t="str">
        <f t="shared" si="575"/>
        <v/>
      </c>
      <c r="HI294" s="560">
        <f>IF(GK294="P",Lookup!$N$12,IF(GK294="PP",Lookup!$N$13,IF(GK294="PPP",Lookup!$N$14,IF(GK294="T",Lookup!$N$15,IF(GK294="TP",Lookup!$N$16,IF(GK294="TPP",Lookup!$N$17,IF(GK294="TPPP",Lookup!$N$18,0)))))))*GJ294</f>
        <v>0</v>
      </c>
      <c r="HJ294" s="545">
        <f t="shared" si="544"/>
        <v>0</v>
      </c>
      <c r="HK294" s="560">
        <f t="shared" si="545"/>
        <v>674.62334188639329</v>
      </c>
      <c r="HL294" s="560">
        <f t="shared" si="579"/>
        <v>219.89026788995869</v>
      </c>
    </row>
    <row r="295" spans="1:220">
      <c r="A295" s="580" t="s">
        <v>9</v>
      </c>
      <c r="B295" s="556">
        <v>41923</v>
      </c>
      <c r="C295" s="561">
        <v>0</v>
      </c>
      <c r="D295" s="529">
        <f t="shared" si="580"/>
        <v>300</v>
      </c>
      <c r="E295" s="529">
        <f t="shared" si="581"/>
        <v>250</v>
      </c>
      <c r="F295" s="529">
        <v>250</v>
      </c>
      <c r="G295" s="560">
        <f>DR295+Sheet1!CZ297</f>
        <v>311.61674230867334</v>
      </c>
      <c r="H295" s="914">
        <f t="shared" si="546"/>
        <v>0</v>
      </c>
      <c r="I295" s="559">
        <f>MAX(Sheet1!Z297-AT295+(Sheet1!DA297-E295)*CFStoMGD,0)</f>
        <v>292.52280000000002</v>
      </c>
      <c r="J295" s="562">
        <f>IF(AND(B295&gt;=Calculation!GC295,B295&lt;=Calculation!GD295),IF(Sheet1!DB297&gt;=Calculation!D295,64.64,0),MAX(Sheet1!Z297-AT295+(Sheet1!DB297-D295)*CFStoMGD,0))</f>
        <v>147.72919999999999</v>
      </c>
      <c r="K295" s="904">
        <f t="shared" si="481"/>
        <v>0</v>
      </c>
      <c r="L295" s="560">
        <f>Sheet1!AA297+Sheet1!AB297-Sheet1!L297+(Sheet1!DA297-F295)*CFStoMGD</f>
        <v>319.4628000000003</v>
      </c>
      <c r="M295" s="560">
        <f t="shared" si="482"/>
        <v>205.45764347289298</v>
      </c>
      <c r="N295" s="910">
        <f>IF(Sheet1!DA297&gt;=F295,MIN(73,MIN(MAX(L295,0),MAX(M295,0))),0)</f>
        <v>73</v>
      </c>
      <c r="O295" s="563">
        <f>Sheet1!AA297+Sheet1!AB297</f>
        <v>60.93</v>
      </c>
      <c r="P295" s="563">
        <f t="shared" si="483"/>
        <v>94.258710000000008</v>
      </c>
      <c r="Q295" s="898">
        <f t="shared" si="547"/>
        <v>48.93</v>
      </c>
      <c r="R295" s="829">
        <f t="shared" si="484"/>
        <v>12</v>
      </c>
      <c r="S295" s="898">
        <f t="shared" si="548"/>
        <v>0</v>
      </c>
      <c r="T295" s="898">
        <f t="shared" si="549"/>
        <v>0</v>
      </c>
      <c r="U295" s="898">
        <f t="shared" si="550"/>
        <v>12</v>
      </c>
      <c r="V295" s="898"/>
      <c r="W295" s="898">
        <f t="shared" si="551"/>
        <v>0</v>
      </c>
      <c r="X295" s="898">
        <f t="shared" si="552"/>
        <v>0</v>
      </c>
      <c r="Y295" s="898" t="str">
        <f t="shared" si="553"/>
        <v>FALSE</v>
      </c>
      <c r="Z295" s="898">
        <f t="shared" si="554"/>
        <v>60.93</v>
      </c>
      <c r="AA295" s="898">
        <f t="shared" si="555"/>
        <v>60.93</v>
      </c>
      <c r="AB295" s="898" t="str">
        <f t="shared" si="556"/>
        <v/>
      </c>
      <c r="AC295" s="563">
        <f>Sheet1!Y297*MGDtoCFS</f>
        <v>47.833240000000004</v>
      </c>
      <c r="AD295" s="563">
        <f>Sheet1!Z297*MGDtoCFS</f>
        <v>50.540489999999998</v>
      </c>
      <c r="AE295" s="563">
        <f>Sheet1!AA297*MGDtoCFS</f>
        <v>47.957000000000001</v>
      </c>
      <c r="AF295" s="563">
        <f>Sheet1!AB297*MGDtoCFS</f>
        <v>46.30171</v>
      </c>
      <c r="AG295" s="563">
        <f>Sheet1!L297*MGDtoCFS</f>
        <v>2.0420399999995498</v>
      </c>
      <c r="AH295" s="545">
        <f t="shared" si="485"/>
        <v>12.039442231075697</v>
      </c>
      <c r="AI295" s="560">
        <f t="shared" si="486"/>
        <v>18.625017131474102</v>
      </c>
      <c r="AJ295" s="560">
        <f t="shared" si="487"/>
        <v>0</v>
      </c>
      <c r="AK295" s="560">
        <f t="shared" si="488"/>
        <v>0</v>
      </c>
      <c r="AL295" s="560">
        <f>(VLOOKUP(Sheet1!DC297,hhdcap_wcm,4)-(((VLOOKUP(Sheet1!DC297,hhdcap_wcm,3)-Sheet1!DC297)/(VLOOKUP(Sheet1!DC297,hhdcap_wcm,3)-VLOOKUP(Sheet1!DC297,hhdcap_wcm,1)))*(VLOOKUP(Sheet1!DC297,hhdcap_wcm,4)-VLOOKUP(Sheet1!DC297,hhdcap_wcm,2))))</f>
        <v>13624.000000032742</v>
      </c>
      <c r="AM295" s="560">
        <f t="shared" si="489"/>
        <v>-556.00000000190084</v>
      </c>
      <c r="AN295" s="560">
        <f t="shared" si="490"/>
        <v>891.56305641450456</v>
      </c>
      <c r="AO295" s="560">
        <f t="shared" si="491"/>
        <v>2735.3154570797001</v>
      </c>
      <c r="AP295" s="560">
        <f>Sheet1!BA297+Sheet1!BB297+Sheet1!BN297+CD295</f>
        <v>18.310000000000002</v>
      </c>
      <c r="AQ295" s="560">
        <f>Sheet1!BN297+(DO295*Sheet1!BN297)</f>
        <v>17.190869853917661</v>
      </c>
      <c r="AR295" s="560">
        <f>Sheet1!BA297+CD295</f>
        <v>0</v>
      </c>
      <c r="AS295" s="560">
        <f>Sheet1!BA297+Sheet1!BB297+CD295</f>
        <v>1.01</v>
      </c>
      <c r="AT295" s="698">
        <f>0</f>
        <v>0</v>
      </c>
      <c r="AU295" s="560">
        <f>IF(EB295&lt;K295,0,MAX(Sheet1!AA297+AQ295-15/36*K295-N295,Sheet1!EH297,0))</f>
        <v>0</v>
      </c>
      <c r="AV295" s="560">
        <f>IF(OR(B295&gt;=GD295,B295&lt;GC295),0,15/36*K295-MAX(0,64.6-(137.6-(Sheet1!AA297+Sheet1!AB297))))</f>
        <v>0</v>
      </c>
      <c r="AW295" s="698">
        <f>Sheet1!DB297-110</f>
        <v>368</v>
      </c>
      <c r="AX295" s="698">
        <f>Sheet1!DA297-265</f>
        <v>387</v>
      </c>
      <c r="AY295" s="698">
        <f t="shared" si="492"/>
        <v>24.07</v>
      </c>
      <c r="AZ295" s="698">
        <v>0</v>
      </c>
      <c r="BA295" s="698">
        <f t="shared" si="493"/>
        <v>0</v>
      </c>
      <c r="BB295" s="560">
        <f t="shared" si="494"/>
        <v>389.52566666666689</v>
      </c>
      <c r="BC295" s="560"/>
      <c r="BD295" s="560">
        <f ca="1">IF(B295&gt;Summary!$A$1,#N/A,BB295*MGtoAF)</f>
        <v>1195.064745333334</v>
      </c>
      <c r="BE295" s="560">
        <f>Sheet1!BG297+Sheet1!BH297+Sheet1!BI297-BM295</f>
        <v>2.21</v>
      </c>
      <c r="BF295" s="560">
        <f t="shared" si="495"/>
        <v>2.1960590969455511</v>
      </c>
      <c r="BG295" s="560">
        <f>IF(Sheet1!EP297="FM",BM295,0)</f>
        <v>0</v>
      </c>
      <c r="BH295" s="560">
        <f t="shared" si="496"/>
        <v>0</v>
      </c>
      <c r="BI295" s="560">
        <f>IF(Sheet1!EP297="OTHER",BM295,0)</f>
        <v>0</v>
      </c>
      <c r="BJ295" s="560">
        <f t="shared" si="497"/>
        <v>0</v>
      </c>
      <c r="BK295" s="560">
        <f t="shared" si="498"/>
        <v>2.21</v>
      </c>
      <c r="BL295" s="560">
        <f t="shared" si="499"/>
        <v>2.1960590969455511</v>
      </c>
      <c r="BM295" s="560">
        <f>IF(OR(Sheet1!EP297="FM", Sheet1!EP297="OTHER"),SUM(Sheet1!BG297:'Sheet1'!BI297),0)</f>
        <v>0</v>
      </c>
      <c r="BN295" s="545">
        <f>IF(AND($B295&gt;=$FV295,$B295&lt;=$FW295),MAX(BF295,Sheet1!EI297,0),MAX(BF295-(7/36)*$K295,0))</f>
        <v>2.5</v>
      </c>
      <c r="BO295" s="560">
        <f t="shared" si="500"/>
        <v>0</v>
      </c>
      <c r="BP295" s="545">
        <f t="shared" si="501"/>
        <v>0</v>
      </c>
      <c r="BQ295" s="545">
        <f>IF(AND($O295&gt;0,Sheet1!EM297=1),(1-($O295-Sheet1!$L297)/$O295)*BL295,0)</f>
        <v>0</v>
      </c>
      <c r="BR295" s="545">
        <f>IF(AND(Sheet1!$L297=0,Sheet1!$L296=0, Calculation!BK295&lt;Sheet1!$EI297-0.1,Sheet1!$EI297=Sheet1!$EI296,Sheet1!$EI297=Sheet1!$EI298),Sheet1!$EI297,BL295-BQ295)</f>
        <v>2.1960590969455511</v>
      </c>
      <c r="BS295" s="560"/>
      <c r="BT295" s="560"/>
      <c r="BU295" s="560">
        <f t="shared" si="502"/>
        <v>114.02176547029438</v>
      </c>
      <c r="BV295" s="560"/>
      <c r="BW295" s="560">
        <f ca="1">IF(B295&gt;Summary!$A$1,#N/A,BU295*MGtoAF)</f>
        <v>349.81877646286318</v>
      </c>
      <c r="BX295" s="560">
        <f>Sheet1!BC297+Sheet1!BD297+Sheet1!BE297+Sheet1!BF297-CG295-CH295</f>
        <v>2.52</v>
      </c>
      <c r="BY295" s="560">
        <f t="shared" si="503"/>
        <v>2.5041035856573703</v>
      </c>
      <c r="BZ295" s="560">
        <f>IF(Sheet1!EQ297="FM",CH295,0)</f>
        <v>0</v>
      </c>
      <c r="CA295" s="560">
        <f t="shared" si="504"/>
        <v>0</v>
      </c>
      <c r="CB295" s="560">
        <f>IF(Sheet1!EQ297="OTHER",CH295,0)</f>
        <v>0</v>
      </c>
      <c r="CC295" s="560">
        <f t="shared" si="505"/>
        <v>0</v>
      </c>
      <c r="CD295" s="560">
        <f t="shared" si="506"/>
        <v>0</v>
      </c>
      <c r="CE295" s="560">
        <f t="shared" si="507"/>
        <v>2.52</v>
      </c>
      <c r="CF295" s="560">
        <f t="shared" si="508"/>
        <v>2.5041035856573703</v>
      </c>
      <c r="CG295" s="560">
        <f>IF(Sheet1!EQ297="CWA",SUM(Sheet1!BC297:'Sheet1'!BF297),0)</f>
        <v>0</v>
      </c>
      <c r="CH295" s="560">
        <f>IF(OR(Sheet1!EQ297="FM", Sheet1!EQ297="OTHER"),SUM(Sheet1!BC297:'Sheet1'!BF297),0)</f>
        <v>0</v>
      </c>
      <c r="CI295" s="545">
        <f>IF(AND($B295&gt;=$FV295,$B295&lt;=$FW295),MAX(CF295,Sheet1!EJ297,0),MAX(CF295-(7/36)*$K295,0))</f>
        <v>2.5041035856573703</v>
      </c>
      <c r="CJ295" s="560">
        <f t="shared" si="509"/>
        <v>0</v>
      </c>
      <c r="CK295" s="545">
        <f t="shared" si="510"/>
        <v>0</v>
      </c>
      <c r="CL295" s="545">
        <f>IF(AND($O295&gt;0,Sheet1!EN297=1),(1-($O295-Sheet1!$L297)/$O295)*CF295,0)</f>
        <v>0</v>
      </c>
      <c r="CM295" s="545">
        <f>IF(AND(Sheet1!$L297=0,Sheet1!$L296=0, Calculation!CE295&lt;Sheet1!EJ297-0.1,Sheet1!EJ297=Sheet1!EJ296,Sheet1!EJ297=Sheet1!EJ298),Sheet1!EJ297,CF295-CL295)</f>
        <v>2.5041035856573703</v>
      </c>
      <c r="CN295" s="545"/>
      <c r="CO295" s="560"/>
      <c r="CP295" s="560">
        <f t="shared" si="511"/>
        <v>175.16069503300295</v>
      </c>
      <c r="CQ295" s="560"/>
      <c r="CR295" s="560">
        <f ca="1">IF(B295&gt;Summary!$A$1,#N/A,CP295*MGtoAF)</f>
        <v>537.39301236125311</v>
      </c>
      <c r="CS295" s="560">
        <f>Sheet1!BK297+Sheet1!BL297+Sheet1!BM297-Sheet1!ER297-DA295</f>
        <v>7.08</v>
      </c>
      <c r="CT295" s="560">
        <f t="shared" si="512"/>
        <v>7.0353386454183262</v>
      </c>
      <c r="CU295" s="560">
        <f>IF(Sheet1!ER297="FM",DA295,0)</f>
        <v>0</v>
      </c>
      <c r="CV295" s="560">
        <f t="shared" si="513"/>
        <v>0</v>
      </c>
      <c r="CW295" s="560">
        <f>IF(Sheet1!ER297="OTHER",DA295,0)</f>
        <v>0</v>
      </c>
      <c r="CX295" s="560">
        <f t="shared" si="514"/>
        <v>0</v>
      </c>
      <c r="CY295" s="560">
        <f t="shared" si="515"/>
        <v>7.08</v>
      </c>
      <c r="CZ295" s="560">
        <f t="shared" si="516"/>
        <v>7.0353386454183262</v>
      </c>
      <c r="DA295" s="560">
        <f>IF(OR(Sheet1!ER297="FM", Sheet1!ER297="OTHER"),SUM(Sheet1!BK297:'Sheet1'!BM297),0)</f>
        <v>0</v>
      </c>
      <c r="DB295" s="545">
        <f>IF(AND($B295&gt;=$FV295,$B295&lt;=$FW295),MAX($CT295,Sheet1!EK297,0),MAX($CT295-(7/36)*$K295,0))</f>
        <v>7.0353386454183262</v>
      </c>
      <c r="DC295" s="560">
        <f t="shared" si="517"/>
        <v>0</v>
      </c>
      <c r="DD295" s="545">
        <f t="shared" si="518"/>
        <v>0</v>
      </c>
      <c r="DE295" s="545">
        <f>IF(AND($O295&gt;0,Sheet1!EO297=1),(1-($O295-Sheet1!$L297)/$O295)*CZ295,0)</f>
        <v>0</v>
      </c>
      <c r="DF295" s="545">
        <f>IF(AND(Sheet1!$L297=0,Sheet1!$L296=0, Calculation!CY295&lt;Sheet1!$EK297-0.1,Sheet1!$EK297=Sheet1!$EK296,Sheet1!$EK297=Sheet1!$EK298),Sheet1!$EK297,CZ295-DE295)</f>
        <v>7.0353386454183262</v>
      </c>
      <c r="DG295" s="545"/>
      <c r="DH295" s="560">
        <f t="shared" si="519"/>
        <v>11.81</v>
      </c>
      <c r="DI295" s="560">
        <f t="shared" si="520"/>
        <v>212.85492924454036</v>
      </c>
      <c r="DJ295" s="698">
        <f t="shared" si="521"/>
        <v>11.735501328021247</v>
      </c>
      <c r="DK295" s="560">
        <f ca="1">IF(B295&gt;Summary!$A$1,#N/A,DI295*MGtoAF)</f>
        <v>653.03892292224987</v>
      </c>
      <c r="DL295" s="698">
        <f t="shared" si="522"/>
        <v>11.809999999999999</v>
      </c>
      <c r="DM295" s="560">
        <f t="shared" si="523"/>
        <v>30.12</v>
      </c>
      <c r="DN295" s="560">
        <f>Sheet1!AB297-DM295</f>
        <v>-0.19000000000000128</v>
      </c>
      <c r="DO295" s="823">
        <f t="shared" si="524"/>
        <v>-6.3081009296149159E-3</v>
      </c>
      <c r="DP295" s="560">
        <f>(VLOOKUP(Sheet1!DC297,hhdcap_wcm,4)-(((VLOOKUP(Sheet1!DC297,hhdcap_wcm,3)-Sheet1!DC297)/(VLOOKUP(Sheet1!DC297,hhdcap_wcm,3)-VLOOKUP(Sheet1!DC297,hhdcap_wcm,1)))*(VLOOKUP(Sheet1!DC297,hhdcap_wcm,4)-VLOOKUP(Sheet1!DC297,hhdcap_wcm,2))))</f>
        <v>13624.000000032742</v>
      </c>
      <c r="DQ295" s="560">
        <f t="shared" si="525"/>
        <v>-556.00000000190084</v>
      </c>
      <c r="DR295" s="560">
        <f t="shared" si="526"/>
        <v>-280.38325769132666</v>
      </c>
      <c r="DS295" s="560">
        <f>Sheet1!EA297*AFtoMG</f>
        <v>0</v>
      </c>
      <c r="DT295" s="560">
        <f>Sheet1!EB297*AFtoMG</f>
        <v>0</v>
      </c>
      <c r="DU295" s="560">
        <f>Sheet1!EC297*AFtoMG</f>
        <v>0</v>
      </c>
      <c r="DV295" s="560">
        <f>Sheet1!ED297*AFtoMG</f>
        <v>0</v>
      </c>
      <c r="DW295" s="560">
        <f t="shared" si="527"/>
        <v>0</v>
      </c>
      <c r="DX295" s="560">
        <f t="shared" si="528"/>
        <v>0</v>
      </c>
      <c r="DY295" s="560">
        <f t="shared" si="529"/>
        <v>891.56305641450456</v>
      </c>
      <c r="DZ295" s="560">
        <f t="shared" si="530"/>
        <v>2735.3154570797001</v>
      </c>
      <c r="EA295" s="560"/>
      <c r="EB295" s="545">
        <f>IF(OR(B295&lt;FV295,B295&gt;FW295),(MIN(BF295+BY295+CT295+MAX(Sheet1!AA297+AQ295-73,0),K295)),0)</f>
        <v>0</v>
      </c>
      <c r="EC295" s="560"/>
      <c r="ED295" s="560">
        <f t="shared" si="531"/>
        <v>11.735501328021249</v>
      </c>
      <c r="EE295" s="560"/>
      <c r="EF295" s="560">
        <f>Sheet1!EH297+Sheet1!EI297+Sheet1!EJ297+Sheet1!EK297</f>
        <v>12</v>
      </c>
      <c r="EG295" s="560"/>
      <c r="EH295" s="545">
        <f t="shared" si="532"/>
        <v>0</v>
      </c>
      <c r="EI295" s="560">
        <f>IF(Sheet1!ET297=1,SUM('Calculations II'!AT295:BA295)+'Calculations II'!BC295+Sheet1!BV297+'Calculations II'!BE295+AP295,SUM('Calculations II'!AT295:BA295)+'Calculations II'!BC295+Sheet1!BV297+'Calculations II'!BE295+AP295)</f>
        <v>56.941968000000003</v>
      </c>
      <c r="EJ295" s="560">
        <f>Sheet1!AA297+Sheet1!AB297+'Calculations II'!BC295</f>
        <v>60.93</v>
      </c>
      <c r="EK295" s="560"/>
      <c r="EL295" s="560"/>
      <c r="EM295" s="560">
        <f t="shared" si="533"/>
        <v>41923</v>
      </c>
      <c r="EN295" s="560">
        <f t="shared" si="534"/>
        <v>-12.039442231075697</v>
      </c>
      <c r="EO295" s="560">
        <f t="shared" si="535"/>
        <v>-18.625017131474102</v>
      </c>
      <c r="EP295" s="560">
        <v>0</v>
      </c>
      <c r="EQ295" s="560">
        <v>0</v>
      </c>
      <c r="ER295" s="560">
        <v>0</v>
      </c>
      <c r="ES295" s="545">
        <f t="shared" si="557"/>
        <v>-0.69288534619123121</v>
      </c>
      <c r="ET295" s="560">
        <f>-(VLOOKUP(Sheet1!BQ297,Lookup!$O$4:$Q$262,2)-VLOOKUP(Sheet1!BQ296,Lookup!$O$4:$Q$262,2))/1000000</f>
        <v>-0.27714259977391364</v>
      </c>
      <c r="EU295" s="560">
        <f>-(VLOOKUP(Sheet1!BR297,Lookup!$O$4:$Q$262,3)-VLOOKUP(Sheet1!BR296,Lookup!$O$4:$Q$262,3))/1000000</f>
        <v>-0.41574274641731757</v>
      </c>
      <c r="EV295" s="560"/>
      <c r="EW295" s="560"/>
      <c r="EX295" s="560"/>
      <c r="EY295" s="560"/>
      <c r="EZ295" s="560"/>
      <c r="FA295" s="560"/>
      <c r="FB295" s="560"/>
      <c r="FC295" s="560"/>
      <c r="FD295" s="594">
        <f t="shared" si="536"/>
        <v>1108.4999999999486</v>
      </c>
      <c r="FE295" s="594" t="e">
        <f t="shared" si="537"/>
        <v>#N/A</v>
      </c>
      <c r="FF295" s="595" t="e">
        <f t="shared" si="538"/>
        <v>#N/A</v>
      </c>
      <c r="FG295" s="596" t="s">
        <v>692</v>
      </c>
      <c r="FH295" s="596" t="s">
        <v>692</v>
      </c>
      <c r="FI295" s="594" t="e">
        <v>#N/A</v>
      </c>
      <c r="FJ295" s="778">
        <v>6893</v>
      </c>
      <c r="FK295" s="560"/>
      <c r="FL295" s="560"/>
      <c r="FM295" s="560"/>
      <c r="FN295" s="560"/>
      <c r="FO295" s="560">
        <f>O295+((Sheet1!CS297)*GPMtoMGD)</f>
        <v>60.93</v>
      </c>
      <c r="FP295" s="560">
        <f>IF(Sheet1!AA297+AQ295&lt;=Calculation!N295,AQ295,Calculation!N295-Sheet1!AA297)</f>
        <v>17.190869853917661</v>
      </c>
      <c r="FQ295" s="560">
        <f>(Sheet1!BP297+Sheet1!BO297)/694.4</f>
        <v>2.382488479262673</v>
      </c>
      <c r="FR295" s="560"/>
      <c r="FS295" s="560"/>
      <c r="FT295" s="560"/>
      <c r="FU295" s="560"/>
      <c r="FV295" s="695">
        <f t="shared" si="558"/>
        <v>41827</v>
      </c>
      <c r="FW295" s="695">
        <f t="shared" si="559"/>
        <v>41934</v>
      </c>
      <c r="FX295" s="560"/>
      <c r="FY295" s="560"/>
      <c r="FZ295" s="560"/>
      <c r="GA295" s="560"/>
      <c r="GB295" s="560" t="str">
        <f t="shared" si="560"/>
        <v>n</v>
      </c>
      <c r="GC295" s="564">
        <f t="shared" si="561"/>
        <v>41691</v>
      </c>
      <c r="GD295" s="695">
        <f t="shared" si="562"/>
        <v>41807</v>
      </c>
      <c r="GE295" s="560">
        <v>6518.9</v>
      </c>
      <c r="GF295" s="695">
        <f t="shared" si="563"/>
        <v>41808</v>
      </c>
      <c r="GG295" s="560">
        <f t="shared" si="582"/>
        <v>3259</v>
      </c>
      <c r="GH295" s="564">
        <f t="shared" si="564"/>
        <v>41934</v>
      </c>
      <c r="GJ295" s="545">
        <f t="shared" si="565"/>
        <v>0</v>
      </c>
      <c r="GK295" s="560" t="str">
        <f t="shared" si="539"/>
        <v/>
      </c>
      <c r="GL295" s="560">
        <f t="shared" si="566"/>
        <v>0</v>
      </c>
      <c r="GM295" s="560" t="str">
        <f t="shared" si="567"/>
        <v/>
      </c>
      <c r="GN295" s="560">
        <f>IF(GK295="P",Lookup!$M$12,IF(GK295="PP",Lookup!$M$13,IF(GK295="PPP",Lookup!$M$14,IF(GK295="T",Lookup!$M$15,IF(GK295="TP",Lookup!$M$16,IF(GK295="TPP",Lookup!$M$17,IF(GK295="TPPP",Lookup!$M$18,0)))))))*GJ295</f>
        <v>0</v>
      </c>
      <c r="GO295" s="560">
        <f t="shared" si="568"/>
        <v>0</v>
      </c>
      <c r="GP295" s="560">
        <f t="shared" si="540"/>
        <v>1195.064745333334</v>
      </c>
      <c r="GQ295" s="560">
        <f t="shared" si="576"/>
        <v>389.52566666666689</v>
      </c>
      <c r="GR295" s="560"/>
      <c r="GS295" s="560">
        <f t="shared" si="569"/>
        <v>0</v>
      </c>
      <c r="GT295" s="560" t="str">
        <f t="shared" si="570"/>
        <v/>
      </c>
      <c r="GU295" s="560">
        <f>IF(GK295="P",Lookup!$N$12,IF(GK295="PP",Lookup!$N$13,IF(GK295="PPP",Lookup!$N$14,IF(GK295="T",Lookup!$N$15,IF(GK295="TP",Lookup!$N$16,IF(GK295="TPP",Lookup!$N$17,IF(GK295="TPPP",Lookup!$N$18,0)))))))*GJ295</f>
        <v>0</v>
      </c>
      <c r="GV295" s="560">
        <f t="shared" si="571"/>
        <v>0</v>
      </c>
      <c r="GW295" s="560">
        <f t="shared" si="541"/>
        <v>349.81877646286318</v>
      </c>
      <c r="GX295" s="560">
        <f t="shared" si="577"/>
        <v>114.02176547029438</v>
      </c>
      <c r="GY295" s="560"/>
      <c r="GZ295" s="560">
        <f t="shared" si="572"/>
        <v>0</v>
      </c>
      <c r="HA295" s="560" t="str">
        <f t="shared" si="573"/>
        <v/>
      </c>
      <c r="HB295" s="560">
        <f>IF(GK295="P",Lookup!$N$12,IF(GK295="PP",Lookup!$N$13,IF(GK295="PPP",Lookup!$N$14,IF(GK295="T",Lookup!$N$15,IF(GK295="TP",Lookup!$N$16,IF(GK295="TPP",Lookup!$N$17,IF(GK295="TPPP",Lookup!$N$18,0)))))))*GJ295</f>
        <v>0</v>
      </c>
      <c r="HC295" s="545">
        <f t="shared" si="542"/>
        <v>0</v>
      </c>
      <c r="HD295" s="560">
        <f t="shared" si="543"/>
        <v>537.39301236125311</v>
      </c>
      <c r="HE295" s="560">
        <f t="shared" si="578"/>
        <v>175.16069503300295</v>
      </c>
      <c r="HF295" s="560"/>
      <c r="HG295" s="560">
        <f t="shared" si="574"/>
        <v>0</v>
      </c>
      <c r="HH295" s="560" t="str">
        <f t="shared" si="575"/>
        <v/>
      </c>
      <c r="HI295" s="560">
        <f>IF(GK295="P",Lookup!$N$12,IF(GK295="PP",Lookup!$N$13,IF(GK295="PPP",Lookup!$N$14,IF(GK295="T",Lookup!$N$15,IF(GK295="TP",Lookup!$N$16,IF(GK295="TPP",Lookup!$N$17,IF(GK295="TPPP",Lookup!$N$18,0)))))))*GJ295</f>
        <v>0</v>
      </c>
      <c r="HJ295" s="545">
        <f t="shared" si="544"/>
        <v>0</v>
      </c>
      <c r="HK295" s="560">
        <f t="shared" si="545"/>
        <v>653.03892292224987</v>
      </c>
      <c r="HL295" s="560">
        <f t="shared" si="579"/>
        <v>212.85492924454036</v>
      </c>
    </row>
    <row r="296" spans="1:220">
      <c r="A296" s="580" t="s">
        <v>3</v>
      </c>
      <c r="B296" s="556">
        <v>41924</v>
      </c>
      <c r="C296" s="561">
        <v>0</v>
      </c>
      <c r="D296" s="529">
        <f t="shared" si="580"/>
        <v>300</v>
      </c>
      <c r="E296" s="529">
        <f t="shared" si="581"/>
        <v>250</v>
      </c>
      <c r="F296" s="529">
        <v>250</v>
      </c>
      <c r="G296" s="560">
        <f>DR296+Sheet1!CZ298</f>
        <v>327.3761976794022</v>
      </c>
      <c r="H296" s="914">
        <f t="shared" si="546"/>
        <v>0</v>
      </c>
      <c r="I296" s="559">
        <f>MAX(Sheet1!Z298-AT296+(Sheet1!DA298-E296)*CFStoMGD,0)</f>
        <v>293.01479999999998</v>
      </c>
      <c r="J296" s="562">
        <f>IF(AND(B296&gt;=Calculation!GC296,B296&lt;=Calculation!GD296),IF(Sheet1!DB298&gt;=Calculation!D296,64.64,0),MAX(Sheet1!Z298-AT296+(Sheet1!DB298-D296)*CFStoMGD,0))</f>
        <v>130.12199999999999</v>
      </c>
      <c r="K296" s="904">
        <f t="shared" si="481"/>
        <v>0</v>
      </c>
      <c r="L296" s="560">
        <f>Sheet1!AA298+Sheet1!AB298-Sheet1!L298+(Sheet1!DA298-F296)*CFStoMGD</f>
        <v>321.4348</v>
      </c>
      <c r="M296" s="560">
        <f t="shared" si="482"/>
        <v>215.8482936635649</v>
      </c>
      <c r="N296" s="910">
        <f>IF(Sheet1!DA298&gt;=F296,MIN(73,MIN(MAX(L296,0),MAX(M296,0))),0)</f>
        <v>73</v>
      </c>
      <c r="O296" s="563">
        <f>Sheet1!AA298+Sheet1!AB298</f>
        <v>58.349999999999994</v>
      </c>
      <c r="P296" s="563">
        <f t="shared" si="483"/>
        <v>90.267449999999997</v>
      </c>
      <c r="Q296" s="898">
        <f t="shared" si="547"/>
        <v>46.349999999999994</v>
      </c>
      <c r="R296" s="829">
        <f t="shared" si="484"/>
        <v>12</v>
      </c>
      <c r="S296" s="898">
        <f t="shared" si="548"/>
        <v>0</v>
      </c>
      <c r="T296" s="898">
        <f t="shared" si="549"/>
        <v>0</v>
      </c>
      <c r="U296" s="898">
        <f t="shared" si="550"/>
        <v>12</v>
      </c>
      <c r="V296" s="898"/>
      <c r="W296" s="898">
        <f t="shared" si="551"/>
        <v>0</v>
      </c>
      <c r="X296" s="898">
        <f t="shared" si="552"/>
        <v>0</v>
      </c>
      <c r="Y296" s="898" t="str">
        <f t="shared" si="553"/>
        <v>FALSE</v>
      </c>
      <c r="Z296" s="898">
        <f t="shared" si="554"/>
        <v>58.349999999999994</v>
      </c>
      <c r="AA296" s="898">
        <f t="shared" si="555"/>
        <v>58.349999999999994</v>
      </c>
      <c r="AB296" s="898" t="str">
        <f t="shared" si="556"/>
        <v/>
      </c>
      <c r="AC296" s="563">
        <f>Sheet1!Y298*MGDtoCFS</f>
        <v>47.957000000000001</v>
      </c>
      <c r="AD296" s="563">
        <f>Sheet1!Z298*MGDtoCFS</f>
        <v>46.30171</v>
      </c>
      <c r="AE296" s="563">
        <f>Sheet1!AA298*MGDtoCFS</f>
        <v>48.189049999999995</v>
      </c>
      <c r="AF296" s="563">
        <f>Sheet1!AB298*MGDtoCFS</f>
        <v>42.078399999999995</v>
      </c>
      <c r="AG296" s="563">
        <f>Sheet1!L298*MGDtoCFS</f>
        <v>0</v>
      </c>
      <c r="AH296" s="545">
        <f t="shared" si="485"/>
        <v>12</v>
      </c>
      <c r="AI296" s="560">
        <f t="shared" si="486"/>
        <v>18.564</v>
      </c>
      <c r="AJ296" s="560">
        <f t="shared" si="487"/>
        <v>0</v>
      </c>
      <c r="AK296" s="560">
        <f t="shared" si="488"/>
        <v>0</v>
      </c>
      <c r="AL296" s="560">
        <f>(VLOOKUP(Sheet1!DC298,hhdcap_wcm,4)-(((VLOOKUP(Sheet1!DC298,hhdcap_wcm,3)-Sheet1!DC298)/(VLOOKUP(Sheet1!DC298,hhdcap_wcm,3)-VLOOKUP(Sheet1!DC298,hhdcap_wcm,1)))*(VLOOKUP(Sheet1!DC298,hhdcap_wcm,4)-VLOOKUP(Sheet1!DC298,hhdcap_wcm,2))))</f>
        <v>13105.200000030996</v>
      </c>
      <c r="AM296" s="560">
        <f t="shared" si="489"/>
        <v>-518.8000000017455</v>
      </c>
      <c r="AN296" s="560">
        <f t="shared" si="490"/>
        <v>879.56305641450456</v>
      </c>
      <c r="AO296" s="560">
        <f t="shared" si="491"/>
        <v>2698.4994570796998</v>
      </c>
      <c r="AP296" s="560">
        <f>Sheet1!BA298+Sheet1!BB298+Sheet1!BN298+CD296</f>
        <v>15.61</v>
      </c>
      <c r="AQ296" s="560">
        <f>Sheet1!BN298+(DO296*Sheet1!BN298)</f>
        <v>14.509316770186334</v>
      </c>
      <c r="AR296" s="560">
        <f>Sheet1!BA298+CD296</f>
        <v>0</v>
      </c>
      <c r="AS296" s="560">
        <f>Sheet1!BA298+Sheet1!BB298+CD296</f>
        <v>1.01</v>
      </c>
      <c r="AT296" s="698">
        <f>0</f>
        <v>0</v>
      </c>
      <c r="AU296" s="560">
        <f>IF(EB296&lt;K296,0,MAX(Sheet1!AA298+AQ296-15/36*K296-N296,Sheet1!EH298,0))</f>
        <v>0</v>
      </c>
      <c r="AV296" s="560">
        <f>IF(OR(B296&gt;=GD296,B296&lt;GC296),0,15/36*K296-MAX(0,64.6-(137.6-(Sheet1!AA298+Sheet1!AB298))))</f>
        <v>0</v>
      </c>
      <c r="AW296" s="698">
        <f>Sheet1!DB298-110</f>
        <v>345</v>
      </c>
      <c r="AX296" s="698">
        <f>Sheet1!DA298-265</f>
        <v>392</v>
      </c>
      <c r="AY296" s="698">
        <f t="shared" si="492"/>
        <v>26.650000000000006</v>
      </c>
      <c r="AZ296" s="698">
        <v>0</v>
      </c>
      <c r="BA296" s="698">
        <f t="shared" si="493"/>
        <v>0</v>
      </c>
      <c r="BB296" s="560">
        <f t="shared" si="494"/>
        <v>389.52566666666689</v>
      </c>
      <c r="BC296" s="560"/>
      <c r="BD296" s="560">
        <f ca="1">IF(B296&gt;Summary!$A$1,#N/A,BB296*MGtoAF)</f>
        <v>1195.064745333334</v>
      </c>
      <c r="BE296" s="560">
        <f>Sheet1!BG298+Sheet1!BH298+Sheet1!BI298-BM296</f>
        <v>2.21</v>
      </c>
      <c r="BF296" s="560">
        <f t="shared" si="495"/>
        <v>2.1962732919254657</v>
      </c>
      <c r="BG296" s="560">
        <f>IF(Sheet1!EP298="FM",BM296,0)</f>
        <v>0</v>
      </c>
      <c r="BH296" s="560">
        <f t="shared" si="496"/>
        <v>0</v>
      </c>
      <c r="BI296" s="560">
        <f>IF(Sheet1!EP298="OTHER",BM296,0)</f>
        <v>0</v>
      </c>
      <c r="BJ296" s="560">
        <f t="shared" si="497"/>
        <v>0</v>
      </c>
      <c r="BK296" s="560">
        <f t="shared" si="498"/>
        <v>2.21</v>
      </c>
      <c r="BL296" s="560">
        <f t="shared" si="499"/>
        <v>2.1962732919254657</v>
      </c>
      <c r="BM296" s="560">
        <f>IF(OR(Sheet1!EP298="FM", Sheet1!EP298="OTHER"),SUM(Sheet1!BG298:'Sheet1'!BI298),0)</f>
        <v>0</v>
      </c>
      <c r="BN296" s="545">
        <f>IF(AND($B296&gt;=$FV296,$B296&lt;=$FW296),MAX(BF296,Sheet1!EI298,0),MAX(BF296-(7/36)*$K296,0))</f>
        <v>2.5</v>
      </c>
      <c r="BO296" s="560">
        <f t="shared" si="500"/>
        <v>0</v>
      </c>
      <c r="BP296" s="545">
        <f t="shared" si="501"/>
        <v>0</v>
      </c>
      <c r="BQ296" s="545">
        <f>IF(AND($O296&gt;0,Sheet1!EM298=1),(1-($O296-Sheet1!$L298)/$O296)*BL296,0)</f>
        <v>0</v>
      </c>
      <c r="BR296" s="545">
        <f>IF(AND(Sheet1!$L298=0,Sheet1!$L297=0, Calculation!BK296&lt;Sheet1!$EI298-0.1,Sheet1!$EI298=Sheet1!$EI297,Sheet1!$EI298=Sheet1!$EI299),Sheet1!$EI298,BL296-BQ296)</f>
        <v>2.1962732919254657</v>
      </c>
      <c r="BS296" s="560"/>
      <c r="BT296" s="560"/>
      <c r="BU296" s="560">
        <f t="shared" si="502"/>
        <v>111.52176547029438</v>
      </c>
      <c r="BV296" s="560"/>
      <c r="BW296" s="560">
        <f ca="1">IF(B296&gt;Summary!$A$1,#N/A,BU296*MGtoAF)</f>
        <v>342.14877646286317</v>
      </c>
      <c r="BX296" s="560">
        <f>Sheet1!BC298+Sheet1!BD298+Sheet1!BE298+Sheet1!BF298-CG296-CH296</f>
        <v>2.5099999999999998</v>
      </c>
      <c r="BY296" s="560">
        <f t="shared" si="503"/>
        <v>2.4944099378881983</v>
      </c>
      <c r="BZ296" s="560">
        <f>IF(Sheet1!EQ298="FM",CH296,0)</f>
        <v>0</v>
      </c>
      <c r="CA296" s="560">
        <f t="shared" si="504"/>
        <v>0</v>
      </c>
      <c r="CB296" s="560">
        <f>IF(Sheet1!EQ298="OTHER",CH296,0)</f>
        <v>0</v>
      </c>
      <c r="CC296" s="560">
        <f t="shared" si="505"/>
        <v>0</v>
      </c>
      <c r="CD296" s="560">
        <f t="shared" si="506"/>
        <v>0</v>
      </c>
      <c r="CE296" s="560">
        <f t="shared" si="507"/>
        <v>2.5099999999999998</v>
      </c>
      <c r="CF296" s="560">
        <f t="shared" si="508"/>
        <v>2.4944099378881983</v>
      </c>
      <c r="CG296" s="560">
        <f>IF(Sheet1!EQ298="CWA",SUM(Sheet1!BC298:'Sheet1'!BF298),0)</f>
        <v>0</v>
      </c>
      <c r="CH296" s="560">
        <f>IF(OR(Sheet1!EQ298="FM", Sheet1!EQ298="OTHER"),SUM(Sheet1!BC298:'Sheet1'!BF298),0)</f>
        <v>0</v>
      </c>
      <c r="CI296" s="545">
        <f>IF(AND($B296&gt;=$FV296,$B296&lt;=$FW296),MAX(CF296,Sheet1!EJ298,0),MAX(CF296-(7/36)*$K296,0))</f>
        <v>2.5</v>
      </c>
      <c r="CJ296" s="560">
        <f t="shared" si="509"/>
        <v>0</v>
      </c>
      <c r="CK296" s="545">
        <f t="shared" si="510"/>
        <v>0</v>
      </c>
      <c r="CL296" s="545">
        <f>IF(AND($O296&gt;0,Sheet1!EN298=1),(1-($O296-Sheet1!$L298)/$O296)*CF296,0)</f>
        <v>0</v>
      </c>
      <c r="CM296" s="545">
        <f>IF(AND(Sheet1!$L298=0,Sheet1!$L297=0, Calculation!CE296&lt;Sheet1!EJ298-0.1,Sheet1!EJ298=Sheet1!EJ297,Sheet1!EJ298=Sheet1!EJ299),Sheet1!EJ298,CF296-CL296)</f>
        <v>2.4944099378881983</v>
      </c>
      <c r="CN296" s="545"/>
      <c r="CO296" s="560"/>
      <c r="CP296" s="560">
        <f t="shared" si="511"/>
        <v>172.66069503300295</v>
      </c>
      <c r="CQ296" s="560"/>
      <c r="CR296" s="560">
        <f ca="1">IF(B296&gt;Summary!$A$1,#N/A,CP296*MGtoAF)</f>
        <v>529.72301236125304</v>
      </c>
      <c r="CS296" s="560">
        <f>Sheet1!BK298+Sheet1!BL298+Sheet1!BM298-Sheet1!ER298-DA296</f>
        <v>7.04</v>
      </c>
      <c r="CT296" s="560">
        <f t="shared" si="512"/>
        <v>6.9962732919254655</v>
      </c>
      <c r="CU296" s="560">
        <f>IF(Sheet1!ER298="FM",DA296,0)</f>
        <v>0</v>
      </c>
      <c r="CV296" s="560">
        <f t="shared" si="513"/>
        <v>0</v>
      </c>
      <c r="CW296" s="560">
        <f>IF(Sheet1!ER298="OTHER",DA296,0)</f>
        <v>0</v>
      </c>
      <c r="CX296" s="560">
        <f t="shared" si="514"/>
        <v>0</v>
      </c>
      <c r="CY296" s="560">
        <f t="shared" si="515"/>
        <v>7.04</v>
      </c>
      <c r="CZ296" s="560">
        <f t="shared" si="516"/>
        <v>6.9962732919254655</v>
      </c>
      <c r="DA296" s="560">
        <f>IF(OR(Sheet1!ER298="FM", Sheet1!ER298="OTHER"),SUM(Sheet1!BK298:'Sheet1'!BM298),0)</f>
        <v>0</v>
      </c>
      <c r="DB296" s="545">
        <f>IF(AND($B296&gt;=$FV296,$B296&lt;=$FW296),MAX($CT296,Sheet1!EK298,0),MAX($CT296-(7/36)*$K296,0))</f>
        <v>7</v>
      </c>
      <c r="DC296" s="560">
        <f t="shared" si="517"/>
        <v>0</v>
      </c>
      <c r="DD296" s="545">
        <f t="shared" si="518"/>
        <v>0</v>
      </c>
      <c r="DE296" s="545">
        <f>IF(AND($O296&gt;0,Sheet1!EO298=1),(1-($O296-Sheet1!$L298)/$O296)*CZ296,0)</f>
        <v>0</v>
      </c>
      <c r="DF296" s="545">
        <f>IF(AND(Sheet1!$L298=0,Sheet1!$L297=0, Calculation!CY296&lt;Sheet1!$EK298-0.1,Sheet1!$EK298=Sheet1!$EK297,Sheet1!$EK298=Sheet1!$EK299),Sheet1!$EK298,CZ296-DE296)</f>
        <v>6.9962732919254655</v>
      </c>
      <c r="DG296" s="545"/>
      <c r="DH296" s="560">
        <f t="shared" si="519"/>
        <v>11.76</v>
      </c>
      <c r="DI296" s="560">
        <f t="shared" si="520"/>
        <v>205.85492924454036</v>
      </c>
      <c r="DJ296" s="698">
        <f t="shared" si="521"/>
        <v>11.68695652173913</v>
      </c>
      <c r="DK296" s="560">
        <f ca="1">IF(B296&gt;Summary!$A$1,#N/A,DI296*MGtoAF)</f>
        <v>631.56292292224987</v>
      </c>
      <c r="DL296" s="698">
        <f t="shared" si="522"/>
        <v>11.760000000000002</v>
      </c>
      <c r="DM296" s="560">
        <f t="shared" si="523"/>
        <v>27.37</v>
      </c>
      <c r="DN296" s="560">
        <f>Sheet1!AB298-DM296</f>
        <v>-0.17000000000000171</v>
      </c>
      <c r="DO296" s="823">
        <f t="shared" si="524"/>
        <v>-6.2111801242236645E-3</v>
      </c>
      <c r="DP296" s="560">
        <f>(VLOOKUP(Sheet1!DC298,hhdcap_wcm,4)-(((VLOOKUP(Sheet1!DC298,hhdcap_wcm,3)-Sheet1!DC298)/(VLOOKUP(Sheet1!DC298,hhdcap_wcm,3)-VLOOKUP(Sheet1!DC298,hhdcap_wcm,1)))*(VLOOKUP(Sheet1!DC298,hhdcap_wcm,4)-VLOOKUP(Sheet1!DC298,hhdcap_wcm,2))))</f>
        <v>13105.200000030996</v>
      </c>
      <c r="DQ296" s="560">
        <f t="shared" si="525"/>
        <v>-518.8000000017455</v>
      </c>
      <c r="DR296" s="560">
        <f t="shared" si="526"/>
        <v>-261.6238023205978</v>
      </c>
      <c r="DS296" s="560">
        <f>Sheet1!EA298*AFtoMG</f>
        <v>0</v>
      </c>
      <c r="DT296" s="560">
        <f>Sheet1!EB298*AFtoMG</f>
        <v>0</v>
      </c>
      <c r="DU296" s="560">
        <f>Sheet1!EC298*AFtoMG</f>
        <v>0</v>
      </c>
      <c r="DV296" s="560">
        <f>Sheet1!ED298*AFtoMG</f>
        <v>0</v>
      </c>
      <c r="DW296" s="560">
        <f t="shared" si="527"/>
        <v>0</v>
      </c>
      <c r="DX296" s="560">
        <f t="shared" si="528"/>
        <v>0</v>
      </c>
      <c r="DY296" s="560">
        <f t="shared" si="529"/>
        <v>879.56305641450456</v>
      </c>
      <c r="DZ296" s="560">
        <f t="shared" si="530"/>
        <v>2698.4994570796998</v>
      </c>
      <c r="EA296" s="560"/>
      <c r="EB296" s="545">
        <f>IF(OR(B296&lt;FV296,B296&gt;FW296),(MIN(BF296+BY296+CT296+MAX(Sheet1!AA298+AQ296-73,0),K296)),0)</f>
        <v>0</v>
      </c>
      <c r="EC296" s="560"/>
      <c r="ED296" s="560">
        <f t="shared" si="531"/>
        <v>11.686956521739129</v>
      </c>
      <c r="EE296" s="560"/>
      <c r="EF296" s="560">
        <f>Sheet1!EH298+Sheet1!EI298+Sheet1!EJ298+Sheet1!EK298</f>
        <v>12</v>
      </c>
      <c r="EG296" s="560"/>
      <c r="EH296" s="545">
        <f t="shared" si="532"/>
        <v>0</v>
      </c>
      <c r="EI296" s="560">
        <f>IF(Sheet1!ET298=1,SUM('Calculations II'!AT296:BA296)+'Calculations II'!BC296+Sheet1!BV298+'Calculations II'!BE296+AP296,SUM('Calculations II'!AT296:BA296)+'Calculations II'!BC296+Sheet1!BV298+'Calculations II'!BE296+AP296)</f>
        <v>56.970415999999993</v>
      </c>
      <c r="EJ296" s="560">
        <f>Sheet1!AA298+Sheet1!AB298+'Calculations II'!BC296</f>
        <v>58.349999999999994</v>
      </c>
      <c r="EK296" s="560"/>
      <c r="EL296" s="560"/>
      <c r="EM296" s="560">
        <f t="shared" si="533"/>
        <v>41924</v>
      </c>
      <c r="EN296" s="560">
        <f t="shared" si="534"/>
        <v>-12</v>
      </c>
      <c r="EO296" s="560">
        <f t="shared" si="535"/>
        <v>-18.564</v>
      </c>
      <c r="EP296" s="560">
        <v>0</v>
      </c>
      <c r="EQ296" s="560">
        <v>0</v>
      </c>
      <c r="ER296" s="560">
        <v>0</v>
      </c>
      <c r="ES296" s="545">
        <f t="shared" si="557"/>
        <v>1.8013275445420818</v>
      </c>
      <c r="ET296" s="560">
        <f>-(VLOOKUP(Sheet1!BQ298,Lookup!$O$4:$Q$262,2)-VLOOKUP(Sheet1!BQ297,Lookup!$O$4:$Q$262,2))/1000000</f>
        <v>0.8313508791704588</v>
      </c>
      <c r="EU296" s="560">
        <f>-(VLOOKUP(Sheet1!BR298,Lookup!$O$4:$Q$262,3)-VLOOKUP(Sheet1!BR297,Lookup!$O$4:$Q$262,3))/1000000</f>
        <v>0.96997666537162286</v>
      </c>
      <c r="EV296" s="560"/>
      <c r="EW296" s="560"/>
      <c r="EX296" s="560"/>
      <c r="EY296" s="560"/>
      <c r="EZ296" s="560"/>
      <c r="FA296" s="560"/>
      <c r="FB296" s="560"/>
      <c r="FC296" s="560"/>
      <c r="FD296" s="594">
        <f t="shared" si="536"/>
        <v>1107.8099999999492</v>
      </c>
      <c r="FE296" s="594" t="e">
        <f t="shared" si="537"/>
        <v>#N/A</v>
      </c>
      <c r="FF296" s="595" t="e">
        <f t="shared" si="538"/>
        <v>#N/A</v>
      </c>
      <c r="FG296" s="596" t="s">
        <v>692</v>
      </c>
      <c r="FH296" s="596" t="s">
        <v>692</v>
      </c>
      <c r="FI296" s="594" t="e">
        <v>#N/A</v>
      </c>
      <c r="FJ296" s="778">
        <v>6683</v>
      </c>
      <c r="FK296" s="560"/>
      <c r="FL296" s="560"/>
      <c r="FM296" s="560"/>
      <c r="FN296" s="560"/>
      <c r="FO296" s="560">
        <f>O296+((Sheet1!CS298)*GPMtoMGD)</f>
        <v>58.349999999999994</v>
      </c>
      <c r="FP296" s="560">
        <f>IF(Sheet1!AA298+AQ296&lt;=Calculation!N296,AQ296,Calculation!N296-Sheet1!AA298)</f>
        <v>14.509316770186334</v>
      </c>
      <c r="FQ296" s="560">
        <f>(Sheet1!BP298+Sheet1!BO298)/694.4</f>
        <v>0.81581221198156684</v>
      </c>
      <c r="FR296" s="560"/>
      <c r="FS296" s="560"/>
      <c r="FT296" s="560"/>
      <c r="FU296" s="560"/>
      <c r="FV296" s="695">
        <f t="shared" si="558"/>
        <v>41827</v>
      </c>
      <c r="FW296" s="695">
        <f t="shared" si="559"/>
        <v>41934</v>
      </c>
      <c r="FX296" s="560"/>
      <c r="FY296" s="560"/>
      <c r="FZ296" s="560"/>
      <c r="GA296" s="560"/>
      <c r="GB296" s="560" t="str">
        <f t="shared" si="560"/>
        <v>n</v>
      </c>
      <c r="GC296" s="564">
        <f t="shared" si="561"/>
        <v>41691</v>
      </c>
      <c r="GD296" s="695">
        <f t="shared" si="562"/>
        <v>41807</v>
      </c>
      <c r="GE296" s="560">
        <v>6518.9</v>
      </c>
      <c r="GF296" s="695">
        <f t="shared" si="563"/>
        <v>41808</v>
      </c>
      <c r="GG296" s="560">
        <f t="shared" si="582"/>
        <v>3259</v>
      </c>
      <c r="GH296" s="564">
        <f t="shared" si="564"/>
        <v>41934</v>
      </c>
      <c r="GJ296" s="545">
        <f t="shared" si="565"/>
        <v>0</v>
      </c>
      <c r="GK296" s="560" t="str">
        <f t="shared" si="539"/>
        <v/>
      </c>
      <c r="GL296" s="560">
        <f t="shared" si="566"/>
        <v>0</v>
      </c>
      <c r="GM296" s="560" t="str">
        <f t="shared" si="567"/>
        <v/>
      </c>
      <c r="GN296" s="560">
        <f>IF(GK296="P",Lookup!$M$12,IF(GK296="PP",Lookup!$M$13,IF(GK296="PPP",Lookup!$M$14,IF(GK296="T",Lookup!$M$15,IF(GK296="TP",Lookup!$M$16,IF(GK296="TPP",Lookup!$M$17,IF(GK296="TPPP",Lookup!$M$18,0)))))))*GJ296</f>
        <v>0</v>
      </c>
      <c r="GO296" s="560">
        <f t="shared" si="568"/>
        <v>0</v>
      </c>
      <c r="GP296" s="560">
        <f t="shared" si="540"/>
        <v>1195.064745333334</v>
      </c>
      <c r="GQ296" s="560">
        <f t="shared" si="576"/>
        <v>389.52566666666689</v>
      </c>
      <c r="GR296" s="560"/>
      <c r="GS296" s="560">
        <f t="shared" si="569"/>
        <v>0</v>
      </c>
      <c r="GT296" s="560" t="str">
        <f t="shared" si="570"/>
        <v/>
      </c>
      <c r="GU296" s="560">
        <f>IF(GK296="P",Lookup!$N$12,IF(GK296="PP",Lookup!$N$13,IF(GK296="PPP",Lookup!$N$14,IF(GK296="T",Lookup!$N$15,IF(GK296="TP",Lookup!$N$16,IF(GK296="TPP",Lookup!$N$17,IF(GK296="TPPP",Lookup!$N$18,0)))))))*GJ296</f>
        <v>0</v>
      </c>
      <c r="GV296" s="560">
        <f t="shared" si="571"/>
        <v>0</v>
      </c>
      <c r="GW296" s="560">
        <f t="shared" si="541"/>
        <v>342.14877646286317</v>
      </c>
      <c r="GX296" s="560">
        <f t="shared" si="577"/>
        <v>111.52176547029438</v>
      </c>
      <c r="GY296" s="560"/>
      <c r="GZ296" s="560">
        <f t="shared" si="572"/>
        <v>0</v>
      </c>
      <c r="HA296" s="560" t="str">
        <f t="shared" si="573"/>
        <v/>
      </c>
      <c r="HB296" s="560">
        <f>IF(GK296="P",Lookup!$N$12,IF(GK296="PP",Lookup!$N$13,IF(GK296="PPP",Lookup!$N$14,IF(GK296="T",Lookup!$N$15,IF(GK296="TP",Lookup!$N$16,IF(GK296="TPP",Lookup!$N$17,IF(GK296="TPPP",Lookup!$N$18,0)))))))*GJ296</f>
        <v>0</v>
      </c>
      <c r="HC296" s="545">
        <f t="shared" si="542"/>
        <v>0</v>
      </c>
      <c r="HD296" s="560">
        <f t="shared" si="543"/>
        <v>529.72301236125304</v>
      </c>
      <c r="HE296" s="560">
        <f t="shared" si="578"/>
        <v>172.66069503300295</v>
      </c>
      <c r="HF296" s="560"/>
      <c r="HG296" s="560">
        <f t="shared" si="574"/>
        <v>0</v>
      </c>
      <c r="HH296" s="560" t="str">
        <f t="shared" si="575"/>
        <v/>
      </c>
      <c r="HI296" s="560">
        <f>IF(GK296="P",Lookup!$N$12,IF(GK296="PP",Lookup!$N$13,IF(GK296="PPP",Lookup!$N$14,IF(GK296="T",Lookup!$N$15,IF(GK296="TP",Lookup!$N$16,IF(GK296="TPP",Lookup!$N$17,IF(GK296="TPPP",Lookup!$N$18,0)))))))*GJ296</f>
        <v>0</v>
      </c>
      <c r="HJ296" s="545">
        <f t="shared" si="544"/>
        <v>0</v>
      </c>
      <c r="HK296" s="560">
        <f t="shared" si="545"/>
        <v>631.56292292224987</v>
      </c>
      <c r="HL296" s="560">
        <f t="shared" si="579"/>
        <v>205.85492924454036</v>
      </c>
    </row>
    <row r="297" spans="1:220">
      <c r="A297" s="580" t="s">
        <v>4</v>
      </c>
      <c r="B297" s="556">
        <v>41925</v>
      </c>
      <c r="C297" s="561">
        <v>0</v>
      </c>
      <c r="D297" s="529">
        <f t="shared" si="580"/>
        <v>300</v>
      </c>
      <c r="E297" s="529">
        <f t="shared" si="581"/>
        <v>250</v>
      </c>
      <c r="F297" s="529">
        <v>250</v>
      </c>
      <c r="G297" s="560">
        <f>DR297+Sheet1!CZ299</f>
        <v>275.55370650406002</v>
      </c>
      <c r="H297" s="914">
        <f t="shared" si="546"/>
        <v>0</v>
      </c>
      <c r="I297" s="559">
        <f>MAX(Sheet1!Z299-AT297+(Sheet1!DA299-E297)*CFStoMGD,0)</f>
        <v>290.28479999999996</v>
      </c>
      <c r="J297" s="562">
        <f>IF(AND(B297&gt;=Calculation!GC297,B297&lt;=Calculation!GD297),IF(Sheet1!DB299&gt;=Calculation!D297,64.64,0),MAX(Sheet1!Z299-AT297+(Sheet1!DB299-D297)*CFStoMGD,0))</f>
        <v>133.20959999999999</v>
      </c>
      <c r="K297" s="904">
        <f t="shared" si="481"/>
        <v>0</v>
      </c>
      <c r="L297" s="560">
        <f>Sheet1!AA299+Sheet1!AB299-Sheet1!L299+(Sheet1!DA299-F297)*CFStoMGD</f>
        <v>321.23479999999995</v>
      </c>
      <c r="M297" s="560">
        <f t="shared" si="482"/>
        <v>181.6802742019089</v>
      </c>
      <c r="N297" s="910">
        <f>IF(Sheet1!DA299&gt;=F297,MIN(73,MIN(MAX(L297,0),MAX(M297,0))),0)</f>
        <v>73</v>
      </c>
      <c r="O297" s="563">
        <f>Sheet1!AA299+Sheet1!AB299</f>
        <v>58.15</v>
      </c>
      <c r="P297" s="563">
        <f t="shared" si="483"/>
        <v>89.958049999999986</v>
      </c>
      <c r="Q297" s="898">
        <f t="shared" si="547"/>
        <v>46.65</v>
      </c>
      <c r="R297" s="829">
        <f t="shared" si="484"/>
        <v>11.5</v>
      </c>
      <c r="S297" s="898">
        <f t="shared" si="548"/>
        <v>0</v>
      </c>
      <c r="T297" s="898">
        <f t="shared" si="549"/>
        <v>0</v>
      </c>
      <c r="U297" s="898">
        <f t="shared" si="550"/>
        <v>11.5</v>
      </c>
      <c r="V297" s="898"/>
      <c r="W297" s="898">
        <f t="shared" si="551"/>
        <v>0</v>
      </c>
      <c r="X297" s="898">
        <f t="shared" si="552"/>
        <v>0</v>
      </c>
      <c r="Y297" s="898" t="str">
        <f t="shared" si="553"/>
        <v>FALSE</v>
      </c>
      <c r="Z297" s="898">
        <f t="shared" si="554"/>
        <v>58.15</v>
      </c>
      <c r="AA297" s="898">
        <f t="shared" si="555"/>
        <v>58.15</v>
      </c>
      <c r="AB297" s="898" t="str">
        <f t="shared" si="556"/>
        <v/>
      </c>
      <c r="AC297" s="563">
        <f>Sheet1!Y299*MGDtoCFS</f>
        <v>48.189049999999995</v>
      </c>
      <c r="AD297" s="563">
        <f>Sheet1!Z299*MGDtoCFS</f>
        <v>42.078399999999995</v>
      </c>
      <c r="AE297" s="563">
        <f>Sheet1!AA299*MGDtoCFS</f>
        <v>48.189049999999995</v>
      </c>
      <c r="AF297" s="563">
        <f>Sheet1!AB299*MGDtoCFS</f>
        <v>41.768999999999998</v>
      </c>
      <c r="AG297" s="563">
        <f>Sheet1!L299*MGDtoCFS</f>
        <v>0</v>
      </c>
      <c r="AH297" s="545">
        <f t="shared" si="485"/>
        <v>11.592647058823529</v>
      </c>
      <c r="AI297" s="560">
        <f t="shared" si="486"/>
        <v>17.933824999999999</v>
      </c>
      <c r="AJ297" s="560">
        <f t="shared" si="487"/>
        <v>0</v>
      </c>
      <c r="AK297" s="560">
        <f t="shared" si="488"/>
        <v>0</v>
      </c>
      <c r="AL297" s="560">
        <f>(VLOOKUP(Sheet1!DC299,hhdcap_wcm,4)-(((VLOOKUP(Sheet1!DC299,hhdcap_wcm,3)-Sheet1!DC299)/(VLOOKUP(Sheet1!DC299,hhdcap_wcm,3)-VLOOKUP(Sheet1!DC299,hhdcap_wcm,1)))*(VLOOKUP(Sheet1!DC299,hhdcap_wcm,4)-VLOOKUP(Sheet1!DC299,hhdcap_wcm,2))))</f>
        <v>12499.500000028547</v>
      </c>
      <c r="AM297" s="560">
        <f t="shared" si="489"/>
        <v>-605.70000000244909</v>
      </c>
      <c r="AN297" s="560">
        <f t="shared" si="490"/>
        <v>867.970409355681</v>
      </c>
      <c r="AO297" s="560">
        <f t="shared" si="491"/>
        <v>2662.9332159032292</v>
      </c>
      <c r="AP297" s="560">
        <f>Sheet1!BA299+Sheet1!BB299+Sheet1!BN299+CD297</f>
        <v>15.82</v>
      </c>
      <c r="AQ297" s="560">
        <f>Sheet1!BN299+(DO297*Sheet1!BN299)</f>
        <v>14.691176470588234</v>
      </c>
      <c r="AR297" s="560">
        <f>Sheet1!BA299+CD297</f>
        <v>0</v>
      </c>
      <c r="AS297" s="560">
        <f>Sheet1!BA299+Sheet1!BB299+CD297</f>
        <v>1.02</v>
      </c>
      <c r="AT297" s="698">
        <f>0</f>
        <v>0</v>
      </c>
      <c r="AU297" s="560">
        <f>IF(EB297&lt;K297,0,MAX(Sheet1!AA299+AQ297-15/36*K297-N297,Sheet1!EH299,0))</f>
        <v>0</v>
      </c>
      <c r="AV297" s="560">
        <f>IF(OR(B297&gt;=GD297,B297&lt;GC297),0,15/36*K297-MAX(0,64.6-(137.6-(Sheet1!AA299+Sheet1!AB299))))</f>
        <v>0</v>
      </c>
      <c r="AW297" s="698">
        <f>Sheet1!DB299-110</f>
        <v>354</v>
      </c>
      <c r="AX297" s="698">
        <f>Sheet1!DA299-265</f>
        <v>392</v>
      </c>
      <c r="AY297" s="698">
        <f t="shared" si="492"/>
        <v>26.35</v>
      </c>
      <c r="AZ297" s="698">
        <v>0</v>
      </c>
      <c r="BA297" s="698">
        <f t="shared" si="493"/>
        <v>0</v>
      </c>
      <c r="BB297" s="560">
        <f t="shared" si="494"/>
        <v>389.52566666666689</v>
      </c>
      <c r="BC297" s="560"/>
      <c r="BD297" s="560">
        <f ca="1">IF(B297&gt;Summary!$A$1,#N/A,BB297*MGtoAF)</f>
        <v>1195.064745333334</v>
      </c>
      <c r="BE297" s="560">
        <f>Sheet1!BG299+Sheet1!BH299+Sheet1!BI299-BM297</f>
        <v>2.2200000000000002</v>
      </c>
      <c r="BF297" s="560">
        <f t="shared" si="495"/>
        <v>2.2036764705882352</v>
      </c>
      <c r="BG297" s="560">
        <f>IF(Sheet1!EP299="FM",BM297,0)</f>
        <v>0</v>
      </c>
      <c r="BH297" s="560">
        <f t="shared" si="496"/>
        <v>0</v>
      </c>
      <c r="BI297" s="560">
        <f>IF(Sheet1!EP299="OTHER",BM297,0)</f>
        <v>0</v>
      </c>
      <c r="BJ297" s="560">
        <f t="shared" si="497"/>
        <v>0</v>
      </c>
      <c r="BK297" s="560">
        <f t="shared" si="498"/>
        <v>2.2200000000000002</v>
      </c>
      <c r="BL297" s="560">
        <f t="shared" si="499"/>
        <v>2.2036764705882352</v>
      </c>
      <c r="BM297" s="560">
        <f>IF(OR(Sheet1!EP299="FM", Sheet1!EP299="OTHER"),SUM(Sheet1!BG299:'Sheet1'!BI299),0)</f>
        <v>0</v>
      </c>
      <c r="BN297" s="545">
        <f>IF(AND($B297&gt;=$FV297,$B297&lt;=$FW297),MAX(BF297,Sheet1!EI299,0),MAX(BF297-(7/36)*$K297,0))</f>
        <v>2.5</v>
      </c>
      <c r="BO297" s="560">
        <f t="shared" si="500"/>
        <v>0</v>
      </c>
      <c r="BP297" s="545">
        <f t="shared" si="501"/>
        <v>0</v>
      </c>
      <c r="BQ297" s="545">
        <f>IF(AND($O297&gt;0,Sheet1!EM299=1),(1-($O297-Sheet1!$L299)/$O297)*BL297,0)</f>
        <v>0</v>
      </c>
      <c r="BR297" s="545">
        <f>IF(AND(Sheet1!$L299=0,Sheet1!$L298=0, Calculation!BK297&lt;Sheet1!$EI299-0.1,Sheet1!$EI299=Sheet1!$EI298,Sheet1!$EI299=Sheet1!$EI300),Sheet1!$EI299,BL297-BQ297)</f>
        <v>2.5</v>
      </c>
      <c r="BS297" s="560"/>
      <c r="BT297" s="560"/>
      <c r="BU297" s="560">
        <f t="shared" si="502"/>
        <v>109.02176547029438</v>
      </c>
      <c r="BV297" s="560"/>
      <c r="BW297" s="560">
        <f ca="1">IF(B297&gt;Summary!$A$1,#N/A,BU297*MGtoAF)</f>
        <v>334.47877646286315</v>
      </c>
      <c r="BX297" s="560">
        <f>Sheet1!BC299+Sheet1!BD299+Sheet1!BE299+Sheet1!BF299-CG297-CH297</f>
        <v>2.52</v>
      </c>
      <c r="BY297" s="560">
        <f t="shared" si="503"/>
        <v>2.5014705882352937</v>
      </c>
      <c r="BZ297" s="560">
        <f>IF(Sheet1!EQ299="FM",CH297,0)</f>
        <v>0</v>
      </c>
      <c r="CA297" s="560">
        <f t="shared" si="504"/>
        <v>0</v>
      </c>
      <c r="CB297" s="560">
        <f>IF(Sheet1!EQ299="OTHER",CH297,0)</f>
        <v>0</v>
      </c>
      <c r="CC297" s="560">
        <f t="shared" si="505"/>
        <v>0</v>
      </c>
      <c r="CD297" s="560">
        <f t="shared" si="506"/>
        <v>0</v>
      </c>
      <c r="CE297" s="560">
        <f t="shared" si="507"/>
        <v>2.52</v>
      </c>
      <c r="CF297" s="560">
        <f t="shared" si="508"/>
        <v>2.5014705882352937</v>
      </c>
      <c r="CG297" s="560">
        <f>IF(Sheet1!EQ299="CWA",SUM(Sheet1!BC299:'Sheet1'!BF299),0)</f>
        <v>0</v>
      </c>
      <c r="CH297" s="560">
        <f>IF(OR(Sheet1!EQ299="FM", Sheet1!EQ299="OTHER"),SUM(Sheet1!BC299:'Sheet1'!BF299),0)</f>
        <v>0</v>
      </c>
      <c r="CI297" s="545">
        <f>IF(AND($B297&gt;=$FV297,$B297&lt;=$FW297),MAX(CF297,Sheet1!EJ299,0),MAX(CF297-(7/36)*$K297,0))</f>
        <v>2.5014705882352937</v>
      </c>
      <c r="CJ297" s="560">
        <f t="shared" si="509"/>
        <v>0</v>
      </c>
      <c r="CK297" s="545">
        <f t="shared" si="510"/>
        <v>0</v>
      </c>
      <c r="CL297" s="545">
        <f>IF(AND($O297&gt;0,Sheet1!EN299=1),(1-($O297-Sheet1!$L299)/$O297)*CF297,0)</f>
        <v>0</v>
      </c>
      <c r="CM297" s="545">
        <f>IF(AND(Sheet1!$L299=0,Sheet1!$L298=0, Calculation!CE297&lt;Sheet1!EJ299-0.1,Sheet1!EJ299=Sheet1!EJ298,Sheet1!EJ299=Sheet1!EJ300),Sheet1!EJ299,CF297-CL297)</f>
        <v>2.5014705882352937</v>
      </c>
      <c r="CN297" s="545"/>
      <c r="CO297" s="560"/>
      <c r="CP297" s="560">
        <f t="shared" si="511"/>
        <v>170.15922444476766</v>
      </c>
      <c r="CQ297" s="560"/>
      <c r="CR297" s="560">
        <f ca="1">IF(B297&gt;Summary!$A$1,#N/A,CP297*MGtoAF)</f>
        <v>522.04850059654723</v>
      </c>
      <c r="CS297" s="560">
        <f>Sheet1!BK299+Sheet1!BL299+Sheet1!BM299-Sheet1!ER299-DA297</f>
        <v>6.6400000000000006</v>
      </c>
      <c r="CT297" s="560">
        <f t="shared" si="512"/>
        <v>6.591176470588235</v>
      </c>
      <c r="CU297" s="560">
        <f>IF(Sheet1!ER299="FM",DA297,0)</f>
        <v>0</v>
      </c>
      <c r="CV297" s="560">
        <f t="shared" si="513"/>
        <v>0</v>
      </c>
      <c r="CW297" s="560">
        <f>IF(Sheet1!ER299="OTHER",DA297,0)</f>
        <v>0</v>
      </c>
      <c r="CX297" s="560">
        <f t="shared" si="514"/>
        <v>0</v>
      </c>
      <c r="CY297" s="560">
        <f t="shared" si="515"/>
        <v>6.6400000000000006</v>
      </c>
      <c r="CZ297" s="560">
        <f t="shared" si="516"/>
        <v>6.591176470588235</v>
      </c>
      <c r="DA297" s="560">
        <f>IF(OR(Sheet1!ER299="FM", Sheet1!ER299="OTHER"),SUM(Sheet1!BK299:'Sheet1'!BM299),0)</f>
        <v>0</v>
      </c>
      <c r="DB297" s="545">
        <f>IF(AND($B297&gt;=$FV297,$B297&lt;=$FW297),MAX($CT297,Sheet1!EK299,0),MAX($CT297-(7/36)*$K297,0))</f>
        <v>6.591176470588235</v>
      </c>
      <c r="DC297" s="560">
        <f t="shared" si="517"/>
        <v>0</v>
      </c>
      <c r="DD297" s="545">
        <f t="shared" si="518"/>
        <v>0</v>
      </c>
      <c r="DE297" s="545">
        <f>IF(AND($O297&gt;0,Sheet1!EO299=1),(1-($O297-Sheet1!$L299)/$O297)*CZ297,0)</f>
        <v>0</v>
      </c>
      <c r="DF297" s="545">
        <f>IF(AND(Sheet1!$L299=0,Sheet1!$L298=0, Calculation!CY297&lt;Sheet1!$EK299-0.1,Sheet1!$EK299=Sheet1!$EK298,Sheet1!$EK299=Sheet1!$EK300),Sheet1!$EK299,CZ297-DE297)</f>
        <v>6.591176470588235</v>
      </c>
      <c r="DG297" s="545"/>
      <c r="DH297" s="560">
        <f t="shared" si="519"/>
        <v>11.38</v>
      </c>
      <c r="DI297" s="560">
        <f t="shared" si="520"/>
        <v>199.26375277395212</v>
      </c>
      <c r="DJ297" s="698">
        <f t="shared" si="521"/>
        <v>11.296323529411765</v>
      </c>
      <c r="DK297" s="560">
        <f ca="1">IF(B297&gt;Summary!$A$1,#N/A,DI297*MGtoAF)</f>
        <v>611.34119351048514</v>
      </c>
      <c r="DL297" s="698">
        <f t="shared" si="522"/>
        <v>11.38</v>
      </c>
      <c r="DM297" s="560">
        <f t="shared" si="523"/>
        <v>27.200000000000003</v>
      </c>
      <c r="DN297" s="560">
        <f>Sheet1!AB299-DM297</f>
        <v>-0.20000000000000284</v>
      </c>
      <c r="DO297" s="823">
        <f t="shared" si="524"/>
        <v>-7.3529411764706922E-3</v>
      </c>
      <c r="DP297" s="560">
        <f>(VLOOKUP(Sheet1!DC299,hhdcap_wcm,4)-(((VLOOKUP(Sheet1!DC299,hhdcap_wcm,3)-Sheet1!DC299)/(VLOOKUP(Sheet1!DC299,hhdcap_wcm,3)-VLOOKUP(Sheet1!DC299,hhdcap_wcm,1)))*(VLOOKUP(Sheet1!DC299,hhdcap_wcm,4)-VLOOKUP(Sheet1!DC299,hhdcap_wcm,2))))</f>
        <v>12499.500000028547</v>
      </c>
      <c r="DQ297" s="560">
        <f t="shared" si="525"/>
        <v>-605.70000000244909</v>
      </c>
      <c r="DR297" s="560">
        <f t="shared" si="526"/>
        <v>-305.44629349593998</v>
      </c>
      <c r="DS297" s="560">
        <f>Sheet1!EA299*AFtoMG</f>
        <v>0</v>
      </c>
      <c r="DT297" s="560">
        <f>Sheet1!EB299*AFtoMG</f>
        <v>0</v>
      </c>
      <c r="DU297" s="560">
        <f>Sheet1!EC299*AFtoMG</f>
        <v>0</v>
      </c>
      <c r="DV297" s="560">
        <f>Sheet1!ED299*AFtoMG</f>
        <v>0</v>
      </c>
      <c r="DW297" s="560">
        <f t="shared" si="527"/>
        <v>0</v>
      </c>
      <c r="DX297" s="560">
        <f t="shared" si="528"/>
        <v>0</v>
      </c>
      <c r="DY297" s="560">
        <f t="shared" si="529"/>
        <v>867.970409355681</v>
      </c>
      <c r="DZ297" s="560">
        <f t="shared" si="530"/>
        <v>2662.9332159032292</v>
      </c>
      <c r="EA297" s="560"/>
      <c r="EB297" s="545">
        <f>IF(OR(B297&lt;FV297,B297&gt;FW297),(MIN(BF297+BY297+CT297+MAX(Sheet1!AA299+AQ297-73,0),K297)),0)</f>
        <v>0</v>
      </c>
      <c r="EC297" s="560"/>
      <c r="ED297" s="560">
        <f t="shared" si="531"/>
        <v>11.296323529411765</v>
      </c>
      <c r="EE297" s="560"/>
      <c r="EF297" s="560">
        <f>Sheet1!EH299+Sheet1!EI299+Sheet1!EJ299+Sheet1!EK299</f>
        <v>11.5</v>
      </c>
      <c r="EG297" s="560"/>
      <c r="EH297" s="545">
        <f t="shared" si="532"/>
        <v>0</v>
      </c>
      <c r="EI297" s="560">
        <f>IF(Sheet1!ET299=1,SUM('Calculations II'!AT297:BA297)+'Calculations II'!BC297+Sheet1!BV299+'Calculations II'!BE297+AP297,SUM('Calculations II'!AT297:BA297)+'Calculations II'!BC297+Sheet1!BV299+'Calculations II'!BE297+AP297)</f>
        <v>60.558272000000002</v>
      </c>
      <c r="EJ297" s="560">
        <f>Sheet1!AA299+Sheet1!AB299+'Calculations II'!BC297</f>
        <v>58.15</v>
      </c>
      <c r="EK297" s="560"/>
      <c r="EL297" s="560"/>
      <c r="EM297" s="560">
        <f t="shared" si="533"/>
        <v>41925</v>
      </c>
      <c r="EN297" s="560">
        <f t="shared" si="534"/>
        <v>-11.592647058823529</v>
      </c>
      <c r="EO297" s="560">
        <f t="shared" si="535"/>
        <v>-17.933824999999999</v>
      </c>
      <c r="EP297" s="560">
        <v>0</v>
      </c>
      <c r="EQ297" s="560">
        <v>0</v>
      </c>
      <c r="ER297" s="560">
        <v>0</v>
      </c>
      <c r="ES297" s="545">
        <f t="shared" si="557"/>
        <v>4.5701514260195637</v>
      </c>
      <c r="ET297" s="560">
        <f>-(VLOOKUP(Sheet1!BQ299,Lookup!$O$4:$Q$262,2)-VLOOKUP(Sheet1!BQ298,Lookup!$O$4:$Q$262,2))/1000000</f>
        <v>2.3542412024490051</v>
      </c>
      <c r="EU297" s="560">
        <f>-(VLOOKUP(Sheet1!BR299,Lookup!$O$4:$Q$262,3)-VLOOKUP(Sheet1!BR298,Lookup!$O$4:$Q$262,3))/1000000</f>
        <v>2.215910223570559</v>
      </c>
      <c r="EV297" s="560"/>
      <c r="EW297" s="560"/>
      <c r="EX297" s="560"/>
      <c r="EY297" s="560"/>
      <c r="EZ297" s="560"/>
      <c r="FA297" s="560"/>
      <c r="FB297" s="560"/>
      <c r="FC297" s="560"/>
      <c r="FD297" s="594">
        <f t="shared" si="536"/>
        <v>1107.1133333332832</v>
      </c>
      <c r="FE297" s="594" t="e">
        <f t="shared" si="537"/>
        <v>#N/A</v>
      </c>
      <c r="FF297" s="595" t="e">
        <f t="shared" si="538"/>
        <v>#N/A</v>
      </c>
      <c r="FG297" s="596" t="s">
        <v>692</v>
      </c>
      <c r="FH297" s="596" t="s">
        <v>692</v>
      </c>
      <c r="FI297" s="594" t="e">
        <v>#N/A</v>
      </c>
      <c r="FJ297" s="778">
        <v>6474</v>
      </c>
      <c r="FK297" s="560"/>
      <c r="FL297" s="560"/>
      <c r="FM297" s="560"/>
      <c r="FN297" s="560"/>
      <c r="FO297" s="560">
        <f>O297+((Sheet1!CS299)*GPMtoMGD)</f>
        <v>58.15</v>
      </c>
      <c r="FP297" s="560">
        <f>IF(Sheet1!AA299+AQ297&lt;=Calculation!N297,AQ297,Calculation!N297-Sheet1!AA299)</f>
        <v>14.691176470588234</v>
      </c>
      <c r="FQ297" s="560">
        <f>(Sheet1!BP299+Sheet1!BO299)/694.4</f>
        <v>2.0194412442396312</v>
      </c>
      <c r="FR297" s="560"/>
      <c r="FS297" s="560"/>
      <c r="FT297" s="560"/>
      <c r="FU297" s="560"/>
      <c r="FV297" s="695">
        <f t="shared" si="558"/>
        <v>41827</v>
      </c>
      <c r="FW297" s="695">
        <f t="shared" si="559"/>
        <v>41934</v>
      </c>
      <c r="FX297" s="560"/>
      <c r="FY297" s="560"/>
      <c r="FZ297" s="560"/>
      <c r="GA297" s="560"/>
      <c r="GB297" s="560" t="str">
        <f t="shared" si="560"/>
        <v>n</v>
      </c>
      <c r="GC297" s="564">
        <f t="shared" si="561"/>
        <v>41691</v>
      </c>
      <c r="GD297" s="695">
        <f t="shared" si="562"/>
        <v>41807</v>
      </c>
      <c r="GE297" s="560">
        <v>6518.9</v>
      </c>
      <c r="GF297" s="695">
        <f t="shared" si="563"/>
        <v>41808</v>
      </c>
      <c r="GG297" s="560">
        <f t="shared" si="582"/>
        <v>3259</v>
      </c>
      <c r="GH297" s="564">
        <f t="shared" si="564"/>
        <v>41934</v>
      </c>
      <c r="GJ297" s="545">
        <f t="shared" si="565"/>
        <v>0</v>
      </c>
      <c r="GK297" s="560" t="str">
        <f t="shared" si="539"/>
        <v/>
      </c>
      <c r="GL297" s="560">
        <f t="shared" si="566"/>
        <v>0</v>
      </c>
      <c r="GM297" s="560" t="str">
        <f t="shared" si="567"/>
        <v/>
      </c>
      <c r="GN297" s="560">
        <f>IF(GK297="P",Lookup!$M$12,IF(GK297="PP",Lookup!$M$13,IF(GK297="PPP",Lookup!$M$14,IF(GK297="T",Lookup!$M$15,IF(GK297="TP",Lookup!$M$16,IF(GK297="TPP",Lookup!$M$17,IF(GK297="TPPP",Lookup!$M$18,0)))))))*GJ297</f>
        <v>0</v>
      </c>
      <c r="GO297" s="560">
        <f t="shared" si="568"/>
        <v>0</v>
      </c>
      <c r="GP297" s="560">
        <f t="shared" si="540"/>
        <v>1195.064745333334</v>
      </c>
      <c r="GQ297" s="560">
        <f t="shared" si="576"/>
        <v>389.52566666666689</v>
      </c>
      <c r="GR297" s="560"/>
      <c r="GS297" s="560">
        <f t="shared" si="569"/>
        <v>0</v>
      </c>
      <c r="GT297" s="560" t="str">
        <f t="shared" si="570"/>
        <v/>
      </c>
      <c r="GU297" s="560">
        <f>IF(GK297="P",Lookup!$N$12,IF(GK297="PP",Lookup!$N$13,IF(GK297="PPP",Lookup!$N$14,IF(GK297="T",Lookup!$N$15,IF(GK297="TP",Lookup!$N$16,IF(GK297="TPP",Lookup!$N$17,IF(GK297="TPPP",Lookup!$N$18,0)))))))*GJ297</f>
        <v>0</v>
      </c>
      <c r="GV297" s="560">
        <f t="shared" si="571"/>
        <v>0</v>
      </c>
      <c r="GW297" s="560">
        <f t="shared" si="541"/>
        <v>334.47877646286315</v>
      </c>
      <c r="GX297" s="560">
        <f t="shared" si="577"/>
        <v>109.02176547029438</v>
      </c>
      <c r="GY297" s="560"/>
      <c r="GZ297" s="560">
        <f t="shared" si="572"/>
        <v>0</v>
      </c>
      <c r="HA297" s="560" t="str">
        <f t="shared" si="573"/>
        <v/>
      </c>
      <c r="HB297" s="560">
        <f>IF(GK297="P",Lookup!$N$12,IF(GK297="PP",Lookup!$N$13,IF(GK297="PPP",Lookup!$N$14,IF(GK297="T",Lookup!$N$15,IF(GK297="TP",Lookup!$N$16,IF(GK297="TPP",Lookup!$N$17,IF(GK297="TPPP",Lookup!$N$18,0)))))))*GJ297</f>
        <v>0</v>
      </c>
      <c r="HC297" s="545">
        <f t="shared" si="542"/>
        <v>0</v>
      </c>
      <c r="HD297" s="560">
        <f t="shared" si="543"/>
        <v>522.04850059654723</v>
      </c>
      <c r="HE297" s="560">
        <f t="shared" si="578"/>
        <v>170.15922444476766</v>
      </c>
      <c r="HF297" s="560"/>
      <c r="HG297" s="560">
        <f t="shared" si="574"/>
        <v>0</v>
      </c>
      <c r="HH297" s="560" t="str">
        <f t="shared" si="575"/>
        <v/>
      </c>
      <c r="HI297" s="560">
        <f>IF(GK297="P",Lookup!$N$12,IF(GK297="PP",Lookup!$N$13,IF(GK297="PPP",Lookup!$N$14,IF(GK297="T",Lookup!$N$15,IF(GK297="TP",Lookup!$N$16,IF(GK297="TPP",Lookup!$N$17,IF(GK297="TPPP",Lookup!$N$18,0)))))))*GJ297</f>
        <v>0</v>
      </c>
      <c r="HJ297" s="545">
        <f t="shared" si="544"/>
        <v>0</v>
      </c>
      <c r="HK297" s="560">
        <f t="shared" si="545"/>
        <v>611.34119351048514</v>
      </c>
      <c r="HL297" s="560">
        <f t="shared" si="579"/>
        <v>199.26375277395212</v>
      </c>
    </row>
    <row r="298" spans="1:220">
      <c r="A298" s="580" t="s">
        <v>5</v>
      </c>
      <c r="B298" s="556">
        <v>41926</v>
      </c>
      <c r="C298" s="561">
        <v>0</v>
      </c>
      <c r="D298" s="529">
        <f t="shared" si="580"/>
        <v>300</v>
      </c>
      <c r="E298" s="529">
        <f t="shared" si="581"/>
        <v>250</v>
      </c>
      <c r="F298" s="529">
        <v>250</v>
      </c>
      <c r="G298" s="560">
        <f>DR298+Sheet1!CZ300</f>
        <v>393.70650529438439</v>
      </c>
      <c r="H298" s="914">
        <f t="shared" si="546"/>
        <v>0</v>
      </c>
      <c r="I298" s="559">
        <f>MAX(Sheet1!Z300-AT298+(Sheet1!DA300-E298)*CFStoMGD,0)</f>
        <v>418.072</v>
      </c>
      <c r="J298" s="562">
        <f>IF(AND(B298&gt;=Calculation!GC298,B298&lt;=Calculation!GD298),IF(Sheet1!DB300&gt;=Calculation!D298,64.64,0),MAX(Sheet1!Z300-AT298+(Sheet1!DB300-D298)*CFStoMGD,0))</f>
        <v>229.96959999999999</v>
      </c>
      <c r="K298" s="904">
        <f t="shared" si="481"/>
        <v>0</v>
      </c>
      <c r="L298" s="560">
        <f>Sheet1!AA300+Sheet1!AB300-Sheet1!L300+(Sheet1!DA300-F298)*CFStoMGD</f>
        <v>449.322</v>
      </c>
      <c r="M298" s="560">
        <f t="shared" si="482"/>
        <v>259.58172272273589</v>
      </c>
      <c r="N298" s="910">
        <f>IF(Sheet1!DA300&gt;=F298,MIN(73,MIN(MAX(L298,0),MAX(M298,0))),0)</f>
        <v>73</v>
      </c>
      <c r="O298" s="563">
        <f>Sheet1!AA300+Sheet1!AB300</f>
        <v>58.25</v>
      </c>
      <c r="P298" s="563">
        <f t="shared" si="483"/>
        <v>90.112749999999991</v>
      </c>
      <c r="Q298" s="898">
        <f t="shared" si="547"/>
        <v>46.75</v>
      </c>
      <c r="R298" s="829">
        <f t="shared" si="484"/>
        <v>11.5</v>
      </c>
      <c r="S298" s="898">
        <f t="shared" si="548"/>
        <v>0</v>
      </c>
      <c r="T298" s="898">
        <f t="shared" si="549"/>
        <v>0</v>
      </c>
      <c r="U298" s="898">
        <f t="shared" si="550"/>
        <v>11.5</v>
      </c>
      <c r="V298" s="898"/>
      <c r="W298" s="898">
        <f t="shared" si="551"/>
        <v>0</v>
      </c>
      <c r="X298" s="898">
        <f t="shared" si="552"/>
        <v>0</v>
      </c>
      <c r="Y298" s="898" t="str">
        <f t="shared" si="553"/>
        <v>FALSE</v>
      </c>
      <c r="Z298" s="898">
        <f t="shared" si="554"/>
        <v>58.25</v>
      </c>
      <c r="AA298" s="898">
        <f t="shared" si="555"/>
        <v>58.25</v>
      </c>
      <c r="AB298" s="898" t="str">
        <f t="shared" si="556"/>
        <v/>
      </c>
      <c r="AC298" s="563">
        <f>Sheet1!Y300*MGDtoCFS</f>
        <v>48.189049999999995</v>
      </c>
      <c r="AD298" s="563">
        <f>Sheet1!Z300*MGDtoCFS</f>
        <v>41.768999999999998</v>
      </c>
      <c r="AE298" s="563">
        <f>Sheet1!AA300*MGDtoCFS</f>
        <v>48.250929999999997</v>
      </c>
      <c r="AF298" s="563">
        <f>Sheet1!AB300*MGDtoCFS</f>
        <v>41.861819999999994</v>
      </c>
      <c r="AG298" s="563">
        <f>Sheet1!L300*MGDtoCFS</f>
        <v>0</v>
      </c>
      <c r="AH298" s="545">
        <f t="shared" si="485"/>
        <v>11.5007811348563</v>
      </c>
      <c r="AI298" s="560">
        <f t="shared" si="486"/>
        <v>17.791708415622697</v>
      </c>
      <c r="AJ298" s="560">
        <f t="shared" si="487"/>
        <v>0</v>
      </c>
      <c r="AK298" s="560">
        <f t="shared" si="488"/>
        <v>0</v>
      </c>
      <c r="AL298" s="560">
        <f>(VLOOKUP(Sheet1!DC300,hhdcap_wcm,4)-(((VLOOKUP(Sheet1!DC300,hhdcap_wcm,3)-Sheet1!DC300)/(VLOOKUP(Sheet1!DC300,hhdcap_wcm,3)-VLOOKUP(Sheet1!DC300,hhdcap_wcm,1)))*(VLOOKUP(Sheet1!DC300,hhdcap_wcm,4)-VLOOKUP(Sheet1!DC300,hhdcap_wcm,2))))</f>
        <v>11812.800000027311</v>
      </c>
      <c r="AM298" s="560">
        <f t="shared" si="489"/>
        <v>-686.70000000123582</v>
      </c>
      <c r="AN298" s="560">
        <f t="shared" si="490"/>
        <v>856.46962822082469</v>
      </c>
      <c r="AO298" s="560">
        <f t="shared" si="491"/>
        <v>2627.6488193814903</v>
      </c>
      <c r="AP298" s="560">
        <f>Sheet1!BA300+Sheet1!BB300+Sheet1!BN300+CD298</f>
        <v>17.64</v>
      </c>
      <c r="AQ298" s="560">
        <f>Sheet1!BN300+(DO298*Sheet1!BN300)</f>
        <v>16.152247605011052</v>
      </c>
      <c r="AR298" s="560">
        <f>Sheet1!BA300+CD298</f>
        <v>0</v>
      </c>
      <c r="AS298" s="560">
        <f>Sheet1!BA300+Sheet1!BB300+CD298</f>
        <v>1.44</v>
      </c>
      <c r="AT298" s="698">
        <f>0</f>
        <v>0</v>
      </c>
      <c r="AU298" s="560">
        <f>IF(EB298&lt;K298,0,MAX(Sheet1!AA300+AQ298-15/36*K298-N298,Sheet1!EH300,0))</f>
        <v>0</v>
      </c>
      <c r="AV298" s="560">
        <f>IF(OR(B298&gt;=GD298,B298&lt;GC298),0,15/36*K298-MAX(0,64.6-(137.6-(Sheet1!AA300+Sheet1!AB300))))</f>
        <v>0</v>
      </c>
      <c r="AW298" s="698">
        <f>Sheet1!DB300-110</f>
        <v>504</v>
      </c>
      <c r="AX298" s="698">
        <f>Sheet1!DA300-265</f>
        <v>590</v>
      </c>
      <c r="AY298" s="698">
        <f t="shared" si="492"/>
        <v>26.25</v>
      </c>
      <c r="AZ298" s="698">
        <v>0</v>
      </c>
      <c r="BA298" s="698">
        <f t="shared" si="493"/>
        <v>0</v>
      </c>
      <c r="BB298" s="560">
        <f t="shared" si="494"/>
        <v>389.52566666666689</v>
      </c>
      <c r="BC298" s="560"/>
      <c r="BD298" s="560">
        <f ca="1">IF(B298&gt;Summary!$A$1,#N/A,BB298*MGtoAF)</f>
        <v>1195.064745333334</v>
      </c>
      <c r="BE298" s="560">
        <f>Sheet1!BG300+Sheet1!BH300+Sheet1!BI300-BM298</f>
        <v>0.81</v>
      </c>
      <c r="BF298" s="560">
        <f t="shared" si="495"/>
        <v>0.80761238025055271</v>
      </c>
      <c r="BG298" s="560">
        <f>IF(Sheet1!EP300="FM",BM298,0)</f>
        <v>0</v>
      </c>
      <c r="BH298" s="560">
        <f t="shared" si="496"/>
        <v>0</v>
      </c>
      <c r="BI298" s="560">
        <f>IF(Sheet1!EP300="OTHER",BM298,0)</f>
        <v>0</v>
      </c>
      <c r="BJ298" s="560">
        <f t="shared" si="497"/>
        <v>0</v>
      </c>
      <c r="BK298" s="560">
        <f t="shared" si="498"/>
        <v>0.81</v>
      </c>
      <c r="BL298" s="560">
        <f t="shared" si="499"/>
        <v>0.80761238025055271</v>
      </c>
      <c r="BM298" s="560">
        <f>IF(OR(Sheet1!EP300="FM", Sheet1!EP300="OTHER"),SUM(Sheet1!BG300:'Sheet1'!BI300),0)</f>
        <v>0</v>
      </c>
      <c r="BN298" s="545">
        <f>IF(AND($B298&gt;=$FV298,$B298&lt;=$FW298),MAX(BF298,Sheet1!EI300,0),MAX(BF298-(7/36)*$K298,0))</f>
        <v>2.5</v>
      </c>
      <c r="BO298" s="560">
        <f t="shared" si="500"/>
        <v>0</v>
      </c>
      <c r="BP298" s="545">
        <f t="shared" si="501"/>
        <v>0</v>
      </c>
      <c r="BQ298" s="545">
        <f>IF(AND($O298&gt;0,Sheet1!EM300=1),(1-($O298-Sheet1!$L300)/$O298)*BL298,0)</f>
        <v>0</v>
      </c>
      <c r="BR298" s="545">
        <f>IF(AND(Sheet1!$L300=0,Sheet1!$L299=0, Calculation!BK298&lt;Sheet1!$EI300-0.1,Sheet1!$EI300=Sheet1!$EI299,Sheet1!$EI300=Sheet1!$EI301),Sheet1!$EI300,BL298-BQ298)</f>
        <v>0.80761238025055271</v>
      </c>
      <c r="BS298" s="560"/>
      <c r="BT298" s="560"/>
      <c r="BU298" s="560">
        <f t="shared" si="502"/>
        <v>106.52176547029438</v>
      </c>
      <c r="BV298" s="560"/>
      <c r="BW298" s="560">
        <f ca="1">IF(B298&gt;Summary!$A$1,#N/A,BU298*MGtoAF)</f>
        <v>326.80877646286319</v>
      </c>
      <c r="BX298" s="560">
        <f>Sheet1!BC300+Sheet1!BD300+Sheet1!BE300+Sheet1!BF300-CG298-CH298</f>
        <v>2.17</v>
      </c>
      <c r="BY298" s="560">
        <f t="shared" si="503"/>
        <v>2.1636035372144433</v>
      </c>
      <c r="BZ298" s="560">
        <f>IF(Sheet1!EQ300="FM",CH298,0)</f>
        <v>0</v>
      </c>
      <c r="CA298" s="560">
        <f t="shared" si="504"/>
        <v>0</v>
      </c>
      <c r="CB298" s="560">
        <f>IF(Sheet1!EQ300="OTHER",CH298,0)</f>
        <v>0</v>
      </c>
      <c r="CC298" s="560">
        <f t="shared" si="505"/>
        <v>0</v>
      </c>
      <c r="CD298" s="560">
        <f t="shared" si="506"/>
        <v>0</v>
      </c>
      <c r="CE298" s="560">
        <f t="shared" si="507"/>
        <v>2.17</v>
      </c>
      <c r="CF298" s="560">
        <f t="shared" si="508"/>
        <v>2.1636035372144433</v>
      </c>
      <c r="CG298" s="560">
        <f>IF(Sheet1!EQ300="CWA",SUM(Sheet1!BC300:'Sheet1'!BF300),0)</f>
        <v>0</v>
      </c>
      <c r="CH298" s="560">
        <f>IF(OR(Sheet1!EQ300="FM", Sheet1!EQ300="OTHER"),SUM(Sheet1!BC300:'Sheet1'!BF300),0)</f>
        <v>0</v>
      </c>
      <c r="CI298" s="545">
        <f>IF(AND($B298&gt;=$FV298,$B298&lt;=$FW298),MAX(CF298,Sheet1!EJ300,0),MAX(CF298-(7/36)*$K298,0))</f>
        <v>2.5</v>
      </c>
      <c r="CJ298" s="560">
        <f t="shared" si="509"/>
        <v>0</v>
      </c>
      <c r="CK298" s="545">
        <f t="shared" si="510"/>
        <v>0</v>
      </c>
      <c r="CL298" s="545">
        <f>IF(AND($O298&gt;0,Sheet1!EN300=1),(1-($O298-Sheet1!$L300)/$O298)*CF298,0)</f>
        <v>0</v>
      </c>
      <c r="CM298" s="545">
        <f>IF(AND(Sheet1!$L300=0,Sheet1!$L299=0, Calculation!CE298&lt;Sheet1!EJ300-0.1,Sheet1!EJ300=Sheet1!EJ299,Sheet1!EJ300=Sheet1!EJ301),Sheet1!EJ300,CF298-CL298)</f>
        <v>2.5</v>
      </c>
      <c r="CN298" s="545"/>
      <c r="CO298" s="560"/>
      <c r="CP298" s="560">
        <f t="shared" si="511"/>
        <v>167.65922444476766</v>
      </c>
      <c r="CQ298" s="560"/>
      <c r="CR298" s="560">
        <f ca="1">IF(B298&gt;Summary!$A$1,#N/A,CP298*MGtoAF)</f>
        <v>514.37850059654716</v>
      </c>
      <c r="CS298" s="560">
        <f>Sheet1!BK300+Sheet1!BL300+Sheet1!BM300-Sheet1!ER300-DA298</f>
        <v>6.52</v>
      </c>
      <c r="CT298" s="560">
        <f t="shared" si="512"/>
        <v>6.5007811348562994</v>
      </c>
      <c r="CU298" s="560">
        <f>IF(Sheet1!ER300="FM",DA298,0)</f>
        <v>0</v>
      </c>
      <c r="CV298" s="560">
        <f t="shared" si="513"/>
        <v>0</v>
      </c>
      <c r="CW298" s="560">
        <f>IF(Sheet1!ER300="OTHER",DA298,0)</f>
        <v>0</v>
      </c>
      <c r="CX298" s="560">
        <f t="shared" si="514"/>
        <v>0</v>
      </c>
      <c r="CY298" s="560">
        <f t="shared" si="515"/>
        <v>6.52</v>
      </c>
      <c r="CZ298" s="560">
        <f t="shared" si="516"/>
        <v>6.5007811348562994</v>
      </c>
      <c r="DA298" s="560">
        <f>IF(OR(Sheet1!ER300="FM", Sheet1!ER300="OTHER"),SUM(Sheet1!BK300:'Sheet1'!BM300),0)</f>
        <v>0</v>
      </c>
      <c r="DB298" s="545">
        <f>IF(AND($B298&gt;=$FV298,$B298&lt;=$FW298),MAX($CT298,Sheet1!EK300,0),MAX($CT298-(7/36)*$K298,0))</f>
        <v>6.5007811348562994</v>
      </c>
      <c r="DC298" s="560">
        <f t="shared" si="517"/>
        <v>0</v>
      </c>
      <c r="DD298" s="545">
        <f t="shared" si="518"/>
        <v>0</v>
      </c>
      <c r="DE298" s="545">
        <f>IF(AND($O298&gt;0,Sheet1!EO300=1),(1-($O298-Sheet1!$L300)/$O298)*CZ298,0)</f>
        <v>0</v>
      </c>
      <c r="DF298" s="545">
        <f>IF(AND(Sheet1!$L300=0,Sheet1!$L299=0, Calculation!CY298&lt;Sheet1!$EK300-0.1,Sheet1!$EK300=Sheet1!$EK299,Sheet1!$EK300=Sheet1!$EK301),Sheet1!$EK300,CZ298-DE298)</f>
        <v>6.5007811348562994</v>
      </c>
      <c r="DG298" s="545"/>
      <c r="DH298" s="560">
        <f t="shared" si="519"/>
        <v>9.5</v>
      </c>
      <c r="DI298" s="560">
        <f t="shared" si="520"/>
        <v>192.76297163909581</v>
      </c>
      <c r="DJ298" s="698">
        <f t="shared" si="521"/>
        <v>9.4719970523212957</v>
      </c>
      <c r="DK298" s="560">
        <f ca="1">IF(B298&gt;Summary!$A$1,#N/A,DI298*MGtoAF)</f>
        <v>591.3967969887459</v>
      </c>
      <c r="DL298" s="698">
        <f t="shared" si="522"/>
        <v>9.5</v>
      </c>
      <c r="DM298" s="560">
        <f t="shared" si="523"/>
        <v>27.14</v>
      </c>
      <c r="DN298" s="560">
        <f>Sheet1!AB300-DM298</f>
        <v>-8.0000000000001847E-2</v>
      </c>
      <c r="DO298" s="823">
        <f t="shared" si="524"/>
        <v>-2.9476787030214388E-3</v>
      </c>
      <c r="DP298" s="560">
        <f>(VLOOKUP(Sheet1!DC300,hhdcap_wcm,4)-(((VLOOKUP(Sheet1!DC300,hhdcap_wcm,3)-Sheet1!DC300)/(VLOOKUP(Sheet1!DC300,hhdcap_wcm,3)-VLOOKUP(Sheet1!DC300,hhdcap_wcm,1)))*(VLOOKUP(Sheet1!DC300,hhdcap_wcm,4)-VLOOKUP(Sheet1!DC300,hhdcap_wcm,2))))</f>
        <v>11812.800000027311</v>
      </c>
      <c r="DQ298" s="560">
        <f t="shared" si="525"/>
        <v>-686.70000000123582</v>
      </c>
      <c r="DR298" s="560">
        <f t="shared" si="526"/>
        <v>-346.29349470561561</v>
      </c>
      <c r="DS298" s="560">
        <f>Sheet1!EA300*AFtoMG</f>
        <v>0</v>
      </c>
      <c r="DT298" s="560">
        <f>Sheet1!EB300*AFtoMG</f>
        <v>0</v>
      </c>
      <c r="DU298" s="560">
        <f>Sheet1!EC300*AFtoMG</f>
        <v>0</v>
      </c>
      <c r="DV298" s="560">
        <f>Sheet1!ED300*AFtoMG</f>
        <v>0</v>
      </c>
      <c r="DW298" s="560">
        <f t="shared" si="527"/>
        <v>0</v>
      </c>
      <c r="DX298" s="560">
        <f t="shared" si="528"/>
        <v>0</v>
      </c>
      <c r="DY298" s="560">
        <f t="shared" si="529"/>
        <v>856.46962822082469</v>
      </c>
      <c r="DZ298" s="560">
        <f t="shared" si="530"/>
        <v>2627.6488193814903</v>
      </c>
      <c r="EA298" s="560"/>
      <c r="EB298" s="545">
        <f>IF(OR(B298&lt;FV298,B298&gt;FW298),(MIN(BF298+BY298+CT298+MAX(Sheet1!AA300+AQ298-73,0),K298)),0)</f>
        <v>0</v>
      </c>
      <c r="EC298" s="560"/>
      <c r="ED298" s="560">
        <f t="shared" si="531"/>
        <v>9.4719970523212957</v>
      </c>
      <c r="EE298" s="560"/>
      <c r="EF298" s="560">
        <f>Sheet1!EH300+Sheet1!EI300+Sheet1!EJ300+Sheet1!EK300</f>
        <v>11.5</v>
      </c>
      <c r="EG298" s="560"/>
      <c r="EH298" s="545">
        <f t="shared" si="532"/>
        <v>0</v>
      </c>
      <c r="EI298" s="560">
        <f>IF(Sheet1!ET300=1,SUM('Calculations II'!AT298:BA298)+'Calculations II'!BC298+Sheet1!BV300+'Calculations II'!BE298+AP298,SUM('Calculations II'!AT298:BA298)+'Calculations II'!BC298+Sheet1!BV300+'Calculations II'!BE298+AP298)</f>
        <v>55.375791999999997</v>
      </c>
      <c r="EJ298" s="560">
        <f>Sheet1!AA300+Sheet1!AB300+'Calculations II'!BC298</f>
        <v>58.25</v>
      </c>
      <c r="EK298" s="560"/>
      <c r="EL298" s="560"/>
      <c r="EM298" s="560">
        <f t="shared" si="533"/>
        <v>41926</v>
      </c>
      <c r="EN298" s="560">
        <f t="shared" si="534"/>
        <v>-11.5007811348563</v>
      </c>
      <c r="EO298" s="560">
        <f t="shared" si="535"/>
        <v>-17.791708415622697</v>
      </c>
      <c r="EP298" s="560">
        <v>0</v>
      </c>
      <c r="EQ298" s="560">
        <v>0</v>
      </c>
      <c r="ER298" s="560">
        <v>0</v>
      </c>
      <c r="ES298" s="545">
        <f t="shared" si="557"/>
        <v>-1.7999432318962998</v>
      </c>
      <c r="ET298" s="560">
        <f>-(VLOOKUP(Sheet1!BQ300,Lookup!$O$4:$Q$262,2)-VLOOKUP(Sheet1!BQ299,Lookup!$O$4:$Q$262,2))/1000000</f>
        <v>-0.96916914966158196</v>
      </c>
      <c r="EU298" s="560">
        <f>-(VLOOKUP(Sheet1!BR300,Lookup!$O$4:$Q$262,3)-VLOOKUP(Sheet1!BR299,Lookup!$O$4:$Q$262,3))/1000000</f>
        <v>-0.83077408223471794</v>
      </c>
      <c r="EV298" s="560"/>
      <c r="EW298" s="560"/>
      <c r="EX298" s="560"/>
      <c r="EY298" s="560"/>
      <c r="EZ298" s="560"/>
      <c r="FA298" s="560"/>
      <c r="FB298" s="560"/>
      <c r="FC298" s="560"/>
      <c r="FD298" s="594">
        <f t="shared" si="536"/>
        <v>1106.3999999999505</v>
      </c>
      <c r="FE298" s="594" t="e">
        <f t="shared" si="537"/>
        <v>#N/A</v>
      </c>
      <c r="FF298" s="595" t="e">
        <f t="shared" si="538"/>
        <v>#N/A</v>
      </c>
      <c r="FG298" s="596" t="s">
        <v>692</v>
      </c>
      <c r="FH298" s="596" t="s">
        <v>692</v>
      </c>
      <c r="FI298" s="594" t="e">
        <v>#N/A</v>
      </c>
      <c r="FJ298" s="778">
        <v>6264</v>
      </c>
      <c r="FK298" s="560"/>
      <c r="FL298" s="560"/>
      <c r="FM298" s="560"/>
      <c r="FN298" s="560"/>
      <c r="FO298" s="560">
        <f>O298+((Sheet1!CS300)*GPMtoMGD)</f>
        <v>58.25</v>
      </c>
      <c r="FP298" s="560">
        <f>IF(Sheet1!AA300+AQ298&lt;=Calculation!N298,AQ298,Calculation!N298-Sheet1!AA300)</f>
        <v>16.152247605011052</v>
      </c>
      <c r="FQ298" s="560">
        <f>(Sheet1!BP300+Sheet1!BO300)/694.4</f>
        <v>1.9326036866359448</v>
      </c>
      <c r="FR298" s="560"/>
      <c r="FS298" s="560"/>
      <c r="FT298" s="560"/>
      <c r="FU298" s="560"/>
      <c r="FV298" s="695">
        <f t="shared" si="558"/>
        <v>41827</v>
      </c>
      <c r="FW298" s="695">
        <f t="shared" si="559"/>
        <v>41934</v>
      </c>
      <c r="FX298" s="560"/>
      <c r="FY298" s="560"/>
      <c r="FZ298" s="560"/>
      <c r="GA298" s="560"/>
      <c r="GB298" s="560" t="str">
        <f t="shared" si="560"/>
        <v>n</v>
      </c>
      <c r="GC298" s="564">
        <f t="shared" si="561"/>
        <v>41691</v>
      </c>
      <c r="GD298" s="695">
        <f t="shared" si="562"/>
        <v>41807</v>
      </c>
      <c r="GE298" s="560">
        <v>6518.9</v>
      </c>
      <c r="GF298" s="695">
        <f t="shared" si="563"/>
        <v>41808</v>
      </c>
      <c r="GG298" s="560">
        <f t="shared" si="582"/>
        <v>3259</v>
      </c>
      <c r="GH298" s="564">
        <f t="shared" si="564"/>
        <v>41934</v>
      </c>
      <c r="GJ298" s="545">
        <f t="shared" si="565"/>
        <v>0</v>
      </c>
      <c r="GK298" s="560" t="str">
        <f t="shared" si="539"/>
        <v/>
      </c>
      <c r="GL298" s="560">
        <f t="shared" si="566"/>
        <v>0</v>
      </c>
      <c r="GM298" s="560" t="str">
        <f t="shared" si="567"/>
        <v/>
      </c>
      <c r="GN298" s="560">
        <f>IF(GK298="P",Lookup!$M$12,IF(GK298="PP",Lookup!$M$13,IF(GK298="PPP",Lookup!$M$14,IF(GK298="T",Lookup!$M$15,IF(GK298="TP",Lookup!$M$16,IF(GK298="TPP",Lookup!$M$17,IF(GK298="TPPP",Lookup!$M$18,0)))))))*GJ298</f>
        <v>0</v>
      </c>
      <c r="GO298" s="560">
        <f t="shared" si="568"/>
        <v>0</v>
      </c>
      <c r="GP298" s="560">
        <f t="shared" si="540"/>
        <v>1195.064745333334</v>
      </c>
      <c r="GQ298" s="560">
        <f t="shared" si="576"/>
        <v>389.52566666666689</v>
      </c>
      <c r="GR298" s="560"/>
      <c r="GS298" s="560">
        <f t="shared" si="569"/>
        <v>0</v>
      </c>
      <c r="GT298" s="560" t="str">
        <f t="shared" si="570"/>
        <v/>
      </c>
      <c r="GU298" s="560">
        <f>IF(GK298="P",Lookup!$N$12,IF(GK298="PP",Lookup!$N$13,IF(GK298="PPP",Lookup!$N$14,IF(GK298="T",Lookup!$N$15,IF(GK298="TP",Lookup!$N$16,IF(GK298="TPP",Lookup!$N$17,IF(GK298="TPPP",Lookup!$N$18,0)))))))*GJ298</f>
        <v>0</v>
      </c>
      <c r="GV298" s="560">
        <f t="shared" si="571"/>
        <v>0</v>
      </c>
      <c r="GW298" s="560">
        <f t="shared" si="541"/>
        <v>326.80877646286319</v>
      </c>
      <c r="GX298" s="560">
        <f t="shared" si="577"/>
        <v>106.52176547029438</v>
      </c>
      <c r="GY298" s="560"/>
      <c r="GZ298" s="560">
        <f t="shared" si="572"/>
        <v>0</v>
      </c>
      <c r="HA298" s="560" t="str">
        <f t="shared" si="573"/>
        <v/>
      </c>
      <c r="HB298" s="560">
        <f>IF(GK298="P",Lookup!$N$12,IF(GK298="PP",Lookup!$N$13,IF(GK298="PPP",Lookup!$N$14,IF(GK298="T",Lookup!$N$15,IF(GK298="TP",Lookup!$N$16,IF(GK298="TPP",Lookup!$N$17,IF(GK298="TPPP",Lookup!$N$18,0)))))))*GJ298</f>
        <v>0</v>
      </c>
      <c r="HC298" s="545">
        <f t="shared" si="542"/>
        <v>0</v>
      </c>
      <c r="HD298" s="560">
        <f t="shared" si="543"/>
        <v>514.37850059654716</v>
      </c>
      <c r="HE298" s="560">
        <f t="shared" si="578"/>
        <v>167.65922444476766</v>
      </c>
      <c r="HF298" s="560"/>
      <c r="HG298" s="560">
        <f t="shared" si="574"/>
        <v>0</v>
      </c>
      <c r="HH298" s="560" t="str">
        <f t="shared" si="575"/>
        <v/>
      </c>
      <c r="HI298" s="560">
        <f>IF(GK298="P",Lookup!$N$12,IF(GK298="PP",Lookup!$N$13,IF(GK298="PPP",Lookup!$N$14,IF(GK298="T",Lookup!$N$15,IF(GK298="TP",Lookup!$N$16,IF(GK298="TPP",Lookup!$N$17,IF(GK298="TPPP",Lookup!$N$18,0)))))))*GJ298</f>
        <v>0</v>
      </c>
      <c r="HJ298" s="545">
        <f t="shared" si="544"/>
        <v>0</v>
      </c>
      <c r="HK298" s="560">
        <f t="shared" si="545"/>
        <v>591.3967969887459</v>
      </c>
      <c r="HL298" s="560">
        <f t="shared" si="579"/>
        <v>192.76297163909581</v>
      </c>
    </row>
    <row r="299" spans="1:220">
      <c r="A299" s="580" t="s">
        <v>6</v>
      </c>
      <c r="B299" s="556">
        <v>41927</v>
      </c>
      <c r="C299" s="561">
        <v>0</v>
      </c>
      <c r="D299" s="529">
        <f t="shared" si="580"/>
        <v>300</v>
      </c>
      <c r="E299" s="529">
        <f t="shared" si="581"/>
        <v>250</v>
      </c>
      <c r="F299" s="529">
        <v>250</v>
      </c>
      <c r="G299" s="560">
        <f>DR299+Sheet1!CZ301</f>
        <v>295.0574886525925</v>
      </c>
      <c r="H299" s="914">
        <f t="shared" si="546"/>
        <v>0</v>
      </c>
      <c r="I299" s="559">
        <f>MAX(Sheet1!Z301-AT299+(Sheet1!DA301-E299)*CFStoMGD,0)</f>
        <v>387.10480000000001</v>
      </c>
      <c r="J299" s="562">
        <f>IF(AND(B299&gt;=Calculation!GC299,B299&lt;=Calculation!GD299),IF(Sheet1!DB301&gt;=Calculation!D299,64.64,0),MAX(Sheet1!Z301-AT299+(Sheet1!DB301-D299)*CFStoMGD,0))</f>
        <v>177.6712</v>
      </c>
      <c r="K299" s="904">
        <f t="shared" ref="K299:K362" si="583">MAX(MIN(H299:J299,64.64),0)</f>
        <v>0</v>
      </c>
      <c r="L299" s="560">
        <f>Sheet1!AA301+Sheet1!AB301-Sheet1!L301+(Sheet1!DA301-F299)*CFStoMGD</f>
        <v>415.69479999999999</v>
      </c>
      <c r="M299" s="560">
        <f t="shared" ref="M299:M362" si="584">1.02*CFStoMGD*G299</f>
        <v>194.53966387833651</v>
      </c>
      <c r="N299" s="910">
        <f>IF(Sheet1!DA301&gt;=F299,MIN(73,MIN(MAX(L299,0),MAX(M299,0))),0)</f>
        <v>73</v>
      </c>
      <c r="O299" s="563">
        <f>Sheet1!AA301+Sheet1!AB301</f>
        <v>55.65</v>
      </c>
      <c r="P299" s="563">
        <f t="shared" ref="P299:P362" si="585">AE299+AF299</f>
        <v>86.090549999999993</v>
      </c>
      <c r="Q299" s="898">
        <f t="shared" si="547"/>
        <v>46.65</v>
      </c>
      <c r="R299" s="829">
        <f t="shared" ref="R299:R362" si="586">IF(AND(B299&gt;=GF299,B299&lt;=GH299),MAX(EB299,EF299),EB299)</f>
        <v>9</v>
      </c>
      <c r="S299" s="898">
        <f t="shared" si="548"/>
        <v>0</v>
      </c>
      <c r="T299" s="898">
        <f t="shared" si="549"/>
        <v>0</v>
      </c>
      <c r="U299" s="898">
        <f t="shared" si="550"/>
        <v>9</v>
      </c>
      <c r="V299" s="898"/>
      <c r="W299" s="898">
        <f t="shared" si="551"/>
        <v>0</v>
      </c>
      <c r="X299" s="898">
        <f t="shared" si="552"/>
        <v>0</v>
      </c>
      <c r="Y299" s="898" t="str">
        <f t="shared" si="553"/>
        <v>FALSE</v>
      </c>
      <c r="Z299" s="898">
        <f t="shared" si="554"/>
        <v>55.65</v>
      </c>
      <c r="AA299" s="898">
        <f t="shared" si="555"/>
        <v>55.65</v>
      </c>
      <c r="AB299" s="898" t="str">
        <f t="shared" si="556"/>
        <v/>
      </c>
      <c r="AC299" s="563">
        <f>Sheet1!Y301*MGDtoCFS</f>
        <v>48.250929999999997</v>
      </c>
      <c r="AD299" s="563">
        <f>Sheet1!Z301*MGDtoCFS</f>
        <v>41.861819999999994</v>
      </c>
      <c r="AE299" s="563">
        <f>Sheet1!AA301*MGDtoCFS</f>
        <v>46.116069999999993</v>
      </c>
      <c r="AF299" s="563">
        <f>Sheet1!AB301*MGDtoCFS</f>
        <v>39.97448</v>
      </c>
      <c r="AG299" s="563">
        <f>Sheet1!L301*MGDtoCFS</f>
        <v>0</v>
      </c>
      <c r="AH299" s="545">
        <f t="shared" ref="AH299:AH362" si="587">AU299+BN299+CI299+DB299</f>
        <v>9</v>
      </c>
      <c r="AI299" s="560">
        <f t="shared" ref="AI299:AI362" si="588">AH299*MGDtoCFS</f>
        <v>13.923</v>
      </c>
      <c r="AJ299" s="560">
        <f t="shared" ref="AJ299:AJ362" si="589">IF(B299&gt;=GC299,IF(B299&lt;=GD299,K299-EB299,0),0)</f>
        <v>0</v>
      </c>
      <c r="AK299" s="560">
        <f t="shared" ref="AK299:AK362" si="590">AJ299*MGDtoCFS</f>
        <v>0</v>
      </c>
      <c r="AL299" s="560">
        <f>(VLOOKUP(Sheet1!DC301,hhdcap_wcm,4)-(((VLOOKUP(Sheet1!DC301,hhdcap_wcm,3)-Sheet1!DC301)/(VLOOKUP(Sheet1!DC301,hhdcap_wcm,3)-VLOOKUP(Sheet1!DC301,hhdcap_wcm,1)))*(VLOOKUP(Sheet1!DC301,hhdcap_wcm,4)-VLOOKUP(Sheet1!DC301,hhdcap_wcm,2))))</f>
        <v>11103.000000025402</v>
      </c>
      <c r="AM299" s="560">
        <f t="shared" ref="AM299:AM362" si="591">AL299-AL298</f>
        <v>-709.80000000190921</v>
      </c>
      <c r="AN299" s="560">
        <f t="shared" ref="AN299:AN362" si="592">(IF(AND(B299&gt;=GC299,B299&lt;GF299),MIN(BB299+BU299+CP299+DI299,GE299),IF(B299=GF299,GG299,IF(AND(B299&gt;GF299,B299&lt;GH299),BB299+BU299+CP299+DI299,IF(B299&gt;=GH299,0,0)))))</f>
        <v>847.46962822082469</v>
      </c>
      <c r="AO299" s="560">
        <f t="shared" ref="AO299:AO362" si="593">AN299*MGtoAF</f>
        <v>2600.0368193814902</v>
      </c>
      <c r="AP299" s="560">
        <f>Sheet1!BA301+Sheet1!BB301+Sheet1!BN301+CD299</f>
        <v>17.34</v>
      </c>
      <c r="AQ299" s="560">
        <f>Sheet1!BN301+(DO299*Sheet1!BN301)</f>
        <v>15.79607843137255</v>
      </c>
      <c r="AR299" s="560">
        <f>Sheet1!BA301+CD299</f>
        <v>0</v>
      </c>
      <c r="AS299" s="560">
        <f>Sheet1!BA301+Sheet1!BB301+CD299</f>
        <v>1.44</v>
      </c>
      <c r="AT299" s="698">
        <f>0</f>
        <v>0</v>
      </c>
      <c r="AU299" s="560">
        <f>IF(EB299&lt;K299,0,MAX(Sheet1!AA301+AQ299-15/36*K299-N299,Sheet1!EH301,0))</f>
        <v>0</v>
      </c>
      <c r="AV299" s="560">
        <f>IF(OR(B299&gt;=GD299,B299&lt;GC299),0,15/36*K299-MAX(0,64.6-(137.6-(Sheet1!AA301+Sheet1!AB301))))</f>
        <v>0</v>
      </c>
      <c r="AW299" s="698">
        <f>Sheet1!DB301-110</f>
        <v>423</v>
      </c>
      <c r="AX299" s="698">
        <f>Sheet1!DA301-265</f>
        <v>542</v>
      </c>
      <c r="AY299" s="698">
        <f t="shared" ref="AY299:AY362" si="594">N299-Q299</f>
        <v>26.35</v>
      </c>
      <c r="AZ299" s="698">
        <v>0</v>
      </c>
      <c r="BA299" s="698">
        <f t="shared" ref="BA299:BA362" si="595">IF(AZ299&lt;=0,0,AZ299/1.547)</f>
        <v>0</v>
      </c>
      <c r="BB299" s="560">
        <f t="shared" ref="BB299:BB362" si="596">GO299+GQ299</f>
        <v>389.52566666666689</v>
      </c>
      <c r="BC299" s="560"/>
      <c r="BD299" s="560">
        <f ca="1">IF(B299&gt;Summary!$A$1,#N/A,BB299*MGtoAF)</f>
        <v>1195.064745333334</v>
      </c>
      <c r="BE299" s="560">
        <f>Sheet1!BG301+Sheet1!BH301+Sheet1!BI301-BM299</f>
        <v>0</v>
      </c>
      <c r="BF299" s="560">
        <f t="shared" ref="BF299:BF362" si="597">BE299+(DO299*BE299)</f>
        <v>0</v>
      </c>
      <c r="BG299" s="560">
        <f>IF(Sheet1!EP301="FM",BM299,0)</f>
        <v>0</v>
      </c>
      <c r="BH299" s="560">
        <f t="shared" ref="BH299:BH362" si="598">BG299+(DO299*BG299)</f>
        <v>0</v>
      </c>
      <c r="BI299" s="560">
        <f>IF(Sheet1!EP301="OTHER",BM299,0)</f>
        <v>0</v>
      </c>
      <c r="BJ299" s="560">
        <f t="shared" ref="BJ299:BJ362" si="599">BI299+(DO299*BI299)</f>
        <v>0</v>
      </c>
      <c r="BK299" s="560">
        <f t="shared" ref="BK299:BK362" si="600">MAX(BE299,BG299,BI299)</f>
        <v>0</v>
      </c>
      <c r="BL299" s="560">
        <f t="shared" ref="BL299:BL362" si="601">MAX(BF299,BH299,BJ299)</f>
        <v>0</v>
      </c>
      <c r="BM299" s="560">
        <f>IF(OR(Sheet1!EP301="FM", Sheet1!EP301="OTHER"),SUM(Sheet1!BG301:'Sheet1'!BI301),0)</f>
        <v>0</v>
      </c>
      <c r="BN299" s="545">
        <f>IF(AND($B299&gt;=$FV299,$B299&lt;=$FW299),MAX(BF299,Sheet1!EI301,0),MAX(BF299-(7/36)*$K299,0))</f>
        <v>0</v>
      </c>
      <c r="BO299" s="560">
        <f t="shared" ref="BO299:BO362" si="602">IF(B299&gt;=GC299,IF(B299&lt;=GD299,(7/36)*K299-BF299,0),0)</f>
        <v>0</v>
      </c>
      <c r="BP299" s="545">
        <f t="shared" ref="BP299:BP362" si="603">MAX(BL299-BN299,0)</f>
        <v>0</v>
      </c>
      <c r="BQ299" s="545">
        <f>IF(AND($O299&gt;0,Sheet1!EM301=1),(1-($O299-Sheet1!$L301)/$O299)*BL299,0)</f>
        <v>0</v>
      </c>
      <c r="BR299" s="545">
        <f>IF(AND(Sheet1!$L301=0,Sheet1!$L300=0, Calculation!BK299&lt;Sheet1!$EI301-0.1,Sheet1!$EI301=Sheet1!$EI300,Sheet1!$EI301=Sheet1!$EI302),Sheet1!$EI301,BL299-BQ299)</f>
        <v>0</v>
      </c>
      <c r="BS299" s="560"/>
      <c r="BT299" s="560"/>
      <c r="BU299" s="560">
        <f t="shared" ref="BU299:BU362" si="604">GV299+GX299</f>
        <v>106.52176547029438</v>
      </c>
      <c r="BV299" s="560"/>
      <c r="BW299" s="560">
        <f ca="1">IF(B299&gt;Summary!$A$1,#N/A,BU299*MGtoAF)</f>
        <v>326.80877646286319</v>
      </c>
      <c r="BX299" s="560">
        <f>Sheet1!BC301+Sheet1!BD301+Sheet1!BE301+Sheet1!BF301-CG299-CH299</f>
        <v>2.1399999999999997</v>
      </c>
      <c r="BY299" s="560">
        <f t="shared" ref="BY299:BY362" si="605">BX299+(DO299*BX299)</f>
        <v>2.1260130718954247</v>
      </c>
      <c r="BZ299" s="560">
        <f>IF(Sheet1!EQ301="FM",CH299,0)</f>
        <v>0</v>
      </c>
      <c r="CA299" s="560">
        <f t="shared" ref="CA299:CA362" si="606">BZ299+(DO299*BZ299)</f>
        <v>0</v>
      </c>
      <c r="CB299" s="560">
        <f>IF(Sheet1!EQ301="OTHER",CH299,0)</f>
        <v>0</v>
      </c>
      <c r="CC299" s="560">
        <f t="shared" ref="CC299:CC362" si="607">CB299+(DO299*CB299)</f>
        <v>0</v>
      </c>
      <c r="CD299" s="560">
        <f t="shared" ref="CD299:CD362" si="608">CG299</f>
        <v>0</v>
      </c>
      <c r="CE299" s="560">
        <f t="shared" ref="CE299:CE362" si="609">MAX(BX299,BZ299,CB299)</f>
        <v>2.1399999999999997</v>
      </c>
      <c r="CF299" s="560">
        <f t="shared" ref="CF299:CF362" si="610">MAX(BY299,CA299, CC299)</f>
        <v>2.1260130718954247</v>
      </c>
      <c r="CG299" s="560">
        <f>IF(Sheet1!EQ301="CWA",SUM(Sheet1!BC301:'Sheet1'!BF301),0)</f>
        <v>0</v>
      </c>
      <c r="CH299" s="560">
        <f>IF(OR(Sheet1!EQ301="FM", Sheet1!EQ301="OTHER"),SUM(Sheet1!BC301:'Sheet1'!BF301),0)</f>
        <v>0</v>
      </c>
      <c r="CI299" s="545">
        <f>IF(AND($B299&gt;=$FV299,$B299&lt;=$FW299),MAX(CF299,Sheet1!EJ301,0),MAX(CF299-(7/36)*$K299,0))</f>
        <v>2.5</v>
      </c>
      <c r="CJ299" s="560">
        <f t="shared" ref="CJ299:CJ362" si="611">IF(B299&gt;=GC299,IF(B299&lt;=GD299,(7/36)*K299-BY299,0),0)</f>
        <v>0</v>
      </c>
      <c r="CK299" s="545">
        <f t="shared" ref="CK299:CK362" si="612">MAX(CF299-CI299,0)</f>
        <v>0</v>
      </c>
      <c r="CL299" s="545">
        <f>IF(AND($O299&gt;0,Sheet1!EN301=1),(1-($O299-Sheet1!$L301)/$O299)*CF299,0)</f>
        <v>0</v>
      </c>
      <c r="CM299" s="545">
        <f>IF(AND(Sheet1!$L301=0,Sheet1!$L300=0, Calculation!CE299&lt;Sheet1!EJ301-0.1,Sheet1!EJ301=Sheet1!EJ300,Sheet1!EJ301=Sheet1!EJ302),Sheet1!EJ301,CF299-CL299)</f>
        <v>2.5</v>
      </c>
      <c r="CN299" s="545"/>
      <c r="CO299" s="560"/>
      <c r="CP299" s="560">
        <f t="shared" ref="CP299:CP362" si="613">HC299+HE299</f>
        <v>165.15922444476766</v>
      </c>
      <c r="CQ299" s="560"/>
      <c r="CR299" s="560">
        <f ca="1">IF(B299&gt;Summary!$A$1,#N/A,CP299*MGtoAF)</f>
        <v>506.7085005965472</v>
      </c>
      <c r="CS299" s="560">
        <f>Sheet1!BK301+Sheet1!BL301+Sheet1!BM301-Sheet1!ER301-DA299</f>
        <v>6.5299999999999994</v>
      </c>
      <c r="CT299" s="560">
        <f t="shared" ref="CT299:CT362" si="614">CS299+(DO299*CS299)</f>
        <v>6.4873202614379082</v>
      </c>
      <c r="CU299" s="560">
        <f>IF(Sheet1!ER301="FM",DA299,0)</f>
        <v>0</v>
      </c>
      <c r="CV299" s="560">
        <f t="shared" ref="CV299:CV362" si="615">CU299+(DO299*CU299)</f>
        <v>0</v>
      </c>
      <c r="CW299" s="560">
        <f>IF(Sheet1!ER301="OTHER",DA299,0)</f>
        <v>0</v>
      </c>
      <c r="CX299" s="560">
        <f t="shared" ref="CX299:CX362" si="616">CW299+(DO299*CW299)</f>
        <v>0</v>
      </c>
      <c r="CY299" s="560">
        <f t="shared" ref="CY299:CY362" si="617">MAX(CS299,CU299)</f>
        <v>6.5299999999999994</v>
      </c>
      <c r="CZ299" s="560">
        <f t="shared" ref="CZ299:CZ362" si="618">MAX(CT299,CV299)</f>
        <v>6.4873202614379082</v>
      </c>
      <c r="DA299" s="560">
        <f>IF(OR(Sheet1!ER301="FM", Sheet1!ER301="OTHER"),SUM(Sheet1!BK301:'Sheet1'!BM301),0)</f>
        <v>0</v>
      </c>
      <c r="DB299" s="545">
        <f>IF(AND($B299&gt;=$FV299,$B299&lt;=$FW299),MAX($CT299,Sheet1!EK301,0),MAX($CT299-(7/36)*$K299,0))</f>
        <v>6.5</v>
      </c>
      <c r="DC299" s="560">
        <f t="shared" ref="DC299:DC362" si="619">IF(B299&gt;=GC299,IF(B299&lt;=GD299,(7/36)*K299-CT299,0),0)</f>
        <v>0</v>
      </c>
      <c r="DD299" s="545">
        <f t="shared" ref="DD299:DD362" si="620">MAX(CZ299-DB299,0)</f>
        <v>0</v>
      </c>
      <c r="DE299" s="545">
        <f>IF(AND($O299&gt;0,Sheet1!EO301=1),(1-($O299-Sheet1!$L301)/$O299)*CZ299,0)</f>
        <v>0</v>
      </c>
      <c r="DF299" s="545">
        <f>IF(AND(Sheet1!$L301=0,Sheet1!$L300=0, Calculation!CY299&lt;Sheet1!$EK301-0.1,Sheet1!$EK301=Sheet1!$EK300,Sheet1!$EK301=Sheet1!$EK302),Sheet1!$EK301,CZ299-DE299)</f>
        <v>6.4873202614379082</v>
      </c>
      <c r="DG299" s="545"/>
      <c r="DH299" s="560">
        <f t="shared" ref="DH299:DH362" si="621">BK299+CE299+CY299</f>
        <v>8.6699999999999982</v>
      </c>
      <c r="DI299" s="560">
        <f t="shared" ref="DI299:DI362" si="622">HJ299+HL299</f>
        <v>186.26297163909581</v>
      </c>
      <c r="DJ299" s="698">
        <f t="shared" ref="DJ299:DJ362" si="623">BL299+CF299+CZ299</f>
        <v>8.6133333333333333</v>
      </c>
      <c r="DK299" s="560">
        <f ca="1">IF(B299&gt;Summary!$A$1,#N/A,DI299*MGtoAF)</f>
        <v>571.45479698874601</v>
      </c>
      <c r="DL299" s="698">
        <f t="shared" ref="DL299:DL362" si="624">CY299+CE299+BK299</f>
        <v>8.6699999999999982</v>
      </c>
      <c r="DM299" s="560">
        <f t="shared" ref="DM299:DM362" si="625">DL299+AP299</f>
        <v>26.009999999999998</v>
      </c>
      <c r="DN299" s="560">
        <f>Sheet1!AB301-DM299</f>
        <v>-0.16999999999999815</v>
      </c>
      <c r="DO299" s="823">
        <f t="shared" ref="DO299:DO362" si="626">IF(DM299=0,0,DN299/DM299)</f>
        <v>-6.5359477124182297E-3</v>
      </c>
      <c r="DP299" s="560">
        <f>(VLOOKUP(Sheet1!DC301,hhdcap_wcm,4)-(((VLOOKUP(Sheet1!DC301,hhdcap_wcm,3)-Sheet1!DC301)/(VLOOKUP(Sheet1!DC301,hhdcap_wcm,3)-VLOOKUP(Sheet1!DC301,hhdcap_wcm,1)))*(VLOOKUP(Sheet1!DC301,hhdcap_wcm,4)-VLOOKUP(Sheet1!DC301,hhdcap_wcm,2))))</f>
        <v>11103.000000025402</v>
      </c>
      <c r="DQ299" s="560">
        <f t="shared" ref="DQ299:DQ362" si="627">DP299-DP298</f>
        <v>-709.80000000190921</v>
      </c>
      <c r="DR299" s="560">
        <f t="shared" ref="DR299:DR362" si="628">DQ299*AFtoCFS</f>
        <v>-357.9425113474075</v>
      </c>
      <c r="DS299" s="560">
        <f>Sheet1!EA301*AFtoMG</f>
        <v>0</v>
      </c>
      <c r="DT299" s="560">
        <f>Sheet1!EB301*AFtoMG</f>
        <v>0</v>
      </c>
      <c r="DU299" s="560">
        <f>Sheet1!EC301*AFtoMG</f>
        <v>0</v>
      </c>
      <c r="DV299" s="560">
        <f>Sheet1!ED301*AFtoMG</f>
        <v>0</v>
      </c>
      <c r="DW299" s="560">
        <f t="shared" ref="DW299:DW362" si="629">SUM(DS299:DV299)</f>
        <v>0</v>
      </c>
      <c r="DX299" s="560">
        <f t="shared" ref="DX299:DX362" si="630">DW299*MGtoAF</f>
        <v>0</v>
      </c>
      <c r="DY299" s="560">
        <f t="shared" ref="DY299:DY362" si="631">AN299</f>
        <v>847.46962822082469</v>
      </c>
      <c r="DZ299" s="560">
        <f t="shared" ref="DZ299:DZ362" si="632">DY299*MGtoAF</f>
        <v>2600.0368193814902</v>
      </c>
      <c r="EA299" s="560"/>
      <c r="EB299" s="545">
        <f>IF(OR(B299&lt;FV299,B299&gt;FW299),(MIN(BF299+BY299+CT299+MAX(Sheet1!AA301+AQ299-73,0),K299)),0)</f>
        <v>0</v>
      </c>
      <c r="EC299" s="560"/>
      <c r="ED299" s="560">
        <f t="shared" ref="ED299:ED362" si="633">CT299+BF299+BY299</f>
        <v>8.6133333333333333</v>
      </c>
      <c r="EE299" s="560"/>
      <c r="EF299" s="560">
        <f>Sheet1!EH301+Sheet1!EI301+Sheet1!EJ301+Sheet1!EK301</f>
        <v>9</v>
      </c>
      <c r="EG299" s="560"/>
      <c r="EH299" s="545">
        <f t="shared" ref="EH299:EH362" si="634">EB299-BP299-CK299-DD299</f>
        <v>0</v>
      </c>
      <c r="EI299" s="560">
        <f>IF(Sheet1!ET301=1,SUM('Calculations II'!AT299:BA299)+'Calculations II'!BC299+Sheet1!BV301+'Calculations II'!BE299+AP299,SUM('Calculations II'!AT299:BA299)+'Calculations II'!BC299+Sheet1!BV301+'Calculations II'!BE299+AP299)</f>
        <v>55.130064000000004</v>
      </c>
      <c r="EJ299" s="560">
        <f>Sheet1!AA301+Sheet1!AB301+'Calculations II'!BC299</f>
        <v>55.65</v>
      </c>
      <c r="EK299" s="560"/>
      <c r="EL299" s="560"/>
      <c r="EM299" s="560">
        <f t="shared" ref="EM299:EM362" si="635">B299</f>
        <v>41927</v>
      </c>
      <c r="EN299" s="560">
        <f t="shared" ref="EN299:EN362" si="636">AJ299-AH299</f>
        <v>-9</v>
      </c>
      <c r="EO299" s="560">
        <f t="shared" ref="EO299:EO362" si="637">AK299-AI299</f>
        <v>-13.923</v>
      </c>
      <c r="EP299" s="560">
        <v>0</v>
      </c>
      <c r="EQ299" s="560">
        <v>0</v>
      </c>
      <c r="ER299" s="560">
        <v>0</v>
      </c>
      <c r="ES299" s="545">
        <f t="shared" si="557"/>
        <v>-0.69243669117591533</v>
      </c>
      <c r="ET299" s="560">
        <f>-(VLOOKUP(Sheet1!BQ301,Lookup!$O$4:$Q$262,2)-VLOOKUP(Sheet1!BQ300,Lookup!$O$4:$Q$262,2))/1000000</f>
        <v>-0.27696314149235191</v>
      </c>
      <c r="EU299" s="560">
        <f>-(VLOOKUP(Sheet1!BR301,Lookup!$O$4:$Q$262,3)-VLOOKUP(Sheet1!BR300,Lookup!$O$4:$Q$262,3))/1000000</f>
        <v>-0.41547354968356343</v>
      </c>
      <c r="EV299" s="560"/>
      <c r="EW299" s="560"/>
      <c r="EX299" s="560"/>
      <c r="EY299" s="560"/>
      <c r="EZ299" s="560"/>
      <c r="FA299" s="560"/>
      <c r="FB299" s="560"/>
      <c r="FC299" s="560"/>
      <c r="FD299" s="594">
        <f t="shared" ref="FD299:FD362" si="638">VLOOKUP(FJ296,hhdelev_wcm,4) -(((VLOOKUP(FJ296,hhdelev_wcm,3)-FJ296)/(VLOOKUP(FJ296,hhdelev_wcm,3)-VLOOKUP(FJ296,hhdelev_wcm,1)))*(VLOOKUP(FJ296,hhdelev_wcm,4)-VLOOKUP(FJ296,hhdelev_wcm,2)))</f>
        <v>1105.6793103447787</v>
      </c>
      <c r="FE299" s="594" t="e">
        <f t="shared" ref="FE299:FE362" si="639">MAX((FE298-FI299*1.983),0)</f>
        <v>#N/A</v>
      </c>
      <c r="FF299" s="595" t="e">
        <f t="shared" ref="FF299:FF362" si="640">IF(DP299-AO299-FE299-1220&lt;0,0,DP299-AO299-FE299-1220)</f>
        <v>#N/A</v>
      </c>
      <c r="FG299" s="596" t="s">
        <v>692</v>
      </c>
      <c r="FH299" s="596" t="s">
        <v>692</v>
      </c>
      <c r="FI299" s="594" t="e">
        <v>#N/A</v>
      </c>
      <c r="FJ299" s="778">
        <v>6054</v>
      </c>
      <c r="FK299" s="560"/>
      <c r="FL299" s="560"/>
      <c r="FM299" s="560"/>
      <c r="FN299" s="560"/>
      <c r="FO299" s="560">
        <f>O299+((Sheet1!CS301)*GPMtoMGD)</f>
        <v>55.65</v>
      </c>
      <c r="FP299" s="560">
        <f>IF(Sheet1!AA301+AQ299&lt;=Calculation!N299,AQ299,Calculation!N299-Sheet1!AA301)</f>
        <v>15.79607843137255</v>
      </c>
      <c r="FQ299" s="560">
        <f>(Sheet1!BP301+Sheet1!BO301)/694.4</f>
        <v>1.5836693548387097</v>
      </c>
      <c r="FR299" s="560"/>
      <c r="FS299" s="560"/>
      <c r="FT299" s="560"/>
      <c r="FU299" s="560"/>
      <c r="FV299" s="695">
        <f t="shared" si="558"/>
        <v>41827</v>
      </c>
      <c r="FW299" s="695">
        <f t="shared" si="559"/>
        <v>41934</v>
      </c>
      <c r="FX299" s="560"/>
      <c r="FY299" s="560"/>
      <c r="FZ299" s="560"/>
      <c r="GA299" s="560"/>
      <c r="GB299" s="560" t="str">
        <f t="shared" si="560"/>
        <v>n</v>
      </c>
      <c r="GC299" s="564">
        <f t="shared" si="561"/>
        <v>41691</v>
      </c>
      <c r="GD299" s="695">
        <f t="shared" si="562"/>
        <v>41807</v>
      </c>
      <c r="GE299" s="560">
        <v>6518.9</v>
      </c>
      <c r="GF299" s="695">
        <f t="shared" si="563"/>
        <v>41808</v>
      </c>
      <c r="GG299" s="560">
        <f t="shared" si="582"/>
        <v>3259</v>
      </c>
      <c r="GH299" s="564">
        <f t="shared" si="564"/>
        <v>41934</v>
      </c>
      <c r="GJ299" s="545">
        <f t="shared" si="565"/>
        <v>0</v>
      </c>
      <c r="GK299" s="560" t="str">
        <f t="shared" ref="GK299:GK362" si="641">CONCATENATE(GM299,HA299,GT299,HH299)</f>
        <v/>
      </c>
      <c r="GL299" s="560">
        <f t="shared" si="566"/>
        <v>0</v>
      </c>
      <c r="GM299" s="560" t="str">
        <f t="shared" si="567"/>
        <v/>
      </c>
      <c r="GN299" s="560">
        <f>IF(GK299="P",Lookup!$M$12,IF(GK299="PP",Lookup!$M$13,IF(GK299="PPP",Lookup!$M$14,IF(GK299="T",Lookup!$M$15,IF(GK299="TP",Lookup!$M$16,IF(GK299="TPP",Lookup!$M$17,IF(GK299="TPPP",Lookup!$M$18,0)))))))*GJ299</f>
        <v>0</v>
      </c>
      <c r="GO299" s="560">
        <f t="shared" si="568"/>
        <v>0</v>
      </c>
      <c r="GP299" s="560">
        <f t="shared" ref="GP299:GP362" si="642">GQ299*MGtoAF</f>
        <v>1195.064745333334</v>
      </c>
      <c r="GQ299" s="560">
        <f t="shared" si="576"/>
        <v>389.52566666666689</v>
      </c>
      <c r="GR299" s="560"/>
      <c r="GS299" s="560">
        <f t="shared" si="569"/>
        <v>0</v>
      </c>
      <c r="GT299" s="560" t="str">
        <f t="shared" si="570"/>
        <v/>
      </c>
      <c r="GU299" s="560">
        <f>IF(GK299="P",Lookup!$N$12,IF(GK299="PP",Lookup!$N$13,IF(GK299="PPP",Lookup!$N$14,IF(GK299="T",Lookup!$N$15,IF(GK299="TP",Lookup!$N$16,IF(GK299="TPP",Lookup!$N$17,IF(GK299="TPPP",Lookup!$N$18,0)))))))*GJ299</f>
        <v>0</v>
      </c>
      <c r="GV299" s="560">
        <f t="shared" si="571"/>
        <v>0</v>
      </c>
      <c r="GW299" s="560">
        <f t="shared" ref="GW299:GW362" si="643">GX299*MGtoAF</f>
        <v>326.80877646286319</v>
      </c>
      <c r="GX299" s="560">
        <f t="shared" si="577"/>
        <v>106.52176547029438</v>
      </c>
      <c r="GY299" s="560"/>
      <c r="GZ299" s="560">
        <f t="shared" si="572"/>
        <v>0</v>
      </c>
      <c r="HA299" s="560" t="str">
        <f t="shared" si="573"/>
        <v/>
      </c>
      <c r="HB299" s="560">
        <f>IF(GK299="P",Lookup!$N$12,IF(GK299="PP",Lookup!$N$13,IF(GK299="PPP",Lookup!$N$14,IF(GK299="T",Lookup!$N$15,IF(GK299="TP",Lookup!$N$16,IF(GK299="TPP",Lookup!$N$17,IF(GK299="TPPP",Lookup!$N$18,0)))))))*GJ299</f>
        <v>0</v>
      </c>
      <c r="HC299" s="545">
        <f t="shared" ref="HC299:HC362" si="644">IF(HA299="P",MIN(HB299,7/36*GE299-HE299),0)</f>
        <v>0</v>
      </c>
      <c r="HD299" s="560">
        <f t="shared" ref="HD299:HD362" si="645">HE299*MGtoAF</f>
        <v>506.7085005965472</v>
      </c>
      <c r="HE299" s="560">
        <f t="shared" si="578"/>
        <v>165.15922444476766</v>
      </c>
      <c r="HF299" s="560"/>
      <c r="HG299" s="560">
        <f t="shared" si="574"/>
        <v>0</v>
      </c>
      <c r="HH299" s="560" t="str">
        <f t="shared" si="575"/>
        <v/>
      </c>
      <c r="HI299" s="560">
        <f>IF(GK299="P",Lookup!$N$12,IF(GK299="PP",Lookup!$N$13,IF(GK299="PPP",Lookup!$N$14,IF(GK299="T",Lookup!$N$15,IF(GK299="TP",Lookup!$N$16,IF(GK299="TPP",Lookup!$N$17,IF(GK299="TPPP",Lookup!$N$18,0)))))))*GJ299</f>
        <v>0</v>
      </c>
      <c r="HJ299" s="545">
        <f t="shared" ref="HJ299:HJ362" si="646">IF(HH299="P",MIN(HI299,7/36*GE299-HL299),0)</f>
        <v>0</v>
      </c>
      <c r="HK299" s="560">
        <f t="shared" ref="HK299:HK362" si="647">HL299*MGtoAF</f>
        <v>571.45479698874601</v>
      </c>
      <c r="HL299" s="560">
        <f t="shared" si="579"/>
        <v>186.26297163909581</v>
      </c>
    </row>
    <row r="300" spans="1:220">
      <c r="A300" s="580" t="s">
        <v>7</v>
      </c>
      <c r="B300" s="556">
        <v>41928</v>
      </c>
      <c r="C300" s="561">
        <v>0</v>
      </c>
      <c r="D300" s="529">
        <f t="shared" si="580"/>
        <v>300</v>
      </c>
      <c r="E300" s="529">
        <f t="shared" si="581"/>
        <v>250</v>
      </c>
      <c r="F300" s="529">
        <v>250</v>
      </c>
      <c r="G300" s="560">
        <f>DR300+Sheet1!CZ302</f>
        <v>305.00655572306363</v>
      </c>
      <c r="H300" s="914">
        <f t="shared" si="546"/>
        <v>0</v>
      </c>
      <c r="I300" s="559">
        <f>MAX(Sheet1!Z302-AT300+(Sheet1!DA302-E300)*CFStoMGD,0)</f>
        <v>329.00159999999994</v>
      </c>
      <c r="J300" s="562">
        <f>IF(AND(B300&gt;=Calculation!GC300,B300&lt;=Calculation!GD300),IF(Sheet1!DB302&gt;=Calculation!D300,64.64,0),MAX(Sheet1!Z302-AT300+(Sheet1!DB302-D300)*CFStoMGD,0))</f>
        <v>160.2912</v>
      </c>
      <c r="K300" s="904">
        <f t="shared" si="583"/>
        <v>0</v>
      </c>
      <c r="L300" s="560">
        <f>Sheet1!AA302+Sheet1!AB302-Sheet1!L302+(Sheet1!DA302-F300)*CFStoMGD</f>
        <v>357.32159999999999</v>
      </c>
      <c r="M300" s="560">
        <f t="shared" si="584"/>
        <v>201.0993623717761</v>
      </c>
      <c r="N300" s="910">
        <f>IF(Sheet1!DA302&gt;=F300,MIN(73,MIN(MAX(L300,0),MAX(M300,0))),0)</f>
        <v>73</v>
      </c>
      <c r="O300" s="563">
        <f>Sheet1!AA302+Sheet1!AB302</f>
        <v>54.16</v>
      </c>
      <c r="P300" s="563">
        <f t="shared" si="585"/>
        <v>83.785519999999991</v>
      </c>
      <c r="Q300" s="898">
        <f t="shared" si="547"/>
        <v>45.16</v>
      </c>
      <c r="R300" s="829">
        <f t="shared" si="586"/>
        <v>9</v>
      </c>
      <c r="S300" s="898">
        <f t="shared" si="548"/>
        <v>0</v>
      </c>
      <c r="T300" s="898">
        <f t="shared" si="549"/>
        <v>0</v>
      </c>
      <c r="U300" s="898">
        <f t="shared" si="550"/>
        <v>9</v>
      </c>
      <c r="V300" s="898"/>
      <c r="W300" s="898">
        <f t="shared" si="551"/>
        <v>0</v>
      </c>
      <c r="X300" s="898">
        <f t="shared" si="552"/>
        <v>0</v>
      </c>
      <c r="Y300" s="898" t="str">
        <f t="shared" si="553"/>
        <v>FALSE</v>
      </c>
      <c r="Z300" s="898">
        <f t="shared" si="554"/>
        <v>54.16</v>
      </c>
      <c r="AA300" s="898">
        <f t="shared" si="555"/>
        <v>54.16</v>
      </c>
      <c r="AB300" s="898" t="str">
        <f t="shared" si="556"/>
        <v/>
      </c>
      <c r="AC300" s="563">
        <f>Sheet1!Y302*MGDtoCFS</f>
        <v>46.116069999999993</v>
      </c>
      <c r="AD300" s="563">
        <f>Sheet1!Z302*MGDtoCFS</f>
        <v>39.97448</v>
      </c>
      <c r="AE300" s="563">
        <f>Sheet1!AA302*MGDtoCFS</f>
        <v>44.955819999999996</v>
      </c>
      <c r="AF300" s="563">
        <f>Sheet1!AB302*MGDtoCFS</f>
        <v>38.829700000000003</v>
      </c>
      <c r="AG300" s="563">
        <f>Sheet1!L302*MGDtoCFS</f>
        <v>0</v>
      </c>
      <c r="AH300" s="545">
        <f t="shared" si="587"/>
        <v>9.0040380047505941</v>
      </c>
      <c r="AI300" s="560">
        <f t="shared" si="588"/>
        <v>13.929246793349169</v>
      </c>
      <c r="AJ300" s="560">
        <f t="shared" si="589"/>
        <v>0</v>
      </c>
      <c r="AK300" s="560">
        <f t="shared" si="590"/>
        <v>0</v>
      </c>
      <c r="AL300" s="560">
        <f>(VLOOKUP(Sheet1!DC302,hhdcap_wcm,4)-(((VLOOKUP(Sheet1!DC302,hhdcap_wcm,3)-Sheet1!DC302)/(VLOOKUP(Sheet1!DC302,hhdcap_wcm,3)-VLOOKUP(Sheet1!DC302,hhdcap_wcm,1)))*(VLOOKUP(Sheet1!DC302,hhdcap_wcm,4)-VLOOKUP(Sheet1!DC302,hhdcap_wcm,2))))</f>
        <v>10486.300000024237</v>
      </c>
      <c r="AM300" s="560">
        <f t="shared" si="591"/>
        <v>-616.70000000116488</v>
      </c>
      <c r="AN300" s="560">
        <f t="shared" si="592"/>
        <v>838.46559021607413</v>
      </c>
      <c r="AO300" s="560">
        <f t="shared" si="593"/>
        <v>2572.4124307829156</v>
      </c>
      <c r="AP300" s="560">
        <f>Sheet1!BA302+Sheet1!BB302+Sheet1!BN302+CD300</f>
        <v>16.21</v>
      </c>
      <c r="AQ300" s="560">
        <f>Sheet1!BN302+(DO300*Sheet1!BN302)</f>
        <v>14.805621536025338</v>
      </c>
      <c r="AR300" s="560">
        <f>Sheet1!BA302+CD300</f>
        <v>0</v>
      </c>
      <c r="AS300" s="560">
        <f>Sheet1!BA302+Sheet1!BB302+CD300</f>
        <v>1.31</v>
      </c>
      <c r="AT300" s="698">
        <f>0</f>
        <v>0</v>
      </c>
      <c r="AU300" s="560">
        <f>IF(EB300&lt;K300,0,MAX(Sheet1!AA302+AQ300-15/36*K300-N300,Sheet1!EH302,0))</f>
        <v>0</v>
      </c>
      <c r="AV300" s="560">
        <f>IF(OR(B300&gt;=GD300,B300&lt;GC300),0,15/36*K300-MAX(0,64.6-(137.6-(Sheet1!AA302+Sheet1!AB302))))</f>
        <v>0</v>
      </c>
      <c r="AW300" s="698">
        <f>Sheet1!DB302-110</f>
        <v>398</v>
      </c>
      <c r="AX300" s="698">
        <f>Sheet1!DA302-265</f>
        <v>454</v>
      </c>
      <c r="AY300" s="698">
        <f t="shared" si="594"/>
        <v>27.840000000000003</v>
      </c>
      <c r="AZ300" s="698">
        <v>0</v>
      </c>
      <c r="BA300" s="698">
        <f t="shared" si="595"/>
        <v>0</v>
      </c>
      <c r="BB300" s="560">
        <f t="shared" si="596"/>
        <v>389.52566666666689</v>
      </c>
      <c r="BC300" s="560"/>
      <c r="BD300" s="560">
        <f ca="1">IF(B300&gt;Summary!$A$1,#N/A,BB300*MGtoAF)</f>
        <v>1195.064745333334</v>
      </c>
      <c r="BE300" s="560">
        <f>Sheet1!BG302+Sheet1!BH302+Sheet1!BI302-BM300</f>
        <v>0</v>
      </c>
      <c r="BF300" s="560">
        <f t="shared" si="597"/>
        <v>0</v>
      </c>
      <c r="BG300" s="560">
        <f>IF(Sheet1!EP302="FM",BM300,0)</f>
        <v>0</v>
      </c>
      <c r="BH300" s="560">
        <f t="shared" si="598"/>
        <v>0</v>
      </c>
      <c r="BI300" s="560">
        <f>IF(Sheet1!EP302="OTHER",BM300,0)</f>
        <v>0</v>
      </c>
      <c r="BJ300" s="560">
        <f t="shared" si="599"/>
        <v>0</v>
      </c>
      <c r="BK300" s="560">
        <f t="shared" si="600"/>
        <v>0</v>
      </c>
      <c r="BL300" s="560">
        <f t="shared" si="601"/>
        <v>0</v>
      </c>
      <c r="BM300" s="560">
        <f>IF(OR(Sheet1!EP302="FM", Sheet1!EP302="OTHER"),SUM(Sheet1!BG302:'Sheet1'!BI302),0)</f>
        <v>0</v>
      </c>
      <c r="BN300" s="545">
        <f>IF(AND($B300&gt;=$FV300,$B300&lt;=$FW300),MAX(BF300,Sheet1!EI302,0),MAX(BF300-(7/36)*$K300,0))</f>
        <v>0</v>
      </c>
      <c r="BO300" s="560">
        <f t="shared" si="602"/>
        <v>0</v>
      </c>
      <c r="BP300" s="545">
        <f t="shared" si="603"/>
        <v>0</v>
      </c>
      <c r="BQ300" s="545">
        <f>IF(AND($O300&gt;0,Sheet1!EM302=1),(1-($O300-Sheet1!$L302)/$O300)*BL300,0)</f>
        <v>0</v>
      </c>
      <c r="BR300" s="545">
        <f>IF(AND(Sheet1!$L302=0,Sheet1!$L301=0, Calculation!BK300&lt;Sheet1!$EI302-0.1,Sheet1!$EI302=Sheet1!$EI301,Sheet1!$EI302=Sheet1!$EI303),Sheet1!$EI302,BL300-BQ300)</f>
        <v>0</v>
      </c>
      <c r="BS300" s="560"/>
      <c r="BT300" s="560"/>
      <c r="BU300" s="560">
        <f t="shared" si="604"/>
        <v>106.52176547029438</v>
      </c>
      <c r="BV300" s="560"/>
      <c r="BW300" s="560">
        <f ca="1">IF(B300&gt;Summary!$A$1,#N/A,BU300*MGtoAF)</f>
        <v>326.80877646286319</v>
      </c>
      <c r="BX300" s="560">
        <f>Sheet1!BC302+Sheet1!BD302+Sheet1!BE302+Sheet1!BF302-CG300-CH300</f>
        <v>2.5199999999999996</v>
      </c>
      <c r="BY300" s="560">
        <f t="shared" si="605"/>
        <v>2.5040380047505937</v>
      </c>
      <c r="BZ300" s="560">
        <f>IF(Sheet1!EQ302="FM",CH300,0)</f>
        <v>0</v>
      </c>
      <c r="CA300" s="560">
        <f t="shared" si="606"/>
        <v>0</v>
      </c>
      <c r="CB300" s="560">
        <f>IF(Sheet1!EQ302="OTHER",CH300,0)</f>
        <v>0</v>
      </c>
      <c r="CC300" s="560">
        <f t="shared" si="607"/>
        <v>0</v>
      </c>
      <c r="CD300" s="560">
        <f t="shared" si="608"/>
        <v>0</v>
      </c>
      <c r="CE300" s="560">
        <f t="shared" si="609"/>
        <v>2.5199999999999996</v>
      </c>
      <c r="CF300" s="560">
        <f t="shared" si="610"/>
        <v>2.5040380047505937</v>
      </c>
      <c r="CG300" s="560">
        <f>IF(Sheet1!EQ302="CWA",SUM(Sheet1!BC302:'Sheet1'!BF302),0)</f>
        <v>0</v>
      </c>
      <c r="CH300" s="560">
        <f>IF(OR(Sheet1!EQ302="FM", Sheet1!EQ302="OTHER"),SUM(Sheet1!BC302:'Sheet1'!BF302),0)</f>
        <v>0</v>
      </c>
      <c r="CI300" s="545">
        <f>IF(AND($B300&gt;=$FV300,$B300&lt;=$FW300),MAX(CF300,Sheet1!EJ302,0),MAX(CF300-(7/36)*$K300,0))</f>
        <v>2.5040380047505937</v>
      </c>
      <c r="CJ300" s="560">
        <f t="shared" si="611"/>
        <v>0</v>
      </c>
      <c r="CK300" s="545">
        <f t="shared" si="612"/>
        <v>0</v>
      </c>
      <c r="CL300" s="545">
        <f>IF(AND($O300&gt;0,Sheet1!EN302=1),(1-($O300-Sheet1!$L302)/$O300)*CF300,0)</f>
        <v>0</v>
      </c>
      <c r="CM300" s="545">
        <f>IF(AND(Sheet1!$L302=0,Sheet1!$L301=0, Calculation!CE300&lt;Sheet1!EJ302-0.1,Sheet1!EJ302=Sheet1!EJ301,Sheet1!EJ302=Sheet1!EJ303),Sheet1!EJ302,CF300-CL300)</f>
        <v>2.5040380047505937</v>
      </c>
      <c r="CN300" s="545"/>
      <c r="CO300" s="560"/>
      <c r="CP300" s="560">
        <f t="shared" si="613"/>
        <v>162.65518644001708</v>
      </c>
      <c r="CQ300" s="560"/>
      <c r="CR300" s="560">
        <f ca="1">IF(B300&gt;Summary!$A$1,#N/A,CP300*MGtoAF)</f>
        <v>499.02611199797241</v>
      </c>
      <c r="CS300" s="560">
        <f>Sheet1!BK302+Sheet1!BL302+Sheet1!BM302-Sheet1!ER302-DA300</f>
        <v>6.5299999999999994</v>
      </c>
      <c r="CT300" s="560">
        <f t="shared" si="614"/>
        <v>6.4886381631037215</v>
      </c>
      <c r="CU300" s="560">
        <f>IF(Sheet1!ER302="FM",DA300,0)</f>
        <v>0</v>
      </c>
      <c r="CV300" s="560">
        <f t="shared" si="615"/>
        <v>0</v>
      </c>
      <c r="CW300" s="560">
        <f>IF(Sheet1!ER302="OTHER",DA300,0)</f>
        <v>0</v>
      </c>
      <c r="CX300" s="560">
        <f t="shared" si="616"/>
        <v>0</v>
      </c>
      <c r="CY300" s="560">
        <f t="shared" si="617"/>
        <v>6.5299999999999994</v>
      </c>
      <c r="CZ300" s="560">
        <f t="shared" si="618"/>
        <v>6.4886381631037215</v>
      </c>
      <c r="DA300" s="560">
        <f>IF(OR(Sheet1!ER302="FM", Sheet1!ER302="OTHER"),SUM(Sheet1!BK302:'Sheet1'!BM302),0)</f>
        <v>0</v>
      </c>
      <c r="DB300" s="545">
        <f>IF(AND($B300&gt;=$FV300,$B300&lt;=$FW300),MAX($CT300,Sheet1!EK302,0),MAX($CT300-(7/36)*$K300,0))</f>
        <v>6.5</v>
      </c>
      <c r="DC300" s="560">
        <f t="shared" si="619"/>
        <v>0</v>
      </c>
      <c r="DD300" s="545">
        <f t="shared" si="620"/>
        <v>0</v>
      </c>
      <c r="DE300" s="545">
        <f>IF(AND($O300&gt;0,Sheet1!EO302=1),(1-($O300-Sheet1!$L302)/$O300)*CZ300,0)</f>
        <v>0</v>
      </c>
      <c r="DF300" s="545">
        <f>IF(AND(Sheet1!$L302=0,Sheet1!$L301=0, Calculation!CY300&lt;Sheet1!$EK302-0.1,Sheet1!$EK302=Sheet1!$EK301,Sheet1!$EK302=Sheet1!$EK303),Sheet1!$EK302,CZ300-DE300)</f>
        <v>6.4886381631037215</v>
      </c>
      <c r="DG300" s="545"/>
      <c r="DH300" s="560">
        <f t="shared" si="621"/>
        <v>9.0499999999999989</v>
      </c>
      <c r="DI300" s="560">
        <f t="shared" si="622"/>
        <v>179.76297163909581</v>
      </c>
      <c r="DJ300" s="698">
        <f t="shared" si="623"/>
        <v>8.9926761678543148</v>
      </c>
      <c r="DK300" s="560">
        <f ca="1">IF(B300&gt;Summary!$A$1,#N/A,DI300*MGtoAF)</f>
        <v>551.512796988746</v>
      </c>
      <c r="DL300" s="698">
        <f t="shared" si="624"/>
        <v>9.0499999999999989</v>
      </c>
      <c r="DM300" s="560">
        <f t="shared" si="625"/>
        <v>25.259999999999998</v>
      </c>
      <c r="DN300" s="560">
        <f>Sheet1!AB302-DM300</f>
        <v>-0.15999999999999659</v>
      </c>
      <c r="DO300" s="823">
        <f t="shared" si="626"/>
        <v>-6.3341250989705699E-3</v>
      </c>
      <c r="DP300" s="560">
        <f>(VLOOKUP(Sheet1!DC302,hhdcap_wcm,4)-(((VLOOKUP(Sheet1!DC302,hhdcap_wcm,3)-Sheet1!DC302)/(VLOOKUP(Sheet1!DC302,hhdcap_wcm,3)-VLOOKUP(Sheet1!DC302,hhdcap_wcm,1)))*(VLOOKUP(Sheet1!DC302,hhdcap_wcm,4)-VLOOKUP(Sheet1!DC302,hhdcap_wcm,2))))</f>
        <v>10486.300000024237</v>
      </c>
      <c r="DQ300" s="560">
        <f t="shared" si="627"/>
        <v>-616.70000000116488</v>
      </c>
      <c r="DR300" s="560">
        <f t="shared" si="628"/>
        <v>-310.99344427693637</v>
      </c>
      <c r="DS300" s="560">
        <f>Sheet1!EA302*AFtoMG</f>
        <v>0</v>
      </c>
      <c r="DT300" s="560">
        <f>Sheet1!EB302*AFtoMG</f>
        <v>0</v>
      </c>
      <c r="DU300" s="560">
        <f>Sheet1!EC302*AFtoMG</f>
        <v>0</v>
      </c>
      <c r="DV300" s="560">
        <f>Sheet1!ED302*AFtoMG</f>
        <v>0</v>
      </c>
      <c r="DW300" s="560">
        <f t="shared" si="629"/>
        <v>0</v>
      </c>
      <c r="DX300" s="560">
        <f t="shared" si="630"/>
        <v>0</v>
      </c>
      <c r="DY300" s="560">
        <f t="shared" si="631"/>
        <v>838.46559021607413</v>
      </c>
      <c r="DZ300" s="560">
        <f t="shared" si="632"/>
        <v>2572.4124307829156</v>
      </c>
      <c r="EA300" s="560"/>
      <c r="EB300" s="545">
        <f>IF(OR(B300&lt;FV300,B300&gt;FW300),(MIN(BF300+BY300+CT300+MAX(Sheet1!AA302+AQ300-73,0),K300)),0)</f>
        <v>0</v>
      </c>
      <c r="EC300" s="560"/>
      <c r="ED300" s="560">
        <f t="shared" si="633"/>
        <v>8.9926761678543148</v>
      </c>
      <c r="EE300" s="560"/>
      <c r="EF300" s="560">
        <f>Sheet1!EH302+Sheet1!EI302+Sheet1!EJ302+Sheet1!EK302</f>
        <v>9</v>
      </c>
      <c r="EG300" s="560"/>
      <c r="EH300" s="545">
        <f t="shared" si="634"/>
        <v>0</v>
      </c>
      <c r="EI300" s="560">
        <f>IF(Sheet1!ET302=1,SUM('Calculations II'!AT300:BA300)+'Calculations II'!BC300+Sheet1!BV302+'Calculations II'!BE300+AP300,SUM('Calculations II'!AT300:BA300)+'Calculations II'!BC300+Sheet1!BV302+'Calculations II'!BE300+AP300)</f>
        <v>55.085695999999999</v>
      </c>
      <c r="EJ300" s="560">
        <f>Sheet1!AA302+Sheet1!AB302+'Calculations II'!BC300</f>
        <v>54.16</v>
      </c>
      <c r="EK300" s="560"/>
      <c r="EL300" s="560"/>
      <c r="EM300" s="560">
        <f t="shared" si="635"/>
        <v>41928</v>
      </c>
      <c r="EN300" s="560">
        <f t="shared" si="636"/>
        <v>-9.0040380047505941</v>
      </c>
      <c r="EO300" s="560">
        <f t="shared" si="637"/>
        <v>-13.929246793349169</v>
      </c>
      <c r="EP300" s="560">
        <v>0</v>
      </c>
      <c r="EQ300" s="560">
        <v>0</v>
      </c>
      <c r="ER300" s="560">
        <v>0</v>
      </c>
      <c r="ES300" s="545">
        <f t="shared" si="557"/>
        <v>1.384783668730069</v>
      </c>
      <c r="ET300" s="560">
        <f>-(VLOOKUP(Sheet1!BQ302,Lookup!$O$4:$Q$262,2)-VLOOKUP(Sheet1!BQ301,Lookup!$O$4:$Q$262,2))/1000000</f>
        <v>0.69235979378582913</v>
      </c>
      <c r="EU300" s="560">
        <f>-(VLOOKUP(Sheet1!BR302,Lookup!$O$4:$Q$262,3)-VLOOKUP(Sheet1!BR301,Lookup!$O$4:$Q$262,3))/1000000</f>
        <v>0.69242387494423985</v>
      </c>
      <c r="EV300" s="560"/>
      <c r="EW300" s="560"/>
      <c r="EX300" s="560"/>
      <c r="EY300" s="560"/>
      <c r="EZ300" s="560"/>
      <c r="FA300" s="560"/>
      <c r="FB300" s="560"/>
      <c r="FC300" s="560"/>
      <c r="FD300" s="594">
        <f t="shared" si="638"/>
        <v>1104.9517241378828</v>
      </c>
      <c r="FE300" s="594" t="e">
        <f t="shared" si="639"/>
        <v>#N/A</v>
      </c>
      <c r="FF300" s="595" t="e">
        <f t="shared" si="640"/>
        <v>#N/A</v>
      </c>
      <c r="FG300" s="596" t="s">
        <v>692</v>
      </c>
      <c r="FH300" s="596" t="s">
        <v>692</v>
      </c>
      <c r="FI300" s="594" t="e">
        <v>#N/A</v>
      </c>
      <c r="FJ300" s="778">
        <v>5845</v>
      </c>
      <c r="FK300" s="560"/>
      <c r="FL300" s="560"/>
      <c r="FM300" s="560"/>
      <c r="FN300" s="560"/>
      <c r="FO300" s="560">
        <f>O300+((Sheet1!CS302)*GPMtoMGD)</f>
        <v>54.16</v>
      </c>
      <c r="FP300" s="560">
        <f>IF(Sheet1!AA302+AQ300&lt;=Calculation!N300,AQ300,Calculation!N300-Sheet1!AA302)</f>
        <v>14.805621536025338</v>
      </c>
      <c r="FQ300" s="560">
        <f>(Sheet1!BP302+Sheet1!BO302)/694.4</f>
        <v>1.9338997695852536</v>
      </c>
      <c r="FR300" s="560"/>
      <c r="FS300" s="560"/>
      <c r="FT300" s="560"/>
      <c r="FU300" s="560"/>
      <c r="FV300" s="695">
        <f t="shared" si="558"/>
        <v>41827</v>
      </c>
      <c r="FW300" s="695">
        <f t="shared" si="559"/>
        <v>41934</v>
      </c>
      <c r="FX300" s="560"/>
      <c r="FY300" s="560"/>
      <c r="FZ300" s="560"/>
      <c r="GA300" s="560"/>
      <c r="GB300" s="560" t="str">
        <f t="shared" si="560"/>
        <v>n</v>
      </c>
      <c r="GC300" s="564">
        <f t="shared" si="561"/>
        <v>41691</v>
      </c>
      <c r="GD300" s="695">
        <f t="shared" si="562"/>
        <v>41807</v>
      </c>
      <c r="GE300" s="560">
        <v>6518.9</v>
      </c>
      <c r="GF300" s="695">
        <f t="shared" si="563"/>
        <v>41808</v>
      </c>
      <c r="GG300" s="560">
        <f t="shared" si="582"/>
        <v>3259</v>
      </c>
      <c r="GH300" s="564">
        <f t="shared" si="564"/>
        <v>41934</v>
      </c>
      <c r="GJ300" s="545">
        <f t="shared" si="565"/>
        <v>0</v>
      </c>
      <c r="GK300" s="560" t="str">
        <f t="shared" si="641"/>
        <v/>
      </c>
      <c r="GL300" s="560">
        <f t="shared" si="566"/>
        <v>0</v>
      </c>
      <c r="GM300" s="560" t="str">
        <f t="shared" si="567"/>
        <v/>
      </c>
      <c r="GN300" s="560">
        <f>IF(GK300="P",Lookup!$M$12,IF(GK300="PP",Lookup!$M$13,IF(GK300="PPP",Lookup!$M$14,IF(GK300="T",Lookup!$M$15,IF(GK300="TP",Lookup!$M$16,IF(GK300="TPP",Lookup!$M$17,IF(GK300="TPPP",Lookup!$M$18,0)))))))*GJ300</f>
        <v>0</v>
      </c>
      <c r="GO300" s="560">
        <f t="shared" si="568"/>
        <v>0</v>
      </c>
      <c r="GP300" s="560">
        <f t="shared" si="642"/>
        <v>1195.064745333334</v>
      </c>
      <c r="GQ300" s="560">
        <f t="shared" si="576"/>
        <v>389.52566666666689</v>
      </c>
      <c r="GR300" s="560"/>
      <c r="GS300" s="560">
        <f t="shared" si="569"/>
        <v>0</v>
      </c>
      <c r="GT300" s="560" t="str">
        <f t="shared" si="570"/>
        <v/>
      </c>
      <c r="GU300" s="560">
        <f>IF(GK300="P",Lookup!$N$12,IF(GK300="PP",Lookup!$N$13,IF(GK300="PPP",Lookup!$N$14,IF(GK300="T",Lookup!$N$15,IF(GK300="TP",Lookup!$N$16,IF(GK300="TPP",Lookup!$N$17,IF(GK300="TPPP",Lookup!$N$18,0)))))))*GJ300</f>
        <v>0</v>
      </c>
      <c r="GV300" s="560">
        <f t="shared" si="571"/>
        <v>0</v>
      </c>
      <c r="GW300" s="560">
        <f t="shared" si="643"/>
        <v>326.80877646286319</v>
      </c>
      <c r="GX300" s="560">
        <f t="shared" si="577"/>
        <v>106.52176547029438</v>
      </c>
      <c r="GY300" s="560"/>
      <c r="GZ300" s="560">
        <f t="shared" si="572"/>
        <v>0</v>
      </c>
      <c r="HA300" s="560" t="str">
        <f t="shared" si="573"/>
        <v/>
      </c>
      <c r="HB300" s="560">
        <f>IF(GK300="P",Lookup!$N$12,IF(GK300="PP",Lookup!$N$13,IF(GK300="PPP",Lookup!$N$14,IF(GK300="T",Lookup!$N$15,IF(GK300="TP",Lookup!$N$16,IF(GK300="TPP",Lookup!$N$17,IF(GK300="TPPP",Lookup!$N$18,0)))))))*GJ300</f>
        <v>0</v>
      </c>
      <c r="HC300" s="545">
        <f t="shared" si="644"/>
        <v>0</v>
      </c>
      <c r="HD300" s="560">
        <f t="shared" si="645"/>
        <v>499.02611199797241</v>
      </c>
      <c r="HE300" s="560">
        <f t="shared" si="578"/>
        <v>162.65518644001708</v>
      </c>
      <c r="HF300" s="560"/>
      <c r="HG300" s="560">
        <f t="shared" si="574"/>
        <v>0</v>
      </c>
      <c r="HH300" s="560" t="str">
        <f t="shared" si="575"/>
        <v/>
      </c>
      <c r="HI300" s="560">
        <f>IF(GK300="P",Lookup!$N$12,IF(GK300="PP",Lookup!$N$13,IF(GK300="PPP",Lookup!$N$14,IF(GK300="T",Lookup!$N$15,IF(GK300="TP",Lookup!$N$16,IF(GK300="TPP",Lookup!$N$17,IF(GK300="TPPP",Lookup!$N$18,0)))))))*GJ300</f>
        <v>0</v>
      </c>
      <c r="HJ300" s="545">
        <f t="shared" si="646"/>
        <v>0</v>
      </c>
      <c r="HK300" s="560">
        <f t="shared" si="647"/>
        <v>551.512796988746</v>
      </c>
      <c r="HL300" s="560">
        <f t="shared" si="579"/>
        <v>179.76297163909581</v>
      </c>
    </row>
    <row r="301" spans="1:220">
      <c r="A301" s="580" t="s">
        <v>8</v>
      </c>
      <c r="B301" s="556">
        <v>41929</v>
      </c>
      <c r="C301" s="561">
        <v>0</v>
      </c>
      <c r="D301" s="529">
        <f t="shared" si="580"/>
        <v>300</v>
      </c>
      <c r="E301" s="529">
        <f t="shared" si="581"/>
        <v>250</v>
      </c>
      <c r="F301" s="529">
        <v>250</v>
      </c>
      <c r="G301" s="560">
        <f>DR301+Sheet1!CZ303</f>
        <v>404.98688855154256</v>
      </c>
      <c r="H301" s="914">
        <f t="shared" si="546"/>
        <v>0</v>
      </c>
      <c r="I301" s="559">
        <f>MAX(Sheet1!Z303-AT301+(Sheet1!DA303-E301)*CFStoMGD,0)</f>
        <v>400.65840000000003</v>
      </c>
      <c r="J301" s="562">
        <f>IF(AND(B301&gt;=Calculation!GC301,B301&lt;=Calculation!GD301),IF(Sheet1!DB303&gt;=Calculation!D301,64.64,0),MAX(Sheet1!Z303-AT301+(Sheet1!DB303-D301)*CFStoMGD,0))</f>
        <v>206.73839999999998</v>
      </c>
      <c r="K301" s="904">
        <f t="shared" si="583"/>
        <v>0</v>
      </c>
      <c r="L301" s="560">
        <f>Sheet1!AA303+Sheet1!AB303-Sheet1!L303+(Sheet1!DA303-F301)*CFStoMGD</f>
        <v>429.52840000000003</v>
      </c>
      <c r="M301" s="560">
        <f t="shared" si="584"/>
        <v>267.01919525491144</v>
      </c>
      <c r="N301" s="910">
        <f>IF(Sheet1!DA303&gt;=F301,MIN(73,MIN(MAX(L301,0),MAX(M301,0))),0)</f>
        <v>73</v>
      </c>
      <c r="O301" s="563">
        <f>Sheet1!AA303+Sheet1!AB303</f>
        <v>53.97</v>
      </c>
      <c r="P301" s="563">
        <f t="shared" si="585"/>
        <v>83.491590000000002</v>
      </c>
      <c r="Q301" s="898">
        <f t="shared" si="547"/>
        <v>44.94790354722997</v>
      </c>
      <c r="R301" s="829">
        <f t="shared" si="586"/>
        <v>9</v>
      </c>
      <c r="S301" s="898">
        <f t="shared" si="548"/>
        <v>0</v>
      </c>
      <c r="T301" s="898">
        <f t="shared" si="549"/>
        <v>0</v>
      </c>
      <c r="U301" s="898">
        <f t="shared" si="550"/>
        <v>9.0220964527700271</v>
      </c>
      <c r="V301" s="898"/>
      <c r="W301" s="898">
        <f t="shared" si="551"/>
        <v>0</v>
      </c>
      <c r="X301" s="898">
        <f t="shared" si="552"/>
        <v>0</v>
      </c>
      <c r="Y301" s="898" t="str">
        <f t="shared" si="553"/>
        <v>FALSE</v>
      </c>
      <c r="Z301" s="898">
        <f t="shared" si="554"/>
        <v>53.97</v>
      </c>
      <c r="AA301" s="898">
        <f t="shared" si="555"/>
        <v>53.97</v>
      </c>
      <c r="AB301" s="898" t="str">
        <f t="shared" si="556"/>
        <v/>
      </c>
      <c r="AC301" s="563">
        <f>Sheet1!Y303*MGDtoCFS</f>
        <v>44.955819999999996</v>
      </c>
      <c r="AD301" s="563">
        <f>Sheet1!Z303*MGDtoCFS</f>
        <v>38.829700000000003</v>
      </c>
      <c r="AE301" s="563">
        <f>Sheet1!AA303*MGDtoCFS</f>
        <v>44.924879999999995</v>
      </c>
      <c r="AF301" s="563">
        <f>Sheet1!AB303*MGDtoCFS</f>
        <v>38.56671</v>
      </c>
      <c r="AG301" s="563">
        <f>Sheet1!L303*MGDtoCFS</f>
        <v>0</v>
      </c>
      <c r="AH301" s="545">
        <f t="shared" si="587"/>
        <v>9.0220964527700271</v>
      </c>
      <c r="AI301" s="560">
        <f t="shared" si="588"/>
        <v>13.957183212435231</v>
      </c>
      <c r="AJ301" s="560">
        <f t="shared" si="589"/>
        <v>0</v>
      </c>
      <c r="AK301" s="560">
        <f t="shared" si="590"/>
        <v>0</v>
      </c>
      <c r="AL301" s="560">
        <f>(VLOOKUP(Sheet1!DC303,hhdcap_wcm,4)-(((VLOOKUP(Sheet1!DC303,hhdcap_wcm,3)-Sheet1!DC303)/(VLOOKUP(Sheet1!DC303,hhdcap_wcm,3)-VLOOKUP(Sheet1!DC303,hhdcap_wcm,1)))*(VLOOKUP(Sheet1!DC303,hhdcap_wcm,4)-VLOOKUP(Sheet1!DC303,hhdcap_wcm,2))))</f>
        <v>9935.0000000219461</v>
      </c>
      <c r="AM301" s="560">
        <f t="shared" si="591"/>
        <v>-551.3000000022912</v>
      </c>
      <c r="AN301" s="560">
        <f t="shared" si="592"/>
        <v>829.4434937633041</v>
      </c>
      <c r="AO301" s="560">
        <f t="shared" si="593"/>
        <v>2544.7326388658171</v>
      </c>
      <c r="AP301" s="560">
        <f>Sheet1!BA303+Sheet1!BB303+Sheet1!BN303+CD301</f>
        <v>16.010000000000002</v>
      </c>
      <c r="AQ301" s="560">
        <f>Sheet1!BN303+(DO301*Sheet1!BN303)</f>
        <v>14.904344360302908</v>
      </c>
      <c r="AR301" s="560">
        <f>Sheet1!BA303+CD301</f>
        <v>0</v>
      </c>
      <c r="AS301" s="560">
        <f>Sheet1!BA303+Sheet1!BB303+CD301</f>
        <v>1.01</v>
      </c>
      <c r="AT301" s="698">
        <f>0</f>
        <v>0</v>
      </c>
      <c r="AU301" s="560">
        <f>IF(EB301&lt;K301,0,MAX(Sheet1!AA303+AQ301-15/36*K301-N301,Sheet1!EH303,0))</f>
        <v>0</v>
      </c>
      <c r="AV301" s="560">
        <f>IF(OR(B301&gt;=GD301,B301&lt;GC301),0,15/36*K301-MAX(0,64.6-(137.6-(Sheet1!AA303+Sheet1!AB303))))</f>
        <v>0</v>
      </c>
      <c r="AW301" s="698">
        <f>Sheet1!DB303-110</f>
        <v>471</v>
      </c>
      <c r="AX301" s="698">
        <f>Sheet1!DA303-265</f>
        <v>566</v>
      </c>
      <c r="AY301" s="698">
        <f t="shared" si="594"/>
        <v>28.05209645277003</v>
      </c>
      <c r="AZ301" s="698">
        <v>0</v>
      </c>
      <c r="BA301" s="698">
        <f t="shared" si="595"/>
        <v>0</v>
      </c>
      <c r="BB301" s="560">
        <f t="shared" si="596"/>
        <v>389.52566666666689</v>
      </c>
      <c r="BC301" s="560"/>
      <c r="BD301" s="560">
        <f ca="1">IF(B301&gt;Summary!$A$1,#N/A,BB301*MGtoAF)</f>
        <v>1195.064745333334</v>
      </c>
      <c r="BE301" s="560">
        <f>Sheet1!BG303+Sheet1!BH303+Sheet1!BI303-BM301</f>
        <v>0</v>
      </c>
      <c r="BF301" s="560">
        <f t="shared" si="597"/>
        <v>0</v>
      </c>
      <c r="BG301" s="560">
        <f>IF(Sheet1!EP303="FM",BM301,0)</f>
        <v>0</v>
      </c>
      <c r="BH301" s="560">
        <f t="shared" si="598"/>
        <v>0</v>
      </c>
      <c r="BI301" s="560">
        <f>IF(Sheet1!EP303="OTHER",BM301,0)</f>
        <v>0</v>
      </c>
      <c r="BJ301" s="560">
        <f t="shared" si="599"/>
        <v>0</v>
      </c>
      <c r="BK301" s="560">
        <f t="shared" si="600"/>
        <v>0</v>
      </c>
      <c r="BL301" s="560">
        <f t="shared" si="601"/>
        <v>0</v>
      </c>
      <c r="BM301" s="560">
        <f>IF(OR(Sheet1!EP303="FM", Sheet1!EP303="OTHER"),SUM(Sheet1!BG303:'Sheet1'!BI303),0)</f>
        <v>0</v>
      </c>
      <c r="BN301" s="545">
        <f>IF(AND($B301&gt;=$FV301,$B301&lt;=$FW301),MAX(BF301,Sheet1!EI303,0),MAX(BF301-(7/36)*$K301,0))</f>
        <v>0</v>
      </c>
      <c r="BO301" s="560">
        <f t="shared" si="602"/>
        <v>0</v>
      </c>
      <c r="BP301" s="545">
        <f t="shared" si="603"/>
        <v>0</v>
      </c>
      <c r="BQ301" s="545">
        <f>IF(AND($O301&gt;0,Sheet1!EM303=1),(1-($O301-Sheet1!$L303)/$O301)*BL301,0)</f>
        <v>0</v>
      </c>
      <c r="BR301" s="545">
        <f>IF(AND(Sheet1!$L303=0,Sheet1!$L302=0, Calculation!BK301&lt;Sheet1!$EI303-0.1,Sheet1!$EI303=Sheet1!$EI302,Sheet1!$EI303=Sheet1!$EI304),Sheet1!$EI303,BL301-BQ301)</f>
        <v>0</v>
      </c>
      <c r="BS301" s="560"/>
      <c r="BT301" s="560"/>
      <c r="BU301" s="560">
        <f t="shared" si="604"/>
        <v>106.52176547029438</v>
      </c>
      <c r="BV301" s="560"/>
      <c r="BW301" s="560">
        <f ca="1">IF(B301&gt;Summary!$A$1,#N/A,BU301*MGtoAF)</f>
        <v>326.80877646286319</v>
      </c>
      <c r="BX301" s="560">
        <f>Sheet1!BC303+Sheet1!BD303+Sheet1!BE303+Sheet1!BF303-CG301-CH301</f>
        <v>2.5300000000000002</v>
      </c>
      <c r="BY301" s="560">
        <f t="shared" si="605"/>
        <v>2.5138660821044239</v>
      </c>
      <c r="BZ301" s="560">
        <f>IF(Sheet1!EQ303="FM",CH301,0)</f>
        <v>0</v>
      </c>
      <c r="CA301" s="560">
        <f t="shared" si="606"/>
        <v>0</v>
      </c>
      <c r="CB301" s="560">
        <f>IF(Sheet1!EQ303="OTHER",CH301,0)</f>
        <v>0</v>
      </c>
      <c r="CC301" s="560">
        <f t="shared" si="607"/>
        <v>0</v>
      </c>
      <c r="CD301" s="560">
        <f t="shared" si="608"/>
        <v>0</v>
      </c>
      <c r="CE301" s="560">
        <f t="shared" si="609"/>
        <v>2.5300000000000002</v>
      </c>
      <c r="CF301" s="560">
        <f t="shared" si="610"/>
        <v>2.5138660821044239</v>
      </c>
      <c r="CG301" s="560">
        <f>IF(Sheet1!EQ303="CWA",SUM(Sheet1!BC303:'Sheet1'!BF303),0)</f>
        <v>0</v>
      </c>
      <c r="CH301" s="560">
        <f>IF(OR(Sheet1!EQ303="FM", Sheet1!EQ303="OTHER"),SUM(Sheet1!BC303:'Sheet1'!BF303),0)</f>
        <v>0</v>
      </c>
      <c r="CI301" s="545">
        <f>IF(AND($B301&gt;=$FV301,$B301&lt;=$FW301),MAX(CF301,Sheet1!EJ303,0),MAX(CF301-(7/36)*$K301,0))</f>
        <v>2.5138660821044239</v>
      </c>
      <c r="CJ301" s="560">
        <f t="shared" si="611"/>
        <v>0</v>
      </c>
      <c r="CK301" s="545">
        <f t="shared" si="612"/>
        <v>0</v>
      </c>
      <c r="CL301" s="545">
        <f>IF(AND($O301&gt;0,Sheet1!EN303=1),(1-($O301-Sheet1!$L303)/$O301)*CF301,0)</f>
        <v>0</v>
      </c>
      <c r="CM301" s="545">
        <f>IF(AND(Sheet1!$L303=0,Sheet1!$L302=0, Calculation!CE301&lt;Sheet1!EJ303-0.1,Sheet1!EJ303=Sheet1!EJ302,Sheet1!EJ303=Sheet1!EJ304),Sheet1!EJ303,CF301-CL301)</f>
        <v>2.5138660821044239</v>
      </c>
      <c r="CN301" s="545"/>
      <c r="CO301" s="560"/>
      <c r="CP301" s="560">
        <f t="shared" si="613"/>
        <v>160.14132035791266</v>
      </c>
      <c r="CQ301" s="560"/>
      <c r="CR301" s="560">
        <f ca="1">IF(B301&gt;Summary!$A$1,#N/A,CP301*MGtoAF)</f>
        <v>491.31357085807605</v>
      </c>
      <c r="CS301" s="560">
        <f>Sheet1!BK303+Sheet1!BL303+Sheet1!BM303-Sheet1!ER303-DA301</f>
        <v>6.5500000000000007</v>
      </c>
      <c r="CT301" s="560">
        <f t="shared" si="614"/>
        <v>6.5082303706656033</v>
      </c>
      <c r="CU301" s="560">
        <f>IF(Sheet1!ER303="FM",DA301,0)</f>
        <v>0</v>
      </c>
      <c r="CV301" s="560">
        <f t="shared" si="615"/>
        <v>0</v>
      </c>
      <c r="CW301" s="560">
        <f>IF(Sheet1!ER303="OTHER",DA301,0)</f>
        <v>0</v>
      </c>
      <c r="CX301" s="560">
        <f t="shared" si="616"/>
        <v>0</v>
      </c>
      <c r="CY301" s="560">
        <f t="shared" si="617"/>
        <v>6.5500000000000007</v>
      </c>
      <c r="CZ301" s="560">
        <f t="shared" si="618"/>
        <v>6.5082303706656033</v>
      </c>
      <c r="DA301" s="560">
        <f>IF(OR(Sheet1!ER303="FM", Sheet1!ER303="OTHER"),SUM(Sheet1!BK303:'Sheet1'!BM303),0)</f>
        <v>0</v>
      </c>
      <c r="DB301" s="545">
        <f>IF(AND($B301&gt;=$FV301,$B301&lt;=$FW301),MAX($CT301,Sheet1!EK303,0),MAX($CT301-(7/36)*$K301,0))</f>
        <v>6.5082303706656033</v>
      </c>
      <c r="DC301" s="560">
        <f t="shared" si="619"/>
        <v>0</v>
      </c>
      <c r="DD301" s="545">
        <f t="shared" si="620"/>
        <v>0</v>
      </c>
      <c r="DE301" s="545">
        <f>IF(AND($O301&gt;0,Sheet1!EO303=1),(1-($O301-Sheet1!$L303)/$O301)*CZ301,0)</f>
        <v>0</v>
      </c>
      <c r="DF301" s="545">
        <f>IF(AND(Sheet1!$L303=0,Sheet1!$L302=0, Calculation!CY301&lt;Sheet1!$EK303-0.1,Sheet1!$EK303=Sheet1!$EK302,Sheet1!$EK303=Sheet1!$EK304),Sheet1!$EK303,CZ301-DE301)</f>
        <v>6.5082303706656033</v>
      </c>
      <c r="DG301" s="545"/>
      <c r="DH301" s="560">
        <f t="shared" si="621"/>
        <v>9.0800000000000018</v>
      </c>
      <c r="DI301" s="560">
        <f t="shared" si="622"/>
        <v>173.25474126843019</v>
      </c>
      <c r="DJ301" s="698">
        <f t="shared" si="623"/>
        <v>9.0220964527700271</v>
      </c>
      <c r="DK301" s="560">
        <f ca="1">IF(B301&gt;Summary!$A$1,#N/A,DI301*MGtoAF)</f>
        <v>531.54554621154386</v>
      </c>
      <c r="DL301" s="698">
        <f t="shared" si="624"/>
        <v>9.0800000000000018</v>
      </c>
      <c r="DM301" s="560">
        <f t="shared" si="625"/>
        <v>25.090000000000003</v>
      </c>
      <c r="DN301" s="560">
        <f>Sheet1!AB303-DM301</f>
        <v>-0.16000000000000369</v>
      </c>
      <c r="DO301" s="823">
        <f t="shared" si="626"/>
        <v>-6.3770426464728443E-3</v>
      </c>
      <c r="DP301" s="560">
        <f>(VLOOKUP(Sheet1!DC303,hhdcap_wcm,4)-(((VLOOKUP(Sheet1!DC303,hhdcap_wcm,3)-Sheet1!DC303)/(VLOOKUP(Sheet1!DC303,hhdcap_wcm,3)-VLOOKUP(Sheet1!DC303,hhdcap_wcm,1)))*(VLOOKUP(Sheet1!DC303,hhdcap_wcm,4)-VLOOKUP(Sheet1!DC303,hhdcap_wcm,2))))</f>
        <v>9935.0000000219461</v>
      </c>
      <c r="DQ301" s="560">
        <f t="shared" si="627"/>
        <v>-551.3000000022912</v>
      </c>
      <c r="DR301" s="560">
        <f t="shared" si="628"/>
        <v>-278.01311144845744</v>
      </c>
      <c r="DS301" s="560">
        <f>Sheet1!EA303*AFtoMG</f>
        <v>0</v>
      </c>
      <c r="DT301" s="560">
        <f>Sheet1!EB303*AFtoMG</f>
        <v>0</v>
      </c>
      <c r="DU301" s="560">
        <f>Sheet1!EC303*AFtoMG</f>
        <v>0</v>
      </c>
      <c r="DV301" s="560">
        <f>Sheet1!ED303*AFtoMG</f>
        <v>0</v>
      </c>
      <c r="DW301" s="560">
        <f t="shared" si="629"/>
        <v>0</v>
      </c>
      <c r="DX301" s="560">
        <f t="shared" si="630"/>
        <v>0</v>
      </c>
      <c r="DY301" s="560">
        <f t="shared" si="631"/>
        <v>829.4434937633041</v>
      </c>
      <c r="DZ301" s="560">
        <f t="shared" si="632"/>
        <v>2544.7326388658171</v>
      </c>
      <c r="EA301" s="560"/>
      <c r="EB301" s="545">
        <f>IF(OR(B301&lt;FV301,B301&gt;FW301),(MIN(BF301+BY301+CT301+MAX(Sheet1!AA303+AQ301-73,0),K301)),0)</f>
        <v>0</v>
      </c>
      <c r="EC301" s="560"/>
      <c r="ED301" s="560">
        <f t="shared" si="633"/>
        <v>9.0220964527700271</v>
      </c>
      <c r="EE301" s="560"/>
      <c r="EF301" s="560">
        <f>Sheet1!EH303+Sheet1!EI303+Sheet1!EJ303+Sheet1!EK303</f>
        <v>9</v>
      </c>
      <c r="EG301" s="560"/>
      <c r="EH301" s="545">
        <f t="shared" si="634"/>
        <v>0</v>
      </c>
      <c r="EI301" s="560">
        <f>IF(Sheet1!ET303=1,SUM('Calculations II'!AT301:BA301)+'Calculations II'!BC301+Sheet1!BV303+'Calculations II'!BE301+AP301,SUM('Calculations II'!AT301:BA301)+'Calculations II'!BC301+Sheet1!BV303+'Calculations II'!BE301+AP301)</f>
        <v>49.411552</v>
      </c>
      <c r="EJ301" s="560">
        <f>Sheet1!AA303+Sheet1!AB303+'Calculations II'!BC301</f>
        <v>53.97</v>
      </c>
      <c r="EK301" s="560"/>
      <c r="EL301" s="560"/>
      <c r="EM301" s="560">
        <f t="shared" si="635"/>
        <v>41929</v>
      </c>
      <c r="EN301" s="560">
        <f t="shared" si="636"/>
        <v>-9.0220964527700271</v>
      </c>
      <c r="EO301" s="560">
        <f t="shared" si="637"/>
        <v>-13.957183212435231</v>
      </c>
      <c r="EP301" s="560">
        <v>0</v>
      </c>
      <c r="EQ301" s="560">
        <v>0</v>
      </c>
      <c r="ER301" s="560">
        <v>0</v>
      </c>
      <c r="ES301" s="545">
        <f t="shared" si="557"/>
        <v>-3.4625551716774181</v>
      </c>
      <c r="ET301" s="560">
        <f>-(VLOOKUP(Sheet1!BQ303,Lookup!$O$4:$Q$262,2)-VLOOKUP(Sheet1!BQ302,Lookup!$O$4:$Q$262,2))/1000000</f>
        <v>-1.8004687050809003</v>
      </c>
      <c r="EU301" s="560">
        <f>-(VLOOKUP(Sheet1!BR303,Lookup!$O$4:$Q$262,3)-VLOOKUP(Sheet1!BR302,Lookup!$O$4:$Q$262,3))/1000000</f>
        <v>-1.6620864665965178</v>
      </c>
      <c r="EV301" s="560"/>
      <c r="EW301" s="560"/>
      <c r="EX301" s="560"/>
      <c r="EY301" s="560"/>
      <c r="EZ301" s="560"/>
      <c r="FA301" s="560"/>
      <c r="FB301" s="560"/>
      <c r="FC301" s="560"/>
      <c r="FD301" s="594">
        <f t="shared" si="638"/>
        <v>1104.2035714285239</v>
      </c>
      <c r="FE301" s="594" t="e">
        <f t="shared" si="639"/>
        <v>#N/A</v>
      </c>
      <c r="FF301" s="595" t="e">
        <f t="shared" si="640"/>
        <v>#N/A</v>
      </c>
      <c r="FG301" s="596" t="s">
        <v>692</v>
      </c>
      <c r="FH301" s="596" t="s">
        <v>692</v>
      </c>
      <c r="FI301" s="594" t="e">
        <v>#N/A</v>
      </c>
      <c r="FJ301" s="778">
        <v>5635</v>
      </c>
      <c r="FK301" s="560"/>
      <c r="FL301" s="560"/>
      <c r="FM301" s="560"/>
      <c r="FN301" s="560"/>
      <c r="FO301" s="560">
        <f>O301+((Sheet1!CS303)*GPMtoMGD)</f>
        <v>53.97</v>
      </c>
      <c r="FP301" s="560">
        <f>IF(Sheet1!AA303+AQ301&lt;=Calculation!N301,AQ301,Calculation!N301-Sheet1!AA303)</f>
        <v>14.904344360302908</v>
      </c>
      <c r="FQ301" s="560">
        <f>(Sheet1!BP303+Sheet1!BO303)/694.4</f>
        <v>0.40005760368663595</v>
      </c>
      <c r="FR301" s="560"/>
      <c r="FS301" s="560"/>
      <c r="FT301" s="560"/>
      <c r="FU301" s="560"/>
      <c r="FV301" s="695">
        <f t="shared" si="558"/>
        <v>41827</v>
      </c>
      <c r="FW301" s="695">
        <f t="shared" si="559"/>
        <v>41934</v>
      </c>
      <c r="FX301" s="560"/>
      <c r="FY301" s="560"/>
      <c r="FZ301" s="560"/>
      <c r="GA301" s="560"/>
      <c r="GB301" s="560" t="str">
        <f t="shared" si="560"/>
        <v>n</v>
      </c>
      <c r="GC301" s="564">
        <f t="shared" si="561"/>
        <v>41691</v>
      </c>
      <c r="GD301" s="695">
        <f t="shared" si="562"/>
        <v>41807</v>
      </c>
      <c r="GE301" s="560">
        <v>6518.9</v>
      </c>
      <c r="GF301" s="695">
        <f t="shared" si="563"/>
        <v>41808</v>
      </c>
      <c r="GG301" s="560">
        <f t="shared" si="582"/>
        <v>3259</v>
      </c>
      <c r="GH301" s="564">
        <f t="shared" si="564"/>
        <v>41934</v>
      </c>
      <c r="GJ301" s="545">
        <f t="shared" si="565"/>
        <v>0</v>
      </c>
      <c r="GK301" s="560" t="str">
        <f t="shared" si="641"/>
        <v/>
      </c>
      <c r="GL301" s="560">
        <f t="shared" si="566"/>
        <v>0</v>
      </c>
      <c r="GM301" s="560" t="str">
        <f t="shared" si="567"/>
        <v/>
      </c>
      <c r="GN301" s="560">
        <f>IF(GK301="P",Lookup!$M$12,IF(GK301="PP",Lookup!$M$13,IF(GK301="PPP",Lookup!$M$14,IF(GK301="T",Lookup!$M$15,IF(GK301="TP",Lookup!$M$16,IF(GK301="TPP",Lookup!$M$17,IF(GK301="TPPP",Lookup!$M$18,0)))))))*GJ301</f>
        <v>0</v>
      </c>
      <c r="GO301" s="560">
        <f t="shared" si="568"/>
        <v>0</v>
      </c>
      <c r="GP301" s="560">
        <f t="shared" si="642"/>
        <v>1195.064745333334</v>
      </c>
      <c r="GQ301" s="560">
        <f t="shared" si="576"/>
        <v>389.52566666666689</v>
      </c>
      <c r="GR301" s="560"/>
      <c r="GS301" s="560">
        <f t="shared" si="569"/>
        <v>0</v>
      </c>
      <c r="GT301" s="560" t="str">
        <f t="shared" si="570"/>
        <v/>
      </c>
      <c r="GU301" s="560">
        <f>IF(GK301="P",Lookup!$N$12,IF(GK301="PP",Lookup!$N$13,IF(GK301="PPP",Lookup!$N$14,IF(GK301="T",Lookup!$N$15,IF(GK301="TP",Lookup!$N$16,IF(GK301="TPP",Lookup!$N$17,IF(GK301="TPPP",Lookup!$N$18,0)))))))*GJ301</f>
        <v>0</v>
      </c>
      <c r="GV301" s="560">
        <f t="shared" si="571"/>
        <v>0</v>
      </c>
      <c r="GW301" s="560">
        <f t="shared" si="643"/>
        <v>326.80877646286319</v>
      </c>
      <c r="GX301" s="560">
        <f t="shared" si="577"/>
        <v>106.52176547029438</v>
      </c>
      <c r="GY301" s="560"/>
      <c r="GZ301" s="560">
        <f t="shared" si="572"/>
        <v>0</v>
      </c>
      <c r="HA301" s="560" t="str">
        <f t="shared" si="573"/>
        <v/>
      </c>
      <c r="HB301" s="560">
        <f>IF(GK301="P",Lookup!$N$12,IF(GK301="PP",Lookup!$N$13,IF(GK301="PPP",Lookup!$N$14,IF(GK301="T",Lookup!$N$15,IF(GK301="TP",Lookup!$N$16,IF(GK301="TPP",Lookup!$N$17,IF(GK301="TPPP",Lookup!$N$18,0)))))))*GJ301</f>
        <v>0</v>
      </c>
      <c r="HC301" s="545">
        <f t="shared" si="644"/>
        <v>0</v>
      </c>
      <c r="HD301" s="560">
        <f t="shared" si="645"/>
        <v>491.31357085807605</v>
      </c>
      <c r="HE301" s="560">
        <f t="shared" si="578"/>
        <v>160.14132035791266</v>
      </c>
      <c r="HF301" s="560"/>
      <c r="HG301" s="560">
        <f t="shared" si="574"/>
        <v>0</v>
      </c>
      <c r="HH301" s="560" t="str">
        <f t="shared" si="575"/>
        <v/>
      </c>
      <c r="HI301" s="560">
        <f>IF(GK301="P",Lookup!$N$12,IF(GK301="PP",Lookup!$N$13,IF(GK301="PPP",Lookup!$N$14,IF(GK301="T",Lookup!$N$15,IF(GK301="TP",Lookup!$N$16,IF(GK301="TPP",Lookup!$N$17,IF(GK301="TPPP",Lookup!$N$18,0)))))))*GJ301</f>
        <v>0</v>
      </c>
      <c r="HJ301" s="545">
        <f t="shared" si="646"/>
        <v>0</v>
      </c>
      <c r="HK301" s="560">
        <f t="shared" si="647"/>
        <v>531.54554621154386</v>
      </c>
      <c r="HL301" s="560">
        <f t="shared" si="579"/>
        <v>173.25474126843019</v>
      </c>
    </row>
    <row r="302" spans="1:220">
      <c r="A302" s="580" t="s">
        <v>9</v>
      </c>
      <c r="B302" s="556">
        <v>41930</v>
      </c>
      <c r="C302" s="561">
        <v>0</v>
      </c>
      <c r="D302" s="529">
        <f t="shared" si="580"/>
        <v>300</v>
      </c>
      <c r="E302" s="529">
        <f t="shared" si="581"/>
        <v>250</v>
      </c>
      <c r="F302" s="529">
        <v>250</v>
      </c>
      <c r="G302" s="560">
        <f>DR302+Sheet1!CZ304</f>
        <v>626.01563287943247</v>
      </c>
      <c r="H302" s="914">
        <f t="shared" si="546"/>
        <v>137.69330509326514</v>
      </c>
      <c r="I302" s="559">
        <f>MAX(Sheet1!Z304-AT302+(Sheet1!DA304-E302)*CFStoMGD,0)</f>
        <v>392.73160000000001</v>
      </c>
      <c r="J302" s="562">
        <f>IF(AND(B302&gt;=Calculation!GC302,B302&lt;=Calculation!GD302),IF(Sheet1!DB304&gt;=Calculation!D302,64.64,0),MAX(Sheet1!Z304-AT302+(Sheet1!DB304-D302)*CFStoMGD,0))</f>
        <v>196.226</v>
      </c>
      <c r="K302" s="904">
        <f t="shared" si="583"/>
        <v>64.64</v>
      </c>
      <c r="L302" s="560">
        <f>Sheet1!AA304+Sheet1!AB304-Sheet1!L304+(Sheet1!DA304-F302)*CFStoMGD</f>
        <v>421.8716</v>
      </c>
      <c r="M302" s="560">
        <f t="shared" si="584"/>
        <v>412.74963519513045</v>
      </c>
      <c r="N302" s="910">
        <f>IF(Sheet1!DA304&gt;=F302,MIN(73,MIN(MAX(L302,0),MAX(M302,0))),0)</f>
        <v>73</v>
      </c>
      <c r="O302" s="563">
        <f>Sheet1!AA304+Sheet1!AB304</f>
        <v>54.07</v>
      </c>
      <c r="P302" s="563">
        <f t="shared" si="585"/>
        <v>83.646289999999993</v>
      </c>
      <c r="Q302" s="1083">
        <f>O302-S302</f>
        <v>0</v>
      </c>
      <c r="R302" s="829">
        <f t="shared" si="586"/>
        <v>9</v>
      </c>
      <c r="S302" s="1083">
        <v>54.07</v>
      </c>
      <c r="T302" s="898">
        <f t="shared" si="549"/>
        <v>0</v>
      </c>
      <c r="U302" s="1083">
        <v>0</v>
      </c>
      <c r="V302" s="898"/>
      <c r="W302" s="898">
        <f t="shared" si="551"/>
        <v>55.651990464839095</v>
      </c>
      <c r="X302" s="898">
        <f t="shared" si="552"/>
        <v>54.07</v>
      </c>
      <c r="Y302" s="898" t="str">
        <f t="shared" si="553"/>
        <v/>
      </c>
      <c r="Z302" s="898">
        <f t="shared" si="554"/>
        <v>54.07</v>
      </c>
      <c r="AA302" s="898">
        <f t="shared" si="555"/>
        <v>54.07</v>
      </c>
      <c r="AB302" s="898" t="str">
        <f t="shared" si="556"/>
        <v/>
      </c>
      <c r="AC302" s="563">
        <f>Sheet1!Y304*MGDtoCFS</f>
        <v>44.924879999999995</v>
      </c>
      <c r="AD302" s="563">
        <f>Sheet1!Z304*MGDtoCFS</f>
        <v>38.56671</v>
      </c>
      <c r="AE302" s="563">
        <f>Sheet1!AA304*MGDtoCFS</f>
        <v>45.017699999999998</v>
      </c>
      <c r="AF302" s="563">
        <f>Sheet1!AB304*MGDtoCFS</f>
        <v>38.628589999999996</v>
      </c>
      <c r="AG302" s="563">
        <f>Sheet1!L304*MGDtoCFS</f>
        <v>0</v>
      </c>
      <c r="AH302" s="545">
        <f t="shared" si="587"/>
        <v>9</v>
      </c>
      <c r="AI302" s="560">
        <f t="shared" si="588"/>
        <v>13.923</v>
      </c>
      <c r="AJ302" s="560">
        <f t="shared" si="589"/>
        <v>0</v>
      </c>
      <c r="AK302" s="560">
        <f t="shared" si="590"/>
        <v>0</v>
      </c>
      <c r="AL302" s="560">
        <f>(VLOOKUP(Sheet1!DC304,hhdcap_wcm,4)-(((VLOOKUP(Sheet1!DC304,hhdcap_wcm,3)-Sheet1!DC304)/(VLOOKUP(Sheet1!DC304,hhdcap_wcm,3)-VLOOKUP(Sheet1!DC304,hhdcap_wcm,1)))*(VLOOKUP(Sheet1!DC304,hhdcap_wcm,4)-VLOOKUP(Sheet1!DC304,hhdcap_wcm,2))))</f>
        <v>9822.0000000218606</v>
      </c>
      <c r="AM302" s="560">
        <f t="shared" si="591"/>
        <v>-113.00000000008549</v>
      </c>
      <c r="AN302" s="560">
        <f t="shared" si="592"/>
        <v>820.4434937633041</v>
      </c>
      <c r="AO302" s="560">
        <f t="shared" si="593"/>
        <v>2517.120638865817</v>
      </c>
      <c r="AP302" s="560">
        <f>Sheet1!BA304+Sheet1!BB304+Sheet1!BN304+CD302</f>
        <v>16.11</v>
      </c>
      <c r="AQ302" s="560">
        <f>Sheet1!BN304+(DO302*Sheet1!BN304)</f>
        <v>14.980015891934842</v>
      </c>
      <c r="AR302" s="560">
        <f>Sheet1!BA304+CD302</f>
        <v>0</v>
      </c>
      <c r="AS302" s="560">
        <f>Sheet1!BA304+Sheet1!BB304+CD302</f>
        <v>1.01</v>
      </c>
      <c r="AT302" s="698">
        <f>0</f>
        <v>0</v>
      </c>
      <c r="AU302" s="560">
        <f>IF(EB302&lt;K302,0,MAX(Sheet1!AA304+AQ302-15/36*K302-N302,Sheet1!EH304,0))</f>
        <v>0</v>
      </c>
      <c r="AV302" s="560">
        <f>IF(OR(B302&gt;=GD302,B302&lt;GC302),0,15/36*K302-MAX(0,64.6-(137.6-(Sheet1!AA304+Sheet1!AB304))))</f>
        <v>0</v>
      </c>
      <c r="AW302" s="698">
        <f>Sheet1!DB304-110</f>
        <v>455</v>
      </c>
      <c r="AX302" s="698">
        <f>Sheet1!DA304-265</f>
        <v>554</v>
      </c>
      <c r="AY302" s="698">
        <f t="shared" si="594"/>
        <v>73</v>
      </c>
      <c r="AZ302" s="698">
        <v>0</v>
      </c>
      <c r="BA302" s="698">
        <f t="shared" si="595"/>
        <v>0</v>
      </c>
      <c r="BB302" s="560">
        <f t="shared" si="596"/>
        <v>389.52566666666689</v>
      </c>
      <c r="BC302" s="560"/>
      <c r="BD302" s="560">
        <f ca="1">IF(B302&gt;Summary!$A$1,#N/A,BB302*MGtoAF)</f>
        <v>1195.064745333334</v>
      </c>
      <c r="BE302" s="560">
        <f>Sheet1!BG304+Sheet1!BH304+Sheet1!BI304-BM302</f>
        <v>0</v>
      </c>
      <c r="BF302" s="560">
        <f t="shared" si="597"/>
        <v>0</v>
      </c>
      <c r="BG302" s="560">
        <f>IF(Sheet1!EP304="FM",BM302,0)</f>
        <v>0</v>
      </c>
      <c r="BH302" s="560">
        <f t="shared" si="598"/>
        <v>0</v>
      </c>
      <c r="BI302" s="560">
        <f>IF(Sheet1!EP304="OTHER",BM302,0)</f>
        <v>0</v>
      </c>
      <c r="BJ302" s="560">
        <f t="shared" si="599"/>
        <v>0</v>
      </c>
      <c r="BK302" s="560">
        <f t="shared" si="600"/>
        <v>0</v>
      </c>
      <c r="BL302" s="560">
        <f t="shared" si="601"/>
        <v>0</v>
      </c>
      <c r="BM302" s="560">
        <f>IF(OR(Sheet1!EP304="FM", Sheet1!EP304="OTHER"),SUM(Sheet1!BG304:'Sheet1'!BI304),0)</f>
        <v>0</v>
      </c>
      <c r="BN302" s="545">
        <f>IF(AND($B302&gt;=$FV302,$B302&lt;=$FW302),MAX(BF302,Sheet1!EI304,0),MAX(BF302-(7/36)*$K302,0))</f>
        <v>0</v>
      </c>
      <c r="BO302" s="560">
        <f t="shared" si="602"/>
        <v>0</v>
      </c>
      <c r="BP302" s="545">
        <f t="shared" si="603"/>
        <v>0</v>
      </c>
      <c r="BQ302" s="545">
        <f>IF(AND($O302&gt;0,Sheet1!EM304=1),(1-($O302-Sheet1!$L304)/$O302)*BL302,0)</f>
        <v>0</v>
      </c>
      <c r="BR302" s="545">
        <f>IF(AND(Sheet1!$L304=0,Sheet1!$L303=0, Calculation!BK302&lt;Sheet1!$EI304-0.1,Sheet1!$EI304=Sheet1!$EI303,Sheet1!$EI304=Sheet1!$EI305),Sheet1!$EI304,BL302-BQ302)</f>
        <v>0</v>
      </c>
      <c r="BS302" s="560"/>
      <c r="BT302" s="560"/>
      <c r="BU302" s="560">
        <f t="shared" si="604"/>
        <v>106.52176547029438</v>
      </c>
      <c r="BV302" s="560"/>
      <c r="BW302" s="560">
        <f ca="1">IF(B302&gt;Summary!$A$1,#N/A,BU302*MGtoAF)</f>
        <v>326.80877646286319</v>
      </c>
      <c r="BX302" s="560">
        <f>Sheet1!BC304+Sheet1!BD304+Sheet1!BE304+Sheet1!BF304-CG302-CH302</f>
        <v>2.5099999999999998</v>
      </c>
      <c r="BY302" s="560">
        <f t="shared" si="605"/>
        <v>2.4900556217719507</v>
      </c>
      <c r="BZ302" s="560">
        <f>IF(Sheet1!EQ304="FM",CH302,0)</f>
        <v>0</v>
      </c>
      <c r="CA302" s="560">
        <f t="shared" si="606"/>
        <v>0</v>
      </c>
      <c r="CB302" s="560">
        <f>IF(Sheet1!EQ304="OTHER",CH302,0)</f>
        <v>0</v>
      </c>
      <c r="CC302" s="560">
        <f t="shared" si="607"/>
        <v>0</v>
      </c>
      <c r="CD302" s="560">
        <f t="shared" si="608"/>
        <v>0</v>
      </c>
      <c r="CE302" s="560">
        <f t="shared" si="609"/>
        <v>2.5099999999999998</v>
      </c>
      <c r="CF302" s="560">
        <f t="shared" si="610"/>
        <v>2.4900556217719507</v>
      </c>
      <c r="CG302" s="560">
        <f>IF(Sheet1!EQ304="CWA",SUM(Sheet1!BC304:'Sheet1'!BF304),0)</f>
        <v>0</v>
      </c>
      <c r="CH302" s="560">
        <f>IF(OR(Sheet1!EQ304="FM", Sheet1!EQ304="OTHER"),SUM(Sheet1!BC304:'Sheet1'!BF304),0)</f>
        <v>0</v>
      </c>
      <c r="CI302" s="545">
        <f>IF(AND($B302&gt;=$FV302,$B302&lt;=$FW302),MAX(CF302,Sheet1!EJ304,0),MAX(CF302-(7/36)*$K302,0))</f>
        <v>2.5</v>
      </c>
      <c r="CJ302" s="560">
        <f t="shared" si="611"/>
        <v>0</v>
      </c>
      <c r="CK302" s="545">
        <f t="shared" si="612"/>
        <v>0</v>
      </c>
      <c r="CL302" s="545">
        <f>IF(AND($O302&gt;0,Sheet1!EN304=1),(1-($O302-Sheet1!$L304)/$O302)*CF302,0)</f>
        <v>0</v>
      </c>
      <c r="CM302" s="545">
        <f>IF(AND(Sheet1!$L304=0,Sheet1!$L303=0, Calculation!CE302&lt;Sheet1!EJ304-0.1,Sheet1!EJ304=Sheet1!EJ303,Sheet1!EJ304=Sheet1!EJ305),Sheet1!EJ304,CF302-CL302)</f>
        <v>2.4900556217719507</v>
      </c>
      <c r="CN302" s="545"/>
      <c r="CO302" s="560"/>
      <c r="CP302" s="560">
        <f t="shared" si="613"/>
        <v>157.64132035791266</v>
      </c>
      <c r="CQ302" s="560"/>
      <c r="CR302" s="560">
        <f ca="1">IF(B302&gt;Summary!$A$1,#N/A,CP302*MGtoAF)</f>
        <v>483.64357085807603</v>
      </c>
      <c r="CS302" s="560">
        <f>Sheet1!BK304+Sheet1!BL304+Sheet1!BM304-Sheet1!ER304-DA302</f>
        <v>6.55</v>
      </c>
      <c r="CT302" s="560">
        <f t="shared" si="614"/>
        <v>6.4979539133889554</v>
      </c>
      <c r="CU302" s="560">
        <f>IF(Sheet1!ER304="FM",DA302,0)</f>
        <v>0</v>
      </c>
      <c r="CV302" s="560">
        <f t="shared" si="615"/>
        <v>0</v>
      </c>
      <c r="CW302" s="560">
        <f>IF(Sheet1!ER304="OTHER",DA302,0)</f>
        <v>0</v>
      </c>
      <c r="CX302" s="560">
        <f t="shared" si="616"/>
        <v>0</v>
      </c>
      <c r="CY302" s="560">
        <f t="shared" si="617"/>
        <v>6.55</v>
      </c>
      <c r="CZ302" s="560">
        <f t="shared" si="618"/>
        <v>6.4979539133889554</v>
      </c>
      <c r="DA302" s="560">
        <f>IF(OR(Sheet1!ER304="FM", Sheet1!ER304="OTHER"),SUM(Sheet1!BK304:'Sheet1'!BM304),0)</f>
        <v>0</v>
      </c>
      <c r="DB302" s="545">
        <f>IF(AND($B302&gt;=$FV302,$B302&lt;=$FW302),MAX($CT302,Sheet1!EK304,0),MAX($CT302-(7/36)*$K302,0))</f>
        <v>6.5</v>
      </c>
      <c r="DC302" s="560">
        <f t="shared" si="619"/>
        <v>0</v>
      </c>
      <c r="DD302" s="545">
        <f t="shared" si="620"/>
        <v>0</v>
      </c>
      <c r="DE302" s="545">
        <f>IF(AND($O302&gt;0,Sheet1!EO304=1),(1-($O302-Sheet1!$L304)/$O302)*CZ302,0)</f>
        <v>0</v>
      </c>
      <c r="DF302" s="545">
        <f>IF(AND(Sheet1!$L304=0,Sheet1!$L303=0, Calculation!CY302&lt;Sheet1!$EK304-0.1,Sheet1!$EK304=Sheet1!$EK303,Sheet1!$EK304=Sheet1!$EK305),Sheet1!$EK304,CZ302-DE302)</f>
        <v>6.4979539133889554</v>
      </c>
      <c r="DG302" s="545"/>
      <c r="DH302" s="560">
        <f t="shared" si="621"/>
        <v>9.0599999999999987</v>
      </c>
      <c r="DI302" s="560">
        <f t="shared" si="622"/>
        <v>166.75474126843019</v>
      </c>
      <c r="DJ302" s="698">
        <f t="shared" si="623"/>
        <v>8.9880095351609057</v>
      </c>
      <c r="DK302" s="560">
        <f ca="1">IF(B302&gt;Summary!$A$1,#N/A,DI302*MGtoAF)</f>
        <v>511.60354621154386</v>
      </c>
      <c r="DL302" s="698">
        <f t="shared" si="624"/>
        <v>9.0599999999999987</v>
      </c>
      <c r="DM302" s="560">
        <f t="shared" si="625"/>
        <v>25.169999999999998</v>
      </c>
      <c r="DN302" s="560">
        <f>Sheet1!AB304-DM302</f>
        <v>-0.19999999999999929</v>
      </c>
      <c r="DO302" s="823">
        <f t="shared" si="626"/>
        <v>-7.9459674215335441E-3</v>
      </c>
      <c r="DP302" s="560">
        <f>(VLOOKUP(Sheet1!DC304,hhdcap_wcm,4)-(((VLOOKUP(Sheet1!DC304,hhdcap_wcm,3)-Sheet1!DC304)/(VLOOKUP(Sheet1!DC304,hhdcap_wcm,3)-VLOOKUP(Sheet1!DC304,hhdcap_wcm,1)))*(VLOOKUP(Sheet1!DC304,hhdcap_wcm,4)-VLOOKUP(Sheet1!DC304,hhdcap_wcm,2))))</f>
        <v>9822.0000000218606</v>
      </c>
      <c r="DQ302" s="560">
        <f t="shared" si="627"/>
        <v>-113.00000000008549</v>
      </c>
      <c r="DR302" s="560">
        <f t="shared" si="628"/>
        <v>-56.984367120567562</v>
      </c>
      <c r="DS302" s="560">
        <f>Sheet1!EA304*AFtoMG</f>
        <v>0</v>
      </c>
      <c r="DT302" s="560">
        <f>Sheet1!EB304*AFtoMG</f>
        <v>0</v>
      </c>
      <c r="DU302" s="560">
        <f>Sheet1!EC304*AFtoMG</f>
        <v>0</v>
      </c>
      <c r="DV302" s="560">
        <f>Sheet1!ED304*AFtoMG</f>
        <v>0</v>
      </c>
      <c r="DW302" s="560">
        <f t="shared" si="629"/>
        <v>0</v>
      </c>
      <c r="DX302" s="560">
        <f t="shared" si="630"/>
        <v>0</v>
      </c>
      <c r="DY302" s="560">
        <f t="shared" si="631"/>
        <v>820.4434937633041</v>
      </c>
      <c r="DZ302" s="560">
        <f t="shared" si="632"/>
        <v>2517.120638865817</v>
      </c>
      <c r="EA302" s="560"/>
      <c r="EB302" s="545">
        <f>IF(OR(B302&lt;FV302,B302&gt;FW302),(MIN(BF302+BY302+CT302+MAX(Sheet1!AA304+AQ302-73,0),K302)),0)</f>
        <v>0</v>
      </c>
      <c r="EC302" s="560"/>
      <c r="ED302" s="560">
        <f t="shared" si="633"/>
        <v>8.9880095351609057</v>
      </c>
      <c r="EE302" s="560"/>
      <c r="EF302" s="560">
        <f>Sheet1!EH304+Sheet1!EI304+Sheet1!EJ304+Sheet1!EK304</f>
        <v>9</v>
      </c>
      <c r="EG302" s="560"/>
      <c r="EH302" s="545">
        <f t="shared" si="634"/>
        <v>0</v>
      </c>
      <c r="EI302" s="560">
        <f>IF(Sheet1!ET304=1,SUM('Calculations II'!AT302:BA302)+'Calculations II'!BC302+Sheet1!BV304+'Calculations II'!BE302+AP302,SUM('Calculations II'!AT302:BA302)+'Calculations II'!BC302+Sheet1!BV304+'Calculations II'!BE302+AP302)</f>
        <v>55.925007999999998</v>
      </c>
      <c r="EJ302" s="560">
        <f>Sheet1!AA304+Sheet1!AB304+'Calculations II'!BC302</f>
        <v>54.07</v>
      </c>
      <c r="EK302" s="560"/>
      <c r="EL302" s="560"/>
      <c r="EM302" s="560">
        <f t="shared" si="635"/>
        <v>41930</v>
      </c>
      <c r="EN302" s="560">
        <f t="shared" si="636"/>
        <v>-9</v>
      </c>
      <c r="EO302" s="560">
        <f t="shared" si="637"/>
        <v>-13.923</v>
      </c>
      <c r="EP302" s="560">
        <v>0</v>
      </c>
      <c r="EQ302" s="560">
        <v>0</v>
      </c>
      <c r="ER302" s="560">
        <v>0</v>
      </c>
      <c r="ES302" s="545">
        <f t="shared" si="557"/>
        <v>2.9086801527326331</v>
      </c>
      <c r="ET302" s="560">
        <f>-(VLOOKUP(Sheet1!BQ304,Lookup!$O$4:$Q$262,2)-VLOOKUP(Sheet1!BQ303,Lookup!$O$4:$Q$262,2))/1000000</f>
        <v>1.5235440113967917</v>
      </c>
      <c r="EU302" s="560">
        <f>-(VLOOKUP(Sheet1!BR304,Lookup!$O$4:$Q$262,3)-VLOOKUP(Sheet1!BR303,Lookup!$O$4:$Q$262,3))/1000000</f>
        <v>1.3851361413358412</v>
      </c>
      <c r="EV302" s="560"/>
      <c r="EW302" s="560"/>
      <c r="EX302" s="560"/>
      <c r="EY302" s="560"/>
      <c r="EZ302" s="560"/>
      <c r="FA302" s="560"/>
      <c r="FB302" s="560"/>
      <c r="FC302" s="560"/>
      <c r="FD302" s="594">
        <f t="shared" si="638"/>
        <v>1103.4464285713818</v>
      </c>
      <c r="FE302" s="594" t="e">
        <f t="shared" si="639"/>
        <v>#N/A</v>
      </c>
      <c r="FF302" s="595" t="e">
        <f t="shared" si="640"/>
        <v>#N/A</v>
      </c>
      <c r="FG302" s="596" t="s">
        <v>692</v>
      </c>
      <c r="FH302" s="596" t="s">
        <v>692</v>
      </c>
      <c r="FI302" s="594" t="e">
        <v>#N/A</v>
      </c>
      <c r="FJ302" s="778">
        <v>5425</v>
      </c>
      <c r="FK302" s="560"/>
      <c r="FL302" s="560"/>
      <c r="FM302" s="560"/>
      <c r="FN302" s="560"/>
      <c r="FO302" s="560">
        <f>O302+((Sheet1!CS304)*GPMtoMGD)</f>
        <v>54.07</v>
      </c>
      <c r="FP302" s="560">
        <f>IF(Sheet1!AA304+AQ302&lt;=Calculation!N302,AQ302,Calculation!N302-Sheet1!AA304)</f>
        <v>14.980015891934842</v>
      </c>
      <c r="FQ302" s="560">
        <f>(Sheet1!BP304+Sheet1!BO304)/694.4</f>
        <v>2.6575460829493092</v>
      </c>
      <c r="FR302" s="560"/>
      <c r="FS302" s="560"/>
      <c r="FT302" s="560"/>
      <c r="FU302" s="560"/>
      <c r="FV302" s="695">
        <f t="shared" si="558"/>
        <v>41827</v>
      </c>
      <c r="FW302" s="695">
        <f t="shared" si="559"/>
        <v>41934</v>
      </c>
      <c r="FX302" s="560"/>
      <c r="FY302" s="560"/>
      <c r="FZ302" s="560"/>
      <c r="GA302" s="560"/>
      <c r="GB302" s="560" t="str">
        <f t="shared" si="560"/>
        <v>n</v>
      </c>
      <c r="GC302" s="564">
        <f t="shared" si="561"/>
        <v>41691</v>
      </c>
      <c r="GD302" s="695">
        <f t="shared" si="562"/>
        <v>41807</v>
      </c>
      <c r="GE302" s="560">
        <v>6518.9</v>
      </c>
      <c r="GF302" s="695">
        <f t="shared" si="563"/>
        <v>41808</v>
      </c>
      <c r="GG302" s="560">
        <f t="shared" si="582"/>
        <v>3259</v>
      </c>
      <c r="GH302" s="564">
        <f t="shared" si="564"/>
        <v>41934</v>
      </c>
      <c r="GJ302" s="545">
        <f t="shared" si="565"/>
        <v>0</v>
      </c>
      <c r="GK302" s="560" t="str">
        <f t="shared" si="641"/>
        <v/>
      </c>
      <c r="GL302" s="560">
        <f t="shared" si="566"/>
        <v>0</v>
      </c>
      <c r="GM302" s="560" t="str">
        <f t="shared" si="567"/>
        <v/>
      </c>
      <c r="GN302" s="560">
        <f>IF(GK302="P",Lookup!$M$12,IF(GK302="PP",Lookup!$M$13,IF(GK302="PPP",Lookup!$M$14,IF(GK302="T",Lookup!$M$15,IF(GK302="TP",Lookup!$M$16,IF(GK302="TPP",Lookup!$M$17,IF(GK302="TPPP",Lookup!$M$18,0)))))))*GJ302</f>
        <v>0</v>
      </c>
      <c r="GO302" s="560">
        <f t="shared" si="568"/>
        <v>0</v>
      </c>
      <c r="GP302" s="560">
        <f t="shared" si="642"/>
        <v>1195.064745333334</v>
      </c>
      <c r="GQ302" s="560">
        <f t="shared" si="576"/>
        <v>389.52566666666689</v>
      </c>
      <c r="GR302" s="560"/>
      <c r="GS302" s="560">
        <f t="shared" si="569"/>
        <v>0</v>
      </c>
      <c r="GT302" s="560" t="str">
        <f t="shared" si="570"/>
        <v/>
      </c>
      <c r="GU302" s="560">
        <f>IF(GK302="P",Lookup!$N$12,IF(GK302="PP",Lookup!$N$13,IF(GK302="PPP",Lookup!$N$14,IF(GK302="T",Lookup!$N$15,IF(GK302="TP",Lookup!$N$16,IF(GK302="TPP",Lookup!$N$17,IF(GK302="TPPP",Lookup!$N$18,0)))))))*GJ302</f>
        <v>0</v>
      </c>
      <c r="GV302" s="560">
        <f t="shared" si="571"/>
        <v>0</v>
      </c>
      <c r="GW302" s="560">
        <f t="shared" si="643"/>
        <v>326.80877646286319</v>
      </c>
      <c r="GX302" s="560">
        <f t="shared" si="577"/>
        <v>106.52176547029438</v>
      </c>
      <c r="GY302" s="560"/>
      <c r="GZ302" s="560">
        <f t="shared" si="572"/>
        <v>0</v>
      </c>
      <c r="HA302" s="560" t="str">
        <f t="shared" si="573"/>
        <v/>
      </c>
      <c r="HB302" s="560">
        <f>IF(GK302="P",Lookup!$N$12,IF(GK302="PP",Lookup!$N$13,IF(GK302="PPP",Lookup!$N$14,IF(GK302="T",Lookup!$N$15,IF(GK302="TP",Lookup!$N$16,IF(GK302="TPP",Lookup!$N$17,IF(GK302="TPPP",Lookup!$N$18,0)))))))*GJ302</f>
        <v>0</v>
      </c>
      <c r="HC302" s="545">
        <f t="shared" si="644"/>
        <v>0</v>
      </c>
      <c r="HD302" s="560">
        <f t="shared" si="645"/>
        <v>483.64357085807603</v>
      </c>
      <c r="HE302" s="560">
        <f t="shared" si="578"/>
        <v>157.64132035791266</v>
      </c>
      <c r="HF302" s="560"/>
      <c r="HG302" s="560">
        <f t="shared" si="574"/>
        <v>0</v>
      </c>
      <c r="HH302" s="560" t="str">
        <f t="shared" si="575"/>
        <v/>
      </c>
      <c r="HI302" s="560">
        <f>IF(GK302="P",Lookup!$N$12,IF(GK302="PP",Lookup!$N$13,IF(GK302="PPP",Lookup!$N$14,IF(GK302="T",Lookup!$N$15,IF(GK302="TP",Lookup!$N$16,IF(GK302="TPP",Lookup!$N$17,IF(GK302="TPPP",Lookup!$N$18,0)))))))*GJ302</f>
        <v>0</v>
      </c>
      <c r="HJ302" s="545">
        <f t="shared" si="646"/>
        <v>0</v>
      </c>
      <c r="HK302" s="560">
        <f t="shared" si="647"/>
        <v>511.60354621154386</v>
      </c>
      <c r="HL302" s="560">
        <f t="shared" si="579"/>
        <v>166.75474126843019</v>
      </c>
    </row>
    <row r="303" spans="1:220">
      <c r="A303" s="580" t="s">
        <v>3</v>
      </c>
      <c r="B303" s="556">
        <v>41931</v>
      </c>
      <c r="C303" s="561">
        <v>0</v>
      </c>
      <c r="D303" s="529">
        <f t="shared" si="580"/>
        <v>300</v>
      </c>
      <c r="E303" s="529">
        <f t="shared" si="581"/>
        <v>250</v>
      </c>
      <c r="F303" s="529">
        <v>250</v>
      </c>
      <c r="G303" s="560">
        <f>DR303+Sheet1!CZ305</f>
        <v>485.45486636363472</v>
      </c>
      <c r="H303" s="914">
        <f t="shared" si="546"/>
        <v>46.834825617453482</v>
      </c>
      <c r="I303" s="559">
        <f>MAX(Sheet1!Z305-AT303+(Sheet1!DA305-E303)*CFStoMGD,0)</f>
        <v>377.25800000000004</v>
      </c>
      <c r="J303" s="562">
        <f>IF(AND(B303&gt;=Calculation!GC303,B303&lt;=Calculation!GD303),IF(Sheet1!DB305&gt;=Calculation!D303,64.64,0),MAX(Sheet1!Z305-AT303+(Sheet1!DB305-D303)*CFStoMGD,0))</f>
        <v>191.74119999999999</v>
      </c>
      <c r="K303" s="904">
        <f t="shared" si="583"/>
        <v>46.834825617453482</v>
      </c>
      <c r="L303" s="560">
        <f>Sheet1!AA305+Sheet1!AB305-Sheet1!L305+(Sheet1!DA305-F303)*CFStoMGD</f>
        <v>406.38800000000003</v>
      </c>
      <c r="M303" s="560">
        <f t="shared" si="584"/>
        <v>320.07398612980256</v>
      </c>
      <c r="N303" s="910">
        <f>IF(Sheet1!DA305&gt;=F303,MIN(73,MIN(MAX(L303,0),MAX(M303,0))),0)</f>
        <v>73</v>
      </c>
      <c r="O303" s="563">
        <f>Sheet1!AA305+Sheet1!AB305</f>
        <v>54.1</v>
      </c>
      <c r="P303" s="563">
        <f t="shared" si="585"/>
        <v>83.692700000000002</v>
      </c>
      <c r="Q303" s="1083">
        <f t="shared" ref="Q303:Q304" si="648">O303-S303</f>
        <v>7.2700000000000031</v>
      </c>
      <c r="R303" s="829">
        <f t="shared" si="586"/>
        <v>9</v>
      </c>
      <c r="S303" s="1083">
        <v>46.83</v>
      </c>
      <c r="T303" s="898">
        <f t="shared" si="549"/>
        <v>0</v>
      </c>
      <c r="U303" s="1083">
        <v>0</v>
      </c>
      <c r="V303" s="898"/>
      <c r="W303" s="898">
        <f t="shared" si="551"/>
        <v>37.844968248198327</v>
      </c>
      <c r="X303" s="898">
        <f t="shared" si="552"/>
        <v>46.83</v>
      </c>
      <c r="Y303" s="898" t="str">
        <f t="shared" si="553"/>
        <v>FALSE</v>
      </c>
      <c r="Z303" s="898">
        <f t="shared" si="554"/>
        <v>54.1</v>
      </c>
      <c r="AA303" s="898">
        <f t="shared" si="555"/>
        <v>54.1</v>
      </c>
      <c r="AB303" s="898" t="str">
        <f t="shared" si="556"/>
        <v/>
      </c>
      <c r="AC303" s="563">
        <f>Sheet1!Y305*MGDtoCFS</f>
        <v>45.017699999999998</v>
      </c>
      <c r="AD303" s="563">
        <f>Sheet1!Z305*MGDtoCFS</f>
        <v>38.628589999999996</v>
      </c>
      <c r="AE303" s="563">
        <f>Sheet1!AA305*MGDtoCFS</f>
        <v>44.863</v>
      </c>
      <c r="AF303" s="563">
        <f>Sheet1!AB305*MGDtoCFS</f>
        <v>38.829700000000003</v>
      </c>
      <c r="AG303" s="563">
        <f>Sheet1!L305*MGDtoCFS</f>
        <v>0</v>
      </c>
      <c r="AH303" s="545">
        <f t="shared" si="587"/>
        <v>9.003724247226625</v>
      </c>
      <c r="AI303" s="560">
        <f t="shared" si="588"/>
        <v>13.928761410459588</v>
      </c>
      <c r="AJ303" s="560">
        <f t="shared" si="589"/>
        <v>0</v>
      </c>
      <c r="AK303" s="560">
        <f t="shared" si="590"/>
        <v>0</v>
      </c>
      <c r="AL303" s="560">
        <f>(VLOOKUP(Sheet1!DC305,hhdcap_wcm,4)-(((VLOOKUP(Sheet1!DC305,hhdcap_wcm,3)-Sheet1!DC305)/(VLOOKUP(Sheet1!DC305,hhdcap_wcm,3)-VLOOKUP(Sheet1!DC305,hhdcap_wcm,1)))*(VLOOKUP(Sheet1!DC305,hhdcap_wcm,4)-VLOOKUP(Sheet1!DC305,hhdcap_wcm,2))))</f>
        <v>9438.2000000209482</v>
      </c>
      <c r="AM303" s="560">
        <f t="shared" si="591"/>
        <v>-383.80000000091241</v>
      </c>
      <c r="AN303" s="560">
        <f t="shared" si="592"/>
        <v>811.43976951607749</v>
      </c>
      <c r="AO303" s="560">
        <f t="shared" si="593"/>
        <v>2489.4972128753257</v>
      </c>
      <c r="AP303" s="560">
        <f>Sheet1!BA305+Sheet1!BB305+Sheet1!BN305+CD303</f>
        <v>16.2</v>
      </c>
      <c r="AQ303" s="560">
        <f>Sheet1!BN305+(DO303*Sheet1!BN305)</f>
        <v>15.115689381933439</v>
      </c>
      <c r="AR303" s="560">
        <f>Sheet1!BA305+CD303</f>
        <v>0</v>
      </c>
      <c r="AS303" s="560">
        <f>Sheet1!BA305+Sheet1!BB305+CD303</f>
        <v>1</v>
      </c>
      <c r="AT303" s="698">
        <f>0</f>
        <v>0</v>
      </c>
      <c r="AU303" s="560">
        <f>IF(EB303&lt;K303,0,MAX(Sheet1!AA305+AQ303-15/36*K303-N303,Sheet1!EH305,0))</f>
        <v>0</v>
      </c>
      <c r="AV303" s="560">
        <f>IF(OR(B303&gt;=GD303,B303&lt;GC303),0,15/36*K303-MAX(0,64.6-(137.6-(Sheet1!AA305+Sheet1!AB305))))</f>
        <v>0</v>
      </c>
      <c r="AW303" s="698">
        <f>Sheet1!DB305-110</f>
        <v>448</v>
      </c>
      <c r="AX303" s="698">
        <f>Sheet1!DA305-265</f>
        <v>530</v>
      </c>
      <c r="AY303" s="698">
        <f t="shared" si="594"/>
        <v>65.72999999999999</v>
      </c>
      <c r="AZ303" s="698">
        <v>0</v>
      </c>
      <c r="BA303" s="698">
        <f t="shared" si="595"/>
        <v>0</v>
      </c>
      <c r="BB303" s="560">
        <f t="shared" si="596"/>
        <v>389.52566666666689</v>
      </c>
      <c r="BC303" s="560"/>
      <c r="BD303" s="560">
        <f ca="1">IF(B303&gt;Summary!$A$1,#N/A,BB303*MGtoAF)</f>
        <v>1195.064745333334</v>
      </c>
      <c r="BE303" s="560">
        <f>Sheet1!BG305+Sheet1!BH305+Sheet1!BI305-BM303</f>
        <v>0</v>
      </c>
      <c r="BF303" s="560">
        <f t="shared" si="597"/>
        <v>0</v>
      </c>
      <c r="BG303" s="560">
        <f>IF(Sheet1!EP305="FM",BM303,0)</f>
        <v>0</v>
      </c>
      <c r="BH303" s="560">
        <f t="shared" si="598"/>
        <v>0</v>
      </c>
      <c r="BI303" s="560">
        <f>IF(Sheet1!EP305="OTHER",BM303,0)</f>
        <v>0</v>
      </c>
      <c r="BJ303" s="560">
        <f t="shared" si="599"/>
        <v>0</v>
      </c>
      <c r="BK303" s="560">
        <f t="shared" si="600"/>
        <v>0</v>
      </c>
      <c r="BL303" s="560">
        <f t="shared" si="601"/>
        <v>0</v>
      </c>
      <c r="BM303" s="560">
        <f>IF(OR(Sheet1!EP305="FM", Sheet1!EP305="OTHER"),SUM(Sheet1!BG305:'Sheet1'!BI305),0)</f>
        <v>0</v>
      </c>
      <c r="BN303" s="545">
        <f>IF(AND($B303&gt;=$FV303,$B303&lt;=$FW303),MAX(BF303,Sheet1!EI305,0),MAX(BF303-(7/36)*$K303,0))</f>
        <v>0</v>
      </c>
      <c r="BO303" s="560">
        <f t="shared" si="602"/>
        <v>0</v>
      </c>
      <c r="BP303" s="545">
        <f t="shared" si="603"/>
        <v>0</v>
      </c>
      <c r="BQ303" s="545">
        <f>IF(AND($O303&gt;0,Sheet1!EM305=1),(1-($O303-Sheet1!$L305)/$O303)*BL303,0)</f>
        <v>0</v>
      </c>
      <c r="BR303" s="545">
        <f>IF(AND(Sheet1!$L305=0,Sheet1!$L304=0, Calculation!BK303&lt;Sheet1!$EI305-0.1,Sheet1!$EI305=Sheet1!$EI304,Sheet1!$EI305=Sheet1!$EI306),Sheet1!$EI305,BL303-BQ303)</f>
        <v>0</v>
      </c>
      <c r="BS303" s="560"/>
      <c r="BT303" s="560"/>
      <c r="BU303" s="560">
        <f t="shared" si="604"/>
        <v>106.52176547029438</v>
      </c>
      <c r="BV303" s="560"/>
      <c r="BW303" s="560">
        <f ca="1">IF(B303&gt;Summary!$A$1,#N/A,BU303*MGtoAF)</f>
        <v>326.80877646286319</v>
      </c>
      <c r="BX303" s="560">
        <f>Sheet1!BC305+Sheet1!BD305+Sheet1!BE305+Sheet1!BF305-CG303-CH303</f>
        <v>2.5</v>
      </c>
      <c r="BY303" s="560">
        <f t="shared" si="605"/>
        <v>2.4861331220285265</v>
      </c>
      <c r="BZ303" s="560">
        <f>IF(Sheet1!EQ305="FM",CH303,0)</f>
        <v>0</v>
      </c>
      <c r="CA303" s="560">
        <f t="shared" si="606"/>
        <v>0</v>
      </c>
      <c r="CB303" s="560">
        <f>IF(Sheet1!EQ305="OTHER",CH303,0)</f>
        <v>0</v>
      </c>
      <c r="CC303" s="560">
        <f t="shared" si="607"/>
        <v>0</v>
      </c>
      <c r="CD303" s="560">
        <f t="shared" si="608"/>
        <v>0</v>
      </c>
      <c r="CE303" s="560">
        <f t="shared" si="609"/>
        <v>2.5</v>
      </c>
      <c r="CF303" s="560">
        <f t="shared" si="610"/>
        <v>2.4861331220285265</v>
      </c>
      <c r="CG303" s="560">
        <f>IF(Sheet1!EQ305="CWA",SUM(Sheet1!BC305:'Sheet1'!BF305),0)</f>
        <v>0</v>
      </c>
      <c r="CH303" s="560">
        <f>IF(OR(Sheet1!EQ305="FM", Sheet1!EQ305="OTHER"),SUM(Sheet1!BC305:'Sheet1'!BF305),0)</f>
        <v>0</v>
      </c>
      <c r="CI303" s="545">
        <f>IF(AND($B303&gt;=$FV303,$B303&lt;=$FW303),MAX(CF303,Sheet1!EJ305,0),MAX(CF303-(7/36)*$K303,0))</f>
        <v>2.5</v>
      </c>
      <c r="CJ303" s="560">
        <f t="shared" si="611"/>
        <v>0</v>
      </c>
      <c r="CK303" s="545">
        <f t="shared" si="612"/>
        <v>0</v>
      </c>
      <c r="CL303" s="545">
        <f>IF(AND($O303&gt;0,Sheet1!EN305=1),(1-($O303-Sheet1!$L305)/$O303)*CF303,0)</f>
        <v>0</v>
      </c>
      <c r="CM303" s="545">
        <f>IF(AND(Sheet1!$L305=0,Sheet1!$L304=0, Calculation!CE303&lt;Sheet1!EJ305-0.1,Sheet1!EJ305=Sheet1!EJ304,Sheet1!EJ305=Sheet1!EJ306),Sheet1!EJ305,CF303-CL303)</f>
        <v>2.4861331220285265</v>
      </c>
      <c r="CN303" s="545"/>
      <c r="CO303" s="560"/>
      <c r="CP303" s="560">
        <f t="shared" si="613"/>
        <v>155.14132035791266</v>
      </c>
      <c r="CQ303" s="560"/>
      <c r="CR303" s="560">
        <f ca="1">IF(B303&gt;Summary!$A$1,#N/A,CP303*MGtoAF)</f>
        <v>475.97357085807607</v>
      </c>
      <c r="CS303" s="560">
        <f>Sheet1!BK305+Sheet1!BL305+Sheet1!BM305-Sheet1!ER305-DA303</f>
        <v>6.54</v>
      </c>
      <c r="CT303" s="560">
        <f t="shared" si="614"/>
        <v>6.503724247226625</v>
      </c>
      <c r="CU303" s="560">
        <f>IF(Sheet1!ER305="FM",DA303,0)</f>
        <v>0</v>
      </c>
      <c r="CV303" s="560">
        <f t="shared" si="615"/>
        <v>0</v>
      </c>
      <c r="CW303" s="560">
        <f>IF(Sheet1!ER305="OTHER",DA303,0)</f>
        <v>0</v>
      </c>
      <c r="CX303" s="560">
        <f t="shared" si="616"/>
        <v>0</v>
      </c>
      <c r="CY303" s="560">
        <f t="shared" si="617"/>
        <v>6.54</v>
      </c>
      <c r="CZ303" s="560">
        <f t="shared" si="618"/>
        <v>6.503724247226625</v>
      </c>
      <c r="DA303" s="560">
        <f>IF(OR(Sheet1!ER305="FM", Sheet1!ER305="OTHER"),SUM(Sheet1!BK305:'Sheet1'!BM305),0)</f>
        <v>0</v>
      </c>
      <c r="DB303" s="545">
        <f>IF(AND($B303&gt;=$FV303,$B303&lt;=$FW303),MAX($CT303,Sheet1!EK305,0),MAX($CT303-(7/36)*$K303,0))</f>
        <v>6.503724247226625</v>
      </c>
      <c r="DC303" s="560">
        <f t="shared" si="619"/>
        <v>0</v>
      </c>
      <c r="DD303" s="545">
        <f t="shared" si="620"/>
        <v>0</v>
      </c>
      <c r="DE303" s="545">
        <f>IF(AND($O303&gt;0,Sheet1!EO305=1),(1-($O303-Sheet1!$L305)/$O303)*CZ303,0)</f>
        <v>0</v>
      </c>
      <c r="DF303" s="545">
        <f>IF(AND(Sheet1!$L305=0,Sheet1!$L304=0, Calculation!CY303&lt;Sheet1!$EK305-0.1,Sheet1!$EK305=Sheet1!$EK304,Sheet1!$EK305=Sheet1!$EK306),Sheet1!$EK305,CZ303-DE303)</f>
        <v>6.503724247226625</v>
      </c>
      <c r="DG303" s="545"/>
      <c r="DH303" s="560">
        <f t="shared" si="621"/>
        <v>9.0399999999999991</v>
      </c>
      <c r="DI303" s="560">
        <f t="shared" si="622"/>
        <v>160.25101702120358</v>
      </c>
      <c r="DJ303" s="698">
        <f t="shared" si="623"/>
        <v>8.9898573692551516</v>
      </c>
      <c r="DK303" s="560">
        <f ca="1">IF(B303&gt;Summary!$A$1,#N/A,DI303*MGtoAF)</f>
        <v>491.65012022105259</v>
      </c>
      <c r="DL303" s="698">
        <f t="shared" si="624"/>
        <v>9.0399999999999991</v>
      </c>
      <c r="DM303" s="560">
        <f t="shared" si="625"/>
        <v>25.24</v>
      </c>
      <c r="DN303" s="560">
        <f>Sheet1!AB305-DM303</f>
        <v>-0.13999999999999702</v>
      </c>
      <c r="DO303" s="823">
        <f t="shared" si="626"/>
        <v>-5.5467511885894227E-3</v>
      </c>
      <c r="DP303" s="560">
        <f>(VLOOKUP(Sheet1!DC305,hhdcap_wcm,4)-(((VLOOKUP(Sheet1!DC305,hhdcap_wcm,3)-Sheet1!DC305)/(VLOOKUP(Sheet1!DC305,hhdcap_wcm,3)-VLOOKUP(Sheet1!DC305,hhdcap_wcm,1)))*(VLOOKUP(Sheet1!DC305,hhdcap_wcm,4)-VLOOKUP(Sheet1!DC305,hhdcap_wcm,2))))</f>
        <v>9438.2000000209482</v>
      </c>
      <c r="DQ303" s="560">
        <f t="shared" si="627"/>
        <v>-383.80000000091241</v>
      </c>
      <c r="DR303" s="560">
        <f t="shared" si="628"/>
        <v>-193.54513363636528</v>
      </c>
      <c r="DS303" s="560">
        <f>Sheet1!EA305*AFtoMG</f>
        <v>0</v>
      </c>
      <c r="DT303" s="560">
        <f>Sheet1!EB305*AFtoMG</f>
        <v>0</v>
      </c>
      <c r="DU303" s="560">
        <f>Sheet1!EC305*AFtoMG</f>
        <v>0</v>
      </c>
      <c r="DV303" s="560">
        <f>Sheet1!ED305*AFtoMG</f>
        <v>0</v>
      </c>
      <c r="DW303" s="560">
        <f t="shared" si="629"/>
        <v>0</v>
      </c>
      <c r="DX303" s="560">
        <f t="shared" si="630"/>
        <v>0</v>
      </c>
      <c r="DY303" s="560">
        <f t="shared" si="631"/>
        <v>811.43976951607749</v>
      </c>
      <c r="DZ303" s="560">
        <f t="shared" si="632"/>
        <v>2489.4972128753257</v>
      </c>
      <c r="EA303" s="560"/>
      <c r="EB303" s="545">
        <f>IF(OR(B303&lt;FV303,B303&gt;FW303),(MIN(BF303+BY303+CT303+MAX(Sheet1!AA305+AQ303-73,0),K303)),0)</f>
        <v>0</v>
      </c>
      <c r="EC303" s="560"/>
      <c r="ED303" s="560">
        <f t="shared" si="633"/>
        <v>8.9898573692551516</v>
      </c>
      <c r="EE303" s="560"/>
      <c r="EF303" s="560">
        <f>Sheet1!EH305+Sheet1!EI305+Sheet1!EJ305+Sheet1!EK305</f>
        <v>9</v>
      </c>
      <c r="EG303" s="560"/>
      <c r="EH303" s="545">
        <f t="shared" si="634"/>
        <v>0</v>
      </c>
      <c r="EI303" s="560">
        <f>IF(Sheet1!ET305=1,SUM('Calculations II'!AT303:BA303)+'Calculations II'!BC303+Sheet1!BV305+'Calculations II'!BE303+AP303,SUM('Calculations II'!AT303:BA303)+'Calculations II'!BC303+Sheet1!BV305+'Calculations II'!BE303+AP303)</f>
        <v>53.748127999999994</v>
      </c>
      <c r="EJ303" s="560">
        <f>Sheet1!AA305+Sheet1!AB305+'Calculations II'!BC303</f>
        <v>54.1</v>
      </c>
      <c r="EK303" s="560"/>
      <c r="EL303" s="560"/>
      <c r="EM303" s="560">
        <f t="shared" si="635"/>
        <v>41931</v>
      </c>
      <c r="EN303" s="560">
        <f t="shared" si="636"/>
        <v>-9.003724247226625</v>
      </c>
      <c r="EO303" s="560">
        <f t="shared" si="637"/>
        <v>-13.928761410459588</v>
      </c>
      <c r="EP303" s="560">
        <v>0</v>
      </c>
      <c r="EQ303" s="560">
        <v>0</v>
      </c>
      <c r="ER303" s="560">
        <v>0</v>
      </c>
      <c r="ES303" s="545">
        <f t="shared" si="557"/>
        <v>0.83079330503034599</v>
      </c>
      <c r="ET303" s="560">
        <f>-(VLOOKUP(Sheet1!BQ305,Lookup!$O$4:$Q$262,2)-VLOOKUP(Sheet1!BQ304,Lookup!$O$4:$Q$262,2))/1000000</f>
        <v>0.41537742905444652</v>
      </c>
      <c r="EU303" s="560">
        <f>-(VLOOKUP(Sheet1!BR305,Lookup!$O$4:$Q$262,3)-VLOOKUP(Sheet1!BR304,Lookup!$O$4:$Q$262,3))/1000000</f>
        <v>0.41541587597589941</v>
      </c>
      <c r="EV303" s="560"/>
      <c r="EW303" s="560"/>
      <c r="EX303" s="560"/>
      <c r="EY303" s="560"/>
      <c r="EZ303" s="560"/>
      <c r="FA303" s="560"/>
      <c r="FB303" s="560"/>
      <c r="FC303" s="560"/>
      <c r="FD303" s="594">
        <f t="shared" si="638"/>
        <v>1102.6807692307232</v>
      </c>
      <c r="FE303" s="594" t="e">
        <f t="shared" si="639"/>
        <v>#N/A</v>
      </c>
      <c r="FF303" s="595" t="e">
        <f t="shared" si="640"/>
        <v>#N/A</v>
      </c>
      <c r="FG303" s="596" t="s">
        <v>692</v>
      </c>
      <c r="FH303" s="596" t="s">
        <v>692</v>
      </c>
      <c r="FI303" s="594" t="e">
        <v>#N/A</v>
      </c>
      <c r="FJ303" s="778">
        <v>5216</v>
      </c>
      <c r="FK303" s="560"/>
      <c r="FL303" s="560"/>
      <c r="FM303" s="560"/>
      <c r="FN303" s="560"/>
      <c r="FO303" s="560">
        <f>O303+((Sheet1!CS305)*GPMtoMGD)</f>
        <v>54.1</v>
      </c>
      <c r="FP303" s="560">
        <f>IF(Sheet1!AA305+AQ303&lt;=Calculation!N303,AQ303,Calculation!N303-Sheet1!AA305)</f>
        <v>15.115689381933439</v>
      </c>
      <c r="FQ303" s="560">
        <f>(Sheet1!BP305+Sheet1!BO305)/694.4</f>
        <v>0.58626152073732729</v>
      </c>
      <c r="FR303" s="560"/>
      <c r="FS303" s="560"/>
      <c r="FT303" s="560"/>
      <c r="FU303" s="560"/>
      <c r="FV303" s="695">
        <f t="shared" si="558"/>
        <v>41827</v>
      </c>
      <c r="FW303" s="695">
        <f t="shared" si="559"/>
        <v>41934</v>
      </c>
      <c r="FX303" s="560"/>
      <c r="FY303" s="560"/>
      <c r="FZ303" s="560"/>
      <c r="GA303" s="560"/>
      <c r="GB303" s="560" t="str">
        <f t="shared" si="560"/>
        <v>n</v>
      </c>
      <c r="GC303" s="564">
        <f t="shared" si="561"/>
        <v>41691</v>
      </c>
      <c r="GD303" s="695">
        <f t="shared" si="562"/>
        <v>41807</v>
      </c>
      <c r="GE303" s="560">
        <v>6518.9</v>
      </c>
      <c r="GF303" s="695">
        <f t="shared" si="563"/>
        <v>41808</v>
      </c>
      <c r="GG303" s="560">
        <f t="shared" si="582"/>
        <v>3259</v>
      </c>
      <c r="GH303" s="564">
        <f t="shared" si="564"/>
        <v>41934</v>
      </c>
      <c r="GJ303" s="545">
        <f t="shared" si="565"/>
        <v>0</v>
      </c>
      <c r="GK303" s="560" t="str">
        <f t="shared" si="641"/>
        <v/>
      </c>
      <c r="GL303" s="560">
        <f t="shared" si="566"/>
        <v>0</v>
      </c>
      <c r="GM303" s="560" t="str">
        <f t="shared" si="567"/>
        <v/>
      </c>
      <c r="GN303" s="560">
        <f>IF(GK303="P",Lookup!$M$12,IF(GK303="PP",Lookup!$M$13,IF(GK303="PPP",Lookup!$M$14,IF(GK303="T",Lookup!$M$15,IF(GK303="TP",Lookup!$M$16,IF(GK303="TPP",Lookup!$M$17,IF(GK303="TPPP",Lookup!$M$18,0)))))))*GJ303</f>
        <v>0</v>
      </c>
      <c r="GO303" s="560">
        <f t="shared" si="568"/>
        <v>0</v>
      </c>
      <c r="GP303" s="560">
        <f t="shared" si="642"/>
        <v>1195.064745333334</v>
      </c>
      <c r="GQ303" s="560">
        <f t="shared" si="576"/>
        <v>389.52566666666689</v>
      </c>
      <c r="GR303" s="560"/>
      <c r="GS303" s="560">
        <f t="shared" si="569"/>
        <v>0</v>
      </c>
      <c r="GT303" s="560" t="str">
        <f t="shared" si="570"/>
        <v/>
      </c>
      <c r="GU303" s="560">
        <f>IF(GK303="P",Lookup!$N$12,IF(GK303="PP",Lookup!$N$13,IF(GK303="PPP",Lookup!$N$14,IF(GK303="T",Lookup!$N$15,IF(GK303="TP",Lookup!$N$16,IF(GK303="TPP",Lookup!$N$17,IF(GK303="TPPP",Lookup!$N$18,0)))))))*GJ303</f>
        <v>0</v>
      </c>
      <c r="GV303" s="560">
        <f t="shared" si="571"/>
        <v>0</v>
      </c>
      <c r="GW303" s="560">
        <f t="shared" si="643"/>
        <v>326.80877646286319</v>
      </c>
      <c r="GX303" s="560">
        <f t="shared" si="577"/>
        <v>106.52176547029438</v>
      </c>
      <c r="GY303" s="560"/>
      <c r="GZ303" s="560">
        <f t="shared" si="572"/>
        <v>0</v>
      </c>
      <c r="HA303" s="560" t="str">
        <f t="shared" si="573"/>
        <v/>
      </c>
      <c r="HB303" s="560">
        <f>IF(GK303="P",Lookup!$N$12,IF(GK303="PP",Lookup!$N$13,IF(GK303="PPP",Lookup!$N$14,IF(GK303="T",Lookup!$N$15,IF(GK303="TP",Lookup!$N$16,IF(GK303="TPP",Lookup!$N$17,IF(GK303="TPPP",Lookup!$N$18,0)))))))*GJ303</f>
        <v>0</v>
      </c>
      <c r="HC303" s="545">
        <f t="shared" si="644"/>
        <v>0</v>
      </c>
      <c r="HD303" s="560">
        <f t="shared" si="645"/>
        <v>475.97357085807607</v>
      </c>
      <c r="HE303" s="560">
        <f t="shared" si="578"/>
        <v>155.14132035791266</v>
      </c>
      <c r="HF303" s="560"/>
      <c r="HG303" s="560">
        <f t="shared" si="574"/>
        <v>0</v>
      </c>
      <c r="HH303" s="560" t="str">
        <f t="shared" si="575"/>
        <v/>
      </c>
      <c r="HI303" s="560">
        <f>IF(GK303="P",Lookup!$N$12,IF(GK303="PP",Lookup!$N$13,IF(GK303="PPP",Lookup!$N$14,IF(GK303="T",Lookup!$N$15,IF(GK303="TP",Lookup!$N$16,IF(GK303="TPP",Lookup!$N$17,IF(GK303="TPPP",Lookup!$N$18,0)))))))*GJ303</f>
        <v>0</v>
      </c>
      <c r="HJ303" s="545">
        <f t="shared" si="646"/>
        <v>0</v>
      </c>
      <c r="HK303" s="560">
        <f t="shared" si="647"/>
        <v>491.65012022105259</v>
      </c>
      <c r="HL303" s="560">
        <f t="shared" si="579"/>
        <v>160.25101702120358</v>
      </c>
    </row>
    <row r="304" spans="1:220">
      <c r="A304" s="580" t="s">
        <v>4</v>
      </c>
      <c r="B304" s="556">
        <v>41932</v>
      </c>
      <c r="C304" s="561">
        <v>0</v>
      </c>
      <c r="D304" s="529">
        <f t="shared" si="580"/>
        <v>300</v>
      </c>
      <c r="E304" s="529">
        <f t="shared" si="581"/>
        <v>250</v>
      </c>
      <c r="F304" s="529">
        <v>250</v>
      </c>
      <c r="G304" s="560">
        <f>DR304+Sheet1!CZ306</f>
        <v>453.95814422479117</v>
      </c>
      <c r="H304" s="914">
        <f t="shared" si="546"/>
        <v>26.475344426905011</v>
      </c>
      <c r="I304" s="559">
        <f>MAX(Sheet1!Z306-AT304+(Sheet1!DA306-E304)*CFStoMGD,0)</f>
        <v>436.21039999999999</v>
      </c>
      <c r="J304" s="562">
        <f>IF(AND(B304&gt;=Calculation!GC304,B304&lt;=Calculation!GD304),IF(Sheet1!DB306&gt;=Calculation!D304,64.64,0),MAX(Sheet1!Z306-AT304+(Sheet1!DB306-D304)*CFStoMGD,0))</f>
        <v>235.17999999999998</v>
      </c>
      <c r="K304" s="904">
        <f t="shared" si="583"/>
        <v>26.475344426905011</v>
      </c>
      <c r="L304" s="560">
        <f>Sheet1!AA306+Sheet1!AB306-Sheet1!L306+(Sheet1!DA306-F304)*CFStoMGD</f>
        <v>467.01039999999995</v>
      </c>
      <c r="M304" s="560">
        <f t="shared" si="584"/>
        <v>299.30731531544313</v>
      </c>
      <c r="N304" s="910">
        <f>IF(Sheet1!DA306&gt;=F304,MIN(73,MIN(MAX(L304,0),MAX(M304,0))),0)</f>
        <v>73</v>
      </c>
      <c r="O304" s="563">
        <f>Sheet1!AA306+Sheet1!AB306</f>
        <v>55.9</v>
      </c>
      <c r="P304" s="563">
        <f t="shared" si="585"/>
        <v>86.477299999999985</v>
      </c>
      <c r="Q304" s="1083">
        <f t="shared" si="648"/>
        <v>29.419999999999998</v>
      </c>
      <c r="R304" s="829">
        <f t="shared" si="586"/>
        <v>9</v>
      </c>
      <c r="S304" s="1083">
        <v>26.48</v>
      </c>
      <c r="T304" s="898">
        <f t="shared" si="549"/>
        <v>0</v>
      </c>
      <c r="U304" s="1083">
        <v>0</v>
      </c>
      <c r="V304" s="898"/>
      <c r="W304" s="898">
        <f t="shared" si="551"/>
        <v>17.289735843849147</v>
      </c>
      <c r="X304" s="898">
        <f t="shared" si="552"/>
        <v>26.48</v>
      </c>
      <c r="Y304" s="898" t="str">
        <f t="shared" si="553"/>
        <v>FALSE</v>
      </c>
      <c r="Z304" s="898">
        <f t="shared" si="554"/>
        <v>55.9</v>
      </c>
      <c r="AA304" s="898">
        <f t="shared" si="555"/>
        <v>55.9</v>
      </c>
      <c r="AB304" s="898" t="str">
        <f t="shared" si="556"/>
        <v/>
      </c>
      <c r="AC304" s="563">
        <f>Sheet1!Y306*MGDtoCFS</f>
        <v>44.863</v>
      </c>
      <c r="AD304" s="563">
        <f>Sheet1!Z306*MGDtoCFS</f>
        <v>38.829700000000003</v>
      </c>
      <c r="AE304" s="563">
        <f>Sheet1!AA306*MGDtoCFS</f>
        <v>44.863</v>
      </c>
      <c r="AF304" s="563">
        <f>Sheet1!AB306*MGDtoCFS</f>
        <v>41.614299999999993</v>
      </c>
      <c r="AG304" s="563">
        <f>Sheet1!L306*MGDtoCFS</f>
        <v>0</v>
      </c>
      <c r="AH304" s="545">
        <f t="shared" si="587"/>
        <v>9.1976322604513499</v>
      </c>
      <c r="AI304" s="560">
        <f t="shared" si="588"/>
        <v>14.228737106918238</v>
      </c>
      <c r="AJ304" s="560">
        <f t="shared" si="589"/>
        <v>0</v>
      </c>
      <c r="AK304" s="560">
        <f t="shared" si="590"/>
        <v>0</v>
      </c>
      <c r="AL304" s="560">
        <f>(VLOOKUP(Sheet1!DC306,hhdcap_wcm,4)-(((VLOOKUP(Sheet1!DC306,hhdcap_wcm,3)-Sheet1!DC306)/(VLOOKUP(Sheet1!DC306,hhdcap_wcm,3)-VLOOKUP(Sheet1!DC306,hhdcap_wcm,1)))*(VLOOKUP(Sheet1!DC306,hhdcap_wcm,4)-VLOOKUP(Sheet1!DC306,hhdcap_wcm,2))))</f>
        <v>8845.200000018709</v>
      </c>
      <c r="AM304" s="560">
        <f t="shared" si="591"/>
        <v>-593.00000000223918</v>
      </c>
      <c r="AN304" s="560">
        <f t="shared" si="592"/>
        <v>802.24213725562618</v>
      </c>
      <c r="AO304" s="560">
        <f t="shared" si="593"/>
        <v>2461.2788771002611</v>
      </c>
      <c r="AP304" s="560">
        <f>Sheet1!BA306+Sheet1!BB306+Sheet1!BN306+CD304</f>
        <v>17.8</v>
      </c>
      <c r="AQ304" s="560">
        <f>Sheet1!BN306+(DO304*Sheet1!BN306)</f>
        <v>16.719200887902328</v>
      </c>
      <c r="AR304" s="560">
        <f>Sheet1!BA306+CD304</f>
        <v>0</v>
      </c>
      <c r="AS304" s="560">
        <f>Sheet1!BA306+Sheet1!BB306+CD304</f>
        <v>1</v>
      </c>
      <c r="AT304" s="698">
        <f>0</f>
        <v>0</v>
      </c>
      <c r="AU304" s="560">
        <f>IF(EB304&lt;K304,0,MAX(Sheet1!AA306+AQ304-15/36*K304-N304,Sheet1!EH306,0))</f>
        <v>0</v>
      </c>
      <c r="AV304" s="560">
        <f>IF(OR(B304&gt;=GD304,B304&lt;GC304),0,15/36*K304-MAX(0,64.6-(137.6-(Sheet1!AA306+Sheet1!AB306))))</f>
        <v>0</v>
      </c>
      <c r="AW304" s="698">
        <f>Sheet1!DB306-110</f>
        <v>515</v>
      </c>
      <c r="AX304" s="698">
        <f>Sheet1!DA306-265</f>
        <v>621</v>
      </c>
      <c r="AY304" s="698">
        <f t="shared" si="594"/>
        <v>43.58</v>
      </c>
      <c r="AZ304" s="698">
        <v>0</v>
      </c>
      <c r="BA304" s="698">
        <f t="shared" si="595"/>
        <v>0</v>
      </c>
      <c r="BB304" s="560">
        <f t="shared" si="596"/>
        <v>389.52566666666689</v>
      </c>
      <c r="BC304" s="560"/>
      <c r="BD304" s="560">
        <f ca="1">IF(B304&gt;Summary!$A$1,#N/A,BB304*MGtoAF)</f>
        <v>1195.064745333334</v>
      </c>
      <c r="BE304" s="560">
        <f>Sheet1!BG306+Sheet1!BH306+Sheet1!BI306-BM304</f>
        <v>0</v>
      </c>
      <c r="BF304" s="560">
        <f t="shared" si="597"/>
        <v>0</v>
      </c>
      <c r="BG304" s="560">
        <f>IF(Sheet1!EP306="FM",BM304,0)</f>
        <v>0</v>
      </c>
      <c r="BH304" s="560">
        <f t="shared" si="598"/>
        <v>0</v>
      </c>
      <c r="BI304" s="560">
        <f>IF(Sheet1!EP306="OTHER",BM304,0)</f>
        <v>0</v>
      </c>
      <c r="BJ304" s="560">
        <f t="shared" si="599"/>
        <v>0</v>
      </c>
      <c r="BK304" s="560">
        <f t="shared" si="600"/>
        <v>0</v>
      </c>
      <c r="BL304" s="560">
        <f t="shared" si="601"/>
        <v>0</v>
      </c>
      <c r="BM304" s="560">
        <f>IF(OR(Sheet1!EP306="FM", Sheet1!EP306="OTHER"),SUM(Sheet1!BG306:'Sheet1'!BI306),0)</f>
        <v>0</v>
      </c>
      <c r="BN304" s="545">
        <f>IF(AND($B304&gt;=$FV304,$B304&lt;=$FW304),MAX(BF304,Sheet1!EI306,0),MAX(BF304-(7/36)*$K304,0))</f>
        <v>0</v>
      </c>
      <c r="BO304" s="560">
        <f t="shared" si="602"/>
        <v>0</v>
      </c>
      <c r="BP304" s="545">
        <f t="shared" si="603"/>
        <v>0</v>
      </c>
      <c r="BQ304" s="545">
        <f>IF(AND($O304&gt;0,Sheet1!EM306=1),(1-($O304-Sheet1!$L306)/$O304)*BL304,0)</f>
        <v>0</v>
      </c>
      <c r="BR304" s="545">
        <f>IF(AND(Sheet1!$L306=0,Sheet1!$L305=0, Calculation!BK304&lt;Sheet1!$EI306-0.1,Sheet1!$EI306=Sheet1!$EI305,Sheet1!$EI306=Sheet1!$EI307),Sheet1!$EI306,BL304-BQ304)</f>
        <v>0</v>
      </c>
      <c r="BS304" s="560"/>
      <c r="BT304" s="560"/>
      <c r="BU304" s="560">
        <f t="shared" si="604"/>
        <v>106.52176547029438</v>
      </c>
      <c r="BV304" s="560"/>
      <c r="BW304" s="560">
        <f ca="1">IF(B304&gt;Summary!$A$1,#N/A,BU304*MGtoAF)</f>
        <v>326.80877646286319</v>
      </c>
      <c r="BX304" s="560">
        <f>Sheet1!BC306+Sheet1!BD306+Sheet1!BE306+Sheet1!BF306-CG304-CH304</f>
        <v>2.5</v>
      </c>
      <c r="BY304" s="560">
        <f t="shared" si="605"/>
        <v>2.4879763226045131</v>
      </c>
      <c r="BZ304" s="560">
        <f>IF(Sheet1!EQ306="FM",CH304,0)</f>
        <v>0</v>
      </c>
      <c r="CA304" s="560">
        <f t="shared" si="606"/>
        <v>0</v>
      </c>
      <c r="CB304" s="560">
        <f>IF(Sheet1!EQ306="OTHER",CH304,0)</f>
        <v>0</v>
      </c>
      <c r="CC304" s="560">
        <f t="shared" si="607"/>
        <v>0</v>
      </c>
      <c r="CD304" s="560">
        <f t="shared" si="608"/>
        <v>0</v>
      </c>
      <c r="CE304" s="560">
        <f t="shared" si="609"/>
        <v>2.5</v>
      </c>
      <c r="CF304" s="560">
        <f t="shared" si="610"/>
        <v>2.4879763226045131</v>
      </c>
      <c r="CG304" s="560">
        <f>IF(Sheet1!EQ306="CWA",SUM(Sheet1!BC306:'Sheet1'!BF306),0)</f>
        <v>0</v>
      </c>
      <c r="CH304" s="560">
        <f>IF(OR(Sheet1!EQ306="FM", Sheet1!EQ306="OTHER"),SUM(Sheet1!BC306:'Sheet1'!BF306),0)</f>
        <v>0</v>
      </c>
      <c r="CI304" s="545">
        <f>IF(AND($B304&gt;=$FV304,$B304&lt;=$FW304),MAX(CF304,Sheet1!EJ306,0),MAX(CF304-(7/36)*$K304,0))</f>
        <v>2.5</v>
      </c>
      <c r="CJ304" s="560">
        <f t="shared" si="611"/>
        <v>0</v>
      </c>
      <c r="CK304" s="545">
        <f t="shared" si="612"/>
        <v>0</v>
      </c>
      <c r="CL304" s="545">
        <f>IF(AND($O304&gt;0,Sheet1!EN306=1),(1-($O304-Sheet1!$L306)/$O304)*CF304,0)</f>
        <v>0</v>
      </c>
      <c r="CM304" s="545">
        <f>IF(AND(Sheet1!$L306=0,Sheet1!$L305=0, Calculation!CE304&lt;Sheet1!EJ306-0.1,Sheet1!EJ306=Sheet1!EJ305,Sheet1!EJ306=Sheet1!EJ307),Sheet1!EJ306,CF304-CL304)</f>
        <v>2.4879763226045131</v>
      </c>
      <c r="CN304" s="545"/>
      <c r="CO304" s="560"/>
      <c r="CP304" s="560">
        <f t="shared" si="613"/>
        <v>152.64132035791266</v>
      </c>
      <c r="CQ304" s="560"/>
      <c r="CR304" s="560">
        <f ca="1">IF(B304&gt;Summary!$A$1,#N/A,CP304*MGtoAF)</f>
        <v>468.30357085807606</v>
      </c>
      <c r="CS304" s="560">
        <f>Sheet1!BK306+Sheet1!BL306+Sheet1!BM306-Sheet1!ER306-DA304</f>
        <v>6.73</v>
      </c>
      <c r="CT304" s="560">
        <f t="shared" si="614"/>
        <v>6.6976322604513499</v>
      </c>
      <c r="CU304" s="560">
        <f>IF(Sheet1!ER306="FM",DA304,0)</f>
        <v>0</v>
      </c>
      <c r="CV304" s="560">
        <f t="shared" si="615"/>
        <v>0</v>
      </c>
      <c r="CW304" s="560">
        <f>IF(Sheet1!ER306="OTHER",DA304,0)</f>
        <v>0</v>
      </c>
      <c r="CX304" s="560">
        <f t="shared" si="616"/>
        <v>0</v>
      </c>
      <c r="CY304" s="560">
        <f t="shared" si="617"/>
        <v>6.73</v>
      </c>
      <c r="CZ304" s="560">
        <f t="shared" si="618"/>
        <v>6.6976322604513499</v>
      </c>
      <c r="DA304" s="560">
        <f>IF(OR(Sheet1!ER306="FM", Sheet1!ER306="OTHER"),SUM(Sheet1!BK306:'Sheet1'!BM306),0)</f>
        <v>0</v>
      </c>
      <c r="DB304" s="545">
        <f>IF(AND($B304&gt;=$FV304,$B304&lt;=$FW304),MAX($CT304,Sheet1!EK306,0),MAX($CT304-(7/36)*$K304,0))</f>
        <v>6.6976322604513499</v>
      </c>
      <c r="DC304" s="560">
        <f t="shared" si="619"/>
        <v>0</v>
      </c>
      <c r="DD304" s="545">
        <f t="shared" si="620"/>
        <v>0</v>
      </c>
      <c r="DE304" s="545">
        <f>IF(AND($O304&gt;0,Sheet1!EO306=1),(1-($O304-Sheet1!$L306)/$O304)*CZ304,0)</f>
        <v>0</v>
      </c>
      <c r="DF304" s="545">
        <f>IF(AND(Sheet1!$L306=0,Sheet1!$L305=0, Calculation!CY304&lt;Sheet1!$EK306-0.1,Sheet1!$EK306=Sheet1!$EK305,Sheet1!$EK306=Sheet1!$EK307),Sheet1!$EK306,CZ304-DE304)</f>
        <v>6.6976322604513499</v>
      </c>
      <c r="DG304" s="545"/>
      <c r="DH304" s="560">
        <f t="shared" si="621"/>
        <v>9.23</v>
      </c>
      <c r="DI304" s="560">
        <f t="shared" si="622"/>
        <v>153.55338476075224</v>
      </c>
      <c r="DJ304" s="698">
        <f t="shared" si="623"/>
        <v>9.1856085830558634</v>
      </c>
      <c r="DK304" s="560">
        <f ca="1">IF(B304&gt;Summary!$A$1,#N/A,DI304*MGtoAF)</f>
        <v>471.10178444598785</v>
      </c>
      <c r="DL304" s="698">
        <f t="shared" si="624"/>
        <v>9.23</v>
      </c>
      <c r="DM304" s="560">
        <f t="shared" si="625"/>
        <v>27.03</v>
      </c>
      <c r="DN304" s="560">
        <f>Sheet1!AB306-DM304</f>
        <v>-0.13000000000000256</v>
      </c>
      <c r="DO304" s="823">
        <f t="shared" si="626"/>
        <v>-4.8094709581946934E-3</v>
      </c>
      <c r="DP304" s="560">
        <f>(VLOOKUP(Sheet1!DC306,hhdcap_wcm,4)-(((VLOOKUP(Sheet1!DC306,hhdcap_wcm,3)-Sheet1!DC306)/(VLOOKUP(Sheet1!DC306,hhdcap_wcm,3)-VLOOKUP(Sheet1!DC306,hhdcap_wcm,1)))*(VLOOKUP(Sheet1!DC306,hhdcap_wcm,4)-VLOOKUP(Sheet1!DC306,hhdcap_wcm,2))))</f>
        <v>8845.200000018709</v>
      </c>
      <c r="DQ304" s="560">
        <f t="shared" si="627"/>
        <v>-593.00000000223918</v>
      </c>
      <c r="DR304" s="560">
        <f t="shared" si="628"/>
        <v>-299.04185577520883</v>
      </c>
      <c r="DS304" s="560">
        <f>Sheet1!EA306*AFtoMG</f>
        <v>0</v>
      </c>
      <c r="DT304" s="560">
        <f>Sheet1!EB306*AFtoMG</f>
        <v>0</v>
      </c>
      <c r="DU304" s="560">
        <f>Sheet1!EC306*AFtoMG</f>
        <v>0</v>
      </c>
      <c r="DV304" s="560">
        <f>Sheet1!ED306*AFtoMG</f>
        <v>0</v>
      </c>
      <c r="DW304" s="560">
        <f t="shared" si="629"/>
        <v>0</v>
      </c>
      <c r="DX304" s="560">
        <f t="shared" si="630"/>
        <v>0</v>
      </c>
      <c r="DY304" s="560">
        <f t="shared" si="631"/>
        <v>802.24213725562618</v>
      </c>
      <c r="DZ304" s="560">
        <f t="shared" si="632"/>
        <v>2461.2788771002611</v>
      </c>
      <c r="EA304" s="560"/>
      <c r="EB304" s="545">
        <f>IF(OR(B304&lt;FV304,B304&gt;FW304),(MIN(BF304+BY304+CT304+MAX(Sheet1!AA306+AQ304-73,0),K304)),0)</f>
        <v>0</v>
      </c>
      <c r="EC304" s="560"/>
      <c r="ED304" s="560">
        <f t="shared" si="633"/>
        <v>9.1856085830558634</v>
      </c>
      <c r="EE304" s="560"/>
      <c r="EF304" s="560">
        <f>Sheet1!EH306+Sheet1!EI306+Sheet1!EJ306+Sheet1!EK306</f>
        <v>9</v>
      </c>
      <c r="EG304" s="560"/>
      <c r="EH304" s="545">
        <f t="shared" si="634"/>
        <v>0</v>
      </c>
      <c r="EI304" s="560">
        <f>IF(Sheet1!ET306=1,SUM('Calculations II'!AT304:BA304)+'Calculations II'!BC304+Sheet1!BV306+'Calculations II'!BE304+AP304,SUM('Calculations II'!AT304:BA304)+'Calculations II'!BC304+Sheet1!BV306+'Calculations II'!BE304+AP304)</f>
        <v>53.689952000000005</v>
      </c>
      <c r="EJ304" s="560">
        <f>Sheet1!AA306+Sheet1!AB306+'Calculations II'!BC304</f>
        <v>55.9</v>
      </c>
      <c r="EK304" s="560"/>
      <c r="EL304" s="560"/>
      <c r="EM304" s="560">
        <f t="shared" si="635"/>
        <v>41932</v>
      </c>
      <c r="EN304" s="560">
        <f t="shared" si="636"/>
        <v>-9.1976322604513499</v>
      </c>
      <c r="EO304" s="560">
        <f t="shared" si="637"/>
        <v>-14.228737106918238</v>
      </c>
      <c r="EP304" s="560">
        <v>0</v>
      </c>
      <c r="EQ304" s="560">
        <v>0</v>
      </c>
      <c r="ER304" s="560">
        <v>0</v>
      </c>
      <c r="ES304" s="545">
        <f t="shared" si="557"/>
        <v>-0.83079330503034599</v>
      </c>
      <c r="ET304" s="560">
        <f>-(VLOOKUP(Sheet1!BQ306,Lookup!$O$4:$Q$262,2)-VLOOKUP(Sheet1!BQ305,Lookup!$O$4:$Q$262,2))/1000000</f>
        <v>-0.41537742905444652</v>
      </c>
      <c r="EU304" s="560">
        <f>-(VLOOKUP(Sheet1!BR306,Lookup!$O$4:$Q$262,3)-VLOOKUP(Sheet1!BR305,Lookup!$O$4:$Q$262,3))/1000000</f>
        <v>-0.41541587597589941</v>
      </c>
      <c r="EV304" s="560"/>
      <c r="EW304" s="560"/>
      <c r="EX304" s="560"/>
      <c r="EY304" s="560"/>
      <c r="EZ304" s="560"/>
      <c r="FA304" s="560"/>
      <c r="FB304" s="560"/>
      <c r="FC304" s="560"/>
      <c r="FD304" s="594">
        <f t="shared" si="638"/>
        <v>1101.896296296251</v>
      </c>
      <c r="FE304" s="594" t="e">
        <f t="shared" si="639"/>
        <v>#N/A</v>
      </c>
      <c r="FF304" s="595" t="e">
        <f t="shared" si="640"/>
        <v>#N/A</v>
      </c>
      <c r="FG304" s="596" t="s">
        <v>692</v>
      </c>
      <c r="FH304" s="596" t="s">
        <v>692</v>
      </c>
      <c r="FI304" s="594" t="e">
        <v>#N/A</v>
      </c>
      <c r="FJ304" s="778">
        <v>5006</v>
      </c>
      <c r="FK304" s="560"/>
      <c r="FL304" s="560"/>
      <c r="FM304" s="560"/>
      <c r="FN304" s="560"/>
      <c r="FO304" s="560">
        <f>O304+((Sheet1!CS306)*GPMtoMGD)</f>
        <v>55.9</v>
      </c>
      <c r="FP304" s="560">
        <f>IF(Sheet1!AA306+AQ304&lt;=Calculation!N304,AQ304,Calculation!N304-Sheet1!AA306)</f>
        <v>16.719200887902328</v>
      </c>
      <c r="FQ304" s="560">
        <f>(Sheet1!BP306+Sheet1!BO306)/694.4</f>
        <v>1.9032258064516128</v>
      </c>
      <c r="FR304" s="560"/>
      <c r="FS304" s="560"/>
      <c r="FT304" s="560"/>
      <c r="FU304" s="560"/>
      <c r="FV304" s="695">
        <f t="shared" si="558"/>
        <v>41827</v>
      </c>
      <c r="FW304" s="695">
        <f t="shared" si="559"/>
        <v>41934</v>
      </c>
      <c r="FX304" s="560"/>
      <c r="FY304" s="560"/>
      <c r="FZ304" s="560"/>
      <c r="GA304" s="560"/>
      <c r="GB304" s="560" t="str">
        <f t="shared" si="560"/>
        <v>n</v>
      </c>
      <c r="GC304" s="564">
        <f t="shared" si="561"/>
        <v>41691</v>
      </c>
      <c r="GD304" s="695">
        <f t="shared" si="562"/>
        <v>41807</v>
      </c>
      <c r="GE304" s="560">
        <v>6518.9</v>
      </c>
      <c r="GF304" s="695">
        <f t="shared" si="563"/>
        <v>41808</v>
      </c>
      <c r="GG304" s="560">
        <f t="shared" si="582"/>
        <v>3259</v>
      </c>
      <c r="GH304" s="564">
        <f t="shared" si="564"/>
        <v>41934</v>
      </c>
      <c r="GJ304" s="545">
        <f t="shared" si="565"/>
        <v>0</v>
      </c>
      <c r="GK304" s="560" t="str">
        <f t="shared" si="641"/>
        <v/>
      </c>
      <c r="GL304" s="560">
        <f t="shared" si="566"/>
        <v>0</v>
      </c>
      <c r="GM304" s="560" t="str">
        <f t="shared" si="567"/>
        <v/>
      </c>
      <c r="GN304" s="560">
        <f>IF(GK304="P",Lookup!$M$12,IF(GK304="PP",Lookup!$M$13,IF(GK304="PPP",Lookup!$M$14,IF(GK304="T",Lookup!$M$15,IF(GK304="TP",Lookup!$M$16,IF(GK304="TPP",Lookup!$M$17,IF(GK304="TPPP",Lookup!$M$18,0)))))))*GJ304</f>
        <v>0</v>
      </c>
      <c r="GO304" s="560">
        <f t="shared" si="568"/>
        <v>0</v>
      </c>
      <c r="GP304" s="560">
        <f t="shared" si="642"/>
        <v>1195.064745333334</v>
      </c>
      <c r="GQ304" s="560">
        <f t="shared" si="576"/>
        <v>389.52566666666689</v>
      </c>
      <c r="GR304" s="560"/>
      <c r="GS304" s="560">
        <f t="shared" si="569"/>
        <v>0</v>
      </c>
      <c r="GT304" s="560" t="str">
        <f t="shared" si="570"/>
        <v/>
      </c>
      <c r="GU304" s="560">
        <f>IF(GK304="P",Lookup!$N$12,IF(GK304="PP",Lookup!$N$13,IF(GK304="PPP",Lookup!$N$14,IF(GK304="T",Lookup!$N$15,IF(GK304="TP",Lookup!$N$16,IF(GK304="TPP",Lookup!$N$17,IF(GK304="TPPP",Lookup!$N$18,0)))))))*GJ304</f>
        <v>0</v>
      </c>
      <c r="GV304" s="560">
        <f t="shared" si="571"/>
        <v>0</v>
      </c>
      <c r="GW304" s="560">
        <f t="shared" si="643"/>
        <v>326.80877646286319</v>
      </c>
      <c r="GX304" s="560">
        <f t="shared" si="577"/>
        <v>106.52176547029438</v>
      </c>
      <c r="GY304" s="560"/>
      <c r="GZ304" s="560">
        <f t="shared" si="572"/>
        <v>0</v>
      </c>
      <c r="HA304" s="560" t="str">
        <f t="shared" si="573"/>
        <v/>
      </c>
      <c r="HB304" s="560">
        <f>IF(GK304="P",Lookup!$N$12,IF(GK304="PP",Lookup!$N$13,IF(GK304="PPP",Lookup!$N$14,IF(GK304="T",Lookup!$N$15,IF(GK304="TP",Lookup!$N$16,IF(GK304="TPP",Lookup!$N$17,IF(GK304="TPPP",Lookup!$N$18,0)))))))*GJ304</f>
        <v>0</v>
      </c>
      <c r="HC304" s="545">
        <f t="shared" si="644"/>
        <v>0</v>
      </c>
      <c r="HD304" s="560">
        <f t="shared" si="645"/>
        <v>468.30357085807606</v>
      </c>
      <c r="HE304" s="560">
        <f t="shared" si="578"/>
        <v>152.64132035791266</v>
      </c>
      <c r="HF304" s="560"/>
      <c r="HG304" s="560">
        <f t="shared" si="574"/>
        <v>0</v>
      </c>
      <c r="HH304" s="560" t="str">
        <f t="shared" si="575"/>
        <v/>
      </c>
      <c r="HI304" s="560">
        <f>IF(GK304="P",Lookup!$N$12,IF(GK304="PP",Lookup!$N$13,IF(GK304="PPP",Lookup!$N$14,IF(GK304="T",Lookup!$N$15,IF(GK304="TP",Lookup!$N$16,IF(GK304="TPP",Lookup!$N$17,IF(GK304="TPPP",Lookup!$N$18,0)))))))*GJ304</f>
        <v>0</v>
      </c>
      <c r="HJ304" s="545">
        <f t="shared" si="646"/>
        <v>0</v>
      </c>
      <c r="HK304" s="560">
        <f t="shared" si="647"/>
        <v>471.10178444598785</v>
      </c>
      <c r="HL304" s="560">
        <f t="shared" si="579"/>
        <v>153.55338476075224</v>
      </c>
    </row>
    <row r="305" spans="1:220">
      <c r="A305" s="580" t="s">
        <v>5</v>
      </c>
      <c r="B305" s="556">
        <v>41933</v>
      </c>
      <c r="C305" s="561">
        <v>0</v>
      </c>
      <c r="D305" s="529">
        <f t="shared" si="580"/>
        <v>300</v>
      </c>
      <c r="E305" s="529">
        <f t="shared" si="581"/>
        <v>250</v>
      </c>
      <c r="F305" s="529">
        <v>250</v>
      </c>
      <c r="G305" s="560">
        <f>DR305+Sheet1!CZ307</f>
        <v>361.65002521343621</v>
      </c>
      <c r="H305" s="914">
        <f t="shared" si="546"/>
        <v>0</v>
      </c>
      <c r="I305" s="559">
        <f>MAX(Sheet1!Z307-AT305+(Sheet1!DA307-E305)*CFStoMGD,0)</f>
        <v>434.13199999999995</v>
      </c>
      <c r="J305" s="562">
        <f>IF(AND(B305&gt;=Calculation!GC305,B305&lt;=Calculation!GD305),IF(Sheet1!DB307&gt;=Calculation!D305,64.64,0),MAX(Sheet1!Z307-AT305+(Sheet1!DB307-D305)*CFStoMGD,0))</f>
        <v>236.98</v>
      </c>
      <c r="K305" s="904">
        <f t="shared" si="583"/>
        <v>0</v>
      </c>
      <c r="L305" s="560">
        <f>Sheet1!AA307+Sheet1!AB307-Sheet1!L307+(Sheet1!DA307-F305)*CFStoMGD</f>
        <v>463.96199999999999</v>
      </c>
      <c r="M305" s="560">
        <f t="shared" si="584"/>
        <v>238.44598782392447</v>
      </c>
      <c r="N305" s="910">
        <f>IF(Sheet1!DA307&gt;=F305,MIN(73,MIN(MAX(L305,0),MAX(M305,0))),0)</f>
        <v>73</v>
      </c>
      <c r="O305" s="563">
        <f>Sheet1!AA307+Sheet1!AB307</f>
        <v>56.730000000000004</v>
      </c>
      <c r="P305" s="563">
        <f t="shared" si="585"/>
        <v>87.761310000000009</v>
      </c>
      <c r="Q305" s="898">
        <f t="shared" si="547"/>
        <v>56.730000000000004</v>
      </c>
      <c r="R305" s="829">
        <f t="shared" si="586"/>
        <v>9</v>
      </c>
      <c r="S305" s="898">
        <f t="shared" si="548"/>
        <v>0</v>
      </c>
      <c r="T305" s="898">
        <f t="shared" si="549"/>
        <v>0</v>
      </c>
      <c r="U305" s="1083">
        <v>0</v>
      </c>
      <c r="V305" s="898"/>
      <c r="W305" s="898">
        <f t="shared" si="551"/>
        <v>0</v>
      </c>
      <c r="X305" s="898">
        <f t="shared" si="552"/>
        <v>0</v>
      </c>
      <c r="Y305" s="898" t="str">
        <f t="shared" si="553"/>
        <v>FALSE</v>
      </c>
      <c r="Z305" s="898">
        <f t="shared" si="554"/>
        <v>56.730000000000004</v>
      </c>
      <c r="AA305" s="898">
        <f t="shared" si="555"/>
        <v>56.730000000000004</v>
      </c>
      <c r="AB305" s="898" t="str">
        <f t="shared" si="556"/>
        <v/>
      </c>
      <c r="AC305" s="563">
        <f>Sheet1!Y307*MGDtoCFS</f>
        <v>44.863</v>
      </c>
      <c r="AD305" s="563">
        <f>Sheet1!Z307*MGDtoCFS</f>
        <v>41.614299999999993</v>
      </c>
      <c r="AE305" s="563">
        <f>Sheet1!AA307*MGDtoCFS</f>
        <v>39.757899999999999</v>
      </c>
      <c r="AF305" s="563">
        <f>Sheet1!AB307*MGDtoCFS</f>
        <v>48.003410000000002</v>
      </c>
      <c r="AG305" s="563">
        <f>Sheet1!L307*MGDtoCFS</f>
        <v>0</v>
      </c>
      <c r="AH305" s="545">
        <f t="shared" si="587"/>
        <v>9.2456521739130437</v>
      </c>
      <c r="AI305" s="560">
        <f t="shared" si="588"/>
        <v>14.303023913043479</v>
      </c>
      <c r="AJ305" s="560">
        <f t="shared" si="589"/>
        <v>0</v>
      </c>
      <c r="AK305" s="560">
        <f t="shared" si="590"/>
        <v>0</v>
      </c>
      <c r="AL305" s="560">
        <f>(VLOOKUP(Sheet1!DC307,hhdcap_wcm,4)-(((VLOOKUP(Sheet1!DC307,hhdcap_wcm,3)-Sheet1!DC307)/(VLOOKUP(Sheet1!DC307,hhdcap_wcm,3)-VLOOKUP(Sheet1!DC307,hhdcap_wcm,1)))*(VLOOKUP(Sheet1!DC307,hhdcap_wcm,4)-VLOOKUP(Sheet1!DC307,hhdcap_wcm,2))))</f>
        <v>8087.000000016953</v>
      </c>
      <c r="AM305" s="560">
        <f t="shared" si="591"/>
        <v>-758.20000000175605</v>
      </c>
      <c r="AN305" s="560">
        <f t="shared" si="592"/>
        <v>499.59648508171313</v>
      </c>
      <c r="AO305" s="560">
        <f t="shared" si="593"/>
        <v>1532.762016230696</v>
      </c>
      <c r="AP305" s="560">
        <f>Sheet1!BA307+Sheet1!BB307+Sheet1!BN307+CD305</f>
        <v>21.8</v>
      </c>
      <c r="AQ305" s="560">
        <f>Sheet1!BN307+(DO305*Sheet1!BN307)</f>
        <v>20.786602254428342</v>
      </c>
      <c r="AR305" s="560">
        <f>Sheet1!BA307+CD305</f>
        <v>0</v>
      </c>
      <c r="AS305" s="560">
        <f>Sheet1!BA307+Sheet1!BB307+CD305</f>
        <v>1</v>
      </c>
      <c r="AT305" s="698">
        <f>0</f>
        <v>0</v>
      </c>
      <c r="AU305" s="560">
        <f>IF(EB305&lt;K305,0,MAX(Sheet1!AA307+AQ305-15/36*K305-N305,Sheet1!EH307,0))</f>
        <v>0</v>
      </c>
      <c r="AV305" s="560">
        <f>IF(OR(B305&gt;=GD305,B305&lt;GC305),0,15/36*K305-MAX(0,64.6-(137.6-(Sheet1!AA307+Sheet1!AB307))))</f>
        <v>0</v>
      </c>
      <c r="AW305" s="698">
        <f>Sheet1!DB307-110</f>
        <v>515</v>
      </c>
      <c r="AX305" s="698">
        <f>Sheet1!DA307-265</f>
        <v>615</v>
      </c>
      <c r="AY305" s="698">
        <f t="shared" si="594"/>
        <v>16.269999999999996</v>
      </c>
      <c r="AZ305" s="698">
        <v>0</v>
      </c>
      <c r="BA305" s="698">
        <f t="shared" si="595"/>
        <v>0</v>
      </c>
      <c r="BB305" s="560">
        <f t="shared" si="596"/>
        <v>96.125666666666859</v>
      </c>
      <c r="BC305" s="560"/>
      <c r="BD305" s="560">
        <f ca="1">IF(B305&gt;Summary!$A$1,#N/A,BB305*MGtoAF)</f>
        <v>294.91354533333396</v>
      </c>
      <c r="BE305" s="560">
        <f>Sheet1!BG307+Sheet1!BH307+Sheet1!BI307-BM305</f>
        <v>0</v>
      </c>
      <c r="BF305" s="560">
        <f t="shared" si="597"/>
        <v>0</v>
      </c>
      <c r="BG305" s="560">
        <f>IF(Sheet1!EP307="FM",BM305,0)</f>
        <v>0</v>
      </c>
      <c r="BH305" s="560">
        <f t="shared" si="598"/>
        <v>0</v>
      </c>
      <c r="BI305" s="560">
        <f>IF(Sheet1!EP307="OTHER",BM305,0)</f>
        <v>0</v>
      </c>
      <c r="BJ305" s="560">
        <f t="shared" si="599"/>
        <v>0</v>
      </c>
      <c r="BK305" s="560">
        <f t="shared" si="600"/>
        <v>0</v>
      </c>
      <c r="BL305" s="560">
        <f t="shared" si="601"/>
        <v>0</v>
      </c>
      <c r="BM305" s="560">
        <f>IF(OR(Sheet1!EP307="FM", Sheet1!EP307="OTHER"),SUM(Sheet1!BG307:'Sheet1'!BI307),0)</f>
        <v>0</v>
      </c>
      <c r="BN305" s="545">
        <f>IF(AND($B305&gt;=$FV305,$B305&lt;=$FW305),MAX(BF305,Sheet1!EI307,0),MAX(BF305-(7/36)*$K305,0))</f>
        <v>0</v>
      </c>
      <c r="BO305" s="560">
        <f t="shared" si="602"/>
        <v>0</v>
      </c>
      <c r="BP305" s="545">
        <f t="shared" si="603"/>
        <v>0</v>
      </c>
      <c r="BQ305" s="545">
        <f>IF(AND($O305&gt;0,Sheet1!EM307=1),(1-($O305-Sheet1!$L307)/$O305)*BL305,0)</f>
        <v>0</v>
      </c>
      <c r="BR305" s="545">
        <f>IF(AND(Sheet1!$L307=0,Sheet1!$L306=0, Calculation!BK305&lt;Sheet1!$EI307-0.1,Sheet1!$EI307=Sheet1!$EI306,Sheet1!$EI307=Sheet1!$EI308),Sheet1!$EI307,BL305-BQ305)</f>
        <v>0</v>
      </c>
      <c r="BS305" s="560"/>
      <c r="BT305" s="560"/>
      <c r="BU305" s="560">
        <f t="shared" si="604"/>
        <v>106.52176547029438</v>
      </c>
      <c r="BV305" s="560"/>
      <c r="BW305" s="560">
        <f ca="1">IF(B305&gt;Summary!$A$1,#N/A,BU305*MGtoAF)</f>
        <v>326.80877646286319</v>
      </c>
      <c r="BX305" s="560">
        <f>Sheet1!BC307+Sheet1!BD307+Sheet1!BE307+Sheet1!BF307-CG305-CH305</f>
        <v>2.5</v>
      </c>
      <c r="BY305" s="560">
        <f t="shared" si="605"/>
        <v>2.4983896940418679</v>
      </c>
      <c r="BZ305" s="560">
        <f>IF(Sheet1!EQ307="FM",CH305,0)</f>
        <v>0</v>
      </c>
      <c r="CA305" s="560">
        <f t="shared" si="606"/>
        <v>0</v>
      </c>
      <c r="CB305" s="560">
        <f>IF(Sheet1!EQ307="OTHER",CH305,0)</f>
        <v>0</v>
      </c>
      <c r="CC305" s="560">
        <f t="shared" si="607"/>
        <v>0</v>
      </c>
      <c r="CD305" s="560">
        <f t="shared" si="608"/>
        <v>0</v>
      </c>
      <c r="CE305" s="560">
        <f t="shared" si="609"/>
        <v>2.5</v>
      </c>
      <c r="CF305" s="560">
        <f t="shared" si="610"/>
        <v>2.4983896940418679</v>
      </c>
      <c r="CG305" s="560">
        <f>IF(Sheet1!EQ307="CWA",SUM(Sheet1!BC307:'Sheet1'!BF307),0)</f>
        <v>0</v>
      </c>
      <c r="CH305" s="560">
        <f>IF(OR(Sheet1!EQ307="FM", Sheet1!EQ307="OTHER"),SUM(Sheet1!BC307:'Sheet1'!BF307),0)</f>
        <v>0</v>
      </c>
      <c r="CI305" s="545">
        <f>IF(AND($B305&gt;=$FV305,$B305&lt;=$FW305),MAX(CF305,Sheet1!EJ307,0),MAX(CF305-(7/36)*$K305,0))</f>
        <v>2.5</v>
      </c>
      <c r="CJ305" s="560">
        <f t="shared" si="611"/>
        <v>0</v>
      </c>
      <c r="CK305" s="545">
        <f t="shared" si="612"/>
        <v>0</v>
      </c>
      <c r="CL305" s="545">
        <f>IF(AND($O305&gt;0,Sheet1!EN307=1),(1-($O305-Sheet1!$L307)/$O305)*CF305,0)</f>
        <v>0</v>
      </c>
      <c r="CM305" s="545">
        <f>IF(AND(Sheet1!$L307=0,Sheet1!$L306=0, Calculation!CE305&lt;Sheet1!EJ307-0.1,Sheet1!EJ307=Sheet1!EJ306,Sheet1!EJ307=Sheet1!EJ308),Sheet1!EJ307,CF305-CL305)</f>
        <v>2.4983896940418679</v>
      </c>
      <c r="CN305" s="545"/>
      <c r="CO305" s="560"/>
      <c r="CP305" s="560">
        <f t="shared" si="613"/>
        <v>150.14132035791266</v>
      </c>
      <c r="CQ305" s="560"/>
      <c r="CR305" s="560">
        <f ca="1">IF(B305&gt;Summary!$A$1,#N/A,CP305*MGtoAF)</f>
        <v>460.63357085807604</v>
      </c>
      <c r="CS305" s="560">
        <f>Sheet1!BK307+Sheet1!BL307+Sheet1!BM307-Sheet1!ER307-DA305</f>
        <v>6.75</v>
      </c>
      <c r="CT305" s="560">
        <f t="shared" si="614"/>
        <v>6.7456521739130437</v>
      </c>
      <c r="CU305" s="560">
        <f>IF(Sheet1!ER307="FM",DA305,0)</f>
        <v>0</v>
      </c>
      <c r="CV305" s="560">
        <f t="shared" si="615"/>
        <v>0</v>
      </c>
      <c r="CW305" s="560">
        <f>IF(Sheet1!ER307="OTHER",DA305,0)</f>
        <v>0</v>
      </c>
      <c r="CX305" s="560">
        <f t="shared" si="616"/>
        <v>0</v>
      </c>
      <c r="CY305" s="560">
        <f t="shared" si="617"/>
        <v>6.75</v>
      </c>
      <c r="CZ305" s="560">
        <f t="shared" si="618"/>
        <v>6.7456521739130437</v>
      </c>
      <c r="DA305" s="560">
        <f>IF(OR(Sheet1!ER307="FM", Sheet1!ER307="OTHER"),SUM(Sheet1!BK307:'Sheet1'!BM307),0)</f>
        <v>0</v>
      </c>
      <c r="DB305" s="545">
        <f>IF(AND($B305&gt;=$FV305,$B305&lt;=$FW305),MAX($CT305,Sheet1!EK307,0),MAX($CT305-(7/36)*$K305,0))</f>
        <v>6.7456521739130437</v>
      </c>
      <c r="DC305" s="560">
        <f t="shared" si="619"/>
        <v>0</v>
      </c>
      <c r="DD305" s="545">
        <f t="shared" si="620"/>
        <v>0</v>
      </c>
      <c r="DE305" s="545">
        <f>IF(AND($O305&gt;0,Sheet1!EO307=1),(1-($O305-Sheet1!$L307)/$O305)*CZ305,0)</f>
        <v>0</v>
      </c>
      <c r="DF305" s="545">
        <f>IF(AND(Sheet1!$L307=0,Sheet1!$L306=0, Calculation!CY305&lt;Sheet1!$EK307-0.1,Sheet1!$EK307=Sheet1!$EK306,Sheet1!$EK307=Sheet1!$EK308),Sheet1!$EK307,CZ305-DE305)</f>
        <v>6.7456521739130437</v>
      </c>
      <c r="DG305" s="545"/>
      <c r="DH305" s="560">
        <f t="shared" si="621"/>
        <v>9.25</v>
      </c>
      <c r="DI305" s="560">
        <f t="shared" si="622"/>
        <v>146.80773258683919</v>
      </c>
      <c r="DJ305" s="698">
        <f t="shared" si="623"/>
        <v>9.2440418679549126</v>
      </c>
      <c r="DK305" s="560">
        <f ca="1">IF(B305&gt;Summary!$A$1,#N/A,DI305*MGtoAF)</f>
        <v>450.40612357642266</v>
      </c>
      <c r="DL305" s="698">
        <f t="shared" si="624"/>
        <v>9.25</v>
      </c>
      <c r="DM305" s="560">
        <f t="shared" si="625"/>
        <v>31.05</v>
      </c>
      <c r="DN305" s="560">
        <f>Sheet1!AB307-DM305</f>
        <v>-1.9999999999999574E-2</v>
      </c>
      <c r="DO305" s="823">
        <f t="shared" si="626"/>
        <v>-6.4412238325280429E-4</v>
      </c>
      <c r="DP305" s="560">
        <f>(VLOOKUP(Sheet1!DC307,hhdcap_wcm,4)-(((VLOOKUP(Sheet1!DC307,hhdcap_wcm,3)-Sheet1!DC307)/(VLOOKUP(Sheet1!DC307,hhdcap_wcm,3)-VLOOKUP(Sheet1!DC307,hhdcap_wcm,1)))*(VLOOKUP(Sheet1!DC307,hhdcap_wcm,4)-VLOOKUP(Sheet1!DC307,hhdcap_wcm,2))))</f>
        <v>8087.000000016953</v>
      </c>
      <c r="DQ305" s="560">
        <f t="shared" si="627"/>
        <v>-758.20000000175605</v>
      </c>
      <c r="DR305" s="560">
        <f t="shared" si="628"/>
        <v>-382.34997478656379</v>
      </c>
      <c r="DS305" s="560">
        <f>Sheet1!EA307*AFtoMG</f>
        <v>-293.40000000000003</v>
      </c>
      <c r="DT305" s="560">
        <f>Sheet1!EB307*AFtoMG</f>
        <v>0</v>
      </c>
      <c r="DU305" s="560">
        <f>Sheet1!EC307*AFtoMG</f>
        <v>0</v>
      </c>
      <c r="DV305" s="560">
        <f>Sheet1!ED307*AFtoMG</f>
        <v>0</v>
      </c>
      <c r="DW305" s="560">
        <f t="shared" si="629"/>
        <v>-293.40000000000003</v>
      </c>
      <c r="DX305" s="560">
        <f t="shared" si="630"/>
        <v>-900.15120000000013</v>
      </c>
      <c r="DY305" s="560">
        <f t="shared" si="631"/>
        <v>499.59648508171313</v>
      </c>
      <c r="DZ305" s="560">
        <f t="shared" si="632"/>
        <v>1532.762016230696</v>
      </c>
      <c r="EA305" s="560"/>
      <c r="EB305" s="545">
        <f>IF(OR(B305&lt;FV305,B305&gt;FW305),(MIN(BF305+BY305+CT305+MAX(Sheet1!AA307+AQ305-73,0),K305)),0)</f>
        <v>0</v>
      </c>
      <c r="EC305" s="560"/>
      <c r="ED305" s="560">
        <f t="shared" si="633"/>
        <v>9.2440418679549126</v>
      </c>
      <c r="EE305" s="560"/>
      <c r="EF305" s="560">
        <f>Sheet1!EH307+Sheet1!EI307+Sheet1!EJ307+Sheet1!EK307</f>
        <v>9</v>
      </c>
      <c r="EG305" s="560"/>
      <c r="EH305" s="545">
        <f t="shared" si="634"/>
        <v>0</v>
      </c>
      <c r="EI305" s="560">
        <f>IF(Sheet1!ET307=1,SUM('Calculations II'!AT305:BA305)+'Calculations II'!BC305+Sheet1!BV307+'Calculations II'!BE305+AP305,SUM('Calculations II'!AT305:BA305)+'Calculations II'!BC305+Sheet1!BV307+'Calculations II'!BE305+AP305)</f>
        <v>56.407312000000005</v>
      </c>
      <c r="EJ305" s="560">
        <f>Sheet1!AA307+Sheet1!AB307+'Calculations II'!BC305</f>
        <v>56.730000000000004</v>
      </c>
      <c r="EK305" s="560"/>
      <c r="EL305" s="560"/>
      <c r="EM305" s="560">
        <f t="shared" si="635"/>
        <v>41933</v>
      </c>
      <c r="EN305" s="560">
        <f t="shared" si="636"/>
        <v>-9.2456521739130437</v>
      </c>
      <c r="EO305" s="560">
        <f t="shared" si="637"/>
        <v>-14.303023913043479</v>
      </c>
      <c r="EP305" s="560">
        <v>0</v>
      </c>
      <c r="EQ305" s="560">
        <v>0</v>
      </c>
      <c r="ER305" s="560">
        <v>0</v>
      </c>
      <c r="ES305" s="545">
        <f t="shared" si="557"/>
        <v>0.55387501894478497</v>
      </c>
      <c r="ET305" s="560">
        <f>-(VLOOKUP(Sheet1!BQ307,Lookup!$O$4:$Q$262,2)-VLOOKUP(Sheet1!BQ306,Lookup!$O$4:$Q$262,2))/1000000</f>
        <v>0.27692469368410855</v>
      </c>
      <c r="EU305" s="560">
        <f>-(VLOOKUP(Sheet1!BR307,Lookup!$O$4:$Q$262,3)-VLOOKUP(Sheet1!BR306,Lookup!$O$4:$Q$262,3))/1000000</f>
        <v>0.27695032526067642</v>
      </c>
      <c r="EV305" s="560"/>
      <c r="EW305" s="560"/>
      <c r="EX305" s="560"/>
      <c r="EY305" s="560"/>
      <c r="EZ305" s="560"/>
      <c r="FA305" s="560"/>
      <c r="FB305" s="560"/>
      <c r="FC305" s="560"/>
      <c r="FD305" s="594">
        <f t="shared" si="638"/>
        <v>1101.103703703659</v>
      </c>
      <c r="FE305" s="594" t="e">
        <f t="shared" si="639"/>
        <v>#N/A</v>
      </c>
      <c r="FF305" s="595" t="e">
        <f t="shared" si="640"/>
        <v>#N/A</v>
      </c>
      <c r="FG305" s="596" t="s">
        <v>692</v>
      </c>
      <c r="FH305" s="596" t="s">
        <v>692</v>
      </c>
      <c r="FI305" s="594" t="e">
        <v>#N/A</v>
      </c>
      <c r="FJ305" s="778">
        <v>4796</v>
      </c>
      <c r="FK305" s="560"/>
      <c r="FL305" s="560"/>
      <c r="FM305" s="560"/>
      <c r="FN305" s="560"/>
      <c r="FO305" s="560">
        <f>O305+((Sheet1!CS307)*GPMtoMGD)</f>
        <v>56.730000000000004</v>
      </c>
      <c r="FP305" s="560">
        <f>IF(Sheet1!AA307+AQ305&lt;=Calculation!N305,AQ305,Calculation!N305-Sheet1!AA307)</f>
        <v>20.786602254428342</v>
      </c>
      <c r="FQ305" s="560">
        <f>(Sheet1!BP307+Sheet1!BO307)/694.4</f>
        <v>2.130040322580645</v>
      </c>
      <c r="FR305" s="560"/>
      <c r="FS305" s="560"/>
      <c r="FT305" s="560"/>
      <c r="FU305" s="560"/>
      <c r="FV305" s="695">
        <f t="shared" si="558"/>
        <v>41827</v>
      </c>
      <c r="FW305" s="695">
        <f t="shared" si="559"/>
        <v>41934</v>
      </c>
      <c r="FX305" s="560"/>
      <c r="FY305" s="560"/>
      <c r="FZ305" s="560"/>
      <c r="GA305" s="560"/>
      <c r="GB305" s="560" t="str">
        <f t="shared" si="560"/>
        <v>n</v>
      </c>
      <c r="GC305" s="564">
        <f t="shared" si="561"/>
        <v>41691</v>
      </c>
      <c r="GD305" s="695">
        <f t="shared" si="562"/>
        <v>41807</v>
      </c>
      <c r="GE305" s="560">
        <v>6518.9</v>
      </c>
      <c r="GF305" s="695">
        <f t="shared" si="563"/>
        <v>41808</v>
      </c>
      <c r="GG305" s="560">
        <f t="shared" si="582"/>
        <v>3259</v>
      </c>
      <c r="GH305" s="564">
        <f t="shared" si="564"/>
        <v>41934</v>
      </c>
      <c r="GJ305" s="545">
        <f t="shared" si="565"/>
        <v>0</v>
      </c>
      <c r="GK305" s="560" t="str">
        <f t="shared" si="641"/>
        <v/>
      </c>
      <c r="GL305" s="560">
        <f t="shared" si="566"/>
        <v>0</v>
      </c>
      <c r="GM305" s="560" t="str">
        <f t="shared" si="567"/>
        <v/>
      </c>
      <c r="GN305" s="560">
        <f>IF(GK305="P",Lookup!$M$12,IF(GK305="PP",Lookup!$M$13,IF(GK305="PPP",Lookup!$M$14,IF(GK305="T",Lookup!$M$15,IF(GK305="TP",Lookup!$M$16,IF(GK305="TPP",Lookup!$M$17,IF(GK305="TPPP",Lookup!$M$18,0)))))))*GJ305</f>
        <v>0</v>
      </c>
      <c r="GO305" s="560">
        <f t="shared" si="568"/>
        <v>0</v>
      </c>
      <c r="GP305" s="560">
        <f t="shared" si="642"/>
        <v>294.91354533333396</v>
      </c>
      <c r="GQ305" s="560">
        <f t="shared" si="576"/>
        <v>96.125666666666859</v>
      </c>
      <c r="GR305" s="560"/>
      <c r="GS305" s="560">
        <f t="shared" si="569"/>
        <v>0</v>
      </c>
      <c r="GT305" s="560" t="str">
        <f t="shared" si="570"/>
        <v/>
      </c>
      <c r="GU305" s="560">
        <f>IF(GK305="P",Lookup!$N$12,IF(GK305="PP",Lookup!$N$13,IF(GK305="PPP",Lookup!$N$14,IF(GK305="T",Lookup!$N$15,IF(GK305="TP",Lookup!$N$16,IF(GK305="TPP",Lookup!$N$17,IF(GK305="TPPP",Lookup!$N$18,0)))))))*GJ305</f>
        <v>0</v>
      </c>
      <c r="GV305" s="560">
        <f t="shared" si="571"/>
        <v>0</v>
      </c>
      <c r="GW305" s="560">
        <f t="shared" si="643"/>
        <v>326.80877646286319</v>
      </c>
      <c r="GX305" s="560">
        <f t="shared" si="577"/>
        <v>106.52176547029438</v>
      </c>
      <c r="GY305" s="560"/>
      <c r="GZ305" s="560">
        <f t="shared" si="572"/>
        <v>0</v>
      </c>
      <c r="HA305" s="560" t="str">
        <f t="shared" si="573"/>
        <v/>
      </c>
      <c r="HB305" s="560">
        <f>IF(GK305="P",Lookup!$N$12,IF(GK305="PP",Lookup!$N$13,IF(GK305="PPP",Lookup!$N$14,IF(GK305="T",Lookup!$N$15,IF(GK305="TP",Lookup!$N$16,IF(GK305="TPP",Lookup!$N$17,IF(GK305="TPPP",Lookup!$N$18,0)))))))*GJ305</f>
        <v>0</v>
      </c>
      <c r="HC305" s="545">
        <f t="shared" si="644"/>
        <v>0</v>
      </c>
      <c r="HD305" s="560">
        <f t="shared" si="645"/>
        <v>460.63357085807604</v>
      </c>
      <c r="HE305" s="560">
        <f t="shared" si="578"/>
        <v>150.14132035791266</v>
      </c>
      <c r="HF305" s="560"/>
      <c r="HG305" s="560">
        <f t="shared" si="574"/>
        <v>0</v>
      </c>
      <c r="HH305" s="560" t="str">
        <f t="shared" si="575"/>
        <v/>
      </c>
      <c r="HI305" s="560">
        <f>IF(GK305="P",Lookup!$N$12,IF(GK305="PP",Lookup!$N$13,IF(GK305="PPP",Lookup!$N$14,IF(GK305="T",Lookup!$N$15,IF(GK305="TP",Lookup!$N$16,IF(GK305="TPP",Lookup!$N$17,IF(GK305="TPPP",Lookup!$N$18,0)))))))*GJ305</f>
        <v>0</v>
      </c>
      <c r="HJ305" s="545">
        <f t="shared" si="646"/>
        <v>0</v>
      </c>
      <c r="HK305" s="560">
        <f t="shared" si="647"/>
        <v>450.40612357642266</v>
      </c>
      <c r="HL305" s="560">
        <f t="shared" si="579"/>
        <v>146.80773258683919</v>
      </c>
    </row>
    <row r="306" spans="1:220">
      <c r="A306" s="580" t="s">
        <v>6</v>
      </c>
      <c r="B306" s="556">
        <v>41934</v>
      </c>
      <c r="C306" s="561">
        <v>0</v>
      </c>
      <c r="D306" s="529">
        <f t="shared" si="580"/>
        <v>300</v>
      </c>
      <c r="E306" s="529">
        <f t="shared" si="581"/>
        <v>250</v>
      </c>
      <c r="F306" s="529">
        <v>250</v>
      </c>
      <c r="G306" s="560">
        <f>DR306+Sheet1!CZ308</f>
        <v>999.31417044874161</v>
      </c>
      <c r="H306" s="914">
        <f t="shared" si="546"/>
        <v>378.99347977806656</v>
      </c>
      <c r="I306" s="559">
        <f>MAX(Sheet1!Z308-AT306+(Sheet1!DA308-E306)*CFStoMGD,0)</f>
        <v>717.50400000000002</v>
      </c>
      <c r="J306" s="562">
        <f>IF(AND(B306&gt;=Calculation!GC306,B306&lt;=Calculation!GD306),IF(Sheet1!DB308&gt;=Calculation!D306,64.64,0),MAX(Sheet1!Z308-AT306+(Sheet1!DB308-D306)*CFStoMGD,0))</f>
        <v>471.87199999999996</v>
      </c>
      <c r="K306" s="904">
        <f t="shared" si="583"/>
        <v>64.64</v>
      </c>
      <c r="L306" s="560">
        <f>Sheet1!AA308+Sheet1!AB308-Sheet1!L308+(Sheet1!DA308-F306)*CFStoMGD</f>
        <v>764.67399999999998</v>
      </c>
      <c r="M306" s="560">
        <f t="shared" si="584"/>
        <v>658.87581337362792</v>
      </c>
      <c r="N306" s="910">
        <f>IF(Sheet1!DA308&gt;=F306,MIN(73,MIN(MAX(L306,0),MAX(M306,0))),0)</f>
        <v>73</v>
      </c>
      <c r="O306" s="563">
        <f>Sheet1!AA308+Sheet1!AB308</f>
        <v>47.17</v>
      </c>
      <c r="P306" s="563">
        <f t="shared" si="585"/>
        <v>72.971990000000005</v>
      </c>
      <c r="Q306" s="898">
        <f t="shared" si="547"/>
        <v>47.17</v>
      </c>
      <c r="R306" s="829">
        <f t="shared" si="586"/>
        <v>9</v>
      </c>
      <c r="S306" s="898">
        <f t="shared" si="548"/>
        <v>0</v>
      </c>
      <c r="T306" s="898">
        <f t="shared" si="549"/>
        <v>0</v>
      </c>
      <c r="U306" s="1083">
        <v>0</v>
      </c>
      <c r="V306" s="898"/>
      <c r="W306" s="898">
        <f t="shared" si="551"/>
        <v>55.509612085042896</v>
      </c>
      <c r="X306" s="898">
        <f t="shared" si="552"/>
        <v>0</v>
      </c>
      <c r="Y306" s="898" t="str">
        <f t="shared" si="553"/>
        <v/>
      </c>
      <c r="Z306" s="898">
        <f t="shared" si="554"/>
        <v>47.17</v>
      </c>
      <c r="AA306" s="898">
        <f t="shared" si="555"/>
        <v>47.17</v>
      </c>
      <c r="AB306" s="898" t="str">
        <f t="shared" si="556"/>
        <v/>
      </c>
      <c r="AC306" s="563">
        <f>Sheet1!Y308*MGDtoCFS</f>
        <v>0</v>
      </c>
      <c r="AD306" s="563">
        <f>Sheet1!Z308*MGDtoCFS</f>
        <v>0</v>
      </c>
      <c r="AE306" s="563">
        <f>Sheet1!AA308*MGDtoCFS</f>
        <v>31.4041</v>
      </c>
      <c r="AF306" s="563">
        <f>Sheet1!AB308*MGDtoCFS</f>
        <v>41.567889999999998</v>
      </c>
      <c r="AG306" s="563">
        <f>Sheet1!L308*MGDtoCFS</f>
        <v>0</v>
      </c>
      <c r="AH306" s="545">
        <f t="shared" si="587"/>
        <v>9.1303879149571063</v>
      </c>
      <c r="AI306" s="560">
        <f t="shared" si="588"/>
        <v>14.124710104438643</v>
      </c>
      <c r="AJ306" s="560">
        <f t="shared" si="589"/>
        <v>0</v>
      </c>
      <c r="AK306" s="560">
        <f t="shared" si="590"/>
        <v>0</v>
      </c>
      <c r="AL306" s="560">
        <f>(VLOOKUP(Sheet1!DC308,hhdcap_wcm,4)-(((VLOOKUP(Sheet1!DC308,hhdcap_wcm,3)-Sheet1!DC308)/(VLOOKUP(Sheet1!DC308,hhdcap_wcm,3)-VLOOKUP(Sheet1!DC308,hhdcap_wcm,1)))*(VLOOKUP(Sheet1!DC308,hhdcap_wcm,4)-VLOOKUP(Sheet1!DC308,hhdcap_wcm,2))))</f>
        <v>7927.0000000168075</v>
      </c>
      <c r="AM306" s="560">
        <f t="shared" si="591"/>
        <v>-160.00000000014552</v>
      </c>
      <c r="AN306" s="560">
        <f t="shared" si="592"/>
        <v>0</v>
      </c>
      <c r="AO306" s="560">
        <f t="shared" si="593"/>
        <v>0</v>
      </c>
      <c r="AP306" s="560">
        <f>Sheet1!BA308+Sheet1!BB308+Sheet1!BN308+CD306</f>
        <v>17.7</v>
      </c>
      <c r="AQ306" s="560">
        <f>Sheet1!BN308+(DO306*Sheet1!BN308)</f>
        <v>16.737374114136518</v>
      </c>
      <c r="AR306" s="560">
        <f>Sheet1!BA308+CD306</f>
        <v>0</v>
      </c>
      <c r="AS306" s="560">
        <f>Sheet1!BA308+Sheet1!BB308+CD306</f>
        <v>1</v>
      </c>
      <c r="AT306" s="698">
        <f>0</f>
        <v>0</v>
      </c>
      <c r="AU306" s="560">
        <f>IF(EB306&lt;K306,0,MAX(Sheet1!AA308+AQ306-15/36*K306-N306,Sheet1!EH308,0))</f>
        <v>0</v>
      </c>
      <c r="AV306" s="560">
        <f>IF(OR(B306&gt;=GD306,B306&lt;GC306),0,15/36*K306-MAX(0,64.6-(137.6-(Sheet1!AA308+Sheet1!AB308))))</f>
        <v>0</v>
      </c>
      <c r="AW306" s="698">
        <f>Sheet1!DB308-110</f>
        <v>920</v>
      </c>
      <c r="AX306" s="698">
        <f>Sheet1!DA308-265</f>
        <v>1095</v>
      </c>
      <c r="AY306" s="698">
        <f t="shared" si="594"/>
        <v>25.83</v>
      </c>
      <c r="AZ306" s="698">
        <v>0</v>
      </c>
      <c r="BA306" s="698">
        <f t="shared" si="595"/>
        <v>0</v>
      </c>
      <c r="BB306" s="560">
        <f t="shared" si="596"/>
        <v>0</v>
      </c>
      <c r="BC306" s="560"/>
      <c r="BD306" s="560">
        <f ca="1">IF(B306&gt;Summary!$A$1,#N/A,BB306*MGtoAF)</f>
        <v>0</v>
      </c>
      <c r="BE306" s="560">
        <f>Sheet1!BG308+Sheet1!BH308+Sheet1!BI308-BM306</f>
        <v>0</v>
      </c>
      <c r="BF306" s="560">
        <f t="shared" si="597"/>
        <v>0</v>
      </c>
      <c r="BG306" s="560">
        <f>IF(Sheet1!EP308="FM",BM306,0)</f>
        <v>0</v>
      </c>
      <c r="BH306" s="560">
        <f t="shared" si="598"/>
        <v>0</v>
      </c>
      <c r="BI306" s="560">
        <f>IF(Sheet1!EP308="OTHER",BM306,0)</f>
        <v>0</v>
      </c>
      <c r="BJ306" s="560">
        <f t="shared" si="599"/>
        <v>0</v>
      </c>
      <c r="BK306" s="560">
        <f t="shared" si="600"/>
        <v>0</v>
      </c>
      <c r="BL306" s="560">
        <f t="shared" si="601"/>
        <v>0</v>
      </c>
      <c r="BM306" s="560">
        <f>IF(OR(Sheet1!EP308="FM", Sheet1!EP308="OTHER"),SUM(Sheet1!BG308:'Sheet1'!BI308),0)</f>
        <v>0</v>
      </c>
      <c r="BN306" s="545">
        <f>IF(AND($B306&gt;=$FV306,$B306&lt;=$FW306),MAX(BF306,Sheet1!EI308,0),MAX(BF306-(7/36)*$K306,0))</f>
        <v>0</v>
      </c>
      <c r="BO306" s="560">
        <f t="shared" si="602"/>
        <v>0</v>
      </c>
      <c r="BP306" s="545">
        <f t="shared" si="603"/>
        <v>0</v>
      </c>
      <c r="BQ306" s="545">
        <f>IF(AND($O306&gt;0,Sheet1!EM308=1),(1-($O306-Sheet1!$L308)/$O306)*BL306,0)</f>
        <v>0</v>
      </c>
      <c r="BR306" s="545">
        <f>IF(AND(Sheet1!$L308=0,Sheet1!$L307=0, Calculation!BK306&lt;Sheet1!$EI308-0.1,Sheet1!$EI308=Sheet1!$EI307,Sheet1!$EI308=Sheet1!$EI309),Sheet1!$EI308,BL306-BQ306)</f>
        <v>0</v>
      </c>
      <c r="BS306" s="560"/>
      <c r="BT306" s="560"/>
      <c r="BU306" s="560">
        <f t="shared" si="604"/>
        <v>0</v>
      </c>
      <c r="BV306" s="560"/>
      <c r="BW306" s="560">
        <f ca="1">IF(B306&gt;Summary!$A$1,#N/A,BU306*MGtoAF)</f>
        <v>0</v>
      </c>
      <c r="BX306" s="560">
        <f>Sheet1!BC308+Sheet1!BD308+Sheet1!BE308+Sheet1!BF308-CG306-CH306</f>
        <v>2.5099999999999998</v>
      </c>
      <c r="BY306" s="560">
        <f t="shared" si="605"/>
        <v>2.5156173069750092</v>
      </c>
      <c r="BZ306" s="560">
        <f>IF(Sheet1!EQ308="FM",CH306,0)</f>
        <v>0</v>
      </c>
      <c r="CA306" s="560">
        <f t="shared" si="606"/>
        <v>0</v>
      </c>
      <c r="CB306" s="560">
        <f>IF(Sheet1!EQ308="OTHER",CH306,0)</f>
        <v>0</v>
      </c>
      <c r="CC306" s="560">
        <f t="shared" si="607"/>
        <v>0</v>
      </c>
      <c r="CD306" s="560">
        <f t="shared" si="608"/>
        <v>0</v>
      </c>
      <c r="CE306" s="560">
        <f t="shared" si="609"/>
        <v>2.5099999999999998</v>
      </c>
      <c r="CF306" s="560">
        <f t="shared" si="610"/>
        <v>2.5156173069750092</v>
      </c>
      <c r="CG306" s="560">
        <f>IF(Sheet1!EQ308="CWA",SUM(Sheet1!BC308:'Sheet1'!BF308),0)</f>
        <v>0</v>
      </c>
      <c r="CH306" s="560">
        <f>IF(OR(Sheet1!EQ308="FM", Sheet1!EQ308="OTHER"),SUM(Sheet1!BC308:'Sheet1'!BF308),0)</f>
        <v>0</v>
      </c>
      <c r="CI306" s="545">
        <f>IF(AND($B306&gt;=$FV306,$B306&lt;=$FW306),MAX(CF306,Sheet1!EJ308,0),MAX(CF306-(7/36)*$K306,0))</f>
        <v>2.5156173069750092</v>
      </c>
      <c r="CJ306" s="560">
        <f t="shared" si="611"/>
        <v>0</v>
      </c>
      <c r="CK306" s="545">
        <f t="shared" si="612"/>
        <v>0</v>
      </c>
      <c r="CL306" s="545">
        <f>IF(AND($O306&gt;0,Sheet1!EN308=1),(1-($O306-Sheet1!$L308)/$O306)*CF306,0)</f>
        <v>0</v>
      </c>
      <c r="CM306" s="545">
        <f>IF(AND(Sheet1!$L308=0,Sheet1!$L307=0, Calculation!CE306&lt;Sheet1!EJ308-0.1,Sheet1!EJ308=Sheet1!EJ307,Sheet1!EJ308=Sheet1!EJ309),Sheet1!EJ308,CF306-CL306)</f>
        <v>2.5156173069750092</v>
      </c>
      <c r="CN306" s="545"/>
      <c r="CO306" s="560"/>
      <c r="CP306" s="560">
        <f t="shared" si="613"/>
        <v>0</v>
      </c>
      <c r="CQ306" s="560"/>
      <c r="CR306" s="560">
        <f ca="1">IF(B306&gt;Summary!$A$1,#N/A,CP306*MGtoAF)</f>
        <v>0</v>
      </c>
      <c r="CS306" s="560">
        <f>Sheet1!BK308+Sheet1!BL308+Sheet1!BM308-Sheet1!ER308-DA306</f>
        <v>6.6</v>
      </c>
      <c r="CT306" s="560">
        <f t="shared" si="614"/>
        <v>6.6147706079820967</v>
      </c>
      <c r="CU306" s="560">
        <f>IF(Sheet1!ER308="FM",DA306,0)</f>
        <v>0</v>
      </c>
      <c r="CV306" s="560">
        <f t="shared" si="615"/>
        <v>0</v>
      </c>
      <c r="CW306" s="560">
        <f>IF(Sheet1!ER308="OTHER",DA306,0)</f>
        <v>0</v>
      </c>
      <c r="CX306" s="560">
        <f t="shared" si="616"/>
        <v>0</v>
      </c>
      <c r="CY306" s="560">
        <f t="shared" si="617"/>
        <v>6.6</v>
      </c>
      <c r="CZ306" s="560">
        <f t="shared" si="618"/>
        <v>6.6147706079820967</v>
      </c>
      <c r="DA306" s="560">
        <f>IF(OR(Sheet1!ER308="FM", Sheet1!ER308="OTHER"),SUM(Sheet1!BK308:'Sheet1'!BM308),0)</f>
        <v>0</v>
      </c>
      <c r="DB306" s="545">
        <f>IF(AND($B306&gt;=$FV306,$B306&lt;=$FW306),MAX($CT306,Sheet1!EK308,0),MAX($CT306-(7/36)*$K306,0))</f>
        <v>6.6147706079820967</v>
      </c>
      <c r="DC306" s="560">
        <f t="shared" si="619"/>
        <v>0</v>
      </c>
      <c r="DD306" s="545">
        <f t="shared" si="620"/>
        <v>0</v>
      </c>
      <c r="DE306" s="545">
        <f>IF(AND($O306&gt;0,Sheet1!EO308=1),(1-($O306-Sheet1!$L308)/$O306)*CZ306,0)</f>
        <v>0</v>
      </c>
      <c r="DF306" s="545">
        <f>IF(AND(Sheet1!$L308=0,Sheet1!$L307=0, Calculation!CY306&lt;Sheet1!$EK308-0.1,Sheet1!$EK308=Sheet1!$EK307,Sheet1!$EK308=Sheet1!$EK309),Sheet1!$EK308,CZ306-DE306)</f>
        <v>6.6147706079820967</v>
      </c>
      <c r="DG306" s="545"/>
      <c r="DH306" s="560">
        <f t="shared" si="621"/>
        <v>9.11</v>
      </c>
      <c r="DI306" s="560">
        <f t="shared" si="622"/>
        <v>0</v>
      </c>
      <c r="DJ306" s="698">
        <f t="shared" si="623"/>
        <v>9.1303879149571063</v>
      </c>
      <c r="DK306" s="560">
        <f ca="1">IF(B306&gt;Summary!$A$1,#N/A,DI306*MGtoAF)</f>
        <v>0</v>
      </c>
      <c r="DL306" s="698">
        <f t="shared" si="624"/>
        <v>9.11</v>
      </c>
      <c r="DM306" s="560">
        <f t="shared" si="625"/>
        <v>26.81</v>
      </c>
      <c r="DN306" s="560">
        <f>Sheet1!AB308-DM306</f>
        <v>6.0000000000002274E-2</v>
      </c>
      <c r="DO306" s="823">
        <f t="shared" si="626"/>
        <v>2.237970906378302E-3</v>
      </c>
      <c r="DP306" s="560">
        <f>(VLOOKUP(Sheet1!DC308,hhdcap_wcm,4)-(((VLOOKUP(Sheet1!DC308,hhdcap_wcm,3)-Sheet1!DC308)/(VLOOKUP(Sheet1!DC308,hhdcap_wcm,3)-VLOOKUP(Sheet1!DC308,hhdcap_wcm,1)))*(VLOOKUP(Sheet1!DC308,hhdcap_wcm,4)-VLOOKUP(Sheet1!DC308,hhdcap_wcm,2))))</f>
        <v>7927.0000000168075</v>
      </c>
      <c r="DQ306" s="560">
        <f t="shared" si="627"/>
        <v>-160.00000000014552</v>
      </c>
      <c r="DR306" s="560">
        <f t="shared" si="628"/>
        <v>-80.68582955125845</v>
      </c>
      <c r="DS306" s="560">
        <f>Sheet1!EA308*AFtoMG</f>
        <v>0</v>
      </c>
      <c r="DT306" s="560">
        <f>Sheet1!EB308*AFtoMG</f>
        <v>0</v>
      </c>
      <c r="DU306" s="560">
        <f>Sheet1!EC308*AFtoMG</f>
        <v>0</v>
      </c>
      <c r="DV306" s="560">
        <f>Sheet1!ED308*AFtoMG</f>
        <v>0</v>
      </c>
      <c r="DW306" s="560">
        <f t="shared" si="629"/>
        <v>0</v>
      </c>
      <c r="DX306" s="560">
        <f t="shared" si="630"/>
        <v>0</v>
      </c>
      <c r="DY306" s="560">
        <f t="shared" si="631"/>
        <v>0</v>
      </c>
      <c r="DZ306" s="560">
        <f t="shared" si="632"/>
        <v>0</v>
      </c>
      <c r="EA306" s="560"/>
      <c r="EB306" s="545">
        <f>IF(OR(B306&lt;FV306,B306&gt;FW306),(MIN(BF306+BY306+CT306+MAX(Sheet1!AA308+AQ306-73,0),K306)),0)</f>
        <v>0</v>
      </c>
      <c r="EC306" s="560"/>
      <c r="ED306" s="560">
        <f t="shared" si="633"/>
        <v>9.1303879149571063</v>
      </c>
      <c r="EE306" s="560"/>
      <c r="EF306" s="560">
        <f>Sheet1!EH308+Sheet1!EI308+Sheet1!EJ308+Sheet1!EK308</f>
        <v>9</v>
      </c>
      <c r="EG306" s="560"/>
      <c r="EH306" s="545">
        <f t="shared" si="634"/>
        <v>0</v>
      </c>
      <c r="EI306" s="560">
        <f>IF(Sheet1!ET308=1,SUM('Calculations II'!AT306:BA306)+'Calculations II'!BC306+Sheet1!BV308+'Calculations II'!BE306+AP306,SUM('Calculations II'!AT306:BA306)+'Calculations II'!BC306+Sheet1!BV308+'Calculations II'!BE306+AP306)</f>
        <v>38.799008000000001</v>
      </c>
      <c r="EJ306" s="560">
        <f>Sheet1!AA308+Sheet1!AB308+'Calculations II'!BC306</f>
        <v>47.17</v>
      </c>
      <c r="EK306" s="560"/>
      <c r="EL306" s="560"/>
      <c r="EM306" s="560">
        <f t="shared" si="635"/>
        <v>41934</v>
      </c>
      <c r="EN306" s="560">
        <f t="shared" si="636"/>
        <v>-9.1303879149571063</v>
      </c>
      <c r="EO306" s="560">
        <f t="shared" si="637"/>
        <v>-14.124710104438643</v>
      </c>
      <c r="EP306" s="560">
        <v>0</v>
      </c>
      <c r="EQ306" s="560">
        <v>0</v>
      </c>
      <c r="ER306" s="560">
        <v>0</v>
      </c>
      <c r="ES306" s="545">
        <f t="shared" si="557"/>
        <v>-7.4816389489300512</v>
      </c>
      <c r="ET306" s="560">
        <f>-(VLOOKUP(Sheet1!BQ308,Lookup!$O$4:$Q$262,2)-VLOOKUP(Sheet1!BQ307,Lookup!$O$4:$Q$262,2))/1000000</f>
        <v>-3.7406464114407001</v>
      </c>
      <c r="EU306" s="560">
        <f>-(VLOOKUP(Sheet1!BR308,Lookup!$O$4:$Q$262,3)-VLOOKUP(Sheet1!BR307,Lookup!$O$4:$Q$262,3))/1000000</f>
        <v>-3.7409925374893507</v>
      </c>
      <c r="EV306" s="560"/>
      <c r="EW306" s="560"/>
      <c r="EX306" s="560"/>
      <c r="EY306" s="560"/>
      <c r="EZ306" s="560"/>
      <c r="FA306" s="560"/>
      <c r="FB306" s="560"/>
      <c r="FC306" s="560"/>
      <c r="FD306" s="594">
        <f t="shared" si="638"/>
        <v>1100.29615384611</v>
      </c>
      <c r="FE306" s="594" t="e">
        <f t="shared" si="639"/>
        <v>#N/A</v>
      </c>
      <c r="FF306" s="595" t="e">
        <f t="shared" si="640"/>
        <v>#N/A</v>
      </c>
      <c r="FG306" s="596" t="s">
        <v>692</v>
      </c>
      <c r="FH306" s="596" t="s">
        <v>692</v>
      </c>
      <c r="FI306" s="594" t="e">
        <v>#N/A</v>
      </c>
      <c r="FJ306" s="778">
        <v>4587</v>
      </c>
      <c r="FK306" s="560"/>
      <c r="FL306" s="560"/>
      <c r="FM306" s="560"/>
      <c r="FN306" s="560"/>
      <c r="FO306" s="560">
        <f>O306+((Sheet1!CS308)*GPMtoMGD)</f>
        <v>47.17</v>
      </c>
      <c r="FP306" s="560">
        <f>IF(Sheet1!AA308+AQ306&lt;=Calculation!N306,AQ306,Calculation!N306-Sheet1!AA308)</f>
        <v>16.737374114136518</v>
      </c>
      <c r="FQ306" s="560">
        <f>(Sheet1!BP308+Sheet1!BO308)/694.4</f>
        <v>0.70622119815668205</v>
      </c>
      <c r="FR306" s="560"/>
      <c r="FS306" s="560"/>
      <c r="FT306" s="560"/>
      <c r="FU306" s="560"/>
      <c r="FV306" s="695">
        <f t="shared" si="558"/>
        <v>41827</v>
      </c>
      <c r="FW306" s="695">
        <f t="shared" si="559"/>
        <v>41934</v>
      </c>
      <c r="FX306" s="560"/>
      <c r="FY306" s="560"/>
      <c r="FZ306" s="560"/>
      <c r="GA306" s="560"/>
      <c r="GB306" s="560" t="str">
        <f t="shared" si="560"/>
        <v>n</v>
      </c>
      <c r="GC306" s="564">
        <f t="shared" si="561"/>
        <v>41691</v>
      </c>
      <c r="GD306" s="695">
        <f t="shared" si="562"/>
        <v>41807</v>
      </c>
      <c r="GE306" s="560">
        <v>6518.9</v>
      </c>
      <c r="GF306" s="695">
        <f t="shared" si="563"/>
        <v>41808</v>
      </c>
      <c r="GG306" s="560">
        <f t="shared" si="582"/>
        <v>3259</v>
      </c>
      <c r="GH306" s="564">
        <f t="shared" si="564"/>
        <v>41934</v>
      </c>
      <c r="GJ306" s="545">
        <f t="shared" si="565"/>
        <v>0</v>
      </c>
      <c r="GK306" s="560" t="str">
        <f t="shared" si="641"/>
        <v/>
      </c>
      <c r="GL306" s="560">
        <f t="shared" si="566"/>
        <v>0</v>
      </c>
      <c r="GM306" s="560" t="str">
        <f t="shared" si="567"/>
        <v/>
      </c>
      <c r="GN306" s="560">
        <f>IF(GK306="P",Lookup!$M$12,IF(GK306="PP",Lookup!$M$13,IF(GK306="PPP",Lookup!$M$14,IF(GK306="T",Lookup!$M$15,IF(GK306="TP",Lookup!$M$16,IF(GK306="TPP",Lookup!$M$17,IF(GK306="TPPP",Lookup!$M$18,0)))))))*GJ306</f>
        <v>0</v>
      </c>
      <c r="GO306" s="560">
        <f t="shared" si="568"/>
        <v>0</v>
      </c>
      <c r="GP306" s="560">
        <f t="shared" si="642"/>
        <v>0</v>
      </c>
      <c r="GQ306" s="560">
        <f t="shared" si="576"/>
        <v>0</v>
      </c>
      <c r="GR306" s="560"/>
      <c r="GS306" s="560">
        <f t="shared" si="569"/>
        <v>0</v>
      </c>
      <c r="GT306" s="560" t="str">
        <f t="shared" si="570"/>
        <v/>
      </c>
      <c r="GU306" s="560">
        <f>IF(GK306="P",Lookup!$N$12,IF(GK306="PP",Lookup!$N$13,IF(GK306="PPP",Lookup!$N$14,IF(GK306="T",Lookup!$N$15,IF(GK306="TP",Lookup!$N$16,IF(GK306="TPP",Lookup!$N$17,IF(GK306="TPPP",Lookup!$N$18,0)))))))*GJ306</f>
        <v>0</v>
      </c>
      <c r="GV306" s="560">
        <f t="shared" si="571"/>
        <v>0</v>
      </c>
      <c r="GW306" s="560">
        <f t="shared" si="643"/>
        <v>0</v>
      </c>
      <c r="GX306" s="560">
        <f t="shared" si="577"/>
        <v>0</v>
      </c>
      <c r="GY306" s="560"/>
      <c r="GZ306" s="560">
        <f t="shared" si="572"/>
        <v>0</v>
      </c>
      <c r="HA306" s="560" t="str">
        <f t="shared" si="573"/>
        <v/>
      </c>
      <c r="HB306" s="560">
        <f>IF(GK306="P",Lookup!$N$12,IF(GK306="PP",Lookup!$N$13,IF(GK306="PPP",Lookup!$N$14,IF(GK306="T",Lookup!$N$15,IF(GK306="TP",Lookup!$N$16,IF(GK306="TPP",Lookup!$N$17,IF(GK306="TPPP",Lookup!$N$18,0)))))))*GJ306</f>
        <v>0</v>
      </c>
      <c r="HC306" s="545">
        <f t="shared" si="644"/>
        <v>0</v>
      </c>
      <c r="HD306" s="560">
        <f t="shared" si="645"/>
        <v>0</v>
      </c>
      <c r="HE306" s="560">
        <f t="shared" si="578"/>
        <v>0</v>
      </c>
      <c r="HF306" s="560"/>
      <c r="HG306" s="560">
        <f t="shared" si="574"/>
        <v>0</v>
      </c>
      <c r="HH306" s="560" t="str">
        <f t="shared" si="575"/>
        <v/>
      </c>
      <c r="HI306" s="560">
        <f>IF(GK306="P",Lookup!$N$12,IF(GK306="PP",Lookup!$N$13,IF(GK306="PPP",Lookup!$N$14,IF(GK306="T",Lookup!$N$15,IF(GK306="TP",Lookup!$N$16,IF(GK306="TPP",Lookup!$N$17,IF(GK306="TPPP",Lookup!$N$18,0)))))))*GJ306</f>
        <v>0</v>
      </c>
      <c r="HJ306" s="545">
        <f t="shared" si="646"/>
        <v>0</v>
      </c>
      <c r="HK306" s="560">
        <f t="shared" si="647"/>
        <v>0</v>
      </c>
      <c r="HL306" s="560">
        <f t="shared" si="579"/>
        <v>0</v>
      </c>
    </row>
    <row r="307" spans="1:220">
      <c r="A307" s="580" t="s">
        <v>7</v>
      </c>
      <c r="B307" s="556">
        <v>41935</v>
      </c>
      <c r="C307" s="561">
        <v>0</v>
      </c>
      <c r="D307" s="529">
        <f t="shared" si="580"/>
        <v>300</v>
      </c>
      <c r="E307" s="529">
        <f t="shared" si="581"/>
        <v>250</v>
      </c>
      <c r="F307" s="529">
        <v>250</v>
      </c>
      <c r="G307" s="560">
        <f>DR307+Sheet1!CZ309</f>
        <v>1443.449319213805</v>
      </c>
      <c r="H307" s="914">
        <f t="shared" si="546"/>
        <v>666.08243993980352</v>
      </c>
      <c r="I307" s="559">
        <f>MAX(Sheet1!Z309-AT307+(Sheet1!DA309-E307)*CFStoMGD,0)</f>
        <v>912.43799999999999</v>
      </c>
      <c r="J307" s="562">
        <f>IF(AND(B307&gt;=Calculation!GC307,B307&lt;=Calculation!GD307),IF(Sheet1!DB309&gt;=Calculation!D307,64.64,0),MAX(Sheet1!Z309-AT307+(Sheet1!DB309-D307)*CFStoMGD,0))</f>
        <v>595.702</v>
      </c>
      <c r="K307" s="904">
        <f t="shared" si="583"/>
        <v>64.64</v>
      </c>
      <c r="L307" s="560">
        <f>Sheet1!AA309+Sheet1!AB309-Sheet1!L309+(Sheet1!DA309-F307)*CFStoMGD</f>
        <v>917.70799999999792</v>
      </c>
      <c r="M307" s="560">
        <f t="shared" si="584"/>
        <v>951.70655273859961</v>
      </c>
      <c r="N307" s="910">
        <f>IF(Sheet1!DA309&gt;=F307,MIN(73,MIN(MAX(L307,0),MAX(M307,0))),0)</f>
        <v>73</v>
      </c>
      <c r="O307" s="563">
        <f>Sheet1!AA309+Sheet1!AB309</f>
        <v>43.9</v>
      </c>
      <c r="P307" s="563">
        <f t="shared" si="585"/>
        <v>67.913299999999992</v>
      </c>
      <c r="Q307" s="898">
        <f t="shared" si="547"/>
        <v>0</v>
      </c>
      <c r="R307" s="829">
        <f t="shared" si="586"/>
        <v>8.970950270802561</v>
      </c>
      <c r="S307" s="898">
        <f t="shared" si="548"/>
        <v>43.9</v>
      </c>
      <c r="T307" s="898">
        <f t="shared" si="549"/>
        <v>0</v>
      </c>
      <c r="U307" s="898">
        <f t="shared" si="550"/>
        <v>0</v>
      </c>
      <c r="V307" s="898"/>
      <c r="W307" s="898">
        <f t="shared" si="551"/>
        <v>55.66904972919744</v>
      </c>
      <c r="X307" s="898">
        <f t="shared" si="552"/>
        <v>43.9</v>
      </c>
      <c r="Y307" s="898" t="str">
        <f t="shared" si="553"/>
        <v/>
      </c>
      <c r="Z307" s="898">
        <f t="shared" si="554"/>
        <v>43.9</v>
      </c>
      <c r="AA307" s="898">
        <f t="shared" si="555"/>
        <v>43.9</v>
      </c>
      <c r="AB307" s="898" t="str">
        <f t="shared" si="556"/>
        <v/>
      </c>
      <c r="AC307" s="563">
        <f>Sheet1!Y309*MGDtoCFS</f>
        <v>31.4041</v>
      </c>
      <c r="AD307" s="563">
        <f>Sheet1!Z309*MGDtoCFS</f>
        <v>41.567889999999998</v>
      </c>
      <c r="AE307" s="563">
        <f>Sheet1!AA309*MGDtoCFS</f>
        <v>36.973299999999995</v>
      </c>
      <c r="AF307" s="563">
        <f>Sheet1!AB309*MGDtoCFS</f>
        <v>30.939999999999998</v>
      </c>
      <c r="AG307" s="563">
        <f>Sheet1!L309*MGDtoCFS</f>
        <v>18.192720000003153</v>
      </c>
      <c r="AH307" s="545">
        <f t="shared" si="587"/>
        <v>0</v>
      </c>
      <c r="AI307" s="560">
        <f t="shared" si="588"/>
        <v>0</v>
      </c>
      <c r="AJ307" s="560">
        <f t="shared" si="589"/>
        <v>0</v>
      </c>
      <c r="AK307" s="560">
        <f t="shared" si="590"/>
        <v>0</v>
      </c>
      <c r="AL307" s="560">
        <f>(VLOOKUP(Sheet1!DC309,hhdcap_wcm,4)-(((VLOOKUP(Sheet1!DC309,hhdcap_wcm,3)-Sheet1!DC309)/(VLOOKUP(Sheet1!DC309,hhdcap_wcm,3)-VLOOKUP(Sheet1!DC309,hhdcap_wcm,1)))*(VLOOKUP(Sheet1!DC309,hhdcap_wcm,4)-VLOOKUP(Sheet1!DC309,hhdcap_wcm,2))))</f>
        <v>8370.1000000177828</v>
      </c>
      <c r="AM307" s="560">
        <f t="shared" si="591"/>
        <v>443.10000000097534</v>
      </c>
      <c r="AN307" s="560">
        <f t="shared" si="592"/>
        <v>0</v>
      </c>
      <c r="AO307" s="560">
        <f t="shared" si="593"/>
        <v>0</v>
      </c>
      <c r="AP307" s="560">
        <f>Sheet1!BA309+Sheet1!BB309+Sheet1!BN309+CD307</f>
        <v>11.2</v>
      </c>
      <c r="AQ307" s="560">
        <f>Sheet1!BN309+(DO307*Sheet1!BN309)</f>
        <v>10.044313146233382</v>
      </c>
      <c r="AR307" s="560">
        <f>Sheet1!BA309+CD307</f>
        <v>0</v>
      </c>
      <c r="AS307" s="560">
        <f>Sheet1!BA309+Sheet1!BB309+CD307</f>
        <v>1</v>
      </c>
      <c r="AT307" s="698">
        <f>0</f>
        <v>0</v>
      </c>
      <c r="AU307" s="560">
        <f>IF(EB307&lt;K307,0,MAX(Sheet1!AA309+AQ307-15/36*K307-N307,Sheet1!EH309,0))</f>
        <v>0</v>
      </c>
      <c r="AV307" s="560">
        <f>IF(OR(B307&gt;=GD307,B307&lt;GC307),0,15/36*K307-MAX(0,64.6-(137.6-(Sheet1!AA309+Sheet1!AB309))))</f>
        <v>0</v>
      </c>
      <c r="AW307" s="698">
        <f>Sheet1!DB309-110</f>
        <v>1070</v>
      </c>
      <c r="AX307" s="698">
        <f>Sheet1!DA309-265</f>
        <v>1355</v>
      </c>
      <c r="AY307" s="698">
        <f t="shared" si="594"/>
        <v>73</v>
      </c>
      <c r="AZ307" s="698">
        <v>0</v>
      </c>
      <c r="BA307" s="698">
        <f t="shared" si="595"/>
        <v>0</v>
      </c>
      <c r="BB307" s="560">
        <f t="shared" si="596"/>
        <v>0</v>
      </c>
      <c r="BC307" s="560"/>
      <c r="BD307" s="560">
        <f ca="1">IF(B307&gt;Summary!$A$1,#N/A,BB307*MGtoAF)</f>
        <v>0</v>
      </c>
      <c r="BE307" s="560">
        <f>Sheet1!BG309+Sheet1!BH309+Sheet1!BI309-BM307</f>
        <v>0</v>
      </c>
      <c r="BF307" s="560">
        <f t="shared" si="597"/>
        <v>0</v>
      </c>
      <c r="BG307" s="560">
        <f>IF(Sheet1!EP309="FM",BM307,0)</f>
        <v>0</v>
      </c>
      <c r="BH307" s="560">
        <f t="shared" si="598"/>
        <v>0</v>
      </c>
      <c r="BI307" s="560">
        <f>IF(Sheet1!EP309="OTHER",BM307,0)</f>
        <v>0</v>
      </c>
      <c r="BJ307" s="560">
        <f t="shared" si="599"/>
        <v>0</v>
      </c>
      <c r="BK307" s="560">
        <f t="shared" si="600"/>
        <v>0</v>
      </c>
      <c r="BL307" s="560">
        <f t="shared" si="601"/>
        <v>0</v>
      </c>
      <c r="BM307" s="560">
        <f>IF(OR(Sheet1!EP309="FM", Sheet1!EP309="OTHER"),SUM(Sheet1!BG309:'Sheet1'!BI309),0)</f>
        <v>0</v>
      </c>
      <c r="BN307" s="545">
        <f>IF(AND($B307&gt;=$FV307,$B307&lt;=$FW307),MAX(BF307,Sheet1!EI309,0),MAX(BF307-(7/36)*$K307,0))</f>
        <v>0</v>
      </c>
      <c r="BO307" s="560">
        <f t="shared" si="602"/>
        <v>0</v>
      </c>
      <c r="BP307" s="545">
        <f t="shared" si="603"/>
        <v>0</v>
      </c>
      <c r="BQ307" s="545">
        <f>IF(AND($O307&gt;0,Sheet1!EM309=1),(1-($O307-Sheet1!$L309)/$O307)*BL307,0)</f>
        <v>0</v>
      </c>
      <c r="BR307" s="545">
        <f>IF(AND(Sheet1!$L309=0,Sheet1!$L308=0, Calculation!BK307&lt;Sheet1!$EI309-0.1,Sheet1!$EI309=Sheet1!$EI308,Sheet1!$EI309=Sheet1!$EI310),Sheet1!$EI309,BL307-BQ307)</f>
        <v>0</v>
      </c>
      <c r="BS307" s="560"/>
      <c r="BT307" s="560"/>
      <c r="BU307" s="560">
        <f t="shared" si="604"/>
        <v>0</v>
      </c>
      <c r="BV307" s="560"/>
      <c r="BW307" s="560">
        <f ca="1">IF(B307&gt;Summary!$A$1,#N/A,BU307*MGtoAF)</f>
        <v>0</v>
      </c>
      <c r="BX307" s="560">
        <f>Sheet1!BC309+Sheet1!BD309+Sheet1!BE309+Sheet1!BF309-CG307-CH307</f>
        <v>2.5</v>
      </c>
      <c r="BY307" s="560">
        <f t="shared" si="605"/>
        <v>2.4618414574101428</v>
      </c>
      <c r="BZ307" s="560">
        <f>IF(Sheet1!EQ309="FM",CH307,0)</f>
        <v>0</v>
      </c>
      <c r="CA307" s="560">
        <f t="shared" si="606"/>
        <v>0</v>
      </c>
      <c r="CB307" s="560">
        <f>IF(Sheet1!EQ309="OTHER",CH307,0)</f>
        <v>0</v>
      </c>
      <c r="CC307" s="560">
        <f t="shared" si="607"/>
        <v>0</v>
      </c>
      <c r="CD307" s="560">
        <f t="shared" si="608"/>
        <v>0</v>
      </c>
      <c r="CE307" s="560">
        <f t="shared" si="609"/>
        <v>2.5</v>
      </c>
      <c r="CF307" s="560">
        <f t="shared" si="610"/>
        <v>2.4618414574101428</v>
      </c>
      <c r="CG307" s="560">
        <f>IF(Sheet1!EQ309="CWA",SUM(Sheet1!BC309:'Sheet1'!BF309),0)</f>
        <v>0</v>
      </c>
      <c r="CH307" s="560">
        <f>IF(OR(Sheet1!EQ309="FM", Sheet1!EQ309="OTHER"),SUM(Sheet1!BC309:'Sheet1'!BF309),0)</f>
        <v>0</v>
      </c>
      <c r="CI307" s="545">
        <f>IF(AND($B307&gt;=$FV307,$B307&lt;=$FW307),MAX(CF307,Sheet1!EJ309,0),MAX(CF307-(7/36)*$K307,0))</f>
        <v>0</v>
      </c>
      <c r="CJ307" s="560">
        <f t="shared" si="611"/>
        <v>0</v>
      </c>
      <c r="CK307" s="545">
        <f t="shared" si="612"/>
        <v>2.4618414574101428</v>
      </c>
      <c r="CL307" s="545">
        <f>IF(AND($O307&gt;0,Sheet1!EN309=1),(1-($O307-Sheet1!$L309)/$O307)*CF307,0)</f>
        <v>0</v>
      </c>
      <c r="CM307" s="545">
        <f>IF(AND(Sheet1!$L309=0,Sheet1!$L308=0, Calculation!CE307&lt;Sheet1!EJ309-0.1,Sheet1!EJ309=Sheet1!EJ308,Sheet1!EJ309=Sheet1!EJ310),Sheet1!EJ309,CF307-CL307)</f>
        <v>2.4618414574101428</v>
      </c>
      <c r="CN307" s="545"/>
      <c r="CO307" s="560"/>
      <c r="CP307" s="560">
        <f t="shared" si="613"/>
        <v>0</v>
      </c>
      <c r="CQ307" s="560"/>
      <c r="CR307" s="560">
        <f ca="1">IF(B307&gt;Summary!$A$1,#N/A,CP307*MGtoAF)</f>
        <v>0</v>
      </c>
      <c r="CS307" s="560">
        <f>Sheet1!BK309+Sheet1!BL309+Sheet1!BM309-Sheet1!ER309-DA307</f>
        <v>6.6099999999999994</v>
      </c>
      <c r="CT307" s="560">
        <f t="shared" si="614"/>
        <v>6.5091088133924178</v>
      </c>
      <c r="CU307" s="560">
        <f>IF(Sheet1!ER309="FM",DA307,0)</f>
        <v>0</v>
      </c>
      <c r="CV307" s="560">
        <f t="shared" si="615"/>
        <v>0</v>
      </c>
      <c r="CW307" s="560">
        <f>IF(Sheet1!ER309="OTHER",DA307,0)</f>
        <v>0</v>
      </c>
      <c r="CX307" s="560">
        <f t="shared" si="616"/>
        <v>0</v>
      </c>
      <c r="CY307" s="560">
        <f t="shared" si="617"/>
        <v>6.6099999999999994</v>
      </c>
      <c r="CZ307" s="560">
        <f t="shared" si="618"/>
        <v>6.5091088133924178</v>
      </c>
      <c r="DA307" s="560">
        <f>IF(OR(Sheet1!ER309="FM", Sheet1!ER309="OTHER"),SUM(Sheet1!BK309:'Sheet1'!BM309),0)</f>
        <v>0</v>
      </c>
      <c r="DB307" s="545">
        <f>IF(AND($B307&gt;=$FV307,$B307&lt;=$FW307),MAX($CT307,Sheet1!EK309,0),MAX($CT307-(7/36)*$K307,0))</f>
        <v>0</v>
      </c>
      <c r="DC307" s="560">
        <f t="shared" si="619"/>
        <v>0</v>
      </c>
      <c r="DD307" s="545">
        <f t="shared" si="620"/>
        <v>6.5091088133924178</v>
      </c>
      <c r="DE307" s="545">
        <f>IF(AND($O307&gt;0,Sheet1!EO309=1),(1-($O307-Sheet1!$L309)/$O307)*CZ307,0)</f>
        <v>0</v>
      </c>
      <c r="DF307" s="545">
        <f>IF(AND(Sheet1!$L309=0,Sheet1!$L308=0, Calculation!CY307&lt;Sheet1!$EK309-0.1,Sheet1!$EK309=Sheet1!$EK308,Sheet1!$EK309=Sheet1!$EK310),Sheet1!$EK309,CZ307-DE307)</f>
        <v>6.5091088133924178</v>
      </c>
      <c r="DG307" s="545"/>
      <c r="DH307" s="560">
        <f t="shared" si="621"/>
        <v>9.11</v>
      </c>
      <c r="DI307" s="560">
        <f t="shared" si="622"/>
        <v>0</v>
      </c>
      <c r="DJ307" s="698">
        <f t="shared" si="623"/>
        <v>8.970950270802561</v>
      </c>
      <c r="DK307" s="560">
        <f ca="1">IF(B307&gt;Summary!$A$1,#N/A,DI307*MGtoAF)</f>
        <v>0</v>
      </c>
      <c r="DL307" s="698">
        <f>CY307+CE307+BK307</f>
        <v>9.11</v>
      </c>
      <c r="DM307" s="560">
        <f t="shared" si="625"/>
        <v>20.309999999999999</v>
      </c>
      <c r="DN307" s="560">
        <f>Sheet1!AB309-DM307</f>
        <v>-0.30999999999999872</v>
      </c>
      <c r="DO307" s="823">
        <f t="shared" si="626"/>
        <v>-1.5263417035942823E-2</v>
      </c>
      <c r="DP307" s="560">
        <f>(VLOOKUP(Sheet1!DC309,hhdcap_wcm,4)-(((VLOOKUP(Sheet1!DC309,hhdcap_wcm,3)-Sheet1!DC309)/(VLOOKUP(Sheet1!DC309,hhdcap_wcm,3)-VLOOKUP(Sheet1!DC309,hhdcap_wcm,1)))*(VLOOKUP(Sheet1!DC309,hhdcap_wcm,4)-VLOOKUP(Sheet1!DC309,hhdcap_wcm,2))))</f>
        <v>8370.1000000177828</v>
      </c>
      <c r="DQ307" s="560">
        <f t="shared" si="627"/>
        <v>443.10000000097534</v>
      </c>
      <c r="DR307" s="560">
        <f t="shared" si="628"/>
        <v>223.44931921380498</v>
      </c>
      <c r="DS307" s="560">
        <f>Sheet1!EA309*AFtoMG</f>
        <v>0</v>
      </c>
      <c r="DT307" s="560">
        <f>Sheet1!EB309*AFtoMG</f>
        <v>0</v>
      </c>
      <c r="DU307" s="560">
        <f>Sheet1!EC309*AFtoMG</f>
        <v>0</v>
      </c>
      <c r="DV307" s="560">
        <f>Sheet1!ED309*AFtoMG</f>
        <v>0</v>
      </c>
      <c r="DW307" s="560">
        <f t="shared" si="629"/>
        <v>0</v>
      </c>
      <c r="DX307" s="560">
        <f t="shared" si="630"/>
        <v>0</v>
      </c>
      <c r="DY307" s="560">
        <f t="shared" si="631"/>
        <v>0</v>
      </c>
      <c r="DZ307" s="560">
        <f t="shared" si="632"/>
        <v>0</v>
      </c>
      <c r="EA307" s="560"/>
      <c r="EB307" s="545">
        <f>IF(OR(B307&lt;FV307,B307&gt;FW307),(MIN(BF307+BY307+CT307+MAX(Sheet1!AA309+AQ307-73,0),K307)),0)</f>
        <v>8.970950270802561</v>
      </c>
      <c r="EC307" s="560"/>
      <c r="ED307" s="560">
        <f t="shared" si="633"/>
        <v>8.970950270802561</v>
      </c>
      <c r="EE307" s="560"/>
      <c r="EF307" s="560">
        <f>Sheet1!EH309+Sheet1!EI309+Sheet1!EJ309+Sheet1!EK309</f>
        <v>9</v>
      </c>
      <c r="EG307" s="560"/>
      <c r="EH307" s="545">
        <f t="shared" si="634"/>
        <v>0</v>
      </c>
      <c r="EI307" s="560">
        <f>IF(Sheet1!ET309=1,SUM('Calculations II'!AT307:BA307)+'Calculations II'!BC307+Sheet1!BV309+'Calculations II'!BE307+AP307,SUM('Calculations II'!AT307:BA307)+'Calculations II'!BC307+Sheet1!BV309+'Calculations II'!BE307+AP307)</f>
        <v>50.042959999999994</v>
      </c>
      <c r="EJ307" s="560">
        <f>Sheet1!AA309+Sheet1!AB309+'Calculations II'!BC307</f>
        <v>44.673999999999999</v>
      </c>
      <c r="EK307" s="560"/>
      <c r="EL307" s="560"/>
      <c r="EM307" s="560">
        <f t="shared" si="635"/>
        <v>41935</v>
      </c>
      <c r="EN307" s="560">
        <f t="shared" si="636"/>
        <v>0</v>
      </c>
      <c r="EO307" s="560">
        <f t="shared" si="637"/>
        <v>0</v>
      </c>
      <c r="EP307" s="560">
        <v>0</v>
      </c>
      <c r="EQ307" s="560">
        <v>0</v>
      </c>
      <c r="ER307" s="560">
        <v>0</v>
      </c>
      <c r="ES307" s="545">
        <f t="shared" si="557"/>
        <v>6.9277639299852662</v>
      </c>
      <c r="ET307" s="560">
        <f>-(VLOOKUP(Sheet1!BQ309,Lookup!$O$4:$Q$262,2)-VLOOKUP(Sheet1!BQ308,Lookup!$O$4:$Q$262,2))/1000000</f>
        <v>3.4637217177565915</v>
      </c>
      <c r="EU307" s="560">
        <f>-(VLOOKUP(Sheet1!BR309,Lookup!$O$4:$Q$262,3)-VLOOKUP(Sheet1!BR308,Lookup!$O$4:$Q$262,3))/1000000</f>
        <v>3.4640422122286743</v>
      </c>
      <c r="EV307" s="560"/>
      <c r="EW307" s="560"/>
      <c r="EX307" s="560"/>
      <c r="EY307" s="560"/>
      <c r="EZ307" s="560"/>
      <c r="FA307" s="560"/>
      <c r="FB307" s="560"/>
      <c r="FC307" s="560"/>
      <c r="FD307" s="594">
        <f t="shared" si="638"/>
        <v>1099.4759999999569</v>
      </c>
      <c r="FE307" s="594" t="e">
        <f t="shared" si="639"/>
        <v>#N/A</v>
      </c>
      <c r="FF307" s="595" t="e">
        <f t="shared" si="640"/>
        <v>#N/A</v>
      </c>
      <c r="FG307" s="596" t="s">
        <v>692</v>
      </c>
      <c r="FH307" s="596" t="s">
        <v>692</v>
      </c>
      <c r="FI307" s="594" t="e">
        <v>#N/A</v>
      </c>
      <c r="FJ307" s="778">
        <v>4377</v>
      </c>
      <c r="FK307" s="560"/>
      <c r="FL307" s="560"/>
      <c r="FM307" s="560"/>
      <c r="FN307" s="560"/>
      <c r="FO307" s="560">
        <f>O307+((Sheet1!CS309)*GPMtoMGD)</f>
        <v>44.673999999999999</v>
      </c>
      <c r="FP307" s="560">
        <f>IF(Sheet1!AA309+AQ307&lt;=Calculation!N307,AQ307,Calculation!N307-Sheet1!AA309)</f>
        <v>10.044313146233382</v>
      </c>
      <c r="FQ307" s="560">
        <f>(Sheet1!BP309+Sheet1!BO309)/694.4</f>
        <v>2.3716877880184333</v>
      </c>
      <c r="FR307" s="560"/>
      <c r="FS307" s="560"/>
      <c r="FT307" s="560"/>
      <c r="FU307" s="560"/>
      <c r="FV307" s="695">
        <f t="shared" si="558"/>
        <v>41827</v>
      </c>
      <c r="FW307" s="695">
        <f t="shared" si="559"/>
        <v>41934</v>
      </c>
      <c r="FX307" s="560"/>
      <c r="FY307" s="560"/>
      <c r="FZ307" s="560"/>
      <c r="GA307" s="560"/>
      <c r="GB307" s="560" t="str">
        <f t="shared" si="560"/>
        <v>n</v>
      </c>
      <c r="GC307" s="564">
        <f t="shared" si="561"/>
        <v>41691</v>
      </c>
      <c r="GD307" s="695">
        <f t="shared" si="562"/>
        <v>41807</v>
      </c>
      <c r="GE307" s="560">
        <v>6518.9</v>
      </c>
      <c r="GF307" s="695">
        <f t="shared" si="563"/>
        <v>41808</v>
      </c>
      <c r="GG307" s="560">
        <f t="shared" si="582"/>
        <v>3259</v>
      </c>
      <c r="GH307" s="564">
        <f t="shared" si="564"/>
        <v>41934</v>
      </c>
      <c r="GJ307" s="545">
        <f t="shared" si="565"/>
        <v>0</v>
      </c>
      <c r="GK307" s="560" t="str">
        <f t="shared" si="641"/>
        <v/>
      </c>
      <c r="GL307" s="560">
        <f t="shared" si="566"/>
        <v>0</v>
      </c>
      <c r="GM307" s="560" t="str">
        <f t="shared" si="567"/>
        <v/>
      </c>
      <c r="GN307" s="560">
        <f>IF(GK307="P",Lookup!$M$12,IF(GK307="PP",Lookup!$M$13,IF(GK307="PPP",Lookup!$M$14,IF(GK307="T",Lookup!$M$15,IF(GK307="TP",Lookup!$M$16,IF(GK307="TPP",Lookup!$M$17,IF(GK307="TPPP",Lookup!$M$18,0)))))))*GJ307</f>
        <v>0</v>
      </c>
      <c r="GO307" s="560">
        <f t="shared" si="568"/>
        <v>0</v>
      </c>
      <c r="GP307" s="560">
        <f t="shared" si="642"/>
        <v>0</v>
      </c>
      <c r="GQ307" s="560">
        <f t="shared" si="576"/>
        <v>0</v>
      </c>
      <c r="GR307" s="560"/>
      <c r="GS307" s="560">
        <f t="shared" si="569"/>
        <v>0</v>
      </c>
      <c r="GT307" s="560" t="str">
        <f t="shared" si="570"/>
        <v/>
      </c>
      <c r="GU307" s="560">
        <f>IF(GK307="P",Lookup!$N$12,IF(GK307="PP",Lookup!$N$13,IF(GK307="PPP",Lookup!$N$14,IF(GK307="T",Lookup!$N$15,IF(GK307="TP",Lookup!$N$16,IF(GK307="TPP",Lookup!$N$17,IF(GK307="TPPP",Lookup!$N$18,0)))))))*GJ307</f>
        <v>0</v>
      </c>
      <c r="GV307" s="560">
        <f t="shared" si="571"/>
        <v>0</v>
      </c>
      <c r="GW307" s="560">
        <f t="shared" si="643"/>
        <v>0</v>
      </c>
      <c r="GX307" s="560">
        <f t="shared" si="577"/>
        <v>0</v>
      </c>
      <c r="GY307" s="560"/>
      <c r="GZ307" s="560">
        <f t="shared" si="572"/>
        <v>0</v>
      </c>
      <c r="HA307" s="560" t="str">
        <f t="shared" si="573"/>
        <v/>
      </c>
      <c r="HB307" s="560">
        <f>IF(GK307="P",Lookup!$N$12,IF(GK307="PP",Lookup!$N$13,IF(GK307="PPP",Lookup!$N$14,IF(GK307="T",Lookup!$N$15,IF(GK307="TP",Lookup!$N$16,IF(GK307="TPP",Lookup!$N$17,IF(GK307="TPPP",Lookup!$N$18,0)))))))*GJ307</f>
        <v>0</v>
      </c>
      <c r="HC307" s="545">
        <f t="shared" si="644"/>
        <v>0</v>
      </c>
      <c r="HD307" s="560">
        <f t="shared" si="645"/>
        <v>0</v>
      </c>
      <c r="HE307" s="560">
        <f t="shared" si="578"/>
        <v>0</v>
      </c>
      <c r="HF307" s="560"/>
      <c r="HG307" s="560">
        <f t="shared" si="574"/>
        <v>0</v>
      </c>
      <c r="HH307" s="560" t="str">
        <f t="shared" si="575"/>
        <v/>
      </c>
      <c r="HI307" s="560">
        <f>IF(GK307="P",Lookup!$N$12,IF(GK307="PP",Lookup!$N$13,IF(GK307="PPP",Lookup!$N$14,IF(GK307="T",Lookup!$N$15,IF(GK307="TP",Lookup!$N$16,IF(GK307="TPP",Lookup!$N$17,IF(GK307="TPPP",Lookup!$N$18,0)))))))*GJ307</f>
        <v>0</v>
      </c>
      <c r="HJ307" s="545">
        <f t="shared" si="646"/>
        <v>0</v>
      </c>
      <c r="HK307" s="560">
        <f t="shared" si="647"/>
        <v>0</v>
      </c>
      <c r="HL307" s="560">
        <f t="shared" si="579"/>
        <v>0</v>
      </c>
    </row>
    <row r="308" spans="1:220">
      <c r="A308" s="580" t="s">
        <v>8</v>
      </c>
      <c r="B308" s="556">
        <v>41936</v>
      </c>
      <c r="C308" s="561">
        <v>0</v>
      </c>
      <c r="D308" s="529">
        <f t="shared" si="580"/>
        <v>300</v>
      </c>
      <c r="E308" s="529">
        <f t="shared" si="581"/>
        <v>250</v>
      </c>
      <c r="F308" s="529">
        <v>250</v>
      </c>
      <c r="G308" s="560">
        <f>DR308+Sheet1!CZ310</f>
        <v>1562.2894604134394</v>
      </c>
      <c r="H308" s="914">
        <f t="shared" si="546"/>
        <v>742.90070721124721</v>
      </c>
      <c r="I308" s="559">
        <f>MAX(Sheet1!Z310-AT308+(Sheet1!DA310-E308)*CFStoMGD,0)</f>
        <v>1144.7359999999999</v>
      </c>
      <c r="J308" s="562">
        <f>IF(AND(B308&gt;=Calculation!GC308,B308&lt;=Calculation!GD308),IF(Sheet1!DB310&gt;=Calculation!D308,64.64,0),MAX(Sheet1!Z310-AT308+(Sheet1!DB310-D308)*CFStoMGD,0))</f>
        <v>808.60799999999995</v>
      </c>
      <c r="K308" s="904">
        <f t="shared" si="583"/>
        <v>64.64</v>
      </c>
      <c r="L308" s="560">
        <f>Sheet1!AA310+Sheet1!AB310-Sheet1!L310+(Sheet1!DA310-F308)*CFStoMGD</f>
        <v>1155.7360000000006</v>
      </c>
      <c r="M308" s="560">
        <f t="shared" si="584"/>
        <v>1030.0611853554722</v>
      </c>
      <c r="N308" s="910">
        <f>IF(Sheet1!DA310&gt;=F308,MIN(73,MIN(MAX(L308,0),MAX(M308,0))),0)</f>
        <v>73</v>
      </c>
      <c r="O308" s="563">
        <f>Sheet1!AA310+Sheet1!AB310</f>
        <v>47.8</v>
      </c>
      <c r="P308" s="563">
        <f t="shared" si="585"/>
        <v>73.946599999999989</v>
      </c>
      <c r="Q308" s="898">
        <f t="shared" si="547"/>
        <v>0</v>
      </c>
      <c r="R308" s="829">
        <f t="shared" si="586"/>
        <v>8.9475291281639215</v>
      </c>
      <c r="S308" s="898">
        <f t="shared" si="548"/>
        <v>47.8</v>
      </c>
      <c r="T308" s="898">
        <f t="shared" si="549"/>
        <v>0</v>
      </c>
      <c r="U308" s="898">
        <f t="shared" si="550"/>
        <v>0</v>
      </c>
      <c r="V308" s="898"/>
      <c r="W308" s="898">
        <f t="shared" si="551"/>
        <v>55.692470871836079</v>
      </c>
      <c r="X308" s="898">
        <f t="shared" si="552"/>
        <v>47.8</v>
      </c>
      <c r="Y308" s="898" t="str">
        <f t="shared" si="553"/>
        <v/>
      </c>
      <c r="Z308" s="898">
        <f t="shared" si="554"/>
        <v>47.8</v>
      </c>
      <c r="AA308" s="898">
        <f t="shared" si="555"/>
        <v>47.8</v>
      </c>
      <c r="AB308" s="898" t="str">
        <f t="shared" si="556"/>
        <v/>
      </c>
      <c r="AC308" s="563">
        <f>Sheet1!Y310*MGDtoCFS</f>
        <v>36.973299999999995</v>
      </c>
      <c r="AD308" s="563">
        <f>Sheet1!Z310*MGDtoCFS</f>
        <v>30.939999999999998</v>
      </c>
      <c r="AE308" s="563">
        <f>Sheet1!AA310*MGDtoCFS</f>
        <v>35.580999999999996</v>
      </c>
      <c r="AF308" s="563">
        <f>Sheet1!AB310*MGDtoCFS</f>
        <v>38.365600000000001</v>
      </c>
      <c r="AG308" s="563">
        <f>Sheet1!L310*MGDtoCFS</f>
        <v>25.989599999998873</v>
      </c>
      <c r="AH308" s="545">
        <f t="shared" si="587"/>
        <v>0</v>
      </c>
      <c r="AI308" s="560">
        <f t="shared" si="588"/>
        <v>0</v>
      </c>
      <c r="AJ308" s="560">
        <f t="shared" si="589"/>
        <v>0</v>
      </c>
      <c r="AK308" s="560">
        <f t="shared" si="590"/>
        <v>0</v>
      </c>
      <c r="AL308" s="560">
        <f>(VLOOKUP(Sheet1!DC310,hhdcap_wcm,4)-(((VLOOKUP(Sheet1!DC310,hhdcap_wcm,3)-Sheet1!DC310)/(VLOOKUP(Sheet1!DC310,hhdcap_wcm,3)-VLOOKUP(Sheet1!DC310,hhdcap_wcm,1)))*(VLOOKUP(Sheet1!DC310,hhdcap_wcm,4)-VLOOKUP(Sheet1!DC310,hhdcap_wcm,2))))</f>
        <v>8216.0000000176333</v>
      </c>
      <c r="AM308" s="560">
        <f t="shared" si="591"/>
        <v>-154.10000000014952</v>
      </c>
      <c r="AN308" s="560">
        <f t="shared" si="592"/>
        <v>0</v>
      </c>
      <c r="AO308" s="560">
        <f t="shared" si="593"/>
        <v>0</v>
      </c>
      <c r="AP308" s="560">
        <f>Sheet1!BA310+Sheet1!BB310+Sheet1!BN310+CD308</f>
        <v>15.91</v>
      </c>
      <c r="AQ308" s="560">
        <f>Sheet1!BN310+(DO308*Sheet1!BN310)</f>
        <v>14.846122940940138</v>
      </c>
      <c r="AR308" s="560">
        <f>Sheet1!BA310+CD308</f>
        <v>0</v>
      </c>
      <c r="AS308" s="560">
        <f>Sheet1!BA310+Sheet1!BB310+CD308</f>
        <v>1.01</v>
      </c>
      <c r="AT308" s="698">
        <f>0</f>
        <v>0</v>
      </c>
      <c r="AU308" s="560">
        <f>IF(EB308&lt;K308,0,MAX(Sheet1!AA310+AQ308-15/36*K308-N308,Sheet1!EH310,0))</f>
        <v>0</v>
      </c>
      <c r="AV308" s="560">
        <f>IF(OR(B308&gt;=GD308,B308&lt;GC308),0,15/36*K308-MAX(0,64.6-(137.6-(Sheet1!AA310+Sheet1!AB310))))</f>
        <v>0</v>
      </c>
      <c r="AW308" s="698">
        <f>Sheet1!DB310-110</f>
        <v>1410</v>
      </c>
      <c r="AX308" s="698">
        <f>Sheet1!DA310-265</f>
        <v>1725</v>
      </c>
      <c r="AY308" s="698">
        <f t="shared" si="594"/>
        <v>73</v>
      </c>
      <c r="AZ308" s="698">
        <v>0</v>
      </c>
      <c r="BA308" s="698">
        <f t="shared" si="595"/>
        <v>0</v>
      </c>
      <c r="BB308" s="560">
        <f t="shared" si="596"/>
        <v>0</v>
      </c>
      <c r="BC308" s="560"/>
      <c r="BD308" s="560">
        <f ca="1">IF(B308&gt;Summary!$A$1,#N/A,BB308*MGtoAF)</f>
        <v>0</v>
      </c>
      <c r="BE308" s="560">
        <f>Sheet1!BG310+Sheet1!BH310+Sheet1!BI310-BM308</f>
        <v>0</v>
      </c>
      <c r="BF308" s="560">
        <f t="shared" si="597"/>
        <v>0</v>
      </c>
      <c r="BG308" s="560">
        <f>IF(Sheet1!EP310="FM",BM308,0)</f>
        <v>0</v>
      </c>
      <c r="BH308" s="560">
        <f t="shared" si="598"/>
        <v>0</v>
      </c>
      <c r="BI308" s="560">
        <f>IF(Sheet1!EP310="OTHER",BM308,0)</f>
        <v>0</v>
      </c>
      <c r="BJ308" s="560">
        <f t="shared" si="599"/>
        <v>0</v>
      </c>
      <c r="BK308" s="560">
        <f t="shared" si="600"/>
        <v>0</v>
      </c>
      <c r="BL308" s="560">
        <f t="shared" si="601"/>
        <v>0</v>
      </c>
      <c r="BM308" s="560">
        <f>IF(OR(Sheet1!EP310="FM", Sheet1!EP310="OTHER"),SUM(Sheet1!BG310:'Sheet1'!BI310),0)</f>
        <v>0</v>
      </c>
      <c r="BN308" s="545">
        <f>IF(AND($B308&gt;=$FV308,$B308&lt;=$FW308),MAX(BF308,Sheet1!EI310,0),MAX(BF308-(7/36)*$K308,0))</f>
        <v>0</v>
      </c>
      <c r="BO308" s="560">
        <f t="shared" si="602"/>
        <v>0</v>
      </c>
      <c r="BP308" s="545">
        <f t="shared" si="603"/>
        <v>0</v>
      </c>
      <c r="BQ308" s="545">
        <f>IF(AND($O308&gt;0,Sheet1!EM310=1),(1-($O308-Sheet1!$L310)/$O308)*BL308,0)</f>
        <v>0</v>
      </c>
      <c r="BR308" s="545">
        <f>IF(AND(Sheet1!$L310=0,Sheet1!$L309=0, Calculation!BK308&lt;Sheet1!$EI310-0.1,Sheet1!$EI310=Sheet1!$EI309,Sheet1!$EI310=Sheet1!$EI311),Sheet1!$EI310,BL308-BQ308)</f>
        <v>0</v>
      </c>
      <c r="BS308" s="560"/>
      <c r="BT308" s="560"/>
      <c r="BU308" s="560">
        <f t="shared" si="604"/>
        <v>0</v>
      </c>
      <c r="BV308" s="560"/>
      <c r="BW308" s="560">
        <f ca="1">IF(B308&gt;Summary!$A$1,#N/A,BU308*MGtoAF)</f>
        <v>0</v>
      </c>
      <c r="BX308" s="560">
        <f>Sheet1!BC310+Sheet1!BD310+Sheet1!BE310+Sheet1!BF310-CG308-CH308</f>
        <v>2.5</v>
      </c>
      <c r="BY308" s="560">
        <f t="shared" si="605"/>
        <v>2.4909602249899558</v>
      </c>
      <c r="BZ308" s="560">
        <f>IF(Sheet1!EQ310="FM",CH308,0)</f>
        <v>0</v>
      </c>
      <c r="CA308" s="560">
        <f t="shared" si="606"/>
        <v>0</v>
      </c>
      <c r="CB308" s="560">
        <f>IF(Sheet1!EQ310="OTHER",CH308,0)</f>
        <v>0</v>
      </c>
      <c r="CC308" s="560">
        <f t="shared" si="607"/>
        <v>0</v>
      </c>
      <c r="CD308" s="560">
        <f t="shared" si="608"/>
        <v>0</v>
      </c>
      <c r="CE308" s="560">
        <f t="shared" si="609"/>
        <v>2.5</v>
      </c>
      <c r="CF308" s="560">
        <f t="shared" si="610"/>
        <v>2.4909602249899558</v>
      </c>
      <c r="CG308" s="560">
        <f>IF(Sheet1!EQ310="CWA",SUM(Sheet1!BC310:'Sheet1'!BF310),0)</f>
        <v>0</v>
      </c>
      <c r="CH308" s="560">
        <f>IF(OR(Sheet1!EQ310="FM", Sheet1!EQ310="OTHER"),SUM(Sheet1!BC310:'Sheet1'!BF310),0)</f>
        <v>0</v>
      </c>
      <c r="CI308" s="545">
        <f>IF(AND($B308&gt;=$FV308,$B308&lt;=$FW308),MAX(CF308,Sheet1!EJ310,0),MAX(CF308-(7/36)*$K308,0))</f>
        <v>0</v>
      </c>
      <c r="CJ308" s="560">
        <f t="shared" si="611"/>
        <v>0</v>
      </c>
      <c r="CK308" s="545">
        <f t="shared" si="612"/>
        <v>2.4909602249899558</v>
      </c>
      <c r="CL308" s="545">
        <f>IF(AND($O308&gt;0,Sheet1!EN310=1),(1-($O308-Sheet1!$L310)/$O308)*CF308,0)</f>
        <v>0</v>
      </c>
      <c r="CM308" s="545">
        <f>IF(AND(Sheet1!$L310=0,Sheet1!$L309=0, Calculation!CE308&lt;Sheet1!EJ310-0.1,Sheet1!EJ310=Sheet1!EJ309,Sheet1!EJ310=Sheet1!EJ311),Sheet1!EJ310,CF308-CL308)</f>
        <v>2.4909602249899558</v>
      </c>
      <c r="CN308" s="545"/>
      <c r="CO308" s="560"/>
      <c r="CP308" s="560">
        <f t="shared" si="613"/>
        <v>0</v>
      </c>
      <c r="CQ308" s="560"/>
      <c r="CR308" s="560">
        <f ca="1">IF(B308&gt;Summary!$A$1,#N/A,CP308*MGtoAF)</f>
        <v>0</v>
      </c>
      <c r="CS308" s="560">
        <f>Sheet1!BK310+Sheet1!BL310+Sheet1!BM310-Sheet1!ER310-DA308</f>
        <v>6.48</v>
      </c>
      <c r="CT308" s="560">
        <f t="shared" si="614"/>
        <v>6.4565689031739657</v>
      </c>
      <c r="CU308" s="560">
        <f>IF(Sheet1!ER310="FM",DA308,0)</f>
        <v>0</v>
      </c>
      <c r="CV308" s="560">
        <f t="shared" si="615"/>
        <v>0</v>
      </c>
      <c r="CW308" s="560">
        <f>IF(Sheet1!ER310="OTHER",DA308,0)</f>
        <v>0</v>
      </c>
      <c r="CX308" s="560">
        <f t="shared" si="616"/>
        <v>0</v>
      </c>
      <c r="CY308" s="560">
        <f t="shared" si="617"/>
        <v>6.48</v>
      </c>
      <c r="CZ308" s="560">
        <f t="shared" si="618"/>
        <v>6.4565689031739657</v>
      </c>
      <c r="DA308" s="560">
        <f>IF(OR(Sheet1!ER310="FM", Sheet1!ER310="OTHER"),SUM(Sheet1!BK310:'Sheet1'!BM310),0)</f>
        <v>0</v>
      </c>
      <c r="DB308" s="545">
        <f>IF(AND($B308&gt;=$FV308,$B308&lt;=$FW308),MAX($CT308,Sheet1!EK310,0),MAX($CT308-(7/36)*$K308,0))</f>
        <v>0</v>
      </c>
      <c r="DC308" s="560">
        <f t="shared" si="619"/>
        <v>0</v>
      </c>
      <c r="DD308" s="545">
        <f t="shared" si="620"/>
        <v>6.4565689031739657</v>
      </c>
      <c r="DE308" s="545">
        <f>IF(AND($O308&gt;0,Sheet1!EO310=1),(1-($O308-Sheet1!$L310)/$O308)*CZ308,0)</f>
        <v>0</v>
      </c>
      <c r="DF308" s="545">
        <f>IF(AND(Sheet1!$L310=0,Sheet1!$L309=0, Calculation!CY308&lt;Sheet1!$EK310-0.1,Sheet1!$EK310=Sheet1!$EK309,Sheet1!$EK310=Sheet1!$EK311),Sheet1!$EK310,CZ308-DE308)</f>
        <v>6.4565689031739657</v>
      </c>
      <c r="DG308" s="545"/>
      <c r="DH308" s="560">
        <f t="shared" si="621"/>
        <v>8.98</v>
      </c>
      <c r="DI308" s="560">
        <f t="shared" si="622"/>
        <v>0</v>
      </c>
      <c r="DJ308" s="698">
        <f t="shared" si="623"/>
        <v>8.9475291281639215</v>
      </c>
      <c r="DK308" s="560">
        <f ca="1">IF(B308&gt;Summary!$A$1,#N/A,DI308*MGtoAF)</f>
        <v>0</v>
      </c>
      <c r="DL308" s="698">
        <f>CY308+CE308+BK308</f>
        <v>8.98</v>
      </c>
      <c r="DM308" s="560">
        <f t="shared" si="625"/>
        <v>24.89</v>
      </c>
      <c r="DN308" s="560">
        <f>Sheet1!AB310-DM308</f>
        <v>-8.9999999999999858E-2</v>
      </c>
      <c r="DO308" s="823">
        <f t="shared" si="626"/>
        <v>-3.615910004017672E-3</v>
      </c>
      <c r="DP308" s="560">
        <f>(VLOOKUP(Sheet1!DC310,hhdcap_wcm,4)-(((VLOOKUP(Sheet1!DC310,hhdcap_wcm,3)-Sheet1!DC310)/(VLOOKUP(Sheet1!DC310,hhdcap_wcm,3)-VLOOKUP(Sheet1!DC310,hhdcap_wcm,1)))*(VLOOKUP(Sheet1!DC310,hhdcap_wcm,4)-VLOOKUP(Sheet1!DC310,hhdcap_wcm,2))))</f>
        <v>8216.0000000176333</v>
      </c>
      <c r="DQ308" s="560">
        <f t="shared" si="627"/>
        <v>-154.10000000014952</v>
      </c>
      <c r="DR308" s="560">
        <f t="shared" si="628"/>
        <v>-77.710539586560515</v>
      </c>
      <c r="DS308" s="560">
        <f>Sheet1!EA310*AFtoMG</f>
        <v>0</v>
      </c>
      <c r="DT308" s="560">
        <f>Sheet1!EB310*AFtoMG</f>
        <v>0</v>
      </c>
      <c r="DU308" s="560">
        <f>Sheet1!EC310*AFtoMG</f>
        <v>0</v>
      </c>
      <c r="DV308" s="560">
        <f>Sheet1!ED310*AFtoMG</f>
        <v>0</v>
      </c>
      <c r="DW308" s="560">
        <f t="shared" si="629"/>
        <v>0</v>
      </c>
      <c r="DX308" s="560">
        <f t="shared" si="630"/>
        <v>0</v>
      </c>
      <c r="DY308" s="560">
        <f t="shared" si="631"/>
        <v>0</v>
      </c>
      <c r="DZ308" s="560">
        <f t="shared" si="632"/>
        <v>0</v>
      </c>
      <c r="EA308" s="560"/>
      <c r="EB308" s="545">
        <f>IF(OR(B308&lt;FV308,B308&gt;FW308),(MIN(BF308+BY308+CT308+MAX(Sheet1!AA310+AQ308-73,0),K308)),0)</f>
        <v>8.9475291281639215</v>
      </c>
      <c r="EC308" s="560"/>
      <c r="ED308" s="560">
        <f t="shared" si="633"/>
        <v>8.9475291281639215</v>
      </c>
      <c r="EE308" s="560"/>
      <c r="EF308" s="560">
        <f>Sheet1!EH310+Sheet1!EI310+Sheet1!EJ310+Sheet1!EK310</f>
        <v>9</v>
      </c>
      <c r="EG308" s="560"/>
      <c r="EH308" s="545">
        <f t="shared" si="634"/>
        <v>0</v>
      </c>
      <c r="EI308" s="560">
        <f>IF(Sheet1!ET310=1,SUM('Calculations II'!AT308:BA308)+'Calculations II'!BC308+Sheet1!BV310+'Calculations II'!BE308+AP308,SUM('Calculations II'!AT308:BA308)+'Calculations II'!BC308+Sheet1!BV310+'Calculations II'!BE308+AP308)</f>
        <v>51.348464000000007</v>
      </c>
      <c r="EJ308" s="560">
        <f>Sheet1!AA310+Sheet1!AB310+'Calculations II'!BC308</f>
        <v>50.665599999999998</v>
      </c>
      <c r="EK308" s="560"/>
      <c r="EL308" s="560"/>
      <c r="EM308" s="560">
        <f t="shared" si="635"/>
        <v>41936</v>
      </c>
      <c r="EN308" s="560">
        <f t="shared" si="636"/>
        <v>0</v>
      </c>
      <c r="EO308" s="560">
        <f t="shared" si="637"/>
        <v>0</v>
      </c>
      <c r="EP308" s="560">
        <v>0</v>
      </c>
      <c r="EQ308" s="560">
        <v>0</v>
      </c>
      <c r="ER308" s="560">
        <v>0</v>
      </c>
      <c r="ES308" s="545">
        <f t="shared" si="557"/>
        <v>1.6614712732869312</v>
      </c>
      <c r="ET308" s="560">
        <f>-(VLOOKUP(Sheet1!BQ310,Lookup!$O$4:$Q$262,2)-VLOOKUP(Sheet1!BQ309,Lookup!$O$4:$Q$262,2))/1000000</f>
        <v>0.83069719105221329</v>
      </c>
      <c r="EU308" s="560">
        <f>-(VLOOKUP(Sheet1!BR310,Lookup!$O$4:$Q$262,3)-VLOOKUP(Sheet1!BR309,Lookup!$O$4:$Q$262,3))/1000000</f>
        <v>0.83077408223471794</v>
      </c>
      <c r="EV308" s="560"/>
      <c r="EW308" s="560"/>
      <c r="EX308" s="560"/>
      <c r="EY308" s="560"/>
      <c r="EZ308" s="560"/>
      <c r="FA308" s="560"/>
      <c r="FB308" s="560"/>
      <c r="FC308" s="560"/>
      <c r="FD308" s="594">
        <f t="shared" si="638"/>
        <v>1098.6374999999575</v>
      </c>
      <c r="FE308" s="594" t="e">
        <f t="shared" si="639"/>
        <v>#N/A</v>
      </c>
      <c r="FF308" s="595" t="e">
        <f t="shared" si="640"/>
        <v>#N/A</v>
      </c>
      <c r="FG308" s="596" t="s">
        <v>692</v>
      </c>
      <c r="FH308" s="596" t="s">
        <v>692</v>
      </c>
      <c r="FI308" s="594" t="e">
        <v>#N/A</v>
      </c>
      <c r="FJ308" s="778">
        <v>4167</v>
      </c>
      <c r="FK308" s="560"/>
      <c r="FL308" s="560"/>
      <c r="FM308" s="560"/>
      <c r="FN308" s="560"/>
      <c r="FO308" s="560">
        <f>O308+((Sheet1!CS310)*GPMtoMGD)</f>
        <v>50.665599999999998</v>
      </c>
      <c r="FP308" s="560">
        <f>IF(Sheet1!AA310+AQ308&lt;=Calculation!N308,AQ308,Calculation!N308-Sheet1!AA310)</f>
        <v>14.846122940940138</v>
      </c>
      <c r="FQ308" s="560">
        <f>(Sheet1!BP310+Sheet1!BO310)/694.4</f>
        <v>1.0362903225806452</v>
      </c>
      <c r="FR308" s="560"/>
      <c r="FS308" s="560"/>
      <c r="FT308" s="560"/>
      <c r="FU308" s="560"/>
      <c r="FV308" s="695">
        <f t="shared" si="558"/>
        <v>41827</v>
      </c>
      <c r="FW308" s="695">
        <f t="shared" si="559"/>
        <v>41934</v>
      </c>
      <c r="FX308" s="560"/>
      <c r="FY308" s="560"/>
      <c r="FZ308" s="560"/>
      <c r="GA308" s="560"/>
      <c r="GB308" s="560" t="str">
        <f t="shared" si="560"/>
        <v>n</v>
      </c>
      <c r="GC308" s="564">
        <f t="shared" si="561"/>
        <v>41691</v>
      </c>
      <c r="GD308" s="695">
        <f t="shared" si="562"/>
        <v>41807</v>
      </c>
      <c r="GE308" s="560">
        <v>6518.9</v>
      </c>
      <c r="GF308" s="695">
        <f t="shared" si="563"/>
        <v>41808</v>
      </c>
      <c r="GG308" s="560">
        <f t="shared" si="582"/>
        <v>3259</v>
      </c>
      <c r="GH308" s="564">
        <f t="shared" si="564"/>
        <v>41934</v>
      </c>
      <c r="GJ308" s="545">
        <f t="shared" si="565"/>
        <v>0</v>
      </c>
      <c r="GK308" s="560" t="str">
        <f t="shared" si="641"/>
        <v/>
      </c>
      <c r="GL308" s="560">
        <f t="shared" si="566"/>
        <v>0</v>
      </c>
      <c r="GM308" s="560" t="str">
        <f t="shared" si="567"/>
        <v/>
      </c>
      <c r="GN308" s="560">
        <f>IF(GK308="P",Lookup!$M$12,IF(GK308="PP",Lookup!$M$13,IF(GK308="PPP",Lookup!$M$14,IF(GK308="T",Lookup!$M$15,IF(GK308="TP",Lookup!$M$16,IF(GK308="TPP",Lookup!$M$17,IF(GK308="TPPP",Lookup!$M$18,0)))))))*GJ308</f>
        <v>0</v>
      </c>
      <c r="GO308" s="560">
        <f t="shared" si="568"/>
        <v>0</v>
      </c>
      <c r="GP308" s="560">
        <f t="shared" si="642"/>
        <v>0</v>
      </c>
      <c r="GQ308" s="560">
        <f t="shared" si="576"/>
        <v>0</v>
      </c>
      <c r="GR308" s="560"/>
      <c r="GS308" s="560">
        <f t="shared" si="569"/>
        <v>0</v>
      </c>
      <c r="GT308" s="560" t="str">
        <f t="shared" si="570"/>
        <v/>
      </c>
      <c r="GU308" s="560">
        <f>IF(GK308="P",Lookup!$N$12,IF(GK308="PP",Lookup!$N$13,IF(GK308="PPP",Lookup!$N$14,IF(GK308="T",Lookup!$N$15,IF(GK308="TP",Lookup!$N$16,IF(GK308="TPP",Lookup!$N$17,IF(GK308="TPPP",Lookup!$N$18,0)))))))*GJ308</f>
        <v>0</v>
      </c>
      <c r="GV308" s="560">
        <f t="shared" si="571"/>
        <v>0</v>
      </c>
      <c r="GW308" s="560">
        <f t="shared" si="643"/>
        <v>0</v>
      </c>
      <c r="GX308" s="560">
        <f t="shared" si="577"/>
        <v>0</v>
      </c>
      <c r="GY308" s="560"/>
      <c r="GZ308" s="560">
        <f t="shared" si="572"/>
        <v>0</v>
      </c>
      <c r="HA308" s="560" t="str">
        <f t="shared" si="573"/>
        <v/>
      </c>
      <c r="HB308" s="560">
        <f>IF(GK308="P",Lookup!$N$12,IF(GK308="PP",Lookup!$N$13,IF(GK308="PPP",Lookup!$N$14,IF(GK308="T",Lookup!$N$15,IF(GK308="TP",Lookup!$N$16,IF(GK308="TPP",Lookup!$N$17,IF(GK308="TPPP",Lookup!$N$18,0)))))))*GJ308</f>
        <v>0</v>
      </c>
      <c r="HC308" s="545">
        <f t="shared" si="644"/>
        <v>0</v>
      </c>
      <c r="HD308" s="560">
        <f t="shared" si="645"/>
        <v>0</v>
      </c>
      <c r="HE308" s="560">
        <f t="shared" si="578"/>
        <v>0</v>
      </c>
      <c r="HF308" s="560"/>
      <c r="HG308" s="560">
        <f t="shared" si="574"/>
        <v>0</v>
      </c>
      <c r="HH308" s="560" t="str">
        <f t="shared" si="575"/>
        <v/>
      </c>
      <c r="HI308" s="560">
        <f>IF(GK308="P",Lookup!$N$12,IF(GK308="PP",Lookup!$N$13,IF(GK308="PPP",Lookup!$N$14,IF(GK308="T",Lookup!$N$15,IF(GK308="TP",Lookup!$N$16,IF(GK308="TPP",Lookup!$N$17,IF(GK308="TPPP",Lookup!$N$18,0)))))))*GJ308</f>
        <v>0</v>
      </c>
      <c r="HJ308" s="545">
        <f t="shared" si="646"/>
        <v>0</v>
      </c>
      <c r="HK308" s="560">
        <f t="shared" si="647"/>
        <v>0</v>
      </c>
      <c r="HL308" s="560">
        <f t="shared" si="579"/>
        <v>0</v>
      </c>
    </row>
    <row r="309" spans="1:220">
      <c r="A309" s="580" t="s">
        <v>9</v>
      </c>
      <c r="B309" s="556">
        <v>41937</v>
      </c>
      <c r="C309" s="561">
        <v>0</v>
      </c>
      <c r="D309" s="529">
        <f t="shared" si="580"/>
        <v>300</v>
      </c>
      <c r="E309" s="529">
        <f t="shared" si="581"/>
        <v>250</v>
      </c>
      <c r="F309" s="529">
        <v>250</v>
      </c>
      <c r="G309" s="560">
        <f>DR309+Sheet1!CZ311</f>
        <v>1051.8406454853462</v>
      </c>
      <c r="H309" s="914">
        <f t="shared" si="546"/>
        <v>412.94659324172773</v>
      </c>
      <c r="I309" s="559">
        <f>MAX(Sheet1!Z311-AT309+(Sheet1!DA311-E309)*CFStoMGD,0)</f>
        <v>1097.8239999999998</v>
      </c>
      <c r="J309" s="562">
        <f>IF(AND(B309&gt;=Calculation!GC309,B309&lt;=Calculation!GD309),IF(Sheet1!DB311&gt;=Calculation!D309,64.64,0),MAX(Sheet1!Z311-AT309+(Sheet1!DB311-D309)*CFStoMGD,0))</f>
        <v>774.62399999999991</v>
      </c>
      <c r="K309" s="904">
        <f t="shared" si="583"/>
        <v>64.64</v>
      </c>
      <c r="L309" s="560">
        <f>Sheet1!AA311+Sheet1!AB311-Sheet1!L311+(Sheet1!DA311-F309)*CFStoMGD</f>
        <v>1122.1339999999998</v>
      </c>
      <c r="M309" s="560">
        <f t="shared" si="584"/>
        <v>693.50798910656238</v>
      </c>
      <c r="N309" s="910">
        <f>IF(Sheet1!DA311&gt;=F309,MIN(73,MIN(MAX(L309,0),MAX(M309,0))),0)</f>
        <v>73</v>
      </c>
      <c r="O309" s="563">
        <f>Sheet1!AA311+Sheet1!AB311</f>
        <v>52.7</v>
      </c>
      <c r="P309" s="563">
        <f t="shared" si="585"/>
        <v>81.526899999999983</v>
      </c>
      <c r="Q309" s="898">
        <f t="shared" si="547"/>
        <v>0</v>
      </c>
      <c r="R309" s="829">
        <f t="shared" si="586"/>
        <v>8.8970829236315954</v>
      </c>
      <c r="S309" s="898">
        <f t="shared" si="548"/>
        <v>52.7</v>
      </c>
      <c r="T309" s="898">
        <f t="shared" si="549"/>
        <v>0</v>
      </c>
      <c r="U309" s="898">
        <f t="shared" si="550"/>
        <v>0</v>
      </c>
      <c r="V309" s="898"/>
      <c r="W309" s="898">
        <f t="shared" si="551"/>
        <v>55.742917076368407</v>
      </c>
      <c r="X309" s="898">
        <f t="shared" si="552"/>
        <v>52.7</v>
      </c>
      <c r="Y309" s="898" t="str">
        <f t="shared" si="553"/>
        <v/>
      </c>
      <c r="Z309" s="898">
        <f t="shared" si="554"/>
        <v>52.7</v>
      </c>
      <c r="AA309" s="898">
        <f t="shared" si="555"/>
        <v>52.7</v>
      </c>
      <c r="AB309" s="898" t="str">
        <f t="shared" si="556"/>
        <v/>
      </c>
      <c r="AC309" s="563">
        <f>Sheet1!Y311*MGDtoCFS</f>
        <v>35.580999999999996</v>
      </c>
      <c r="AD309" s="563">
        <f>Sheet1!Z311*MGDtoCFS</f>
        <v>38.365600000000001</v>
      </c>
      <c r="AE309" s="563">
        <f>Sheet1!AA311*MGDtoCFS</f>
        <v>34.343399999999995</v>
      </c>
      <c r="AF309" s="563">
        <f>Sheet1!AB311*MGDtoCFS</f>
        <v>47.183499999999995</v>
      </c>
      <c r="AG309" s="563">
        <f>Sheet1!L311*MGDtoCFS</f>
        <v>5.5537300000002245</v>
      </c>
      <c r="AH309" s="545">
        <f t="shared" si="587"/>
        <v>0</v>
      </c>
      <c r="AI309" s="560">
        <f t="shared" si="588"/>
        <v>0</v>
      </c>
      <c r="AJ309" s="560">
        <f t="shared" si="589"/>
        <v>0</v>
      </c>
      <c r="AK309" s="560">
        <f t="shared" si="590"/>
        <v>0</v>
      </c>
      <c r="AL309" s="560">
        <f>(VLOOKUP(Sheet1!DC311,hhdcap_wcm,4)-(((VLOOKUP(Sheet1!DC311,hhdcap_wcm,3)-Sheet1!DC311)/(VLOOKUP(Sheet1!DC311,hhdcap_wcm,3)-VLOOKUP(Sheet1!DC311,hhdcap_wcm,1)))*(VLOOKUP(Sheet1!DC311,hhdcap_wcm,4)-VLOOKUP(Sheet1!DC311,hhdcap_wcm,2))))</f>
        <v>7129.0000000150749</v>
      </c>
      <c r="AM309" s="560">
        <f t="shared" si="591"/>
        <v>-1087.0000000025584</v>
      </c>
      <c r="AN309" s="560">
        <f t="shared" si="592"/>
        <v>0</v>
      </c>
      <c r="AO309" s="560">
        <f t="shared" si="593"/>
        <v>0</v>
      </c>
      <c r="AP309" s="560">
        <f>Sheet1!BA311+Sheet1!BB311+Sheet1!BN311+CD309</f>
        <v>21.610000000000003</v>
      </c>
      <c r="AQ309" s="560">
        <f>Sheet1!BN311+(DO309*Sheet1!BN311)</f>
        <v>20.593248115372006</v>
      </c>
      <c r="AR309" s="560">
        <f>Sheet1!BA311+CD309</f>
        <v>0</v>
      </c>
      <c r="AS309" s="560">
        <f>Sheet1!BA311+Sheet1!BB311+CD309</f>
        <v>1.01</v>
      </c>
      <c r="AT309" s="698">
        <f>0</f>
        <v>0</v>
      </c>
      <c r="AU309" s="560">
        <f>IF(EB309&lt;K309,0,MAX(Sheet1!AA311+AQ309-15/36*K309-N309,Sheet1!EH311,0))</f>
        <v>0</v>
      </c>
      <c r="AV309" s="560">
        <f>IF(OR(B309&gt;=GD309,B309&lt;GC309),0,15/36*K309-MAX(0,64.6-(137.6-(Sheet1!AA311+Sheet1!AB311))))</f>
        <v>0</v>
      </c>
      <c r="AW309" s="698">
        <f>Sheet1!DB311-110</f>
        <v>1350</v>
      </c>
      <c r="AX309" s="698">
        <f>Sheet1!DA311-265</f>
        <v>1645</v>
      </c>
      <c r="AY309" s="698">
        <f t="shared" si="594"/>
        <v>73</v>
      </c>
      <c r="AZ309" s="698">
        <v>0</v>
      </c>
      <c r="BA309" s="698">
        <f t="shared" si="595"/>
        <v>0</v>
      </c>
      <c r="BB309" s="560">
        <f t="shared" si="596"/>
        <v>0</v>
      </c>
      <c r="BC309" s="560"/>
      <c r="BD309" s="560">
        <f ca="1">IF(B309&gt;Summary!$A$1,#N/A,BB309*MGtoAF)</f>
        <v>0</v>
      </c>
      <c r="BE309" s="560">
        <f>Sheet1!BG311+Sheet1!BH311+Sheet1!BI311-BM309</f>
        <v>0</v>
      </c>
      <c r="BF309" s="560">
        <f t="shared" si="597"/>
        <v>0</v>
      </c>
      <c r="BG309" s="560">
        <f>IF(Sheet1!EP311="FM",BM309,0)</f>
        <v>0</v>
      </c>
      <c r="BH309" s="560">
        <f t="shared" si="598"/>
        <v>0</v>
      </c>
      <c r="BI309" s="560">
        <f>IF(Sheet1!EP311="OTHER",BM309,0)</f>
        <v>0</v>
      </c>
      <c r="BJ309" s="560">
        <f t="shared" si="599"/>
        <v>0</v>
      </c>
      <c r="BK309" s="560">
        <f t="shared" si="600"/>
        <v>0</v>
      </c>
      <c r="BL309" s="560">
        <f t="shared" si="601"/>
        <v>0</v>
      </c>
      <c r="BM309" s="560">
        <f>IF(OR(Sheet1!EP311="FM", Sheet1!EP311="OTHER"),SUM(Sheet1!BG311:'Sheet1'!BI311),0)</f>
        <v>0</v>
      </c>
      <c r="BN309" s="545">
        <f>IF(AND($B309&gt;=$FV309,$B309&lt;=$FW309),MAX(BF309,Sheet1!EI311,0),MAX(BF309-(7/36)*$K309,0))</f>
        <v>0</v>
      </c>
      <c r="BO309" s="560">
        <f t="shared" si="602"/>
        <v>0</v>
      </c>
      <c r="BP309" s="545">
        <f t="shared" si="603"/>
        <v>0</v>
      </c>
      <c r="BQ309" s="545">
        <f>IF(AND($O309&gt;0,Sheet1!EM311=1),(1-($O309-Sheet1!$L311)/$O309)*BL309,0)</f>
        <v>0</v>
      </c>
      <c r="BR309" s="545">
        <f>IF(AND(Sheet1!$L311=0,Sheet1!$L310=0, Calculation!BK309&lt;Sheet1!$EI311-0.1,Sheet1!$EI311=Sheet1!$EI310,Sheet1!$EI311=Sheet1!$EI312),Sheet1!$EI311,BL309-BQ309)</f>
        <v>0</v>
      </c>
      <c r="BS309" s="560"/>
      <c r="BT309" s="560"/>
      <c r="BU309" s="560">
        <f t="shared" si="604"/>
        <v>0</v>
      </c>
      <c r="BV309" s="560"/>
      <c r="BW309" s="560">
        <f ca="1">IF(B309&gt;Summary!$A$1,#N/A,BU309*MGtoAF)</f>
        <v>0</v>
      </c>
      <c r="BX309" s="560">
        <f>Sheet1!BC311+Sheet1!BD311+Sheet1!BE311+Sheet1!BF311-CG309-CH309</f>
        <v>2.5</v>
      </c>
      <c r="BY309" s="560">
        <f t="shared" si="605"/>
        <v>2.4991805965257288</v>
      </c>
      <c r="BZ309" s="560">
        <f>IF(Sheet1!EQ311="FM",CH309,0)</f>
        <v>0</v>
      </c>
      <c r="CA309" s="560">
        <f t="shared" si="606"/>
        <v>0</v>
      </c>
      <c r="CB309" s="560">
        <f>IF(Sheet1!EQ311="OTHER",CH309,0)</f>
        <v>0</v>
      </c>
      <c r="CC309" s="560">
        <f t="shared" si="607"/>
        <v>0</v>
      </c>
      <c r="CD309" s="560">
        <f t="shared" si="608"/>
        <v>0</v>
      </c>
      <c r="CE309" s="560">
        <f t="shared" si="609"/>
        <v>2.5</v>
      </c>
      <c r="CF309" s="560">
        <f t="shared" si="610"/>
        <v>2.4991805965257288</v>
      </c>
      <c r="CG309" s="560">
        <f>IF(Sheet1!EQ311="CWA",SUM(Sheet1!BC311:'Sheet1'!BF311),0)</f>
        <v>0</v>
      </c>
      <c r="CH309" s="560">
        <f>IF(OR(Sheet1!EQ311="FM", Sheet1!EQ311="OTHER"),SUM(Sheet1!BC311:'Sheet1'!BF311),0)</f>
        <v>0</v>
      </c>
      <c r="CI309" s="545">
        <f>IF(AND($B309&gt;=$FV309,$B309&lt;=$FW309),MAX(CF309,Sheet1!EJ311,0),MAX(CF309-(7/36)*$K309,0))</f>
        <v>0</v>
      </c>
      <c r="CJ309" s="560">
        <f t="shared" si="611"/>
        <v>0</v>
      </c>
      <c r="CK309" s="545">
        <f t="shared" si="612"/>
        <v>2.4991805965257288</v>
      </c>
      <c r="CL309" s="545">
        <f>IF(AND($O309&gt;0,Sheet1!EN311=1),(1-($O309-Sheet1!$L311)/$O309)*CF309,0)</f>
        <v>0</v>
      </c>
      <c r="CM309" s="545">
        <f>IF(AND(Sheet1!$L311=0,Sheet1!$L310=0, Calculation!CE309&lt;Sheet1!EJ311-0.1,Sheet1!EJ311=Sheet1!EJ310,Sheet1!EJ311=Sheet1!EJ312),Sheet1!EJ311,CF309-CL309)</f>
        <v>2.4991805965257288</v>
      </c>
      <c r="CN309" s="545"/>
      <c r="CO309" s="560"/>
      <c r="CP309" s="560">
        <f t="shared" si="613"/>
        <v>0</v>
      </c>
      <c r="CQ309" s="560"/>
      <c r="CR309" s="560">
        <f ca="1">IF(B309&gt;Summary!$A$1,#N/A,CP309*MGtoAF)</f>
        <v>0</v>
      </c>
      <c r="CS309" s="560">
        <f>Sheet1!BK311+Sheet1!BL311+Sheet1!BM311-Sheet1!ER311-DA309</f>
        <v>6.4</v>
      </c>
      <c r="CT309" s="560">
        <f t="shared" si="614"/>
        <v>6.3979023271058661</v>
      </c>
      <c r="CU309" s="560">
        <f>IF(Sheet1!ER311="FM",DA309,0)</f>
        <v>0</v>
      </c>
      <c r="CV309" s="560">
        <f t="shared" si="615"/>
        <v>0</v>
      </c>
      <c r="CW309" s="560">
        <f>IF(Sheet1!ER311="OTHER",DA309,0)</f>
        <v>0</v>
      </c>
      <c r="CX309" s="560">
        <f t="shared" si="616"/>
        <v>0</v>
      </c>
      <c r="CY309" s="560">
        <f t="shared" si="617"/>
        <v>6.4</v>
      </c>
      <c r="CZ309" s="560">
        <f t="shared" si="618"/>
        <v>6.3979023271058661</v>
      </c>
      <c r="DA309" s="560">
        <f>IF(OR(Sheet1!ER311="FM", Sheet1!ER311="OTHER"),SUM(Sheet1!BK311:'Sheet1'!BM311),0)</f>
        <v>0</v>
      </c>
      <c r="DB309" s="545">
        <f>IF(AND($B309&gt;=$FV309,$B309&lt;=$FW309),MAX($CT309,Sheet1!EK311,0),MAX($CT309-(7/36)*$K309,0))</f>
        <v>0</v>
      </c>
      <c r="DC309" s="560">
        <f t="shared" si="619"/>
        <v>0</v>
      </c>
      <c r="DD309" s="545">
        <f t="shared" si="620"/>
        <v>6.3979023271058661</v>
      </c>
      <c r="DE309" s="545">
        <f>IF(AND($O309&gt;0,Sheet1!EO311=1),(1-($O309-Sheet1!$L311)/$O309)*CZ309,0)</f>
        <v>0</v>
      </c>
      <c r="DF309" s="545">
        <f>IF(AND(Sheet1!$L311=0,Sheet1!$L310=0, Calculation!CY309&lt;Sheet1!$EK311-0.1,Sheet1!$EK311=Sheet1!$EK310,Sheet1!$EK311=Sheet1!$EK312),Sheet1!$EK311,CZ309-DE309)</f>
        <v>6.3979023271058661</v>
      </c>
      <c r="DG309" s="545"/>
      <c r="DH309" s="560">
        <f t="shared" si="621"/>
        <v>8.9</v>
      </c>
      <c r="DI309" s="560">
        <f t="shared" si="622"/>
        <v>0</v>
      </c>
      <c r="DJ309" s="698">
        <f t="shared" si="623"/>
        <v>8.8970829236315954</v>
      </c>
      <c r="DK309" s="560">
        <f ca="1">IF(B309&gt;Summary!$A$1,#N/A,DI309*MGtoAF)</f>
        <v>0</v>
      </c>
      <c r="DL309" s="698">
        <f t="shared" si="624"/>
        <v>8.9</v>
      </c>
      <c r="DM309" s="560">
        <f t="shared" si="625"/>
        <v>30.510000000000005</v>
      </c>
      <c r="DN309" s="560">
        <f>Sheet1!AB311-DM309</f>
        <v>-1.0000000000005116E-2</v>
      </c>
      <c r="DO309" s="560">
        <f t="shared" si="626"/>
        <v>-3.2776138970845998E-4</v>
      </c>
      <c r="DP309" s="560">
        <f>(VLOOKUP(Sheet1!DC311,hhdcap_wcm,4)-(((VLOOKUP(Sheet1!DC311,hhdcap_wcm,3)-Sheet1!DC311)/(VLOOKUP(Sheet1!DC311,hhdcap_wcm,3)-VLOOKUP(Sheet1!DC311,hhdcap_wcm,1)))*(VLOOKUP(Sheet1!DC311,hhdcap_wcm,4)-VLOOKUP(Sheet1!DC311,hhdcap_wcm,2))))</f>
        <v>7129.0000000150749</v>
      </c>
      <c r="DQ309" s="560">
        <f t="shared" si="627"/>
        <v>-1087.0000000025584</v>
      </c>
      <c r="DR309" s="560">
        <f t="shared" si="628"/>
        <v>-548.15935451465373</v>
      </c>
      <c r="DS309" s="560">
        <f>Sheet1!EA311*AFtoMG</f>
        <v>0</v>
      </c>
      <c r="DT309" s="560">
        <f>Sheet1!EB311*AFtoMG</f>
        <v>0</v>
      </c>
      <c r="DU309" s="560">
        <f>Sheet1!EC311*AFtoMG</f>
        <v>0</v>
      </c>
      <c r="DV309" s="560">
        <f>Sheet1!ED311*AFtoMG</f>
        <v>0</v>
      </c>
      <c r="DW309" s="560">
        <f t="shared" si="629"/>
        <v>0</v>
      </c>
      <c r="DX309" s="560">
        <f t="shared" si="630"/>
        <v>0</v>
      </c>
      <c r="DY309" s="560">
        <f t="shared" si="631"/>
        <v>0</v>
      </c>
      <c r="DZ309" s="560">
        <f t="shared" si="632"/>
        <v>0</v>
      </c>
      <c r="EA309" s="560"/>
      <c r="EB309" s="545">
        <f>IF(OR(B309&lt;FV309,B309&gt;FW309),(MIN(BF309+BY309+CT309+MAX(Sheet1!AA311+AQ309-73,0),K309)),0)</f>
        <v>8.8970829236315954</v>
      </c>
      <c r="EC309" s="560"/>
      <c r="ED309" s="560">
        <f t="shared" si="633"/>
        <v>8.8970829236315954</v>
      </c>
      <c r="EE309" s="560"/>
      <c r="EF309" s="560">
        <f>Sheet1!EH311+Sheet1!EI311+Sheet1!EJ311+Sheet1!EK311</f>
        <v>9</v>
      </c>
      <c r="EG309" s="560"/>
      <c r="EH309" s="545">
        <f t="shared" si="634"/>
        <v>0</v>
      </c>
      <c r="EI309" s="560">
        <f>IF(Sheet1!ET311=1,SUM('Calculations II'!AT309:BA309)+'Calculations II'!BC309+Sheet1!BV311+'Calculations II'!BE309+AP309,SUM('Calculations II'!AT309:BA309)+'Calculations II'!BC309+Sheet1!BV311+'Calculations II'!BE309+AP309)</f>
        <v>53.311168000000002</v>
      </c>
      <c r="EJ309" s="560">
        <f>Sheet1!AA311+Sheet1!AB311+'Calculations II'!BC309</f>
        <v>52.7</v>
      </c>
      <c r="EK309" s="560"/>
      <c r="EL309" s="560"/>
      <c r="EM309" s="560">
        <f t="shared" si="635"/>
        <v>41937</v>
      </c>
      <c r="EN309" s="560">
        <f t="shared" si="636"/>
        <v>0</v>
      </c>
      <c r="EO309" s="560">
        <f t="shared" si="637"/>
        <v>0</v>
      </c>
      <c r="EP309" s="560">
        <v>0</v>
      </c>
      <c r="EQ309" s="560">
        <v>0</v>
      </c>
      <c r="ER309" s="560">
        <v>0</v>
      </c>
      <c r="ES309" s="545">
        <f t="shared" si="557"/>
        <v>2.3529532964253872</v>
      </c>
      <c r="ET309" s="560">
        <f>-(VLOOKUP(Sheet1!BQ311,Lookup!$O$4:$Q$262,2)-VLOOKUP(Sheet1!BQ310,Lookup!$O$4:$Q$262,2))/1000000</f>
        <v>1.2456133235592841</v>
      </c>
      <c r="EU309" s="560">
        <f>-(VLOOKUP(Sheet1!BR311,Lookup!$O$4:$Q$262,3)-VLOOKUP(Sheet1!BR310,Lookup!$O$4:$Q$262,3))/1000000</f>
        <v>1.1073399728661031</v>
      </c>
      <c r="EV309" s="560"/>
      <c r="EW309" s="560"/>
      <c r="EX309" s="560"/>
      <c r="EY309" s="560"/>
      <c r="EZ309" s="560"/>
      <c r="FA309" s="560"/>
      <c r="FB309" s="560"/>
      <c r="FC309" s="560"/>
      <c r="FD309" s="594">
        <f t="shared" si="638"/>
        <v>1097.7916666666251</v>
      </c>
      <c r="FE309" s="594" t="e">
        <f t="shared" si="639"/>
        <v>#N/A</v>
      </c>
      <c r="FF309" s="595" t="e">
        <f t="shared" si="640"/>
        <v>#N/A</v>
      </c>
      <c r="FG309" s="596" t="s">
        <v>692</v>
      </c>
      <c r="FH309" s="596" t="s">
        <v>692</v>
      </c>
      <c r="FI309" s="594" t="e">
        <v>#N/A</v>
      </c>
      <c r="FJ309" s="778">
        <v>3958</v>
      </c>
      <c r="FK309" s="560"/>
      <c r="FL309" s="560"/>
      <c r="FM309" s="560"/>
      <c r="FN309" s="560"/>
      <c r="FO309" s="560">
        <f>O309+((Sheet1!CS311)*GPMtoMGD)</f>
        <v>52.7</v>
      </c>
      <c r="FP309" s="560">
        <f>IF(Sheet1!AA311+AQ309&lt;=Calculation!N309,AQ309,Calculation!N309-Sheet1!AA311)</f>
        <v>20.593248115372006</v>
      </c>
      <c r="FQ309" s="560">
        <f>(Sheet1!BP311+Sheet1!BO311)/694.4</f>
        <v>0.92626728110599088</v>
      </c>
      <c r="FR309" s="560"/>
      <c r="FS309" s="560"/>
      <c r="FT309" s="560"/>
      <c r="FU309" s="560"/>
      <c r="FV309" s="695">
        <f t="shared" si="558"/>
        <v>41827</v>
      </c>
      <c r="FW309" s="695">
        <f t="shared" si="559"/>
        <v>41934</v>
      </c>
      <c r="FX309" s="560"/>
      <c r="FY309" s="560"/>
      <c r="FZ309" s="560"/>
      <c r="GA309" s="560"/>
      <c r="GB309" s="560" t="str">
        <f t="shared" si="560"/>
        <v>n</v>
      </c>
      <c r="GC309" s="564">
        <f t="shared" si="561"/>
        <v>41691</v>
      </c>
      <c r="GD309" s="695">
        <f t="shared" si="562"/>
        <v>41807</v>
      </c>
      <c r="GE309" s="560">
        <v>6518.9</v>
      </c>
      <c r="GF309" s="695">
        <f t="shared" si="563"/>
        <v>41808</v>
      </c>
      <c r="GG309" s="560">
        <f t="shared" si="582"/>
        <v>3259</v>
      </c>
      <c r="GH309" s="564">
        <f t="shared" si="564"/>
        <v>41934</v>
      </c>
      <c r="GJ309" s="545">
        <f t="shared" si="565"/>
        <v>0</v>
      </c>
      <c r="GK309" s="560" t="str">
        <f t="shared" si="641"/>
        <v/>
      </c>
      <c r="GL309" s="560">
        <f t="shared" si="566"/>
        <v>0</v>
      </c>
      <c r="GM309" s="560" t="str">
        <f t="shared" si="567"/>
        <v/>
      </c>
      <c r="GN309" s="560">
        <f>IF(GK309="P",Lookup!$M$12,IF(GK309="PP",Lookup!$M$13,IF(GK309="PPP",Lookup!$M$14,IF(GK309="T",Lookup!$M$15,IF(GK309="TP",Lookup!$M$16,IF(GK309="TPP",Lookup!$M$17,IF(GK309="TPPP",Lookup!$M$18,0)))))))*GJ309</f>
        <v>0</v>
      </c>
      <c r="GO309" s="560">
        <f t="shared" si="568"/>
        <v>0</v>
      </c>
      <c r="GP309" s="560">
        <f t="shared" si="642"/>
        <v>0</v>
      </c>
      <c r="GQ309" s="560">
        <f t="shared" si="576"/>
        <v>0</v>
      </c>
      <c r="GR309" s="560"/>
      <c r="GS309" s="560">
        <f t="shared" si="569"/>
        <v>0</v>
      </c>
      <c r="GT309" s="560" t="str">
        <f t="shared" si="570"/>
        <v/>
      </c>
      <c r="GU309" s="560">
        <f>IF(GK309="P",Lookup!$N$12,IF(GK309="PP",Lookup!$N$13,IF(GK309="PPP",Lookup!$N$14,IF(GK309="T",Lookup!$N$15,IF(GK309="TP",Lookup!$N$16,IF(GK309="TPP",Lookup!$N$17,IF(GK309="TPPP",Lookup!$N$18,0)))))))*GJ309</f>
        <v>0</v>
      </c>
      <c r="GV309" s="560">
        <f t="shared" si="571"/>
        <v>0</v>
      </c>
      <c r="GW309" s="560">
        <f t="shared" si="643"/>
        <v>0</v>
      </c>
      <c r="GX309" s="560">
        <f t="shared" si="577"/>
        <v>0</v>
      </c>
      <c r="GY309" s="560"/>
      <c r="GZ309" s="560">
        <f t="shared" si="572"/>
        <v>0</v>
      </c>
      <c r="HA309" s="560" t="str">
        <f t="shared" si="573"/>
        <v/>
      </c>
      <c r="HB309" s="560">
        <f>IF(GK309="P",Lookup!$N$12,IF(GK309="PP",Lookup!$N$13,IF(GK309="PPP",Lookup!$N$14,IF(GK309="T",Lookup!$N$15,IF(GK309="TP",Lookup!$N$16,IF(GK309="TPP",Lookup!$N$17,IF(GK309="TPPP",Lookup!$N$18,0)))))))*GJ309</f>
        <v>0</v>
      </c>
      <c r="HC309" s="545">
        <f t="shared" si="644"/>
        <v>0</v>
      </c>
      <c r="HD309" s="560">
        <f t="shared" si="645"/>
        <v>0</v>
      </c>
      <c r="HE309" s="560">
        <f t="shared" si="578"/>
        <v>0</v>
      </c>
      <c r="HF309" s="560"/>
      <c r="HG309" s="560">
        <f t="shared" si="574"/>
        <v>0</v>
      </c>
      <c r="HH309" s="560" t="str">
        <f t="shared" si="575"/>
        <v/>
      </c>
      <c r="HI309" s="560">
        <f>IF(GK309="P",Lookup!$N$12,IF(GK309="PP",Lookup!$N$13,IF(GK309="PPP",Lookup!$N$14,IF(GK309="T",Lookup!$N$15,IF(GK309="TP",Lookup!$N$16,IF(GK309="TPP",Lookup!$N$17,IF(GK309="TPPP",Lookup!$N$18,0)))))))*GJ309</f>
        <v>0</v>
      </c>
      <c r="HJ309" s="545">
        <f t="shared" si="646"/>
        <v>0</v>
      </c>
      <c r="HK309" s="560">
        <f t="shared" si="647"/>
        <v>0</v>
      </c>
      <c r="HL309" s="560">
        <f t="shared" si="579"/>
        <v>0</v>
      </c>
    </row>
    <row r="310" spans="1:220">
      <c r="A310" s="580" t="s">
        <v>3</v>
      </c>
      <c r="B310" s="556">
        <v>41938</v>
      </c>
      <c r="C310" s="561">
        <v>0</v>
      </c>
      <c r="D310" s="529">
        <f t="shared" si="580"/>
        <v>300</v>
      </c>
      <c r="E310" s="529">
        <f t="shared" si="581"/>
        <v>250</v>
      </c>
      <c r="F310" s="529">
        <v>250</v>
      </c>
      <c r="G310" s="560">
        <f>DR310+Sheet1!CZ312</f>
        <v>1189.6520423592328</v>
      </c>
      <c r="H310" s="914">
        <f t="shared" si="546"/>
        <v>502.02788018100807</v>
      </c>
      <c r="I310" s="559">
        <f>MAX(Sheet1!Z312-AT310+(Sheet1!DA312-E310)*CFStoMGD,0)</f>
        <v>1103.5239999999999</v>
      </c>
      <c r="J310" s="562">
        <f>IF(AND(B310&gt;=Calculation!GC310,B310&lt;=Calculation!GD310),IF(Sheet1!DB312&gt;=Calculation!D310,64.64,0),MAX(Sheet1!Z312-AT310+(Sheet1!DB312-D310)*CFStoMGD,0))</f>
        <v>780.32399999999996</v>
      </c>
      <c r="K310" s="904">
        <f t="shared" si="583"/>
        <v>64.64</v>
      </c>
      <c r="L310" s="560">
        <f>Sheet1!AA312+Sheet1!AB312-Sheet1!L312+(Sheet1!DA312-F310)*CFStoMGD</f>
        <v>1124.1439999999996</v>
      </c>
      <c r="M310" s="560">
        <f t="shared" si="584"/>
        <v>784.37090178462824</v>
      </c>
      <c r="N310" s="910">
        <f>IF(Sheet1!DA312&gt;=F310,MIN(73,MIN(MAX(L310,0),MAX(M310,0))),0)</f>
        <v>73</v>
      </c>
      <c r="O310" s="563">
        <f>Sheet1!AA312+Sheet1!AB312</f>
        <v>55.14</v>
      </c>
      <c r="P310" s="563">
        <f t="shared" si="585"/>
        <v>85.301579999999987</v>
      </c>
      <c r="Q310" s="898">
        <f t="shared" si="547"/>
        <v>0</v>
      </c>
      <c r="R310" s="829">
        <f t="shared" si="586"/>
        <v>9.368440925700364</v>
      </c>
      <c r="S310" s="898">
        <f t="shared" si="548"/>
        <v>55.14</v>
      </c>
      <c r="T310" s="898">
        <f t="shared" si="549"/>
        <v>0</v>
      </c>
      <c r="U310" s="898">
        <f t="shared" si="550"/>
        <v>0</v>
      </c>
      <c r="V310" s="898"/>
      <c r="W310" s="898">
        <f t="shared" si="551"/>
        <v>55.271559074299638</v>
      </c>
      <c r="X310" s="898">
        <f t="shared" si="552"/>
        <v>55.14</v>
      </c>
      <c r="Y310" s="898" t="str">
        <f t="shared" si="553"/>
        <v/>
      </c>
      <c r="Z310" s="898">
        <f t="shared" si="554"/>
        <v>55.14</v>
      </c>
      <c r="AA310" s="898">
        <f t="shared" si="555"/>
        <v>55.14</v>
      </c>
      <c r="AB310" s="898" t="str">
        <f t="shared" si="556"/>
        <v/>
      </c>
      <c r="AC310" s="563">
        <f>Sheet1!Y312*MGDtoCFS</f>
        <v>34.343399999999995</v>
      </c>
      <c r="AD310" s="563">
        <f>Sheet1!Z312*MGDtoCFS</f>
        <v>47.183499999999995</v>
      </c>
      <c r="AE310" s="563">
        <f>Sheet1!AA312*MGDtoCFS</f>
        <v>34.343399999999995</v>
      </c>
      <c r="AF310" s="563">
        <f>Sheet1!AB312*MGDtoCFS</f>
        <v>50.958179999999992</v>
      </c>
      <c r="AG310" s="563">
        <f>Sheet1!L312*MGDtoCFS</f>
        <v>6.2189400000006749</v>
      </c>
      <c r="AH310" s="545">
        <f t="shared" si="587"/>
        <v>0</v>
      </c>
      <c r="AI310" s="560">
        <f t="shared" si="588"/>
        <v>0</v>
      </c>
      <c r="AJ310" s="560">
        <f t="shared" si="589"/>
        <v>0</v>
      </c>
      <c r="AK310" s="560">
        <f t="shared" si="590"/>
        <v>0</v>
      </c>
      <c r="AL310" s="560">
        <f>(VLOOKUP(Sheet1!DC312,hhdcap_wcm,4)-(((VLOOKUP(Sheet1!DC312,hhdcap_wcm,3)-Sheet1!DC312)/(VLOOKUP(Sheet1!DC312,hhdcap_wcm,3)-VLOOKUP(Sheet1!DC312,hhdcap_wcm,1)))*(VLOOKUP(Sheet1!DC312,hhdcap_wcm,4)-VLOOKUP(Sheet1!DC312,hhdcap_wcm,2))))</f>
        <v>6394.6000000134336</v>
      </c>
      <c r="AM310" s="560">
        <f t="shared" si="591"/>
        <v>-734.40000000164127</v>
      </c>
      <c r="AN310" s="560">
        <f t="shared" si="592"/>
        <v>0</v>
      </c>
      <c r="AO310" s="560">
        <f t="shared" si="593"/>
        <v>0</v>
      </c>
      <c r="AP310" s="560">
        <f>Sheet1!BA312+Sheet1!BB312+Sheet1!BN312+CD310</f>
        <v>23.5</v>
      </c>
      <c r="AQ310" s="560">
        <f>Sheet1!BN312+(DO310*Sheet1!BN312)</f>
        <v>22.568514007308156</v>
      </c>
      <c r="AR310" s="560">
        <f>Sheet1!BA312+CD310</f>
        <v>0</v>
      </c>
      <c r="AS310" s="560">
        <f>Sheet1!BA312+Sheet1!BB312+CD310</f>
        <v>1</v>
      </c>
      <c r="AT310" s="698">
        <f>0</f>
        <v>0</v>
      </c>
      <c r="AU310" s="560">
        <f>IF(EB310&lt;K310,0,MAX(Sheet1!AA312+AQ310-15/36*K310-N310,Sheet1!EH312,0))</f>
        <v>0</v>
      </c>
      <c r="AV310" s="560">
        <f>IF(OR(B310&gt;=GD310,B310&lt;GC310),0,15/36*K310-MAX(0,64.6-(137.6-(Sheet1!AA312+Sheet1!AB312))))</f>
        <v>0</v>
      </c>
      <c r="AW310" s="698">
        <f>Sheet1!DB312-110</f>
        <v>1350</v>
      </c>
      <c r="AX310" s="698">
        <f>Sheet1!DA312-265</f>
        <v>1645</v>
      </c>
      <c r="AY310" s="698">
        <f t="shared" si="594"/>
        <v>73</v>
      </c>
      <c r="AZ310" s="698">
        <v>0</v>
      </c>
      <c r="BA310" s="698">
        <f t="shared" si="595"/>
        <v>0</v>
      </c>
      <c r="BB310" s="560">
        <f t="shared" si="596"/>
        <v>0</v>
      </c>
      <c r="BC310" s="560"/>
      <c r="BD310" s="560">
        <f ca="1">IF(B310&gt;Summary!$A$1,#N/A,BB310*MGtoAF)</f>
        <v>0</v>
      </c>
      <c r="BE310" s="560">
        <f>Sheet1!BG312+Sheet1!BH312+Sheet1!BI312-BM310</f>
        <v>0</v>
      </c>
      <c r="BF310" s="560">
        <f t="shared" si="597"/>
        <v>0</v>
      </c>
      <c r="BG310" s="560">
        <f>IF(Sheet1!EP312="FM",BM310,0)</f>
        <v>0</v>
      </c>
      <c r="BH310" s="560">
        <f t="shared" si="598"/>
        <v>0</v>
      </c>
      <c r="BI310" s="560">
        <f>IF(Sheet1!EP312="OTHER",BM310,0)</f>
        <v>0</v>
      </c>
      <c r="BJ310" s="560">
        <f t="shared" si="599"/>
        <v>0</v>
      </c>
      <c r="BK310" s="560">
        <f t="shared" si="600"/>
        <v>0</v>
      </c>
      <c r="BL310" s="560">
        <f t="shared" si="601"/>
        <v>0</v>
      </c>
      <c r="BM310" s="560">
        <f>IF(OR(Sheet1!EP312="FM", Sheet1!EP312="OTHER"),SUM(Sheet1!BG312:'Sheet1'!BI312),0)</f>
        <v>0</v>
      </c>
      <c r="BN310" s="545">
        <f>IF(AND($B310&gt;=$FV310,$B310&lt;=$FW310),MAX(BF310,Sheet1!EI312,0),MAX(BF310-(7/36)*$K310,0))</f>
        <v>0</v>
      </c>
      <c r="BO310" s="560">
        <f t="shared" si="602"/>
        <v>0</v>
      </c>
      <c r="BP310" s="545">
        <f t="shared" si="603"/>
        <v>0</v>
      </c>
      <c r="BQ310" s="545">
        <f>IF(AND($O310&gt;0,Sheet1!EM312=1),(1-($O310-Sheet1!$L312)/$O310)*BL310,0)</f>
        <v>0</v>
      </c>
      <c r="BR310" s="545">
        <f>IF(AND(Sheet1!$L312=0,Sheet1!$L311=0, Calculation!BK310&lt;Sheet1!$EI312-0.1,Sheet1!$EI312=Sheet1!$EI311,Sheet1!$EI312=Sheet1!$EI313),Sheet1!$EI312,BL310-BQ310)</f>
        <v>0</v>
      </c>
      <c r="BS310" s="560"/>
      <c r="BT310" s="560"/>
      <c r="BU310" s="560">
        <f t="shared" si="604"/>
        <v>0</v>
      </c>
      <c r="BV310" s="560"/>
      <c r="BW310" s="560">
        <f ca="1">IF(B310&gt;Summary!$A$1,#N/A,BU310*MGtoAF)</f>
        <v>0</v>
      </c>
      <c r="BX310" s="560">
        <f>Sheet1!BC312+Sheet1!BD312+Sheet1!BE312+Sheet1!BF312-CG310-CH310</f>
        <v>2.5</v>
      </c>
      <c r="BY310" s="560">
        <f t="shared" si="605"/>
        <v>2.5076126674786843</v>
      </c>
      <c r="BZ310" s="560">
        <f>IF(Sheet1!EQ312="FM",CH310,0)</f>
        <v>0</v>
      </c>
      <c r="CA310" s="560">
        <f t="shared" si="606"/>
        <v>0</v>
      </c>
      <c r="CB310" s="560">
        <f>IF(Sheet1!EQ312="OTHER",CH310,0)</f>
        <v>0</v>
      </c>
      <c r="CC310" s="560">
        <f t="shared" si="607"/>
        <v>0</v>
      </c>
      <c r="CD310" s="560">
        <f t="shared" si="608"/>
        <v>0</v>
      </c>
      <c r="CE310" s="560">
        <f t="shared" si="609"/>
        <v>2.5</v>
      </c>
      <c r="CF310" s="560">
        <f t="shared" si="610"/>
        <v>2.5076126674786843</v>
      </c>
      <c r="CG310" s="560">
        <f>IF(Sheet1!EQ312="CWA",SUM(Sheet1!BC312:'Sheet1'!BF312),0)</f>
        <v>0</v>
      </c>
      <c r="CH310" s="560">
        <f>IF(OR(Sheet1!EQ312="FM", Sheet1!EQ312="OTHER"),SUM(Sheet1!BC312:'Sheet1'!BF312),0)</f>
        <v>0</v>
      </c>
      <c r="CI310" s="545">
        <f>IF(AND($B310&gt;=$FV310,$B310&lt;=$FW310),MAX(CF310,Sheet1!EJ312,0),MAX(CF310-(7/36)*$K310,0))</f>
        <v>0</v>
      </c>
      <c r="CJ310" s="560">
        <f t="shared" si="611"/>
        <v>0</v>
      </c>
      <c r="CK310" s="545">
        <f t="shared" si="612"/>
        <v>2.5076126674786843</v>
      </c>
      <c r="CL310" s="545">
        <f>IF(AND($O310&gt;0,Sheet1!EN312=1),(1-($O310-Sheet1!$L312)/$O310)*CF310,0)</f>
        <v>0</v>
      </c>
      <c r="CM310" s="545">
        <f>IF(AND(Sheet1!$L312=0,Sheet1!$L311=0, Calculation!CE310&lt;Sheet1!EJ312-0.1,Sheet1!EJ312=Sheet1!EJ311,Sheet1!EJ312=Sheet1!EJ313),Sheet1!EJ312,CF310-CL310)</f>
        <v>2.5076126674786843</v>
      </c>
      <c r="CN310" s="545"/>
      <c r="CO310" s="560"/>
      <c r="CP310" s="560">
        <f t="shared" si="613"/>
        <v>0</v>
      </c>
      <c r="CQ310" s="560"/>
      <c r="CR310" s="560">
        <f ca="1">IF(B310&gt;Summary!$A$1,#N/A,CP310*MGtoAF)</f>
        <v>0</v>
      </c>
      <c r="CS310" s="560">
        <f>Sheet1!BK312+Sheet1!BL312+Sheet1!BM312-Sheet1!ER312-DA310</f>
        <v>6.84</v>
      </c>
      <c r="CT310" s="560">
        <f t="shared" si="614"/>
        <v>6.8608282582216793</v>
      </c>
      <c r="CU310" s="560">
        <f>IF(Sheet1!ER312="FM",DA310,0)</f>
        <v>0</v>
      </c>
      <c r="CV310" s="560">
        <f t="shared" si="615"/>
        <v>0</v>
      </c>
      <c r="CW310" s="560">
        <f>IF(Sheet1!ER312="OTHER",DA310,0)</f>
        <v>0</v>
      </c>
      <c r="CX310" s="560">
        <f t="shared" si="616"/>
        <v>0</v>
      </c>
      <c r="CY310" s="560">
        <f t="shared" si="617"/>
        <v>6.84</v>
      </c>
      <c r="CZ310" s="560">
        <f t="shared" si="618"/>
        <v>6.8608282582216793</v>
      </c>
      <c r="DA310" s="560">
        <f>IF(OR(Sheet1!ER312="FM", Sheet1!ER312="OTHER"),SUM(Sheet1!BK312:'Sheet1'!BM312),0)</f>
        <v>0</v>
      </c>
      <c r="DB310" s="545">
        <f>IF(AND($B310&gt;=$FV310,$B310&lt;=$FW310),MAX($CT310,Sheet1!EK312,0),MAX($CT310-(7/36)*$K310,0))</f>
        <v>0</v>
      </c>
      <c r="DC310" s="560">
        <f t="shared" si="619"/>
        <v>0</v>
      </c>
      <c r="DD310" s="545">
        <f t="shared" si="620"/>
        <v>6.8608282582216793</v>
      </c>
      <c r="DE310" s="545">
        <f>IF(AND($O310&gt;0,Sheet1!EO312=1),(1-($O310-Sheet1!$L312)/$O310)*CZ310,0)</f>
        <v>0</v>
      </c>
      <c r="DF310" s="545">
        <f>IF(AND(Sheet1!$L312=0,Sheet1!$L311=0, Calculation!CY310&lt;Sheet1!$EK312-0.1,Sheet1!$EK312=Sheet1!$EK311,Sheet1!$EK312=Sheet1!$EK313),Sheet1!$EK312,CZ310-DE310)</f>
        <v>6.8608282582216793</v>
      </c>
      <c r="DG310" s="545"/>
      <c r="DH310" s="560">
        <f t="shared" si="621"/>
        <v>9.34</v>
      </c>
      <c r="DI310" s="560">
        <f t="shared" si="622"/>
        <v>0</v>
      </c>
      <c r="DJ310" s="698">
        <f t="shared" si="623"/>
        <v>9.368440925700364</v>
      </c>
      <c r="DK310" s="560">
        <f ca="1">IF(B310&gt;Summary!$A$1,#N/A,DI310*MGtoAF)</f>
        <v>0</v>
      </c>
      <c r="DL310" s="698">
        <f t="shared" si="624"/>
        <v>9.34</v>
      </c>
      <c r="DM310" s="560">
        <f t="shared" si="625"/>
        <v>32.840000000000003</v>
      </c>
      <c r="DN310" s="560">
        <f>Sheet1!AB312-DM310</f>
        <v>9.9999999999994316E-2</v>
      </c>
      <c r="DO310" s="560">
        <f t="shared" si="626"/>
        <v>3.0450669914736392E-3</v>
      </c>
      <c r="DP310" s="560">
        <f>(VLOOKUP(Sheet1!DC312,hhdcap_wcm,4)-(((VLOOKUP(Sheet1!DC312,hhdcap_wcm,3)-Sheet1!DC312)/(VLOOKUP(Sheet1!DC312,hhdcap_wcm,3)-VLOOKUP(Sheet1!DC312,hhdcap_wcm,1)))*(VLOOKUP(Sheet1!DC312,hhdcap_wcm,4)-VLOOKUP(Sheet1!DC312,hhdcap_wcm,2))))</f>
        <v>6394.6000000134336</v>
      </c>
      <c r="DQ310" s="560">
        <f t="shared" si="627"/>
        <v>-734.40000000164127</v>
      </c>
      <c r="DR310" s="560">
        <f t="shared" si="628"/>
        <v>-370.34795764076711</v>
      </c>
      <c r="DS310" s="560">
        <f>Sheet1!EA312*AFtoMG</f>
        <v>0</v>
      </c>
      <c r="DT310" s="560">
        <f>Sheet1!EB312*AFtoMG</f>
        <v>0</v>
      </c>
      <c r="DU310" s="560">
        <f>Sheet1!EC312*AFtoMG</f>
        <v>0</v>
      </c>
      <c r="DV310" s="560">
        <f>Sheet1!ED312*AFtoMG</f>
        <v>0</v>
      </c>
      <c r="DW310" s="560">
        <f t="shared" si="629"/>
        <v>0</v>
      </c>
      <c r="DX310" s="560">
        <f t="shared" si="630"/>
        <v>0</v>
      </c>
      <c r="DY310" s="560">
        <f t="shared" si="631"/>
        <v>0</v>
      </c>
      <c r="DZ310" s="560">
        <f t="shared" si="632"/>
        <v>0</v>
      </c>
      <c r="EA310" s="560"/>
      <c r="EB310" s="545">
        <f>IF(OR(B310&lt;FV310,B310&gt;FW310),(MIN(BF310+BY310+CT310+MAX(Sheet1!AA312+AQ310-73,0),K310)),0)</f>
        <v>9.368440925700364</v>
      </c>
      <c r="EC310" s="560"/>
      <c r="ED310" s="560">
        <f t="shared" si="633"/>
        <v>9.368440925700364</v>
      </c>
      <c r="EE310" s="560"/>
      <c r="EF310" s="560">
        <f>Sheet1!EH312+Sheet1!EI312+Sheet1!EJ312+Sheet1!EK312</f>
        <v>9</v>
      </c>
      <c r="EG310" s="560"/>
      <c r="EH310" s="545">
        <f t="shared" si="634"/>
        <v>0</v>
      </c>
      <c r="EI310" s="560">
        <f>IF(Sheet1!ET312=1,SUM('Calculations II'!AT310:BA310)+'Calculations II'!BC310+Sheet1!BV312+'Calculations II'!BE310+AP310,SUM('Calculations II'!AT310:BA310)+'Calculations II'!BC310+Sheet1!BV312+'Calculations II'!BE310+AP310)</f>
        <v>54.593536</v>
      </c>
      <c r="EJ310" s="560">
        <f>Sheet1!AA312+Sheet1!AB312+'Calculations II'!BC310</f>
        <v>55.14</v>
      </c>
      <c r="EK310" s="560"/>
      <c r="EL310" s="560"/>
      <c r="EM310" s="560">
        <f t="shared" si="635"/>
        <v>41938</v>
      </c>
      <c r="EN310" s="560">
        <f t="shared" si="636"/>
        <v>0</v>
      </c>
      <c r="EO310" s="560">
        <f t="shared" si="637"/>
        <v>0</v>
      </c>
      <c r="EP310" s="560">
        <v>0</v>
      </c>
      <c r="EQ310" s="560">
        <v>0</v>
      </c>
      <c r="ER310" s="560">
        <v>0</v>
      </c>
      <c r="ES310" s="545">
        <f t="shared" si="557"/>
        <v>1.9370377916734778</v>
      </c>
      <c r="ET310" s="560">
        <f>-(VLOOKUP(Sheet1!BQ312,Lookup!$O$4:$Q$262,2)-VLOOKUP(Sheet1!BQ311,Lookup!$O$4:$Q$262,2))/1000000</f>
        <v>0.96845163933055478</v>
      </c>
      <c r="EU310" s="560">
        <f>-(VLOOKUP(Sheet1!BR312,Lookup!$O$4:$Q$262,3)-VLOOKUP(Sheet1!BR311,Lookup!$O$4:$Q$262,3))/1000000</f>
        <v>0.968586152342923</v>
      </c>
      <c r="EV310" s="560"/>
      <c r="EW310" s="560"/>
      <c r="EX310" s="560"/>
      <c r="EY310" s="560"/>
      <c r="EZ310" s="560"/>
      <c r="FA310" s="560"/>
      <c r="FB310" s="560"/>
      <c r="FC310" s="560"/>
      <c r="FD310" s="594">
        <f t="shared" si="638"/>
        <v>1096.9249999999593</v>
      </c>
      <c r="FE310" s="594" t="e">
        <f t="shared" si="639"/>
        <v>#N/A</v>
      </c>
      <c r="FF310" s="595" t="e">
        <f t="shared" si="640"/>
        <v>#N/A</v>
      </c>
      <c r="FG310" s="596" t="s">
        <v>692</v>
      </c>
      <c r="FH310" s="596" t="s">
        <v>692</v>
      </c>
      <c r="FI310" s="594" t="e">
        <v>#N/A</v>
      </c>
      <c r="FJ310" s="778">
        <v>3748</v>
      </c>
      <c r="FK310" s="560"/>
      <c r="FL310" s="560"/>
      <c r="FM310" s="560"/>
      <c r="FN310" s="560"/>
      <c r="FO310" s="560">
        <f>O310+((Sheet1!CS312)*GPMtoMGD)</f>
        <v>55.14</v>
      </c>
      <c r="FP310" s="560">
        <f>IF(Sheet1!AA312+AQ310&lt;=Calculation!N310,AQ310,Calculation!N310-Sheet1!AA312)</f>
        <v>22.568514007308156</v>
      </c>
      <c r="FQ310" s="560">
        <f>(Sheet1!BP312+Sheet1!BO312)/694.4</f>
        <v>2.1781394009216593</v>
      </c>
      <c r="FR310" s="560"/>
      <c r="FS310" s="560"/>
      <c r="FT310" s="560"/>
      <c r="FU310" s="560"/>
      <c r="FV310" s="695">
        <f t="shared" si="558"/>
        <v>41827</v>
      </c>
      <c r="FW310" s="695">
        <f t="shared" si="559"/>
        <v>41934</v>
      </c>
      <c r="FX310" s="560"/>
      <c r="FY310" s="560"/>
      <c r="FZ310" s="560"/>
      <c r="GA310" s="560"/>
      <c r="GB310" s="560" t="str">
        <f t="shared" si="560"/>
        <v>n</v>
      </c>
      <c r="GC310" s="564">
        <f t="shared" si="561"/>
        <v>41691</v>
      </c>
      <c r="GD310" s="695">
        <f t="shared" si="562"/>
        <v>41807</v>
      </c>
      <c r="GE310" s="560">
        <v>6518.9</v>
      </c>
      <c r="GF310" s="695">
        <f t="shared" si="563"/>
        <v>41808</v>
      </c>
      <c r="GG310" s="560">
        <f t="shared" si="582"/>
        <v>3259</v>
      </c>
      <c r="GH310" s="564">
        <f t="shared" si="564"/>
        <v>41934</v>
      </c>
      <c r="GJ310" s="545">
        <f t="shared" si="565"/>
        <v>0</v>
      </c>
      <c r="GK310" s="560" t="str">
        <f t="shared" si="641"/>
        <v/>
      </c>
      <c r="GL310" s="560">
        <f t="shared" si="566"/>
        <v>0</v>
      </c>
      <c r="GM310" s="560" t="str">
        <f t="shared" si="567"/>
        <v/>
      </c>
      <c r="GN310" s="560">
        <f>IF(GK310="P",Lookup!$M$12,IF(GK310="PP",Lookup!$M$13,IF(GK310="PPP",Lookup!$M$14,IF(GK310="T",Lookup!$M$15,IF(GK310="TP",Lookup!$M$16,IF(GK310="TPP",Lookup!$M$17,IF(GK310="TPPP",Lookup!$M$18,0)))))))*GJ310</f>
        <v>0</v>
      </c>
      <c r="GO310" s="560">
        <f t="shared" si="568"/>
        <v>0</v>
      </c>
      <c r="GP310" s="560">
        <f t="shared" si="642"/>
        <v>0</v>
      </c>
      <c r="GQ310" s="560">
        <f t="shared" si="576"/>
        <v>0</v>
      </c>
      <c r="GR310" s="560"/>
      <c r="GS310" s="560">
        <f t="shared" si="569"/>
        <v>0</v>
      </c>
      <c r="GT310" s="560" t="str">
        <f t="shared" si="570"/>
        <v/>
      </c>
      <c r="GU310" s="560">
        <f>IF(GK310="P",Lookup!$N$12,IF(GK310="PP",Lookup!$N$13,IF(GK310="PPP",Lookup!$N$14,IF(GK310="T",Lookup!$N$15,IF(GK310="TP",Lookup!$N$16,IF(GK310="TPP",Lookup!$N$17,IF(GK310="TPPP",Lookup!$N$18,0)))))))*GJ310</f>
        <v>0</v>
      </c>
      <c r="GV310" s="560">
        <f t="shared" si="571"/>
        <v>0</v>
      </c>
      <c r="GW310" s="560">
        <f t="shared" si="643"/>
        <v>0</v>
      </c>
      <c r="GX310" s="560">
        <f t="shared" si="577"/>
        <v>0</v>
      </c>
      <c r="GY310" s="560"/>
      <c r="GZ310" s="560">
        <f t="shared" si="572"/>
        <v>0</v>
      </c>
      <c r="HA310" s="560" t="str">
        <f t="shared" si="573"/>
        <v/>
      </c>
      <c r="HB310" s="560">
        <f>IF(GK310="P",Lookup!$N$12,IF(GK310="PP",Lookup!$N$13,IF(GK310="PPP",Lookup!$N$14,IF(GK310="T",Lookup!$N$15,IF(GK310="TP",Lookup!$N$16,IF(GK310="TPP",Lookup!$N$17,IF(GK310="TPPP",Lookup!$N$18,0)))))))*GJ310</f>
        <v>0</v>
      </c>
      <c r="HC310" s="545">
        <f t="shared" si="644"/>
        <v>0</v>
      </c>
      <c r="HD310" s="560">
        <f t="shared" si="645"/>
        <v>0</v>
      </c>
      <c r="HE310" s="560">
        <f t="shared" si="578"/>
        <v>0</v>
      </c>
      <c r="HF310" s="560"/>
      <c r="HG310" s="560">
        <f t="shared" si="574"/>
        <v>0</v>
      </c>
      <c r="HH310" s="560" t="str">
        <f t="shared" si="575"/>
        <v/>
      </c>
      <c r="HI310" s="560">
        <f>IF(GK310="P",Lookup!$N$12,IF(GK310="PP",Lookup!$N$13,IF(GK310="PPP",Lookup!$N$14,IF(GK310="T",Lookup!$N$15,IF(GK310="TP",Lookup!$N$16,IF(GK310="TPP",Lookup!$N$17,IF(GK310="TPPP",Lookup!$N$18,0)))))))*GJ310</f>
        <v>0</v>
      </c>
      <c r="HJ310" s="545">
        <f t="shared" si="646"/>
        <v>0</v>
      </c>
      <c r="HK310" s="560">
        <f t="shared" si="647"/>
        <v>0</v>
      </c>
      <c r="HL310" s="560">
        <f t="shared" si="579"/>
        <v>0</v>
      </c>
    </row>
    <row r="311" spans="1:220">
      <c r="A311" s="580" t="s">
        <v>4</v>
      </c>
      <c r="B311" s="556">
        <v>41939</v>
      </c>
      <c r="C311" s="561">
        <v>0</v>
      </c>
      <c r="D311" s="529">
        <f t="shared" si="580"/>
        <v>300</v>
      </c>
      <c r="E311" s="529">
        <f t="shared" si="581"/>
        <v>250</v>
      </c>
      <c r="F311" s="529">
        <v>250</v>
      </c>
      <c r="G311" s="560">
        <f>DR311+Sheet1!CZ313</f>
        <v>1760.3328290464399</v>
      </c>
      <c r="H311" s="914">
        <f t="shared" si="546"/>
        <v>870.9159406956187</v>
      </c>
      <c r="I311" s="559">
        <f>MAX(Sheet1!Z313-AT311+(Sheet1!DA313-E311)*CFStoMGD,0)</f>
        <v>1345.1320000000001</v>
      </c>
      <c r="J311" s="562">
        <f>IF(AND(B311&gt;=Calculation!GC311,B311&lt;=Calculation!GD311),IF(Sheet1!DB313&gt;=Calculation!D311,64.64,0),MAX(Sheet1!Z313-AT311+(Sheet1!DB313-D311)*CFStoMGD,0))</f>
        <v>1002.54</v>
      </c>
      <c r="K311" s="904">
        <f t="shared" si="583"/>
        <v>64.64</v>
      </c>
      <c r="L311" s="560">
        <f>Sheet1!AA313+Sheet1!AB313-Sheet1!L313+(Sheet1!DA313-F311)*CFStoMGD</f>
        <v>1353.5220000000027</v>
      </c>
      <c r="M311" s="560">
        <f t="shared" si="584"/>
        <v>1160.6367235095311</v>
      </c>
      <c r="N311" s="910">
        <f>IF(Sheet1!DA313&gt;=F311,MIN(73,MIN(MAX(L311,0),MAX(M311,0))),0)</f>
        <v>73</v>
      </c>
      <c r="O311" s="563">
        <f>Sheet1!AA313+Sheet1!AB313</f>
        <v>56.120000000000005</v>
      </c>
      <c r="P311" s="563">
        <f t="shared" si="585"/>
        <v>86.817639999999997</v>
      </c>
      <c r="Q311" s="898">
        <f t="shared" si="547"/>
        <v>0</v>
      </c>
      <c r="R311" s="829">
        <f t="shared" si="586"/>
        <v>9.3878976446641467</v>
      </c>
      <c r="S311" s="898">
        <f t="shared" si="548"/>
        <v>56.120000000000005</v>
      </c>
      <c r="T311" s="898">
        <f t="shared" si="549"/>
        <v>0</v>
      </c>
      <c r="U311" s="898">
        <f t="shared" si="550"/>
        <v>0</v>
      </c>
      <c r="V311" s="898"/>
      <c r="W311" s="898">
        <f t="shared" si="551"/>
        <v>55.25210235533585</v>
      </c>
      <c r="X311" s="898">
        <f t="shared" si="552"/>
        <v>56.120000000000005</v>
      </c>
      <c r="Y311" s="898" t="str">
        <f t="shared" si="553"/>
        <v/>
      </c>
      <c r="Z311" s="898">
        <f t="shared" si="554"/>
        <v>56.120000000000005</v>
      </c>
      <c r="AA311" s="898">
        <f t="shared" si="555"/>
        <v>56.120000000000005</v>
      </c>
      <c r="AB311" s="898" t="str">
        <f t="shared" si="556"/>
        <v/>
      </c>
      <c r="AC311" s="563">
        <f>Sheet1!Y313*MGDtoCFS</f>
        <v>34.343399999999995</v>
      </c>
      <c r="AD311" s="563">
        <f>Sheet1!Z313*MGDtoCFS</f>
        <v>50.958179999999992</v>
      </c>
      <c r="AE311" s="563">
        <f>Sheet1!AA313*MGDtoCFS</f>
        <v>34.188699999999997</v>
      </c>
      <c r="AF311" s="563">
        <f>Sheet1!AB313*MGDtoCFS</f>
        <v>52.62894</v>
      </c>
      <c r="AG311" s="563">
        <f>Sheet1!L313*MGDtoCFS</f>
        <v>22.88012999999572</v>
      </c>
      <c r="AH311" s="545">
        <f t="shared" si="587"/>
        <v>0</v>
      </c>
      <c r="AI311" s="560">
        <f t="shared" si="588"/>
        <v>0</v>
      </c>
      <c r="AJ311" s="560">
        <f t="shared" si="589"/>
        <v>0</v>
      </c>
      <c r="AK311" s="560">
        <f t="shared" si="590"/>
        <v>0</v>
      </c>
      <c r="AL311" s="560">
        <f>(VLOOKUP(Sheet1!DC313,hhdcap_wcm,4)-(((VLOOKUP(Sheet1!DC313,hhdcap_wcm,3)-Sheet1!DC313)/(VLOOKUP(Sheet1!DC313,hhdcap_wcm,3)-VLOOKUP(Sheet1!DC313,hhdcap_wcm,1)))*(VLOOKUP(Sheet1!DC313,hhdcap_wcm,4)-VLOOKUP(Sheet1!DC313,hhdcap_wcm,2))))</f>
        <v>5959.0000000125237</v>
      </c>
      <c r="AM311" s="560">
        <f t="shared" si="591"/>
        <v>-435.60000000090986</v>
      </c>
      <c r="AN311" s="560">
        <f t="shared" si="592"/>
        <v>0</v>
      </c>
      <c r="AO311" s="560">
        <f t="shared" si="593"/>
        <v>0</v>
      </c>
      <c r="AP311" s="560">
        <f>Sheet1!BA313+Sheet1!BB313+Sheet1!BN313+CD311</f>
        <v>24.9</v>
      </c>
      <c r="AQ311" s="560">
        <f>Sheet1!BN313+(DO311*Sheet1!BN313)</f>
        <v>23.642861296888629</v>
      </c>
      <c r="AR311" s="560">
        <f>Sheet1!BA313+CD311</f>
        <v>0</v>
      </c>
      <c r="AS311" s="560">
        <f>Sheet1!BA313+Sheet1!BB313+CD311</f>
        <v>1</v>
      </c>
      <c r="AT311" s="698">
        <f>0</f>
        <v>0</v>
      </c>
      <c r="AU311" s="560">
        <f>IF(EB311&lt;K311,0,MAX(Sheet1!AA313+AQ311-15/36*K311-N311,Sheet1!EH313,0))</f>
        <v>0</v>
      </c>
      <c r="AV311" s="560">
        <f>IF(OR(B311&gt;=GD311,B311&lt;GC311),0,15/36*K311-MAX(0,64.6-(137.6-(Sheet1!AA313+Sheet1!AB313))))</f>
        <v>0</v>
      </c>
      <c r="AW311" s="698">
        <f>Sheet1!DB313-110</f>
        <v>1690</v>
      </c>
      <c r="AX311" s="698">
        <f>Sheet1!DA313-265</f>
        <v>2015</v>
      </c>
      <c r="AY311" s="698">
        <f t="shared" si="594"/>
        <v>73</v>
      </c>
      <c r="AZ311" s="698">
        <v>0</v>
      </c>
      <c r="BA311" s="698">
        <f t="shared" si="595"/>
        <v>0</v>
      </c>
      <c r="BB311" s="560">
        <f t="shared" si="596"/>
        <v>0</v>
      </c>
      <c r="BC311" s="560"/>
      <c r="BD311" s="560">
        <f ca="1">IF(B311&gt;Summary!$A$1,#N/A,BB311*MGtoAF)</f>
        <v>0</v>
      </c>
      <c r="BE311" s="560">
        <f>Sheet1!BG313+Sheet1!BH313+Sheet1!BI313-BM311</f>
        <v>0</v>
      </c>
      <c r="BF311" s="560">
        <f t="shared" si="597"/>
        <v>0</v>
      </c>
      <c r="BG311" s="560">
        <f>IF(Sheet1!EP313="FM",BM311,0)</f>
        <v>0</v>
      </c>
      <c r="BH311" s="560">
        <f t="shared" si="598"/>
        <v>0</v>
      </c>
      <c r="BI311" s="560">
        <f>IF(Sheet1!EP313="OTHER",BM311,0)</f>
        <v>0</v>
      </c>
      <c r="BJ311" s="560">
        <f t="shared" si="599"/>
        <v>0</v>
      </c>
      <c r="BK311" s="560">
        <f t="shared" si="600"/>
        <v>0</v>
      </c>
      <c r="BL311" s="560">
        <f t="shared" si="601"/>
        <v>0</v>
      </c>
      <c r="BM311" s="560">
        <f>IF(OR(Sheet1!EP313="FM", Sheet1!EP313="OTHER"),SUM(Sheet1!BG313:'Sheet1'!BI313),0)</f>
        <v>0</v>
      </c>
      <c r="BN311" s="545">
        <f>IF(AND($B311&gt;=$FV311,$B311&lt;=$FW311),MAX(BF311,Sheet1!EI313,0),MAX(BF311-(7/36)*$K311,0))</f>
        <v>0</v>
      </c>
      <c r="BO311" s="560">
        <f t="shared" si="602"/>
        <v>0</v>
      </c>
      <c r="BP311" s="545">
        <f t="shared" si="603"/>
        <v>0</v>
      </c>
      <c r="BQ311" s="545">
        <f>IF(AND($O311&gt;0,Sheet1!EM313=1),(1-($O311-Sheet1!$L313)/$O311)*BL311,0)</f>
        <v>0</v>
      </c>
      <c r="BR311" s="545">
        <f>IF(AND(Sheet1!$L313=0,Sheet1!$L312=0, Calculation!BK311&lt;Sheet1!$EI313-0.1,Sheet1!$EI313=Sheet1!$EI312,Sheet1!$EI313=Sheet1!$EI314),Sheet1!$EI313,BL311-BQ311)</f>
        <v>0</v>
      </c>
      <c r="BS311" s="560"/>
      <c r="BT311" s="560"/>
      <c r="BU311" s="560">
        <f t="shared" si="604"/>
        <v>0</v>
      </c>
      <c r="BV311" s="560"/>
      <c r="BW311" s="560">
        <f ca="1">IF(B311&gt;Summary!$A$1,#N/A,BU311*MGtoAF)</f>
        <v>0</v>
      </c>
      <c r="BX311" s="560">
        <f>Sheet1!BC313+Sheet1!BD313+Sheet1!BE313+Sheet1!BF313-CG311-CH311</f>
        <v>2.5</v>
      </c>
      <c r="BY311" s="560">
        <f t="shared" si="605"/>
        <v>2.4731026461180576</v>
      </c>
      <c r="BZ311" s="560">
        <f>IF(Sheet1!EQ313="FM",CH311,0)</f>
        <v>0</v>
      </c>
      <c r="CA311" s="560">
        <f t="shared" si="606"/>
        <v>0</v>
      </c>
      <c r="CB311" s="560">
        <f>IF(Sheet1!EQ313="OTHER",CH311,0)</f>
        <v>0</v>
      </c>
      <c r="CC311" s="560">
        <f t="shared" si="607"/>
        <v>0</v>
      </c>
      <c r="CD311" s="560">
        <f t="shared" si="608"/>
        <v>0</v>
      </c>
      <c r="CE311" s="560">
        <f t="shared" si="609"/>
        <v>2.5</v>
      </c>
      <c r="CF311" s="560">
        <f t="shared" si="610"/>
        <v>2.4731026461180576</v>
      </c>
      <c r="CG311" s="560">
        <f>IF(Sheet1!EQ313="CWA",SUM(Sheet1!BC313:'Sheet1'!BF313),0)</f>
        <v>0</v>
      </c>
      <c r="CH311" s="560">
        <f>IF(OR(Sheet1!EQ313="FM", Sheet1!EQ313="OTHER"),SUM(Sheet1!BC313:'Sheet1'!BF313),0)</f>
        <v>0</v>
      </c>
      <c r="CI311" s="545">
        <f>IF(AND($B311&gt;=$FV311,$B311&lt;=$FW311),MAX(CF311,Sheet1!EJ313,0),MAX(CF311-(7/36)*$K311,0))</f>
        <v>0</v>
      </c>
      <c r="CJ311" s="560">
        <f t="shared" si="611"/>
        <v>0</v>
      </c>
      <c r="CK311" s="545">
        <f t="shared" si="612"/>
        <v>2.4731026461180576</v>
      </c>
      <c r="CL311" s="545">
        <f>IF(AND($O311&gt;0,Sheet1!EN313=1),(1-($O311-Sheet1!$L313)/$O311)*CF311,0)</f>
        <v>0</v>
      </c>
      <c r="CM311" s="545">
        <f>IF(AND(Sheet1!$L313=0,Sheet1!$L312=0, Calculation!CE311&lt;Sheet1!EJ313-0.1,Sheet1!EJ313=Sheet1!EJ312,Sheet1!EJ313=Sheet1!EJ314),Sheet1!EJ313,CF311-CL311)</f>
        <v>2.4731026461180576</v>
      </c>
      <c r="CN311" s="545"/>
      <c r="CO311" s="560"/>
      <c r="CP311" s="560">
        <f t="shared" si="613"/>
        <v>0</v>
      </c>
      <c r="CQ311" s="560"/>
      <c r="CR311" s="560">
        <f ca="1">IF(B311&gt;Summary!$A$1,#N/A,CP311*MGtoAF)</f>
        <v>0</v>
      </c>
      <c r="CS311" s="560">
        <f>Sheet1!BK313+Sheet1!BL313+Sheet1!BM313-Sheet1!ER313-DA311</f>
        <v>6.99</v>
      </c>
      <c r="CT311" s="560">
        <f t="shared" si="614"/>
        <v>6.9147949985460899</v>
      </c>
      <c r="CU311" s="560">
        <f>IF(Sheet1!ER313="FM",DA311,0)</f>
        <v>0</v>
      </c>
      <c r="CV311" s="560">
        <f t="shared" si="615"/>
        <v>0</v>
      </c>
      <c r="CW311" s="560">
        <f>IF(Sheet1!ER313="OTHER",DA311,0)</f>
        <v>0</v>
      </c>
      <c r="CX311" s="560">
        <f t="shared" si="616"/>
        <v>0</v>
      </c>
      <c r="CY311" s="560">
        <f t="shared" si="617"/>
        <v>6.99</v>
      </c>
      <c r="CZ311" s="560">
        <f t="shared" si="618"/>
        <v>6.9147949985460899</v>
      </c>
      <c r="DA311" s="560">
        <f>IF(OR(Sheet1!ER313="FM", Sheet1!ER313="OTHER"),SUM(Sheet1!BK313:'Sheet1'!BM313),0)</f>
        <v>0</v>
      </c>
      <c r="DB311" s="545">
        <f>IF(AND($B311&gt;=$FV311,$B311&lt;=$FW311),MAX($CT311,Sheet1!EK313,0),MAX($CT311-(7/36)*$K311,0))</f>
        <v>0</v>
      </c>
      <c r="DC311" s="560">
        <f t="shared" si="619"/>
        <v>0</v>
      </c>
      <c r="DD311" s="545">
        <f t="shared" si="620"/>
        <v>6.9147949985460899</v>
      </c>
      <c r="DE311" s="545">
        <f>IF(AND($O311&gt;0,Sheet1!EO313=1),(1-($O311-Sheet1!$L313)/$O311)*CZ311,0)</f>
        <v>0</v>
      </c>
      <c r="DF311" s="545">
        <f>IF(AND(Sheet1!$L313=0,Sheet1!$L312=0, Calculation!CY311&lt;Sheet1!$EK313-0.1,Sheet1!$EK313=Sheet1!$EK312,Sheet1!$EK313=Sheet1!$EK314),Sheet1!$EK313,CZ311-DE311)</f>
        <v>6.9147949985460899</v>
      </c>
      <c r="DG311" s="545"/>
      <c r="DH311" s="560">
        <f t="shared" si="621"/>
        <v>9.49</v>
      </c>
      <c r="DI311" s="560">
        <f t="shared" si="622"/>
        <v>0</v>
      </c>
      <c r="DJ311" s="698">
        <f t="shared" si="623"/>
        <v>9.3878976446641467</v>
      </c>
      <c r="DK311" s="560">
        <f ca="1">IF(B311&gt;Summary!$A$1,#N/A,DI311*MGtoAF)</f>
        <v>0</v>
      </c>
      <c r="DL311" s="698">
        <f t="shared" si="624"/>
        <v>9.49</v>
      </c>
      <c r="DM311" s="560">
        <f t="shared" si="625"/>
        <v>34.39</v>
      </c>
      <c r="DN311" s="560">
        <f>Sheet1!AB313-DM311</f>
        <v>-0.36999999999999744</v>
      </c>
      <c r="DO311" s="560">
        <f t="shared" si="626"/>
        <v>-1.0758941552776895E-2</v>
      </c>
      <c r="DP311" s="560">
        <f>(VLOOKUP(Sheet1!DC313,hhdcap_wcm,4)-(((VLOOKUP(Sheet1!DC313,hhdcap_wcm,3)-Sheet1!DC313)/(VLOOKUP(Sheet1!DC313,hhdcap_wcm,3)-VLOOKUP(Sheet1!DC313,hhdcap_wcm,1)))*(VLOOKUP(Sheet1!DC313,hhdcap_wcm,4)-VLOOKUP(Sheet1!DC313,hhdcap_wcm,2))))</f>
        <v>5959.0000000125237</v>
      </c>
      <c r="DQ311" s="560">
        <f t="shared" si="627"/>
        <v>-435.60000000090986</v>
      </c>
      <c r="DR311" s="560">
        <f t="shared" si="628"/>
        <v>-219.66717095356017</v>
      </c>
      <c r="DS311" s="560">
        <f>Sheet1!EA313*AFtoMG</f>
        <v>0</v>
      </c>
      <c r="DT311" s="560">
        <f>Sheet1!EB313*AFtoMG</f>
        <v>0</v>
      </c>
      <c r="DU311" s="560">
        <f>Sheet1!EC313*AFtoMG</f>
        <v>0</v>
      </c>
      <c r="DV311" s="560">
        <f>Sheet1!ED313*AFtoMG</f>
        <v>0</v>
      </c>
      <c r="DW311" s="560">
        <f t="shared" si="629"/>
        <v>0</v>
      </c>
      <c r="DX311" s="560">
        <f t="shared" si="630"/>
        <v>0</v>
      </c>
      <c r="DY311" s="560">
        <f t="shared" si="631"/>
        <v>0</v>
      </c>
      <c r="DZ311" s="560">
        <f t="shared" si="632"/>
        <v>0</v>
      </c>
      <c r="EA311" s="560"/>
      <c r="EB311" s="545">
        <f>IF(OR(B311&lt;FV311,B311&gt;FW311),(MIN(BF311+BY311+CT311+MAX(Sheet1!AA313+AQ311-73,0),K311)),0)</f>
        <v>9.3878976446641467</v>
      </c>
      <c r="EC311" s="560"/>
      <c r="ED311" s="560">
        <f t="shared" si="633"/>
        <v>9.3878976446641467</v>
      </c>
      <c r="EE311" s="560"/>
      <c r="EF311" s="560">
        <f>Sheet1!EH313+Sheet1!EI313+Sheet1!EJ313+Sheet1!EK313</f>
        <v>9</v>
      </c>
      <c r="EG311" s="560"/>
      <c r="EH311" s="545">
        <f t="shared" si="634"/>
        <v>0</v>
      </c>
      <c r="EI311" s="560">
        <f>IF(Sheet1!ET313=1,SUM('Calculations II'!AT311:BA311)+'Calculations II'!BC311+Sheet1!BV313+'Calculations II'!BE311+AP311,SUM('Calculations II'!AT311:BA311)+'Calculations II'!BC311+Sheet1!BV313+'Calculations II'!BE311+AP311)</f>
        <v>51.658112000000003</v>
      </c>
      <c r="EJ311" s="560">
        <f>Sheet1!AA313+Sheet1!AB313+'Calculations II'!BC311</f>
        <v>56.120000000000005</v>
      </c>
      <c r="EK311" s="560"/>
      <c r="EL311" s="560"/>
      <c r="EM311" s="560">
        <f t="shared" si="635"/>
        <v>41939</v>
      </c>
      <c r="EN311" s="560">
        <f t="shared" si="636"/>
        <v>0</v>
      </c>
      <c r="EO311" s="560">
        <f t="shared" si="637"/>
        <v>0</v>
      </c>
      <c r="EP311" s="560">
        <v>0</v>
      </c>
      <c r="EQ311" s="560">
        <v>0</v>
      </c>
      <c r="ER311" s="560">
        <v>0</v>
      </c>
      <c r="ES311" s="545">
        <f t="shared" si="557"/>
        <v>-2.3521909825653733</v>
      </c>
      <c r="ET311" s="560">
        <f>-(VLOOKUP(Sheet1!BQ313,Lookup!$O$4:$Q$262,2)-VLOOKUP(Sheet1!BQ312,Lookup!$O$4:$Q$262,2))/1000000</f>
        <v>-1.2452097565879823</v>
      </c>
      <c r="EU311" s="560">
        <f>-(VLOOKUP(Sheet1!BR313,Lookup!$O$4:$Q$262,3)-VLOOKUP(Sheet1!BR312,Lookup!$O$4:$Q$262,3))/1000000</f>
        <v>-1.106981225977391</v>
      </c>
      <c r="EV311" s="560"/>
      <c r="EW311" s="560"/>
      <c r="EX311" s="560"/>
      <c r="EY311" s="560"/>
      <c r="EZ311" s="560"/>
      <c r="FA311" s="560"/>
      <c r="FB311" s="560"/>
      <c r="FC311" s="560"/>
      <c r="FD311" s="594">
        <f t="shared" si="638"/>
        <v>1096.0416666666265</v>
      </c>
      <c r="FE311" s="594" t="e">
        <f t="shared" si="639"/>
        <v>#N/A</v>
      </c>
      <c r="FF311" s="595" t="e">
        <f t="shared" si="640"/>
        <v>#N/A</v>
      </c>
      <c r="FG311" s="596" t="s">
        <v>692</v>
      </c>
      <c r="FH311" s="596" t="s">
        <v>692</v>
      </c>
      <c r="FI311" s="594" t="e">
        <v>#N/A</v>
      </c>
      <c r="FJ311" s="778">
        <v>3538</v>
      </c>
      <c r="FK311" s="560"/>
      <c r="FL311" s="560"/>
      <c r="FM311" s="560"/>
      <c r="FN311" s="560"/>
      <c r="FO311" s="560">
        <f>O311+((Sheet1!CS313)*GPMtoMGD)</f>
        <v>56.120000000000005</v>
      </c>
      <c r="FP311" s="560">
        <f>IF(Sheet1!AA313+AQ311&lt;=Calculation!N311,AQ311,Calculation!N311-Sheet1!AA313)</f>
        <v>23.642861296888629</v>
      </c>
      <c r="FQ311" s="560">
        <f>(Sheet1!BP313+Sheet1!BO313)/694.4</f>
        <v>2.0761808755760365</v>
      </c>
      <c r="FR311" s="560"/>
      <c r="FS311" s="560"/>
      <c r="FT311" s="560"/>
      <c r="FU311" s="560"/>
      <c r="FV311" s="695">
        <f t="shared" si="558"/>
        <v>41827</v>
      </c>
      <c r="FW311" s="695">
        <f t="shared" si="559"/>
        <v>41934</v>
      </c>
      <c r="FX311" s="560"/>
      <c r="FY311" s="560"/>
      <c r="FZ311" s="560"/>
      <c r="GA311" s="560"/>
      <c r="GB311" s="560" t="str">
        <f t="shared" si="560"/>
        <v>n</v>
      </c>
      <c r="GC311" s="564">
        <f t="shared" si="561"/>
        <v>41691</v>
      </c>
      <c r="GD311" s="695">
        <f t="shared" si="562"/>
        <v>41807</v>
      </c>
      <c r="GE311" s="560">
        <v>6518.9</v>
      </c>
      <c r="GF311" s="695">
        <f t="shared" si="563"/>
        <v>41808</v>
      </c>
      <c r="GG311" s="560">
        <f t="shared" si="582"/>
        <v>3259</v>
      </c>
      <c r="GH311" s="564">
        <f t="shared" si="564"/>
        <v>41934</v>
      </c>
      <c r="GJ311" s="545">
        <f t="shared" si="565"/>
        <v>0</v>
      </c>
      <c r="GK311" s="560" t="str">
        <f t="shared" si="641"/>
        <v/>
      </c>
      <c r="GL311" s="560">
        <f t="shared" si="566"/>
        <v>0</v>
      </c>
      <c r="GM311" s="560" t="str">
        <f t="shared" si="567"/>
        <v/>
      </c>
      <c r="GN311" s="560">
        <f>IF(GK311="P",Lookup!$M$12,IF(GK311="PP",Lookup!$M$13,IF(GK311="PPP",Lookup!$M$14,IF(GK311="T",Lookup!$M$15,IF(GK311="TP",Lookup!$M$16,IF(GK311="TPP",Lookup!$M$17,IF(GK311="TPPP",Lookup!$M$18,0)))))))*GJ311</f>
        <v>0</v>
      </c>
      <c r="GO311" s="560">
        <f t="shared" si="568"/>
        <v>0</v>
      </c>
      <c r="GP311" s="560">
        <f t="shared" si="642"/>
        <v>0</v>
      </c>
      <c r="GQ311" s="560">
        <f t="shared" si="576"/>
        <v>0</v>
      </c>
      <c r="GR311" s="560"/>
      <c r="GS311" s="560">
        <f t="shared" si="569"/>
        <v>0</v>
      </c>
      <c r="GT311" s="560" t="str">
        <f t="shared" si="570"/>
        <v/>
      </c>
      <c r="GU311" s="560">
        <f>IF(GK311="P",Lookup!$N$12,IF(GK311="PP",Lookup!$N$13,IF(GK311="PPP",Lookup!$N$14,IF(GK311="T",Lookup!$N$15,IF(GK311="TP",Lookup!$N$16,IF(GK311="TPP",Lookup!$N$17,IF(GK311="TPPP",Lookup!$N$18,0)))))))*GJ311</f>
        <v>0</v>
      </c>
      <c r="GV311" s="560">
        <f t="shared" si="571"/>
        <v>0</v>
      </c>
      <c r="GW311" s="560">
        <f t="shared" si="643"/>
        <v>0</v>
      </c>
      <c r="GX311" s="560">
        <f t="shared" si="577"/>
        <v>0</v>
      </c>
      <c r="GY311" s="560"/>
      <c r="GZ311" s="560">
        <f t="shared" si="572"/>
        <v>0</v>
      </c>
      <c r="HA311" s="560" t="str">
        <f t="shared" si="573"/>
        <v/>
      </c>
      <c r="HB311" s="560">
        <f>IF(GK311="P",Lookup!$N$12,IF(GK311="PP",Lookup!$N$13,IF(GK311="PPP",Lookup!$N$14,IF(GK311="T",Lookup!$N$15,IF(GK311="TP",Lookup!$N$16,IF(GK311="TPP",Lookup!$N$17,IF(GK311="TPPP",Lookup!$N$18,0)))))))*GJ311</f>
        <v>0</v>
      </c>
      <c r="HC311" s="545">
        <f t="shared" si="644"/>
        <v>0</v>
      </c>
      <c r="HD311" s="560">
        <f t="shared" si="645"/>
        <v>0</v>
      </c>
      <c r="HE311" s="560">
        <f t="shared" si="578"/>
        <v>0</v>
      </c>
      <c r="HF311" s="560"/>
      <c r="HG311" s="560">
        <f t="shared" si="574"/>
        <v>0</v>
      </c>
      <c r="HH311" s="560" t="str">
        <f t="shared" si="575"/>
        <v/>
      </c>
      <c r="HI311" s="560">
        <f>IF(GK311="P",Lookup!$N$12,IF(GK311="PP",Lookup!$N$13,IF(GK311="PPP",Lookup!$N$14,IF(GK311="T",Lookup!$N$15,IF(GK311="TP",Lookup!$N$16,IF(GK311="TPP",Lookup!$N$17,IF(GK311="TPPP",Lookup!$N$18,0)))))))*GJ311</f>
        <v>0</v>
      </c>
      <c r="HJ311" s="545">
        <f t="shared" si="646"/>
        <v>0</v>
      </c>
      <c r="HK311" s="560">
        <f t="shared" si="647"/>
        <v>0</v>
      </c>
      <c r="HL311" s="560">
        <f t="shared" si="579"/>
        <v>0</v>
      </c>
    </row>
    <row r="312" spans="1:220">
      <c r="A312" s="580" t="s">
        <v>5</v>
      </c>
      <c r="B312" s="556">
        <v>41940</v>
      </c>
      <c r="C312" s="561">
        <v>0</v>
      </c>
      <c r="D312" s="529">
        <f t="shared" si="580"/>
        <v>300</v>
      </c>
      <c r="E312" s="529">
        <f t="shared" si="581"/>
        <v>250</v>
      </c>
      <c r="F312" s="529">
        <v>250</v>
      </c>
      <c r="G312" s="560">
        <f>DR312+Sheet1!CZ314</f>
        <v>1368.547655067066</v>
      </c>
      <c r="H312" s="914">
        <f t="shared" si="546"/>
        <v>617.66600423535147</v>
      </c>
      <c r="I312" s="559">
        <f>MAX(Sheet1!Z314-AT312+(Sheet1!DA314-E312)*CFStoMGD,0)</f>
        <v>1417.316</v>
      </c>
      <c r="J312" s="562">
        <f>IF(AND(B312&gt;=Calculation!GC312,B312&lt;=Calculation!GD312),IF(Sheet1!DB314&gt;=Calculation!D312,64.64,0),MAX(Sheet1!Z314-AT312+(Sheet1!DB314-D312)*CFStoMGD,0))</f>
        <v>1003.6199999999999</v>
      </c>
      <c r="K312" s="904">
        <f t="shared" si="583"/>
        <v>64.64</v>
      </c>
      <c r="L312" s="560">
        <f>Sheet1!AA314+Sheet1!AB314-Sheet1!L314+(Sheet1!DA314-F312)*CFStoMGD</f>
        <v>1433.7759999999994</v>
      </c>
      <c r="M312" s="560">
        <f t="shared" si="584"/>
        <v>902.32178832005854</v>
      </c>
      <c r="N312" s="910">
        <f>IF(Sheet1!DA314&gt;=F312,MIN(73,MIN(MAX(L312,0),MAX(M312,0))),0)</f>
        <v>73</v>
      </c>
      <c r="O312" s="563">
        <f>Sheet1!AA314+Sheet1!AB314</f>
        <v>57.18</v>
      </c>
      <c r="P312" s="563">
        <f t="shared" si="585"/>
        <v>88.457459999999998</v>
      </c>
      <c r="Q312" s="898">
        <f t="shared" si="547"/>
        <v>0</v>
      </c>
      <c r="R312" s="829">
        <f t="shared" si="586"/>
        <v>8.9786997703788742</v>
      </c>
      <c r="S312" s="898">
        <f t="shared" si="548"/>
        <v>57.18</v>
      </c>
      <c r="T312" s="898">
        <f t="shared" si="549"/>
        <v>0</v>
      </c>
      <c r="U312" s="898">
        <f t="shared" si="550"/>
        <v>0</v>
      </c>
      <c r="V312" s="898"/>
      <c r="W312" s="898">
        <f t="shared" si="551"/>
        <v>55.661300229621126</v>
      </c>
      <c r="X312" s="898">
        <f t="shared" si="552"/>
        <v>57.18</v>
      </c>
      <c r="Y312" s="898" t="str">
        <f t="shared" si="553"/>
        <v/>
      </c>
      <c r="Z312" s="898">
        <f t="shared" si="554"/>
        <v>57.18</v>
      </c>
      <c r="AA312" s="898">
        <f t="shared" si="555"/>
        <v>57.18</v>
      </c>
      <c r="AB312" s="898" t="str">
        <f t="shared" si="556"/>
        <v/>
      </c>
      <c r="AC312" s="563">
        <f>Sheet1!Y314*MGDtoCFS</f>
        <v>34.188699999999997</v>
      </c>
      <c r="AD312" s="563">
        <f>Sheet1!Z314*MGDtoCFS</f>
        <v>52.62894</v>
      </c>
      <c r="AE312" s="563">
        <f>Sheet1!AA314*MGDtoCFS</f>
        <v>34.266049999999993</v>
      </c>
      <c r="AF312" s="563">
        <f>Sheet1!AB314*MGDtoCFS</f>
        <v>54.191409999999998</v>
      </c>
      <c r="AG312" s="563">
        <f>Sheet1!L314*MGDtoCFS</f>
        <v>10.364900000001125</v>
      </c>
      <c r="AH312" s="545">
        <f t="shared" si="587"/>
        <v>0</v>
      </c>
      <c r="AI312" s="560">
        <f t="shared" si="588"/>
        <v>0</v>
      </c>
      <c r="AJ312" s="560">
        <f t="shared" si="589"/>
        <v>0</v>
      </c>
      <c r="AK312" s="560">
        <f t="shared" si="590"/>
        <v>0</v>
      </c>
      <c r="AL312" s="560">
        <f>(VLOOKUP(Sheet1!DC314,hhdcap_wcm,4)-(((VLOOKUP(Sheet1!DC314,hhdcap_wcm,3)-Sheet1!DC314)/(VLOOKUP(Sheet1!DC314,hhdcap_wcm,3)-VLOOKUP(Sheet1!DC314,hhdcap_wcm,1)))*(VLOOKUP(Sheet1!DC314,hhdcap_wcm,4)-VLOOKUP(Sheet1!DC314,hhdcap_wcm,2))))</f>
        <v>4687.0000000105156</v>
      </c>
      <c r="AM312" s="560">
        <f t="shared" si="591"/>
        <v>-1272.0000000020082</v>
      </c>
      <c r="AN312" s="560">
        <f t="shared" si="592"/>
        <v>0</v>
      </c>
      <c r="AO312" s="560">
        <f t="shared" si="593"/>
        <v>0</v>
      </c>
      <c r="AP312" s="560">
        <f>Sheet1!BA314+Sheet1!BB314+Sheet1!BN314+CD312</f>
        <v>25.91</v>
      </c>
      <c r="AQ312" s="560">
        <f>Sheet1!BN314+(DO312*Sheet1!BN314)</f>
        <v>25.035792192881743</v>
      </c>
      <c r="AR312" s="560">
        <f>Sheet1!BA314+CD312</f>
        <v>0</v>
      </c>
      <c r="AS312" s="560">
        <f>Sheet1!BA314+Sheet1!BB314+CD312</f>
        <v>1.01</v>
      </c>
      <c r="AT312" s="698">
        <f>0</f>
        <v>0</v>
      </c>
      <c r="AU312" s="560">
        <f>IF(EB312&lt;K312,0,MAX(Sheet1!AA314+AQ312-15/36*K312-N312,Sheet1!EH314,0))</f>
        <v>0</v>
      </c>
      <c r="AV312" s="560">
        <f>IF(OR(B312&gt;=GD312,B312&lt;GC312),0,15/36*K312-MAX(0,64.6-(137.6-(Sheet1!AA314+Sheet1!AB314))))</f>
        <v>0</v>
      </c>
      <c r="AW312" s="698">
        <f>Sheet1!DB314-110</f>
        <v>1690</v>
      </c>
      <c r="AX312" s="698">
        <f>Sheet1!DA314-265</f>
        <v>2125</v>
      </c>
      <c r="AY312" s="698">
        <f t="shared" si="594"/>
        <v>73</v>
      </c>
      <c r="AZ312" s="698">
        <v>0</v>
      </c>
      <c r="BA312" s="698">
        <f t="shared" si="595"/>
        <v>0</v>
      </c>
      <c r="BB312" s="560">
        <f t="shared" si="596"/>
        <v>0</v>
      </c>
      <c r="BC312" s="560"/>
      <c r="BD312" s="560">
        <f ca="1">IF(B312&gt;Summary!$A$1,#N/A,BB312*MGtoAF)</f>
        <v>0</v>
      </c>
      <c r="BE312" s="560">
        <f>Sheet1!BG314+Sheet1!BH314+Sheet1!BI314-BM312</f>
        <v>0</v>
      </c>
      <c r="BF312" s="560">
        <f t="shared" si="597"/>
        <v>0</v>
      </c>
      <c r="BG312" s="560">
        <f>IF(Sheet1!EP314="FM",BM312,0)</f>
        <v>0</v>
      </c>
      <c r="BH312" s="560">
        <f t="shared" si="598"/>
        <v>0</v>
      </c>
      <c r="BI312" s="560">
        <f>IF(Sheet1!EP314="OTHER",BM312,0)</f>
        <v>0</v>
      </c>
      <c r="BJ312" s="560">
        <f t="shared" si="599"/>
        <v>0</v>
      </c>
      <c r="BK312" s="560">
        <f t="shared" si="600"/>
        <v>0</v>
      </c>
      <c r="BL312" s="560">
        <f t="shared" si="601"/>
        <v>0</v>
      </c>
      <c r="BM312" s="560">
        <f>IF(OR(Sheet1!EP314="FM", Sheet1!EP314="OTHER"),SUM(Sheet1!BG314:'Sheet1'!BI314),0)</f>
        <v>0</v>
      </c>
      <c r="BN312" s="545">
        <f>IF(AND($B312&gt;=$FV312,$B312&lt;=$FW312),MAX(BF312,Sheet1!EI314,0),MAX(BF312-(7/36)*$K312,0))</f>
        <v>0</v>
      </c>
      <c r="BO312" s="560">
        <f t="shared" si="602"/>
        <v>0</v>
      </c>
      <c r="BP312" s="545">
        <f t="shared" si="603"/>
        <v>0</v>
      </c>
      <c r="BQ312" s="545">
        <f>IF(AND($O312&gt;0,Sheet1!EM314=1),(1-($O312-Sheet1!$L314)/$O312)*BL312,0)</f>
        <v>0</v>
      </c>
      <c r="BR312" s="545">
        <f>IF(AND(Sheet1!$L314=0,Sheet1!$L313=0, Calculation!BK312&lt;Sheet1!$EI314-0.1,Sheet1!$EI314=Sheet1!$EI313,Sheet1!$EI314=Sheet1!$EI315),Sheet1!$EI314,BL312-BQ312)</f>
        <v>0</v>
      </c>
      <c r="BS312" s="560"/>
      <c r="BT312" s="560"/>
      <c r="BU312" s="560">
        <f t="shared" si="604"/>
        <v>0</v>
      </c>
      <c r="BV312" s="560"/>
      <c r="BW312" s="560">
        <f ca="1">IF(B312&gt;Summary!$A$1,#N/A,BU312*MGtoAF)</f>
        <v>0</v>
      </c>
      <c r="BX312" s="560">
        <f>Sheet1!BC314+Sheet1!BD314+Sheet1!BE314+Sheet1!BF314-CG312-CH312</f>
        <v>2.5100000000000002</v>
      </c>
      <c r="BY312" s="560">
        <f t="shared" si="605"/>
        <v>2.5236882893226178</v>
      </c>
      <c r="BZ312" s="560">
        <f>IF(Sheet1!EQ314="FM",CH312,0)</f>
        <v>0</v>
      </c>
      <c r="CA312" s="560">
        <f t="shared" si="606"/>
        <v>0</v>
      </c>
      <c r="CB312" s="560">
        <f>IF(Sheet1!EQ314="OTHER",CH312,0)</f>
        <v>0</v>
      </c>
      <c r="CC312" s="560">
        <f t="shared" si="607"/>
        <v>0</v>
      </c>
      <c r="CD312" s="560">
        <f t="shared" si="608"/>
        <v>0</v>
      </c>
      <c r="CE312" s="560">
        <f t="shared" si="609"/>
        <v>2.5100000000000002</v>
      </c>
      <c r="CF312" s="560">
        <f t="shared" si="610"/>
        <v>2.5236882893226178</v>
      </c>
      <c r="CG312" s="560">
        <f>IF(Sheet1!EQ314="CWA",SUM(Sheet1!BC314:'Sheet1'!BF314),0)</f>
        <v>0</v>
      </c>
      <c r="CH312" s="560">
        <f>IF(OR(Sheet1!EQ314="FM", Sheet1!EQ314="OTHER"),SUM(Sheet1!BC314:'Sheet1'!BF314),0)</f>
        <v>0</v>
      </c>
      <c r="CI312" s="545">
        <f>IF(AND($B312&gt;=$FV312,$B312&lt;=$FW312),MAX(CF312,Sheet1!EJ314,0),MAX(CF312-(7/36)*$K312,0))</f>
        <v>0</v>
      </c>
      <c r="CJ312" s="560">
        <f t="shared" si="611"/>
        <v>0</v>
      </c>
      <c r="CK312" s="545">
        <f t="shared" si="612"/>
        <v>2.5236882893226178</v>
      </c>
      <c r="CL312" s="545">
        <f>IF(AND($O312&gt;0,Sheet1!EN314=1),(1-($O312-Sheet1!$L314)/$O312)*CF312,0)</f>
        <v>0</v>
      </c>
      <c r="CM312" s="545">
        <f>IF(AND(Sheet1!$L314=0,Sheet1!$L313=0, Calculation!CE312&lt;Sheet1!EJ314-0.1,Sheet1!EJ314=Sheet1!EJ313,Sheet1!EJ314=Sheet1!EJ315),Sheet1!EJ314,CF312-CL312)</f>
        <v>2.5236882893226178</v>
      </c>
      <c r="CN312" s="545"/>
      <c r="CO312" s="560"/>
      <c r="CP312" s="560">
        <f t="shared" si="613"/>
        <v>0</v>
      </c>
      <c r="CQ312" s="560"/>
      <c r="CR312" s="560">
        <f ca="1">IF(B312&gt;Summary!$A$1,#N/A,CP312*MGtoAF)</f>
        <v>0</v>
      </c>
      <c r="CS312" s="560">
        <f>Sheet1!BK314+Sheet1!BL314+Sheet1!BM314-Sheet1!ER314-DA312</f>
        <v>6.42</v>
      </c>
      <c r="CT312" s="560">
        <f t="shared" si="614"/>
        <v>6.4550114810562569</v>
      </c>
      <c r="CU312" s="560">
        <f>IF(Sheet1!ER314="FM",DA312,0)</f>
        <v>0</v>
      </c>
      <c r="CV312" s="560">
        <f t="shared" si="615"/>
        <v>0</v>
      </c>
      <c r="CW312" s="560">
        <f>IF(Sheet1!ER314="OTHER",DA312,0)</f>
        <v>0</v>
      </c>
      <c r="CX312" s="560">
        <f t="shared" si="616"/>
        <v>0</v>
      </c>
      <c r="CY312" s="560">
        <f t="shared" si="617"/>
        <v>6.42</v>
      </c>
      <c r="CZ312" s="560">
        <f t="shared" si="618"/>
        <v>6.4550114810562569</v>
      </c>
      <c r="DA312" s="560">
        <f>IF(OR(Sheet1!ER314="FM", Sheet1!ER314="OTHER"),SUM(Sheet1!BK314:'Sheet1'!BM314),0)</f>
        <v>0</v>
      </c>
      <c r="DB312" s="545">
        <f>IF(AND($B312&gt;=$FV312,$B312&lt;=$FW312),MAX($CT312,Sheet1!EK314,0),MAX($CT312-(7/36)*$K312,0))</f>
        <v>0</v>
      </c>
      <c r="DC312" s="560">
        <f t="shared" si="619"/>
        <v>0</v>
      </c>
      <c r="DD312" s="545">
        <f t="shared" si="620"/>
        <v>6.4550114810562569</v>
      </c>
      <c r="DE312" s="545">
        <f>IF(AND($O312&gt;0,Sheet1!EO314=1),(1-($O312-Sheet1!$L314)/$O312)*CZ312,0)</f>
        <v>0</v>
      </c>
      <c r="DF312" s="545">
        <f>IF(AND(Sheet1!$L314=0,Sheet1!$L313=0, Calculation!CY312&lt;Sheet1!$EK314-0.1,Sheet1!$EK314=Sheet1!$EK313,Sheet1!$EK314=Sheet1!$EK315),Sheet1!$EK314,CZ312-DE312)</f>
        <v>6.4550114810562569</v>
      </c>
      <c r="DG312" s="545"/>
      <c r="DH312" s="560">
        <f t="shared" si="621"/>
        <v>8.93</v>
      </c>
      <c r="DI312" s="560">
        <f t="shared" si="622"/>
        <v>0</v>
      </c>
      <c r="DJ312" s="698">
        <f t="shared" si="623"/>
        <v>8.9786997703788742</v>
      </c>
      <c r="DK312" s="560">
        <f ca="1">IF(B312&gt;Summary!$A$1,#N/A,DI312*MGtoAF)</f>
        <v>0</v>
      </c>
      <c r="DL312" s="698">
        <f t="shared" si="624"/>
        <v>8.93</v>
      </c>
      <c r="DM312" s="560">
        <f t="shared" si="625"/>
        <v>34.840000000000003</v>
      </c>
      <c r="DN312" s="560">
        <f>Sheet1!AB314-DM312</f>
        <v>0.18999999999999773</v>
      </c>
      <c r="DO312" s="560">
        <f t="shared" si="626"/>
        <v>5.4535017221583725E-3</v>
      </c>
      <c r="DP312" s="560">
        <f>(VLOOKUP(Sheet1!DC314,hhdcap_wcm,4)-(((VLOOKUP(Sheet1!DC314,hhdcap_wcm,3)-Sheet1!DC314)/(VLOOKUP(Sheet1!DC314,hhdcap_wcm,3)-VLOOKUP(Sheet1!DC314,hhdcap_wcm,1)))*(VLOOKUP(Sheet1!DC314,hhdcap_wcm,4)-VLOOKUP(Sheet1!DC314,hhdcap_wcm,2))))</f>
        <v>4687.0000000105156</v>
      </c>
      <c r="DQ312" s="560">
        <f t="shared" si="627"/>
        <v>-1272.0000000020082</v>
      </c>
      <c r="DR312" s="560">
        <f t="shared" si="628"/>
        <v>-641.4523449329339</v>
      </c>
      <c r="DS312" s="560">
        <f>Sheet1!EA314*AFtoMG</f>
        <v>0</v>
      </c>
      <c r="DT312" s="560">
        <f>Sheet1!EB314*AFtoMG</f>
        <v>0</v>
      </c>
      <c r="DU312" s="560">
        <f>Sheet1!EC314*AFtoMG</f>
        <v>0</v>
      </c>
      <c r="DV312" s="560">
        <f>Sheet1!ED314*AFtoMG</f>
        <v>0</v>
      </c>
      <c r="DW312" s="560">
        <f t="shared" si="629"/>
        <v>0</v>
      </c>
      <c r="DX312" s="560">
        <f t="shared" si="630"/>
        <v>0</v>
      </c>
      <c r="DY312" s="560">
        <f t="shared" si="631"/>
        <v>0</v>
      </c>
      <c r="DZ312" s="560">
        <f t="shared" si="632"/>
        <v>0</v>
      </c>
      <c r="EA312" s="560"/>
      <c r="EB312" s="545">
        <f>IF(OR(B312&lt;FV312,B312&gt;FW312),(MIN(BF312+BY312+CT312+MAX(Sheet1!AA314+AQ312-73,0),K312)),0)</f>
        <v>8.9786997703788742</v>
      </c>
      <c r="EC312" s="560"/>
      <c r="ED312" s="560">
        <f t="shared" si="633"/>
        <v>8.9786997703788742</v>
      </c>
      <c r="EE312" s="560"/>
      <c r="EF312" s="560">
        <f>Sheet1!EH314+Sheet1!EI314+Sheet1!EJ314+Sheet1!EK314</f>
        <v>9</v>
      </c>
      <c r="EG312" s="560"/>
      <c r="EH312" s="545">
        <f t="shared" si="634"/>
        <v>0</v>
      </c>
      <c r="EI312" s="560">
        <f>IF(Sheet1!ET314=1,SUM('Calculations II'!AT312:BA312)+'Calculations II'!BC312+Sheet1!BV314+'Calculations II'!BE312+AP312,SUM('Calculations II'!AT312:BA312)+'Calculations II'!BC312+Sheet1!BV314+'Calculations II'!BE312+AP312)</f>
        <v>50.266992000000002</v>
      </c>
      <c r="EJ312" s="560">
        <f>Sheet1!AA314+Sheet1!AB314+'Calculations II'!BC312</f>
        <v>57.18</v>
      </c>
      <c r="EK312" s="560"/>
      <c r="EL312" s="560"/>
      <c r="EM312" s="560">
        <f t="shared" si="635"/>
        <v>41940</v>
      </c>
      <c r="EN312" s="560">
        <f t="shared" si="636"/>
        <v>0</v>
      </c>
      <c r="EO312" s="560">
        <f t="shared" si="637"/>
        <v>0</v>
      </c>
      <c r="EP312" s="560">
        <v>0</v>
      </c>
      <c r="EQ312" s="560">
        <v>0</v>
      </c>
      <c r="ER312" s="560">
        <v>0</v>
      </c>
      <c r="ES312" s="545">
        <f t="shared" si="557"/>
        <v>-4.4301800286057071</v>
      </c>
      <c r="ET312" s="560">
        <f>-(VLOOKUP(Sheet1!BQ314,Lookup!$O$4:$Q$262,2)-VLOOKUP(Sheet1!BQ313,Lookup!$O$4:$Q$262,2))/1000000</f>
        <v>-2.2149874974557906</v>
      </c>
      <c r="EU312" s="560">
        <f>-(VLOOKUP(Sheet1!BR314,Lookup!$O$4:$Q$262,3)-VLOOKUP(Sheet1!BR313,Lookup!$O$4:$Q$262,3))/1000000</f>
        <v>-2.2151925311499165</v>
      </c>
      <c r="EV312" s="560"/>
      <c r="EW312" s="560"/>
      <c r="EX312" s="560"/>
      <c r="EY312" s="560"/>
      <c r="EZ312" s="560"/>
      <c r="FA312" s="560"/>
      <c r="FB312" s="560"/>
      <c r="FC312" s="560"/>
      <c r="FD312" s="594">
        <f t="shared" si="638"/>
        <v>1095.1434782608303</v>
      </c>
      <c r="FE312" s="594" t="e">
        <f t="shared" si="639"/>
        <v>#N/A</v>
      </c>
      <c r="FF312" s="595" t="e">
        <f t="shared" si="640"/>
        <v>#N/A</v>
      </c>
      <c r="FG312" s="596" t="s">
        <v>692</v>
      </c>
      <c r="FH312" s="596" t="s">
        <v>692</v>
      </c>
      <c r="FI312" s="594" t="e">
        <v>#N/A</v>
      </c>
      <c r="FJ312" s="778">
        <v>3329</v>
      </c>
      <c r="FK312" s="560"/>
      <c r="FL312" s="560"/>
      <c r="FM312" s="560"/>
      <c r="FN312" s="560"/>
      <c r="FO312" s="560">
        <f>O312+((Sheet1!CS314)*GPMtoMGD)</f>
        <v>57.18</v>
      </c>
      <c r="FP312" s="560">
        <f>IF(Sheet1!AA314+AQ312&lt;=Calculation!N312,AQ312,Calculation!N312-Sheet1!AA314)</f>
        <v>25.035792192881743</v>
      </c>
      <c r="FQ312" s="560">
        <f>(Sheet1!BP314+Sheet1!BO314)/694.4</f>
        <v>1.3817684331797235</v>
      </c>
      <c r="FR312" s="560"/>
      <c r="FS312" s="560"/>
      <c r="FT312" s="560"/>
      <c r="FU312" s="560"/>
      <c r="FV312" s="695">
        <f t="shared" si="558"/>
        <v>41827</v>
      </c>
      <c r="FW312" s="695">
        <f t="shared" si="559"/>
        <v>41934</v>
      </c>
      <c r="FX312" s="560"/>
      <c r="FY312" s="560"/>
      <c r="FZ312" s="560"/>
      <c r="GA312" s="560"/>
      <c r="GB312" s="560" t="str">
        <f t="shared" si="560"/>
        <v>n</v>
      </c>
      <c r="GC312" s="564">
        <f t="shared" si="561"/>
        <v>41691</v>
      </c>
      <c r="GD312" s="695">
        <f t="shared" si="562"/>
        <v>41807</v>
      </c>
      <c r="GE312" s="560">
        <v>6518.9</v>
      </c>
      <c r="GF312" s="695">
        <f t="shared" si="563"/>
        <v>41808</v>
      </c>
      <c r="GG312" s="560">
        <f t="shared" si="582"/>
        <v>3259</v>
      </c>
      <c r="GH312" s="564">
        <f t="shared" si="564"/>
        <v>41934</v>
      </c>
      <c r="GJ312" s="545">
        <f t="shared" si="565"/>
        <v>0</v>
      </c>
      <c r="GK312" s="560" t="str">
        <f t="shared" si="641"/>
        <v/>
      </c>
      <c r="GL312" s="560">
        <f t="shared" si="566"/>
        <v>0</v>
      </c>
      <c r="GM312" s="560" t="str">
        <f t="shared" si="567"/>
        <v/>
      </c>
      <c r="GN312" s="560">
        <f>IF(GK312="P",Lookup!$M$12,IF(GK312="PP",Lookup!$M$13,IF(GK312="PPP",Lookup!$M$14,IF(GK312="T",Lookup!$M$15,IF(GK312="TP",Lookup!$M$16,IF(GK312="TPP",Lookup!$M$17,IF(GK312="TPPP",Lookup!$M$18,0)))))))*GJ312</f>
        <v>0</v>
      </c>
      <c r="GO312" s="560">
        <f t="shared" si="568"/>
        <v>0</v>
      </c>
      <c r="GP312" s="560">
        <f t="shared" si="642"/>
        <v>0</v>
      </c>
      <c r="GQ312" s="560">
        <f t="shared" si="576"/>
        <v>0</v>
      </c>
      <c r="GR312" s="560"/>
      <c r="GS312" s="560">
        <f t="shared" si="569"/>
        <v>0</v>
      </c>
      <c r="GT312" s="560" t="str">
        <f t="shared" si="570"/>
        <v/>
      </c>
      <c r="GU312" s="560">
        <f>IF(GK312="P",Lookup!$N$12,IF(GK312="PP",Lookup!$N$13,IF(GK312="PPP",Lookup!$N$14,IF(GK312="T",Lookup!$N$15,IF(GK312="TP",Lookup!$N$16,IF(GK312="TPP",Lookup!$N$17,IF(GK312="TPPP",Lookup!$N$18,0)))))))*GJ312</f>
        <v>0</v>
      </c>
      <c r="GV312" s="560">
        <f t="shared" si="571"/>
        <v>0</v>
      </c>
      <c r="GW312" s="560">
        <f t="shared" si="643"/>
        <v>0</v>
      </c>
      <c r="GX312" s="560">
        <f t="shared" si="577"/>
        <v>0</v>
      </c>
      <c r="GY312" s="560"/>
      <c r="GZ312" s="560">
        <f t="shared" si="572"/>
        <v>0</v>
      </c>
      <c r="HA312" s="560" t="str">
        <f t="shared" si="573"/>
        <v/>
      </c>
      <c r="HB312" s="560">
        <f>IF(GK312="P",Lookup!$N$12,IF(GK312="PP",Lookup!$N$13,IF(GK312="PPP",Lookup!$N$14,IF(GK312="T",Lookup!$N$15,IF(GK312="TP",Lookup!$N$16,IF(GK312="TPP",Lookup!$N$17,IF(GK312="TPPP",Lookup!$N$18,0)))))))*GJ312</f>
        <v>0</v>
      </c>
      <c r="HC312" s="545">
        <f t="shared" si="644"/>
        <v>0</v>
      </c>
      <c r="HD312" s="560">
        <f t="shared" si="645"/>
        <v>0</v>
      </c>
      <c r="HE312" s="560">
        <f t="shared" si="578"/>
        <v>0</v>
      </c>
      <c r="HF312" s="560"/>
      <c r="HG312" s="560">
        <f t="shared" si="574"/>
        <v>0</v>
      </c>
      <c r="HH312" s="560" t="str">
        <f t="shared" si="575"/>
        <v/>
      </c>
      <c r="HI312" s="560">
        <f>IF(GK312="P",Lookup!$N$12,IF(GK312="PP",Lookup!$N$13,IF(GK312="PPP",Lookup!$N$14,IF(GK312="T",Lookup!$N$15,IF(GK312="TP",Lookup!$N$16,IF(GK312="TPP",Lookup!$N$17,IF(GK312="TPPP",Lookup!$N$18,0)))))))*GJ312</f>
        <v>0</v>
      </c>
      <c r="HJ312" s="545">
        <f t="shared" si="646"/>
        <v>0</v>
      </c>
      <c r="HK312" s="560">
        <f t="shared" si="647"/>
        <v>0</v>
      </c>
      <c r="HL312" s="560">
        <f t="shared" si="579"/>
        <v>0</v>
      </c>
    </row>
    <row r="313" spans="1:220">
      <c r="A313" s="580" t="s">
        <v>6</v>
      </c>
      <c r="B313" s="556">
        <v>41941</v>
      </c>
      <c r="C313" s="561">
        <v>0</v>
      </c>
      <c r="D313" s="529">
        <f t="shared" si="580"/>
        <v>300</v>
      </c>
      <c r="E313" s="529">
        <f t="shared" si="581"/>
        <v>250</v>
      </c>
      <c r="F313" s="529">
        <v>250</v>
      </c>
      <c r="G313" s="560">
        <f>DR313+Sheet1!CZ315</f>
        <v>1419.8991427118954</v>
      </c>
      <c r="H313" s="914">
        <f t="shared" si="546"/>
        <v>650.85960584896918</v>
      </c>
      <c r="I313" s="559">
        <f>MAX(Sheet1!Z315-AT313+(Sheet1!DA315-E313)*CFStoMGD,0)</f>
        <v>1457.11</v>
      </c>
      <c r="J313" s="562">
        <f>IF(AND(B313&gt;=Calculation!GC313,B313&lt;=Calculation!GD313),IF(Sheet1!DB315&gt;=Calculation!D313,64.64,0),MAX(Sheet1!Z315-AT313+(Sheet1!DB315-D313)*CFStoMGD,0))</f>
        <v>1043.414</v>
      </c>
      <c r="K313" s="904">
        <f t="shared" si="583"/>
        <v>64.64</v>
      </c>
      <c r="L313" s="560">
        <f>Sheet1!AA315+Sheet1!AB315-Sheet1!L315+(Sheet1!DA315-F313)*CFStoMGD</f>
        <v>1463.7899999999979</v>
      </c>
      <c r="M313" s="560">
        <f t="shared" si="584"/>
        <v>936.17926196594863</v>
      </c>
      <c r="N313" s="910">
        <f>IF(Sheet1!DA315&gt;=F313,MIN(73,MIN(MAX(L313,0),MAX(M313,0))),0)</f>
        <v>73</v>
      </c>
      <c r="O313" s="563">
        <f>Sheet1!AA315+Sheet1!AB315</f>
        <v>56.97</v>
      </c>
      <c r="P313" s="563">
        <f t="shared" si="585"/>
        <v>88.132589999999993</v>
      </c>
      <c r="Q313" s="898">
        <f t="shared" si="547"/>
        <v>0</v>
      </c>
      <c r="R313" s="829">
        <f t="shared" si="586"/>
        <v>8.7930444829578267</v>
      </c>
      <c r="S313" s="898">
        <f t="shared" si="548"/>
        <v>56.97</v>
      </c>
      <c r="T313" s="898">
        <f t="shared" si="549"/>
        <v>0</v>
      </c>
      <c r="U313" s="898">
        <f t="shared" si="550"/>
        <v>0</v>
      </c>
      <c r="V313" s="898"/>
      <c r="W313" s="898">
        <f t="shared" si="551"/>
        <v>55.846955517042176</v>
      </c>
      <c r="X313" s="898">
        <f t="shared" si="552"/>
        <v>56.97</v>
      </c>
      <c r="Y313" s="898" t="str">
        <f t="shared" si="553"/>
        <v/>
      </c>
      <c r="Z313" s="898">
        <f t="shared" si="554"/>
        <v>56.97</v>
      </c>
      <c r="AA313" s="898">
        <f t="shared" si="555"/>
        <v>56.97</v>
      </c>
      <c r="AB313" s="898" t="str">
        <f t="shared" si="556"/>
        <v/>
      </c>
      <c r="AC313" s="563">
        <f>Sheet1!Y315*MGDtoCFS</f>
        <v>34.266049999999993</v>
      </c>
      <c r="AD313" s="563">
        <f>Sheet1!Z315*MGDtoCFS</f>
        <v>54.191409999999998</v>
      </c>
      <c r="AE313" s="563">
        <f>Sheet1!AA315*MGDtoCFS</f>
        <v>34.126819999999995</v>
      </c>
      <c r="AF313" s="563">
        <f>Sheet1!AB315*MGDtoCFS</f>
        <v>54.005769999999991</v>
      </c>
      <c r="AG313" s="563">
        <f>Sheet1!L315*MGDtoCFS</f>
        <v>23.607220000003149</v>
      </c>
      <c r="AH313" s="545">
        <f t="shared" si="587"/>
        <v>0</v>
      </c>
      <c r="AI313" s="560">
        <f t="shared" si="588"/>
        <v>0</v>
      </c>
      <c r="AJ313" s="560">
        <f t="shared" si="589"/>
        <v>0</v>
      </c>
      <c r="AK313" s="560">
        <f t="shared" si="590"/>
        <v>0</v>
      </c>
      <c r="AL313" s="560">
        <f>(VLOOKUP(Sheet1!DC315,hhdcap_wcm,4)-(((VLOOKUP(Sheet1!DC315,hhdcap_wcm,3)-Sheet1!DC315)/(VLOOKUP(Sheet1!DC315,hhdcap_wcm,3)-VLOOKUP(Sheet1!DC315,hhdcap_wcm,1)))*(VLOOKUP(Sheet1!DC315,hhdcap_wcm,4)-VLOOKUP(Sheet1!DC315,hhdcap_wcm,2))))</f>
        <v>3497.0000000082036</v>
      </c>
      <c r="AM313" s="560">
        <f t="shared" si="591"/>
        <v>-1190.0000000023119</v>
      </c>
      <c r="AN313" s="560">
        <f t="shared" si="592"/>
        <v>0</v>
      </c>
      <c r="AO313" s="560">
        <f t="shared" si="593"/>
        <v>0</v>
      </c>
      <c r="AP313" s="560">
        <f>Sheet1!BA315+Sheet1!BB315+Sheet1!BN315+CD313</f>
        <v>25.9</v>
      </c>
      <c r="AQ313" s="560">
        <f>Sheet1!BN315+(DO313*Sheet1!BN315)</f>
        <v>25.108578856152512</v>
      </c>
      <c r="AR313" s="560">
        <f>Sheet1!BA315+CD313</f>
        <v>0</v>
      </c>
      <c r="AS313" s="560">
        <f>Sheet1!BA315+Sheet1!BB315+CD313</f>
        <v>1</v>
      </c>
      <c r="AT313" s="698">
        <f>0</f>
        <v>0</v>
      </c>
      <c r="AU313" s="560">
        <f>IF(EB313&lt;K313,0,MAX(Sheet1!AA315+AQ313-15/36*K313-N313,Sheet1!EH315,0))</f>
        <v>0</v>
      </c>
      <c r="AV313" s="560">
        <f>IF(OR(B313&gt;=GD313,B313&lt;GC313),0,15/36*K313-MAX(0,64.6-(137.6-(Sheet1!AA315+Sheet1!AB315))))</f>
        <v>0</v>
      </c>
      <c r="AW313" s="698">
        <f>Sheet1!DB315-110</f>
        <v>1750</v>
      </c>
      <c r="AX313" s="698">
        <f>Sheet1!DA315-265</f>
        <v>2185</v>
      </c>
      <c r="AY313" s="698">
        <f t="shared" si="594"/>
        <v>73</v>
      </c>
      <c r="AZ313" s="698">
        <v>0</v>
      </c>
      <c r="BA313" s="698">
        <f t="shared" si="595"/>
        <v>0</v>
      </c>
      <c r="BB313" s="560">
        <f t="shared" si="596"/>
        <v>0</v>
      </c>
      <c r="BC313" s="560"/>
      <c r="BD313" s="560">
        <f ca="1">IF(B313&gt;Summary!$A$1,#N/A,BB313*MGtoAF)</f>
        <v>0</v>
      </c>
      <c r="BE313" s="560">
        <f>Sheet1!BG315+Sheet1!BH315+Sheet1!BI315-BM313</f>
        <v>0</v>
      </c>
      <c r="BF313" s="560">
        <f t="shared" si="597"/>
        <v>0</v>
      </c>
      <c r="BG313" s="560">
        <f>IF(Sheet1!EP315="FM",BM313,0)</f>
        <v>0</v>
      </c>
      <c r="BH313" s="560">
        <f t="shared" si="598"/>
        <v>0</v>
      </c>
      <c r="BI313" s="560">
        <f>IF(Sheet1!EP315="OTHER",BM313,0)</f>
        <v>0</v>
      </c>
      <c r="BJ313" s="560">
        <f t="shared" si="599"/>
        <v>0</v>
      </c>
      <c r="BK313" s="560">
        <f t="shared" si="600"/>
        <v>0</v>
      </c>
      <c r="BL313" s="560">
        <f t="shared" si="601"/>
        <v>0</v>
      </c>
      <c r="BM313" s="560">
        <f>IF(OR(Sheet1!EP315="FM", Sheet1!EP315="OTHER"),SUM(Sheet1!BG315:'Sheet1'!BI315),0)</f>
        <v>0</v>
      </c>
      <c r="BN313" s="545">
        <f>IF(AND($B313&gt;=$FV313,$B313&lt;=$FW313),MAX(BF313,Sheet1!EI315,0),MAX(BF313-(7/36)*$K313,0))</f>
        <v>0</v>
      </c>
      <c r="BO313" s="560">
        <f t="shared" si="602"/>
        <v>0</v>
      </c>
      <c r="BP313" s="545">
        <f t="shared" si="603"/>
        <v>0</v>
      </c>
      <c r="BQ313" s="545">
        <f>IF(AND($O313&gt;0,Sheet1!EM315=1),(1-($O313-Sheet1!$L315)/$O313)*BL313,0)</f>
        <v>0</v>
      </c>
      <c r="BR313" s="545">
        <f>IF(AND(Sheet1!$L315=0,Sheet1!$L314=0, Calculation!BK313&lt;Sheet1!$EI315-0.1,Sheet1!$EI315=Sheet1!$EI314,Sheet1!$EI315=Sheet1!$EI316),Sheet1!$EI315,BL313-BQ313)</f>
        <v>0</v>
      </c>
      <c r="BS313" s="560"/>
      <c r="BT313" s="560"/>
      <c r="BU313" s="560">
        <f t="shared" si="604"/>
        <v>0</v>
      </c>
      <c r="BV313" s="560"/>
      <c r="BW313" s="560">
        <f ca="1">IF(B313&gt;Summary!$A$1,#N/A,BU313*MGtoAF)</f>
        <v>0</v>
      </c>
      <c r="BX313" s="560">
        <f>Sheet1!BC315+Sheet1!BD315+Sheet1!BE315+Sheet1!BF315-CG313-CH313</f>
        <v>2.5</v>
      </c>
      <c r="BY313" s="560">
        <f t="shared" si="605"/>
        <v>2.5209416522241477</v>
      </c>
      <c r="BZ313" s="560">
        <f>IF(Sheet1!EQ315="FM",CH313,0)</f>
        <v>0</v>
      </c>
      <c r="CA313" s="560">
        <f t="shared" si="606"/>
        <v>0</v>
      </c>
      <c r="CB313" s="560">
        <f>IF(Sheet1!EQ315="OTHER",CH313,0)</f>
        <v>0</v>
      </c>
      <c r="CC313" s="560">
        <f t="shared" si="607"/>
        <v>0</v>
      </c>
      <c r="CD313" s="560">
        <f t="shared" si="608"/>
        <v>0</v>
      </c>
      <c r="CE313" s="560">
        <f t="shared" si="609"/>
        <v>2.5</v>
      </c>
      <c r="CF313" s="560">
        <f t="shared" si="610"/>
        <v>2.5209416522241477</v>
      </c>
      <c r="CG313" s="560">
        <f>IF(Sheet1!EQ315="CWA",SUM(Sheet1!BC315:'Sheet1'!BF315),0)</f>
        <v>0</v>
      </c>
      <c r="CH313" s="560">
        <f>IF(OR(Sheet1!EQ315="FM", Sheet1!EQ315="OTHER"),SUM(Sheet1!BC315:'Sheet1'!BF315),0)</f>
        <v>0</v>
      </c>
      <c r="CI313" s="545">
        <f>IF(AND($B313&gt;=$FV313,$B313&lt;=$FW313),MAX(CF313,Sheet1!EJ315,0),MAX(CF313-(7/36)*$K313,0))</f>
        <v>0</v>
      </c>
      <c r="CJ313" s="560">
        <f t="shared" si="611"/>
        <v>0</v>
      </c>
      <c r="CK313" s="545">
        <f t="shared" si="612"/>
        <v>2.5209416522241477</v>
      </c>
      <c r="CL313" s="545">
        <f>IF(AND($O313&gt;0,Sheet1!EN315=1),(1-($O313-Sheet1!$L315)/$O313)*CF313,0)</f>
        <v>0</v>
      </c>
      <c r="CM313" s="545">
        <f>IF(AND(Sheet1!$L315=0,Sheet1!$L314=0, Calculation!CE313&lt;Sheet1!EJ315-0.1,Sheet1!EJ315=Sheet1!EJ314,Sheet1!EJ315=Sheet1!EJ316),Sheet1!EJ315,CF313-CL313)</f>
        <v>2.5209416522241477</v>
      </c>
      <c r="CN313" s="545"/>
      <c r="CO313" s="560"/>
      <c r="CP313" s="560">
        <f t="shared" si="613"/>
        <v>0</v>
      </c>
      <c r="CQ313" s="560"/>
      <c r="CR313" s="560">
        <f ca="1">IF(B313&gt;Summary!$A$1,#N/A,CP313*MGtoAF)</f>
        <v>0</v>
      </c>
      <c r="CS313" s="560">
        <f>Sheet1!BK315+Sheet1!BL315+Sheet1!BM315-Sheet1!ER315-DA313</f>
        <v>6.22</v>
      </c>
      <c r="CT313" s="560">
        <f t="shared" si="614"/>
        <v>6.2721028307336795</v>
      </c>
      <c r="CU313" s="560">
        <f>IF(Sheet1!ER315="FM",DA313,0)</f>
        <v>0</v>
      </c>
      <c r="CV313" s="560">
        <f t="shared" si="615"/>
        <v>0</v>
      </c>
      <c r="CW313" s="560">
        <f>IF(Sheet1!ER315="OTHER",DA313,0)</f>
        <v>0</v>
      </c>
      <c r="CX313" s="560">
        <f t="shared" si="616"/>
        <v>0</v>
      </c>
      <c r="CY313" s="560">
        <f t="shared" si="617"/>
        <v>6.22</v>
      </c>
      <c r="CZ313" s="560">
        <f t="shared" si="618"/>
        <v>6.2721028307336795</v>
      </c>
      <c r="DA313" s="560">
        <f>IF(OR(Sheet1!ER315="FM", Sheet1!ER315="OTHER"),SUM(Sheet1!BK315:'Sheet1'!BM315),0)</f>
        <v>0</v>
      </c>
      <c r="DB313" s="545">
        <f>IF(AND($B313&gt;=$FV313,$B313&lt;=$FW313),MAX($CT313,Sheet1!EK315,0),MAX($CT313-(7/36)*$K313,0))</f>
        <v>0</v>
      </c>
      <c r="DC313" s="560">
        <f t="shared" si="619"/>
        <v>0</v>
      </c>
      <c r="DD313" s="545">
        <f t="shared" si="620"/>
        <v>6.2721028307336795</v>
      </c>
      <c r="DE313" s="545">
        <f>IF(AND($O313&gt;0,Sheet1!EO315=1),(1-($O313-Sheet1!$L315)/$O313)*CZ313,0)</f>
        <v>0</v>
      </c>
      <c r="DF313" s="545">
        <f>IF(AND(Sheet1!$L315=0,Sheet1!$L314=0, Calculation!CY313&lt;Sheet1!$EK315-0.1,Sheet1!$EK315=Sheet1!$EK314,Sheet1!$EK315=Sheet1!$EK316),Sheet1!$EK315,CZ313-DE313)</f>
        <v>6.2721028307336795</v>
      </c>
      <c r="DG313" s="545"/>
      <c r="DH313" s="560">
        <f t="shared" si="621"/>
        <v>8.7199999999999989</v>
      </c>
      <c r="DI313" s="560">
        <f t="shared" si="622"/>
        <v>0</v>
      </c>
      <c r="DJ313" s="698">
        <f t="shared" si="623"/>
        <v>8.7930444829578267</v>
      </c>
      <c r="DK313" s="560">
        <f ca="1">IF(B313&gt;Summary!$A$1,#N/A,DI313*MGtoAF)</f>
        <v>0</v>
      </c>
      <c r="DL313" s="698">
        <f t="shared" si="624"/>
        <v>8.7199999999999989</v>
      </c>
      <c r="DM313" s="560">
        <f t="shared" si="625"/>
        <v>34.619999999999997</v>
      </c>
      <c r="DN313" s="560">
        <f>Sheet1!AB315-DM313</f>
        <v>0.28999999999999915</v>
      </c>
      <c r="DO313" s="560">
        <f t="shared" si="626"/>
        <v>8.3766608896591321E-3</v>
      </c>
      <c r="DP313" s="560">
        <f>(VLOOKUP(Sheet1!DC315,hhdcap_wcm,4)-(((VLOOKUP(Sheet1!DC315,hhdcap_wcm,3)-Sheet1!DC315)/(VLOOKUP(Sheet1!DC315,hhdcap_wcm,3)-VLOOKUP(Sheet1!DC315,hhdcap_wcm,1)))*(VLOOKUP(Sheet1!DC315,hhdcap_wcm,4)-VLOOKUP(Sheet1!DC315,hhdcap_wcm,2))))</f>
        <v>3497.0000000082036</v>
      </c>
      <c r="DQ313" s="560">
        <f t="shared" si="627"/>
        <v>-1190.0000000023119</v>
      </c>
      <c r="DR313" s="560">
        <f t="shared" si="628"/>
        <v>-600.10085728810475</v>
      </c>
      <c r="DS313" s="560">
        <f>Sheet1!EA315*AFtoMG</f>
        <v>0</v>
      </c>
      <c r="DT313" s="560">
        <f>Sheet1!EB315*AFtoMG</f>
        <v>0</v>
      </c>
      <c r="DU313" s="560">
        <f>Sheet1!EC315*AFtoMG</f>
        <v>0</v>
      </c>
      <c r="DV313" s="560">
        <f>Sheet1!ED315*AFtoMG</f>
        <v>0</v>
      </c>
      <c r="DW313" s="560">
        <f t="shared" si="629"/>
        <v>0</v>
      </c>
      <c r="DX313" s="560">
        <f t="shared" si="630"/>
        <v>0</v>
      </c>
      <c r="DY313" s="560">
        <f t="shared" si="631"/>
        <v>0</v>
      </c>
      <c r="DZ313" s="560">
        <f t="shared" si="632"/>
        <v>0</v>
      </c>
      <c r="EA313" s="560"/>
      <c r="EB313" s="545">
        <f>IF(OR(B313&lt;FV313,B313&gt;FW313),(MIN(BF313+BY313+CT313+MAX(Sheet1!AA315+AQ313-73,0),K313)),0)</f>
        <v>8.7930444829578267</v>
      </c>
      <c r="EC313" s="560"/>
      <c r="ED313" s="560">
        <f t="shared" si="633"/>
        <v>8.7930444829578267</v>
      </c>
      <c r="EE313" s="560"/>
      <c r="EF313" s="560">
        <f>Sheet1!EH315+Sheet1!EI315+Sheet1!EJ315+Sheet1!EK315</f>
        <v>9</v>
      </c>
      <c r="EG313" s="560"/>
      <c r="EH313" s="545">
        <f t="shared" si="634"/>
        <v>0</v>
      </c>
      <c r="EI313" s="560">
        <f>IF(Sheet1!ET315=1,SUM('Calculations II'!AT313:BA313)+'Calculations II'!BC313+Sheet1!BV315+'Calculations II'!BE313+AP313,SUM('Calculations II'!AT313:BA313)+'Calculations II'!BC313+Sheet1!BV315+'Calculations II'!BE313+AP313)</f>
        <v>52.584271999999999</v>
      </c>
      <c r="EJ313" s="560">
        <f>Sheet1!AA315+Sheet1!AB315+'Calculations II'!BC313</f>
        <v>56.97</v>
      </c>
      <c r="EK313" s="560"/>
      <c r="EL313" s="560"/>
      <c r="EM313" s="560">
        <f t="shared" si="635"/>
        <v>41941</v>
      </c>
      <c r="EN313" s="560">
        <f t="shared" si="636"/>
        <v>0</v>
      </c>
      <c r="EO313" s="560">
        <f t="shared" si="637"/>
        <v>0</v>
      </c>
      <c r="EP313" s="560">
        <v>0</v>
      </c>
      <c r="EQ313" s="560">
        <v>0</v>
      </c>
      <c r="ER313" s="560">
        <v>0</v>
      </c>
      <c r="ES313" s="545">
        <f t="shared" si="557"/>
        <v>-1.939235457267575</v>
      </c>
      <c r="ET313" s="560">
        <f>-(VLOOKUP(Sheet1!BQ315,Lookup!$O$4:$Q$262,2)-VLOOKUP(Sheet1!BQ314,Lookup!$O$4:$Q$262,2))/1000000</f>
        <v>-0.9695728656152971</v>
      </c>
      <c r="EU313" s="560">
        <f>-(VLOOKUP(Sheet1!BR315,Lookup!$O$4:$Q$262,3)-VLOOKUP(Sheet1!BR314,Lookup!$O$4:$Q$262,3))/1000000</f>
        <v>-0.96966259165227786</v>
      </c>
      <c r="EV313" s="560"/>
      <c r="EW313" s="560"/>
      <c r="EX313" s="560"/>
      <c r="EY313" s="560"/>
      <c r="EZ313" s="560"/>
      <c r="FA313" s="560"/>
      <c r="FB313" s="560"/>
      <c r="FC313" s="560"/>
      <c r="FD313" s="594">
        <f t="shared" si="638"/>
        <v>1094.2260869564834</v>
      </c>
      <c r="FE313" s="594" t="e">
        <f t="shared" si="639"/>
        <v>#N/A</v>
      </c>
      <c r="FF313" s="595" t="e">
        <f t="shared" si="640"/>
        <v>#N/A</v>
      </c>
      <c r="FG313" s="596" t="s">
        <v>692</v>
      </c>
      <c r="FH313" s="596" t="s">
        <v>692</v>
      </c>
      <c r="FI313" s="594" t="e">
        <v>#N/A</v>
      </c>
      <c r="FJ313" s="778">
        <v>3119</v>
      </c>
      <c r="FK313" s="560"/>
      <c r="FL313" s="560"/>
      <c r="FM313" s="560"/>
      <c r="FN313" s="560"/>
      <c r="FO313" s="560">
        <f>O313+((Sheet1!CS315)*GPMtoMGD)</f>
        <v>56.97</v>
      </c>
      <c r="FP313" s="560">
        <f>IF(Sheet1!AA315+AQ313&lt;=Calculation!N313,AQ313,Calculation!N313-Sheet1!AA315)</f>
        <v>25.108578856152512</v>
      </c>
      <c r="FQ313" s="560">
        <f>(Sheet1!BP315+Sheet1!BO315)/694.4</f>
        <v>0.63983294930875578</v>
      </c>
      <c r="FR313" s="560"/>
      <c r="FS313" s="560"/>
      <c r="FT313" s="560"/>
      <c r="FU313" s="560"/>
      <c r="FV313" s="695">
        <f t="shared" si="558"/>
        <v>41827</v>
      </c>
      <c r="FW313" s="695">
        <f t="shared" si="559"/>
        <v>41934</v>
      </c>
      <c r="FX313" s="560"/>
      <c r="FY313" s="560"/>
      <c r="FZ313" s="560"/>
      <c r="GA313" s="560"/>
      <c r="GB313" s="560" t="str">
        <f t="shared" si="560"/>
        <v>n</v>
      </c>
      <c r="GC313" s="564">
        <f t="shared" si="561"/>
        <v>41691</v>
      </c>
      <c r="GD313" s="695">
        <f t="shared" si="562"/>
        <v>41807</v>
      </c>
      <c r="GE313" s="560">
        <v>6518.9</v>
      </c>
      <c r="GF313" s="695">
        <f t="shared" si="563"/>
        <v>41808</v>
      </c>
      <c r="GG313" s="560">
        <f t="shared" si="582"/>
        <v>3259</v>
      </c>
      <c r="GH313" s="564">
        <f t="shared" si="564"/>
        <v>41934</v>
      </c>
      <c r="GJ313" s="545">
        <f t="shared" si="565"/>
        <v>0</v>
      </c>
      <c r="GK313" s="560" t="str">
        <f t="shared" si="641"/>
        <v/>
      </c>
      <c r="GL313" s="560">
        <f t="shared" si="566"/>
        <v>0</v>
      </c>
      <c r="GM313" s="560" t="str">
        <f t="shared" si="567"/>
        <v/>
      </c>
      <c r="GN313" s="560">
        <f>IF(GK313="P",Lookup!$M$12,IF(GK313="PP",Lookup!$M$13,IF(GK313="PPP",Lookup!$M$14,IF(GK313="T",Lookup!$M$15,IF(GK313="TP",Lookup!$M$16,IF(GK313="TPP",Lookup!$M$17,IF(GK313="TPPP",Lookup!$M$18,0)))))))*GJ313</f>
        <v>0</v>
      </c>
      <c r="GO313" s="560">
        <f t="shared" si="568"/>
        <v>0</v>
      </c>
      <c r="GP313" s="560">
        <f t="shared" si="642"/>
        <v>0</v>
      </c>
      <c r="GQ313" s="560">
        <f t="shared" si="576"/>
        <v>0</v>
      </c>
      <c r="GR313" s="560"/>
      <c r="GS313" s="560">
        <f t="shared" si="569"/>
        <v>0</v>
      </c>
      <c r="GT313" s="560" t="str">
        <f t="shared" si="570"/>
        <v/>
      </c>
      <c r="GU313" s="560">
        <f>IF(GK313="P",Lookup!$N$12,IF(GK313="PP",Lookup!$N$13,IF(GK313="PPP",Lookup!$N$14,IF(GK313="T",Lookup!$N$15,IF(GK313="TP",Lookup!$N$16,IF(GK313="TPP",Lookup!$N$17,IF(GK313="TPPP",Lookup!$N$18,0)))))))*GJ313</f>
        <v>0</v>
      </c>
      <c r="GV313" s="560">
        <f t="shared" si="571"/>
        <v>0</v>
      </c>
      <c r="GW313" s="560">
        <f t="shared" si="643"/>
        <v>0</v>
      </c>
      <c r="GX313" s="560">
        <f t="shared" si="577"/>
        <v>0</v>
      </c>
      <c r="GY313" s="560"/>
      <c r="GZ313" s="560">
        <f t="shared" si="572"/>
        <v>0</v>
      </c>
      <c r="HA313" s="560" t="str">
        <f t="shared" si="573"/>
        <v/>
      </c>
      <c r="HB313" s="560">
        <f>IF(GK313="P",Lookup!$N$12,IF(GK313="PP",Lookup!$N$13,IF(GK313="PPP",Lookup!$N$14,IF(GK313="T",Lookup!$N$15,IF(GK313="TP",Lookup!$N$16,IF(GK313="TPP",Lookup!$N$17,IF(GK313="TPPP",Lookup!$N$18,0)))))))*GJ313</f>
        <v>0</v>
      </c>
      <c r="HC313" s="545">
        <f t="shared" si="644"/>
        <v>0</v>
      </c>
      <c r="HD313" s="560">
        <f t="shared" si="645"/>
        <v>0</v>
      </c>
      <c r="HE313" s="560">
        <f t="shared" si="578"/>
        <v>0</v>
      </c>
      <c r="HF313" s="560"/>
      <c r="HG313" s="560">
        <f t="shared" si="574"/>
        <v>0</v>
      </c>
      <c r="HH313" s="560" t="str">
        <f t="shared" si="575"/>
        <v/>
      </c>
      <c r="HI313" s="560">
        <f>IF(GK313="P",Lookup!$N$12,IF(GK313="PP",Lookup!$N$13,IF(GK313="PPP",Lookup!$N$14,IF(GK313="T",Lookup!$N$15,IF(GK313="TP",Lookup!$N$16,IF(GK313="TPP",Lookup!$N$17,IF(GK313="TPPP",Lookup!$N$18,0)))))))*GJ313</f>
        <v>0</v>
      </c>
      <c r="HJ313" s="545">
        <f t="shared" si="646"/>
        <v>0</v>
      </c>
      <c r="HK313" s="560">
        <f t="shared" si="647"/>
        <v>0</v>
      </c>
      <c r="HL313" s="560">
        <f t="shared" si="579"/>
        <v>0</v>
      </c>
    </row>
    <row r="314" spans="1:220">
      <c r="A314" s="580" t="s">
        <v>7</v>
      </c>
      <c r="B314" s="556">
        <v>41942</v>
      </c>
      <c r="C314" s="561">
        <v>0</v>
      </c>
      <c r="D314" s="529">
        <f t="shared" si="580"/>
        <v>300</v>
      </c>
      <c r="E314" s="529">
        <f t="shared" si="581"/>
        <v>250</v>
      </c>
      <c r="F314" s="529">
        <v>250</v>
      </c>
      <c r="G314" s="560">
        <f>DR314+Sheet1!CZ316</f>
        <v>1239.8033282890026</v>
      </c>
      <c r="H314" s="914">
        <f t="shared" si="546"/>
        <v>534.44567140601123</v>
      </c>
      <c r="I314" s="559">
        <f>MAX(Sheet1!Z316-AT314+(Sheet1!DA316-E314)*CFStoMGD,0)</f>
        <v>1424.67</v>
      </c>
      <c r="J314" s="562">
        <f>IF(AND(B314&gt;=Calculation!GC314,B314&lt;=Calculation!GD314),IF(Sheet1!DB316&gt;=Calculation!D314,64.64,0),MAX(Sheet1!Z316-AT314+(Sheet1!DB316-D314)*CFStoMGD,0))</f>
        <v>991.58199999999988</v>
      </c>
      <c r="K314" s="904">
        <f t="shared" si="583"/>
        <v>64.64</v>
      </c>
      <c r="L314" s="560">
        <f>Sheet1!AA316+Sheet1!AB316-Sheet1!L316+(Sheet1!DA316-F314)*CFStoMGD</f>
        <v>1419.9199999999998</v>
      </c>
      <c r="M314" s="560">
        <f t="shared" si="584"/>
        <v>817.43704883413159</v>
      </c>
      <c r="N314" s="910">
        <f>IF(Sheet1!DA316&gt;=F314,MIN(73,MIN(MAX(L314,0),MAX(M314,0))),0)</f>
        <v>73</v>
      </c>
      <c r="O314" s="563">
        <f>Sheet1!AA316+Sheet1!AB316</f>
        <v>57</v>
      </c>
      <c r="P314" s="563">
        <f t="shared" si="585"/>
        <v>88.179000000000002</v>
      </c>
      <c r="Q314" s="898">
        <f t="shared" si="547"/>
        <v>0</v>
      </c>
      <c r="R314" s="829">
        <f t="shared" si="586"/>
        <v>8.9939637826961771</v>
      </c>
      <c r="S314" s="898">
        <f t="shared" si="548"/>
        <v>57</v>
      </c>
      <c r="T314" s="898">
        <f t="shared" si="549"/>
        <v>0</v>
      </c>
      <c r="U314" s="898">
        <f t="shared" si="550"/>
        <v>0</v>
      </c>
      <c r="V314" s="898"/>
      <c r="W314" s="898">
        <f t="shared" si="551"/>
        <v>55.646036217303823</v>
      </c>
      <c r="X314" s="898">
        <f t="shared" si="552"/>
        <v>57</v>
      </c>
      <c r="Y314" s="898" t="str">
        <f t="shared" si="553"/>
        <v/>
      </c>
      <c r="Z314" s="898">
        <f t="shared" si="554"/>
        <v>57</v>
      </c>
      <c r="AA314" s="898">
        <f t="shared" si="555"/>
        <v>57</v>
      </c>
      <c r="AB314" s="898" t="str">
        <f t="shared" si="556"/>
        <v/>
      </c>
      <c r="AC314" s="563">
        <f>Sheet1!Y316*MGDtoCFS</f>
        <v>34.126819999999995</v>
      </c>
      <c r="AD314" s="563">
        <f>Sheet1!Z316*MGDtoCFS</f>
        <v>54.005769999999991</v>
      </c>
      <c r="AE314" s="563">
        <f>Sheet1!AA316*MGDtoCFS</f>
        <v>34.033999999999999</v>
      </c>
      <c r="AF314" s="563">
        <f>Sheet1!AB316*MGDtoCFS</f>
        <v>54.144999999999996</v>
      </c>
      <c r="AG314" s="563">
        <f>Sheet1!L316*MGDtoCFS</f>
        <v>41.521480000000224</v>
      </c>
      <c r="AH314" s="545">
        <f t="shared" si="587"/>
        <v>0</v>
      </c>
      <c r="AI314" s="560">
        <f t="shared" si="588"/>
        <v>0</v>
      </c>
      <c r="AJ314" s="560">
        <f t="shared" si="589"/>
        <v>0</v>
      </c>
      <c r="AK314" s="560">
        <f t="shared" si="590"/>
        <v>0</v>
      </c>
      <c r="AL314" s="560">
        <f>(VLOOKUP(Sheet1!DC316,hhdcap_wcm,4)-(((VLOOKUP(Sheet1!DC316,hhdcap_wcm,3)-Sheet1!DC316)/(VLOOKUP(Sheet1!DC316,hhdcap_wcm,3)-VLOOKUP(Sheet1!DC316,hhdcap_wcm,1)))*(VLOOKUP(Sheet1!DC316,hhdcap_wcm,4)-VLOOKUP(Sheet1!DC316,hhdcap_wcm,2))))</f>
        <v>2168.0000000052955</v>
      </c>
      <c r="AM314" s="560">
        <f t="shared" si="591"/>
        <v>-1329.0000000029081</v>
      </c>
      <c r="AN314" s="560">
        <f t="shared" si="592"/>
        <v>0</v>
      </c>
      <c r="AO314" s="560">
        <f t="shared" si="593"/>
        <v>0</v>
      </c>
      <c r="AP314" s="560">
        <f>Sheet1!BA316+Sheet1!BB316+Sheet1!BN316+CD314</f>
        <v>25.849999999999998</v>
      </c>
      <c r="AQ314" s="560">
        <f>Sheet1!BN316+(DO314*Sheet1!BN316)</f>
        <v>25.010060362173039</v>
      </c>
      <c r="AR314" s="560">
        <f>Sheet1!BA316+CD314</f>
        <v>0</v>
      </c>
      <c r="AS314" s="560">
        <f>Sheet1!BA316+Sheet1!BB316+CD314</f>
        <v>0.99</v>
      </c>
      <c r="AT314" s="698">
        <f>0</f>
        <v>0</v>
      </c>
      <c r="AU314" s="560">
        <f>IF(EB314&lt;K314,0,MAX(Sheet1!AA316+AQ314-15/36*K314-N314,Sheet1!EH316,0))</f>
        <v>0</v>
      </c>
      <c r="AV314" s="560">
        <f>IF(OR(B314&gt;=GD314,B314&lt;GC314),0,15/36*K314-MAX(0,64.6-(137.6-(Sheet1!AA316+Sheet1!AB316))))</f>
        <v>0</v>
      </c>
      <c r="AW314" s="698">
        <f>Sheet1!DB316-110</f>
        <v>1670</v>
      </c>
      <c r="AX314" s="698">
        <f>Sheet1!DA316-265</f>
        <v>2135</v>
      </c>
      <c r="AY314" s="698">
        <f t="shared" si="594"/>
        <v>73</v>
      </c>
      <c r="AZ314" s="698">
        <v>0</v>
      </c>
      <c r="BA314" s="698">
        <f t="shared" si="595"/>
        <v>0</v>
      </c>
      <c r="BB314" s="560">
        <f t="shared" si="596"/>
        <v>0</v>
      </c>
      <c r="BC314" s="560"/>
      <c r="BD314" s="560">
        <f ca="1">IF(B314&gt;Summary!$A$1,#N/A,BB314*MGtoAF)</f>
        <v>0</v>
      </c>
      <c r="BE314" s="560">
        <f>Sheet1!BG316+Sheet1!BH316+Sheet1!BI316-BM314</f>
        <v>0</v>
      </c>
      <c r="BF314" s="560">
        <f t="shared" si="597"/>
        <v>0</v>
      </c>
      <c r="BG314" s="560">
        <f>IF(Sheet1!EP316="FM",BM314,0)</f>
        <v>0</v>
      </c>
      <c r="BH314" s="560">
        <f t="shared" si="598"/>
        <v>0</v>
      </c>
      <c r="BI314" s="560">
        <f>IF(Sheet1!EP316="OTHER",BM314,0)</f>
        <v>0</v>
      </c>
      <c r="BJ314" s="560">
        <f t="shared" si="599"/>
        <v>0</v>
      </c>
      <c r="BK314" s="560">
        <f t="shared" si="600"/>
        <v>0</v>
      </c>
      <c r="BL314" s="560">
        <f t="shared" si="601"/>
        <v>0</v>
      </c>
      <c r="BM314" s="560">
        <f>IF(OR(Sheet1!EP316="FM", Sheet1!EP316="OTHER"),SUM(Sheet1!BG316:'Sheet1'!BI316),0)</f>
        <v>0</v>
      </c>
      <c r="BN314" s="545">
        <f>IF(AND($B314&gt;=$FV314,$B314&lt;=$FW314),MAX(BF314,Sheet1!EI316,0),MAX(BF314-(7/36)*$K314,0))</f>
        <v>0</v>
      </c>
      <c r="BO314" s="560">
        <f t="shared" si="602"/>
        <v>0</v>
      </c>
      <c r="BP314" s="545">
        <f t="shared" si="603"/>
        <v>0</v>
      </c>
      <c r="BQ314" s="545">
        <f>IF(AND($O314&gt;0,Sheet1!EM316=1),(1-($O314-Sheet1!$L316)/$O314)*BL314,0)</f>
        <v>0</v>
      </c>
      <c r="BR314" s="545">
        <f>IF(AND(Sheet1!$L316=0,Sheet1!$L315=0, Calculation!BK314&lt;Sheet1!$EI316-0.1,Sheet1!$EI316=Sheet1!$EI315,Sheet1!$EI316=Sheet1!$EI317),Sheet1!$EI316,BL314-BQ314)</f>
        <v>0</v>
      </c>
      <c r="BS314" s="560"/>
      <c r="BT314" s="560"/>
      <c r="BU314" s="560">
        <f t="shared" si="604"/>
        <v>0</v>
      </c>
      <c r="BV314" s="560"/>
      <c r="BW314" s="560">
        <f ca="1">IF(B314&gt;Summary!$A$1,#N/A,BU314*MGtoAF)</f>
        <v>0</v>
      </c>
      <c r="BX314" s="560">
        <f>Sheet1!BC316+Sheet1!BD316+Sheet1!BE316+Sheet1!BF316-CG314-CH314</f>
        <v>2.5</v>
      </c>
      <c r="BY314" s="560">
        <f t="shared" si="605"/>
        <v>2.5150905432595576</v>
      </c>
      <c r="BZ314" s="560">
        <f>IF(Sheet1!EQ316="FM",CH314,0)</f>
        <v>0</v>
      </c>
      <c r="CA314" s="560">
        <f t="shared" si="606"/>
        <v>0</v>
      </c>
      <c r="CB314" s="560">
        <f>IF(Sheet1!EQ316="OTHER",CH314,0)</f>
        <v>0</v>
      </c>
      <c r="CC314" s="560">
        <f t="shared" si="607"/>
        <v>0</v>
      </c>
      <c r="CD314" s="560">
        <f t="shared" si="608"/>
        <v>0</v>
      </c>
      <c r="CE314" s="560">
        <f t="shared" si="609"/>
        <v>2.5</v>
      </c>
      <c r="CF314" s="560">
        <f t="shared" si="610"/>
        <v>2.5150905432595576</v>
      </c>
      <c r="CG314" s="560">
        <f>IF(Sheet1!EQ316="CWA",SUM(Sheet1!BC316:'Sheet1'!BF316),0)</f>
        <v>0</v>
      </c>
      <c r="CH314" s="560">
        <f>IF(OR(Sheet1!EQ316="FM", Sheet1!EQ316="OTHER"),SUM(Sheet1!BC316:'Sheet1'!BF316),0)</f>
        <v>0</v>
      </c>
      <c r="CI314" s="545">
        <f>IF(AND($B314&gt;=$FV314,$B314&lt;=$FW314),MAX(CF314,Sheet1!EJ316,0),MAX(CF314-(7/36)*$K314,0))</f>
        <v>0</v>
      </c>
      <c r="CJ314" s="560">
        <f t="shared" si="611"/>
        <v>0</v>
      </c>
      <c r="CK314" s="545">
        <f t="shared" si="612"/>
        <v>2.5150905432595576</v>
      </c>
      <c r="CL314" s="545">
        <f>IF(AND($O314&gt;0,Sheet1!EN316=1),(1-($O314-Sheet1!$L316)/$O314)*CF314,0)</f>
        <v>0</v>
      </c>
      <c r="CM314" s="545">
        <f>IF(AND(Sheet1!$L316=0,Sheet1!$L315=0, Calculation!CE314&lt;Sheet1!EJ316-0.1,Sheet1!EJ316=Sheet1!EJ315,Sheet1!EJ316=Sheet1!EJ317),Sheet1!EJ316,CF314-CL314)</f>
        <v>2.5150905432595576</v>
      </c>
      <c r="CN314" s="545"/>
      <c r="CO314" s="560"/>
      <c r="CP314" s="560">
        <f t="shared" si="613"/>
        <v>0</v>
      </c>
      <c r="CQ314" s="560"/>
      <c r="CR314" s="560">
        <f ca="1">IF(B314&gt;Summary!$A$1,#N/A,CP314*MGtoAF)</f>
        <v>0</v>
      </c>
      <c r="CS314" s="560">
        <f>Sheet1!BK316+Sheet1!BL316+Sheet1!BM316-Sheet1!ER316-DA314</f>
        <v>6.4399999999999995</v>
      </c>
      <c r="CT314" s="560">
        <f t="shared" si="614"/>
        <v>6.4788732394366191</v>
      </c>
      <c r="CU314" s="560">
        <f>IF(Sheet1!ER316="FM",DA314,0)</f>
        <v>0</v>
      </c>
      <c r="CV314" s="560">
        <f t="shared" si="615"/>
        <v>0</v>
      </c>
      <c r="CW314" s="560">
        <f>IF(Sheet1!ER316="OTHER",DA314,0)</f>
        <v>0</v>
      </c>
      <c r="CX314" s="560">
        <f t="shared" si="616"/>
        <v>0</v>
      </c>
      <c r="CY314" s="560">
        <f t="shared" si="617"/>
        <v>6.4399999999999995</v>
      </c>
      <c r="CZ314" s="560">
        <f t="shared" si="618"/>
        <v>6.4788732394366191</v>
      </c>
      <c r="DA314" s="560">
        <f>IF(OR(Sheet1!ER316="FM", Sheet1!ER316="OTHER"),SUM(Sheet1!BK316:'Sheet1'!BM316),0)</f>
        <v>0</v>
      </c>
      <c r="DB314" s="545">
        <f>IF(AND($B314&gt;=$FV314,$B314&lt;=$FW314),MAX($CT314,Sheet1!EK316,0),MAX($CT314-(7/36)*$K314,0))</f>
        <v>0</v>
      </c>
      <c r="DC314" s="560">
        <f t="shared" si="619"/>
        <v>0</v>
      </c>
      <c r="DD314" s="545">
        <f t="shared" si="620"/>
        <v>6.4788732394366191</v>
      </c>
      <c r="DE314" s="545">
        <f>IF(AND($O314&gt;0,Sheet1!EO316=1),(1-($O314-Sheet1!$L316)/$O314)*CZ314,0)</f>
        <v>0</v>
      </c>
      <c r="DF314" s="545">
        <f>IF(AND(Sheet1!$L316=0,Sheet1!$L315=0, Calculation!CY314&lt;Sheet1!$EK316-0.1,Sheet1!$EK316=Sheet1!$EK315,Sheet1!$EK316=Sheet1!$EK317),Sheet1!$EK316,CZ314-DE314)</f>
        <v>6.4788732394366191</v>
      </c>
      <c r="DG314" s="545"/>
      <c r="DH314" s="560">
        <f t="shared" si="621"/>
        <v>8.94</v>
      </c>
      <c r="DI314" s="560">
        <f t="shared" si="622"/>
        <v>0</v>
      </c>
      <c r="DJ314" s="698">
        <f t="shared" si="623"/>
        <v>8.9939637826961771</v>
      </c>
      <c r="DK314" s="560">
        <f ca="1">IF(B314&gt;Summary!$A$1,#N/A,DI314*MGtoAF)</f>
        <v>0</v>
      </c>
      <c r="DL314" s="698">
        <f t="shared" si="624"/>
        <v>8.94</v>
      </c>
      <c r="DM314" s="560">
        <f t="shared" si="625"/>
        <v>34.79</v>
      </c>
      <c r="DN314" s="560">
        <f>Sheet1!AB316-DM314</f>
        <v>0.21000000000000085</v>
      </c>
      <c r="DO314" s="560">
        <f t="shared" si="626"/>
        <v>6.0362173038229624E-3</v>
      </c>
      <c r="DP314" s="560">
        <f>(VLOOKUP(Sheet1!DC316,hhdcap_wcm,4)-(((VLOOKUP(Sheet1!DC316,hhdcap_wcm,3)-Sheet1!DC316)/(VLOOKUP(Sheet1!DC316,hhdcap_wcm,3)-VLOOKUP(Sheet1!DC316,hhdcap_wcm,1)))*(VLOOKUP(Sheet1!DC316,hhdcap_wcm,4)-VLOOKUP(Sheet1!DC316,hhdcap_wcm,2))))</f>
        <v>2168.0000000052955</v>
      </c>
      <c r="DQ314" s="560">
        <f t="shared" si="627"/>
        <v>-1329.0000000029081</v>
      </c>
      <c r="DR314" s="560">
        <f t="shared" si="628"/>
        <v>-670.19667171099741</v>
      </c>
      <c r="DS314" s="560">
        <f>Sheet1!EA316*AFtoMG</f>
        <v>0</v>
      </c>
      <c r="DT314" s="560">
        <f>Sheet1!EB316*AFtoMG</f>
        <v>0</v>
      </c>
      <c r="DU314" s="560">
        <f>Sheet1!EC316*AFtoMG</f>
        <v>0</v>
      </c>
      <c r="DV314" s="560">
        <f>Sheet1!ED316*AFtoMG</f>
        <v>0</v>
      </c>
      <c r="DW314" s="560">
        <f t="shared" si="629"/>
        <v>0</v>
      </c>
      <c r="DX314" s="560">
        <f t="shared" si="630"/>
        <v>0</v>
      </c>
      <c r="DY314" s="560">
        <f t="shared" si="631"/>
        <v>0</v>
      </c>
      <c r="DZ314" s="560">
        <f t="shared" si="632"/>
        <v>0</v>
      </c>
      <c r="EA314" s="560"/>
      <c r="EB314" s="545">
        <f>IF(OR(B314&lt;FV314,B314&gt;FW314),(MIN(BF314+BY314+CT314+MAX(Sheet1!AA316+AQ314-73,0),K314)),0)</f>
        <v>8.9939637826961771</v>
      </c>
      <c r="EC314" s="560"/>
      <c r="ED314" s="560">
        <f t="shared" si="633"/>
        <v>8.9939637826961771</v>
      </c>
      <c r="EE314" s="560"/>
      <c r="EF314" s="560">
        <f>Sheet1!EH316+Sheet1!EI316+Sheet1!EJ316+Sheet1!EK316</f>
        <v>9</v>
      </c>
      <c r="EG314" s="560"/>
      <c r="EH314" s="545">
        <f t="shared" si="634"/>
        <v>0</v>
      </c>
      <c r="EI314" s="560">
        <f>IF(Sheet1!ET316=1,SUM('Calculations II'!AT314:BA314)+'Calculations II'!BC314+Sheet1!BV316+'Calculations II'!BE314+AP314,SUM('Calculations II'!AT314:BA314)+'Calculations II'!BC314+Sheet1!BV316+'Calculations II'!BE314+AP314)</f>
        <v>57.319887999999999</v>
      </c>
      <c r="EJ314" s="560">
        <f>Sheet1!AA316+Sheet1!AB316+'Calculations II'!BC314</f>
        <v>57</v>
      </c>
      <c r="EK314" s="560"/>
      <c r="EL314" s="560"/>
      <c r="EM314" s="560">
        <f t="shared" si="635"/>
        <v>41942</v>
      </c>
      <c r="EN314" s="560">
        <f t="shared" si="636"/>
        <v>0</v>
      </c>
      <c r="EO314" s="560">
        <f t="shared" si="637"/>
        <v>0</v>
      </c>
      <c r="EP314" s="560">
        <v>0</v>
      </c>
      <c r="EQ314" s="560">
        <v>0</v>
      </c>
      <c r="ER314" s="560">
        <v>0</v>
      </c>
      <c r="ES314" s="545">
        <f t="shared" si="557"/>
        <v>2.6316593322118145</v>
      </c>
      <c r="ET314" s="560">
        <f>-(VLOOKUP(Sheet1!BQ316,Lookup!$O$4:$Q$262,2)-VLOOKUP(Sheet1!BQ315,Lookup!$O$4:$Q$262,2))/1000000</f>
        <v>1.3850079657170176</v>
      </c>
      <c r="EU314" s="560">
        <f>-(VLOOKUP(Sheet1!BR316,Lookup!$O$4:$Q$262,3)-VLOOKUP(Sheet1!BR315,Lookup!$O$4:$Q$262,3))/1000000</f>
        <v>1.2466513664947971</v>
      </c>
      <c r="EV314" s="560"/>
      <c r="EW314" s="560"/>
      <c r="EX314" s="560"/>
      <c r="EY314" s="560"/>
      <c r="EZ314" s="560"/>
      <c r="FA314" s="560"/>
      <c r="FB314" s="560"/>
      <c r="FC314" s="560"/>
      <c r="FD314" s="594">
        <f t="shared" si="638"/>
        <v>1093.2826086956147</v>
      </c>
      <c r="FE314" s="594" t="e">
        <f t="shared" si="639"/>
        <v>#N/A</v>
      </c>
      <c r="FF314" s="595" t="e">
        <f t="shared" si="640"/>
        <v>#N/A</v>
      </c>
      <c r="FG314" s="596" t="s">
        <v>692</v>
      </c>
      <c r="FH314" s="596" t="s">
        <v>692</v>
      </c>
      <c r="FI314" s="594" t="e">
        <v>#N/A</v>
      </c>
      <c r="FJ314" s="778">
        <v>2909</v>
      </c>
      <c r="FK314" s="560"/>
      <c r="FL314" s="560"/>
      <c r="FM314" s="560"/>
      <c r="FN314" s="560"/>
      <c r="FO314" s="560">
        <f>O314+((Sheet1!CS316)*GPMtoMGD)</f>
        <v>57</v>
      </c>
      <c r="FP314" s="560">
        <f>IF(Sheet1!AA316+AQ314&lt;=Calculation!N314,AQ314,Calculation!N314-Sheet1!AA316)</f>
        <v>25.010060362173039</v>
      </c>
      <c r="FQ314" s="560">
        <f>(Sheet1!BP316+Sheet1!BO316)/694.4</f>
        <v>1.995967741935484</v>
      </c>
      <c r="FR314" s="560"/>
      <c r="FS314" s="560"/>
      <c r="FT314" s="560"/>
      <c r="FU314" s="560"/>
      <c r="FV314" s="695">
        <f t="shared" si="558"/>
        <v>41827</v>
      </c>
      <c r="FW314" s="695">
        <f t="shared" si="559"/>
        <v>41934</v>
      </c>
      <c r="FX314" s="560"/>
      <c r="FY314" s="560"/>
      <c r="FZ314" s="560"/>
      <c r="GA314" s="560"/>
      <c r="GB314" s="560" t="str">
        <f t="shared" si="560"/>
        <v>n</v>
      </c>
      <c r="GC314" s="564">
        <f t="shared" si="561"/>
        <v>41691</v>
      </c>
      <c r="GD314" s="695">
        <f t="shared" si="562"/>
        <v>41807</v>
      </c>
      <c r="GE314" s="560">
        <v>6518.9</v>
      </c>
      <c r="GF314" s="695">
        <f t="shared" si="563"/>
        <v>41808</v>
      </c>
      <c r="GG314" s="560">
        <f t="shared" si="582"/>
        <v>3259</v>
      </c>
      <c r="GH314" s="564">
        <f t="shared" si="564"/>
        <v>41934</v>
      </c>
      <c r="GJ314" s="545">
        <f t="shared" si="565"/>
        <v>0</v>
      </c>
      <c r="GK314" s="560" t="str">
        <f t="shared" si="641"/>
        <v/>
      </c>
      <c r="GL314" s="560">
        <f t="shared" si="566"/>
        <v>0</v>
      </c>
      <c r="GM314" s="560" t="str">
        <f t="shared" si="567"/>
        <v/>
      </c>
      <c r="GN314" s="560">
        <f>IF(GK314="P",Lookup!$M$12,IF(GK314="PP",Lookup!$M$13,IF(GK314="PPP",Lookup!$M$14,IF(GK314="T",Lookup!$M$15,IF(GK314="TP",Lookup!$M$16,IF(GK314="TPP",Lookup!$M$17,IF(GK314="TPPP",Lookup!$M$18,0)))))))*GJ314</f>
        <v>0</v>
      </c>
      <c r="GO314" s="560">
        <f t="shared" si="568"/>
        <v>0</v>
      </c>
      <c r="GP314" s="560">
        <f t="shared" si="642"/>
        <v>0</v>
      </c>
      <c r="GQ314" s="560">
        <f t="shared" si="576"/>
        <v>0</v>
      </c>
      <c r="GR314" s="560"/>
      <c r="GS314" s="560">
        <f t="shared" si="569"/>
        <v>0</v>
      </c>
      <c r="GT314" s="560" t="str">
        <f t="shared" si="570"/>
        <v/>
      </c>
      <c r="GU314" s="560">
        <f>IF(GK314="P",Lookup!$N$12,IF(GK314="PP",Lookup!$N$13,IF(GK314="PPP",Lookup!$N$14,IF(GK314="T",Lookup!$N$15,IF(GK314="TP",Lookup!$N$16,IF(GK314="TPP",Lookup!$N$17,IF(GK314="TPPP",Lookup!$N$18,0)))))))*GJ314</f>
        <v>0</v>
      </c>
      <c r="GV314" s="560">
        <f t="shared" si="571"/>
        <v>0</v>
      </c>
      <c r="GW314" s="560">
        <f t="shared" si="643"/>
        <v>0</v>
      </c>
      <c r="GX314" s="560">
        <f t="shared" si="577"/>
        <v>0</v>
      </c>
      <c r="GY314" s="560"/>
      <c r="GZ314" s="560">
        <f t="shared" si="572"/>
        <v>0</v>
      </c>
      <c r="HA314" s="560" t="str">
        <f t="shared" si="573"/>
        <v/>
      </c>
      <c r="HB314" s="560">
        <f>IF(GK314="P",Lookup!$N$12,IF(GK314="PP",Lookup!$N$13,IF(GK314="PPP",Lookup!$N$14,IF(GK314="T",Lookup!$N$15,IF(GK314="TP",Lookup!$N$16,IF(GK314="TPP",Lookup!$N$17,IF(GK314="TPPP",Lookup!$N$18,0)))))))*GJ314</f>
        <v>0</v>
      </c>
      <c r="HC314" s="545">
        <f t="shared" si="644"/>
        <v>0</v>
      </c>
      <c r="HD314" s="560">
        <f t="shared" si="645"/>
        <v>0</v>
      </c>
      <c r="HE314" s="560">
        <f t="shared" si="578"/>
        <v>0</v>
      </c>
      <c r="HF314" s="560"/>
      <c r="HG314" s="560">
        <f t="shared" si="574"/>
        <v>0</v>
      </c>
      <c r="HH314" s="560" t="str">
        <f t="shared" si="575"/>
        <v/>
      </c>
      <c r="HI314" s="560">
        <f>IF(GK314="P",Lookup!$N$12,IF(GK314="PP",Lookup!$N$13,IF(GK314="PPP",Lookup!$N$14,IF(GK314="T",Lookup!$N$15,IF(GK314="TP",Lookup!$N$16,IF(GK314="TPP",Lookup!$N$17,IF(GK314="TPPP",Lookup!$N$18,0)))))))*GJ314</f>
        <v>0</v>
      </c>
      <c r="HJ314" s="545">
        <f t="shared" si="646"/>
        <v>0</v>
      </c>
      <c r="HK314" s="560">
        <f t="shared" si="647"/>
        <v>0</v>
      </c>
      <c r="HL314" s="560">
        <f t="shared" si="579"/>
        <v>0</v>
      </c>
    </row>
    <row r="315" spans="1:220">
      <c r="A315" s="580" t="s">
        <v>8</v>
      </c>
      <c r="B315" s="556">
        <v>41943</v>
      </c>
      <c r="C315" s="561">
        <v>0</v>
      </c>
      <c r="D315" s="529">
        <f t="shared" si="580"/>
        <v>300</v>
      </c>
      <c r="E315" s="529">
        <f t="shared" si="581"/>
        <v>250</v>
      </c>
      <c r="F315" s="529">
        <v>250</v>
      </c>
      <c r="G315" s="560">
        <f>DR315+Sheet1!CZ317</f>
        <v>843.73676248055153</v>
      </c>
      <c r="H315" s="914">
        <f t="shared" si="546"/>
        <v>278.42824326742851</v>
      </c>
      <c r="I315" s="559">
        <f>MAX(Sheet1!Z317-AT315+(Sheet1!DA317-E315)*CFStoMGD,0)</f>
        <v>1031.9760000000001</v>
      </c>
      <c r="J315" s="562">
        <f>IF(AND(B315&gt;=Calculation!GC315,B315&lt;=Calculation!GD315),IF(Sheet1!DB317&gt;=Calculation!D315,64.64,0),MAX(Sheet1!Z317-AT315+(Sheet1!DB317-D315)*CFStoMGD,0))</f>
        <v>501.92799999999994</v>
      </c>
      <c r="K315" s="904">
        <f t="shared" si="583"/>
        <v>64.64</v>
      </c>
      <c r="L315" s="560">
        <f>Sheet1!AA317+Sheet1!AB317-Sheet1!L317+(Sheet1!DA317-F315)*CFStoMGD</f>
        <v>1011.2460000000033</v>
      </c>
      <c r="M315" s="560">
        <f t="shared" si="584"/>
        <v>556.29927213277711</v>
      </c>
      <c r="N315" s="910">
        <f>IF(Sheet1!DA317&gt;=F315,MIN(73,MIN(MAX(L315,0),MAX(M315,0))),0)</f>
        <v>73</v>
      </c>
      <c r="O315" s="563">
        <f>Sheet1!AA317+Sheet1!AB317</f>
        <v>49.31</v>
      </c>
      <c r="P315" s="563">
        <f t="shared" si="585"/>
        <v>76.282569999999993</v>
      </c>
      <c r="Q315" s="898">
        <f t="shared" si="547"/>
        <v>0</v>
      </c>
      <c r="R315" s="829">
        <f t="shared" si="586"/>
        <v>8.9434380776340117</v>
      </c>
      <c r="S315" s="898">
        <f t="shared" si="548"/>
        <v>49.31</v>
      </c>
      <c r="T315" s="898">
        <f t="shared" si="549"/>
        <v>0</v>
      </c>
      <c r="U315" s="898">
        <f t="shared" si="550"/>
        <v>0</v>
      </c>
      <c r="V315" s="898"/>
      <c r="W315" s="898">
        <f t="shared" si="551"/>
        <v>55.696561922365987</v>
      </c>
      <c r="X315" s="898">
        <f t="shared" si="552"/>
        <v>49.31</v>
      </c>
      <c r="Y315" s="898" t="str">
        <f t="shared" si="553"/>
        <v/>
      </c>
      <c r="Z315" s="898">
        <f t="shared" si="554"/>
        <v>49.31</v>
      </c>
      <c r="AA315" s="898">
        <f t="shared" si="555"/>
        <v>49.31</v>
      </c>
      <c r="AB315" s="898" t="str">
        <f t="shared" si="556"/>
        <v/>
      </c>
      <c r="AC315" s="563">
        <f>Sheet1!Y317*MGDtoCFS</f>
        <v>38.814229999999995</v>
      </c>
      <c r="AD315" s="563">
        <f>Sheet1!Z317*MGDtoCFS</f>
        <v>56.49644</v>
      </c>
      <c r="AE315" s="563">
        <f>Sheet1!AA317*MGDtoCFS</f>
        <v>34.513569999999994</v>
      </c>
      <c r="AF315" s="563">
        <f>Sheet1!AB317*MGDtoCFS</f>
        <v>41.768999999999998</v>
      </c>
      <c r="AG315" s="563">
        <f>Sheet1!L317*MGDtoCFS</f>
        <v>51.855439999995042</v>
      </c>
      <c r="AH315" s="545">
        <f t="shared" si="587"/>
        <v>0</v>
      </c>
      <c r="AI315" s="560">
        <f t="shared" si="588"/>
        <v>0</v>
      </c>
      <c r="AJ315" s="560">
        <f t="shared" si="589"/>
        <v>0</v>
      </c>
      <c r="AK315" s="560">
        <f t="shared" si="590"/>
        <v>0</v>
      </c>
      <c r="AL315" s="560">
        <f>(VLOOKUP(Sheet1!DC317,hhdcap_wcm,4)-(((VLOOKUP(Sheet1!DC317,hhdcap_wcm,3)-Sheet1!DC317)/(VLOOKUP(Sheet1!DC317,hhdcap_wcm,3)-VLOOKUP(Sheet1!DC317,hhdcap_wcm,1)))*(VLOOKUP(Sheet1!DC317,hhdcap_wcm,4)-VLOOKUP(Sheet1!DC317,hhdcap_wcm,2))))</f>
        <v>1640.0000000042292</v>
      </c>
      <c r="AM315" s="560">
        <f t="shared" si="591"/>
        <v>-528.00000000106638</v>
      </c>
      <c r="AN315" s="560">
        <f t="shared" si="592"/>
        <v>0</v>
      </c>
      <c r="AO315" s="560">
        <f t="shared" si="593"/>
        <v>0</v>
      </c>
      <c r="AP315" s="560">
        <f>Sheet1!BA317+Sheet1!BB317+Sheet1!BN317+CD315</f>
        <v>18.09</v>
      </c>
      <c r="AQ315" s="560">
        <f>Sheet1!BN317+(DO315*Sheet1!BN317)</f>
        <v>17.068391866913124</v>
      </c>
      <c r="AR315" s="560">
        <f>Sheet1!BA317+CD315</f>
        <v>0</v>
      </c>
      <c r="AS315" s="560">
        <f>Sheet1!BA317+Sheet1!BB317+CD315</f>
        <v>0.99</v>
      </c>
      <c r="AT315" s="698">
        <f>0</f>
        <v>0</v>
      </c>
      <c r="AU315" s="560">
        <f>IF(EB315&lt;K315,0,MAX(Sheet1!AA317+AQ315-15/36*K315-N315,Sheet1!EH317,0))</f>
        <v>0</v>
      </c>
      <c r="AV315" s="560">
        <f>IF(OR(B315&gt;=GD315,B315&lt;GC315),0,15/36*K315-MAX(0,64.6-(137.6-(Sheet1!AA317+Sheet1!AB317))))</f>
        <v>0</v>
      </c>
      <c r="AW315" s="698">
        <f>Sheet1!DB317-110</f>
        <v>910</v>
      </c>
      <c r="AX315" s="698">
        <f>Sheet1!DA317-265</f>
        <v>1525</v>
      </c>
      <c r="AY315" s="698">
        <f t="shared" si="594"/>
        <v>73</v>
      </c>
      <c r="AZ315" s="698">
        <v>0</v>
      </c>
      <c r="BA315" s="698">
        <f t="shared" si="595"/>
        <v>0</v>
      </c>
      <c r="BB315" s="560">
        <f t="shared" si="596"/>
        <v>0</v>
      </c>
      <c r="BC315" s="560"/>
      <c r="BD315" s="560">
        <f ca="1">IF(B315&gt;Summary!$A$1,#N/A,BB315*MGtoAF)</f>
        <v>0</v>
      </c>
      <c r="BE315" s="560">
        <f>Sheet1!BG317+Sheet1!BH317+Sheet1!BI317-BM315</f>
        <v>0</v>
      </c>
      <c r="BF315" s="560">
        <f t="shared" si="597"/>
        <v>0</v>
      </c>
      <c r="BG315" s="560">
        <f>IF(Sheet1!EP317="FM",BM315,0)</f>
        <v>0</v>
      </c>
      <c r="BH315" s="560">
        <f t="shared" si="598"/>
        <v>0</v>
      </c>
      <c r="BI315" s="560">
        <f>IF(Sheet1!EP317="OTHER",BM315,0)</f>
        <v>0</v>
      </c>
      <c r="BJ315" s="560">
        <f t="shared" si="599"/>
        <v>0</v>
      </c>
      <c r="BK315" s="560">
        <f t="shared" si="600"/>
        <v>0</v>
      </c>
      <c r="BL315" s="560">
        <f t="shared" si="601"/>
        <v>0</v>
      </c>
      <c r="BM315" s="560">
        <f>IF(OR(Sheet1!EP317="FM", Sheet1!EP317="OTHER"),SUM(Sheet1!BG317:'Sheet1'!BI317),0)</f>
        <v>0</v>
      </c>
      <c r="BN315" s="545">
        <f>IF(AND($B315&gt;=$FV315,$B315&lt;=$FW315),MAX(BF315,Sheet1!EI317,0),MAX(BF315-(7/36)*$K315,0))</f>
        <v>0</v>
      </c>
      <c r="BO315" s="560">
        <f t="shared" si="602"/>
        <v>0</v>
      </c>
      <c r="BP315" s="545">
        <f t="shared" si="603"/>
        <v>0</v>
      </c>
      <c r="BQ315" s="545">
        <f>IF(AND($O315&gt;0,Sheet1!EM317=1),(1-($O315-Sheet1!$L317)/$O315)*BL315,0)</f>
        <v>0</v>
      </c>
      <c r="BR315" s="545">
        <f>IF(AND(Sheet1!$L317=0,Sheet1!$L316=0, Calculation!BK315&lt;Sheet1!$EI317-0.1,Sheet1!$EI317=Sheet1!$EI316,Sheet1!$EI317=Sheet1!$EI318),Sheet1!$EI317,BL315-BQ315)</f>
        <v>0</v>
      </c>
      <c r="BS315" s="560"/>
      <c r="BT315" s="560"/>
      <c r="BU315" s="560">
        <f t="shared" si="604"/>
        <v>0</v>
      </c>
      <c r="BV315" s="560"/>
      <c r="BW315" s="560">
        <f ca="1">IF(B315&gt;Summary!$A$1,#N/A,BU315*MGtoAF)</f>
        <v>0</v>
      </c>
      <c r="BX315" s="560">
        <f>Sheet1!BC317+Sheet1!BD317+Sheet1!BE317+Sheet1!BF317-CG315-CH315</f>
        <v>2.4900000000000002</v>
      </c>
      <c r="BY315" s="560">
        <f t="shared" si="605"/>
        <v>2.4853974121996303</v>
      </c>
      <c r="BZ315" s="560">
        <f>IF(Sheet1!EQ317="FM",CH315,0)</f>
        <v>0</v>
      </c>
      <c r="CA315" s="560">
        <f t="shared" si="606"/>
        <v>0</v>
      </c>
      <c r="CB315" s="560">
        <f>IF(Sheet1!EQ317="OTHER",CH315,0)</f>
        <v>0</v>
      </c>
      <c r="CC315" s="560">
        <f t="shared" si="607"/>
        <v>0</v>
      </c>
      <c r="CD315" s="560">
        <f t="shared" si="608"/>
        <v>0</v>
      </c>
      <c r="CE315" s="560">
        <f t="shared" si="609"/>
        <v>2.4900000000000002</v>
      </c>
      <c r="CF315" s="560">
        <f t="shared" si="610"/>
        <v>2.4853974121996303</v>
      </c>
      <c r="CG315" s="560">
        <f>IF(Sheet1!EQ317="CWA",SUM(Sheet1!BC317:'Sheet1'!BF317),0)</f>
        <v>0</v>
      </c>
      <c r="CH315" s="560">
        <f>IF(OR(Sheet1!EQ317="FM", Sheet1!EQ317="OTHER"),SUM(Sheet1!BC317:'Sheet1'!BF317),0)</f>
        <v>0</v>
      </c>
      <c r="CI315" s="545">
        <f>IF(AND($B315&gt;=$FV315,$B315&lt;=$FW315),MAX(CF315,Sheet1!EJ317,0),MAX(CF315-(7/36)*$K315,0))</f>
        <v>0</v>
      </c>
      <c r="CJ315" s="560">
        <f t="shared" si="611"/>
        <v>0</v>
      </c>
      <c r="CK315" s="545">
        <f t="shared" si="612"/>
        <v>2.4853974121996303</v>
      </c>
      <c r="CL315" s="545">
        <f>IF(AND($O315&gt;0,Sheet1!EN317=1),(1-($O315-Sheet1!$L317)/$O315)*CF315,0)</f>
        <v>0</v>
      </c>
      <c r="CM315" s="545">
        <f>IF(AND(Sheet1!$L317=0,Sheet1!$L316=0, Calculation!CE315&lt;Sheet1!EJ317-0.1,Sheet1!EJ317=Sheet1!EJ316,Sheet1!EJ317=Sheet1!EJ318),Sheet1!EJ317,CF315-CL315)</f>
        <v>2.4853974121996303</v>
      </c>
      <c r="CN315" s="545"/>
      <c r="CO315" s="560"/>
      <c r="CP315" s="560">
        <f t="shared" si="613"/>
        <v>0</v>
      </c>
      <c r="CQ315" s="560"/>
      <c r="CR315" s="560">
        <f ca="1">IF(B315&gt;Summary!$A$1,#N/A,CP315*MGtoAF)</f>
        <v>0</v>
      </c>
      <c r="CS315" s="560">
        <f>Sheet1!BK317+Sheet1!BL317+Sheet1!BM317-Sheet1!ER317-DA315</f>
        <v>6.4700000000000006</v>
      </c>
      <c r="CT315" s="560">
        <f t="shared" si="614"/>
        <v>6.4580406654343809</v>
      </c>
      <c r="CU315" s="560">
        <f>IF(Sheet1!ER317="FM",DA315,0)</f>
        <v>0</v>
      </c>
      <c r="CV315" s="560">
        <f t="shared" si="615"/>
        <v>0</v>
      </c>
      <c r="CW315" s="560">
        <f>IF(Sheet1!ER317="OTHER",DA315,0)</f>
        <v>0</v>
      </c>
      <c r="CX315" s="560">
        <f t="shared" si="616"/>
        <v>0</v>
      </c>
      <c r="CY315" s="560">
        <f t="shared" si="617"/>
        <v>6.4700000000000006</v>
      </c>
      <c r="CZ315" s="560">
        <f t="shared" si="618"/>
        <v>6.4580406654343809</v>
      </c>
      <c r="DA315" s="560">
        <f>IF(OR(Sheet1!ER317="FM", Sheet1!ER317="OTHER"),SUM(Sheet1!BK317:'Sheet1'!BM317),0)</f>
        <v>0</v>
      </c>
      <c r="DB315" s="545">
        <f>IF(AND($B315&gt;=$FV315,$B315&lt;=$FW315),MAX($CT315,Sheet1!EK317,0),MAX($CT315-(7/36)*$K315,0))</f>
        <v>0</v>
      </c>
      <c r="DC315" s="560">
        <f t="shared" si="619"/>
        <v>0</v>
      </c>
      <c r="DD315" s="545">
        <f t="shared" si="620"/>
        <v>6.4580406654343809</v>
      </c>
      <c r="DE315" s="545">
        <f>IF(AND($O315&gt;0,Sheet1!EO317=1),(1-($O315-Sheet1!$L317)/$O315)*CZ315,0)</f>
        <v>0</v>
      </c>
      <c r="DF315" s="545">
        <f>IF(AND(Sheet1!$L317=0,Sheet1!$L316=0, Calculation!CY315&lt;Sheet1!$EK317-0.1,Sheet1!$EK317=Sheet1!$EK316,Sheet1!$EK317=Sheet1!$EK318),Sheet1!$EK317,CZ315-DE315)</f>
        <v>6.4580406654343809</v>
      </c>
      <c r="DG315" s="545"/>
      <c r="DH315" s="560">
        <f t="shared" si="621"/>
        <v>8.9600000000000009</v>
      </c>
      <c r="DI315" s="560">
        <f t="shared" si="622"/>
        <v>0</v>
      </c>
      <c r="DJ315" s="698">
        <f t="shared" si="623"/>
        <v>8.9434380776340117</v>
      </c>
      <c r="DK315" s="560">
        <f ca="1">IF(B315&gt;Summary!$A$1,#N/A,DI315*MGtoAF)</f>
        <v>0</v>
      </c>
      <c r="DL315" s="698">
        <f t="shared" si="624"/>
        <v>8.9600000000000009</v>
      </c>
      <c r="DM315" s="560">
        <f t="shared" si="625"/>
        <v>27.05</v>
      </c>
      <c r="DN315" s="560">
        <f>Sheet1!AB317-DM315</f>
        <v>-5.0000000000000711E-2</v>
      </c>
      <c r="DO315" s="560">
        <f t="shared" si="626"/>
        <v>-1.8484288354898599E-3</v>
      </c>
      <c r="DP315" s="560">
        <f>(VLOOKUP(Sheet1!DC317,hhdcap_wcm,4)-(((VLOOKUP(Sheet1!DC317,hhdcap_wcm,3)-Sheet1!DC317)/(VLOOKUP(Sheet1!DC317,hhdcap_wcm,3)-VLOOKUP(Sheet1!DC317,hhdcap_wcm,1)))*(VLOOKUP(Sheet1!DC317,hhdcap_wcm,4)-VLOOKUP(Sheet1!DC317,hhdcap_wcm,2))))</f>
        <v>1640.0000000042292</v>
      </c>
      <c r="DQ315" s="560">
        <f t="shared" si="627"/>
        <v>-528.00000000106638</v>
      </c>
      <c r="DR315" s="560">
        <f t="shared" si="628"/>
        <v>-266.26323751944847</v>
      </c>
      <c r="DS315" s="560">
        <f>Sheet1!EA317*AFtoMG</f>
        <v>0</v>
      </c>
      <c r="DT315" s="560">
        <f>Sheet1!EB317*AFtoMG</f>
        <v>0</v>
      </c>
      <c r="DU315" s="560">
        <f>Sheet1!EC317*AFtoMG</f>
        <v>0</v>
      </c>
      <c r="DV315" s="560">
        <f>Sheet1!ED317*AFtoMG</f>
        <v>0</v>
      </c>
      <c r="DW315" s="560">
        <f t="shared" si="629"/>
        <v>0</v>
      </c>
      <c r="DX315" s="560">
        <f t="shared" si="630"/>
        <v>0</v>
      </c>
      <c r="DY315" s="560">
        <f t="shared" si="631"/>
        <v>0</v>
      </c>
      <c r="DZ315" s="560">
        <f t="shared" si="632"/>
        <v>0</v>
      </c>
      <c r="EA315" s="560"/>
      <c r="EB315" s="545">
        <f>IF(OR(B315&lt;FV315,B315&gt;FW315),(MIN(BF315+BY315+CT315+MAX(Sheet1!AA317+AQ315-73,0),K315)),0)</f>
        <v>8.9434380776340117</v>
      </c>
      <c r="EC315" s="560"/>
      <c r="ED315" s="560">
        <f t="shared" si="633"/>
        <v>8.9434380776340117</v>
      </c>
      <c r="EE315" s="560"/>
      <c r="EF315" s="560">
        <f>Sheet1!EH317+Sheet1!EI317+Sheet1!EJ317+Sheet1!EK317</f>
        <v>9</v>
      </c>
      <c r="EG315" s="560"/>
      <c r="EH315" s="545">
        <f t="shared" si="634"/>
        <v>0</v>
      </c>
      <c r="EI315" s="560">
        <f>IF(Sheet1!ET317=1,SUM('Calculations II'!AT315:BA315)+'Calculations II'!BC315+Sheet1!BV317+'Calculations II'!BE315+AP315,SUM('Calculations II'!AT315:BA315)+'Calculations II'!BC315+Sheet1!BV317+'Calculations II'!BE315+AP315)</f>
        <v>55.343583999999993</v>
      </c>
      <c r="EJ315" s="560">
        <f>Sheet1!AA317+Sheet1!AB317+'Calculations II'!BC315</f>
        <v>57.494528000000003</v>
      </c>
      <c r="EK315" s="560"/>
      <c r="EL315" s="560"/>
      <c r="EM315" s="560">
        <f t="shared" si="635"/>
        <v>41943</v>
      </c>
      <c r="EN315" s="560">
        <f t="shared" si="636"/>
        <v>0</v>
      </c>
      <c r="EO315" s="560">
        <f t="shared" si="637"/>
        <v>0</v>
      </c>
      <c r="EP315" s="560">
        <v>0</v>
      </c>
      <c r="EQ315" s="560">
        <v>0</v>
      </c>
      <c r="ER315" s="560">
        <v>0</v>
      </c>
      <c r="ES315" s="545">
        <f t="shared" si="557"/>
        <v>0.83081252915616699</v>
      </c>
      <c r="ET315" s="560">
        <f>-(VLOOKUP(Sheet1!BQ317,Lookup!$O$4:$Q$262,2)-VLOOKUP(Sheet1!BQ316,Lookup!$O$4:$Q$262,2))/1000000</f>
        <v>0.41537742905444652</v>
      </c>
      <c r="EU315" s="560">
        <f>-(VLOOKUP(Sheet1!BR317,Lookup!$O$4:$Q$262,3)-VLOOKUP(Sheet1!BR316,Lookup!$O$4:$Q$262,3))/1000000</f>
        <v>0.41543510010172052</v>
      </c>
      <c r="EV315" s="560"/>
      <c r="EW315" s="560"/>
      <c r="EX315" s="560"/>
      <c r="EY315" s="560"/>
      <c r="EZ315" s="560"/>
      <c r="FA315" s="560"/>
      <c r="FB315" s="560"/>
      <c r="FC315" s="560"/>
      <c r="FD315" s="594">
        <f t="shared" si="638"/>
        <v>1092.3238095237728</v>
      </c>
      <c r="FE315" s="594" t="e">
        <f t="shared" si="639"/>
        <v>#N/A</v>
      </c>
      <c r="FF315" s="595" t="e">
        <f t="shared" si="640"/>
        <v>#N/A</v>
      </c>
      <c r="FG315" s="596" t="s">
        <v>692</v>
      </c>
      <c r="FH315" s="596" t="s">
        <v>692</v>
      </c>
      <c r="FI315" s="594" t="e">
        <v>#N/A</v>
      </c>
      <c r="FJ315" s="778">
        <v>2700</v>
      </c>
      <c r="FK315" s="560"/>
      <c r="FL315" s="560"/>
      <c r="FM315" s="560"/>
      <c r="FN315" s="560"/>
      <c r="FO315" s="560">
        <f>O315+((Sheet1!CS317)*GPMtoMGD)</f>
        <v>57.494528000000003</v>
      </c>
      <c r="FP315" s="560">
        <f>IF(Sheet1!AA317+AQ315&lt;=Calculation!N315,AQ315,Calculation!N315-Sheet1!AA317)</f>
        <v>17.068391866913124</v>
      </c>
      <c r="FQ315" s="560">
        <f>(Sheet1!BP317+Sheet1!BO317)/694.4</f>
        <v>1.9696140552995394</v>
      </c>
      <c r="FR315" s="560"/>
      <c r="FS315" s="560"/>
      <c r="FT315" s="560"/>
      <c r="FU315" s="560"/>
      <c r="FV315" s="695">
        <f t="shared" si="558"/>
        <v>41827</v>
      </c>
      <c r="FW315" s="695">
        <f t="shared" si="559"/>
        <v>41934</v>
      </c>
      <c r="FX315" s="560"/>
      <c r="FY315" s="560"/>
      <c r="FZ315" s="560"/>
      <c r="GA315" s="560"/>
      <c r="GB315" s="560" t="str">
        <f t="shared" si="560"/>
        <v>n</v>
      </c>
      <c r="GC315" s="564">
        <f t="shared" si="561"/>
        <v>41691</v>
      </c>
      <c r="GD315" s="695">
        <f t="shared" si="562"/>
        <v>41807</v>
      </c>
      <c r="GE315" s="560">
        <v>6518.9</v>
      </c>
      <c r="GF315" s="695">
        <f t="shared" si="563"/>
        <v>41808</v>
      </c>
      <c r="GG315" s="560">
        <f t="shared" si="582"/>
        <v>3259</v>
      </c>
      <c r="GH315" s="564">
        <f t="shared" si="564"/>
        <v>41934</v>
      </c>
      <c r="GJ315" s="545">
        <f t="shared" si="565"/>
        <v>0</v>
      </c>
      <c r="GK315" s="560" t="str">
        <f t="shared" si="641"/>
        <v/>
      </c>
      <c r="GL315" s="560">
        <f t="shared" si="566"/>
        <v>0</v>
      </c>
      <c r="GM315" s="560" t="str">
        <f t="shared" si="567"/>
        <v/>
      </c>
      <c r="GN315" s="560">
        <f>IF(GK315="P",Lookup!$M$12,IF(GK315="PP",Lookup!$M$13,IF(GK315="PPP",Lookup!$M$14,IF(GK315="T",Lookup!$M$15,IF(GK315="TP",Lookup!$M$16,IF(GK315="TPP",Lookup!$M$17,IF(GK315="TPPP",Lookup!$M$18,0)))))))*GJ315</f>
        <v>0</v>
      </c>
      <c r="GO315" s="560">
        <f t="shared" si="568"/>
        <v>0</v>
      </c>
      <c r="GP315" s="560">
        <f t="shared" si="642"/>
        <v>0</v>
      </c>
      <c r="GQ315" s="560">
        <f t="shared" si="576"/>
        <v>0</v>
      </c>
      <c r="GR315" s="560"/>
      <c r="GS315" s="560">
        <f t="shared" si="569"/>
        <v>0</v>
      </c>
      <c r="GT315" s="560" t="str">
        <f t="shared" si="570"/>
        <v/>
      </c>
      <c r="GU315" s="560">
        <f>IF(GK315="P",Lookup!$N$12,IF(GK315="PP",Lookup!$N$13,IF(GK315="PPP",Lookup!$N$14,IF(GK315="T",Lookup!$N$15,IF(GK315="TP",Lookup!$N$16,IF(GK315="TPP",Lookup!$N$17,IF(GK315="TPPP",Lookup!$N$18,0)))))))*GJ315</f>
        <v>0</v>
      </c>
      <c r="GV315" s="560">
        <f t="shared" si="571"/>
        <v>0</v>
      </c>
      <c r="GW315" s="560">
        <f t="shared" si="643"/>
        <v>0</v>
      </c>
      <c r="GX315" s="560">
        <f t="shared" si="577"/>
        <v>0</v>
      </c>
      <c r="GY315" s="560"/>
      <c r="GZ315" s="560">
        <f t="shared" si="572"/>
        <v>0</v>
      </c>
      <c r="HA315" s="560" t="str">
        <f t="shared" si="573"/>
        <v/>
      </c>
      <c r="HB315" s="560">
        <f>IF(GK315="P",Lookup!$N$12,IF(GK315="PP",Lookup!$N$13,IF(GK315="PPP",Lookup!$N$14,IF(GK315="T",Lookup!$N$15,IF(GK315="TP",Lookup!$N$16,IF(GK315="TPP",Lookup!$N$17,IF(GK315="TPPP",Lookup!$N$18,0)))))))*GJ315</f>
        <v>0</v>
      </c>
      <c r="HC315" s="545">
        <f t="shared" si="644"/>
        <v>0</v>
      </c>
      <c r="HD315" s="560">
        <f t="shared" si="645"/>
        <v>0</v>
      </c>
      <c r="HE315" s="560">
        <f t="shared" si="578"/>
        <v>0</v>
      </c>
      <c r="HF315" s="560"/>
      <c r="HG315" s="560">
        <f t="shared" si="574"/>
        <v>0</v>
      </c>
      <c r="HH315" s="560" t="str">
        <f t="shared" si="575"/>
        <v/>
      </c>
      <c r="HI315" s="560">
        <f>IF(GK315="P",Lookup!$N$12,IF(GK315="PP",Lookup!$N$13,IF(GK315="PPP",Lookup!$N$14,IF(GK315="T",Lookup!$N$15,IF(GK315="TP",Lookup!$N$16,IF(GK315="TPP",Lookup!$N$17,IF(GK315="TPPP",Lookup!$N$18,0)))))))*GJ315</f>
        <v>0</v>
      </c>
      <c r="HJ315" s="545">
        <f t="shared" si="646"/>
        <v>0</v>
      </c>
      <c r="HK315" s="560">
        <f t="shared" si="647"/>
        <v>0</v>
      </c>
      <c r="HL315" s="560">
        <f t="shared" si="579"/>
        <v>0</v>
      </c>
    </row>
    <row r="316" spans="1:220">
      <c r="A316" s="580" t="s">
        <v>9</v>
      </c>
      <c r="B316" s="556">
        <v>41944</v>
      </c>
      <c r="C316" s="561">
        <v>0</v>
      </c>
      <c r="D316" s="529">
        <f t="shared" si="580"/>
        <v>300</v>
      </c>
      <c r="E316" s="529">
        <f t="shared" si="581"/>
        <v>250</v>
      </c>
      <c r="F316" s="529">
        <v>250</v>
      </c>
      <c r="G316" s="560">
        <f>DR316+Sheet1!CZ318</f>
        <v>1148.8300554715422</v>
      </c>
      <c r="H316" s="914">
        <f t="shared" si="546"/>
        <v>475.64054785680486</v>
      </c>
      <c r="I316" s="559">
        <f>MAX(Sheet1!Z318-AT316+(Sheet1!DA318-E316)*CFStoMGD,0)</f>
        <v>840.1712</v>
      </c>
      <c r="J316" s="562">
        <f>IF(AND(B316&gt;=Calculation!GC316,B316&lt;=Calculation!GD316),IF(Sheet1!DB318&gt;=Calculation!D316,64.64,0),MAX(Sheet1!Z318-AT316+(Sheet1!DB318-D316)*CFStoMGD,0))</f>
        <v>465.25919999999996</v>
      </c>
      <c r="K316" s="904">
        <f t="shared" si="583"/>
        <v>64.64</v>
      </c>
      <c r="L316" s="560">
        <f>Sheet1!AA318+Sheet1!AB318-Sheet1!L318+(Sheet1!DA318-F316)*CFStoMGD</f>
        <v>856.13119999999913</v>
      </c>
      <c r="M316" s="560">
        <f t="shared" si="584"/>
        <v>757.45582281394104</v>
      </c>
      <c r="N316" s="910">
        <f>IF(Sheet1!DA318&gt;=F316,MIN(73,MIN(MAX(L316,0),MAX(M316,0))),0)</f>
        <v>73</v>
      </c>
      <c r="O316" s="563">
        <f>Sheet1!AA318+Sheet1!AB318</f>
        <v>48.5</v>
      </c>
      <c r="P316" s="563">
        <f t="shared" si="585"/>
        <v>75.029499999999999</v>
      </c>
      <c r="Q316" s="898">
        <f t="shared" si="547"/>
        <v>0</v>
      </c>
      <c r="R316" s="829">
        <f t="shared" si="586"/>
        <v>9.2547263681592042</v>
      </c>
      <c r="S316" s="898">
        <f t="shared" si="548"/>
        <v>48.5</v>
      </c>
      <c r="T316" s="898">
        <f t="shared" si="549"/>
        <v>0</v>
      </c>
      <c r="U316" s="898">
        <f t="shared" si="550"/>
        <v>0</v>
      </c>
      <c r="V316" s="898"/>
      <c r="W316" s="898">
        <f t="shared" si="551"/>
        <v>55.385273631840796</v>
      </c>
      <c r="X316" s="898">
        <f t="shared" si="552"/>
        <v>48.5</v>
      </c>
      <c r="Y316" s="898" t="str">
        <f t="shared" si="553"/>
        <v/>
      </c>
      <c r="Z316" s="898">
        <f t="shared" si="554"/>
        <v>48.5</v>
      </c>
      <c r="AA316" s="898">
        <f t="shared" si="555"/>
        <v>48.5</v>
      </c>
      <c r="AB316" s="898" t="str">
        <f t="shared" si="556"/>
        <v/>
      </c>
      <c r="AC316" s="563">
        <f>Sheet1!Y318*MGDtoCFS</f>
        <v>34.513569999999994</v>
      </c>
      <c r="AD316" s="563">
        <f>Sheet1!Z318*MGDtoCFS</f>
        <v>41.768999999999998</v>
      </c>
      <c r="AE316" s="563">
        <f>Sheet1!AA318*MGDtoCFS</f>
        <v>34.498100000000001</v>
      </c>
      <c r="AF316" s="563">
        <f>Sheet1!AB318*MGDtoCFS</f>
        <v>40.531399999999998</v>
      </c>
      <c r="AG316" s="563">
        <f>Sheet1!L318*MGDtoCFS</f>
        <v>8.5703800000013501</v>
      </c>
      <c r="AH316" s="545">
        <f t="shared" si="587"/>
        <v>0</v>
      </c>
      <c r="AI316" s="560">
        <f t="shared" si="588"/>
        <v>0</v>
      </c>
      <c r="AJ316" s="560">
        <f t="shared" si="589"/>
        <v>0</v>
      </c>
      <c r="AK316" s="560">
        <f t="shared" si="590"/>
        <v>0</v>
      </c>
      <c r="AL316" s="560">
        <f>(VLOOKUP(Sheet1!DC318,hhdcap_wcm,4)-(((VLOOKUP(Sheet1!DC318,hhdcap_wcm,3)-Sheet1!DC318)/(VLOOKUP(Sheet1!DC318,hhdcap_wcm,3)-VLOOKUP(Sheet1!DC318,hhdcap_wcm,1)))*(VLOOKUP(Sheet1!DC318,hhdcap_wcm,4)-VLOOKUP(Sheet1!DC318,hhdcap_wcm,2))))</f>
        <v>1717.0000000042974</v>
      </c>
      <c r="AM316" s="560">
        <f t="shared" si="591"/>
        <v>77.000000000068212</v>
      </c>
      <c r="AN316" s="560">
        <f t="shared" si="592"/>
        <v>0</v>
      </c>
      <c r="AO316" s="560">
        <f t="shared" si="593"/>
        <v>0</v>
      </c>
      <c r="AP316" s="560">
        <f>Sheet1!BA318+Sheet1!BB318+Sheet1!BN318+CD316</f>
        <v>16.899999999999999</v>
      </c>
      <c r="AQ316" s="560">
        <f>Sheet1!BN318+(DO316*Sheet1!BN318)</f>
        <v>15.942594718714123</v>
      </c>
      <c r="AR316" s="560">
        <f>Sheet1!BA318+CD316</f>
        <v>0</v>
      </c>
      <c r="AS316" s="560">
        <f>Sheet1!BA318+Sheet1!BB318+CD316</f>
        <v>1</v>
      </c>
      <c r="AT316" s="698">
        <f>0</f>
        <v>0</v>
      </c>
      <c r="AU316" s="560">
        <f>IF(EB316&lt;K316,0,MAX(Sheet1!AA318+AQ316-15/36*K316-N316,Sheet1!EH318,0))</f>
        <v>0</v>
      </c>
      <c r="AV316" s="560">
        <f>IF(OR(B316&gt;=GD316,B316&lt;GC316),0,15/36*K316-MAX(0,64.6-(137.6-(Sheet1!AA318+Sheet1!AB318))))</f>
        <v>0</v>
      </c>
      <c r="AW316" s="698">
        <f>Sheet1!DB318-110</f>
        <v>868</v>
      </c>
      <c r="AX316" s="698">
        <f>Sheet1!DA318-265</f>
        <v>1243</v>
      </c>
      <c r="AY316" s="698">
        <f t="shared" si="594"/>
        <v>73</v>
      </c>
      <c r="AZ316" s="698">
        <v>0</v>
      </c>
      <c r="BA316" s="698">
        <f t="shared" si="595"/>
        <v>0</v>
      </c>
      <c r="BB316" s="560">
        <f t="shared" si="596"/>
        <v>0</v>
      </c>
      <c r="BC316" s="560"/>
      <c r="BD316" s="560">
        <f ca="1">IF(B316&gt;Summary!$A$1,#N/A,BB316*MGtoAF)</f>
        <v>0</v>
      </c>
      <c r="BE316" s="560">
        <f>Sheet1!BG318+Sheet1!BH318+Sheet1!BI318-BM316</f>
        <v>0</v>
      </c>
      <c r="BF316" s="560">
        <f t="shared" si="597"/>
        <v>0</v>
      </c>
      <c r="BG316" s="560">
        <f>IF(Sheet1!EP318="FM",BM316,0)</f>
        <v>0</v>
      </c>
      <c r="BH316" s="560">
        <f t="shared" si="598"/>
        <v>0</v>
      </c>
      <c r="BI316" s="560">
        <f>IF(Sheet1!EP318="OTHER",BM316,0)</f>
        <v>0</v>
      </c>
      <c r="BJ316" s="560">
        <f t="shared" si="599"/>
        <v>0</v>
      </c>
      <c r="BK316" s="560">
        <f t="shared" si="600"/>
        <v>0</v>
      </c>
      <c r="BL316" s="560">
        <f t="shared" si="601"/>
        <v>0</v>
      </c>
      <c r="BM316" s="560">
        <f>IF(OR(Sheet1!EP318="FM", Sheet1!EP318="OTHER"),SUM(Sheet1!BG318:'Sheet1'!BI318),0)</f>
        <v>0</v>
      </c>
      <c r="BN316" s="545">
        <f>IF(AND($B316&gt;=$FV316,$B316&lt;=$FW316),MAX(BF316,Sheet1!EI318,0),MAX(BF316-(7/36)*$K316,0))</f>
        <v>0</v>
      </c>
      <c r="BO316" s="560">
        <f t="shared" si="602"/>
        <v>0</v>
      </c>
      <c r="BP316" s="545">
        <f t="shared" si="603"/>
        <v>0</v>
      </c>
      <c r="BQ316" s="545">
        <f>IF(AND($O316&gt;0,Sheet1!EM318=1),(1-($O316-Sheet1!$L318)/$O316)*BL316,0)</f>
        <v>0</v>
      </c>
      <c r="BR316" s="545">
        <f>IF(AND(Sheet1!$L318=0,Sheet1!$L317=0, Calculation!BK316&lt;Sheet1!$EI318-0.1,Sheet1!$EI318=Sheet1!$EI317,Sheet1!$EI318=Sheet1!$EI319),Sheet1!$EI318,BL316-BQ316)</f>
        <v>0</v>
      </c>
      <c r="BS316" s="560"/>
      <c r="BT316" s="560"/>
      <c r="BU316" s="560">
        <f t="shared" si="604"/>
        <v>0</v>
      </c>
      <c r="BV316" s="560"/>
      <c r="BW316" s="560">
        <f ca="1">IF(B316&gt;Summary!$A$1,#N/A,BU316*MGtoAF)</f>
        <v>0</v>
      </c>
      <c r="BX316" s="560">
        <f>Sheet1!BC318+Sheet1!BD318+Sheet1!BE318+Sheet1!BF318-CG316-CH316</f>
        <v>2.4900000000000002</v>
      </c>
      <c r="BY316" s="560">
        <f t="shared" si="605"/>
        <v>2.4966704936854192</v>
      </c>
      <c r="BZ316" s="560">
        <f>IF(Sheet1!EQ318="FM",CH316,0)</f>
        <v>0</v>
      </c>
      <c r="CA316" s="560">
        <f t="shared" si="606"/>
        <v>0</v>
      </c>
      <c r="CB316" s="560">
        <f>IF(Sheet1!EQ318="OTHER",CH316,0)</f>
        <v>0</v>
      </c>
      <c r="CC316" s="560">
        <f t="shared" si="607"/>
        <v>0</v>
      </c>
      <c r="CD316" s="560">
        <f t="shared" si="608"/>
        <v>0</v>
      </c>
      <c r="CE316" s="560">
        <f t="shared" si="609"/>
        <v>2.4900000000000002</v>
      </c>
      <c r="CF316" s="560">
        <f t="shared" si="610"/>
        <v>2.4966704936854192</v>
      </c>
      <c r="CG316" s="560">
        <f>IF(Sheet1!EQ318="CWA",SUM(Sheet1!BC318:'Sheet1'!BF318),0)</f>
        <v>0</v>
      </c>
      <c r="CH316" s="560">
        <f>IF(OR(Sheet1!EQ318="FM", Sheet1!EQ318="OTHER"),SUM(Sheet1!BC318:'Sheet1'!BF318),0)</f>
        <v>0</v>
      </c>
      <c r="CI316" s="545">
        <f>IF(AND($B316&gt;=$FV316,$B316&lt;=$FW316),MAX(CF316,Sheet1!EJ318,0),MAX(CF316-(7/36)*$K316,0))</f>
        <v>0</v>
      </c>
      <c r="CJ316" s="560">
        <f t="shared" si="611"/>
        <v>0</v>
      </c>
      <c r="CK316" s="545">
        <f t="shared" si="612"/>
        <v>2.4966704936854192</v>
      </c>
      <c r="CL316" s="545">
        <f>IF(AND($O316&gt;0,Sheet1!EN318=1),(1-($O316-Sheet1!$L318)/$O316)*CF316,0)</f>
        <v>0</v>
      </c>
      <c r="CM316" s="545">
        <f>IF(AND(Sheet1!$L318=0,Sheet1!$L317=0, Calculation!CE316&lt;Sheet1!EJ318-0.1,Sheet1!EJ318=Sheet1!EJ317,Sheet1!EJ318=Sheet1!EJ319),Sheet1!EJ318,CF316-CL316)</f>
        <v>2.4966704936854192</v>
      </c>
      <c r="CN316" s="545"/>
      <c r="CO316" s="560"/>
      <c r="CP316" s="560">
        <f t="shared" si="613"/>
        <v>0</v>
      </c>
      <c r="CQ316" s="560"/>
      <c r="CR316" s="560">
        <f ca="1">IF(B316&gt;Summary!$A$1,#N/A,CP316*MGtoAF)</f>
        <v>0</v>
      </c>
      <c r="CS316" s="560">
        <f>Sheet1!BK318+Sheet1!BL318+Sheet1!BM318-Sheet1!ER318-DA316</f>
        <v>6.74</v>
      </c>
      <c r="CT316" s="560">
        <f t="shared" si="614"/>
        <v>6.7580558744737855</v>
      </c>
      <c r="CU316" s="560">
        <f>IF(Sheet1!ER318="FM",DA316,0)</f>
        <v>0</v>
      </c>
      <c r="CV316" s="560">
        <f t="shared" si="615"/>
        <v>0</v>
      </c>
      <c r="CW316" s="560">
        <f>IF(Sheet1!ER318="OTHER",DA316,0)</f>
        <v>0</v>
      </c>
      <c r="CX316" s="560">
        <f t="shared" si="616"/>
        <v>0</v>
      </c>
      <c r="CY316" s="560">
        <f t="shared" si="617"/>
        <v>6.74</v>
      </c>
      <c r="CZ316" s="560">
        <f t="shared" si="618"/>
        <v>6.7580558744737855</v>
      </c>
      <c r="DA316" s="560">
        <f>IF(OR(Sheet1!ER318="FM", Sheet1!ER318="OTHER"),SUM(Sheet1!BK318:'Sheet1'!BM318),0)</f>
        <v>0</v>
      </c>
      <c r="DB316" s="545">
        <f>IF(AND($B316&gt;=$FV316,$B316&lt;=$FW316),MAX($CT316,Sheet1!EK318,0),MAX($CT316-(7/36)*$K316,0))</f>
        <v>0</v>
      </c>
      <c r="DC316" s="560">
        <f t="shared" si="619"/>
        <v>0</v>
      </c>
      <c r="DD316" s="545">
        <f t="shared" si="620"/>
        <v>6.7580558744737855</v>
      </c>
      <c r="DE316" s="545">
        <f>IF(AND($O316&gt;0,Sheet1!EO318=1),(1-($O316-Sheet1!$L318)/$O316)*CZ316,0)</f>
        <v>0</v>
      </c>
      <c r="DF316" s="545">
        <f>IF(AND(Sheet1!$L318=0,Sheet1!$L317=0, Calculation!CY316&lt;Sheet1!$EK318-0.1,Sheet1!$EK318=Sheet1!$EK317,Sheet1!$EK318=Sheet1!$EK319),Sheet1!$EK318,CZ316-DE316)</f>
        <v>6.7580558744737855</v>
      </c>
      <c r="DG316" s="545"/>
      <c r="DH316" s="560">
        <f t="shared" si="621"/>
        <v>9.23</v>
      </c>
      <c r="DI316" s="560">
        <f t="shared" si="622"/>
        <v>0</v>
      </c>
      <c r="DJ316" s="698">
        <f t="shared" si="623"/>
        <v>9.2547263681592042</v>
      </c>
      <c r="DK316" s="560">
        <f ca="1">IF(B316&gt;Summary!$A$1,#N/A,DI316*MGtoAF)</f>
        <v>0</v>
      </c>
      <c r="DL316" s="698">
        <f t="shared" si="624"/>
        <v>9.23</v>
      </c>
      <c r="DM316" s="560">
        <f t="shared" si="625"/>
        <v>26.13</v>
      </c>
      <c r="DN316" s="560">
        <f>Sheet1!AB318-DM316</f>
        <v>7.0000000000000284E-2</v>
      </c>
      <c r="DO316" s="560">
        <f t="shared" si="626"/>
        <v>2.6789131266743318E-3</v>
      </c>
      <c r="DP316" s="560">
        <f>(VLOOKUP(Sheet1!DC318,hhdcap_wcm,4)-(((VLOOKUP(Sheet1!DC318,hhdcap_wcm,3)-Sheet1!DC318)/(VLOOKUP(Sheet1!DC318,hhdcap_wcm,3)-VLOOKUP(Sheet1!DC318,hhdcap_wcm,1)))*(VLOOKUP(Sheet1!DC318,hhdcap_wcm,4)-VLOOKUP(Sheet1!DC318,hhdcap_wcm,2))))</f>
        <v>1717.0000000042974</v>
      </c>
      <c r="DQ316" s="560">
        <f t="shared" si="627"/>
        <v>77.000000000068212</v>
      </c>
      <c r="DR316" s="560">
        <f t="shared" si="628"/>
        <v>38.830055471542209</v>
      </c>
      <c r="DS316" s="560">
        <f>Sheet1!EA318*AFtoMG</f>
        <v>0</v>
      </c>
      <c r="DT316" s="560">
        <f>Sheet1!EB318*AFtoMG</f>
        <v>0</v>
      </c>
      <c r="DU316" s="560">
        <f>Sheet1!EC318*AFtoMG</f>
        <v>0</v>
      </c>
      <c r="DV316" s="560">
        <f>Sheet1!ED318*AFtoMG</f>
        <v>0</v>
      </c>
      <c r="DW316" s="560">
        <f t="shared" si="629"/>
        <v>0</v>
      </c>
      <c r="DX316" s="560">
        <f t="shared" si="630"/>
        <v>0</v>
      </c>
      <c r="DY316" s="560">
        <f t="shared" si="631"/>
        <v>0</v>
      </c>
      <c r="DZ316" s="560">
        <f t="shared" si="632"/>
        <v>0</v>
      </c>
      <c r="EA316" s="560"/>
      <c r="EB316" s="545">
        <f>IF(OR(B316&lt;FV316,B316&gt;FW316),(MIN(BF316+BY316+CT316+MAX(Sheet1!AA318+AQ316-73,0),K316)),0)</f>
        <v>9.2547263681592042</v>
      </c>
      <c r="EC316" s="560"/>
      <c r="ED316" s="560">
        <f t="shared" si="633"/>
        <v>9.2547263681592042</v>
      </c>
      <c r="EE316" s="560"/>
      <c r="EF316" s="560">
        <f>Sheet1!EH318+Sheet1!EI318+Sheet1!EJ318+Sheet1!EK318</f>
        <v>9</v>
      </c>
      <c r="EG316" s="560"/>
      <c r="EH316" s="545">
        <f t="shared" si="634"/>
        <v>0</v>
      </c>
      <c r="EI316" s="560">
        <f>IF(Sheet1!ET318=1,SUM('Calculations II'!AT316:BA316)+'Calculations II'!BC316+Sheet1!BV318+'Calculations II'!BE316+AP316,SUM('Calculations II'!AT316:BA316)+'Calculations II'!BC316+Sheet1!BV318+'Calculations II'!BE316+AP316)</f>
        <v>47.900896000000003</v>
      </c>
      <c r="EJ316" s="560">
        <f>Sheet1!AA318+Sheet1!AB318+'Calculations II'!BC316</f>
        <v>55.612448000000001</v>
      </c>
      <c r="EK316" s="560"/>
      <c r="EL316" s="560"/>
      <c r="EM316" s="560">
        <f t="shared" si="635"/>
        <v>41944</v>
      </c>
      <c r="EN316" s="560">
        <f t="shared" si="636"/>
        <v>0</v>
      </c>
      <c r="EO316" s="560">
        <f t="shared" si="637"/>
        <v>0</v>
      </c>
      <c r="EP316" s="560">
        <v>0</v>
      </c>
      <c r="EQ316" s="560">
        <v>0</v>
      </c>
      <c r="ER316" s="560">
        <v>0</v>
      </c>
      <c r="ES316" s="545">
        <f t="shared" si="557"/>
        <v>-4.8480246104150337</v>
      </c>
      <c r="ET316" s="560">
        <f>-(VLOOKUP(Sheet1!BQ318,Lookup!$O$4:$Q$262,2)-VLOOKUP(Sheet1!BQ317,Lookup!$O$4:$Q$262,2))/1000000</f>
        <v>-2.4931297198477833</v>
      </c>
      <c r="EU316" s="560">
        <f>-(VLOOKUP(Sheet1!BR318,Lookup!$O$4:$Q$262,3)-VLOOKUP(Sheet1!BR317,Lookup!$O$4:$Q$262,3))/1000000</f>
        <v>-2.3548948905672504</v>
      </c>
      <c r="EV316" s="560"/>
      <c r="EW316" s="560"/>
      <c r="EX316" s="560"/>
      <c r="EY316" s="560"/>
      <c r="EZ316" s="560"/>
      <c r="FA316" s="560"/>
      <c r="FB316" s="560"/>
      <c r="FC316" s="560"/>
      <c r="FD316" s="594">
        <f t="shared" si="638"/>
        <v>1091.3333333332976</v>
      </c>
      <c r="FE316" s="594" t="e">
        <f t="shared" si="639"/>
        <v>#N/A</v>
      </c>
      <c r="FF316" s="595" t="e">
        <f t="shared" si="640"/>
        <v>#N/A</v>
      </c>
      <c r="FG316" s="596" t="s">
        <v>692</v>
      </c>
      <c r="FH316" s="596" t="s">
        <v>692</v>
      </c>
      <c r="FI316" s="594" t="e">
        <v>#N/A</v>
      </c>
      <c r="FJ316" s="778">
        <v>2610</v>
      </c>
      <c r="FK316" s="560"/>
      <c r="FL316" s="560"/>
      <c r="FM316" s="560"/>
      <c r="FN316" s="560"/>
      <c r="FO316" s="560">
        <f>O316+((Sheet1!CS318)*GPMtoMGD)</f>
        <v>55.612448000000001</v>
      </c>
      <c r="FP316" s="560">
        <f>IF(Sheet1!AA318+AQ316&lt;=Calculation!N316,AQ316,Calculation!N316-Sheet1!AA318)</f>
        <v>15.942594718714123</v>
      </c>
      <c r="FQ316" s="560">
        <f>(Sheet1!BP318+Sheet1!BO318)/694.4</f>
        <v>1.6997407834101386</v>
      </c>
      <c r="FR316" s="560"/>
      <c r="FS316" s="560"/>
      <c r="FT316" s="560"/>
      <c r="FU316" s="560"/>
      <c r="FV316" s="695">
        <f t="shared" si="558"/>
        <v>41827</v>
      </c>
      <c r="FW316" s="695">
        <f t="shared" si="559"/>
        <v>41934</v>
      </c>
      <c r="FX316" s="560"/>
      <c r="FY316" s="560"/>
      <c r="FZ316" s="560"/>
      <c r="GA316" s="560"/>
      <c r="GB316" s="560" t="str">
        <f t="shared" si="560"/>
        <v>n</v>
      </c>
      <c r="GC316" s="564">
        <f t="shared" si="561"/>
        <v>41691</v>
      </c>
      <c r="GD316" s="695">
        <f t="shared" si="562"/>
        <v>41807</v>
      </c>
      <c r="GE316" s="560">
        <v>6518.9</v>
      </c>
      <c r="GF316" s="695">
        <f t="shared" si="563"/>
        <v>41808</v>
      </c>
      <c r="GG316" s="560">
        <f t="shared" si="582"/>
        <v>3259</v>
      </c>
      <c r="GH316" s="564">
        <f t="shared" si="564"/>
        <v>41934</v>
      </c>
      <c r="GJ316" s="545">
        <f t="shared" si="565"/>
        <v>0</v>
      </c>
      <c r="GK316" s="560" t="str">
        <f t="shared" si="641"/>
        <v/>
      </c>
      <c r="GL316" s="560">
        <f t="shared" si="566"/>
        <v>0</v>
      </c>
      <c r="GM316" s="560" t="str">
        <f t="shared" si="567"/>
        <v/>
      </c>
      <c r="GN316" s="560">
        <f>IF(GK316="P",Lookup!$M$12,IF(GK316="PP",Lookup!$M$13,IF(GK316="PPP",Lookup!$M$14,IF(GK316="T",Lookup!$M$15,IF(GK316="TP",Lookup!$M$16,IF(GK316="TPP",Lookup!$M$17,IF(GK316="TPPP",Lookup!$M$18,0)))))))*GJ316</f>
        <v>0</v>
      </c>
      <c r="GO316" s="560">
        <f t="shared" si="568"/>
        <v>0</v>
      </c>
      <c r="GP316" s="560">
        <f t="shared" si="642"/>
        <v>0</v>
      </c>
      <c r="GQ316" s="560">
        <f t="shared" si="576"/>
        <v>0</v>
      </c>
      <c r="GR316" s="560"/>
      <c r="GS316" s="560">
        <f t="shared" si="569"/>
        <v>0</v>
      </c>
      <c r="GT316" s="560" t="str">
        <f t="shared" si="570"/>
        <v/>
      </c>
      <c r="GU316" s="560">
        <f>IF(GK316="P",Lookup!$N$12,IF(GK316="PP",Lookup!$N$13,IF(GK316="PPP",Lookup!$N$14,IF(GK316="T",Lookup!$N$15,IF(GK316="TP",Lookup!$N$16,IF(GK316="TPP",Lookup!$N$17,IF(GK316="TPPP",Lookup!$N$18,0)))))))*GJ316</f>
        <v>0</v>
      </c>
      <c r="GV316" s="560">
        <f t="shared" si="571"/>
        <v>0</v>
      </c>
      <c r="GW316" s="560">
        <f t="shared" si="643"/>
        <v>0</v>
      </c>
      <c r="GX316" s="560">
        <f t="shared" si="577"/>
        <v>0</v>
      </c>
      <c r="GY316" s="560"/>
      <c r="GZ316" s="560">
        <f t="shared" si="572"/>
        <v>0</v>
      </c>
      <c r="HA316" s="560" t="str">
        <f t="shared" si="573"/>
        <v/>
      </c>
      <c r="HB316" s="560">
        <f>IF(GK316="P",Lookup!$N$12,IF(GK316="PP",Lookup!$N$13,IF(GK316="PPP",Lookup!$N$14,IF(GK316="T",Lookup!$N$15,IF(GK316="TP",Lookup!$N$16,IF(GK316="TPP",Lookup!$N$17,IF(GK316="TPPP",Lookup!$N$18,0)))))))*GJ316</f>
        <v>0</v>
      </c>
      <c r="HC316" s="545">
        <f t="shared" si="644"/>
        <v>0</v>
      </c>
      <c r="HD316" s="560">
        <f t="shared" si="645"/>
        <v>0</v>
      </c>
      <c r="HE316" s="560">
        <f t="shared" si="578"/>
        <v>0</v>
      </c>
      <c r="HF316" s="560"/>
      <c r="HG316" s="560">
        <f t="shared" si="574"/>
        <v>0</v>
      </c>
      <c r="HH316" s="560" t="str">
        <f t="shared" si="575"/>
        <v/>
      </c>
      <c r="HI316" s="560">
        <f>IF(GK316="P",Lookup!$N$12,IF(GK316="PP",Lookup!$N$13,IF(GK316="PPP",Lookup!$N$14,IF(GK316="T",Lookup!$N$15,IF(GK316="TP",Lookup!$N$16,IF(GK316="TPP",Lookup!$N$17,IF(GK316="TPPP",Lookup!$N$18,0)))))))*GJ316</f>
        <v>0</v>
      </c>
      <c r="HJ316" s="545">
        <f t="shared" si="646"/>
        <v>0</v>
      </c>
      <c r="HK316" s="560">
        <f t="shared" si="647"/>
        <v>0</v>
      </c>
      <c r="HL316" s="560">
        <f t="shared" si="579"/>
        <v>0</v>
      </c>
    </row>
    <row r="317" spans="1:220">
      <c r="A317" s="580" t="s">
        <v>3</v>
      </c>
      <c r="B317" s="556">
        <v>41945</v>
      </c>
      <c r="C317" s="561">
        <v>0</v>
      </c>
      <c r="D317" s="529">
        <f t="shared" si="580"/>
        <v>300</v>
      </c>
      <c r="E317" s="529">
        <f t="shared" si="581"/>
        <v>250</v>
      </c>
      <c r="F317" s="529">
        <v>250</v>
      </c>
      <c r="G317" s="560">
        <f>DR317+Sheet1!CZ319</f>
        <v>862.32980332803368</v>
      </c>
      <c r="H317" s="914">
        <f t="shared" si="546"/>
        <v>290.44678487124094</v>
      </c>
      <c r="I317" s="559">
        <f>MAX(Sheet1!Z319-AT317+(Sheet1!DA319-E317)*CFStoMGD,0)</f>
        <v>756.63200000000006</v>
      </c>
      <c r="J317" s="562">
        <f>IF(AND(B317&gt;=Calculation!GC317,B317&lt;=Calculation!GD317),IF(Sheet1!DB319&gt;=Calculation!D317,64.64,0),MAX(Sheet1!Z319-AT317+(Sheet1!DB319-D317)*CFStoMGD,0))</f>
        <v>409.51519999999999</v>
      </c>
      <c r="K317" s="904">
        <f t="shared" si="583"/>
        <v>64.64</v>
      </c>
      <c r="L317" s="560">
        <f>Sheet1!AA319+Sheet1!AB319-Sheet1!L319+(Sheet1!DA319-F317)*CFStoMGD</f>
        <v>782.63200000000006</v>
      </c>
      <c r="M317" s="560">
        <f t="shared" si="584"/>
        <v>568.55818456866587</v>
      </c>
      <c r="N317" s="910">
        <f>IF(Sheet1!DA319&gt;=F317,MIN(73,MIN(MAX(L317,0),MAX(M317,0))),0)</f>
        <v>73</v>
      </c>
      <c r="O317" s="563">
        <f>Sheet1!AA319+Sheet1!AB319</f>
        <v>52.2</v>
      </c>
      <c r="P317" s="563">
        <f t="shared" si="585"/>
        <v>80.753399999999999</v>
      </c>
      <c r="Q317" s="898">
        <f t="shared" si="547"/>
        <v>0</v>
      </c>
      <c r="R317" s="829">
        <f t="shared" si="586"/>
        <v>9.6307385229540916</v>
      </c>
      <c r="S317" s="898">
        <f t="shared" si="548"/>
        <v>52.2</v>
      </c>
      <c r="T317" s="898">
        <f t="shared" si="549"/>
        <v>0</v>
      </c>
      <c r="U317" s="898">
        <f t="shared" si="550"/>
        <v>0</v>
      </c>
      <c r="V317" s="898"/>
      <c r="W317" s="898">
        <f t="shared" si="551"/>
        <v>55.009261477045911</v>
      </c>
      <c r="X317" s="898">
        <f t="shared" si="552"/>
        <v>52.2</v>
      </c>
      <c r="Y317" s="898" t="str">
        <f t="shared" si="553"/>
        <v/>
      </c>
      <c r="Z317" s="898">
        <f t="shared" si="554"/>
        <v>52.2</v>
      </c>
      <c r="AA317" s="898">
        <f t="shared" si="555"/>
        <v>52.2</v>
      </c>
      <c r="AB317" s="898" t="str">
        <f t="shared" si="556"/>
        <v/>
      </c>
      <c r="AC317" s="563">
        <f>Sheet1!Y319*MGDtoCFS</f>
        <v>34.498100000000001</v>
      </c>
      <c r="AD317" s="563">
        <f>Sheet1!Z319*MGDtoCFS</f>
        <v>40.531399999999998</v>
      </c>
      <c r="AE317" s="563">
        <f>Sheet1!AA319*MGDtoCFS</f>
        <v>34.343399999999995</v>
      </c>
      <c r="AF317" s="563">
        <f>Sheet1!AB319*MGDtoCFS</f>
        <v>46.41</v>
      </c>
      <c r="AG317" s="563">
        <f>Sheet1!L319*MGDtoCFS</f>
        <v>0</v>
      </c>
      <c r="AH317" s="545">
        <f t="shared" si="587"/>
        <v>0</v>
      </c>
      <c r="AI317" s="560">
        <f t="shared" si="588"/>
        <v>0</v>
      </c>
      <c r="AJ317" s="560">
        <f t="shared" si="589"/>
        <v>0</v>
      </c>
      <c r="AK317" s="560">
        <f t="shared" si="590"/>
        <v>0</v>
      </c>
      <c r="AL317" s="560">
        <f>(VLOOKUP(Sheet1!DC319,hhdcap_wcm,4)-(((VLOOKUP(Sheet1!DC319,hhdcap_wcm,3)-Sheet1!DC319)/(VLOOKUP(Sheet1!DC319,hhdcap_wcm,3)-VLOOKUP(Sheet1!DC319,hhdcap_wcm,1)))*(VLOOKUP(Sheet1!DC319,hhdcap_wcm,4)-VLOOKUP(Sheet1!DC319,hhdcap_wcm,2))))</f>
        <v>1444.000000003788</v>
      </c>
      <c r="AM317" s="560">
        <f t="shared" si="591"/>
        <v>-273.00000000050932</v>
      </c>
      <c r="AN317" s="560">
        <f t="shared" si="592"/>
        <v>0</v>
      </c>
      <c r="AO317" s="560">
        <f t="shared" si="593"/>
        <v>0</v>
      </c>
      <c r="AP317" s="560">
        <f>Sheet1!BA319+Sheet1!BB319+Sheet1!BN319+CD317</f>
        <v>20.41</v>
      </c>
      <c r="AQ317" s="560">
        <f>Sheet1!BN319+(DO317*Sheet1!BN319)</f>
        <v>19.361277445109778</v>
      </c>
      <c r="AR317" s="560">
        <f>Sheet1!BA319+CD317</f>
        <v>0</v>
      </c>
      <c r="AS317" s="560">
        <f>Sheet1!BA319+Sheet1!BB319+CD317</f>
        <v>1.01</v>
      </c>
      <c r="AT317" s="698">
        <f>0</f>
        <v>0</v>
      </c>
      <c r="AU317" s="560">
        <f>IF(EB317&lt;K317,0,MAX(Sheet1!AA319+AQ317-15/36*K317-N317,Sheet1!EH319,0))</f>
        <v>0</v>
      </c>
      <c r="AV317" s="560">
        <f>IF(OR(B317&gt;=GD317,B317&lt;GC317),0,15/36*K317-MAX(0,64.6-(137.6-(Sheet1!AA319+Sheet1!AB319))))</f>
        <v>0</v>
      </c>
      <c r="AW317" s="698">
        <f>Sheet1!DB319-110</f>
        <v>783</v>
      </c>
      <c r="AX317" s="698">
        <f>Sheet1!DA319-265</f>
        <v>1115</v>
      </c>
      <c r="AY317" s="698">
        <f t="shared" si="594"/>
        <v>73</v>
      </c>
      <c r="AZ317" s="698">
        <v>0</v>
      </c>
      <c r="BA317" s="698">
        <f t="shared" si="595"/>
        <v>0</v>
      </c>
      <c r="BB317" s="560">
        <f t="shared" si="596"/>
        <v>0</v>
      </c>
      <c r="BC317" s="560"/>
      <c r="BD317" s="560">
        <f ca="1">IF(B317&gt;Summary!$A$1,#N/A,BB317*MGtoAF)</f>
        <v>0</v>
      </c>
      <c r="BE317" s="560">
        <f>Sheet1!BG319+Sheet1!BH319+Sheet1!BI319-BM317</f>
        <v>0</v>
      </c>
      <c r="BF317" s="560">
        <f t="shared" si="597"/>
        <v>0</v>
      </c>
      <c r="BG317" s="560">
        <f>IF(Sheet1!EP319="FM",BM317,0)</f>
        <v>0</v>
      </c>
      <c r="BH317" s="560">
        <f t="shared" si="598"/>
        <v>0</v>
      </c>
      <c r="BI317" s="560">
        <f>IF(Sheet1!EP319="OTHER",BM317,0)</f>
        <v>0</v>
      </c>
      <c r="BJ317" s="560">
        <f t="shared" si="599"/>
        <v>0</v>
      </c>
      <c r="BK317" s="560">
        <f t="shared" si="600"/>
        <v>0</v>
      </c>
      <c r="BL317" s="560">
        <f t="shared" si="601"/>
        <v>0</v>
      </c>
      <c r="BM317" s="560">
        <f>IF(OR(Sheet1!EP319="FM", Sheet1!EP319="OTHER"),SUM(Sheet1!BG319:'Sheet1'!BI319),0)</f>
        <v>0</v>
      </c>
      <c r="BN317" s="545">
        <f>IF(AND($B317&gt;=$FV317,$B317&lt;=$FW317),MAX(BF317,Sheet1!EI319,0),MAX(BF317-(7/36)*$K317,0))</f>
        <v>0</v>
      </c>
      <c r="BO317" s="560">
        <f t="shared" si="602"/>
        <v>0</v>
      </c>
      <c r="BP317" s="545">
        <f t="shared" si="603"/>
        <v>0</v>
      </c>
      <c r="BQ317" s="545">
        <f>IF(AND($O317&gt;0,Sheet1!EM319=1),(1-($O317-Sheet1!$L319)/$O317)*BL317,0)</f>
        <v>0</v>
      </c>
      <c r="BR317" s="545">
        <f>IF(AND(Sheet1!$L319=0,Sheet1!$L318=0, Calculation!BK317&lt;Sheet1!$EI319-0.1,Sheet1!$EI319=Sheet1!$EI318,Sheet1!$EI319=Sheet1!$EI320),Sheet1!$EI319,BL317-BQ317)</f>
        <v>0</v>
      </c>
      <c r="BS317" s="560"/>
      <c r="BT317" s="560"/>
      <c r="BU317" s="560">
        <f t="shared" si="604"/>
        <v>0</v>
      </c>
      <c r="BV317" s="560"/>
      <c r="BW317" s="560">
        <f ca="1">IF(B317&gt;Summary!$A$1,#N/A,BU317*MGtoAF)</f>
        <v>0</v>
      </c>
      <c r="BX317" s="560">
        <f>Sheet1!BC319+Sheet1!BD319+Sheet1!BE319+Sheet1!BF319-CG317-CH317</f>
        <v>2.6</v>
      </c>
      <c r="BY317" s="560">
        <f t="shared" si="605"/>
        <v>2.5948103792415167</v>
      </c>
      <c r="BZ317" s="560">
        <f>IF(Sheet1!EQ319="FM",CH317,0)</f>
        <v>0</v>
      </c>
      <c r="CA317" s="560">
        <f t="shared" si="606"/>
        <v>0</v>
      </c>
      <c r="CB317" s="560">
        <f>IF(Sheet1!EQ319="OTHER",CH317,0)</f>
        <v>0</v>
      </c>
      <c r="CC317" s="560">
        <f t="shared" si="607"/>
        <v>0</v>
      </c>
      <c r="CD317" s="560">
        <f t="shared" si="608"/>
        <v>0</v>
      </c>
      <c r="CE317" s="560">
        <f t="shared" si="609"/>
        <v>2.6</v>
      </c>
      <c r="CF317" s="560">
        <f t="shared" si="610"/>
        <v>2.5948103792415167</v>
      </c>
      <c r="CG317" s="560">
        <f>IF(Sheet1!EQ319="CWA",SUM(Sheet1!BC319:'Sheet1'!BF319),0)</f>
        <v>0</v>
      </c>
      <c r="CH317" s="560">
        <f>IF(OR(Sheet1!EQ319="FM", Sheet1!EQ319="OTHER"),SUM(Sheet1!BC319:'Sheet1'!BF319),0)</f>
        <v>0</v>
      </c>
      <c r="CI317" s="545">
        <f>IF(AND($B317&gt;=$FV317,$B317&lt;=$FW317),MAX(CF317,Sheet1!EJ319,0),MAX(CF317-(7/36)*$K317,0))</f>
        <v>0</v>
      </c>
      <c r="CJ317" s="560">
        <f t="shared" si="611"/>
        <v>0</v>
      </c>
      <c r="CK317" s="545">
        <f t="shared" si="612"/>
        <v>2.5948103792415167</v>
      </c>
      <c r="CL317" s="545">
        <f>IF(AND($O317&gt;0,Sheet1!EN319=1),(1-($O317-Sheet1!$L319)/$O317)*CF317,0)</f>
        <v>0</v>
      </c>
      <c r="CM317" s="545">
        <f>IF(AND(Sheet1!$L319=0,Sheet1!$L318=0, Calculation!CE317&lt;Sheet1!EJ319-0.1,Sheet1!EJ319=Sheet1!EJ318,Sheet1!EJ319=Sheet1!EJ320),Sheet1!EJ319,CF317-CL317)</f>
        <v>2.5948103792415167</v>
      </c>
      <c r="CN317" s="545"/>
      <c r="CO317" s="560"/>
      <c r="CP317" s="560">
        <f t="shared" si="613"/>
        <v>0</v>
      </c>
      <c r="CQ317" s="560"/>
      <c r="CR317" s="560">
        <f ca="1">IF(B317&gt;Summary!$A$1,#N/A,CP317*MGtoAF)</f>
        <v>0</v>
      </c>
      <c r="CS317" s="560">
        <f>Sheet1!BK319+Sheet1!BL319+Sheet1!BM319-Sheet1!ER319-DA317</f>
        <v>7.05</v>
      </c>
      <c r="CT317" s="560">
        <f t="shared" si="614"/>
        <v>7.0359281437125745</v>
      </c>
      <c r="CU317" s="560">
        <f>IF(Sheet1!ER319="FM",DA317,0)</f>
        <v>0</v>
      </c>
      <c r="CV317" s="560">
        <f t="shared" si="615"/>
        <v>0</v>
      </c>
      <c r="CW317" s="560">
        <f>IF(Sheet1!ER319="OTHER",DA317,0)</f>
        <v>0</v>
      </c>
      <c r="CX317" s="560">
        <f t="shared" si="616"/>
        <v>0</v>
      </c>
      <c r="CY317" s="560">
        <f t="shared" si="617"/>
        <v>7.05</v>
      </c>
      <c r="CZ317" s="560">
        <f t="shared" si="618"/>
        <v>7.0359281437125745</v>
      </c>
      <c r="DA317" s="560">
        <f>IF(OR(Sheet1!ER319="FM", Sheet1!ER319="OTHER"),SUM(Sheet1!BK319:'Sheet1'!BM319),0)</f>
        <v>0</v>
      </c>
      <c r="DB317" s="545">
        <f>IF(AND($B317&gt;=$FV317,$B317&lt;=$FW317),MAX($CT317,Sheet1!EK319,0),MAX($CT317-(7/36)*$K317,0))</f>
        <v>0</v>
      </c>
      <c r="DC317" s="560">
        <f t="shared" si="619"/>
        <v>0</v>
      </c>
      <c r="DD317" s="545">
        <f t="shared" si="620"/>
        <v>7.0359281437125745</v>
      </c>
      <c r="DE317" s="545">
        <f>IF(AND($O317&gt;0,Sheet1!EO319=1),(1-($O317-Sheet1!$L319)/$O317)*CZ317,0)</f>
        <v>0</v>
      </c>
      <c r="DF317" s="545">
        <f>IF(AND(Sheet1!$L319=0,Sheet1!$L318=0, Calculation!CY317&lt;Sheet1!$EK319-0.1,Sheet1!$EK319=Sheet1!$EK318,Sheet1!$EK319=Sheet1!$EK320),Sheet1!$EK319,CZ317-DE317)</f>
        <v>7.0359281437125745</v>
      </c>
      <c r="DG317" s="545"/>
      <c r="DH317" s="560">
        <f t="shared" si="621"/>
        <v>9.65</v>
      </c>
      <c r="DI317" s="560">
        <f t="shared" si="622"/>
        <v>0</v>
      </c>
      <c r="DJ317" s="698">
        <f t="shared" si="623"/>
        <v>9.6307385229540916</v>
      </c>
      <c r="DK317" s="560">
        <f ca="1">IF(B317&gt;Summary!$A$1,#N/A,DI317*MGtoAF)</f>
        <v>0</v>
      </c>
      <c r="DL317" s="698">
        <f t="shared" si="624"/>
        <v>9.65</v>
      </c>
      <c r="DM317" s="560">
        <f t="shared" si="625"/>
        <v>30.060000000000002</v>
      </c>
      <c r="DN317" s="560">
        <f>Sheet1!AB319-DM317</f>
        <v>-6.0000000000002274E-2</v>
      </c>
      <c r="DO317" s="560">
        <f t="shared" si="626"/>
        <v>-1.9960079840320114E-3</v>
      </c>
      <c r="DP317" s="560">
        <f>(VLOOKUP(Sheet1!DC319,hhdcap_wcm,4)-(((VLOOKUP(Sheet1!DC319,hhdcap_wcm,3)-Sheet1!DC319)/(VLOOKUP(Sheet1!DC319,hhdcap_wcm,3)-VLOOKUP(Sheet1!DC319,hhdcap_wcm,1)))*(VLOOKUP(Sheet1!DC319,hhdcap_wcm,4)-VLOOKUP(Sheet1!DC319,hhdcap_wcm,2))))</f>
        <v>1444.000000003788</v>
      </c>
      <c r="DQ317" s="560">
        <f t="shared" si="627"/>
        <v>-273.00000000050932</v>
      </c>
      <c r="DR317" s="560">
        <f t="shared" si="628"/>
        <v>-137.67019667196635</v>
      </c>
      <c r="DS317" s="560">
        <f>Sheet1!EA319*AFtoMG</f>
        <v>0</v>
      </c>
      <c r="DT317" s="560">
        <f>Sheet1!EB319*AFtoMG</f>
        <v>0</v>
      </c>
      <c r="DU317" s="560">
        <f>Sheet1!EC319*AFtoMG</f>
        <v>0</v>
      </c>
      <c r="DV317" s="560">
        <f>Sheet1!ED319*AFtoMG</f>
        <v>0</v>
      </c>
      <c r="DW317" s="560">
        <f t="shared" si="629"/>
        <v>0</v>
      </c>
      <c r="DX317" s="560">
        <f t="shared" si="630"/>
        <v>0</v>
      </c>
      <c r="DY317" s="560">
        <f t="shared" si="631"/>
        <v>0</v>
      </c>
      <c r="DZ317" s="560">
        <f t="shared" si="632"/>
        <v>0</v>
      </c>
      <c r="EA317" s="560"/>
      <c r="EB317" s="545">
        <f>IF(OR(B317&lt;FV317,B317&gt;FW317),(MIN(BF317+BY317+CT317+MAX(Sheet1!AA319+AQ317-73,0),K317)),0)</f>
        <v>9.6307385229540916</v>
      </c>
      <c r="EC317" s="560"/>
      <c r="ED317" s="560">
        <f t="shared" si="633"/>
        <v>9.6307385229540916</v>
      </c>
      <c r="EE317" s="560"/>
      <c r="EF317" s="560">
        <f>Sheet1!EH319+Sheet1!EI319+Sheet1!EJ319+Sheet1!EK319</f>
        <v>9</v>
      </c>
      <c r="EG317" s="560"/>
      <c r="EH317" s="545">
        <f t="shared" si="634"/>
        <v>0</v>
      </c>
      <c r="EI317" s="560">
        <f>IF(Sheet1!ET319=1,SUM('Calculations II'!AT317:BA317)+'Calculations II'!BC317+Sheet1!BV319+'Calculations II'!BE317+AP317,SUM('Calculations II'!AT317:BA317)+'Calculations II'!BC317+Sheet1!BV319+'Calculations II'!BE317+AP317)</f>
        <v>50.373392000000003</v>
      </c>
      <c r="EJ317" s="560">
        <f>Sheet1!AA319+Sheet1!AB319+'Calculations II'!BC317</f>
        <v>52.2</v>
      </c>
      <c r="EK317" s="560"/>
      <c r="EL317" s="560"/>
      <c r="EM317" s="560">
        <f t="shared" si="635"/>
        <v>41945</v>
      </c>
      <c r="EN317" s="560">
        <f t="shared" si="636"/>
        <v>0</v>
      </c>
      <c r="EO317" s="560">
        <f t="shared" si="637"/>
        <v>0</v>
      </c>
      <c r="EP317" s="560">
        <v>0</v>
      </c>
      <c r="EQ317" s="560">
        <v>0</v>
      </c>
      <c r="ER317" s="560">
        <v>0</v>
      </c>
      <c r="ES317" s="545">
        <f t="shared" si="557"/>
        <v>1.5240823853546865</v>
      </c>
      <c r="ET317" s="560">
        <f>-(VLOOKUP(Sheet1!BQ319,Lookup!$O$4:$Q$262,2)-VLOOKUP(Sheet1!BQ318,Lookup!$O$4:$Q$262,2))/1000000</f>
        <v>0.83127396138395371</v>
      </c>
      <c r="EU317" s="560">
        <f>-(VLOOKUP(Sheet1!BR319,Lookup!$O$4:$Q$262,3)-VLOOKUP(Sheet1!BR318,Lookup!$O$4:$Q$262,3))/1000000</f>
        <v>0.69280842397073283</v>
      </c>
      <c r="EV317" s="560"/>
      <c r="EW317" s="560"/>
      <c r="EX317" s="560"/>
      <c r="EY317" s="560"/>
      <c r="EZ317" s="560"/>
      <c r="FA317" s="560"/>
      <c r="FB317" s="560"/>
      <c r="FC317" s="560"/>
      <c r="FD317" s="594">
        <f t="shared" si="638"/>
        <v>1090.3099999999652</v>
      </c>
      <c r="FE317" s="594" t="e">
        <f t="shared" si="639"/>
        <v>#N/A</v>
      </c>
      <c r="FF317" s="595" t="e">
        <f t="shared" si="640"/>
        <v>#N/A</v>
      </c>
      <c r="FG317" s="596" t="s">
        <v>692</v>
      </c>
      <c r="FH317" s="596" t="s">
        <v>692</v>
      </c>
      <c r="FI317" s="594" t="e">
        <v>#N/A</v>
      </c>
      <c r="FJ317" s="778">
        <v>2520</v>
      </c>
      <c r="FK317" s="560"/>
      <c r="FL317" s="560"/>
      <c r="FM317" s="560"/>
      <c r="FN317" s="560"/>
      <c r="FO317" s="560">
        <f>O317+((Sheet1!CS319)*GPMtoMGD)</f>
        <v>52.2</v>
      </c>
      <c r="FP317" s="560">
        <f>IF(Sheet1!AA319+AQ317&lt;=Calculation!N317,AQ317,Calculation!N317-Sheet1!AA319)</f>
        <v>19.361277445109778</v>
      </c>
      <c r="FQ317" s="560">
        <f>(Sheet1!BP319+Sheet1!BO319)/694.4</f>
        <v>0.4919354838709678</v>
      </c>
      <c r="FR317" s="560"/>
      <c r="FS317" s="560"/>
      <c r="FT317" s="560"/>
      <c r="FU317" s="560"/>
      <c r="FV317" s="695">
        <f t="shared" si="558"/>
        <v>41827</v>
      </c>
      <c r="FW317" s="695">
        <f t="shared" si="559"/>
        <v>41934</v>
      </c>
      <c r="FX317" s="560"/>
      <c r="FY317" s="560"/>
      <c r="FZ317" s="560"/>
      <c r="GA317" s="560"/>
      <c r="GB317" s="560" t="str">
        <f t="shared" si="560"/>
        <v>n</v>
      </c>
      <c r="GC317" s="564">
        <f t="shared" si="561"/>
        <v>41691</v>
      </c>
      <c r="GD317" s="695">
        <f t="shared" si="562"/>
        <v>41807</v>
      </c>
      <c r="GE317" s="560">
        <v>6518.9</v>
      </c>
      <c r="GF317" s="695">
        <f t="shared" si="563"/>
        <v>41808</v>
      </c>
      <c r="GG317" s="560">
        <f t="shared" si="582"/>
        <v>3259</v>
      </c>
      <c r="GH317" s="564">
        <f t="shared" si="564"/>
        <v>41934</v>
      </c>
      <c r="GJ317" s="545">
        <f t="shared" si="565"/>
        <v>0</v>
      </c>
      <c r="GK317" s="560" t="str">
        <f t="shared" si="641"/>
        <v/>
      </c>
      <c r="GL317" s="560">
        <f t="shared" si="566"/>
        <v>0</v>
      </c>
      <c r="GM317" s="560" t="str">
        <f t="shared" si="567"/>
        <v/>
      </c>
      <c r="GN317" s="560">
        <f>IF(GK317="P",Lookup!$M$12,IF(GK317="PP",Lookup!$M$13,IF(GK317="PPP",Lookup!$M$14,IF(GK317="T",Lookup!$M$15,IF(GK317="TP",Lookup!$M$16,IF(GK317="TPP",Lookup!$M$17,IF(GK317="TPPP",Lookup!$M$18,0)))))))*GJ317</f>
        <v>0</v>
      </c>
      <c r="GO317" s="560">
        <f t="shared" si="568"/>
        <v>0</v>
      </c>
      <c r="GP317" s="560">
        <f t="shared" si="642"/>
        <v>0</v>
      </c>
      <c r="GQ317" s="560">
        <f t="shared" si="576"/>
        <v>0</v>
      </c>
      <c r="GR317" s="560"/>
      <c r="GS317" s="560">
        <f t="shared" si="569"/>
        <v>0</v>
      </c>
      <c r="GT317" s="560" t="str">
        <f t="shared" si="570"/>
        <v/>
      </c>
      <c r="GU317" s="560">
        <f>IF(GK317="P",Lookup!$N$12,IF(GK317="PP",Lookup!$N$13,IF(GK317="PPP",Lookup!$N$14,IF(GK317="T",Lookup!$N$15,IF(GK317="TP",Lookup!$N$16,IF(GK317="TPP",Lookup!$N$17,IF(GK317="TPPP",Lookup!$N$18,0)))))))*GJ317</f>
        <v>0</v>
      </c>
      <c r="GV317" s="560">
        <f t="shared" si="571"/>
        <v>0</v>
      </c>
      <c r="GW317" s="560">
        <f t="shared" si="643"/>
        <v>0</v>
      </c>
      <c r="GX317" s="560">
        <f t="shared" si="577"/>
        <v>0</v>
      </c>
      <c r="GY317" s="560"/>
      <c r="GZ317" s="560">
        <f t="shared" si="572"/>
        <v>0</v>
      </c>
      <c r="HA317" s="560" t="str">
        <f t="shared" si="573"/>
        <v/>
      </c>
      <c r="HB317" s="560">
        <f>IF(GK317="P",Lookup!$N$12,IF(GK317="PP",Lookup!$N$13,IF(GK317="PPP",Lookup!$N$14,IF(GK317="T",Lookup!$N$15,IF(GK317="TP",Lookup!$N$16,IF(GK317="TPP",Lookup!$N$17,IF(GK317="TPPP",Lookup!$N$18,0)))))))*GJ317</f>
        <v>0</v>
      </c>
      <c r="HC317" s="545">
        <f t="shared" si="644"/>
        <v>0</v>
      </c>
      <c r="HD317" s="560">
        <f t="shared" si="645"/>
        <v>0</v>
      </c>
      <c r="HE317" s="560">
        <f t="shared" si="578"/>
        <v>0</v>
      </c>
      <c r="HF317" s="560"/>
      <c r="HG317" s="560">
        <f t="shared" si="574"/>
        <v>0</v>
      </c>
      <c r="HH317" s="560" t="str">
        <f t="shared" si="575"/>
        <v/>
      </c>
      <c r="HI317" s="560">
        <f>IF(GK317="P",Lookup!$N$12,IF(GK317="PP",Lookup!$N$13,IF(GK317="PPP",Lookup!$N$14,IF(GK317="T",Lookup!$N$15,IF(GK317="TP",Lookup!$N$16,IF(GK317="TPP",Lookup!$N$17,IF(GK317="TPPP",Lookup!$N$18,0)))))))*GJ317</f>
        <v>0</v>
      </c>
      <c r="HJ317" s="545">
        <f t="shared" si="646"/>
        <v>0</v>
      </c>
      <c r="HK317" s="560">
        <f t="shared" si="647"/>
        <v>0</v>
      </c>
      <c r="HL317" s="560">
        <f t="shared" si="579"/>
        <v>0</v>
      </c>
    </row>
    <row r="318" spans="1:220">
      <c r="A318" s="580" t="s">
        <v>4</v>
      </c>
      <c r="B318" s="556">
        <v>41946</v>
      </c>
      <c r="C318" s="561">
        <v>0</v>
      </c>
      <c r="D318" s="529">
        <f t="shared" si="580"/>
        <v>300</v>
      </c>
      <c r="E318" s="529">
        <f t="shared" si="581"/>
        <v>250</v>
      </c>
      <c r="F318" s="529">
        <v>250</v>
      </c>
      <c r="G318" s="560">
        <f>DR318+Sheet1!CZ320</f>
        <v>1332.1936459910937</v>
      </c>
      <c r="H318" s="914">
        <f t="shared" si="546"/>
        <v>594.166772768643</v>
      </c>
      <c r="I318" s="559">
        <f>MAX(Sheet1!Z320-AT318+(Sheet1!DA320-E318)*CFStoMGD,0)</f>
        <v>973.74399999999991</v>
      </c>
      <c r="J318" s="562">
        <f>IF(AND(B318&gt;=Calculation!GC318,B318&lt;=Calculation!GD318),IF(Sheet1!DB320&gt;=Calculation!D318,64.64,0),MAX(Sheet1!Z320-AT318+(Sheet1!DB320-D318)*CFStoMGD,0))</f>
        <v>598.83199999999999</v>
      </c>
      <c r="K318" s="904">
        <f t="shared" si="583"/>
        <v>64.64</v>
      </c>
      <c r="L318" s="560">
        <f>Sheet1!AA320+Sheet1!AB320-Sheet1!L320+(Sheet1!DA320-F318)*CFStoMGD</f>
        <v>995.52400000000091</v>
      </c>
      <c r="M318" s="560">
        <f t="shared" si="584"/>
        <v>878.35257222401583</v>
      </c>
      <c r="N318" s="910">
        <f>IF(Sheet1!DA320&gt;=F318,MIN(73,MIN(MAX(L318,0),MAX(M318,0))),0)</f>
        <v>73</v>
      </c>
      <c r="O318" s="563">
        <f>Sheet1!AA320+Sheet1!AB320</f>
        <v>52.15</v>
      </c>
      <c r="P318" s="563">
        <f t="shared" si="585"/>
        <v>80.676049999999989</v>
      </c>
      <c r="Q318" s="898">
        <f t="shared" si="547"/>
        <v>0</v>
      </c>
      <c r="R318" s="829">
        <f t="shared" si="586"/>
        <v>9.4610663983903418</v>
      </c>
      <c r="S318" s="898">
        <f t="shared" si="548"/>
        <v>52.15</v>
      </c>
      <c r="T318" s="898">
        <f t="shared" si="549"/>
        <v>0</v>
      </c>
      <c r="U318" s="898">
        <f t="shared" si="550"/>
        <v>0</v>
      </c>
      <c r="V318" s="898"/>
      <c r="W318" s="898">
        <f t="shared" si="551"/>
        <v>55.178933601609657</v>
      </c>
      <c r="X318" s="898">
        <f t="shared" si="552"/>
        <v>52.15</v>
      </c>
      <c r="Y318" s="898" t="str">
        <f t="shared" si="553"/>
        <v/>
      </c>
      <c r="Z318" s="898">
        <f t="shared" si="554"/>
        <v>52.15</v>
      </c>
      <c r="AA318" s="898">
        <f t="shared" si="555"/>
        <v>52.15</v>
      </c>
      <c r="AB318" s="898" t="str">
        <f t="shared" si="556"/>
        <v/>
      </c>
      <c r="AC318" s="563">
        <f>Sheet1!Y320*MGDtoCFS</f>
        <v>34.343399999999995</v>
      </c>
      <c r="AD318" s="563">
        <f>Sheet1!Z320*MGDtoCFS</f>
        <v>46.41</v>
      </c>
      <c r="AE318" s="563">
        <f>Sheet1!AA320*MGDtoCFS</f>
        <v>34.343399999999995</v>
      </c>
      <c r="AF318" s="563">
        <f>Sheet1!AB320*MGDtoCFS</f>
        <v>46.332649999999994</v>
      </c>
      <c r="AG318" s="563">
        <f>Sheet1!L320*MGDtoCFS</f>
        <v>0.5723899999984241</v>
      </c>
      <c r="AH318" s="545">
        <f t="shared" si="587"/>
        <v>0</v>
      </c>
      <c r="AI318" s="560">
        <f t="shared" si="588"/>
        <v>0</v>
      </c>
      <c r="AJ318" s="560">
        <f t="shared" si="589"/>
        <v>0</v>
      </c>
      <c r="AK318" s="560">
        <f t="shared" si="590"/>
        <v>0</v>
      </c>
      <c r="AL318" s="560">
        <f>(VLOOKUP(Sheet1!DC320,hhdcap_wcm,4)-(((VLOOKUP(Sheet1!DC320,hhdcap_wcm,3)-Sheet1!DC320)/(VLOOKUP(Sheet1!DC320,hhdcap_wcm,3)-VLOOKUP(Sheet1!DC320,hhdcap_wcm,1)))*(VLOOKUP(Sheet1!DC320,hhdcap_wcm,4)-VLOOKUP(Sheet1!DC320,hhdcap_wcm,2))))</f>
        <v>1547.5000000041268</v>
      </c>
      <c r="AM318" s="560">
        <f t="shared" si="591"/>
        <v>103.50000000033879</v>
      </c>
      <c r="AN318" s="560">
        <f t="shared" si="592"/>
        <v>0</v>
      </c>
      <c r="AO318" s="560">
        <f t="shared" si="593"/>
        <v>0</v>
      </c>
      <c r="AP318" s="560">
        <f>Sheet1!BA320+Sheet1!BB320+Sheet1!BN320+CD318</f>
        <v>20.399999999999999</v>
      </c>
      <c r="AQ318" s="560">
        <f>Sheet1!BN320+(DO318*Sheet1!BN320)</f>
        <v>19.484574111334673</v>
      </c>
      <c r="AR318" s="560">
        <f>Sheet1!BA320+CD318</f>
        <v>0</v>
      </c>
      <c r="AS318" s="560">
        <f>Sheet1!BA320+Sheet1!BB320+CD318</f>
        <v>1</v>
      </c>
      <c r="AT318" s="698">
        <f>0</f>
        <v>0</v>
      </c>
      <c r="AU318" s="560">
        <f>IF(EB318&lt;K318,0,MAX(Sheet1!AA320+AQ318-15/36*K318-N318,Sheet1!EH320,0))</f>
        <v>0</v>
      </c>
      <c r="AV318" s="560">
        <f>IF(OR(B318&gt;=GD318,B318&lt;GC318),0,15/36*K318-MAX(0,64.6-(137.6-(Sheet1!AA320+Sheet1!AB320))))</f>
        <v>0</v>
      </c>
      <c r="AW318" s="698">
        <f>Sheet1!DB320-110</f>
        <v>1070</v>
      </c>
      <c r="AX318" s="698">
        <f>Sheet1!DA320-265</f>
        <v>1445</v>
      </c>
      <c r="AY318" s="698">
        <f t="shared" si="594"/>
        <v>73</v>
      </c>
      <c r="AZ318" s="698">
        <v>0</v>
      </c>
      <c r="BA318" s="698">
        <f t="shared" si="595"/>
        <v>0</v>
      </c>
      <c r="BB318" s="560">
        <f t="shared" si="596"/>
        <v>0</v>
      </c>
      <c r="BC318" s="560"/>
      <c r="BD318" s="560">
        <f ca="1">IF(B318&gt;Summary!$A$1,#N/A,BB318*MGtoAF)</f>
        <v>0</v>
      </c>
      <c r="BE318" s="560">
        <f>Sheet1!BG320+Sheet1!BH320+Sheet1!BI320-BM318</f>
        <v>0</v>
      </c>
      <c r="BF318" s="560">
        <f t="shared" si="597"/>
        <v>0</v>
      </c>
      <c r="BG318" s="560">
        <f>IF(Sheet1!EP320="FM",BM318,0)</f>
        <v>0</v>
      </c>
      <c r="BH318" s="560">
        <f t="shared" si="598"/>
        <v>0</v>
      </c>
      <c r="BI318" s="560">
        <f>IF(Sheet1!EP320="OTHER",BM318,0)</f>
        <v>0</v>
      </c>
      <c r="BJ318" s="560">
        <f t="shared" si="599"/>
        <v>0</v>
      </c>
      <c r="BK318" s="560">
        <f t="shared" si="600"/>
        <v>0</v>
      </c>
      <c r="BL318" s="560">
        <f t="shared" si="601"/>
        <v>0</v>
      </c>
      <c r="BM318" s="560">
        <f>IF(OR(Sheet1!EP320="FM", Sheet1!EP320="OTHER"),SUM(Sheet1!BG320:'Sheet1'!BI320),0)</f>
        <v>0</v>
      </c>
      <c r="BN318" s="545">
        <f>IF(AND($B318&gt;=$FV318,$B318&lt;=$FW318),MAX(BF318,Sheet1!EI320,0),MAX(BF318-(7/36)*$K318,0))</f>
        <v>0</v>
      </c>
      <c r="BO318" s="560">
        <f t="shared" si="602"/>
        <v>0</v>
      </c>
      <c r="BP318" s="545">
        <f t="shared" si="603"/>
        <v>0</v>
      </c>
      <c r="BQ318" s="545">
        <f>IF(AND($O318&gt;0,Sheet1!EM320=1),(1-($O318-Sheet1!$L320)/$O318)*BL318,0)</f>
        <v>0</v>
      </c>
      <c r="BR318" s="545">
        <f>IF(AND(Sheet1!$L320=0,Sheet1!$L319=0, Calculation!BK318&lt;Sheet1!$EI320-0.1,Sheet1!$EI320=Sheet1!$EI319,Sheet1!$EI320=Sheet1!$EI321),Sheet1!$EI320,BL318-BQ318)</f>
        <v>0</v>
      </c>
      <c r="BS318" s="560"/>
      <c r="BT318" s="560"/>
      <c r="BU318" s="560">
        <f t="shared" si="604"/>
        <v>0</v>
      </c>
      <c r="BV318" s="560"/>
      <c r="BW318" s="560">
        <f ca="1">IF(B318&gt;Summary!$A$1,#N/A,BU318*MGtoAF)</f>
        <v>0</v>
      </c>
      <c r="BX318" s="560">
        <f>Sheet1!BC320+Sheet1!BD320+Sheet1!BE320+Sheet1!BF320-CG318-CH318</f>
        <v>2.5</v>
      </c>
      <c r="BY318" s="560">
        <f t="shared" si="605"/>
        <v>2.5108987256874582</v>
      </c>
      <c r="BZ318" s="560">
        <f>IF(Sheet1!EQ320="FM",CH318,0)</f>
        <v>0</v>
      </c>
      <c r="CA318" s="560">
        <f t="shared" si="606"/>
        <v>0</v>
      </c>
      <c r="CB318" s="560">
        <f>IF(Sheet1!EQ320="OTHER",CH318,0)</f>
        <v>0</v>
      </c>
      <c r="CC318" s="560">
        <f t="shared" si="607"/>
        <v>0</v>
      </c>
      <c r="CD318" s="560">
        <f t="shared" si="608"/>
        <v>0</v>
      </c>
      <c r="CE318" s="560">
        <f t="shared" si="609"/>
        <v>2.5</v>
      </c>
      <c r="CF318" s="560">
        <f t="shared" si="610"/>
        <v>2.5108987256874582</v>
      </c>
      <c r="CG318" s="560">
        <f>IF(Sheet1!EQ320="CWA",SUM(Sheet1!BC320:'Sheet1'!BF320),0)</f>
        <v>0</v>
      </c>
      <c r="CH318" s="560">
        <f>IF(OR(Sheet1!EQ320="FM", Sheet1!EQ320="OTHER"),SUM(Sheet1!BC320:'Sheet1'!BF320),0)</f>
        <v>0</v>
      </c>
      <c r="CI318" s="545">
        <f>IF(AND($B318&gt;=$FV318,$B318&lt;=$FW318),MAX(CF318,Sheet1!EJ320,0),MAX(CF318-(7/36)*$K318,0))</f>
        <v>0</v>
      </c>
      <c r="CJ318" s="560">
        <f t="shared" si="611"/>
        <v>0</v>
      </c>
      <c r="CK318" s="545">
        <f t="shared" si="612"/>
        <v>2.5108987256874582</v>
      </c>
      <c r="CL318" s="545">
        <f>IF(AND($O318&gt;0,Sheet1!EN320=1),(1-($O318-Sheet1!$L320)/$O318)*CF318,0)</f>
        <v>0</v>
      </c>
      <c r="CM318" s="545">
        <f>IF(AND(Sheet1!$L320=0,Sheet1!$L319=0, Calculation!CE318&lt;Sheet1!EJ320-0.1,Sheet1!EJ320=Sheet1!EJ319,Sheet1!EJ320=Sheet1!EJ321),Sheet1!EJ320,CF318-CL318)</f>
        <v>2.5108987256874582</v>
      </c>
      <c r="CN318" s="545"/>
      <c r="CO318" s="560"/>
      <c r="CP318" s="560">
        <f t="shared" si="613"/>
        <v>0</v>
      </c>
      <c r="CQ318" s="560"/>
      <c r="CR318" s="560">
        <f ca="1">IF(B318&gt;Summary!$A$1,#N/A,CP318*MGtoAF)</f>
        <v>0</v>
      </c>
      <c r="CS318" s="560">
        <f>Sheet1!BK320+Sheet1!BL320+Sheet1!BM320-Sheet1!ER320-DA318</f>
        <v>6.92</v>
      </c>
      <c r="CT318" s="560">
        <f t="shared" si="614"/>
        <v>6.950167672702884</v>
      </c>
      <c r="CU318" s="560">
        <f>IF(Sheet1!ER320="FM",DA318,0)</f>
        <v>0</v>
      </c>
      <c r="CV318" s="560">
        <f t="shared" si="615"/>
        <v>0</v>
      </c>
      <c r="CW318" s="560">
        <f>IF(Sheet1!ER320="OTHER",DA318,0)</f>
        <v>0</v>
      </c>
      <c r="CX318" s="560">
        <f t="shared" si="616"/>
        <v>0</v>
      </c>
      <c r="CY318" s="560">
        <f t="shared" si="617"/>
        <v>6.92</v>
      </c>
      <c r="CZ318" s="560">
        <f t="shared" si="618"/>
        <v>6.950167672702884</v>
      </c>
      <c r="DA318" s="560">
        <f>IF(OR(Sheet1!ER320="FM", Sheet1!ER320="OTHER"),SUM(Sheet1!BK320:'Sheet1'!BM320),0)</f>
        <v>0</v>
      </c>
      <c r="DB318" s="545">
        <f>IF(AND($B318&gt;=$FV318,$B318&lt;=$FW318),MAX($CT318,Sheet1!EK320,0),MAX($CT318-(7/36)*$K318,0))</f>
        <v>0</v>
      </c>
      <c r="DC318" s="560">
        <f t="shared" si="619"/>
        <v>0</v>
      </c>
      <c r="DD318" s="545">
        <f t="shared" si="620"/>
        <v>6.950167672702884</v>
      </c>
      <c r="DE318" s="545">
        <f>IF(AND($O318&gt;0,Sheet1!EO320=1),(1-($O318-Sheet1!$L320)/$O318)*CZ318,0)</f>
        <v>0</v>
      </c>
      <c r="DF318" s="545">
        <f>IF(AND(Sheet1!$L320=0,Sheet1!$L319=0, Calculation!CY318&lt;Sheet1!$EK320-0.1,Sheet1!$EK320=Sheet1!$EK319,Sheet1!$EK320=Sheet1!$EK321),Sheet1!$EK320,CZ318-DE318)</f>
        <v>6.950167672702884</v>
      </c>
      <c r="DG318" s="545"/>
      <c r="DH318" s="560">
        <f t="shared" si="621"/>
        <v>9.42</v>
      </c>
      <c r="DI318" s="560">
        <f t="shared" si="622"/>
        <v>0</v>
      </c>
      <c r="DJ318" s="698">
        <f t="shared" si="623"/>
        <v>9.4610663983903418</v>
      </c>
      <c r="DK318" s="560">
        <f ca="1">IF(B318&gt;Summary!$A$1,#N/A,DI318*MGtoAF)</f>
        <v>0</v>
      </c>
      <c r="DL318" s="698">
        <f t="shared" si="624"/>
        <v>9.42</v>
      </c>
      <c r="DM318" s="560">
        <f t="shared" si="625"/>
        <v>29.82</v>
      </c>
      <c r="DN318" s="560">
        <f>Sheet1!AB320-DM318</f>
        <v>0.12999999999999901</v>
      </c>
      <c r="DO318" s="560">
        <f t="shared" si="626"/>
        <v>4.3594902749831991E-3</v>
      </c>
      <c r="DP318" s="560">
        <f>(VLOOKUP(Sheet1!DC320,hhdcap_wcm,4)-(((VLOOKUP(Sheet1!DC320,hhdcap_wcm,3)-Sheet1!DC320)/(VLOOKUP(Sheet1!DC320,hhdcap_wcm,3)-VLOOKUP(Sheet1!DC320,hhdcap_wcm,1)))*(VLOOKUP(Sheet1!DC320,hhdcap_wcm,4)-VLOOKUP(Sheet1!DC320,hhdcap_wcm,2))))</f>
        <v>1547.5000000041268</v>
      </c>
      <c r="DQ318" s="560">
        <f t="shared" si="627"/>
        <v>103.50000000033879</v>
      </c>
      <c r="DR318" s="560">
        <f t="shared" si="628"/>
        <v>52.193645991093682</v>
      </c>
      <c r="DS318" s="560">
        <f>Sheet1!EA320*AFtoMG</f>
        <v>0</v>
      </c>
      <c r="DT318" s="560">
        <f>Sheet1!EB320*AFtoMG</f>
        <v>0</v>
      </c>
      <c r="DU318" s="560">
        <f>Sheet1!EC320*AFtoMG</f>
        <v>0</v>
      </c>
      <c r="DV318" s="560">
        <f>Sheet1!ED320*AFtoMG</f>
        <v>0</v>
      </c>
      <c r="DW318" s="560">
        <f t="shared" si="629"/>
        <v>0</v>
      </c>
      <c r="DX318" s="560">
        <f t="shared" si="630"/>
        <v>0</v>
      </c>
      <c r="DY318" s="560">
        <f t="shared" si="631"/>
        <v>0</v>
      </c>
      <c r="DZ318" s="560">
        <f t="shared" si="632"/>
        <v>0</v>
      </c>
      <c r="EA318" s="560"/>
      <c r="EB318" s="545">
        <f>IF(OR(B318&lt;FV318,B318&gt;FW318),(MIN(BF318+BY318+CT318+MAX(Sheet1!AA320+AQ318-73,0),K318)),0)</f>
        <v>9.4610663983903418</v>
      </c>
      <c r="EC318" s="560"/>
      <c r="ED318" s="560">
        <f t="shared" si="633"/>
        <v>9.4610663983903418</v>
      </c>
      <c r="EE318" s="560"/>
      <c r="EF318" s="560">
        <f>Sheet1!EH320+Sheet1!EI320+Sheet1!EJ320+Sheet1!EK320</f>
        <v>9</v>
      </c>
      <c r="EG318" s="560"/>
      <c r="EH318" s="545">
        <f t="shared" si="634"/>
        <v>0</v>
      </c>
      <c r="EI318" s="560">
        <f>IF(Sheet1!ET320=1,SUM('Calculations II'!AT318:BA318)+'Calculations II'!BC318+Sheet1!BV320+'Calculations II'!BE318+AP318,SUM('Calculations II'!AT318:BA318)+'Calculations II'!BC318+Sheet1!BV320+'Calculations II'!BE318+AP318)</f>
        <v>49.395871999999997</v>
      </c>
      <c r="EJ318" s="560">
        <f>Sheet1!AA320+Sheet1!AB320+'Calculations II'!BC318</f>
        <v>52.15</v>
      </c>
      <c r="EK318" s="560"/>
      <c r="EL318" s="560"/>
      <c r="EM318" s="560">
        <f t="shared" si="635"/>
        <v>41946</v>
      </c>
      <c r="EN318" s="560">
        <f t="shared" si="636"/>
        <v>0</v>
      </c>
      <c r="EO318" s="560">
        <f t="shared" si="637"/>
        <v>0</v>
      </c>
      <c r="EP318" s="560">
        <v>0</v>
      </c>
      <c r="EQ318" s="560">
        <v>0</v>
      </c>
      <c r="ER318" s="560">
        <v>0</v>
      </c>
      <c r="ES318" s="545">
        <f t="shared" si="557"/>
        <v>0.41560172796279937</v>
      </c>
      <c r="ET318" s="560">
        <f>-(VLOOKUP(Sheet1!BQ320,Lookup!$O$4:$Q$262,2)-VLOOKUP(Sheet1!BQ319,Lookup!$O$4:$Q$262,2))/1000000</f>
        <v>0.13852322708329931</v>
      </c>
      <c r="EU318" s="560">
        <f>-(VLOOKUP(Sheet1!BR320,Lookup!$O$4:$Q$262,3)-VLOOKUP(Sheet1!BR319,Lookup!$O$4:$Q$262,3))/1000000</f>
        <v>0.27707850087950003</v>
      </c>
      <c r="EV318" s="560"/>
      <c r="EW318" s="560"/>
      <c r="EX318" s="560"/>
      <c r="EY318" s="560"/>
      <c r="EZ318" s="560"/>
      <c r="FA318" s="560"/>
      <c r="FB318" s="560"/>
      <c r="FC318" s="560"/>
      <c r="FD318" s="594">
        <f t="shared" si="638"/>
        <v>1089.2499999999661</v>
      </c>
      <c r="FE318" s="594" t="e">
        <f t="shared" si="639"/>
        <v>#N/A</v>
      </c>
      <c r="FF318" s="595" t="e">
        <f t="shared" si="640"/>
        <v>#N/A</v>
      </c>
      <c r="FG318" s="596" t="s">
        <v>692</v>
      </c>
      <c r="FH318" s="596" t="s">
        <v>692</v>
      </c>
      <c r="FI318" s="594" t="e">
        <v>#N/A</v>
      </c>
      <c r="FJ318" s="816">
        <v>2430</v>
      </c>
      <c r="FK318" s="560"/>
      <c r="FL318" s="560"/>
      <c r="FM318" s="560"/>
      <c r="FN318" s="560"/>
      <c r="FO318" s="560">
        <f>O318+((Sheet1!CS320)*GPMtoMGD)</f>
        <v>52.15</v>
      </c>
      <c r="FP318" s="560">
        <f>IF(Sheet1!AA320+AQ318&lt;=Calculation!N318,AQ318,Calculation!N318-Sheet1!AA320)</f>
        <v>19.484574111334673</v>
      </c>
      <c r="FQ318" s="560">
        <f>(Sheet1!BP320+Sheet1!BO320)/694.4</f>
        <v>1.0557315668202765</v>
      </c>
      <c r="FR318" s="560"/>
      <c r="FS318" s="560"/>
      <c r="FT318" s="560"/>
      <c r="FU318" s="560"/>
      <c r="FV318" s="695">
        <f t="shared" si="558"/>
        <v>41827</v>
      </c>
      <c r="FW318" s="695">
        <f t="shared" si="559"/>
        <v>41934</v>
      </c>
      <c r="FX318" s="560"/>
      <c r="FY318" s="560"/>
      <c r="FZ318" s="560"/>
      <c r="GA318" s="560"/>
      <c r="GB318" s="560" t="str">
        <f t="shared" si="560"/>
        <v>n</v>
      </c>
      <c r="GC318" s="564">
        <f t="shared" si="561"/>
        <v>41691</v>
      </c>
      <c r="GD318" s="695">
        <f t="shared" si="562"/>
        <v>41807</v>
      </c>
      <c r="GE318" s="560">
        <v>6518.9</v>
      </c>
      <c r="GF318" s="695">
        <f t="shared" si="563"/>
        <v>41808</v>
      </c>
      <c r="GG318" s="560">
        <f t="shared" si="582"/>
        <v>3259</v>
      </c>
      <c r="GH318" s="564">
        <f t="shared" si="564"/>
        <v>41934</v>
      </c>
      <c r="GJ318" s="545">
        <f t="shared" si="565"/>
        <v>0</v>
      </c>
      <c r="GK318" s="560" t="str">
        <f t="shared" si="641"/>
        <v/>
      </c>
      <c r="GL318" s="560">
        <f t="shared" si="566"/>
        <v>0</v>
      </c>
      <c r="GM318" s="560" t="str">
        <f t="shared" si="567"/>
        <v/>
      </c>
      <c r="GN318" s="560">
        <f>IF(GK318="P",Lookup!$M$12,IF(GK318="PP",Lookup!$M$13,IF(GK318="PPP",Lookup!$M$14,IF(GK318="T",Lookup!$M$15,IF(GK318="TP",Lookup!$M$16,IF(GK318="TPP",Lookup!$M$17,IF(GK318="TPPP",Lookup!$M$18,0)))))))*GJ318</f>
        <v>0</v>
      </c>
      <c r="GO318" s="560">
        <f t="shared" si="568"/>
        <v>0</v>
      </c>
      <c r="GP318" s="560">
        <f t="shared" si="642"/>
        <v>0</v>
      </c>
      <c r="GQ318" s="560">
        <f t="shared" si="576"/>
        <v>0</v>
      </c>
      <c r="GR318" s="560"/>
      <c r="GS318" s="560">
        <f t="shared" si="569"/>
        <v>0</v>
      </c>
      <c r="GT318" s="560" t="str">
        <f t="shared" si="570"/>
        <v/>
      </c>
      <c r="GU318" s="560">
        <f>IF(GK318="P",Lookup!$N$12,IF(GK318="PP",Lookup!$N$13,IF(GK318="PPP",Lookup!$N$14,IF(GK318="T",Lookup!$N$15,IF(GK318="TP",Lookup!$N$16,IF(GK318="TPP",Lookup!$N$17,IF(GK318="TPPP",Lookup!$N$18,0)))))))*GJ318</f>
        <v>0</v>
      </c>
      <c r="GV318" s="560">
        <f t="shared" si="571"/>
        <v>0</v>
      </c>
      <c r="GW318" s="560">
        <f t="shared" si="643"/>
        <v>0</v>
      </c>
      <c r="GX318" s="560">
        <f t="shared" si="577"/>
        <v>0</v>
      </c>
      <c r="GY318" s="560"/>
      <c r="GZ318" s="560">
        <f t="shared" si="572"/>
        <v>0</v>
      </c>
      <c r="HA318" s="560" t="str">
        <f t="shared" si="573"/>
        <v/>
      </c>
      <c r="HB318" s="560">
        <f>IF(GK318="P",Lookup!$N$12,IF(GK318="PP",Lookup!$N$13,IF(GK318="PPP",Lookup!$N$14,IF(GK318="T",Lookup!$N$15,IF(GK318="TP",Lookup!$N$16,IF(GK318="TPP",Lookup!$N$17,IF(GK318="TPPP",Lookup!$N$18,0)))))))*GJ318</f>
        <v>0</v>
      </c>
      <c r="HC318" s="545">
        <f t="shared" si="644"/>
        <v>0</v>
      </c>
      <c r="HD318" s="560">
        <f t="shared" si="645"/>
        <v>0</v>
      </c>
      <c r="HE318" s="560">
        <f t="shared" si="578"/>
        <v>0</v>
      </c>
      <c r="HF318" s="560"/>
      <c r="HG318" s="560">
        <f t="shared" si="574"/>
        <v>0</v>
      </c>
      <c r="HH318" s="560" t="str">
        <f t="shared" si="575"/>
        <v/>
      </c>
      <c r="HI318" s="560">
        <f>IF(GK318="P",Lookup!$N$12,IF(GK318="PP",Lookup!$N$13,IF(GK318="PPP",Lookup!$N$14,IF(GK318="T",Lookup!$N$15,IF(GK318="TP",Lookup!$N$16,IF(GK318="TPP",Lookup!$N$17,IF(GK318="TPPP",Lookup!$N$18,0)))))))*GJ318</f>
        <v>0</v>
      </c>
      <c r="HJ318" s="545">
        <f t="shared" si="646"/>
        <v>0</v>
      </c>
      <c r="HK318" s="560">
        <f t="shared" si="647"/>
        <v>0</v>
      </c>
      <c r="HL318" s="560">
        <f t="shared" si="579"/>
        <v>0</v>
      </c>
    </row>
    <row r="319" spans="1:220">
      <c r="A319" s="580" t="s">
        <v>5</v>
      </c>
      <c r="B319" s="556">
        <v>41947</v>
      </c>
      <c r="C319" s="561">
        <v>0</v>
      </c>
      <c r="D319" s="529">
        <f t="shared" si="580"/>
        <v>300</v>
      </c>
      <c r="E319" s="529">
        <f t="shared" si="581"/>
        <v>250</v>
      </c>
      <c r="F319" s="529">
        <v>250</v>
      </c>
      <c r="G319" s="560">
        <f>DR319+Sheet1!CZ321</f>
        <v>2790.4387291995431</v>
      </c>
      <c r="H319" s="914">
        <f t="shared" si="546"/>
        <v>1536.7763945545846</v>
      </c>
      <c r="I319" s="559">
        <f>MAX(Sheet1!Z321-AT319+(Sheet1!DA321-E319)*CFStoMGD,0)</f>
        <v>1614.8799999999999</v>
      </c>
      <c r="J319" s="562">
        <f>IF(AND(B319&gt;=Calculation!GC319,B319&lt;=Calculation!GD319),IF(Sheet1!DB321&gt;=Calculation!D319,64.64,0),MAX(Sheet1!Z321-AT319+(Sheet1!DB321-D319)*CFStoMGD,0))</f>
        <v>1214.1120000000001</v>
      </c>
      <c r="K319" s="904">
        <f t="shared" si="583"/>
        <v>64.64</v>
      </c>
      <c r="L319" s="560">
        <f>Sheet1!AA321+Sheet1!AB321-Sheet1!L321+(Sheet1!DA321-F319)*CFStoMGD</f>
        <v>1607.6599999999996</v>
      </c>
      <c r="M319" s="560">
        <f t="shared" si="584"/>
        <v>1839.8143864456765</v>
      </c>
      <c r="N319" s="910">
        <f>IF(Sheet1!DA321&gt;=F319,MIN(73,MIN(MAX(L319,0),MAX(M319,0))),0)</f>
        <v>73</v>
      </c>
      <c r="O319" s="563">
        <f>Sheet1!AA321+Sheet1!AB321</f>
        <v>52.16</v>
      </c>
      <c r="P319" s="563">
        <f t="shared" si="585"/>
        <v>80.691519999999997</v>
      </c>
      <c r="Q319" s="898">
        <f t="shared" si="547"/>
        <v>0</v>
      </c>
      <c r="R319" s="829">
        <f t="shared" si="586"/>
        <v>9.1807885065152011</v>
      </c>
      <c r="S319" s="898">
        <f>IF(OR(B319&lt;GC319,B319&gt;GH319),MIN(O319,K319),IF(AND(B319&gt;=FV319,B319&lt;=FW319),0,IF(AND(B319&gt;=GC319,B319&lt;=GD319),DL319,IF(AND(B319&gt;GD319,B319&lt;FV319),MIN(K319,O319),0))))</f>
        <v>52.16</v>
      </c>
      <c r="T319" s="898">
        <f t="shared" si="549"/>
        <v>0</v>
      </c>
      <c r="U319" s="898">
        <f t="shared" si="550"/>
        <v>0</v>
      </c>
      <c r="V319" s="898"/>
      <c r="W319" s="898">
        <f t="shared" si="551"/>
        <v>55.459211493484801</v>
      </c>
      <c r="X319" s="898">
        <f t="shared" si="552"/>
        <v>52.16</v>
      </c>
      <c r="Y319" s="898" t="str">
        <f t="shared" si="553"/>
        <v/>
      </c>
      <c r="Z319" s="898">
        <f t="shared" si="554"/>
        <v>52.16</v>
      </c>
      <c r="AA319" s="898">
        <f t="shared" si="555"/>
        <v>52.16</v>
      </c>
      <c r="AB319" s="898" t="str">
        <f t="shared" si="556"/>
        <v/>
      </c>
      <c r="AC319" s="563">
        <f>Sheet1!Y321*MGDtoCFS</f>
        <v>35.797579999999996</v>
      </c>
      <c r="AD319" s="563">
        <f>Sheet1!Z321*MGDtoCFS</f>
        <v>48.266399999999997</v>
      </c>
      <c r="AE319" s="563">
        <f>Sheet1!AA321*MGDtoCFS</f>
        <v>34.436219999999999</v>
      </c>
      <c r="AF319" s="563">
        <f>Sheet1!AB321*MGDtoCFS</f>
        <v>46.255299999999998</v>
      </c>
      <c r="AG319" s="563">
        <f>Sheet1!L321*MGDtoCFS</f>
        <v>43.594460000000446</v>
      </c>
      <c r="AH319" s="545">
        <f t="shared" si="587"/>
        <v>0</v>
      </c>
      <c r="AI319" s="560">
        <f t="shared" si="588"/>
        <v>0</v>
      </c>
      <c r="AJ319" s="560">
        <f t="shared" si="589"/>
        <v>0</v>
      </c>
      <c r="AK319" s="560">
        <f t="shared" si="590"/>
        <v>0</v>
      </c>
      <c r="AL319" s="560">
        <f>(VLOOKUP(Sheet1!DC321,hhdcap_wcm,4)-(((VLOOKUP(Sheet1!DC321,hhdcap_wcm,3)-Sheet1!DC321)/(VLOOKUP(Sheet1!DC321,hhdcap_wcm,3)-VLOOKUP(Sheet1!DC321,hhdcap_wcm,1)))*(VLOOKUP(Sheet1!DC321,hhdcap_wcm,4)-VLOOKUP(Sheet1!DC321,hhdcap_wcm,2))))</f>
        <v>2758.0000000068212</v>
      </c>
      <c r="AM319" s="560">
        <f t="shared" si="591"/>
        <v>1210.5000000026944</v>
      </c>
      <c r="AN319" s="560">
        <f t="shared" si="592"/>
        <v>0</v>
      </c>
      <c r="AO319" s="560">
        <f t="shared" si="593"/>
        <v>0</v>
      </c>
      <c r="AP319" s="560">
        <f>Sheet1!BA321+Sheet1!BB321+Sheet1!BN321+CD319</f>
        <v>20.74</v>
      </c>
      <c r="AQ319" s="560">
        <f>Sheet1!BN321+(DO319*Sheet1!BN321)</f>
        <v>19.680253925826928</v>
      </c>
      <c r="AR319" s="560">
        <f>Sheet1!BA321+CD319</f>
        <v>0</v>
      </c>
      <c r="AS319" s="560">
        <f>Sheet1!BA321+Sheet1!BB321+CD319</f>
        <v>1.04</v>
      </c>
      <c r="AT319" s="698">
        <f>0</f>
        <v>0</v>
      </c>
      <c r="AU319" s="560">
        <f>IF(EB319&lt;K319,0,MAX(Sheet1!AA321+AQ319-15/36*K319-N319,Sheet1!EH321,0))</f>
        <v>0</v>
      </c>
      <c r="AV319" s="560">
        <f>IF(OR(B319&gt;=GD319,B319&lt;GC319),0,15/36*K319-MAX(0,64.6-(137.6-(Sheet1!AA321+Sheet1!AB321))))</f>
        <v>0</v>
      </c>
      <c r="AW319" s="698">
        <f>Sheet1!DB321-110</f>
        <v>2020</v>
      </c>
      <c r="AX319" s="698">
        <f>Sheet1!DA321-265</f>
        <v>2435</v>
      </c>
      <c r="AY319" s="698">
        <f t="shared" si="594"/>
        <v>73</v>
      </c>
      <c r="AZ319" s="698">
        <v>0</v>
      </c>
      <c r="BA319" s="698">
        <f t="shared" si="595"/>
        <v>0</v>
      </c>
      <c r="BB319" s="560">
        <f t="shared" si="596"/>
        <v>0</v>
      </c>
      <c r="BC319" s="560"/>
      <c r="BD319" s="560">
        <f ca="1">IF(B319&gt;Summary!$A$1,#N/A,BB319*MGtoAF)</f>
        <v>0</v>
      </c>
      <c r="BE319" s="560">
        <f>Sheet1!BG321+Sheet1!BH321+Sheet1!BI321-BM319</f>
        <v>0</v>
      </c>
      <c r="BF319" s="560">
        <f t="shared" si="597"/>
        <v>0</v>
      </c>
      <c r="BG319" s="560">
        <f>IF(Sheet1!EP321="FM",BM319,0)</f>
        <v>0</v>
      </c>
      <c r="BH319" s="560">
        <f t="shared" si="598"/>
        <v>0</v>
      </c>
      <c r="BI319" s="560">
        <f>IF(Sheet1!EP321="OTHER",BM319,0)</f>
        <v>0</v>
      </c>
      <c r="BJ319" s="560">
        <f t="shared" si="599"/>
        <v>0</v>
      </c>
      <c r="BK319" s="560">
        <f t="shared" si="600"/>
        <v>0</v>
      </c>
      <c r="BL319" s="560">
        <f t="shared" si="601"/>
        <v>0</v>
      </c>
      <c r="BM319" s="560">
        <f>IF(OR(Sheet1!EP321="FM", Sheet1!EP321="OTHER"),SUM(Sheet1!BG321:'Sheet1'!BI321),0)</f>
        <v>0</v>
      </c>
      <c r="BN319" s="545">
        <f>IF(AND($B319&gt;=$FV319,$B319&lt;=$FW319),MAX(BF319,Sheet1!EI321,0),MAX(BF319-(7/36)*$K319,0))</f>
        <v>0</v>
      </c>
      <c r="BO319" s="560">
        <f t="shared" si="602"/>
        <v>0</v>
      </c>
      <c r="BP319" s="545">
        <f t="shared" si="603"/>
        <v>0</v>
      </c>
      <c r="BQ319" s="545">
        <f>IF(AND($O319&gt;0,Sheet1!EM321=1),(1-($O319-Sheet1!$L321)/$O319)*BL319,0)</f>
        <v>0</v>
      </c>
      <c r="BR319" s="545">
        <f>IF(AND(Sheet1!$L321=0,Sheet1!$L320=0, Calculation!BK319&lt;Sheet1!$EI321-0.1,Sheet1!$EI321=Sheet1!$EI320,Sheet1!$EI321=Sheet1!$EI322),Sheet1!$EI321,BL319-BQ319)</f>
        <v>0</v>
      </c>
      <c r="BS319" s="560"/>
      <c r="BT319" s="560"/>
      <c r="BU319" s="560">
        <f t="shared" si="604"/>
        <v>0</v>
      </c>
      <c r="BV319" s="560"/>
      <c r="BW319" s="560">
        <f ca="1">IF(B319&gt;Summary!$A$1,#N/A,BU319*MGtoAF)</f>
        <v>0</v>
      </c>
      <c r="BX319" s="560">
        <f>Sheet1!BC321+Sheet1!BD321+Sheet1!BE321+Sheet1!BF321-CG319-CH319</f>
        <v>2.4900000000000002</v>
      </c>
      <c r="BY319" s="560">
        <f t="shared" si="605"/>
        <v>2.4875041764116275</v>
      </c>
      <c r="BZ319" s="560">
        <f>IF(Sheet1!EQ321="FM",CH319,0)</f>
        <v>0</v>
      </c>
      <c r="CA319" s="560">
        <f t="shared" si="606"/>
        <v>0</v>
      </c>
      <c r="CB319" s="560">
        <f>IF(Sheet1!EQ321="OTHER",CH319,0)</f>
        <v>0</v>
      </c>
      <c r="CC319" s="560">
        <f t="shared" si="607"/>
        <v>0</v>
      </c>
      <c r="CD319" s="560">
        <f t="shared" si="608"/>
        <v>0</v>
      </c>
      <c r="CE319" s="560">
        <f t="shared" si="609"/>
        <v>2.4900000000000002</v>
      </c>
      <c r="CF319" s="560">
        <f t="shared" si="610"/>
        <v>2.4875041764116275</v>
      </c>
      <c r="CG319" s="560">
        <f>IF(Sheet1!EQ321="CWA",SUM(Sheet1!BC321:'Sheet1'!BF321),0)</f>
        <v>0</v>
      </c>
      <c r="CH319" s="560">
        <f>IF(OR(Sheet1!EQ321="FM", Sheet1!EQ321="OTHER"),SUM(Sheet1!BC321:'Sheet1'!BF321),0)</f>
        <v>0</v>
      </c>
      <c r="CI319" s="545">
        <f>IF(AND($B319&gt;=$FV319,$B319&lt;=$FW319),MAX(CF319,Sheet1!EJ321,0),MAX(CF319-(7/36)*$K319,0))</f>
        <v>0</v>
      </c>
      <c r="CJ319" s="560">
        <f t="shared" si="611"/>
        <v>0</v>
      </c>
      <c r="CK319" s="545">
        <f t="shared" si="612"/>
        <v>2.4875041764116275</v>
      </c>
      <c r="CL319" s="545">
        <f>IF(AND($O319&gt;0,Sheet1!EN321=1),(1-($O319-Sheet1!$L321)/$O319)*CF319,0)</f>
        <v>0</v>
      </c>
      <c r="CM319" s="545">
        <f>IF(AND(Sheet1!$L321=0,Sheet1!$L320=0, Calculation!CE319&lt;Sheet1!EJ321-0.1,Sheet1!EJ321=Sheet1!EJ320,Sheet1!EJ321=Sheet1!EJ322),Sheet1!EJ321,CF319-CL319)</f>
        <v>2.4875041764116275</v>
      </c>
      <c r="CN319" s="545"/>
      <c r="CO319" s="560"/>
      <c r="CP319" s="560">
        <f t="shared" si="613"/>
        <v>0</v>
      </c>
      <c r="CQ319" s="560"/>
      <c r="CR319" s="560">
        <f ca="1">IF(B319&gt;Summary!$A$1,#N/A,CP319*MGtoAF)</f>
        <v>0</v>
      </c>
      <c r="CS319" s="560">
        <f>Sheet1!BK321+Sheet1!BL321+Sheet1!BM321-Sheet1!ER321-DA319</f>
        <v>6.6999999999999993</v>
      </c>
      <c r="CT319" s="560">
        <f t="shared" si="614"/>
        <v>6.693284330103574</v>
      </c>
      <c r="CU319" s="560">
        <f>IF(Sheet1!ER321="FM",DA319,0)</f>
        <v>0</v>
      </c>
      <c r="CV319" s="560">
        <f t="shared" si="615"/>
        <v>0</v>
      </c>
      <c r="CW319" s="560">
        <f>IF(Sheet1!ER321="OTHER",DA319,0)</f>
        <v>0</v>
      </c>
      <c r="CX319" s="560">
        <f t="shared" si="616"/>
        <v>0</v>
      </c>
      <c r="CY319" s="560">
        <f t="shared" si="617"/>
        <v>6.6999999999999993</v>
      </c>
      <c r="CZ319" s="560">
        <f t="shared" si="618"/>
        <v>6.693284330103574</v>
      </c>
      <c r="DA319" s="560">
        <f>IF(OR(Sheet1!ER321="FM", Sheet1!ER321="OTHER"),SUM(Sheet1!BK321:'Sheet1'!BM321),0)</f>
        <v>0</v>
      </c>
      <c r="DB319" s="545">
        <f>IF(AND($B319&gt;=$FV319,$B319&lt;=$FW319),MAX($CT319,Sheet1!EK321,0),MAX($CT319-(7/36)*$K319,0))</f>
        <v>0</v>
      </c>
      <c r="DC319" s="560">
        <f t="shared" si="619"/>
        <v>0</v>
      </c>
      <c r="DD319" s="545">
        <f t="shared" si="620"/>
        <v>6.693284330103574</v>
      </c>
      <c r="DE319" s="545">
        <f>IF(AND($O319&gt;0,Sheet1!EO321=1),(1-($O319-Sheet1!$L321)/$O319)*CZ319,0)</f>
        <v>0</v>
      </c>
      <c r="DF319" s="545">
        <f>IF(AND(Sheet1!$L321=0,Sheet1!$L320=0, Calculation!CY319&lt;Sheet1!$EK321-0.1,Sheet1!$EK321=Sheet1!$EK320,Sheet1!$EK321=Sheet1!$EK322),Sheet1!$EK321,CZ319-DE319)</f>
        <v>6.693284330103574</v>
      </c>
      <c r="DG319" s="545"/>
      <c r="DH319" s="560">
        <f t="shared" si="621"/>
        <v>9.19</v>
      </c>
      <c r="DI319" s="560">
        <f t="shared" si="622"/>
        <v>0</v>
      </c>
      <c r="DJ319" s="698">
        <f t="shared" si="623"/>
        <v>9.1807885065152011</v>
      </c>
      <c r="DK319" s="560">
        <f ca="1">IF(B319&gt;Summary!$A$1,#N/A,DI319*MGtoAF)</f>
        <v>0</v>
      </c>
      <c r="DL319" s="698">
        <f t="shared" si="624"/>
        <v>9.19</v>
      </c>
      <c r="DM319" s="560">
        <f t="shared" si="625"/>
        <v>29.93</v>
      </c>
      <c r="DN319" s="560">
        <f>Sheet1!AB321-DM319</f>
        <v>-3.0000000000001137E-2</v>
      </c>
      <c r="DO319" s="560">
        <f t="shared" si="626"/>
        <v>-1.0023387905112309E-3</v>
      </c>
      <c r="DP319" s="560">
        <f>(VLOOKUP(Sheet1!DC321,hhdcap_wcm,4)-(((VLOOKUP(Sheet1!DC321,hhdcap_wcm,3)-Sheet1!DC321)/(VLOOKUP(Sheet1!DC321,hhdcap_wcm,3)-VLOOKUP(Sheet1!DC321,hhdcap_wcm,1)))*(VLOOKUP(Sheet1!DC321,hhdcap_wcm,4)-VLOOKUP(Sheet1!DC321,hhdcap_wcm,2))))</f>
        <v>2758.0000000068212</v>
      </c>
      <c r="DQ319" s="560">
        <f t="shared" si="627"/>
        <v>1210.5000000026944</v>
      </c>
      <c r="DR319" s="560">
        <f t="shared" si="628"/>
        <v>610.43872919954322</v>
      </c>
      <c r="DS319" s="560">
        <f>Sheet1!EA321*AFtoMG</f>
        <v>0</v>
      </c>
      <c r="DT319" s="560">
        <f>Sheet1!EB321*AFtoMG</f>
        <v>0</v>
      </c>
      <c r="DU319" s="560">
        <f>Sheet1!EC321*AFtoMG</f>
        <v>0</v>
      </c>
      <c r="DV319" s="560">
        <f>Sheet1!ED321*AFtoMG</f>
        <v>0</v>
      </c>
      <c r="DW319" s="560">
        <f t="shared" si="629"/>
        <v>0</v>
      </c>
      <c r="DX319" s="560">
        <f t="shared" si="630"/>
        <v>0</v>
      </c>
      <c r="DY319" s="560">
        <f t="shared" si="631"/>
        <v>0</v>
      </c>
      <c r="DZ319" s="560">
        <f t="shared" si="632"/>
        <v>0</v>
      </c>
      <c r="EA319" s="560"/>
      <c r="EB319" s="545">
        <f>IF(OR(B319&lt;FV319,B319&gt;FW319),(MIN(BF319+BY319+CT319+MAX(Sheet1!AA321+AQ319-73,0),K319)),0)</f>
        <v>9.1807885065152011</v>
      </c>
      <c r="EC319" s="560"/>
      <c r="ED319" s="560">
        <f t="shared" si="633"/>
        <v>9.1807885065152011</v>
      </c>
      <c r="EE319" s="560"/>
      <c r="EF319" s="560">
        <f>Sheet1!EH321+Sheet1!EI321+Sheet1!EJ321+Sheet1!EK321</f>
        <v>9</v>
      </c>
      <c r="EG319" s="560"/>
      <c r="EH319" s="545">
        <f t="shared" si="634"/>
        <v>0</v>
      </c>
      <c r="EI319" s="560">
        <f>IF(Sheet1!ET321=1,SUM('Calculations II'!AT319:BA319)+'Calculations II'!BC319+Sheet1!BV321+'Calculations II'!BE319+AP319,SUM('Calculations II'!AT319:BA319)+'Calculations II'!BC319+Sheet1!BV321+'Calculations II'!BE319+AP319)</f>
        <v>50.755471999999997</v>
      </c>
      <c r="EJ319" s="560">
        <f>Sheet1!AA321+Sheet1!AB321+'Calculations II'!BC319</f>
        <v>52.16</v>
      </c>
      <c r="EK319" s="560"/>
      <c r="EL319" s="560"/>
      <c r="EM319" s="560">
        <f t="shared" si="635"/>
        <v>41947</v>
      </c>
      <c r="EN319" s="560">
        <f t="shared" si="636"/>
        <v>0</v>
      </c>
      <c r="EO319" s="560">
        <f t="shared" si="637"/>
        <v>0</v>
      </c>
      <c r="EP319" s="560">
        <v>0</v>
      </c>
      <c r="EQ319" s="560">
        <v>0</v>
      </c>
      <c r="ER319" s="560">
        <v>0</v>
      </c>
      <c r="ES319" s="545">
        <f t="shared" si="557"/>
        <v>1.8005648261534235</v>
      </c>
      <c r="ET319" s="560">
        <f>-(VLOOKUP(Sheet1!BQ321,Lookup!$O$4:$Q$262,2)-VLOOKUP(Sheet1!BQ320,Lookup!$O$4:$Q$262,2))/1000000</f>
        <v>0.96948314371671529</v>
      </c>
      <c r="EU319" s="560">
        <f>-(VLOOKUP(Sheet1!BR321,Lookup!$O$4:$Q$262,3)-VLOOKUP(Sheet1!BR320,Lookup!$O$4:$Q$262,3))/1000000</f>
        <v>0.83108168243670832</v>
      </c>
      <c r="EV319" s="560"/>
      <c r="EW319" s="560"/>
      <c r="EX319" s="560"/>
      <c r="EY319" s="560"/>
      <c r="EZ319" s="560"/>
      <c r="FA319" s="560"/>
      <c r="FB319" s="560"/>
      <c r="FC319" s="560"/>
      <c r="FD319" s="594">
        <f t="shared" si="638"/>
        <v>1088.7789473683877</v>
      </c>
      <c r="FE319" s="594" t="e">
        <f t="shared" si="639"/>
        <v>#N/A</v>
      </c>
      <c r="FF319" s="595" t="e">
        <f t="shared" si="640"/>
        <v>#N/A</v>
      </c>
      <c r="FG319" s="596" t="s">
        <v>692</v>
      </c>
      <c r="FH319" s="596" t="s">
        <v>692</v>
      </c>
      <c r="FI319" s="594" t="e">
        <v>#N/A</v>
      </c>
      <c r="FJ319" s="778">
        <v>2340</v>
      </c>
      <c r="FK319" s="560"/>
      <c r="FL319" s="560"/>
      <c r="FM319" s="560"/>
      <c r="FN319" s="560"/>
      <c r="FO319" s="560">
        <f>O319+((Sheet1!CS321)*GPMtoMGD)</f>
        <v>52.16</v>
      </c>
      <c r="FP319" s="560">
        <f>IF(Sheet1!AA321+AQ319&lt;=Calculation!N319,AQ319,Calculation!N319-Sheet1!AA321)</f>
        <v>19.680253925826928</v>
      </c>
      <c r="FQ319" s="560">
        <f>(Sheet1!BP321+Sheet1!BO321)/694.4</f>
        <v>2.2295506912442398</v>
      </c>
      <c r="FR319" s="560"/>
      <c r="FS319" s="560"/>
      <c r="FT319" s="560"/>
      <c r="FU319" s="560"/>
      <c r="FV319" s="695">
        <f t="shared" si="558"/>
        <v>41827</v>
      </c>
      <c r="FW319" s="695">
        <f t="shared" si="559"/>
        <v>41934</v>
      </c>
      <c r="FX319" s="560"/>
      <c r="FY319" s="560"/>
      <c r="FZ319" s="560"/>
      <c r="GA319" s="560"/>
      <c r="GB319" s="560" t="str">
        <f t="shared" si="560"/>
        <v>n</v>
      </c>
      <c r="GC319" s="564">
        <f t="shared" si="561"/>
        <v>41691</v>
      </c>
      <c r="GD319" s="695">
        <f t="shared" si="562"/>
        <v>41807</v>
      </c>
      <c r="GE319" s="560">
        <v>6518.9</v>
      </c>
      <c r="GF319" s="695">
        <f t="shared" si="563"/>
        <v>41808</v>
      </c>
      <c r="GG319" s="560">
        <f t="shared" si="582"/>
        <v>3259</v>
      </c>
      <c r="GH319" s="564">
        <f t="shared" si="564"/>
        <v>41934</v>
      </c>
      <c r="GJ319" s="545">
        <f t="shared" si="565"/>
        <v>0</v>
      </c>
      <c r="GK319" s="560" t="str">
        <f t="shared" si="641"/>
        <v/>
      </c>
      <c r="GL319" s="560">
        <f t="shared" si="566"/>
        <v>0</v>
      </c>
      <c r="GM319" s="560" t="str">
        <f t="shared" si="567"/>
        <v/>
      </c>
      <c r="GN319" s="560">
        <f>IF(GK319="P",Lookup!$M$12,IF(GK319="PP",Lookup!$M$13,IF(GK319="PPP",Lookup!$M$14,IF(GK319="T",Lookup!$M$15,IF(GK319="TP",Lookup!$M$16,IF(GK319="TPP",Lookup!$M$17,IF(GK319="TPPP",Lookup!$M$18,0)))))))*GJ319</f>
        <v>0</v>
      </c>
      <c r="GO319" s="560">
        <f t="shared" si="568"/>
        <v>0</v>
      </c>
      <c r="GP319" s="560">
        <f t="shared" si="642"/>
        <v>0</v>
      </c>
      <c r="GQ319" s="560">
        <f t="shared" si="576"/>
        <v>0</v>
      </c>
      <c r="GR319" s="560"/>
      <c r="GS319" s="560">
        <f t="shared" si="569"/>
        <v>0</v>
      </c>
      <c r="GT319" s="560" t="str">
        <f t="shared" si="570"/>
        <v/>
      </c>
      <c r="GU319" s="560">
        <f>IF(GK319="P",Lookup!$N$12,IF(GK319="PP",Lookup!$N$13,IF(GK319="PPP",Lookup!$N$14,IF(GK319="T",Lookup!$N$15,IF(GK319="TP",Lookup!$N$16,IF(GK319="TPP",Lookup!$N$17,IF(GK319="TPPP",Lookup!$N$18,0)))))))*GJ319</f>
        <v>0</v>
      </c>
      <c r="GV319" s="560">
        <f t="shared" si="571"/>
        <v>0</v>
      </c>
      <c r="GW319" s="560">
        <f t="shared" si="643"/>
        <v>0</v>
      </c>
      <c r="GX319" s="560">
        <f t="shared" si="577"/>
        <v>0</v>
      </c>
      <c r="GY319" s="560"/>
      <c r="GZ319" s="560">
        <f t="shared" si="572"/>
        <v>0</v>
      </c>
      <c r="HA319" s="560" t="str">
        <f t="shared" si="573"/>
        <v/>
      </c>
      <c r="HB319" s="560">
        <f>IF(GK319="P",Lookup!$N$12,IF(GK319="PP",Lookup!$N$13,IF(GK319="PPP",Lookup!$N$14,IF(GK319="T",Lookup!$N$15,IF(GK319="TP",Lookup!$N$16,IF(GK319="TPP",Lookup!$N$17,IF(GK319="TPPP",Lookup!$N$18,0)))))))*GJ319</f>
        <v>0</v>
      </c>
      <c r="HC319" s="545">
        <f t="shared" si="644"/>
        <v>0</v>
      </c>
      <c r="HD319" s="560">
        <f t="shared" si="645"/>
        <v>0</v>
      </c>
      <c r="HE319" s="560">
        <f t="shared" si="578"/>
        <v>0</v>
      </c>
      <c r="HF319" s="560"/>
      <c r="HG319" s="560">
        <f t="shared" si="574"/>
        <v>0</v>
      </c>
      <c r="HH319" s="560" t="str">
        <f t="shared" si="575"/>
        <v/>
      </c>
      <c r="HI319" s="560">
        <f>IF(GK319="P",Lookup!$N$12,IF(GK319="PP",Lookup!$N$13,IF(GK319="PPP",Lookup!$N$14,IF(GK319="T",Lookup!$N$15,IF(GK319="TP",Lookup!$N$16,IF(GK319="TPP",Lookup!$N$17,IF(GK319="TPPP",Lookup!$N$18,0)))))))*GJ319</f>
        <v>0</v>
      </c>
      <c r="HJ319" s="545">
        <f t="shared" si="646"/>
        <v>0</v>
      </c>
      <c r="HK319" s="560">
        <f t="shared" si="647"/>
        <v>0</v>
      </c>
      <c r="HL319" s="560">
        <f t="shared" si="579"/>
        <v>0</v>
      </c>
    </row>
    <row r="320" spans="1:220" s="696" customFormat="1">
      <c r="A320" s="580" t="s">
        <v>6</v>
      </c>
      <c r="B320" s="556">
        <v>41948</v>
      </c>
      <c r="C320" s="809">
        <v>0</v>
      </c>
      <c r="D320" s="691">
        <f t="shared" si="580"/>
        <v>300</v>
      </c>
      <c r="E320" s="691">
        <f t="shared" si="581"/>
        <v>250</v>
      </c>
      <c r="F320" s="691">
        <v>250</v>
      </c>
      <c r="G320" s="560">
        <f>DR320+Sheet1!CZ322</f>
        <v>2317.5138678772223</v>
      </c>
      <c r="H320" s="914">
        <f t="shared" si="546"/>
        <v>1231.0777641958364</v>
      </c>
      <c r="I320" s="559">
        <f>MAX(Sheet1!Z322-AT320+(Sheet1!DA322-E320)*CFStoMGD,0)</f>
        <v>1652.364</v>
      </c>
      <c r="J320" s="562">
        <f>IF(AND(B320&gt;=Calculation!GC320,B320&lt;=Calculation!GD320),IF(Sheet1!DB322&gt;=Calculation!D320,64.64,0),MAX(Sheet1!Z322-AT320+(Sheet1!DB322-D320)*CFStoMGD,0))</f>
        <v>1154.636</v>
      </c>
      <c r="K320" s="904">
        <f t="shared" si="583"/>
        <v>64.64</v>
      </c>
      <c r="L320" s="560">
        <f>Sheet1!AA322+Sheet1!AB322-Sheet1!L322+(Sheet1!DA322-F320)*CFStoMGD</f>
        <v>1642.2939999999999</v>
      </c>
      <c r="M320" s="698">
        <f t="shared" si="584"/>
        <v>1528.0017834797534</v>
      </c>
      <c r="N320" s="910">
        <f>IF(Sheet1!DA322&gt;=F320,MIN(73,MIN(MAX(L320,0),MAX(M320,0))),0)</f>
        <v>73</v>
      </c>
      <c r="O320" s="812">
        <f>Sheet1!AA322+Sheet1!AB322</f>
        <v>52.33</v>
      </c>
      <c r="P320" s="812">
        <f t="shared" si="585"/>
        <v>80.954509999999999</v>
      </c>
      <c r="Q320" s="898">
        <f t="shared" si="547"/>
        <v>0</v>
      </c>
      <c r="R320" s="829">
        <f t="shared" si="586"/>
        <v>9.2353615461512835</v>
      </c>
      <c r="S320" s="898">
        <f t="shared" ref="S320:S330" si="649">IF(OR(B320&lt;GC320,B320&gt;GH320),MIN(O320,K320),IF(AND(B320&gt;=FV320,B320&lt;=FW320),0,IF(AND(B320&gt;=GC320,B320&lt;=GD320),DL320,IF(AND(B320&gt;GD320,B320&lt;FV320),MIN(K320,O320),0))))</f>
        <v>52.33</v>
      </c>
      <c r="T320" s="898">
        <f t="shared" si="549"/>
        <v>0</v>
      </c>
      <c r="U320" s="898">
        <f t="shared" si="550"/>
        <v>0</v>
      </c>
      <c r="V320" s="898"/>
      <c r="W320" s="898">
        <f t="shared" si="551"/>
        <v>55.404638453848719</v>
      </c>
      <c r="X320" s="898">
        <f t="shared" si="552"/>
        <v>52.33</v>
      </c>
      <c r="Y320" s="898" t="str">
        <f t="shared" si="553"/>
        <v/>
      </c>
      <c r="Z320" s="898">
        <f t="shared" si="554"/>
        <v>52.33</v>
      </c>
      <c r="AA320" s="898">
        <f t="shared" si="555"/>
        <v>52.33</v>
      </c>
      <c r="AB320" s="898" t="str">
        <f t="shared" si="556"/>
        <v/>
      </c>
      <c r="AC320" s="812">
        <f>Sheet1!Y322*MGDtoCFS</f>
        <v>34.436219999999999</v>
      </c>
      <c r="AD320" s="812">
        <f>Sheet1!Z322*MGDtoCFS</f>
        <v>46.255299999999998</v>
      </c>
      <c r="AE320" s="812">
        <f>Sheet1!AA322*MGDtoCFS</f>
        <v>34.451689999999999</v>
      </c>
      <c r="AF320" s="812">
        <f>Sheet1!AB322*MGDtoCFS</f>
        <v>46.502819999999993</v>
      </c>
      <c r="AG320" s="812">
        <f>Sheet1!L322*MGDtoCFS</f>
        <v>50.277499999999996</v>
      </c>
      <c r="AH320" s="545">
        <f t="shared" si="587"/>
        <v>0</v>
      </c>
      <c r="AI320" s="560">
        <f t="shared" si="588"/>
        <v>0</v>
      </c>
      <c r="AJ320" s="698">
        <f t="shared" si="589"/>
        <v>0</v>
      </c>
      <c r="AK320" s="698">
        <f t="shared" si="590"/>
        <v>0</v>
      </c>
      <c r="AL320" s="560">
        <f>(VLOOKUP(Sheet1!DC322,hhdcap_wcm,4)-(((VLOOKUP(Sheet1!DC322,hhdcap_wcm,3)-Sheet1!DC322)/(VLOOKUP(Sheet1!DC322,hhdcap_wcm,3)-VLOOKUP(Sheet1!DC322,hhdcap_wcm,1)))*(VLOOKUP(Sheet1!DC322,hhdcap_wcm,4)-VLOOKUP(Sheet1!DC322,hhdcap_wcm,2))))</f>
        <v>2971.2000000073531</v>
      </c>
      <c r="AM320" s="560">
        <f t="shared" si="591"/>
        <v>213.20000000053187</v>
      </c>
      <c r="AN320" s="560">
        <f t="shared" si="592"/>
        <v>0</v>
      </c>
      <c r="AO320" s="560">
        <f t="shared" si="593"/>
        <v>0</v>
      </c>
      <c r="AP320" s="560">
        <f>Sheet1!BA322+Sheet1!BB322+Sheet1!BN322+CD320</f>
        <v>20.79</v>
      </c>
      <c r="AQ320" s="560">
        <f>Sheet1!BN322+(DO320*Sheet1!BN322)</f>
        <v>19.832989003665446</v>
      </c>
      <c r="AR320" s="698">
        <f>Sheet1!BA322+CD320</f>
        <v>0</v>
      </c>
      <c r="AS320" s="560">
        <f>Sheet1!BA322+Sheet1!BB322+CD320</f>
        <v>0.99</v>
      </c>
      <c r="AT320" s="698">
        <f>0</f>
        <v>0</v>
      </c>
      <c r="AU320" s="698">
        <f>IF(EB320&lt;K320,0,MAX(Sheet1!AA322+AQ320-15/36*K320-N320,Sheet1!EH322,0))</f>
        <v>0</v>
      </c>
      <c r="AV320" s="698">
        <f>IF(OR(B320&gt;=GD320,B320&lt;GC320),0,15/36*K320-MAX(0,64.6-(137.6-(Sheet1!AA322+Sheet1!AB322))))</f>
        <v>0</v>
      </c>
      <c r="AW320" s="698">
        <f>Sheet1!DB322-110</f>
        <v>1930</v>
      </c>
      <c r="AX320" s="698">
        <f>Sheet1!DA322-265</f>
        <v>2495</v>
      </c>
      <c r="AY320" s="698">
        <f t="shared" si="594"/>
        <v>73</v>
      </c>
      <c r="AZ320" s="698">
        <v>0</v>
      </c>
      <c r="BA320" s="698">
        <f t="shared" si="595"/>
        <v>0</v>
      </c>
      <c r="BB320" s="698">
        <f t="shared" si="596"/>
        <v>0</v>
      </c>
      <c r="BC320" s="698"/>
      <c r="BD320" s="698">
        <f ca="1">IF(B320&gt;Summary!$A$1,#N/A,BB320*MGtoAF)</f>
        <v>0</v>
      </c>
      <c r="BE320" s="698">
        <f>Sheet1!BG322+Sheet1!BH322+Sheet1!BI322-BM320</f>
        <v>0</v>
      </c>
      <c r="BF320" s="698">
        <f t="shared" si="597"/>
        <v>0</v>
      </c>
      <c r="BG320" s="698">
        <f>IF(Sheet1!EP322="FM",BM320,0)</f>
        <v>0</v>
      </c>
      <c r="BH320" s="698">
        <f t="shared" si="598"/>
        <v>0</v>
      </c>
      <c r="BI320" s="698">
        <f>IF(Sheet1!EP322="OTHER",BM320,0)</f>
        <v>0</v>
      </c>
      <c r="BJ320" s="698">
        <f t="shared" si="599"/>
        <v>0</v>
      </c>
      <c r="BK320" s="698">
        <f t="shared" si="600"/>
        <v>0</v>
      </c>
      <c r="BL320" s="698">
        <f t="shared" si="601"/>
        <v>0</v>
      </c>
      <c r="BM320" s="698">
        <f>IF(OR(Sheet1!EP322="FM", Sheet1!EP322="OTHER"),SUM(Sheet1!BG322:'Sheet1'!BI322),0)</f>
        <v>0</v>
      </c>
      <c r="BN320" s="799">
        <f>IF(AND($B320&gt;=$FV320,$B320&lt;=$FW320),MAX(BF320,Sheet1!EI322,0),MAX(BF320-(7/36)*$K320,0))</f>
        <v>0</v>
      </c>
      <c r="BO320" s="698">
        <f t="shared" si="602"/>
        <v>0</v>
      </c>
      <c r="BP320" s="799">
        <f t="shared" si="603"/>
        <v>0</v>
      </c>
      <c r="BQ320" s="799">
        <f>IF(AND($O320&gt;0,Sheet1!EM322=1),(1-($O320-Sheet1!$L322)/$O320)*BL320,0)</f>
        <v>0</v>
      </c>
      <c r="BR320" s="799">
        <f>IF(AND(Sheet1!$L322=0,Sheet1!$L321=0, Calculation!BK320&lt;Sheet1!$EI322-0.1,Sheet1!$EI322=Sheet1!$EI321,Sheet1!$EI322=Sheet1!$EI323),Sheet1!$EI322,BL320-BQ320)</f>
        <v>0</v>
      </c>
      <c r="BS320" s="698"/>
      <c r="BT320" s="698"/>
      <c r="BU320" s="698">
        <f t="shared" si="604"/>
        <v>0</v>
      </c>
      <c r="BV320" s="698"/>
      <c r="BW320" s="698">
        <f ca="1">IF(B320&gt;Summary!$A$1,#N/A,BU320*MGtoAF)</f>
        <v>0</v>
      </c>
      <c r="BX320" s="698">
        <f>Sheet1!BC322+Sheet1!BD322+Sheet1!BE322+Sheet1!BF322-CG320-CH320</f>
        <v>2.4900000000000002</v>
      </c>
      <c r="BY320" s="698">
        <f t="shared" si="605"/>
        <v>2.4941486171276246</v>
      </c>
      <c r="BZ320" s="698">
        <f>IF(Sheet1!EQ322="FM",CH320,0)</f>
        <v>0</v>
      </c>
      <c r="CA320" s="698">
        <f t="shared" si="606"/>
        <v>0</v>
      </c>
      <c r="CB320" s="698">
        <f>IF(Sheet1!EQ322="OTHER",CH320,0)</f>
        <v>0</v>
      </c>
      <c r="CC320" s="698">
        <f t="shared" si="607"/>
        <v>0</v>
      </c>
      <c r="CD320" s="698">
        <f t="shared" si="608"/>
        <v>0</v>
      </c>
      <c r="CE320" s="698">
        <f t="shared" si="609"/>
        <v>2.4900000000000002</v>
      </c>
      <c r="CF320" s="698">
        <f t="shared" si="610"/>
        <v>2.4941486171276246</v>
      </c>
      <c r="CG320" s="698">
        <f>IF(Sheet1!EQ322="CWA",SUM(Sheet1!BC322:'Sheet1'!BF322),0)</f>
        <v>0</v>
      </c>
      <c r="CH320" s="698">
        <f>IF(OR(Sheet1!EQ322="FM", Sheet1!EQ322="OTHER"),SUM(Sheet1!BC322:'Sheet1'!BF322),0)</f>
        <v>0</v>
      </c>
      <c r="CI320" s="545">
        <f>IF(AND($B320&gt;=$FV320,$B320&lt;=$FW320),MAX(CF320,Sheet1!EJ322,0),MAX(CF320-(7/36)*$K320,0))</f>
        <v>0</v>
      </c>
      <c r="CJ320" s="698">
        <f t="shared" si="611"/>
        <v>0</v>
      </c>
      <c r="CK320" s="799">
        <f t="shared" si="612"/>
        <v>2.4941486171276246</v>
      </c>
      <c r="CL320" s="799">
        <f>IF(AND($O320&gt;0,Sheet1!EN322=1),(1-($O320-Sheet1!$L322)/$O320)*CF320,0)</f>
        <v>0</v>
      </c>
      <c r="CM320" s="799">
        <f>IF(AND(Sheet1!$L322=0,Sheet1!$L321=0, Calculation!CE320&lt;Sheet1!EJ322-0.1,Sheet1!EJ322=Sheet1!EJ321,Sheet1!EJ322=Sheet1!EJ323),Sheet1!EJ322,CF320-CL320)</f>
        <v>2.4941486171276246</v>
      </c>
      <c r="CN320" s="799"/>
      <c r="CO320" s="698"/>
      <c r="CP320" s="698">
        <f t="shared" si="613"/>
        <v>0</v>
      </c>
      <c r="CQ320" s="698"/>
      <c r="CR320" s="698">
        <f ca="1">IF(B320&gt;Summary!$A$1,#N/A,CP320*MGtoAF)</f>
        <v>0</v>
      </c>
      <c r="CS320" s="698">
        <f>Sheet1!BK322+Sheet1!BL322+Sheet1!BM322-Sheet1!ER322-DA320</f>
        <v>6.7299999999999995</v>
      </c>
      <c r="CT320" s="698">
        <f t="shared" si="614"/>
        <v>6.7412129290236589</v>
      </c>
      <c r="CU320" s="698">
        <f>IF(Sheet1!ER322="FM",DA320,0)</f>
        <v>0</v>
      </c>
      <c r="CV320" s="698">
        <f t="shared" si="615"/>
        <v>0</v>
      </c>
      <c r="CW320" s="698">
        <f>IF(Sheet1!ER322="OTHER",DA320,0)</f>
        <v>0</v>
      </c>
      <c r="CX320" s="698">
        <f t="shared" si="616"/>
        <v>0</v>
      </c>
      <c r="CY320" s="698">
        <f t="shared" si="617"/>
        <v>6.7299999999999995</v>
      </c>
      <c r="CZ320" s="698">
        <f t="shared" si="618"/>
        <v>6.7412129290236589</v>
      </c>
      <c r="DA320" s="698">
        <f>IF(OR(Sheet1!ER322="FM", Sheet1!ER322="OTHER"),SUM(Sheet1!BK322:'Sheet1'!BM322),0)</f>
        <v>0</v>
      </c>
      <c r="DB320" s="799">
        <f>IF(AND($B320&gt;=$FV320,$B320&lt;=$FW320),MAX($CT320,Sheet1!EK322,0),MAX($CT320-(7/36)*$K320,0))</f>
        <v>0</v>
      </c>
      <c r="DC320" s="698">
        <f t="shared" si="619"/>
        <v>0</v>
      </c>
      <c r="DD320" s="799">
        <f t="shared" si="620"/>
        <v>6.7412129290236589</v>
      </c>
      <c r="DE320" s="799">
        <f>IF(AND($O320&gt;0,Sheet1!EO322=1),(1-($O320-Sheet1!$L322)/$O320)*CZ320,0)</f>
        <v>0</v>
      </c>
      <c r="DF320" s="799">
        <f>IF(AND(Sheet1!$L322=0,Sheet1!$L321=0, Calculation!CY320&lt;Sheet1!$EK322-0.1,Sheet1!$EK322=Sheet1!$EK321,Sheet1!$EK322=Sheet1!$EK323),Sheet1!$EK322,CZ320-DE320)</f>
        <v>6.7412129290236589</v>
      </c>
      <c r="DG320" s="799"/>
      <c r="DH320" s="698">
        <f t="shared" si="621"/>
        <v>9.2199999999999989</v>
      </c>
      <c r="DI320" s="698">
        <f t="shared" si="622"/>
        <v>0</v>
      </c>
      <c r="DJ320" s="698">
        <f t="shared" si="623"/>
        <v>9.2353615461512835</v>
      </c>
      <c r="DK320" s="698">
        <f ca="1">IF(B320&gt;Summary!$A$1,#N/A,DI320*MGtoAF)</f>
        <v>0</v>
      </c>
      <c r="DL320" s="698">
        <f t="shared" si="624"/>
        <v>9.2199999999999989</v>
      </c>
      <c r="DM320" s="698">
        <f t="shared" si="625"/>
        <v>30.009999999999998</v>
      </c>
      <c r="DN320" s="698">
        <f>Sheet1!AB322-DM320</f>
        <v>5.0000000000000711E-2</v>
      </c>
      <c r="DO320" s="698">
        <f t="shared" si="626"/>
        <v>1.6661112962346122E-3</v>
      </c>
      <c r="DP320" s="560">
        <f>(VLOOKUP(Sheet1!DC322,hhdcap_wcm,4)-(((VLOOKUP(Sheet1!DC322,hhdcap_wcm,3)-Sheet1!DC322)/(VLOOKUP(Sheet1!DC322,hhdcap_wcm,3)-VLOOKUP(Sheet1!DC322,hhdcap_wcm,1)))*(VLOOKUP(Sheet1!DC322,hhdcap_wcm,4)-VLOOKUP(Sheet1!DC322,hhdcap_wcm,2))))</f>
        <v>2971.2000000073531</v>
      </c>
      <c r="DQ320" s="698">
        <f t="shared" si="627"/>
        <v>213.20000000053187</v>
      </c>
      <c r="DR320" s="698">
        <f t="shared" si="628"/>
        <v>107.51386787722231</v>
      </c>
      <c r="DS320" s="698">
        <f>Sheet1!EA322*AFtoMG</f>
        <v>0</v>
      </c>
      <c r="DT320" s="698">
        <f>Sheet1!EB322*AFtoMG</f>
        <v>0</v>
      </c>
      <c r="DU320" s="698">
        <f>Sheet1!EC322*AFtoMG</f>
        <v>0</v>
      </c>
      <c r="DV320" s="698">
        <f>Sheet1!ED322*AFtoMG</f>
        <v>0</v>
      </c>
      <c r="DW320" s="698">
        <f t="shared" si="629"/>
        <v>0</v>
      </c>
      <c r="DX320" s="698">
        <f t="shared" si="630"/>
        <v>0</v>
      </c>
      <c r="DY320" s="698">
        <f t="shared" si="631"/>
        <v>0</v>
      </c>
      <c r="DZ320" s="698">
        <f t="shared" si="632"/>
        <v>0</v>
      </c>
      <c r="EA320" s="698"/>
      <c r="EB320" s="799">
        <f>IF(OR(B320&lt;FV320,B320&gt;FW320),(MIN(BF320+BY320+CT320+MAX(Sheet1!AA322+AQ320-73,0),K320)),0)</f>
        <v>9.2353615461512835</v>
      </c>
      <c r="EC320" s="698"/>
      <c r="ED320" s="698">
        <f t="shared" si="633"/>
        <v>9.2353615461512835</v>
      </c>
      <c r="EE320" s="698"/>
      <c r="EF320" s="698">
        <f>Sheet1!EH322+Sheet1!EI322+Sheet1!EJ322+Sheet1!EK322</f>
        <v>9</v>
      </c>
      <c r="EG320" s="698"/>
      <c r="EH320" s="799">
        <f t="shared" si="634"/>
        <v>0</v>
      </c>
      <c r="EI320" s="560">
        <f>IF(Sheet1!ET322=1,SUM('Calculations II'!AT320:BA320)+'Calculations II'!BC320+Sheet1!BV322+'Calculations II'!BE320+AP320,SUM('Calculations II'!AT320:BA320)+'Calculations II'!BC320+Sheet1!BV322+'Calculations II'!BE320+AP320)</f>
        <v>48.303584000000001</v>
      </c>
      <c r="EJ320" s="698">
        <f>Sheet1!AA322+Sheet1!AB322+'Calculations II'!BC320</f>
        <v>52.33</v>
      </c>
      <c r="EK320" s="698"/>
      <c r="EL320" s="698"/>
      <c r="EM320" s="698">
        <f t="shared" si="635"/>
        <v>41948</v>
      </c>
      <c r="EN320" s="698">
        <f t="shared" si="636"/>
        <v>0</v>
      </c>
      <c r="EO320" s="698">
        <f t="shared" si="637"/>
        <v>0</v>
      </c>
      <c r="EP320" s="560">
        <v>0</v>
      </c>
      <c r="EQ320" s="560">
        <v>0</v>
      </c>
      <c r="ER320" s="560">
        <v>0</v>
      </c>
      <c r="ES320" s="545">
        <f t="shared" si="557"/>
        <v>-0.83096632570995388</v>
      </c>
      <c r="ET320" s="698">
        <f>-(VLOOKUP(Sheet1!BQ322,Lookup!$O$4:$Q$262,2)-VLOOKUP(Sheet1!BQ321,Lookup!$O$4:$Q$262,2))/1000000</f>
        <v>-0.41545432467094062</v>
      </c>
      <c r="EU320" s="698">
        <f>-(VLOOKUP(Sheet1!BR322,Lookup!$O$4:$Q$262,3)-VLOOKUP(Sheet1!BR321,Lookup!$O$4:$Q$262,3))/1000000</f>
        <v>-0.41551200103901326</v>
      </c>
      <c r="EV320" s="698"/>
      <c r="EW320" s="698"/>
      <c r="EX320" s="698"/>
      <c r="EY320" s="698"/>
      <c r="EZ320" s="698"/>
      <c r="FA320" s="698"/>
      <c r="FB320" s="698"/>
      <c r="FC320" s="698"/>
      <c r="FD320" s="813">
        <f t="shared" si="638"/>
        <v>1088.2947368420723</v>
      </c>
      <c r="FE320" s="813" t="e">
        <f t="shared" si="639"/>
        <v>#N/A</v>
      </c>
      <c r="FF320" s="814" t="e">
        <f t="shared" si="640"/>
        <v>#N/A</v>
      </c>
      <c r="FG320" s="815" t="s">
        <v>692</v>
      </c>
      <c r="FH320" s="815" t="s">
        <v>692</v>
      </c>
      <c r="FI320" s="813" t="e">
        <v>#N/A</v>
      </c>
      <c r="FJ320" s="778">
        <v>2250</v>
      </c>
      <c r="FK320" s="698"/>
      <c r="FL320" s="698"/>
      <c r="FM320" s="698"/>
      <c r="FN320" s="698"/>
      <c r="FO320" s="698">
        <f>O320+((Sheet1!CS322)*GPMtoMGD)</f>
        <v>52.33</v>
      </c>
      <c r="FP320" s="698">
        <f>IF(Sheet1!AA322+AQ320&lt;=Calculation!N320,AQ320,Calculation!N320-Sheet1!AA322)</f>
        <v>19.832989003665446</v>
      </c>
      <c r="FQ320" s="698">
        <f>(Sheet1!BP322+Sheet1!BO322)/694.4</f>
        <v>2.058467741935484</v>
      </c>
      <c r="FR320" s="698"/>
      <c r="FS320" s="698"/>
      <c r="FT320" s="698"/>
      <c r="FU320" s="698"/>
      <c r="FV320" s="695">
        <f t="shared" si="558"/>
        <v>41827</v>
      </c>
      <c r="FW320" s="695">
        <f t="shared" si="559"/>
        <v>41934</v>
      </c>
      <c r="FX320" s="698"/>
      <c r="FY320" s="698"/>
      <c r="FZ320" s="698"/>
      <c r="GA320" s="698"/>
      <c r="GB320" s="698" t="str">
        <f t="shared" si="560"/>
        <v>n</v>
      </c>
      <c r="GC320" s="564">
        <f t="shared" si="561"/>
        <v>41691</v>
      </c>
      <c r="GD320" s="695">
        <f t="shared" si="562"/>
        <v>41807</v>
      </c>
      <c r="GE320" s="698">
        <v>6518.9</v>
      </c>
      <c r="GF320" s="695">
        <f t="shared" si="563"/>
        <v>41808</v>
      </c>
      <c r="GG320" s="698">
        <f t="shared" si="582"/>
        <v>3259</v>
      </c>
      <c r="GH320" s="817">
        <f t="shared" si="564"/>
        <v>41934</v>
      </c>
      <c r="GI320" s="818"/>
      <c r="GJ320" s="799">
        <f t="shared" si="565"/>
        <v>0</v>
      </c>
      <c r="GK320" s="698" t="str">
        <f t="shared" si="641"/>
        <v/>
      </c>
      <c r="GL320" s="698">
        <f t="shared" si="566"/>
        <v>0</v>
      </c>
      <c r="GM320" s="698" t="str">
        <f t="shared" si="567"/>
        <v/>
      </c>
      <c r="GN320" s="698">
        <f>IF(GK320="P",Lookup!$M$12,IF(GK320="PP",Lookup!$M$13,IF(GK320="PPP",Lookup!$M$14,IF(GK320="T",Lookup!$M$15,IF(GK320="TP",Lookup!$M$16,IF(GK320="TPP",Lookup!$M$17,IF(GK320="TPPP",Lookup!$M$18,0)))))))*GJ320</f>
        <v>0</v>
      </c>
      <c r="GO320" s="698">
        <f t="shared" si="568"/>
        <v>0</v>
      </c>
      <c r="GP320" s="698">
        <f t="shared" si="642"/>
        <v>0</v>
      </c>
      <c r="GQ320" s="698">
        <f t="shared" si="576"/>
        <v>0</v>
      </c>
      <c r="GR320" s="698"/>
      <c r="GS320" s="698">
        <f t="shared" si="569"/>
        <v>0</v>
      </c>
      <c r="GT320" s="698" t="str">
        <f t="shared" si="570"/>
        <v/>
      </c>
      <c r="GU320" s="698">
        <f>IF(GK320="P",Lookup!$N$12,IF(GK320="PP",Lookup!$N$13,IF(GK320="PPP",Lookup!$N$14,IF(GK320="T",Lookup!$N$15,IF(GK320="TP",Lookup!$N$16,IF(GK320="TPP",Lookup!$N$17,IF(GK320="TPPP",Lookup!$N$18,0)))))))*GJ320</f>
        <v>0</v>
      </c>
      <c r="GV320" s="698">
        <f t="shared" si="571"/>
        <v>0</v>
      </c>
      <c r="GW320" s="698">
        <f t="shared" si="643"/>
        <v>0</v>
      </c>
      <c r="GX320" s="698">
        <f t="shared" si="577"/>
        <v>0</v>
      </c>
      <c r="GY320" s="698"/>
      <c r="GZ320" s="698">
        <f t="shared" si="572"/>
        <v>0</v>
      </c>
      <c r="HA320" s="698" t="str">
        <f t="shared" si="573"/>
        <v/>
      </c>
      <c r="HB320" s="698">
        <f>IF(GK320="P",Lookup!$N$12,IF(GK320="PP",Lookup!$N$13,IF(GK320="PPP",Lookup!$N$14,IF(GK320="T",Lookup!$N$15,IF(GK320="TP",Lookup!$N$16,IF(GK320="TPP",Lookup!$N$17,IF(GK320="TPPP",Lookup!$N$18,0)))))))*GJ320</f>
        <v>0</v>
      </c>
      <c r="HC320" s="799">
        <f t="shared" si="644"/>
        <v>0</v>
      </c>
      <c r="HD320" s="698">
        <f t="shared" si="645"/>
        <v>0</v>
      </c>
      <c r="HE320" s="698">
        <f t="shared" si="578"/>
        <v>0</v>
      </c>
      <c r="HF320" s="698"/>
      <c r="HG320" s="698">
        <f t="shared" si="574"/>
        <v>0</v>
      </c>
      <c r="HH320" s="698" t="str">
        <f t="shared" si="575"/>
        <v/>
      </c>
      <c r="HI320" s="698">
        <f>IF(GK320="P",Lookup!$N$12,IF(GK320="PP",Lookup!$N$13,IF(GK320="PPP",Lookup!$N$14,IF(GK320="T",Lookup!$N$15,IF(GK320="TP",Lookup!$N$16,IF(GK320="TPP",Lookup!$N$17,IF(GK320="TPPP",Lookup!$N$18,0)))))))*GJ320</f>
        <v>0</v>
      </c>
      <c r="HJ320" s="799">
        <f t="shared" si="646"/>
        <v>0</v>
      </c>
      <c r="HK320" s="698">
        <f t="shared" si="647"/>
        <v>0</v>
      </c>
      <c r="HL320" s="698">
        <f t="shared" si="579"/>
        <v>0</v>
      </c>
    </row>
    <row r="321" spans="1:220">
      <c r="A321" s="580" t="s">
        <v>7</v>
      </c>
      <c r="B321" s="556">
        <v>41949</v>
      </c>
      <c r="C321" s="561">
        <v>0</v>
      </c>
      <c r="D321" s="529">
        <f t="shared" si="580"/>
        <v>300</v>
      </c>
      <c r="E321" s="529">
        <f t="shared" si="581"/>
        <v>250</v>
      </c>
      <c r="F321" s="529">
        <v>250</v>
      </c>
      <c r="G321" s="560">
        <f>DR321+Sheet1!CZ323</f>
        <v>1774.3671205237631</v>
      </c>
      <c r="H321" s="914">
        <f t="shared" si="546"/>
        <v>879.9877067065604</v>
      </c>
      <c r="I321" s="559">
        <f>MAX(Sheet1!Z323-AT321+(Sheet1!DA323-E321)*CFStoMGD,0)</f>
        <v>1509.8059999999998</v>
      </c>
      <c r="J321" s="562">
        <f>IF(AND(B321&gt;=Calculation!GC321,B321&lt;=Calculation!GD321),IF(Sheet1!DB323&gt;=Calculation!D321,64.64,0),MAX(Sheet1!Z323-AT321+(Sheet1!DB323-D321)*CFStoMGD,0))</f>
        <v>1186.606</v>
      </c>
      <c r="K321" s="904">
        <f t="shared" si="583"/>
        <v>64.64</v>
      </c>
      <c r="L321" s="560">
        <f>Sheet1!AA323+Sheet1!AB323-Sheet1!L323+(Sheet1!DA323-F321)*CFStoMGD</f>
        <v>1522.8659999999998</v>
      </c>
      <c r="M321" s="560">
        <f t="shared" si="584"/>
        <v>1169.8899248406917</v>
      </c>
      <c r="N321" s="910">
        <f>IF(Sheet1!DA323&gt;=F321,MIN(73,MIN(MAX(L321,0),MAX(M321,0))),0)</f>
        <v>73</v>
      </c>
      <c r="O321" s="563">
        <f>Sheet1!AA323+Sheet1!AB323</f>
        <v>51.95</v>
      </c>
      <c r="P321" s="563">
        <f t="shared" si="585"/>
        <v>80.366649999999993</v>
      </c>
      <c r="Q321" s="898">
        <f t="shared" si="547"/>
        <v>0</v>
      </c>
      <c r="R321" s="829">
        <f t="shared" si="586"/>
        <v>9.0218513646826715</v>
      </c>
      <c r="S321" s="898">
        <f t="shared" si="649"/>
        <v>51.95</v>
      </c>
      <c r="T321" s="898">
        <f t="shared" si="549"/>
        <v>0</v>
      </c>
      <c r="U321" s="898">
        <f t="shared" si="550"/>
        <v>0</v>
      </c>
      <c r="V321" s="898"/>
      <c r="W321" s="898">
        <f t="shared" si="551"/>
        <v>55.618148635317326</v>
      </c>
      <c r="X321" s="898">
        <f t="shared" si="552"/>
        <v>51.95</v>
      </c>
      <c r="Y321" s="898" t="str">
        <f t="shared" si="553"/>
        <v/>
      </c>
      <c r="Z321" s="898">
        <f t="shared" si="554"/>
        <v>51.95</v>
      </c>
      <c r="AA321" s="898">
        <f t="shared" si="555"/>
        <v>51.95</v>
      </c>
      <c r="AB321" s="898" t="str">
        <f t="shared" si="556"/>
        <v/>
      </c>
      <c r="AC321" s="563">
        <f>Sheet1!Y323*MGDtoCFS</f>
        <v>33.941180000000003</v>
      </c>
      <c r="AD321" s="563">
        <f>Sheet1!Z323*MGDtoCFS</f>
        <v>45.713850000000001</v>
      </c>
      <c r="AE321" s="563">
        <f>Sheet1!AA323*MGDtoCFS</f>
        <v>33.2605</v>
      </c>
      <c r="AF321" s="563">
        <f>Sheet1!AB323*MGDtoCFS</f>
        <v>47.10615</v>
      </c>
      <c r="AG321" s="563">
        <f>Sheet1!L323*MGDtoCFS</f>
        <v>14.448980000000224</v>
      </c>
      <c r="AH321" s="545">
        <f t="shared" si="587"/>
        <v>0</v>
      </c>
      <c r="AI321" s="560">
        <f t="shared" si="588"/>
        <v>0</v>
      </c>
      <c r="AJ321" s="560">
        <f t="shared" si="589"/>
        <v>0</v>
      </c>
      <c r="AK321" s="560">
        <f t="shared" si="590"/>
        <v>0</v>
      </c>
      <c r="AL321" s="560">
        <f>(VLOOKUP(Sheet1!DC323,hhdcap_wcm,4)-(((VLOOKUP(Sheet1!DC323,hhdcap_wcm,3)-Sheet1!DC323)/(VLOOKUP(Sheet1!DC323,hhdcap_wcm,3)-VLOOKUP(Sheet1!DC323,hhdcap_wcm,1)))*(VLOOKUP(Sheet1!DC323,hhdcap_wcm,4)-VLOOKUP(Sheet1!DC323,hhdcap_wcm,2))))</f>
        <v>2543.6000000059753</v>
      </c>
      <c r="AM321" s="560">
        <f t="shared" si="591"/>
        <v>-427.60000000137779</v>
      </c>
      <c r="AN321" s="560">
        <f t="shared" si="592"/>
        <v>0</v>
      </c>
      <c r="AO321" s="560">
        <f t="shared" si="593"/>
        <v>0</v>
      </c>
      <c r="AP321" s="560">
        <f>Sheet1!BA323+Sheet1!BB323+Sheet1!BN323+CD321</f>
        <v>21.4</v>
      </c>
      <c r="AQ321" s="560">
        <f>Sheet1!BN323+(DO321*Sheet1!BN323)</f>
        <v>20.4268332785268</v>
      </c>
      <c r="AR321" s="560">
        <f>Sheet1!BA323+CD321</f>
        <v>0</v>
      </c>
      <c r="AS321" s="560">
        <f>Sheet1!BA323+Sheet1!BB323+CD321</f>
        <v>1</v>
      </c>
      <c r="AT321" s="698">
        <f>0</f>
        <v>0</v>
      </c>
      <c r="AU321" s="560">
        <f>IF(EB321&lt;K321,0,MAX(Sheet1!AA323+AQ321-15/36*K321-N321,Sheet1!EH323,0))</f>
        <v>0</v>
      </c>
      <c r="AV321" s="560">
        <f>IF(OR(B321&gt;=GD321,B321&lt;GC321),0,15/36*K321-MAX(0,64.6-(137.6-(Sheet1!AA323+Sheet1!AB323))))</f>
        <v>0</v>
      </c>
      <c r="AW321" s="698">
        <f>Sheet1!DB323-110</f>
        <v>1980</v>
      </c>
      <c r="AX321" s="698">
        <f>Sheet1!DA323-265</f>
        <v>2275</v>
      </c>
      <c r="AY321" s="698">
        <f t="shared" si="594"/>
        <v>73</v>
      </c>
      <c r="AZ321" s="698">
        <v>0</v>
      </c>
      <c r="BA321" s="698">
        <f t="shared" si="595"/>
        <v>0</v>
      </c>
      <c r="BB321" s="560">
        <f t="shared" si="596"/>
        <v>0</v>
      </c>
      <c r="BC321" s="560"/>
      <c r="BD321" s="560">
        <f ca="1">IF(B321&gt;Summary!$A$1,#N/A,BB321*MGtoAF)</f>
        <v>0</v>
      </c>
      <c r="BE321" s="560">
        <f>Sheet1!BG323+Sheet1!BH323+Sheet1!BI323-BM321</f>
        <v>0</v>
      </c>
      <c r="BF321" s="560">
        <f t="shared" si="597"/>
        <v>0</v>
      </c>
      <c r="BG321" s="560">
        <f>IF(Sheet1!EP323="FM",BM321,0)</f>
        <v>0</v>
      </c>
      <c r="BH321" s="560">
        <f t="shared" si="598"/>
        <v>0</v>
      </c>
      <c r="BI321" s="560">
        <f>IF(Sheet1!EP323="OTHER",BM321,0)</f>
        <v>0</v>
      </c>
      <c r="BJ321" s="560">
        <f t="shared" si="599"/>
        <v>0</v>
      </c>
      <c r="BK321" s="560">
        <f t="shared" si="600"/>
        <v>0</v>
      </c>
      <c r="BL321" s="560">
        <f t="shared" si="601"/>
        <v>0</v>
      </c>
      <c r="BM321" s="560">
        <f>IF(OR(Sheet1!EP323="FM", Sheet1!EP323="OTHER"),SUM(Sheet1!BG323:'Sheet1'!BI323),0)</f>
        <v>0</v>
      </c>
      <c r="BN321" s="545">
        <f>IF(AND($B321&gt;=$FV321,$B321&lt;=$FW321),MAX(BF321,Sheet1!EI323,0),MAX(BF321-(7/36)*$K321,0))</f>
        <v>0</v>
      </c>
      <c r="BO321" s="560">
        <f t="shared" si="602"/>
        <v>0</v>
      </c>
      <c r="BP321" s="545">
        <f t="shared" si="603"/>
        <v>0</v>
      </c>
      <c r="BQ321" s="545">
        <f>IF(AND($O321&gt;0,Sheet1!EM323=1),(1-($O321-Sheet1!$L323)/$O321)*BL321,0)</f>
        <v>0</v>
      </c>
      <c r="BR321" s="545">
        <f>IF(AND(Sheet1!$L323=0,Sheet1!$L322=0, Calculation!BK321&lt;Sheet1!$EI323-0.1,Sheet1!$EI323=Sheet1!$EI322,Sheet1!$EI323=Sheet1!$EI324),Sheet1!$EI323,BL321-BQ321)</f>
        <v>0</v>
      </c>
      <c r="BS321" s="560"/>
      <c r="BT321" s="560"/>
      <c r="BU321" s="560">
        <f t="shared" si="604"/>
        <v>0</v>
      </c>
      <c r="BV321" s="560"/>
      <c r="BW321" s="560">
        <f ca="1">IF(B321&gt;Summary!$A$1,#N/A,BU321*MGtoAF)</f>
        <v>0</v>
      </c>
      <c r="BX321" s="560">
        <f>Sheet1!BC323+Sheet1!BD323+Sheet1!BE323+Sheet1!BF323-CG321-CH321</f>
        <v>2.4900000000000002</v>
      </c>
      <c r="BY321" s="560">
        <f t="shared" si="605"/>
        <v>2.4932752384084189</v>
      </c>
      <c r="BZ321" s="560">
        <f>IF(Sheet1!EQ323="FM",CH321,0)</f>
        <v>0</v>
      </c>
      <c r="CA321" s="560">
        <f t="shared" si="606"/>
        <v>0</v>
      </c>
      <c r="CB321" s="560">
        <f>IF(Sheet1!EQ323="OTHER",CH321,0)</f>
        <v>0</v>
      </c>
      <c r="CC321" s="560">
        <f t="shared" si="607"/>
        <v>0</v>
      </c>
      <c r="CD321" s="560">
        <f t="shared" si="608"/>
        <v>0</v>
      </c>
      <c r="CE321" s="560">
        <f t="shared" si="609"/>
        <v>2.4900000000000002</v>
      </c>
      <c r="CF321" s="560">
        <f t="shared" si="610"/>
        <v>2.4932752384084189</v>
      </c>
      <c r="CG321" s="560">
        <f>IF(Sheet1!EQ323="CWA",SUM(Sheet1!BC323:'Sheet1'!BF323),0)</f>
        <v>0</v>
      </c>
      <c r="CH321" s="560">
        <f>IF(OR(Sheet1!EQ323="FM", Sheet1!EQ323="OTHER"),SUM(Sheet1!BC323:'Sheet1'!BF323),0)</f>
        <v>0</v>
      </c>
      <c r="CI321" s="545">
        <f>IF(AND($B321&gt;=$FV321,$B321&lt;=$FW321),MAX(CF321,Sheet1!EJ323,0),MAX(CF321-(7/36)*$K321,0))</f>
        <v>0</v>
      </c>
      <c r="CJ321" s="560">
        <f t="shared" si="611"/>
        <v>0</v>
      </c>
      <c r="CK321" s="545">
        <f t="shared" si="612"/>
        <v>2.4932752384084189</v>
      </c>
      <c r="CL321" s="545">
        <f>IF(AND($O321&gt;0,Sheet1!EN323=1),(1-($O321-Sheet1!$L323)/$O321)*CF321,0)</f>
        <v>0</v>
      </c>
      <c r="CM321" s="545">
        <f>IF(AND(Sheet1!$L323=0,Sheet1!$L322=0, Calculation!CE321&lt;Sheet1!EJ323-0.1,Sheet1!EJ323=Sheet1!EJ322,Sheet1!EJ323=Sheet1!EJ324),Sheet1!EJ323,CF321-CL321)</f>
        <v>2.4932752384084189</v>
      </c>
      <c r="CN321" s="545"/>
      <c r="CO321" s="560"/>
      <c r="CP321" s="560">
        <f t="shared" si="613"/>
        <v>0</v>
      </c>
      <c r="CQ321" s="560"/>
      <c r="CR321" s="560">
        <f ca="1">IF(B321&gt;Summary!$A$1,#N/A,CP321*MGtoAF)</f>
        <v>0</v>
      </c>
      <c r="CS321" s="560">
        <f>Sheet1!BK323+Sheet1!BL323+Sheet1!BM323-Sheet1!ER323-DA321</f>
        <v>6.52</v>
      </c>
      <c r="CT321" s="560">
        <f t="shared" si="614"/>
        <v>6.5285761262742517</v>
      </c>
      <c r="CU321" s="560">
        <f>IF(Sheet1!ER323="FM",DA321,0)</f>
        <v>0</v>
      </c>
      <c r="CV321" s="560">
        <f t="shared" si="615"/>
        <v>0</v>
      </c>
      <c r="CW321" s="560">
        <f>IF(Sheet1!ER323="OTHER",DA321,0)</f>
        <v>0</v>
      </c>
      <c r="CX321" s="560">
        <f t="shared" si="616"/>
        <v>0</v>
      </c>
      <c r="CY321" s="560">
        <f t="shared" si="617"/>
        <v>6.52</v>
      </c>
      <c r="CZ321" s="560">
        <f t="shared" si="618"/>
        <v>6.5285761262742517</v>
      </c>
      <c r="DA321" s="560">
        <f>IF(OR(Sheet1!ER323="FM", Sheet1!ER323="OTHER"),SUM(Sheet1!BK323:'Sheet1'!BM323),0)</f>
        <v>0</v>
      </c>
      <c r="DB321" s="545">
        <f>IF(AND($B321&gt;=$FV321,$B321&lt;=$FW321),MAX($CT321,Sheet1!EK323,0),MAX($CT321-(7/36)*$K321,0))</f>
        <v>0</v>
      </c>
      <c r="DC321" s="560">
        <f t="shared" si="619"/>
        <v>0</v>
      </c>
      <c r="DD321" s="545">
        <f t="shared" si="620"/>
        <v>6.5285761262742517</v>
      </c>
      <c r="DE321" s="545">
        <f>IF(AND($O321&gt;0,Sheet1!EO323=1),(1-($O321-Sheet1!$L323)/$O321)*CZ321,0)</f>
        <v>0</v>
      </c>
      <c r="DF321" s="545">
        <f>IF(AND(Sheet1!$L323=0,Sheet1!$L322=0, Calculation!CY321&lt;Sheet1!$EK323-0.1,Sheet1!$EK323=Sheet1!$EK322,Sheet1!$EK323=Sheet1!$EK324),Sheet1!$EK323,CZ321-DE321)</f>
        <v>6.5285761262742517</v>
      </c>
      <c r="DG321" s="545"/>
      <c r="DH321" s="560">
        <f t="shared" si="621"/>
        <v>9.01</v>
      </c>
      <c r="DI321" s="560">
        <f t="shared" si="622"/>
        <v>0</v>
      </c>
      <c r="DJ321" s="698">
        <f t="shared" si="623"/>
        <v>9.0218513646826715</v>
      </c>
      <c r="DK321" s="560">
        <f ca="1">IF(B321&gt;Summary!$A$1,#N/A,DI321*MGtoAF)</f>
        <v>0</v>
      </c>
      <c r="DL321" s="698">
        <f t="shared" si="624"/>
        <v>9.01</v>
      </c>
      <c r="DM321" s="560">
        <f t="shared" si="625"/>
        <v>30.409999999999997</v>
      </c>
      <c r="DN321" s="560">
        <f>Sheet1!AB323-DM321</f>
        <v>4.00000000000027E-2</v>
      </c>
      <c r="DO321" s="560">
        <f t="shared" si="626"/>
        <v>1.31535679052952E-3</v>
      </c>
      <c r="DP321" s="560">
        <f>(VLOOKUP(Sheet1!DC323,hhdcap_wcm,4)-(((VLOOKUP(Sheet1!DC323,hhdcap_wcm,3)-Sheet1!DC323)/(VLOOKUP(Sheet1!DC323,hhdcap_wcm,3)-VLOOKUP(Sheet1!DC323,hhdcap_wcm,1)))*(VLOOKUP(Sheet1!DC323,hhdcap_wcm,4)-VLOOKUP(Sheet1!DC323,hhdcap_wcm,2))))</f>
        <v>2543.6000000059753</v>
      </c>
      <c r="DQ321" s="560">
        <f t="shared" si="627"/>
        <v>-427.60000000137779</v>
      </c>
      <c r="DR321" s="560">
        <f t="shared" si="628"/>
        <v>-215.63287947623689</v>
      </c>
      <c r="DS321" s="560">
        <f>Sheet1!EA323*AFtoMG</f>
        <v>0</v>
      </c>
      <c r="DT321" s="560">
        <f>Sheet1!EB323*AFtoMG</f>
        <v>0</v>
      </c>
      <c r="DU321" s="560">
        <f>Sheet1!EC323*AFtoMG</f>
        <v>0</v>
      </c>
      <c r="DV321" s="560">
        <f>Sheet1!ED323*AFtoMG</f>
        <v>0</v>
      </c>
      <c r="DW321" s="560">
        <f t="shared" si="629"/>
        <v>0</v>
      </c>
      <c r="DX321" s="560">
        <f t="shared" si="630"/>
        <v>0</v>
      </c>
      <c r="DY321" s="560">
        <f t="shared" si="631"/>
        <v>0</v>
      </c>
      <c r="DZ321" s="560">
        <f t="shared" si="632"/>
        <v>0</v>
      </c>
      <c r="EA321" s="560"/>
      <c r="EB321" s="545">
        <f>IF(OR(B321&lt;FV321,B321&gt;FW321),(MIN(BF321+BY321+CT321+MAX(Sheet1!AA323+AQ321-73,0),K321)),0)</f>
        <v>9.0218513646826715</v>
      </c>
      <c r="EC321" s="560"/>
      <c r="ED321" s="560">
        <f t="shared" si="633"/>
        <v>9.0218513646826715</v>
      </c>
      <c r="EE321" s="560"/>
      <c r="EF321" s="560">
        <f>Sheet1!EH323+Sheet1!EI323+Sheet1!EJ323+Sheet1!EK323</f>
        <v>9</v>
      </c>
      <c r="EG321" s="560"/>
      <c r="EH321" s="545">
        <f t="shared" si="634"/>
        <v>0</v>
      </c>
      <c r="EI321" s="560">
        <f>IF(Sheet1!ET323=1,SUM('Calculations II'!AT321:BA321)+'Calculations II'!BC321+Sheet1!BV323+'Calculations II'!BE321+AP321,SUM('Calculations II'!AT321:BA321)+'Calculations II'!BC321+Sheet1!BV323+'Calculations II'!BE321+AP321)</f>
        <v>44.349248000000003</v>
      </c>
      <c r="EJ321" s="560">
        <f>Sheet1!AA323+Sheet1!AB323+'Calculations II'!BC321</f>
        <v>51.95</v>
      </c>
      <c r="EK321" s="560"/>
      <c r="EL321" s="560"/>
      <c r="EM321" s="560">
        <f t="shared" si="635"/>
        <v>41949</v>
      </c>
      <c r="EN321" s="560">
        <f t="shared" si="636"/>
        <v>0</v>
      </c>
      <c r="EO321" s="560">
        <f t="shared" si="637"/>
        <v>0</v>
      </c>
      <c r="EP321" s="560">
        <v>0</v>
      </c>
      <c r="EQ321" s="560">
        <v>0</v>
      </c>
      <c r="ER321" s="560">
        <v>0</v>
      </c>
      <c r="ES321" s="545">
        <f t="shared" si="557"/>
        <v>-4.9882207248634849</v>
      </c>
      <c r="ET321" s="560">
        <f>-(VLOOKUP(Sheet1!BQ323,Lookup!$O$4:$Q$262,2)-VLOOKUP(Sheet1!BQ322,Lookup!$O$4:$Q$262,2))/1000000</f>
        <v>-2.4939372914262155</v>
      </c>
      <c r="EU321" s="560">
        <f>-(VLOOKUP(Sheet1!BR323,Lookup!$O$4:$Q$262,3)-VLOOKUP(Sheet1!BR322,Lookup!$O$4:$Q$262,3))/1000000</f>
        <v>-2.494283433437269</v>
      </c>
      <c r="EV321" s="560"/>
      <c r="EW321" s="560"/>
      <c r="EX321" s="560"/>
      <c r="EY321" s="560"/>
      <c r="EZ321" s="560"/>
      <c r="FA321" s="560"/>
      <c r="FB321" s="560"/>
      <c r="FC321" s="560"/>
      <c r="FD321" s="594">
        <f t="shared" si="638"/>
        <v>1087.7999999999674</v>
      </c>
      <c r="FE321" s="594" t="e">
        <f t="shared" si="639"/>
        <v>#N/A</v>
      </c>
      <c r="FF321" s="595" t="e">
        <f t="shared" si="640"/>
        <v>#N/A</v>
      </c>
      <c r="FG321" s="596" t="s">
        <v>692</v>
      </c>
      <c r="FH321" s="596" t="s">
        <v>692</v>
      </c>
      <c r="FI321" s="594" t="e">
        <v>#N/A</v>
      </c>
      <c r="FJ321" s="778">
        <v>2160</v>
      </c>
      <c r="FK321" s="560"/>
      <c r="FL321" s="560"/>
      <c r="FM321" s="560"/>
      <c r="FN321" s="560"/>
      <c r="FO321" s="560">
        <f>O321+((Sheet1!CS323)*GPMtoMGD)</f>
        <v>51.95</v>
      </c>
      <c r="FP321" s="560">
        <f>IF(Sheet1!AA323+AQ321&lt;=Calculation!N321,AQ321,Calculation!N321-Sheet1!AA323)</f>
        <v>20.4268332785268</v>
      </c>
      <c r="FQ321" s="560">
        <f>(Sheet1!BP323+Sheet1!BO323)/694.4</f>
        <v>0.62874423963133641</v>
      </c>
      <c r="FR321" s="560"/>
      <c r="FS321" s="560"/>
      <c r="FT321" s="560"/>
      <c r="FU321" s="560"/>
      <c r="FV321" s="695">
        <f t="shared" si="558"/>
        <v>41827</v>
      </c>
      <c r="FW321" s="695">
        <f t="shared" si="559"/>
        <v>41934</v>
      </c>
      <c r="FX321" s="560"/>
      <c r="FY321" s="560"/>
      <c r="FZ321" s="560"/>
      <c r="GA321" s="560"/>
      <c r="GB321" s="560" t="str">
        <f t="shared" si="560"/>
        <v>n</v>
      </c>
      <c r="GC321" s="564">
        <f t="shared" si="561"/>
        <v>41691</v>
      </c>
      <c r="GD321" s="695">
        <f t="shared" si="562"/>
        <v>41807</v>
      </c>
      <c r="GE321" s="560">
        <v>6518.9</v>
      </c>
      <c r="GF321" s="695">
        <f t="shared" si="563"/>
        <v>41808</v>
      </c>
      <c r="GG321" s="560">
        <f t="shared" si="582"/>
        <v>3259</v>
      </c>
      <c r="GH321" s="564">
        <f t="shared" si="564"/>
        <v>41934</v>
      </c>
      <c r="GJ321" s="545">
        <f t="shared" si="565"/>
        <v>0</v>
      </c>
      <c r="GK321" s="560" t="str">
        <f t="shared" si="641"/>
        <v/>
      </c>
      <c r="GL321" s="560">
        <f t="shared" si="566"/>
        <v>0</v>
      </c>
      <c r="GM321" s="560" t="str">
        <f t="shared" si="567"/>
        <v/>
      </c>
      <c r="GN321" s="560">
        <f>IF(GK321="P",Lookup!$M$12,IF(GK321="PP",Lookup!$M$13,IF(GK321="PPP",Lookup!$M$14,IF(GK321="T",Lookup!$M$15,IF(GK321="TP",Lookup!$M$16,IF(GK321="TPP",Lookup!$M$17,IF(GK321="TPPP",Lookup!$M$18,0)))))))*GJ321</f>
        <v>0</v>
      </c>
      <c r="GO321" s="560">
        <f t="shared" si="568"/>
        <v>0</v>
      </c>
      <c r="GP321" s="560">
        <f t="shared" si="642"/>
        <v>0</v>
      </c>
      <c r="GQ321" s="560">
        <f t="shared" si="576"/>
        <v>0</v>
      </c>
      <c r="GR321" s="560"/>
      <c r="GS321" s="560">
        <f t="shared" si="569"/>
        <v>0</v>
      </c>
      <c r="GT321" s="560" t="str">
        <f t="shared" si="570"/>
        <v/>
      </c>
      <c r="GU321" s="560">
        <f>IF(GK321="P",Lookup!$N$12,IF(GK321="PP",Lookup!$N$13,IF(GK321="PPP",Lookup!$N$14,IF(GK321="T",Lookup!$N$15,IF(GK321="TP",Lookup!$N$16,IF(GK321="TPP",Lookup!$N$17,IF(GK321="TPPP",Lookup!$N$18,0)))))))*GJ321</f>
        <v>0</v>
      </c>
      <c r="GV321" s="560">
        <f t="shared" si="571"/>
        <v>0</v>
      </c>
      <c r="GW321" s="560">
        <f t="shared" si="643"/>
        <v>0</v>
      </c>
      <c r="GX321" s="560">
        <f t="shared" si="577"/>
        <v>0</v>
      </c>
      <c r="GY321" s="560"/>
      <c r="GZ321" s="560">
        <f t="shared" si="572"/>
        <v>0</v>
      </c>
      <c r="HA321" s="560" t="str">
        <f t="shared" si="573"/>
        <v/>
      </c>
      <c r="HB321" s="560">
        <f>IF(GK321="P",Lookup!$N$12,IF(GK321="PP",Lookup!$N$13,IF(GK321="PPP",Lookup!$N$14,IF(GK321="T",Lookup!$N$15,IF(GK321="TP",Lookup!$N$16,IF(GK321="TPP",Lookup!$N$17,IF(GK321="TPPP",Lookup!$N$18,0)))))))*GJ321</f>
        <v>0</v>
      </c>
      <c r="HC321" s="545">
        <f t="shared" si="644"/>
        <v>0</v>
      </c>
      <c r="HD321" s="560">
        <f t="shared" si="645"/>
        <v>0</v>
      </c>
      <c r="HE321" s="560">
        <f t="shared" si="578"/>
        <v>0</v>
      </c>
      <c r="HF321" s="560"/>
      <c r="HG321" s="560">
        <f t="shared" si="574"/>
        <v>0</v>
      </c>
      <c r="HH321" s="560" t="str">
        <f t="shared" si="575"/>
        <v/>
      </c>
      <c r="HI321" s="560">
        <f>IF(GK321="P",Lookup!$N$12,IF(GK321="PP",Lookup!$N$13,IF(GK321="PPP",Lookup!$N$14,IF(GK321="T",Lookup!$N$15,IF(GK321="TP",Lookup!$N$16,IF(GK321="TPP",Lookup!$N$17,IF(GK321="TPPP",Lookup!$N$18,0)))))))*GJ321</f>
        <v>0</v>
      </c>
      <c r="HJ321" s="545">
        <f t="shared" si="646"/>
        <v>0</v>
      </c>
      <c r="HK321" s="560">
        <f t="shared" si="647"/>
        <v>0</v>
      </c>
      <c r="HL321" s="560">
        <f t="shared" si="579"/>
        <v>0</v>
      </c>
    </row>
    <row r="322" spans="1:220">
      <c r="A322" s="580" t="s">
        <v>8</v>
      </c>
      <c r="B322" s="556">
        <v>41950</v>
      </c>
      <c r="C322" s="561">
        <v>0</v>
      </c>
      <c r="D322" s="529">
        <f t="shared" si="580"/>
        <v>300</v>
      </c>
      <c r="E322" s="529">
        <f t="shared" si="581"/>
        <v>250</v>
      </c>
      <c r="F322" s="529">
        <v>250</v>
      </c>
      <c r="G322" s="560">
        <f>DR322+Sheet1!CZ324</f>
        <v>1467.831568330547</v>
      </c>
      <c r="H322" s="914">
        <f t="shared" si="546"/>
        <v>681.84312576886555</v>
      </c>
      <c r="I322" s="559">
        <f>MAX(Sheet1!Z324-AT322+(Sheet1!DA324-E322)*CFStoMGD,0)</f>
        <v>1174.578</v>
      </c>
      <c r="J322" s="562">
        <f>IF(AND(B322&gt;=Calculation!GC322,B322&lt;=Calculation!GD322),IF(Sheet1!DB324&gt;=Calculation!D322,64.64,0),MAX(Sheet1!Z324-AT322+(Sheet1!DB324-D322)*CFStoMGD,0))</f>
        <v>870.77</v>
      </c>
      <c r="K322" s="904">
        <f t="shared" si="583"/>
        <v>64.64</v>
      </c>
      <c r="L322" s="560">
        <f>Sheet1!AA324+Sheet1!AB324-Sheet1!L324+(Sheet1!DA324-F322)*CFStoMGD</f>
        <v>1186.6480000000004</v>
      </c>
      <c r="M322" s="560">
        <f t="shared" si="584"/>
        <v>967.78245228424294</v>
      </c>
      <c r="N322" s="910">
        <f>IF(Sheet1!DA324&gt;=F322,MIN(73,MIN(MAX(L322,0),MAX(M322,0))),0)</f>
        <v>73</v>
      </c>
      <c r="O322" s="563">
        <f>Sheet1!AA324+Sheet1!AB324</f>
        <v>51.5</v>
      </c>
      <c r="P322" s="563">
        <f t="shared" si="585"/>
        <v>79.670500000000004</v>
      </c>
      <c r="Q322" s="898">
        <f t="shared" si="547"/>
        <v>0</v>
      </c>
      <c r="R322" s="829">
        <f t="shared" si="586"/>
        <v>8.9993722536095415</v>
      </c>
      <c r="S322" s="898">
        <f t="shared" si="649"/>
        <v>51.5</v>
      </c>
      <c r="T322" s="898">
        <f t="shared" si="549"/>
        <v>0</v>
      </c>
      <c r="U322" s="898">
        <f t="shared" si="550"/>
        <v>0</v>
      </c>
      <c r="V322" s="898"/>
      <c r="W322" s="898">
        <f t="shared" si="551"/>
        <v>55.640627746390457</v>
      </c>
      <c r="X322" s="898">
        <f t="shared" si="552"/>
        <v>51.5</v>
      </c>
      <c r="Y322" s="898" t="str">
        <f t="shared" si="553"/>
        <v/>
      </c>
      <c r="Z322" s="898">
        <f t="shared" si="554"/>
        <v>51.5</v>
      </c>
      <c r="AA322" s="898">
        <f t="shared" si="555"/>
        <v>51.5</v>
      </c>
      <c r="AB322" s="898" t="str">
        <f t="shared" si="556"/>
        <v/>
      </c>
      <c r="AC322" s="563">
        <f>Sheet1!Y324*MGDtoCFS</f>
        <v>33.2605</v>
      </c>
      <c r="AD322" s="563">
        <f>Sheet1!Z324*MGDtoCFS</f>
        <v>47.10615</v>
      </c>
      <c r="AE322" s="563">
        <f>Sheet1!AA324*MGDtoCFS</f>
        <v>30.166499999999999</v>
      </c>
      <c r="AF322" s="563">
        <f>Sheet1!AB324*MGDtoCFS</f>
        <v>49.503999999999998</v>
      </c>
      <c r="AG322" s="563">
        <f>Sheet1!L324*MGDtoCFS</f>
        <v>13.892059999999324</v>
      </c>
      <c r="AH322" s="545">
        <f t="shared" si="587"/>
        <v>0</v>
      </c>
      <c r="AI322" s="560">
        <f t="shared" si="588"/>
        <v>0</v>
      </c>
      <c r="AJ322" s="560">
        <f t="shared" si="589"/>
        <v>0</v>
      </c>
      <c r="AK322" s="560">
        <f t="shared" si="590"/>
        <v>0</v>
      </c>
      <c r="AL322" s="560">
        <f>(VLOOKUP(Sheet1!DC324,hhdcap_wcm,4)-(((VLOOKUP(Sheet1!DC324,hhdcap_wcm,3)-Sheet1!DC324)/(VLOOKUP(Sheet1!DC324,hhdcap_wcm,3)-VLOOKUP(Sheet1!DC324,hhdcap_wcm,1)))*(VLOOKUP(Sheet1!DC324,hhdcap_wcm,4)-VLOOKUP(Sheet1!DC324,hhdcap_wcm,2))))</f>
        <v>2341.0000000054501</v>
      </c>
      <c r="AM322" s="560">
        <f t="shared" si="591"/>
        <v>-202.60000000052514</v>
      </c>
      <c r="AN322" s="560">
        <f t="shared" si="592"/>
        <v>0</v>
      </c>
      <c r="AO322" s="560">
        <f t="shared" si="593"/>
        <v>0</v>
      </c>
      <c r="AP322" s="560">
        <f>Sheet1!BA324+Sheet1!BB324+Sheet1!BN324+CD322</f>
        <v>22.9</v>
      </c>
      <c r="AQ322" s="560">
        <f>Sheet1!BN324+(DO322*Sheet1!BN324)</f>
        <v>21.996233521657249</v>
      </c>
      <c r="AR322" s="560">
        <f>Sheet1!BA324+CD322</f>
        <v>0</v>
      </c>
      <c r="AS322" s="560">
        <f>Sheet1!BA324+Sheet1!BB324+CD322</f>
        <v>1</v>
      </c>
      <c r="AT322" s="698">
        <f>0</f>
        <v>0</v>
      </c>
      <c r="AU322" s="560">
        <f>IF(EB322&lt;K322,0,MAX(Sheet1!AA324+AQ322-15/36*K322-N322,Sheet1!EH324,0))</f>
        <v>0</v>
      </c>
      <c r="AV322" s="560">
        <f>IF(OR(B322&gt;=GD322,B322&lt;GC322),0,15/36*K322-MAX(0,64.6-(137.6-(Sheet1!AA324+Sheet1!AB324))))</f>
        <v>0</v>
      </c>
      <c r="AW322" s="698">
        <f>Sheet1!DB324-110</f>
        <v>1490</v>
      </c>
      <c r="AX322" s="698">
        <f>Sheet1!DA324-265</f>
        <v>1755</v>
      </c>
      <c r="AY322" s="698">
        <f t="shared" si="594"/>
        <v>73</v>
      </c>
      <c r="AZ322" s="698">
        <v>0</v>
      </c>
      <c r="BA322" s="698">
        <f t="shared" si="595"/>
        <v>0</v>
      </c>
      <c r="BB322" s="560">
        <f t="shared" si="596"/>
        <v>0</v>
      </c>
      <c r="BC322" s="560"/>
      <c r="BD322" s="560">
        <f ca="1">IF(B322&gt;Summary!$A$1,#N/A,BB322*MGtoAF)</f>
        <v>0</v>
      </c>
      <c r="BE322" s="560">
        <f>Sheet1!BG324+Sheet1!BH324+Sheet1!BI324-BM322</f>
        <v>0</v>
      </c>
      <c r="BF322" s="560">
        <f t="shared" si="597"/>
        <v>0</v>
      </c>
      <c r="BG322" s="560">
        <f>IF(Sheet1!EP324="FM",BM322,0)</f>
        <v>0</v>
      </c>
      <c r="BH322" s="560">
        <f t="shared" si="598"/>
        <v>0</v>
      </c>
      <c r="BI322" s="560">
        <f>IF(Sheet1!EP324="OTHER",BM322,0)</f>
        <v>0</v>
      </c>
      <c r="BJ322" s="560">
        <f t="shared" si="599"/>
        <v>0</v>
      </c>
      <c r="BK322" s="560">
        <f t="shared" si="600"/>
        <v>0</v>
      </c>
      <c r="BL322" s="560">
        <f t="shared" si="601"/>
        <v>0</v>
      </c>
      <c r="BM322" s="560">
        <f>IF(OR(Sheet1!EP324="FM", Sheet1!EP324="OTHER"),SUM(Sheet1!BG324:'Sheet1'!BI324),0)</f>
        <v>0</v>
      </c>
      <c r="BN322" s="545">
        <f>IF(AND($B322&gt;=$FV322,$B322&lt;=$FW322),MAX(BF322,Sheet1!EI324,0),MAX(BF322-(7/36)*$K322,0))</f>
        <v>0</v>
      </c>
      <c r="BO322" s="560">
        <f t="shared" si="602"/>
        <v>0</v>
      </c>
      <c r="BP322" s="545">
        <f t="shared" si="603"/>
        <v>0</v>
      </c>
      <c r="BQ322" s="545">
        <f>IF(AND($O322&gt;0,Sheet1!EM324=1),(1-($O322-Sheet1!$L324)/$O322)*BL322,0)</f>
        <v>0</v>
      </c>
      <c r="BR322" s="545">
        <f>IF(AND(Sheet1!$L324=0,Sheet1!$L323=0, Calculation!BK322&lt;Sheet1!$EI324-0.1,Sheet1!$EI324=Sheet1!$EI323,Sheet1!$EI324=Sheet1!$EI325),Sheet1!$EI324,BL322-BQ322)</f>
        <v>0</v>
      </c>
      <c r="BS322" s="560"/>
      <c r="BT322" s="560"/>
      <c r="BU322" s="560">
        <f t="shared" si="604"/>
        <v>0</v>
      </c>
      <c r="BV322" s="560"/>
      <c r="BW322" s="560">
        <f ca="1">IF(B322&gt;Summary!$A$1,#N/A,BU322*MGtoAF)</f>
        <v>0</v>
      </c>
      <c r="BX322" s="560">
        <f>Sheet1!BC324+Sheet1!BD324+Sheet1!BE324+Sheet1!BF324-CG322-CH322</f>
        <v>2.4900000000000002</v>
      </c>
      <c r="BY322" s="560">
        <f t="shared" si="605"/>
        <v>2.5009416195856877</v>
      </c>
      <c r="BZ322" s="560">
        <f>IF(Sheet1!EQ324="FM",CH322,0)</f>
        <v>0</v>
      </c>
      <c r="CA322" s="560">
        <f t="shared" si="606"/>
        <v>0</v>
      </c>
      <c r="CB322" s="560">
        <f>IF(Sheet1!EQ324="OTHER",CH322,0)</f>
        <v>0</v>
      </c>
      <c r="CC322" s="560">
        <f t="shared" si="607"/>
        <v>0</v>
      </c>
      <c r="CD322" s="560">
        <f t="shared" si="608"/>
        <v>0</v>
      </c>
      <c r="CE322" s="560">
        <f t="shared" si="609"/>
        <v>2.4900000000000002</v>
      </c>
      <c r="CF322" s="560">
        <f t="shared" si="610"/>
        <v>2.5009416195856877</v>
      </c>
      <c r="CG322" s="560">
        <f>IF(Sheet1!EQ324="CWA",SUM(Sheet1!BC324:'Sheet1'!BF324),0)</f>
        <v>0</v>
      </c>
      <c r="CH322" s="560">
        <f>IF(OR(Sheet1!EQ324="FM", Sheet1!EQ324="OTHER"),SUM(Sheet1!BC324:'Sheet1'!BF324),0)</f>
        <v>0</v>
      </c>
      <c r="CI322" s="545">
        <f>IF(AND($B322&gt;=$FV322,$B322&lt;=$FW322),MAX(CF322,Sheet1!EJ324,0),MAX(CF322-(7/36)*$K322,0))</f>
        <v>0</v>
      </c>
      <c r="CJ322" s="560">
        <f t="shared" si="611"/>
        <v>0</v>
      </c>
      <c r="CK322" s="545">
        <f t="shared" si="612"/>
        <v>2.5009416195856877</v>
      </c>
      <c r="CL322" s="545">
        <f>IF(AND($O322&gt;0,Sheet1!EN324=1),(1-($O322-Sheet1!$L324)/$O322)*CF322,0)</f>
        <v>0</v>
      </c>
      <c r="CM322" s="545">
        <f>IF(AND(Sheet1!$L324=0,Sheet1!$L323=0, Calculation!CE322&lt;Sheet1!EJ324-0.1,Sheet1!EJ324=Sheet1!EJ323,Sheet1!EJ324=Sheet1!EJ325),Sheet1!EJ324,CF322-CL322)</f>
        <v>2.5009416195856877</v>
      </c>
      <c r="CN322" s="545"/>
      <c r="CO322" s="560"/>
      <c r="CP322" s="560">
        <f t="shared" si="613"/>
        <v>0</v>
      </c>
      <c r="CQ322" s="560"/>
      <c r="CR322" s="560">
        <f ca="1">IF(B322&gt;Summary!$A$1,#N/A,CP322*MGtoAF)</f>
        <v>0</v>
      </c>
      <c r="CS322" s="560">
        <f>Sheet1!BK324+Sheet1!BL324+Sheet1!BM324-Sheet1!ER324-DA322</f>
        <v>6.47</v>
      </c>
      <c r="CT322" s="560">
        <f t="shared" si="614"/>
        <v>6.4984306340238538</v>
      </c>
      <c r="CU322" s="560">
        <f>IF(Sheet1!ER324="FM",DA322,0)</f>
        <v>0</v>
      </c>
      <c r="CV322" s="560">
        <f t="shared" si="615"/>
        <v>0</v>
      </c>
      <c r="CW322" s="560">
        <f>IF(Sheet1!ER324="OTHER",DA322,0)</f>
        <v>0</v>
      </c>
      <c r="CX322" s="560">
        <f t="shared" si="616"/>
        <v>0</v>
      </c>
      <c r="CY322" s="560">
        <f t="shared" si="617"/>
        <v>6.47</v>
      </c>
      <c r="CZ322" s="560">
        <f t="shared" si="618"/>
        <v>6.4984306340238538</v>
      </c>
      <c r="DA322" s="560">
        <f>IF(OR(Sheet1!ER324="FM", Sheet1!ER324="OTHER"),SUM(Sheet1!BK324:'Sheet1'!BM324),0)</f>
        <v>0</v>
      </c>
      <c r="DB322" s="545">
        <f>IF(AND($B322&gt;=$FV322,$B322&lt;=$FW322),MAX($CT322,Sheet1!EK324,0),MAX($CT322-(7/36)*$K322,0))</f>
        <v>0</v>
      </c>
      <c r="DC322" s="560">
        <f t="shared" si="619"/>
        <v>0</v>
      </c>
      <c r="DD322" s="545">
        <f t="shared" si="620"/>
        <v>6.4984306340238538</v>
      </c>
      <c r="DE322" s="545">
        <f>IF(AND($O322&gt;0,Sheet1!EO324=1),(1-($O322-Sheet1!$L324)/$O322)*CZ322,0)</f>
        <v>0</v>
      </c>
      <c r="DF322" s="545">
        <f>IF(AND(Sheet1!$L324=0,Sheet1!$L323=0, Calculation!CY322&lt;Sheet1!$EK324-0.1,Sheet1!$EK324=Sheet1!$EK323,Sheet1!$EK324=Sheet1!$EK325),Sheet1!$EK324,CZ322-DE322)</f>
        <v>6.4984306340238538</v>
      </c>
      <c r="DG322" s="545"/>
      <c r="DH322" s="560">
        <f t="shared" si="621"/>
        <v>8.9600000000000009</v>
      </c>
      <c r="DI322" s="560">
        <f t="shared" si="622"/>
        <v>0</v>
      </c>
      <c r="DJ322" s="698">
        <f t="shared" si="623"/>
        <v>8.9993722536095415</v>
      </c>
      <c r="DK322" s="560">
        <f ca="1">IF(B322&gt;Summary!$A$1,#N/A,DI322*MGtoAF)</f>
        <v>0</v>
      </c>
      <c r="DL322" s="698">
        <f t="shared" si="624"/>
        <v>8.9600000000000009</v>
      </c>
      <c r="DM322" s="560">
        <f t="shared" si="625"/>
        <v>31.86</v>
      </c>
      <c r="DN322" s="560">
        <f>Sheet1!AB324-DM322</f>
        <v>0.14000000000000057</v>
      </c>
      <c r="DO322" s="560">
        <f t="shared" si="626"/>
        <v>4.3942247332078022E-3</v>
      </c>
      <c r="DP322" s="560">
        <f>(VLOOKUP(Sheet1!DC324,hhdcap_wcm,4)-(((VLOOKUP(Sheet1!DC324,hhdcap_wcm,3)-Sheet1!DC324)/(VLOOKUP(Sheet1!DC324,hhdcap_wcm,3)-VLOOKUP(Sheet1!DC324,hhdcap_wcm,1)))*(VLOOKUP(Sheet1!DC324,hhdcap_wcm,4)-VLOOKUP(Sheet1!DC324,hhdcap_wcm,2))))</f>
        <v>2341.0000000054501</v>
      </c>
      <c r="DQ322" s="560">
        <f t="shared" si="627"/>
        <v>-202.60000000052514</v>
      </c>
      <c r="DR322" s="560">
        <f t="shared" si="628"/>
        <v>-102.1684316694529</v>
      </c>
      <c r="DS322" s="560">
        <f>Sheet1!EA324*AFtoMG</f>
        <v>0</v>
      </c>
      <c r="DT322" s="560">
        <f>Sheet1!EB324*AFtoMG</f>
        <v>0</v>
      </c>
      <c r="DU322" s="560">
        <f>Sheet1!EC324*AFtoMG</f>
        <v>0</v>
      </c>
      <c r="DV322" s="560">
        <f>Sheet1!ED324*AFtoMG</f>
        <v>0</v>
      </c>
      <c r="DW322" s="560">
        <f t="shared" si="629"/>
        <v>0</v>
      </c>
      <c r="DX322" s="560">
        <f t="shared" si="630"/>
        <v>0</v>
      </c>
      <c r="DY322" s="560">
        <f t="shared" si="631"/>
        <v>0</v>
      </c>
      <c r="DZ322" s="560">
        <f t="shared" si="632"/>
        <v>0</v>
      </c>
      <c r="EA322" s="560"/>
      <c r="EB322" s="545">
        <f>IF(OR(B322&lt;FV322,B322&gt;FW322),(MIN(BF322+BY322+CT322+MAX(Sheet1!AA324+AQ322-73,0),K322)),0)</f>
        <v>8.9993722536095415</v>
      </c>
      <c r="EC322" s="560"/>
      <c r="ED322" s="560">
        <f t="shared" si="633"/>
        <v>8.9993722536095415</v>
      </c>
      <c r="EE322" s="560"/>
      <c r="EF322" s="560">
        <f>Sheet1!EH324+Sheet1!EI324+Sheet1!EJ324+Sheet1!EK324</f>
        <v>9</v>
      </c>
      <c r="EG322" s="560"/>
      <c r="EH322" s="545">
        <f t="shared" si="634"/>
        <v>0</v>
      </c>
      <c r="EI322" s="560">
        <f>IF(Sheet1!ET324=1,SUM('Calculations II'!AT322:BA322)+'Calculations II'!BC322+Sheet1!BV324+'Calculations II'!BE322+AP322,SUM('Calculations II'!AT322:BA322)+'Calculations II'!BC322+Sheet1!BV324+'Calculations II'!BE322+AP322)</f>
        <v>50.593071999999999</v>
      </c>
      <c r="EJ322" s="560">
        <f>Sheet1!AA324+Sheet1!AB324+'Calculations II'!BC322</f>
        <v>51.5</v>
      </c>
      <c r="EK322" s="560"/>
      <c r="EL322" s="560"/>
      <c r="EM322" s="560">
        <f t="shared" si="635"/>
        <v>41950</v>
      </c>
      <c r="EN322" s="560">
        <f t="shared" si="636"/>
        <v>0</v>
      </c>
      <c r="EO322" s="560">
        <f t="shared" si="637"/>
        <v>0</v>
      </c>
      <c r="EP322" s="560">
        <v>0</v>
      </c>
      <c r="EQ322" s="560">
        <v>0</v>
      </c>
      <c r="ER322" s="560">
        <v>0</v>
      </c>
      <c r="ES322" s="545">
        <f t="shared" si="557"/>
        <v>2.4946295754483083</v>
      </c>
      <c r="ET322" s="560">
        <f>-(VLOOKUP(Sheet1!BQ324,Lookup!$O$4:$Q$262,2)-VLOOKUP(Sheet1!BQ323,Lookup!$O$4:$Q$262,2))/1000000</f>
        <v>1.2472282432425394</v>
      </c>
      <c r="EU322" s="560">
        <f>-(VLOOKUP(Sheet1!BR324,Lookup!$O$4:$Q$262,3)-VLOOKUP(Sheet1!BR323,Lookup!$O$4:$Q$262,3))/1000000</f>
        <v>1.2474013322057687</v>
      </c>
      <c r="EV322" s="560"/>
      <c r="EW322" s="560"/>
      <c r="EX322" s="560"/>
      <c r="EY322" s="560"/>
      <c r="EZ322" s="560"/>
      <c r="FA322" s="560"/>
      <c r="FB322" s="560"/>
      <c r="FC322" s="560"/>
      <c r="FD322" s="594">
        <f t="shared" si="638"/>
        <v>1087.2944444444124</v>
      </c>
      <c r="FE322" s="594" t="e">
        <f t="shared" si="639"/>
        <v>#N/A</v>
      </c>
      <c r="FF322" s="595" t="e">
        <f t="shared" si="640"/>
        <v>#N/A</v>
      </c>
      <c r="FG322" s="596" t="s">
        <v>692</v>
      </c>
      <c r="FH322" s="596" t="s">
        <v>692</v>
      </c>
      <c r="FI322" s="594" t="e">
        <v>#N/A</v>
      </c>
      <c r="FJ322" s="778">
        <v>2070</v>
      </c>
      <c r="FK322" s="560"/>
      <c r="FL322" s="560"/>
      <c r="FM322" s="560"/>
      <c r="FN322" s="560"/>
      <c r="FO322" s="560">
        <f>O322+((Sheet1!CS324)*GPMtoMGD)</f>
        <v>51.5</v>
      </c>
      <c r="FP322" s="560">
        <f>IF(Sheet1!AA324+AQ322&lt;=Calculation!N322,AQ322,Calculation!N322-Sheet1!AA324)</f>
        <v>21.996233521657249</v>
      </c>
      <c r="FQ322" s="560">
        <f>(Sheet1!BP324+Sheet1!BO324)/694.4</f>
        <v>2.0712845622119818</v>
      </c>
      <c r="FR322" s="560"/>
      <c r="FS322" s="560"/>
      <c r="FT322" s="560"/>
      <c r="FU322" s="560"/>
      <c r="FV322" s="695">
        <f t="shared" si="558"/>
        <v>41827</v>
      </c>
      <c r="FW322" s="695">
        <f t="shared" si="559"/>
        <v>41934</v>
      </c>
      <c r="FX322" s="560"/>
      <c r="FY322" s="560"/>
      <c r="FZ322" s="560"/>
      <c r="GA322" s="560"/>
      <c r="GB322" s="560" t="str">
        <f t="shared" si="560"/>
        <v>n</v>
      </c>
      <c r="GC322" s="564">
        <f t="shared" si="561"/>
        <v>41691</v>
      </c>
      <c r="GD322" s="695">
        <f t="shared" si="562"/>
        <v>41807</v>
      </c>
      <c r="GE322" s="560">
        <v>6518.9</v>
      </c>
      <c r="GF322" s="695">
        <f t="shared" si="563"/>
        <v>41808</v>
      </c>
      <c r="GG322" s="560">
        <f t="shared" si="582"/>
        <v>3259</v>
      </c>
      <c r="GH322" s="564">
        <f t="shared" si="564"/>
        <v>41934</v>
      </c>
      <c r="GJ322" s="545">
        <f t="shared" si="565"/>
        <v>0</v>
      </c>
      <c r="GK322" s="560" t="str">
        <f t="shared" si="641"/>
        <v/>
      </c>
      <c r="GL322" s="560">
        <f t="shared" si="566"/>
        <v>0</v>
      </c>
      <c r="GM322" s="560" t="str">
        <f t="shared" si="567"/>
        <v/>
      </c>
      <c r="GN322" s="560">
        <f>IF(GK322="P",Lookup!$M$12,IF(GK322="PP",Lookup!$M$13,IF(GK322="PPP",Lookup!$M$14,IF(GK322="T",Lookup!$M$15,IF(GK322="TP",Lookup!$M$16,IF(GK322="TPP",Lookup!$M$17,IF(GK322="TPPP",Lookup!$M$18,0)))))))*GJ322</f>
        <v>0</v>
      </c>
      <c r="GO322" s="560">
        <f t="shared" si="568"/>
        <v>0</v>
      </c>
      <c r="GP322" s="560">
        <f t="shared" si="642"/>
        <v>0</v>
      </c>
      <c r="GQ322" s="560">
        <f t="shared" si="576"/>
        <v>0</v>
      </c>
      <c r="GR322" s="560"/>
      <c r="GS322" s="560">
        <f t="shared" si="569"/>
        <v>0</v>
      </c>
      <c r="GT322" s="560" t="str">
        <f t="shared" si="570"/>
        <v/>
      </c>
      <c r="GU322" s="560">
        <f>IF(GK322="P",Lookup!$N$12,IF(GK322="PP",Lookup!$N$13,IF(GK322="PPP",Lookup!$N$14,IF(GK322="T",Lookup!$N$15,IF(GK322="TP",Lookup!$N$16,IF(GK322="TPP",Lookup!$N$17,IF(GK322="TPPP",Lookup!$N$18,0)))))))*GJ322</f>
        <v>0</v>
      </c>
      <c r="GV322" s="560">
        <f t="shared" si="571"/>
        <v>0</v>
      </c>
      <c r="GW322" s="560">
        <f t="shared" si="643"/>
        <v>0</v>
      </c>
      <c r="GX322" s="560">
        <f t="shared" si="577"/>
        <v>0</v>
      </c>
      <c r="GY322" s="560"/>
      <c r="GZ322" s="560">
        <f t="shared" si="572"/>
        <v>0</v>
      </c>
      <c r="HA322" s="560" t="str">
        <f t="shared" si="573"/>
        <v/>
      </c>
      <c r="HB322" s="560">
        <f>IF(GK322="P",Lookup!$N$12,IF(GK322="PP",Lookup!$N$13,IF(GK322="PPP",Lookup!$N$14,IF(GK322="T",Lookup!$N$15,IF(GK322="TP",Lookup!$N$16,IF(GK322="TPP",Lookup!$N$17,IF(GK322="TPPP",Lookup!$N$18,0)))))))*GJ322</f>
        <v>0</v>
      </c>
      <c r="HC322" s="545">
        <f t="shared" si="644"/>
        <v>0</v>
      </c>
      <c r="HD322" s="560">
        <f t="shared" si="645"/>
        <v>0</v>
      </c>
      <c r="HE322" s="560">
        <f t="shared" si="578"/>
        <v>0</v>
      </c>
      <c r="HF322" s="560"/>
      <c r="HG322" s="560">
        <f t="shared" si="574"/>
        <v>0</v>
      </c>
      <c r="HH322" s="560" t="str">
        <f t="shared" si="575"/>
        <v/>
      </c>
      <c r="HI322" s="560">
        <f>IF(GK322="P",Lookup!$N$12,IF(GK322="PP",Lookup!$N$13,IF(GK322="PPP",Lookup!$N$14,IF(GK322="T",Lookup!$N$15,IF(GK322="TP",Lookup!$N$16,IF(GK322="TPP",Lookup!$N$17,IF(GK322="TPPP",Lookup!$N$18,0)))))))*GJ322</f>
        <v>0</v>
      </c>
      <c r="HJ322" s="545">
        <f t="shared" si="646"/>
        <v>0</v>
      </c>
      <c r="HK322" s="560">
        <f t="shared" si="647"/>
        <v>0</v>
      </c>
      <c r="HL322" s="560">
        <f t="shared" si="579"/>
        <v>0</v>
      </c>
    </row>
    <row r="323" spans="1:220">
      <c r="A323" s="580" t="s">
        <v>9</v>
      </c>
      <c r="B323" s="556">
        <v>41951</v>
      </c>
      <c r="C323" s="561">
        <v>0</v>
      </c>
      <c r="D323" s="529">
        <f t="shared" si="580"/>
        <v>300</v>
      </c>
      <c r="E323" s="529">
        <f t="shared" si="581"/>
        <v>250</v>
      </c>
      <c r="F323" s="529">
        <v>250</v>
      </c>
      <c r="G323" s="560">
        <f>DR323+Sheet1!CZ325</f>
        <v>1388.5426122034232</v>
      </c>
      <c r="H323" s="914">
        <f t="shared" si="546"/>
        <v>630.5907445282927</v>
      </c>
      <c r="I323" s="559">
        <f>MAX(Sheet1!Z325-AT323+(Sheet1!DA325-E323)*CFStoMGD,0)</f>
        <v>1117.952</v>
      </c>
      <c r="J323" s="562">
        <f>IF(AND(B323&gt;=Calculation!GC323,B323&lt;=Calculation!GD323),IF(Sheet1!DB325&gt;=Calculation!D323,64.64,0),MAX(Sheet1!Z325-AT323+(Sheet1!DB325-D323)*CFStoMGD,0))</f>
        <v>885.24799999999993</v>
      </c>
      <c r="K323" s="904">
        <f t="shared" si="583"/>
        <v>64.64</v>
      </c>
      <c r="L323" s="560">
        <f>Sheet1!AA325+Sheet1!AB325-Sheet1!L325+(Sheet1!DA325-F323)*CFStoMGD</f>
        <v>1137.5519999999999</v>
      </c>
      <c r="M323" s="560">
        <f t="shared" si="584"/>
        <v>915.50502341885863</v>
      </c>
      <c r="N323" s="910">
        <f>IF(Sheet1!DA325&gt;=F323,MIN(73,MIN(MAX(L323,0),MAX(M323,0))),0)</f>
        <v>73</v>
      </c>
      <c r="O323" s="563">
        <f>Sheet1!AA325+Sheet1!AB325</f>
        <v>51.6</v>
      </c>
      <c r="P323" s="563">
        <f t="shared" si="585"/>
        <v>79.825199999999995</v>
      </c>
      <c r="Q323" s="898">
        <f t="shared" si="547"/>
        <v>0</v>
      </c>
      <c r="R323" s="829">
        <f t="shared" si="586"/>
        <v>8.8877867327960303</v>
      </c>
      <c r="S323" s="898">
        <f t="shared" si="649"/>
        <v>51.6</v>
      </c>
      <c r="T323" s="898">
        <f t="shared" si="549"/>
        <v>0</v>
      </c>
      <c r="U323" s="898">
        <f t="shared" si="550"/>
        <v>0</v>
      </c>
      <c r="V323" s="898"/>
      <c r="W323" s="898">
        <f t="shared" si="551"/>
        <v>55.75221326720397</v>
      </c>
      <c r="X323" s="898">
        <f t="shared" si="552"/>
        <v>51.6</v>
      </c>
      <c r="Y323" s="898" t="str">
        <f t="shared" si="553"/>
        <v/>
      </c>
      <c r="Z323" s="898">
        <f t="shared" si="554"/>
        <v>51.6</v>
      </c>
      <c r="AA323" s="898">
        <f t="shared" si="555"/>
        <v>51.6</v>
      </c>
      <c r="AB323" s="898" t="str">
        <f t="shared" si="556"/>
        <v/>
      </c>
      <c r="AC323" s="563">
        <f>Sheet1!Y325*MGDtoCFS</f>
        <v>30.166499999999999</v>
      </c>
      <c r="AD323" s="563">
        <f>Sheet1!Z325*MGDtoCFS</f>
        <v>49.503999999999998</v>
      </c>
      <c r="AE323" s="563">
        <f>Sheet1!AA325*MGDtoCFS</f>
        <v>30.321200000000001</v>
      </c>
      <c r="AF323" s="563">
        <f>Sheet1!AB325*MGDtoCFS</f>
        <v>49.503999999999998</v>
      </c>
      <c r="AG323" s="563">
        <f>Sheet1!L325*MGDtoCFS</f>
        <v>0</v>
      </c>
      <c r="AH323" s="545">
        <f t="shared" si="587"/>
        <v>0</v>
      </c>
      <c r="AI323" s="560">
        <f t="shared" si="588"/>
        <v>0</v>
      </c>
      <c r="AJ323" s="560">
        <f t="shared" si="589"/>
        <v>0</v>
      </c>
      <c r="AK323" s="560">
        <f t="shared" si="590"/>
        <v>0</v>
      </c>
      <c r="AL323" s="560">
        <f>(VLOOKUP(Sheet1!DC325,hhdcap_wcm,4)-(((VLOOKUP(Sheet1!DC325,hhdcap_wcm,3)-Sheet1!DC325)/(VLOOKUP(Sheet1!DC325,hhdcap_wcm,3)-VLOOKUP(Sheet1!DC325,hhdcap_wcm,1)))*(VLOOKUP(Sheet1!DC325,hhdcap_wcm,4)-VLOOKUP(Sheet1!DC325,hhdcap_wcm,2))))</f>
        <v>2001.0000000048385</v>
      </c>
      <c r="AM323" s="560">
        <f t="shared" si="591"/>
        <v>-340.00000000061164</v>
      </c>
      <c r="AN323" s="560">
        <f t="shared" si="592"/>
        <v>0</v>
      </c>
      <c r="AO323" s="560">
        <f t="shared" si="593"/>
        <v>0</v>
      </c>
      <c r="AP323" s="560">
        <f>Sheet1!BA325+Sheet1!BB325+Sheet1!BN325+CD323</f>
        <v>23.3</v>
      </c>
      <c r="AQ323" s="560">
        <f>Sheet1!BN325+(DO323*Sheet1!BN325)</f>
        <v>22.120272783632981</v>
      </c>
      <c r="AR323" s="560">
        <f>Sheet1!BA325+CD323</f>
        <v>0</v>
      </c>
      <c r="AS323" s="560">
        <f>Sheet1!BA325+Sheet1!BB325+CD323</f>
        <v>1</v>
      </c>
      <c r="AT323" s="698">
        <f>0</f>
        <v>0</v>
      </c>
      <c r="AU323" s="560">
        <f>IF(EB323&lt;K323,0,MAX(Sheet1!AA325+AQ323-15/36*K323-N323,Sheet1!EH325,0))</f>
        <v>0</v>
      </c>
      <c r="AV323" s="560">
        <f>IF(OR(B323&gt;=GD323,B323&lt;GC323),0,15/36*K323-MAX(0,64.6-(137.6-(Sheet1!AA325+Sheet1!AB325))))</f>
        <v>0</v>
      </c>
      <c r="AW323" s="698">
        <f>Sheet1!DB325-110</f>
        <v>1510</v>
      </c>
      <c r="AX323" s="698">
        <f>Sheet1!DA325-265</f>
        <v>1665</v>
      </c>
      <c r="AY323" s="698">
        <f t="shared" si="594"/>
        <v>73</v>
      </c>
      <c r="AZ323" s="698">
        <v>0</v>
      </c>
      <c r="BA323" s="698">
        <f t="shared" si="595"/>
        <v>0</v>
      </c>
      <c r="BB323" s="560">
        <f t="shared" si="596"/>
        <v>0</v>
      </c>
      <c r="BC323" s="560"/>
      <c r="BD323" s="560">
        <f ca="1">IF(B323&gt;Summary!$A$1,#N/A,BB323*MGtoAF)</f>
        <v>0</v>
      </c>
      <c r="BE323" s="560">
        <f>Sheet1!BG325+Sheet1!BH325+Sheet1!BI325-BM323</f>
        <v>0</v>
      </c>
      <c r="BF323" s="560">
        <f t="shared" si="597"/>
        <v>0</v>
      </c>
      <c r="BG323" s="560">
        <f>IF(Sheet1!EP325="FM",BM323,0)</f>
        <v>0</v>
      </c>
      <c r="BH323" s="560">
        <f t="shared" si="598"/>
        <v>0</v>
      </c>
      <c r="BI323" s="560">
        <f>IF(Sheet1!EP325="OTHER",BM323,0)</f>
        <v>0</v>
      </c>
      <c r="BJ323" s="560">
        <f t="shared" si="599"/>
        <v>0</v>
      </c>
      <c r="BK323" s="560">
        <f t="shared" si="600"/>
        <v>0</v>
      </c>
      <c r="BL323" s="560">
        <f t="shared" si="601"/>
        <v>0</v>
      </c>
      <c r="BM323" s="560">
        <f>IF(OR(Sheet1!EP325="FM", Sheet1!EP325="OTHER"),SUM(Sheet1!BG325:'Sheet1'!BI325),0)</f>
        <v>0</v>
      </c>
      <c r="BN323" s="545">
        <f>IF(AND($B323&gt;=$FV323,$B323&lt;=$FW323),MAX(BF323,Sheet1!EI325,0),MAX(BF323-(7/36)*$K323,0))</f>
        <v>0</v>
      </c>
      <c r="BO323" s="560">
        <f t="shared" si="602"/>
        <v>0</v>
      </c>
      <c r="BP323" s="545">
        <f t="shared" si="603"/>
        <v>0</v>
      </c>
      <c r="BQ323" s="545">
        <f>IF(AND($O323&gt;0,Sheet1!EM325=1),(1-($O323-Sheet1!$L325)/$O323)*BL323,0)</f>
        <v>0</v>
      </c>
      <c r="BR323" s="545">
        <f>IF(AND(Sheet1!$L325=0,Sheet1!$L324=0, Calculation!BK323&lt;Sheet1!$EI325-0.1,Sheet1!$EI325=Sheet1!$EI324,Sheet1!$EI325=Sheet1!$EI326),Sheet1!$EI325,BL323-BQ323)</f>
        <v>0</v>
      </c>
      <c r="BS323" s="560"/>
      <c r="BT323" s="560"/>
      <c r="BU323" s="560">
        <f t="shared" si="604"/>
        <v>0</v>
      </c>
      <c r="BV323" s="560"/>
      <c r="BW323" s="560">
        <f ca="1">IF(B323&gt;Summary!$A$1,#N/A,BU323*MGtoAF)</f>
        <v>0</v>
      </c>
      <c r="BX323" s="560">
        <f>Sheet1!BC325+Sheet1!BD325+Sheet1!BE325+Sheet1!BF325-CG323-CH323</f>
        <v>2.4900000000000002</v>
      </c>
      <c r="BY323" s="560">
        <f t="shared" si="605"/>
        <v>2.4699318040917544</v>
      </c>
      <c r="BZ323" s="560">
        <f>IF(Sheet1!EQ325="FM",CH323,0)</f>
        <v>0</v>
      </c>
      <c r="CA323" s="560">
        <f t="shared" si="606"/>
        <v>0</v>
      </c>
      <c r="CB323" s="560">
        <f>IF(Sheet1!EQ325="OTHER",CH323,0)</f>
        <v>0</v>
      </c>
      <c r="CC323" s="560">
        <f t="shared" si="607"/>
        <v>0</v>
      </c>
      <c r="CD323" s="560">
        <f t="shared" si="608"/>
        <v>0</v>
      </c>
      <c r="CE323" s="560">
        <f t="shared" si="609"/>
        <v>2.4900000000000002</v>
      </c>
      <c r="CF323" s="560">
        <f t="shared" si="610"/>
        <v>2.4699318040917544</v>
      </c>
      <c r="CG323" s="560">
        <f>IF(Sheet1!EQ325="CWA",SUM(Sheet1!BC325:'Sheet1'!BF325),0)</f>
        <v>0</v>
      </c>
      <c r="CH323" s="560">
        <f>IF(OR(Sheet1!EQ325="FM", Sheet1!EQ325="OTHER"),SUM(Sheet1!BC325:'Sheet1'!BF325),0)</f>
        <v>0</v>
      </c>
      <c r="CI323" s="545">
        <f>IF(AND($B323&gt;=$FV323,$B323&lt;=$FW323),MAX(CF323,Sheet1!EJ325,0),MAX(CF323-(7/36)*$K323,0))</f>
        <v>0</v>
      </c>
      <c r="CJ323" s="560">
        <f t="shared" si="611"/>
        <v>0</v>
      </c>
      <c r="CK323" s="545">
        <f t="shared" si="612"/>
        <v>2.4699318040917544</v>
      </c>
      <c r="CL323" s="545">
        <f>IF(AND($O323&gt;0,Sheet1!EN325=1),(1-($O323-Sheet1!$L325)/$O323)*CF323,0)</f>
        <v>0</v>
      </c>
      <c r="CM323" s="545">
        <f>IF(AND(Sheet1!$L325=0,Sheet1!$L324=0, Calculation!CE323&lt;Sheet1!EJ325-0.1,Sheet1!EJ325=Sheet1!EJ324,Sheet1!EJ325=Sheet1!EJ326),Sheet1!EJ325,CF323-CL323)</f>
        <v>2.4699318040917544</v>
      </c>
      <c r="CN323" s="545"/>
      <c r="CO323" s="560"/>
      <c r="CP323" s="560">
        <f t="shared" si="613"/>
        <v>0</v>
      </c>
      <c r="CQ323" s="560"/>
      <c r="CR323" s="560">
        <f ca="1">IF(B323&gt;Summary!$A$1,#N/A,CP323*MGtoAF)</f>
        <v>0</v>
      </c>
      <c r="CS323" s="560">
        <f>Sheet1!BK325+Sheet1!BL325+Sheet1!BM325-Sheet1!ER325-DA323</f>
        <v>6.47</v>
      </c>
      <c r="CT323" s="560">
        <f t="shared" si="614"/>
        <v>6.4178549287042763</v>
      </c>
      <c r="CU323" s="560">
        <f>IF(Sheet1!ER325="FM",DA323,0)</f>
        <v>0</v>
      </c>
      <c r="CV323" s="560">
        <f t="shared" si="615"/>
        <v>0</v>
      </c>
      <c r="CW323" s="560">
        <f>IF(Sheet1!ER325="OTHER",DA323,0)</f>
        <v>0</v>
      </c>
      <c r="CX323" s="560">
        <f t="shared" si="616"/>
        <v>0</v>
      </c>
      <c r="CY323" s="560">
        <f t="shared" si="617"/>
        <v>6.47</v>
      </c>
      <c r="CZ323" s="560">
        <f t="shared" si="618"/>
        <v>6.4178549287042763</v>
      </c>
      <c r="DA323" s="560">
        <f>IF(OR(Sheet1!ER325="FM", Sheet1!ER325="OTHER"),SUM(Sheet1!BK325:'Sheet1'!BM325),0)</f>
        <v>0</v>
      </c>
      <c r="DB323" s="545">
        <f>IF(AND($B323&gt;=$FV323,$B323&lt;=$FW323),MAX($CT323,Sheet1!EK325,0),MAX($CT323-(7/36)*$K323,0))</f>
        <v>0</v>
      </c>
      <c r="DC323" s="560">
        <f t="shared" si="619"/>
        <v>0</v>
      </c>
      <c r="DD323" s="545">
        <f t="shared" si="620"/>
        <v>6.4178549287042763</v>
      </c>
      <c r="DE323" s="545">
        <f>IF(AND($O323&gt;0,Sheet1!EO325=1),(1-($O323-Sheet1!$L325)/$O323)*CZ323,0)</f>
        <v>0</v>
      </c>
      <c r="DF323" s="545">
        <f>IF(AND(Sheet1!$L325=0,Sheet1!$L324=0, Calculation!CY323&lt;Sheet1!$EK325-0.1,Sheet1!$EK325=Sheet1!$EK324,Sheet1!$EK325=Sheet1!$EK326),Sheet1!$EK325,CZ323-DE323)</f>
        <v>6.4178549287042763</v>
      </c>
      <c r="DG323" s="545"/>
      <c r="DH323" s="560">
        <f t="shared" si="621"/>
        <v>8.9600000000000009</v>
      </c>
      <c r="DI323" s="560">
        <f t="shared" si="622"/>
        <v>0</v>
      </c>
      <c r="DJ323" s="698">
        <f t="shared" si="623"/>
        <v>8.8877867327960303</v>
      </c>
      <c r="DK323" s="560">
        <f ca="1">IF(B323&gt;Summary!$A$1,#N/A,DI323*MGtoAF)</f>
        <v>0</v>
      </c>
      <c r="DL323" s="698">
        <f t="shared" si="624"/>
        <v>8.9600000000000009</v>
      </c>
      <c r="DM323" s="560">
        <f t="shared" si="625"/>
        <v>32.260000000000005</v>
      </c>
      <c r="DN323" s="560">
        <f>Sheet1!AB325-DM323</f>
        <v>-0.26000000000000512</v>
      </c>
      <c r="DO323" s="560">
        <f t="shared" si="626"/>
        <v>-8.0595164290144169E-3</v>
      </c>
      <c r="DP323" s="560">
        <f>(VLOOKUP(Sheet1!DC325,hhdcap_wcm,4)-(((VLOOKUP(Sheet1!DC325,hhdcap_wcm,3)-Sheet1!DC325)/(VLOOKUP(Sheet1!DC325,hhdcap_wcm,3)-VLOOKUP(Sheet1!DC325,hhdcap_wcm,1)))*(VLOOKUP(Sheet1!DC325,hhdcap_wcm,4)-VLOOKUP(Sheet1!DC325,hhdcap_wcm,2))))</f>
        <v>2001.0000000048385</v>
      </c>
      <c r="DQ323" s="560">
        <f t="shared" si="627"/>
        <v>-340.00000000061164</v>
      </c>
      <c r="DR323" s="560">
        <f t="shared" si="628"/>
        <v>-171.45738779657668</v>
      </c>
      <c r="DS323" s="560">
        <f>Sheet1!EA325*AFtoMG</f>
        <v>0</v>
      </c>
      <c r="DT323" s="560">
        <f>Sheet1!EB325*AFtoMG</f>
        <v>0</v>
      </c>
      <c r="DU323" s="560">
        <f>Sheet1!EC325*AFtoMG</f>
        <v>0</v>
      </c>
      <c r="DV323" s="560">
        <f>Sheet1!ED325*AFtoMG</f>
        <v>0</v>
      </c>
      <c r="DW323" s="560">
        <f t="shared" si="629"/>
        <v>0</v>
      </c>
      <c r="DX323" s="560">
        <f t="shared" si="630"/>
        <v>0</v>
      </c>
      <c r="DY323" s="560">
        <f t="shared" si="631"/>
        <v>0</v>
      </c>
      <c r="DZ323" s="560">
        <f t="shared" si="632"/>
        <v>0</v>
      </c>
      <c r="EA323" s="560"/>
      <c r="EB323" s="545">
        <f>IF(OR(B323&lt;FV323,B323&gt;FW323),(MIN(BF323+BY323+CT323+MAX(Sheet1!AA325+AQ323-73,0),K323)),0)</f>
        <v>8.8877867327960303</v>
      </c>
      <c r="EC323" s="560"/>
      <c r="ED323" s="560">
        <f t="shared" si="633"/>
        <v>8.8877867327960303</v>
      </c>
      <c r="EE323" s="560"/>
      <c r="EF323" s="560">
        <f>Sheet1!EH325+Sheet1!EI325+Sheet1!EJ325+Sheet1!EK325</f>
        <v>9</v>
      </c>
      <c r="EG323" s="560"/>
      <c r="EH323" s="545">
        <f t="shared" si="634"/>
        <v>0</v>
      </c>
      <c r="EI323" s="560">
        <f>IF(Sheet1!ET325=1,SUM('Calculations II'!AT323:BA323)+'Calculations II'!BC323+Sheet1!BV325+'Calculations II'!BE323+AP323,SUM('Calculations II'!AT323:BA323)+'Calculations II'!BC323+Sheet1!BV325+'Calculations II'!BE323+AP323)</f>
        <v>54.847136000000006</v>
      </c>
      <c r="EJ323" s="560">
        <f>Sheet1!AA325+Sheet1!AB325+'Calculations II'!BC323</f>
        <v>51.6</v>
      </c>
      <c r="EK323" s="560"/>
      <c r="EL323" s="560"/>
      <c r="EM323" s="560">
        <f t="shared" si="635"/>
        <v>41951</v>
      </c>
      <c r="EN323" s="560">
        <f t="shared" si="636"/>
        <v>0</v>
      </c>
      <c r="EO323" s="560">
        <f t="shared" si="637"/>
        <v>0</v>
      </c>
      <c r="EP323" s="560">
        <v>0</v>
      </c>
      <c r="EQ323" s="560">
        <v>0</v>
      </c>
      <c r="ER323" s="560">
        <v>0</v>
      </c>
      <c r="ES323" s="545">
        <f t="shared" si="557"/>
        <v>5.955197905168049</v>
      </c>
      <c r="ET323" s="560">
        <f>-(VLOOKUP(Sheet1!BQ325,Lookup!$O$4:$Q$262,2)-VLOOKUP(Sheet1!BQ324,Lookup!$O$4:$Q$262,2))/1000000</f>
        <v>2.9081803285650127</v>
      </c>
      <c r="EU323" s="560">
        <f>-(VLOOKUP(Sheet1!BR325,Lookup!$O$4:$Q$262,3)-VLOOKUP(Sheet1!BR324,Lookup!$O$4:$Q$262,3))/1000000</f>
        <v>3.0470175766030363</v>
      </c>
      <c r="EV323" s="560"/>
      <c r="EW323" s="560"/>
      <c r="EX323" s="560"/>
      <c r="EY323" s="560"/>
      <c r="EZ323" s="560"/>
      <c r="FA323" s="560"/>
      <c r="FB323" s="560"/>
      <c r="FC323" s="560"/>
      <c r="FD323" s="594">
        <f t="shared" si="638"/>
        <v>1086.7823529411448</v>
      </c>
      <c r="FE323" s="594" t="e">
        <f t="shared" si="639"/>
        <v>#N/A</v>
      </c>
      <c r="FF323" s="595" t="e">
        <f t="shared" si="640"/>
        <v>#N/A</v>
      </c>
      <c r="FG323" s="596" t="s">
        <v>692</v>
      </c>
      <c r="FH323" s="596" t="s">
        <v>692</v>
      </c>
      <c r="FI323" s="594" t="e">
        <v>#N/A</v>
      </c>
      <c r="FJ323" s="778">
        <v>1980</v>
      </c>
      <c r="FK323" s="560"/>
      <c r="FL323" s="560"/>
      <c r="FM323" s="560"/>
      <c r="FN323" s="560"/>
      <c r="FO323" s="560">
        <f>O323+((Sheet1!CS325)*GPMtoMGD)</f>
        <v>51.6</v>
      </c>
      <c r="FP323" s="560">
        <f>IF(Sheet1!AA325+AQ323&lt;=Calculation!N323,AQ323,Calculation!N323-Sheet1!AA325)</f>
        <v>22.120272783632981</v>
      </c>
      <c r="FQ323" s="560">
        <f>(Sheet1!BP325+Sheet1!BO325)/694.4</f>
        <v>2.1598502304147464</v>
      </c>
      <c r="FR323" s="560"/>
      <c r="FS323" s="560"/>
      <c r="FT323" s="560"/>
      <c r="FU323" s="560"/>
      <c r="FV323" s="695">
        <f t="shared" si="558"/>
        <v>41827</v>
      </c>
      <c r="FW323" s="695">
        <f t="shared" si="559"/>
        <v>41934</v>
      </c>
      <c r="FX323" s="560"/>
      <c r="FY323" s="560"/>
      <c r="FZ323" s="560"/>
      <c r="GA323" s="560"/>
      <c r="GB323" s="560" t="str">
        <f t="shared" si="560"/>
        <v>n</v>
      </c>
      <c r="GC323" s="564">
        <f t="shared" si="561"/>
        <v>41691</v>
      </c>
      <c r="GD323" s="695">
        <f t="shared" si="562"/>
        <v>41807</v>
      </c>
      <c r="GE323" s="560">
        <v>6518.9</v>
      </c>
      <c r="GF323" s="695">
        <f t="shared" si="563"/>
        <v>41808</v>
      </c>
      <c r="GG323" s="560">
        <f t="shared" si="582"/>
        <v>3259</v>
      </c>
      <c r="GH323" s="564">
        <f t="shared" si="564"/>
        <v>41934</v>
      </c>
      <c r="GJ323" s="545">
        <f t="shared" si="565"/>
        <v>0</v>
      </c>
      <c r="GK323" s="560" t="str">
        <f t="shared" si="641"/>
        <v/>
      </c>
      <c r="GL323" s="560">
        <f t="shared" si="566"/>
        <v>0</v>
      </c>
      <c r="GM323" s="560" t="str">
        <f t="shared" si="567"/>
        <v/>
      </c>
      <c r="GN323" s="560">
        <f>IF(GK323="P",Lookup!$M$12,IF(GK323="PP",Lookup!$M$13,IF(GK323="PPP",Lookup!$M$14,IF(GK323="T",Lookup!$M$15,IF(GK323="TP",Lookup!$M$16,IF(GK323="TPP",Lookup!$M$17,IF(GK323="TPPP",Lookup!$M$18,0)))))))*GJ323</f>
        <v>0</v>
      </c>
      <c r="GO323" s="560">
        <f t="shared" si="568"/>
        <v>0</v>
      </c>
      <c r="GP323" s="560">
        <f t="shared" si="642"/>
        <v>0</v>
      </c>
      <c r="GQ323" s="560">
        <f t="shared" si="576"/>
        <v>0</v>
      </c>
      <c r="GR323" s="560"/>
      <c r="GS323" s="560">
        <f t="shared" si="569"/>
        <v>0</v>
      </c>
      <c r="GT323" s="560" t="str">
        <f t="shared" si="570"/>
        <v/>
      </c>
      <c r="GU323" s="560">
        <f>IF(GK323="P",Lookup!$N$12,IF(GK323="PP",Lookup!$N$13,IF(GK323="PPP",Lookup!$N$14,IF(GK323="T",Lookup!$N$15,IF(GK323="TP",Lookup!$N$16,IF(GK323="TPP",Lookup!$N$17,IF(GK323="TPPP",Lookup!$N$18,0)))))))*GJ323</f>
        <v>0</v>
      </c>
      <c r="GV323" s="560">
        <f t="shared" si="571"/>
        <v>0</v>
      </c>
      <c r="GW323" s="560">
        <f t="shared" si="643"/>
        <v>0</v>
      </c>
      <c r="GX323" s="560">
        <f t="shared" si="577"/>
        <v>0</v>
      </c>
      <c r="GY323" s="560"/>
      <c r="GZ323" s="560">
        <f t="shared" si="572"/>
        <v>0</v>
      </c>
      <c r="HA323" s="560" t="str">
        <f t="shared" si="573"/>
        <v/>
      </c>
      <c r="HB323" s="560">
        <f>IF(GK323="P",Lookup!$N$12,IF(GK323="PP",Lookup!$N$13,IF(GK323="PPP",Lookup!$N$14,IF(GK323="T",Lookup!$N$15,IF(GK323="TP",Lookup!$N$16,IF(GK323="TPP",Lookup!$N$17,IF(GK323="TPPP",Lookup!$N$18,0)))))))*GJ323</f>
        <v>0</v>
      </c>
      <c r="HC323" s="545">
        <f t="shared" si="644"/>
        <v>0</v>
      </c>
      <c r="HD323" s="560">
        <f t="shared" si="645"/>
        <v>0</v>
      </c>
      <c r="HE323" s="560">
        <f t="shared" si="578"/>
        <v>0</v>
      </c>
      <c r="HF323" s="560"/>
      <c r="HG323" s="560">
        <f t="shared" si="574"/>
        <v>0</v>
      </c>
      <c r="HH323" s="560" t="str">
        <f t="shared" si="575"/>
        <v/>
      </c>
      <c r="HI323" s="560">
        <f>IF(GK323="P",Lookup!$N$12,IF(GK323="PP",Lookup!$N$13,IF(GK323="PPP",Lookup!$N$14,IF(GK323="T",Lookup!$N$15,IF(GK323="TP",Lookup!$N$16,IF(GK323="TPP",Lookup!$N$17,IF(GK323="TPPP",Lookup!$N$18,0)))))))*GJ323</f>
        <v>0</v>
      </c>
      <c r="HJ323" s="545">
        <f t="shared" si="646"/>
        <v>0</v>
      </c>
      <c r="HK323" s="560">
        <f t="shared" si="647"/>
        <v>0</v>
      </c>
      <c r="HL323" s="560">
        <f t="shared" si="579"/>
        <v>0</v>
      </c>
    </row>
    <row r="324" spans="1:220">
      <c r="A324" s="580" t="s">
        <v>3</v>
      </c>
      <c r="B324" s="556">
        <v>41952</v>
      </c>
      <c r="C324" s="561">
        <v>0</v>
      </c>
      <c r="D324" s="529">
        <f t="shared" si="580"/>
        <v>300</v>
      </c>
      <c r="E324" s="529">
        <f t="shared" si="581"/>
        <v>250</v>
      </c>
      <c r="F324" s="529">
        <v>250</v>
      </c>
      <c r="G324" s="560">
        <f>DR324+Sheet1!CZ326</f>
        <v>1560.6757438225095</v>
      </c>
      <c r="H324" s="914">
        <f t="shared" si="546"/>
        <v>741.8576008068701</v>
      </c>
      <c r="I324" s="559">
        <f>MAX(Sheet1!Z326-AT324+(Sheet1!DA326-E324)*CFStoMGD,0)</f>
        <v>1169.664</v>
      </c>
      <c r="J324" s="562">
        <f>IF(AND(B324&gt;=Calculation!GC324,B324&lt;=Calculation!GD324),IF(Sheet1!DB326&gt;=Calculation!D324,64.64,0),MAX(Sheet1!Z326-AT324+(Sheet1!DB326-D324)*CFStoMGD,0))</f>
        <v>898.17599999999993</v>
      </c>
      <c r="K324" s="904">
        <f t="shared" si="583"/>
        <v>64.64</v>
      </c>
      <c r="L324" s="560">
        <f>Sheet1!AA326+Sheet1!AB326-Sheet1!L326+(Sheet1!DA326-F324)*CFStoMGD</f>
        <v>1180.0239999999992</v>
      </c>
      <c r="M324" s="560">
        <f t="shared" si="584"/>
        <v>1028.9972168230076</v>
      </c>
      <c r="N324" s="910">
        <f>IF(Sheet1!DA326&gt;=F324,MIN(73,MIN(MAX(L324,0),MAX(M324,0))),0)</f>
        <v>73</v>
      </c>
      <c r="O324" s="563">
        <f>Sheet1!AA326+Sheet1!AB326</f>
        <v>51.9</v>
      </c>
      <c r="P324" s="563">
        <f t="shared" si="585"/>
        <v>80.289299999999997</v>
      </c>
      <c r="Q324" s="898">
        <f t="shared" si="547"/>
        <v>0</v>
      </c>
      <c r="R324" s="829">
        <f t="shared" si="586"/>
        <v>8.9126515387006524</v>
      </c>
      <c r="S324" s="898">
        <f t="shared" si="649"/>
        <v>51.9</v>
      </c>
      <c r="T324" s="898">
        <f t="shared" si="549"/>
        <v>0</v>
      </c>
      <c r="U324" s="898">
        <f t="shared" si="550"/>
        <v>0</v>
      </c>
      <c r="V324" s="898"/>
      <c r="W324" s="898">
        <f t="shared" si="551"/>
        <v>55.72734846129935</v>
      </c>
      <c r="X324" s="898">
        <f t="shared" si="552"/>
        <v>51.9</v>
      </c>
      <c r="Y324" s="898" t="str">
        <f t="shared" si="553"/>
        <v/>
      </c>
      <c r="Z324" s="898">
        <f t="shared" si="554"/>
        <v>51.9</v>
      </c>
      <c r="AA324" s="898">
        <f t="shared" si="555"/>
        <v>51.9</v>
      </c>
      <c r="AB324" s="898" t="str">
        <f t="shared" si="556"/>
        <v/>
      </c>
      <c r="AC324" s="563">
        <f>Sheet1!Y326*MGDtoCFS</f>
        <v>30.321200000000001</v>
      </c>
      <c r="AD324" s="563">
        <f>Sheet1!Z326*MGDtoCFS</f>
        <v>49.503999999999998</v>
      </c>
      <c r="AE324" s="563">
        <f>Sheet1!AA326*MGDtoCFS</f>
        <v>30.785299999999996</v>
      </c>
      <c r="AF324" s="563">
        <f>Sheet1!AB326*MGDtoCFS</f>
        <v>49.503999999999998</v>
      </c>
      <c r="AG324" s="563">
        <f>Sheet1!L326*MGDtoCFS</f>
        <v>14.758380000001351</v>
      </c>
      <c r="AH324" s="545">
        <f t="shared" si="587"/>
        <v>0</v>
      </c>
      <c r="AI324" s="560">
        <f t="shared" si="588"/>
        <v>0</v>
      </c>
      <c r="AJ324" s="560">
        <f t="shared" si="589"/>
        <v>0</v>
      </c>
      <c r="AK324" s="560">
        <f t="shared" si="590"/>
        <v>0</v>
      </c>
      <c r="AL324" s="560">
        <f>(VLOOKUP(Sheet1!DC326,hhdcap_wcm,4)-(((VLOOKUP(Sheet1!DC326,hhdcap_wcm,3)-Sheet1!DC326)/(VLOOKUP(Sheet1!DC326,hhdcap_wcm,3)-VLOOKUP(Sheet1!DC326,hhdcap_wcm,1)))*(VLOOKUP(Sheet1!DC326,hhdcap_wcm,4)-VLOOKUP(Sheet1!DC326,hhdcap_wcm,2))))</f>
        <v>2042.0000000048749</v>
      </c>
      <c r="AM324" s="560">
        <f t="shared" si="591"/>
        <v>41.00000000003638</v>
      </c>
      <c r="AN324" s="560">
        <f t="shared" si="592"/>
        <v>0</v>
      </c>
      <c r="AO324" s="560">
        <f t="shared" si="593"/>
        <v>0</v>
      </c>
      <c r="AP324" s="560">
        <f>Sheet1!BA326+Sheet1!BB326+Sheet1!BN326+CD324</f>
        <v>23.21</v>
      </c>
      <c r="AQ324" s="560">
        <f>Sheet1!BN326+(DO324*Sheet1!BN326)</f>
        <v>22.082685732048489</v>
      </c>
      <c r="AR324" s="560">
        <f>Sheet1!BA326+CD324</f>
        <v>0</v>
      </c>
      <c r="AS324" s="560">
        <f>Sheet1!BA326+Sheet1!BB326+CD324</f>
        <v>1.01</v>
      </c>
      <c r="AT324" s="698">
        <f>0</f>
        <v>0</v>
      </c>
      <c r="AU324" s="560">
        <f>IF(EB324&lt;K324,0,MAX(Sheet1!AA326+AQ324-15/36*K324-N324,Sheet1!EH326,0))</f>
        <v>0</v>
      </c>
      <c r="AV324" s="560">
        <f>IF(OR(B324&gt;=GD324,B324&lt;GC324),0,15/36*K324-MAX(0,64.6-(137.6-(Sheet1!AA326+Sheet1!AB326))))</f>
        <v>0</v>
      </c>
      <c r="AW324" s="698">
        <f>Sheet1!DB326-110</f>
        <v>1530</v>
      </c>
      <c r="AX324" s="698">
        <f>Sheet1!DA326-265</f>
        <v>1745</v>
      </c>
      <c r="AY324" s="698">
        <f t="shared" si="594"/>
        <v>73</v>
      </c>
      <c r="AZ324" s="698">
        <v>0</v>
      </c>
      <c r="BA324" s="698">
        <f t="shared" si="595"/>
        <v>0</v>
      </c>
      <c r="BB324" s="560">
        <f t="shared" si="596"/>
        <v>0</v>
      </c>
      <c r="BC324" s="560"/>
      <c r="BD324" s="560">
        <f ca="1">IF(B324&gt;Summary!$A$1,#N/A,BB324*MGtoAF)</f>
        <v>0</v>
      </c>
      <c r="BE324" s="560">
        <f>Sheet1!BG326+Sheet1!BH326+Sheet1!BI326-BM324</f>
        <v>0</v>
      </c>
      <c r="BF324" s="560">
        <f t="shared" si="597"/>
        <v>0</v>
      </c>
      <c r="BG324" s="560">
        <f>IF(Sheet1!EP326="FM",BM324,0)</f>
        <v>0</v>
      </c>
      <c r="BH324" s="560">
        <f t="shared" si="598"/>
        <v>0</v>
      </c>
      <c r="BI324" s="560">
        <f>IF(Sheet1!EP326="OTHER",BM324,0)</f>
        <v>0</v>
      </c>
      <c r="BJ324" s="560">
        <f t="shared" si="599"/>
        <v>0</v>
      </c>
      <c r="BK324" s="560">
        <f t="shared" si="600"/>
        <v>0</v>
      </c>
      <c r="BL324" s="560">
        <f t="shared" si="601"/>
        <v>0</v>
      </c>
      <c r="BM324" s="560">
        <f>IF(OR(Sheet1!EP326="FM", Sheet1!EP326="OTHER"),SUM(Sheet1!BG326:'Sheet1'!BI326),0)</f>
        <v>0</v>
      </c>
      <c r="BN324" s="545">
        <f>IF(AND($B324&gt;=$FV324,$B324&lt;=$FW324),MAX(BF324,Sheet1!EI326,0),MAX(BF324-(7/36)*$K324,0))</f>
        <v>0</v>
      </c>
      <c r="BO324" s="560">
        <f t="shared" si="602"/>
        <v>0</v>
      </c>
      <c r="BP324" s="545">
        <f t="shared" si="603"/>
        <v>0</v>
      </c>
      <c r="BQ324" s="545">
        <f>IF(AND($O324&gt;0,Sheet1!EM326=1),(1-($O324-Sheet1!$L326)/$O324)*BL324,0)</f>
        <v>0</v>
      </c>
      <c r="BR324" s="545">
        <f>IF(AND(Sheet1!$L326=0,Sheet1!$L325=0, Calculation!BK324&lt;Sheet1!$EI326-0.1,Sheet1!$EI326=Sheet1!$EI325,Sheet1!$EI326=Sheet1!$EI327),Sheet1!$EI326,BL324-BQ324)</f>
        <v>0</v>
      </c>
      <c r="BS324" s="560"/>
      <c r="BT324" s="560"/>
      <c r="BU324" s="560">
        <f t="shared" si="604"/>
        <v>0</v>
      </c>
      <c r="BV324" s="560"/>
      <c r="BW324" s="560">
        <f ca="1">IF(B324&gt;Summary!$A$1,#N/A,BU324*MGtoAF)</f>
        <v>0</v>
      </c>
      <c r="BX324" s="560">
        <f>Sheet1!BC326+Sheet1!BD326+Sheet1!BE326+Sheet1!BF326-CG324-CH324</f>
        <v>2.4900000000000002</v>
      </c>
      <c r="BY324" s="560">
        <f t="shared" si="605"/>
        <v>2.4768417780540877</v>
      </c>
      <c r="BZ324" s="560">
        <f>IF(Sheet1!EQ326="FM",CH324,0)</f>
        <v>0</v>
      </c>
      <c r="CA324" s="560">
        <f t="shared" si="606"/>
        <v>0</v>
      </c>
      <c r="CB324" s="560">
        <f>IF(Sheet1!EQ326="OTHER",CH324,0)</f>
        <v>0</v>
      </c>
      <c r="CC324" s="560">
        <f t="shared" si="607"/>
        <v>0</v>
      </c>
      <c r="CD324" s="560">
        <f t="shared" si="608"/>
        <v>0</v>
      </c>
      <c r="CE324" s="560">
        <f t="shared" si="609"/>
        <v>2.4900000000000002</v>
      </c>
      <c r="CF324" s="560">
        <f t="shared" si="610"/>
        <v>2.4768417780540877</v>
      </c>
      <c r="CG324" s="560">
        <f>IF(Sheet1!EQ326="CWA",SUM(Sheet1!BC326:'Sheet1'!BF326),0)</f>
        <v>0</v>
      </c>
      <c r="CH324" s="560">
        <f>IF(OR(Sheet1!EQ326="FM", Sheet1!EQ326="OTHER"),SUM(Sheet1!BC326:'Sheet1'!BF326),0)</f>
        <v>0</v>
      </c>
      <c r="CI324" s="545">
        <f>IF(AND($B324&gt;=$FV324,$B324&lt;=$FW324),MAX(CF324,Sheet1!EJ326,0),MAX(CF324-(7/36)*$K324,0))</f>
        <v>0</v>
      </c>
      <c r="CJ324" s="560">
        <f t="shared" si="611"/>
        <v>0</v>
      </c>
      <c r="CK324" s="545">
        <f t="shared" si="612"/>
        <v>2.4768417780540877</v>
      </c>
      <c r="CL324" s="545">
        <f>IF(AND($O324&gt;0,Sheet1!EN326=1),(1-($O324-Sheet1!$L326)/$O324)*CF324,0)</f>
        <v>0</v>
      </c>
      <c r="CM324" s="545">
        <f>IF(AND(Sheet1!$L326=0,Sheet1!$L325=0, Calculation!CE324&lt;Sheet1!EJ326-0.1,Sheet1!EJ326=Sheet1!EJ325,Sheet1!EJ326=Sheet1!EJ327),Sheet1!EJ326,CF324-CL324)</f>
        <v>2.4768417780540877</v>
      </c>
      <c r="CN324" s="545"/>
      <c r="CO324" s="560"/>
      <c r="CP324" s="560">
        <f t="shared" si="613"/>
        <v>0</v>
      </c>
      <c r="CQ324" s="560"/>
      <c r="CR324" s="560">
        <f ca="1">IF(B324&gt;Summary!$A$1,#N/A,CP324*MGtoAF)</f>
        <v>0</v>
      </c>
      <c r="CS324" s="560">
        <f>Sheet1!BK326+Sheet1!BL326+Sheet1!BM326-Sheet1!ER326-DA324</f>
        <v>6.47</v>
      </c>
      <c r="CT324" s="560">
        <f t="shared" si="614"/>
        <v>6.4358097606465643</v>
      </c>
      <c r="CU324" s="560">
        <f>IF(Sheet1!ER326="FM",DA324,0)</f>
        <v>0</v>
      </c>
      <c r="CV324" s="560">
        <f t="shared" si="615"/>
        <v>0</v>
      </c>
      <c r="CW324" s="560">
        <f>IF(Sheet1!ER326="OTHER",DA324,0)</f>
        <v>0</v>
      </c>
      <c r="CX324" s="560">
        <f t="shared" si="616"/>
        <v>0</v>
      </c>
      <c r="CY324" s="560">
        <f t="shared" si="617"/>
        <v>6.47</v>
      </c>
      <c r="CZ324" s="560">
        <f t="shared" si="618"/>
        <v>6.4358097606465643</v>
      </c>
      <c r="DA324" s="560">
        <f>IF(OR(Sheet1!ER326="FM", Sheet1!ER326="OTHER"),SUM(Sheet1!BK326:'Sheet1'!BM326),0)</f>
        <v>0</v>
      </c>
      <c r="DB324" s="545">
        <f>IF(AND($B324&gt;=$FV324,$B324&lt;=$FW324),MAX($CT324,Sheet1!EK326,0),MAX($CT324-(7/36)*$K324,0))</f>
        <v>0</v>
      </c>
      <c r="DC324" s="560">
        <f t="shared" si="619"/>
        <v>0</v>
      </c>
      <c r="DD324" s="545">
        <f t="shared" si="620"/>
        <v>6.4358097606465643</v>
      </c>
      <c r="DE324" s="545">
        <f>IF(AND($O324&gt;0,Sheet1!EO326=1),(1-($O324-Sheet1!$L326)/$O324)*CZ324,0)</f>
        <v>0</v>
      </c>
      <c r="DF324" s="545">
        <f>IF(AND(Sheet1!$L326=0,Sheet1!$L325=0, Calculation!CY324&lt;Sheet1!$EK326-0.1,Sheet1!$EK326=Sheet1!$EK325,Sheet1!$EK326=Sheet1!$EK327),Sheet1!$EK326,CZ324-DE324)</f>
        <v>6.4358097606465643</v>
      </c>
      <c r="DG324" s="545"/>
      <c r="DH324" s="560">
        <f t="shared" si="621"/>
        <v>8.9600000000000009</v>
      </c>
      <c r="DI324" s="560">
        <f t="shared" si="622"/>
        <v>0</v>
      </c>
      <c r="DJ324" s="698">
        <f t="shared" si="623"/>
        <v>8.9126515387006524</v>
      </c>
      <c r="DK324" s="560">
        <f ca="1">IF(B324&gt;Summary!$A$1,#N/A,DI324*MGtoAF)</f>
        <v>0</v>
      </c>
      <c r="DL324" s="698">
        <f t="shared" si="624"/>
        <v>8.9600000000000009</v>
      </c>
      <c r="DM324" s="560">
        <f t="shared" si="625"/>
        <v>32.17</v>
      </c>
      <c r="DN324" s="560">
        <f>Sheet1!AB326-DM324</f>
        <v>-0.17000000000000171</v>
      </c>
      <c r="DO324" s="560">
        <f t="shared" si="626"/>
        <v>-5.2844264843021974E-3</v>
      </c>
      <c r="DP324" s="560">
        <f>(VLOOKUP(Sheet1!DC326,hhdcap_wcm,4)-(((VLOOKUP(Sheet1!DC326,hhdcap_wcm,3)-Sheet1!DC326)/(VLOOKUP(Sheet1!DC326,hhdcap_wcm,3)-VLOOKUP(Sheet1!DC326,hhdcap_wcm,1)))*(VLOOKUP(Sheet1!DC326,hhdcap_wcm,4)-VLOOKUP(Sheet1!DC326,hhdcap_wcm,2))))</f>
        <v>2042.0000000048749</v>
      </c>
      <c r="DQ324" s="560">
        <f t="shared" si="627"/>
        <v>41.00000000003638</v>
      </c>
      <c r="DR324" s="560">
        <f t="shared" si="628"/>
        <v>20.675743822509517</v>
      </c>
      <c r="DS324" s="560">
        <f>Sheet1!EA326*AFtoMG</f>
        <v>0</v>
      </c>
      <c r="DT324" s="560">
        <f>Sheet1!EB326*AFtoMG</f>
        <v>0</v>
      </c>
      <c r="DU324" s="560">
        <f>Sheet1!EC326*AFtoMG</f>
        <v>0</v>
      </c>
      <c r="DV324" s="560">
        <f>Sheet1!ED326*AFtoMG</f>
        <v>0</v>
      </c>
      <c r="DW324" s="560">
        <f t="shared" si="629"/>
        <v>0</v>
      </c>
      <c r="DX324" s="560">
        <f t="shared" si="630"/>
        <v>0</v>
      </c>
      <c r="DY324" s="560">
        <f t="shared" si="631"/>
        <v>0</v>
      </c>
      <c r="DZ324" s="560">
        <f t="shared" si="632"/>
        <v>0</v>
      </c>
      <c r="EA324" s="560"/>
      <c r="EB324" s="545">
        <f>IF(OR(B324&lt;FV324,B324&gt;FW324),(MIN(BF324+BY324+CT324+MAX(Sheet1!AA326+AQ324-73,0),K324)),0)</f>
        <v>8.9126515387006524</v>
      </c>
      <c r="EC324" s="560"/>
      <c r="ED324" s="560">
        <f t="shared" si="633"/>
        <v>8.9126515387006524</v>
      </c>
      <c r="EE324" s="560"/>
      <c r="EF324" s="560">
        <f>Sheet1!EH326+Sheet1!EI326+Sheet1!EJ326+Sheet1!EK326</f>
        <v>9</v>
      </c>
      <c r="EG324" s="560"/>
      <c r="EH324" s="545">
        <f t="shared" si="634"/>
        <v>0</v>
      </c>
      <c r="EI324" s="560">
        <f>IF(Sheet1!ET326=1,SUM('Calculations II'!AT324:BA324)+'Calculations II'!BC324+Sheet1!BV326+'Calculations II'!BE324+AP324,SUM('Calculations II'!AT324:BA324)+'Calculations II'!BC324+Sheet1!BV326+'Calculations II'!BE324+AP324)</f>
        <v>51.517055999999997</v>
      </c>
      <c r="EJ324" s="560">
        <f>Sheet1!AA326+Sheet1!AB326+'Calculations II'!BC324</f>
        <v>51.9</v>
      </c>
      <c r="EK324" s="560"/>
      <c r="EL324" s="560"/>
      <c r="EM324" s="560">
        <f t="shared" si="635"/>
        <v>41952</v>
      </c>
      <c r="EN324" s="560">
        <f t="shared" si="636"/>
        <v>0</v>
      </c>
      <c r="EO324" s="560">
        <f t="shared" si="637"/>
        <v>0</v>
      </c>
      <c r="EP324" s="560">
        <v>0</v>
      </c>
      <c r="EQ324" s="560">
        <v>0</v>
      </c>
      <c r="ER324" s="560">
        <v>0</v>
      </c>
      <c r="ES324" s="545">
        <f t="shared" si="557"/>
        <v>2.4911113356186187</v>
      </c>
      <c r="ET324" s="560">
        <f>-(VLOOKUP(Sheet1!BQ326,Lookup!$O$4:$Q$262,2)-VLOOKUP(Sheet1!BQ325,Lookup!$O$4:$Q$262,2))/1000000</f>
        <v>1.2454980120593346</v>
      </c>
      <c r="EU324" s="560">
        <f>-(VLOOKUP(Sheet1!BR326,Lookup!$O$4:$Q$262,3)-VLOOKUP(Sheet1!BR325,Lookup!$O$4:$Q$262,3))/1000000</f>
        <v>1.2456133235592841</v>
      </c>
      <c r="EV324" s="560"/>
      <c r="EW324" s="560"/>
      <c r="EX324" s="560"/>
      <c r="EY324" s="560"/>
      <c r="EZ324" s="560"/>
      <c r="FA324" s="560"/>
      <c r="FB324" s="560"/>
      <c r="FC324" s="560"/>
      <c r="FD324" s="594">
        <f t="shared" si="638"/>
        <v>1086.2529411764394</v>
      </c>
      <c r="FE324" s="594" t="e">
        <f t="shared" si="639"/>
        <v>#N/A</v>
      </c>
      <c r="FF324" s="595" t="e">
        <f t="shared" si="640"/>
        <v>#N/A</v>
      </c>
      <c r="FG324" s="596" t="s">
        <v>692</v>
      </c>
      <c r="FH324" s="596" t="s">
        <v>692</v>
      </c>
      <c r="FI324" s="594" t="e">
        <v>#N/A</v>
      </c>
      <c r="FJ324" s="778">
        <v>1890</v>
      </c>
      <c r="FK324" s="560"/>
      <c r="FL324" s="560"/>
      <c r="FM324" s="560"/>
      <c r="FN324" s="560"/>
      <c r="FO324" s="560">
        <f>O324+((Sheet1!CS326)*GPMtoMGD)</f>
        <v>51.9</v>
      </c>
      <c r="FP324" s="560">
        <f>IF(Sheet1!AA326+AQ324&lt;=Calculation!N324,AQ324,Calculation!N324-Sheet1!AA326)</f>
        <v>22.082685732048489</v>
      </c>
      <c r="FQ324" s="560">
        <f>(Sheet1!BP326+Sheet1!BO326)/694.4</f>
        <v>1.3764400921658986</v>
      </c>
      <c r="FR324" s="560"/>
      <c r="FS324" s="560"/>
      <c r="FT324" s="560"/>
      <c r="FU324" s="560"/>
      <c r="FV324" s="695">
        <f t="shared" si="558"/>
        <v>41827</v>
      </c>
      <c r="FW324" s="695">
        <f t="shared" si="559"/>
        <v>41934</v>
      </c>
      <c r="FX324" s="560"/>
      <c r="FY324" s="560"/>
      <c r="FZ324" s="560"/>
      <c r="GA324" s="560"/>
      <c r="GB324" s="560" t="str">
        <f t="shared" si="560"/>
        <v>n</v>
      </c>
      <c r="GC324" s="564">
        <f t="shared" si="561"/>
        <v>41691</v>
      </c>
      <c r="GD324" s="695">
        <f t="shared" si="562"/>
        <v>41807</v>
      </c>
      <c r="GE324" s="560">
        <v>6518.9</v>
      </c>
      <c r="GF324" s="695">
        <f t="shared" si="563"/>
        <v>41808</v>
      </c>
      <c r="GG324" s="560">
        <f t="shared" si="582"/>
        <v>3259</v>
      </c>
      <c r="GH324" s="564">
        <f t="shared" si="564"/>
        <v>41934</v>
      </c>
      <c r="GJ324" s="545">
        <f t="shared" si="565"/>
        <v>0</v>
      </c>
      <c r="GK324" s="560" t="str">
        <f t="shared" si="641"/>
        <v/>
      </c>
      <c r="GL324" s="560">
        <f t="shared" si="566"/>
        <v>0</v>
      </c>
      <c r="GM324" s="560" t="str">
        <f t="shared" si="567"/>
        <v/>
      </c>
      <c r="GN324" s="560">
        <f>IF(GK324="P",Lookup!$M$12,IF(GK324="PP",Lookup!$M$13,IF(GK324="PPP",Lookup!$M$14,IF(GK324="T",Lookup!$M$15,IF(GK324="TP",Lookup!$M$16,IF(GK324="TPP",Lookup!$M$17,IF(GK324="TPPP",Lookup!$M$18,0)))))))*GJ324</f>
        <v>0</v>
      </c>
      <c r="GO324" s="560">
        <f t="shared" si="568"/>
        <v>0</v>
      </c>
      <c r="GP324" s="560">
        <f t="shared" si="642"/>
        <v>0</v>
      </c>
      <c r="GQ324" s="560">
        <f t="shared" si="576"/>
        <v>0</v>
      </c>
      <c r="GR324" s="560"/>
      <c r="GS324" s="560">
        <f t="shared" si="569"/>
        <v>0</v>
      </c>
      <c r="GT324" s="560" t="str">
        <f t="shared" si="570"/>
        <v/>
      </c>
      <c r="GU324" s="560">
        <f>IF(GK324="P",Lookup!$N$12,IF(GK324="PP",Lookup!$N$13,IF(GK324="PPP",Lookup!$N$14,IF(GK324="T",Lookup!$N$15,IF(GK324="TP",Lookup!$N$16,IF(GK324="TPP",Lookup!$N$17,IF(GK324="TPPP",Lookup!$N$18,0)))))))*GJ324</f>
        <v>0</v>
      </c>
      <c r="GV324" s="560">
        <f t="shared" si="571"/>
        <v>0</v>
      </c>
      <c r="GW324" s="560">
        <f t="shared" si="643"/>
        <v>0</v>
      </c>
      <c r="GX324" s="560">
        <f t="shared" si="577"/>
        <v>0</v>
      </c>
      <c r="GY324" s="560"/>
      <c r="GZ324" s="560">
        <f t="shared" si="572"/>
        <v>0</v>
      </c>
      <c r="HA324" s="560" t="str">
        <f t="shared" si="573"/>
        <v/>
      </c>
      <c r="HB324" s="560">
        <f>IF(GK324="P",Lookup!$N$12,IF(GK324="PP",Lookup!$N$13,IF(GK324="PPP",Lookup!$N$14,IF(GK324="T",Lookup!$N$15,IF(GK324="TP",Lookup!$N$16,IF(GK324="TPP",Lookup!$N$17,IF(GK324="TPPP",Lookup!$N$18,0)))))))*GJ324</f>
        <v>0</v>
      </c>
      <c r="HC324" s="545">
        <f t="shared" si="644"/>
        <v>0</v>
      </c>
      <c r="HD324" s="560">
        <f t="shared" si="645"/>
        <v>0</v>
      </c>
      <c r="HE324" s="560">
        <f t="shared" si="578"/>
        <v>0</v>
      </c>
      <c r="HF324" s="560"/>
      <c r="HG324" s="560">
        <f t="shared" si="574"/>
        <v>0</v>
      </c>
      <c r="HH324" s="560" t="str">
        <f t="shared" si="575"/>
        <v/>
      </c>
      <c r="HI324" s="560">
        <f>IF(GK324="P",Lookup!$N$12,IF(GK324="PP",Lookup!$N$13,IF(GK324="PPP",Lookup!$N$14,IF(GK324="T",Lookup!$N$15,IF(GK324="TP",Lookup!$N$16,IF(GK324="TPP",Lookup!$N$17,IF(GK324="TPPP",Lookup!$N$18,0)))))))*GJ324</f>
        <v>0</v>
      </c>
      <c r="HJ324" s="545">
        <f t="shared" si="646"/>
        <v>0</v>
      </c>
      <c r="HK324" s="560">
        <f t="shared" si="647"/>
        <v>0</v>
      </c>
      <c r="HL324" s="560">
        <f t="shared" si="579"/>
        <v>0</v>
      </c>
    </row>
    <row r="325" spans="1:220">
      <c r="A325" s="580" t="s">
        <v>4</v>
      </c>
      <c r="B325" s="556">
        <v>41953</v>
      </c>
      <c r="C325" s="561">
        <v>0</v>
      </c>
      <c r="D325" s="529">
        <f t="shared" si="580"/>
        <v>300</v>
      </c>
      <c r="E325" s="529">
        <f t="shared" si="581"/>
        <v>250</v>
      </c>
      <c r="F325" s="529">
        <v>250</v>
      </c>
      <c r="G325" s="560">
        <f>DR325+Sheet1!CZ327</f>
        <v>1960.6858295514166</v>
      </c>
      <c r="H325" s="914">
        <f t="shared" si="546"/>
        <v>1000.4241202220356</v>
      </c>
      <c r="I325" s="559">
        <f>MAX(Sheet1!Z327-AT325+(Sheet1!DA327-E325)*CFStoMGD,0)</f>
        <v>1357.12</v>
      </c>
      <c r="J325" s="562">
        <f>IF(AND(B325&gt;=Calculation!GC325,B325&lt;=Calculation!GD325),IF(Sheet1!DB327&gt;=Calculation!D325,64.64,0),MAX(Sheet1!Z327-AT325+(Sheet1!DB327-D325)*CFStoMGD,0))</f>
        <v>1059.7760000000001</v>
      </c>
      <c r="K325" s="904">
        <f t="shared" si="583"/>
        <v>64.64</v>
      </c>
      <c r="L325" s="560">
        <f>Sheet1!AA327+Sheet1!AB327-Sheet1!L327+(Sheet1!DA327-F325)*CFStoMGD</f>
        <v>1359.8299999999977</v>
      </c>
      <c r="M325" s="560">
        <f t="shared" si="584"/>
        <v>1292.7350666264765</v>
      </c>
      <c r="N325" s="910">
        <f>IF(Sheet1!DA327&gt;=F325,MIN(73,MIN(MAX(L325,0),MAX(M325,0))),0)</f>
        <v>73</v>
      </c>
      <c r="O325" s="563">
        <f>Sheet1!AA327+Sheet1!AB327</f>
        <v>54.4</v>
      </c>
      <c r="P325" s="563">
        <f t="shared" si="585"/>
        <v>84.15679999999999</v>
      </c>
      <c r="Q325" s="898">
        <f t="shared" si="547"/>
        <v>0</v>
      </c>
      <c r="R325" s="829">
        <f t="shared" si="586"/>
        <v>9.0409645554909925</v>
      </c>
      <c r="S325" s="898">
        <f t="shared" si="649"/>
        <v>54.4</v>
      </c>
      <c r="T325" s="898">
        <f t="shared" si="549"/>
        <v>0</v>
      </c>
      <c r="U325" s="898">
        <f t="shared" si="550"/>
        <v>0</v>
      </c>
      <c r="V325" s="898"/>
      <c r="W325" s="898">
        <f t="shared" si="551"/>
        <v>55.599035444509006</v>
      </c>
      <c r="X325" s="898">
        <f t="shared" si="552"/>
        <v>54.4</v>
      </c>
      <c r="Y325" s="898" t="str">
        <f t="shared" si="553"/>
        <v/>
      </c>
      <c r="Z325" s="898">
        <f t="shared" si="554"/>
        <v>54.4</v>
      </c>
      <c r="AA325" s="898">
        <f t="shared" si="555"/>
        <v>54.4</v>
      </c>
      <c r="AB325" s="898" t="str">
        <f t="shared" si="556"/>
        <v/>
      </c>
      <c r="AC325" s="563">
        <f>Sheet1!Y327*MGDtoCFS</f>
        <v>30.785299999999996</v>
      </c>
      <c r="AD325" s="563">
        <f>Sheet1!Z327*MGDtoCFS</f>
        <v>49.503999999999998</v>
      </c>
      <c r="AE325" s="563">
        <f>Sheet1!AA327*MGDtoCFS</f>
        <v>30.785299999999996</v>
      </c>
      <c r="AF325" s="563">
        <f>Sheet1!AB327*MGDtoCFS</f>
        <v>53.371499999999997</v>
      </c>
      <c r="AG325" s="563">
        <f>Sheet1!L327*MGDtoCFS</f>
        <v>30.460430000003601</v>
      </c>
      <c r="AH325" s="545">
        <f t="shared" si="587"/>
        <v>0</v>
      </c>
      <c r="AI325" s="560">
        <f t="shared" si="588"/>
        <v>0</v>
      </c>
      <c r="AJ325" s="560">
        <f t="shared" si="589"/>
        <v>0</v>
      </c>
      <c r="AK325" s="560">
        <f t="shared" si="590"/>
        <v>0</v>
      </c>
      <c r="AL325" s="560">
        <f>(VLOOKUP(Sheet1!DC327,hhdcap_wcm,4)-(((VLOOKUP(Sheet1!DC327,hhdcap_wcm,3)-Sheet1!DC327)/(VLOOKUP(Sheet1!DC327,hhdcap_wcm,3)-VLOOKUP(Sheet1!DC327,hhdcap_wcm,1)))*(VLOOKUP(Sheet1!DC327,hhdcap_wcm,4)-VLOOKUP(Sheet1!DC327,hhdcap_wcm,2))))</f>
        <v>2202.0000000053342</v>
      </c>
      <c r="AM325" s="560">
        <f t="shared" si="591"/>
        <v>160.00000000045929</v>
      </c>
      <c r="AN325" s="560">
        <f t="shared" si="592"/>
        <v>0</v>
      </c>
      <c r="AO325" s="560">
        <f t="shared" si="593"/>
        <v>0</v>
      </c>
      <c r="AP325" s="560">
        <f>Sheet1!BA327+Sheet1!BB327+Sheet1!BN327+CD325</f>
        <v>25.4</v>
      </c>
      <c r="AQ325" s="560">
        <f>Sheet1!BN327+(DO325*Sheet1!BN327)</f>
        <v>24.456711214410223</v>
      </c>
      <c r="AR325" s="560">
        <f>Sheet1!BA327+CD325</f>
        <v>0</v>
      </c>
      <c r="AS325" s="560">
        <f>Sheet1!BA327+Sheet1!BB327+CD325</f>
        <v>1</v>
      </c>
      <c r="AT325" s="698">
        <f>0</f>
        <v>0</v>
      </c>
      <c r="AU325" s="560">
        <f>IF(EB325&lt;K325,0,MAX(Sheet1!AA327+AQ325-15/36*K325-N325,Sheet1!EH327,0))</f>
        <v>0</v>
      </c>
      <c r="AV325" s="560">
        <f>IF(OR(B325&gt;=GD325,B325&lt;GC325),0,15/36*K325-MAX(0,64.6-(137.6-(Sheet1!AA327+Sheet1!AB327))))</f>
        <v>0</v>
      </c>
      <c r="AW325" s="698">
        <f>Sheet1!DB327-110</f>
        <v>1780</v>
      </c>
      <c r="AX325" s="698">
        <f>Sheet1!DA327-265</f>
        <v>2035</v>
      </c>
      <c r="AY325" s="698">
        <f t="shared" si="594"/>
        <v>73</v>
      </c>
      <c r="AZ325" s="698">
        <v>0</v>
      </c>
      <c r="BA325" s="698">
        <f t="shared" si="595"/>
        <v>0</v>
      </c>
      <c r="BB325" s="560">
        <f t="shared" si="596"/>
        <v>0</v>
      </c>
      <c r="BC325" s="560"/>
      <c r="BD325" s="560">
        <f ca="1">IF(B325&gt;Summary!$A$1,#N/A,BB325*MGtoAF)</f>
        <v>0</v>
      </c>
      <c r="BE325" s="560">
        <f>Sheet1!BG327+Sheet1!BH327+Sheet1!BI327-BM325</f>
        <v>0</v>
      </c>
      <c r="BF325" s="560">
        <f t="shared" si="597"/>
        <v>0</v>
      </c>
      <c r="BG325" s="560">
        <f>IF(Sheet1!EP327="FM",BM325,0)</f>
        <v>0</v>
      </c>
      <c r="BH325" s="560">
        <f t="shared" si="598"/>
        <v>0</v>
      </c>
      <c r="BI325" s="560">
        <f>IF(Sheet1!EP327="OTHER",BM325,0)</f>
        <v>0</v>
      </c>
      <c r="BJ325" s="560">
        <f t="shared" si="599"/>
        <v>0</v>
      </c>
      <c r="BK325" s="560">
        <f t="shared" si="600"/>
        <v>0</v>
      </c>
      <c r="BL325" s="560">
        <f t="shared" si="601"/>
        <v>0</v>
      </c>
      <c r="BM325" s="560">
        <f>IF(OR(Sheet1!EP327="FM", Sheet1!EP327="OTHER"),SUM(Sheet1!BG327:'Sheet1'!BI327),0)</f>
        <v>0</v>
      </c>
      <c r="BN325" s="545">
        <f>IF(AND($B325&gt;=$FV325,$B325&lt;=$FW325),MAX(BF325,Sheet1!EI327,0),MAX(BF325-(7/36)*$K325,0))</f>
        <v>0</v>
      </c>
      <c r="BO325" s="560">
        <f t="shared" si="602"/>
        <v>0</v>
      </c>
      <c r="BP325" s="545">
        <f t="shared" si="603"/>
        <v>0</v>
      </c>
      <c r="BQ325" s="545">
        <f>IF(AND($O325&gt;0,Sheet1!EM327=1),(1-($O325-Sheet1!$L327)/$O325)*BL325,0)</f>
        <v>0</v>
      </c>
      <c r="BR325" s="545">
        <f>IF(AND(Sheet1!$L327=0,Sheet1!$L326=0, Calculation!BK325&lt;Sheet1!$EI327-0.1,Sheet1!$EI327=Sheet1!$EI326,Sheet1!$EI327=Sheet1!$EI328),Sheet1!$EI327,BL325-BQ325)</f>
        <v>0</v>
      </c>
      <c r="BS325" s="560"/>
      <c r="BT325" s="560"/>
      <c r="BU325" s="560">
        <f t="shared" si="604"/>
        <v>0</v>
      </c>
      <c r="BV325" s="560"/>
      <c r="BW325" s="560">
        <f ca="1">IF(B325&gt;Summary!$A$1,#N/A,BU325*MGtoAF)</f>
        <v>0</v>
      </c>
      <c r="BX325" s="560">
        <f>Sheet1!BC327+Sheet1!BD327+Sheet1!BE327+Sheet1!BF327-CG325-CH325</f>
        <v>2.4900000000000002</v>
      </c>
      <c r="BY325" s="560">
        <f t="shared" si="605"/>
        <v>2.4957873329459619</v>
      </c>
      <c r="BZ325" s="560">
        <f>IF(Sheet1!EQ327="FM",CH325,0)</f>
        <v>0</v>
      </c>
      <c r="CA325" s="560">
        <f t="shared" si="606"/>
        <v>0</v>
      </c>
      <c r="CB325" s="560">
        <f>IF(Sheet1!EQ327="OTHER",CH325,0)</f>
        <v>0</v>
      </c>
      <c r="CC325" s="560">
        <f t="shared" si="607"/>
        <v>0</v>
      </c>
      <c r="CD325" s="560">
        <f t="shared" si="608"/>
        <v>0</v>
      </c>
      <c r="CE325" s="560">
        <f t="shared" si="609"/>
        <v>2.4900000000000002</v>
      </c>
      <c r="CF325" s="560">
        <f t="shared" si="610"/>
        <v>2.4957873329459619</v>
      </c>
      <c r="CG325" s="560">
        <f>IF(Sheet1!EQ327="CWA",SUM(Sheet1!BC327:'Sheet1'!BF327),0)</f>
        <v>0</v>
      </c>
      <c r="CH325" s="560">
        <f>IF(OR(Sheet1!EQ327="FM", Sheet1!EQ327="OTHER"),SUM(Sheet1!BC327:'Sheet1'!BF327),0)</f>
        <v>0</v>
      </c>
      <c r="CI325" s="545">
        <f>IF(AND($B325&gt;=$FV325,$B325&lt;=$FW325),MAX(CF325,Sheet1!EJ327,0),MAX(CF325-(7/36)*$K325,0))</f>
        <v>0</v>
      </c>
      <c r="CJ325" s="560">
        <f t="shared" si="611"/>
        <v>0</v>
      </c>
      <c r="CK325" s="545">
        <f t="shared" si="612"/>
        <v>2.4957873329459619</v>
      </c>
      <c r="CL325" s="545">
        <f>IF(AND($O325&gt;0,Sheet1!EN327=1),(1-($O325-Sheet1!$L327)/$O325)*CF325,0)</f>
        <v>0</v>
      </c>
      <c r="CM325" s="545">
        <f>IF(AND(Sheet1!$L327=0,Sheet1!$L326=0, Calculation!CE325&lt;Sheet1!EJ327-0.1,Sheet1!EJ327=Sheet1!EJ326,Sheet1!EJ327=Sheet1!EJ328),Sheet1!EJ327,CF325-CL325)</f>
        <v>2.4957873329459619</v>
      </c>
      <c r="CN325" s="545"/>
      <c r="CO325" s="560"/>
      <c r="CP325" s="560">
        <f t="shared" si="613"/>
        <v>0</v>
      </c>
      <c r="CQ325" s="560"/>
      <c r="CR325" s="560">
        <f ca="1">IF(B325&gt;Summary!$A$1,#N/A,CP325*MGtoAF)</f>
        <v>0</v>
      </c>
      <c r="CS325" s="560">
        <f>Sheet1!BK327+Sheet1!BL327+Sheet1!BM327-Sheet1!ER327-DA325</f>
        <v>6.5299999999999994</v>
      </c>
      <c r="CT325" s="560">
        <f t="shared" si="614"/>
        <v>6.5451772225450311</v>
      </c>
      <c r="CU325" s="560">
        <f>IF(Sheet1!ER327="FM",DA325,0)</f>
        <v>0</v>
      </c>
      <c r="CV325" s="560">
        <f t="shared" si="615"/>
        <v>0</v>
      </c>
      <c r="CW325" s="560">
        <f>IF(Sheet1!ER327="OTHER",DA325,0)</f>
        <v>0</v>
      </c>
      <c r="CX325" s="560">
        <f t="shared" si="616"/>
        <v>0</v>
      </c>
      <c r="CY325" s="560">
        <f t="shared" si="617"/>
        <v>6.5299999999999994</v>
      </c>
      <c r="CZ325" s="560">
        <f t="shared" si="618"/>
        <v>6.5451772225450311</v>
      </c>
      <c r="DA325" s="560">
        <f>IF(OR(Sheet1!ER327="FM", Sheet1!ER327="OTHER"),SUM(Sheet1!BK327:'Sheet1'!BM327),0)</f>
        <v>0</v>
      </c>
      <c r="DB325" s="545">
        <f>IF(AND($B325&gt;=$FV325,$B325&lt;=$FW325),MAX($CT325,Sheet1!EK327,0),MAX($CT325-(7/36)*$K325,0))</f>
        <v>0</v>
      </c>
      <c r="DC325" s="560">
        <f t="shared" si="619"/>
        <v>0</v>
      </c>
      <c r="DD325" s="545">
        <f t="shared" si="620"/>
        <v>6.5451772225450311</v>
      </c>
      <c r="DE325" s="545">
        <f>IF(AND($O325&gt;0,Sheet1!EO327=1),(1-($O325-Sheet1!$L327)/$O325)*CZ325,0)</f>
        <v>0</v>
      </c>
      <c r="DF325" s="545">
        <f>IF(AND(Sheet1!$L327=0,Sheet1!$L326=0, Calculation!CY325&lt;Sheet1!$EK327-0.1,Sheet1!$EK327=Sheet1!$EK326,Sheet1!$EK327=Sheet1!$EK328),Sheet1!$EK327,CZ325-DE325)</f>
        <v>6.5451772225450311</v>
      </c>
      <c r="DG325" s="545"/>
      <c r="DH325" s="560">
        <f t="shared" si="621"/>
        <v>9.02</v>
      </c>
      <c r="DI325" s="560">
        <f t="shared" si="622"/>
        <v>0</v>
      </c>
      <c r="DJ325" s="698">
        <f t="shared" si="623"/>
        <v>9.0409645554909925</v>
      </c>
      <c r="DK325" s="560">
        <f ca="1">IF(B325&gt;Summary!$A$1,#N/A,DI325*MGtoAF)</f>
        <v>0</v>
      </c>
      <c r="DL325" s="698">
        <f t="shared" si="624"/>
        <v>9.02</v>
      </c>
      <c r="DM325" s="560">
        <f t="shared" si="625"/>
        <v>34.42</v>
      </c>
      <c r="DN325" s="560">
        <f>Sheet1!AB327-DM325</f>
        <v>7.9999999999998295E-2</v>
      </c>
      <c r="DO325" s="560">
        <f t="shared" si="626"/>
        <v>2.3242300987797297E-3</v>
      </c>
      <c r="DP325" s="560">
        <f>(VLOOKUP(Sheet1!DC327,hhdcap_wcm,4)-(((VLOOKUP(Sheet1!DC327,hhdcap_wcm,3)-Sheet1!DC327)/(VLOOKUP(Sheet1!DC327,hhdcap_wcm,3)-VLOOKUP(Sheet1!DC327,hhdcap_wcm,1)))*(VLOOKUP(Sheet1!DC327,hhdcap_wcm,4)-VLOOKUP(Sheet1!DC327,hhdcap_wcm,2))))</f>
        <v>2202.0000000053342</v>
      </c>
      <c r="DQ325" s="560">
        <f t="shared" si="627"/>
        <v>160.00000000045929</v>
      </c>
      <c r="DR325" s="560">
        <f t="shared" si="628"/>
        <v>80.685829551416674</v>
      </c>
      <c r="DS325" s="560">
        <f>Sheet1!EA327*AFtoMG</f>
        <v>0</v>
      </c>
      <c r="DT325" s="560">
        <f>Sheet1!EB327*AFtoMG</f>
        <v>0</v>
      </c>
      <c r="DU325" s="560">
        <f>Sheet1!EC327*AFtoMG</f>
        <v>0</v>
      </c>
      <c r="DV325" s="560">
        <f>Sheet1!ED327*AFtoMG</f>
        <v>0</v>
      </c>
      <c r="DW325" s="560">
        <f t="shared" si="629"/>
        <v>0</v>
      </c>
      <c r="DX325" s="560">
        <f t="shared" si="630"/>
        <v>0</v>
      </c>
      <c r="DY325" s="560">
        <f t="shared" si="631"/>
        <v>0</v>
      </c>
      <c r="DZ325" s="560">
        <f t="shared" si="632"/>
        <v>0</v>
      </c>
      <c r="EA325" s="560"/>
      <c r="EB325" s="545">
        <f>IF(OR(B325&lt;FV325,B325&gt;FW325),(MIN(BF325+BY325+CT325+MAX(Sheet1!AA327+AQ325-73,0),K325)),0)</f>
        <v>9.0409645554909925</v>
      </c>
      <c r="EC325" s="560"/>
      <c r="ED325" s="560">
        <f t="shared" si="633"/>
        <v>9.0409645554909925</v>
      </c>
      <c r="EE325" s="560"/>
      <c r="EF325" s="560">
        <f>Sheet1!EH327+Sheet1!EI327+Sheet1!EJ327+Sheet1!EK327</f>
        <v>9</v>
      </c>
      <c r="EG325" s="560"/>
      <c r="EH325" s="545">
        <f t="shared" si="634"/>
        <v>0</v>
      </c>
      <c r="EI325" s="560">
        <f>IF(Sheet1!ET327=1,SUM('Calculations II'!AT325:BA325)+'Calculations II'!BC325+Sheet1!BV327+'Calculations II'!BE325+AP325,SUM('Calculations II'!AT325:BA325)+'Calculations II'!BC325+Sheet1!BV327+'Calculations II'!BE325+AP325)</f>
        <v>49.840384</v>
      </c>
      <c r="EJ325" s="560">
        <f>Sheet1!AA327+Sheet1!AB327+'Calculations II'!BC325</f>
        <v>54.4</v>
      </c>
      <c r="EK325" s="560"/>
      <c r="EL325" s="560"/>
      <c r="EM325" s="560">
        <f t="shared" si="635"/>
        <v>41953</v>
      </c>
      <c r="EN325" s="560">
        <f t="shared" si="636"/>
        <v>0</v>
      </c>
      <c r="EO325" s="560">
        <f t="shared" si="637"/>
        <v>0</v>
      </c>
      <c r="EP325" s="560">
        <v>0</v>
      </c>
      <c r="EQ325" s="560">
        <v>0</v>
      </c>
      <c r="ER325" s="560">
        <v>0</v>
      </c>
      <c r="ES325" s="545">
        <f t="shared" si="557"/>
        <v>-1.2454339501149283</v>
      </c>
      <c r="ET325" s="560">
        <f>-(VLOOKUP(Sheet1!BQ327,Lookup!$O$4:$Q$262,2)-VLOOKUP(Sheet1!BQ326,Lookup!$O$4:$Q$262,2))/1000000</f>
        <v>-0.55349061180629211</v>
      </c>
      <c r="EU325" s="560">
        <f>-(VLOOKUP(Sheet1!BR327,Lookup!$O$4:$Q$262,3)-VLOOKUP(Sheet1!BR326,Lookup!$O$4:$Q$262,3))/1000000</f>
        <v>-0.69194333830863608</v>
      </c>
      <c r="EV325" s="560"/>
      <c r="EW325" s="560"/>
      <c r="EX325" s="560"/>
      <c r="EY325" s="560"/>
      <c r="EZ325" s="560"/>
      <c r="FA325" s="560"/>
      <c r="FB325" s="560"/>
      <c r="FC325" s="560"/>
      <c r="FD325" s="594">
        <f t="shared" si="638"/>
        <v>1085.7187499999693</v>
      </c>
      <c r="FE325" s="594" t="e">
        <f t="shared" si="639"/>
        <v>#N/A</v>
      </c>
      <c r="FF325" s="595" t="e">
        <f t="shared" si="640"/>
        <v>#N/A</v>
      </c>
      <c r="FG325" s="596" t="s">
        <v>692</v>
      </c>
      <c r="FH325" s="596" t="s">
        <v>692</v>
      </c>
      <c r="FI325" s="594" t="e">
        <v>#N/A</v>
      </c>
      <c r="FJ325" s="778">
        <v>1800</v>
      </c>
      <c r="FK325" s="560"/>
      <c r="FL325" s="560"/>
      <c r="FM325" s="560"/>
      <c r="FN325" s="560"/>
      <c r="FO325" s="560">
        <f>O325+((Sheet1!CS327)*GPMtoMGD)</f>
        <v>54.4</v>
      </c>
      <c r="FP325" s="560">
        <f>IF(Sheet1!AA327+AQ325&lt;=Calculation!N325,AQ325,Calculation!N325-Sheet1!AA327)</f>
        <v>24.456711214410223</v>
      </c>
      <c r="FQ325" s="560">
        <f>(Sheet1!BP327+Sheet1!BO327)/694.4</f>
        <v>0.57027649769585254</v>
      </c>
      <c r="FR325" s="560"/>
      <c r="FS325" s="560"/>
      <c r="FT325" s="560"/>
      <c r="FU325" s="560"/>
      <c r="FV325" s="695">
        <f t="shared" si="558"/>
        <v>41827</v>
      </c>
      <c r="FW325" s="695">
        <f t="shared" si="559"/>
        <v>41934</v>
      </c>
      <c r="FX325" s="560"/>
      <c r="FY325" s="560"/>
      <c r="FZ325" s="560"/>
      <c r="GA325" s="560"/>
      <c r="GB325" s="560" t="str">
        <f t="shared" si="560"/>
        <v>n</v>
      </c>
      <c r="GC325" s="564">
        <f t="shared" si="561"/>
        <v>41691</v>
      </c>
      <c r="GD325" s="695">
        <f t="shared" si="562"/>
        <v>41807</v>
      </c>
      <c r="GE325" s="560">
        <v>6518.9</v>
      </c>
      <c r="GF325" s="695">
        <f t="shared" si="563"/>
        <v>41808</v>
      </c>
      <c r="GG325" s="560">
        <f t="shared" si="582"/>
        <v>3259</v>
      </c>
      <c r="GH325" s="564">
        <f t="shared" si="564"/>
        <v>41934</v>
      </c>
      <c r="GJ325" s="545">
        <f t="shared" si="565"/>
        <v>0</v>
      </c>
      <c r="GK325" s="560" t="str">
        <f t="shared" si="641"/>
        <v/>
      </c>
      <c r="GL325" s="560">
        <f t="shared" si="566"/>
        <v>0</v>
      </c>
      <c r="GM325" s="560" t="str">
        <f t="shared" si="567"/>
        <v/>
      </c>
      <c r="GN325" s="560">
        <f>IF(GK325="P",Lookup!$M$12,IF(GK325="PP",Lookup!$M$13,IF(GK325="PPP",Lookup!$M$14,IF(GK325="T",Lookup!$M$15,IF(GK325="TP",Lookup!$M$16,IF(GK325="TPP",Lookup!$M$17,IF(GK325="TPPP",Lookup!$M$18,0)))))))*GJ325</f>
        <v>0</v>
      </c>
      <c r="GO325" s="560">
        <f t="shared" si="568"/>
        <v>0</v>
      </c>
      <c r="GP325" s="560">
        <f t="shared" si="642"/>
        <v>0</v>
      </c>
      <c r="GQ325" s="560">
        <f t="shared" si="576"/>
        <v>0</v>
      </c>
      <c r="GR325" s="560"/>
      <c r="GS325" s="560">
        <f t="shared" si="569"/>
        <v>0</v>
      </c>
      <c r="GT325" s="560" t="str">
        <f t="shared" si="570"/>
        <v/>
      </c>
      <c r="GU325" s="560">
        <f>IF(GK325="P",Lookup!$N$12,IF(GK325="PP",Lookup!$N$13,IF(GK325="PPP",Lookup!$N$14,IF(GK325="T",Lookup!$N$15,IF(GK325="TP",Lookup!$N$16,IF(GK325="TPP",Lookup!$N$17,IF(GK325="TPPP",Lookup!$N$18,0)))))))*GJ325</f>
        <v>0</v>
      </c>
      <c r="GV325" s="560">
        <f t="shared" si="571"/>
        <v>0</v>
      </c>
      <c r="GW325" s="560">
        <f t="shared" si="643"/>
        <v>0</v>
      </c>
      <c r="GX325" s="560">
        <f t="shared" si="577"/>
        <v>0</v>
      </c>
      <c r="GY325" s="560"/>
      <c r="GZ325" s="560">
        <f t="shared" si="572"/>
        <v>0</v>
      </c>
      <c r="HA325" s="560" t="str">
        <f t="shared" si="573"/>
        <v/>
      </c>
      <c r="HB325" s="560">
        <f>IF(GK325="P",Lookup!$N$12,IF(GK325="PP",Lookup!$N$13,IF(GK325="PPP",Lookup!$N$14,IF(GK325="T",Lookup!$N$15,IF(GK325="TP",Lookup!$N$16,IF(GK325="TPP",Lookup!$N$17,IF(GK325="TPPP",Lookup!$N$18,0)))))))*GJ325</f>
        <v>0</v>
      </c>
      <c r="HC325" s="545">
        <f t="shared" si="644"/>
        <v>0</v>
      </c>
      <c r="HD325" s="560">
        <f t="shared" si="645"/>
        <v>0</v>
      </c>
      <c r="HE325" s="560">
        <f t="shared" si="578"/>
        <v>0</v>
      </c>
      <c r="HF325" s="560"/>
      <c r="HG325" s="560">
        <f t="shared" si="574"/>
        <v>0</v>
      </c>
      <c r="HH325" s="560" t="str">
        <f t="shared" si="575"/>
        <v/>
      </c>
      <c r="HI325" s="560">
        <f>IF(GK325="P",Lookup!$N$12,IF(GK325="PP",Lookup!$N$13,IF(GK325="PPP",Lookup!$N$14,IF(GK325="T",Lookup!$N$15,IF(GK325="TP",Lookup!$N$16,IF(GK325="TPP",Lookup!$N$17,IF(GK325="TPPP",Lookup!$N$18,0)))))))*GJ325</f>
        <v>0</v>
      </c>
      <c r="HJ325" s="545">
        <f t="shared" si="646"/>
        <v>0</v>
      </c>
      <c r="HK325" s="560">
        <f t="shared" si="647"/>
        <v>0</v>
      </c>
      <c r="HL325" s="560">
        <f t="shared" si="579"/>
        <v>0</v>
      </c>
    </row>
    <row r="326" spans="1:220">
      <c r="A326" s="580" t="s">
        <v>5</v>
      </c>
      <c r="B326" s="556">
        <v>41954</v>
      </c>
      <c r="C326" s="561">
        <v>0</v>
      </c>
      <c r="D326" s="529">
        <f t="shared" si="580"/>
        <v>300</v>
      </c>
      <c r="E326" s="529">
        <f t="shared" si="581"/>
        <v>250</v>
      </c>
      <c r="F326" s="529">
        <v>250</v>
      </c>
      <c r="G326" s="560">
        <f>DR326+Sheet1!CZ328</f>
        <v>1500.453857790651</v>
      </c>
      <c r="H326" s="914">
        <f t="shared" si="546"/>
        <v>702.93017367587674</v>
      </c>
      <c r="I326" s="559">
        <f>MAX(Sheet1!Z328-AT326+(Sheet1!DA328-E326)*CFStoMGD,0)</f>
        <v>1307.9079999999999</v>
      </c>
      <c r="J326" s="562">
        <f>IF(AND(B326&gt;=Calculation!GC326,B326&lt;=Calculation!GD326),IF(Sheet1!DB328&gt;=Calculation!D326,64.64,0),MAX(Sheet1!Z328-AT326+(Sheet1!DB328-D326)*CFStoMGD,0))</f>
        <v>1029.9560000000001</v>
      </c>
      <c r="K326" s="904">
        <f t="shared" si="583"/>
        <v>64.64</v>
      </c>
      <c r="L326" s="560">
        <f>Sheet1!AA328+Sheet1!AB328-Sheet1!L328+(Sheet1!DA328-F326)*CFStoMGD</f>
        <v>1313.0680000000018</v>
      </c>
      <c r="M326" s="560">
        <f t="shared" si="584"/>
        <v>989.29124114939441</v>
      </c>
      <c r="N326" s="910">
        <f>IF(Sheet1!DA328&gt;=F326,MIN(73,MIN(MAX(L326,0),MAX(M326,0))),0)</f>
        <v>73</v>
      </c>
      <c r="O326" s="563">
        <f>Sheet1!AA328+Sheet1!AB328</f>
        <v>55.99</v>
      </c>
      <c r="P326" s="563">
        <f t="shared" si="585"/>
        <v>86.616529999999997</v>
      </c>
      <c r="Q326" s="898">
        <f t="shared" si="547"/>
        <v>0</v>
      </c>
      <c r="R326" s="829">
        <f t="shared" si="586"/>
        <v>8.974440706476031</v>
      </c>
      <c r="S326" s="898">
        <f t="shared" si="649"/>
        <v>55.99</v>
      </c>
      <c r="T326" s="898">
        <f t="shared" si="549"/>
        <v>0</v>
      </c>
      <c r="U326" s="898">
        <f t="shared" si="550"/>
        <v>0</v>
      </c>
      <c r="V326" s="898"/>
      <c r="W326" s="898">
        <f t="shared" si="551"/>
        <v>55.66555929352397</v>
      </c>
      <c r="X326" s="898">
        <f t="shared" si="552"/>
        <v>55.99</v>
      </c>
      <c r="Y326" s="898" t="str">
        <f t="shared" si="553"/>
        <v/>
      </c>
      <c r="Z326" s="898">
        <f t="shared" si="554"/>
        <v>55.99</v>
      </c>
      <c r="AA326" s="898">
        <f t="shared" si="555"/>
        <v>55.99</v>
      </c>
      <c r="AB326" s="898" t="str">
        <f t="shared" si="556"/>
        <v/>
      </c>
      <c r="AC326" s="563">
        <f>Sheet1!Y328*MGDtoCFS</f>
        <v>30.785299999999996</v>
      </c>
      <c r="AD326" s="563">
        <f>Sheet1!Z328*MGDtoCFS</f>
        <v>53.371499999999997</v>
      </c>
      <c r="AE326" s="563">
        <f>Sheet1!AA328*MGDtoCFS</f>
        <v>30.785299999999996</v>
      </c>
      <c r="AF326" s="563">
        <f>Sheet1!AB328*MGDtoCFS</f>
        <v>55.831230000000005</v>
      </c>
      <c r="AG326" s="563">
        <f>Sheet1!L328*MGDtoCFS</f>
        <v>25.262509999997071</v>
      </c>
      <c r="AH326" s="545">
        <f t="shared" si="587"/>
        <v>0</v>
      </c>
      <c r="AI326" s="560">
        <f t="shared" si="588"/>
        <v>0</v>
      </c>
      <c r="AJ326" s="560">
        <f t="shared" si="589"/>
        <v>0</v>
      </c>
      <c r="AK326" s="560">
        <f t="shared" si="590"/>
        <v>0</v>
      </c>
      <c r="AL326" s="560">
        <f>(VLOOKUP(Sheet1!DC328,hhdcap_wcm,4)-(((VLOOKUP(Sheet1!DC328,hhdcap_wcm,3)-Sheet1!DC328)/(VLOOKUP(Sheet1!DC328,hhdcap_wcm,3)-VLOOKUP(Sheet1!DC328,hhdcap_wcm,1)))*(VLOOKUP(Sheet1!DC328,hhdcap_wcm,4)-VLOOKUP(Sheet1!DC328,hhdcap_wcm,2))))</f>
        <v>1608.000000004195</v>
      </c>
      <c r="AM326" s="560">
        <f t="shared" si="591"/>
        <v>-594.00000000113914</v>
      </c>
      <c r="AN326" s="560">
        <f t="shared" si="592"/>
        <v>0</v>
      </c>
      <c r="AO326" s="560">
        <f t="shared" si="593"/>
        <v>0</v>
      </c>
      <c r="AP326" s="560">
        <f>Sheet1!BA328+Sheet1!BB328+Sheet1!BN328+CD326</f>
        <v>26.8</v>
      </c>
      <c r="AQ326" s="560">
        <f>Sheet1!BN328+(DO326*Sheet1!BN328)</f>
        <v>26.103784693019346</v>
      </c>
      <c r="AR326" s="560">
        <f>Sheet1!BA328+CD326</f>
        <v>0</v>
      </c>
      <c r="AS326" s="560">
        <f>Sheet1!BA328+Sheet1!BB328+CD326</f>
        <v>1</v>
      </c>
      <c r="AT326" s="698">
        <f>0</f>
        <v>0</v>
      </c>
      <c r="AU326" s="560">
        <f>IF(EB326&lt;K326,0,MAX(Sheet1!AA328+AQ326-15/36*K326-N326,Sheet1!EH328,0))</f>
        <v>0</v>
      </c>
      <c r="AV326" s="560">
        <f>IF(OR(B326&gt;=GD326,B326&lt;GC326),0,15/36*K326-MAX(0,64.6-(137.6-(Sheet1!AA328+Sheet1!AB328))))</f>
        <v>0</v>
      </c>
      <c r="AW326" s="698">
        <f>Sheet1!DB328-110</f>
        <v>1730</v>
      </c>
      <c r="AX326" s="698">
        <f>Sheet1!DA328-265</f>
        <v>1955</v>
      </c>
      <c r="AY326" s="698">
        <f t="shared" si="594"/>
        <v>73</v>
      </c>
      <c r="AZ326" s="698">
        <v>0</v>
      </c>
      <c r="BA326" s="698">
        <f t="shared" si="595"/>
        <v>0</v>
      </c>
      <c r="BB326" s="560">
        <f t="shared" si="596"/>
        <v>0</v>
      </c>
      <c r="BC326" s="560"/>
      <c r="BD326" s="560">
        <f ca="1">IF(B326&gt;Summary!$A$1,#N/A,BB326*MGtoAF)</f>
        <v>0</v>
      </c>
      <c r="BE326" s="560">
        <f>Sheet1!BG328+Sheet1!BH328+Sheet1!BI328-BM326</f>
        <v>0</v>
      </c>
      <c r="BF326" s="560">
        <f t="shared" si="597"/>
        <v>0</v>
      </c>
      <c r="BG326" s="560">
        <f>IF(Sheet1!EP328="FM",BM326,0)</f>
        <v>0</v>
      </c>
      <c r="BH326" s="560">
        <f t="shared" si="598"/>
        <v>0</v>
      </c>
      <c r="BI326" s="560">
        <f>IF(Sheet1!EP328="OTHER",BM326,0)</f>
        <v>0</v>
      </c>
      <c r="BJ326" s="560">
        <f t="shared" si="599"/>
        <v>0</v>
      </c>
      <c r="BK326" s="560">
        <f t="shared" si="600"/>
        <v>0</v>
      </c>
      <c r="BL326" s="560">
        <f t="shared" si="601"/>
        <v>0</v>
      </c>
      <c r="BM326" s="560">
        <f>IF(OR(Sheet1!EP328="FM", Sheet1!EP328="OTHER"),SUM(Sheet1!BG328:'Sheet1'!BI328),0)</f>
        <v>0</v>
      </c>
      <c r="BN326" s="545">
        <f>IF(AND($B326&gt;=$FV326,$B326&lt;=$FW326),MAX(BF326,Sheet1!EI328,0),MAX(BF326-(7/36)*$K326,0))</f>
        <v>0</v>
      </c>
      <c r="BO326" s="560">
        <f t="shared" si="602"/>
        <v>0</v>
      </c>
      <c r="BP326" s="545">
        <f t="shared" si="603"/>
        <v>0</v>
      </c>
      <c r="BQ326" s="545">
        <f>IF(AND($O326&gt;0,Sheet1!EM328=1),(1-($O326-Sheet1!$L328)/$O326)*BL326,0)</f>
        <v>0</v>
      </c>
      <c r="BR326" s="545">
        <f>IF(AND(Sheet1!$L328=0,Sheet1!$L327=0, Calculation!BK326&lt;Sheet1!$EI328-0.1,Sheet1!$EI328=Sheet1!$EI327,Sheet1!$EI328=Sheet1!$EI329),Sheet1!$EI328,BL326-BQ326)</f>
        <v>0</v>
      </c>
      <c r="BS326" s="560"/>
      <c r="BT326" s="560"/>
      <c r="BU326" s="560">
        <f t="shared" si="604"/>
        <v>0</v>
      </c>
      <c r="BV326" s="560"/>
      <c r="BW326" s="560">
        <f ca="1">IF(B326&gt;Summary!$A$1,#N/A,BU326*MGtoAF)</f>
        <v>0</v>
      </c>
      <c r="BX326" s="560">
        <f>Sheet1!BC328+Sheet1!BD328+Sheet1!BE328+Sheet1!BF328-CG326-CH326</f>
        <v>2.4900000000000002</v>
      </c>
      <c r="BY326" s="560">
        <f t="shared" si="605"/>
        <v>2.5193187552565184</v>
      </c>
      <c r="BZ326" s="560">
        <f>IF(Sheet1!EQ328="FM",CH326,0)</f>
        <v>0</v>
      </c>
      <c r="CA326" s="560">
        <f t="shared" si="606"/>
        <v>0</v>
      </c>
      <c r="CB326" s="560">
        <f>IF(Sheet1!EQ328="OTHER",CH326,0)</f>
        <v>0</v>
      </c>
      <c r="CC326" s="560">
        <f t="shared" si="607"/>
        <v>0</v>
      </c>
      <c r="CD326" s="560">
        <f t="shared" si="608"/>
        <v>0</v>
      </c>
      <c r="CE326" s="560">
        <f t="shared" si="609"/>
        <v>2.4900000000000002</v>
      </c>
      <c r="CF326" s="560">
        <f t="shared" si="610"/>
        <v>2.5193187552565184</v>
      </c>
      <c r="CG326" s="560">
        <f>IF(Sheet1!EQ328="CWA",SUM(Sheet1!BC328:'Sheet1'!BF328),0)</f>
        <v>0</v>
      </c>
      <c r="CH326" s="560">
        <f>IF(OR(Sheet1!EQ328="FM", Sheet1!EQ328="OTHER"),SUM(Sheet1!BC328:'Sheet1'!BF328),0)</f>
        <v>0</v>
      </c>
      <c r="CI326" s="545">
        <f>IF(AND($B326&gt;=$FV326,$B326&lt;=$FW326),MAX(CF326,Sheet1!EJ328,0),MAX(CF326-(7/36)*$K326,0))</f>
        <v>0</v>
      </c>
      <c r="CJ326" s="560">
        <f t="shared" si="611"/>
        <v>0</v>
      </c>
      <c r="CK326" s="545">
        <f t="shared" si="612"/>
        <v>2.5193187552565184</v>
      </c>
      <c r="CL326" s="545">
        <f>IF(AND($O326&gt;0,Sheet1!EN328=1),(1-($O326-Sheet1!$L328)/$O326)*CF326,0)</f>
        <v>0</v>
      </c>
      <c r="CM326" s="545">
        <f>IF(AND(Sheet1!$L328=0,Sheet1!$L327=0, Calculation!CE326&lt;Sheet1!EJ328-0.1,Sheet1!EJ328=Sheet1!EJ327,Sheet1!EJ328=Sheet1!EJ329),Sheet1!EJ328,CF326-CL326)</f>
        <v>2.5193187552565184</v>
      </c>
      <c r="CN326" s="545"/>
      <c r="CO326" s="560"/>
      <c r="CP326" s="560">
        <f t="shared" si="613"/>
        <v>0</v>
      </c>
      <c r="CQ326" s="560"/>
      <c r="CR326" s="560">
        <f ca="1">IF(B326&gt;Summary!$A$1,#N/A,CP326*MGtoAF)</f>
        <v>0</v>
      </c>
      <c r="CS326" s="560">
        <f>Sheet1!BK328+Sheet1!BL328+Sheet1!BM328-Sheet1!ER328-DA326</f>
        <v>6.38</v>
      </c>
      <c r="CT326" s="560">
        <f t="shared" si="614"/>
        <v>6.4551219512195122</v>
      </c>
      <c r="CU326" s="560">
        <f>IF(Sheet1!ER328="FM",DA326,0)</f>
        <v>0</v>
      </c>
      <c r="CV326" s="560">
        <f t="shared" si="615"/>
        <v>0</v>
      </c>
      <c r="CW326" s="560">
        <f>IF(Sheet1!ER328="OTHER",DA326,0)</f>
        <v>0</v>
      </c>
      <c r="CX326" s="560">
        <f t="shared" si="616"/>
        <v>0</v>
      </c>
      <c r="CY326" s="560">
        <f t="shared" si="617"/>
        <v>6.38</v>
      </c>
      <c r="CZ326" s="560">
        <f t="shared" si="618"/>
        <v>6.4551219512195122</v>
      </c>
      <c r="DA326" s="560">
        <f>IF(OR(Sheet1!ER328="FM", Sheet1!ER328="OTHER"),SUM(Sheet1!BK328:'Sheet1'!BM328),0)</f>
        <v>0</v>
      </c>
      <c r="DB326" s="545">
        <f>IF(AND($B326&gt;=$FV326,$B326&lt;=$FW326),MAX($CT326,Sheet1!EK328,0),MAX($CT326-(7/36)*$K326,0))</f>
        <v>0</v>
      </c>
      <c r="DC326" s="560">
        <f t="shared" si="619"/>
        <v>0</v>
      </c>
      <c r="DD326" s="545">
        <f t="shared" si="620"/>
        <v>6.4551219512195122</v>
      </c>
      <c r="DE326" s="545">
        <f>IF(AND($O326&gt;0,Sheet1!EO328=1),(1-($O326-Sheet1!$L328)/$O326)*CZ326,0)</f>
        <v>0</v>
      </c>
      <c r="DF326" s="545">
        <f>IF(AND(Sheet1!$L328=0,Sheet1!$L327=0, Calculation!CY326&lt;Sheet1!$EK328-0.1,Sheet1!$EK328=Sheet1!$EK327,Sheet1!$EK328=Sheet1!$EK329),Sheet1!$EK328,CZ326-DE326)</f>
        <v>6.4551219512195122</v>
      </c>
      <c r="DG326" s="545"/>
      <c r="DH326" s="560">
        <f t="shared" si="621"/>
        <v>8.870000000000001</v>
      </c>
      <c r="DI326" s="560">
        <f t="shared" si="622"/>
        <v>0</v>
      </c>
      <c r="DJ326" s="698">
        <f t="shared" si="623"/>
        <v>8.974440706476031</v>
      </c>
      <c r="DK326" s="560">
        <f ca="1">IF(B326&gt;Summary!$A$1,#N/A,DI326*MGtoAF)</f>
        <v>0</v>
      </c>
      <c r="DL326" s="698">
        <f t="shared" si="624"/>
        <v>8.870000000000001</v>
      </c>
      <c r="DM326" s="560">
        <f t="shared" si="625"/>
        <v>35.67</v>
      </c>
      <c r="DN326" s="560">
        <f>Sheet1!AB328-DM326</f>
        <v>0.42000000000000171</v>
      </c>
      <c r="DO326" s="560">
        <f t="shared" si="626"/>
        <v>1.1774600504625784E-2</v>
      </c>
      <c r="DP326" s="560">
        <f>(VLOOKUP(Sheet1!DC328,hhdcap_wcm,4)-(((VLOOKUP(Sheet1!DC328,hhdcap_wcm,3)-Sheet1!DC328)/(VLOOKUP(Sheet1!DC328,hhdcap_wcm,3)-VLOOKUP(Sheet1!DC328,hhdcap_wcm,1)))*(VLOOKUP(Sheet1!DC328,hhdcap_wcm,4)-VLOOKUP(Sheet1!DC328,hhdcap_wcm,2))))</f>
        <v>1608.000000004195</v>
      </c>
      <c r="DQ326" s="560">
        <f t="shared" si="627"/>
        <v>-594.00000000113914</v>
      </c>
      <c r="DR326" s="560">
        <f t="shared" si="628"/>
        <v>-299.546142209349</v>
      </c>
      <c r="DS326" s="560">
        <f>Sheet1!EA328*AFtoMG</f>
        <v>0</v>
      </c>
      <c r="DT326" s="560">
        <f>Sheet1!EB328*AFtoMG</f>
        <v>0</v>
      </c>
      <c r="DU326" s="560">
        <f>Sheet1!EC328*AFtoMG</f>
        <v>0</v>
      </c>
      <c r="DV326" s="560">
        <f>Sheet1!ED328*AFtoMG</f>
        <v>0</v>
      </c>
      <c r="DW326" s="560">
        <f t="shared" si="629"/>
        <v>0</v>
      </c>
      <c r="DX326" s="560">
        <f t="shared" si="630"/>
        <v>0</v>
      </c>
      <c r="DY326" s="560">
        <f t="shared" si="631"/>
        <v>0</v>
      </c>
      <c r="DZ326" s="560">
        <f t="shared" si="632"/>
        <v>0</v>
      </c>
      <c r="EA326" s="560"/>
      <c r="EB326" s="545">
        <f>IF(OR(B326&lt;FV326,B326&gt;FW326),(MIN(BF326+BY326+CT326+MAX(Sheet1!AA328+AQ326-73,0),K326)),0)</f>
        <v>8.974440706476031</v>
      </c>
      <c r="EC326" s="560"/>
      <c r="ED326" s="560">
        <f t="shared" si="633"/>
        <v>8.974440706476031</v>
      </c>
      <c r="EE326" s="560"/>
      <c r="EF326" s="560">
        <f>Sheet1!EH328+Sheet1!EI328+Sheet1!EJ328+Sheet1!EK328</f>
        <v>9</v>
      </c>
      <c r="EG326" s="560"/>
      <c r="EH326" s="545">
        <f t="shared" si="634"/>
        <v>0</v>
      </c>
      <c r="EI326" s="560">
        <f>IF(Sheet1!ET328=1,SUM('Calculations II'!AT326:BA326)+'Calculations II'!BC326+Sheet1!BV328+'Calculations II'!BE326+AP326,SUM('Calculations II'!AT326:BA326)+'Calculations II'!BC326+Sheet1!BV328+'Calculations II'!BE326+AP326)</f>
        <v>51.903695999999997</v>
      </c>
      <c r="EJ326" s="560">
        <f>Sheet1!AA328+Sheet1!AB328+'Calculations II'!BC326</f>
        <v>55.99</v>
      </c>
      <c r="EK326" s="560"/>
      <c r="EL326" s="560"/>
      <c r="EM326" s="560">
        <f t="shared" si="635"/>
        <v>41954</v>
      </c>
      <c r="EN326" s="560">
        <f t="shared" si="636"/>
        <v>0</v>
      </c>
      <c r="EO326" s="560">
        <f t="shared" si="637"/>
        <v>0</v>
      </c>
      <c r="EP326" s="560">
        <v>0</v>
      </c>
      <c r="EQ326" s="560">
        <v>0</v>
      </c>
      <c r="ER326" s="560">
        <v>0</v>
      </c>
      <c r="ES326" s="545">
        <f t="shared" si="557"/>
        <v>-0.69200740025304253</v>
      </c>
      <c r="ET326" s="560">
        <f>-(VLOOKUP(Sheet1!BQ328,Lookup!$O$4:$Q$262,2)-VLOOKUP(Sheet1!BQ327,Lookup!$O$4:$Q$262,2))/1000000</f>
        <v>-0.4151852210512087</v>
      </c>
      <c r="EU326" s="560">
        <f>-(VLOOKUP(Sheet1!BR328,Lookup!$O$4:$Q$262,3)-VLOOKUP(Sheet1!BR327,Lookup!$O$4:$Q$262,3))/1000000</f>
        <v>-0.27682217920183388</v>
      </c>
      <c r="EV326" s="560"/>
      <c r="EW326" s="560"/>
      <c r="EX326" s="560"/>
      <c r="EY326" s="560"/>
      <c r="EZ326" s="560"/>
      <c r="FA326" s="560"/>
      <c r="FB326" s="560"/>
      <c r="FC326" s="560"/>
      <c r="FD326" s="594">
        <f t="shared" si="638"/>
        <v>1085.1749999999697</v>
      </c>
      <c r="FE326" s="594" t="e">
        <f t="shared" si="639"/>
        <v>#N/A</v>
      </c>
      <c r="FF326" s="595" t="e">
        <f t="shared" si="640"/>
        <v>#N/A</v>
      </c>
      <c r="FG326" s="596" t="s">
        <v>692</v>
      </c>
      <c r="FH326" s="596" t="s">
        <v>692</v>
      </c>
      <c r="FI326" s="594" t="e">
        <v>#N/A</v>
      </c>
      <c r="FJ326" s="778">
        <v>1710</v>
      </c>
      <c r="FK326" s="560"/>
      <c r="FL326" s="560"/>
      <c r="FM326" s="560"/>
      <c r="FN326" s="560"/>
      <c r="FO326" s="560">
        <f>O326+((Sheet1!CS328)*GPMtoMGD)</f>
        <v>55.99</v>
      </c>
      <c r="FP326" s="560">
        <f>IF(Sheet1!AA328+AQ326&lt;=Calculation!N326,AQ326,Calculation!N326-Sheet1!AA328)</f>
        <v>26.103784693019346</v>
      </c>
      <c r="FQ326" s="560">
        <f>(Sheet1!BP328+Sheet1!BO328)/694.4</f>
        <v>2.0210253456221201</v>
      </c>
      <c r="FR326" s="560"/>
      <c r="FS326" s="560"/>
      <c r="FT326" s="560"/>
      <c r="FU326" s="560"/>
      <c r="FV326" s="695">
        <f t="shared" si="558"/>
        <v>41827</v>
      </c>
      <c r="FW326" s="695">
        <f t="shared" si="559"/>
        <v>41934</v>
      </c>
      <c r="FX326" s="560"/>
      <c r="FY326" s="560"/>
      <c r="FZ326" s="560"/>
      <c r="GA326" s="560"/>
      <c r="GB326" s="560" t="str">
        <f t="shared" si="560"/>
        <v>n</v>
      </c>
      <c r="GC326" s="564">
        <f t="shared" si="561"/>
        <v>41691</v>
      </c>
      <c r="GD326" s="695">
        <f t="shared" si="562"/>
        <v>41807</v>
      </c>
      <c r="GE326" s="560">
        <v>6518.9</v>
      </c>
      <c r="GF326" s="695">
        <f t="shared" si="563"/>
        <v>41808</v>
      </c>
      <c r="GG326" s="560">
        <f t="shared" si="582"/>
        <v>3259</v>
      </c>
      <c r="GH326" s="564">
        <f t="shared" si="564"/>
        <v>41934</v>
      </c>
      <c r="GJ326" s="545">
        <f t="shared" si="565"/>
        <v>0</v>
      </c>
      <c r="GK326" s="560" t="str">
        <f t="shared" si="641"/>
        <v/>
      </c>
      <c r="GL326" s="560">
        <f t="shared" si="566"/>
        <v>0</v>
      </c>
      <c r="GM326" s="560" t="str">
        <f t="shared" si="567"/>
        <v/>
      </c>
      <c r="GN326" s="560">
        <f>IF(GK326="P",Lookup!$M$12,IF(GK326="PP",Lookup!$M$13,IF(GK326="PPP",Lookup!$M$14,IF(GK326="T",Lookup!$M$15,IF(GK326="TP",Lookup!$M$16,IF(GK326="TPP",Lookup!$M$17,IF(GK326="TPPP",Lookup!$M$18,0)))))))*GJ326</f>
        <v>0</v>
      </c>
      <c r="GO326" s="560">
        <f t="shared" si="568"/>
        <v>0</v>
      </c>
      <c r="GP326" s="560">
        <f t="shared" si="642"/>
        <v>0</v>
      </c>
      <c r="GQ326" s="560">
        <f t="shared" si="576"/>
        <v>0</v>
      </c>
      <c r="GR326" s="560"/>
      <c r="GS326" s="560">
        <f t="shared" si="569"/>
        <v>0</v>
      </c>
      <c r="GT326" s="560" t="str">
        <f t="shared" si="570"/>
        <v/>
      </c>
      <c r="GU326" s="560">
        <f>IF(GK326="P",Lookup!$N$12,IF(GK326="PP",Lookup!$N$13,IF(GK326="PPP",Lookup!$N$14,IF(GK326="T",Lookup!$N$15,IF(GK326="TP",Lookup!$N$16,IF(GK326="TPP",Lookup!$N$17,IF(GK326="TPPP",Lookup!$N$18,0)))))))*GJ326</f>
        <v>0</v>
      </c>
      <c r="GV326" s="560">
        <f t="shared" si="571"/>
        <v>0</v>
      </c>
      <c r="GW326" s="560">
        <f t="shared" si="643"/>
        <v>0</v>
      </c>
      <c r="GX326" s="560">
        <f t="shared" si="577"/>
        <v>0</v>
      </c>
      <c r="GY326" s="560"/>
      <c r="GZ326" s="560">
        <f t="shared" si="572"/>
        <v>0</v>
      </c>
      <c r="HA326" s="560" t="str">
        <f t="shared" si="573"/>
        <v/>
      </c>
      <c r="HB326" s="560">
        <f>IF(GK326="P",Lookup!$N$12,IF(GK326="PP",Lookup!$N$13,IF(GK326="PPP",Lookup!$N$14,IF(GK326="T",Lookup!$N$15,IF(GK326="TP",Lookup!$N$16,IF(GK326="TPP",Lookup!$N$17,IF(GK326="TPPP",Lookup!$N$18,0)))))))*GJ326</f>
        <v>0</v>
      </c>
      <c r="HC326" s="545">
        <f t="shared" si="644"/>
        <v>0</v>
      </c>
      <c r="HD326" s="560">
        <f t="shared" si="645"/>
        <v>0</v>
      </c>
      <c r="HE326" s="560">
        <f t="shared" si="578"/>
        <v>0</v>
      </c>
      <c r="HF326" s="560"/>
      <c r="HG326" s="560">
        <f t="shared" si="574"/>
        <v>0</v>
      </c>
      <c r="HH326" s="560" t="str">
        <f t="shared" si="575"/>
        <v/>
      </c>
      <c r="HI326" s="560">
        <f>IF(GK326="P",Lookup!$N$12,IF(GK326="PP",Lookup!$N$13,IF(GK326="PPP",Lookup!$N$14,IF(GK326="T",Lookup!$N$15,IF(GK326="TP",Lookup!$N$16,IF(GK326="TPP",Lookup!$N$17,IF(GK326="TPPP",Lookup!$N$18,0)))))))*GJ326</f>
        <v>0</v>
      </c>
      <c r="HJ326" s="545">
        <f t="shared" si="646"/>
        <v>0</v>
      </c>
      <c r="HK326" s="560">
        <f t="shared" si="647"/>
        <v>0</v>
      </c>
      <c r="HL326" s="560">
        <f t="shared" si="579"/>
        <v>0</v>
      </c>
    </row>
    <row r="327" spans="1:220">
      <c r="A327" s="580" t="s">
        <v>6</v>
      </c>
      <c r="B327" s="556">
        <v>41955</v>
      </c>
      <c r="C327" s="561">
        <v>0</v>
      </c>
      <c r="D327" s="529">
        <f t="shared" si="580"/>
        <v>300</v>
      </c>
      <c r="E327" s="529">
        <f t="shared" si="581"/>
        <v>250</v>
      </c>
      <c r="F327" s="529">
        <v>250</v>
      </c>
      <c r="G327" s="560">
        <f>DR327+Sheet1!CZ329</f>
        <v>1014.5789208263177</v>
      </c>
      <c r="H327" s="914">
        <f t="shared" si="546"/>
        <v>388.86061442213173</v>
      </c>
      <c r="I327" s="559">
        <f>MAX(Sheet1!Z329-AT327+(Sheet1!DA329-E327)*CFStoMGD,0)</f>
        <v>1031.546</v>
      </c>
      <c r="J327" s="562">
        <f>IF(AND(B327&gt;=Calculation!GC327,B327&lt;=Calculation!GD327),IF(Sheet1!DB329&gt;=Calculation!D327,64.64,0),MAX(Sheet1!Z329-AT327+(Sheet1!DB329-D327)*CFStoMGD,0))</f>
        <v>772.98599999999999</v>
      </c>
      <c r="K327" s="904">
        <f t="shared" si="583"/>
        <v>64.64</v>
      </c>
      <c r="L327" s="560">
        <f>Sheet1!AA329+Sheet1!AB329-Sheet1!L329+(Sheet1!DA329-F327)*CFStoMGD</f>
        <v>1005.4760000000014</v>
      </c>
      <c r="M327" s="560">
        <f t="shared" si="584"/>
        <v>668.94029071057446</v>
      </c>
      <c r="N327" s="910">
        <f>IF(Sheet1!DA329&gt;=F327,MIN(73,MIN(MAX(L327,0),MAX(M327,0))),0)</f>
        <v>73</v>
      </c>
      <c r="O327" s="563">
        <f>Sheet1!AA329+Sheet1!AB329</f>
        <v>44.21</v>
      </c>
      <c r="P327" s="563">
        <f t="shared" si="585"/>
        <v>68.392870000000002</v>
      </c>
      <c r="Q327" s="898">
        <f t="shared" si="547"/>
        <v>0</v>
      </c>
      <c r="R327" s="829">
        <f t="shared" si="586"/>
        <v>8.8521717171717178</v>
      </c>
      <c r="S327" s="898">
        <f t="shared" si="649"/>
        <v>44.21</v>
      </c>
      <c r="T327" s="898">
        <f t="shared" si="549"/>
        <v>0</v>
      </c>
      <c r="U327" s="898">
        <f t="shared" si="550"/>
        <v>0</v>
      </c>
      <c r="V327" s="898"/>
      <c r="W327" s="898">
        <f t="shared" si="551"/>
        <v>55.787828282828286</v>
      </c>
      <c r="X327" s="898">
        <f t="shared" si="552"/>
        <v>44.21</v>
      </c>
      <c r="Y327" s="898" t="str">
        <f t="shared" si="553"/>
        <v/>
      </c>
      <c r="Z327" s="898">
        <f t="shared" si="554"/>
        <v>44.21</v>
      </c>
      <c r="AA327" s="898">
        <f t="shared" si="555"/>
        <v>44.21</v>
      </c>
      <c r="AB327" s="898" t="str">
        <f t="shared" si="556"/>
        <v/>
      </c>
      <c r="AC327" s="563">
        <f>Sheet1!Y329*MGDtoCFS</f>
        <v>30.785299999999996</v>
      </c>
      <c r="AD327" s="563">
        <f>Sheet1!Z329*MGDtoCFS</f>
        <v>55.831230000000005</v>
      </c>
      <c r="AE327" s="563">
        <f>Sheet1!AA329*MGDtoCFS</f>
        <v>31.249399999999998</v>
      </c>
      <c r="AF327" s="563">
        <f>Sheet1!AB329*MGDtoCFS</f>
        <v>37.143470000000001</v>
      </c>
      <c r="AG327" s="563">
        <f>Sheet1!L329*MGDtoCFS</f>
        <v>52.89192999999797</v>
      </c>
      <c r="AH327" s="545">
        <f t="shared" si="587"/>
        <v>0</v>
      </c>
      <c r="AI327" s="560">
        <f t="shared" si="588"/>
        <v>0</v>
      </c>
      <c r="AJ327" s="560">
        <f t="shared" si="589"/>
        <v>0</v>
      </c>
      <c r="AK327" s="560">
        <f t="shared" si="590"/>
        <v>0</v>
      </c>
      <c r="AL327" s="560">
        <f>(VLOOKUP(Sheet1!DC329,hhdcap_wcm,4)-(((VLOOKUP(Sheet1!DC329,hhdcap_wcm,3)-Sheet1!DC329)/(VLOOKUP(Sheet1!DC329,hhdcap_wcm,3)-VLOOKUP(Sheet1!DC329,hhdcap_wcm,1)))*(VLOOKUP(Sheet1!DC329,hhdcap_wcm,4)-VLOOKUP(Sheet1!DC329,hhdcap_wcm,2))))</f>
        <v>903.2000000027831</v>
      </c>
      <c r="AM327" s="560">
        <f t="shared" si="591"/>
        <v>-704.80000000141195</v>
      </c>
      <c r="AN327" s="560">
        <f t="shared" si="592"/>
        <v>0</v>
      </c>
      <c r="AO327" s="560">
        <f t="shared" si="593"/>
        <v>0</v>
      </c>
      <c r="AP327" s="560">
        <f>Sheet1!BA329+Sheet1!BB329+Sheet1!BN329+CD327</f>
        <v>15</v>
      </c>
      <c r="AQ327" s="560">
        <f>Sheet1!BN329+(DO327*Sheet1!BN329)</f>
        <v>14.1473063973064</v>
      </c>
      <c r="AR327" s="560">
        <f>Sheet1!BA329+CD327</f>
        <v>0</v>
      </c>
      <c r="AS327" s="560">
        <f>Sheet1!BA329+Sheet1!BB329+CD327</f>
        <v>1</v>
      </c>
      <c r="AT327" s="698">
        <f>0</f>
        <v>0</v>
      </c>
      <c r="AU327" s="560">
        <f>IF(EB327&lt;K327,0,MAX(Sheet1!AA329+AQ327-15/36*K327-N327,Sheet1!EH329,0))</f>
        <v>0</v>
      </c>
      <c r="AV327" s="560">
        <f>IF(OR(B327&gt;=GD327,B327&lt;GC327),0,15/36*K327-MAX(0,64.6-(137.6-(Sheet1!AA329+Sheet1!AB329))))</f>
        <v>0</v>
      </c>
      <c r="AW327" s="698">
        <f>Sheet1!DB329-110</f>
        <v>1330</v>
      </c>
      <c r="AX327" s="698">
        <f>Sheet1!DA329-265</f>
        <v>1525</v>
      </c>
      <c r="AY327" s="698">
        <f t="shared" si="594"/>
        <v>73</v>
      </c>
      <c r="AZ327" s="698">
        <v>0</v>
      </c>
      <c r="BA327" s="698">
        <f t="shared" si="595"/>
        <v>0</v>
      </c>
      <c r="BB327" s="560">
        <f t="shared" si="596"/>
        <v>0</v>
      </c>
      <c r="BC327" s="560"/>
      <c r="BD327" s="560">
        <f ca="1">IF(B327&gt;Summary!$A$1,#N/A,BB327*MGtoAF)</f>
        <v>0</v>
      </c>
      <c r="BE327" s="560">
        <f>Sheet1!BG329+Sheet1!BH329+Sheet1!BI329-BM327</f>
        <v>0</v>
      </c>
      <c r="BF327" s="560">
        <f t="shared" si="597"/>
        <v>0</v>
      </c>
      <c r="BG327" s="560">
        <f>IF(Sheet1!EP329="FM",BM327,0)</f>
        <v>0</v>
      </c>
      <c r="BH327" s="560">
        <f t="shared" si="598"/>
        <v>0</v>
      </c>
      <c r="BI327" s="560">
        <f>IF(Sheet1!EP329="OTHER",BM327,0)</f>
        <v>0</v>
      </c>
      <c r="BJ327" s="560">
        <f t="shared" si="599"/>
        <v>0</v>
      </c>
      <c r="BK327" s="560">
        <f t="shared" si="600"/>
        <v>0</v>
      </c>
      <c r="BL327" s="560">
        <f t="shared" si="601"/>
        <v>0</v>
      </c>
      <c r="BM327" s="560">
        <f>IF(OR(Sheet1!EP329="FM", Sheet1!EP329="OTHER"),SUM(Sheet1!BG329:'Sheet1'!BI329),0)</f>
        <v>0</v>
      </c>
      <c r="BN327" s="545">
        <f>IF(AND($B327&gt;=$FV327,$B327&lt;=$FW327),MAX(BF327,Sheet1!EI329,0),MAX(BF327-(7/36)*$K327,0))</f>
        <v>0</v>
      </c>
      <c r="BO327" s="560">
        <f t="shared" si="602"/>
        <v>0</v>
      </c>
      <c r="BP327" s="545">
        <f t="shared" si="603"/>
        <v>0</v>
      </c>
      <c r="BQ327" s="545">
        <f>IF(AND($O327&gt;0,Sheet1!EM329=1),(1-($O327-Sheet1!$L329)/$O327)*BL327,0)</f>
        <v>0</v>
      </c>
      <c r="BR327" s="545">
        <f>IF(AND(Sheet1!$L329=0,Sheet1!$L328=0, Calculation!BK327&lt;Sheet1!$EI329-0.1,Sheet1!$EI329=Sheet1!$EI328,Sheet1!$EI329=Sheet1!$EI330),Sheet1!$EI329,BL327-BQ327)</f>
        <v>0</v>
      </c>
      <c r="BS327" s="560"/>
      <c r="BT327" s="560"/>
      <c r="BU327" s="560">
        <f t="shared" si="604"/>
        <v>0</v>
      </c>
      <c r="BV327" s="560"/>
      <c r="BW327" s="560">
        <f ca="1">IF(B327&gt;Summary!$A$1,#N/A,BU327*MGtoAF)</f>
        <v>0</v>
      </c>
      <c r="BX327" s="560">
        <f>Sheet1!BC329+Sheet1!BD329+Sheet1!BE329+Sheet1!BF329-CG327-CH327</f>
        <v>2.4900000000000002</v>
      </c>
      <c r="BY327" s="560">
        <f t="shared" si="605"/>
        <v>2.5161994949494955</v>
      </c>
      <c r="BZ327" s="560">
        <f>IF(Sheet1!EQ329="FM",CH327,0)</f>
        <v>0</v>
      </c>
      <c r="CA327" s="560">
        <f t="shared" si="606"/>
        <v>0</v>
      </c>
      <c r="CB327" s="560">
        <f>IF(Sheet1!EQ329="OTHER",CH327,0)</f>
        <v>0</v>
      </c>
      <c r="CC327" s="560">
        <f t="shared" si="607"/>
        <v>0</v>
      </c>
      <c r="CD327" s="560">
        <f t="shared" si="608"/>
        <v>0</v>
      </c>
      <c r="CE327" s="560">
        <f t="shared" si="609"/>
        <v>2.4900000000000002</v>
      </c>
      <c r="CF327" s="560">
        <f t="shared" si="610"/>
        <v>2.5161994949494955</v>
      </c>
      <c r="CG327" s="560">
        <f>IF(Sheet1!EQ329="CWA",SUM(Sheet1!BC329:'Sheet1'!BF329),0)</f>
        <v>0</v>
      </c>
      <c r="CH327" s="560">
        <f>IF(OR(Sheet1!EQ329="FM", Sheet1!EQ329="OTHER"),SUM(Sheet1!BC329:'Sheet1'!BF329),0)</f>
        <v>0</v>
      </c>
      <c r="CI327" s="545">
        <f>IF(AND($B327&gt;=$FV327,$B327&lt;=$FW327),MAX(CF327,Sheet1!EJ329,0),MAX(CF327-(7/36)*$K327,0))</f>
        <v>0</v>
      </c>
      <c r="CJ327" s="560">
        <f t="shared" si="611"/>
        <v>0</v>
      </c>
      <c r="CK327" s="545">
        <f t="shared" si="612"/>
        <v>2.5161994949494955</v>
      </c>
      <c r="CL327" s="545">
        <f>IF(AND($O327&gt;0,Sheet1!EN329=1),(1-($O327-Sheet1!$L329)/$O327)*CF327,0)</f>
        <v>0</v>
      </c>
      <c r="CM327" s="545">
        <f>IF(AND(Sheet1!$L329=0,Sheet1!$L328=0, Calculation!CE327&lt;Sheet1!EJ329-0.1,Sheet1!EJ329=Sheet1!EJ328,Sheet1!EJ329=Sheet1!EJ330),Sheet1!EJ329,CF327-CL327)</f>
        <v>2.5161994949494955</v>
      </c>
      <c r="CN327" s="545"/>
      <c r="CO327" s="560"/>
      <c r="CP327" s="560">
        <f t="shared" si="613"/>
        <v>0</v>
      </c>
      <c r="CQ327" s="560"/>
      <c r="CR327" s="560">
        <f ca="1">IF(B327&gt;Summary!$A$1,#N/A,CP327*MGtoAF)</f>
        <v>0</v>
      </c>
      <c r="CS327" s="560">
        <f>Sheet1!BK329+Sheet1!BL329+Sheet1!BM329-Sheet1!ER329-DA327</f>
        <v>6.27</v>
      </c>
      <c r="CT327" s="560">
        <f t="shared" si="614"/>
        <v>6.3359722222222228</v>
      </c>
      <c r="CU327" s="560">
        <f>IF(Sheet1!ER329="FM",DA327,0)</f>
        <v>0</v>
      </c>
      <c r="CV327" s="560">
        <f t="shared" si="615"/>
        <v>0</v>
      </c>
      <c r="CW327" s="560">
        <f>IF(Sheet1!ER329="OTHER",DA327,0)</f>
        <v>0</v>
      </c>
      <c r="CX327" s="560">
        <f t="shared" si="616"/>
        <v>0</v>
      </c>
      <c r="CY327" s="560">
        <f t="shared" si="617"/>
        <v>6.27</v>
      </c>
      <c r="CZ327" s="560">
        <f t="shared" si="618"/>
        <v>6.3359722222222228</v>
      </c>
      <c r="DA327" s="560">
        <f>IF(OR(Sheet1!ER329="FM", Sheet1!ER329="OTHER"),SUM(Sheet1!BK329:'Sheet1'!BM329),0)</f>
        <v>0</v>
      </c>
      <c r="DB327" s="545">
        <f>IF(AND($B327&gt;=$FV327,$B327&lt;=$FW327),MAX($CT327,Sheet1!EK329,0),MAX($CT327-(7/36)*$K327,0))</f>
        <v>0</v>
      </c>
      <c r="DC327" s="560">
        <f t="shared" si="619"/>
        <v>0</v>
      </c>
      <c r="DD327" s="545">
        <f t="shared" si="620"/>
        <v>6.3359722222222228</v>
      </c>
      <c r="DE327" s="545">
        <f>IF(AND($O327&gt;0,Sheet1!EO329=1),(1-($O327-Sheet1!$L329)/$O327)*CZ327,0)</f>
        <v>0</v>
      </c>
      <c r="DF327" s="545">
        <f>IF(AND(Sheet1!$L329=0,Sheet1!$L328=0, Calculation!CY327&lt;Sheet1!$EK329-0.1,Sheet1!$EK329=Sheet1!$EK328,Sheet1!$EK329=Sheet1!$EK330),Sheet1!$EK329,CZ327-DE327)</f>
        <v>6.3359722222222228</v>
      </c>
      <c r="DG327" s="545"/>
      <c r="DH327" s="560">
        <f t="shared" si="621"/>
        <v>8.76</v>
      </c>
      <c r="DI327" s="560">
        <f t="shared" si="622"/>
        <v>0</v>
      </c>
      <c r="DJ327" s="698">
        <f t="shared" si="623"/>
        <v>8.8521717171717178</v>
      </c>
      <c r="DK327" s="560">
        <f ca="1">IF(B327&gt;Summary!$A$1,#N/A,DI327*MGtoAF)</f>
        <v>0</v>
      </c>
      <c r="DL327" s="698">
        <f t="shared" si="624"/>
        <v>8.76</v>
      </c>
      <c r="DM327" s="560">
        <f t="shared" si="625"/>
        <v>23.759999999999998</v>
      </c>
      <c r="DN327" s="560">
        <f>Sheet1!AB329-DM327</f>
        <v>0.25000000000000355</v>
      </c>
      <c r="DO327" s="560">
        <f t="shared" si="626"/>
        <v>1.0521885521885672E-2</v>
      </c>
      <c r="DP327" s="560">
        <f>(VLOOKUP(Sheet1!DC329,hhdcap_wcm,4)-(((VLOOKUP(Sheet1!DC329,hhdcap_wcm,3)-Sheet1!DC329)/(VLOOKUP(Sheet1!DC329,hhdcap_wcm,3)-VLOOKUP(Sheet1!DC329,hhdcap_wcm,1)))*(VLOOKUP(Sheet1!DC329,hhdcap_wcm,4)-VLOOKUP(Sheet1!DC329,hhdcap_wcm,2))))</f>
        <v>903.2000000027831</v>
      </c>
      <c r="DQ327" s="560">
        <f t="shared" si="627"/>
        <v>-704.80000000141195</v>
      </c>
      <c r="DR327" s="560">
        <f t="shared" si="628"/>
        <v>-355.42107917368224</v>
      </c>
      <c r="DS327" s="560">
        <f>Sheet1!EA329*AFtoMG</f>
        <v>0</v>
      </c>
      <c r="DT327" s="560">
        <f>Sheet1!EB329*AFtoMG</f>
        <v>0</v>
      </c>
      <c r="DU327" s="560">
        <f>Sheet1!EC329*AFtoMG</f>
        <v>0</v>
      </c>
      <c r="DV327" s="560">
        <f>Sheet1!ED329*AFtoMG</f>
        <v>0</v>
      </c>
      <c r="DW327" s="560">
        <f t="shared" si="629"/>
        <v>0</v>
      </c>
      <c r="DX327" s="560">
        <f t="shared" si="630"/>
        <v>0</v>
      </c>
      <c r="DY327" s="560">
        <f t="shared" si="631"/>
        <v>0</v>
      </c>
      <c r="DZ327" s="560">
        <f t="shared" si="632"/>
        <v>0</v>
      </c>
      <c r="EA327" s="560"/>
      <c r="EB327" s="545">
        <f>IF(OR(B327&lt;FV327,B327&gt;FW327),(MIN(BF327+BY327+CT327+MAX(Sheet1!AA329+AQ327-73,0),K327)),0)</f>
        <v>8.8521717171717178</v>
      </c>
      <c r="EC327" s="560"/>
      <c r="ED327" s="560">
        <f t="shared" si="633"/>
        <v>8.8521717171717178</v>
      </c>
      <c r="EE327" s="560"/>
      <c r="EF327" s="560">
        <f>Sheet1!EH329+Sheet1!EI329+Sheet1!EJ329+Sheet1!EK329</f>
        <v>9</v>
      </c>
      <c r="EG327" s="560"/>
      <c r="EH327" s="545">
        <f t="shared" si="634"/>
        <v>0</v>
      </c>
      <c r="EI327" s="560">
        <f>IF(Sheet1!ET329=1,SUM('Calculations II'!AT327:BA327)+'Calculations II'!BC327+Sheet1!BV329+'Calculations II'!BE327+AP327,SUM('Calculations II'!AT327:BA327)+'Calculations II'!BC327+Sheet1!BV329+'Calculations II'!BE327+AP327)</f>
        <v>50.816960000000002</v>
      </c>
      <c r="EJ327" s="560">
        <f>Sheet1!AA329+Sheet1!AB329+'Calculations II'!BC327</f>
        <v>54.367615999999998</v>
      </c>
      <c r="EK327" s="560"/>
      <c r="EL327" s="560"/>
      <c r="EM327" s="560">
        <f t="shared" si="635"/>
        <v>41955</v>
      </c>
      <c r="EN327" s="560">
        <f t="shared" si="636"/>
        <v>0</v>
      </c>
      <c r="EO327" s="560">
        <f t="shared" si="637"/>
        <v>0</v>
      </c>
      <c r="EP327" s="560">
        <v>0</v>
      </c>
      <c r="EQ327" s="560">
        <v>0</v>
      </c>
      <c r="ER327" s="560">
        <v>0</v>
      </c>
      <c r="ES327" s="545">
        <f t="shared" si="557"/>
        <v>-0.27682858591358361</v>
      </c>
      <c r="ET327" s="560">
        <f>-(VLOOKUP(Sheet1!BQ329,Lookup!$O$4:$Q$262,2)-VLOOKUP(Sheet1!BQ328,Lookup!$O$4:$Q$262,2))/1000000</f>
        <v>-0.13840788631894441</v>
      </c>
      <c r="EU327" s="560">
        <f>-(VLOOKUP(Sheet1!BR329,Lookup!$O$4:$Q$262,3)-VLOOKUP(Sheet1!BR328,Lookup!$O$4:$Q$262,3))/1000000</f>
        <v>-0.13842069959463923</v>
      </c>
      <c r="EV327" s="560"/>
      <c r="EW327" s="560"/>
      <c r="EX327" s="560"/>
      <c r="EY327" s="560"/>
      <c r="EZ327" s="560"/>
      <c r="FA327" s="560"/>
      <c r="FB327" s="560"/>
      <c r="FC327" s="560"/>
      <c r="FD327" s="594">
        <f t="shared" si="638"/>
        <v>1084.6124999999704</v>
      </c>
      <c r="FE327" s="594" t="e">
        <f t="shared" si="639"/>
        <v>#N/A</v>
      </c>
      <c r="FF327" s="595" t="e">
        <f t="shared" si="640"/>
        <v>#N/A</v>
      </c>
      <c r="FG327" s="596" t="s">
        <v>692</v>
      </c>
      <c r="FH327" s="596" t="s">
        <v>692</v>
      </c>
      <c r="FI327" s="594" t="e">
        <v>#N/A</v>
      </c>
      <c r="FJ327" s="778">
        <v>1620</v>
      </c>
      <c r="FK327" s="560"/>
      <c r="FL327" s="560"/>
      <c r="FM327" s="560"/>
      <c r="FN327" s="560"/>
      <c r="FO327" s="560">
        <f>O327+((Sheet1!CS329)*GPMtoMGD)</f>
        <v>54.367615999999998</v>
      </c>
      <c r="FP327" s="560">
        <f>IF(Sheet1!AA329+AQ327&lt;=Calculation!N327,AQ327,Calculation!N327-Sheet1!AA329)</f>
        <v>14.1473063973064</v>
      </c>
      <c r="FQ327" s="560">
        <f>(Sheet1!BP329+Sheet1!BO329)/694.4</f>
        <v>1.9766705069124424</v>
      </c>
      <c r="FR327" s="560"/>
      <c r="FS327" s="560"/>
      <c r="FT327" s="560"/>
      <c r="FU327" s="560"/>
      <c r="FV327" s="695">
        <f t="shared" si="558"/>
        <v>41827</v>
      </c>
      <c r="FW327" s="695">
        <f t="shared" si="559"/>
        <v>41934</v>
      </c>
      <c r="FX327" s="560"/>
      <c r="FY327" s="560"/>
      <c r="FZ327" s="560"/>
      <c r="GA327" s="560"/>
      <c r="GB327" s="560" t="str">
        <f t="shared" si="560"/>
        <v>n</v>
      </c>
      <c r="GC327" s="564">
        <f t="shared" si="561"/>
        <v>41691</v>
      </c>
      <c r="GD327" s="695">
        <f t="shared" si="562"/>
        <v>41807</v>
      </c>
      <c r="GE327" s="560">
        <v>6518.9</v>
      </c>
      <c r="GF327" s="695">
        <f t="shared" si="563"/>
        <v>41808</v>
      </c>
      <c r="GG327" s="560">
        <f t="shared" si="582"/>
        <v>3259</v>
      </c>
      <c r="GH327" s="564">
        <f t="shared" si="564"/>
        <v>41934</v>
      </c>
      <c r="GJ327" s="545">
        <f t="shared" si="565"/>
        <v>0</v>
      </c>
      <c r="GK327" s="560" t="str">
        <f t="shared" si="641"/>
        <v/>
      </c>
      <c r="GL327" s="560">
        <f t="shared" si="566"/>
        <v>0</v>
      </c>
      <c r="GM327" s="560" t="str">
        <f t="shared" si="567"/>
        <v/>
      </c>
      <c r="GN327" s="560">
        <f>IF(GK327="P",Lookup!$M$12,IF(GK327="PP",Lookup!$M$13,IF(GK327="PPP",Lookup!$M$14,IF(GK327="T",Lookup!$M$15,IF(GK327="TP",Lookup!$M$16,IF(GK327="TPP",Lookup!$M$17,IF(GK327="TPPP",Lookup!$M$18,0)))))))*GJ327</f>
        <v>0</v>
      </c>
      <c r="GO327" s="560">
        <f t="shared" si="568"/>
        <v>0</v>
      </c>
      <c r="GP327" s="560">
        <f t="shared" si="642"/>
        <v>0</v>
      </c>
      <c r="GQ327" s="560">
        <f t="shared" si="576"/>
        <v>0</v>
      </c>
      <c r="GR327" s="560"/>
      <c r="GS327" s="560">
        <f t="shared" si="569"/>
        <v>0</v>
      </c>
      <c r="GT327" s="560" t="str">
        <f t="shared" si="570"/>
        <v/>
      </c>
      <c r="GU327" s="560">
        <f>IF(GK327="P",Lookup!$N$12,IF(GK327="PP",Lookup!$N$13,IF(GK327="PPP",Lookup!$N$14,IF(GK327="T",Lookup!$N$15,IF(GK327="TP",Lookup!$N$16,IF(GK327="TPP",Lookup!$N$17,IF(GK327="TPPP",Lookup!$N$18,0)))))))*GJ327</f>
        <v>0</v>
      </c>
      <c r="GV327" s="560">
        <f t="shared" si="571"/>
        <v>0</v>
      </c>
      <c r="GW327" s="560">
        <f t="shared" si="643"/>
        <v>0</v>
      </c>
      <c r="GX327" s="560">
        <f t="shared" si="577"/>
        <v>0</v>
      </c>
      <c r="GY327" s="560"/>
      <c r="GZ327" s="560">
        <f t="shared" si="572"/>
        <v>0</v>
      </c>
      <c r="HA327" s="560" t="str">
        <f t="shared" si="573"/>
        <v/>
      </c>
      <c r="HB327" s="560">
        <f>IF(GK327="P",Lookup!$N$12,IF(GK327="PP",Lookup!$N$13,IF(GK327="PPP",Lookup!$N$14,IF(GK327="T",Lookup!$N$15,IF(GK327="TP",Lookup!$N$16,IF(GK327="TPP",Lookup!$N$17,IF(GK327="TPPP",Lookup!$N$18,0)))))))*GJ327</f>
        <v>0</v>
      </c>
      <c r="HC327" s="545">
        <f t="shared" si="644"/>
        <v>0</v>
      </c>
      <c r="HD327" s="560">
        <f t="shared" si="645"/>
        <v>0</v>
      </c>
      <c r="HE327" s="560">
        <f t="shared" si="578"/>
        <v>0</v>
      </c>
      <c r="HF327" s="560"/>
      <c r="HG327" s="560">
        <f t="shared" si="574"/>
        <v>0</v>
      </c>
      <c r="HH327" s="560" t="str">
        <f t="shared" si="575"/>
        <v/>
      </c>
      <c r="HI327" s="560">
        <f>IF(GK327="P",Lookup!$N$12,IF(GK327="PP",Lookup!$N$13,IF(GK327="PPP",Lookup!$N$14,IF(GK327="T",Lookup!$N$15,IF(GK327="TP",Lookup!$N$16,IF(GK327="TPP",Lookup!$N$17,IF(GK327="TPPP",Lookup!$N$18,0)))))))*GJ327</f>
        <v>0</v>
      </c>
      <c r="HJ327" s="545">
        <f t="shared" si="646"/>
        <v>0</v>
      </c>
      <c r="HK327" s="560">
        <f t="shared" si="647"/>
        <v>0</v>
      </c>
      <c r="HL327" s="560">
        <f t="shared" si="579"/>
        <v>0</v>
      </c>
    </row>
    <row r="328" spans="1:220">
      <c r="A328" s="580" t="s">
        <v>7</v>
      </c>
      <c r="B328" s="556">
        <v>41956</v>
      </c>
      <c r="C328" s="561">
        <v>0</v>
      </c>
      <c r="D328" s="529">
        <f t="shared" si="580"/>
        <v>300</v>
      </c>
      <c r="E328" s="529">
        <f t="shared" si="581"/>
        <v>250</v>
      </c>
      <c r="F328" s="529">
        <v>250</v>
      </c>
      <c r="G328" s="560">
        <f>DR328+Sheet1!CZ330</f>
        <v>766.88905698431211</v>
      </c>
      <c r="H328" s="914">
        <f t="shared" ref="H328:H381" si="650">MAX((G328-113-D328)*CFStoMGD,0)</f>
        <v>228.75388643465934</v>
      </c>
      <c r="I328" s="559">
        <f>MAX(Sheet1!Z330-AT328+(Sheet1!DA330-E328)*CFStoMGD,0)</f>
        <v>651.01799999999992</v>
      </c>
      <c r="J328" s="562">
        <f>IF(AND(B328&gt;=Calculation!GC328,B328&lt;=Calculation!GD328),IF(Sheet1!DB330&gt;=Calculation!D328,64.64,0),MAX(Sheet1!Z330-AT328+(Sheet1!DB330-D328)*CFStoMGD,0))</f>
        <v>402.154</v>
      </c>
      <c r="K328" s="904">
        <f t="shared" si="583"/>
        <v>64.64</v>
      </c>
      <c r="L328" s="560">
        <f>Sheet1!AA330+Sheet1!AB330-Sheet1!L330+(Sheet1!DA330-F328)*CFStoMGD</f>
        <v>631.31799999999657</v>
      </c>
      <c r="M328" s="560">
        <f t="shared" si="584"/>
        <v>505.63142816335255</v>
      </c>
      <c r="N328" s="910">
        <f>IF(Sheet1!DA330&gt;=F328,MIN(73,MIN(MAX(L328,0),MAX(M328,0))),0)</f>
        <v>73</v>
      </c>
      <c r="O328" s="563">
        <f>Sheet1!AA330+Sheet1!AB330</f>
        <v>38.629999999999995</v>
      </c>
      <c r="P328" s="563">
        <f t="shared" si="585"/>
        <v>59.76061</v>
      </c>
      <c r="Q328" s="898">
        <f t="shared" si="547"/>
        <v>0</v>
      </c>
      <c r="R328" s="829">
        <f t="shared" si="586"/>
        <v>8.9931815747187986</v>
      </c>
      <c r="S328" s="898">
        <f t="shared" si="649"/>
        <v>38.629999999999995</v>
      </c>
      <c r="T328" s="898">
        <f t="shared" si="549"/>
        <v>0</v>
      </c>
      <c r="U328" s="898">
        <f t="shared" si="550"/>
        <v>0</v>
      </c>
      <c r="V328" s="898"/>
      <c r="W328" s="898">
        <f t="shared" si="551"/>
        <v>55.646818425281204</v>
      </c>
      <c r="X328" s="898">
        <f t="shared" si="552"/>
        <v>38.629999999999995</v>
      </c>
      <c r="Y328" s="898" t="str">
        <f t="shared" si="553"/>
        <v/>
      </c>
      <c r="Z328" s="898">
        <f t="shared" si="554"/>
        <v>38.629999999999995</v>
      </c>
      <c r="AA328" s="898">
        <f t="shared" si="555"/>
        <v>38.629999999999995</v>
      </c>
      <c r="AB328" s="898" t="str">
        <f t="shared" si="556"/>
        <v/>
      </c>
      <c r="AC328" s="563">
        <f>Sheet1!Y330*MGDtoCFS</f>
        <v>31.249399999999998</v>
      </c>
      <c r="AD328" s="563">
        <f>Sheet1!Z330*MGDtoCFS</f>
        <v>37.143470000000001</v>
      </c>
      <c r="AE328" s="563">
        <f>Sheet1!AA330*MGDtoCFS</f>
        <v>31.435040000000001</v>
      </c>
      <c r="AF328" s="563">
        <f>Sheet1!AB330*MGDtoCFS</f>
        <v>28.325569999999995</v>
      </c>
      <c r="AG328" s="563">
        <f>Sheet1!L330*MGDtoCFS</f>
        <v>53.093040000005175</v>
      </c>
      <c r="AH328" s="545">
        <f t="shared" si="587"/>
        <v>0</v>
      </c>
      <c r="AI328" s="560">
        <f t="shared" si="588"/>
        <v>0</v>
      </c>
      <c r="AJ328" s="560">
        <f t="shared" si="589"/>
        <v>0</v>
      </c>
      <c r="AK328" s="560">
        <f t="shared" si="590"/>
        <v>0</v>
      </c>
      <c r="AL328" s="560">
        <f>(VLOOKUP(Sheet1!DC330,hhdcap_wcm,4)-(((VLOOKUP(Sheet1!DC330,hhdcap_wcm,3)-Sheet1!DC330)/(VLOOKUP(Sheet1!DC330,hhdcap_wcm,3)-VLOOKUP(Sheet1!DC330,hhdcap_wcm,1)))*(VLOOKUP(Sheet1!DC330,hhdcap_wcm,4)-VLOOKUP(Sheet1!DC330,hhdcap_wcm,2))))</f>
        <v>784.00000000267391</v>
      </c>
      <c r="AM328" s="560">
        <f t="shared" si="591"/>
        <v>-119.20000000010918</v>
      </c>
      <c r="AN328" s="560">
        <f t="shared" si="592"/>
        <v>0</v>
      </c>
      <c r="AO328" s="560">
        <f t="shared" si="593"/>
        <v>0</v>
      </c>
      <c r="AP328" s="560">
        <f>Sheet1!BA330+Sheet1!BB330+Sheet1!BN330+CD328</f>
        <v>9.5</v>
      </c>
      <c r="AQ328" s="560">
        <f>Sheet1!BN330+(DO328*Sheet1!BN330)</f>
        <v>8.3361006963042303</v>
      </c>
      <c r="AR328" s="560">
        <f>Sheet1!BA330+CD328</f>
        <v>0</v>
      </c>
      <c r="AS328" s="560">
        <f>Sheet1!BA330+Sheet1!BB330+CD328</f>
        <v>1</v>
      </c>
      <c r="AT328" s="698">
        <f>0</f>
        <v>0</v>
      </c>
      <c r="AU328" s="560">
        <f>IF(EB328&lt;K328,0,MAX(Sheet1!AA330+AQ328-15/36*K328-N328,Sheet1!EH330,0))</f>
        <v>0</v>
      </c>
      <c r="AV328" s="560">
        <f>IF(OR(B328&gt;=GD328,B328&lt;GC328),0,15/36*K328-MAX(0,64.6-(137.6-(Sheet1!AA330+Sheet1!AB330))))</f>
        <v>0</v>
      </c>
      <c r="AW328" s="698">
        <f>Sheet1!DB330-110</f>
        <v>775</v>
      </c>
      <c r="AX328" s="698">
        <f>Sheet1!DA330-265</f>
        <v>955</v>
      </c>
      <c r="AY328" s="698">
        <f t="shared" si="594"/>
        <v>73</v>
      </c>
      <c r="AZ328" s="698">
        <v>0</v>
      </c>
      <c r="BA328" s="698">
        <f t="shared" si="595"/>
        <v>0</v>
      </c>
      <c r="BB328" s="560">
        <f t="shared" si="596"/>
        <v>0</v>
      </c>
      <c r="BC328" s="560"/>
      <c r="BD328" s="560">
        <f ca="1">IF(B328&gt;Summary!$A$1,#N/A,BB328*MGtoAF)</f>
        <v>0</v>
      </c>
      <c r="BE328" s="560">
        <f>Sheet1!BG330+Sheet1!BH330+Sheet1!BI330-BM328</f>
        <v>0</v>
      </c>
      <c r="BF328" s="560">
        <f t="shared" si="597"/>
        <v>0</v>
      </c>
      <c r="BG328" s="560">
        <f>IF(Sheet1!EP330="FM",BM328,0)</f>
        <v>0</v>
      </c>
      <c r="BH328" s="560">
        <f t="shared" si="598"/>
        <v>0</v>
      </c>
      <c r="BI328" s="560">
        <f>IF(Sheet1!EP330="OTHER",BM328,0)</f>
        <v>0</v>
      </c>
      <c r="BJ328" s="560">
        <f t="shared" si="599"/>
        <v>0</v>
      </c>
      <c r="BK328" s="560">
        <f t="shared" si="600"/>
        <v>0</v>
      </c>
      <c r="BL328" s="560">
        <f t="shared" si="601"/>
        <v>0</v>
      </c>
      <c r="BM328" s="560">
        <f>IF(OR(Sheet1!EP330="FM", Sheet1!EP330="OTHER"),SUM(Sheet1!BG330:'Sheet1'!BI330),0)</f>
        <v>0</v>
      </c>
      <c r="BN328" s="545">
        <f>IF(AND($B328&gt;=$FV328,$B328&lt;=$FW328),MAX(BF328,Sheet1!EI330,0),MAX(BF328-(7/36)*$K328,0))</f>
        <v>0</v>
      </c>
      <c r="BO328" s="560">
        <f t="shared" si="602"/>
        <v>0</v>
      </c>
      <c r="BP328" s="545">
        <f t="shared" si="603"/>
        <v>0</v>
      </c>
      <c r="BQ328" s="545">
        <f>IF(AND($O328&gt;0,Sheet1!EM330=1),(1-($O328-Sheet1!$L330)/$O328)*BL328,0)</f>
        <v>0</v>
      </c>
      <c r="BR328" s="545">
        <f>IF(AND(Sheet1!$L330=0,Sheet1!$L329=0, Calculation!BK328&lt;Sheet1!$EI330-0.1,Sheet1!$EI330=Sheet1!$EI329,Sheet1!$EI330=Sheet1!$EI331),Sheet1!$EI330,BL328-BQ328)</f>
        <v>0</v>
      </c>
      <c r="BS328" s="560"/>
      <c r="BT328" s="560"/>
      <c r="BU328" s="560">
        <f t="shared" si="604"/>
        <v>0</v>
      </c>
      <c r="BV328" s="560"/>
      <c r="BW328" s="560">
        <f ca="1">IF(B328&gt;Summary!$A$1,#N/A,BU328*MGtoAF)</f>
        <v>0</v>
      </c>
      <c r="BX328" s="560">
        <f>Sheet1!BC330+Sheet1!BD330+Sheet1!BE330+Sheet1!BF330-CG328-CH328</f>
        <v>2.5999999999999996</v>
      </c>
      <c r="BY328" s="560">
        <f t="shared" si="605"/>
        <v>2.5498660953401169</v>
      </c>
      <c r="BZ328" s="560">
        <f>IF(Sheet1!EQ330="FM",CH328,0)</f>
        <v>0</v>
      </c>
      <c r="CA328" s="560">
        <f t="shared" si="606"/>
        <v>0</v>
      </c>
      <c r="CB328" s="560">
        <f>IF(Sheet1!EQ330="OTHER",CH328,0)</f>
        <v>0</v>
      </c>
      <c r="CC328" s="560">
        <f t="shared" si="607"/>
        <v>0</v>
      </c>
      <c r="CD328" s="560">
        <f t="shared" si="608"/>
        <v>0</v>
      </c>
      <c r="CE328" s="560">
        <f t="shared" si="609"/>
        <v>2.5999999999999996</v>
      </c>
      <c r="CF328" s="560">
        <f t="shared" si="610"/>
        <v>2.5498660953401169</v>
      </c>
      <c r="CG328" s="560">
        <f>IF(Sheet1!EQ330="CWA",SUM(Sheet1!BC330:'Sheet1'!BF330),0)</f>
        <v>0</v>
      </c>
      <c r="CH328" s="560">
        <f>IF(OR(Sheet1!EQ330="FM", Sheet1!EQ330="OTHER"),SUM(Sheet1!BC330:'Sheet1'!BF330),0)</f>
        <v>0</v>
      </c>
      <c r="CI328" s="545">
        <f>IF(AND($B328&gt;=$FV328,$B328&lt;=$FW328),MAX(CF328,Sheet1!EJ330,0),MAX(CF328-(7/36)*$K328,0))</f>
        <v>0</v>
      </c>
      <c r="CJ328" s="560">
        <f t="shared" si="611"/>
        <v>0</v>
      </c>
      <c r="CK328" s="545">
        <f t="shared" si="612"/>
        <v>2.5498660953401169</v>
      </c>
      <c r="CL328" s="545">
        <f>IF(AND($O328&gt;0,Sheet1!EN330=1),(1-($O328-Sheet1!$L330)/$O328)*CF328,0)</f>
        <v>0</v>
      </c>
      <c r="CM328" s="545">
        <f>IF(AND(Sheet1!$L330=0,Sheet1!$L329=0, Calculation!CE328&lt;Sheet1!EJ330-0.1,Sheet1!EJ330=Sheet1!EJ329,Sheet1!EJ330=Sheet1!EJ331),Sheet1!EJ330,CF328-CL328)</f>
        <v>2.5498660953401169</v>
      </c>
      <c r="CN328" s="545"/>
      <c r="CO328" s="560"/>
      <c r="CP328" s="560">
        <f t="shared" si="613"/>
        <v>0</v>
      </c>
      <c r="CQ328" s="560"/>
      <c r="CR328" s="560">
        <f ca="1">IF(B328&gt;Summary!$A$1,#N/A,CP328*MGtoAF)</f>
        <v>0</v>
      </c>
      <c r="CS328" s="560">
        <f>Sheet1!BK330+Sheet1!BL330+Sheet1!BM330-Sheet1!ER330-DA328</f>
        <v>6.57</v>
      </c>
      <c r="CT328" s="560">
        <f t="shared" si="614"/>
        <v>6.4433154793786818</v>
      </c>
      <c r="CU328" s="560">
        <f>IF(Sheet1!ER330="FM",DA328,0)</f>
        <v>0</v>
      </c>
      <c r="CV328" s="560">
        <f t="shared" si="615"/>
        <v>0</v>
      </c>
      <c r="CW328" s="560">
        <f>IF(Sheet1!ER330="OTHER",DA328,0)</f>
        <v>0</v>
      </c>
      <c r="CX328" s="560">
        <f t="shared" si="616"/>
        <v>0</v>
      </c>
      <c r="CY328" s="560">
        <f t="shared" si="617"/>
        <v>6.57</v>
      </c>
      <c r="CZ328" s="560">
        <f t="shared" si="618"/>
        <v>6.4433154793786818</v>
      </c>
      <c r="DA328" s="560">
        <f>IF(OR(Sheet1!ER330="FM", Sheet1!ER330="OTHER"),SUM(Sheet1!BK330:'Sheet1'!BM330),0)</f>
        <v>0</v>
      </c>
      <c r="DB328" s="545">
        <f>IF(AND($B328&gt;=$FV328,$B328&lt;=$FW328),MAX($CT328,Sheet1!EK330,0),MAX($CT328-(7/36)*$K328,0))</f>
        <v>0</v>
      </c>
      <c r="DC328" s="560">
        <f t="shared" si="619"/>
        <v>0</v>
      </c>
      <c r="DD328" s="545">
        <f t="shared" si="620"/>
        <v>6.4433154793786818</v>
      </c>
      <c r="DE328" s="545">
        <f>IF(AND($O328&gt;0,Sheet1!EO330=1),(1-($O328-Sheet1!$L330)/$O328)*CZ328,0)</f>
        <v>0</v>
      </c>
      <c r="DF328" s="545">
        <f>IF(AND(Sheet1!$L330=0,Sheet1!$L329=0, Calculation!CY328&lt;Sheet1!$EK330-0.1,Sheet1!$EK330=Sheet1!$EK329,Sheet1!$EK330=Sheet1!$EK331),Sheet1!$EK330,CZ328-DE328)</f>
        <v>6.4433154793786818</v>
      </c>
      <c r="DG328" s="545"/>
      <c r="DH328" s="560">
        <f t="shared" si="621"/>
        <v>9.17</v>
      </c>
      <c r="DI328" s="560">
        <f t="shared" si="622"/>
        <v>0</v>
      </c>
      <c r="DJ328" s="698">
        <f t="shared" si="623"/>
        <v>8.9931815747187986</v>
      </c>
      <c r="DK328" s="560">
        <f ca="1">IF(B328&gt;Summary!$A$1,#N/A,DI328*MGtoAF)</f>
        <v>0</v>
      </c>
      <c r="DL328" s="698">
        <f t="shared" si="624"/>
        <v>9.17</v>
      </c>
      <c r="DM328" s="560">
        <f t="shared" si="625"/>
        <v>18.670000000000002</v>
      </c>
      <c r="DN328" s="560">
        <f>Sheet1!AB330-DM328</f>
        <v>-0.36000000000000298</v>
      </c>
      <c r="DO328" s="560">
        <f t="shared" si="626"/>
        <v>-1.9282271023031761E-2</v>
      </c>
      <c r="DP328" s="560">
        <f>(VLOOKUP(Sheet1!DC330,hhdcap_wcm,4)-(((VLOOKUP(Sheet1!DC330,hhdcap_wcm,3)-Sheet1!DC330)/(VLOOKUP(Sheet1!DC330,hhdcap_wcm,3)-VLOOKUP(Sheet1!DC330,hhdcap_wcm,1)))*(VLOOKUP(Sheet1!DC330,hhdcap_wcm,4)-VLOOKUP(Sheet1!DC330,hhdcap_wcm,2))))</f>
        <v>784.00000000267391</v>
      </c>
      <c r="DQ328" s="560">
        <f t="shared" si="627"/>
        <v>-119.20000000010918</v>
      </c>
      <c r="DR328" s="560">
        <f t="shared" si="628"/>
        <v>-60.11094301568793</v>
      </c>
      <c r="DS328" s="560">
        <f>Sheet1!EA330*AFtoMG</f>
        <v>0</v>
      </c>
      <c r="DT328" s="560">
        <f>Sheet1!EB330*AFtoMG</f>
        <v>0</v>
      </c>
      <c r="DU328" s="560">
        <f>Sheet1!EC330*AFtoMG</f>
        <v>0</v>
      </c>
      <c r="DV328" s="560">
        <f>Sheet1!ED330*AFtoMG</f>
        <v>0</v>
      </c>
      <c r="DW328" s="560">
        <f t="shared" si="629"/>
        <v>0</v>
      </c>
      <c r="DX328" s="560">
        <f t="shared" si="630"/>
        <v>0</v>
      </c>
      <c r="DY328" s="560">
        <f t="shared" si="631"/>
        <v>0</v>
      </c>
      <c r="DZ328" s="560">
        <f t="shared" si="632"/>
        <v>0</v>
      </c>
      <c r="EA328" s="560"/>
      <c r="EB328" s="545">
        <f>IF(OR(B328&lt;FV328,B328&gt;FW328),(MIN(BF328+BY328+CT328+MAX(Sheet1!AA330+AQ328-73,0),K328)),0)</f>
        <v>8.9931815747187986</v>
      </c>
      <c r="EC328" s="560"/>
      <c r="ED328" s="560">
        <f t="shared" si="633"/>
        <v>8.9931815747187986</v>
      </c>
      <c r="EE328" s="560"/>
      <c r="EF328" s="560">
        <f>Sheet1!EH330+Sheet1!EI330+Sheet1!EJ330+Sheet1!EK330</f>
        <v>9</v>
      </c>
      <c r="EG328" s="560"/>
      <c r="EH328" s="545">
        <f t="shared" si="634"/>
        <v>0</v>
      </c>
      <c r="EI328" s="560">
        <f>IF(Sheet1!ET330=1,SUM('Calculations II'!AT328:BA328)+'Calculations II'!BC328+Sheet1!BV330+'Calculations II'!BE328+AP328,SUM('Calculations II'!AT328:BA328)+'Calculations II'!BC328+Sheet1!BV330+'Calculations II'!BE328+AP328)</f>
        <v>50.249120000000005</v>
      </c>
      <c r="EJ328" s="560">
        <f>Sheet1!AA330+Sheet1!AB330+'Calculations II'!BC328</f>
        <v>56.045215999999996</v>
      </c>
      <c r="EK328" s="560"/>
      <c r="EL328" s="560"/>
      <c r="EM328" s="560">
        <f t="shared" si="635"/>
        <v>41956</v>
      </c>
      <c r="EN328" s="560">
        <f t="shared" si="636"/>
        <v>0</v>
      </c>
      <c r="EO328" s="560">
        <f t="shared" si="637"/>
        <v>0</v>
      </c>
      <c r="EP328" s="560">
        <v>0</v>
      </c>
      <c r="EQ328" s="560">
        <v>0</v>
      </c>
      <c r="ER328" s="560">
        <v>0</v>
      </c>
      <c r="ES328" s="545">
        <f t="shared" si="557"/>
        <v>-2.2150899953844512</v>
      </c>
      <c r="ET328" s="560">
        <f>-(VLOOKUP(Sheet1!BQ330,Lookup!$O$4:$Q$262,2)-VLOOKUP(Sheet1!BQ329,Lookup!$O$4:$Q$262,2))/1000000</f>
        <v>-1.1074937392686941</v>
      </c>
      <c r="EU328" s="560">
        <f>-(VLOOKUP(Sheet1!BR330,Lookup!$O$4:$Q$262,3)-VLOOKUP(Sheet1!BR329,Lookup!$O$4:$Q$262,3))/1000000</f>
        <v>-1.1075962561157568</v>
      </c>
      <c r="EV328" s="560"/>
      <c r="EW328" s="560"/>
      <c r="EX328" s="560"/>
      <c r="EY328" s="560"/>
      <c r="EZ328" s="560"/>
      <c r="FA328" s="560"/>
      <c r="FB328" s="560"/>
      <c r="FC328" s="560"/>
      <c r="FD328" s="594">
        <f t="shared" si="638"/>
        <v>1084.0437499999709</v>
      </c>
      <c r="FE328" s="594" t="e">
        <f t="shared" si="639"/>
        <v>#N/A</v>
      </c>
      <c r="FF328" s="595" t="e">
        <f t="shared" si="640"/>
        <v>#N/A</v>
      </c>
      <c r="FG328" s="596" t="s">
        <v>692</v>
      </c>
      <c r="FH328" s="596" t="s">
        <v>692</v>
      </c>
      <c r="FI328" s="594" t="e">
        <v>#N/A</v>
      </c>
      <c r="FJ328" s="778">
        <v>1530</v>
      </c>
      <c r="FK328" s="560"/>
      <c r="FL328" s="560"/>
      <c r="FM328" s="560"/>
      <c r="FN328" s="560"/>
      <c r="FO328" s="560">
        <f>O328+((Sheet1!CS330)*GPMtoMGD)</f>
        <v>56.045215999999996</v>
      </c>
      <c r="FP328" s="560">
        <f>IF(Sheet1!AA330+AQ328&lt;=Calculation!N328,AQ328,Calculation!N328-Sheet1!AA330)</f>
        <v>8.3361006963042303</v>
      </c>
      <c r="FQ328" s="560">
        <f>(Sheet1!BP330+Sheet1!BO330)/694.4</f>
        <v>1.0918778801843319</v>
      </c>
      <c r="FR328" s="560"/>
      <c r="FS328" s="560"/>
      <c r="FT328" s="560"/>
      <c r="FU328" s="560"/>
      <c r="FV328" s="695">
        <f t="shared" si="558"/>
        <v>41827</v>
      </c>
      <c r="FW328" s="695">
        <f t="shared" si="559"/>
        <v>41934</v>
      </c>
      <c r="FX328" s="560"/>
      <c r="FY328" s="560"/>
      <c r="FZ328" s="560"/>
      <c r="GA328" s="560"/>
      <c r="GB328" s="560" t="str">
        <f t="shared" si="560"/>
        <v>n</v>
      </c>
      <c r="GC328" s="564">
        <f t="shared" si="561"/>
        <v>41691</v>
      </c>
      <c r="GD328" s="695">
        <f t="shared" si="562"/>
        <v>41807</v>
      </c>
      <c r="GE328" s="560">
        <v>6518.9</v>
      </c>
      <c r="GF328" s="695">
        <f t="shared" si="563"/>
        <v>41808</v>
      </c>
      <c r="GG328" s="560">
        <f t="shared" si="582"/>
        <v>3259</v>
      </c>
      <c r="GH328" s="564">
        <f t="shared" si="564"/>
        <v>41934</v>
      </c>
      <c r="GJ328" s="545">
        <f t="shared" si="565"/>
        <v>0</v>
      </c>
      <c r="GK328" s="560" t="str">
        <f t="shared" si="641"/>
        <v/>
      </c>
      <c r="GL328" s="560">
        <f t="shared" si="566"/>
        <v>0</v>
      </c>
      <c r="GM328" s="560" t="str">
        <f t="shared" si="567"/>
        <v/>
      </c>
      <c r="GN328" s="560">
        <f>IF(GK328="P",Lookup!$M$12,IF(GK328="PP",Lookup!$M$13,IF(GK328="PPP",Lookup!$M$14,IF(GK328="T",Lookup!$M$15,IF(GK328="TP",Lookup!$M$16,IF(GK328="TPP",Lookup!$M$17,IF(GK328="TPPP",Lookup!$M$18,0)))))))*GJ328</f>
        <v>0</v>
      </c>
      <c r="GO328" s="560">
        <f t="shared" si="568"/>
        <v>0</v>
      </c>
      <c r="GP328" s="560">
        <f t="shared" si="642"/>
        <v>0</v>
      </c>
      <c r="GQ328" s="560">
        <f t="shared" si="576"/>
        <v>0</v>
      </c>
      <c r="GR328" s="560"/>
      <c r="GS328" s="560">
        <f t="shared" si="569"/>
        <v>0</v>
      </c>
      <c r="GT328" s="560" t="str">
        <f t="shared" si="570"/>
        <v/>
      </c>
      <c r="GU328" s="560">
        <f>IF(GK328="P",Lookup!$N$12,IF(GK328="PP",Lookup!$N$13,IF(GK328="PPP",Lookup!$N$14,IF(GK328="T",Lookup!$N$15,IF(GK328="TP",Lookup!$N$16,IF(GK328="TPP",Lookup!$N$17,IF(GK328="TPPP",Lookup!$N$18,0)))))))*GJ328</f>
        <v>0</v>
      </c>
      <c r="GV328" s="560">
        <f t="shared" si="571"/>
        <v>0</v>
      </c>
      <c r="GW328" s="560">
        <f t="shared" si="643"/>
        <v>0</v>
      </c>
      <c r="GX328" s="560">
        <f t="shared" si="577"/>
        <v>0</v>
      </c>
      <c r="GY328" s="560"/>
      <c r="GZ328" s="560">
        <f t="shared" si="572"/>
        <v>0</v>
      </c>
      <c r="HA328" s="560" t="str">
        <f t="shared" si="573"/>
        <v/>
      </c>
      <c r="HB328" s="560">
        <f>IF(GK328="P",Lookup!$N$12,IF(GK328="PP",Lookup!$N$13,IF(GK328="PPP",Lookup!$N$14,IF(GK328="T",Lookup!$N$15,IF(GK328="TP",Lookup!$N$16,IF(GK328="TPP",Lookup!$N$17,IF(GK328="TPPP",Lookup!$N$18,0)))))))*GJ328</f>
        <v>0</v>
      </c>
      <c r="HC328" s="545">
        <f t="shared" si="644"/>
        <v>0</v>
      </c>
      <c r="HD328" s="560">
        <f t="shared" si="645"/>
        <v>0</v>
      </c>
      <c r="HE328" s="560">
        <f t="shared" si="578"/>
        <v>0</v>
      </c>
      <c r="HF328" s="560"/>
      <c r="HG328" s="560">
        <f t="shared" si="574"/>
        <v>0</v>
      </c>
      <c r="HH328" s="560" t="str">
        <f t="shared" si="575"/>
        <v/>
      </c>
      <c r="HI328" s="560">
        <f>IF(GK328="P",Lookup!$N$12,IF(GK328="PP",Lookup!$N$13,IF(GK328="PPP",Lookup!$N$14,IF(GK328="T",Lookup!$N$15,IF(GK328="TP",Lookup!$N$16,IF(GK328="TPP",Lookup!$N$17,IF(GK328="TPPP",Lookup!$N$18,0)))))))*GJ328</f>
        <v>0</v>
      </c>
      <c r="HJ328" s="545">
        <f t="shared" si="646"/>
        <v>0</v>
      </c>
      <c r="HK328" s="560">
        <f t="shared" si="647"/>
        <v>0</v>
      </c>
      <c r="HL328" s="560">
        <f t="shared" si="579"/>
        <v>0</v>
      </c>
    </row>
    <row r="329" spans="1:220">
      <c r="A329" s="580" t="s">
        <v>8</v>
      </c>
      <c r="B329" s="556">
        <v>41957</v>
      </c>
      <c r="C329" s="561">
        <v>0</v>
      </c>
      <c r="D329" s="529">
        <f t="shared" si="580"/>
        <v>300</v>
      </c>
      <c r="E329" s="529">
        <f t="shared" si="581"/>
        <v>250</v>
      </c>
      <c r="F329" s="529">
        <v>250</v>
      </c>
      <c r="G329" s="560">
        <f>DR329+Sheet1!CZ331</f>
        <v>904.47302067597548</v>
      </c>
      <c r="H329" s="914">
        <f t="shared" si="650"/>
        <v>317.68816056495052</v>
      </c>
      <c r="I329" s="559">
        <f>MAX(Sheet1!Z331-AT329+(Sheet1!DA331-E329)*CFStoMGD,0)</f>
        <v>579.91399999999999</v>
      </c>
      <c r="J329" s="562">
        <f>IF(AND(B329&gt;=Calculation!GC329,B329&lt;=Calculation!GD329),IF(Sheet1!DB331&gt;=Calculation!D329,64.64,0),MAX(Sheet1!Z331-AT329+(Sheet1!DB331-D329)*CFStoMGD,0))</f>
        <v>357.55239999999998</v>
      </c>
      <c r="K329" s="904">
        <f t="shared" si="583"/>
        <v>64.64</v>
      </c>
      <c r="L329" s="560">
        <f>Sheet1!AA331+Sheet1!AB331-Sheet1!L331+(Sheet1!DA331-F329)*CFStoMGD</f>
        <v>577.29399999999987</v>
      </c>
      <c r="M329" s="560">
        <f t="shared" si="584"/>
        <v>596.34438777624962</v>
      </c>
      <c r="N329" s="910">
        <f>IF(Sheet1!DA331&gt;=F329,MIN(73,MIN(MAX(L329,0),MAX(M329,0))),0)</f>
        <v>73</v>
      </c>
      <c r="O329" s="563">
        <f>Sheet1!AA331+Sheet1!AB331</f>
        <v>45.730000000000004</v>
      </c>
      <c r="P329" s="563">
        <f t="shared" si="585"/>
        <v>70.744309999999999</v>
      </c>
      <c r="Q329" s="898">
        <f t="shared" ref="Q329:Q381" si="651">IF(OR(Y329="FALSE",AND(B329&gt;=FV329,B329&lt;=FW329)),O329-S329-U329,0)</f>
        <v>0</v>
      </c>
      <c r="R329" s="829">
        <f t="shared" si="586"/>
        <v>8.9870211102423774</v>
      </c>
      <c r="S329" s="898">
        <f t="shared" si="649"/>
        <v>45.730000000000004</v>
      </c>
      <c r="T329" s="898">
        <f t="shared" ref="T329:T381" si="652">IF(OR(B329&lt;GC329,B329&gt;GD329),0, K329-DL329)</f>
        <v>0</v>
      </c>
      <c r="U329" s="898">
        <f t="shared" ref="U329:U381" si="653">IF(AND(B329&gt;=FV329,B329&lt;=FW329),MAX(EF329,ED329),0)</f>
        <v>0</v>
      </c>
      <c r="V329" s="898"/>
      <c r="W329" s="898">
        <f t="shared" ref="W329:W381" si="654">MAX(K329-DJ329,0)</f>
        <v>55.65297888975762</v>
      </c>
      <c r="X329" s="898">
        <f t="shared" ref="X329:X381" si="655">S329+T329</f>
        <v>45.730000000000004</v>
      </c>
      <c r="Y329" s="898" t="str">
        <f t="shared" ref="Y329:Y381" si="656">IF(OR(O329&gt;K329,AND(B329&gt;=GC329,B329&lt;=GD329),), "FALSE","")</f>
        <v/>
      </c>
      <c r="Z329" s="898">
        <f t="shared" ref="Z329:Z381" si="657">O329</f>
        <v>45.730000000000004</v>
      </c>
      <c r="AA329" s="898">
        <f t="shared" ref="AA329:AA381" si="658">Q329+S329+U329</f>
        <v>45.730000000000004</v>
      </c>
      <c r="AB329" s="898" t="str">
        <f t="shared" ref="AB329:AB381" si="659">IF(OR(Z329-AA329&lt;-0.1,Z329-AA329&gt;0.1),"BAD ENGINEER","")</f>
        <v/>
      </c>
      <c r="AC329" s="563">
        <f>Sheet1!Y331*MGDtoCFS</f>
        <v>31.249399999999998</v>
      </c>
      <c r="AD329" s="563">
        <f>Sheet1!Z331*MGDtoCFS</f>
        <v>37.143470000000001</v>
      </c>
      <c r="AE329" s="563">
        <f>Sheet1!AA331*MGDtoCFS</f>
        <v>31.141109999999998</v>
      </c>
      <c r="AF329" s="563">
        <f>Sheet1!AB331*MGDtoCFS</f>
        <v>39.603200000000001</v>
      </c>
      <c r="AG329" s="563">
        <f>Sheet1!L331*MGDtoCFS</f>
        <v>37.653980000000224</v>
      </c>
      <c r="AH329" s="545">
        <f t="shared" si="587"/>
        <v>0</v>
      </c>
      <c r="AI329" s="560">
        <f t="shared" si="588"/>
        <v>0</v>
      </c>
      <c r="AJ329" s="560">
        <f t="shared" si="589"/>
        <v>0</v>
      </c>
      <c r="AK329" s="560">
        <f t="shared" si="590"/>
        <v>0</v>
      </c>
      <c r="AL329" s="560">
        <f>(VLOOKUP(Sheet1!DC331,hhdcap_wcm,4)-(((VLOOKUP(Sheet1!DC331,hhdcap_wcm,3)-Sheet1!DC331)/(VLOOKUP(Sheet1!DC331,hhdcap_wcm,3)-VLOOKUP(Sheet1!DC331,hhdcap_wcm,1)))*(VLOOKUP(Sheet1!DC331,hhdcap_wcm,4)-VLOOKUP(Sheet1!DC331,hhdcap_wcm,2))))</f>
        <v>1011.0000000031332</v>
      </c>
      <c r="AM329" s="560">
        <f t="shared" si="591"/>
        <v>227.00000000045929</v>
      </c>
      <c r="AN329" s="560">
        <f t="shared" si="592"/>
        <v>0</v>
      </c>
      <c r="AO329" s="560">
        <f t="shared" si="593"/>
        <v>0</v>
      </c>
      <c r="AP329" s="560">
        <f>Sheet1!BA331+Sheet1!BB331+Sheet1!BN331+CD329</f>
        <v>16.600000000000001</v>
      </c>
      <c r="AQ329" s="560">
        <f>Sheet1!BN331+(DO329*Sheet1!BN331)</f>
        <v>15.612197028928851</v>
      </c>
      <c r="AR329" s="560">
        <f>Sheet1!BA331+CD329</f>
        <v>0</v>
      </c>
      <c r="AS329" s="560">
        <f>Sheet1!BA331+Sheet1!BB331+CD329</f>
        <v>1</v>
      </c>
      <c r="AT329" s="698">
        <f>0</f>
        <v>0</v>
      </c>
      <c r="AU329" s="560">
        <f>IF(EB329&lt;K329,0,MAX(Sheet1!AA331+AQ329-15/36*K329-N329,Sheet1!EH331,0))</f>
        <v>0</v>
      </c>
      <c r="AV329" s="560">
        <f>IF(OR(B329&gt;=GD329,B329&lt;GC329),0,15/36*K329-MAX(0,64.6-(137.6-(Sheet1!AA331+Sheet1!AB331))))</f>
        <v>0</v>
      </c>
      <c r="AW329" s="698">
        <f>Sheet1!DB331-110</f>
        <v>706</v>
      </c>
      <c r="AX329" s="698">
        <f>Sheet1!DA331-265</f>
        <v>845</v>
      </c>
      <c r="AY329" s="698">
        <f t="shared" si="594"/>
        <v>73</v>
      </c>
      <c r="AZ329" s="698">
        <v>0</v>
      </c>
      <c r="BA329" s="698">
        <f t="shared" si="595"/>
        <v>0</v>
      </c>
      <c r="BB329" s="560">
        <f t="shared" si="596"/>
        <v>0</v>
      </c>
      <c r="BC329" s="560"/>
      <c r="BD329" s="560">
        <f ca="1">IF(B329&gt;Summary!$A$1,#N/A,BB329*MGtoAF)</f>
        <v>0</v>
      </c>
      <c r="BE329" s="560">
        <f>Sheet1!BG331+Sheet1!BH331+Sheet1!BI331-BM329</f>
        <v>0</v>
      </c>
      <c r="BF329" s="560">
        <f t="shared" si="597"/>
        <v>0</v>
      </c>
      <c r="BG329" s="560">
        <f>IF(Sheet1!EP331="FM",BM329,0)</f>
        <v>0</v>
      </c>
      <c r="BH329" s="560">
        <f t="shared" si="598"/>
        <v>0</v>
      </c>
      <c r="BI329" s="560">
        <f>IF(Sheet1!EP331="OTHER",BM329,0)</f>
        <v>0</v>
      </c>
      <c r="BJ329" s="560">
        <f t="shared" si="599"/>
        <v>0</v>
      </c>
      <c r="BK329" s="560">
        <f t="shared" si="600"/>
        <v>0</v>
      </c>
      <c r="BL329" s="560">
        <f t="shared" si="601"/>
        <v>0</v>
      </c>
      <c r="BM329" s="560">
        <f>IF(OR(Sheet1!EP331="FM", Sheet1!EP331="OTHER"),SUM(Sheet1!BG331:'Sheet1'!BI331),0)</f>
        <v>0</v>
      </c>
      <c r="BN329" s="545">
        <f>IF(AND($B329&gt;=$FV329,$B329&lt;=$FW329),MAX(BF329,Sheet1!EI331,0),MAX(BF329-(7/36)*$K329,0))</f>
        <v>0</v>
      </c>
      <c r="BO329" s="560">
        <f t="shared" si="602"/>
        <v>0</v>
      </c>
      <c r="BP329" s="545">
        <f t="shared" si="603"/>
        <v>0</v>
      </c>
      <c r="BQ329" s="545">
        <f>IF(AND($O329&gt;0,Sheet1!EM331=1),(1-($O329-Sheet1!$L331)/$O329)*BL329,0)</f>
        <v>0</v>
      </c>
      <c r="BR329" s="545">
        <f>IF(AND(Sheet1!$L331=0,Sheet1!$L330=0, Calculation!BK329&lt;Sheet1!$EI331-0.1,Sheet1!$EI331=Sheet1!$EI330,Sheet1!$EI331=Sheet1!$EI332),Sheet1!$EI331,BL329-BQ329)</f>
        <v>0</v>
      </c>
      <c r="BS329" s="560"/>
      <c r="BT329" s="560"/>
      <c r="BU329" s="560">
        <f t="shared" si="604"/>
        <v>0</v>
      </c>
      <c r="BV329" s="560"/>
      <c r="BW329" s="560">
        <f ca="1">IF(B329&gt;Summary!$A$1,#N/A,BU329*MGtoAF)</f>
        <v>0</v>
      </c>
      <c r="BX329" s="560">
        <f>Sheet1!BC331+Sheet1!BD331+Sheet1!BE331+Sheet1!BF331-CG329-CH329</f>
        <v>2.4900000000000002</v>
      </c>
      <c r="BY329" s="560">
        <f t="shared" si="605"/>
        <v>2.4919468334636434</v>
      </c>
      <c r="BZ329" s="560">
        <f>IF(Sheet1!EQ331="FM",CH329,0)</f>
        <v>0</v>
      </c>
      <c r="CA329" s="560">
        <f t="shared" si="606"/>
        <v>0</v>
      </c>
      <c r="CB329" s="560">
        <f>IF(Sheet1!EQ331="OTHER",CH329,0)</f>
        <v>0</v>
      </c>
      <c r="CC329" s="560">
        <f t="shared" si="607"/>
        <v>0</v>
      </c>
      <c r="CD329" s="560">
        <f t="shared" si="608"/>
        <v>0</v>
      </c>
      <c r="CE329" s="560">
        <f t="shared" si="609"/>
        <v>2.4900000000000002</v>
      </c>
      <c r="CF329" s="560">
        <f t="shared" si="610"/>
        <v>2.4919468334636434</v>
      </c>
      <c r="CG329" s="560">
        <f>IF(Sheet1!EQ331="CWA",SUM(Sheet1!BC331:'Sheet1'!BF331),0)</f>
        <v>0</v>
      </c>
      <c r="CH329" s="560">
        <f>IF(OR(Sheet1!EQ331="FM", Sheet1!EQ331="OTHER"),SUM(Sheet1!BC331:'Sheet1'!BF331),0)</f>
        <v>0</v>
      </c>
      <c r="CI329" s="545">
        <f>IF(AND($B329&gt;=$FV329,$B329&lt;=$FW329),MAX(CF329,Sheet1!EJ331,0),MAX(CF329-(7/36)*$K329,0))</f>
        <v>0</v>
      </c>
      <c r="CJ329" s="560">
        <f t="shared" si="611"/>
        <v>0</v>
      </c>
      <c r="CK329" s="545">
        <f t="shared" si="612"/>
        <v>2.4919468334636434</v>
      </c>
      <c r="CL329" s="545">
        <f>IF(AND($O329&gt;0,Sheet1!EN331=1),(1-($O329-Sheet1!$L331)/$O329)*CF329,0)</f>
        <v>0</v>
      </c>
      <c r="CM329" s="545">
        <f>IF(AND(Sheet1!$L331=0,Sheet1!$L330=0, Calculation!CE329&lt;Sheet1!EJ331-0.1,Sheet1!EJ331=Sheet1!EJ330,Sheet1!EJ331=Sheet1!EJ332),Sheet1!EJ331,CF329-CL329)</f>
        <v>2.4919468334636434</v>
      </c>
      <c r="CN329" s="545"/>
      <c r="CO329" s="560"/>
      <c r="CP329" s="560">
        <f t="shared" si="613"/>
        <v>0</v>
      </c>
      <c r="CQ329" s="560"/>
      <c r="CR329" s="560">
        <f ca="1">IF(B329&gt;Summary!$A$1,#N/A,CP329*MGtoAF)</f>
        <v>0</v>
      </c>
      <c r="CS329" s="560">
        <f>Sheet1!BK331+Sheet1!BL331+Sheet1!BM331-Sheet1!ER331-DA329</f>
        <v>6.49</v>
      </c>
      <c r="CT329" s="560">
        <f t="shared" si="614"/>
        <v>6.4950742767787331</v>
      </c>
      <c r="CU329" s="560">
        <f>IF(Sheet1!ER331="FM",DA329,0)</f>
        <v>0</v>
      </c>
      <c r="CV329" s="560">
        <f t="shared" si="615"/>
        <v>0</v>
      </c>
      <c r="CW329" s="560">
        <f>IF(Sheet1!ER331="OTHER",DA329,0)</f>
        <v>0</v>
      </c>
      <c r="CX329" s="560">
        <f t="shared" si="616"/>
        <v>0</v>
      </c>
      <c r="CY329" s="560">
        <f t="shared" si="617"/>
        <v>6.49</v>
      </c>
      <c r="CZ329" s="560">
        <f t="shared" si="618"/>
        <v>6.4950742767787331</v>
      </c>
      <c r="DA329" s="560">
        <f>IF(OR(Sheet1!ER331="FM", Sheet1!ER331="OTHER"),SUM(Sheet1!BK331:'Sheet1'!BM331),0)</f>
        <v>0</v>
      </c>
      <c r="DB329" s="545">
        <f>IF(AND($B329&gt;=$FV329,$B329&lt;=$FW329),MAX($CT329,Sheet1!EK331,0),MAX($CT329-(7/36)*$K329,0))</f>
        <v>0</v>
      </c>
      <c r="DC329" s="560">
        <f t="shared" si="619"/>
        <v>0</v>
      </c>
      <c r="DD329" s="545">
        <f t="shared" si="620"/>
        <v>6.4950742767787331</v>
      </c>
      <c r="DE329" s="545">
        <f>IF(AND($O329&gt;0,Sheet1!EO331=1),(1-($O329-Sheet1!$L331)/$O329)*CZ329,0)</f>
        <v>0</v>
      </c>
      <c r="DF329" s="545">
        <f>IF(AND(Sheet1!$L331=0,Sheet1!$L330=0, Calculation!CY329&lt;Sheet1!$EK331-0.1,Sheet1!$EK331=Sheet1!$EK330,Sheet1!$EK331=Sheet1!$EK332),Sheet1!$EK331,CZ329-DE329)</f>
        <v>6.4950742767787331</v>
      </c>
      <c r="DG329" s="545"/>
      <c r="DH329" s="560">
        <f t="shared" si="621"/>
        <v>8.98</v>
      </c>
      <c r="DI329" s="560">
        <f t="shared" si="622"/>
        <v>0</v>
      </c>
      <c r="DJ329" s="698">
        <f t="shared" si="623"/>
        <v>8.9870211102423774</v>
      </c>
      <c r="DK329" s="560">
        <f ca="1">IF(B329&gt;Summary!$A$1,#N/A,DI329*MGtoAF)</f>
        <v>0</v>
      </c>
      <c r="DL329" s="698">
        <f t="shared" si="624"/>
        <v>8.98</v>
      </c>
      <c r="DM329" s="560">
        <f t="shared" si="625"/>
        <v>25.580000000000002</v>
      </c>
      <c r="DN329" s="560">
        <f>Sheet1!AB331-DM329</f>
        <v>1.9999999999999574E-2</v>
      </c>
      <c r="DO329" s="560">
        <f t="shared" si="626"/>
        <v>7.8186082877246179E-4</v>
      </c>
      <c r="DP329" s="560">
        <f>(VLOOKUP(Sheet1!DC331,hhdcap_wcm,4)-(((VLOOKUP(Sheet1!DC331,hhdcap_wcm,3)-Sheet1!DC331)/(VLOOKUP(Sheet1!DC331,hhdcap_wcm,3)-VLOOKUP(Sheet1!DC331,hhdcap_wcm,1)))*(VLOOKUP(Sheet1!DC331,hhdcap_wcm,4)-VLOOKUP(Sheet1!DC331,hhdcap_wcm,2))))</f>
        <v>1011.0000000031332</v>
      </c>
      <c r="DQ329" s="560">
        <f t="shared" si="627"/>
        <v>227.00000000045929</v>
      </c>
      <c r="DR329" s="560">
        <f t="shared" si="628"/>
        <v>114.47302067597542</v>
      </c>
      <c r="DS329" s="560">
        <f>Sheet1!EA331*AFtoMG</f>
        <v>0</v>
      </c>
      <c r="DT329" s="560">
        <f>Sheet1!EB331*AFtoMG</f>
        <v>0</v>
      </c>
      <c r="DU329" s="560">
        <f>Sheet1!EC331*AFtoMG</f>
        <v>0</v>
      </c>
      <c r="DV329" s="560">
        <f>Sheet1!ED331*AFtoMG</f>
        <v>0</v>
      </c>
      <c r="DW329" s="560">
        <f t="shared" si="629"/>
        <v>0</v>
      </c>
      <c r="DX329" s="560">
        <f t="shared" si="630"/>
        <v>0</v>
      </c>
      <c r="DY329" s="560">
        <f t="shared" si="631"/>
        <v>0</v>
      </c>
      <c r="DZ329" s="560">
        <f t="shared" si="632"/>
        <v>0</v>
      </c>
      <c r="EA329" s="560"/>
      <c r="EB329" s="545">
        <f>IF(OR(B329&lt;FV329,B329&gt;FW329),(MIN(BF329+BY329+CT329+MAX(Sheet1!AA331+AQ329-73,0),K329)),0)</f>
        <v>8.9870211102423774</v>
      </c>
      <c r="EC329" s="560"/>
      <c r="ED329" s="560">
        <f t="shared" si="633"/>
        <v>8.9870211102423774</v>
      </c>
      <c r="EE329" s="560"/>
      <c r="EF329" s="560">
        <f>Sheet1!EH331+Sheet1!EI331+Sheet1!EJ331+Sheet1!EK331</f>
        <v>9</v>
      </c>
      <c r="EG329" s="560"/>
      <c r="EH329" s="545">
        <f t="shared" si="634"/>
        <v>0</v>
      </c>
      <c r="EI329" s="560">
        <f>IF(Sheet1!ET331=1,SUM('Calculations II'!AT329:BA329)+'Calculations II'!BC329+Sheet1!BV331+'Calculations II'!BE329+AP329,SUM('Calculations II'!AT329:BA329)+'Calculations II'!BC329+Sheet1!BV331+'Calculations II'!BE329+AP329)</f>
        <v>48.510047999999998</v>
      </c>
      <c r="EJ329" s="560">
        <f>Sheet1!AA331+Sheet1!AB331+'Calculations II'!BC329</f>
        <v>55.334224000000006</v>
      </c>
      <c r="EK329" s="560"/>
      <c r="EL329" s="560"/>
      <c r="EM329" s="560">
        <f t="shared" si="635"/>
        <v>41957</v>
      </c>
      <c r="EN329" s="560">
        <f t="shared" si="636"/>
        <v>0</v>
      </c>
      <c r="EO329" s="560">
        <f t="shared" si="637"/>
        <v>0</v>
      </c>
      <c r="EP329" s="560">
        <v>0</v>
      </c>
      <c r="EQ329" s="560">
        <v>0</v>
      </c>
      <c r="ER329" s="560">
        <v>0</v>
      </c>
      <c r="ES329" s="545">
        <f t="shared" ref="ES329:ES381" si="660">ET329+EU329</f>
        <v>-3.3241729349666311</v>
      </c>
      <c r="ET329" s="560">
        <f>-(VLOOKUP(Sheet1!BQ331,Lookup!$O$4:$Q$262,2)-VLOOKUP(Sheet1!BQ330,Lookup!$O$4:$Q$262,2))/1000000</f>
        <v>-1.6620095621120148</v>
      </c>
      <c r="EU329" s="560">
        <f>-(VLOOKUP(Sheet1!BR331,Lookup!$O$4:$Q$262,3)-VLOOKUP(Sheet1!BR330,Lookup!$O$4:$Q$262,3))/1000000</f>
        <v>-1.6621633728546166</v>
      </c>
      <c r="EV329" s="560"/>
      <c r="EW329" s="560"/>
      <c r="EX329" s="560"/>
      <c r="EY329" s="560"/>
      <c r="EZ329" s="560"/>
      <c r="FA329" s="560"/>
      <c r="FB329" s="560"/>
      <c r="FC329" s="560"/>
      <c r="FD329" s="594">
        <f t="shared" si="638"/>
        <v>1083.4562499999713</v>
      </c>
      <c r="FE329" s="594" t="e">
        <f t="shared" si="639"/>
        <v>#N/A</v>
      </c>
      <c r="FF329" s="595" t="e">
        <f t="shared" si="640"/>
        <v>#N/A</v>
      </c>
      <c r="FG329" s="596" t="s">
        <v>692</v>
      </c>
      <c r="FH329" s="596" t="s">
        <v>692</v>
      </c>
      <c r="FI329" s="594" t="e">
        <v>#N/A</v>
      </c>
      <c r="FJ329" s="778">
        <v>1440</v>
      </c>
      <c r="FK329" s="560"/>
      <c r="FL329" s="560"/>
      <c r="FM329" s="560"/>
      <c r="FN329" s="560"/>
      <c r="FO329" s="560">
        <f>O329+((Sheet1!CS331)*GPMtoMGD)</f>
        <v>55.334224000000006</v>
      </c>
      <c r="FP329" s="560">
        <f>IF(Sheet1!AA331+AQ329&lt;=Calculation!N329,AQ329,Calculation!N329-Sheet1!AA331)</f>
        <v>15.612197028928851</v>
      </c>
      <c r="FQ329" s="560">
        <f>(Sheet1!BP331+Sheet1!BO331)/694.4</f>
        <v>0.84245391705069128</v>
      </c>
      <c r="FR329" s="560"/>
      <c r="FS329" s="560"/>
      <c r="FT329" s="560"/>
      <c r="FU329" s="560"/>
      <c r="FV329" s="695">
        <f t="shared" ref="FV329:FV381" si="661">$FV$4</f>
        <v>41827</v>
      </c>
      <c r="FW329" s="695">
        <f t="shared" ref="FW329:FW381" si="662">$FW$4</f>
        <v>41934</v>
      </c>
      <c r="FX329" s="560"/>
      <c r="FY329" s="560"/>
      <c r="FZ329" s="560"/>
      <c r="GA329" s="560"/>
      <c r="GB329" s="560" t="str">
        <f t="shared" ref="GB329:GB381" si="663">$GB$4</f>
        <v>n</v>
      </c>
      <c r="GC329" s="564">
        <f t="shared" ref="GC329:GC381" si="664">$GC$4</f>
        <v>41691</v>
      </c>
      <c r="GD329" s="695">
        <f t="shared" ref="GD329:GD381" si="665">$GD$4</f>
        <v>41807</v>
      </c>
      <c r="GE329" s="560">
        <v>6518.9</v>
      </c>
      <c r="GF329" s="695">
        <f t="shared" ref="GF329:GF381" si="666">$GF$4</f>
        <v>41808</v>
      </c>
      <c r="GG329" s="560">
        <f t="shared" si="582"/>
        <v>3259</v>
      </c>
      <c r="GH329" s="564">
        <f t="shared" ref="GH329:GH381" si="667">$GH$4</f>
        <v>41934</v>
      </c>
      <c r="GJ329" s="545">
        <f t="shared" ref="GJ329:GJ381" si="668">IF(AND(B329&gt;=GD329,B329&lt;GF329),AFtoMG*(20000-AO328),GL329+GZ329+GS329+HG329)</f>
        <v>0</v>
      </c>
      <c r="GK329" s="560" t="str">
        <f t="shared" si="641"/>
        <v/>
      </c>
      <c r="GL329" s="560">
        <f t="shared" ref="GL329:GL381" si="669">IF(GP329&gt;=8333.3,AV329,0)</f>
        <v>0</v>
      </c>
      <c r="GM329" s="560" t="str">
        <f t="shared" ref="GM329:GM381" si="670">IF(AND(GP329&lt;8333.3,GJ329&gt;0),"T","")</f>
        <v/>
      </c>
      <c r="GN329" s="560">
        <f>IF(GK329="P",Lookup!$M$12,IF(GK329="PP",Lookup!$M$13,IF(GK329="PPP",Lookup!$M$14,IF(GK329="T",Lookup!$M$15,IF(GK329="TP",Lookup!$M$16,IF(GK329="TPP",Lookup!$M$17,IF(GK329="TPPP",Lookup!$M$18,0)))))))*GJ329</f>
        <v>0</v>
      </c>
      <c r="GO329" s="560">
        <f t="shared" ref="GO329:GO381" si="671">IF(GM329="T", MIN(GN329, 2716.2-$GQ329),0)</f>
        <v>0</v>
      </c>
      <c r="GP329" s="560">
        <f t="shared" si="642"/>
        <v>0</v>
      </c>
      <c r="GQ329" s="560">
        <f t="shared" si="576"/>
        <v>0</v>
      </c>
      <c r="GR329" s="560"/>
      <c r="GS329" s="560">
        <f t="shared" ref="GS329:GS381" si="672">IF(GW329&gt;=3888.8,BO329,0)</f>
        <v>0</v>
      </c>
      <c r="GT329" s="560" t="str">
        <f t="shared" ref="GT329:GT381" si="673">IF(AND(GW329&lt;3888.8,GJ329&gt;0),"P","")</f>
        <v/>
      </c>
      <c r="GU329" s="560">
        <f>IF(GK329="P",Lookup!$N$12,IF(GK329="PP",Lookup!$N$13,IF(GK329="PPP",Lookup!$N$14,IF(GK329="T",Lookup!$N$15,IF(GK329="TP",Lookup!$N$16,IF(GK329="TPP",Lookup!$N$17,IF(GK329="TPPP",Lookup!$N$18,0)))))))*GJ329</f>
        <v>0</v>
      </c>
      <c r="GV329" s="560">
        <f t="shared" ref="GV329:GV381" si="674">IF(GT329="P",MIN(GU329,7/36*GE329-GX329),0)</f>
        <v>0</v>
      </c>
      <c r="GW329" s="560">
        <f t="shared" si="643"/>
        <v>0</v>
      </c>
      <c r="GX329" s="560">
        <f t="shared" si="577"/>
        <v>0</v>
      </c>
      <c r="GY329" s="560"/>
      <c r="GZ329" s="560">
        <f t="shared" ref="GZ329:GZ381" si="675">IF(HD329&gt;=3888.8,CJ329,0)</f>
        <v>0</v>
      </c>
      <c r="HA329" s="560" t="str">
        <f t="shared" ref="HA329:HA381" si="676">IF(AND(HD329&lt;3888.8,GJ329&gt;0),"P","")</f>
        <v/>
      </c>
      <c r="HB329" s="560">
        <f>IF(GK329="P",Lookup!$N$12,IF(GK329="PP",Lookup!$N$13,IF(GK329="PPP",Lookup!$N$14,IF(GK329="T",Lookup!$N$15,IF(GK329="TP",Lookup!$N$16,IF(GK329="TPP",Lookup!$N$17,IF(GK329="TPPP",Lookup!$N$18,0)))))))*GJ329</f>
        <v>0</v>
      </c>
      <c r="HC329" s="545">
        <f t="shared" si="644"/>
        <v>0</v>
      </c>
      <c r="HD329" s="560">
        <f t="shared" si="645"/>
        <v>0</v>
      </c>
      <c r="HE329" s="560">
        <f t="shared" si="578"/>
        <v>0</v>
      </c>
      <c r="HF329" s="560"/>
      <c r="HG329" s="560">
        <f t="shared" ref="HG329:HG381" si="677">IF(HK329&gt;=3888.8,DC329,0)</f>
        <v>0</v>
      </c>
      <c r="HH329" s="560" t="str">
        <f t="shared" ref="HH329:HH381" si="678">IF(AND(HK329&lt;3888.8,GJ329&gt;0),"P","")</f>
        <v/>
      </c>
      <c r="HI329" s="560">
        <f>IF(GK329="P",Lookup!$N$12,IF(GK329="PP",Lookup!$N$13,IF(GK329="PPP",Lookup!$N$14,IF(GK329="T",Lookup!$N$15,IF(GK329="TP",Lookup!$N$16,IF(GK329="TPP",Lookup!$N$17,IF(GK329="TPPP",Lookup!$N$18,0)))))))*GJ329</f>
        <v>0</v>
      </c>
      <c r="HJ329" s="545">
        <f t="shared" si="646"/>
        <v>0</v>
      </c>
      <c r="HK329" s="560">
        <f t="shared" si="647"/>
        <v>0</v>
      </c>
      <c r="HL329" s="560">
        <f t="shared" si="579"/>
        <v>0</v>
      </c>
    </row>
    <row r="330" spans="1:220">
      <c r="A330" s="580" t="s">
        <v>9</v>
      </c>
      <c r="B330" s="556">
        <v>41958</v>
      </c>
      <c r="C330" s="561">
        <v>0</v>
      </c>
      <c r="D330" s="529">
        <f t="shared" si="580"/>
        <v>300</v>
      </c>
      <c r="E330" s="529">
        <f t="shared" si="581"/>
        <v>250</v>
      </c>
      <c r="F330" s="529">
        <v>250</v>
      </c>
      <c r="G330" s="560">
        <f>DR330+Sheet1!CZ332</f>
        <v>796.55572365091223</v>
      </c>
      <c r="H330" s="914">
        <f t="shared" si="650"/>
        <v>247.93041976794964</v>
      </c>
      <c r="I330" s="559">
        <f>MAX(Sheet1!Z332-AT330+(Sheet1!DA332-E330)*CFStoMGD,0)</f>
        <v>541.13</v>
      </c>
      <c r="J330" s="562">
        <f>IF(AND(B330&gt;=Calculation!GC330,B330&lt;=Calculation!GD330),IF(Sheet1!DB332&gt;=Calculation!D330,64.64,0),MAX(Sheet1!Z332-AT330+(Sheet1!DB332-D330)*CFStoMGD,0))</f>
        <v>329.75719999999995</v>
      </c>
      <c r="K330" s="904">
        <f t="shared" si="583"/>
        <v>64.64</v>
      </c>
      <c r="L330" s="560">
        <f>Sheet1!AA332+Sheet1!AB332-Sheet1!L332+(Sheet1!DA332-F330)*CFStoMGD</f>
        <v>554.32000000000073</v>
      </c>
      <c r="M330" s="560">
        <f t="shared" si="584"/>
        <v>525.19149216330868</v>
      </c>
      <c r="N330" s="910">
        <f>IF(Sheet1!DA332&gt;=F330,MIN(73,MIN(MAX(L330,0),MAX(M330,0))),0)</f>
        <v>73</v>
      </c>
      <c r="O330" s="563">
        <f>Sheet1!AA332+Sheet1!AB332</f>
        <v>52</v>
      </c>
      <c r="P330" s="563">
        <f t="shared" si="585"/>
        <v>80.443999999999988</v>
      </c>
      <c r="Q330" s="898">
        <f t="shared" si="651"/>
        <v>0</v>
      </c>
      <c r="R330" s="829">
        <f t="shared" si="586"/>
        <v>9.0021978021978022</v>
      </c>
      <c r="S330" s="898">
        <f t="shared" si="649"/>
        <v>52</v>
      </c>
      <c r="T330" s="898">
        <f t="shared" si="652"/>
        <v>0</v>
      </c>
      <c r="U330" s="898">
        <f t="shared" si="653"/>
        <v>0</v>
      </c>
      <c r="V330" s="898"/>
      <c r="W330" s="898">
        <f t="shared" si="654"/>
        <v>55.637802197802202</v>
      </c>
      <c r="X330" s="898">
        <f t="shared" si="655"/>
        <v>52</v>
      </c>
      <c r="Y330" s="898" t="str">
        <f t="shared" si="656"/>
        <v/>
      </c>
      <c r="Z330" s="898">
        <f t="shared" si="657"/>
        <v>52</v>
      </c>
      <c r="AA330" s="898">
        <f t="shared" si="658"/>
        <v>52</v>
      </c>
      <c r="AB330" s="898" t="str">
        <f t="shared" si="659"/>
        <v/>
      </c>
      <c r="AC330" s="563">
        <f>Sheet1!Y332*MGDtoCFS</f>
        <v>31.249399999999998</v>
      </c>
      <c r="AD330" s="563">
        <f>Sheet1!Z332*MGDtoCFS</f>
        <v>37.143470000000001</v>
      </c>
      <c r="AE330" s="563">
        <f>Sheet1!AA332*MGDtoCFS</f>
        <v>30.939999999999998</v>
      </c>
      <c r="AF330" s="563">
        <f>Sheet1!AB332*MGDtoCFS</f>
        <v>49.503999999999998</v>
      </c>
      <c r="AG330" s="563">
        <f>Sheet1!L332*MGDtoCFS</f>
        <v>22.895599999998872</v>
      </c>
      <c r="AH330" s="545">
        <f t="shared" si="587"/>
        <v>0</v>
      </c>
      <c r="AI330" s="560">
        <f t="shared" si="588"/>
        <v>0</v>
      </c>
      <c r="AJ330" s="560">
        <f t="shared" si="589"/>
        <v>0</v>
      </c>
      <c r="AK330" s="560">
        <f t="shared" si="590"/>
        <v>0</v>
      </c>
      <c r="AL330" s="560">
        <f>(VLOOKUP(Sheet1!DC332,hhdcap_wcm,4)-(((VLOOKUP(Sheet1!DC332,hhdcap_wcm,3)-Sheet1!DC332)/(VLOOKUP(Sheet1!DC332,hhdcap_wcm,3)-VLOOKUP(Sheet1!DC332,hhdcap_wcm,1)))*(VLOOKUP(Sheet1!DC332,hhdcap_wcm,4)-VLOOKUP(Sheet1!DC332,hhdcap_wcm,2))))</f>
        <v>1024.0000000028922</v>
      </c>
      <c r="AM330" s="560">
        <f t="shared" si="591"/>
        <v>12.999999999758984</v>
      </c>
      <c r="AN330" s="560">
        <f t="shared" si="592"/>
        <v>0</v>
      </c>
      <c r="AO330" s="560">
        <f t="shared" si="593"/>
        <v>0</v>
      </c>
      <c r="AP330" s="560">
        <f>Sheet1!BA332+Sheet1!BB332+Sheet1!BN332+CD330</f>
        <v>22.889999999999997</v>
      </c>
      <c r="AQ330" s="560">
        <f>Sheet1!BN332+(DO330*Sheet1!BN332)</f>
        <v>22.00313971742543</v>
      </c>
      <c r="AR330" s="560">
        <f>Sheet1!BA332+CD330</f>
        <v>0</v>
      </c>
      <c r="AS330" s="560">
        <f>Sheet1!BA332+Sheet1!BB332+CD330</f>
        <v>0.99</v>
      </c>
      <c r="AT330" s="698">
        <f>0</f>
        <v>0</v>
      </c>
      <c r="AU330" s="560">
        <f>IF(EB330&lt;K330,0,MAX(Sheet1!AA332+AQ330-15/36*K330-N330,Sheet1!EH332,0))</f>
        <v>0</v>
      </c>
      <c r="AV330" s="560">
        <f>IF(OR(B330&gt;=GD330,B330&lt;GC330),0,15/36*K330-MAX(0,64.6-(137.6-(Sheet1!AA332+Sheet1!AB332))))</f>
        <v>0</v>
      </c>
      <c r="AW330" s="698">
        <f>Sheet1!DB332-110</f>
        <v>663</v>
      </c>
      <c r="AX330" s="698">
        <f>Sheet1!DA332-265</f>
        <v>785</v>
      </c>
      <c r="AY330" s="698">
        <f t="shared" si="594"/>
        <v>73</v>
      </c>
      <c r="AZ330" s="698">
        <v>0</v>
      </c>
      <c r="BA330" s="698">
        <f t="shared" si="595"/>
        <v>0</v>
      </c>
      <c r="BB330" s="560">
        <f t="shared" si="596"/>
        <v>0</v>
      </c>
      <c r="BC330" s="560"/>
      <c r="BD330" s="560">
        <f ca="1">IF(B330&gt;Summary!$A$1,#N/A,BB330*MGtoAF)</f>
        <v>0</v>
      </c>
      <c r="BE330" s="560">
        <f>Sheet1!BG332+Sheet1!BH332+Sheet1!BI332-BM330</f>
        <v>0</v>
      </c>
      <c r="BF330" s="560">
        <f t="shared" si="597"/>
        <v>0</v>
      </c>
      <c r="BG330" s="560">
        <f>IF(Sheet1!EP332="FM",BM330,0)</f>
        <v>0</v>
      </c>
      <c r="BH330" s="560">
        <f t="shared" si="598"/>
        <v>0</v>
      </c>
      <c r="BI330" s="560">
        <f>IF(Sheet1!EP332="OTHER",BM330,0)</f>
        <v>0</v>
      </c>
      <c r="BJ330" s="560">
        <f t="shared" si="599"/>
        <v>0</v>
      </c>
      <c r="BK330" s="560">
        <f t="shared" si="600"/>
        <v>0</v>
      </c>
      <c r="BL330" s="560">
        <f t="shared" si="601"/>
        <v>0</v>
      </c>
      <c r="BM330" s="560">
        <f>IF(OR(Sheet1!EP332="FM", Sheet1!EP332="OTHER"),SUM(Sheet1!BG332:'Sheet1'!BI332),0)</f>
        <v>0</v>
      </c>
      <c r="BN330" s="545">
        <f>IF(AND($B330&gt;=$FV330,$B330&lt;=$FW330),MAX(BF330,Sheet1!EI332,0),MAX(BF330-(7/36)*$K330,0))</f>
        <v>0</v>
      </c>
      <c r="BO330" s="560">
        <f t="shared" si="602"/>
        <v>0</v>
      </c>
      <c r="BP330" s="545">
        <f t="shared" si="603"/>
        <v>0</v>
      </c>
      <c r="BQ330" s="545">
        <f>IF(AND($O330&gt;0,Sheet1!EM332=1),(1-($O330-Sheet1!$L332)/$O330)*BL330,0)</f>
        <v>0</v>
      </c>
      <c r="BR330" s="545">
        <f>IF(AND(Sheet1!$L332=0,Sheet1!$L331=0, Calculation!BK330&lt;Sheet1!$EI332-0.1,Sheet1!$EI332=Sheet1!$EI331,Sheet1!$EI332=Sheet1!$EI333),Sheet1!$EI332,BL330-BQ330)</f>
        <v>0</v>
      </c>
      <c r="BS330" s="560"/>
      <c r="BT330" s="560"/>
      <c r="BU330" s="560">
        <f t="shared" si="604"/>
        <v>0</v>
      </c>
      <c r="BV330" s="560"/>
      <c r="BW330" s="560">
        <f ca="1">IF(B330&gt;Summary!$A$1,#N/A,BU330*MGtoAF)</f>
        <v>0</v>
      </c>
      <c r="BX330" s="560">
        <f>Sheet1!BC332+Sheet1!BD332+Sheet1!BE332+Sheet1!BF332-CG330-CH330</f>
        <v>2.4900000000000002</v>
      </c>
      <c r="BY330" s="560">
        <f t="shared" si="605"/>
        <v>2.5017268445839878</v>
      </c>
      <c r="BZ330" s="560">
        <f>IF(Sheet1!EQ332="FM",CH330,0)</f>
        <v>0</v>
      </c>
      <c r="CA330" s="560">
        <f t="shared" si="606"/>
        <v>0</v>
      </c>
      <c r="CB330" s="560">
        <f>IF(Sheet1!EQ332="OTHER",CH330,0)</f>
        <v>0</v>
      </c>
      <c r="CC330" s="560">
        <f t="shared" si="607"/>
        <v>0</v>
      </c>
      <c r="CD330" s="560">
        <f t="shared" si="608"/>
        <v>0</v>
      </c>
      <c r="CE330" s="560">
        <f t="shared" si="609"/>
        <v>2.4900000000000002</v>
      </c>
      <c r="CF330" s="560">
        <f t="shared" si="610"/>
        <v>2.5017268445839878</v>
      </c>
      <c r="CG330" s="560">
        <f>IF(Sheet1!EQ332="CWA",SUM(Sheet1!BC332:'Sheet1'!BF332),0)</f>
        <v>0</v>
      </c>
      <c r="CH330" s="560">
        <f>IF(OR(Sheet1!EQ332="FM", Sheet1!EQ332="OTHER"),SUM(Sheet1!BC332:'Sheet1'!BF332),0)</f>
        <v>0</v>
      </c>
      <c r="CI330" s="545">
        <f>IF(AND($B330&gt;=$FV330,$B330&lt;=$FW330),MAX(CF330,Sheet1!EJ332,0),MAX(CF330-(7/36)*$K330,0))</f>
        <v>0</v>
      </c>
      <c r="CJ330" s="560">
        <f t="shared" si="611"/>
        <v>0</v>
      </c>
      <c r="CK330" s="545">
        <f t="shared" si="612"/>
        <v>2.5017268445839878</v>
      </c>
      <c r="CL330" s="545">
        <f>IF(AND($O330&gt;0,Sheet1!EN332=1),(1-($O330-Sheet1!$L332)/$O330)*CF330,0)</f>
        <v>0</v>
      </c>
      <c r="CM330" s="545">
        <f>IF(AND(Sheet1!$L332=0,Sheet1!$L331=0, Calculation!CE330&lt;Sheet1!EJ332-0.1,Sheet1!EJ332=Sheet1!EJ331,Sheet1!EJ332=Sheet1!EJ333),Sheet1!EJ332,CF330-CL330)</f>
        <v>2.5017268445839878</v>
      </c>
      <c r="CN330" s="545"/>
      <c r="CO330" s="560"/>
      <c r="CP330" s="560">
        <f t="shared" si="613"/>
        <v>0</v>
      </c>
      <c r="CQ330" s="560"/>
      <c r="CR330" s="560">
        <f ca="1">IF(B330&gt;Summary!$A$1,#N/A,CP330*MGtoAF)</f>
        <v>0</v>
      </c>
      <c r="CS330" s="560">
        <f>Sheet1!BK332+Sheet1!BL332+Sheet1!BM332-Sheet1!ER332-DA330</f>
        <v>6.47</v>
      </c>
      <c r="CT330" s="560">
        <f t="shared" si="614"/>
        <v>6.5004709576138149</v>
      </c>
      <c r="CU330" s="560">
        <f>IF(Sheet1!ER332="FM",DA330,0)</f>
        <v>0</v>
      </c>
      <c r="CV330" s="560">
        <f t="shared" si="615"/>
        <v>0</v>
      </c>
      <c r="CW330" s="560">
        <f>IF(Sheet1!ER332="OTHER",DA330,0)</f>
        <v>0</v>
      </c>
      <c r="CX330" s="560">
        <f t="shared" si="616"/>
        <v>0</v>
      </c>
      <c r="CY330" s="560">
        <f t="shared" si="617"/>
        <v>6.47</v>
      </c>
      <c r="CZ330" s="560">
        <f t="shared" si="618"/>
        <v>6.5004709576138149</v>
      </c>
      <c r="DA330" s="560">
        <f>IF(OR(Sheet1!ER332="FM", Sheet1!ER332="OTHER"),SUM(Sheet1!BK332:'Sheet1'!BM332),0)</f>
        <v>0</v>
      </c>
      <c r="DB330" s="545">
        <f>IF(AND($B330&gt;=$FV330,$B330&lt;=$FW330),MAX($CT330,Sheet1!EK332,0),MAX($CT330-(7/36)*$K330,0))</f>
        <v>0</v>
      </c>
      <c r="DC330" s="560">
        <f t="shared" si="619"/>
        <v>0</v>
      </c>
      <c r="DD330" s="545">
        <f t="shared" si="620"/>
        <v>6.5004709576138149</v>
      </c>
      <c r="DE330" s="545">
        <f>IF(AND($O330&gt;0,Sheet1!EO332=1),(1-($O330-Sheet1!$L332)/$O330)*CZ330,0)</f>
        <v>0</v>
      </c>
      <c r="DF330" s="545">
        <f>IF(AND(Sheet1!$L332=0,Sheet1!$L331=0, Calculation!CY330&lt;Sheet1!$EK332-0.1,Sheet1!$EK332=Sheet1!$EK331,Sheet1!$EK332=Sheet1!$EK333),Sheet1!$EK332,CZ330-DE330)</f>
        <v>6.5004709576138149</v>
      </c>
      <c r="DG330" s="545"/>
      <c r="DH330" s="560">
        <f t="shared" si="621"/>
        <v>8.9600000000000009</v>
      </c>
      <c r="DI330" s="560">
        <f t="shared" si="622"/>
        <v>0</v>
      </c>
      <c r="DJ330" s="698">
        <f t="shared" si="623"/>
        <v>9.0021978021978022</v>
      </c>
      <c r="DK330" s="560">
        <f ca="1">IF(B330&gt;Summary!$A$1,#N/A,DI330*MGtoAF)</f>
        <v>0</v>
      </c>
      <c r="DL330" s="698">
        <f t="shared" si="624"/>
        <v>8.9600000000000009</v>
      </c>
      <c r="DM330" s="560">
        <f t="shared" si="625"/>
        <v>31.849999999999998</v>
      </c>
      <c r="DN330" s="560">
        <f>Sheet1!AB332-DM330</f>
        <v>0.15000000000000213</v>
      </c>
      <c r="DO330" s="560">
        <f t="shared" si="626"/>
        <v>4.709576138147634E-3</v>
      </c>
      <c r="DP330" s="560">
        <f>(VLOOKUP(Sheet1!DC332,hhdcap_wcm,4)-(((VLOOKUP(Sheet1!DC332,hhdcap_wcm,3)-Sheet1!DC332)/(VLOOKUP(Sheet1!DC332,hhdcap_wcm,3)-VLOOKUP(Sheet1!DC332,hhdcap_wcm,1)))*(VLOOKUP(Sheet1!DC332,hhdcap_wcm,4)-VLOOKUP(Sheet1!DC332,hhdcap_wcm,2))))</f>
        <v>1024.0000000028922</v>
      </c>
      <c r="DQ330" s="560">
        <f t="shared" si="627"/>
        <v>12.999999999758984</v>
      </c>
      <c r="DR330" s="560">
        <f t="shared" si="628"/>
        <v>6.5557236509122454</v>
      </c>
      <c r="DS330" s="560">
        <f>Sheet1!EA332*AFtoMG</f>
        <v>0</v>
      </c>
      <c r="DT330" s="560">
        <f>Sheet1!EB332*AFtoMG</f>
        <v>0</v>
      </c>
      <c r="DU330" s="560">
        <f>Sheet1!EC332*AFtoMG</f>
        <v>0</v>
      </c>
      <c r="DV330" s="560">
        <f>Sheet1!ED332*AFtoMG</f>
        <v>0</v>
      </c>
      <c r="DW330" s="560">
        <f t="shared" si="629"/>
        <v>0</v>
      </c>
      <c r="DX330" s="560">
        <f t="shared" si="630"/>
        <v>0</v>
      </c>
      <c r="DY330" s="560">
        <f t="shared" si="631"/>
        <v>0</v>
      </c>
      <c r="DZ330" s="560">
        <f t="shared" si="632"/>
        <v>0</v>
      </c>
      <c r="EA330" s="560"/>
      <c r="EB330" s="545">
        <f>IF(OR(B330&lt;FV330,B330&gt;FW330),(MIN(BF330+BY330+CT330+MAX(Sheet1!AA332+AQ330-73,0),K330)),0)</f>
        <v>9.0021978021978022</v>
      </c>
      <c r="EC330" s="560"/>
      <c r="ED330" s="560">
        <f t="shared" si="633"/>
        <v>9.0021978021978022</v>
      </c>
      <c r="EE330" s="560"/>
      <c r="EF330" s="560">
        <f>Sheet1!EH332+Sheet1!EI332+Sheet1!EJ332+Sheet1!EK332</f>
        <v>9</v>
      </c>
      <c r="EG330" s="560"/>
      <c r="EH330" s="545">
        <f t="shared" si="634"/>
        <v>0</v>
      </c>
      <c r="EI330" s="560">
        <f>IF(Sheet1!ET332=1,SUM('Calculations II'!AT330:BA330)+'Calculations II'!BC330+Sheet1!BV332+'Calculations II'!BE330+AP330,SUM('Calculations II'!AT330:BA330)+'Calculations II'!BC330+Sheet1!BV332+'Calculations II'!BE330+AP330)</f>
        <v>50.639792</v>
      </c>
      <c r="EJ330" s="560">
        <f>Sheet1!AA332+Sheet1!AB332+'Calculations II'!BC330</f>
        <v>52</v>
      </c>
      <c r="EK330" s="560"/>
      <c r="EL330" s="560"/>
      <c r="EM330" s="560">
        <f t="shared" si="635"/>
        <v>41958</v>
      </c>
      <c r="EN330" s="560">
        <f t="shared" si="636"/>
        <v>0</v>
      </c>
      <c r="EO330" s="560">
        <f t="shared" si="637"/>
        <v>0</v>
      </c>
      <c r="EP330" s="560">
        <v>0</v>
      </c>
      <c r="EQ330" s="560">
        <v>0</v>
      </c>
      <c r="ER330" s="560">
        <v>0</v>
      </c>
      <c r="ES330" s="545">
        <f t="shared" si="660"/>
        <v>2.3548051426558607</v>
      </c>
      <c r="ET330" s="560">
        <f>-(VLOOKUP(Sheet1!BQ332,Lookup!$O$4:$Q$262,2)-VLOOKUP(Sheet1!BQ331,Lookup!$O$4:$Q$262,2))/1000000</f>
        <v>1.2465936861361153</v>
      </c>
      <c r="EU330" s="560">
        <f>-(VLOOKUP(Sheet1!BR332,Lookup!$O$4:$Q$262,3)-VLOOKUP(Sheet1!BR331,Lookup!$O$4:$Q$262,3))/1000000</f>
        <v>1.1082114565197454</v>
      </c>
      <c r="EV330" s="560"/>
      <c r="EW330" s="560"/>
      <c r="EX330" s="560"/>
      <c r="EY330" s="560"/>
      <c r="EZ330" s="560"/>
      <c r="FA330" s="560"/>
      <c r="FB330" s="560"/>
      <c r="FC330" s="560"/>
      <c r="FD330" s="594">
        <f t="shared" si="638"/>
        <v>1082.8642857142577</v>
      </c>
      <c r="FE330" s="594" t="e">
        <f t="shared" si="639"/>
        <v>#N/A</v>
      </c>
      <c r="FF330" s="595" t="e">
        <f t="shared" si="640"/>
        <v>#N/A</v>
      </c>
      <c r="FG330" s="596" t="s">
        <v>692</v>
      </c>
      <c r="FH330" s="596" t="s">
        <v>692</v>
      </c>
      <c r="FI330" s="594" t="e">
        <v>#N/A</v>
      </c>
      <c r="FJ330" s="778">
        <v>1350</v>
      </c>
      <c r="FK330" s="560"/>
      <c r="FL330" s="560"/>
      <c r="FM330" s="560"/>
      <c r="FN330" s="560"/>
      <c r="FO330" s="560">
        <f>O330+((Sheet1!CS332)*GPMtoMGD)</f>
        <v>52</v>
      </c>
      <c r="FP330" s="560">
        <f>IF(Sheet1!AA332+AQ330&lt;=Calculation!N330,AQ330,Calculation!N330-Sheet1!AA332)</f>
        <v>22.00313971742543</v>
      </c>
      <c r="FQ330" s="560">
        <f>(Sheet1!BP332+Sheet1!BO332)/694.4</f>
        <v>2.3401497695852536</v>
      </c>
      <c r="FR330" s="560"/>
      <c r="FS330" s="560"/>
      <c r="FT330" s="560"/>
      <c r="FU330" s="560"/>
      <c r="FV330" s="695">
        <f t="shared" si="661"/>
        <v>41827</v>
      </c>
      <c r="FW330" s="695">
        <f t="shared" si="662"/>
        <v>41934</v>
      </c>
      <c r="FX330" s="560"/>
      <c r="FY330" s="560"/>
      <c r="FZ330" s="560"/>
      <c r="GA330" s="560"/>
      <c r="GB330" s="560" t="str">
        <f t="shared" si="663"/>
        <v>n</v>
      </c>
      <c r="GC330" s="564">
        <f t="shared" si="664"/>
        <v>41691</v>
      </c>
      <c r="GD330" s="695">
        <f t="shared" si="665"/>
        <v>41807</v>
      </c>
      <c r="GE330" s="560">
        <v>6518.9</v>
      </c>
      <c r="GF330" s="695">
        <f t="shared" si="666"/>
        <v>41808</v>
      </c>
      <c r="GG330" s="560">
        <f t="shared" si="582"/>
        <v>3259</v>
      </c>
      <c r="GH330" s="564">
        <f t="shared" si="667"/>
        <v>41934</v>
      </c>
      <c r="GJ330" s="545">
        <f t="shared" si="668"/>
        <v>0</v>
      </c>
      <c r="GK330" s="560" t="str">
        <f t="shared" si="641"/>
        <v/>
      </c>
      <c r="GL330" s="560">
        <f t="shared" si="669"/>
        <v>0</v>
      </c>
      <c r="GM330" s="560" t="str">
        <f t="shared" si="670"/>
        <v/>
      </c>
      <c r="GN330" s="560">
        <f>IF(GK330="P",Lookup!$M$12,IF(GK330="PP",Lookup!$M$13,IF(GK330="PPP",Lookup!$M$14,IF(GK330="T",Lookup!$M$15,IF(GK330="TP",Lookup!$M$16,IF(GK330="TPP",Lookup!$M$17,IF(GK330="TPPP",Lookup!$M$18,0)))))))*GJ330</f>
        <v>0</v>
      </c>
      <c r="GO330" s="560">
        <f t="shared" si="671"/>
        <v>0</v>
      </c>
      <c r="GP330" s="560">
        <f t="shared" si="642"/>
        <v>0</v>
      </c>
      <c r="GQ330" s="560">
        <f t="shared" ref="GQ330:GQ381" si="679">(IF(AND(GB329="Y",B330=GD330),2716.2,(IF(AND(B330&lt;GF330,B330&gt;=GC330),MIN(BB329+AV330-AU330,15/36*GE330),IF(B330=GF330,15/36*GG330,IF(AND(B330&gt;GF330,B330&lt;GH330),MIN(BB329+AV330-AU330,15/36*GG330),IF(B330&gt;=GH330,0,0)))))))+DS330</f>
        <v>0</v>
      </c>
      <c r="GR330" s="560"/>
      <c r="GS330" s="560">
        <f t="shared" si="672"/>
        <v>0</v>
      </c>
      <c r="GT330" s="560" t="str">
        <f t="shared" si="673"/>
        <v/>
      </c>
      <c r="GU330" s="560">
        <f>IF(GK330="P",Lookup!$N$12,IF(GK330="PP",Lookup!$N$13,IF(GK330="PPP",Lookup!$N$14,IF(GK330="T",Lookup!$N$15,IF(GK330="TP",Lookup!$N$16,IF(GK330="TPP",Lookup!$N$17,IF(GK330="TPPP",Lookup!$N$18,0)))))))*GJ330</f>
        <v>0</v>
      </c>
      <c r="GV330" s="560">
        <f t="shared" si="674"/>
        <v>0</v>
      </c>
      <c r="GW330" s="560">
        <f t="shared" si="643"/>
        <v>0</v>
      </c>
      <c r="GX330" s="560">
        <f t="shared" ref="GX330:GX381" si="680">(IF(AND(GB330="Y",B330=GD330),1267.5,(IF(AND(B330&lt;GF330,B330&gt;=GC330),MIN(BU329+BO330-BN330,7/36*GE330),IF(B330=GF330,7/36*GG330,IF(AND(B330&gt;GF330,B330&lt;GH330),MIN(BU329+BO330-BN330,7/36*GG330),IF(B330&gt;=GH330,0,0)))))))+DT330</f>
        <v>0</v>
      </c>
      <c r="GY330" s="560"/>
      <c r="GZ330" s="560">
        <f t="shared" si="675"/>
        <v>0</v>
      </c>
      <c r="HA330" s="560" t="str">
        <f t="shared" si="676"/>
        <v/>
      </c>
      <c r="HB330" s="560">
        <f>IF(GK330="P",Lookup!$N$12,IF(GK330="PP",Lookup!$N$13,IF(GK330="PPP",Lookup!$N$14,IF(GK330="T",Lookup!$N$15,IF(GK330="TP",Lookup!$N$16,IF(GK330="TPP",Lookup!$N$17,IF(GK330="TPPP",Lookup!$N$18,0)))))))*GJ330</f>
        <v>0</v>
      </c>
      <c r="HC330" s="545">
        <f t="shared" si="644"/>
        <v>0</v>
      </c>
      <c r="HD330" s="560">
        <f t="shared" si="645"/>
        <v>0</v>
      </c>
      <c r="HE330" s="560">
        <f t="shared" ref="HE330:HE381" si="681">(IF(AND(GB330="Y",B330=GD330),1267.5,IF(AND(B330&lt;GF330,B330&gt;=GC330),MIN(CP329+CJ330-CI330,7/36*GE330),IF(B330=GF330,7/36*GG330,IF(AND(B330&gt;GF330,B330&lt;GH330),MIN(CP329+CJ330-CI330,7/36*GG330),IF(B330&gt;=GH330,0,0))))))+DU330</f>
        <v>0</v>
      </c>
      <c r="HF330" s="560"/>
      <c r="HG330" s="560">
        <f t="shared" si="677"/>
        <v>0</v>
      </c>
      <c r="HH330" s="560" t="str">
        <f t="shared" si="678"/>
        <v/>
      </c>
      <c r="HI330" s="560">
        <f>IF(GK330="P",Lookup!$N$12,IF(GK330="PP",Lookup!$N$13,IF(GK330="PPP",Lookup!$N$14,IF(GK330="T",Lookup!$N$15,IF(GK330="TP",Lookup!$N$16,IF(GK330="TPP",Lookup!$N$17,IF(GK330="TPPP",Lookup!$N$18,0)))))))*GJ330</f>
        <v>0</v>
      </c>
      <c r="HJ330" s="545">
        <f t="shared" si="646"/>
        <v>0</v>
      </c>
      <c r="HK330" s="560">
        <f t="shared" si="647"/>
        <v>0</v>
      </c>
      <c r="HL330" s="560">
        <f t="shared" ref="HL330:HL381" si="682">(IF(AND(GB330="Y",B330=GD330),1267.5,(IF(AND(B330&lt;GF330,B330&gt;=GC330),MIN(DI329+DC330-DB330,7/36*GE330),IF(B330=GF330,7/36*GG330,IF(AND(B330&gt;GF330,B330&lt;GH330),MIN(DI329+DC330-DB330,7/36*GG330),IF(B330&gt;=GH330,0,0)))))))+DV330</f>
        <v>0</v>
      </c>
    </row>
    <row r="331" spans="1:220">
      <c r="A331" s="580" t="s">
        <v>3</v>
      </c>
      <c r="B331" s="556">
        <v>41959</v>
      </c>
      <c r="C331" s="561">
        <v>0</v>
      </c>
      <c r="D331" s="529">
        <f t="shared" si="580"/>
        <v>300</v>
      </c>
      <c r="E331" s="529">
        <f t="shared" si="581"/>
        <v>250</v>
      </c>
      <c r="F331" s="529">
        <v>250</v>
      </c>
      <c r="G331" s="560">
        <f>DR331+Sheet1!CZ333</f>
        <v>732.1346444779042</v>
      </c>
      <c r="H331" s="914">
        <f t="shared" si="650"/>
        <v>206.28863419051726</v>
      </c>
      <c r="I331" s="559">
        <f>MAX(Sheet1!Z333-AT331+(Sheet1!DA333-E331)*CFStoMGD,0)</f>
        <v>529.72800000000007</v>
      </c>
      <c r="J331" s="562">
        <f>IF(AND(B331&gt;=Calculation!GC331,B331&lt;=Calculation!GD331),IF(Sheet1!DB333&gt;=Calculation!D331,64.64,0),MAX(Sheet1!Z333-AT331+(Sheet1!DB333-D331)*CFStoMGD,0))</f>
        <v>330.63679999999999</v>
      </c>
      <c r="K331" s="904">
        <f t="shared" si="583"/>
        <v>64.64</v>
      </c>
      <c r="L331" s="560">
        <f>Sheet1!AA333+Sheet1!AB333-Sheet1!L333+(Sheet1!DA333-F331)*CFStoMGD</f>
        <v>551.32799999999997</v>
      </c>
      <c r="M331" s="560">
        <f t="shared" si="584"/>
        <v>482.71687087432764</v>
      </c>
      <c r="N331" s="910">
        <f>IF(Sheet1!DA333&gt;=F331,MIN(73,MIN(MAX(L331,0),MAX(M331,0))),0)</f>
        <v>73</v>
      </c>
      <c r="O331" s="563">
        <f>Sheet1!AA333+Sheet1!AB333</f>
        <v>53.6</v>
      </c>
      <c r="P331" s="563">
        <f t="shared" si="585"/>
        <v>82.919199999999989</v>
      </c>
      <c r="Q331" s="898">
        <f t="shared" si="651"/>
        <v>0</v>
      </c>
      <c r="R331" s="829">
        <f t="shared" si="586"/>
        <v>9.0048401553630129</v>
      </c>
      <c r="S331" s="898">
        <f t="shared" ref="S331:S381" si="683">IF(OR(B331&lt;GC331,B331&gt;GH331),MIN(O331,K331),IF(AND(B331&gt;=FV331,B331&lt;=FW331),0,IF(AND(B331&gt;=GC331,B331&lt;=GD331),DL331,IF(AND(B331&gt;GD331,B331&lt;FV331),MIN(K331,O331),0))))</f>
        <v>53.6</v>
      </c>
      <c r="T331" s="898">
        <f t="shared" si="652"/>
        <v>0</v>
      </c>
      <c r="U331" s="898">
        <f t="shared" si="653"/>
        <v>0</v>
      </c>
      <c r="V331" s="898"/>
      <c r="W331" s="898">
        <f t="shared" si="654"/>
        <v>55.635159844636988</v>
      </c>
      <c r="X331" s="898">
        <f t="shared" si="655"/>
        <v>53.6</v>
      </c>
      <c r="Y331" s="898" t="str">
        <f t="shared" si="656"/>
        <v/>
      </c>
      <c r="Z331" s="898">
        <f t="shared" si="657"/>
        <v>53.6</v>
      </c>
      <c r="AA331" s="898">
        <f t="shared" si="658"/>
        <v>53.6</v>
      </c>
      <c r="AB331" s="898" t="str">
        <f t="shared" si="659"/>
        <v/>
      </c>
      <c r="AC331" s="563">
        <f>Sheet1!Y333*MGDtoCFS</f>
        <v>30.939999999999998</v>
      </c>
      <c r="AD331" s="563">
        <f>Sheet1!Z333*MGDtoCFS</f>
        <v>49.503999999999998</v>
      </c>
      <c r="AE331" s="563">
        <f>Sheet1!AA333*MGDtoCFS</f>
        <v>30.939999999999998</v>
      </c>
      <c r="AF331" s="563">
        <f>Sheet1!AB333*MGDtoCFS</f>
        <v>51.979199999999999</v>
      </c>
      <c r="AG331" s="563">
        <f>Sheet1!L333*MGDtoCFS</f>
        <v>0</v>
      </c>
      <c r="AH331" s="545">
        <f t="shared" si="587"/>
        <v>0</v>
      </c>
      <c r="AI331" s="560">
        <f t="shared" si="588"/>
        <v>0</v>
      </c>
      <c r="AJ331" s="560">
        <f t="shared" si="589"/>
        <v>0</v>
      </c>
      <c r="AK331" s="560">
        <f t="shared" si="590"/>
        <v>0</v>
      </c>
      <c r="AL331" s="560">
        <f>(VLOOKUP(Sheet1!DC333,hhdcap_wcm,4)-(((VLOOKUP(Sheet1!DC333,hhdcap_wcm,3)-Sheet1!DC333)/(VLOOKUP(Sheet1!DC333,hhdcap_wcm,3)-VLOOKUP(Sheet1!DC333,hhdcap_wcm,1)))*(VLOOKUP(Sheet1!DC333,hhdcap_wcm,4)-VLOOKUP(Sheet1!DC333,hhdcap_wcm,2))))</f>
        <v>927.10000000257617</v>
      </c>
      <c r="AM331" s="560">
        <f t="shared" si="591"/>
        <v>-96.900000000316027</v>
      </c>
      <c r="AN331" s="560">
        <f t="shared" si="592"/>
        <v>0</v>
      </c>
      <c r="AO331" s="560">
        <f t="shared" si="593"/>
        <v>0</v>
      </c>
      <c r="AP331" s="560">
        <f>Sheet1!BA333+Sheet1!BB333+Sheet1!BN333+CD331</f>
        <v>24.5</v>
      </c>
      <c r="AQ331" s="560">
        <f>Sheet1!BN333+(DO331*Sheet1!BN333)</f>
        <v>23.591275769345685</v>
      </c>
      <c r="AR331" s="560">
        <f>Sheet1!BA333+CD331</f>
        <v>0</v>
      </c>
      <c r="AS331" s="560">
        <f>Sheet1!BA333+Sheet1!BB333+CD331</f>
        <v>1</v>
      </c>
      <c r="AT331" s="698">
        <f>0</f>
        <v>0</v>
      </c>
      <c r="AU331" s="560">
        <f>IF(EB331&lt;K331,0,MAX(Sheet1!AA333+AQ331-15/36*K331-N331,Sheet1!EH333,0))</f>
        <v>0</v>
      </c>
      <c r="AV331" s="560">
        <f>IF(OR(B331&gt;=GD331,B331&lt;GC331),0,15/36*K331-MAX(0,64.6-(137.6-(Sheet1!AA333+Sheet1!AB333))))</f>
        <v>0</v>
      </c>
      <c r="AW331" s="698">
        <f>Sheet1!DB333-110</f>
        <v>652</v>
      </c>
      <c r="AX331" s="698">
        <f>Sheet1!DA333-265</f>
        <v>755</v>
      </c>
      <c r="AY331" s="698">
        <f t="shared" si="594"/>
        <v>73</v>
      </c>
      <c r="AZ331" s="698">
        <v>0</v>
      </c>
      <c r="BA331" s="698">
        <f t="shared" si="595"/>
        <v>0</v>
      </c>
      <c r="BB331" s="560">
        <f t="shared" si="596"/>
        <v>0</v>
      </c>
      <c r="BC331" s="560"/>
      <c r="BD331" s="560">
        <f ca="1">IF(B331&gt;Summary!$A$1,#N/A,BB331*MGtoAF)</f>
        <v>0</v>
      </c>
      <c r="BE331" s="560">
        <f>Sheet1!BG333+Sheet1!BH333+Sheet1!BI333-BM331</f>
        <v>0</v>
      </c>
      <c r="BF331" s="560">
        <f t="shared" si="597"/>
        <v>0</v>
      </c>
      <c r="BG331" s="560">
        <f>IF(Sheet1!EP333="FM",BM331,0)</f>
        <v>0</v>
      </c>
      <c r="BH331" s="560">
        <f t="shared" si="598"/>
        <v>0</v>
      </c>
      <c r="BI331" s="560">
        <f>IF(Sheet1!EP333="OTHER",BM331,0)</f>
        <v>0</v>
      </c>
      <c r="BJ331" s="560">
        <f t="shared" si="599"/>
        <v>0</v>
      </c>
      <c r="BK331" s="560">
        <f t="shared" si="600"/>
        <v>0</v>
      </c>
      <c r="BL331" s="560">
        <f t="shared" si="601"/>
        <v>0</v>
      </c>
      <c r="BM331" s="560">
        <f>IF(OR(Sheet1!EP333="FM", Sheet1!EP333="OTHER"),SUM(Sheet1!BG333:'Sheet1'!BI333),0)</f>
        <v>0</v>
      </c>
      <c r="BN331" s="545">
        <f>IF(AND($B331&gt;=$FV331,$B331&lt;=$FW331),MAX(BF331,Sheet1!EI333,0),MAX(BF331-(7/36)*$K331,0))</f>
        <v>0</v>
      </c>
      <c r="BO331" s="560">
        <f t="shared" si="602"/>
        <v>0</v>
      </c>
      <c r="BP331" s="545">
        <f t="shared" si="603"/>
        <v>0</v>
      </c>
      <c r="BQ331" s="545">
        <f>IF(AND($O331&gt;0,Sheet1!EM333=1),(1-($O331-Sheet1!$L333)/$O331)*BL331,0)</f>
        <v>0</v>
      </c>
      <c r="BR331" s="545">
        <f>IF(AND(Sheet1!$L333=0,Sheet1!$L332=0, Calculation!BK331&lt;Sheet1!$EI333-0.1,Sheet1!$EI333=Sheet1!$EI332,Sheet1!$EI333=Sheet1!$EI334),Sheet1!$EI333,BL331-BQ331)</f>
        <v>0</v>
      </c>
      <c r="BS331" s="560"/>
      <c r="BT331" s="560"/>
      <c r="BU331" s="560">
        <f t="shared" si="604"/>
        <v>0</v>
      </c>
      <c r="BV331" s="560"/>
      <c r="BW331" s="560">
        <f ca="1">IF(B331&gt;Summary!$A$1,#N/A,BU331*MGtoAF)</f>
        <v>0</v>
      </c>
      <c r="BX331" s="560">
        <f>Sheet1!BC333+Sheet1!BD333+Sheet1!BE333+Sheet1!BF333-CG331-CH331</f>
        <v>2.4900000000000002</v>
      </c>
      <c r="BY331" s="560">
        <f t="shared" si="605"/>
        <v>2.4996713474753514</v>
      </c>
      <c r="BZ331" s="560">
        <f>IF(Sheet1!EQ333="FM",CH331,0)</f>
        <v>0</v>
      </c>
      <c r="CA331" s="560">
        <f t="shared" si="606"/>
        <v>0</v>
      </c>
      <c r="CB331" s="560">
        <f>IF(Sheet1!EQ333="OTHER",CH331,0)</f>
        <v>0</v>
      </c>
      <c r="CC331" s="560">
        <f t="shared" si="607"/>
        <v>0</v>
      </c>
      <c r="CD331" s="560">
        <f t="shared" si="608"/>
        <v>0</v>
      </c>
      <c r="CE331" s="560">
        <f t="shared" si="609"/>
        <v>2.4900000000000002</v>
      </c>
      <c r="CF331" s="560">
        <f t="shared" si="610"/>
        <v>2.4996713474753514</v>
      </c>
      <c r="CG331" s="560">
        <f>IF(Sheet1!EQ333="CWA",SUM(Sheet1!BC333:'Sheet1'!BF333),0)</f>
        <v>0</v>
      </c>
      <c r="CH331" s="560">
        <f>IF(OR(Sheet1!EQ333="FM", Sheet1!EQ333="OTHER"),SUM(Sheet1!BC333:'Sheet1'!BF333),0)</f>
        <v>0</v>
      </c>
      <c r="CI331" s="545">
        <f>IF(AND($B331&gt;=$FV331,$B331&lt;=$FW331),MAX(CF331,Sheet1!EJ333,0),MAX(CF331-(7/36)*$K331,0))</f>
        <v>0</v>
      </c>
      <c r="CJ331" s="560">
        <f t="shared" si="611"/>
        <v>0</v>
      </c>
      <c r="CK331" s="545">
        <f t="shared" si="612"/>
        <v>2.4996713474753514</v>
      </c>
      <c r="CL331" s="545">
        <f>IF(AND($O331&gt;0,Sheet1!EN333=1),(1-($O331-Sheet1!$L333)/$O331)*CF331,0)</f>
        <v>0</v>
      </c>
      <c r="CM331" s="545">
        <f>IF(AND(Sheet1!$L333=0,Sheet1!$L332=0, Calculation!CE331&lt;Sheet1!EJ333-0.1,Sheet1!EJ333=Sheet1!EJ332,Sheet1!EJ333=Sheet1!EJ334),Sheet1!EJ333,CF331-CL331)</f>
        <v>2.4996713474753514</v>
      </c>
      <c r="CN331" s="545"/>
      <c r="CO331" s="560"/>
      <c r="CP331" s="560">
        <f t="shared" si="613"/>
        <v>0</v>
      </c>
      <c r="CQ331" s="560"/>
      <c r="CR331" s="560">
        <f ca="1">IF(B331&gt;Summary!$A$1,#N/A,CP331*MGtoAF)</f>
        <v>0</v>
      </c>
      <c r="CS331" s="560">
        <f>Sheet1!BK333+Sheet1!BL333+Sheet1!BM333-Sheet1!ER333-DA331</f>
        <v>6.48</v>
      </c>
      <c r="CT331" s="560">
        <f t="shared" si="614"/>
        <v>6.5051688078876619</v>
      </c>
      <c r="CU331" s="560">
        <f>IF(Sheet1!ER333="FM",DA331,0)</f>
        <v>0</v>
      </c>
      <c r="CV331" s="560">
        <f t="shared" si="615"/>
        <v>0</v>
      </c>
      <c r="CW331" s="560">
        <f>IF(Sheet1!ER333="OTHER",DA331,0)</f>
        <v>0</v>
      </c>
      <c r="CX331" s="560">
        <f t="shared" si="616"/>
        <v>0</v>
      </c>
      <c r="CY331" s="560">
        <f t="shared" si="617"/>
        <v>6.48</v>
      </c>
      <c r="CZ331" s="560">
        <f t="shared" si="618"/>
        <v>6.5051688078876619</v>
      </c>
      <c r="DA331" s="560">
        <f>IF(OR(Sheet1!ER333="FM", Sheet1!ER333="OTHER"),SUM(Sheet1!BK333:'Sheet1'!BM333),0)</f>
        <v>0</v>
      </c>
      <c r="DB331" s="545">
        <f>IF(AND($B331&gt;=$FV331,$B331&lt;=$FW331),MAX($CT331,Sheet1!EK333,0),MAX($CT331-(7/36)*$K331,0))</f>
        <v>0</v>
      </c>
      <c r="DC331" s="560">
        <f t="shared" si="619"/>
        <v>0</v>
      </c>
      <c r="DD331" s="545">
        <f t="shared" si="620"/>
        <v>6.5051688078876619</v>
      </c>
      <c r="DE331" s="545">
        <f>IF(AND($O331&gt;0,Sheet1!EO333=1),(1-($O331-Sheet1!$L333)/$O331)*CZ331,0)</f>
        <v>0</v>
      </c>
      <c r="DF331" s="545">
        <f>IF(AND(Sheet1!$L333=0,Sheet1!$L332=0, Calculation!CY331&lt;Sheet1!$EK333-0.1,Sheet1!$EK333=Sheet1!$EK332,Sheet1!$EK333=Sheet1!$EK334),Sheet1!$EK333,CZ331-DE331)</f>
        <v>6.5051688078876619</v>
      </c>
      <c r="DG331" s="545"/>
      <c r="DH331" s="560">
        <f t="shared" si="621"/>
        <v>8.9700000000000006</v>
      </c>
      <c r="DI331" s="560">
        <f t="shared" si="622"/>
        <v>0</v>
      </c>
      <c r="DJ331" s="698">
        <f t="shared" si="623"/>
        <v>9.0048401553630129</v>
      </c>
      <c r="DK331" s="560">
        <f ca="1">IF(B331&gt;Summary!$A$1,#N/A,DI331*MGtoAF)</f>
        <v>0</v>
      </c>
      <c r="DL331" s="698">
        <f t="shared" si="624"/>
        <v>8.9700000000000006</v>
      </c>
      <c r="DM331" s="560">
        <f t="shared" si="625"/>
        <v>33.47</v>
      </c>
      <c r="DN331" s="560">
        <f>Sheet1!AB333-DM331</f>
        <v>0.13000000000000256</v>
      </c>
      <c r="DO331" s="560">
        <f t="shared" si="626"/>
        <v>3.8840752913057233E-3</v>
      </c>
      <c r="DP331" s="560">
        <f>(VLOOKUP(Sheet1!DC333,hhdcap_wcm,4)-(((VLOOKUP(Sheet1!DC333,hhdcap_wcm,3)-Sheet1!DC333)/(VLOOKUP(Sheet1!DC333,hhdcap_wcm,3)-VLOOKUP(Sheet1!DC333,hhdcap_wcm,1)))*(VLOOKUP(Sheet1!DC333,hhdcap_wcm,4)-VLOOKUP(Sheet1!DC333,hhdcap_wcm,2))))</f>
        <v>927.10000000257617</v>
      </c>
      <c r="DQ331" s="560">
        <f t="shared" si="627"/>
        <v>-96.900000000316027</v>
      </c>
      <c r="DR331" s="560">
        <f t="shared" si="628"/>
        <v>-48.865355522095818</v>
      </c>
      <c r="DS331" s="560">
        <f>Sheet1!EA333*AFtoMG</f>
        <v>0</v>
      </c>
      <c r="DT331" s="560">
        <f>Sheet1!EB333*AFtoMG</f>
        <v>0</v>
      </c>
      <c r="DU331" s="560">
        <f>Sheet1!EC333*AFtoMG</f>
        <v>0</v>
      </c>
      <c r="DV331" s="560">
        <f>Sheet1!ED333*AFtoMG</f>
        <v>0</v>
      </c>
      <c r="DW331" s="560">
        <f t="shared" si="629"/>
        <v>0</v>
      </c>
      <c r="DX331" s="560">
        <f t="shared" si="630"/>
        <v>0</v>
      </c>
      <c r="DY331" s="560">
        <f t="shared" si="631"/>
        <v>0</v>
      </c>
      <c r="DZ331" s="560">
        <f t="shared" si="632"/>
        <v>0</v>
      </c>
      <c r="EA331" s="560"/>
      <c r="EB331" s="545">
        <f>IF(OR(B331&lt;FV331,B331&gt;FW331),(MIN(BF331+BY331+CT331+MAX(Sheet1!AA333+AQ331-73,0),K331)),0)</f>
        <v>9.0048401553630129</v>
      </c>
      <c r="EC331" s="560"/>
      <c r="ED331" s="560">
        <f t="shared" si="633"/>
        <v>9.0048401553630129</v>
      </c>
      <c r="EE331" s="560"/>
      <c r="EF331" s="560">
        <f>Sheet1!EH333+Sheet1!EI333+Sheet1!EJ333+Sheet1!EK333</f>
        <v>9</v>
      </c>
      <c r="EG331" s="560"/>
      <c r="EH331" s="545">
        <f t="shared" si="634"/>
        <v>0</v>
      </c>
      <c r="EI331" s="560">
        <f>IF(Sheet1!ET333=1,SUM('Calculations II'!AT331:BA331)+'Calculations II'!BC331+Sheet1!BV333+'Calculations II'!BE331+AP331,SUM('Calculations II'!AT331:BA331)+'Calculations II'!BC331+Sheet1!BV333+'Calculations II'!BE331+AP331)</f>
        <v>52.787232000000003</v>
      </c>
      <c r="EJ331" s="560">
        <f>Sheet1!AA333+Sheet1!AB333+'Calculations II'!BC331</f>
        <v>53.6</v>
      </c>
      <c r="EK331" s="560"/>
      <c r="EL331" s="560"/>
      <c r="EM331" s="560">
        <f t="shared" si="635"/>
        <v>41959</v>
      </c>
      <c r="EN331" s="560">
        <f t="shared" si="636"/>
        <v>0</v>
      </c>
      <c r="EO331" s="560">
        <f t="shared" si="637"/>
        <v>0</v>
      </c>
      <c r="EP331" s="560">
        <v>0</v>
      </c>
      <c r="EQ331" s="560">
        <v>0</v>
      </c>
      <c r="ER331" s="560">
        <v>0</v>
      </c>
      <c r="ES331" s="545">
        <f t="shared" si="660"/>
        <v>3.5996878535116204</v>
      </c>
      <c r="ET331" s="560">
        <f>-(VLOOKUP(Sheet1!BQ333,Lookup!$O$4:$Q$262,2)-VLOOKUP(Sheet1!BQ332,Lookup!$O$4:$Q$262,2))/1000000</f>
        <v>1.799718981466353</v>
      </c>
      <c r="EU331" s="560">
        <f>-(VLOOKUP(Sheet1!BR333,Lookup!$O$4:$Q$262,3)-VLOOKUP(Sheet1!BR332,Lookup!$O$4:$Q$262,3))/1000000</f>
        <v>1.7999688720452673</v>
      </c>
      <c r="EV331" s="560"/>
      <c r="EW331" s="560"/>
      <c r="EX331" s="560"/>
      <c r="EY331" s="560"/>
      <c r="EZ331" s="560"/>
      <c r="FA331" s="560"/>
      <c r="FB331" s="560"/>
      <c r="FC331" s="560"/>
      <c r="FD331" s="594">
        <f t="shared" si="638"/>
        <v>1082.2499999999725</v>
      </c>
      <c r="FE331" s="594" t="e">
        <f t="shared" si="639"/>
        <v>#N/A</v>
      </c>
      <c r="FF331" s="595" t="e">
        <f t="shared" si="640"/>
        <v>#N/A</v>
      </c>
      <c r="FG331" s="596" t="s">
        <v>692</v>
      </c>
      <c r="FH331" s="596" t="s">
        <v>692</v>
      </c>
      <c r="FI331" s="594" t="e">
        <v>#N/A</v>
      </c>
      <c r="FJ331" s="778">
        <v>1260</v>
      </c>
      <c r="FK331" s="560"/>
      <c r="FL331" s="560"/>
      <c r="FM331" s="560"/>
      <c r="FN331" s="560"/>
      <c r="FO331" s="560">
        <f>O331+((Sheet1!CS333)*GPMtoMGD)</f>
        <v>53.6</v>
      </c>
      <c r="FP331" s="560">
        <f>IF(Sheet1!AA333+AQ331&lt;=Calculation!N331,AQ331,Calculation!N331-Sheet1!AA333)</f>
        <v>23.591275769345685</v>
      </c>
      <c r="FQ331" s="560">
        <f>(Sheet1!BP333+Sheet1!BO333)/694.4</f>
        <v>1.6412730414746546</v>
      </c>
      <c r="FR331" s="560"/>
      <c r="FS331" s="560"/>
      <c r="FT331" s="560"/>
      <c r="FU331" s="560"/>
      <c r="FV331" s="695">
        <f t="shared" si="661"/>
        <v>41827</v>
      </c>
      <c r="FW331" s="695">
        <f t="shared" si="662"/>
        <v>41934</v>
      </c>
      <c r="FX331" s="560"/>
      <c r="FY331" s="560"/>
      <c r="FZ331" s="560"/>
      <c r="GA331" s="560"/>
      <c r="GB331" s="560" t="str">
        <f t="shared" si="663"/>
        <v>n</v>
      </c>
      <c r="GC331" s="564">
        <f t="shared" si="664"/>
        <v>41691</v>
      </c>
      <c r="GD331" s="695">
        <f t="shared" si="665"/>
        <v>41807</v>
      </c>
      <c r="GE331" s="560">
        <v>6518.9</v>
      </c>
      <c r="GF331" s="695">
        <f t="shared" si="666"/>
        <v>41808</v>
      </c>
      <c r="GG331" s="560">
        <f t="shared" si="582"/>
        <v>3259</v>
      </c>
      <c r="GH331" s="564">
        <f t="shared" si="667"/>
        <v>41934</v>
      </c>
      <c r="GJ331" s="545">
        <f t="shared" si="668"/>
        <v>0</v>
      </c>
      <c r="GK331" s="560" t="str">
        <f t="shared" si="641"/>
        <v/>
      </c>
      <c r="GL331" s="560">
        <f t="shared" si="669"/>
        <v>0</v>
      </c>
      <c r="GM331" s="560" t="str">
        <f t="shared" si="670"/>
        <v/>
      </c>
      <c r="GN331" s="560">
        <f>IF(GK331="P",Lookup!$M$12,IF(GK331="PP",Lookup!$M$13,IF(GK331="PPP",Lookup!$M$14,IF(GK331="T",Lookup!$M$15,IF(GK331="TP",Lookup!$M$16,IF(GK331="TPP",Lookup!$M$17,IF(GK331="TPPP",Lookup!$M$18,0)))))))*GJ331</f>
        <v>0</v>
      </c>
      <c r="GO331" s="560">
        <f t="shared" si="671"/>
        <v>0</v>
      </c>
      <c r="GP331" s="560">
        <f t="shared" si="642"/>
        <v>0</v>
      </c>
      <c r="GQ331" s="560">
        <f t="shared" si="679"/>
        <v>0</v>
      </c>
      <c r="GR331" s="560"/>
      <c r="GS331" s="560">
        <f t="shared" si="672"/>
        <v>0</v>
      </c>
      <c r="GT331" s="560" t="str">
        <f t="shared" si="673"/>
        <v/>
      </c>
      <c r="GU331" s="560">
        <f>IF(GK331="P",Lookup!$N$12,IF(GK331="PP",Lookup!$N$13,IF(GK331="PPP",Lookup!$N$14,IF(GK331="T",Lookup!$N$15,IF(GK331="TP",Lookup!$N$16,IF(GK331="TPP",Lookup!$N$17,IF(GK331="TPPP",Lookup!$N$18,0)))))))*GJ331</f>
        <v>0</v>
      </c>
      <c r="GV331" s="560">
        <f t="shared" si="674"/>
        <v>0</v>
      </c>
      <c r="GW331" s="560">
        <f t="shared" si="643"/>
        <v>0</v>
      </c>
      <c r="GX331" s="560">
        <f t="shared" si="680"/>
        <v>0</v>
      </c>
      <c r="GY331" s="560"/>
      <c r="GZ331" s="560">
        <f t="shared" si="675"/>
        <v>0</v>
      </c>
      <c r="HA331" s="560" t="str">
        <f t="shared" si="676"/>
        <v/>
      </c>
      <c r="HB331" s="560">
        <f>IF(GK331="P",Lookup!$N$12,IF(GK331="PP",Lookup!$N$13,IF(GK331="PPP",Lookup!$N$14,IF(GK331="T",Lookup!$N$15,IF(GK331="TP",Lookup!$N$16,IF(GK331="TPP",Lookup!$N$17,IF(GK331="TPPP",Lookup!$N$18,0)))))))*GJ331</f>
        <v>0</v>
      </c>
      <c r="HC331" s="545">
        <f t="shared" si="644"/>
        <v>0</v>
      </c>
      <c r="HD331" s="560">
        <f t="shared" si="645"/>
        <v>0</v>
      </c>
      <c r="HE331" s="560">
        <f t="shared" si="681"/>
        <v>0</v>
      </c>
      <c r="HF331" s="560"/>
      <c r="HG331" s="560">
        <f t="shared" si="677"/>
        <v>0</v>
      </c>
      <c r="HH331" s="560" t="str">
        <f t="shared" si="678"/>
        <v/>
      </c>
      <c r="HI331" s="560">
        <f>IF(GK331="P",Lookup!$N$12,IF(GK331="PP",Lookup!$N$13,IF(GK331="PPP",Lookup!$N$14,IF(GK331="T",Lookup!$N$15,IF(GK331="TP",Lookup!$N$16,IF(GK331="TPP",Lookup!$N$17,IF(GK331="TPPP",Lookup!$N$18,0)))))))*GJ331</f>
        <v>0</v>
      </c>
      <c r="HJ331" s="545">
        <f t="shared" si="646"/>
        <v>0</v>
      </c>
      <c r="HK331" s="560">
        <f t="shared" si="647"/>
        <v>0</v>
      </c>
      <c r="HL331" s="560">
        <f t="shared" si="682"/>
        <v>0</v>
      </c>
    </row>
    <row r="332" spans="1:220">
      <c r="A332" s="580" t="s">
        <v>4</v>
      </c>
      <c r="B332" s="556">
        <v>41960</v>
      </c>
      <c r="C332" s="561">
        <v>0</v>
      </c>
      <c r="D332" s="529">
        <f t="shared" si="580"/>
        <v>300</v>
      </c>
      <c r="E332" s="529">
        <f t="shared" si="581"/>
        <v>250</v>
      </c>
      <c r="F332" s="529">
        <v>250</v>
      </c>
      <c r="G332" s="560">
        <f>DR332+Sheet1!CZ334</f>
        <v>655.54513363581691</v>
      </c>
      <c r="H332" s="914">
        <f t="shared" si="650"/>
        <v>156.78117438219203</v>
      </c>
      <c r="I332" s="559">
        <f>MAX(Sheet1!Z334-AT332+(Sheet1!DA334-E332)*CFStoMGD,0)</f>
        <v>524.86399999999992</v>
      </c>
      <c r="J332" s="562">
        <f>IF(AND(B332&gt;=Calculation!GC332,B332&lt;=Calculation!GD332),IF(Sheet1!DB334&gt;=Calculation!D332,64.64,0),MAX(Sheet1!Z334-AT332+(Sheet1!DB334-D332)*CFStoMGD,0))</f>
        <v>319.95519999999999</v>
      </c>
      <c r="K332" s="904">
        <f t="shared" si="583"/>
        <v>64.64</v>
      </c>
      <c r="L332" s="560">
        <f>Sheet1!AA334+Sheet1!AB334-Sheet1!L334+(Sheet1!DA334-F332)*CFStoMGD</f>
        <v>546.23399999999992</v>
      </c>
      <c r="M332" s="560">
        <f t="shared" si="584"/>
        <v>432.21926186983592</v>
      </c>
      <c r="N332" s="910">
        <f>IF(Sheet1!DA334&gt;=F332,MIN(73,MIN(MAX(L332,0),MAX(M332,0))),0)</f>
        <v>73</v>
      </c>
      <c r="O332" s="563">
        <f>Sheet1!AA334+Sheet1!AB334</f>
        <v>54.97</v>
      </c>
      <c r="P332" s="563">
        <f t="shared" si="585"/>
        <v>85.038589999999999</v>
      </c>
      <c r="Q332" s="898">
        <f t="shared" si="651"/>
        <v>0</v>
      </c>
      <c r="R332" s="829">
        <f t="shared" si="586"/>
        <v>9.0139759036144582</v>
      </c>
      <c r="S332" s="898">
        <f t="shared" si="683"/>
        <v>54.97</v>
      </c>
      <c r="T332" s="898">
        <f t="shared" si="652"/>
        <v>0</v>
      </c>
      <c r="U332" s="898">
        <f t="shared" si="653"/>
        <v>0</v>
      </c>
      <c r="V332" s="898"/>
      <c r="W332" s="898">
        <f t="shared" si="654"/>
        <v>55.626024096385542</v>
      </c>
      <c r="X332" s="898">
        <f t="shared" si="655"/>
        <v>54.97</v>
      </c>
      <c r="Y332" s="898" t="str">
        <f t="shared" si="656"/>
        <v/>
      </c>
      <c r="Z332" s="898">
        <f t="shared" si="657"/>
        <v>54.97</v>
      </c>
      <c r="AA332" s="898">
        <f t="shared" si="658"/>
        <v>54.97</v>
      </c>
      <c r="AB332" s="898" t="str">
        <f t="shared" si="659"/>
        <v/>
      </c>
      <c r="AC332" s="563">
        <f>Sheet1!Y334*MGDtoCFS</f>
        <v>30.939999999999998</v>
      </c>
      <c r="AD332" s="563">
        <f>Sheet1!Z334*MGDtoCFS</f>
        <v>51.979199999999999</v>
      </c>
      <c r="AE332" s="563">
        <f>Sheet1!AA334*MGDtoCFS</f>
        <v>30.785299999999996</v>
      </c>
      <c r="AF332" s="563">
        <f>Sheet1!AB334*MGDtoCFS</f>
        <v>54.25329</v>
      </c>
      <c r="AG332" s="563">
        <f>Sheet1!L334*MGDtoCFS</f>
        <v>0</v>
      </c>
      <c r="AH332" s="545">
        <f t="shared" si="587"/>
        <v>0</v>
      </c>
      <c r="AI332" s="560">
        <f t="shared" si="588"/>
        <v>0</v>
      </c>
      <c r="AJ332" s="560">
        <f t="shared" si="589"/>
        <v>0</v>
      </c>
      <c r="AK332" s="560">
        <f t="shared" si="590"/>
        <v>0</v>
      </c>
      <c r="AL332" s="560">
        <f>(VLOOKUP(Sheet1!DC334,hhdcap_wcm,4)-(((VLOOKUP(Sheet1!DC334,hhdcap_wcm,3)-Sheet1!DC334)/(VLOOKUP(Sheet1!DC334,hhdcap_wcm,3)-VLOOKUP(Sheet1!DC334,hhdcap_wcm,1)))*(VLOOKUP(Sheet1!DC334,hhdcap_wcm,4)-VLOOKUP(Sheet1!DC334,hhdcap_wcm,2))))</f>
        <v>716.00000000240107</v>
      </c>
      <c r="AM332" s="560">
        <f t="shared" si="591"/>
        <v>-211.1000000001751</v>
      </c>
      <c r="AN332" s="560">
        <f t="shared" si="592"/>
        <v>0</v>
      </c>
      <c r="AO332" s="560">
        <f t="shared" si="593"/>
        <v>0</v>
      </c>
      <c r="AP332" s="560">
        <f>Sheet1!BA334+Sheet1!BB334+Sheet1!BN334+CD332</f>
        <v>25.9</v>
      </c>
      <c r="AQ332" s="560">
        <f>Sheet1!BN334+(DO332*Sheet1!BN334)</f>
        <v>25.05</v>
      </c>
      <c r="AR332" s="560">
        <f>Sheet1!BA334+CD332</f>
        <v>0</v>
      </c>
      <c r="AS332" s="560">
        <f>Sheet1!BA334+Sheet1!BB334+CD332</f>
        <v>1</v>
      </c>
      <c r="AT332" s="698">
        <f>0</f>
        <v>0</v>
      </c>
      <c r="AU332" s="560">
        <f>IF(EB332&lt;K332,0,MAX(Sheet1!AA334+AQ332-15/36*K332-N332,Sheet1!EH334,0))</f>
        <v>0</v>
      </c>
      <c r="AV332" s="560">
        <f>IF(OR(B332&gt;=GD332,B332&lt;GC332),0,15/36*K332-MAX(0,64.6-(137.6-(Sheet1!AA334+Sheet1!AB334))))</f>
        <v>0</v>
      </c>
      <c r="AW332" s="698">
        <f>Sheet1!DB334-110</f>
        <v>633</v>
      </c>
      <c r="AX332" s="698">
        <f>Sheet1!DA334-265</f>
        <v>745</v>
      </c>
      <c r="AY332" s="698">
        <f t="shared" si="594"/>
        <v>73</v>
      </c>
      <c r="AZ332" s="698">
        <v>0</v>
      </c>
      <c r="BA332" s="698">
        <f t="shared" si="595"/>
        <v>0</v>
      </c>
      <c r="BB332" s="560">
        <f t="shared" si="596"/>
        <v>0</v>
      </c>
      <c r="BC332" s="560"/>
      <c r="BD332" s="560">
        <f ca="1">IF(B332&gt;Summary!$A$1,#N/A,BB332*MGtoAF)</f>
        <v>0</v>
      </c>
      <c r="BE332" s="560">
        <f>Sheet1!BG334+Sheet1!BH334+Sheet1!BI334-BM332</f>
        <v>0</v>
      </c>
      <c r="BF332" s="560">
        <f t="shared" si="597"/>
        <v>0</v>
      </c>
      <c r="BG332" s="560">
        <f>IF(Sheet1!EP334="FM",BM332,0)</f>
        <v>0</v>
      </c>
      <c r="BH332" s="560">
        <f t="shared" si="598"/>
        <v>0</v>
      </c>
      <c r="BI332" s="560">
        <f>IF(Sheet1!EP334="OTHER",BM332,0)</f>
        <v>0</v>
      </c>
      <c r="BJ332" s="560">
        <f t="shared" si="599"/>
        <v>0</v>
      </c>
      <c r="BK332" s="560">
        <f t="shared" si="600"/>
        <v>0</v>
      </c>
      <c r="BL332" s="560">
        <f t="shared" si="601"/>
        <v>0</v>
      </c>
      <c r="BM332" s="560">
        <f>IF(OR(Sheet1!EP334="FM", Sheet1!EP334="OTHER"),SUM(Sheet1!BG334:'Sheet1'!BI334),0)</f>
        <v>0</v>
      </c>
      <c r="BN332" s="545">
        <f>IF(AND($B332&gt;=$FV332,$B332&lt;=$FW332),MAX(BF332,Sheet1!EI334,0),MAX(BF332-(7/36)*$K332,0))</f>
        <v>0</v>
      </c>
      <c r="BO332" s="560">
        <f t="shared" si="602"/>
        <v>0</v>
      </c>
      <c r="BP332" s="545">
        <f t="shared" si="603"/>
        <v>0</v>
      </c>
      <c r="BQ332" s="545">
        <f>IF(AND($O332&gt;0,Sheet1!EM334=1),(1-($O332-Sheet1!$L334)/$O332)*BL332,0)</f>
        <v>0</v>
      </c>
      <c r="BR332" s="545">
        <f>IF(AND(Sheet1!$L334=0,Sheet1!$L333=0, Calculation!BK332&lt;Sheet1!$EI334-0.1,Sheet1!$EI334=Sheet1!$EI333,Sheet1!$EI334=Sheet1!$EI335),Sheet1!$EI334,BL332-BQ332)</f>
        <v>0</v>
      </c>
      <c r="BS332" s="560"/>
      <c r="BT332" s="560"/>
      <c r="BU332" s="560">
        <f t="shared" si="604"/>
        <v>0</v>
      </c>
      <c r="BV332" s="560"/>
      <c r="BW332" s="560">
        <f ca="1">IF(B332&gt;Summary!$A$1,#N/A,BU332*MGtoAF)</f>
        <v>0</v>
      </c>
      <c r="BX332" s="560">
        <f>Sheet1!BC334+Sheet1!BD334+Sheet1!BE334+Sheet1!BF334-CG332-CH332</f>
        <v>2.4900000000000002</v>
      </c>
      <c r="BY332" s="560">
        <f t="shared" si="605"/>
        <v>2.5050000000000003</v>
      </c>
      <c r="BZ332" s="560">
        <f>IF(Sheet1!EQ334="FM",CH332,0)</f>
        <v>0</v>
      </c>
      <c r="CA332" s="560">
        <f t="shared" si="606"/>
        <v>0</v>
      </c>
      <c r="CB332" s="560">
        <f>IF(Sheet1!EQ334="OTHER",CH332,0)</f>
        <v>0</v>
      </c>
      <c r="CC332" s="560">
        <f t="shared" si="607"/>
        <v>0</v>
      </c>
      <c r="CD332" s="560">
        <f t="shared" si="608"/>
        <v>0</v>
      </c>
      <c r="CE332" s="560">
        <f t="shared" si="609"/>
        <v>2.4900000000000002</v>
      </c>
      <c r="CF332" s="560">
        <f t="shared" si="610"/>
        <v>2.5050000000000003</v>
      </c>
      <c r="CG332" s="560">
        <f>IF(Sheet1!EQ334="CWA",SUM(Sheet1!BC334:'Sheet1'!BF334),0)</f>
        <v>0</v>
      </c>
      <c r="CH332" s="560">
        <f>IF(OR(Sheet1!EQ334="FM", Sheet1!EQ334="OTHER"),SUM(Sheet1!BC334:'Sheet1'!BF334),0)</f>
        <v>0</v>
      </c>
      <c r="CI332" s="545">
        <f>IF(AND($B332&gt;=$FV332,$B332&lt;=$FW332),MAX(CF332,Sheet1!EJ334,0),MAX(CF332-(7/36)*$K332,0))</f>
        <v>0</v>
      </c>
      <c r="CJ332" s="560">
        <f t="shared" si="611"/>
        <v>0</v>
      </c>
      <c r="CK332" s="545">
        <f t="shared" si="612"/>
        <v>2.5050000000000003</v>
      </c>
      <c r="CL332" s="545">
        <f>IF(AND($O332&gt;0,Sheet1!EN334=1),(1-($O332-Sheet1!$L334)/$O332)*CF332,0)</f>
        <v>0</v>
      </c>
      <c r="CM332" s="545">
        <f>IF(AND(Sheet1!$L334=0,Sheet1!$L333=0, Calculation!CE332&lt;Sheet1!EJ334-0.1,Sheet1!EJ334=Sheet1!EJ333,Sheet1!EJ334=Sheet1!EJ335),Sheet1!EJ334,CF332-CL332)</f>
        <v>2.5050000000000003</v>
      </c>
      <c r="CN332" s="545"/>
      <c r="CO332" s="560"/>
      <c r="CP332" s="560">
        <f t="shared" si="613"/>
        <v>0</v>
      </c>
      <c r="CQ332" s="560"/>
      <c r="CR332" s="560">
        <f ca="1">IF(B332&gt;Summary!$A$1,#N/A,CP332*MGtoAF)</f>
        <v>0</v>
      </c>
      <c r="CS332" s="560">
        <f>Sheet1!BK334+Sheet1!BL334+Sheet1!BM334-Sheet1!ER334-DA332</f>
        <v>6.47</v>
      </c>
      <c r="CT332" s="560">
        <f t="shared" si="614"/>
        <v>6.5089759036144574</v>
      </c>
      <c r="CU332" s="560">
        <f>IF(Sheet1!ER334="FM",DA332,0)</f>
        <v>0</v>
      </c>
      <c r="CV332" s="560">
        <f t="shared" si="615"/>
        <v>0</v>
      </c>
      <c r="CW332" s="560">
        <f>IF(Sheet1!ER334="OTHER",DA332,0)</f>
        <v>0</v>
      </c>
      <c r="CX332" s="560">
        <f t="shared" si="616"/>
        <v>0</v>
      </c>
      <c r="CY332" s="560">
        <f t="shared" si="617"/>
        <v>6.47</v>
      </c>
      <c r="CZ332" s="560">
        <f t="shared" si="618"/>
        <v>6.5089759036144574</v>
      </c>
      <c r="DA332" s="560">
        <f>IF(OR(Sheet1!ER334="FM", Sheet1!ER334="OTHER"),SUM(Sheet1!BK334:'Sheet1'!BM334),0)</f>
        <v>0</v>
      </c>
      <c r="DB332" s="545">
        <f>IF(AND($B332&gt;=$FV332,$B332&lt;=$FW332),MAX($CT332,Sheet1!EK334,0),MAX($CT332-(7/36)*$K332,0))</f>
        <v>0</v>
      </c>
      <c r="DC332" s="560">
        <f t="shared" si="619"/>
        <v>0</v>
      </c>
      <c r="DD332" s="545">
        <f t="shared" si="620"/>
        <v>6.5089759036144574</v>
      </c>
      <c r="DE332" s="545">
        <f>IF(AND($O332&gt;0,Sheet1!EO334=1),(1-($O332-Sheet1!$L334)/$O332)*CZ332,0)</f>
        <v>0</v>
      </c>
      <c r="DF332" s="545">
        <f>IF(AND(Sheet1!$L334=0,Sheet1!$L333=0, Calculation!CY332&lt;Sheet1!$EK334-0.1,Sheet1!$EK334=Sheet1!$EK333,Sheet1!$EK334=Sheet1!$EK335),Sheet1!$EK334,CZ332-DE332)</f>
        <v>6.5089759036144574</v>
      </c>
      <c r="DG332" s="545"/>
      <c r="DH332" s="560">
        <f t="shared" si="621"/>
        <v>8.9600000000000009</v>
      </c>
      <c r="DI332" s="560">
        <f t="shared" si="622"/>
        <v>0</v>
      </c>
      <c r="DJ332" s="698">
        <f t="shared" si="623"/>
        <v>9.0139759036144582</v>
      </c>
      <c r="DK332" s="560">
        <f ca="1">IF(B332&gt;Summary!$A$1,#N/A,DI332*MGtoAF)</f>
        <v>0</v>
      </c>
      <c r="DL332" s="698">
        <f t="shared" si="624"/>
        <v>8.9600000000000009</v>
      </c>
      <c r="DM332" s="560">
        <f t="shared" si="625"/>
        <v>34.86</v>
      </c>
      <c r="DN332" s="560">
        <f>Sheet1!AB334-DM332</f>
        <v>0.21000000000000085</v>
      </c>
      <c r="DO332" s="560">
        <f t="shared" si="626"/>
        <v>6.0240963855421933E-3</v>
      </c>
      <c r="DP332" s="560">
        <f>(VLOOKUP(Sheet1!DC334,hhdcap_wcm,4)-(((VLOOKUP(Sheet1!DC334,hhdcap_wcm,3)-Sheet1!DC334)/(VLOOKUP(Sheet1!DC334,hhdcap_wcm,3)-VLOOKUP(Sheet1!DC334,hhdcap_wcm,1)))*(VLOOKUP(Sheet1!DC334,hhdcap_wcm,4)-VLOOKUP(Sheet1!DC334,hhdcap_wcm,2))))</f>
        <v>716.00000000240107</v>
      </c>
      <c r="DQ332" s="560">
        <f t="shared" si="627"/>
        <v>-211.1000000001751</v>
      </c>
      <c r="DR332" s="560">
        <f t="shared" si="628"/>
        <v>-106.45486636418309</v>
      </c>
      <c r="DS332" s="560">
        <f>Sheet1!EA334*AFtoMG</f>
        <v>0</v>
      </c>
      <c r="DT332" s="560">
        <f>Sheet1!EB334*AFtoMG</f>
        <v>0</v>
      </c>
      <c r="DU332" s="560">
        <f>Sheet1!EC334*AFtoMG</f>
        <v>0</v>
      </c>
      <c r="DV332" s="560">
        <f>Sheet1!ED334*AFtoMG</f>
        <v>0</v>
      </c>
      <c r="DW332" s="560">
        <f t="shared" si="629"/>
        <v>0</v>
      </c>
      <c r="DX332" s="560">
        <f t="shared" si="630"/>
        <v>0</v>
      </c>
      <c r="DY332" s="560">
        <f t="shared" si="631"/>
        <v>0</v>
      </c>
      <c r="DZ332" s="560">
        <f t="shared" si="632"/>
        <v>0</v>
      </c>
      <c r="EA332" s="560"/>
      <c r="EB332" s="545">
        <f>IF(OR(B332&lt;FV332,B332&gt;FW332),(MIN(BF332+BY332+CT332+MAX(Sheet1!AA334+AQ332-73,0),K332)),0)</f>
        <v>9.0139759036144582</v>
      </c>
      <c r="EC332" s="560"/>
      <c r="ED332" s="560">
        <f t="shared" si="633"/>
        <v>9.0139759036144582</v>
      </c>
      <c r="EE332" s="560"/>
      <c r="EF332" s="560">
        <f>Sheet1!EH334+Sheet1!EI334+Sheet1!EJ334+Sheet1!EK334</f>
        <v>9</v>
      </c>
      <c r="EG332" s="560"/>
      <c r="EH332" s="545">
        <f t="shared" si="634"/>
        <v>0</v>
      </c>
      <c r="EI332" s="560">
        <f>IF(Sheet1!ET334=1,SUM('Calculations II'!AT332:BA332)+'Calculations II'!BC332+Sheet1!BV334+'Calculations II'!BE332+AP332,SUM('Calculations II'!AT332:BA332)+'Calculations II'!BC332+Sheet1!BV334+'Calculations II'!BE332+AP332)</f>
        <v>52.043279999999996</v>
      </c>
      <c r="EJ332" s="560">
        <f>Sheet1!AA334+Sheet1!AB334+'Calculations II'!BC332</f>
        <v>54.97</v>
      </c>
      <c r="EK332" s="560"/>
      <c r="EL332" s="560"/>
      <c r="EM332" s="560">
        <f t="shared" si="635"/>
        <v>41960</v>
      </c>
      <c r="EN332" s="560">
        <f t="shared" si="636"/>
        <v>0</v>
      </c>
      <c r="EO332" s="560">
        <f t="shared" si="637"/>
        <v>0</v>
      </c>
      <c r="EP332" s="560">
        <v>0</v>
      </c>
      <c r="EQ332" s="560">
        <v>0</v>
      </c>
      <c r="ER332" s="560">
        <v>0</v>
      </c>
      <c r="ES332" s="545">
        <f t="shared" si="660"/>
        <v>1.3839187086979672</v>
      </c>
      <c r="ET332" s="560">
        <f>-(VLOOKUP(Sheet1!BQ334,Lookup!$O$4:$Q$262,2)-VLOOKUP(Sheet1!BQ333,Lookup!$O$4:$Q$262,2))/1000000</f>
        <v>0.69191130844492466</v>
      </c>
      <c r="EU332" s="560">
        <f>-(VLOOKUP(Sheet1!BR334,Lookup!$O$4:$Q$262,3)-VLOOKUP(Sheet1!BR333,Lookup!$O$4:$Q$262,3))/1000000</f>
        <v>0.69200740025304253</v>
      </c>
      <c r="EV332" s="560"/>
      <c r="EW332" s="560"/>
      <c r="EX332" s="560"/>
      <c r="EY332" s="560"/>
      <c r="EZ332" s="560"/>
      <c r="FA332" s="560"/>
      <c r="FB332" s="560"/>
      <c r="FC332" s="560"/>
      <c r="FD332" s="594">
        <f t="shared" si="638"/>
        <v>1081.6214285714016</v>
      </c>
      <c r="FE332" s="594" t="e">
        <f t="shared" si="639"/>
        <v>#N/A</v>
      </c>
      <c r="FF332" s="595" t="e">
        <f t="shared" si="640"/>
        <v>#N/A</v>
      </c>
      <c r="FG332" s="596" t="s">
        <v>692</v>
      </c>
      <c r="FH332" s="596" t="s">
        <v>692</v>
      </c>
      <c r="FI332" s="594" t="e">
        <v>#N/A</v>
      </c>
      <c r="FJ332" s="778">
        <v>1170</v>
      </c>
      <c r="FK332" s="560"/>
      <c r="FL332" s="560"/>
      <c r="FM332" s="560"/>
      <c r="FN332" s="560"/>
      <c r="FO332" s="560">
        <f>O332+((Sheet1!CS334)*GPMtoMGD)</f>
        <v>54.97</v>
      </c>
      <c r="FP332" s="560">
        <f>IF(Sheet1!AA334+AQ332&lt;=Calculation!N332,AQ332,Calculation!N332-Sheet1!AA334)</f>
        <v>25.05</v>
      </c>
      <c r="FQ332" s="560">
        <f>(Sheet1!BP334+Sheet1!BO334)/694.4</f>
        <v>2.0344182027649769</v>
      </c>
      <c r="FR332" s="560"/>
      <c r="FS332" s="560"/>
      <c r="FT332" s="560"/>
      <c r="FU332" s="560"/>
      <c r="FV332" s="695">
        <f t="shared" si="661"/>
        <v>41827</v>
      </c>
      <c r="FW332" s="695">
        <f t="shared" si="662"/>
        <v>41934</v>
      </c>
      <c r="FX332" s="560"/>
      <c r="FY332" s="560"/>
      <c r="FZ332" s="560"/>
      <c r="GA332" s="560"/>
      <c r="GB332" s="560" t="str">
        <f t="shared" si="663"/>
        <v>n</v>
      </c>
      <c r="GC332" s="564">
        <f t="shared" si="664"/>
        <v>41691</v>
      </c>
      <c r="GD332" s="695">
        <f t="shared" si="665"/>
        <v>41807</v>
      </c>
      <c r="GE332" s="560">
        <v>6518.9</v>
      </c>
      <c r="GF332" s="695">
        <f t="shared" si="666"/>
        <v>41808</v>
      </c>
      <c r="GG332" s="560">
        <f t="shared" si="582"/>
        <v>3259</v>
      </c>
      <c r="GH332" s="564">
        <f t="shared" si="667"/>
        <v>41934</v>
      </c>
      <c r="GJ332" s="545">
        <f t="shared" si="668"/>
        <v>0</v>
      </c>
      <c r="GK332" s="560" t="str">
        <f t="shared" si="641"/>
        <v/>
      </c>
      <c r="GL332" s="560">
        <f t="shared" si="669"/>
        <v>0</v>
      </c>
      <c r="GM332" s="560" t="str">
        <f t="shared" si="670"/>
        <v/>
      </c>
      <c r="GN332" s="560">
        <f>IF(GK332="P",Lookup!$M$12,IF(GK332="PP",Lookup!$M$13,IF(GK332="PPP",Lookup!$M$14,IF(GK332="T",Lookup!$M$15,IF(GK332="TP",Lookup!$M$16,IF(GK332="TPP",Lookup!$M$17,IF(GK332="TPPP",Lookup!$M$18,0)))))))*GJ332</f>
        <v>0</v>
      </c>
      <c r="GO332" s="560">
        <f t="shared" si="671"/>
        <v>0</v>
      </c>
      <c r="GP332" s="560">
        <f t="shared" si="642"/>
        <v>0</v>
      </c>
      <c r="GQ332" s="560">
        <f t="shared" si="679"/>
        <v>0</v>
      </c>
      <c r="GR332" s="560"/>
      <c r="GS332" s="560">
        <f t="shared" si="672"/>
        <v>0</v>
      </c>
      <c r="GT332" s="560" t="str">
        <f t="shared" si="673"/>
        <v/>
      </c>
      <c r="GU332" s="560">
        <f>IF(GK332="P",Lookup!$N$12,IF(GK332="PP",Lookup!$N$13,IF(GK332="PPP",Lookup!$N$14,IF(GK332="T",Lookup!$N$15,IF(GK332="TP",Lookup!$N$16,IF(GK332="TPP",Lookup!$N$17,IF(GK332="TPPP",Lookup!$N$18,0)))))))*GJ332</f>
        <v>0</v>
      </c>
      <c r="GV332" s="560">
        <f t="shared" si="674"/>
        <v>0</v>
      </c>
      <c r="GW332" s="560">
        <f t="shared" si="643"/>
        <v>0</v>
      </c>
      <c r="GX332" s="560">
        <f t="shared" si="680"/>
        <v>0</v>
      </c>
      <c r="GY332" s="560"/>
      <c r="GZ332" s="560">
        <f t="shared" si="675"/>
        <v>0</v>
      </c>
      <c r="HA332" s="560" t="str">
        <f t="shared" si="676"/>
        <v/>
      </c>
      <c r="HB332" s="560">
        <f>IF(GK332="P",Lookup!$N$12,IF(GK332="PP",Lookup!$N$13,IF(GK332="PPP",Lookup!$N$14,IF(GK332="T",Lookup!$N$15,IF(GK332="TP",Lookup!$N$16,IF(GK332="TPP",Lookup!$N$17,IF(GK332="TPPP",Lookup!$N$18,0)))))))*GJ332</f>
        <v>0</v>
      </c>
      <c r="HC332" s="545">
        <f t="shared" si="644"/>
        <v>0</v>
      </c>
      <c r="HD332" s="560">
        <f t="shared" si="645"/>
        <v>0</v>
      </c>
      <c r="HE332" s="560">
        <f t="shared" si="681"/>
        <v>0</v>
      </c>
      <c r="HF332" s="560"/>
      <c r="HG332" s="560">
        <f t="shared" si="677"/>
        <v>0</v>
      </c>
      <c r="HH332" s="560" t="str">
        <f t="shared" si="678"/>
        <v/>
      </c>
      <c r="HI332" s="560">
        <f>IF(GK332="P",Lookup!$N$12,IF(GK332="PP",Lookup!$N$13,IF(GK332="PPP",Lookup!$N$14,IF(GK332="T",Lookup!$N$15,IF(GK332="TP",Lookup!$N$16,IF(GK332="TPP",Lookup!$N$17,IF(GK332="TPPP",Lookup!$N$18,0)))))))*GJ332</f>
        <v>0</v>
      </c>
      <c r="HJ332" s="545">
        <f t="shared" si="646"/>
        <v>0</v>
      </c>
      <c r="HK332" s="560">
        <f t="shared" si="647"/>
        <v>0</v>
      </c>
      <c r="HL332" s="560">
        <f t="shared" si="682"/>
        <v>0</v>
      </c>
    </row>
    <row r="333" spans="1:220">
      <c r="A333" s="580" t="s">
        <v>5</v>
      </c>
      <c r="B333" s="556">
        <v>41961</v>
      </c>
      <c r="C333" s="561">
        <v>0</v>
      </c>
      <c r="D333" s="529">
        <f t="shared" si="580"/>
        <v>300</v>
      </c>
      <c r="E333" s="529">
        <f t="shared" si="581"/>
        <v>250</v>
      </c>
      <c r="F333" s="529">
        <v>250</v>
      </c>
      <c r="G333" s="560">
        <f>DR333+Sheet1!CZ335</f>
        <v>540.08421583454356</v>
      </c>
      <c r="H333" s="914">
        <f t="shared" si="650"/>
        <v>82.147237115448945</v>
      </c>
      <c r="I333" s="559">
        <f>MAX(Sheet1!Z335-AT333+(Sheet1!DA335-E333)*CFStoMGD,0)</f>
        <v>462.34039999999999</v>
      </c>
      <c r="J333" s="562">
        <f>IF(AND(B333&gt;=Calculation!GC333,B333&lt;=Calculation!GD333),IF(Sheet1!DB335&gt;=Calculation!D333,64.64,0),MAX(Sheet1!Z335-AT333+(Sheet1!DB335-D333)*CFStoMGD,0))</f>
        <v>240.62519999999998</v>
      </c>
      <c r="K333" s="904">
        <f t="shared" si="583"/>
        <v>64.64</v>
      </c>
      <c r="L333" s="560">
        <f>Sheet1!AA335+Sheet1!AB335-Sheet1!L335+(Sheet1!DA335-F333)*CFStoMGD</f>
        <v>457.03040000000101</v>
      </c>
      <c r="M333" s="560">
        <f t="shared" si="584"/>
        <v>356.09264585775793</v>
      </c>
      <c r="N333" s="910">
        <f>IF(Sheet1!DA335&gt;=F333,MIN(73,MIN(MAX(L333,0),MAX(M333,0))),0)</f>
        <v>73</v>
      </c>
      <c r="O333" s="563">
        <f>Sheet1!AA335+Sheet1!AB335</f>
        <v>54.879999999999995</v>
      </c>
      <c r="P333" s="563">
        <f t="shared" si="585"/>
        <v>84.899360000000001</v>
      </c>
      <c r="Q333" s="898">
        <f t="shared" si="651"/>
        <v>0</v>
      </c>
      <c r="R333" s="829">
        <f t="shared" si="586"/>
        <v>9.0187291546866017</v>
      </c>
      <c r="S333" s="898">
        <f t="shared" si="683"/>
        <v>54.879999999999995</v>
      </c>
      <c r="T333" s="898">
        <f t="shared" si="652"/>
        <v>0</v>
      </c>
      <c r="U333" s="898">
        <f t="shared" si="653"/>
        <v>0</v>
      </c>
      <c r="V333" s="898"/>
      <c r="W333" s="898">
        <f t="shared" si="654"/>
        <v>55.621270845313397</v>
      </c>
      <c r="X333" s="898">
        <f t="shared" si="655"/>
        <v>54.879999999999995</v>
      </c>
      <c r="Y333" s="898" t="str">
        <f t="shared" si="656"/>
        <v/>
      </c>
      <c r="Z333" s="898">
        <f t="shared" si="657"/>
        <v>54.879999999999995</v>
      </c>
      <c r="AA333" s="898">
        <f t="shared" si="658"/>
        <v>54.879999999999995</v>
      </c>
      <c r="AB333" s="898" t="str">
        <f t="shared" si="659"/>
        <v/>
      </c>
      <c r="AC333" s="563">
        <f>Sheet1!Y335*MGDtoCFS</f>
        <v>30.785299999999996</v>
      </c>
      <c r="AD333" s="563">
        <f>Sheet1!Z335*MGDtoCFS</f>
        <v>54.25329</v>
      </c>
      <c r="AE333" s="563">
        <f>Sheet1!AA335*MGDtoCFS</f>
        <v>30.862649999999999</v>
      </c>
      <c r="AF333" s="563">
        <f>Sheet1!AB335*MGDtoCFS</f>
        <v>54.036709999999999</v>
      </c>
      <c r="AG333" s="563">
        <f>Sheet1!L335*MGDtoCFS</f>
        <v>38.860639999998419</v>
      </c>
      <c r="AH333" s="545">
        <f t="shared" si="587"/>
        <v>0</v>
      </c>
      <c r="AI333" s="560">
        <f t="shared" si="588"/>
        <v>0</v>
      </c>
      <c r="AJ333" s="560">
        <f t="shared" si="589"/>
        <v>0</v>
      </c>
      <c r="AK333" s="560">
        <f t="shared" si="590"/>
        <v>0</v>
      </c>
      <c r="AL333" s="560">
        <f>(VLOOKUP(Sheet1!DC335,hhdcap_wcm,4)-(((VLOOKUP(Sheet1!DC335,hhdcap_wcm,3)-Sheet1!DC335)/(VLOOKUP(Sheet1!DC335,hhdcap_wcm,3)-VLOOKUP(Sheet1!DC335,hhdcap_wcm,1)))*(VLOOKUP(Sheet1!DC335,hhdcap_wcm,4)-VLOOKUP(Sheet1!DC335,hhdcap_wcm,2))))</f>
        <v>619.00000000230102</v>
      </c>
      <c r="AM333" s="560">
        <f t="shared" si="591"/>
        <v>-97.000000000100044</v>
      </c>
      <c r="AN333" s="560">
        <f t="shared" si="592"/>
        <v>0</v>
      </c>
      <c r="AO333" s="560">
        <f t="shared" si="593"/>
        <v>0</v>
      </c>
      <c r="AP333" s="560">
        <f>Sheet1!BA335+Sheet1!BB335+Sheet1!BN335+CD333</f>
        <v>25.8</v>
      </c>
      <c r="AQ333" s="560">
        <f>Sheet1!BN335+(DO333*Sheet1!BN335)</f>
        <v>24.90695802185164</v>
      </c>
      <c r="AR333" s="560">
        <f>Sheet1!BA335+CD333</f>
        <v>0</v>
      </c>
      <c r="AS333" s="560">
        <f>Sheet1!BA335+Sheet1!BB335+CD333</f>
        <v>1</v>
      </c>
      <c r="AT333" s="698">
        <f>0</f>
        <v>0</v>
      </c>
      <c r="AU333" s="560">
        <f>IF(EB333&lt;K333,0,MAX(Sheet1!AA335+AQ333-15/36*K333-N333,Sheet1!EH335,0))</f>
        <v>0</v>
      </c>
      <c r="AV333" s="560">
        <f>IF(OR(B333&gt;=GD333,B333&lt;GC333),0,15/36*K333-MAX(0,64.6-(137.6-(Sheet1!AA335+Sheet1!AB335))))</f>
        <v>0</v>
      </c>
      <c r="AW333" s="698">
        <f>Sheet1!DB335-110</f>
        <v>508</v>
      </c>
      <c r="AX333" s="698">
        <f>Sheet1!DA335-265</f>
        <v>646</v>
      </c>
      <c r="AY333" s="698">
        <f t="shared" si="594"/>
        <v>73</v>
      </c>
      <c r="AZ333" s="698">
        <v>0</v>
      </c>
      <c r="BA333" s="698">
        <f t="shared" si="595"/>
        <v>0</v>
      </c>
      <c r="BB333" s="560">
        <f t="shared" si="596"/>
        <v>0</v>
      </c>
      <c r="BC333" s="560"/>
      <c r="BD333" s="560">
        <f ca="1">IF(B333&gt;Summary!$A$1,#N/A,BB333*MGtoAF)</f>
        <v>0</v>
      </c>
      <c r="BE333" s="560">
        <f>Sheet1!BG335+Sheet1!BH335+Sheet1!BI335-BM333</f>
        <v>0</v>
      </c>
      <c r="BF333" s="560">
        <f t="shared" si="597"/>
        <v>0</v>
      </c>
      <c r="BG333" s="560">
        <f>IF(Sheet1!EP335="FM",BM333,0)</f>
        <v>0</v>
      </c>
      <c r="BH333" s="560">
        <f t="shared" si="598"/>
        <v>0</v>
      </c>
      <c r="BI333" s="560">
        <f>IF(Sheet1!EP335="OTHER",BM333,0)</f>
        <v>0</v>
      </c>
      <c r="BJ333" s="560">
        <f t="shared" si="599"/>
        <v>0</v>
      </c>
      <c r="BK333" s="560">
        <f t="shared" si="600"/>
        <v>0</v>
      </c>
      <c r="BL333" s="560">
        <f t="shared" si="601"/>
        <v>0</v>
      </c>
      <c r="BM333" s="560">
        <f>IF(OR(Sheet1!EP335="FM", Sheet1!EP335="OTHER"),SUM(Sheet1!BG335:'Sheet1'!BI335),0)</f>
        <v>0</v>
      </c>
      <c r="BN333" s="545">
        <f>IF(AND($B333&gt;=$FV333,$B333&lt;=$FW333),MAX(BF333,Sheet1!EI335,0),MAX(BF333-(7/36)*$K333,0))</f>
        <v>0</v>
      </c>
      <c r="BO333" s="560">
        <f t="shared" si="602"/>
        <v>0</v>
      </c>
      <c r="BP333" s="545">
        <f t="shared" si="603"/>
        <v>0</v>
      </c>
      <c r="BQ333" s="545">
        <f>IF(AND($O333&gt;0,Sheet1!EM335=1),(1-($O333-Sheet1!$L335)/$O333)*BL333,0)</f>
        <v>0</v>
      </c>
      <c r="BR333" s="545">
        <f>IF(AND(Sheet1!$L335=0,Sheet1!$L334=0, Calculation!BK333&lt;Sheet1!$EI335-0.1,Sheet1!$EI335=Sheet1!$EI334,Sheet1!$EI335=Sheet1!$EI336),Sheet1!$EI335,BL333-BQ333)</f>
        <v>0</v>
      </c>
      <c r="BS333" s="560"/>
      <c r="BT333" s="560"/>
      <c r="BU333" s="560">
        <f t="shared" si="604"/>
        <v>0</v>
      </c>
      <c r="BV333" s="560"/>
      <c r="BW333" s="560">
        <f ca="1">IF(B333&gt;Summary!$A$1,#N/A,BU333*MGtoAF)</f>
        <v>0</v>
      </c>
      <c r="BX333" s="560">
        <f>Sheet1!BC335+Sheet1!BD335+Sheet1!BE335+Sheet1!BF335-CG333-CH333</f>
        <v>2.5099999999999998</v>
      </c>
      <c r="BY333" s="560">
        <f t="shared" si="605"/>
        <v>2.5208251868890166</v>
      </c>
      <c r="BZ333" s="560">
        <f>IF(Sheet1!EQ335="FM",CH333,0)</f>
        <v>0</v>
      </c>
      <c r="CA333" s="560">
        <f t="shared" si="606"/>
        <v>0</v>
      </c>
      <c r="CB333" s="560">
        <f>IF(Sheet1!EQ335="OTHER",CH333,0)</f>
        <v>0</v>
      </c>
      <c r="CC333" s="560">
        <f t="shared" si="607"/>
        <v>0</v>
      </c>
      <c r="CD333" s="560">
        <f t="shared" si="608"/>
        <v>0</v>
      </c>
      <c r="CE333" s="560">
        <f t="shared" si="609"/>
        <v>2.5099999999999998</v>
      </c>
      <c r="CF333" s="560">
        <f t="shared" si="610"/>
        <v>2.5208251868890166</v>
      </c>
      <c r="CG333" s="560">
        <f>IF(Sheet1!EQ335="CWA",SUM(Sheet1!BC335:'Sheet1'!BF335),0)</f>
        <v>0</v>
      </c>
      <c r="CH333" s="560">
        <f>IF(OR(Sheet1!EQ335="FM", Sheet1!EQ335="OTHER"),SUM(Sheet1!BC335:'Sheet1'!BF335),0)</f>
        <v>0</v>
      </c>
      <c r="CI333" s="545">
        <f>IF(AND($B333&gt;=$FV333,$B333&lt;=$FW333),MAX(CF333,Sheet1!EJ335,0),MAX(CF333-(7/36)*$K333,0))</f>
        <v>0</v>
      </c>
      <c r="CJ333" s="560">
        <f t="shared" si="611"/>
        <v>0</v>
      </c>
      <c r="CK333" s="545">
        <f t="shared" si="612"/>
        <v>2.5208251868890166</v>
      </c>
      <c r="CL333" s="545">
        <f>IF(AND($O333&gt;0,Sheet1!EN335=1),(1-($O333-Sheet1!$L335)/$O333)*CF333,0)</f>
        <v>0</v>
      </c>
      <c r="CM333" s="545">
        <f>IF(AND(Sheet1!$L335=0,Sheet1!$L334=0, Calculation!CE333&lt;Sheet1!EJ335-0.1,Sheet1!EJ335=Sheet1!EJ334,Sheet1!EJ335=Sheet1!EJ336),Sheet1!EJ335,CF333-CL333)</f>
        <v>2.5208251868890166</v>
      </c>
      <c r="CN333" s="545"/>
      <c r="CO333" s="560"/>
      <c r="CP333" s="560">
        <f t="shared" si="613"/>
        <v>0</v>
      </c>
      <c r="CQ333" s="560"/>
      <c r="CR333" s="560">
        <f ca="1">IF(B333&gt;Summary!$A$1,#N/A,CP333*MGtoAF)</f>
        <v>0</v>
      </c>
      <c r="CS333" s="560">
        <f>Sheet1!BK335+Sheet1!BL335+Sheet1!BM335-Sheet1!ER335-DA333</f>
        <v>6.4700000000000006</v>
      </c>
      <c r="CT333" s="560">
        <f t="shared" si="614"/>
        <v>6.4979039677975852</v>
      </c>
      <c r="CU333" s="560">
        <f>IF(Sheet1!ER335="FM",DA333,0)</f>
        <v>0</v>
      </c>
      <c r="CV333" s="560">
        <f t="shared" si="615"/>
        <v>0</v>
      </c>
      <c r="CW333" s="560">
        <f>IF(Sheet1!ER335="OTHER",DA333,0)</f>
        <v>0</v>
      </c>
      <c r="CX333" s="560">
        <f t="shared" si="616"/>
        <v>0</v>
      </c>
      <c r="CY333" s="560">
        <f t="shared" si="617"/>
        <v>6.4700000000000006</v>
      </c>
      <c r="CZ333" s="560">
        <f t="shared" si="618"/>
        <v>6.4979039677975852</v>
      </c>
      <c r="DA333" s="560">
        <f>IF(OR(Sheet1!ER335="FM", Sheet1!ER335="OTHER"),SUM(Sheet1!BK335:'Sheet1'!BM335),0)</f>
        <v>0</v>
      </c>
      <c r="DB333" s="545">
        <f>IF(AND($B333&gt;=$FV333,$B333&lt;=$FW333),MAX($CT333,Sheet1!EK335,0),MAX($CT333-(7/36)*$K333,0))</f>
        <v>0</v>
      </c>
      <c r="DC333" s="560">
        <f t="shared" si="619"/>
        <v>0</v>
      </c>
      <c r="DD333" s="545">
        <f t="shared" si="620"/>
        <v>6.4979039677975852</v>
      </c>
      <c r="DE333" s="545">
        <f>IF(AND($O333&gt;0,Sheet1!EO335=1),(1-($O333-Sheet1!$L335)/$O333)*CZ333,0)</f>
        <v>0</v>
      </c>
      <c r="DF333" s="545">
        <f>IF(AND(Sheet1!$L335=0,Sheet1!$L334=0, Calculation!CY333&lt;Sheet1!$EK335-0.1,Sheet1!$EK335=Sheet1!$EK334,Sheet1!$EK335=Sheet1!$EK336),Sheet1!$EK335,CZ333-DE333)</f>
        <v>6.4979039677975852</v>
      </c>
      <c r="DG333" s="545"/>
      <c r="DH333" s="560">
        <f t="shared" si="621"/>
        <v>8.98</v>
      </c>
      <c r="DI333" s="560">
        <f t="shared" si="622"/>
        <v>0</v>
      </c>
      <c r="DJ333" s="698">
        <f t="shared" si="623"/>
        <v>9.0187291546866017</v>
      </c>
      <c r="DK333" s="560">
        <f ca="1">IF(B333&gt;Summary!$A$1,#N/A,DI333*MGtoAF)</f>
        <v>0</v>
      </c>
      <c r="DL333" s="698">
        <f t="shared" si="624"/>
        <v>8.98</v>
      </c>
      <c r="DM333" s="560">
        <f t="shared" si="625"/>
        <v>34.78</v>
      </c>
      <c r="DN333" s="560">
        <f>Sheet1!AB335-DM333</f>
        <v>0.14999999999999858</v>
      </c>
      <c r="DO333" s="560">
        <f t="shared" si="626"/>
        <v>4.312823461759591E-3</v>
      </c>
      <c r="DP333" s="560">
        <f>(VLOOKUP(Sheet1!DC335,hhdcap_wcm,4)-(((VLOOKUP(Sheet1!DC335,hhdcap_wcm,3)-Sheet1!DC335)/(VLOOKUP(Sheet1!DC335,hhdcap_wcm,3)-VLOOKUP(Sheet1!DC335,hhdcap_wcm,1)))*(VLOOKUP(Sheet1!DC335,hhdcap_wcm,4)-VLOOKUP(Sheet1!DC335,hhdcap_wcm,2))))</f>
        <v>619.00000000230102</v>
      </c>
      <c r="DQ333" s="560">
        <f t="shared" si="627"/>
        <v>-97.000000000100044</v>
      </c>
      <c r="DR333" s="560">
        <f t="shared" si="628"/>
        <v>-48.915784165456394</v>
      </c>
      <c r="DS333" s="560">
        <f>Sheet1!EA335*AFtoMG</f>
        <v>0</v>
      </c>
      <c r="DT333" s="560">
        <f>Sheet1!EB335*AFtoMG</f>
        <v>0</v>
      </c>
      <c r="DU333" s="560">
        <f>Sheet1!EC335*AFtoMG</f>
        <v>0</v>
      </c>
      <c r="DV333" s="560">
        <f>Sheet1!ED335*AFtoMG</f>
        <v>0</v>
      </c>
      <c r="DW333" s="560">
        <f t="shared" si="629"/>
        <v>0</v>
      </c>
      <c r="DX333" s="560">
        <f t="shared" si="630"/>
        <v>0</v>
      </c>
      <c r="DY333" s="560">
        <f t="shared" si="631"/>
        <v>0</v>
      </c>
      <c r="DZ333" s="560">
        <f t="shared" si="632"/>
        <v>0</v>
      </c>
      <c r="EA333" s="560"/>
      <c r="EB333" s="545">
        <f>IF(OR(B333&lt;FV333,B333&gt;FW333),(MIN(BF333+BY333+CT333+MAX(Sheet1!AA335+AQ333-73,0),K333)),0)</f>
        <v>9.0187291546866017</v>
      </c>
      <c r="EC333" s="560"/>
      <c r="ED333" s="560">
        <f t="shared" si="633"/>
        <v>9.0187291546866017</v>
      </c>
      <c r="EE333" s="560"/>
      <c r="EF333" s="560">
        <f>Sheet1!EH335+Sheet1!EI335+Sheet1!EJ335+Sheet1!EK335</f>
        <v>9</v>
      </c>
      <c r="EG333" s="560"/>
      <c r="EH333" s="545">
        <f t="shared" si="634"/>
        <v>0</v>
      </c>
      <c r="EI333" s="560">
        <f>IF(Sheet1!ET335=1,SUM('Calculations II'!AT333:BA333)+'Calculations II'!BC333+Sheet1!BV335+'Calculations II'!BE333+AP333,SUM('Calculations II'!AT333:BA333)+'Calculations II'!BC333+Sheet1!BV335+'Calculations II'!BE333+AP333)</f>
        <v>52.377184</v>
      </c>
      <c r="EJ333" s="560">
        <f>Sheet1!AA335+Sheet1!AB335+'Calculations II'!BC333</f>
        <v>62.839023999999995</v>
      </c>
      <c r="EK333" s="560"/>
      <c r="EL333" s="560"/>
      <c r="EM333" s="560">
        <f t="shared" si="635"/>
        <v>41961</v>
      </c>
      <c r="EN333" s="560">
        <f t="shared" si="636"/>
        <v>0</v>
      </c>
      <c r="EO333" s="560">
        <f t="shared" si="637"/>
        <v>0</v>
      </c>
      <c r="EP333" s="560">
        <v>0</v>
      </c>
      <c r="EQ333" s="560">
        <v>0</v>
      </c>
      <c r="ER333" s="560">
        <v>0</v>
      </c>
      <c r="ES333" s="545">
        <f t="shared" si="660"/>
        <v>-6.0916385666553641</v>
      </c>
      <c r="ET333" s="560">
        <f>-(VLOOKUP(Sheet1!BQ335,Lookup!$O$4:$Q$262,2)-VLOOKUP(Sheet1!BQ334,Lookup!$O$4:$Q$262,2))/1000000</f>
        <v>-3.0456078398919106</v>
      </c>
      <c r="EU333" s="560">
        <f>-(VLOOKUP(Sheet1!BR335,Lookup!$O$4:$Q$262,3)-VLOOKUP(Sheet1!BR334,Lookup!$O$4:$Q$262,3))/1000000</f>
        <v>-3.0460307267634534</v>
      </c>
      <c r="EV333" s="560"/>
      <c r="EW333" s="560"/>
      <c r="EX333" s="560"/>
      <c r="EY333" s="560"/>
      <c r="EZ333" s="560"/>
      <c r="FA333" s="560"/>
      <c r="FB333" s="560"/>
      <c r="FC333" s="560"/>
      <c r="FD333" s="594">
        <f t="shared" si="638"/>
        <v>1080.984615384589</v>
      </c>
      <c r="FE333" s="594" t="e">
        <f t="shared" si="639"/>
        <v>#N/A</v>
      </c>
      <c r="FF333" s="595" t="e">
        <f t="shared" si="640"/>
        <v>#N/A</v>
      </c>
      <c r="FG333" s="596" t="s">
        <v>692</v>
      </c>
      <c r="FH333" s="596" t="s">
        <v>692</v>
      </c>
      <c r="FI333" s="594" t="e">
        <v>#N/A</v>
      </c>
      <c r="FJ333" s="778">
        <v>1080</v>
      </c>
      <c r="FK333" s="560"/>
      <c r="FL333" s="560"/>
      <c r="FM333" s="560"/>
      <c r="FN333" s="560"/>
      <c r="FO333" s="560">
        <f>O333+((Sheet1!CS335)*GPMtoMGD)</f>
        <v>62.839023999999995</v>
      </c>
      <c r="FP333" s="560">
        <f>IF(Sheet1!AA335+AQ333&lt;=Calculation!N333,AQ333,Calculation!N333-Sheet1!AA335)</f>
        <v>24.90695802185164</v>
      </c>
      <c r="FQ333" s="560">
        <f>(Sheet1!BP335+Sheet1!BO335)/694.4</f>
        <v>0</v>
      </c>
      <c r="FR333" s="560"/>
      <c r="FS333" s="560"/>
      <c r="FT333" s="560"/>
      <c r="FU333" s="560"/>
      <c r="FV333" s="695">
        <f t="shared" si="661"/>
        <v>41827</v>
      </c>
      <c r="FW333" s="695">
        <f t="shared" si="662"/>
        <v>41934</v>
      </c>
      <c r="FX333" s="560"/>
      <c r="FY333" s="560"/>
      <c r="FZ333" s="560"/>
      <c r="GA333" s="560"/>
      <c r="GB333" s="560" t="str">
        <f t="shared" si="663"/>
        <v>n</v>
      </c>
      <c r="GC333" s="564">
        <f t="shared" si="664"/>
        <v>41691</v>
      </c>
      <c r="GD333" s="695">
        <f t="shared" si="665"/>
        <v>41807</v>
      </c>
      <c r="GE333" s="560">
        <v>6518.9</v>
      </c>
      <c r="GF333" s="695">
        <f t="shared" si="666"/>
        <v>41808</v>
      </c>
      <c r="GG333" s="560">
        <f t="shared" si="582"/>
        <v>3259</v>
      </c>
      <c r="GH333" s="564">
        <f t="shared" si="667"/>
        <v>41934</v>
      </c>
      <c r="GJ333" s="545">
        <f t="shared" si="668"/>
        <v>0</v>
      </c>
      <c r="GK333" s="560" t="str">
        <f t="shared" si="641"/>
        <v/>
      </c>
      <c r="GL333" s="560">
        <f t="shared" si="669"/>
        <v>0</v>
      </c>
      <c r="GM333" s="560" t="str">
        <f t="shared" si="670"/>
        <v/>
      </c>
      <c r="GN333" s="560">
        <f>IF(GK333="P",Lookup!$M$12,IF(GK333="PP",Lookup!$M$13,IF(GK333="PPP",Lookup!$M$14,IF(GK333="T",Lookup!$M$15,IF(GK333="TP",Lookup!$M$16,IF(GK333="TPP",Lookup!$M$17,IF(GK333="TPPP",Lookup!$M$18,0)))))))*GJ333</f>
        <v>0</v>
      </c>
      <c r="GO333" s="560">
        <f t="shared" si="671"/>
        <v>0</v>
      </c>
      <c r="GP333" s="560">
        <f t="shared" si="642"/>
        <v>0</v>
      </c>
      <c r="GQ333" s="560">
        <f t="shared" si="679"/>
        <v>0</v>
      </c>
      <c r="GR333" s="560"/>
      <c r="GS333" s="560">
        <f t="shared" si="672"/>
        <v>0</v>
      </c>
      <c r="GT333" s="560" t="str">
        <f t="shared" si="673"/>
        <v/>
      </c>
      <c r="GU333" s="560">
        <f>IF(GK333="P",Lookup!$N$12,IF(GK333="PP",Lookup!$N$13,IF(GK333="PPP",Lookup!$N$14,IF(GK333="T",Lookup!$N$15,IF(GK333="TP",Lookup!$N$16,IF(GK333="TPP",Lookup!$N$17,IF(GK333="TPPP",Lookup!$N$18,0)))))))*GJ333</f>
        <v>0</v>
      </c>
      <c r="GV333" s="560">
        <f t="shared" si="674"/>
        <v>0</v>
      </c>
      <c r="GW333" s="560">
        <f t="shared" si="643"/>
        <v>0</v>
      </c>
      <c r="GX333" s="560">
        <f t="shared" si="680"/>
        <v>0</v>
      </c>
      <c r="GY333" s="560"/>
      <c r="GZ333" s="560">
        <f t="shared" si="675"/>
        <v>0</v>
      </c>
      <c r="HA333" s="560" t="str">
        <f t="shared" si="676"/>
        <v/>
      </c>
      <c r="HB333" s="560">
        <f>IF(GK333="P",Lookup!$N$12,IF(GK333="PP",Lookup!$N$13,IF(GK333="PPP",Lookup!$N$14,IF(GK333="T",Lookup!$N$15,IF(GK333="TP",Lookup!$N$16,IF(GK333="TPP",Lookup!$N$17,IF(GK333="TPPP",Lookup!$N$18,0)))))))*GJ333</f>
        <v>0</v>
      </c>
      <c r="HC333" s="545">
        <f t="shared" si="644"/>
        <v>0</v>
      </c>
      <c r="HD333" s="560">
        <f t="shared" si="645"/>
        <v>0</v>
      </c>
      <c r="HE333" s="560">
        <f t="shared" si="681"/>
        <v>0</v>
      </c>
      <c r="HF333" s="560"/>
      <c r="HG333" s="560">
        <f t="shared" si="677"/>
        <v>0</v>
      </c>
      <c r="HH333" s="560" t="str">
        <f t="shared" si="678"/>
        <v/>
      </c>
      <c r="HI333" s="560">
        <f>IF(GK333="P",Lookup!$N$12,IF(GK333="PP",Lookup!$N$13,IF(GK333="PPP",Lookup!$N$14,IF(GK333="T",Lookup!$N$15,IF(GK333="TP",Lookup!$N$16,IF(GK333="TPP",Lookup!$N$17,IF(GK333="TPPP",Lookup!$N$18,0)))))))*GJ333</f>
        <v>0</v>
      </c>
      <c r="HJ333" s="545">
        <f t="shared" si="646"/>
        <v>0</v>
      </c>
      <c r="HK333" s="560">
        <f t="shared" si="647"/>
        <v>0</v>
      </c>
      <c r="HL333" s="560">
        <f t="shared" si="682"/>
        <v>0</v>
      </c>
    </row>
    <row r="334" spans="1:220">
      <c r="A334" s="580" t="s">
        <v>6</v>
      </c>
      <c r="B334" s="556">
        <v>41962</v>
      </c>
      <c r="C334" s="561">
        <v>0</v>
      </c>
      <c r="D334" s="529">
        <f t="shared" si="580"/>
        <v>300</v>
      </c>
      <c r="E334" s="529">
        <f t="shared" si="581"/>
        <v>250</v>
      </c>
      <c r="F334" s="529">
        <v>250</v>
      </c>
      <c r="G334" s="560">
        <f>DR334+Sheet1!CZ336</f>
        <v>553.09430156319388</v>
      </c>
      <c r="H334" s="914">
        <f t="shared" si="650"/>
        <v>90.556956530448517</v>
      </c>
      <c r="I334" s="559">
        <f>MAX(Sheet1!Z336-AT334+(Sheet1!DA336-E334)*CFStoMGD,0)</f>
        <v>418.24520000000001</v>
      </c>
      <c r="J334" s="562">
        <f>IF(AND(B334&gt;=Calculation!GC334,B334&lt;=Calculation!GD334),IF(Sheet1!DB336&gt;=Calculation!D334,64.64,0),MAX(Sheet1!Z336-AT334+(Sheet1!DB336-D334)*CFStoMGD,0))</f>
        <v>216.5684</v>
      </c>
      <c r="K334" s="904">
        <f t="shared" si="583"/>
        <v>64.64</v>
      </c>
      <c r="L334" s="560">
        <f>Sheet1!AA336+Sheet1!AB336-Sheet1!L336+(Sheet1!DA336-F334)*CFStoMGD</f>
        <v>392.65520000000026</v>
      </c>
      <c r="M334" s="560">
        <f t="shared" si="584"/>
        <v>364.6705596610575</v>
      </c>
      <c r="N334" s="910">
        <f>IF(Sheet1!DA336&gt;=F334,MIN(73,MIN(MAX(L334,0),MAX(M334,0))),0)</f>
        <v>73</v>
      </c>
      <c r="O334" s="563">
        <f>Sheet1!AA336+Sheet1!AB336</f>
        <v>48.91</v>
      </c>
      <c r="P334" s="563">
        <f t="shared" si="585"/>
        <v>75.66377</v>
      </c>
      <c r="Q334" s="898">
        <f t="shared" si="651"/>
        <v>0</v>
      </c>
      <c r="R334" s="829">
        <f t="shared" si="586"/>
        <v>8.0044432882414132</v>
      </c>
      <c r="S334" s="898">
        <f t="shared" si="683"/>
        <v>48.91</v>
      </c>
      <c r="T334" s="898">
        <f t="shared" si="652"/>
        <v>0</v>
      </c>
      <c r="U334" s="898">
        <f t="shared" si="653"/>
        <v>0</v>
      </c>
      <c r="V334" s="898"/>
      <c r="W334" s="898">
        <f t="shared" si="654"/>
        <v>56.635556711758589</v>
      </c>
      <c r="X334" s="898">
        <f t="shared" si="655"/>
        <v>48.91</v>
      </c>
      <c r="Y334" s="898" t="str">
        <f t="shared" si="656"/>
        <v/>
      </c>
      <c r="Z334" s="898">
        <f t="shared" si="657"/>
        <v>48.91</v>
      </c>
      <c r="AA334" s="898">
        <f t="shared" si="658"/>
        <v>48.91</v>
      </c>
      <c r="AB334" s="898" t="str">
        <f t="shared" si="659"/>
        <v/>
      </c>
      <c r="AC334" s="563">
        <f>Sheet1!Y336*MGDtoCFS</f>
        <v>30.862649999999999</v>
      </c>
      <c r="AD334" s="563">
        <f>Sheet1!Z336*MGDtoCFS</f>
        <v>54.036709999999999</v>
      </c>
      <c r="AE334" s="563">
        <f>Sheet1!AA336*MGDtoCFS</f>
        <v>31.0947</v>
      </c>
      <c r="AF334" s="563">
        <f>Sheet1!AB336*MGDtoCFS</f>
        <v>44.569069999999996</v>
      </c>
      <c r="AG334" s="563">
        <f>Sheet1!L336*MGDtoCFS</f>
        <v>61.214789999999546</v>
      </c>
      <c r="AH334" s="545">
        <f t="shared" si="587"/>
        <v>0</v>
      </c>
      <c r="AI334" s="560">
        <f t="shared" si="588"/>
        <v>0</v>
      </c>
      <c r="AJ334" s="560">
        <f t="shared" si="589"/>
        <v>0</v>
      </c>
      <c r="AK334" s="560">
        <f t="shared" si="590"/>
        <v>0</v>
      </c>
      <c r="AL334" s="560">
        <f>(VLOOKUP(Sheet1!DC336,hhdcap_wcm,4)-(((VLOOKUP(Sheet1!DC336,hhdcap_wcm,3)-Sheet1!DC336)/(VLOOKUP(Sheet1!DC336,hhdcap_wcm,3)-VLOOKUP(Sheet1!DC336,hhdcap_wcm,1)))*(VLOOKUP(Sheet1!DC336,hhdcap_wcm,4)-VLOOKUP(Sheet1!DC336,hhdcap_wcm,2))))</f>
        <v>641.00000000211458</v>
      </c>
      <c r="AM334" s="560">
        <f t="shared" si="591"/>
        <v>21.999999999813554</v>
      </c>
      <c r="AN334" s="560">
        <f t="shared" si="592"/>
        <v>0</v>
      </c>
      <c r="AO334" s="560">
        <f t="shared" si="593"/>
        <v>0</v>
      </c>
      <c r="AP334" s="560">
        <f>Sheet1!BA336+Sheet1!BB336+Sheet1!BN336+CD334</f>
        <v>20.82</v>
      </c>
      <c r="AQ334" s="560">
        <f>Sheet1!BN336+(DO334*Sheet1!BN336)</f>
        <v>19.88619493583073</v>
      </c>
      <c r="AR334" s="560">
        <f>Sheet1!BA336+CD334</f>
        <v>0</v>
      </c>
      <c r="AS334" s="560">
        <f>Sheet1!BA336+Sheet1!BB336+CD334</f>
        <v>0.92</v>
      </c>
      <c r="AT334" s="698">
        <f>0</f>
        <v>0</v>
      </c>
      <c r="AU334" s="560">
        <f>IF(EB334&lt;K334,0,MAX(Sheet1!AA336+AQ334-15/36*K334-N334,Sheet1!EH336,0))</f>
        <v>0</v>
      </c>
      <c r="AV334" s="560">
        <f>IF(OR(B334&gt;=GD334,B334&lt;GC334),0,15/36*K334-MAX(0,64.6-(137.6-(Sheet1!AA336+Sheet1!AB336))))</f>
        <v>0</v>
      </c>
      <c r="AW334" s="698">
        <f>Sheet1!DB336-110</f>
        <v>471</v>
      </c>
      <c r="AX334" s="698">
        <f>Sheet1!DA336-265</f>
        <v>578</v>
      </c>
      <c r="AY334" s="698">
        <f t="shared" si="594"/>
        <v>73</v>
      </c>
      <c r="AZ334" s="698">
        <v>0</v>
      </c>
      <c r="BA334" s="698">
        <f t="shared" si="595"/>
        <v>0</v>
      </c>
      <c r="BB334" s="560">
        <f t="shared" si="596"/>
        <v>0</v>
      </c>
      <c r="BC334" s="560"/>
      <c r="BD334" s="560">
        <f ca="1">IF(B334&gt;Summary!$A$1,#N/A,BB334*MGtoAF)</f>
        <v>0</v>
      </c>
      <c r="BE334" s="560">
        <f>Sheet1!BG336+Sheet1!BH336+Sheet1!BI336-BM334</f>
        <v>0</v>
      </c>
      <c r="BF334" s="560">
        <f t="shared" si="597"/>
        <v>0</v>
      </c>
      <c r="BG334" s="560">
        <f>IF(Sheet1!EP336="FM",BM334,0)</f>
        <v>0</v>
      </c>
      <c r="BH334" s="560">
        <f t="shared" si="598"/>
        <v>0</v>
      </c>
      <c r="BI334" s="560">
        <f>IF(Sheet1!EP336="OTHER",BM334,0)</f>
        <v>0</v>
      </c>
      <c r="BJ334" s="560">
        <f t="shared" si="599"/>
        <v>0</v>
      </c>
      <c r="BK334" s="560">
        <f t="shared" si="600"/>
        <v>0</v>
      </c>
      <c r="BL334" s="560">
        <f t="shared" si="601"/>
        <v>0</v>
      </c>
      <c r="BM334" s="560">
        <f>IF(OR(Sheet1!EP336="FM", Sheet1!EP336="OTHER"),SUM(Sheet1!BG336:'Sheet1'!BI336),0)</f>
        <v>0</v>
      </c>
      <c r="BN334" s="545">
        <f>IF(AND($B334&gt;=$FV334,$B334&lt;=$FW334),MAX(BF334,Sheet1!EI336,0),MAX(BF334-(7/36)*$K334,0))</f>
        <v>0</v>
      </c>
      <c r="BO334" s="560">
        <f t="shared" si="602"/>
        <v>0</v>
      </c>
      <c r="BP334" s="545">
        <f t="shared" si="603"/>
        <v>0</v>
      </c>
      <c r="BQ334" s="545">
        <f>IF(AND($O334&gt;0,Sheet1!EM336=1),(1-($O334-Sheet1!$L336)/$O334)*BL334,0)</f>
        <v>0</v>
      </c>
      <c r="BR334" s="545">
        <f>IF(AND(Sheet1!$L336=0,Sheet1!$L335=0, Calculation!BK334&lt;Sheet1!$EI336-0.1,Sheet1!$EI336=Sheet1!$EI335,Sheet1!$EI336=Sheet1!$EI337),Sheet1!$EI336,BL334-BQ334)</f>
        <v>0</v>
      </c>
      <c r="BS334" s="560"/>
      <c r="BT334" s="560"/>
      <c r="BU334" s="560">
        <f t="shared" si="604"/>
        <v>0</v>
      </c>
      <c r="BV334" s="560"/>
      <c r="BW334" s="560">
        <f ca="1">IF(B334&gt;Summary!$A$1,#N/A,BU334*MGtoAF)</f>
        <v>0</v>
      </c>
      <c r="BX334" s="560">
        <f>Sheet1!BC336+Sheet1!BD336+Sheet1!BE336+Sheet1!BF336-CG334-CH334</f>
        <v>2.2199999999999998</v>
      </c>
      <c r="BY334" s="560">
        <f t="shared" si="605"/>
        <v>2.218459937565036</v>
      </c>
      <c r="BZ334" s="560">
        <f>IF(Sheet1!EQ336="FM",CH334,0)</f>
        <v>0</v>
      </c>
      <c r="CA334" s="560">
        <f t="shared" si="606"/>
        <v>0</v>
      </c>
      <c r="CB334" s="560">
        <f>IF(Sheet1!EQ336="OTHER",CH334,0)</f>
        <v>0</v>
      </c>
      <c r="CC334" s="560">
        <f t="shared" si="607"/>
        <v>0</v>
      </c>
      <c r="CD334" s="560">
        <f t="shared" si="608"/>
        <v>0</v>
      </c>
      <c r="CE334" s="560">
        <f t="shared" si="609"/>
        <v>2.2199999999999998</v>
      </c>
      <c r="CF334" s="560">
        <f t="shared" si="610"/>
        <v>2.218459937565036</v>
      </c>
      <c r="CG334" s="560">
        <f>IF(Sheet1!EQ336="CWA",SUM(Sheet1!BC336:'Sheet1'!BF336),0)</f>
        <v>0</v>
      </c>
      <c r="CH334" s="560">
        <f>IF(OR(Sheet1!EQ336="FM", Sheet1!EQ336="OTHER"),SUM(Sheet1!BC336:'Sheet1'!BF336),0)</f>
        <v>0</v>
      </c>
      <c r="CI334" s="545">
        <f>IF(AND($B334&gt;=$FV334,$B334&lt;=$FW334),MAX(CF334,Sheet1!EJ336,0),MAX(CF334-(7/36)*$K334,0))</f>
        <v>0</v>
      </c>
      <c r="CJ334" s="560">
        <f t="shared" si="611"/>
        <v>0</v>
      </c>
      <c r="CK334" s="545">
        <f t="shared" si="612"/>
        <v>2.218459937565036</v>
      </c>
      <c r="CL334" s="545">
        <f>IF(AND($O334&gt;0,Sheet1!EN336=1),(1-($O334-Sheet1!$L336)/$O334)*CF334,0)</f>
        <v>0</v>
      </c>
      <c r="CM334" s="545">
        <f>IF(AND(Sheet1!$L336=0,Sheet1!$L335=0, Calculation!CE334&lt;Sheet1!EJ336-0.1,Sheet1!EJ336=Sheet1!EJ335,Sheet1!EJ336=Sheet1!EJ337),Sheet1!EJ336,CF334-CL334)</f>
        <v>2.218459937565036</v>
      </c>
      <c r="CN334" s="545"/>
      <c r="CO334" s="560"/>
      <c r="CP334" s="560">
        <f t="shared" si="613"/>
        <v>0</v>
      </c>
      <c r="CQ334" s="560"/>
      <c r="CR334" s="560">
        <f ca="1">IF(B334&gt;Summary!$A$1,#N/A,CP334*MGtoAF)</f>
        <v>0</v>
      </c>
      <c r="CS334" s="560">
        <f>Sheet1!BK336+Sheet1!BL336+Sheet1!BM336-Sheet1!ER336-DA334</f>
        <v>5.7899999999999991</v>
      </c>
      <c r="CT334" s="560">
        <f t="shared" si="614"/>
        <v>5.7859833506763776</v>
      </c>
      <c r="CU334" s="560">
        <f>IF(Sheet1!ER336="FM",DA334,0)</f>
        <v>0</v>
      </c>
      <c r="CV334" s="560">
        <f t="shared" si="615"/>
        <v>0</v>
      </c>
      <c r="CW334" s="560">
        <f>IF(Sheet1!ER336="OTHER",DA334,0)</f>
        <v>0</v>
      </c>
      <c r="CX334" s="560">
        <f t="shared" si="616"/>
        <v>0</v>
      </c>
      <c r="CY334" s="560">
        <f t="shared" si="617"/>
        <v>5.7899999999999991</v>
      </c>
      <c r="CZ334" s="560">
        <f t="shared" si="618"/>
        <v>5.7859833506763776</v>
      </c>
      <c r="DA334" s="560">
        <f>IF(OR(Sheet1!ER336="FM", Sheet1!ER336="OTHER"),SUM(Sheet1!BK336:'Sheet1'!BM336),0)</f>
        <v>0</v>
      </c>
      <c r="DB334" s="545">
        <f>IF(AND($B334&gt;=$FV334,$B334&lt;=$FW334),MAX($CT334,Sheet1!EK336,0),MAX($CT334-(7/36)*$K334,0))</f>
        <v>0</v>
      </c>
      <c r="DC334" s="560">
        <f t="shared" si="619"/>
        <v>0</v>
      </c>
      <c r="DD334" s="545">
        <f t="shared" si="620"/>
        <v>5.7859833506763776</v>
      </c>
      <c r="DE334" s="545">
        <f>IF(AND($O334&gt;0,Sheet1!EO336=1),(1-($O334-Sheet1!$L336)/$O334)*CZ334,0)</f>
        <v>0</v>
      </c>
      <c r="DF334" s="545">
        <f>IF(AND(Sheet1!$L336=0,Sheet1!$L335=0, Calculation!CY334&lt;Sheet1!$EK336-0.1,Sheet1!$EK336=Sheet1!$EK335,Sheet1!$EK336=Sheet1!$EK337),Sheet1!$EK336,CZ334-DE334)</f>
        <v>5.7859833506763776</v>
      </c>
      <c r="DG334" s="545"/>
      <c r="DH334" s="560">
        <f t="shared" si="621"/>
        <v>8.009999999999998</v>
      </c>
      <c r="DI334" s="560">
        <f t="shared" si="622"/>
        <v>0</v>
      </c>
      <c r="DJ334" s="698">
        <f t="shared" si="623"/>
        <v>8.0044432882414132</v>
      </c>
      <c r="DK334" s="560">
        <f ca="1">IF(B334&gt;Summary!$A$1,#N/A,DI334*MGtoAF)</f>
        <v>0</v>
      </c>
      <c r="DL334" s="698">
        <f t="shared" si="624"/>
        <v>8.009999999999998</v>
      </c>
      <c r="DM334" s="560">
        <f t="shared" si="625"/>
        <v>28.83</v>
      </c>
      <c r="DN334" s="560">
        <f>Sheet1!AB336-DM334</f>
        <v>-1.9999999999999574E-2</v>
      </c>
      <c r="DO334" s="560">
        <f t="shared" si="626"/>
        <v>-6.9372181755114723E-4</v>
      </c>
      <c r="DP334" s="560">
        <f>(VLOOKUP(Sheet1!DC336,hhdcap_wcm,4)-(((VLOOKUP(Sheet1!DC336,hhdcap_wcm,3)-Sheet1!DC336)/(VLOOKUP(Sheet1!DC336,hhdcap_wcm,3)-VLOOKUP(Sheet1!DC336,hhdcap_wcm,1)))*(VLOOKUP(Sheet1!DC336,hhdcap_wcm,4)-VLOOKUP(Sheet1!DC336,hhdcap_wcm,2))))</f>
        <v>641.00000000211458</v>
      </c>
      <c r="DQ334" s="560">
        <f t="shared" si="627"/>
        <v>21.999999999813554</v>
      </c>
      <c r="DR334" s="560">
        <f t="shared" si="628"/>
        <v>11.094301563193923</v>
      </c>
      <c r="DS334" s="560">
        <f>Sheet1!EA336*AFtoMG</f>
        <v>0</v>
      </c>
      <c r="DT334" s="560">
        <f>Sheet1!EB336*AFtoMG</f>
        <v>0</v>
      </c>
      <c r="DU334" s="560">
        <f>Sheet1!EC336*AFtoMG</f>
        <v>0</v>
      </c>
      <c r="DV334" s="560">
        <f>Sheet1!ED336*AFtoMG</f>
        <v>0</v>
      </c>
      <c r="DW334" s="560">
        <f t="shared" si="629"/>
        <v>0</v>
      </c>
      <c r="DX334" s="560">
        <f t="shared" si="630"/>
        <v>0</v>
      </c>
      <c r="DY334" s="560">
        <f t="shared" si="631"/>
        <v>0</v>
      </c>
      <c r="DZ334" s="560">
        <f t="shared" si="632"/>
        <v>0</v>
      </c>
      <c r="EA334" s="560"/>
      <c r="EB334" s="545">
        <f>IF(OR(B334&lt;FV334,B334&gt;FW334),(MIN(BF334+BY334+CT334+MAX(Sheet1!AA336+AQ334-73,0),K334)),0)</f>
        <v>8.0044432882414132</v>
      </c>
      <c r="EC334" s="560"/>
      <c r="ED334" s="560">
        <f t="shared" si="633"/>
        <v>8.0044432882414132</v>
      </c>
      <c r="EE334" s="560"/>
      <c r="EF334" s="560">
        <f>Sheet1!EH336+Sheet1!EI336+Sheet1!EJ336+Sheet1!EK336</f>
        <v>9</v>
      </c>
      <c r="EG334" s="560"/>
      <c r="EH334" s="545">
        <f t="shared" si="634"/>
        <v>0</v>
      </c>
      <c r="EI334" s="560">
        <f>IF(Sheet1!ET336=1,SUM('Calculations II'!AT334:BA334)+'Calculations II'!BC334+Sheet1!BV336+'Calculations II'!BE334+AP334,SUM('Calculations II'!AT334:BA334)+'Calculations II'!BC334+Sheet1!BV336+'Calculations II'!BE334+AP334)</f>
        <v>46.352304000000004</v>
      </c>
      <c r="EJ334" s="560">
        <f>Sheet1!AA336+Sheet1!AB336+'Calculations II'!BC334</f>
        <v>56.134912</v>
      </c>
      <c r="EK334" s="560"/>
      <c r="EL334" s="560"/>
      <c r="EM334" s="560">
        <f t="shared" si="635"/>
        <v>41962</v>
      </c>
      <c r="EN334" s="560">
        <f t="shared" si="636"/>
        <v>0</v>
      </c>
      <c r="EO334" s="560">
        <f t="shared" si="637"/>
        <v>0</v>
      </c>
      <c r="EP334" s="560">
        <v>0</v>
      </c>
      <c r="EQ334" s="560">
        <v>0</v>
      </c>
      <c r="ER334" s="560">
        <v>0</v>
      </c>
      <c r="ES334" s="545">
        <f t="shared" si="660"/>
        <v>-0.83115859135520831</v>
      </c>
      <c r="ET334" s="560">
        <f>-(VLOOKUP(Sheet1!BQ336,Lookup!$O$4:$Q$262,2)-VLOOKUP(Sheet1!BQ335,Lookup!$O$4:$Q$262,2))/1000000</f>
        <v>-0.41555045416807385</v>
      </c>
      <c r="EU334" s="560">
        <f>-(VLOOKUP(Sheet1!BR336,Lookup!$O$4:$Q$262,3)-VLOOKUP(Sheet1!BR335,Lookup!$O$4:$Q$262,3))/1000000</f>
        <v>-0.41560813718713446</v>
      </c>
      <c r="EV334" s="560"/>
      <c r="EW334" s="560"/>
      <c r="EX334" s="560"/>
      <c r="EY334" s="560"/>
      <c r="EZ334" s="560"/>
      <c r="FA334" s="560"/>
      <c r="FB334" s="560"/>
      <c r="FC334" s="560"/>
      <c r="FD334" s="594">
        <f t="shared" si="638"/>
        <v>1080.3214285714027</v>
      </c>
      <c r="FE334" s="594" t="e">
        <f t="shared" si="639"/>
        <v>#N/A</v>
      </c>
      <c r="FF334" s="595" t="e">
        <f t="shared" si="640"/>
        <v>#N/A</v>
      </c>
      <c r="FG334" s="596" t="s">
        <v>692</v>
      </c>
      <c r="FH334" s="596" t="s">
        <v>692</v>
      </c>
      <c r="FI334" s="594" t="e">
        <v>#N/A</v>
      </c>
      <c r="FJ334" s="778">
        <v>990</v>
      </c>
      <c r="FK334" s="560"/>
      <c r="FL334" s="560"/>
      <c r="FM334" s="560"/>
      <c r="FN334" s="560"/>
      <c r="FO334" s="560">
        <f>O334+((Sheet1!CS336)*GPMtoMGD)</f>
        <v>56.134912</v>
      </c>
      <c r="FP334" s="560">
        <f>IF(Sheet1!AA336+AQ334&lt;=Calculation!N334,AQ334,Calculation!N334-Sheet1!AA336)</f>
        <v>19.88619493583073</v>
      </c>
      <c r="FQ334" s="560">
        <f>(Sheet1!BP336+Sheet1!BO336)/694.4</f>
        <v>2.0172811059907834</v>
      </c>
      <c r="FR334" s="560"/>
      <c r="FS334" s="560"/>
      <c r="FT334" s="560"/>
      <c r="FU334" s="560"/>
      <c r="FV334" s="695">
        <f t="shared" si="661"/>
        <v>41827</v>
      </c>
      <c r="FW334" s="695">
        <f t="shared" si="662"/>
        <v>41934</v>
      </c>
      <c r="FX334" s="560"/>
      <c r="FY334" s="560"/>
      <c r="FZ334" s="560"/>
      <c r="GA334" s="560"/>
      <c r="GB334" s="560" t="str">
        <f t="shared" si="663"/>
        <v>n</v>
      </c>
      <c r="GC334" s="564">
        <f t="shared" si="664"/>
        <v>41691</v>
      </c>
      <c r="GD334" s="695">
        <f t="shared" si="665"/>
        <v>41807</v>
      </c>
      <c r="GE334" s="560">
        <v>6518.9</v>
      </c>
      <c r="GF334" s="695">
        <f t="shared" si="666"/>
        <v>41808</v>
      </c>
      <c r="GG334" s="560">
        <f t="shared" si="582"/>
        <v>3259</v>
      </c>
      <c r="GH334" s="564">
        <f t="shared" si="667"/>
        <v>41934</v>
      </c>
      <c r="GJ334" s="545">
        <f t="shared" si="668"/>
        <v>0</v>
      </c>
      <c r="GK334" s="560" t="str">
        <f t="shared" si="641"/>
        <v/>
      </c>
      <c r="GL334" s="560">
        <f t="shared" si="669"/>
        <v>0</v>
      </c>
      <c r="GM334" s="560" t="str">
        <f t="shared" si="670"/>
        <v/>
      </c>
      <c r="GN334" s="560">
        <f>IF(GK334="P",Lookup!$M$12,IF(GK334="PP",Lookup!$M$13,IF(GK334="PPP",Lookup!$M$14,IF(GK334="T",Lookup!$M$15,IF(GK334="TP",Lookup!$M$16,IF(GK334="TPP",Lookup!$M$17,IF(GK334="TPPP",Lookup!$M$18,0)))))))*GJ334</f>
        <v>0</v>
      </c>
      <c r="GO334" s="560">
        <f t="shared" si="671"/>
        <v>0</v>
      </c>
      <c r="GP334" s="560">
        <f t="shared" si="642"/>
        <v>0</v>
      </c>
      <c r="GQ334" s="560">
        <f t="shared" si="679"/>
        <v>0</v>
      </c>
      <c r="GR334" s="560"/>
      <c r="GS334" s="560">
        <f t="shared" si="672"/>
        <v>0</v>
      </c>
      <c r="GT334" s="560" t="str">
        <f t="shared" si="673"/>
        <v/>
      </c>
      <c r="GU334" s="560">
        <f>IF(GK334="P",Lookup!$N$12,IF(GK334="PP",Lookup!$N$13,IF(GK334="PPP",Lookup!$N$14,IF(GK334="T",Lookup!$N$15,IF(GK334="TP",Lookup!$N$16,IF(GK334="TPP",Lookup!$N$17,IF(GK334="TPPP",Lookup!$N$18,0)))))))*GJ334</f>
        <v>0</v>
      </c>
      <c r="GV334" s="560">
        <f t="shared" si="674"/>
        <v>0</v>
      </c>
      <c r="GW334" s="560">
        <f t="shared" si="643"/>
        <v>0</v>
      </c>
      <c r="GX334" s="560">
        <f t="shared" si="680"/>
        <v>0</v>
      </c>
      <c r="GY334" s="560"/>
      <c r="GZ334" s="560">
        <f t="shared" si="675"/>
        <v>0</v>
      </c>
      <c r="HA334" s="560" t="str">
        <f t="shared" si="676"/>
        <v/>
      </c>
      <c r="HB334" s="560">
        <f>IF(GK334="P",Lookup!$N$12,IF(GK334="PP",Lookup!$N$13,IF(GK334="PPP",Lookup!$N$14,IF(GK334="T",Lookup!$N$15,IF(GK334="TP",Lookup!$N$16,IF(GK334="TPP",Lookup!$N$17,IF(GK334="TPPP",Lookup!$N$18,0)))))))*GJ334</f>
        <v>0</v>
      </c>
      <c r="HC334" s="545">
        <f t="shared" si="644"/>
        <v>0</v>
      </c>
      <c r="HD334" s="560">
        <f t="shared" si="645"/>
        <v>0</v>
      </c>
      <c r="HE334" s="560">
        <f t="shared" si="681"/>
        <v>0</v>
      </c>
      <c r="HF334" s="560"/>
      <c r="HG334" s="560">
        <f t="shared" si="677"/>
        <v>0</v>
      </c>
      <c r="HH334" s="560" t="str">
        <f t="shared" si="678"/>
        <v/>
      </c>
      <c r="HI334" s="560">
        <f>IF(GK334="P",Lookup!$N$12,IF(GK334="PP",Lookup!$N$13,IF(GK334="PPP",Lookup!$N$14,IF(GK334="T",Lookup!$N$15,IF(GK334="TP",Lookup!$N$16,IF(GK334="TPP",Lookup!$N$17,IF(GK334="TPPP",Lookup!$N$18,0)))))))*GJ334</f>
        <v>0</v>
      </c>
      <c r="HJ334" s="545">
        <f t="shared" si="646"/>
        <v>0</v>
      </c>
      <c r="HK334" s="560">
        <f t="shared" si="647"/>
        <v>0</v>
      </c>
      <c r="HL334" s="560">
        <f t="shared" si="682"/>
        <v>0</v>
      </c>
    </row>
    <row r="335" spans="1:220">
      <c r="A335" s="580" t="s">
        <v>7</v>
      </c>
      <c r="B335" s="556">
        <v>41963</v>
      </c>
      <c r="C335" s="561">
        <v>0</v>
      </c>
      <c r="D335" s="529">
        <f t="shared" si="580"/>
        <v>300</v>
      </c>
      <c r="E335" s="529">
        <f t="shared" si="581"/>
        <v>250</v>
      </c>
      <c r="F335" s="529">
        <v>250</v>
      </c>
      <c r="G335" s="560">
        <f>DR335+Sheet1!CZ337</f>
        <v>558.69188098852067</v>
      </c>
      <c r="H335" s="914">
        <f t="shared" si="650"/>
        <v>94.175231870979758</v>
      </c>
      <c r="I335" s="559">
        <f>MAX(Sheet1!Z337-AT335+(Sheet1!DA337-E335)*CFStoMGD,0)</f>
        <v>375.55840000000001</v>
      </c>
      <c r="J335" s="562">
        <f>IF(AND(B335&gt;=Calculation!GC335,B335&lt;=Calculation!GD335),IF(Sheet1!DB337&gt;=Calculation!D335,64.64,0),MAX(Sheet1!Z337-AT335+(Sheet1!DB337-D335)*CFStoMGD,0))</f>
        <v>171.29599999999999</v>
      </c>
      <c r="K335" s="904">
        <f t="shared" si="583"/>
        <v>64.64</v>
      </c>
      <c r="L335" s="560">
        <f>Sheet1!AA337+Sheet1!AB337-Sheet1!L337+(Sheet1!DA337-F335)*CFStoMGD</f>
        <v>388.21840000000003</v>
      </c>
      <c r="M335" s="560">
        <f t="shared" si="584"/>
        <v>368.36120050839935</v>
      </c>
      <c r="N335" s="910">
        <f>IF(Sheet1!DA337&gt;=F335,MIN(73,MIN(MAX(L335,0),MAX(M335,0))),0)</f>
        <v>73</v>
      </c>
      <c r="O335" s="563">
        <f>Sheet1!AA337+Sheet1!AB337</f>
        <v>48.1</v>
      </c>
      <c r="P335" s="563">
        <f t="shared" si="585"/>
        <v>74.410699999999991</v>
      </c>
      <c r="Q335" s="898">
        <f t="shared" si="651"/>
        <v>0</v>
      </c>
      <c r="R335" s="829">
        <f t="shared" si="586"/>
        <v>7.8712446351931327</v>
      </c>
      <c r="S335" s="898">
        <f t="shared" si="683"/>
        <v>48.1</v>
      </c>
      <c r="T335" s="898">
        <f t="shared" si="652"/>
        <v>0</v>
      </c>
      <c r="U335" s="898">
        <f t="shared" si="653"/>
        <v>0</v>
      </c>
      <c r="V335" s="898"/>
      <c r="W335" s="898">
        <f t="shared" si="654"/>
        <v>56.768755364806864</v>
      </c>
      <c r="X335" s="898">
        <f t="shared" si="655"/>
        <v>48.1</v>
      </c>
      <c r="Y335" s="898" t="str">
        <f t="shared" si="656"/>
        <v/>
      </c>
      <c r="Z335" s="898">
        <f t="shared" si="657"/>
        <v>48.1</v>
      </c>
      <c r="AA335" s="898">
        <f t="shared" si="658"/>
        <v>48.1</v>
      </c>
      <c r="AB335" s="898" t="str">
        <f t="shared" si="659"/>
        <v/>
      </c>
      <c r="AC335" s="563">
        <f>Sheet1!Y337*MGDtoCFS</f>
        <v>0</v>
      </c>
      <c r="AD335" s="563">
        <f>Sheet1!Z337*MGDtoCFS</f>
        <v>0</v>
      </c>
      <c r="AE335" s="563">
        <f>Sheet1!AA337*MGDtoCFS</f>
        <v>31.0947</v>
      </c>
      <c r="AF335" s="563">
        <f>Sheet1!AB337*MGDtoCFS</f>
        <v>43.315999999999995</v>
      </c>
      <c r="AG335" s="563">
        <f>Sheet1!L337*MGDtoCFS</f>
        <v>54.825679999999991</v>
      </c>
      <c r="AH335" s="545">
        <f t="shared" si="587"/>
        <v>0</v>
      </c>
      <c r="AI335" s="560">
        <f t="shared" si="588"/>
        <v>0</v>
      </c>
      <c r="AJ335" s="560">
        <f t="shared" si="589"/>
        <v>0</v>
      </c>
      <c r="AK335" s="560">
        <f t="shared" si="590"/>
        <v>0</v>
      </c>
      <c r="AL335" s="560">
        <f>(VLOOKUP(Sheet1!DC337,hhdcap_wcm,4)-(((VLOOKUP(Sheet1!DC337,hhdcap_wcm,3)-Sheet1!DC337)/(VLOOKUP(Sheet1!DC337,hhdcap_wcm,3)-VLOOKUP(Sheet1!DC337,hhdcap_wcm,1)))*(VLOOKUP(Sheet1!DC337,hhdcap_wcm,4)-VLOOKUP(Sheet1!DC337,hhdcap_wcm,2))))</f>
        <v>674.10000000235107</v>
      </c>
      <c r="AM335" s="560">
        <f t="shared" si="591"/>
        <v>33.100000000236491</v>
      </c>
      <c r="AN335" s="560">
        <f t="shared" si="592"/>
        <v>0</v>
      </c>
      <c r="AO335" s="560">
        <f t="shared" si="593"/>
        <v>0</v>
      </c>
      <c r="AP335" s="560">
        <f>Sheet1!BA337+Sheet1!BB337+Sheet1!BN337+CD335</f>
        <v>20.100000000000001</v>
      </c>
      <c r="AQ335" s="560">
        <f>Sheet1!BN337+(DO335*Sheet1!BN337)</f>
        <v>19.127324749642348</v>
      </c>
      <c r="AR335" s="560">
        <f>Sheet1!BA337+CD335</f>
        <v>0</v>
      </c>
      <c r="AS335" s="560">
        <f>Sheet1!BA337+Sheet1!BB337+CD335</f>
        <v>1</v>
      </c>
      <c r="AT335" s="698">
        <f>0</f>
        <v>0</v>
      </c>
      <c r="AU335" s="560">
        <f>IF(EB335&lt;K335,0,MAX(Sheet1!AA337+AQ335-15/36*K335-N335,Sheet1!EH337,0))</f>
        <v>0</v>
      </c>
      <c r="AV335" s="560">
        <f>IF(OR(B335&gt;=GD335,B335&lt;GC335),0,15/36*K335-MAX(0,64.6-(137.6-(Sheet1!AA337+Sheet1!AB337))))</f>
        <v>0</v>
      </c>
      <c r="AW335" s="698">
        <f>Sheet1!DB337-110</f>
        <v>455</v>
      </c>
      <c r="AX335" s="698">
        <f>Sheet1!DA337-265</f>
        <v>566</v>
      </c>
      <c r="AY335" s="698">
        <f t="shared" si="594"/>
        <v>73</v>
      </c>
      <c r="AZ335" s="698">
        <v>0</v>
      </c>
      <c r="BA335" s="698">
        <f t="shared" si="595"/>
        <v>0</v>
      </c>
      <c r="BB335" s="560">
        <f t="shared" si="596"/>
        <v>0</v>
      </c>
      <c r="BC335" s="560"/>
      <c r="BD335" s="560">
        <f ca="1">IF(B335&gt;Summary!$A$1,#N/A,BB335*MGtoAF)</f>
        <v>0</v>
      </c>
      <c r="BE335" s="560">
        <f>Sheet1!BG337+Sheet1!BH337+Sheet1!BI337-BM335</f>
        <v>0</v>
      </c>
      <c r="BF335" s="560">
        <f t="shared" si="597"/>
        <v>0</v>
      </c>
      <c r="BG335" s="560">
        <f>IF(Sheet1!EP337="FM",BM335,0)</f>
        <v>0</v>
      </c>
      <c r="BH335" s="560">
        <f t="shared" si="598"/>
        <v>0</v>
      </c>
      <c r="BI335" s="560">
        <f>IF(Sheet1!EP337="OTHER",BM335,0)</f>
        <v>0</v>
      </c>
      <c r="BJ335" s="560">
        <f t="shared" si="599"/>
        <v>0</v>
      </c>
      <c r="BK335" s="560">
        <f t="shared" si="600"/>
        <v>0</v>
      </c>
      <c r="BL335" s="560">
        <f t="shared" si="601"/>
        <v>0</v>
      </c>
      <c r="BM335" s="560">
        <f>IF(OR(Sheet1!EP337="FM", Sheet1!EP337="OTHER"),SUM(Sheet1!BG337:'Sheet1'!BI337),0)</f>
        <v>0</v>
      </c>
      <c r="BN335" s="545">
        <f>IF(AND($B335&gt;=$FV335,$B335&lt;=$FW335),MAX(BF335,Sheet1!EI337,0),MAX(BF335-(7/36)*$K335,0))</f>
        <v>0</v>
      </c>
      <c r="BO335" s="560">
        <f t="shared" si="602"/>
        <v>0</v>
      </c>
      <c r="BP335" s="545">
        <f t="shared" si="603"/>
        <v>0</v>
      </c>
      <c r="BQ335" s="545">
        <f>IF(AND($O335&gt;0,Sheet1!EM337=1),(1-($O335-Sheet1!$L337)/$O335)*BL335,0)</f>
        <v>0</v>
      </c>
      <c r="BR335" s="545">
        <f>IF(AND(Sheet1!$L337=0,Sheet1!$L336=0, Calculation!BK335&lt;Sheet1!$EI337-0.1,Sheet1!$EI337=Sheet1!$EI336,Sheet1!$EI337=Sheet1!$EI338),Sheet1!$EI337,BL335-BQ335)</f>
        <v>0</v>
      </c>
      <c r="BS335" s="560"/>
      <c r="BT335" s="560"/>
      <c r="BU335" s="560">
        <f t="shared" si="604"/>
        <v>0</v>
      </c>
      <c r="BV335" s="560"/>
      <c r="BW335" s="560">
        <f ca="1">IF(B335&gt;Summary!$A$1,#N/A,BU335*MGtoAF)</f>
        <v>0</v>
      </c>
      <c r="BX335" s="560">
        <f>Sheet1!BC337+Sheet1!BD337+Sheet1!BE337+Sheet1!BF337-CG335-CH335</f>
        <v>2.5099999999999998</v>
      </c>
      <c r="BY335" s="560">
        <f t="shared" si="605"/>
        <v>2.5135908440629469</v>
      </c>
      <c r="BZ335" s="560">
        <f>IF(Sheet1!EQ337="FM",CH335,0)</f>
        <v>0</v>
      </c>
      <c r="CA335" s="560">
        <f t="shared" si="606"/>
        <v>0</v>
      </c>
      <c r="CB335" s="560">
        <f>IF(Sheet1!EQ337="OTHER",CH335,0)</f>
        <v>0</v>
      </c>
      <c r="CC335" s="560">
        <f t="shared" si="607"/>
        <v>0</v>
      </c>
      <c r="CD335" s="560">
        <f t="shared" si="608"/>
        <v>0</v>
      </c>
      <c r="CE335" s="560">
        <f t="shared" si="609"/>
        <v>2.5099999999999998</v>
      </c>
      <c r="CF335" s="560">
        <f t="shared" si="610"/>
        <v>2.5135908440629469</v>
      </c>
      <c r="CG335" s="560">
        <f>IF(Sheet1!EQ337="CWA",SUM(Sheet1!BC337:'Sheet1'!BF337),0)</f>
        <v>0</v>
      </c>
      <c r="CH335" s="560">
        <f>IF(OR(Sheet1!EQ337="FM", Sheet1!EQ337="OTHER"),SUM(Sheet1!BC337:'Sheet1'!BF337),0)</f>
        <v>0</v>
      </c>
      <c r="CI335" s="545">
        <f>IF(AND($B335&gt;=$FV335,$B335&lt;=$FW335),MAX(CF335,Sheet1!EJ337,0),MAX(CF335-(7/36)*$K335,0))</f>
        <v>0</v>
      </c>
      <c r="CJ335" s="560">
        <f t="shared" si="611"/>
        <v>0</v>
      </c>
      <c r="CK335" s="545">
        <f t="shared" si="612"/>
        <v>2.5135908440629469</v>
      </c>
      <c r="CL335" s="545">
        <f>IF(AND($O335&gt;0,Sheet1!EN337=1),(1-($O335-Sheet1!$L337)/$O335)*CF335,0)</f>
        <v>0</v>
      </c>
      <c r="CM335" s="545">
        <f>IF(AND(Sheet1!$L337=0,Sheet1!$L336=0, Calculation!CE335&lt;Sheet1!EJ337-0.1,Sheet1!EJ337=Sheet1!EJ336,Sheet1!EJ337=Sheet1!EJ338),Sheet1!EJ337,CF335-CL335)</f>
        <v>2.5135908440629469</v>
      </c>
      <c r="CN335" s="545"/>
      <c r="CO335" s="560"/>
      <c r="CP335" s="560">
        <f t="shared" si="613"/>
        <v>0</v>
      </c>
      <c r="CQ335" s="560"/>
      <c r="CR335" s="560">
        <f ca="1">IF(B335&gt;Summary!$A$1,#N/A,CP335*MGtoAF)</f>
        <v>0</v>
      </c>
      <c r="CS335" s="560">
        <f>Sheet1!BK337+Sheet1!BL337+Sheet1!BM337-Sheet1!ER337-DA335</f>
        <v>5.35</v>
      </c>
      <c r="CT335" s="560">
        <f t="shared" si="614"/>
        <v>5.3576537911301854</v>
      </c>
      <c r="CU335" s="560">
        <f>IF(Sheet1!ER337="FM",DA335,0)</f>
        <v>0</v>
      </c>
      <c r="CV335" s="560">
        <f t="shared" si="615"/>
        <v>0</v>
      </c>
      <c r="CW335" s="560">
        <f>IF(Sheet1!ER337="OTHER",DA335,0)</f>
        <v>0</v>
      </c>
      <c r="CX335" s="560">
        <f t="shared" si="616"/>
        <v>0</v>
      </c>
      <c r="CY335" s="560">
        <f t="shared" si="617"/>
        <v>5.35</v>
      </c>
      <c r="CZ335" s="560">
        <f t="shared" si="618"/>
        <v>5.3576537911301854</v>
      </c>
      <c r="DA335" s="560">
        <f>IF(OR(Sheet1!ER337="FM", Sheet1!ER337="OTHER"),SUM(Sheet1!BK337:'Sheet1'!BM337),0)</f>
        <v>0</v>
      </c>
      <c r="DB335" s="545">
        <f>IF(AND($B335&gt;=$FV335,$B335&lt;=$FW335),MAX($CT335,Sheet1!EK337,0),MAX($CT335-(7/36)*$K335,0))</f>
        <v>0</v>
      </c>
      <c r="DC335" s="560">
        <f t="shared" si="619"/>
        <v>0</v>
      </c>
      <c r="DD335" s="545">
        <f t="shared" si="620"/>
        <v>5.3576537911301854</v>
      </c>
      <c r="DE335" s="545">
        <f>IF(AND($O335&gt;0,Sheet1!EO337=1),(1-($O335-Sheet1!$L337)/$O335)*CZ335,0)</f>
        <v>0</v>
      </c>
      <c r="DF335" s="545">
        <f>IF(AND(Sheet1!$L337=0,Sheet1!$L336=0, Calculation!CY335&lt;Sheet1!$EK337-0.1,Sheet1!$EK337=Sheet1!$EK336,Sheet1!$EK337=Sheet1!$EK338),Sheet1!$EK337,CZ335-DE335)</f>
        <v>5.3576537911301854</v>
      </c>
      <c r="DG335" s="545"/>
      <c r="DH335" s="560">
        <f t="shared" si="621"/>
        <v>7.8599999999999994</v>
      </c>
      <c r="DI335" s="560">
        <f t="shared" si="622"/>
        <v>0</v>
      </c>
      <c r="DJ335" s="698">
        <f t="shared" si="623"/>
        <v>7.8712446351931327</v>
      </c>
      <c r="DK335" s="560">
        <f ca="1">IF(B335&gt;Summary!$A$1,#N/A,DI335*MGtoAF)</f>
        <v>0</v>
      </c>
      <c r="DL335" s="698">
        <f t="shared" si="624"/>
        <v>7.8599999999999994</v>
      </c>
      <c r="DM335" s="560">
        <f t="shared" si="625"/>
        <v>27.96</v>
      </c>
      <c r="DN335" s="560">
        <f>Sheet1!AB337-DM335</f>
        <v>3.9999999999999147E-2</v>
      </c>
      <c r="DO335" s="560">
        <f t="shared" si="626"/>
        <v>1.4306151645207133E-3</v>
      </c>
      <c r="DP335" s="560">
        <f>(VLOOKUP(Sheet1!DC337,hhdcap_wcm,4)-(((VLOOKUP(Sheet1!DC337,hhdcap_wcm,3)-Sheet1!DC337)/(VLOOKUP(Sheet1!DC337,hhdcap_wcm,3)-VLOOKUP(Sheet1!DC337,hhdcap_wcm,1)))*(VLOOKUP(Sheet1!DC337,hhdcap_wcm,4)-VLOOKUP(Sheet1!DC337,hhdcap_wcm,2))))</f>
        <v>674.10000000235107</v>
      </c>
      <c r="DQ335" s="560">
        <f t="shared" si="627"/>
        <v>33.100000000236491</v>
      </c>
      <c r="DR335" s="560">
        <f t="shared" si="628"/>
        <v>16.691880988520669</v>
      </c>
      <c r="DS335" s="560">
        <f>Sheet1!EA337*AFtoMG</f>
        <v>0</v>
      </c>
      <c r="DT335" s="560">
        <f>Sheet1!EB337*AFtoMG</f>
        <v>0</v>
      </c>
      <c r="DU335" s="560">
        <f>Sheet1!EC337*AFtoMG</f>
        <v>0</v>
      </c>
      <c r="DV335" s="560">
        <f>Sheet1!ED337*AFtoMG</f>
        <v>0</v>
      </c>
      <c r="DW335" s="560">
        <f t="shared" si="629"/>
        <v>0</v>
      </c>
      <c r="DX335" s="560">
        <f t="shared" si="630"/>
        <v>0</v>
      </c>
      <c r="DY335" s="560">
        <f t="shared" si="631"/>
        <v>0</v>
      </c>
      <c r="DZ335" s="560">
        <f t="shared" si="632"/>
        <v>0</v>
      </c>
      <c r="EA335" s="560"/>
      <c r="EB335" s="545">
        <f>IF(OR(B335&lt;FV335,B335&gt;FW335),(MIN(BF335+BY335+CT335+MAX(Sheet1!AA337+AQ335-73,0),K335)),0)</f>
        <v>7.8712446351931327</v>
      </c>
      <c r="EC335" s="560"/>
      <c r="ED335" s="560">
        <f t="shared" si="633"/>
        <v>7.8712446351931327</v>
      </c>
      <c r="EE335" s="560"/>
      <c r="EF335" s="560">
        <f>Sheet1!EH337+Sheet1!EI337+Sheet1!EJ337+Sheet1!EK337</f>
        <v>9</v>
      </c>
      <c r="EG335" s="560"/>
      <c r="EH335" s="545">
        <f t="shared" si="634"/>
        <v>0</v>
      </c>
      <c r="EI335" s="560">
        <f>IF(Sheet1!ET337=1,SUM('Calculations II'!AT335:BA335)+'Calculations II'!BC335+Sheet1!BV337+'Calculations II'!BE335+AP335,SUM('Calculations II'!AT335:BA335)+'Calculations II'!BC335+Sheet1!BV337+'Calculations II'!BE335+AP335)</f>
        <v>60.935279999999999</v>
      </c>
      <c r="EJ335" s="560">
        <f>Sheet1!AA337+Sheet1!AB337+'Calculations II'!BC335</f>
        <v>61.642624000000005</v>
      </c>
      <c r="EK335" s="560"/>
      <c r="EL335" s="560"/>
      <c r="EM335" s="560">
        <f t="shared" si="635"/>
        <v>41963</v>
      </c>
      <c r="EN335" s="560">
        <f t="shared" si="636"/>
        <v>0</v>
      </c>
      <c r="EO335" s="560">
        <f t="shared" si="637"/>
        <v>0</v>
      </c>
      <c r="EP335" s="560">
        <v>0</v>
      </c>
      <c r="EQ335" s="560">
        <v>0</v>
      </c>
      <c r="ER335" s="560">
        <v>0</v>
      </c>
      <c r="ES335" s="545">
        <f t="shared" si="660"/>
        <v>1.9391905958009845</v>
      </c>
      <c r="ET335" s="560">
        <f>-(VLOOKUP(Sheet1!BQ337,Lookup!$O$4:$Q$262,2)-VLOOKUP(Sheet1!BQ336,Lookup!$O$4:$Q$262,2))/1000000</f>
        <v>0.96952800414870677</v>
      </c>
      <c r="EU335" s="560">
        <f>-(VLOOKUP(Sheet1!BR337,Lookup!$O$4:$Q$262,3)-VLOOKUP(Sheet1!BR336,Lookup!$O$4:$Q$262,3))/1000000</f>
        <v>0.96966259165227786</v>
      </c>
      <c r="EV335" s="560"/>
      <c r="EW335" s="560"/>
      <c r="EX335" s="560"/>
      <c r="EY335" s="560"/>
      <c r="EZ335" s="560"/>
      <c r="FA335" s="560"/>
      <c r="FB335" s="560"/>
      <c r="FC335" s="560"/>
      <c r="FD335" s="594">
        <f t="shared" si="638"/>
        <v>1079.6461538461288</v>
      </c>
      <c r="FE335" s="594" t="e">
        <f t="shared" si="639"/>
        <v>#N/A</v>
      </c>
      <c r="FF335" s="595" t="e">
        <f t="shared" si="640"/>
        <v>#N/A</v>
      </c>
      <c r="FG335" s="596" t="s">
        <v>692</v>
      </c>
      <c r="FH335" s="596" t="s">
        <v>692</v>
      </c>
      <c r="FI335" s="594" t="e">
        <v>#N/A</v>
      </c>
      <c r="FJ335" s="778">
        <v>900</v>
      </c>
      <c r="FK335" s="560"/>
      <c r="FL335" s="560"/>
      <c r="FM335" s="560"/>
      <c r="FN335" s="560"/>
      <c r="FO335" s="560">
        <f>O335+((Sheet1!CS337)*GPMtoMGD)</f>
        <v>61.642624000000005</v>
      </c>
      <c r="FP335" s="560">
        <f>IF(Sheet1!AA337+AQ335&lt;=Calculation!N335,AQ335,Calculation!N335-Sheet1!AA337)</f>
        <v>19.127324749642348</v>
      </c>
      <c r="FQ335" s="560">
        <f>(Sheet1!BP337+Sheet1!BO337)/694.4</f>
        <v>2.151209677419355</v>
      </c>
      <c r="FR335" s="560"/>
      <c r="FS335" s="560"/>
      <c r="FT335" s="560"/>
      <c r="FU335" s="560"/>
      <c r="FV335" s="695">
        <f t="shared" si="661"/>
        <v>41827</v>
      </c>
      <c r="FW335" s="695">
        <f t="shared" si="662"/>
        <v>41934</v>
      </c>
      <c r="FX335" s="560"/>
      <c r="FY335" s="560"/>
      <c r="FZ335" s="560"/>
      <c r="GA335" s="560"/>
      <c r="GB335" s="560" t="str">
        <f t="shared" si="663"/>
        <v>n</v>
      </c>
      <c r="GC335" s="564">
        <f t="shared" si="664"/>
        <v>41691</v>
      </c>
      <c r="GD335" s="695">
        <f t="shared" si="665"/>
        <v>41807</v>
      </c>
      <c r="GE335" s="560">
        <v>6518.9</v>
      </c>
      <c r="GF335" s="695">
        <f t="shared" si="666"/>
        <v>41808</v>
      </c>
      <c r="GG335" s="560">
        <f t="shared" si="582"/>
        <v>3259</v>
      </c>
      <c r="GH335" s="564">
        <f t="shared" si="667"/>
        <v>41934</v>
      </c>
      <c r="GJ335" s="545">
        <f t="shared" si="668"/>
        <v>0</v>
      </c>
      <c r="GK335" s="560" t="str">
        <f t="shared" si="641"/>
        <v/>
      </c>
      <c r="GL335" s="560">
        <f t="shared" si="669"/>
        <v>0</v>
      </c>
      <c r="GM335" s="560" t="str">
        <f t="shared" si="670"/>
        <v/>
      </c>
      <c r="GN335" s="560">
        <f>IF(GK335="P",Lookup!$M$12,IF(GK335="PP",Lookup!$M$13,IF(GK335="PPP",Lookup!$M$14,IF(GK335="T",Lookup!$M$15,IF(GK335="TP",Lookup!$M$16,IF(GK335="TPP",Lookup!$M$17,IF(GK335="TPPP",Lookup!$M$18,0)))))))*GJ335</f>
        <v>0</v>
      </c>
      <c r="GO335" s="560">
        <f t="shared" si="671"/>
        <v>0</v>
      </c>
      <c r="GP335" s="560">
        <f t="shared" si="642"/>
        <v>0</v>
      </c>
      <c r="GQ335" s="560">
        <f t="shared" si="679"/>
        <v>0</v>
      </c>
      <c r="GR335" s="560"/>
      <c r="GS335" s="560">
        <f t="shared" si="672"/>
        <v>0</v>
      </c>
      <c r="GT335" s="560" t="str">
        <f t="shared" si="673"/>
        <v/>
      </c>
      <c r="GU335" s="560">
        <f>IF(GK335="P",Lookup!$N$12,IF(GK335="PP",Lookup!$N$13,IF(GK335="PPP",Lookup!$N$14,IF(GK335="T",Lookup!$N$15,IF(GK335="TP",Lookup!$N$16,IF(GK335="TPP",Lookup!$N$17,IF(GK335="TPPP",Lookup!$N$18,0)))))))*GJ335</f>
        <v>0</v>
      </c>
      <c r="GV335" s="560">
        <f t="shared" si="674"/>
        <v>0</v>
      </c>
      <c r="GW335" s="560">
        <f t="shared" si="643"/>
        <v>0</v>
      </c>
      <c r="GX335" s="560">
        <f t="shared" si="680"/>
        <v>0</v>
      </c>
      <c r="GY335" s="560"/>
      <c r="GZ335" s="560">
        <f t="shared" si="675"/>
        <v>0</v>
      </c>
      <c r="HA335" s="560" t="str">
        <f t="shared" si="676"/>
        <v/>
      </c>
      <c r="HB335" s="560">
        <f>IF(GK335="P",Lookup!$N$12,IF(GK335="PP",Lookup!$N$13,IF(GK335="PPP",Lookup!$N$14,IF(GK335="T",Lookup!$N$15,IF(GK335="TP",Lookup!$N$16,IF(GK335="TPP",Lookup!$N$17,IF(GK335="TPPP",Lookup!$N$18,0)))))))*GJ335</f>
        <v>0</v>
      </c>
      <c r="HC335" s="545">
        <f t="shared" si="644"/>
        <v>0</v>
      </c>
      <c r="HD335" s="560">
        <f t="shared" si="645"/>
        <v>0</v>
      </c>
      <c r="HE335" s="560">
        <f t="shared" si="681"/>
        <v>0</v>
      </c>
      <c r="HF335" s="560"/>
      <c r="HG335" s="560">
        <f t="shared" si="677"/>
        <v>0</v>
      </c>
      <c r="HH335" s="560" t="str">
        <f t="shared" si="678"/>
        <v/>
      </c>
      <c r="HI335" s="560">
        <f>IF(GK335="P",Lookup!$N$12,IF(GK335="PP",Lookup!$N$13,IF(GK335="PPP",Lookup!$N$14,IF(GK335="T",Lookup!$N$15,IF(GK335="TP",Lookup!$N$16,IF(GK335="TPP",Lookup!$N$17,IF(GK335="TPPP",Lookup!$N$18,0)))))))*GJ335</f>
        <v>0</v>
      </c>
      <c r="HJ335" s="545">
        <f t="shared" si="646"/>
        <v>0</v>
      </c>
      <c r="HK335" s="560">
        <f t="shared" si="647"/>
        <v>0</v>
      </c>
      <c r="HL335" s="560">
        <f t="shared" si="682"/>
        <v>0</v>
      </c>
    </row>
    <row r="336" spans="1:220">
      <c r="A336" s="580" t="s">
        <v>8</v>
      </c>
      <c r="B336" s="556">
        <v>41964</v>
      </c>
      <c r="C336" s="561">
        <v>0</v>
      </c>
      <c r="D336" s="529">
        <f t="shared" si="580"/>
        <v>300</v>
      </c>
      <c r="E336" s="529">
        <f t="shared" si="581"/>
        <v>250</v>
      </c>
      <c r="F336" s="529">
        <v>250</v>
      </c>
      <c r="G336" s="560">
        <f>DR336+Sheet1!CZ338</f>
        <v>724.8426626326343</v>
      </c>
      <c r="H336" s="914">
        <f t="shared" si="650"/>
        <v>201.5750971257348</v>
      </c>
      <c r="I336" s="559">
        <f>MAX(Sheet1!Z338-AT336+(Sheet1!DA338-E336)*CFStoMGD,0)</f>
        <v>408.61520000000002</v>
      </c>
      <c r="J336" s="562">
        <f>IF(AND(B336&gt;=Calculation!GC336,B336&lt;=Calculation!GD336),IF(Sheet1!DB338&gt;=Calculation!D336,64.64,0),MAX(Sheet1!Z338-AT336+(Sheet1!DB338-D336)*CFStoMGD,0))</f>
        <v>250.89359999999999</v>
      </c>
      <c r="K336" s="904">
        <f t="shared" si="583"/>
        <v>64.64</v>
      </c>
      <c r="L336" s="560">
        <f>Sheet1!AA338+Sheet1!AB338-Sheet1!L338+(Sheet1!DA338-F336)*CFStoMGD</f>
        <v>417.84520000000248</v>
      </c>
      <c r="M336" s="560">
        <f t="shared" si="584"/>
        <v>477.90906306824951</v>
      </c>
      <c r="N336" s="910">
        <f>IF(Sheet1!DA338&gt;=F336,MIN(73,MIN(MAX(L336,0),MAX(M336,0))),0)</f>
        <v>73</v>
      </c>
      <c r="O336" s="563">
        <f>Sheet1!AA338+Sheet1!AB338</f>
        <v>47.5</v>
      </c>
      <c r="P336" s="563">
        <f t="shared" si="585"/>
        <v>73.482500000000002</v>
      </c>
      <c r="Q336" s="898">
        <f t="shared" si="651"/>
        <v>0</v>
      </c>
      <c r="R336" s="829">
        <f t="shared" si="586"/>
        <v>9.1333333333333329</v>
      </c>
      <c r="S336" s="898">
        <f t="shared" si="683"/>
        <v>47.5</v>
      </c>
      <c r="T336" s="898">
        <f t="shared" si="652"/>
        <v>0</v>
      </c>
      <c r="U336" s="898">
        <f t="shared" si="653"/>
        <v>0</v>
      </c>
      <c r="V336" s="898"/>
      <c r="W336" s="898">
        <f t="shared" si="654"/>
        <v>55.506666666666668</v>
      </c>
      <c r="X336" s="898">
        <f t="shared" si="655"/>
        <v>47.5</v>
      </c>
      <c r="Y336" s="898" t="str">
        <f t="shared" si="656"/>
        <v/>
      </c>
      <c r="Z336" s="898">
        <f t="shared" si="657"/>
        <v>47.5</v>
      </c>
      <c r="AA336" s="898">
        <f t="shared" si="658"/>
        <v>47.5</v>
      </c>
      <c r="AB336" s="898" t="str">
        <f t="shared" si="659"/>
        <v/>
      </c>
      <c r="AC336" s="563">
        <f>Sheet1!Y338*MGDtoCFS</f>
        <v>28.108990000000002</v>
      </c>
      <c r="AD336" s="563">
        <f>Sheet1!Z338*MGDtoCFS</f>
        <v>39.139099999999999</v>
      </c>
      <c r="AE336" s="563">
        <f>Sheet1!AA338*MGDtoCFS</f>
        <v>31.0947</v>
      </c>
      <c r="AF336" s="563">
        <f>Sheet1!AB338*MGDtoCFS</f>
        <v>42.387799999999999</v>
      </c>
      <c r="AG336" s="563">
        <f>Sheet1!L338*MGDtoCFS</f>
        <v>20.064589999996173</v>
      </c>
      <c r="AH336" s="545">
        <f t="shared" si="587"/>
        <v>0</v>
      </c>
      <c r="AI336" s="560">
        <f t="shared" si="588"/>
        <v>0</v>
      </c>
      <c r="AJ336" s="560">
        <f t="shared" si="589"/>
        <v>0</v>
      </c>
      <c r="AK336" s="560">
        <f t="shared" si="590"/>
        <v>0</v>
      </c>
      <c r="AL336" s="560">
        <f>(VLOOKUP(Sheet1!DC338,hhdcap_wcm,4)-(((VLOOKUP(Sheet1!DC338,hhdcap_wcm,3)-Sheet1!DC338)/(VLOOKUP(Sheet1!DC338,hhdcap_wcm,3)-VLOOKUP(Sheet1!DC338,hhdcap_wcm,1)))*(VLOOKUP(Sheet1!DC338,hhdcap_wcm,4)-VLOOKUP(Sheet1!DC338,hhdcap_wcm,2))))</f>
        <v>999.00000000286491</v>
      </c>
      <c r="AM336" s="560">
        <f t="shared" si="591"/>
        <v>324.90000000051384</v>
      </c>
      <c r="AN336" s="560">
        <f t="shared" si="592"/>
        <v>0</v>
      </c>
      <c r="AO336" s="560">
        <f t="shared" si="593"/>
        <v>0</v>
      </c>
      <c r="AP336" s="560">
        <f>Sheet1!BA338+Sheet1!BB338+Sheet1!BN338+CD336</f>
        <v>18.3</v>
      </c>
      <c r="AQ336" s="560">
        <f>Sheet1!BN338+(DO336*Sheet1!BN338)</f>
        <v>17.268488160291437</v>
      </c>
      <c r="AR336" s="560">
        <f>Sheet1!BA338+CD336</f>
        <v>0</v>
      </c>
      <c r="AS336" s="560">
        <f>Sheet1!BA338+Sheet1!BB338+CD336</f>
        <v>1</v>
      </c>
      <c r="AT336" s="698">
        <f>0</f>
        <v>0</v>
      </c>
      <c r="AU336" s="560">
        <f>IF(EB336&lt;K336,0,MAX(Sheet1!AA338+AQ336-15/36*K336-N336,Sheet1!EH338,0))</f>
        <v>0</v>
      </c>
      <c r="AV336" s="560">
        <f>IF(OR(B336&gt;=GD336,B336&lt;GC336),0,15/36*K336-MAX(0,64.6-(137.6-(Sheet1!AA338+Sheet1!AB338))))</f>
        <v>0</v>
      </c>
      <c r="AW336" s="698">
        <f>Sheet1!DB338-110</f>
        <v>539</v>
      </c>
      <c r="AX336" s="698">
        <f>Sheet1!DA338-265</f>
        <v>578</v>
      </c>
      <c r="AY336" s="698">
        <f t="shared" si="594"/>
        <v>73</v>
      </c>
      <c r="AZ336" s="698">
        <v>0</v>
      </c>
      <c r="BA336" s="698">
        <f t="shared" si="595"/>
        <v>0</v>
      </c>
      <c r="BB336" s="560">
        <f t="shared" si="596"/>
        <v>0</v>
      </c>
      <c r="BC336" s="560"/>
      <c r="BD336" s="560">
        <f ca="1">IF(B336&gt;Summary!$A$1,#N/A,BB336*MGtoAF)</f>
        <v>0</v>
      </c>
      <c r="BE336" s="560">
        <f>Sheet1!BG338+Sheet1!BH338+Sheet1!BI338-BM336</f>
        <v>0</v>
      </c>
      <c r="BF336" s="560">
        <f t="shared" si="597"/>
        <v>0</v>
      </c>
      <c r="BG336" s="560">
        <f>IF(Sheet1!EP338="FM",BM336,0)</f>
        <v>0</v>
      </c>
      <c r="BH336" s="560">
        <f t="shared" si="598"/>
        <v>0</v>
      </c>
      <c r="BI336" s="560">
        <f>IF(Sheet1!EP338="OTHER",BM336,0)</f>
        <v>0</v>
      </c>
      <c r="BJ336" s="560">
        <f t="shared" si="599"/>
        <v>0</v>
      </c>
      <c r="BK336" s="560">
        <f t="shared" si="600"/>
        <v>0</v>
      </c>
      <c r="BL336" s="560">
        <f t="shared" si="601"/>
        <v>0</v>
      </c>
      <c r="BM336" s="560">
        <f>IF(OR(Sheet1!EP338="FM", Sheet1!EP338="OTHER"),SUM(Sheet1!BG338:'Sheet1'!BI338),0)</f>
        <v>0</v>
      </c>
      <c r="BN336" s="545">
        <f>IF(AND($B336&gt;=$FV336,$B336&lt;=$FW336),MAX(BF336,Sheet1!EI338,0),MAX(BF336-(7/36)*$K336,0))</f>
        <v>0</v>
      </c>
      <c r="BO336" s="560">
        <f t="shared" si="602"/>
        <v>0</v>
      </c>
      <c r="BP336" s="545">
        <f t="shared" si="603"/>
        <v>0</v>
      </c>
      <c r="BQ336" s="545">
        <f>IF(AND($O336&gt;0,Sheet1!EM338=1),(1-($O336-Sheet1!$L338)/$O336)*BL336,0)</f>
        <v>0</v>
      </c>
      <c r="BR336" s="545">
        <f>IF(AND(Sheet1!$L338=0,Sheet1!$L337=0, Calculation!BK336&lt;Sheet1!$EI338-0.1,Sheet1!$EI338=Sheet1!$EI337,Sheet1!$EI338=Sheet1!$EI339),Sheet1!$EI338,BL336-BQ336)</f>
        <v>0</v>
      </c>
      <c r="BS336" s="560"/>
      <c r="BT336" s="560"/>
      <c r="BU336" s="560">
        <f t="shared" si="604"/>
        <v>0</v>
      </c>
      <c r="BV336" s="560"/>
      <c r="BW336" s="560">
        <f ca="1">IF(B336&gt;Summary!$A$1,#N/A,BU336*MGtoAF)</f>
        <v>0</v>
      </c>
      <c r="BX336" s="560">
        <f>Sheet1!BC338+Sheet1!BD338+Sheet1!BE338+Sheet1!BF338-CG336-CH336</f>
        <v>2.5099999999999998</v>
      </c>
      <c r="BY336" s="560">
        <f t="shared" si="605"/>
        <v>2.5054280510018208</v>
      </c>
      <c r="BZ336" s="560">
        <f>IF(Sheet1!EQ338="FM",CH336,0)</f>
        <v>0</v>
      </c>
      <c r="CA336" s="560">
        <f t="shared" si="606"/>
        <v>0</v>
      </c>
      <c r="CB336" s="560">
        <f>IF(Sheet1!EQ338="OTHER",CH336,0)</f>
        <v>0</v>
      </c>
      <c r="CC336" s="560">
        <f t="shared" si="607"/>
        <v>0</v>
      </c>
      <c r="CD336" s="560">
        <f t="shared" si="608"/>
        <v>0</v>
      </c>
      <c r="CE336" s="560">
        <f t="shared" si="609"/>
        <v>2.5099999999999998</v>
      </c>
      <c r="CF336" s="560">
        <f t="shared" si="610"/>
        <v>2.5054280510018208</v>
      </c>
      <c r="CG336" s="560">
        <f>IF(Sheet1!EQ338="CWA",SUM(Sheet1!BC338:'Sheet1'!BF338),0)</f>
        <v>0</v>
      </c>
      <c r="CH336" s="560">
        <f>IF(OR(Sheet1!EQ338="FM", Sheet1!EQ338="OTHER"),SUM(Sheet1!BC338:'Sheet1'!BF338),0)</f>
        <v>0</v>
      </c>
      <c r="CI336" s="545">
        <f>IF(AND($B336&gt;=$FV336,$B336&lt;=$FW336),MAX(CF336,Sheet1!EJ338,0),MAX(CF336-(7/36)*$K336,0))</f>
        <v>0</v>
      </c>
      <c r="CJ336" s="560">
        <f t="shared" si="611"/>
        <v>0</v>
      </c>
      <c r="CK336" s="545">
        <f t="shared" si="612"/>
        <v>2.5054280510018208</v>
      </c>
      <c r="CL336" s="545">
        <f>IF(AND($O336&gt;0,Sheet1!EN338=1),(1-($O336-Sheet1!$L338)/$O336)*CF336,0)</f>
        <v>0</v>
      </c>
      <c r="CM336" s="545">
        <f>IF(AND(Sheet1!$L338=0,Sheet1!$L337=0, Calculation!CE336&lt;Sheet1!EJ338-0.1,Sheet1!EJ338=Sheet1!EJ337,Sheet1!EJ338=Sheet1!EJ339),Sheet1!EJ338,CF336-CL336)</f>
        <v>2.5054280510018208</v>
      </c>
      <c r="CN336" s="545"/>
      <c r="CO336" s="560"/>
      <c r="CP336" s="560">
        <f t="shared" si="613"/>
        <v>0</v>
      </c>
      <c r="CQ336" s="560"/>
      <c r="CR336" s="560">
        <f ca="1">IF(B336&gt;Summary!$A$1,#N/A,CP336*MGtoAF)</f>
        <v>0</v>
      </c>
      <c r="CS336" s="560">
        <f>Sheet1!BK338+Sheet1!BL338+Sheet1!BM338-Sheet1!ER338-DA336</f>
        <v>6.6400000000000006</v>
      </c>
      <c r="CT336" s="560">
        <f t="shared" si="614"/>
        <v>6.6279052823315112</v>
      </c>
      <c r="CU336" s="560">
        <f>IF(Sheet1!ER338="FM",DA336,0)</f>
        <v>0</v>
      </c>
      <c r="CV336" s="560">
        <f t="shared" si="615"/>
        <v>0</v>
      </c>
      <c r="CW336" s="560">
        <f>IF(Sheet1!ER338="OTHER",DA336,0)</f>
        <v>0</v>
      </c>
      <c r="CX336" s="560">
        <f t="shared" si="616"/>
        <v>0</v>
      </c>
      <c r="CY336" s="560">
        <f t="shared" si="617"/>
        <v>6.6400000000000006</v>
      </c>
      <c r="CZ336" s="560">
        <f t="shared" si="618"/>
        <v>6.6279052823315112</v>
      </c>
      <c r="DA336" s="560">
        <f>IF(OR(Sheet1!ER338="FM", Sheet1!ER338="OTHER"),SUM(Sheet1!BK338:'Sheet1'!BM338),0)</f>
        <v>0</v>
      </c>
      <c r="DB336" s="545">
        <f>IF(AND($B336&gt;=$FV336,$B336&lt;=$FW336),MAX($CT336,Sheet1!EK338,0),MAX($CT336-(7/36)*$K336,0))</f>
        <v>0</v>
      </c>
      <c r="DC336" s="560">
        <f t="shared" si="619"/>
        <v>0</v>
      </c>
      <c r="DD336" s="545">
        <f t="shared" si="620"/>
        <v>6.6279052823315112</v>
      </c>
      <c r="DE336" s="545">
        <f>IF(AND($O336&gt;0,Sheet1!EO338=1),(1-($O336-Sheet1!$L338)/$O336)*CZ336,0)</f>
        <v>0</v>
      </c>
      <c r="DF336" s="545">
        <f>IF(AND(Sheet1!$L338=0,Sheet1!$L337=0, Calculation!CY336&lt;Sheet1!$EK338-0.1,Sheet1!$EK338=Sheet1!$EK337,Sheet1!$EK338=Sheet1!$EK339),Sheet1!$EK338,CZ336-DE336)</f>
        <v>6.6279052823315112</v>
      </c>
      <c r="DG336" s="545"/>
      <c r="DH336" s="560">
        <f t="shared" si="621"/>
        <v>9.15</v>
      </c>
      <c r="DI336" s="560">
        <f t="shared" si="622"/>
        <v>0</v>
      </c>
      <c r="DJ336" s="698">
        <f t="shared" si="623"/>
        <v>9.1333333333333329</v>
      </c>
      <c r="DK336" s="560">
        <f ca="1">IF(B336&gt;Summary!$A$1,#N/A,DI336*MGtoAF)</f>
        <v>0</v>
      </c>
      <c r="DL336" s="698">
        <f t="shared" si="624"/>
        <v>9.15</v>
      </c>
      <c r="DM336" s="560">
        <f t="shared" si="625"/>
        <v>27.450000000000003</v>
      </c>
      <c r="DN336" s="560">
        <f>Sheet1!AB338-DM336</f>
        <v>-5.0000000000004263E-2</v>
      </c>
      <c r="DO336" s="560">
        <f>IF(DM336=0,0,DN336/DM336)</f>
        <v>-1.8214936247724683E-3</v>
      </c>
      <c r="DP336" s="560">
        <f>(VLOOKUP(Sheet1!DC338,hhdcap_wcm,4)-(((VLOOKUP(Sheet1!DC338,hhdcap_wcm,3)-Sheet1!DC338)/(VLOOKUP(Sheet1!DC338,hhdcap_wcm,3)-VLOOKUP(Sheet1!DC338,hhdcap_wcm,1)))*(VLOOKUP(Sheet1!DC338,hhdcap_wcm,4)-VLOOKUP(Sheet1!DC338,hhdcap_wcm,2))))</f>
        <v>999.00000000286491</v>
      </c>
      <c r="DQ336" s="560">
        <f t="shared" si="627"/>
        <v>324.90000000051384</v>
      </c>
      <c r="DR336" s="560">
        <f t="shared" si="628"/>
        <v>163.8426626326343</v>
      </c>
      <c r="DS336" s="560">
        <f>Sheet1!EA338*AFtoMG</f>
        <v>0</v>
      </c>
      <c r="DT336" s="560">
        <f>Sheet1!EB338*AFtoMG</f>
        <v>0</v>
      </c>
      <c r="DU336" s="560">
        <f>Sheet1!EC338*AFtoMG</f>
        <v>0</v>
      </c>
      <c r="DV336" s="560">
        <f>Sheet1!ED338*AFtoMG</f>
        <v>0</v>
      </c>
      <c r="DW336" s="560">
        <f t="shared" si="629"/>
        <v>0</v>
      </c>
      <c r="DX336" s="560">
        <f t="shared" si="630"/>
        <v>0</v>
      </c>
      <c r="DY336" s="560">
        <f t="shared" si="631"/>
        <v>0</v>
      </c>
      <c r="DZ336" s="560">
        <f t="shared" si="632"/>
        <v>0</v>
      </c>
      <c r="EA336" s="560"/>
      <c r="EB336" s="545">
        <f>IF(OR(B336&lt;FV336,B336&gt;FW336),(MIN(BF336+BY336+CT336+MAX(Sheet1!AA338+AQ336-73,0),K336)),0)</f>
        <v>9.1333333333333329</v>
      </c>
      <c r="EC336" s="560"/>
      <c r="ED336" s="560">
        <f t="shared" si="633"/>
        <v>9.1333333333333329</v>
      </c>
      <c r="EE336" s="560"/>
      <c r="EF336" s="560">
        <f>Sheet1!EH338+Sheet1!EI338+Sheet1!EJ338+Sheet1!EK338</f>
        <v>9</v>
      </c>
      <c r="EG336" s="560"/>
      <c r="EH336" s="545">
        <f t="shared" si="634"/>
        <v>0</v>
      </c>
      <c r="EI336" s="560">
        <f>IF(Sheet1!ET338=1,SUM('Calculations II'!AT336:BA336)+'Calculations II'!BC336+Sheet1!BV338+'Calculations II'!BE336+AP336,SUM('Calculations II'!AT336:BA336)+'Calculations II'!BC336+Sheet1!BV338+'Calculations II'!BE336+AP336)</f>
        <v>47.661184000000006</v>
      </c>
      <c r="EJ336" s="560">
        <f>Sheet1!AA338+Sheet1!AB338+'Calculations II'!BC336</f>
        <v>55.916080000000001</v>
      </c>
      <c r="EK336" s="560"/>
      <c r="EL336" s="560"/>
      <c r="EM336" s="560">
        <f t="shared" si="635"/>
        <v>41964</v>
      </c>
      <c r="EN336" s="560">
        <f t="shared" si="636"/>
        <v>0</v>
      </c>
      <c r="EO336" s="560">
        <f t="shared" si="637"/>
        <v>0</v>
      </c>
      <c r="EP336" s="560">
        <v>0</v>
      </c>
      <c r="EQ336" s="560">
        <v>0</v>
      </c>
      <c r="ER336" s="560">
        <v>0</v>
      </c>
      <c r="ES336" s="545">
        <f t="shared" si="660"/>
        <v>-3.4632729811556713</v>
      </c>
      <c r="ET336" s="560">
        <f>-(VLOOKUP(Sheet1!BQ338,Lookup!$O$4:$Q$262,2)-VLOOKUP(Sheet1!BQ337,Lookup!$O$4:$Q$262,2))/1000000</f>
        <v>-1.8008019655326606</v>
      </c>
      <c r="EU336" s="560">
        <f>-(VLOOKUP(Sheet1!BR338,Lookup!$O$4:$Q$262,3)-VLOOKUP(Sheet1!BR337,Lookup!$O$4:$Q$262,3))/1000000</f>
        <v>-1.6624710156230107</v>
      </c>
      <c r="EV336" s="560"/>
      <c r="EW336" s="560"/>
      <c r="EX336" s="560"/>
      <c r="EY336" s="560"/>
      <c r="EZ336" s="560"/>
      <c r="FA336" s="560"/>
      <c r="FB336" s="560"/>
      <c r="FC336" s="560"/>
      <c r="FD336" s="594">
        <f t="shared" si="638"/>
        <v>1078.9499999999755</v>
      </c>
      <c r="FE336" s="594" t="e">
        <f t="shared" si="639"/>
        <v>#N/A</v>
      </c>
      <c r="FF336" s="595" t="e">
        <f t="shared" si="640"/>
        <v>#N/A</v>
      </c>
      <c r="FG336" s="596" t="s">
        <v>692</v>
      </c>
      <c r="FH336" s="596" t="s">
        <v>692</v>
      </c>
      <c r="FI336" s="594" t="e">
        <v>#N/A</v>
      </c>
      <c r="FJ336" s="778">
        <v>810</v>
      </c>
      <c r="FK336" s="560"/>
      <c r="FL336" s="560"/>
      <c r="FM336" s="560"/>
      <c r="FN336" s="560"/>
      <c r="FO336" s="560">
        <f>O336+((Sheet1!CS338)*GPMtoMGD)</f>
        <v>55.916080000000001</v>
      </c>
      <c r="FP336" s="560">
        <f>IF(Sheet1!AA338+AQ336&lt;=Calculation!N336,AQ336,Calculation!N336-Sheet1!AA338)</f>
        <v>17.268488160291437</v>
      </c>
      <c r="FQ336" s="560">
        <f>(Sheet1!BP338+Sheet1!BO338)/694.4</f>
        <v>0</v>
      </c>
      <c r="FR336" s="560"/>
      <c r="FS336" s="560"/>
      <c r="FT336" s="560"/>
      <c r="FU336" s="560"/>
      <c r="FV336" s="695">
        <f t="shared" si="661"/>
        <v>41827</v>
      </c>
      <c r="FW336" s="695">
        <f t="shared" si="662"/>
        <v>41934</v>
      </c>
      <c r="FX336" s="560"/>
      <c r="FY336" s="560"/>
      <c r="FZ336" s="560"/>
      <c r="GA336" s="560"/>
      <c r="GB336" s="560" t="str">
        <f t="shared" si="663"/>
        <v>n</v>
      </c>
      <c r="GC336" s="564">
        <f t="shared" si="664"/>
        <v>41691</v>
      </c>
      <c r="GD336" s="695">
        <f t="shared" si="665"/>
        <v>41807</v>
      </c>
      <c r="GE336" s="560">
        <v>6518.9</v>
      </c>
      <c r="GF336" s="695">
        <f t="shared" si="666"/>
        <v>41808</v>
      </c>
      <c r="GG336" s="560">
        <f t="shared" si="582"/>
        <v>3259</v>
      </c>
      <c r="GH336" s="564">
        <f t="shared" si="667"/>
        <v>41934</v>
      </c>
      <c r="GJ336" s="545">
        <f t="shared" si="668"/>
        <v>0</v>
      </c>
      <c r="GK336" s="560" t="str">
        <f t="shared" si="641"/>
        <v/>
      </c>
      <c r="GL336" s="560">
        <f t="shared" si="669"/>
        <v>0</v>
      </c>
      <c r="GM336" s="560" t="str">
        <f t="shared" si="670"/>
        <v/>
      </c>
      <c r="GN336" s="560">
        <f>IF(GK336="P",Lookup!$M$12,IF(GK336="PP",Lookup!$M$13,IF(GK336="PPP",Lookup!$M$14,IF(GK336="T",Lookup!$M$15,IF(GK336="TP",Lookup!$M$16,IF(GK336="TPP",Lookup!$M$17,IF(GK336="TPPP",Lookup!$M$18,0)))))))*GJ336</f>
        <v>0</v>
      </c>
      <c r="GO336" s="560">
        <f t="shared" si="671"/>
        <v>0</v>
      </c>
      <c r="GP336" s="560">
        <f t="shared" si="642"/>
        <v>0</v>
      </c>
      <c r="GQ336" s="560">
        <f t="shared" si="679"/>
        <v>0</v>
      </c>
      <c r="GR336" s="560"/>
      <c r="GS336" s="560">
        <f t="shared" si="672"/>
        <v>0</v>
      </c>
      <c r="GT336" s="560" t="str">
        <f t="shared" si="673"/>
        <v/>
      </c>
      <c r="GU336" s="560">
        <f>IF(GK336="P",Lookup!$N$12,IF(GK336="PP",Lookup!$N$13,IF(GK336="PPP",Lookup!$N$14,IF(GK336="T",Lookup!$N$15,IF(GK336="TP",Lookup!$N$16,IF(GK336="TPP",Lookup!$N$17,IF(GK336="TPPP",Lookup!$N$18,0)))))))*GJ336</f>
        <v>0</v>
      </c>
      <c r="GV336" s="560">
        <f t="shared" si="674"/>
        <v>0</v>
      </c>
      <c r="GW336" s="560">
        <f t="shared" si="643"/>
        <v>0</v>
      </c>
      <c r="GX336" s="560">
        <f t="shared" si="680"/>
        <v>0</v>
      </c>
      <c r="GY336" s="560"/>
      <c r="GZ336" s="560">
        <f t="shared" si="675"/>
        <v>0</v>
      </c>
      <c r="HA336" s="560" t="str">
        <f t="shared" si="676"/>
        <v/>
      </c>
      <c r="HB336" s="560">
        <f>IF(GK336="P",Lookup!$N$12,IF(GK336="PP",Lookup!$N$13,IF(GK336="PPP",Lookup!$N$14,IF(GK336="T",Lookup!$N$15,IF(GK336="TP",Lookup!$N$16,IF(GK336="TPP",Lookup!$N$17,IF(GK336="TPPP",Lookup!$N$18,0)))))))*GJ336</f>
        <v>0</v>
      </c>
      <c r="HC336" s="545">
        <f t="shared" si="644"/>
        <v>0</v>
      </c>
      <c r="HD336" s="560">
        <f t="shared" si="645"/>
        <v>0</v>
      </c>
      <c r="HE336" s="560">
        <f t="shared" si="681"/>
        <v>0</v>
      </c>
      <c r="HF336" s="560"/>
      <c r="HG336" s="560">
        <f t="shared" si="677"/>
        <v>0</v>
      </c>
      <c r="HH336" s="560" t="str">
        <f t="shared" si="678"/>
        <v/>
      </c>
      <c r="HI336" s="560">
        <f>IF(GK336="P",Lookup!$N$12,IF(GK336="PP",Lookup!$N$13,IF(GK336="PPP",Lookup!$N$14,IF(GK336="T",Lookup!$N$15,IF(GK336="TP",Lookup!$N$16,IF(GK336="TPP",Lookup!$N$17,IF(GK336="TPPP",Lookup!$N$18,0)))))))*GJ336</f>
        <v>0</v>
      </c>
      <c r="HJ336" s="545">
        <f t="shared" si="646"/>
        <v>0</v>
      </c>
      <c r="HK336" s="560">
        <f t="shared" si="647"/>
        <v>0</v>
      </c>
      <c r="HL336" s="560">
        <f t="shared" si="682"/>
        <v>0</v>
      </c>
    </row>
    <row r="337" spans="1:220">
      <c r="A337" s="580" t="s">
        <v>9</v>
      </c>
      <c r="B337" s="556">
        <v>41965</v>
      </c>
      <c r="C337" s="561">
        <v>0</v>
      </c>
      <c r="D337" s="529">
        <f t="shared" si="580"/>
        <v>300</v>
      </c>
      <c r="E337" s="529">
        <f t="shared" si="581"/>
        <v>250</v>
      </c>
      <c r="F337" s="529">
        <v>250</v>
      </c>
      <c r="G337" s="560">
        <f>DR337+Sheet1!CZ339</f>
        <v>1455.6833081196996</v>
      </c>
      <c r="H337" s="914">
        <f t="shared" si="650"/>
        <v>673.99049036857377</v>
      </c>
      <c r="I337" s="559">
        <f>MAX(Sheet1!Z339-AT337+(Sheet1!DA339-E337)*CFStoMGD,0)</f>
        <v>848.32799999999997</v>
      </c>
      <c r="J337" s="562">
        <f>IF(AND(B337&gt;=Calculation!GC337,B337&lt;=Calculation!GD337),IF(Sheet1!DB339&gt;=Calculation!D337,64.64,0),MAX(Sheet1!Z339-AT337+(Sheet1!DB339-D337)*CFStoMGD,0))</f>
        <v>596.23199999999997</v>
      </c>
      <c r="K337" s="904">
        <f t="shared" si="583"/>
        <v>64.64</v>
      </c>
      <c r="L337" s="560">
        <f>Sheet1!AA339+Sheet1!AB339-Sheet1!L339+(Sheet1!DA339-F337)*CFStoMGD</f>
        <v>827.678</v>
      </c>
      <c r="M337" s="560">
        <f t="shared" si="584"/>
        <v>959.77276417594533</v>
      </c>
      <c r="N337" s="910">
        <f>IF(Sheet1!DA339&gt;=F337,MIN(73,MIN(MAX(L337,0),MAX(M337,0))),0)</f>
        <v>73</v>
      </c>
      <c r="O337" s="563">
        <f>Sheet1!AA339+Sheet1!AB339</f>
        <v>38.5</v>
      </c>
      <c r="P337" s="563">
        <f t="shared" si="585"/>
        <v>59.5595</v>
      </c>
      <c r="Q337" s="898">
        <f t="shared" si="651"/>
        <v>0</v>
      </c>
      <c r="R337" s="829">
        <f t="shared" si="586"/>
        <v>8.9723840345199584</v>
      </c>
      <c r="S337" s="898">
        <f t="shared" si="683"/>
        <v>38.5</v>
      </c>
      <c r="T337" s="898">
        <f t="shared" si="652"/>
        <v>0</v>
      </c>
      <c r="U337" s="898">
        <f t="shared" si="653"/>
        <v>0</v>
      </c>
      <c r="V337" s="898"/>
      <c r="W337" s="898">
        <f t="shared" si="654"/>
        <v>55.667615965480039</v>
      </c>
      <c r="X337" s="898">
        <f t="shared" si="655"/>
        <v>38.5</v>
      </c>
      <c r="Y337" s="898" t="str">
        <f t="shared" si="656"/>
        <v/>
      </c>
      <c r="Z337" s="898">
        <f t="shared" si="657"/>
        <v>38.5</v>
      </c>
      <c r="AA337" s="898">
        <f t="shared" si="658"/>
        <v>38.5</v>
      </c>
      <c r="AB337" s="898" t="str">
        <f t="shared" si="659"/>
        <v/>
      </c>
      <c r="AC337" s="563">
        <f>Sheet1!Y339*MGDtoCFS</f>
        <v>31.0947</v>
      </c>
      <c r="AD337" s="563">
        <f>Sheet1!Z339*MGDtoCFS</f>
        <v>42.387799999999999</v>
      </c>
      <c r="AE337" s="563">
        <f>Sheet1!AA339*MGDtoCFS</f>
        <v>31.4041</v>
      </c>
      <c r="AF337" s="563">
        <f>Sheet1!AB339*MGDtoCFS</f>
        <v>28.155399999999997</v>
      </c>
      <c r="AG337" s="563">
        <f>Sheet1!L339*MGDtoCFS</f>
        <v>49.117249999999999</v>
      </c>
      <c r="AH337" s="545">
        <f t="shared" si="587"/>
        <v>0</v>
      </c>
      <c r="AI337" s="560">
        <f t="shared" si="588"/>
        <v>0</v>
      </c>
      <c r="AJ337" s="560">
        <f t="shared" si="589"/>
        <v>0</v>
      </c>
      <c r="AK337" s="560">
        <f t="shared" si="590"/>
        <v>0</v>
      </c>
      <c r="AL337" s="560">
        <f>(VLOOKUP(Sheet1!DC339,hhdcap_wcm,4)-(((VLOOKUP(Sheet1!DC339,hhdcap_wcm,3)-Sheet1!DC339)/(VLOOKUP(Sheet1!DC339,hhdcap_wcm,3)-VLOOKUP(Sheet1!DC339,hhdcap_wcm,1)))*(VLOOKUP(Sheet1!DC339,hhdcap_wcm,4)-VLOOKUP(Sheet1!DC339,hhdcap_wcm,2))))</f>
        <v>1625.0000000042292</v>
      </c>
      <c r="AM337" s="560">
        <f t="shared" si="591"/>
        <v>626.00000000136424</v>
      </c>
      <c r="AN337" s="560">
        <f t="shared" si="592"/>
        <v>0</v>
      </c>
      <c r="AO337" s="560">
        <f t="shared" si="593"/>
        <v>0</v>
      </c>
      <c r="AP337" s="560">
        <f>Sheet1!BA339+Sheet1!BB339+Sheet1!BN339+CD337</f>
        <v>9.4</v>
      </c>
      <c r="AQ337" s="560">
        <f>Sheet1!BN339+(DO337*Sheet1!BN339)</f>
        <v>8.2459546925566354</v>
      </c>
      <c r="AR337" s="560">
        <f>Sheet1!BA339+CD337</f>
        <v>0</v>
      </c>
      <c r="AS337" s="560">
        <f>Sheet1!BA339+Sheet1!BB339+CD337</f>
        <v>1</v>
      </c>
      <c r="AT337" s="698">
        <f>0</f>
        <v>0</v>
      </c>
      <c r="AU337" s="560">
        <f>IF(EB337&lt;K337,0,MAX(Sheet1!AA339+AQ337-15/36*K337-N337,Sheet1!EH339,0))</f>
        <v>0</v>
      </c>
      <c r="AV337" s="560">
        <f>IF(OR(B337&gt;=GD337,B337&lt;GC337),0,15/36*K337-MAX(0,64.6-(137.6-(Sheet1!AA339+Sheet1!AB339))))</f>
        <v>0</v>
      </c>
      <c r="AW337" s="698">
        <f>Sheet1!DB339-110</f>
        <v>1070</v>
      </c>
      <c r="AX337" s="698">
        <f>Sheet1!DA339-265</f>
        <v>1255</v>
      </c>
      <c r="AY337" s="698">
        <f t="shared" si="594"/>
        <v>73</v>
      </c>
      <c r="AZ337" s="698">
        <v>0</v>
      </c>
      <c r="BA337" s="698">
        <f t="shared" si="595"/>
        <v>0</v>
      </c>
      <c r="BB337" s="560">
        <f t="shared" si="596"/>
        <v>0</v>
      </c>
      <c r="BC337" s="560"/>
      <c r="BD337" s="560">
        <f ca="1">IF(B337&gt;Summary!$A$1,#N/A,BB337*MGtoAF)</f>
        <v>0</v>
      </c>
      <c r="BE337" s="560">
        <f>Sheet1!BG339+Sheet1!BH339+Sheet1!BI339-BM337</f>
        <v>0</v>
      </c>
      <c r="BF337" s="560">
        <f t="shared" si="597"/>
        <v>0</v>
      </c>
      <c r="BG337" s="560">
        <f>IF(Sheet1!EP339="FM",BM337,0)</f>
        <v>0</v>
      </c>
      <c r="BH337" s="560">
        <f t="shared" si="598"/>
        <v>0</v>
      </c>
      <c r="BI337" s="560">
        <f>IF(Sheet1!EP339="OTHER",BM337,0)</f>
        <v>0</v>
      </c>
      <c r="BJ337" s="560">
        <f t="shared" si="599"/>
        <v>0</v>
      </c>
      <c r="BK337" s="560">
        <f t="shared" si="600"/>
        <v>0</v>
      </c>
      <c r="BL337" s="560">
        <f t="shared" si="601"/>
        <v>0</v>
      </c>
      <c r="BM337" s="560">
        <f>IF(OR(Sheet1!EP339="FM", Sheet1!EP339="OTHER"),SUM(Sheet1!BG339:'Sheet1'!BI339),0)</f>
        <v>0</v>
      </c>
      <c r="BN337" s="545">
        <f>IF(AND($B337&gt;=$FV337,$B337&lt;=$FW337),MAX(BF337,Sheet1!EI339,0),MAX(BF337-(7/36)*$K337,0))</f>
        <v>0</v>
      </c>
      <c r="BO337" s="560">
        <f t="shared" si="602"/>
        <v>0</v>
      </c>
      <c r="BP337" s="545">
        <f t="shared" si="603"/>
        <v>0</v>
      </c>
      <c r="BQ337" s="545">
        <f>IF(AND($O337&gt;0,Sheet1!EM339=1),(1-($O337-Sheet1!$L339)/$O337)*BL337,0)</f>
        <v>0</v>
      </c>
      <c r="BR337" s="545">
        <f>IF(AND(Sheet1!$L339=0,Sheet1!$L338=0, Calculation!BK337&lt;Sheet1!$EI339-0.1,Sheet1!$EI339=Sheet1!$EI338,Sheet1!$EI339=Sheet1!$EI340),Sheet1!$EI339,BL337-BQ337)</f>
        <v>0</v>
      </c>
      <c r="BS337" s="560"/>
      <c r="BT337" s="560"/>
      <c r="BU337" s="560">
        <f t="shared" si="604"/>
        <v>0</v>
      </c>
      <c r="BV337" s="560"/>
      <c r="BW337" s="560">
        <f ca="1">IF(B337&gt;Summary!$A$1,#N/A,BU337*MGtoAF)</f>
        <v>0</v>
      </c>
      <c r="BX337" s="560">
        <f>Sheet1!BC339+Sheet1!BD339+Sheet1!BE339+Sheet1!BF339-CG337-CH337</f>
        <v>2.5</v>
      </c>
      <c r="BY337" s="560">
        <f t="shared" si="605"/>
        <v>2.4541531823085223</v>
      </c>
      <c r="BZ337" s="560">
        <f>IF(Sheet1!EQ339="FM",CH337,0)</f>
        <v>0</v>
      </c>
      <c r="CA337" s="560">
        <f t="shared" si="606"/>
        <v>0</v>
      </c>
      <c r="CB337" s="560">
        <f>IF(Sheet1!EQ339="OTHER",CH337,0)</f>
        <v>0</v>
      </c>
      <c r="CC337" s="560">
        <f t="shared" si="607"/>
        <v>0</v>
      </c>
      <c r="CD337" s="560">
        <f t="shared" si="608"/>
        <v>0</v>
      </c>
      <c r="CE337" s="560">
        <f t="shared" si="609"/>
        <v>2.5</v>
      </c>
      <c r="CF337" s="560">
        <f t="shared" si="610"/>
        <v>2.4541531823085223</v>
      </c>
      <c r="CG337" s="560">
        <f>IF(Sheet1!EQ339="CWA",SUM(Sheet1!BC339:'Sheet1'!BF339),0)</f>
        <v>0</v>
      </c>
      <c r="CH337" s="560">
        <f>IF(OR(Sheet1!EQ339="FM", Sheet1!EQ339="OTHER"),SUM(Sheet1!BC339:'Sheet1'!BF339),0)</f>
        <v>0</v>
      </c>
      <c r="CI337" s="545">
        <f>IF(AND($B337&gt;=$FV337,$B337&lt;=$FW337),MAX(CF337,Sheet1!EJ339,0),MAX(CF337-(7/36)*$K337,0))</f>
        <v>0</v>
      </c>
      <c r="CJ337" s="560">
        <f t="shared" si="611"/>
        <v>0</v>
      </c>
      <c r="CK337" s="545">
        <f t="shared" si="612"/>
        <v>2.4541531823085223</v>
      </c>
      <c r="CL337" s="545">
        <f>IF(AND($O337&gt;0,Sheet1!EN339=1),(1-($O337-Sheet1!$L339)/$O337)*CF337,0)</f>
        <v>0</v>
      </c>
      <c r="CM337" s="545">
        <f>IF(AND(Sheet1!$L339=0,Sheet1!$L338=0, Calculation!CE337&lt;Sheet1!EJ339-0.1,Sheet1!EJ339=Sheet1!EJ338,Sheet1!EJ339=Sheet1!EJ340),Sheet1!EJ339,CF337-CL337)</f>
        <v>2.4541531823085223</v>
      </c>
      <c r="CN337" s="545"/>
      <c r="CO337" s="560"/>
      <c r="CP337" s="560">
        <f t="shared" si="613"/>
        <v>0</v>
      </c>
      <c r="CQ337" s="560"/>
      <c r="CR337" s="560">
        <f ca="1">IF(B337&gt;Summary!$A$1,#N/A,CP337*MGtoAF)</f>
        <v>0</v>
      </c>
      <c r="CS337" s="560">
        <f>Sheet1!BK339+Sheet1!BL339+Sheet1!BM339-Sheet1!ER339-DA337</f>
        <v>6.6400000000000006</v>
      </c>
      <c r="CT337" s="560">
        <f t="shared" si="614"/>
        <v>6.5182308522114356</v>
      </c>
      <c r="CU337" s="560">
        <f>IF(Sheet1!ER339="FM",DA337,0)</f>
        <v>0</v>
      </c>
      <c r="CV337" s="560">
        <f t="shared" si="615"/>
        <v>0</v>
      </c>
      <c r="CW337" s="560">
        <f>IF(Sheet1!ER339="OTHER",DA337,0)</f>
        <v>0</v>
      </c>
      <c r="CX337" s="560">
        <f t="shared" si="616"/>
        <v>0</v>
      </c>
      <c r="CY337" s="560">
        <f t="shared" si="617"/>
        <v>6.6400000000000006</v>
      </c>
      <c r="CZ337" s="560">
        <f t="shared" si="618"/>
        <v>6.5182308522114356</v>
      </c>
      <c r="DA337" s="560">
        <f>IF(OR(Sheet1!ER339="FM", Sheet1!ER339="OTHER"),SUM(Sheet1!BK339:'Sheet1'!BM339),0)</f>
        <v>0</v>
      </c>
      <c r="DB337" s="545">
        <f>IF(AND($B337&gt;=$FV337,$B337&lt;=$FW337),MAX($CT337,Sheet1!EK339,0),MAX($CT337-(7/36)*$K337,0))</f>
        <v>0</v>
      </c>
      <c r="DC337" s="560">
        <f t="shared" si="619"/>
        <v>0</v>
      </c>
      <c r="DD337" s="545">
        <f t="shared" si="620"/>
        <v>6.5182308522114356</v>
      </c>
      <c r="DE337" s="545">
        <f>IF(AND($O337&gt;0,Sheet1!EO339=1),(1-($O337-Sheet1!$L339)/$O337)*CZ337,0)</f>
        <v>0</v>
      </c>
      <c r="DF337" s="545">
        <f>IF(AND(Sheet1!$L339=0,Sheet1!$L338=0, Calculation!CY337&lt;Sheet1!$EK339-0.1,Sheet1!$EK339=Sheet1!$EK338,Sheet1!$EK339=Sheet1!$EK340),Sheet1!$EK339,CZ337-DE337)</f>
        <v>6.5182308522114356</v>
      </c>
      <c r="DG337" s="545"/>
      <c r="DH337" s="560">
        <f t="shared" si="621"/>
        <v>9.14</v>
      </c>
      <c r="DI337" s="560">
        <f t="shared" si="622"/>
        <v>0</v>
      </c>
      <c r="DJ337" s="698">
        <f t="shared" si="623"/>
        <v>8.9723840345199584</v>
      </c>
      <c r="DK337" s="560">
        <f ca="1">IF(B337&gt;Summary!$A$1,#N/A,DI337*MGtoAF)</f>
        <v>0</v>
      </c>
      <c r="DL337" s="698">
        <f t="shared" si="624"/>
        <v>9.14</v>
      </c>
      <c r="DM337" s="560">
        <f t="shared" si="625"/>
        <v>18.54</v>
      </c>
      <c r="DN337" s="560">
        <f>Sheet1!AB339-DM337</f>
        <v>-0.33999999999999986</v>
      </c>
      <c r="DO337" s="560">
        <f t="shared" si="626"/>
        <v>-1.8338727076591146E-2</v>
      </c>
      <c r="DP337" s="560">
        <f>(VLOOKUP(Sheet1!DC339,hhdcap_wcm,4)-(((VLOOKUP(Sheet1!DC339,hhdcap_wcm,3)-Sheet1!DC339)/(VLOOKUP(Sheet1!DC339,hhdcap_wcm,3)-VLOOKUP(Sheet1!DC339,hhdcap_wcm,1)))*(VLOOKUP(Sheet1!DC339,hhdcap_wcm,4)-VLOOKUP(Sheet1!DC339,hhdcap_wcm,2))))</f>
        <v>1625.0000000042292</v>
      </c>
      <c r="DQ337" s="560">
        <f t="shared" si="627"/>
        <v>626.00000000136424</v>
      </c>
      <c r="DR337" s="560">
        <f t="shared" si="628"/>
        <v>315.68330811969952</v>
      </c>
      <c r="DS337" s="560">
        <f>Sheet1!EA339*AFtoMG</f>
        <v>0</v>
      </c>
      <c r="DT337" s="560">
        <f>Sheet1!EB339*AFtoMG</f>
        <v>0</v>
      </c>
      <c r="DU337" s="560">
        <f>Sheet1!EC339*AFtoMG</f>
        <v>0</v>
      </c>
      <c r="DV337" s="560">
        <f>Sheet1!ED339*AFtoMG</f>
        <v>0</v>
      </c>
      <c r="DW337" s="560">
        <f t="shared" si="629"/>
        <v>0</v>
      </c>
      <c r="DX337" s="560">
        <f t="shared" si="630"/>
        <v>0</v>
      </c>
      <c r="DY337" s="560">
        <f t="shared" si="631"/>
        <v>0</v>
      </c>
      <c r="DZ337" s="560">
        <f t="shared" si="632"/>
        <v>0</v>
      </c>
      <c r="EA337" s="560"/>
      <c r="EB337" s="545">
        <f>IF(OR(B337&lt;FV337,B337&gt;FW337),(MIN(BF337+BY337+CT337+MAX(Sheet1!AA339+AQ337-73,0),K337)),0)</f>
        <v>8.9723840345199584</v>
      </c>
      <c r="EC337" s="560"/>
      <c r="ED337" s="560">
        <f t="shared" si="633"/>
        <v>8.9723840345199584</v>
      </c>
      <c r="EE337" s="560"/>
      <c r="EF337" s="560">
        <f>Sheet1!EH339+Sheet1!EI339+Sheet1!EJ339+Sheet1!EK339</f>
        <v>9</v>
      </c>
      <c r="EG337" s="560"/>
      <c r="EH337" s="545">
        <f t="shared" si="634"/>
        <v>0</v>
      </c>
      <c r="EI337" s="560">
        <f>IF(Sheet1!ET339=1,SUM('Calculations II'!AT337:BA337)+'Calculations II'!BC337+Sheet1!BV339+'Calculations II'!BE337+AP337,SUM('Calculations II'!AT337:BA337)+'Calculations II'!BC337+Sheet1!BV339+'Calculations II'!BE337+AP337)</f>
        <v>48.508336</v>
      </c>
      <c r="EJ337" s="560">
        <f>Sheet1!AA339+Sheet1!AB339+'Calculations II'!BC337</f>
        <v>53.282752000000002</v>
      </c>
      <c r="EK337" s="560"/>
      <c r="EL337" s="560"/>
      <c r="EM337" s="560">
        <f t="shared" si="635"/>
        <v>41965</v>
      </c>
      <c r="EN337" s="560">
        <f t="shared" si="636"/>
        <v>0</v>
      </c>
      <c r="EO337" s="560">
        <f t="shared" si="637"/>
        <v>0</v>
      </c>
      <c r="EP337" s="560">
        <v>0</v>
      </c>
      <c r="EQ337" s="560">
        <v>0</v>
      </c>
      <c r="ER337" s="560">
        <v>0</v>
      </c>
      <c r="ES337" s="545">
        <f t="shared" si="660"/>
        <v>-0.69290457785485315</v>
      </c>
      <c r="ET337" s="560">
        <f>-(VLOOKUP(Sheet1!BQ339,Lookup!$O$4:$Q$262,2)-VLOOKUP(Sheet1!BQ338,Lookup!$O$4:$Q$262,2))/1000000</f>
        <v>-0.27714259977391364</v>
      </c>
      <c r="EU337" s="560">
        <f>-(VLOOKUP(Sheet1!BR339,Lookup!$O$4:$Q$262,3)-VLOOKUP(Sheet1!BR338,Lookup!$O$4:$Q$262,3))/1000000</f>
        <v>-0.41576197808093951</v>
      </c>
      <c r="EV337" s="560"/>
      <c r="EW337" s="560"/>
      <c r="EX337" s="560"/>
      <c r="EY337" s="560"/>
      <c r="EZ337" s="560"/>
      <c r="FA337" s="560"/>
      <c r="FB337" s="560"/>
      <c r="FC337" s="560"/>
      <c r="FD337" s="594">
        <f t="shared" si="638"/>
        <v>1078.2307692307454</v>
      </c>
      <c r="FE337" s="594" t="e">
        <f t="shared" si="639"/>
        <v>#N/A</v>
      </c>
      <c r="FF337" s="595" t="e">
        <f t="shared" si="640"/>
        <v>#N/A</v>
      </c>
      <c r="FG337" s="596" t="s">
        <v>692</v>
      </c>
      <c r="FH337" s="596" t="s">
        <v>692</v>
      </c>
      <c r="FI337" s="594" t="e">
        <v>#N/A</v>
      </c>
      <c r="FJ337" s="778">
        <v>720</v>
      </c>
      <c r="FK337" s="560"/>
      <c r="FL337" s="560"/>
      <c r="FM337" s="560"/>
      <c r="FN337" s="560"/>
      <c r="FO337" s="560">
        <f>O337+((Sheet1!CS339)*GPMtoMGD)</f>
        <v>53.282752000000002</v>
      </c>
      <c r="FP337" s="560">
        <f>IF(Sheet1!AA339+AQ337&lt;=Calculation!N337,AQ337,Calculation!N337-Sheet1!AA339)</f>
        <v>8.2459546925566354</v>
      </c>
      <c r="FQ337" s="560">
        <f>(Sheet1!BP339+Sheet1!BO339)/694.4</f>
        <v>1.8414458525345623</v>
      </c>
      <c r="FR337" s="560"/>
      <c r="FS337" s="560"/>
      <c r="FT337" s="560"/>
      <c r="FU337" s="560"/>
      <c r="FV337" s="695">
        <f t="shared" si="661"/>
        <v>41827</v>
      </c>
      <c r="FW337" s="695">
        <f t="shared" si="662"/>
        <v>41934</v>
      </c>
      <c r="FX337" s="560"/>
      <c r="FY337" s="560"/>
      <c r="FZ337" s="560"/>
      <c r="GA337" s="560"/>
      <c r="GB337" s="560" t="str">
        <f t="shared" si="663"/>
        <v>n</v>
      </c>
      <c r="GC337" s="564">
        <f t="shared" si="664"/>
        <v>41691</v>
      </c>
      <c r="GD337" s="695">
        <f t="shared" si="665"/>
        <v>41807</v>
      </c>
      <c r="GE337" s="560">
        <v>6518.9</v>
      </c>
      <c r="GF337" s="695">
        <f t="shared" si="666"/>
        <v>41808</v>
      </c>
      <c r="GG337" s="560">
        <f t="shared" si="582"/>
        <v>3259</v>
      </c>
      <c r="GH337" s="564">
        <f t="shared" si="667"/>
        <v>41934</v>
      </c>
      <c r="GJ337" s="545">
        <f t="shared" si="668"/>
        <v>0</v>
      </c>
      <c r="GK337" s="560" t="str">
        <f t="shared" si="641"/>
        <v/>
      </c>
      <c r="GL337" s="560">
        <f t="shared" si="669"/>
        <v>0</v>
      </c>
      <c r="GM337" s="560" t="str">
        <f t="shared" si="670"/>
        <v/>
      </c>
      <c r="GN337" s="560">
        <f>IF(GK337="P",Lookup!$M$12,IF(GK337="PP",Lookup!$M$13,IF(GK337="PPP",Lookup!$M$14,IF(GK337="T",Lookup!$M$15,IF(GK337="TP",Lookup!$M$16,IF(GK337="TPP",Lookup!$M$17,IF(GK337="TPPP",Lookup!$M$18,0)))))))*GJ337</f>
        <v>0</v>
      </c>
      <c r="GO337" s="560">
        <f t="shared" si="671"/>
        <v>0</v>
      </c>
      <c r="GP337" s="560">
        <f t="shared" si="642"/>
        <v>0</v>
      </c>
      <c r="GQ337" s="560">
        <f t="shared" si="679"/>
        <v>0</v>
      </c>
      <c r="GR337" s="560"/>
      <c r="GS337" s="560">
        <f t="shared" si="672"/>
        <v>0</v>
      </c>
      <c r="GT337" s="560" t="str">
        <f t="shared" si="673"/>
        <v/>
      </c>
      <c r="GU337" s="560">
        <f>IF(GK337="P",Lookup!$N$12,IF(GK337="PP",Lookup!$N$13,IF(GK337="PPP",Lookup!$N$14,IF(GK337="T",Lookup!$N$15,IF(GK337="TP",Lookup!$N$16,IF(GK337="TPP",Lookup!$N$17,IF(GK337="TPPP",Lookup!$N$18,0)))))))*GJ337</f>
        <v>0</v>
      </c>
      <c r="GV337" s="560">
        <f t="shared" si="674"/>
        <v>0</v>
      </c>
      <c r="GW337" s="560">
        <f t="shared" si="643"/>
        <v>0</v>
      </c>
      <c r="GX337" s="560">
        <f t="shared" si="680"/>
        <v>0</v>
      </c>
      <c r="GY337" s="560"/>
      <c r="GZ337" s="560">
        <f t="shared" si="675"/>
        <v>0</v>
      </c>
      <c r="HA337" s="560" t="str">
        <f t="shared" si="676"/>
        <v/>
      </c>
      <c r="HB337" s="560">
        <f>IF(GK337="P",Lookup!$N$12,IF(GK337="PP",Lookup!$N$13,IF(GK337="PPP",Lookup!$N$14,IF(GK337="T",Lookup!$N$15,IF(GK337="TP",Lookup!$N$16,IF(GK337="TPP",Lookup!$N$17,IF(GK337="TPPP",Lookup!$N$18,0)))))))*GJ337</f>
        <v>0</v>
      </c>
      <c r="HC337" s="545">
        <f t="shared" si="644"/>
        <v>0</v>
      </c>
      <c r="HD337" s="560">
        <f t="shared" si="645"/>
        <v>0</v>
      </c>
      <c r="HE337" s="560">
        <f t="shared" si="681"/>
        <v>0</v>
      </c>
      <c r="HF337" s="560"/>
      <c r="HG337" s="560">
        <f t="shared" si="677"/>
        <v>0</v>
      </c>
      <c r="HH337" s="560" t="str">
        <f t="shared" si="678"/>
        <v/>
      </c>
      <c r="HI337" s="560">
        <f>IF(GK337="P",Lookup!$N$12,IF(GK337="PP",Lookup!$N$13,IF(GK337="PPP",Lookup!$N$14,IF(GK337="T",Lookup!$N$15,IF(GK337="TP",Lookup!$N$16,IF(GK337="TPP",Lookup!$N$17,IF(GK337="TPPP",Lookup!$N$18,0)))))))*GJ337</f>
        <v>0</v>
      </c>
      <c r="HJ337" s="545">
        <f t="shared" si="646"/>
        <v>0</v>
      </c>
      <c r="HK337" s="560">
        <f t="shared" si="647"/>
        <v>0</v>
      </c>
      <c r="HL337" s="560">
        <f t="shared" si="682"/>
        <v>0</v>
      </c>
    </row>
    <row r="338" spans="1:220">
      <c r="A338" s="580" t="s">
        <v>3</v>
      </c>
      <c r="B338" s="556">
        <v>41966</v>
      </c>
      <c r="C338" s="561">
        <v>0</v>
      </c>
      <c r="D338" s="529">
        <f t="shared" ref="D338:D381" si="684">IF(AND(B338&gt;=DATE($A$1,7,15),B338&lt;=DATE($A$1,9,15)),200,300)</f>
        <v>300</v>
      </c>
      <c r="E338" s="529">
        <f t="shared" ref="E338:E381" si="685">IF(AND(B338&gt;=DATE($A$1,7,15),B338&lt;=DATE($A$1,9,15)),400,250)</f>
        <v>250</v>
      </c>
      <c r="F338" s="529">
        <v>250</v>
      </c>
      <c r="G338" s="560">
        <f>DR338+Sheet1!CZ340</f>
        <v>2369.5360564809407</v>
      </c>
      <c r="H338" s="914">
        <f t="shared" si="650"/>
        <v>1264.70490690928</v>
      </c>
      <c r="I338" s="559">
        <f>MAX(Sheet1!Z340-AT338+(Sheet1!DA340-E338)*CFStoMGD,0)</f>
        <v>1407.96</v>
      </c>
      <c r="J338" s="562">
        <f>IF(AND(B338&gt;=Calculation!GC338,B338&lt;=Calculation!GD338),IF(Sheet1!DB340&gt;=Calculation!D338,64.64,0),MAX(Sheet1!Z340-AT338+(Sheet1!DB340-D338)*CFStoMGD,0))</f>
        <v>1155.864</v>
      </c>
      <c r="K338" s="904">
        <f t="shared" si="583"/>
        <v>64.64</v>
      </c>
      <c r="L338" s="560">
        <f>Sheet1!AA340+Sheet1!AB340-Sheet1!L340+(Sheet1!DA340-F338)*CFStoMGD</f>
        <v>1411.3399999999986</v>
      </c>
      <c r="M338" s="560">
        <f t="shared" si="584"/>
        <v>1562.3014690474658</v>
      </c>
      <c r="N338" s="910">
        <f>IF(Sheet1!DA340&gt;=F338,MIN(73,MIN(MAX(L338,0),MAX(M338,0))),0)</f>
        <v>73</v>
      </c>
      <c r="O338" s="563">
        <f>Sheet1!AA340+Sheet1!AB340</f>
        <v>46.230000000000004</v>
      </c>
      <c r="P338" s="563">
        <f t="shared" si="585"/>
        <v>71.517809999999997</v>
      </c>
      <c r="Q338" s="898">
        <f t="shared" si="651"/>
        <v>0</v>
      </c>
      <c r="R338" s="829">
        <f t="shared" si="586"/>
        <v>9.1146534653465352</v>
      </c>
      <c r="S338" s="898">
        <f t="shared" si="683"/>
        <v>46.230000000000004</v>
      </c>
      <c r="T338" s="898">
        <f t="shared" si="652"/>
        <v>0</v>
      </c>
      <c r="U338" s="898">
        <f t="shared" si="653"/>
        <v>0</v>
      </c>
      <c r="V338" s="898"/>
      <c r="W338" s="898">
        <f t="shared" si="654"/>
        <v>55.525346534653465</v>
      </c>
      <c r="X338" s="898">
        <f t="shared" si="655"/>
        <v>46.230000000000004</v>
      </c>
      <c r="Y338" s="898" t="str">
        <f t="shared" si="656"/>
        <v/>
      </c>
      <c r="Z338" s="898">
        <f t="shared" si="657"/>
        <v>46.230000000000004</v>
      </c>
      <c r="AA338" s="898">
        <f t="shared" si="658"/>
        <v>46.230000000000004</v>
      </c>
      <c r="AB338" s="898" t="str">
        <f t="shared" si="659"/>
        <v/>
      </c>
      <c r="AC338" s="563">
        <f>Sheet1!Y340*MGDtoCFS</f>
        <v>31.4041</v>
      </c>
      <c r="AD338" s="563">
        <f>Sheet1!Z340*MGDtoCFS</f>
        <v>28.155399999999997</v>
      </c>
      <c r="AE338" s="563">
        <f>Sheet1!AA340*MGDtoCFS</f>
        <v>31.0947</v>
      </c>
      <c r="AF338" s="563">
        <f>Sheet1!AB340*MGDtoCFS</f>
        <v>40.423109999999994</v>
      </c>
      <c r="AG338" s="563">
        <f>Sheet1!L340*MGDtoCFS</f>
        <v>38.133550000002252</v>
      </c>
      <c r="AH338" s="545">
        <f t="shared" si="587"/>
        <v>0</v>
      </c>
      <c r="AI338" s="560">
        <f t="shared" si="588"/>
        <v>0</v>
      </c>
      <c r="AJ338" s="560">
        <f t="shared" si="589"/>
        <v>0</v>
      </c>
      <c r="AK338" s="560">
        <f t="shared" si="590"/>
        <v>0</v>
      </c>
      <c r="AL338" s="560">
        <f>(VLOOKUP(Sheet1!DC340,hhdcap_wcm,4)-(((VLOOKUP(Sheet1!DC340,hhdcap_wcm,3)-Sheet1!DC340)/(VLOOKUP(Sheet1!DC340,hhdcap_wcm,3)-VLOOKUP(Sheet1!DC340,hhdcap_wcm,1)))*(VLOOKUP(Sheet1!DC340,hhdcap_wcm,4)-VLOOKUP(Sheet1!DC340,hhdcap_wcm,2))))</f>
        <v>2496.6000000059344</v>
      </c>
      <c r="AM338" s="560">
        <f t="shared" si="591"/>
        <v>871.60000000170521</v>
      </c>
      <c r="AN338" s="560">
        <f t="shared" si="592"/>
        <v>0</v>
      </c>
      <c r="AO338" s="560">
        <f t="shared" si="593"/>
        <v>0</v>
      </c>
      <c r="AP338" s="560">
        <f>Sheet1!BA340+Sheet1!BB340+Sheet1!BN340+CD338</f>
        <v>17.100000000000001</v>
      </c>
      <c r="AQ338" s="560">
        <f>Sheet1!BN340+(DO338*Sheet1!BN340)</f>
        <v>16.02029702970297</v>
      </c>
      <c r="AR338" s="560">
        <f>Sheet1!BA340+CD338</f>
        <v>0</v>
      </c>
      <c r="AS338" s="560">
        <f>Sheet1!BA340+Sheet1!BB340+CD338</f>
        <v>1</v>
      </c>
      <c r="AT338" s="698">
        <f>0</f>
        <v>0</v>
      </c>
      <c r="AU338" s="560">
        <f>IF(EB338&lt;K338,0,MAX(Sheet1!AA340+AQ338-15/36*K338-N338,Sheet1!EH340,0))</f>
        <v>0</v>
      </c>
      <c r="AV338" s="560">
        <f>IF(OR(B338&gt;=GD338,B338&lt;GC338),0,15/36*K338-MAX(0,64.6-(137.6-(Sheet1!AA340+Sheet1!AB340))))</f>
        <v>0</v>
      </c>
      <c r="AW338" s="698">
        <f>Sheet1!DB340-110</f>
        <v>1950</v>
      </c>
      <c r="AX338" s="698">
        <f>Sheet1!DA340-265</f>
        <v>2135</v>
      </c>
      <c r="AY338" s="698">
        <f t="shared" si="594"/>
        <v>73</v>
      </c>
      <c r="AZ338" s="698">
        <v>0</v>
      </c>
      <c r="BA338" s="698">
        <f t="shared" si="595"/>
        <v>0</v>
      </c>
      <c r="BB338" s="560">
        <f t="shared" si="596"/>
        <v>0</v>
      </c>
      <c r="BC338" s="560"/>
      <c r="BD338" s="560">
        <f ca="1">IF(B338&gt;Summary!$A$1,#N/A,BB338*MGtoAF)</f>
        <v>0</v>
      </c>
      <c r="BE338" s="560">
        <f>Sheet1!BG340+Sheet1!BH340+Sheet1!BI340-BM338</f>
        <v>0</v>
      </c>
      <c r="BF338" s="560">
        <f t="shared" si="597"/>
        <v>0</v>
      </c>
      <c r="BG338" s="560">
        <f>IF(Sheet1!EP340="FM",BM338,0)</f>
        <v>0</v>
      </c>
      <c r="BH338" s="560">
        <f t="shared" si="598"/>
        <v>0</v>
      </c>
      <c r="BI338" s="560">
        <f>IF(Sheet1!EP340="OTHER",BM338,0)</f>
        <v>0</v>
      </c>
      <c r="BJ338" s="560">
        <f t="shared" si="599"/>
        <v>0</v>
      </c>
      <c r="BK338" s="560">
        <f t="shared" si="600"/>
        <v>0</v>
      </c>
      <c r="BL338" s="560">
        <f t="shared" si="601"/>
        <v>0</v>
      </c>
      <c r="BM338" s="560">
        <f>IF(OR(Sheet1!EP340="FM", Sheet1!EP340="OTHER"),SUM(Sheet1!BG340:'Sheet1'!BI340),0)</f>
        <v>0</v>
      </c>
      <c r="BN338" s="545">
        <f>IF(AND($B338&gt;=$FV338,$B338&lt;=$FW338),MAX(BF338,Sheet1!EI340,0),MAX(BF338-(7/36)*$K338,0))</f>
        <v>0</v>
      </c>
      <c r="BO338" s="560">
        <f t="shared" si="602"/>
        <v>0</v>
      </c>
      <c r="BP338" s="545">
        <f t="shared" si="603"/>
        <v>0</v>
      </c>
      <c r="BQ338" s="545">
        <f>IF(AND($O338&gt;0,Sheet1!EM340=1),(1-($O338-Sheet1!$L340)/$O338)*BL338,0)</f>
        <v>0</v>
      </c>
      <c r="BR338" s="545">
        <f>IF(AND(Sheet1!$L340=0,Sheet1!$L339=0, Calculation!BK338&lt;Sheet1!$EI340-0.1,Sheet1!$EI340=Sheet1!$EI339,Sheet1!$EI340=Sheet1!$EI341),Sheet1!$EI340,BL338-BQ338)</f>
        <v>0</v>
      </c>
      <c r="BS338" s="560"/>
      <c r="BT338" s="560"/>
      <c r="BU338" s="560">
        <f t="shared" si="604"/>
        <v>0</v>
      </c>
      <c r="BV338" s="560"/>
      <c r="BW338" s="560">
        <f ca="1">IF(B338&gt;Summary!$A$1,#N/A,BU338*MGtoAF)</f>
        <v>0</v>
      </c>
      <c r="BX338" s="560">
        <f>Sheet1!BC340+Sheet1!BD340+Sheet1!BE340+Sheet1!BF340-CG338-CH338</f>
        <v>2.5099999999999998</v>
      </c>
      <c r="BY338" s="560">
        <f t="shared" si="605"/>
        <v>2.4975742574257422</v>
      </c>
      <c r="BZ338" s="560">
        <f>IF(Sheet1!EQ340="FM",CH338,0)</f>
        <v>0</v>
      </c>
      <c r="CA338" s="560">
        <f t="shared" si="606"/>
        <v>0</v>
      </c>
      <c r="CB338" s="560">
        <f>IF(Sheet1!EQ340="OTHER",CH338,0)</f>
        <v>0</v>
      </c>
      <c r="CC338" s="560">
        <f t="shared" si="607"/>
        <v>0</v>
      </c>
      <c r="CD338" s="560">
        <f t="shared" si="608"/>
        <v>0</v>
      </c>
      <c r="CE338" s="560">
        <f t="shared" si="609"/>
        <v>2.5099999999999998</v>
      </c>
      <c r="CF338" s="560">
        <f t="shared" si="610"/>
        <v>2.4975742574257422</v>
      </c>
      <c r="CG338" s="560">
        <f>IF(Sheet1!EQ340="CWA",SUM(Sheet1!BC340:'Sheet1'!BF340),0)</f>
        <v>0</v>
      </c>
      <c r="CH338" s="560">
        <f>IF(OR(Sheet1!EQ340="FM", Sheet1!EQ340="OTHER"),SUM(Sheet1!BC340:'Sheet1'!BF340),0)</f>
        <v>0</v>
      </c>
      <c r="CI338" s="545">
        <f>IF(AND($B338&gt;=$FV338,$B338&lt;=$FW338),MAX(CF338,Sheet1!EJ340,0),MAX(CF338-(7/36)*$K338,0))</f>
        <v>0</v>
      </c>
      <c r="CJ338" s="560">
        <f t="shared" si="611"/>
        <v>0</v>
      </c>
      <c r="CK338" s="545">
        <f t="shared" si="612"/>
        <v>2.4975742574257422</v>
      </c>
      <c r="CL338" s="545">
        <f>IF(AND($O338&gt;0,Sheet1!EN340=1),(1-($O338-Sheet1!$L340)/$O338)*CF338,0)</f>
        <v>0</v>
      </c>
      <c r="CM338" s="545">
        <f>IF(AND(Sheet1!$L340=0,Sheet1!$L339=0, Calculation!CE338&lt;Sheet1!EJ340-0.1,Sheet1!EJ340=Sheet1!EJ339,Sheet1!EJ340=Sheet1!EJ341),Sheet1!EJ340,CF338-CL338)</f>
        <v>2.4975742574257422</v>
      </c>
      <c r="CN338" s="545"/>
      <c r="CO338" s="560"/>
      <c r="CP338" s="560">
        <f t="shared" si="613"/>
        <v>0</v>
      </c>
      <c r="CQ338" s="560"/>
      <c r="CR338" s="560">
        <f ca="1">IF(B338&gt;Summary!$A$1,#N/A,CP338*MGtoAF)</f>
        <v>0</v>
      </c>
      <c r="CS338" s="560">
        <f>Sheet1!BK340+Sheet1!BL340+Sheet1!BM340-Sheet1!ER340-DA338</f>
        <v>6.65</v>
      </c>
      <c r="CT338" s="560">
        <f t="shared" si="614"/>
        <v>6.6170792079207921</v>
      </c>
      <c r="CU338" s="560">
        <f>IF(Sheet1!ER340="FM",DA338,0)</f>
        <v>0</v>
      </c>
      <c r="CV338" s="560">
        <f t="shared" si="615"/>
        <v>0</v>
      </c>
      <c r="CW338" s="560">
        <f>IF(Sheet1!ER340="OTHER",DA338,0)</f>
        <v>0</v>
      </c>
      <c r="CX338" s="560">
        <f t="shared" si="616"/>
        <v>0</v>
      </c>
      <c r="CY338" s="560">
        <f t="shared" si="617"/>
        <v>6.65</v>
      </c>
      <c r="CZ338" s="560">
        <f t="shared" si="618"/>
        <v>6.6170792079207921</v>
      </c>
      <c r="DA338" s="560">
        <f>IF(OR(Sheet1!ER340="FM", Sheet1!ER340="OTHER"),SUM(Sheet1!BK340:'Sheet1'!BM340),0)</f>
        <v>0</v>
      </c>
      <c r="DB338" s="545">
        <f>IF(AND($B338&gt;=$FV338,$B338&lt;=$FW338),MAX($CT338,Sheet1!EK340,0),MAX($CT338-(7/36)*$K338,0))</f>
        <v>0</v>
      </c>
      <c r="DC338" s="560">
        <f t="shared" si="619"/>
        <v>0</v>
      </c>
      <c r="DD338" s="545">
        <f t="shared" si="620"/>
        <v>6.6170792079207921</v>
      </c>
      <c r="DE338" s="545">
        <f>IF(AND($O338&gt;0,Sheet1!EO340=1),(1-($O338-Sheet1!$L340)/$O338)*CZ338,0)</f>
        <v>0</v>
      </c>
      <c r="DF338" s="545">
        <f>IF(AND(Sheet1!$L340=0,Sheet1!$L339=0, Calculation!CY338&lt;Sheet1!$EK340-0.1,Sheet1!$EK340=Sheet1!$EK339,Sheet1!$EK340=Sheet1!$EK341),Sheet1!$EK340,CZ338-DE338)</f>
        <v>6.6170792079207921</v>
      </c>
      <c r="DG338" s="545"/>
      <c r="DH338" s="560">
        <f t="shared" si="621"/>
        <v>9.16</v>
      </c>
      <c r="DI338" s="560">
        <f t="shared" si="622"/>
        <v>0</v>
      </c>
      <c r="DJ338" s="698">
        <f t="shared" si="623"/>
        <v>9.1146534653465352</v>
      </c>
      <c r="DK338" s="560">
        <f ca="1">IF(B338&gt;Summary!$A$1,#N/A,DI338*MGtoAF)</f>
        <v>0</v>
      </c>
      <c r="DL338" s="698">
        <f t="shared" si="624"/>
        <v>9.16</v>
      </c>
      <c r="DM338" s="560">
        <f t="shared" si="625"/>
        <v>26.26</v>
      </c>
      <c r="DN338" s="560">
        <f>Sheet1!AB340-DM338</f>
        <v>-0.13000000000000256</v>
      </c>
      <c r="DO338" s="560">
        <f t="shared" si="626"/>
        <v>-4.9504950495050477E-3</v>
      </c>
      <c r="DP338" s="560">
        <f>(VLOOKUP(Sheet1!DC340,hhdcap_wcm,4)-(((VLOOKUP(Sheet1!DC340,hhdcap_wcm,3)-Sheet1!DC340)/(VLOOKUP(Sheet1!DC340,hhdcap_wcm,3)-VLOOKUP(Sheet1!DC340,hhdcap_wcm,1)))*(VLOOKUP(Sheet1!DC340,hhdcap_wcm,4)-VLOOKUP(Sheet1!DC340,hhdcap_wcm,2))))</f>
        <v>2496.6000000059344</v>
      </c>
      <c r="DQ338" s="560">
        <f t="shared" si="627"/>
        <v>871.60000000170521</v>
      </c>
      <c r="DR338" s="560">
        <f t="shared" si="628"/>
        <v>439.53605648094054</v>
      </c>
      <c r="DS338" s="560">
        <f>Sheet1!EA340*AFtoMG</f>
        <v>0</v>
      </c>
      <c r="DT338" s="560">
        <f>Sheet1!EB340*AFtoMG</f>
        <v>0</v>
      </c>
      <c r="DU338" s="560">
        <f>Sheet1!EC340*AFtoMG</f>
        <v>0</v>
      </c>
      <c r="DV338" s="560">
        <f>Sheet1!ED340*AFtoMG</f>
        <v>0</v>
      </c>
      <c r="DW338" s="560">
        <f t="shared" si="629"/>
        <v>0</v>
      </c>
      <c r="DX338" s="560">
        <f t="shared" si="630"/>
        <v>0</v>
      </c>
      <c r="DY338" s="560">
        <f t="shared" si="631"/>
        <v>0</v>
      </c>
      <c r="DZ338" s="560">
        <f t="shared" si="632"/>
        <v>0</v>
      </c>
      <c r="EA338" s="560"/>
      <c r="EB338" s="545">
        <f>IF(OR(B338&lt;FV338,B338&gt;FW338),(MIN(BF338+BY338+CT338+MAX(Sheet1!AA340+AQ338-73,0),K338)),0)</f>
        <v>9.1146534653465352</v>
      </c>
      <c r="EC338" s="560"/>
      <c r="ED338" s="560">
        <f t="shared" si="633"/>
        <v>9.1146534653465352</v>
      </c>
      <c r="EE338" s="560"/>
      <c r="EF338" s="560">
        <f>Sheet1!EH340+Sheet1!EI340+Sheet1!EJ340+Sheet1!EK340</f>
        <v>9</v>
      </c>
      <c r="EG338" s="560"/>
      <c r="EH338" s="545">
        <f t="shared" si="634"/>
        <v>0</v>
      </c>
      <c r="EI338" s="560">
        <f>IF(Sheet1!ET340=1,SUM('Calculations II'!AT338:BA338)+'Calculations II'!BC338+Sheet1!BV340+'Calculations II'!BE338+AP338,SUM('Calculations II'!AT338:BA338)+'Calculations II'!BC338+Sheet1!BV340+'Calculations II'!BE338+AP338)</f>
        <v>48.604288000000004</v>
      </c>
      <c r="EJ338" s="560">
        <f>Sheet1!AA340+Sheet1!AB340+'Calculations II'!BC338</f>
        <v>53.4876</v>
      </c>
      <c r="EK338" s="560"/>
      <c r="EL338" s="560"/>
      <c r="EM338" s="560">
        <f t="shared" si="635"/>
        <v>41966</v>
      </c>
      <c r="EN338" s="560">
        <f t="shared" si="636"/>
        <v>0</v>
      </c>
      <c r="EO338" s="560">
        <f t="shared" si="637"/>
        <v>0</v>
      </c>
      <c r="EP338" s="560">
        <v>0</v>
      </c>
      <c r="EQ338" s="560">
        <v>0</v>
      </c>
      <c r="ER338" s="560">
        <v>0</v>
      </c>
      <c r="ES338" s="545">
        <f t="shared" si="660"/>
        <v>-0.41576838893108814</v>
      </c>
      <c r="ET338" s="560">
        <f>-(VLOOKUP(Sheet1!BQ340,Lookup!$O$4:$Q$262,2)-VLOOKUP(Sheet1!BQ339,Lookup!$O$4:$Q$262,2))/1000000</f>
        <v>-0.27716824140089003</v>
      </c>
      <c r="EU338" s="560">
        <f>-(VLOOKUP(Sheet1!BR340,Lookup!$O$4:$Q$262,3)-VLOOKUP(Sheet1!BR339,Lookup!$O$4:$Q$262,3))/1000000</f>
        <v>-0.13860014753019809</v>
      </c>
      <c r="EV338" s="560"/>
      <c r="EW338" s="560"/>
      <c r="EX338" s="560"/>
      <c r="EY338" s="560"/>
      <c r="EZ338" s="560"/>
      <c r="FA338" s="560"/>
      <c r="FB338" s="560"/>
      <c r="FC338" s="560"/>
      <c r="FD338" s="594">
        <f t="shared" si="638"/>
        <v>1077.4833333333102</v>
      </c>
      <c r="FE338" s="594" t="e">
        <f t="shared" si="639"/>
        <v>#N/A</v>
      </c>
      <c r="FF338" s="595" t="e">
        <f t="shared" si="640"/>
        <v>#N/A</v>
      </c>
      <c r="FG338" s="596" t="s">
        <v>692</v>
      </c>
      <c r="FH338" s="596" t="s">
        <v>692</v>
      </c>
      <c r="FI338" s="594" t="e">
        <v>#N/A</v>
      </c>
      <c r="FJ338" s="778">
        <v>630</v>
      </c>
      <c r="FK338" s="560"/>
      <c r="FL338" s="560"/>
      <c r="FM338" s="560"/>
      <c r="FN338" s="560"/>
      <c r="FO338" s="560">
        <f>O338+((Sheet1!CS340)*GPMtoMGD)</f>
        <v>53.4876</v>
      </c>
      <c r="FP338" s="560">
        <f>IF(Sheet1!AA340+AQ338&lt;=Calculation!N338,AQ338,Calculation!N338-Sheet1!AA340)</f>
        <v>16.02029702970297</v>
      </c>
      <c r="FQ338" s="560">
        <f>(Sheet1!BP340+Sheet1!BO340)/694.4</f>
        <v>2.3529665898617513</v>
      </c>
      <c r="FR338" s="560"/>
      <c r="FS338" s="560"/>
      <c r="FT338" s="560"/>
      <c r="FU338" s="560"/>
      <c r="FV338" s="695">
        <f t="shared" si="661"/>
        <v>41827</v>
      </c>
      <c r="FW338" s="695">
        <f t="shared" si="662"/>
        <v>41934</v>
      </c>
      <c r="FX338" s="560"/>
      <c r="FY338" s="560"/>
      <c r="FZ338" s="560"/>
      <c r="GA338" s="560"/>
      <c r="GB338" s="560" t="str">
        <f t="shared" si="663"/>
        <v>n</v>
      </c>
      <c r="GC338" s="564">
        <f t="shared" si="664"/>
        <v>41691</v>
      </c>
      <c r="GD338" s="695">
        <f t="shared" si="665"/>
        <v>41807</v>
      </c>
      <c r="GE338" s="560">
        <v>6518.9</v>
      </c>
      <c r="GF338" s="695">
        <f t="shared" si="666"/>
        <v>41808</v>
      </c>
      <c r="GG338" s="560">
        <f t="shared" ref="GG338:GG381" si="686">GG337</f>
        <v>3259</v>
      </c>
      <c r="GH338" s="564">
        <f t="shared" si="667"/>
        <v>41934</v>
      </c>
      <c r="GJ338" s="545">
        <f t="shared" si="668"/>
        <v>0</v>
      </c>
      <c r="GK338" s="560" t="str">
        <f t="shared" si="641"/>
        <v/>
      </c>
      <c r="GL338" s="560">
        <f t="shared" si="669"/>
        <v>0</v>
      </c>
      <c r="GM338" s="560" t="str">
        <f t="shared" si="670"/>
        <v/>
      </c>
      <c r="GN338" s="560">
        <f>IF(GK338="P",Lookup!$M$12,IF(GK338="PP",Lookup!$M$13,IF(GK338="PPP",Lookup!$M$14,IF(GK338="T",Lookup!$M$15,IF(GK338="TP",Lookup!$M$16,IF(GK338="TPP",Lookup!$M$17,IF(GK338="TPPP",Lookup!$M$18,0)))))))*GJ338</f>
        <v>0</v>
      </c>
      <c r="GO338" s="560">
        <f t="shared" si="671"/>
        <v>0</v>
      </c>
      <c r="GP338" s="560">
        <f t="shared" si="642"/>
        <v>0</v>
      </c>
      <c r="GQ338" s="560">
        <f t="shared" si="679"/>
        <v>0</v>
      </c>
      <c r="GR338" s="560"/>
      <c r="GS338" s="560">
        <f t="shared" si="672"/>
        <v>0</v>
      </c>
      <c r="GT338" s="560" t="str">
        <f t="shared" si="673"/>
        <v/>
      </c>
      <c r="GU338" s="560">
        <f>IF(GK338="P",Lookup!$N$12,IF(GK338="PP",Lookup!$N$13,IF(GK338="PPP",Lookup!$N$14,IF(GK338="T",Lookup!$N$15,IF(GK338="TP",Lookup!$N$16,IF(GK338="TPP",Lookup!$N$17,IF(GK338="TPPP",Lookup!$N$18,0)))))))*GJ338</f>
        <v>0</v>
      </c>
      <c r="GV338" s="560">
        <f t="shared" si="674"/>
        <v>0</v>
      </c>
      <c r="GW338" s="560">
        <f t="shared" si="643"/>
        <v>0</v>
      </c>
      <c r="GX338" s="560">
        <f t="shared" si="680"/>
        <v>0</v>
      </c>
      <c r="GY338" s="560"/>
      <c r="GZ338" s="560">
        <f t="shared" si="675"/>
        <v>0</v>
      </c>
      <c r="HA338" s="560" t="str">
        <f t="shared" si="676"/>
        <v/>
      </c>
      <c r="HB338" s="560">
        <f>IF(GK338="P",Lookup!$N$12,IF(GK338="PP",Lookup!$N$13,IF(GK338="PPP",Lookup!$N$14,IF(GK338="T",Lookup!$N$15,IF(GK338="TP",Lookup!$N$16,IF(GK338="TPP",Lookup!$N$17,IF(GK338="TPPP",Lookup!$N$18,0)))))))*GJ338</f>
        <v>0</v>
      </c>
      <c r="HC338" s="545">
        <f t="shared" si="644"/>
        <v>0</v>
      </c>
      <c r="HD338" s="560">
        <f t="shared" si="645"/>
        <v>0</v>
      </c>
      <c r="HE338" s="560">
        <f t="shared" si="681"/>
        <v>0</v>
      </c>
      <c r="HF338" s="560"/>
      <c r="HG338" s="560">
        <f t="shared" si="677"/>
        <v>0</v>
      </c>
      <c r="HH338" s="560" t="str">
        <f t="shared" si="678"/>
        <v/>
      </c>
      <c r="HI338" s="560">
        <f>IF(GK338="P",Lookup!$N$12,IF(GK338="PP",Lookup!$N$13,IF(GK338="PPP",Lookup!$N$14,IF(GK338="T",Lookup!$N$15,IF(GK338="TP",Lookup!$N$16,IF(GK338="TPP",Lookup!$N$17,IF(GK338="TPPP",Lookup!$N$18,0)))))))*GJ338</f>
        <v>0</v>
      </c>
      <c r="HJ338" s="545">
        <f t="shared" si="646"/>
        <v>0</v>
      </c>
      <c r="HK338" s="560">
        <f t="shared" si="647"/>
        <v>0</v>
      </c>
      <c r="HL338" s="560">
        <f t="shared" si="682"/>
        <v>0</v>
      </c>
    </row>
    <row r="339" spans="1:220">
      <c r="A339" s="580" t="s">
        <v>4</v>
      </c>
      <c r="B339" s="556">
        <v>41967</v>
      </c>
      <c r="C339" s="561">
        <v>0</v>
      </c>
      <c r="D339" s="529">
        <f t="shared" si="684"/>
        <v>300</v>
      </c>
      <c r="E339" s="529">
        <f t="shared" si="685"/>
        <v>250</v>
      </c>
      <c r="F339" s="529">
        <v>250</v>
      </c>
      <c r="G339" s="560">
        <f>DR339+Sheet1!CZ341</f>
        <v>2288.0080685826524</v>
      </c>
      <c r="H339" s="914">
        <f t="shared" si="650"/>
        <v>1212.0052155318265</v>
      </c>
      <c r="I339" s="559">
        <f>MAX(Sheet1!Z341-AT339+(Sheet1!DA341-E339)*CFStoMGD,0)</f>
        <v>1784.338</v>
      </c>
      <c r="J339" s="562">
        <f>IF(AND(B339&gt;=Calculation!GC339,B339&lt;=Calculation!GD339),IF(Sheet1!DB341&gt;=Calculation!D339,64.64,0),MAX(Sheet1!Z341-AT339+(Sheet1!DB341-D339)*CFStoMGD,0))</f>
        <v>1474.066</v>
      </c>
      <c r="K339" s="904">
        <f t="shared" si="583"/>
        <v>64.64</v>
      </c>
      <c r="L339" s="560">
        <f>Sheet1!AA341+Sheet1!AB341-Sheet1!L341+(Sheet1!DA341-F339)*CFStoMGD</f>
        <v>1779.5680000000002</v>
      </c>
      <c r="M339" s="560">
        <f t="shared" si="584"/>
        <v>1508.5477838424631</v>
      </c>
      <c r="N339" s="910">
        <f>IF(Sheet1!DA341&gt;=F339,MIN(73,MIN(MAX(L339,0),MAX(M339,0))),0)</f>
        <v>73</v>
      </c>
      <c r="O339" s="563">
        <f>Sheet1!AA341+Sheet1!AB341</f>
        <v>48.18</v>
      </c>
      <c r="P339" s="563">
        <f t="shared" si="585"/>
        <v>74.534459999999996</v>
      </c>
      <c r="Q339" s="898">
        <f t="shared" si="651"/>
        <v>0</v>
      </c>
      <c r="R339" s="829">
        <f t="shared" si="586"/>
        <v>9.0103735325506928</v>
      </c>
      <c r="S339" s="898">
        <f t="shared" si="683"/>
        <v>48.18</v>
      </c>
      <c r="T339" s="898">
        <f t="shared" si="652"/>
        <v>0</v>
      </c>
      <c r="U339" s="898">
        <f t="shared" si="653"/>
        <v>0</v>
      </c>
      <c r="V339" s="898"/>
      <c r="W339" s="898">
        <f t="shared" si="654"/>
        <v>55.629626467449306</v>
      </c>
      <c r="X339" s="898">
        <f t="shared" si="655"/>
        <v>48.18</v>
      </c>
      <c r="Y339" s="898" t="str">
        <f t="shared" si="656"/>
        <v/>
      </c>
      <c r="Z339" s="898">
        <f t="shared" si="657"/>
        <v>48.18</v>
      </c>
      <c r="AA339" s="898">
        <f t="shared" si="658"/>
        <v>48.18</v>
      </c>
      <c r="AB339" s="898" t="str">
        <f t="shared" si="659"/>
        <v/>
      </c>
      <c r="AC339" s="563">
        <f>Sheet1!Y341*MGDtoCFS</f>
        <v>31.0947</v>
      </c>
      <c r="AD339" s="563">
        <f>Sheet1!Z341*MGDtoCFS</f>
        <v>40.423109999999994</v>
      </c>
      <c r="AE339" s="563">
        <f>Sheet1!AA341*MGDtoCFS</f>
        <v>31.0947</v>
      </c>
      <c r="AF339" s="563">
        <f>Sheet1!AB341*MGDtoCFS</f>
        <v>43.439759999999993</v>
      </c>
      <c r="AG339" s="563">
        <f>Sheet1!L341*MGDtoCFS</f>
        <v>41.490539999999548</v>
      </c>
      <c r="AH339" s="545">
        <f t="shared" si="587"/>
        <v>0</v>
      </c>
      <c r="AI339" s="560">
        <f t="shared" si="588"/>
        <v>0</v>
      </c>
      <c r="AJ339" s="560">
        <f t="shared" si="589"/>
        <v>0</v>
      </c>
      <c r="AK339" s="560">
        <f t="shared" si="590"/>
        <v>0</v>
      </c>
      <c r="AL339" s="560">
        <f>(VLOOKUP(Sheet1!DC341,hhdcap_wcm,4)-(((VLOOKUP(Sheet1!DC341,hhdcap_wcm,3)-Sheet1!DC341)/(VLOOKUP(Sheet1!DC341,hhdcap_wcm,3)-VLOOKUP(Sheet1!DC341,hhdcap_wcm,1)))*(VLOOKUP(Sheet1!DC341,hhdcap_wcm,4)-VLOOKUP(Sheet1!DC341,hhdcap_wcm,2))))</f>
        <v>2195.200000005334</v>
      </c>
      <c r="AM339" s="560">
        <f t="shared" si="591"/>
        <v>-301.40000000060036</v>
      </c>
      <c r="AN339" s="560">
        <f t="shared" si="592"/>
        <v>0</v>
      </c>
      <c r="AO339" s="560">
        <f t="shared" si="593"/>
        <v>0</v>
      </c>
      <c r="AP339" s="560">
        <f>Sheet1!BA341+Sheet1!BB341+Sheet1!BN341+CD339</f>
        <v>19.09</v>
      </c>
      <c r="AQ339" s="560">
        <f>Sheet1!BN341+(DO339*Sheet1!BN341)</f>
        <v>18.080683030949842</v>
      </c>
      <c r="AR339" s="560">
        <f>Sheet1!BA341+CD339</f>
        <v>0</v>
      </c>
      <c r="AS339" s="560">
        <f>Sheet1!BA341+Sheet1!BB341+CD339</f>
        <v>0.99</v>
      </c>
      <c r="AT339" s="698">
        <f>0</f>
        <v>0</v>
      </c>
      <c r="AU339" s="560">
        <f>IF(EB339&lt;K339,0,MAX(Sheet1!AA341+AQ339-15/36*K339-N339,Sheet1!EH341,0))</f>
        <v>0</v>
      </c>
      <c r="AV339" s="560">
        <f>IF(OR(B339&gt;=GD339,B339&lt;GC339),0,15/36*K339-MAX(0,64.6-(137.6-(Sheet1!AA341+Sheet1!AB341))))</f>
        <v>0</v>
      </c>
      <c r="AW339" s="698">
        <f>Sheet1!DB341-110</f>
        <v>2430</v>
      </c>
      <c r="AX339" s="698">
        <f>Sheet1!DA341-265</f>
        <v>2705</v>
      </c>
      <c r="AY339" s="698">
        <f t="shared" si="594"/>
        <v>73</v>
      </c>
      <c r="AZ339" s="698">
        <v>0</v>
      </c>
      <c r="BA339" s="698">
        <f t="shared" si="595"/>
        <v>0</v>
      </c>
      <c r="BB339" s="560">
        <f t="shared" si="596"/>
        <v>0</v>
      </c>
      <c r="BC339" s="560"/>
      <c r="BD339" s="560">
        <f ca="1">IF(B339&gt;Summary!$A$1,#N/A,BB339*MGtoAF)</f>
        <v>0</v>
      </c>
      <c r="BE339" s="560">
        <f>Sheet1!BG341+Sheet1!BH341+Sheet1!BI341-BM339</f>
        <v>0</v>
      </c>
      <c r="BF339" s="560">
        <f t="shared" si="597"/>
        <v>0</v>
      </c>
      <c r="BG339" s="560">
        <f>IF(Sheet1!EP341="FM",BM339,0)</f>
        <v>0</v>
      </c>
      <c r="BH339" s="560">
        <f t="shared" si="598"/>
        <v>0</v>
      </c>
      <c r="BI339" s="560">
        <f>IF(Sheet1!EP341="OTHER",BM339,0)</f>
        <v>0</v>
      </c>
      <c r="BJ339" s="560">
        <f t="shared" si="599"/>
        <v>0</v>
      </c>
      <c r="BK339" s="560">
        <f t="shared" si="600"/>
        <v>0</v>
      </c>
      <c r="BL339" s="560">
        <f t="shared" si="601"/>
        <v>0</v>
      </c>
      <c r="BM339" s="560">
        <f>IF(OR(Sheet1!EP341="FM", Sheet1!EP341="OTHER"),SUM(Sheet1!BG341:'Sheet1'!BI341),0)</f>
        <v>0</v>
      </c>
      <c r="BN339" s="545">
        <f>IF(AND($B339&gt;=$FV339,$B339&lt;=$FW339),MAX(BF339,Sheet1!EI341,0),MAX(BF339-(7/36)*$K339,0))</f>
        <v>0</v>
      </c>
      <c r="BO339" s="560">
        <f t="shared" si="602"/>
        <v>0</v>
      </c>
      <c r="BP339" s="545">
        <f t="shared" si="603"/>
        <v>0</v>
      </c>
      <c r="BQ339" s="545">
        <f>IF(AND($O339&gt;0,Sheet1!EM341=1),(1-($O339-Sheet1!$L341)/$O339)*BL339,0)</f>
        <v>0</v>
      </c>
      <c r="BR339" s="545">
        <f>IF(AND(Sheet1!$L341=0,Sheet1!$L340=0, Calculation!BK339&lt;Sheet1!$EI341-0.1,Sheet1!$EI341=Sheet1!$EI340,Sheet1!$EI341=Sheet1!$EI342),Sheet1!$EI341,BL339-BQ339)</f>
        <v>0</v>
      </c>
      <c r="BS339" s="560"/>
      <c r="BT339" s="560"/>
      <c r="BU339" s="560">
        <f t="shared" si="604"/>
        <v>0</v>
      </c>
      <c r="BV339" s="560"/>
      <c r="BW339" s="560">
        <f ca="1">IF(B339&gt;Summary!$A$1,#N/A,BU339*MGtoAF)</f>
        <v>0</v>
      </c>
      <c r="BX339" s="560">
        <f>Sheet1!BC341+Sheet1!BD341+Sheet1!BE341+Sheet1!BF341-CG339-CH339</f>
        <v>2.5</v>
      </c>
      <c r="BY339" s="560">
        <f t="shared" si="605"/>
        <v>2.4973319103521878</v>
      </c>
      <c r="BZ339" s="560">
        <f>IF(Sheet1!EQ341="FM",CH339,0)</f>
        <v>0</v>
      </c>
      <c r="CA339" s="560">
        <f t="shared" si="606"/>
        <v>0</v>
      </c>
      <c r="CB339" s="560">
        <f>IF(Sheet1!EQ341="OTHER",CH339,0)</f>
        <v>0</v>
      </c>
      <c r="CC339" s="560">
        <f t="shared" si="607"/>
        <v>0</v>
      </c>
      <c r="CD339" s="560">
        <f t="shared" si="608"/>
        <v>0</v>
      </c>
      <c r="CE339" s="560">
        <f t="shared" si="609"/>
        <v>2.5</v>
      </c>
      <c r="CF339" s="560">
        <f t="shared" si="610"/>
        <v>2.4973319103521878</v>
      </c>
      <c r="CG339" s="560">
        <f>IF(Sheet1!EQ341="CWA",SUM(Sheet1!BC341:'Sheet1'!BF341),0)</f>
        <v>0</v>
      </c>
      <c r="CH339" s="560">
        <f>IF(OR(Sheet1!EQ341="FM", Sheet1!EQ341="OTHER"),SUM(Sheet1!BC341:'Sheet1'!BF341),0)</f>
        <v>0</v>
      </c>
      <c r="CI339" s="545">
        <f>IF(AND($B339&gt;=$FV339,$B339&lt;=$FW339),MAX(CF339,Sheet1!EJ341,0),MAX(CF339-(7/36)*$K339,0))</f>
        <v>0</v>
      </c>
      <c r="CJ339" s="560">
        <f t="shared" si="611"/>
        <v>0</v>
      </c>
      <c r="CK339" s="545">
        <f t="shared" si="612"/>
        <v>2.4973319103521878</v>
      </c>
      <c r="CL339" s="545">
        <f>IF(AND($O339&gt;0,Sheet1!EN341=1),(1-($O339-Sheet1!$L341)/$O339)*CF339,0)</f>
        <v>0</v>
      </c>
      <c r="CM339" s="545">
        <f>IF(AND(Sheet1!$L341=0,Sheet1!$L340=0, Calculation!CE339&lt;Sheet1!EJ341-0.1,Sheet1!EJ341=Sheet1!EJ340,Sheet1!EJ341=Sheet1!EJ342),Sheet1!EJ341,CF339-CL339)</f>
        <v>2.4973319103521878</v>
      </c>
      <c r="CN339" s="545"/>
      <c r="CO339" s="560"/>
      <c r="CP339" s="560">
        <f t="shared" si="613"/>
        <v>0</v>
      </c>
      <c r="CQ339" s="560"/>
      <c r="CR339" s="560">
        <f ca="1">IF(B339&gt;Summary!$A$1,#N/A,CP339*MGtoAF)</f>
        <v>0</v>
      </c>
      <c r="CS339" s="560">
        <f>Sheet1!BK341+Sheet1!BL341+Sheet1!BM341-Sheet1!ER341-DA339</f>
        <v>6.52</v>
      </c>
      <c r="CT339" s="560">
        <f t="shared" si="614"/>
        <v>6.5130416221985055</v>
      </c>
      <c r="CU339" s="560">
        <f>IF(Sheet1!ER341="FM",DA339,0)</f>
        <v>0</v>
      </c>
      <c r="CV339" s="560">
        <f t="shared" si="615"/>
        <v>0</v>
      </c>
      <c r="CW339" s="560">
        <f>IF(Sheet1!ER341="OTHER",DA339,0)</f>
        <v>0</v>
      </c>
      <c r="CX339" s="560">
        <f t="shared" si="616"/>
        <v>0</v>
      </c>
      <c r="CY339" s="560">
        <f t="shared" si="617"/>
        <v>6.52</v>
      </c>
      <c r="CZ339" s="560">
        <f t="shared" si="618"/>
        <v>6.5130416221985055</v>
      </c>
      <c r="DA339" s="560">
        <f>IF(OR(Sheet1!ER341="FM", Sheet1!ER341="OTHER"),SUM(Sheet1!BK341:'Sheet1'!BM341),0)</f>
        <v>0</v>
      </c>
      <c r="DB339" s="545">
        <f>IF(AND($B339&gt;=$FV339,$B339&lt;=$FW339),MAX($CT339,Sheet1!EK341,0),MAX($CT339-(7/36)*$K339,0))</f>
        <v>0</v>
      </c>
      <c r="DC339" s="560">
        <f t="shared" si="619"/>
        <v>0</v>
      </c>
      <c r="DD339" s="545">
        <f t="shared" si="620"/>
        <v>6.5130416221985055</v>
      </c>
      <c r="DE339" s="545">
        <f>IF(AND($O339&gt;0,Sheet1!EO341=1),(1-($O339-Sheet1!$L341)/$O339)*CZ339,0)</f>
        <v>0</v>
      </c>
      <c r="DF339" s="545">
        <f>IF(AND(Sheet1!$L341=0,Sheet1!$L340=0, Calculation!CY339&lt;Sheet1!$EK341-0.1,Sheet1!$EK341=Sheet1!$EK340,Sheet1!$EK341=Sheet1!$EK342),Sheet1!$EK341,CZ339-DE339)</f>
        <v>6.5130416221985055</v>
      </c>
      <c r="DG339" s="545"/>
      <c r="DH339" s="560">
        <f t="shared" si="621"/>
        <v>9.02</v>
      </c>
      <c r="DI339" s="560">
        <f t="shared" si="622"/>
        <v>0</v>
      </c>
      <c r="DJ339" s="698">
        <f t="shared" si="623"/>
        <v>9.0103735325506928</v>
      </c>
      <c r="DK339" s="560">
        <f ca="1">IF(B339&gt;Summary!$A$1,#N/A,DI339*MGtoAF)</f>
        <v>0</v>
      </c>
      <c r="DL339" s="698">
        <f t="shared" si="624"/>
        <v>9.02</v>
      </c>
      <c r="DM339" s="560">
        <f t="shared" si="625"/>
        <v>28.11</v>
      </c>
      <c r="DN339" s="560">
        <f>Sheet1!AB341-DM339</f>
        <v>-3.0000000000001137E-2</v>
      </c>
      <c r="DO339" s="560">
        <f t="shared" si="626"/>
        <v>-1.067235859124907E-3</v>
      </c>
      <c r="DP339" s="560">
        <f>(VLOOKUP(Sheet1!DC341,hhdcap_wcm,4)-(((VLOOKUP(Sheet1!DC341,hhdcap_wcm,3)-Sheet1!DC341)/(VLOOKUP(Sheet1!DC341,hhdcap_wcm,3)-VLOOKUP(Sheet1!DC341,hhdcap_wcm,1)))*(VLOOKUP(Sheet1!DC341,hhdcap_wcm,4)-VLOOKUP(Sheet1!DC341,hhdcap_wcm,2))))</f>
        <v>2195.200000005334</v>
      </c>
      <c r="DQ339" s="560">
        <f t="shared" si="627"/>
        <v>-301.40000000060036</v>
      </c>
      <c r="DR339" s="560">
        <f t="shared" si="628"/>
        <v>-151.99193141734762</v>
      </c>
      <c r="DS339" s="560">
        <f>Sheet1!EA341*AFtoMG</f>
        <v>0</v>
      </c>
      <c r="DT339" s="560">
        <f>Sheet1!EB341*AFtoMG</f>
        <v>0</v>
      </c>
      <c r="DU339" s="560">
        <f>Sheet1!EC341*AFtoMG</f>
        <v>0</v>
      </c>
      <c r="DV339" s="560">
        <f>Sheet1!ED341*AFtoMG</f>
        <v>0</v>
      </c>
      <c r="DW339" s="560">
        <f t="shared" si="629"/>
        <v>0</v>
      </c>
      <c r="DX339" s="560">
        <f t="shared" si="630"/>
        <v>0</v>
      </c>
      <c r="DY339" s="560">
        <f t="shared" si="631"/>
        <v>0</v>
      </c>
      <c r="DZ339" s="560">
        <f t="shared" si="632"/>
        <v>0</v>
      </c>
      <c r="EA339" s="560"/>
      <c r="EB339" s="545">
        <f>IF(OR(B339&lt;FV339,B339&gt;FW339),(MIN(BF339+BY339+CT339+MAX(Sheet1!AA341+AQ339-73,0),K339)),0)</f>
        <v>9.0103735325506928</v>
      </c>
      <c r="EC339" s="560"/>
      <c r="ED339" s="560">
        <f t="shared" si="633"/>
        <v>9.0103735325506928</v>
      </c>
      <c r="EE339" s="560"/>
      <c r="EF339" s="560">
        <f>Sheet1!EH341+Sheet1!EI341+Sheet1!EJ341+Sheet1!EK341</f>
        <v>9</v>
      </c>
      <c r="EG339" s="560"/>
      <c r="EH339" s="545">
        <f t="shared" si="634"/>
        <v>0</v>
      </c>
      <c r="EI339" s="560">
        <f>IF(Sheet1!ET341=1,SUM('Calculations II'!AT339:BA339)+'Calculations II'!BC339+Sheet1!BV341+'Calculations II'!BE339+AP339,SUM('Calculations II'!AT339:BA339)+'Calculations II'!BC339+Sheet1!BV341+'Calculations II'!BE339+AP339)</f>
        <v>47.204256000000001</v>
      </c>
      <c r="EJ339" s="560">
        <f>Sheet1!AA341+Sheet1!AB341+'Calculations II'!BC339</f>
        <v>53.569631999999999</v>
      </c>
      <c r="EK339" s="560"/>
      <c r="EL339" s="560"/>
      <c r="EM339" s="560">
        <f t="shared" si="635"/>
        <v>41967</v>
      </c>
      <c r="EN339" s="560">
        <f t="shared" si="636"/>
        <v>0</v>
      </c>
      <c r="EO339" s="560">
        <f t="shared" si="637"/>
        <v>0</v>
      </c>
      <c r="EP339" s="560">
        <v>0</v>
      </c>
      <c r="EQ339" s="560">
        <v>0</v>
      </c>
      <c r="ER339" s="560">
        <v>0</v>
      </c>
      <c r="ES339" s="545">
        <f t="shared" si="660"/>
        <v>-1.524768314690657</v>
      </c>
      <c r="ET339" s="560">
        <f>-(VLOOKUP(Sheet1!BQ341,Lookup!$O$4:$Q$262,2)-VLOOKUP(Sheet1!BQ340,Lookup!$O$4:$Q$262,2))/1000000</f>
        <v>-0.69303279337969426</v>
      </c>
      <c r="EU339" s="560">
        <f>-(VLOOKUP(Sheet1!BR341,Lookup!$O$4:$Q$262,3)-VLOOKUP(Sheet1!BR340,Lookup!$O$4:$Q$262,3))/1000000</f>
        <v>-0.83173552131096273</v>
      </c>
      <c r="EV339" s="560"/>
      <c r="EW339" s="560"/>
      <c r="EX339" s="560"/>
      <c r="EY339" s="560"/>
      <c r="EZ339" s="560"/>
      <c r="FA339" s="560"/>
      <c r="FB339" s="560"/>
      <c r="FC339" s="560"/>
      <c r="FD339" s="594">
        <f t="shared" si="638"/>
        <v>1076.7249999999776</v>
      </c>
      <c r="FE339" s="594" t="e">
        <f t="shared" si="639"/>
        <v>#N/A</v>
      </c>
      <c r="FF339" s="595" t="e">
        <f t="shared" si="640"/>
        <v>#N/A</v>
      </c>
      <c r="FG339" s="596" t="s">
        <v>692</v>
      </c>
      <c r="FH339" s="596" t="s">
        <v>692</v>
      </c>
      <c r="FI339" s="594" t="e">
        <v>#N/A</v>
      </c>
      <c r="FJ339" s="778">
        <v>540</v>
      </c>
      <c r="FK339" s="560"/>
      <c r="FL339" s="560"/>
      <c r="FM339" s="560"/>
      <c r="FN339" s="560"/>
      <c r="FO339" s="560">
        <f>O339+((Sheet1!CS341)*GPMtoMGD)</f>
        <v>53.569631999999999</v>
      </c>
      <c r="FP339" s="560">
        <f>IF(Sheet1!AA341+AQ339&lt;=Calculation!N339,AQ339,Calculation!N339-Sheet1!AA341)</f>
        <v>18.080683030949842</v>
      </c>
      <c r="FQ339" s="560">
        <f>(Sheet1!BP341+Sheet1!BO341)/694.4</f>
        <v>1.5007200460829493</v>
      </c>
      <c r="FR339" s="560"/>
      <c r="FS339" s="560"/>
      <c r="FT339" s="560"/>
      <c r="FU339" s="560"/>
      <c r="FV339" s="695">
        <f t="shared" si="661"/>
        <v>41827</v>
      </c>
      <c r="FW339" s="695">
        <f t="shared" si="662"/>
        <v>41934</v>
      </c>
      <c r="FX339" s="560"/>
      <c r="FY339" s="560"/>
      <c r="FZ339" s="560"/>
      <c r="GA339" s="560"/>
      <c r="GB339" s="560" t="str">
        <f t="shared" si="663"/>
        <v>n</v>
      </c>
      <c r="GC339" s="564">
        <f t="shared" si="664"/>
        <v>41691</v>
      </c>
      <c r="GD339" s="695">
        <f t="shared" si="665"/>
        <v>41807</v>
      </c>
      <c r="GE339" s="560">
        <v>6518.9</v>
      </c>
      <c r="GF339" s="695">
        <f t="shared" si="666"/>
        <v>41808</v>
      </c>
      <c r="GG339" s="560">
        <f t="shared" si="686"/>
        <v>3259</v>
      </c>
      <c r="GH339" s="564">
        <f t="shared" si="667"/>
        <v>41934</v>
      </c>
      <c r="GJ339" s="545">
        <f t="shared" si="668"/>
        <v>0</v>
      </c>
      <c r="GK339" s="560" t="str">
        <f t="shared" si="641"/>
        <v/>
      </c>
      <c r="GL339" s="560">
        <f t="shared" si="669"/>
        <v>0</v>
      </c>
      <c r="GM339" s="560" t="str">
        <f t="shared" si="670"/>
        <v/>
      </c>
      <c r="GN339" s="560">
        <f>IF(GK339="P",Lookup!$M$12,IF(GK339="PP",Lookup!$M$13,IF(GK339="PPP",Lookup!$M$14,IF(GK339="T",Lookup!$M$15,IF(GK339="TP",Lookup!$M$16,IF(GK339="TPP",Lookup!$M$17,IF(GK339="TPPP",Lookup!$M$18,0)))))))*GJ339</f>
        <v>0</v>
      </c>
      <c r="GO339" s="560">
        <f t="shared" si="671"/>
        <v>0</v>
      </c>
      <c r="GP339" s="560">
        <f t="shared" si="642"/>
        <v>0</v>
      </c>
      <c r="GQ339" s="560">
        <f t="shared" si="679"/>
        <v>0</v>
      </c>
      <c r="GR339" s="560"/>
      <c r="GS339" s="560">
        <f t="shared" si="672"/>
        <v>0</v>
      </c>
      <c r="GT339" s="560" t="str">
        <f t="shared" si="673"/>
        <v/>
      </c>
      <c r="GU339" s="560">
        <f>IF(GK339="P",Lookup!$N$12,IF(GK339="PP",Lookup!$N$13,IF(GK339="PPP",Lookup!$N$14,IF(GK339="T",Lookup!$N$15,IF(GK339="TP",Lookup!$N$16,IF(GK339="TPP",Lookup!$N$17,IF(GK339="TPPP",Lookup!$N$18,0)))))))*GJ339</f>
        <v>0</v>
      </c>
      <c r="GV339" s="560">
        <f t="shared" si="674"/>
        <v>0</v>
      </c>
      <c r="GW339" s="560">
        <f t="shared" si="643"/>
        <v>0</v>
      </c>
      <c r="GX339" s="560">
        <f t="shared" si="680"/>
        <v>0</v>
      </c>
      <c r="GY339" s="560"/>
      <c r="GZ339" s="560">
        <f t="shared" si="675"/>
        <v>0</v>
      </c>
      <c r="HA339" s="560" t="str">
        <f t="shared" si="676"/>
        <v/>
      </c>
      <c r="HB339" s="560">
        <f>IF(GK339="P",Lookup!$N$12,IF(GK339="PP",Lookup!$N$13,IF(GK339="PPP",Lookup!$N$14,IF(GK339="T",Lookup!$N$15,IF(GK339="TP",Lookup!$N$16,IF(GK339="TPP",Lookup!$N$17,IF(GK339="TPPP",Lookup!$N$18,0)))))))*GJ339</f>
        <v>0</v>
      </c>
      <c r="HC339" s="545">
        <f t="shared" si="644"/>
        <v>0</v>
      </c>
      <c r="HD339" s="560">
        <f t="shared" si="645"/>
        <v>0</v>
      </c>
      <c r="HE339" s="560">
        <f t="shared" si="681"/>
        <v>0</v>
      </c>
      <c r="HF339" s="560"/>
      <c r="HG339" s="560">
        <f t="shared" si="677"/>
        <v>0</v>
      </c>
      <c r="HH339" s="560" t="str">
        <f t="shared" si="678"/>
        <v/>
      </c>
      <c r="HI339" s="560">
        <f>IF(GK339="P",Lookup!$N$12,IF(GK339="PP",Lookup!$N$13,IF(GK339="PPP",Lookup!$N$14,IF(GK339="T",Lookup!$N$15,IF(GK339="TP",Lookup!$N$16,IF(GK339="TPP",Lookup!$N$17,IF(GK339="TPPP",Lookup!$N$18,0)))))))*GJ339</f>
        <v>0</v>
      </c>
      <c r="HJ339" s="545">
        <f t="shared" si="646"/>
        <v>0</v>
      </c>
      <c r="HK339" s="560">
        <f t="shared" si="647"/>
        <v>0</v>
      </c>
      <c r="HL339" s="560">
        <f t="shared" si="682"/>
        <v>0</v>
      </c>
    </row>
    <row r="340" spans="1:220">
      <c r="A340" s="580" t="s">
        <v>5</v>
      </c>
      <c r="B340" s="556">
        <v>41968</v>
      </c>
      <c r="C340" s="561">
        <v>0</v>
      </c>
      <c r="D340" s="529">
        <f t="shared" si="684"/>
        <v>300</v>
      </c>
      <c r="E340" s="529">
        <f t="shared" si="685"/>
        <v>250</v>
      </c>
      <c r="F340" s="529">
        <v>250</v>
      </c>
      <c r="G340" s="560">
        <f>DR340+Sheet1!CZ342</f>
        <v>9850.0403429208636</v>
      </c>
      <c r="H340" s="914">
        <f t="shared" si="650"/>
        <v>6100.102877664046</v>
      </c>
      <c r="I340" s="559">
        <f>MAX(Sheet1!Z342-AT340+(Sheet1!DA342-E340)*CFStoMGD,0)</f>
        <v>4539.9519999999993</v>
      </c>
      <c r="J340" s="562">
        <f>IF(AND(B340&gt;=Calculation!GC340,B340&lt;=Calculation!GD340),IF(Sheet1!DB342&gt;=Calculation!D340,64.64,0),MAX(Sheet1!Z342-AT340+(Sheet1!DB342-D340)*CFStoMGD,0))</f>
        <v>3828.9119999999998</v>
      </c>
      <c r="K340" s="904">
        <f t="shared" si="583"/>
        <v>64.64</v>
      </c>
      <c r="L340" s="560">
        <f>Sheet1!AA342+Sheet1!AB342-Sheet1!L342+(Sheet1!DA342-F340)*CFStoMGD</f>
        <v>4514.7420000000002</v>
      </c>
      <c r="M340" s="560">
        <f t="shared" si="584"/>
        <v>6494.4073992173271</v>
      </c>
      <c r="N340" s="910">
        <f>IF(Sheet1!DA342&gt;=F340,MIN(73,MIN(MAX(L340,0),MAX(M340,0))),0)</f>
        <v>73</v>
      </c>
      <c r="O340" s="563">
        <f>Sheet1!AA342+Sheet1!AB342</f>
        <v>41.24</v>
      </c>
      <c r="P340" s="563">
        <f t="shared" si="585"/>
        <v>63.798280000000005</v>
      </c>
      <c r="Q340" s="898">
        <f t="shared" si="651"/>
        <v>0</v>
      </c>
      <c r="R340" s="829">
        <f t="shared" si="586"/>
        <v>9.0244155844155856</v>
      </c>
      <c r="S340" s="898">
        <f t="shared" si="683"/>
        <v>41.24</v>
      </c>
      <c r="T340" s="898">
        <f t="shared" si="652"/>
        <v>0</v>
      </c>
      <c r="U340" s="898">
        <f t="shared" si="653"/>
        <v>0</v>
      </c>
      <c r="V340" s="898"/>
      <c r="W340" s="898">
        <f t="shared" si="654"/>
        <v>55.615584415584415</v>
      </c>
      <c r="X340" s="898">
        <f t="shared" si="655"/>
        <v>41.24</v>
      </c>
      <c r="Y340" s="898" t="str">
        <f t="shared" si="656"/>
        <v/>
      </c>
      <c r="Z340" s="898">
        <f t="shared" si="657"/>
        <v>41.24</v>
      </c>
      <c r="AA340" s="898">
        <f t="shared" si="658"/>
        <v>41.24</v>
      </c>
      <c r="AB340" s="898" t="str">
        <f t="shared" si="659"/>
        <v/>
      </c>
      <c r="AC340" s="563">
        <f>Sheet1!Y342*MGDtoCFS</f>
        <v>31.0947</v>
      </c>
      <c r="AD340" s="563">
        <f>Sheet1!Z342*MGDtoCFS</f>
        <v>43.439759999999993</v>
      </c>
      <c r="AE340" s="563">
        <f>Sheet1!AA342*MGDtoCFS</f>
        <v>31.868200000000002</v>
      </c>
      <c r="AF340" s="563">
        <f>Sheet1!AB342*MGDtoCFS</f>
        <v>31.93008</v>
      </c>
      <c r="AG340" s="563">
        <f>Sheet1!L342*MGDtoCFS</f>
        <v>59.358389999998423</v>
      </c>
      <c r="AH340" s="545">
        <f t="shared" si="587"/>
        <v>0</v>
      </c>
      <c r="AI340" s="560">
        <f t="shared" si="588"/>
        <v>0</v>
      </c>
      <c r="AJ340" s="560">
        <f t="shared" si="589"/>
        <v>0</v>
      </c>
      <c r="AK340" s="560">
        <f t="shared" si="590"/>
        <v>0</v>
      </c>
      <c r="AL340" s="560">
        <f>(VLOOKUP(Sheet1!DC342,hhdcap_wcm,4)-(((VLOOKUP(Sheet1!DC342,hhdcap_wcm,3)-Sheet1!DC342)/(VLOOKUP(Sheet1!DC342,hhdcap_wcm,3)-VLOOKUP(Sheet1!DC342,hhdcap_wcm,1)))*(VLOOKUP(Sheet1!DC342,hhdcap_wcm,4)-VLOOKUP(Sheet1!DC342,hhdcap_wcm,2))))</f>
        <v>8025.3000000174079</v>
      </c>
      <c r="AM340" s="560">
        <f t="shared" si="591"/>
        <v>5830.1000000120739</v>
      </c>
      <c r="AN340" s="560">
        <f t="shared" si="592"/>
        <v>0</v>
      </c>
      <c r="AO340" s="560">
        <f t="shared" si="593"/>
        <v>0</v>
      </c>
      <c r="AP340" s="560">
        <f>Sheet1!BA342+Sheet1!BB342+Sheet1!BN342+CD340</f>
        <v>11.7</v>
      </c>
      <c r="AQ340" s="560">
        <f>Sheet1!BN342+(DO340*Sheet1!BN342)</f>
        <v>10.622799422799423</v>
      </c>
      <c r="AR340" s="560">
        <f>Sheet1!BA342+CD340</f>
        <v>0</v>
      </c>
      <c r="AS340" s="560">
        <f>Sheet1!BA342+Sheet1!BB342+CD340</f>
        <v>1</v>
      </c>
      <c r="AT340" s="698">
        <f>0</f>
        <v>0</v>
      </c>
      <c r="AU340" s="560">
        <f>IF(EB340&lt;K340,0,MAX(Sheet1!AA342+AQ340-15/36*K340-N340,Sheet1!EH342,0))</f>
        <v>0</v>
      </c>
      <c r="AV340" s="560">
        <f>IF(OR(B340&gt;=GD340,B340&lt;GC340),0,15/36*K340-MAX(0,64.6-(137.6-(Sheet1!AA342+Sheet1!AB342))))</f>
        <v>0</v>
      </c>
      <c r="AW340" s="698">
        <f>Sheet1!DB342-110</f>
        <v>6070</v>
      </c>
      <c r="AX340" s="698">
        <f>Sheet1!DA342-265</f>
        <v>6965</v>
      </c>
      <c r="AY340" s="698">
        <f t="shared" si="594"/>
        <v>73</v>
      </c>
      <c r="AZ340" s="698">
        <v>0</v>
      </c>
      <c r="BA340" s="698">
        <f t="shared" si="595"/>
        <v>0</v>
      </c>
      <c r="BB340" s="560">
        <f t="shared" si="596"/>
        <v>0</v>
      </c>
      <c r="BC340" s="560"/>
      <c r="BD340" s="560">
        <f ca="1">IF(B340&gt;Summary!$A$1,#N/A,BB340*MGtoAF)</f>
        <v>0</v>
      </c>
      <c r="BE340" s="560">
        <f>Sheet1!BG342+Sheet1!BH342+Sheet1!BI342-BM340</f>
        <v>0</v>
      </c>
      <c r="BF340" s="560">
        <f t="shared" si="597"/>
        <v>0</v>
      </c>
      <c r="BG340" s="560">
        <f>IF(Sheet1!EP342="FM",BM340,0)</f>
        <v>0</v>
      </c>
      <c r="BH340" s="560">
        <f t="shared" si="598"/>
        <v>0</v>
      </c>
      <c r="BI340" s="560">
        <f>IF(Sheet1!EP342="OTHER",BM340,0)</f>
        <v>0</v>
      </c>
      <c r="BJ340" s="560">
        <f t="shared" si="599"/>
        <v>0</v>
      </c>
      <c r="BK340" s="560">
        <f t="shared" si="600"/>
        <v>0</v>
      </c>
      <c r="BL340" s="560">
        <f t="shared" si="601"/>
        <v>0</v>
      </c>
      <c r="BM340" s="560">
        <f>IF(OR(Sheet1!EP342="FM", Sheet1!EP342="OTHER"),SUM(Sheet1!BG342:'Sheet1'!BI342),0)</f>
        <v>0</v>
      </c>
      <c r="BN340" s="545">
        <f>IF(AND($B340&gt;=$FV340,$B340&lt;=$FW340),MAX(BF340,Sheet1!EI342,0),MAX(BF340-(7/36)*$K340,0))</f>
        <v>0</v>
      </c>
      <c r="BO340" s="560">
        <f t="shared" si="602"/>
        <v>0</v>
      </c>
      <c r="BP340" s="545">
        <f t="shared" si="603"/>
        <v>0</v>
      </c>
      <c r="BQ340" s="545">
        <f>IF(AND($O340&gt;0,Sheet1!EM342=1),(1-($O340-Sheet1!$L342)/$O340)*BL340,0)</f>
        <v>0</v>
      </c>
      <c r="BR340" s="545">
        <f>IF(AND(Sheet1!$L342=0,Sheet1!$L341=0, Calculation!BK340&lt;Sheet1!$EI342-0.1,Sheet1!$EI342=Sheet1!$EI341,Sheet1!$EI342=Sheet1!$EI343),Sheet1!$EI342,BL340-BQ340)</f>
        <v>0</v>
      </c>
      <c r="BS340" s="560"/>
      <c r="BT340" s="560"/>
      <c r="BU340" s="560">
        <f t="shared" si="604"/>
        <v>0</v>
      </c>
      <c r="BV340" s="560"/>
      <c r="BW340" s="560">
        <f ca="1">IF(B340&gt;Summary!$A$1,#N/A,BU340*MGtoAF)</f>
        <v>0</v>
      </c>
      <c r="BX340" s="560">
        <f>Sheet1!BC342+Sheet1!BD342+Sheet1!BE342+Sheet1!BF342-CG340-CH340</f>
        <v>2.5099999999999998</v>
      </c>
      <c r="BY340" s="560">
        <f t="shared" si="605"/>
        <v>2.4918903318903318</v>
      </c>
      <c r="BZ340" s="560">
        <f>IF(Sheet1!EQ342="FM",CH340,0)</f>
        <v>0</v>
      </c>
      <c r="CA340" s="560">
        <f t="shared" si="606"/>
        <v>0</v>
      </c>
      <c r="CB340" s="560">
        <f>IF(Sheet1!EQ342="OTHER",CH340,0)</f>
        <v>0</v>
      </c>
      <c r="CC340" s="560">
        <f t="shared" si="607"/>
        <v>0</v>
      </c>
      <c r="CD340" s="560">
        <f t="shared" si="608"/>
        <v>0</v>
      </c>
      <c r="CE340" s="560">
        <f t="shared" si="609"/>
        <v>2.5099999999999998</v>
      </c>
      <c r="CF340" s="560">
        <f t="shared" si="610"/>
        <v>2.4918903318903318</v>
      </c>
      <c r="CG340" s="560">
        <f>IF(Sheet1!EQ342="CWA",SUM(Sheet1!BC342:'Sheet1'!BF342),0)</f>
        <v>0</v>
      </c>
      <c r="CH340" s="560">
        <f>IF(OR(Sheet1!EQ342="FM", Sheet1!EQ342="OTHER"),SUM(Sheet1!BC342:'Sheet1'!BF342),0)</f>
        <v>0</v>
      </c>
      <c r="CI340" s="545">
        <f>IF(AND($B340&gt;=$FV340,$B340&lt;=$FW340),MAX(CF340,Sheet1!EJ342,0),MAX(CF340-(7/36)*$K340,0))</f>
        <v>0</v>
      </c>
      <c r="CJ340" s="560">
        <f t="shared" si="611"/>
        <v>0</v>
      </c>
      <c r="CK340" s="545">
        <f t="shared" si="612"/>
        <v>2.4918903318903318</v>
      </c>
      <c r="CL340" s="545">
        <f>IF(AND($O340&gt;0,Sheet1!EN342=1),(1-($O340-Sheet1!$L342)/$O340)*CF340,0)</f>
        <v>0</v>
      </c>
      <c r="CM340" s="545">
        <f>IF(AND(Sheet1!$L342=0,Sheet1!$L341=0, Calculation!CE340&lt;Sheet1!EJ342-0.1,Sheet1!EJ342=Sheet1!EJ341,Sheet1!EJ342=Sheet1!EJ343),Sheet1!EJ342,CF340-CL340)</f>
        <v>2.4918903318903318</v>
      </c>
      <c r="CN340" s="545"/>
      <c r="CO340" s="560"/>
      <c r="CP340" s="560">
        <f t="shared" si="613"/>
        <v>0</v>
      </c>
      <c r="CQ340" s="560"/>
      <c r="CR340" s="560">
        <f ca="1">IF(B340&gt;Summary!$A$1,#N/A,CP340*MGtoAF)</f>
        <v>0</v>
      </c>
      <c r="CS340" s="560">
        <f>Sheet1!BK342+Sheet1!BL342+Sheet1!BM342-Sheet1!ER342-DA340</f>
        <v>6.58</v>
      </c>
      <c r="CT340" s="560">
        <f t="shared" si="614"/>
        <v>6.5325252525252528</v>
      </c>
      <c r="CU340" s="560">
        <f>IF(Sheet1!ER342="FM",DA340,0)</f>
        <v>0</v>
      </c>
      <c r="CV340" s="560">
        <f t="shared" si="615"/>
        <v>0</v>
      </c>
      <c r="CW340" s="560">
        <f>IF(Sheet1!ER342="OTHER",DA340,0)</f>
        <v>0</v>
      </c>
      <c r="CX340" s="560">
        <f t="shared" si="616"/>
        <v>0</v>
      </c>
      <c r="CY340" s="560">
        <f t="shared" si="617"/>
        <v>6.58</v>
      </c>
      <c r="CZ340" s="560">
        <f t="shared" si="618"/>
        <v>6.5325252525252528</v>
      </c>
      <c r="DA340" s="560">
        <f>IF(OR(Sheet1!ER342="FM", Sheet1!ER342="OTHER"),SUM(Sheet1!BK342:'Sheet1'!BM342),0)</f>
        <v>0</v>
      </c>
      <c r="DB340" s="545">
        <f>IF(AND($B340&gt;=$FV340,$B340&lt;=$FW340),MAX($CT340,Sheet1!EK342,0),MAX($CT340-(7/36)*$K340,0))</f>
        <v>0</v>
      </c>
      <c r="DC340" s="560">
        <f t="shared" si="619"/>
        <v>0</v>
      </c>
      <c r="DD340" s="545">
        <f t="shared" si="620"/>
        <v>6.5325252525252528</v>
      </c>
      <c r="DE340" s="545">
        <f>IF(AND($O340&gt;0,Sheet1!EO342=1),(1-($O340-Sheet1!$L342)/$O340)*CZ340,0)</f>
        <v>0</v>
      </c>
      <c r="DF340" s="545">
        <f>IF(AND(Sheet1!$L342=0,Sheet1!$L341=0, Calculation!CY340&lt;Sheet1!$EK342-0.1,Sheet1!$EK342=Sheet1!$EK341,Sheet1!$EK342=Sheet1!$EK343),Sheet1!$EK342,CZ340-DE340)</f>
        <v>6.5325252525252528</v>
      </c>
      <c r="DG340" s="545"/>
      <c r="DH340" s="560">
        <f t="shared" si="621"/>
        <v>9.09</v>
      </c>
      <c r="DI340" s="560">
        <f t="shared" si="622"/>
        <v>0</v>
      </c>
      <c r="DJ340" s="698">
        <f t="shared" si="623"/>
        <v>9.0244155844155856</v>
      </c>
      <c r="DK340" s="560">
        <f ca="1">IF(B340&gt;Summary!$A$1,#N/A,DI340*MGtoAF)</f>
        <v>0</v>
      </c>
      <c r="DL340" s="698">
        <f t="shared" si="624"/>
        <v>9.09</v>
      </c>
      <c r="DM340" s="560">
        <f t="shared" si="625"/>
        <v>20.79</v>
      </c>
      <c r="DN340" s="560">
        <f>Sheet1!AB342-DM340</f>
        <v>-0.14999999999999858</v>
      </c>
      <c r="DO340" s="560">
        <f t="shared" si="626"/>
        <v>-7.2150072150071473E-3</v>
      </c>
      <c r="DP340" s="560">
        <f>(VLOOKUP(Sheet1!DC342,hhdcap_wcm,4)-(((VLOOKUP(Sheet1!DC342,hhdcap_wcm,3)-Sheet1!DC342)/(VLOOKUP(Sheet1!DC342,hhdcap_wcm,3)-VLOOKUP(Sheet1!DC342,hhdcap_wcm,1)))*(VLOOKUP(Sheet1!DC342,hhdcap_wcm,4)-VLOOKUP(Sheet1!DC342,hhdcap_wcm,2))))</f>
        <v>8025.3000000174079</v>
      </c>
      <c r="DQ340" s="560">
        <f t="shared" si="627"/>
        <v>5830.1000000120739</v>
      </c>
      <c r="DR340" s="560">
        <f t="shared" si="628"/>
        <v>2940.0403429208641</v>
      </c>
      <c r="DS340" s="560">
        <f>Sheet1!EA342*AFtoMG</f>
        <v>0</v>
      </c>
      <c r="DT340" s="560">
        <f>Sheet1!EB342*AFtoMG</f>
        <v>0</v>
      </c>
      <c r="DU340" s="560">
        <f>Sheet1!EC342*AFtoMG</f>
        <v>0</v>
      </c>
      <c r="DV340" s="560">
        <f>Sheet1!ED342*AFtoMG</f>
        <v>0</v>
      </c>
      <c r="DW340" s="560">
        <f t="shared" si="629"/>
        <v>0</v>
      </c>
      <c r="DX340" s="560">
        <f t="shared" si="630"/>
        <v>0</v>
      </c>
      <c r="DY340" s="560">
        <f t="shared" si="631"/>
        <v>0</v>
      </c>
      <c r="DZ340" s="560">
        <f t="shared" si="632"/>
        <v>0</v>
      </c>
      <c r="EA340" s="560"/>
      <c r="EB340" s="545">
        <f>IF(OR(B340&lt;FV340,B340&gt;FW340),(MIN(BF340+BY340+CT340+MAX(Sheet1!AA342+AQ340-73,0),K340)),0)</f>
        <v>9.0244155844155856</v>
      </c>
      <c r="EC340" s="560"/>
      <c r="ED340" s="560">
        <f t="shared" si="633"/>
        <v>9.0244155844155856</v>
      </c>
      <c r="EE340" s="560"/>
      <c r="EF340" s="560">
        <f>Sheet1!EH342+Sheet1!EI342+Sheet1!EJ342+Sheet1!EK342</f>
        <v>9</v>
      </c>
      <c r="EG340" s="560"/>
      <c r="EH340" s="545">
        <f t="shared" si="634"/>
        <v>0</v>
      </c>
      <c r="EI340" s="560">
        <f>IF(Sheet1!ET342=1,SUM('Calculations II'!AT340:BA340)+'Calculations II'!BC340+Sheet1!BV342+'Calculations II'!BE340+AP340,SUM('Calculations II'!AT340:BA340)+'Calculations II'!BC340+Sheet1!BV342+'Calculations II'!BE340+AP340)</f>
        <v>48.695328000000003</v>
      </c>
      <c r="EJ340" s="560">
        <f>Sheet1!AA342+Sheet1!AB342+'Calculations II'!BC340</f>
        <v>52.986944000000001</v>
      </c>
      <c r="EK340" s="560"/>
      <c r="EL340" s="560"/>
      <c r="EM340" s="560">
        <f t="shared" si="635"/>
        <v>41968</v>
      </c>
      <c r="EN340" s="560">
        <f t="shared" si="636"/>
        <v>0</v>
      </c>
      <c r="EO340" s="560">
        <f t="shared" si="637"/>
        <v>0</v>
      </c>
      <c r="EP340" s="560">
        <v>0</v>
      </c>
      <c r="EQ340" s="560">
        <v>0</v>
      </c>
      <c r="ER340" s="560">
        <v>0</v>
      </c>
      <c r="ES340" s="545">
        <f t="shared" si="660"/>
        <v>0.1386386157348454</v>
      </c>
      <c r="ET340" s="560">
        <f>-(VLOOKUP(Sheet1!BQ342,Lookup!$O$4:$Q$262,2)-VLOOKUP(Sheet1!BQ341,Lookup!$O$4:$Q$262,2))/1000000</f>
        <v>0</v>
      </c>
      <c r="EU340" s="560">
        <f>-(VLOOKUP(Sheet1!BR342,Lookup!$O$4:$Q$262,3)-VLOOKUP(Sheet1!BR341,Lookup!$O$4:$Q$262,3))/1000000</f>
        <v>0.1386386157348454</v>
      </c>
      <c r="EV340" s="560"/>
      <c r="EW340" s="560"/>
      <c r="EX340" s="560"/>
      <c r="EY340" s="560"/>
      <c r="EZ340" s="560"/>
      <c r="FA340" s="560"/>
      <c r="FB340" s="560"/>
      <c r="FC340" s="560"/>
      <c r="FD340" s="594">
        <f t="shared" si="638"/>
        <v>1075.9363636363419</v>
      </c>
      <c r="FE340" s="594" t="e">
        <f t="shared" si="639"/>
        <v>#N/A</v>
      </c>
      <c r="FF340" s="595" t="e">
        <f t="shared" si="640"/>
        <v>#N/A</v>
      </c>
      <c r="FG340" s="596" t="s">
        <v>692</v>
      </c>
      <c r="FH340" s="596" t="s">
        <v>692</v>
      </c>
      <c r="FI340" s="594" t="e">
        <v>#N/A</v>
      </c>
      <c r="FJ340" s="778">
        <v>450</v>
      </c>
      <c r="FK340" s="560"/>
      <c r="FL340" s="560"/>
      <c r="FM340" s="560"/>
      <c r="FN340" s="560"/>
      <c r="FO340" s="560">
        <f>O340+((Sheet1!CS342)*GPMtoMGD)</f>
        <v>52.986944000000001</v>
      </c>
      <c r="FP340" s="560">
        <f>IF(Sheet1!AA342+AQ340&lt;=Calculation!N340,AQ340,Calculation!N340-Sheet1!AA342)</f>
        <v>10.622799422799423</v>
      </c>
      <c r="FQ340" s="560">
        <f>(Sheet1!BP342+Sheet1!BO342)/694.4</f>
        <v>0.4742223502304147</v>
      </c>
      <c r="FR340" s="560"/>
      <c r="FS340" s="560"/>
      <c r="FT340" s="560"/>
      <c r="FU340" s="560"/>
      <c r="FV340" s="695">
        <f t="shared" si="661"/>
        <v>41827</v>
      </c>
      <c r="FW340" s="695">
        <f t="shared" si="662"/>
        <v>41934</v>
      </c>
      <c r="FX340" s="560"/>
      <c r="FY340" s="560"/>
      <c r="FZ340" s="560"/>
      <c r="GA340" s="560"/>
      <c r="GB340" s="560" t="str">
        <f t="shared" si="663"/>
        <v>n</v>
      </c>
      <c r="GC340" s="564">
        <f t="shared" si="664"/>
        <v>41691</v>
      </c>
      <c r="GD340" s="695">
        <f t="shared" si="665"/>
        <v>41807</v>
      </c>
      <c r="GE340" s="560">
        <v>6518.9</v>
      </c>
      <c r="GF340" s="695">
        <f t="shared" si="666"/>
        <v>41808</v>
      </c>
      <c r="GG340" s="560">
        <f t="shared" si="686"/>
        <v>3259</v>
      </c>
      <c r="GH340" s="564">
        <f t="shared" si="667"/>
        <v>41934</v>
      </c>
      <c r="GJ340" s="545">
        <f t="shared" si="668"/>
        <v>0</v>
      </c>
      <c r="GK340" s="560" t="str">
        <f t="shared" si="641"/>
        <v/>
      </c>
      <c r="GL340" s="560">
        <f t="shared" si="669"/>
        <v>0</v>
      </c>
      <c r="GM340" s="560" t="str">
        <f t="shared" si="670"/>
        <v/>
      </c>
      <c r="GN340" s="560">
        <f>IF(GK340="P",Lookup!$M$12,IF(GK340="PP",Lookup!$M$13,IF(GK340="PPP",Lookup!$M$14,IF(GK340="T",Lookup!$M$15,IF(GK340="TP",Lookup!$M$16,IF(GK340="TPP",Lookup!$M$17,IF(GK340="TPPP",Lookup!$M$18,0)))))))*GJ340</f>
        <v>0</v>
      </c>
      <c r="GO340" s="560">
        <f t="shared" si="671"/>
        <v>0</v>
      </c>
      <c r="GP340" s="560">
        <f t="shared" si="642"/>
        <v>0</v>
      </c>
      <c r="GQ340" s="560">
        <f t="shared" si="679"/>
        <v>0</v>
      </c>
      <c r="GR340" s="560"/>
      <c r="GS340" s="560">
        <f t="shared" si="672"/>
        <v>0</v>
      </c>
      <c r="GT340" s="560" t="str">
        <f t="shared" si="673"/>
        <v/>
      </c>
      <c r="GU340" s="560">
        <f>IF(GK340="P",Lookup!$N$12,IF(GK340="PP",Lookup!$N$13,IF(GK340="PPP",Lookup!$N$14,IF(GK340="T",Lookup!$N$15,IF(GK340="TP",Lookup!$N$16,IF(GK340="TPP",Lookup!$N$17,IF(GK340="TPPP",Lookup!$N$18,0)))))))*GJ340</f>
        <v>0</v>
      </c>
      <c r="GV340" s="560">
        <f t="shared" si="674"/>
        <v>0</v>
      </c>
      <c r="GW340" s="560">
        <f t="shared" si="643"/>
        <v>0</v>
      </c>
      <c r="GX340" s="560">
        <f t="shared" si="680"/>
        <v>0</v>
      </c>
      <c r="GY340" s="560"/>
      <c r="GZ340" s="560">
        <f t="shared" si="675"/>
        <v>0</v>
      </c>
      <c r="HA340" s="560" t="str">
        <f t="shared" si="676"/>
        <v/>
      </c>
      <c r="HB340" s="560">
        <f>IF(GK340="P",Lookup!$N$12,IF(GK340="PP",Lookup!$N$13,IF(GK340="PPP",Lookup!$N$14,IF(GK340="T",Lookup!$N$15,IF(GK340="TP",Lookup!$N$16,IF(GK340="TPP",Lookup!$N$17,IF(GK340="TPPP",Lookup!$N$18,0)))))))*GJ340</f>
        <v>0</v>
      </c>
      <c r="HC340" s="545">
        <f t="shared" si="644"/>
        <v>0</v>
      </c>
      <c r="HD340" s="560">
        <f t="shared" si="645"/>
        <v>0</v>
      </c>
      <c r="HE340" s="560">
        <f t="shared" si="681"/>
        <v>0</v>
      </c>
      <c r="HF340" s="560"/>
      <c r="HG340" s="560">
        <f t="shared" si="677"/>
        <v>0</v>
      </c>
      <c r="HH340" s="560" t="str">
        <f t="shared" si="678"/>
        <v/>
      </c>
      <c r="HI340" s="560">
        <f>IF(GK340="P",Lookup!$N$12,IF(GK340="PP",Lookup!$N$13,IF(GK340="PPP",Lookup!$N$14,IF(GK340="T",Lookup!$N$15,IF(GK340="TP",Lookup!$N$16,IF(GK340="TPP",Lookup!$N$17,IF(GK340="TPPP",Lookup!$N$18,0)))))))*GJ340</f>
        <v>0</v>
      </c>
      <c r="HJ340" s="545">
        <f t="shared" si="646"/>
        <v>0</v>
      </c>
      <c r="HK340" s="560">
        <f t="shared" si="647"/>
        <v>0</v>
      </c>
      <c r="HL340" s="560">
        <f t="shared" si="682"/>
        <v>0</v>
      </c>
    </row>
    <row r="341" spans="1:220">
      <c r="A341" s="580" t="s">
        <v>6</v>
      </c>
      <c r="B341" s="556">
        <v>41969</v>
      </c>
      <c r="C341" s="561">
        <v>0</v>
      </c>
      <c r="D341" s="529">
        <f t="shared" si="684"/>
        <v>300</v>
      </c>
      <c r="E341" s="529">
        <f t="shared" si="685"/>
        <v>250</v>
      </c>
      <c r="F341" s="529">
        <v>250</v>
      </c>
      <c r="G341" s="560">
        <f>DR341+Sheet1!CZ343</f>
        <v>8899.4856278412426</v>
      </c>
      <c r="H341" s="914">
        <f t="shared" si="650"/>
        <v>5485.6643098365794</v>
      </c>
      <c r="I341" s="559">
        <f>MAX(Sheet1!Z343-AT341+(Sheet1!DA343-E341)*CFStoMGD,0)</f>
        <v>5366.3680000000004</v>
      </c>
      <c r="J341" s="562">
        <f>IF(AND(B341&gt;=Calculation!GC341,B341&lt;=Calculation!GD341),IF(Sheet1!DB343&gt;=Calculation!D341,64.64,0),MAX(Sheet1!Z343-AT341+(Sheet1!DB343-D341)*CFStoMGD,0))</f>
        <v>3789.1519999999996</v>
      </c>
      <c r="K341" s="904">
        <f t="shared" si="583"/>
        <v>64.64</v>
      </c>
      <c r="L341" s="560">
        <f>Sheet1!AA343+Sheet1!AB343-Sheet1!L343+(Sheet1!DA343-F341)*CFStoMGD</f>
        <v>5342.3079999999991</v>
      </c>
      <c r="M341" s="560">
        <f t="shared" si="584"/>
        <v>5867.6800600333108</v>
      </c>
      <c r="N341" s="910">
        <f>IF(Sheet1!DA343&gt;=F341,MIN(73,MIN(MAX(L341,0),MAX(M341,0))),0)</f>
        <v>73</v>
      </c>
      <c r="O341" s="563">
        <f>Sheet1!AA343+Sheet1!AB343</f>
        <v>39.69</v>
      </c>
      <c r="P341" s="563">
        <f t="shared" si="585"/>
        <v>61.40043</v>
      </c>
      <c r="Q341" s="898">
        <f t="shared" si="651"/>
        <v>0</v>
      </c>
      <c r="R341" s="829">
        <f t="shared" si="586"/>
        <v>8.8910427528675697</v>
      </c>
      <c r="S341" s="898">
        <f t="shared" si="683"/>
        <v>39.69</v>
      </c>
      <c r="T341" s="898">
        <f t="shared" si="652"/>
        <v>0</v>
      </c>
      <c r="U341" s="898">
        <f t="shared" si="653"/>
        <v>0</v>
      </c>
      <c r="V341" s="898"/>
      <c r="W341" s="898">
        <f t="shared" si="654"/>
        <v>55.748957247132431</v>
      </c>
      <c r="X341" s="898">
        <f t="shared" si="655"/>
        <v>39.69</v>
      </c>
      <c r="Y341" s="898" t="str">
        <f t="shared" si="656"/>
        <v/>
      </c>
      <c r="Z341" s="898">
        <f t="shared" si="657"/>
        <v>39.69</v>
      </c>
      <c r="AA341" s="898">
        <f t="shared" si="658"/>
        <v>39.69</v>
      </c>
      <c r="AB341" s="898" t="str">
        <f t="shared" si="659"/>
        <v/>
      </c>
      <c r="AC341" s="563">
        <f>Sheet1!Y343*MGDtoCFS</f>
        <v>31.868200000000002</v>
      </c>
      <c r="AD341" s="563">
        <f>Sheet1!Z343*MGDtoCFS</f>
        <v>31.93008</v>
      </c>
      <c r="AE341" s="563">
        <f>Sheet1!AA343*MGDtoCFS</f>
        <v>32.0229</v>
      </c>
      <c r="AF341" s="563">
        <f>Sheet1!AB343*MGDtoCFS</f>
        <v>29.377529999999997</v>
      </c>
      <c r="AG341" s="563">
        <f>Sheet1!L343*MGDtoCFS</f>
        <v>66.691170000000895</v>
      </c>
      <c r="AH341" s="545">
        <f t="shared" si="587"/>
        <v>0</v>
      </c>
      <c r="AI341" s="560">
        <f t="shared" si="588"/>
        <v>0</v>
      </c>
      <c r="AJ341" s="560">
        <f t="shared" si="589"/>
        <v>0</v>
      </c>
      <c r="AK341" s="560">
        <f t="shared" si="590"/>
        <v>0</v>
      </c>
      <c r="AL341" s="560">
        <f>(VLOOKUP(Sheet1!DC343,hhdcap_wcm,4)-(((VLOOKUP(Sheet1!DC343,hhdcap_wcm,3)-Sheet1!DC343)/(VLOOKUP(Sheet1!DC343,hhdcap_wcm,3)-VLOOKUP(Sheet1!DC343,hhdcap_wcm,1)))*(VLOOKUP(Sheet1!DC343,hhdcap_wcm,4)-VLOOKUP(Sheet1!DC343,hhdcap_wcm,2))))</f>
        <v>11673.000000026594</v>
      </c>
      <c r="AM341" s="560">
        <f t="shared" si="591"/>
        <v>3647.7000000091857</v>
      </c>
      <c r="AN341" s="560">
        <f t="shared" si="592"/>
        <v>0</v>
      </c>
      <c r="AO341" s="560">
        <f t="shared" si="593"/>
        <v>0</v>
      </c>
      <c r="AP341" s="560">
        <f>Sheet1!BA343+Sheet1!BB343+Sheet1!BN343+CD341</f>
        <v>10.199999999999999</v>
      </c>
      <c r="AQ341" s="560">
        <f>Sheet1!BN343+(DO341*Sheet1!BN343)</f>
        <v>9.1088633993743464</v>
      </c>
      <c r="AR341" s="560">
        <f>Sheet1!BA343+CD341</f>
        <v>0</v>
      </c>
      <c r="AS341" s="560">
        <f>Sheet1!BA343+Sheet1!BB343+CD341</f>
        <v>1</v>
      </c>
      <c r="AT341" s="698">
        <f>0</f>
        <v>0</v>
      </c>
      <c r="AU341" s="560">
        <f>IF(EB341&lt;K341,0,MAX(Sheet1!AA343+AQ341-15/36*K341-N341,Sheet1!EH343,0))</f>
        <v>0</v>
      </c>
      <c r="AV341" s="560">
        <f>IF(OR(B341&gt;=GD341,B341&lt;GC341),0,15/36*K341-MAX(0,64.6-(137.6-(Sheet1!AA343+Sheet1!AB343))))</f>
        <v>0</v>
      </c>
      <c r="AW341" s="698">
        <f>Sheet1!DB343-110</f>
        <v>6020</v>
      </c>
      <c r="AX341" s="698">
        <f>Sheet1!DA343-265</f>
        <v>8255</v>
      </c>
      <c r="AY341" s="698">
        <f t="shared" si="594"/>
        <v>73</v>
      </c>
      <c r="AZ341" s="698">
        <v>0</v>
      </c>
      <c r="BA341" s="698">
        <f t="shared" si="595"/>
        <v>0</v>
      </c>
      <c r="BB341" s="560">
        <f t="shared" si="596"/>
        <v>0</v>
      </c>
      <c r="BC341" s="560"/>
      <c r="BD341" s="560">
        <f ca="1">IF(B341&gt;Summary!$A$1,#N/A,BB341*MGtoAF)</f>
        <v>0</v>
      </c>
      <c r="BE341" s="560">
        <f>Sheet1!BG343+Sheet1!BH343+Sheet1!BI343-BM341</f>
        <v>0</v>
      </c>
      <c r="BF341" s="560">
        <f t="shared" si="597"/>
        <v>0</v>
      </c>
      <c r="BG341" s="560">
        <f>IF(Sheet1!EP343="FM",BM341,0)</f>
        <v>0</v>
      </c>
      <c r="BH341" s="560">
        <f t="shared" si="598"/>
        <v>0</v>
      </c>
      <c r="BI341" s="560">
        <f>IF(Sheet1!EP343="OTHER",BM341,0)</f>
        <v>0</v>
      </c>
      <c r="BJ341" s="560">
        <f t="shared" si="599"/>
        <v>0</v>
      </c>
      <c r="BK341" s="560">
        <f t="shared" si="600"/>
        <v>0</v>
      </c>
      <c r="BL341" s="560">
        <f t="shared" si="601"/>
        <v>0</v>
      </c>
      <c r="BM341" s="560">
        <f>IF(OR(Sheet1!EP343="FM", Sheet1!EP343="OTHER"),SUM(Sheet1!BG343:'Sheet1'!BI343),0)</f>
        <v>0</v>
      </c>
      <c r="BN341" s="545">
        <f>IF(AND($B341&gt;=$FV341,$B341&lt;=$FW341),MAX(BF341,Sheet1!EI343,0),MAX(BF341-(7/36)*$K341,0))</f>
        <v>0</v>
      </c>
      <c r="BO341" s="560">
        <f t="shared" si="602"/>
        <v>0</v>
      </c>
      <c r="BP341" s="545">
        <f t="shared" si="603"/>
        <v>0</v>
      </c>
      <c r="BQ341" s="545">
        <f>IF(AND($O341&gt;0,Sheet1!EM343=1),(1-($O341-Sheet1!$L343)/$O341)*BL341,0)</f>
        <v>0</v>
      </c>
      <c r="BR341" s="545">
        <f>IF(AND(Sheet1!$L343=0,Sheet1!$L342=0, Calculation!BK341&lt;Sheet1!$EI343-0.1,Sheet1!$EI343=Sheet1!$EI342,Sheet1!$EI343=Sheet1!$EI344),Sheet1!$EI343,BL341-BQ341)</f>
        <v>0</v>
      </c>
      <c r="BS341" s="560"/>
      <c r="BT341" s="560"/>
      <c r="BU341" s="560">
        <f t="shared" si="604"/>
        <v>0</v>
      </c>
      <c r="BV341" s="560"/>
      <c r="BW341" s="560">
        <f ca="1">IF(B341&gt;Summary!$A$1,#N/A,BU341*MGtoAF)</f>
        <v>0</v>
      </c>
      <c r="BX341" s="560">
        <f>Sheet1!BC343+Sheet1!BD343+Sheet1!BE343+Sheet1!BF343-CG341-CH341</f>
        <v>2.4900000000000002</v>
      </c>
      <c r="BY341" s="560">
        <f t="shared" si="605"/>
        <v>2.4653336809176225</v>
      </c>
      <c r="BZ341" s="560">
        <f>IF(Sheet1!EQ343="FM",CH341,0)</f>
        <v>0</v>
      </c>
      <c r="CA341" s="560">
        <f t="shared" si="606"/>
        <v>0</v>
      </c>
      <c r="CB341" s="560">
        <f>IF(Sheet1!EQ343="OTHER",CH341,0)</f>
        <v>0</v>
      </c>
      <c r="CC341" s="560">
        <f t="shared" si="607"/>
        <v>0</v>
      </c>
      <c r="CD341" s="560">
        <f t="shared" si="608"/>
        <v>0</v>
      </c>
      <c r="CE341" s="560">
        <f t="shared" si="609"/>
        <v>2.4900000000000002</v>
      </c>
      <c r="CF341" s="560">
        <f t="shared" si="610"/>
        <v>2.4653336809176225</v>
      </c>
      <c r="CG341" s="560">
        <f>IF(Sheet1!EQ343="CWA",SUM(Sheet1!BC343:'Sheet1'!BF343),0)</f>
        <v>0</v>
      </c>
      <c r="CH341" s="560">
        <f>IF(OR(Sheet1!EQ343="FM", Sheet1!EQ343="OTHER"),SUM(Sheet1!BC343:'Sheet1'!BF343),0)</f>
        <v>0</v>
      </c>
      <c r="CI341" s="545">
        <f>IF(AND($B341&gt;=$FV341,$B341&lt;=$FW341),MAX(CF341,Sheet1!EJ343,0),MAX(CF341-(7/36)*$K341,0))</f>
        <v>0</v>
      </c>
      <c r="CJ341" s="560">
        <f t="shared" si="611"/>
        <v>0</v>
      </c>
      <c r="CK341" s="545">
        <f t="shared" si="612"/>
        <v>2.4653336809176225</v>
      </c>
      <c r="CL341" s="545">
        <f>IF(AND($O341&gt;0,Sheet1!EN343=1),(1-($O341-Sheet1!$L343)/$O341)*CF341,0)</f>
        <v>0</v>
      </c>
      <c r="CM341" s="545">
        <f>IF(AND(Sheet1!$L343=0,Sheet1!$L342=0, Calculation!CE341&lt;Sheet1!EJ343-0.1,Sheet1!EJ343=Sheet1!EJ342,Sheet1!EJ343=Sheet1!EJ344),Sheet1!EJ343,CF341-CL341)</f>
        <v>2.4653336809176225</v>
      </c>
      <c r="CN341" s="545"/>
      <c r="CO341" s="560"/>
      <c r="CP341" s="560">
        <f t="shared" si="613"/>
        <v>0</v>
      </c>
      <c r="CQ341" s="560"/>
      <c r="CR341" s="560">
        <f ca="1">IF(B341&gt;Summary!$A$1,#N/A,CP341*MGtoAF)</f>
        <v>0</v>
      </c>
      <c r="CS341" s="560">
        <f>Sheet1!BK343+Sheet1!BL343+Sheet1!BM343-Sheet1!ER343-DA341</f>
        <v>6.49</v>
      </c>
      <c r="CT341" s="560">
        <f t="shared" si="614"/>
        <v>6.4257090719499477</v>
      </c>
      <c r="CU341" s="560">
        <f>IF(Sheet1!ER343="FM",DA341,0)</f>
        <v>0</v>
      </c>
      <c r="CV341" s="560">
        <f t="shared" si="615"/>
        <v>0</v>
      </c>
      <c r="CW341" s="560">
        <f>IF(Sheet1!ER343="OTHER",DA341,0)</f>
        <v>0</v>
      </c>
      <c r="CX341" s="560">
        <f t="shared" si="616"/>
        <v>0</v>
      </c>
      <c r="CY341" s="560">
        <f t="shared" si="617"/>
        <v>6.49</v>
      </c>
      <c r="CZ341" s="560">
        <f t="shared" si="618"/>
        <v>6.4257090719499477</v>
      </c>
      <c r="DA341" s="560">
        <f>IF(OR(Sheet1!ER343="FM", Sheet1!ER343="OTHER"),SUM(Sheet1!BK343:'Sheet1'!BM343),0)</f>
        <v>0</v>
      </c>
      <c r="DB341" s="545">
        <f>IF(AND($B341&gt;=$FV341,$B341&lt;=$FW341),MAX($CT341,Sheet1!EK343,0),MAX($CT341-(7/36)*$K341,0))</f>
        <v>0</v>
      </c>
      <c r="DC341" s="560">
        <f t="shared" si="619"/>
        <v>0</v>
      </c>
      <c r="DD341" s="545">
        <f t="shared" si="620"/>
        <v>6.4257090719499477</v>
      </c>
      <c r="DE341" s="545">
        <f>IF(AND($O341&gt;0,Sheet1!EO343=1),(1-($O341-Sheet1!$L343)/$O341)*CZ341,0)</f>
        <v>0</v>
      </c>
      <c r="DF341" s="545">
        <f>IF(AND(Sheet1!$L343=0,Sheet1!$L342=0, Calculation!CY341&lt;Sheet1!$EK343-0.1,Sheet1!$EK343=Sheet1!$EK342,Sheet1!$EK343=Sheet1!$EK344),Sheet1!$EK343,CZ341-DE341)</f>
        <v>6.4257090719499477</v>
      </c>
      <c r="DG341" s="545"/>
      <c r="DH341" s="560">
        <f t="shared" si="621"/>
        <v>8.98</v>
      </c>
      <c r="DI341" s="560">
        <f t="shared" si="622"/>
        <v>0</v>
      </c>
      <c r="DJ341" s="698">
        <f t="shared" si="623"/>
        <v>8.8910427528675697</v>
      </c>
      <c r="DK341" s="560">
        <f ca="1">IF(B341&gt;Summary!$A$1,#N/A,DI341*MGtoAF)</f>
        <v>0</v>
      </c>
      <c r="DL341" s="698">
        <f t="shared" si="624"/>
        <v>8.98</v>
      </c>
      <c r="DM341" s="560">
        <f t="shared" si="625"/>
        <v>19.18</v>
      </c>
      <c r="DN341" s="560">
        <f>Sheet1!AB343-DM341</f>
        <v>-0.19000000000000128</v>
      </c>
      <c r="DO341" s="560">
        <f t="shared" si="626"/>
        <v>-9.9061522419187312E-3</v>
      </c>
      <c r="DP341" s="560">
        <f>(VLOOKUP(Sheet1!DC343,hhdcap_wcm,4)-(((VLOOKUP(Sheet1!DC343,hhdcap_wcm,3)-Sheet1!DC343)/(VLOOKUP(Sheet1!DC343,hhdcap_wcm,3)-VLOOKUP(Sheet1!DC343,hhdcap_wcm,1)))*(VLOOKUP(Sheet1!DC343,hhdcap_wcm,4)-VLOOKUP(Sheet1!DC343,hhdcap_wcm,2))))</f>
        <v>11673.000000026594</v>
      </c>
      <c r="DQ341" s="560">
        <f t="shared" si="627"/>
        <v>3647.7000000091857</v>
      </c>
      <c r="DR341" s="560">
        <f t="shared" si="628"/>
        <v>1839.4856278412433</v>
      </c>
      <c r="DS341" s="560">
        <f>Sheet1!EA343*AFtoMG</f>
        <v>0</v>
      </c>
      <c r="DT341" s="560">
        <f>Sheet1!EB343*AFtoMG</f>
        <v>0</v>
      </c>
      <c r="DU341" s="560">
        <f>Sheet1!EC343*AFtoMG</f>
        <v>0</v>
      </c>
      <c r="DV341" s="560">
        <f>Sheet1!ED343*AFtoMG</f>
        <v>0</v>
      </c>
      <c r="DW341" s="560">
        <f t="shared" si="629"/>
        <v>0</v>
      </c>
      <c r="DX341" s="560">
        <f t="shared" si="630"/>
        <v>0</v>
      </c>
      <c r="DY341" s="560">
        <f t="shared" si="631"/>
        <v>0</v>
      </c>
      <c r="DZ341" s="560">
        <f t="shared" si="632"/>
        <v>0</v>
      </c>
      <c r="EA341" s="560"/>
      <c r="EB341" s="545">
        <f>IF(OR(B341&lt;FV341,B341&gt;FW341),(MIN(BF341+BY341+CT341+MAX(Sheet1!AA343+AQ341-73,0),K341)),0)</f>
        <v>8.8910427528675697</v>
      </c>
      <c r="EC341" s="560"/>
      <c r="ED341" s="560">
        <f t="shared" si="633"/>
        <v>8.8910427528675697</v>
      </c>
      <c r="EE341" s="560"/>
      <c r="EF341" s="560">
        <f>Sheet1!EH343+Sheet1!EI343+Sheet1!EJ343+Sheet1!EK343</f>
        <v>9</v>
      </c>
      <c r="EG341" s="560"/>
      <c r="EH341" s="545">
        <f t="shared" si="634"/>
        <v>0</v>
      </c>
      <c r="EI341" s="560">
        <f>IF(Sheet1!ET343=1,SUM('Calculations II'!AT341:BA341)+'Calculations II'!BC341+Sheet1!BV343+'Calculations II'!BE341+AP341,SUM('Calculations II'!AT341:BA341)+'Calculations II'!BC341+Sheet1!BV343+'Calculations II'!BE341+AP341)</f>
        <v>47.077055999999999</v>
      </c>
      <c r="EJ341" s="560">
        <f>Sheet1!AA343+Sheet1!AB343+'Calculations II'!BC341</f>
        <v>54.066240000000001</v>
      </c>
      <c r="EK341" s="560"/>
      <c r="EL341" s="560"/>
      <c r="EM341" s="560">
        <f t="shared" si="635"/>
        <v>41969</v>
      </c>
      <c r="EN341" s="560">
        <f t="shared" si="636"/>
        <v>0</v>
      </c>
      <c r="EO341" s="560">
        <f t="shared" si="637"/>
        <v>0</v>
      </c>
      <c r="EP341" s="560">
        <v>0</v>
      </c>
      <c r="EQ341" s="560">
        <v>0</v>
      </c>
      <c r="ER341" s="560">
        <v>0</v>
      </c>
      <c r="ES341" s="545">
        <f t="shared" si="660"/>
        <v>-2.6345376712010244</v>
      </c>
      <c r="ET341" s="560">
        <f>-(VLOOKUP(Sheet1!BQ343,Lookup!$O$4:$Q$262,2)-VLOOKUP(Sheet1!BQ342,Lookup!$O$4:$Q$262,2))/1000000</f>
        <v>-1.2478629613031709</v>
      </c>
      <c r="EU341" s="560">
        <f>-(VLOOKUP(Sheet1!BR343,Lookup!$O$4:$Q$262,3)-VLOOKUP(Sheet1!BR342,Lookup!$O$4:$Q$262,3))/1000000</f>
        <v>-1.3866747098978534</v>
      </c>
      <c r="EV341" s="560"/>
      <c r="EW341" s="560"/>
      <c r="EX341" s="560"/>
      <c r="EY341" s="560"/>
      <c r="EZ341" s="560"/>
      <c r="FA341" s="560"/>
      <c r="FB341" s="560"/>
      <c r="FC341" s="560"/>
      <c r="FD341" s="594">
        <f t="shared" si="638"/>
        <v>1075.099999999979</v>
      </c>
      <c r="FE341" s="594" t="e">
        <f t="shared" si="639"/>
        <v>#N/A</v>
      </c>
      <c r="FF341" s="595" t="e">
        <f t="shared" si="640"/>
        <v>#N/A</v>
      </c>
      <c r="FG341" s="596" t="s">
        <v>692</v>
      </c>
      <c r="FH341" s="596" t="s">
        <v>692</v>
      </c>
      <c r="FI341" s="594" t="e">
        <v>#N/A</v>
      </c>
      <c r="FJ341" s="778">
        <v>360</v>
      </c>
      <c r="FK341" s="560"/>
      <c r="FL341" s="560"/>
      <c r="FM341" s="560"/>
      <c r="FN341" s="560"/>
      <c r="FO341" s="560">
        <f>O341+((Sheet1!CS343)*GPMtoMGD)</f>
        <v>54.066240000000001</v>
      </c>
      <c r="FP341" s="560">
        <f>IF(Sheet1!AA343+AQ341&lt;=Calculation!N341,AQ341,Calculation!N341-Sheet1!AA343)</f>
        <v>9.1088633993743464</v>
      </c>
      <c r="FQ341" s="560">
        <f>(Sheet1!BP343+Sheet1!BO343)/694.4</f>
        <v>1.5829493087557605</v>
      </c>
      <c r="FR341" s="560"/>
      <c r="FS341" s="560"/>
      <c r="FT341" s="560"/>
      <c r="FU341" s="560"/>
      <c r="FV341" s="695">
        <f t="shared" si="661"/>
        <v>41827</v>
      </c>
      <c r="FW341" s="695">
        <f t="shared" si="662"/>
        <v>41934</v>
      </c>
      <c r="FX341" s="560"/>
      <c r="FY341" s="560"/>
      <c r="FZ341" s="560"/>
      <c r="GA341" s="560"/>
      <c r="GB341" s="560" t="str">
        <f t="shared" si="663"/>
        <v>n</v>
      </c>
      <c r="GC341" s="564">
        <f t="shared" si="664"/>
        <v>41691</v>
      </c>
      <c r="GD341" s="695">
        <f t="shared" si="665"/>
        <v>41807</v>
      </c>
      <c r="GE341" s="560">
        <v>6518.9</v>
      </c>
      <c r="GF341" s="695">
        <f t="shared" si="666"/>
        <v>41808</v>
      </c>
      <c r="GG341" s="560">
        <f t="shared" si="686"/>
        <v>3259</v>
      </c>
      <c r="GH341" s="564">
        <f t="shared" si="667"/>
        <v>41934</v>
      </c>
      <c r="GJ341" s="545">
        <f t="shared" si="668"/>
        <v>0</v>
      </c>
      <c r="GK341" s="560" t="str">
        <f t="shared" si="641"/>
        <v/>
      </c>
      <c r="GL341" s="560">
        <f t="shared" si="669"/>
        <v>0</v>
      </c>
      <c r="GM341" s="560" t="str">
        <f t="shared" si="670"/>
        <v/>
      </c>
      <c r="GN341" s="560">
        <f>IF(GK341="P",Lookup!$M$12,IF(GK341="PP",Lookup!$M$13,IF(GK341="PPP",Lookup!$M$14,IF(GK341="T",Lookup!$M$15,IF(GK341="TP",Lookup!$M$16,IF(GK341="TPP",Lookup!$M$17,IF(GK341="TPPP",Lookup!$M$18,0)))))))*GJ341</f>
        <v>0</v>
      </c>
      <c r="GO341" s="560">
        <f t="shared" si="671"/>
        <v>0</v>
      </c>
      <c r="GP341" s="560">
        <f t="shared" si="642"/>
        <v>0</v>
      </c>
      <c r="GQ341" s="560">
        <f t="shared" si="679"/>
        <v>0</v>
      </c>
      <c r="GR341" s="560"/>
      <c r="GS341" s="560">
        <f t="shared" si="672"/>
        <v>0</v>
      </c>
      <c r="GT341" s="560" t="str">
        <f t="shared" si="673"/>
        <v/>
      </c>
      <c r="GU341" s="560">
        <f>IF(GK341="P",Lookup!$N$12,IF(GK341="PP",Lookup!$N$13,IF(GK341="PPP",Lookup!$N$14,IF(GK341="T",Lookup!$N$15,IF(GK341="TP",Lookup!$N$16,IF(GK341="TPP",Lookup!$N$17,IF(GK341="TPPP",Lookup!$N$18,0)))))))*GJ341</f>
        <v>0</v>
      </c>
      <c r="GV341" s="560">
        <f t="shared" si="674"/>
        <v>0</v>
      </c>
      <c r="GW341" s="560">
        <f t="shared" si="643"/>
        <v>0</v>
      </c>
      <c r="GX341" s="560">
        <f t="shared" si="680"/>
        <v>0</v>
      </c>
      <c r="GY341" s="560"/>
      <c r="GZ341" s="560">
        <f t="shared" si="675"/>
        <v>0</v>
      </c>
      <c r="HA341" s="560" t="str">
        <f t="shared" si="676"/>
        <v/>
      </c>
      <c r="HB341" s="560">
        <f>IF(GK341="P",Lookup!$N$12,IF(GK341="PP",Lookup!$N$13,IF(GK341="PPP",Lookup!$N$14,IF(GK341="T",Lookup!$N$15,IF(GK341="TP",Lookup!$N$16,IF(GK341="TPP",Lookup!$N$17,IF(GK341="TPPP",Lookup!$N$18,0)))))))*GJ341</f>
        <v>0</v>
      </c>
      <c r="HC341" s="545">
        <f t="shared" si="644"/>
        <v>0</v>
      </c>
      <c r="HD341" s="560">
        <f t="shared" si="645"/>
        <v>0</v>
      </c>
      <c r="HE341" s="560">
        <f t="shared" si="681"/>
        <v>0</v>
      </c>
      <c r="HF341" s="560"/>
      <c r="HG341" s="560">
        <f t="shared" si="677"/>
        <v>0</v>
      </c>
      <c r="HH341" s="560" t="str">
        <f t="shared" si="678"/>
        <v/>
      </c>
      <c r="HI341" s="560">
        <f>IF(GK341="P",Lookup!$N$12,IF(GK341="PP",Lookup!$N$13,IF(GK341="PPP",Lookup!$N$14,IF(GK341="T",Lookup!$N$15,IF(GK341="TP",Lookup!$N$16,IF(GK341="TPP",Lookup!$N$17,IF(GK341="TPPP",Lookup!$N$18,0)))))))*GJ341</f>
        <v>0</v>
      </c>
      <c r="HJ341" s="545">
        <f t="shared" si="646"/>
        <v>0</v>
      </c>
      <c r="HK341" s="560">
        <f t="shared" si="647"/>
        <v>0</v>
      </c>
      <c r="HL341" s="560">
        <f t="shared" si="682"/>
        <v>0</v>
      </c>
    </row>
    <row r="342" spans="1:220">
      <c r="A342" s="580" t="s">
        <v>7</v>
      </c>
      <c r="B342" s="556">
        <v>41970</v>
      </c>
      <c r="C342" s="561">
        <v>0</v>
      </c>
      <c r="D342" s="529">
        <f t="shared" si="684"/>
        <v>300</v>
      </c>
      <c r="E342" s="529">
        <f t="shared" si="685"/>
        <v>250</v>
      </c>
      <c r="F342" s="529">
        <v>250</v>
      </c>
      <c r="G342" s="560">
        <f>DR342+Sheet1!CZ344</f>
        <v>3778.6434694843429</v>
      </c>
      <c r="H342" s="914">
        <f t="shared" si="650"/>
        <v>2175.5519386746791</v>
      </c>
      <c r="I342" s="559">
        <f>MAX(Sheet1!Z344-AT342+(Sheet1!DA344-E342)*CFStoMGD,0)</f>
        <v>4931.6299999999992</v>
      </c>
      <c r="J342" s="562">
        <f>IF(AND(B342&gt;=Calculation!GC342,B342&lt;=Calculation!GD342),IF(Sheet1!DB344&gt;=Calculation!D342,64.64,0),MAX(Sheet1!Z344-AT342+(Sheet1!DB344-D342)*CFStoMGD,0))</f>
        <v>3451.3739999999998</v>
      </c>
      <c r="K342" s="904">
        <f t="shared" si="583"/>
        <v>64.64</v>
      </c>
      <c r="L342" s="560">
        <f>Sheet1!AA344+Sheet1!AB344-Sheet1!L344+(Sheet1!DA344-F342)*CFStoMGD</f>
        <v>4912.9599999999973</v>
      </c>
      <c r="M342" s="560">
        <f t="shared" si="584"/>
        <v>2491.365441448173</v>
      </c>
      <c r="N342" s="910">
        <f>IF(Sheet1!DA344&gt;=F342,MIN(73,MIN(MAX(L342,0),MAX(M342,0))),0)</f>
        <v>73</v>
      </c>
      <c r="O342" s="563">
        <f>Sheet1!AA344+Sheet1!AB344</f>
        <v>40.01</v>
      </c>
      <c r="P342" s="563">
        <f t="shared" si="585"/>
        <v>61.895469999999996</v>
      </c>
      <c r="Q342" s="898">
        <f t="shared" si="651"/>
        <v>0</v>
      </c>
      <c r="R342" s="829">
        <f t="shared" si="586"/>
        <v>8.8503249097472931</v>
      </c>
      <c r="S342" s="898">
        <f t="shared" si="683"/>
        <v>40.01</v>
      </c>
      <c r="T342" s="898">
        <f t="shared" si="652"/>
        <v>0</v>
      </c>
      <c r="U342" s="898">
        <f t="shared" si="653"/>
        <v>0</v>
      </c>
      <c r="V342" s="898"/>
      <c r="W342" s="898">
        <f t="shared" si="654"/>
        <v>55.789675090252707</v>
      </c>
      <c r="X342" s="898">
        <f t="shared" si="655"/>
        <v>40.01</v>
      </c>
      <c r="Y342" s="898" t="str">
        <f t="shared" si="656"/>
        <v/>
      </c>
      <c r="Z342" s="898">
        <f t="shared" si="657"/>
        <v>40.01</v>
      </c>
      <c r="AA342" s="898">
        <f t="shared" si="658"/>
        <v>40.01</v>
      </c>
      <c r="AB342" s="898" t="str">
        <f t="shared" si="659"/>
        <v/>
      </c>
      <c r="AC342" s="563">
        <f>Sheet1!Y344*MGDtoCFS</f>
        <v>3202.29</v>
      </c>
      <c r="AD342" s="563">
        <f>Sheet1!Z344*MGDtoCFS</f>
        <v>29.377529999999997</v>
      </c>
      <c r="AE342" s="563">
        <f>Sheet1!AA344*MGDtoCFS</f>
        <v>32.332299999999996</v>
      </c>
      <c r="AF342" s="563">
        <f>Sheet1!AB344*MGDtoCFS</f>
        <v>29.56317</v>
      </c>
      <c r="AG342" s="563">
        <f>Sheet1!L344*MGDtoCFS</f>
        <v>61.400430000003603</v>
      </c>
      <c r="AH342" s="545">
        <f t="shared" si="587"/>
        <v>0</v>
      </c>
      <c r="AI342" s="560">
        <f t="shared" si="588"/>
        <v>0</v>
      </c>
      <c r="AJ342" s="560">
        <f t="shared" si="589"/>
        <v>0</v>
      </c>
      <c r="AK342" s="560">
        <f t="shared" si="590"/>
        <v>0</v>
      </c>
      <c r="AL342" s="560">
        <f>(VLOOKUP(Sheet1!DC344,hhdcap_wcm,4)-(((VLOOKUP(Sheet1!DC344,hhdcap_wcm,3)-Sheet1!DC344)/(VLOOKUP(Sheet1!DC344,hhdcap_wcm,3)-VLOOKUP(Sheet1!DC344,hhdcap_wcm,1)))*(VLOOKUP(Sheet1!DC344,hhdcap_wcm,4)-VLOOKUP(Sheet1!DC344,hhdcap_wcm,2))))</f>
        <v>6574.0000000140444</v>
      </c>
      <c r="AM342" s="560">
        <f t="shared" si="591"/>
        <v>-5099.0000000125492</v>
      </c>
      <c r="AN342" s="560">
        <f t="shared" si="592"/>
        <v>0</v>
      </c>
      <c r="AO342" s="560">
        <f t="shared" si="593"/>
        <v>0</v>
      </c>
      <c r="AP342" s="560">
        <f>Sheet1!BA344+Sheet1!BB344+Sheet1!BN344+CD342</f>
        <v>10.41</v>
      </c>
      <c r="AQ342" s="560">
        <f>Sheet1!BN344+(DO342*Sheet1!BN344)</f>
        <v>9.2642599277978341</v>
      </c>
      <c r="AR342" s="560">
        <f>Sheet1!BA344+CD342</f>
        <v>0</v>
      </c>
      <c r="AS342" s="560">
        <f>Sheet1!BA344+Sheet1!BB344+CD342</f>
        <v>1.01</v>
      </c>
      <c r="AT342" s="698">
        <f>0</f>
        <v>0</v>
      </c>
      <c r="AU342" s="560">
        <f>IF(EB342&lt;K342,0,MAX(Sheet1!AA344+AQ342-15/36*K342-N342,Sheet1!EH344,0))</f>
        <v>0</v>
      </c>
      <c r="AV342" s="560">
        <f>IF(OR(B342&gt;=GD342,B342&lt;GC342),0,15/36*K342-MAX(0,64.6-(137.6-(Sheet1!AA344+Sheet1!AB344))))</f>
        <v>0</v>
      </c>
      <c r="AW342" s="698">
        <f>Sheet1!DB344-110</f>
        <v>5500</v>
      </c>
      <c r="AX342" s="698">
        <f>Sheet1!DA344-265</f>
        <v>7585</v>
      </c>
      <c r="AY342" s="698">
        <f t="shared" si="594"/>
        <v>73</v>
      </c>
      <c r="AZ342" s="698">
        <v>0</v>
      </c>
      <c r="BA342" s="698">
        <f t="shared" si="595"/>
        <v>0</v>
      </c>
      <c r="BB342" s="560">
        <f t="shared" si="596"/>
        <v>0</v>
      </c>
      <c r="BC342" s="560"/>
      <c r="BD342" s="560">
        <f ca="1">IF(B342&gt;Summary!$A$1,#N/A,BB342*MGtoAF)</f>
        <v>0</v>
      </c>
      <c r="BE342" s="560">
        <f>Sheet1!BG344+Sheet1!BH344+Sheet1!BI344-BM342</f>
        <v>0</v>
      </c>
      <c r="BF342" s="560">
        <f t="shared" si="597"/>
        <v>0</v>
      </c>
      <c r="BG342" s="560">
        <f>IF(Sheet1!EP344="FM",BM342,0)</f>
        <v>0</v>
      </c>
      <c r="BH342" s="560">
        <f t="shared" si="598"/>
        <v>0</v>
      </c>
      <c r="BI342" s="560">
        <f>IF(Sheet1!EP344="OTHER",BM342,0)</f>
        <v>0</v>
      </c>
      <c r="BJ342" s="560">
        <f t="shared" si="599"/>
        <v>0</v>
      </c>
      <c r="BK342" s="560">
        <f t="shared" si="600"/>
        <v>0</v>
      </c>
      <c r="BL342" s="560">
        <f t="shared" si="601"/>
        <v>0</v>
      </c>
      <c r="BM342" s="560">
        <f>IF(OR(Sheet1!EP344="FM", Sheet1!EP344="OTHER"),SUM(Sheet1!BG344:'Sheet1'!BI344),0)</f>
        <v>0</v>
      </c>
      <c r="BN342" s="545">
        <f>IF(AND($B342&gt;=$FV342,$B342&lt;=$FW342),MAX(BF342,Sheet1!EI344,0),MAX(BF342-(7/36)*$K342,0))</f>
        <v>0</v>
      </c>
      <c r="BO342" s="560">
        <f t="shared" si="602"/>
        <v>0</v>
      </c>
      <c r="BP342" s="545">
        <f t="shared" si="603"/>
        <v>0</v>
      </c>
      <c r="BQ342" s="545">
        <f>IF(AND($O342&gt;0,Sheet1!EM344=1),(1-($O342-Sheet1!$L344)/$O342)*BL342,0)</f>
        <v>0</v>
      </c>
      <c r="BR342" s="545">
        <f>IF(AND(Sheet1!$L344=0,Sheet1!$L343=0, Calculation!BK342&lt;Sheet1!$EI344-0.1,Sheet1!$EI344=Sheet1!$EI343,Sheet1!$EI344=Sheet1!$EI345),Sheet1!$EI344,BL342-BQ342)</f>
        <v>0</v>
      </c>
      <c r="BS342" s="560"/>
      <c r="BT342" s="560"/>
      <c r="BU342" s="560">
        <f t="shared" si="604"/>
        <v>0</v>
      </c>
      <c r="BV342" s="560"/>
      <c r="BW342" s="560">
        <f ca="1">IF(B342&gt;Summary!$A$1,#N/A,BU342*MGtoAF)</f>
        <v>0</v>
      </c>
      <c r="BX342" s="560">
        <f>Sheet1!BC344+Sheet1!BD344+Sheet1!BE344+Sheet1!BF344-CG342-CH342</f>
        <v>2.5</v>
      </c>
      <c r="BY342" s="560">
        <f t="shared" si="605"/>
        <v>2.463898916967509</v>
      </c>
      <c r="BZ342" s="560">
        <f>IF(Sheet1!EQ344="FM",CH342,0)</f>
        <v>0</v>
      </c>
      <c r="CA342" s="560">
        <f t="shared" si="606"/>
        <v>0</v>
      </c>
      <c r="CB342" s="560">
        <f>IF(Sheet1!EQ344="OTHER",CH342,0)</f>
        <v>0</v>
      </c>
      <c r="CC342" s="560">
        <f t="shared" si="607"/>
        <v>0</v>
      </c>
      <c r="CD342" s="560">
        <f t="shared" si="608"/>
        <v>0</v>
      </c>
      <c r="CE342" s="560">
        <f t="shared" si="609"/>
        <v>2.5</v>
      </c>
      <c r="CF342" s="560">
        <f t="shared" si="610"/>
        <v>2.463898916967509</v>
      </c>
      <c r="CG342" s="560">
        <f>IF(Sheet1!EQ344="CWA",SUM(Sheet1!BC344:'Sheet1'!BF344),0)</f>
        <v>0</v>
      </c>
      <c r="CH342" s="560">
        <f>IF(OR(Sheet1!EQ344="FM", Sheet1!EQ344="OTHER"),SUM(Sheet1!BC344:'Sheet1'!BF344),0)</f>
        <v>0</v>
      </c>
      <c r="CI342" s="545">
        <f>IF(AND($B342&gt;=$FV342,$B342&lt;=$FW342),MAX(CF342,Sheet1!EJ344,0),MAX(CF342-(7/36)*$K342,0))</f>
        <v>0</v>
      </c>
      <c r="CJ342" s="560">
        <f t="shared" si="611"/>
        <v>0</v>
      </c>
      <c r="CK342" s="545">
        <f t="shared" si="612"/>
        <v>2.463898916967509</v>
      </c>
      <c r="CL342" s="545">
        <f>IF(AND($O342&gt;0,Sheet1!EN344=1),(1-($O342-Sheet1!$L344)/$O342)*CF342,0)</f>
        <v>0</v>
      </c>
      <c r="CM342" s="545">
        <f>IF(AND(Sheet1!$L344=0,Sheet1!$L343=0, Calculation!CE342&lt;Sheet1!EJ344-0.1,Sheet1!EJ344=Sheet1!EJ343,Sheet1!EJ344=Sheet1!EJ345),Sheet1!EJ344,CF342-CL342)</f>
        <v>2.463898916967509</v>
      </c>
      <c r="CN342" s="545"/>
      <c r="CO342" s="560"/>
      <c r="CP342" s="560">
        <f t="shared" si="613"/>
        <v>0</v>
      </c>
      <c r="CQ342" s="560"/>
      <c r="CR342" s="560">
        <f ca="1">IF(B342&gt;Summary!$A$1,#N/A,CP342*MGtoAF)</f>
        <v>0</v>
      </c>
      <c r="CS342" s="560">
        <f>Sheet1!BK344+Sheet1!BL344+Sheet1!BM344-Sheet1!ER344-DA342</f>
        <v>6.48</v>
      </c>
      <c r="CT342" s="560">
        <f t="shared" si="614"/>
        <v>6.3864259927797837</v>
      </c>
      <c r="CU342" s="560">
        <f>IF(Sheet1!ER344="FM",DA342,0)</f>
        <v>0</v>
      </c>
      <c r="CV342" s="560">
        <f t="shared" si="615"/>
        <v>0</v>
      </c>
      <c r="CW342" s="560">
        <f>IF(Sheet1!ER344="OTHER",DA342,0)</f>
        <v>0</v>
      </c>
      <c r="CX342" s="560">
        <f t="shared" si="616"/>
        <v>0</v>
      </c>
      <c r="CY342" s="560">
        <f t="shared" si="617"/>
        <v>6.48</v>
      </c>
      <c r="CZ342" s="560">
        <f t="shared" si="618"/>
        <v>6.3864259927797837</v>
      </c>
      <c r="DA342" s="560">
        <f>IF(OR(Sheet1!ER344="FM", Sheet1!ER344="OTHER"),SUM(Sheet1!BK344:'Sheet1'!BM344),0)</f>
        <v>0</v>
      </c>
      <c r="DB342" s="545">
        <f>IF(AND($B342&gt;=$FV342,$B342&lt;=$FW342),MAX($CT342,Sheet1!EK344,0),MAX($CT342-(7/36)*$K342,0))</f>
        <v>0</v>
      </c>
      <c r="DC342" s="560">
        <f t="shared" si="619"/>
        <v>0</v>
      </c>
      <c r="DD342" s="545">
        <f t="shared" si="620"/>
        <v>6.3864259927797837</v>
      </c>
      <c r="DE342" s="545">
        <f>IF(AND($O342&gt;0,Sheet1!EO344=1),(1-($O342-Sheet1!$L344)/$O342)*CZ342,0)</f>
        <v>0</v>
      </c>
      <c r="DF342" s="545">
        <f>IF(AND(Sheet1!$L344=0,Sheet1!$L343=0, Calculation!CY342&lt;Sheet1!$EK344-0.1,Sheet1!$EK344=Sheet1!$EK343,Sheet1!$EK344=Sheet1!$EK345),Sheet1!$EK344,CZ342-DE342)</f>
        <v>6.3864259927797837</v>
      </c>
      <c r="DG342" s="545"/>
      <c r="DH342" s="560">
        <f t="shared" si="621"/>
        <v>8.98</v>
      </c>
      <c r="DI342" s="560">
        <f t="shared" si="622"/>
        <v>0</v>
      </c>
      <c r="DJ342" s="698">
        <f t="shared" si="623"/>
        <v>8.8503249097472931</v>
      </c>
      <c r="DK342" s="560">
        <f ca="1">IF(B342&gt;Summary!$A$1,#N/A,DI342*MGtoAF)</f>
        <v>0</v>
      </c>
      <c r="DL342" s="698">
        <f t="shared" si="624"/>
        <v>8.98</v>
      </c>
      <c r="DM342" s="560">
        <f t="shared" si="625"/>
        <v>19.39</v>
      </c>
      <c r="DN342" s="560">
        <f>Sheet1!AB344-DM342</f>
        <v>-0.28000000000000114</v>
      </c>
      <c r="DO342" s="560">
        <f t="shared" si="626"/>
        <v>-1.4440433212996448E-2</v>
      </c>
      <c r="DP342" s="560">
        <f>(VLOOKUP(Sheet1!DC344,hhdcap_wcm,4)-(((VLOOKUP(Sheet1!DC344,hhdcap_wcm,3)-Sheet1!DC344)/(VLOOKUP(Sheet1!DC344,hhdcap_wcm,3)-VLOOKUP(Sheet1!DC344,hhdcap_wcm,1)))*(VLOOKUP(Sheet1!DC344,hhdcap_wcm,4)-VLOOKUP(Sheet1!DC344,hhdcap_wcm,2))))</f>
        <v>6574.0000000140444</v>
      </c>
      <c r="DQ342" s="560">
        <f t="shared" si="627"/>
        <v>-5099.0000000125492</v>
      </c>
      <c r="DR342" s="560">
        <f t="shared" si="628"/>
        <v>-2571.3565305156571</v>
      </c>
      <c r="DS342" s="560">
        <f>Sheet1!EA344*AFtoMG</f>
        <v>0</v>
      </c>
      <c r="DT342" s="560">
        <f>Sheet1!EB344*AFtoMG</f>
        <v>0</v>
      </c>
      <c r="DU342" s="560">
        <f>Sheet1!EC344*AFtoMG</f>
        <v>0</v>
      </c>
      <c r="DV342" s="560">
        <f>Sheet1!ED344*AFtoMG</f>
        <v>0</v>
      </c>
      <c r="DW342" s="560">
        <f t="shared" si="629"/>
        <v>0</v>
      </c>
      <c r="DX342" s="560">
        <f t="shared" si="630"/>
        <v>0</v>
      </c>
      <c r="DY342" s="560">
        <f t="shared" si="631"/>
        <v>0</v>
      </c>
      <c r="DZ342" s="560">
        <f t="shared" si="632"/>
        <v>0</v>
      </c>
      <c r="EA342" s="560"/>
      <c r="EB342" s="545">
        <f>IF(OR(B342&lt;FV342,B342&gt;FW342),(MIN(BF342+BY342+CT342+MAX(Sheet1!AA344+AQ342-73,0),K342)),0)</f>
        <v>8.8503249097472931</v>
      </c>
      <c r="EC342" s="560"/>
      <c r="ED342" s="560">
        <f t="shared" si="633"/>
        <v>8.8503249097472931</v>
      </c>
      <c r="EE342" s="560"/>
      <c r="EF342" s="560">
        <f>Sheet1!EH344+Sheet1!EI344+Sheet1!EJ344+Sheet1!EK344</f>
        <v>9</v>
      </c>
      <c r="EG342" s="560"/>
      <c r="EH342" s="545">
        <f t="shared" si="634"/>
        <v>0</v>
      </c>
      <c r="EI342" s="560">
        <f>IF(Sheet1!ET344=1,SUM('Calculations II'!AT342:BA342)+'Calculations II'!BC342+Sheet1!BV344+'Calculations II'!BE342+AP342,SUM('Calculations II'!AT342:BA342)+'Calculations II'!BC342+Sheet1!BV344+'Calculations II'!BE342+AP342)</f>
        <v>50.620176000000001</v>
      </c>
      <c r="EJ342" s="560">
        <f>Sheet1!AA344+Sheet1!AB344+'Calculations II'!BC342</f>
        <v>50.358559999999997</v>
      </c>
      <c r="EK342" s="560"/>
      <c r="EL342" s="560"/>
      <c r="EM342" s="560">
        <f t="shared" si="635"/>
        <v>41970</v>
      </c>
      <c r="EN342" s="560">
        <f t="shared" si="636"/>
        <v>0</v>
      </c>
      <c r="EO342" s="560">
        <f t="shared" si="637"/>
        <v>0</v>
      </c>
      <c r="EP342" s="560">
        <v>0</v>
      </c>
      <c r="EQ342" s="560">
        <v>0</v>
      </c>
      <c r="ER342" s="560">
        <v>0</v>
      </c>
      <c r="ES342" s="545">
        <f t="shared" si="660"/>
        <v>4.4364357590879244</v>
      </c>
      <c r="ET342" s="560">
        <f>-(VLOOKUP(Sheet1!BQ344,Lookup!$O$4:$Q$262,2)-VLOOKUP(Sheet1!BQ343,Lookup!$O$4:$Q$262,2))/1000000</f>
        <v>2.2180639960837549</v>
      </c>
      <c r="EU342" s="560">
        <f>-(VLOOKUP(Sheet1!BR344,Lookup!$O$4:$Q$262,3)-VLOOKUP(Sheet1!BR343,Lookup!$O$4:$Q$262,3))/1000000</f>
        <v>2.2183717630041691</v>
      </c>
      <c r="EV342" s="560"/>
      <c r="EW342" s="560"/>
      <c r="EX342" s="560"/>
      <c r="EY342" s="560"/>
      <c r="EZ342" s="560"/>
      <c r="FA342" s="560"/>
      <c r="FB342" s="560"/>
      <c r="FC342" s="560"/>
      <c r="FD342" s="594">
        <f t="shared" si="638"/>
        <v>1074.2199999999798</v>
      </c>
      <c r="FE342" s="594" t="e">
        <f t="shared" si="639"/>
        <v>#N/A</v>
      </c>
      <c r="FF342" s="595" t="e">
        <f t="shared" si="640"/>
        <v>#N/A</v>
      </c>
      <c r="FG342" s="596" t="s">
        <v>692</v>
      </c>
      <c r="FH342" s="596" t="s">
        <v>692</v>
      </c>
      <c r="FI342" s="594" t="e">
        <v>#N/A</v>
      </c>
      <c r="FJ342" s="778">
        <v>270</v>
      </c>
      <c r="FK342" s="560"/>
      <c r="FL342" s="560"/>
      <c r="FM342" s="560"/>
      <c r="FN342" s="560"/>
      <c r="FO342" s="560">
        <f>O342+((Sheet1!CS344)*GPMtoMGD)</f>
        <v>50.358559999999997</v>
      </c>
      <c r="FP342" s="560">
        <f>IF(Sheet1!AA344+AQ342&lt;=Calculation!N342,AQ342,Calculation!N342-Sheet1!AA344)</f>
        <v>9.2642599277978341</v>
      </c>
      <c r="FQ342" s="560">
        <f>(Sheet1!BP344+Sheet1!BO344)/694.4</f>
        <v>2.9867511520737327</v>
      </c>
      <c r="FR342" s="560"/>
      <c r="FS342" s="560"/>
      <c r="FT342" s="560"/>
      <c r="FU342" s="560"/>
      <c r="FV342" s="695">
        <f t="shared" si="661"/>
        <v>41827</v>
      </c>
      <c r="FW342" s="695">
        <f t="shared" si="662"/>
        <v>41934</v>
      </c>
      <c r="FX342" s="560"/>
      <c r="FY342" s="560"/>
      <c r="FZ342" s="560"/>
      <c r="GA342" s="560"/>
      <c r="GB342" s="560" t="str">
        <f t="shared" si="663"/>
        <v>n</v>
      </c>
      <c r="GC342" s="564">
        <f t="shared" si="664"/>
        <v>41691</v>
      </c>
      <c r="GD342" s="695">
        <f t="shared" si="665"/>
        <v>41807</v>
      </c>
      <c r="GE342" s="560">
        <v>6518.9</v>
      </c>
      <c r="GF342" s="695">
        <f t="shared" si="666"/>
        <v>41808</v>
      </c>
      <c r="GG342" s="560">
        <f t="shared" si="686"/>
        <v>3259</v>
      </c>
      <c r="GH342" s="564">
        <f t="shared" si="667"/>
        <v>41934</v>
      </c>
      <c r="GJ342" s="545">
        <f t="shared" si="668"/>
        <v>0</v>
      </c>
      <c r="GK342" s="560" t="str">
        <f t="shared" si="641"/>
        <v/>
      </c>
      <c r="GL342" s="560">
        <f t="shared" si="669"/>
        <v>0</v>
      </c>
      <c r="GM342" s="560" t="str">
        <f t="shared" si="670"/>
        <v/>
      </c>
      <c r="GN342" s="560">
        <f>IF(GK342="P",Lookup!$M$12,IF(GK342="PP",Lookup!$M$13,IF(GK342="PPP",Lookup!$M$14,IF(GK342="T",Lookup!$M$15,IF(GK342="TP",Lookup!$M$16,IF(GK342="TPP",Lookup!$M$17,IF(GK342="TPPP",Lookup!$M$18,0)))))))*GJ342</f>
        <v>0</v>
      </c>
      <c r="GO342" s="560">
        <f t="shared" si="671"/>
        <v>0</v>
      </c>
      <c r="GP342" s="560">
        <f t="shared" si="642"/>
        <v>0</v>
      </c>
      <c r="GQ342" s="560">
        <f t="shared" si="679"/>
        <v>0</v>
      </c>
      <c r="GR342" s="560"/>
      <c r="GS342" s="560">
        <f t="shared" si="672"/>
        <v>0</v>
      </c>
      <c r="GT342" s="560" t="str">
        <f t="shared" si="673"/>
        <v/>
      </c>
      <c r="GU342" s="560">
        <f>IF(GK342="P",Lookup!$N$12,IF(GK342="PP",Lookup!$N$13,IF(GK342="PPP",Lookup!$N$14,IF(GK342="T",Lookup!$N$15,IF(GK342="TP",Lookup!$N$16,IF(GK342="TPP",Lookup!$N$17,IF(GK342="TPPP",Lookup!$N$18,0)))))))*GJ342</f>
        <v>0</v>
      </c>
      <c r="GV342" s="560">
        <f t="shared" si="674"/>
        <v>0</v>
      </c>
      <c r="GW342" s="560">
        <f t="shared" si="643"/>
        <v>0</v>
      </c>
      <c r="GX342" s="560">
        <f t="shared" si="680"/>
        <v>0</v>
      </c>
      <c r="GY342" s="560"/>
      <c r="GZ342" s="560">
        <f t="shared" si="675"/>
        <v>0</v>
      </c>
      <c r="HA342" s="560" t="str">
        <f t="shared" si="676"/>
        <v/>
      </c>
      <c r="HB342" s="560">
        <f>IF(GK342="P",Lookup!$N$12,IF(GK342="PP",Lookup!$N$13,IF(GK342="PPP",Lookup!$N$14,IF(GK342="T",Lookup!$N$15,IF(GK342="TP",Lookup!$N$16,IF(GK342="TPP",Lookup!$N$17,IF(GK342="TPPP",Lookup!$N$18,0)))))))*GJ342</f>
        <v>0</v>
      </c>
      <c r="HC342" s="545">
        <f t="shared" si="644"/>
        <v>0</v>
      </c>
      <c r="HD342" s="560">
        <f t="shared" si="645"/>
        <v>0</v>
      </c>
      <c r="HE342" s="560">
        <f t="shared" si="681"/>
        <v>0</v>
      </c>
      <c r="HF342" s="560"/>
      <c r="HG342" s="560">
        <f t="shared" si="677"/>
        <v>0</v>
      </c>
      <c r="HH342" s="560" t="str">
        <f t="shared" si="678"/>
        <v/>
      </c>
      <c r="HI342" s="560">
        <f>IF(GK342="P",Lookup!$N$12,IF(GK342="PP",Lookup!$N$13,IF(GK342="PPP",Lookup!$N$14,IF(GK342="T",Lookup!$N$15,IF(GK342="TP",Lookup!$N$16,IF(GK342="TPP",Lookup!$N$17,IF(GK342="TPPP",Lookup!$N$18,0)))))))*GJ342</f>
        <v>0</v>
      </c>
      <c r="HJ342" s="545">
        <f t="shared" si="646"/>
        <v>0</v>
      </c>
      <c r="HK342" s="560">
        <f t="shared" si="647"/>
        <v>0</v>
      </c>
      <c r="HL342" s="560">
        <f t="shared" si="682"/>
        <v>0</v>
      </c>
    </row>
    <row r="343" spans="1:220">
      <c r="A343" s="580" t="s">
        <v>8</v>
      </c>
      <c r="B343" s="556">
        <v>41971</v>
      </c>
      <c r="C343" s="561">
        <v>0</v>
      </c>
      <c r="D343" s="529">
        <f t="shared" si="684"/>
        <v>300</v>
      </c>
      <c r="E343" s="529">
        <f t="shared" si="685"/>
        <v>250</v>
      </c>
      <c r="F343" s="529">
        <v>250</v>
      </c>
      <c r="G343" s="560">
        <f>DR343+Sheet1!CZ345</f>
        <v>2028.1240544587422</v>
      </c>
      <c r="H343" s="914">
        <f t="shared" si="650"/>
        <v>1044.016188802131</v>
      </c>
      <c r="I343" s="559">
        <f>MAX(Sheet1!Z345-AT343+(Sheet1!DA345-E343)*CFStoMGD,0)</f>
        <v>3626.0219999999999</v>
      </c>
      <c r="J343" s="562">
        <f>IF(AND(B343&gt;=Calculation!GC343,B343&lt;=Calculation!GD343),IF(Sheet1!DB345&gt;=Calculation!D343,64.64,0),MAX(Sheet1!Z345-AT343+(Sheet1!DB345-D343)*CFStoMGD,0))</f>
        <v>2507.75</v>
      </c>
      <c r="K343" s="904">
        <f t="shared" si="583"/>
        <v>64.64</v>
      </c>
      <c r="L343" s="560">
        <f>Sheet1!AA345+Sheet1!AB345-Sheet1!L345+(Sheet1!DA345-F343)*CFStoMGD</f>
        <v>3606.4420000000032</v>
      </c>
      <c r="M343" s="560">
        <f t="shared" si="584"/>
        <v>1337.1989765781736</v>
      </c>
      <c r="N343" s="910">
        <f>IF(Sheet1!DA345&gt;=F343,MIN(73,MIN(MAX(L343,0),MAX(M343,0))),0)</f>
        <v>73</v>
      </c>
      <c r="O343" s="563">
        <f>Sheet1!AA345+Sheet1!AB345</f>
        <v>38.799999999999997</v>
      </c>
      <c r="P343" s="563">
        <f t="shared" si="585"/>
        <v>60.023600000000002</v>
      </c>
      <c r="Q343" s="898">
        <f t="shared" si="651"/>
        <v>0</v>
      </c>
      <c r="R343" s="829">
        <f t="shared" si="586"/>
        <v>8.8908666320705763</v>
      </c>
      <c r="S343" s="898">
        <f t="shared" si="683"/>
        <v>38.799999999999997</v>
      </c>
      <c r="T343" s="898">
        <f t="shared" si="652"/>
        <v>0</v>
      </c>
      <c r="U343" s="898">
        <f t="shared" si="653"/>
        <v>0</v>
      </c>
      <c r="V343" s="898"/>
      <c r="W343" s="898">
        <f t="shared" si="654"/>
        <v>55.749133367929424</v>
      </c>
      <c r="X343" s="898">
        <f t="shared" si="655"/>
        <v>38.799999999999997</v>
      </c>
      <c r="Y343" s="898" t="str">
        <f t="shared" si="656"/>
        <v/>
      </c>
      <c r="Z343" s="898">
        <f t="shared" si="657"/>
        <v>38.799999999999997</v>
      </c>
      <c r="AA343" s="898">
        <f t="shared" si="658"/>
        <v>38.799999999999997</v>
      </c>
      <c r="AB343" s="898" t="str">
        <f t="shared" si="659"/>
        <v/>
      </c>
      <c r="AC343" s="563">
        <f>Sheet1!Y345*MGDtoCFS</f>
        <v>32.332299999999996</v>
      </c>
      <c r="AD343" s="563">
        <f>Sheet1!Z345*MGDtoCFS</f>
        <v>29.56317</v>
      </c>
      <c r="AE343" s="563">
        <f>Sheet1!AA345*MGDtoCFS</f>
        <v>30.475899999999996</v>
      </c>
      <c r="AF343" s="563">
        <f>Sheet1!AB345*MGDtoCFS</f>
        <v>29.547700000000003</v>
      </c>
      <c r="AG343" s="563">
        <f>Sheet1!L345*MGDtoCFS</f>
        <v>60.750689999995046</v>
      </c>
      <c r="AH343" s="545">
        <f t="shared" si="587"/>
        <v>0</v>
      </c>
      <c r="AI343" s="560">
        <f t="shared" si="588"/>
        <v>0</v>
      </c>
      <c r="AJ343" s="560">
        <f t="shared" si="589"/>
        <v>0</v>
      </c>
      <c r="AK343" s="560">
        <f t="shared" si="590"/>
        <v>0</v>
      </c>
      <c r="AL343" s="560">
        <f>(VLOOKUP(Sheet1!DC345,hhdcap_wcm,4)-(((VLOOKUP(Sheet1!DC345,hhdcap_wcm,3)-Sheet1!DC345)/(VLOOKUP(Sheet1!DC345,hhdcap_wcm,3)-VLOOKUP(Sheet1!DC345,hhdcap_wcm,1)))*(VLOOKUP(Sheet1!DC345,hhdcap_wcm,4)-VLOOKUP(Sheet1!DC345,hhdcap_wcm,2))))</f>
        <v>2287.0000000057298</v>
      </c>
      <c r="AM343" s="560">
        <f t="shared" si="591"/>
        <v>-4287.0000000083146</v>
      </c>
      <c r="AN343" s="560">
        <f t="shared" si="592"/>
        <v>0</v>
      </c>
      <c r="AO343" s="560">
        <f t="shared" si="593"/>
        <v>0</v>
      </c>
      <c r="AP343" s="560">
        <f>Sheet1!BA345+Sheet1!BB345+Sheet1!BN345+CD343</f>
        <v>10.3</v>
      </c>
      <c r="AQ343" s="560">
        <f>Sheet1!BN345+(DO343*Sheet1!BN345)</f>
        <v>9.2179553710430717</v>
      </c>
      <c r="AR343" s="560">
        <f>Sheet1!BA345+CD343</f>
        <v>0</v>
      </c>
      <c r="AS343" s="560">
        <f>Sheet1!BA345+Sheet1!BB345+CD343</f>
        <v>1</v>
      </c>
      <c r="AT343" s="698">
        <f>0</f>
        <v>0</v>
      </c>
      <c r="AU343" s="560">
        <f>IF(EB343&lt;K343,0,MAX(Sheet1!AA345+AQ343-15/36*K343-N343,Sheet1!EH345,0))</f>
        <v>0</v>
      </c>
      <c r="AV343" s="560">
        <f>IF(OR(B343&gt;=GD343,B343&lt;GC343),0,15/36*K343-MAX(0,64.6-(137.6-(Sheet1!AA345+Sheet1!AB345))))</f>
        <v>0</v>
      </c>
      <c r="AW343" s="698">
        <f>Sheet1!DB345-110</f>
        <v>4040</v>
      </c>
      <c r="AX343" s="698">
        <f>Sheet1!DA345-265</f>
        <v>5565</v>
      </c>
      <c r="AY343" s="698">
        <f t="shared" si="594"/>
        <v>73</v>
      </c>
      <c r="AZ343" s="698">
        <v>0</v>
      </c>
      <c r="BA343" s="698">
        <f t="shared" si="595"/>
        <v>0</v>
      </c>
      <c r="BB343" s="560">
        <f t="shared" si="596"/>
        <v>0</v>
      </c>
      <c r="BC343" s="560"/>
      <c r="BD343" s="560">
        <f ca="1">IF(B343&gt;Summary!$A$1,#N/A,BB343*MGtoAF)</f>
        <v>0</v>
      </c>
      <c r="BE343" s="560">
        <f>Sheet1!BG345+Sheet1!BH345+Sheet1!BI345-BM343</f>
        <v>0</v>
      </c>
      <c r="BF343" s="560">
        <f t="shared" si="597"/>
        <v>0</v>
      </c>
      <c r="BG343" s="560">
        <f>IF(Sheet1!EP345="FM",BM343,0)</f>
        <v>0</v>
      </c>
      <c r="BH343" s="560">
        <f t="shared" si="598"/>
        <v>0</v>
      </c>
      <c r="BI343" s="560">
        <f>IF(Sheet1!EP345="OTHER",BM343,0)</f>
        <v>0</v>
      </c>
      <c r="BJ343" s="560">
        <f t="shared" si="599"/>
        <v>0</v>
      </c>
      <c r="BK343" s="560">
        <f t="shared" si="600"/>
        <v>0</v>
      </c>
      <c r="BL343" s="560">
        <f t="shared" si="601"/>
        <v>0</v>
      </c>
      <c r="BM343" s="560">
        <f>IF(OR(Sheet1!EP345="FM", Sheet1!EP345="OTHER"),SUM(Sheet1!BG345:'Sheet1'!BI345),0)</f>
        <v>0</v>
      </c>
      <c r="BN343" s="545">
        <f>IF(AND($B343&gt;=$FV343,$B343&lt;=$FW343),MAX(BF343,Sheet1!EI345,0),MAX(BF343-(7/36)*$K343,0))</f>
        <v>0</v>
      </c>
      <c r="BO343" s="560">
        <f t="shared" si="602"/>
        <v>0</v>
      </c>
      <c r="BP343" s="545">
        <f t="shared" si="603"/>
        <v>0</v>
      </c>
      <c r="BQ343" s="545">
        <f>IF(AND($O343&gt;0,Sheet1!EM345=1),(1-($O343-Sheet1!$L345)/$O343)*BL343,0)</f>
        <v>0</v>
      </c>
      <c r="BR343" s="545">
        <f>IF(AND(Sheet1!$L345=0,Sheet1!$L344=0, Calculation!BK343&lt;Sheet1!$EI345-0.1,Sheet1!$EI345=Sheet1!$EI344,Sheet1!$EI345=Sheet1!$EI346),Sheet1!$EI345,BL343-BQ343)</f>
        <v>0</v>
      </c>
      <c r="BS343" s="560"/>
      <c r="BT343" s="560"/>
      <c r="BU343" s="560">
        <f t="shared" si="604"/>
        <v>0</v>
      </c>
      <c r="BV343" s="560"/>
      <c r="BW343" s="560">
        <f ca="1">IF(B343&gt;Summary!$A$1,#N/A,BU343*MGtoAF)</f>
        <v>0</v>
      </c>
      <c r="BX343" s="560">
        <f>Sheet1!BC345+Sheet1!BD345+Sheet1!BE345+Sheet1!BF345-CG343-CH343</f>
        <v>2.4900000000000002</v>
      </c>
      <c r="BY343" s="560">
        <f t="shared" si="605"/>
        <v>2.4680332122470161</v>
      </c>
      <c r="BZ343" s="560">
        <f>IF(Sheet1!EQ345="FM",CH343,0)</f>
        <v>0</v>
      </c>
      <c r="CA343" s="560">
        <f t="shared" si="606"/>
        <v>0</v>
      </c>
      <c r="CB343" s="560">
        <f>IF(Sheet1!EQ345="OTHER",CH343,0)</f>
        <v>0</v>
      </c>
      <c r="CC343" s="560">
        <f t="shared" si="607"/>
        <v>0</v>
      </c>
      <c r="CD343" s="560">
        <f t="shared" si="608"/>
        <v>0</v>
      </c>
      <c r="CE343" s="560">
        <f t="shared" si="609"/>
        <v>2.4900000000000002</v>
      </c>
      <c r="CF343" s="560">
        <f t="shared" si="610"/>
        <v>2.4680332122470161</v>
      </c>
      <c r="CG343" s="560">
        <f>IF(Sheet1!EQ345="CWA",SUM(Sheet1!BC345:'Sheet1'!BF345),0)</f>
        <v>0</v>
      </c>
      <c r="CH343" s="560">
        <f>IF(OR(Sheet1!EQ345="FM", Sheet1!EQ345="OTHER"),SUM(Sheet1!BC345:'Sheet1'!BF345),0)</f>
        <v>0</v>
      </c>
      <c r="CI343" s="545">
        <f>IF(AND($B343&gt;=$FV343,$B343&lt;=$FW343),MAX(CF343,Sheet1!EJ345,0),MAX(CF343-(7/36)*$K343,0))</f>
        <v>0</v>
      </c>
      <c r="CJ343" s="560">
        <f t="shared" si="611"/>
        <v>0</v>
      </c>
      <c r="CK343" s="545">
        <f t="shared" si="612"/>
        <v>2.4680332122470161</v>
      </c>
      <c r="CL343" s="545">
        <f>IF(AND($O343&gt;0,Sheet1!EN345=1),(1-($O343-Sheet1!$L345)/$O343)*CF343,0)</f>
        <v>0</v>
      </c>
      <c r="CM343" s="545">
        <f>IF(AND(Sheet1!$L345=0,Sheet1!$L344=0, Calculation!CE343&lt;Sheet1!EJ345-0.1,Sheet1!EJ345=Sheet1!EJ344,Sheet1!EJ345=Sheet1!EJ346),Sheet1!EJ345,CF343-CL343)</f>
        <v>2.4680332122470161</v>
      </c>
      <c r="CN343" s="545"/>
      <c r="CO343" s="560"/>
      <c r="CP343" s="560">
        <f t="shared" si="613"/>
        <v>0</v>
      </c>
      <c r="CQ343" s="560"/>
      <c r="CR343" s="560">
        <f ca="1">IF(B343&gt;Summary!$A$1,#N/A,CP343*MGtoAF)</f>
        <v>0</v>
      </c>
      <c r="CS343" s="560">
        <f>Sheet1!BK345+Sheet1!BL345+Sheet1!BM345-Sheet1!ER345-DA343</f>
        <v>6.48</v>
      </c>
      <c r="CT343" s="560">
        <f t="shared" si="614"/>
        <v>6.4228334198235597</v>
      </c>
      <c r="CU343" s="560">
        <f>IF(Sheet1!ER345="FM",DA343,0)</f>
        <v>0</v>
      </c>
      <c r="CV343" s="560">
        <f t="shared" si="615"/>
        <v>0</v>
      </c>
      <c r="CW343" s="560">
        <f>IF(Sheet1!ER345="OTHER",DA343,0)</f>
        <v>0</v>
      </c>
      <c r="CX343" s="560">
        <f t="shared" si="616"/>
        <v>0</v>
      </c>
      <c r="CY343" s="560">
        <f t="shared" si="617"/>
        <v>6.48</v>
      </c>
      <c r="CZ343" s="560">
        <f t="shared" si="618"/>
        <v>6.4228334198235597</v>
      </c>
      <c r="DA343" s="560">
        <f>IF(OR(Sheet1!ER345="FM", Sheet1!ER345="OTHER"),SUM(Sheet1!BK345:'Sheet1'!BM345),0)</f>
        <v>0</v>
      </c>
      <c r="DB343" s="545">
        <f>IF(AND($B343&gt;=$FV343,$B343&lt;=$FW343),MAX($CT343,Sheet1!EK345,0),MAX($CT343-(7/36)*$K343,0))</f>
        <v>0</v>
      </c>
      <c r="DC343" s="560">
        <f t="shared" si="619"/>
        <v>0</v>
      </c>
      <c r="DD343" s="545">
        <f t="shared" si="620"/>
        <v>6.4228334198235597</v>
      </c>
      <c r="DE343" s="545">
        <f>IF(AND($O343&gt;0,Sheet1!EO345=1),(1-($O343-Sheet1!$L345)/$O343)*CZ343,0)</f>
        <v>0</v>
      </c>
      <c r="DF343" s="545">
        <f>IF(AND(Sheet1!$L345=0,Sheet1!$L344=0, Calculation!CY343&lt;Sheet1!$EK345-0.1,Sheet1!$EK345=Sheet1!$EK344,Sheet1!$EK345=Sheet1!$EK346),Sheet1!$EK345,CZ343-DE343)</f>
        <v>6.4228334198235597</v>
      </c>
      <c r="DG343" s="545"/>
      <c r="DH343" s="560">
        <f t="shared" si="621"/>
        <v>8.9700000000000006</v>
      </c>
      <c r="DI343" s="560">
        <f t="shared" si="622"/>
        <v>0</v>
      </c>
      <c r="DJ343" s="698">
        <f t="shared" si="623"/>
        <v>8.8908666320705763</v>
      </c>
      <c r="DK343" s="560">
        <f ca="1">IF(B343&gt;Summary!$A$1,#N/A,DI343*MGtoAF)</f>
        <v>0</v>
      </c>
      <c r="DL343" s="698">
        <f t="shared" si="624"/>
        <v>8.9700000000000006</v>
      </c>
      <c r="DM343" s="560">
        <f t="shared" si="625"/>
        <v>19.270000000000003</v>
      </c>
      <c r="DN343" s="560">
        <f>Sheet1!AB345-DM343</f>
        <v>-0.17000000000000171</v>
      </c>
      <c r="DO343" s="560">
        <f t="shared" si="626"/>
        <v>-8.8220031136482455E-3</v>
      </c>
      <c r="DP343" s="560">
        <f>(VLOOKUP(Sheet1!DC345,hhdcap_wcm,4)-(((VLOOKUP(Sheet1!DC345,hhdcap_wcm,3)-Sheet1!DC345)/(VLOOKUP(Sheet1!DC345,hhdcap_wcm,3)-VLOOKUP(Sheet1!DC345,hhdcap_wcm,1)))*(VLOOKUP(Sheet1!DC345,hhdcap_wcm,4)-VLOOKUP(Sheet1!DC345,hhdcap_wcm,2))))</f>
        <v>2287.0000000057298</v>
      </c>
      <c r="DQ343" s="560">
        <f t="shared" si="627"/>
        <v>-4287.0000000083146</v>
      </c>
      <c r="DR343" s="560">
        <f t="shared" si="628"/>
        <v>-2161.8759455412578</v>
      </c>
      <c r="DS343" s="560">
        <f>Sheet1!EA345*AFtoMG</f>
        <v>0</v>
      </c>
      <c r="DT343" s="560">
        <f>Sheet1!EB345*AFtoMG</f>
        <v>0</v>
      </c>
      <c r="DU343" s="560">
        <f>Sheet1!EC345*AFtoMG</f>
        <v>0</v>
      </c>
      <c r="DV343" s="560">
        <f>Sheet1!ED345*AFtoMG</f>
        <v>0</v>
      </c>
      <c r="DW343" s="560">
        <f t="shared" si="629"/>
        <v>0</v>
      </c>
      <c r="DX343" s="560">
        <f t="shared" si="630"/>
        <v>0</v>
      </c>
      <c r="DY343" s="560">
        <f t="shared" si="631"/>
        <v>0</v>
      </c>
      <c r="DZ343" s="560">
        <f t="shared" si="632"/>
        <v>0</v>
      </c>
      <c r="EA343" s="560"/>
      <c r="EB343" s="545">
        <f>IF(OR(B343&lt;FV343,B343&gt;FW343),(MIN(BF343+BY343+CT343+MAX(Sheet1!AA345+AQ343-73,0),K343)),0)</f>
        <v>8.8908666320705763</v>
      </c>
      <c r="EC343" s="560"/>
      <c r="ED343" s="560">
        <f t="shared" si="633"/>
        <v>8.8908666320705763</v>
      </c>
      <c r="EE343" s="560"/>
      <c r="EF343" s="560">
        <f>Sheet1!EH345+Sheet1!EI345+Sheet1!EJ345+Sheet1!EK345</f>
        <v>9</v>
      </c>
      <c r="EG343" s="560"/>
      <c r="EH343" s="545">
        <f t="shared" si="634"/>
        <v>0</v>
      </c>
      <c r="EI343" s="560">
        <f>IF(Sheet1!ET345=1,SUM('Calculations II'!AT343:BA343)+'Calculations II'!BC343+Sheet1!BV345+'Calculations II'!BE343+AP343,SUM('Calculations II'!AT343:BA343)+'Calculations II'!BC343+Sheet1!BV345+'Calculations II'!BE343+AP343)</f>
        <v>44.239519999999999</v>
      </c>
      <c r="EJ343" s="560">
        <f>Sheet1!AA345+Sheet1!AB345+'Calculations II'!BC343</f>
        <v>48.633904000000001</v>
      </c>
      <c r="EK343" s="560"/>
      <c r="EL343" s="560"/>
      <c r="EM343" s="560">
        <f t="shared" si="635"/>
        <v>41971</v>
      </c>
      <c r="EN343" s="560">
        <f t="shared" si="636"/>
        <v>0</v>
      </c>
      <c r="EO343" s="560">
        <f t="shared" si="637"/>
        <v>0</v>
      </c>
      <c r="EP343" s="560">
        <v>0</v>
      </c>
      <c r="EQ343" s="560">
        <v>0</v>
      </c>
      <c r="ER343" s="560">
        <v>0</v>
      </c>
      <c r="ES343" s="545">
        <f t="shared" si="660"/>
        <v>-0.69296868413927415</v>
      </c>
      <c r="ET343" s="560">
        <f>-(VLOOKUP(Sheet1!BQ345,Lookup!$O$4:$Q$262,2)-VLOOKUP(Sheet1!BQ344,Lookup!$O$4:$Q$262,2))/1000000</f>
        <v>-0.41576197808093951</v>
      </c>
      <c r="EU343" s="560">
        <f>-(VLOOKUP(Sheet1!BR345,Lookup!$O$4:$Q$262,3)-VLOOKUP(Sheet1!BR344,Lookup!$O$4:$Q$262,3))/1000000</f>
        <v>-0.27720670605833458</v>
      </c>
      <c r="EV343" s="560"/>
      <c r="EW343" s="560"/>
      <c r="EX343" s="560"/>
      <c r="EY343" s="560"/>
      <c r="EZ343" s="560"/>
      <c r="FA343" s="560"/>
      <c r="FB343" s="560"/>
      <c r="FC343" s="560"/>
      <c r="FD343" s="594">
        <f t="shared" si="638"/>
        <v>1073.2899999999806</v>
      </c>
      <c r="FE343" s="594" t="e">
        <f t="shared" si="639"/>
        <v>#N/A</v>
      </c>
      <c r="FF343" s="595" t="e">
        <f t="shared" si="640"/>
        <v>#N/A</v>
      </c>
      <c r="FG343" s="596" t="s">
        <v>692</v>
      </c>
      <c r="FH343" s="596" t="s">
        <v>692</v>
      </c>
      <c r="FI343" s="594" t="e">
        <v>#N/A</v>
      </c>
      <c r="FJ343" s="778">
        <v>180</v>
      </c>
      <c r="FK343" s="560"/>
      <c r="FL343" s="560"/>
      <c r="FM343" s="560"/>
      <c r="FN343" s="560"/>
      <c r="FO343" s="560">
        <f>O343+((Sheet1!CS345)*GPMtoMGD)</f>
        <v>48.633904000000001</v>
      </c>
      <c r="FP343" s="560">
        <f>IF(Sheet1!AA345+AQ343&lt;=Calculation!N343,AQ343,Calculation!N343-Sheet1!AA345)</f>
        <v>9.2179553710430717</v>
      </c>
      <c r="FQ343" s="560">
        <f>(Sheet1!BP345+Sheet1!BO345)/694.4</f>
        <v>0</v>
      </c>
      <c r="FR343" s="560"/>
      <c r="FS343" s="560"/>
      <c r="FT343" s="560"/>
      <c r="FU343" s="560"/>
      <c r="FV343" s="695">
        <f t="shared" si="661"/>
        <v>41827</v>
      </c>
      <c r="FW343" s="695">
        <f t="shared" si="662"/>
        <v>41934</v>
      </c>
      <c r="FX343" s="560"/>
      <c r="FY343" s="560"/>
      <c r="FZ343" s="560"/>
      <c r="GA343" s="560"/>
      <c r="GB343" s="560" t="str">
        <f t="shared" si="663"/>
        <v>n</v>
      </c>
      <c r="GC343" s="564">
        <f t="shared" si="664"/>
        <v>41691</v>
      </c>
      <c r="GD343" s="695">
        <f t="shared" si="665"/>
        <v>41807</v>
      </c>
      <c r="GE343" s="560">
        <v>6518.9</v>
      </c>
      <c r="GF343" s="695">
        <f t="shared" si="666"/>
        <v>41808</v>
      </c>
      <c r="GG343" s="560">
        <f t="shared" si="686"/>
        <v>3259</v>
      </c>
      <c r="GH343" s="564">
        <f t="shared" si="667"/>
        <v>41934</v>
      </c>
      <c r="GJ343" s="545">
        <f t="shared" si="668"/>
        <v>0</v>
      </c>
      <c r="GK343" s="560" t="str">
        <f t="shared" si="641"/>
        <v/>
      </c>
      <c r="GL343" s="560">
        <f t="shared" si="669"/>
        <v>0</v>
      </c>
      <c r="GM343" s="560" t="str">
        <f t="shared" si="670"/>
        <v/>
      </c>
      <c r="GN343" s="560">
        <f>IF(GK343="P",Lookup!$M$12,IF(GK343="PP",Lookup!$M$13,IF(GK343="PPP",Lookup!$M$14,IF(GK343="T",Lookup!$M$15,IF(GK343="TP",Lookup!$M$16,IF(GK343="TPP",Lookup!$M$17,IF(GK343="TPPP",Lookup!$M$18,0)))))))*GJ343</f>
        <v>0</v>
      </c>
      <c r="GO343" s="560">
        <f t="shared" si="671"/>
        <v>0</v>
      </c>
      <c r="GP343" s="560">
        <f t="shared" si="642"/>
        <v>0</v>
      </c>
      <c r="GQ343" s="560">
        <f t="shared" si="679"/>
        <v>0</v>
      </c>
      <c r="GR343" s="560"/>
      <c r="GS343" s="560">
        <f t="shared" si="672"/>
        <v>0</v>
      </c>
      <c r="GT343" s="560" t="str">
        <f t="shared" si="673"/>
        <v/>
      </c>
      <c r="GU343" s="560">
        <f>IF(GK343="P",Lookup!$N$12,IF(GK343="PP",Lookup!$N$13,IF(GK343="PPP",Lookup!$N$14,IF(GK343="T",Lookup!$N$15,IF(GK343="TP",Lookup!$N$16,IF(GK343="TPP",Lookup!$N$17,IF(GK343="TPPP",Lookup!$N$18,0)))))))*GJ343</f>
        <v>0</v>
      </c>
      <c r="GV343" s="560">
        <f t="shared" si="674"/>
        <v>0</v>
      </c>
      <c r="GW343" s="560">
        <f t="shared" si="643"/>
        <v>0</v>
      </c>
      <c r="GX343" s="560">
        <f t="shared" si="680"/>
        <v>0</v>
      </c>
      <c r="GY343" s="560"/>
      <c r="GZ343" s="560">
        <f t="shared" si="675"/>
        <v>0</v>
      </c>
      <c r="HA343" s="560" t="str">
        <f t="shared" si="676"/>
        <v/>
      </c>
      <c r="HB343" s="560">
        <f>IF(GK343="P",Lookup!$N$12,IF(GK343="PP",Lookup!$N$13,IF(GK343="PPP",Lookup!$N$14,IF(GK343="T",Lookup!$N$15,IF(GK343="TP",Lookup!$N$16,IF(GK343="TPP",Lookup!$N$17,IF(GK343="TPPP",Lookup!$N$18,0)))))))*GJ343</f>
        <v>0</v>
      </c>
      <c r="HC343" s="545">
        <f t="shared" si="644"/>
        <v>0</v>
      </c>
      <c r="HD343" s="560">
        <f t="shared" si="645"/>
        <v>0</v>
      </c>
      <c r="HE343" s="560">
        <f t="shared" si="681"/>
        <v>0</v>
      </c>
      <c r="HF343" s="560"/>
      <c r="HG343" s="560">
        <f t="shared" si="677"/>
        <v>0</v>
      </c>
      <c r="HH343" s="560" t="str">
        <f t="shared" si="678"/>
        <v/>
      </c>
      <c r="HI343" s="560">
        <f>IF(GK343="P",Lookup!$N$12,IF(GK343="PP",Lookup!$N$13,IF(GK343="PPP",Lookup!$N$14,IF(GK343="T",Lookup!$N$15,IF(GK343="TP",Lookup!$N$16,IF(GK343="TPP",Lookup!$N$17,IF(GK343="TPPP",Lookup!$N$18,0)))))))*GJ343</f>
        <v>0</v>
      </c>
      <c r="HJ343" s="545">
        <f t="shared" si="646"/>
        <v>0</v>
      </c>
      <c r="HK343" s="560">
        <f t="shared" si="647"/>
        <v>0</v>
      </c>
      <c r="HL343" s="560">
        <f t="shared" si="682"/>
        <v>0</v>
      </c>
    </row>
    <row r="344" spans="1:220">
      <c r="A344" s="580" t="s">
        <v>9</v>
      </c>
      <c r="B344" s="556">
        <v>41972</v>
      </c>
      <c r="C344" s="561">
        <v>0</v>
      </c>
      <c r="D344" s="529">
        <f t="shared" si="684"/>
        <v>300</v>
      </c>
      <c r="E344" s="529">
        <f t="shared" si="685"/>
        <v>250</v>
      </c>
      <c r="F344" s="529">
        <v>250</v>
      </c>
      <c r="G344" s="560">
        <f>DR344+Sheet1!CZ346</f>
        <v>1183.3131618743771</v>
      </c>
      <c r="H344" s="914">
        <f t="shared" si="650"/>
        <v>497.93042783559736</v>
      </c>
      <c r="I344" s="559">
        <f>MAX(Sheet1!Z346-AT344+(Sheet1!DA346-E344)*CFStoMGD,0)</f>
        <v>1796.6999999999998</v>
      </c>
      <c r="J344" s="562">
        <f>IF(AND(B344&gt;=Calculation!GC344,B344&lt;=Calculation!GD344),IF(Sheet1!DB346&gt;=Calculation!D344,64.64,0),MAX(Sheet1!Z346-AT344+(Sheet1!DB346-D344)*CFStoMGD,0))</f>
        <v>1150.3</v>
      </c>
      <c r="K344" s="904">
        <f t="shared" si="583"/>
        <v>64.64</v>
      </c>
      <c r="L344" s="560">
        <f>Sheet1!AA346+Sheet1!AB346-Sheet1!L346+(Sheet1!DA346-F344)*CFStoMGD</f>
        <v>1777.1599999999983</v>
      </c>
      <c r="M344" s="560">
        <f t="shared" si="584"/>
        <v>780.19150039230931</v>
      </c>
      <c r="N344" s="910">
        <f>IF(Sheet1!DA346&gt;=F344,MIN(73,MIN(MAX(L344,0),MAX(M344,0))),0)</f>
        <v>73</v>
      </c>
      <c r="O344" s="563">
        <f>Sheet1!AA346+Sheet1!AB346</f>
        <v>38.89</v>
      </c>
      <c r="P344" s="563">
        <f t="shared" si="585"/>
        <v>60.16283</v>
      </c>
      <c r="Q344" s="898">
        <f t="shared" si="651"/>
        <v>0</v>
      </c>
      <c r="R344" s="829">
        <f t="shared" si="586"/>
        <v>8.8820588235294125</v>
      </c>
      <c r="S344" s="898">
        <f t="shared" si="683"/>
        <v>38.89</v>
      </c>
      <c r="T344" s="898">
        <f t="shared" si="652"/>
        <v>0</v>
      </c>
      <c r="U344" s="898">
        <f t="shared" si="653"/>
        <v>0</v>
      </c>
      <c r="V344" s="898"/>
      <c r="W344" s="898">
        <f t="shared" si="654"/>
        <v>55.757941176470588</v>
      </c>
      <c r="X344" s="898">
        <f t="shared" si="655"/>
        <v>38.89</v>
      </c>
      <c r="Y344" s="898" t="str">
        <f t="shared" si="656"/>
        <v/>
      </c>
      <c r="Z344" s="898">
        <f t="shared" si="657"/>
        <v>38.89</v>
      </c>
      <c r="AA344" s="898">
        <f t="shared" si="658"/>
        <v>38.89</v>
      </c>
      <c r="AB344" s="898" t="str">
        <f t="shared" si="659"/>
        <v/>
      </c>
      <c r="AC344" s="563">
        <f>Sheet1!Y346*MGDtoCFS</f>
        <v>30.475899999999996</v>
      </c>
      <c r="AD344" s="563">
        <f>Sheet1!Z346*MGDtoCFS</f>
        <v>29.547700000000003</v>
      </c>
      <c r="AE344" s="563">
        <f>Sheet1!AA346*MGDtoCFS</f>
        <v>30.475899999999996</v>
      </c>
      <c r="AF344" s="563">
        <f>Sheet1!AB346*MGDtoCFS</f>
        <v>29.68693</v>
      </c>
      <c r="AG344" s="563">
        <f>Sheet1!L346*MGDtoCFS</f>
        <v>60.843510000002702</v>
      </c>
      <c r="AH344" s="545">
        <f t="shared" si="587"/>
        <v>0</v>
      </c>
      <c r="AI344" s="560">
        <f t="shared" si="588"/>
        <v>0</v>
      </c>
      <c r="AJ344" s="560">
        <f t="shared" si="589"/>
        <v>0</v>
      </c>
      <c r="AK344" s="560">
        <f t="shared" si="590"/>
        <v>0</v>
      </c>
      <c r="AL344" s="560">
        <f>(VLOOKUP(Sheet1!DC346,hhdcap_wcm,4)-(((VLOOKUP(Sheet1!DC346,hhdcap_wcm,3)-Sheet1!DC346)/(VLOOKUP(Sheet1!DC346,hhdcap_wcm,3)-VLOOKUP(Sheet1!DC346,hhdcap_wcm,1)))*(VLOOKUP(Sheet1!DC346,hhdcap_wcm,4)-VLOOKUP(Sheet1!DC346,hhdcap_wcm,2))))</f>
        <v>727.00000000261934</v>
      </c>
      <c r="AM344" s="560">
        <f t="shared" si="591"/>
        <v>-1560.0000000031105</v>
      </c>
      <c r="AN344" s="560">
        <f t="shared" si="592"/>
        <v>0</v>
      </c>
      <c r="AO344" s="560">
        <f t="shared" si="593"/>
        <v>0</v>
      </c>
      <c r="AP344" s="560">
        <f>Sheet1!BA346+Sheet1!BB346+Sheet1!BN346+CD344</f>
        <v>10.41</v>
      </c>
      <c r="AQ344" s="560">
        <f>Sheet1!BN346+(DO344*Sheet1!BN346)</f>
        <v>9.3078431372549009</v>
      </c>
      <c r="AR344" s="560">
        <f>Sheet1!BA346+CD344</f>
        <v>0</v>
      </c>
      <c r="AS344" s="560">
        <f>Sheet1!BA346+Sheet1!BB346+CD344</f>
        <v>1.01</v>
      </c>
      <c r="AT344" s="698">
        <f>0</f>
        <v>0</v>
      </c>
      <c r="AU344" s="560">
        <f>IF(EB344&lt;K344,0,MAX(Sheet1!AA346+AQ344-15/36*K344-N344,Sheet1!EH346,0))</f>
        <v>0</v>
      </c>
      <c r="AV344" s="560">
        <f>IF(OR(B344&gt;=GD344,B344&lt;GC344),0,15/36*K344-MAX(0,64.6-(137.6-(Sheet1!AA346+Sheet1!AB346))))</f>
        <v>0</v>
      </c>
      <c r="AW344" s="698">
        <f>Sheet1!DB346-110</f>
        <v>1940</v>
      </c>
      <c r="AX344" s="698">
        <f>Sheet1!DA346-265</f>
        <v>2735</v>
      </c>
      <c r="AY344" s="698">
        <f t="shared" si="594"/>
        <v>73</v>
      </c>
      <c r="AZ344" s="698">
        <v>0</v>
      </c>
      <c r="BA344" s="698">
        <f t="shared" si="595"/>
        <v>0</v>
      </c>
      <c r="BB344" s="560">
        <f t="shared" si="596"/>
        <v>0</v>
      </c>
      <c r="BC344" s="560"/>
      <c r="BD344" s="560">
        <f ca="1">IF(B344&gt;Summary!$A$1,#N/A,BB344*MGtoAF)</f>
        <v>0</v>
      </c>
      <c r="BE344" s="560">
        <f>Sheet1!BG346+Sheet1!BH346+Sheet1!BI346-BM344</f>
        <v>0</v>
      </c>
      <c r="BF344" s="560">
        <f t="shared" si="597"/>
        <v>0</v>
      </c>
      <c r="BG344" s="560">
        <f>IF(Sheet1!EP346="FM",BM344,0)</f>
        <v>0</v>
      </c>
      <c r="BH344" s="560">
        <f t="shared" si="598"/>
        <v>0</v>
      </c>
      <c r="BI344" s="560">
        <f>IF(Sheet1!EP346="OTHER",BM344,0)</f>
        <v>0</v>
      </c>
      <c r="BJ344" s="560">
        <f t="shared" si="599"/>
        <v>0</v>
      </c>
      <c r="BK344" s="560">
        <f t="shared" si="600"/>
        <v>0</v>
      </c>
      <c r="BL344" s="560">
        <f t="shared" si="601"/>
        <v>0</v>
      </c>
      <c r="BM344" s="560">
        <f>IF(OR(Sheet1!EP346="FM", Sheet1!EP346="OTHER"),SUM(Sheet1!BG346:'Sheet1'!BI346),0)</f>
        <v>0</v>
      </c>
      <c r="BN344" s="545">
        <f>IF(AND($B344&gt;=$FV344,$B344&lt;=$FW344),MAX(BF344,Sheet1!EI346,0),MAX(BF344-(7/36)*$K344,0))</f>
        <v>0</v>
      </c>
      <c r="BO344" s="560">
        <f t="shared" si="602"/>
        <v>0</v>
      </c>
      <c r="BP344" s="545">
        <f t="shared" si="603"/>
        <v>0</v>
      </c>
      <c r="BQ344" s="545">
        <f>IF(AND($O344&gt;0,Sheet1!EM346=1),(1-($O344-Sheet1!$L346)/$O344)*BL344,0)</f>
        <v>0</v>
      </c>
      <c r="BR344" s="545">
        <f>IF(AND(Sheet1!$L346=0,Sheet1!$L345=0, Calculation!BK344&lt;Sheet1!$EI346-0.1,Sheet1!$EI346=Sheet1!$EI345,Sheet1!$EI346=Sheet1!$EI347),Sheet1!$EI346,BL344-BQ344)</f>
        <v>0</v>
      </c>
      <c r="BS344" s="560"/>
      <c r="BT344" s="560"/>
      <c r="BU344" s="560">
        <f t="shared" si="604"/>
        <v>0</v>
      </c>
      <c r="BV344" s="560"/>
      <c r="BW344" s="560">
        <f ca="1">IF(B344&gt;Summary!$A$1,#N/A,BU344*MGtoAF)</f>
        <v>0</v>
      </c>
      <c r="BX344" s="560">
        <f>Sheet1!BC346+Sheet1!BD346+Sheet1!BE346+Sheet1!BF346-CG344-CH344</f>
        <v>2.4900000000000002</v>
      </c>
      <c r="BY344" s="560">
        <f t="shared" si="605"/>
        <v>2.4655882352941179</v>
      </c>
      <c r="BZ344" s="560">
        <f>IF(Sheet1!EQ346="FM",CH344,0)</f>
        <v>0</v>
      </c>
      <c r="CA344" s="560">
        <f t="shared" si="606"/>
        <v>0</v>
      </c>
      <c r="CB344" s="560">
        <f>IF(Sheet1!EQ346="OTHER",CH344,0)</f>
        <v>0</v>
      </c>
      <c r="CC344" s="560">
        <f t="shared" si="607"/>
        <v>0</v>
      </c>
      <c r="CD344" s="560">
        <f t="shared" si="608"/>
        <v>0</v>
      </c>
      <c r="CE344" s="560">
        <f t="shared" si="609"/>
        <v>2.4900000000000002</v>
      </c>
      <c r="CF344" s="560">
        <f t="shared" si="610"/>
        <v>2.4655882352941179</v>
      </c>
      <c r="CG344" s="560">
        <f>IF(Sheet1!EQ346="CWA",SUM(Sheet1!BC346:'Sheet1'!BF346),0)</f>
        <v>0</v>
      </c>
      <c r="CH344" s="560">
        <f>IF(OR(Sheet1!EQ346="FM", Sheet1!EQ346="OTHER"),SUM(Sheet1!BC346:'Sheet1'!BF346),0)</f>
        <v>0</v>
      </c>
      <c r="CI344" s="545">
        <f>IF(AND($B344&gt;=$FV344,$B344&lt;=$FW344),MAX(CF344,Sheet1!EJ346,0),MAX(CF344-(7/36)*$K344,0))</f>
        <v>0</v>
      </c>
      <c r="CJ344" s="560">
        <f t="shared" si="611"/>
        <v>0</v>
      </c>
      <c r="CK344" s="545">
        <f t="shared" si="612"/>
        <v>2.4655882352941179</v>
      </c>
      <c r="CL344" s="545">
        <f>IF(AND($O344&gt;0,Sheet1!EN346=1),(1-($O344-Sheet1!$L346)/$O344)*CF344,0)</f>
        <v>0</v>
      </c>
      <c r="CM344" s="545">
        <f>IF(AND(Sheet1!$L346=0,Sheet1!$L345=0, Calculation!CE344&lt;Sheet1!EJ346-0.1,Sheet1!EJ346=Sheet1!EJ345,Sheet1!EJ346=Sheet1!EJ347),Sheet1!EJ346,CF344-CL344)</f>
        <v>2.4655882352941179</v>
      </c>
      <c r="CN344" s="545"/>
      <c r="CO344" s="560"/>
      <c r="CP344" s="560">
        <f t="shared" si="613"/>
        <v>0</v>
      </c>
      <c r="CQ344" s="560"/>
      <c r="CR344" s="560">
        <f ca="1">IF(B344&gt;Summary!$A$1,#N/A,CP344*MGtoAF)</f>
        <v>0</v>
      </c>
      <c r="CS344" s="560">
        <f>Sheet1!BK346+Sheet1!BL346+Sheet1!BM346-Sheet1!ER346-DA344</f>
        <v>6.48</v>
      </c>
      <c r="CT344" s="560">
        <f t="shared" si="614"/>
        <v>6.4164705882352937</v>
      </c>
      <c r="CU344" s="560">
        <f>IF(Sheet1!ER346="FM",DA344,0)</f>
        <v>0</v>
      </c>
      <c r="CV344" s="560">
        <f t="shared" si="615"/>
        <v>0</v>
      </c>
      <c r="CW344" s="560">
        <f>IF(Sheet1!ER346="OTHER",DA344,0)</f>
        <v>0</v>
      </c>
      <c r="CX344" s="560">
        <f t="shared" si="616"/>
        <v>0</v>
      </c>
      <c r="CY344" s="560">
        <f t="shared" si="617"/>
        <v>6.48</v>
      </c>
      <c r="CZ344" s="560">
        <f t="shared" si="618"/>
        <v>6.4164705882352937</v>
      </c>
      <c r="DA344" s="560">
        <f>IF(OR(Sheet1!ER346="FM", Sheet1!ER346="OTHER"),SUM(Sheet1!BK346:'Sheet1'!BM346),0)</f>
        <v>0</v>
      </c>
      <c r="DB344" s="545">
        <f>IF(AND($B344&gt;=$FV344,$B344&lt;=$FW344),MAX($CT344,Sheet1!EK346,0),MAX($CT344-(7/36)*$K344,0))</f>
        <v>0</v>
      </c>
      <c r="DC344" s="560">
        <f t="shared" si="619"/>
        <v>0</v>
      </c>
      <c r="DD344" s="545">
        <f t="shared" si="620"/>
        <v>6.4164705882352937</v>
      </c>
      <c r="DE344" s="545">
        <f>IF(AND($O344&gt;0,Sheet1!EO346=1),(1-($O344-Sheet1!$L346)/$O344)*CZ344,0)</f>
        <v>0</v>
      </c>
      <c r="DF344" s="545">
        <f>IF(AND(Sheet1!$L346=0,Sheet1!$L345=0, Calculation!CY344&lt;Sheet1!$EK346-0.1,Sheet1!$EK346=Sheet1!$EK345,Sheet1!$EK346=Sheet1!$EK347),Sheet1!$EK346,CZ344-DE344)</f>
        <v>6.4164705882352937</v>
      </c>
      <c r="DG344" s="545"/>
      <c r="DH344" s="560">
        <f t="shared" si="621"/>
        <v>8.9700000000000006</v>
      </c>
      <c r="DI344" s="560">
        <f t="shared" si="622"/>
        <v>0</v>
      </c>
      <c r="DJ344" s="698">
        <f t="shared" si="623"/>
        <v>8.8820588235294125</v>
      </c>
      <c r="DK344" s="560">
        <f ca="1">IF(B344&gt;Summary!$A$1,#N/A,DI344*MGtoAF)</f>
        <v>0</v>
      </c>
      <c r="DL344" s="698">
        <f t="shared" si="624"/>
        <v>8.9700000000000006</v>
      </c>
      <c r="DM344" s="560">
        <f t="shared" si="625"/>
        <v>19.380000000000003</v>
      </c>
      <c r="DN344" s="560">
        <f>Sheet1!AB346-DM344</f>
        <v>-0.19000000000000128</v>
      </c>
      <c r="DO344" s="560">
        <f t="shared" si="626"/>
        <v>-9.803921568627515E-3</v>
      </c>
      <c r="DP344" s="560">
        <f>(VLOOKUP(Sheet1!DC346,hhdcap_wcm,4)-(((VLOOKUP(Sheet1!DC346,hhdcap_wcm,3)-Sheet1!DC346)/(VLOOKUP(Sheet1!DC346,hhdcap_wcm,3)-VLOOKUP(Sheet1!DC346,hhdcap_wcm,1)))*(VLOOKUP(Sheet1!DC346,hhdcap_wcm,4)-VLOOKUP(Sheet1!DC346,hhdcap_wcm,2))))</f>
        <v>727.00000000261934</v>
      </c>
      <c r="DQ344" s="560">
        <f t="shared" si="627"/>
        <v>-1560.0000000031105</v>
      </c>
      <c r="DR344" s="560">
        <f t="shared" si="628"/>
        <v>-786.6868381256229</v>
      </c>
      <c r="DS344" s="560">
        <f>Sheet1!EA346*AFtoMG</f>
        <v>0</v>
      </c>
      <c r="DT344" s="560">
        <f>Sheet1!EB346*AFtoMG</f>
        <v>0</v>
      </c>
      <c r="DU344" s="560">
        <f>Sheet1!EC346*AFtoMG</f>
        <v>0</v>
      </c>
      <c r="DV344" s="560">
        <f>Sheet1!ED346*AFtoMG</f>
        <v>0</v>
      </c>
      <c r="DW344" s="560">
        <f t="shared" si="629"/>
        <v>0</v>
      </c>
      <c r="DX344" s="560">
        <f t="shared" si="630"/>
        <v>0</v>
      </c>
      <c r="DY344" s="560">
        <f t="shared" si="631"/>
        <v>0</v>
      </c>
      <c r="DZ344" s="560">
        <f t="shared" si="632"/>
        <v>0</v>
      </c>
      <c r="EA344" s="560"/>
      <c r="EB344" s="545">
        <f>IF(OR(B344&lt;FV344,B344&gt;FW344),(MIN(BF344+BY344+CT344+MAX(Sheet1!AA346+AQ344-73,0),K344)),0)</f>
        <v>8.8820588235294125</v>
      </c>
      <c r="EC344" s="560"/>
      <c r="ED344" s="560">
        <f t="shared" si="633"/>
        <v>8.8820588235294125</v>
      </c>
      <c r="EE344" s="560"/>
      <c r="EF344" s="560">
        <f>Sheet1!EH346+Sheet1!EI346+Sheet1!EJ346+Sheet1!EK346</f>
        <v>9</v>
      </c>
      <c r="EG344" s="560"/>
      <c r="EH344" s="545">
        <f t="shared" si="634"/>
        <v>0</v>
      </c>
      <c r="EI344" s="560">
        <f>IF(Sheet1!ET346=1,SUM('Calculations II'!AT344:BA344)+'Calculations II'!BC344+Sheet1!BV346+'Calculations II'!BE344+AP344,SUM('Calculations II'!AT344:BA344)+'Calculations II'!BC344+Sheet1!BV346+'Calculations II'!BE344+AP344)</f>
        <v>45.912896000000003</v>
      </c>
      <c r="EJ344" s="560">
        <f>Sheet1!AA346+Sheet1!AB346+'Calculations II'!BC344</f>
        <v>48.748384000000001</v>
      </c>
      <c r="EK344" s="560"/>
      <c r="EL344" s="560"/>
      <c r="EM344" s="560">
        <f t="shared" si="635"/>
        <v>41972</v>
      </c>
      <c r="EN344" s="560">
        <f t="shared" si="636"/>
        <v>0</v>
      </c>
      <c r="EO344" s="560">
        <f t="shared" si="637"/>
        <v>0</v>
      </c>
      <c r="EP344" s="560">
        <v>0</v>
      </c>
      <c r="EQ344" s="560">
        <v>0</v>
      </c>
      <c r="ER344" s="560">
        <v>0</v>
      </c>
      <c r="ES344" s="545">
        <f t="shared" si="660"/>
        <v>0.97013692583575095</v>
      </c>
      <c r="ET344" s="560">
        <f>-(VLOOKUP(Sheet1!BQ346,Lookup!$O$4:$Q$262,2)-VLOOKUP(Sheet1!BQ345,Lookup!$O$4:$Q$262,2))/1000000</f>
        <v>0.55433648309736694</v>
      </c>
      <c r="EU344" s="560">
        <f>-(VLOOKUP(Sheet1!BR346,Lookup!$O$4:$Q$262,3)-VLOOKUP(Sheet1!BR345,Lookup!$O$4:$Q$262,3))/1000000</f>
        <v>0.41580044273838401</v>
      </c>
      <c r="EV344" s="560"/>
      <c r="EW344" s="560"/>
      <c r="EX344" s="560"/>
      <c r="EY344" s="560"/>
      <c r="EZ344" s="560"/>
      <c r="FA344" s="560"/>
      <c r="FB344" s="560"/>
      <c r="FC344" s="560"/>
      <c r="FD344" s="594">
        <f t="shared" si="638"/>
        <v>1072.2624999999816</v>
      </c>
      <c r="FE344" s="594" t="e">
        <f t="shared" si="639"/>
        <v>#N/A</v>
      </c>
      <c r="FF344" s="595" t="e">
        <f t="shared" si="640"/>
        <v>#N/A</v>
      </c>
      <c r="FG344" s="596" t="s">
        <v>692</v>
      </c>
      <c r="FH344" s="596" t="s">
        <v>692</v>
      </c>
      <c r="FI344" s="594" t="e">
        <v>#N/A</v>
      </c>
      <c r="FJ344" s="778">
        <v>90</v>
      </c>
      <c r="FK344" s="560"/>
      <c r="FL344" s="560"/>
      <c r="FM344" s="560"/>
      <c r="FN344" s="560"/>
      <c r="FO344" s="560">
        <f>O344+((Sheet1!CS346)*GPMtoMGD)</f>
        <v>48.748384000000001</v>
      </c>
      <c r="FP344" s="560">
        <f>IF(Sheet1!AA346+AQ344&lt;=Calculation!N344,AQ344,Calculation!N344-Sheet1!AA346)</f>
        <v>9.3078431372549009</v>
      </c>
      <c r="FQ344" s="560">
        <f>(Sheet1!BP346+Sheet1!BO346)/694.4</f>
        <v>2.0208813364055298</v>
      </c>
      <c r="FR344" s="560"/>
      <c r="FS344" s="560"/>
      <c r="FT344" s="560"/>
      <c r="FU344" s="560"/>
      <c r="FV344" s="695">
        <f t="shared" si="661"/>
        <v>41827</v>
      </c>
      <c r="FW344" s="695">
        <f t="shared" si="662"/>
        <v>41934</v>
      </c>
      <c r="FX344" s="560"/>
      <c r="FY344" s="560"/>
      <c r="FZ344" s="560"/>
      <c r="GA344" s="560"/>
      <c r="GB344" s="560" t="str">
        <f t="shared" si="663"/>
        <v>n</v>
      </c>
      <c r="GC344" s="564">
        <f t="shared" si="664"/>
        <v>41691</v>
      </c>
      <c r="GD344" s="695">
        <f t="shared" si="665"/>
        <v>41807</v>
      </c>
      <c r="GE344" s="560">
        <v>6518.9</v>
      </c>
      <c r="GF344" s="695">
        <f t="shared" si="666"/>
        <v>41808</v>
      </c>
      <c r="GG344" s="560">
        <f t="shared" si="686"/>
        <v>3259</v>
      </c>
      <c r="GH344" s="564">
        <f t="shared" si="667"/>
        <v>41934</v>
      </c>
      <c r="GJ344" s="545">
        <f t="shared" si="668"/>
        <v>0</v>
      </c>
      <c r="GK344" s="560" t="str">
        <f t="shared" si="641"/>
        <v/>
      </c>
      <c r="GL344" s="560">
        <f t="shared" si="669"/>
        <v>0</v>
      </c>
      <c r="GM344" s="560" t="str">
        <f t="shared" si="670"/>
        <v/>
      </c>
      <c r="GN344" s="560">
        <f>IF(GK344="P",Lookup!$M$12,IF(GK344="PP",Lookup!$M$13,IF(GK344="PPP",Lookup!$M$14,IF(GK344="T",Lookup!$M$15,IF(GK344="TP",Lookup!$M$16,IF(GK344="TPP",Lookup!$M$17,IF(GK344="TPPP",Lookup!$M$18,0)))))))*GJ344</f>
        <v>0</v>
      </c>
      <c r="GO344" s="560">
        <f t="shared" si="671"/>
        <v>0</v>
      </c>
      <c r="GP344" s="560">
        <f t="shared" si="642"/>
        <v>0</v>
      </c>
      <c r="GQ344" s="560">
        <f t="shared" si="679"/>
        <v>0</v>
      </c>
      <c r="GR344" s="560"/>
      <c r="GS344" s="560">
        <f t="shared" si="672"/>
        <v>0</v>
      </c>
      <c r="GT344" s="560" t="str">
        <f t="shared" si="673"/>
        <v/>
      </c>
      <c r="GU344" s="560">
        <f>IF(GK344="P",Lookup!$N$12,IF(GK344="PP",Lookup!$N$13,IF(GK344="PPP",Lookup!$N$14,IF(GK344="T",Lookup!$N$15,IF(GK344="TP",Lookup!$N$16,IF(GK344="TPP",Lookup!$N$17,IF(GK344="TPPP",Lookup!$N$18,0)))))))*GJ344</f>
        <v>0</v>
      </c>
      <c r="GV344" s="560">
        <f t="shared" si="674"/>
        <v>0</v>
      </c>
      <c r="GW344" s="560">
        <f t="shared" si="643"/>
        <v>0</v>
      </c>
      <c r="GX344" s="560">
        <f t="shared" si="680"/>
        <v>0</v>
      </c>
      <c r="GY344" s="560"/>
      <c r="GZ344" s="560">
        <f t="shared" si="675"/>
        <v>0</v>
      </c>
      <c r="HA344" s="560" t="str">
        <f t="shared" si="676"/>
        <v/>
      </c>
      <c r="HB344" s="560">
        <f>IF(GK344="P",Lookup!$N$12,IF(GK344="PP",Lookup!$N$13,IF(GK344="PPP",Lookup!$N$14,IF(GK344="T",Lookup!$N$15,IF(GK344="TP",Lookup!$N$16,IF(GK344="TPP",Lookup!$N$17,IF(GK344="TPPP",Lookup!$N$18,0)))))))*GJ344</f>
        <v>0</v>
      </c>
      <c r="HC344" s="545">
        <f t="shared" si="644"/>
        <v>0</v>
      </c>
      <c r="HD344" s="560">
        <f t="shared" si="645"/>
        <v>0</v>
      </c>
      <c r="HE344" s="560">
        <f t="shared" si="681"/>
        <v>0</v>
      </c>
      <c r="HF344" s="560"/>
      <c r="HG344" s="560">
        <f t="shared" si="677"/>
        <v>0</v>
      </c>
      <c r="HH344" s="560" t="str">
        <f t="shared" si="678"/>
        <v/>
      </c>
      <c r="HI344" s="560">
        <f>IF(GK344="P",Lookup!$N$12,IF(GK344="PP",Lookup!$N$13,IF(GK344="PPP",Lookup!$N$14,IF(GK344="T",Lookup!$N$15,IF(GK344="TP",Lookup!$N$16,IF(GK344="TPP",Lookup!$N$17,IF(GK344="TPPP",Lookup!$N$18,0)))))))*GJ344</f>
        <v>0</v>
      </c>
      <c r="HJ344" s="545">
        <f t="shared" si="646"/>
        <v>0</v>
      </c>
      <c r="HK344" s="560">
        <f t="shared" si="647"/>
        <v>0</v>
      </c>
      <c r="HL344" s="560">
        <f t="shared" si="682"/>
        <v>0</v>
      </c>
    </row>
    <row r="345" spans="1:220">
      <c r="A345" s="580" t="s">
        <v>3</v>
      </c>
      <c r="B345" s="556">
        <v>41973</v>
      </c>
      <c r="C345" s="561">
        <v>0</v>
      </c>
      <c r="D345" s="529">
        <f t="shared" si="684"/>
        <v>300</v>
      </c>
      <c r="E345" s="529">
        <f t="shared" si="685"/>
        <v>250</v>
      </c>
      <c r="F345" s="529">
        <v>250</v>
      </c>
      <c r="G345" s="560">
        <f>DR345+Sheet1!CZ347</f>
        <v>1967.6449823500573</v>
      </c>
      <c r="H345" s="914">
        <f t="shared" si="650"/>
        <v>1004.9225165910769</v>
      </c>
      <c r="I345" s="559">
        <f>MAX(Sheet1!Z347-AT345+(Sheet1!DA347-E345)*CFStoMGD,0)</f>
        <v>1570.55</v>
      </c>
      <c r="J345" s="562">
        <f>IF(AND(B345&gt;=Calculation!GC345,B345&lt;=Calculation!GD345),IF(Sheet1!DB347&gt;=Calculation!D345,64.64,0),MAX(Sheet1!Z347-AT345+(Sheet1!DB347-D345)*CFStoMGD,0))</f>
        <v>1092.2139999999999</v>
      </c>
      <c r="K345" s="904">
        <f t="shared" si="583"/>
        <v>64.64</v>
      </c>
      <c r="L345" s="560">
        <f>Sheet1!AA347+Sheet1!AB347-Sheet1!L347+(Sheet1!DA347-F345)*CFStoMGD</f>
        <v>1550.9999999999995</v>
      </c>
      <c r="M345" s="560">
        <f t="shared" si="584"/>
        <v>1297.3234309228985</v>
      </c>
      <c r="N345" s="910">
        <f>IF(Sheet1!DA347&gt;=F345,MIN(73,MIN(MAX(L345,0),MAX(M345,0))),0)</f>
        <v>73</v>
      </c>
      <c r="O345" s="563">
        <f>Sheet1!AA347+Sheet1!AB347</f>
        <v>38.909999999999997</v>
      </c>
      <c r="P345" s="563">
        <f t="shared" si="585"/>
        <v>60.193770000000001</v>
      </c>
      <c r="Q345" s="898">
        <f t="shared" si="651"/>
        <v>0</v>
      </c>
      <c r="R345" s="829">
        <f t="shared" si="586"/>
        <v>8.8909076763485473</v>
      </c>
      <c r="S345" s="898">
        <f t="shared" si="683"/>
        <v>38.909999999999997</v>
      </c>
      <c r="T345" s="898">
        <f t="shared" si="652"/>
        <v>0</v>
      </c>
      <c r="U345" s="898">
        <f t="shared" si="653"/>
        <v>0</v>
      </c>
      <c r="V345" s="898"/>
      <c r="W345" s="898">
        <f t="shared" si="654"/>
        <v>55.749092323651453</v>
      </c>
      <c r="X345" s="898">
        <f t="shared" si="655"/>
        <v>38.909999999999997</v>
      </c>
      <c r="Y345" s="898" t="str">
        <f t="shared" si="656"/>
        <v/>
      </c>
      <c r="Z345" s="898">
        <f t="shared" si="657"/>
        <v>38.909999999999997</v>
      </c>
      <c r="AA345" s="898">
        <f t="shared" si="658"/>
        <v>38.909999999999997</v>
      </c>
      <c r="AB345" s="898" t="str">
        <f t="shared" si="659"/>
        <v/>
      </c>
      <c r="AC345" s="563">
        <f>Sheet1!Y347*MGDtoCFS</f>
        <v>30.475899999999996</v>
      </c>
      <c r="AD345" s="563">
        <f>Sheet1!Z347*MGDtoCFS</f>
        <v>29.68693</v>
      </c>
      <c r="AE345" s="563">
        <f>Sheet1!AA347*MGDtoCFS</f>
        <v>30.630600000000001</v>
      </c>
      <c r="AF345" s="563">
        <f>Sheet1!AB347*MGDtoCFS</f>
        <v>29.56317</v>
      </c>
      <c r="AG345" s="563">
        <f>Sheet1!L347*MGDtoCFS</f>
        <v>60.750690000000674</v>
      </c>
      <c r="AH345" s="545">
        <f t="shared" si="587"/>
        <v>0</v>
      </c>
      <c r="AI345" s="560">
        <f t="shared" si="588"/>
        <v>0</v>
      </c>
      <c r="AJ345" s="560">
        <f t="shared" si="589"/>
        <v>0</v>
      </c>
      <c r="AK345" s="560">
        <f t="shared" si="590"/>
        <v>0</v>
      </c>
      <c r="AL345" s="560">
        <f>(VLOOKUP(Sheet1!DC347,hhdcap_wcm,4)-(((VLOOKUP(Sheet1!DC347,hhdcap_wcm,3)-Sheet1!DC347)/(VLOOKUP(Sheet1!DC347,hhdcap_wcm,3)-VLOOKUP(Sheet1!DC347,hhdcap_wcm,1)))*(VLOOKUP(Sheet1!DC347,hhdcap_wcm,4)-VLOOKUP(Sheet1!DC347,hhdcap_wcm,2))))</f>
        <v>900.80000000278301</v>
      </c>
      <c r="AM345" s="560">
        <f t="shared" si="591"/>
        <v>173.80000000016366</v>
      </c>
      <c r="AN345" s="560">
        <f t="shared" si="592"/>
        <v>0</v>
      </c>
      <c r="AO345" s="560">
        <f t="shared" si="593"/>
        <v>0</v>
      </c>
      <c r="AP345" s="560">
        <f>Sheet1!BA347+Sheet1!BB347+Sheet1!BN347+CD345</f>
        <v>10.31</v>
      </c>
      <c r="AQ345" s="560">
        <f>Sheet1!BN347+(DO345*Sheet1!BN347)</f>
        <v>9.2179979253112023</v>
      </c>
      <c r="AR345" s="560">
        <f>Sheet1!BA347+CD345</f>
        <v>0</v>
      </c>
      <c r="AS345" s="560">
        <f>Sheet1!BA347+Sheet1!BB347+CD345</f>
        <v>1.01</v>
      </c>
      <c r="AT345" s="698">
        <f>0</f>
        <v>0</v>
      </c>
      <c r="AU345" s="560">
        <f>IF(EB345&lt;K345,0,MAX(Sheet1!AA347+AQ345-15/36*K345-N345,Sheet1!EH347,0))</f>
        <v>0</v>
      </c>
      <c r="AV345" s="560">
        <f>IF(OR(B345&gt;=GD345,B345&lt;GC345),0,15/36*K345-MAX(0,64.6-(137.6-(Sheet1!AA347+Sheet1!AB347))))</f>
        <v>0</v>
      </c>
      <c r="AW345" s="698">
        <f>Sheet1!DB347-110</f>
        <v>1850</v>
      </c>
      <c r="AX345" s="698">
        <f>Sheet1!DA347-265</f>
        <v>2385</v>
      </c>
      <c r="AY345" s="698">
        <f t="shared" si="594"/>
        <v>73</v>
      </c>
      <c r="AZ345" s="698">
        <v>0</v>
      </c>
      <c r="BA345" s="698">
        <f t="shared" si="595"/>
        <v>0</v>
      </c>
      <c r="BB345" s="560">
        <f t="shared" si="596"/>
        <v>0</v>
      </c>
      <c r="BC345" s="560"/>
      <c r="BD345" s="560">
        <f ca="1">IF(B345&gt;Summary!$A$1,#N/A,BB345*MGtoAF)</f>
        <v>0</v>
      </c>
      <c r="BE345" s="560">
        <f>Sheet1!BG347+Sheet1!BH347+Sheet1!BI347-BM345</f>
        <v>0</v>
      </c>
      <c r="BF345" s="560">
        <f t="shared" si="597"/>
        <v>0</v>
      </c>
      <c r="BG345" s="560">
        <f>IF(Sheet1!EP347="FM",BM345,0)</f>
        <v>0</v>
      </c>
      <c r="BH345" s="560">
        <f t="shared" si="598"/>
        <v>0</v>
      </c>
      <c r="BI345" s="560">
        <f>IF(Sheet1!EP347="OTHER",BM345,0)</f>
        <v>0</v>
      </c>
      <c r="BJ345" s="560">
        <f t="shared" si="599"/>
        <v>0</v>
      </c>
      <c r="BK345" s="560">
        <f t="shared" si="600"/>
        <v>0</v>
      </c>
      <c r="BL345" s="560">
        <f t="shared" si="601"/>
        <v>0</v>
      </c>
      <c r="BM345" s="560">
        <f>IF(OR(Sheet1!EP347="FM", Sheet1!EP347="OTHER"),SUM(Sheet1!BG347:'Sheet1'!BI347),0)</f>
        <v>0</v>
      </c>
      <c r="BN345" s="545">
        <f>IF(AND($B345&gt;=$FV345,$B345&lt;=$FW345),MAX(BF345,Sheet1!EI347,0),MAX(BF345-(7/36)*$K345,0))</f>
        <v>0</v>
      </c>
      <c r="BO345" s="560">
        <f t="shared" si="602"/>
        <v>0</v>
      </c>
      <c r="BP345" s="545">
        <f t="shared" si="603"/>
        <v>0</v>
      </c>
      <c r="BQ345" s="545">
        <f>IF(AND($O345&gt;0,Sheet1!EM347=1),(1-($O345-Sheet1!$L347)/$O345)*BL345,0)</f>
        <v>0</v>
      </c>
      <c r="BR345" s="545">
        <f>IF(AND(Sheet1!$L347=0,Sheet1!$L346=0, Calculation!BK345&lt;Sheet1!$EI347-0.1,Sheet1!$EI347=Sheet1!$EI346,Sheet1!$EI347=Sheet1!$EI348),Sheet1!$EI347,BL345-BQ345)</f>
        <v>0</v>
      </c>
      <c r="BS345" s="560"/>
      <c r="BT345" s="560"/>
      <c r="BU345" s="560">
        <f t="shared" si="604"/>
        <v>0</v>
      </c>
      <c r="BV345" s="560"/>
      <c r="BW345" s="560">
        <f ca="1">IF(B345&gt;Summary!$A$1,#N/A,BU345*MGtoAF)</f>
        <v>0</v>
      </c>
      <c r="BX345" s="560">
        <f>Sheet1!BC347+Sheet1!BD347+Sheet1!BE347+Sheet1!BF347-CG345-CH345</f>
        <v>2.4900000000000002</v>
      </c>
      <c r="BY345" s="560">
        <f t="shared" si="605"/>
        <v>2.4680446058091285</v>
      </c>
      <c r="BZ345" s="560">
        <f>IF(Sheet1!EQ347="FM",CH345,0)</f>
        <v>0</v>
      </c>
      <c r="CA345" s="560">
        <f t="shared" si="606"/>
        <v>0</v>
      </c>
      <c r="CB345" s="560">
        <f>IF(Sheet1!EQ347="OTHER",CH345,0)</f>
        <v>0</v>
      </c>
      <c r="CC345" s="560">
        <f t="shared" si="607"/>
        <v>0</v>
      </c>
      <c r="CD345" s="560">
        <f t="shared" si="608"/>
        <v>0</v>
      </c>
      <c r="CE345" s="560">
        <f t="shared" si="609"/>
        <v>2.4900000000000002</v>
      </c>
      <c r="CF345" s="560">
        <f t="shared" si="610"/>
        <v>2.4680446058091285</v>
      </c>
      <c r="CG345" s="560">
        <f>IF(Sheet1!EQ347="CWA",SUM(Sheet1!BC347:'Sheet1'!BF347),0)</f>
        <v>0</v>
      </c>
      <c r="CH345" s="560">
        <f>IF(OR(Sheet1!EQ347="FM", Sheet1!EQ347="OTHER"),SUM(Sheet1!BC347:'Sheet1'!BF347),0)</f>
        <v>0</v>
      </c>
      <c r="CI345" s="545">
        <f>IF(AND($B345&gt;=$FV345,$B345&lt;=$FW345),MAX(CF345,Sheet1!EJ347,0),MAX(CF345-(7/36)*$K345,0))</f>
        <v>0</v>
      </c>
      <c r="CJ345" s="560">
        <f t="shared" si="611"/>
        <v>0</v>
      </c>
      <c r="CK345" s="545">
        <f t="shared" si="612"/>
        <v>2.4680446058091285</v>
      </c>
      <c r="CL345" s="545">
        <f>IF(AND($O345&gt;0,Sheet1!EN347=1),(1-($O345-Sheet1!$L347)/$O345)*CF345,0)</f>
        <v>0</v>
      </c>
      <c r="CM345" s="545">
        <f>IF(AND(Sheet1!$L347=0,Sheet1!$L346=0, Calculation!CE345&lt;Sheet1!EJ347-0.1,Sheet1!EJ347=Sheet1!EJ346,Sheet1!EJ347=Sheet1!EJ348),Sheet1!EJ347,CF345-CL345)</f>
        <v>2.4680446058091285</v>
      </c>
      <c r="CN345" s="545"/>
      <c r="CO345" s="560"/>
      <c r="CP345" s="560">
        <f t="shared" si="613"/>
        <v>0</v>
      </c>
      <c r="CQ345" s="560"/>
      <c r="CR345" s="560">
        <f ca="1">IF(B345&gt;Summary!$A$1,#N/A,CP345*MGtoAF)</f>
        <v>0</v>
      </c>
      <c r="CS345" s="560">
        <f>Sheet1!BK347+Sheet1!BL347+Sheet1!BM347-Sheet1!ER347-DA345</f>
        <v>6.48</v>
      </c>
      <c r="CT345" s="560">
        <f t="shared" si="614"/>
        <v>6.4228630705394192</v>
      </c>
      <c r="CU345" s="560">
        <f>IF(Sheet1!ER347="FM",DA345,0)</f>
        <v>0</v>
      </c>
      <c r="CV345" s="560">
        <f t="shared" si="615"/>
        <v>0</v>
      </c>
      <c r="CW345" s="560">
        <f>IF(Sheet1!ER347="OTHER",DA345,0)</f>
        <v>0</v>
      </c>
      <c r="CX345" s="560">
        <f t="shared" si="616"/>
        <v>0</v>
      </c>
      <c r="CY345" s="560">
        <f t="shared" si="617"/>
        <v>6.48</v>
      </c>
      <c r="CZ345" s="560">
        <f t="shared" si="618"/>
        <v>6.4228630705394192</v>
      </c>
      <c r="DA345" s="560">
        <f>IF(OR(Sheet1!ER347="FM", Sheet1!ER347="OTHER"),SUM(Sheet1!BK347:'Sheet1'!BM347),0)</f>
        <v>0</v>
      </c>
      <c r="DB345" s="545">
        <f>IF(AND($B345&gt;=$FV345,$B345&lt;=$FW345),MAX($CT345,Sheet1!EK347,0),MAX($CT345-(7/36)*$K345,0))</f>
        <v>0</v>
      </c>
      <c r="DC345" s="560">
        <f t="shared" si="619"/>
        <v>0</v>
      </c>
      <c r="DD345" s="545">
        <f t="shared" si="620"/>
        <v>6.4228630705394192</v>
      </c>
      <c r="DE345" s="545">
        <f>IF(AND($O345&gt;0,Sheet1!EO347=1),(1-($O345-Sheet1!$L347)/$O345)*CZ345,0)</f>
        <v>0</v>
      </c>
      <c r="DF345" s="545">
        <f>IF(AND(Sheet1!$L347=0,Sheet1!$L346=0, Calculation!CY345&lt;Sheet1!$EK347-0.1,Sheet1!$EK347=Sheet1!$EK346,Sheet1!$EK347=Sheet1!$EK348),Sheet1!$EK347,CZ345-DE345)</f>
        <v>6.4228630705394192</v>
      </c>
      <c r="DG345" s="545"/>
      <c r="DH345" s="560">
        <f t="shared" si="621"/>
        <v>8.9700000000000006</v>
      </c>
      <c r="DI345" s="560">
        <f t="shared" si="622"/>
        <v>0</v>
      </c>
      <c r="DJ345" s="698">
        <f t="shared" si="623"/>
        <v>8.8909076763485473</v>
      </c>
      <c r="DK345" s="560">
        <f ca="1">IF(B345&gt;Summary!$A$1,#N/A,DI345*MGtoAF)</f>
        <v>0</v>
      </c>
      <c r="DL345" s="698">
        <f t="shared" si="624"/>
        <v>8.9700000000000006</v>
      </c>
      <c r="DM345" s="560">
        <f t="shared" si="625"/>
        <v>19.28</v>
      </c>
      <c r="DN345" s="560">
        <f>Sheet1!AB347-DM345</f>
        <v>-0.17000000000000171</v>
      </c>
      <c r="DO345" s="560">
        <f t="shared" si="626"/>
        <v>-8.8174273858922046E-3</v>
      </c>
      <c r="DP345" s="560">
        <f>(VLOOKUP(Sheet1!DC347,hhdcap_wcm,4)-(((VLOOKUP(Sheet1!DC347,hhdcap_wcm,3)-Sheet1!DC347)/(VLOOKUP(Sheet1!DC347,hhdcap_wcm,3)-VLOOKUP(Sheet1!DC347,hhdcap_wcm,1)))*(VLOOKUP(Sheet1!DC347,hhdcap_wcm,4)-VLOOKUP(Sheet1!DC347,hhdcap_wcm,2))))</f>
        <v>900.80000000278301</v>
      </c>
      <c r="DQ345" s="560">
        <f t="shared" si="627"/>
        <v>173.80000000016366</v>
      </c>
      <c r="DR345" s="560">
        <f t="shared" si="628"/>
        <v>87.644982350057305</v>
      </c>
      <c r="DS345" s="560">
        <f>Sheet1!EA347*AFtoMG</f>
        <v>0</v>
      </c>
      <c r="DT345" s="560">
        <f>Sheet1!EB347*AFtoMG</f>
        <v>0</v>
      </c>
      <c r="DU345" s="560">
        <f>Sheet1!EC347*AFtoMG</f>
        <v>0</v>
      </c>
      <c r="DV345" s="560">
        <f>Sheet1!ED347*AFtoMG</f>
        <v>0</v>
      </c>
      <c r="DW345" s="560">
        <f t="shared" si="629"/>
        <v>0</v>
      </c>
      <c r="DX345" s="560">
        <f t="shared" si="630"/>
        <v>0</v>
      </c>
      <c r="DY345" s="560">
        <f t="shared" si="631"/>
        <v>0</v>
      </c>
      <c r="DZ345" s="560">
        <f t="shared" si="632"/>
        <v>0</v>
      </c>
      <c r="EA345" s="560"/>
      <c r="EB345" s="545">
        <f>IF(OR(B345&lt;FV345,B345&gt;FW345),(MIN(BF345+BY345+CT345+MAX(Sheet1!AA347+AQ345-73,0),K345)),0)</f>
        <v>8.8909076763485473</v>
      </c>
      <c r="EC345" s="560"/>
      <c r="ED345" s="560">
        <f t="shared" si="633"/>
        <v>8.8909076763485473</v>
      </c>
      <c r="EE345" s="560"/>
      <c r="EF345" s="560">
        <f>Sheet1!EH347+Sheet1!EI347+Sheet1!EJ347+Sheet1!EK347</f>
        <v>9</v>
      </c>
      <c r="EG345" s="560"/>
      <c r="EH345" s="545">
        <f t="shared" si="634"/>
        <v>0</v>
      </c>
      <c r="EI345" s="560">
        <f>IF(Sheet1!ET347=1,SUM('Calculations II'!AT345:BA345)+'Calculations II'!BC345+Sheet1!BV347+'Calculations II'!BE345+AP345,SUM('Calculations II'!AT345:BA345)+'Calculations II'!BC345+Sheet1!BV347+'Calculations II'!BE345+AP345)</f>
        <v>50.272688000000002</v>
      </c>
      <c r="EJ345" s="560">
        <f>Sheet1!AA347+Sheet1!AB347+'Calculations II'!BC345</f>
        <v>48.764783999999999</v>
      </c>
      <c r="EK345" s="560"/>
      <c r="EL345" s="560"/>
      <c r="EM345" s="560">
        <f t="shared" si="635"/>
        <v>41973</v>
      </c>
      <c r="EN345" s="560">
        <f t="shared" si="636"/>
        <v>0</v>
      </c>
      <c r="EO345" s="560">
        <f t="shared" si="637"/>
        <v>0</v>
      </c>
      <c r="EP345" s="560">
        <v>0</v>
      </c>
      <c r="EQ345" s="560">
        <v>0</v>
      </c>
      <c r="ER345" s="560">
        <v>0</v>
      </c>
      <c r="ES345" s="545">
        <f t="shared" si="660"/>
        <v>5.8175718887937737</v>
      </c>
      <c r="ET345" s="560">
        <f>-(VLOOKUP(Sheet1!BQ347,Lookup!$O$4:$Q$262,2)-VLOOKUP(Sheet1!BQ346,Lookup!$O$4:$Q$262,2))/1000000</f>
        <v>2.9085840631415247</v>
      </c>
      <c r="EU345" s="560">
        <f>-(VLOOKUP(Sheet1!BR347,Lookup!$O$4:$Q$262,3)-VLOOKUP(Sheet1!BR346,Lookup!$O$4:$Q$262,3))/1000000</f>
        <v>2.908987825652249</v>
      </c>
      <c r="EV345" s="560"/>
      <c r="EW345" s="560"/>
      <c r="EX345" s="560"/>
      <c r="EY345" s="560"/>
      <c r="EZ345" s="560"/>
      <c r="FA345" s="560"/>
      <c r="FB345" s="560"/>
      <c r="FC345" s="560"/>
      <c r="FD345" s="594">
        <f t="shared" si="638"/>
        <v>1070.9999999999827</v>
      </c>
      <c r="FE345" s="594" t="e">
        <f t="shared" si="639"/>
        <v>#N/A</v>
      </c>
      <c r="FF345" s="595" t="e">
        <f t="shared" si="640"/>
        <v>#N/A</v>
      </c>
      <c r="FG345" s="596" t="s">
        <v>692</v>
      </c>
      <c r="FH345" s="596" t="s">
        <v>692</v>
      </c>
      <c r="FI345" s="594" t="e">
        <v>#N/A</v>
      </c>
      <c r="FJ345" s="778">
        <v>0</v>
      </c>
      <c r="FK345" s="560"/>
      <c r="FL345" s="560"/>
      <c r="FM345" s="560"/>
      <c r="FN345" s="560"/>
      <c r="FO345" s="560">
        <f>O345+((Sheet1!CS347)*GPMtoMGD)</f>
        <v>48.764783999999999</v>
      </c>
      <c r="FP345" s="560">
        <f>IF(Sheet1!AA347+AQ345&lt;=Calculation!N345,AQ345,Calculation!N345-Sheet1!AA347)</f>
        <v>9.2179979253112023</v>
      </c>
      <c r="FQ345" s="560">
        <f>(Sheet1!BP347+Sheet1!BO347)/694.4</f>
        <v>2.4282834101382491</v>
      </c>
      <c r="FR345" s="560"/>
      <c r="FS345" s="560"/>
      <c r="FT345" s="560"/>
      <c r="FU345" s="560"/>
      <c r="FV345" s="695">
        <f t="shared" si="661"/>
        <v>41827</v>
      </c>
      <c r="FW345" s="695">
        <f t="shared" si="662"/>
        <v>41934</v>
      </c>
      <c r="FX345" s="560"/>
      <c r="FY345" s="560"/>
      <c r="FZ345" s="560"/>
      <c r="GA345" s="560"/>
      <c r="GB345" s="560" t="str">
        <f t="shared" si="663"/>
        <v>n</v>
      </c>
      <c r="GC345" s="564">
        <f t="shared" si="664"/>
        <v>41691</v>
      </c>
      <c r="GD345" s="695">
        <f t="shared" si="665"/>
        <v>41807</v>
      </c>
      <c r="GE345" s="560">
        <v>6518.9</v>
      </c>
      <c r="GF345" s="695">
        <f t="shared" si="666"/>
        <v>41808</v>
      </c>
      <c r="GG345" s="560">
        <f t="shared" si="686"/>
        <v>3259</v>
      </c>
      <c r="GH345" s="564">
        <f t="shared" si="667"/>
        <v>41934</v>
      </c>
      <c r="GJ345" s="545">
        <f t="shared" si="668"/>
        <v>0</v>
      </c>
      <c r="GK345" s="560" t="str">
        <f t="shared" si="641"/>
        <v/>
      </c>
      <c r="GL345" s="560">
        <f t="shared" si="669"/>
        <v>0</v>
      </c>
      <c r="GM345" s="560" t="str">
        <f t="shared" si="670"/>
        <v/>
      </c>
      <c r="GN345" s="560">
        <f>IF(GK345="P",Lookup!$M$12,IF(GK345="PP",Lookup!$M$13,IF(GK345="PPP",Lookup!$M$14,IF(GK345="T",Lookup!$M$15,IF(GK345="TP",Lookup!$M$16,IF(GK345="TPP",Lookup!$M$17,IF(GK345="TPPP",Lookup!$M$18,0)))))))*GJ345</f>
        <v>0</v>
      </c>
      <c r="GO345" s="560">
        <f t="shared" si="671"/>
        <v>0</v>
      </c>
      <c r="GP345" s="560">
        <f t="shared" si="642"/>
        <v>0</v>
      </c>
      <c r="GQ345" s="560">
        <f t="shared" si="679"/>
        <v>0</v>
      </c>
      <c r="GR345" s="560"/>
      <c r="GS345" s="560">
        <f t="shared" si="672"/>
        <v>0</v>
      </c>
      <c r="GT345" s="560" t="str">
        <f t="shared" si="673"/>
        <v/>
      </c>
      <c r="GU345" s="560">
        <f>IF(GK345="P",Lookup!$N$12,IF(GK345="PP",Lookup!$N$13,IF(GK345="PPP",Lookup!$N$14,IF(GK345="T",Lookup!$N$15,IF(GK345="TP",Lookup!$N$16,IF(GK345="TPP",Lookup!$N$17,IF(GK345="TPPP",Lookup!$N$18,0)))))))*GJ345</f>
        <v>0</v>
      </c>
      <c r="GV345" s="560">
        <f t="shared" si="674"/>
        <v>0</v>
      </c>
      <c r="GW345" s="560">
        <f t="shared" si="643"/>
        <v>0</v>
      </c>
      <c r="GX345" s="560">
        <f t="shared" si="680"/>
        <v>0</v>
      </c>
      <c r="GY345" s="560"/>
      <c r="GZ345" s="560">
        <f t="shared" si="675"/>
        <v>0</v>
      </c>
      <c r="HA345" s="560" t="str">
        <f t="shared" si="676"/>
        <v/>
      </c>
      <c r="HB345" s="560">
        <f>IF(GK345="P",Lookup!$N$12,IF(GK345="PP",Lookup!$N$13,IF(GK345="PPP",Lookup!$N$14,IF(GK345="T",Lookup!$N$15,IF(GK345="TP",Lookup!$N$16,IF(GK345="TPP",Lookup!$N$17,IF(GK345="TPPP",Lookup!$N$18,0)))))))*GJ345</f>
        <v>0</v>
      </c>
      <c r="HC345" s="545">
        <f t="shared" si="644"/>
        <v>0</v>
      </c>
      <c r="HD345" s="560">
        <f t="shared" si="645"/>
        <v>0</v>
      </c>
      <c r="HE345" s="560">
        <f t="shared" si="681"/>
        <v>0</v>
      </c>
      <c r="HF345" s="560"/>
      <c r="HG345" s="560">
        <f t="shared" si="677"/>
        <v>0</v>
      </c>
      <c r="HH345" s="560" t="str">
        <f t="shared" si="678"/>
        <v/>
      </c>
      <c r="HI345" s="560">
        <f>IF(GK345="P",Lookup!$N$12,IF(GK345="PP",Lookup!$N$13,IF(GK345="PPP",Lookup!$N$14,IF(GK345="T",Lookup!$N$15,IF(GK345="TP",Lookup!$N$16,IF(GK345="TPP",Lookup!$N$17,IF(GK345="TPPP",Lookup!$N$18,0)))))))*GJ345</f>
        <v>0</v>
      </c>
      <c r="HJ345" s="545">
        <f t="shared" si="646"/>
        <v>0</v>
      </c>
      <c r="HK345" s="560">
        <f t="shared" si="647"/>
        <v>0</v>
      </c>
      <c r="HL345" s="560">
        <f t="shared" si="682"/>
        <v>0</v>
      </c>
    </row>
    <row r="346" spans="1:220">
      <c r="A346" s="580" t="s">
        <v>4</v>
      </c>
      <c r="B346" s="556">
        <v>41974</v>
      </c>
      <c r="C346" s="561">
        <v>0</v>
      </c>
      <c r="D346" s="529">
        <f t="shared" si="684"/>
        <v>300</v>
      </c>
      <c r="E346" s="529">
        <f t="shared" si="685"/>
        <v>250</v>
      </c>
      <c r="F346" s="529">
        <v>250</v>
      </c>
      <c r="G346" s="560">
        <f>DR346+Sheet1!CZ348</f>
        <v>1368.2097831569947</v>
      </c>
      <c r="H346" s="914">
        <f t="shared" si="650"/>
        <v>617.44760383268135</v>
      </c>
      <c r="I346" s="559">
        <f>MAX(Sheet1!Z348-AT346+(Sheet1!DA348-E346)*CFStoMGD,0)</f>
        <v>1150.31</v>
      </c>
      <c r="J346" s="562">
        <f>IF(AND(B346&gt;=Calculation!GC346,B346&lt;=Calculation!GD346),IF(Sheet1!DB348&gt;=Calculation!D346,64.64,0),MAX(Sheet1!Z348-AT346+(Sheet1!DB348-D346)*CFStoMGD,0))</f>
        <v>704.29399999999998</v>
      </c>
      <c r="K346" s="904">
        <f t="shared" si="583"/>
        <v>64.64</v>
      </c>
      <c r="L346" s="560">
        <f>Sheet1!AA348+Sheet1!AB348-Sheet1!L348+(Sheet1!DA348-F346)*CFStoMGD</f>
        <v>1130.4700000000012</v>
      </c>
      <c r="M346" s="560">
        <f t="shared" si="584"/>
        <v>902.09901990933508</v>
      </c>
      <c r="N346" s="910">
        <f>IF(Sheet1!DA348&gt;=F346,MIN(73,MIN(MAX(L346,0),MAX(M346,0))),0)</f>
        <v>73</v>
      </c>
      <c r="O346" s="563">
        <f>Sheet1!AA348+Sheet1!AB348</f>
        <v>38.799999999999997</v>
      </c>
      <c r="P346" s="563">
        <f t="shared" si="585"/>
        <v>60.023600000000002</v>
      </c>
      <c r="Q346" s="898">
        <f t="shared" si="651"/>
        <v>0</v>
      </c>
      <c r="R346" s="829">
        <f t="shared" si="586"/>
        <v>8.8957247132429629</v>
      </c>
      <c r="S346" s="898">
        <f t="shared" si="683"/>
        <v>38.799999999999997</v>
      </c>
      <c r="T346" s="898">
        <f t="shared" si="652"/>
        <v>0</v>
      </c>
      <c r="U346" s="898">
        <f t="shared" si="653"/>
        <v>0</v>
      </c>
      <c r="V346" s="898"/>
      <c r="W346" s="898">
        <f t="shared" si="654"/>
        <v>55.744275286757038</v>
      </c>
      <c r="X346" s="898">
        <f t="shared" si="655"/>
        <v>38.799999999999997</v>
      </c>
      <c r="Y346" s="898" t="str">
        <f t="shared" si="656"/>
        <v/>
      </c>
      <c r="Z346" s="898">
        <f t="shared" si="657"/>
        <v>38.799999999999997</v>
      </c>
      <c r="AA346" s="898">
        <f t="shared" si="658"/>
        <v>38.799999999999997</v>
      </c>
      <c r="AB346" s="898" t="str">
        <f t="shared" si="659"/>
        <v/>
      </c>
      <c r="AC346" s="563">
        <f>Sheet1!Y348*MGDtoCFS</f>
        <v>30.630600000000001</v>
      </c>
      <c r="AD346" s="563">
        <f>Sheet1!Z348*MGDtoCFS</f>
        <v>29.56317</v>
      </c>
      <c r="AE346" s="563">
        <f>Sheet1!AA348*MGDtoCFS</f>
        <v>30.630600000000001</v>
      </c>
      <c r="AF346" s="563">
        <f>Sheet1!AB348*MGDtoCFS</f>
        <v>29.392999999999997</v>
      </c>
      <c r="AG346" s="563">
        <f>Sheet1!L348*MGDtoCFS</f>
        <v>61.152909999998194</v>
      </c>
      <c r="AH346" s="545">
        <f t="shared" si="587"/>
        <v>0</v>
      </c>
      <c r="AI346" s="560">
        <f t="shared" si="588"/>
        <v>0</v>
      </c>
      <c r="AJ346" s="560">
        <f t="shared" si="589"/>
        <v>0</v>
      </c>
      <c r="AK346" s="560">
        <f t="shared" si="590"/>
        <v>0</v>
      </c>
      <c r="AL346" s="560">
        <f>(VLOOKUP(Sheet1!DC348,hhdcap_wcm,4)-(((VLOOKUP(Sheet1!DC348,hhdcap_wcm,3)-Sheet1!DC348)/(VLOOKUP(Sheet1!DC348,hhdcap_wcm,3)-VLOOKUP(Sheet1!DC348,hhdcap_wcm,1)))*(VLOOKUP(Sheet1!DC348,hhdcap_wcm,4)-VLOOKUP(Sheet1!DC348,hhdcap_wcm,2))))</f>
        <v>996.40000000310363</v>
      </c>
      <c r="AM346" s="560">
        <f t="shared" si="591"/>
        <v>95.60000000032062</v>
      </c>
      <c r="AN346" s="560">
        <f t="shared" si="592"/>
        <v>0</v>
      </c>
      <c r="AO346" s="560">
        <f t="shared" si="593"/>
        <v>0</v>
      </c>
      <c r="AP346" s="560">
        <f>Sheet1!BA348+Sheet1!BB348+Sheet1!BN348+CD346</f>
        <v>10.199999999999999</v>
      </c>
      <c r="AQ346" s="560">
        <f>Sheet1!BN348+(DO346*Sheet1!BN348)</f>
        <v>9.113660062565172</v>
      </c>
      <c r="AR346" s="560">
        <f>Sheet1!BA348+CD346</f>
        <v>0</v>
      </c>
      <c r="AS346" s="560">
        <f>Sheet1!BA348+Sheet1!BB348+CD346</f>
        <v>1</v>
      </c>
      <c r="AT346" s="698">
        <f>0</f>
        <v>0</v>
      </c>
      <c r="AU346" s="560">
        <f>IF(EB346&lt;K346,0,MAX(Sheet1!AA348+AQ346-15/36*K346-N346,Sheet1!EH348,0))</f>
        <v>0</v>
      </c>
      <c r="AV346" s="560">
        <f>IF(OR(B346&gt;=GD346,B346&lt;GC346),0,15/36*K346-MAX(0,64.6-(137.6-(Sheet1!AA348+Sheet1!AB348))))</f>
        <v>0</v>
      </c>
      <c r="AW346" s="698">
        <f>Sheet1!DB348-110</f>
        <v>1250</v>
      </c>
      <c r="AX346" s="698">
        <f>Sheet1!DA348-265</f>
        <v>1735</v>
      </c>
      <c r="AY346" s="698">
        <f t="shared" si="594"/>
        <v>73</v>
      </c>
      <c r="AZ346" s="698">
        <v>0</v>
      </c>
      <c r="BA346" s="698">
        <f t="shared" si="595"/>
        <v>0</v>
      </c>
      <c r="BB346" s="560">
        <f t="shared" si="596"/>
        <v>0</v>
      </c>
      <c r="BC346" s="560"/>
      <c r="BD346" s="560">
        <f ca="1">IF(B346&gt;Summary!$A$1,#N/A,BB346*MGtoAF)</f>
        <v>0</v>
      </c>
      <c r="BE346" s="560">
        <f>Sheet1!BG348+Sheet1!BH348+Sheet1!BI348-BM346</f>
        <v>0</v>
      </c>
      <c r="BF346" s="560">
        <f t="shared" si="597"/>
        <v>0</v>
      </c>
      <c r="BG346" s="560">
        <f>IF(Sheet1!EP348="FM",BM346,0)</f>
        <v>0</v>
      </c>
      <c r="BH346" s="560">
        <f t="shared" si="598"/>
        <v>0</v>
      </c>
      <c r="BI346" s="560">
        <f>IF(Sheet1!EP348="OTHER",BM346,0)</f>
        <v>0</v>
      </c>
      <c r="BJ346" s="560">
        <f t="shared" si="599"/>
        <v>0</v>
      </c>
      <c r="BK346" s="560">
        <f t="shared" si="600"/>
        <v>0</v>
      </c>
      <c r="BL346" s="560">
        <f t="shared" si="601"/>
        <v>0</v>
      </c>
      <c r="BM346" s="560">
        <f>IF(OR(Sheet1!EP348="FM", Sheet1!EP348="OTHER"),SUM(Sheet1!BG348:'Sheet1'!BI348),0)</f>
        <v>0</v>
      </c>
      <c r="BN346" s="545">
        <f>IF(AND($B346&gt;=$FV346,$B346&lt;=$FW346),MAX(BF346,Sheet1!EI348,0),MAX(BF346-(7/36)*$K346,0))</f>
        <v>0</v>
      </c>
      <c r="BO346" s="560">
        <f t="shared" si="602"/>
        <v>0</v>
      </c>
      <c r="BP346" s="545">
        <f t="shared" si="603"/>
        <v>0</v>
      </c>
      <c r="BQ346" s="545">
        <f>IF(AND($O346&gt;0,Sheet1!EM348=1),(1-($O346-Sheet1!$L348)/$O346)*BL346,0)</f>
        <v>0</v>
      </c>
      <c r="BR346" s="545">
        <f>IF(AND(Sheet1!$L348=0,Sheet1!$L347=0, Calculation!BK346&lt;Sheet1!$EI348-0.1,Sheet1!$EI348=Sheet1!$EI347,Sheet1!$EI348=Sheet1!$EI349),Sheet1!$EI348,BL346-BQ346)</f>
        <v>0</v>
      </c>
      <c r="BS346" s="560"/>
      <c r="BT346" s="560"/>
      <c r="BU346" s="560">
        <f t="shared" si="604"/>
        <v>0</v>
      </c>
      <c r="BV346" s="560"/>
      <c r="BW346" s="560">
        <f ca="1">IF(B346&gt;Summary!$A$1,#N/A,BU346*MGtoAF)</f>
        <v>0</v>
      </c>
      <c r="BX346" s="560">
        <f>Sheet1!BC348+Sheet1!BD348+Sheet1!BE348+Sheet1!BF348-CG346-CH346</f>
        <v>2.4900000000000002</v>
      </c>
      <c r="BY346" s="560">
        <f t="shared" si="605"/>
        <v>2.4666319082377477</v>
      </c>
      <c r="BZ346" s="560">
        <f>IF(Sheet1!EQ348="FM",CH346,0)</f>
        <v>0</v>
      </c>
      <c r="CA346" s="560">
        <f t="shared" si="606"/>
        <v>0</v>
      </c>
      <c r="CB346" s="560">
        <f>IF(Sheet1!EQ348="OTHER",CH346,0)</f>
        <v>0</v>
      </c>
      <c r="CC346" s="560">
        <f t="shared" si="607"/>
        <v>0</v>
      </c>
      <c r="CD346" s="560">
        <f t="shared" si="608"/>
        <v>0</v>
      </c>
      <c r="CE346" s="560">
        <f t="shared" si="609"/>
        <v>2.4900000000000002</v>
      </c>
      <c r="CF346" s="560">
        <f t="shared" si="610"/>
        <v>2.4666319082377477</v>
      </c>
      <c r="CG346" s="560">
        <f>IF(Sheet1!EQ348="CWA",SUM(Sheet1!BC348:'Sheet1'!BF348),0)</f>
        <v>0</v>
      </c>
      <c r="CH346" s="560">
        <f>IF(OR(Sheet1!EQ348="FM", Sheet1!EQ348="OTHER"),SUM(Sheet1!BC348:'Sheet1'!BF348),0)</f>
        <v>0</v>
      </c>
      <c r="CI346" s="545">
        <f>IF(AND($B346&gt;=$FV346,$B346&lt;=$FW346),MAX(CF346,Sheet1!EJ348,0),MAX(CF346-(7/36)*$K346,0))</f>
        <v>0</v>
      </c>
      <c r="CJ346" s="560">
        <f t="shared" si="611"/>
        <v>0</v>
      </c>
      <c r="CK346" s="545">
        <f t="shared" si="612"/>
        <v>2.4666319082377477</v>
      </c>
      <c r="CL346" s="545">
        <f>IF(AND($O346&gt;0,Sheet1!EN348=1),(1-($O346-Sheet1!$L348)/$O346)*CF346,0)</f>
        <v>0</v>
      </c>
      <c r="CM346" s="545">
        <f>IF(AND(Sheet1!$L348=0,Sheet1!$L347=0, Calculation!CE346&lt;Sheet1!EJ348-0.1,Sheet1!EJ348=Sheet1!EJ347,Sheet1!EJ348=Sheet1!EJ349),Sheet1!EJ348,CF346-CL346)</f>
        <v>2.4666319082377477</v>
      </c>
      <c r="CN346" s="545"/>
      <c r="CO346" s="560"/>
      <c r="CP346" s="560">
        <f t="shared" si="613"/>
        <v>0</v>
      </c>
      <c r="CQ346" s="560"/>
      <c r="CR346" s="560">
        <f ca="1">IF(B346&gt;Summary!$A$1,#N/A,CP346*MGtoAF)</f>
        <v>0</v>
      </c>
      <c r="CS346" s="560">
        <f>Sheet1!BK348+Sheet1!BL348+Sheet1!BM348-Sheet1!ER348-DA346</f>
        <v>6.49</v>
      </c>
      <c r="CT346" s="560">
        <f t="shared" si="614"/>
        <v>6.4290928050052143</v>
      </c>
      <c r="CU346" s="560">
        <f>IF(Sheet1!ER348="FM",DA346,0)</f>
        <v>0</v>
      </c>
      <c r="CV346" s="560">
        <f t="shared" si="615"/>
        <v>0</v>
      </c>
      <c r="CW346" s="560">
        <f>IF(Sheet1!ER348="OTHER",DA346,0)</f>
        <v>0</v>
      </c>
      <c r="CX346" s="560">
        <f t="shared" si="616"/>
        <v>0</v>
      </c>
      <c r="CY346" s="560">
        <f t="shared" si="617"/>
        <v>6.49</v>
      </c>
      <c r="CZ346" s="560">
        <f t="shared" si="618"/>
        <v>6.4290928050052143</v>
      </c>
      <c r="DA346" s="560">
        <f>IF(OR(Sheet1!ER348="FM", Sheet1!ER348="OTHER"),SUM(Sheet1!BK348:'Sheet1'!BM348),0)</f>
        <v>0</v>
      </c>
      <c r="DB346" s="545">
        <f>IF(AND($B346&gt;=$FV346,$B346&lt;=$FW346),MAX($CT346,Sheet1!EK348,0),MAX($CT346-(7/36)*$K346,0))</f>
        <v>0</v>
      </c>
      <c r="DC346" s="560">
        <f t="shared" si="619"/>
        <v>0</v>
      </c>
      <c r="DD346" s="545">
        <f t="shared" si="620"/>
        <v>6.4290928050052143</v>
      </c>
      <c r="DE346" s="545">
        <f>IF(AND($O346&gt;0,Sheet1!EO348=1),(1-($O346-Sheet1!$L348)/$O346)*CZ346,0)</f>
        <v>0</v>
      </c>
      <c r="DF346" s="545">
        <f>IF(AND(Sheet1!$L348=0,Sheet1!$L347=0, Calculation!CY346&lt;Sheet1!$EK348-0.1,Sheet1!$EK348=Sheet1!$EK347,Sheet1!$EK348=Sheet1!$EK349),Sheet1!$EK348,CZ346-DE346)</f>
        <v>6.4290928050052143</v>
      </c>
      <c r="DG346" s="545"/>
      <c r="DH346" s="560">
        <f t="shared" si="621"/>
        <v>8.98</v>
      </c>
      <c r="DI346" s="560">
        <f t="shared" si="622"/>
        <v>0</v>
      </c>
      <c r="DJ346" s="698">
        <f t="shared" si="623"/>
        <v>8.8957247132429629</v>
      </c>
      <c r="DK346" s="560">
        <f ca="1">IF(B346&gt;Summary!$A$1,#N/A,DI346*MGtoAF)</f>
        <v>0</v>
      </c>
      <c r="DL346" s="698">
        <f t="shared" si="624"/>
        <v>8.98</v>
      </c>
      <c r="DM346" s="560">
        <f t="shared" si="625"/>
        <v>19.18</v>
      </c>
      <c r="DN346" s="560">
        <f>Sheet1!AB348-DM346</f>
        <v>-0.17999999999999972</v>
      </c>
      <c r="DO346" s="560">
        <f t="shared" si="626"/>
        <v>-9.3847758081334574E-3</v>
      </c>
      <c r="DP346" s="560">
        <f>(VLOOKUP(Sheet1!DC348,hhdcap_wcm,4)-(((VLOOKUP(Sheet1!DC348,hhdcap_wcm,3)-Sheet1!DC348)/(VLOOKUP(Sheet1!DC348,hhdcap_wcm,3)-VLOOKUP(Sheet1!DC348,hhdcap_wcm,1)))*(VLOOKUP(Sheet1!DC348,hhdcap_wcm,4)-VLOOKUP(Sheet1!DC348,hhdcap_wcm,2))))</f>
        <v>996.40000000310363</v>
      </c>
      <c r="DQ346" s="560">
        <f t="shared" si="627"/>
        <v>95.60000000032062</v>
      </c>
      <c r="DR346" s="560">
        <f t="shared" si="628"/>
        <v>48.20978315699476</v>
      </c>
      <c r="DS346" s="560">
        <f>Sheet1!EA348*AFtoMG</f>
        <v>0</v>
      </c>
      <c r="DT346" s="560">
        <f>Sheet1!EB348*AFtoMG</f>
        <v>0</v>
      </c>
      <c r="DU346" s="560">
        <f>Sheet1!EC348*AFtoMG</f>
        <v>0</v>
      </c>
      <c r="DV346" s="560">
        <f>Sheet1!ED348*AFtoMG</f>
        <v>0</v>
      </c>
      <c r="DW346" s="560">
        <f t="shared" si="629"/>
        <v>0</v>
      </c>
      <c r="DX346" s="560">
        <f t="shared" si="630"/>
        <v>0</v>
      </c>
      <c r="DY346" s="560">
        <f t="shared" si="631"/>
        <v>0</v>
      </c>
      <c r="DZ346" s="560">
        <f t="shared" si="632"/>
        <v>0</v>
      </c>
      <c r="EA346" s="560"/>
      <c r="EB346" s="545">
        <f>IF(OR(B346&lt;FV346,B346&gt;FW346),(MIN(BF346+BY346+CT346+MAX(Sheet1!AA348+AQ346-73,0),K346)),0)</f>
        <v>8.8957247132429629</v>
      </c>
      <c r="EC346" s="560"/>
      <c r="ED346" s="560">
        <f t="shared" si="633"/>
        <v>8.8957247132429629</v>
      </c>
      <c r="EE346" s="560"/>
      <c r="EF346" s="560">
        <f>Sheet1!EH348+Sheet1!EI348+Sheet1!EJ348+Sheet1!EK348</f>
        <v>9</v>
      </c>
      <c r="EG346" s="560"/>
      <c r="EH346" s="545">
        <f t="shared" si="634"/>
        <v>0</v>
      </c>
      <c r="EI346" s="560">
        <f>IF(Sheet1!ET348=1,SUM('Calculations II'!AT346:BA346)+'Calculations II'!BC346+Sheet1!BV348+'Calculations II'!BE346+AP346,SUM('Calculations II'!AT346:BA346)+'Calculations II'!BC346+Sheet1!BV348+'Calculations II'!BE346+AP346)</f>
        <v>46.497968</v>
      </c>
      <c r="EJ346" s="560">
        <f>Sheet1!AA348+Sheet1!AB348+'Calculations II'!BC346</f>
        <v>51.822063999999997</v>
      </c>
      <c r="EK346" s="560"/>
      <c r="EL346" s="560"/>
      <c r="EM346" s="560">
        <f t="shared" si="635"/>
        <v>41974</v>
      </c>
      <c r="EN346" s="560">
        <f t="shared" si="636"/>
        <v>0</v>
      </c>
      <c r="EO346" s="560">
        <f t="shared" si="637"/>
        <v>0</v>
      </c>
      <c r="EP346" s="560">
        <v>0</v>
      </c>
      <c r="EQ346" s="560">
        <v>0</v>
      </c>
      <c r="ER346" s="560">
        <v>0</v>
      </c>
      <c r="ES346" s="545">
        <f t="shared" si="660"/>
        <v>-1.1076731458202638</v>
      </c>
      <c r="ET346" s="560">
        <f>-(VLOOKUP(Sheet1!BQ348,Lookup!$O$4:$Q$262,2)-VLOOKUP(Sheet1!BQ347,Lookup!$O$4:$Q$262,2))/1000000</f>
        <v>-0.5537981268754788</v>
      </c>
      <c r="EU346" s="560">
        <f>-(VLOOKUP(Sheet1!BR348,Lookup!$O$4:$Q$262,3)-VLOOKUP(Sheet1!BR347,Lookup!$O$4:$Q$262,3))/1000000</f>
        <v>-0.55387501894478497</v>
      </c>
      <c r="EV346" s="560"/>
      <c r="EW346" s="560"/>
      <c r="EX346" s="560"/>
      <c r="EY346" s="560"/>
      <c r="EZ346" s="560"/>
      <c r="FA346" s="560"/>
      <c r="FB346" s="560"/>
      <c r="FC346" s="560"/>
      <c r="FD346" s="594">
        <f t="shared" si="638"/>
        <v>1069.2199999999843</v>
      </c>
      <c r="FE346" s="594" t="e">
        <f t="shared" si="639"/>
        <v>#N/A</v>
      </c>
      <c r="FF346" s="595" t="e">
        <f t="shared" si="640"/>
        <v>#N/A</v>
      </c>
      <c r="FG346" s="596" t="s">
        <v>692</v>
      </c>
      <c r="FH346" s="596" t="s">
        <v>692</v>
      </c>
      <c r="FI346" s="594" t="e">
        <v>#N/A</v>
      </c>
      <c r="FJ346" s="594" t="e">
        <v>#N/A</v>
      </c>
      <c r="FK346" s="560"/>
      <c r="FL346" s="560"/>
      <c r="FM346" s="560"/>
      <c r="FN346" s="560"/>
      <c r="FO346" s="560">
        <f>O346+((Sheet1!CS348)*GPMtoMGD)</f>
        <v>51.822063999999997</v>
      </c>
      <c r="FP346" s="560">
        <f>IF(Sheet1!AA348+AQ346&lt;=Calculation!N346,AQ346,Calculation!N346-Sheet1!AA348)</f>
        <v>9.113660062565172</v>
      </c>
      <c r="FQ346" s="560">
        <f>(Sheet1!BP348+Sheet1!BO348)/694.4</f>
        <v>0.33438940092165897</v>
      </c>
      <c r="FR346" s="560"/>
      <c r="FS346" s="560"/>
      <c r="FT346" s="560"/>
      <c r="FU346" s="560"/>
      <c r="FV346" s="695">
        <f t="shared" si="661"/>
        <v>41827</v>
      </c>
      <c r="FW346" s="695">
        <f t="shared" si="662"/>
        <v>41934</v>
      </c>
      <c r="FX346" s="560"/>
      <c r="FY346" s="560"/>
      <c r="FZ346" s="560"/>
      <c r="GA346" s="560"/>
      <c r="GB346" s="560" t="str">
        <f t="shared" si="663"/>
        <v>n</v>
      </c>
      <c r="GC346" s="564">
        <f t="shared" si="664"/>
        <v>41691</v>
      </c>
      <c r="GD346" s="695">
        <f t="shared" si="665"/>
        <v>41807</v>
      </c>
      <c r="GE346" s="560">
        <v>6518.9</v>
      </c>
      <c r="GF346" s="695">
        <f t="shared" si="666"/>
        <v>41808</v>
      </c>
      <c r="GG346" s="560">
        <f t="shared" si="686"/>
        <v>3259</v>
      </c>
      <c r="GH346" s="564">
        <f t="shared" si="667"/>
        <v>41934</v>
      </c>
      <c r="GJ346" s="545">
        <f t="shared" si="668"/>
        <v>0</v>
      </c>
      <c r="GK346" s="560" t="str">
        <f t="shared" si="641"/>
        <v/>
      </c>
      <c r="GL346" s="560">
        <f t="shared" si="669"/>
        <v>0</v>
      </c>
      <c r="GM346" s="560" t="str">
        <f t="shared" si="670"/>
        <v/>
      </c>
      <c r="GN346" s="560">
        <f>IF(GK346="P",Lookup!$M$12,IF(GK346="PP",Lookup!$M$13,IF(GK346="PPP",Lookup!$M$14,IF(GK346="T",Lookup!$M$15,IF(GK346="TP",Lookup!$M$16,IF(GK346="TPP",Lookup!$M$17,IF(GK346="TPPP",Lookup!$M$18,0)))))))*GJ346</f>
        <v>0</v>
      </c>
      <c r="GO346" s="560">
        <f t="shared" si="671"/>
        <v>0</v>
      </c>
      <c r="GP346" s="560">
        <f t="shared" si="642"/>
        <v>0</v>
      </c>
      <c r="GQ346" s="560">
        <f t="shared" si="679"/>
        <v>0</v>
      </c>
      <c r="GR346" s="560"/>
      <c r="GS346" s="560">
        <f t="shared" si="672"/>
        <v>0</v>
      </c>
      <c r="GT346" s="560" t="str">
        <f t="shared" si="673"/>
        <v/>
      </c>
      <c r="GU346" s="560">
        <f>IF(GK346="P",Lookup!$N$12,IF(GK346="PP",Lookup!$N$13,IF(GK346="PPP",Lookup!$N$14,IF(GK346="T",Lookup!$N$15,IF(GK346="TP",Lookup!$N$16,IF(GK346="TPP",Lookup!$N$17,IF(GK346="TPPP",Lookup!$N$18,0)))))))*GJ346</f>
        <v>0</v>
      </c>
      <c r="GV346" s="560">
        <f t="shared" si="674"/>
        <v>0</v>
      </c>
      <c r="GW346" s="560">
        <f t="shared" si="643"/>
        <v>0</v>
      </c>
      <c r="GX346" s="560">
        <f t="shared" si="680"/>
        <v>0</v>
      </c>
      <c r="GY346" s="560"/>
      <c r="GZ346" s="560">
        <f t="shared" si="675"/>
        <v>0</v>
      </c>
      <c r="HA346" s="560" t="str">
        <f t="shared" si="676"/>
        <v/>
      </c>
      <c r="HB346" s="560">
        <f>IF(GK346="P",Lookup!$N$12,IF(GK346="PP",Lookup!$N$13,IF(GK346="PPP",Lookup!$N$14,IF(GK346="T",Lookup!$N$15,IF(GK346="TP",Lookup!$N$16,IF(GK346="TPP",Lookup!$N$17,IF(GK346="TPPP",Lookup!$N$18,0)))))))*GJ346</f>
        <v>0</v>
      </c>
      <c r="HC346" s="545">
        <f t="shared" si="644"/>
        <v>0</v>
      </c>
      <c r="HD346" s="560">
        <f t="shared" si="645"/>
        <v>0</v>
      </c>
      <c r="HE346" s="560">
        <f t="shared" si="681"/>
        <v>0</v>
      </c>
      <c r="HF346" s="560"/>
      <c r="HG346" s="560">
        <f t="shared" si="677"/>
        <v>0</v>
      </c>
      <c r="HH346" s="560" t="str">
        <f t="shared" si="678"/>
        <v/>
      </c>
      <c r="HI346" s="560">
        <f>IF(GK346="P",Lookup!$N$12,IF(GK346="PP",Lookup!$N$13,IF(GK346="PPP",Lookup!$N$14,IF(GK346="T",Lookup!$N$15,IF(GK346="TP",Lookup!$N$16,IF(GK346="TPP",Lookup!$N$17,IF(GK346="TPPP",Lookup!$N$18,0)))))))*GJ346</f>
        <v>0</v>
      </c>
      <c r="HJ346" s="545">
        <f t="shared" si="646"/>
        <v>0</v>
      </c>
      <c r="HK346" s="560">
        <f t="shared" si="647"/>
        <v>0</v>
      </c>
      <c r="HL346" s="560">
        <f t="shared" si="682"/>
        <v>0</v>
      </c>
    </row>
    <row r="347" spans="1:220">
      <c r="A347" s="580" t="s">
        <v>5</v>
      </c>
      <c r="B347" s="556">
        <v>41975</v>
      </c>
      <c r="C347" s="561">
        <v>0</v>
      </c>
      <c r="D347" s="529">
        <f t="shared" si="684"/>
        <v>300</v>
      </c>
      <c r="E347" s="529">
        <f t="shared" si="685"/>
        <v>250</v>
      </c>
      <c r="F347" s="529">
        <v>250</v>
      </c>
      <c r="G347" s="560">
        <f>DR347+Sheet1!CZ349</f>
        <v>1345.7337367623745</v>
      </c>
      <c r="H347" s="914">
        <f t="shared" si="650"/>
        <v>602.91908744319892</v>
      </c>
      <c r="I347" s="559">
        <f>MAX(Sheet1!Z349-AT347+(Sheet1!DA349-E347)*CFStoMGD,0)</f>
        <v>1059.704</v>
      </c>
      <c r="J347" s="562">
        <f>IF(AND(B347&gt;=Calculation!GC347,B347&lt;=Calculation!GD347),IF(Sheet1!DB349&gt;=Calculation!D347,64.64,0),MAX(Sheet1!Z349-AT347+(Sheet1!DB349-D347)*CFStoMGD,0))</f>
        <v>665.4</v>
      </c>
      <c r="K347" s="904">
        <f t="shared" si="583"/>
        <v>64.64</v>
      </c>
      <c r="L347" s="560">
        <f>Sheet1!AA349+Sheet1!AB349-Sheet1!L349+(Sheet1!DA349-F347)*CFStoMGD</f>
        <v>1078.1439999999993</v>
      </c>
      <c r="M347" s="560">
        <f t="shared" si="584"/>
        <v>887.27993319206291</v>
      </c>
      <c r="N347" s="910">
        <f>IF(Sheet1!DA349&gt;=F347,MIN(73,MIN(MAX(L347,0),MAX(M347,0))),0)</f>
        <v>73</v>
      </c>
      <c r="O347" s="563">
        <f>Sheet1!AA349+Sheet1!AB349</f>
        <v>45.3</v>
      </c>
      <c r="P347" s="563">
        <f t="shared" si="585"/>
        <v>70.079099999999997</v>
      </c>
      <c r="Q347" s="898">
        <f t="shared" si="651"/>
        <v>0</v>
      </c>
      <c r="R347" s="829">
        <f t="shared" si="586"/>
        <v>9.3063504508036079</v>
      </c>
      <c r="S347" s="898">
        <f t="shared" si="683"/>
        <v>45.3</v>
      </c>
      <c r="T347" s="898">
        <f t="shared" si="652"/>
        <v>0</v>
      </c>
      <c r="U347" s="898">
        <f t="shared" si="653"/>
        <v>0</v>
      </c>
      <c r="V347" s="898"/>
      <c r="W347" s="898">
        <f t="shared" si="654"/>
        <v>55.333649549196394</v>
      </c>
      <c r="X347" s="898">
        <f t="shared" si="655"/>
        <v>45.3</v>
      </c>
      <c r="Y347" s="898" t="str">
        <f t="shared" si="656"/>
        <v/>
      </c>
      <c r="Z347" s="898">
        <f t="shared" si="657"/>
        <v>45.3</v>
      </c>
      <c r="AA347" s="898">
        <f t="shared" si="658"/>
        <v>45.3</v>
      </c>
      <c r="AB347" s="898" t="str">
        <f t="shared" si="659"/>
        <v/>
      </c>
      <c r="AC347" s="563">
        <f>Sheet1!Y349*MGDtoCFS</f>
        <v>30.630600000000001</v>
      </c>
      <c r="AD347" s="563">
        <f>Sheet1!Z349*MGDtoCFS</f>
        <v>29.392999999999997</v>
      </c>
      <c r="AE347" s="563">
        <f>Sheet1!AA349*MGDtoCFS</f>
        <v>30.630600000000001</v>
      </c>
      <c r="AF347" s="563">
        <f>Sheet1!AB349*MGDtoCFS</f>
        <v>39.448499999999996</v>
      </c>
      <c r="AG347" s="563">
        <f>Sheet1!L349*MGDtoCFS</f>
        <v>12.1594200000009</v>
      </c>
      <c r="AH347" s="545">
        <f t="shared" si="587"/>
        <v>0</v>
      </c>
      <c r="AI347" s="560">
        <f t="shared" si="588"/>
        <v>0</v>
      </c>
      <c r="AJ347" s="560">
        <f t="shared" si="589"/>
        <v>0</v>
      </c>
      <c r="AK347" s="560">
        <f t="shared" si="590"/>
        <v>0</v>
      </c>
      <c r="AL347" s="560">
        <f>(VLOOKUP(Sheet1!DC349,hhdcap_wcm,4)-(((VLOOKUP(Sheet1!DC349,hhdcap_wcm,3)-Sheet1!DC349)/(VLOOKUP(Sheet1!DC349,hhdcap_wcm,3)-VLOOKUP(Sheet1!DC349,hhdcap_wcm,1)))*(VLOOKUP(Sheet1!DC349,hhdcap_wcm,4)-VLOOKUP(Sheet1!DC349,hhdcap_wcm,2))))</f>
        <v>1027.6000000028921</v>
      </c>
      <c r="AM347" s="560">
        <f t="shared" si="591"/>
        <v>31.199999999788474</v>
      </c>
      <c r="AN347" s="560">
        <f t="shared" si="592"/>
        <v>0</v>
      </c>
      <c r="AO347" s="560">
        <f t="shared" si="593"/>
        <v>0</v>
      </c>
      <c r="AP347" s="560">
        <f>Sheet1!BA349+Sheet1!BB349+Sheet1!BN349+CD347</f>
        <v>16.2</v>
      </c>
      <c r="AQ347" s="560">
        <f>Sheet1!BN349+(DO347*Sheet1!BN349)</f>
        <v>15.194041552332418</v>
      </c>
      <c r="AR347" s="560">
        <f>Sheet1!BA349+CD347</f>
        <v>0</v>
      </c>
      <c r="AS347" s="560">
        <f>Sheet1!BA349+Sheet1!BB349+CD347</f>
        <v>1</v>
      </c>
      <c r="AT347" s="698">
        <f>0</f>
        <v>0</v>
      </c>
      <c r="AU347" s="560">
        <f>IF(EB347&lt;K347,0,MAX(Sheet1!AA349+AQ347-15/36*K347-N347,Sheet1!EH349,0))</f>
        <v>0</v>
      </c>
      <c r="AV347" s="560">
        <f>IF(OR(B347&gt;=GD347,B347&lt;GC347),0,15/36*K347-MAX(0,64.6-(137.6-(Sheet1!AA349+Sheet1!AB349))))</f>
        <v>0</v>
      </c>
      <c r="AW347" s="698">
        <f>Sheet1!DB349-110</f>
        <v>1190</v>
      </c>
      <c r="AX347" s="698">
        <f>Sheet1!DA349-265</f>
        <v>1595</v>
      </c>
      <c r="AY347" s="698">
        <f t="shared" si="594"/>
        <v>73</v>
      </c>
      <c r="AZ347" s="698">
        <v>0</v>
      </c>
      <c r="BA347" s="698">
        <f t="shared" si="595"/>
        <v>0</v>
      </c>
      <c r="BB347" s="560">
        <f t="shared" si="596"/>
        <v>0</v>
      </c>
      <c r="BC347" s="560"/>
      <c r="BD347" s="560">
        <f ca="1">IF(B347&gt;Summary!$A$1,#N/A,BB347*MGtoAF)</f>
        <v>0</v>
      </c>
      <c r="BE347" s="560">
        <f>Sheet1!BG349+Sheet1!BH349+Sheet1!BI349-BM347</f>
        <v>0</v>
      </c>
      <c r="BF347" s="560">
        <f t="shared" si="597"/>
        <v>0</v>
      </c>
      <c r="BG347" s="560">
        <f>IF(Sheet1!EP349="FM",BM347,0)</f>
        <v>0</v>
      </c>
      <c r="BH347" s="560">
        <f t="shared" si="598"/>
        <v>0</v>
      </c>
      <c r="BI347" s="560">
        <f>IF(Sheet1!EP349="OTHER",BM347,0)</f>
        <v>0</v>
      </c>
      <c r="BJ347" s="560">
        <f t="shared" si="599"/>
        <v>0</v>
      </c>
      <c r="BK347" s="560">
        <f t="shared" si="600"/>
        <v>0</v>
      </c>
      <c r="BL347" s="560">
        <f t="shared" si="601"/>
        <v>0</v>
      </c>
      <c r="BM347" s="560">
        <f>IF(OR(Sheet1!EP349="FM", Sheet1!EP349="OTHER"),SUM(Sheet1!BG349:'Sheet1'!BI349),0)</f>
        <v>0</v>
      </c>
      <c r="BN347" s="545">
        <f>IF(AND($B347&gt;=$FV347,$B347&lt;=$FW347),MAX(BF347,Sheet1!EI349,0),MAX(BF347-(7/36)*$K347,0))</f>
        <v>0</v>
      </c>
      <c r="BO347" s="560">
        <f t="shared" si="602"/>
        <v>0</v>
      </c>
      <c r="BP347" s="545">
        <f t="shared" si="603"/>
        <v>0</v>
      </c>
      <c r="BQ347" s="545">
        <f>IF(AND($O347&gt;0,Sheet1!EM349=1),(1-($O347-Sheet1!$L349)/$O347)*BL347,0)</f>
        <v>0</v>
      </c>
      <c r="BR347" s="545">
        <f>IF(AND(Sheet1!$L349=0,Sheet1!$L348=0, Calculation!BK347&lt;Sheet1!$EI349-0.1,Sheet1!$EI349=Sheet1!$EI348,Sheet1!$EI349=Sheet1!$EI350),Sheet1!$EI349,BL347-BQ347)</f>
        <v>0</v>
      </c>
      <c r="BS347" s="560"/>
      <c r="BT347" s="560"/>
      <c r="BU347" s="560">
        <f t="shared" si="604"/>
        <v>0</v>
      </c>
      <c r="BV347" s="560"/>
      <c r="BW347" s="560">
        <f ca="1">IF(B347&gt;Summary!$A$1,#N/A,BU347*MGtoAF)</f>
        <v>0</v>
      </c>
      <c r="BX347" s="560">
        <f>Sheet1!BC349+Sheet1!BD349+Sheet1!BE349+Sheet1!BF349-CG347-CH347</f>
        <v>2.4900000000000002</v>
      </c>
      <c r="BY347" s="560">
        <f t="shared" si="605"/>
        <v>2.489023912191298</v>
      </c>
      <c r="BZ347" s="560">
        <f>IF(Sheet1!EQ349="FM",CH347,0)</f>
        <v>0</v>
      </c>
      <c r="CA347" s="560">
        <f t="shared" si="606"/>
        <v>0</v>
      </c>
      <c r="CB347" s="560">
        <f>IF(Sheet1!EQ349="OTHER",CH347,0)</f>
        <v>0</v>
      </c>
      <c r="CC347" s="560">
        <f t="shared" si="607"/>
        <v>0</v>
      </c>
      <c r="CD347" s="560">
        <f t="shared" si="608"/>
        <v>0</v>
      </c>
      <c r="CE347" s="560">
        <f t="shared" si="609"/>
        <v>2.4900000000000002</v>
      </c>
      <c r="CF347" s="560">
        <f t="shared" si="610"/>
        <v>2.489023912191298</v>
      </c>
      <c r="CG347" s="560">
        <f>IF(Sheet1!EQ349="CWA",SUM(Sheet1!BC349:'Sheet1'!BF349),0)</f>
        <v>0</v>
      </c>
      <c r="CH347" s="560">
        <f>IF(OR(Sheet1!EQ349="FM", Sheet1!EQ349="OTHER"),SUM(Sheet1!BC349:'Sheet1'!BF349),0)</f>
        <v>0</v>
      </c>
      <c r="CI347" s="545">
        <f>IF(AND($B347&gt;=$FV347,$B347&lt;=$FW347),MAX(CF347,Sheet1!EJ349,0),MAX(CF347-(7/36)*$K347,0))</f>
        <v>0</v>
      </c>
      <c r="CJ347" s="560">
        <f t="shared" si="611"/>
        <v>0</v>
      </c>
      <c r="CK347" s="545">
        <f t="shared" si="612"/>
        <v>2.489023912191298</v>
      </c>
      <c r="CL347" s="545">
        <f>IF(AND($O347&gt;0,Sheet1!EN349=1),(1-($O347-Sheet1!$L349)/$O347)*CF347,0)</f>
        <v>0</v>
      </c>
      <c r="CM347" s="545">
        <f>IF(AND(Sheet1!$L349=0,Sheet1!$L348=0, Calculation!CE347&lt;Sheet1!EJ349-0.1,Sheet1!EJ349=Sheet1!EJ348,Sheet1!EJ349=Sheet1!EJ350),Sheet1!EJ349,CF347-CL347)</f>
        <v>2.489023912191298</v>
      </c>
      <c r="CN347" s="545"/>
      <c r="CO347" s="560"/>
      <c r="CP347" s="560">
        <f t="shared" si="613"/>
        <v>0</v>
      </c>
      <c r="CQ347" s="560"/>
      <c r="CR347" s="560">
        <f ca="1">IF(B347&gt;Summary!$A$1,#N/A,CP347*MGtoAF)</f>
        <v>0</v>
      </c>
      <c r="CS347" s="560">
        <f>Sheet1!BK349+Sheet1!BL349+Sheet1!BM349-Sheet1!ER349-DA347</f>
        <v>6.82</v>
      </c>
      <c r="CT347" s="560">
        <f t="shared" si="614"/>
        <v>6.8173265386123099</v>
      </c>
      <c r="CU347" s="560">
        <f>IF(Sheet1!ER349="FM",DA347,0)</f>
        <v>0</v>
      </c>
      <c r="CV347" s="560">
        <f t="shared" si="615"/>
        <v>0</v>
      </c>
      <c r="CW347" s="560">
        <f>IF(Sheet1!ER349="OTHER",DA347,0)</f>
        <v>0</v>
      </c>
      <c r="CX347" s="560">
        <f t="shared" si="616"/>
        <v>0</v>
      </c>
      <c r="CY347" s="560">
        <f t="shared" si="617"/>
        <v>6.82</v>
      </c>
      <c r="CZ347" s="560">
        <f t="shared" si="618"/>
        <v>6.8173265386123099</v>
      </c>
      <c r="DA347" s="560">
        <f>IF(OR(Sheet1!ER349="FM", Sheet1!ER349="OTHER"),SUM(Sheet1!BK349:'Sheet1'!BM349),0)</f>
        <v>0</v>
      </c>
      <c r="DB347" s="545">
        <f>IF(AND($B347&gt;=$FV347,$B347&lt;=$FW347),MAX($CT347,Sheet1!EK349,0),MAX($CT347-(7/36)*$K347,0))</f>
        <v>0</v>
      </c>
      <c r="DC347" s="560">
        <f t="shared" si="619"/>
        <v>0</v>
      </c>
      <c r="DD347" s="545">
        <f t="shared" si="620"/>
        <v>6.8173265386123099</v>
      </c>
      <c r="DE347" s="545">
        <f>IF(AND($O347&gt;0,Sheet1!EO349=1),(1-($O347-Sheet1!$L349)/$O347)*CZ347,0)</f>
        <v>0</v>
      </c>
      <c r="DF347" s="545">
        <f>IF(AND(Sheet1!$L349=0,Sheet1!$L348=0, Calculation!CY347&lt;Sheet1!$EK349-0.1,Sheet1!$EK349=Sheet1!$EK348,Sheet1!$EK349=Sheet1!$EK350),Sheet1!$EK349,CZ347-DE347)</f>
        <v>6.8173265386123099</v>
      </c>
      <c r="DG347" s="545"/>
      <c r="DH347" s="560">
        <f t="shared" si="621"/>
        <v>9.31</v>
      </c>
      <c r="DI347" s="560">
        <f t="shared" si="622"/>
        <v>0</v>
      </c>
      <c r="DJ347" s="698">
        <f t="shared" si="623"/>
        <v>9.3063504508036079</v>
      </c>
      <c r="DK347" s="560">
        <f ca="1">IF(B347&gt;Summary!$A$1,#N/A,DI347*MGtoAF)</f>
        <v>0</v>
      </c>
      <c r="DL347" s="698">
        <f t="shared" si="624"/>
        <v>9.31</v>
      </c>
      <c r="DM347" s="560">
        <f t="shared" si="625"/>
        <v>25.509999999999998</v>
      </c>
      <c r="DN347" s="560">
        <f>Sheet1!AB349-DM347</f>
        <v>-9.9999999999980105E-3</v>
      </c>
      <c r="DO347" s="560">
        <f t="shared" si="626"/>
        <v>-3.9200313602501025E-4</v>
      </c>
      <c r="DP347" s="560">
        <f>(VLOOKUP(Sheet1!DC349,hhdcap_wcm,4)-(((VLOOKUP(Sheet1!DC349,hhdcap_wcm,3)-Sheet1!DC349)/(VLOOKUP(Sheet1!DC349,hhdcap_wcm,3)-VLOOKUP(Sheet1!DC349,hhdcap_wcm,1)))*(VLOOKUP(Sheet1!DC349,hhdcap_wcm,4)-VLOOKUP(Sheet1!DC349,hhdcap_wcm,2))))</f>
        <v>1027.6000000028921</v>
      </c>
      <c r="DQ347" s="560">
        <f t="shared" si="627"/>
        <v>31.199999999788474</v>
      </c>
      <c r="DR347" s="560">
        <f t="shared" si="628"/>
        <v>15.733736762374418</v>
      </c>
      <c r="DS347" s="560">
        <f>Sheet1!EA349*AFtoMG</f>
        <v>0</v>
      </c>
      <c r="DT347" s="560">
        <f>Sheet1!EB349*AFtoMG</f>
        <v>0</v>
      </c>
      <c r="DU347" s="560">
        <f>Sheet1!EC349*AFtoMG</f>
        <v>0</v>
      </c>
      <c r="DV347" s="560">
        <f>Sheet1!ED349*AFtoMG</f>
        <v>0</v>
      </c>
      <c r="DW347" s="560">
        <f t="shared" si="629"/>
        <v>0</v>
      </c>
      <c r="DX347" s="560">
        <f t="shared" si="630"/>
        <v>0</v>
      </c>
      <c r="DY347" s="560">
        <f t="shared" si="631"/>
        <v>0</v>
      </c>
      <c r="DZ347" s="560">
        <f t="shared" si="632"/>
        <v>0</v>
      </c>
      <c r="EA347" s="560"/>
      <c r="EB347" s="545">
        <f>IF(OR(B347&lt;FV347,B347&gt;FW347),(MIN(BF347+BY347+CT347+MAX(Sheet1!AA349+AQ347-73,0),K347)),0)</f>
        <v>9.3063504508036079</v>
      </c>
      <c r="EC347" s="560"/>
      <c r="ED347" s="560">
        <f t="shared" si="633"/>
        <v>9.3063504508036079</v>
      </c>
      <c r="EE347" s="560"/>
      <c r="EF347" s="560">
        <f>Sheet1!EH349+Sheet1!EI349+Sheet1!EJ349+Sheet1!EK349</f>
        <v>9</v>
      </c>
      <c r="EG347" s="560"/>
      <c r="EH347" s="545">
        <f t="shared" si="634"/>
        <v>0</v>
      </c>
      <c r="EI347" s="560">
        <f>IF(Sheet1!ET349=1,SUM('Calculations II'!AT347:BA347)+'Calculations II'!BC347+Sheet1!BV349+'Calculations II'!BE347+AP347,SUM('Calculations II'!AT347:BA347)+'Calculations II'!BC347+Sheet1!BV349+'Calculations II'!BE347+AP347)</f>
        <v>52.065632000000008</v>
      </c>
      <c r="EJ347" s="560">
        <f>Sheet1!AA349+Sheet1!AB349+'Calculations II'!BC347</f>
        <v>57.358992000000001</v>
      </c>
      <c r="EK347" s="560"/>
      <c r="EL347" s="560"/>
      <c r="EM347" s="560">
        <f t="shared" si="635"/>
        <v>41975</v>
      </c>
      <c r="EN347" s="560">
        <f t="shared" si="636"/>
        <v>0</v>
      </c>
      <c r="EO347" s="560">
        <f t="shared" si="637"/>
        <v>0</v>
      </c>
      <c r="EP347" s="560">
        <v>0</v>
      </c>
      <c r="EQ347" s="560">
        <v>0</v>
      </c>
      <c r="ER347" s="560">
        <v>0</v>
      </c>
      <c r="ES347" s="545">
        <f t="shared" si="660"/>
        <v>-0.27695032555626709</v>
      </c>
      <c r="ET347" s="560">
        <f>-(VLOOKUP(Sheet1!BQ349,Lookup!$O$4:$Q$262,2)-VLOOKUP(Sheet1!BQ348,Lookup!$O$4:$Q$262,2))/1000000</f>
        <v>-0.13846555071522296</v>
      </c>
      <c r="EU347" s="560">
        <f>-(VLOOKUP(Sheet1!BR349,Lookup!$O$4:$Q$262,3)-VLOOKUP(Sheet1!BR348,Lookup!$O$4:$Q$262,3))/1000000</f>
        <v>-0.1384847748410441</v>
      </c>
      <c r="EV347" s="560"/>
      <c r="EW347" s="560"/>
      <c r="EX347" s="560"/>
      <c r="EY347" s="560"/>
      <c r="EZ347" s="560"/>
      <c r="FA347" s="560"/>
      <c r="FB347" s="560"/>
      <c r="FC347" s="560"/>
      <c r="FD347" s="594">
        <f t="shared" si="638"/>
        <v>1066.3999999999869</v>
      </c>
      <c r="FE347" s="594" t="e">
        <f t="shared" si="639"/>
        <v>#N/A</v>
      </c>
      <c r="FF347" s="595" t="e">
        <f t="shared" si="640"/>
        <v>#N/A</v>
      </c>
      <c r="FG347" s="596" t="s">
        <v>692</v>
      </c>
      <c r="FH347" s="596" t="s">
        <v>692</v>
      </c>
      <c r="FI347" s="594" t="e">
        <v>#N/A</v>
      </c>
      <c r="FJ347" s="813" t="e">
        <v>#N/A</v>
      </c>
      <c r="FK347" s="560"/>
      <c r="FL347" s="560"/>
      <c r="FM347" s="560"/>
      <c r="FN347" s="560"/>
      <c r="FO347" s="560">
        <f>O347+((Sheet1!CS349)*GPMtoMGD)</f>
        <v>57.358992000000001</v>
      </c>
      <c r="FP347" s="560">
        <f>IF(Sheet1!AA349+AQ347&lt;=Calculation!N347,AQ347,Calculation!N347-Sheet1!AA349)</f>
        <v>15.194041552332418</v>
      </c>
      <c r="FQ347" s="560">
        <f>(Sheet1!BP349+Sheet1!BO349)/694.4</f>
        <v>2.2602246543778803</v>
      </c>
      <c r="FR347" s="560"/>
      <c r="FS347" s="560"/>
      <c r="FT347" s="560"/>
      <c r="FU347" s="560"/>
      <c r="FV347" s="695">
        <f t="shared" si="661"/>
        <v>41827</v>
      </c>
      <c r="FW347" s="695">
        <f t="shared" si="662"/>
        <v>41934</v>
      </c>
      <c r="FX347" s="560"/>
      <c r="FY347" s="560"/>
      <c r="FZ347" s="560"/>
      <c r="GA347" s="560"/>
      <c r="GB347" s="560" t="str">
        <f t="shared" si="663"/>
        <v>n</v>
      </c>
      <c r="GC347" s="564">
        <f t="shared" si="664"/>
        <v>41691</v>
      </c>
      <c r="GD347" s="695">
        <f t="shared" si="665"/>
        <v>41807</v>
      </c>
      <c r="GE347" s="560">
        <v>6518.9</v>
      </c>
      <c r="GF347" s="695">
        <f t="shared" si="666"/>
        <v>41808</v>
      </c>
      <c r="GG347" s="560">
        <f t="shared" si="686"/>
        <v>3259</v>
      </c>
      <c r="GH347" s="564">
        <f t="shared" si="667"/>
        <v>41934</v>
      </c>
      <c r="GJ347" s="545">
        <f t="shared" si="668"/>
        <v>0</v>
      </c>
      <c r="GK347" s="560" t="str">
        <f t="shared" si="641"/>
        <v/>
      </c>
      <c r="GL347" s="560">
        <f t="shared" si="669"/>
        <v>0</v>
      </c>
      <c r="GM347" s="560" t="str">
        <f t="shared" si="670"/>
        <v/>
      </c>
      <c r="GN347" s="560">
        <f>IF(GK347="P",Lookup!$M$12,IF(GK347="PP",Lookup!$M$13,IF(GK347="PPP",Lookup!$M$14,IF(GK347="T",Lookup!$M$15,IF(GK347="TP",Lookup!$M$16,IF(GK347="TPP",Lookup!$M$17,IF(GK347="TPPP",Lookup!$M$18,0)))))))*GJ347</f>
        <v>0</v>
      </c>
      <c r="GO347" s="560">
        <f t="shared" si="671"/>
        <v>0</v>
      </c>
      <c r="GP347" s="560">
        <f t="shared" si="642"/>
        <v>0</v>
      </c>
      <c r="GQ347" s="560">
        <f t="shared" si="679"/>
        <v>0</v>
      </c>
      <c r="GR347" s="560"/>
      <c r="GS347" s="560">
        <f t="shared" si="672"/>
        <v>0</v>
      </c>
      <c r="GT347" s="560" t="str">
        <f t="shared" si="673"/>
        <v/>
      </c>
      <c r="GU347" s="560">
        <f>IF(GK347="P",Lookup!$N$12,IF(GK347="PP",Lookup!$N$13,IF(GK347="PPP",Lookup!$N$14,IF(GK347="T",Lookup!$N$15,IF(GK347="TP",Lookup!$N$16,IF(GK347="TPP",Lookup!$N$17,IF(GK347="TPPP",Lookup!$N$18,0)))))))*GJ347</f>
        <v>0</v>
      </c>
      <c r="GV347" s="560">
        <f t="shared" si="674"/>
        <v>0</v>
      </c>
      <c r="GW347" s="560">
        <f t="shared" si="643"/>
        <v>0</v>
      </c>
      <c r="GX347" s="560">
        <f t="shared" si="680"/>
        <v>0</v>
      </c>
      <c r="GY347" s="560"/>
      <c r="GZ347" s="560">
        <f t="shared" si="675"/>
        <v>0</v>
      </c>
      <c r="HA347" s="560" t="str">
        <f t="shared" si="676"/>
        <v/>
      </c>
      <c r="HB347" s="560">
        <f>IF(GK347="P",Lookup!$N$12,IF(GK347="PP",Lookup!$N$13,IF(GK347="PPP",Lookup!$N$14,IF(GK347="T",Lookup!$N$15,IF(GK347="TP",Lookup!$N$16,IF(GK347="TPP",Lookup!$N$17,IF(GK347="TPPP",Lookup!$N$18,0)))))))*GJ347</f>
        <v>0</v>
      </c>
      <c r="HC347" s="545">
        <f t="shared" si="644"/>
        <v>0</v>
      </c>
      <c r="HD347" s="560">
        <f t="shared" si="645"/>
        <v>0</v>
      </c>
      <c r="HE347" s="560">
        <f t="shared" si="681"/>
        <v>0</v>
      </c>
      <c r="HF347" s="560"/>
      <c r="HG347" s="560">
        <f t="shared" si="677"/>
        <v>0</v>
      </c>
      <c r="HH347" s="560" t="str">
        <f t="shared" si="678"/>
        <v/>
      </c>
      <c r="HI347" s="560">
        <f>IF(GK347="P",Lookup!$N$12,IF(GK347="PP",Lookup!$N$13,IF(GK347="PPP",Lookup!$N$14,IF(GK347="T",Lookup!$N$15,IF(GK347="TP",Lookup!$N$16,IF(GK347="TPP",Lookup!$N$17,IF(GK347="TPPP",Lookup!$N$18,0)))))))*GJ347</f>
        <v>0</v>
      </c>
      <c r="HJ347" s="545">
        <f t="shared" si="646"/>
        <v>0</v>
      </c>
      <c r="HK347" s="560">
        <f t="shared" si="647"/>
        <v>0</v>
      </c>
      <c r="HL347" s="560">
        <f t="shared" si="682"/>
        <v>0</v>
      </c>
    </row>
    <row r="348" spans="1:220">
      <c r="A348" s="580" t="s">
        <v>6</v>
      </c>
      <c r="B348" s="556">
        <v>41976</v>
      </c>
      <c r="C348" s="561">
        <v>0</v>
      </c>
      <c r="D348" s="529">
        <f t="shared" si="684"/>
        <v>300</v>
      </c>
      <c r="E348" s="529">
        <f t="shared" si="685"/>
        <v>250</v>
      </c>
      <c r="F348" s="529">
        <v>250</v>
      </c>
      <c r="G348" s="560">
        <f>DR348+Sheet1!CZ350</f>
        <v>1127.8719112455326</v>
      </c>
      <c r="H348" s="914">
        <f t="shared" si="650"/>
        <v>462.09320342911224</v>
      </c>
      <c r="I348" s="559">
        <f>MAX(Sheet1!Z350-AT348+(Sheet1!DA350-E348)*CFStoMGD,0)</f>
        <v>969.24399999999991</v>
      </c>
      <c r="J348" s="562">
        <f>IF(AND(B348&gt;=Calculation!GC348,B348&lt;=Calculation!GD348),IF(Sheet1!DB350&gt;=Calculation!D348,64.64,0),MAX(Sheet1!Z350-AT348+(Sheet1!DB350-D348)*CFStoMGD,0))</f>
        <v>587.86799999999994</v>
      </c>
      <c r="K348" s="904">
        <f t="shared" si="583"/>
        <v>64.64</v>
      </c>
      <c r="L348" s="560">
        <f>Sheet1!AA350+Sheet1!AB350-Sheet1!L350+(Sheet1!DA350-F348)*CFStoMGD</f>
        <v>988.48399999999845</v>
      </c>
      <c r="M348" s="560">
        <f t="shared" si="584"/>
        <v>743.63753149769457</v>
      </c>
      <c r="N348" s="910">
        <f>IF(Sheet1!DA350&gt;=F348,MIN(73,MIN(MAX(L348,0),MAX(M348,0))),0)</f>
        <v>73</v>
      </c>
      <c r="O348" s="563">
        <f>Sheet1!AA350+Sheet1!AB350</f>
        <v>51.39</v>
      </c>
      <c r="P348" s="563">
        <f t="shared" si="585"/>
        <v>79.500329999999991</v>
      </c>
      <c r="Q348" s="898">
        <f t="shared" si="651"/>
        <v>0</v>
      </c>
      <c r="R348" s="829">
        <f t="shared" si="586"/>
        <v>9.0171732999059877</v>
      </c>
      <c r="S348" s="898">
        <f t="shared" si="683"/>
        <v>51.39</v>
      </c>
      <c r="T348" s="898">
        <f t="shared" si="652"/>
        <v>0</v>
      </c>
      <c r="U348" s="898">
        <f t="shared" si="653"/>
        <v>0</v>
      </c>
      <c r="V348" s="898"/>
      <c r="W348" s="898">
        <f t="shared" si="654"/>
        <v>55.622826700094009</v>
      </c>
      <c r="X348" s="898">
        <f t="shared" si="655"/>
        <v>51.39</v>
      </c>
      <c r="Y348" s="898" t="str">
        <f t="shared" si="656"/>
        <v/>
      </c>
      <c r="Z348" s="898">
        <f t="shared" si="657"/>
        <v>51.39</v>
      </c>
      <c r="AA348" s="898">
        <f t="shared" si="658"/>
        <v>51.39</v>
      </c>
      <c r="AB348" s="898" t="str">
        <f t="shared" si="659"/>
        <v/>
      </c>
      <c r="AC348" s="563">
        <f>Sheet1!Y350*MGDtoCFS</f>
        <v>3063.06</v>
      </c>
      <c r="AD348" s="563">
        <f>Sheet1!Z350*MGDtoCFS</f>
        <v>39.448499999999996</v>
      </c>
      <c r="AE348" s="563">
        <f>Sheet1!AA350*MGDtoCFS</f>
        <v>30.151029999999995</v>
      </c>
      <c r="AF348" s="563">
        <f>Sheet1!AB350*MGDtoCFS</f>
        <v>49.349299999999992</v>
      </c>
      <c r="AG348" s="563">
        <f>Sheet1!L350*MGDtoCFS</f>
        <v>10.28755000000225</v>
      </c>
      <c r="AH348" s="545">
        <f t="shared" si="587"/>
        <v>0</v>
      </c>
      <c r="AI348" s="560">
        <f t="shared" si="588"/>
        <v>0</v>
      </c>
      <c r="AJ348" s="560">
        <f t="shared" si="589"/>
        <v>0</v>
      </c>
      <c r="AK348" s="560">
        <f t="shared" si="590"/>
        <v>0</v>
      </c>
      <c r="AL348" s="560">
        <f>(VLOOKUP(Sheet1!DC350,hhdcap_wcm,4)-(((VLOOKUP(Sheet1!DC350,hhdcap_wcm,3)-Sheet1!DC350)/(VLOOKUP(Sheet1!DC350,hhdcap_wcm,3)-VLOOKUP(Sheet1!DC350,hhdcap_wcm,1)))*(VLOOKUP(Sheet1!DC350,hhdcap_wcm,4)-VLOOKUP(Sheet1!DC350,hhdcap_wcm,2))))</f>
        <v>904.40000000278303</v>
      </c>
      <c r="AM348" s="560">
        <f t="shared" si="591"/>
        <v>-123.20000000010907</v>
      </c>
      <c r="AN348" s="560">
        <f t="shared" si="592"/>
        <v>0</v>
      </c>
      <c r="AO348" s="560">
        <f t="shared" si="593"/>
        <v>0</v>
      </c>
      <c r="AP348" s="560">
        <f>Sheet1!BA350+Sheet1!BB350+Sheet1!BN350+CD348</f>
        <v>22.889999999999997</v>
      </c>
      <c r="AQ348" s="560">
        <f>Sheet1!BN350+(DO348*Sheet1!BN350)</f>
        <v>21.893136947665308</v>
      </c>
      <c r="AR348" s="560">
        <f>Sheet1!BA350+CD348</f>
        <v>0</v>
      </c>
      <c r="AS348" s="560">
        <f>Sheet1!BA350+Sheet1!BB350+CD348</f>
        <v>0.99</v>
      </c>
      <c r="AT348" s="698">
        <f>0</f>
        <v>0</v>
      </c>
      <c r="AU348" s="560">
        <f>IF(EB348&lt;K348,0,MAX(Sheet1!AA350+AQ348-15/36*K348-N348,Sheet1!EH350,0))</f>
        <v>0</v>
      </c>
      <c r="AV348" s="560">
        <f>IF(OR(B348&gt;=GD348,B348&lt;GC348),0,15/36*K348-MAX(0,64.6-(137.6-(Sheet1!AA350+Sheet1!AB350))))</f>
        <v>0</v>
      </c>
      <c r="AW348" s="698">
        <f>Sheet1!DB350-110</f>
        <v>1060</v>
      </c>
      <c r="AX348" s="698">
        <f>Sheet1!DA350-265</f>
        <v>1445</v>
      </c>
      <c r="AY348" s="698">
        <f t="shared" si="594"/>
        <v>73</v>
      </c>
      <c r="AZ348" s="698">
        <v>0</v>
      </c>
      <c r="BA348" s="698">
        <f t="shared" si="595"/>
        <v>0</v>
      </c>
      <c r="BB348" s="560">
        <f t="shared" si="596"/>
        <v>0</v>
      </c>
      <c r="BC348" s="560"/>
      <c r="BD348" s="560">
        <f ca="1">IF(B348&gt;Summary!$A$1,#N/A,BB348*MGtoAF)</f>
        <v>0</v>
      </c>
      <c r="BE348" s="560">
        <f>Sheet1!BG350+Sheet1!BH350+Sheet1!BI350-BM348</f>
        <v>0</v>
      </c>
      <c r="BF348" s="560">
        <f t="shared" si="597"/>
        <v>0</v>
      </c>
      <c r="BG348" s="560">
        <f>IF(Sheet1!EP350="FM",BM348,0)</f>
        <v>0</v>
      </c>
      <c r="BH348" s="560">
        <f t="shared" si="598"/>
        <v>0</v>
      </c>
      <c r="BI348" s="560">
        <f>IF(Sheet1!EP350="OTHER",BM348,0)</f>
        <v>0</v>
      </c>
      <c r="BJ348" s="560">
        <f t="shared" si="599"/>
        <v>0</v>
      </c>
      <c r="BK348" s="560">
        <f t="shared" si="600"/>
        <v>0</v>
      </c>
      <c r="BL348" s="560">
        <f t="shared" si="601"/>
        <v>0</v>
      </c>
      <c r="BM348" s="560">
        <f>IF(OR(Sheet1!EP350="FM", Sheet1!EP350="OTHER"),SUM(Sheet1!BG350:'Sheet1'!BI350),0)</f>
        <v>0</v>
      </c>
      <c r="BN348" s="545">
        <f>IF(AND($B348&gt;=$FV348,$B348&lt;=$FW348),MAX(BF348,Sheet1!EI350,0),MAX(BF348-(7/36)*$K348,0))</f>
        <v>0</v>
      </c>
      <c r="BO348" s="560">
        <f t="shared" si="602"/>
        <v>0</v>
      </c>
      <c r="BP348" s="545">
        <f t="shared" si="603"/>
        <v>0</v>
      </c>
      <c r="BQ348" s="545">
        <f>IF(AND($O348&gt;0,Sheet1!EM350=1),(1-($O348-Sheet1!$L350)/$O348)*BL348,0)</f>
        <v>0</v>
      </c>
      <c r="BR348" s="545">
        <f>IF(AND(Sheet1!$L350=0,Sheet1!$L349=0, Calculation!BK348&lt;Sheet1!$EI350-0.1,Sheet1!$EI350=Sheet1!$EI349,Sheet1!$EI350=Sheet1!$EI351),Sheet1!$EI350,BL348-BQ348)</f>
        <v>0</v>
      </c>
      <c r="BS348" s="560"/>
      <c r="BT348" s="560"/>
      <c r="BU348" s="560">
        <f t="shared" si="604"/>
        <v>0</v>
      </c>
      <c r="BV348" s="560"/>
      <c r="BW348" s="560">
        <f ca="1">IF(B348&gt;Summary!$A$1,#N/A,BU348*MGtoAF)</f>
        <v>0</v>
      </c>
      <c r="BX348" s="560">
        <f>Sheet1!BC350+Sheet1!BD350+Sheet1!BE350+Sheet1!BF350-CG348-CH348</f>
        <v>2.4900000000000002</v>
      </c>
      <c r="BY348" s="560">
        <f t="shared" si="605"/>
        <v>2.4892196803509874</v>
      </c>
      <c r="BZ348" s="560">
        <f>IF(Sheet1!EQ350="FM",CH348,0)</f>
        <v>0</v>
      </c>
      <c r="CA348" s="560">
        <f t="shared" si="606"/>
        <v>0</v>
      </c>
      <c r="CB348" s="560">
        <f>IF(Sheet1!EQ350="OTHER",CH348,0)</f>
        <v>0</v>
      </c>
      <c r="CC348" s="560">
        <f t="shared" si="607"/>
        <v>0</v>
      </c>
      <c r="CD348" s="560">
        <f t="shared" si="608"/>
        <v>0</v>
      </c>
      <c r="CE348" s="560">
        <f t="shared" si="609"/>
        <v>2.4900000000000002</v>
      </c>
      <c r="CF348" s="560">
        <f t="shared" si="610"/>
        <v>2.4892196803509874</v>
      </c>
      <c r="CG348" s="560">
        <f>IF(Sheet1!EQ350="CWA",SUM(Sheet1!BC350:'Sheet1'!BF350),0)</f>
        <v>0</v>
      </c>
      <c r="CH348" s="560">
        <f>IF(OR(Sheet1!EQ350="FM", Sheet1!EQ350="OTHER"),SUM(Sheet1!BC350:'Sheet1'!BF350),0)</f>
        <v>0</v>
      </c>
      <c r="CI348" s="545">
        <f>IF(AND($B348&gt;=$FV348,$B348&lt;=$FW348),MAX(CF348,Sheet1!EJ350,0),MAX(CF348-(7/36)*$K348,0))</f>
        <v>0</v>
      </c>
      <c r="CJ348" s="560">
        <f t="shared" si="611"/>
        <v>0</v>
      </c>
      <c r="CK348" s="545">
        <f t="shared" si="612"/>
        <v>2.4892196803509874</v>
      </c>
      <c r="CL348" s="545">
        <f>IF(AND($O348&gt;0,Sheet1!EN350=1),(1-($O348-Sheet1!$L350)/$O348)*CF348,0)</f>
        <v>0</v>
      </c>
      <c r="CM348" s="545">
        <f>IF(AND(Sheet1!$L350=0,Sheet1!$L349=0, Calculation!CE348&lt;Sheet1!EJ350-0.1,Sheet1!EJ350=Sheet1!EJ349,Sheet1!EJ350=Sheet1!EJ351),Sheet1!EJ350,CF348-CL348)</f>
        <v>2.4892196803509874</v>
      </c>
      <c r="CN348" s="545"/>
      <c r="CO348" s="560"/>
      <c r="CP348" s="560">
        <f t="shared" si="613"/>
        <v>0</v>
      </c>
      <c r="CQ348" s="560"/>
      <c r="CR348" s="560">
        <f ca="1">IF(B348&gt;Summary!$A$1,#N/A,CP348*MGtoAF)</f>
        <v>0</v>
      </c>
      <c r="CS348" s="560">
        <f>Sheet1!BK350+Sheet1!BL350+Sheet1!BM350-Sheet1!ER350-DA348</f>
        <v>6.53</v>
      </c>
      <c r="CT348" s="560">
        <f t="shared" si="614"/>
        <v>6.5279536195549994</v>
      </c>
      <c r="CU348" s="560">
        <f>IF(Sheet1!ER350="FM",DA348,0)</f>
        <v>0</v>
      </c>
      <c r="CV348" s="560">
        <f t="shared" si="615"/>
        <v>0</v>
      </c>
      <c r="CW348" s="560">
        <f>IF(Sheet1!ER350="OTHER",DA348,0)</f>
        <v>0</v>
      </c>
      <c r="CX348" s="560">
        <f t="shared" si="616"/>
        <v>0</v>
      </c>
      <c r="CY348" s="560">
        <f t="shared" si="617"/>
        <v>6.53</v>
      </c>
      <c r="CZ348" s="560">
        <f t="shared" si="618"/>
        <v>6.5279536195549994</v>
      </c>
      <c r="DA348" s="560">
        <f>IF(OR(Sheet1!ER350="FM", Sheet1!ER350="OTHER"),SUM(Sheet1!BK350:'Sheet1'!BM350),0)</f>
        <v>0</v>
      </c>
      <c r="DB348" s="545">
        <f>IF(AND($B348&gt;=$FV348,$B348&lt;=$FW348),MAX($CT348,Sheet1!EK350,0),MAX($CT348-(7/36)*$K348,0))</f>
        <v>0</v>
      </c>
      <c r="DC348" s="560">
        <f t="shared" si="619"/>
        <v>0</v>
      </c>
      <c r="DD348" s="545">
        <f t="shared" si="620"/>
        <v>6.5279536195549994</v>
      </c>
      <c r="DE348" s="545">
        <f>IF(AND($O348&gt;0,Sheet1!EO350=1),(1-($O348-Sheet1!$L350)/$O348)*CZ348,0)</f>
        <v>0</v>
      </c>
      <c r="DF348" s="545">
        <f>IF(AND(Sheet1!$L350=0,Sheet1!$L349=0, Calculation!CY348&lt;Sheet1!$EK350-0.1,Sheet1!$EK350=Sheet1!$EK349,Sheet1!$EK350=Sheet1!$EK351),Sheet1!$EK350,CZ348-DE348)</f>
        <v>6.5279536195549994</v>
      </c>
      <c r="DG348" s="545"/>
      <c r="DH348" s="560">
        <f t="shared" si="621"/>
        <v>9.02</v>
      </c>
      <c r="DI348" s="560">
        <f t="shared" si="622"/>
        <v>0</v>
      </c>
      <c r="DJ348" s="698">
        <f t="shared" si="623"/>
        <v>9.0171732999059877</v>
      </c>
      <c r="DK348" s="560">
        <f ca="1">IF(B348&gt;Summary!$A$1,#N/A,DI348*MGtoAF)</f>
        <v>0</v>
      </c>
      <c r="DL348" s="698">
        <f t="shared" si="624"/>
        <v>9.02</v>
      </c>
      <c r="DM348" s="560">
        <f t="shared" si="625"/>
        <v>31.909999999999997</v>
      </c>
      <c r="DN348" s="560">
        <f>Sheet1!AB350-DM348</f>
        <v>-9.9999999999980105E-3</v>
      </c>
      <c r="DO348" s="560">
        <f t="shared" si="626"/>
        <v>-3.1338138514566005E-4</v>
      </c>
      <c r="DP348" s="560">
        <f>(VLOOKUP(Sheet1!DC350,hhdcap_wcm,4)-(((VLOOKUP(Sheet1!DC350,hhdcap_wcm,3)-Sheet1!DC350)/(VLOOKUP(Sheet1!DC350,hhdcap_wcm,3)-VLOOKUP(Sheet1!DC350,hhdcap_wcm,1)))*(VLOOKUP(Sheet1!DC350,hhdcap_wcm,4)-VLOOKUP(Sheet1!DC350,hhdcap_wcm,2))))</f>
        <v>904.40000000278303</v>
      </c>
      <c r="DQ348" s="560">
        <f t="shared" si="627"/>
        <v>-123.20000000010907</v>
      </c>
      <c r="DR348" s="560">
        <f t="shared" si="628"/>
        <v>-62.128088754467498</v>
      </c>
      <c r="DS348" s="560">
        <f>Sheet1!EA350*AFtoMG</f>
        <v>0</v>
      </c>
      <c r="DT348" s="560">
        <f>Sheet1!EB350*AFtoMG</f>
        <v>0</v>
      </c>
      <c r="DU348" s="560">
        <f>Sheet1!EC350*AFtoMG</f>
        <v>0</v>
      </c>
      <c r="DV348" s="560">
        <f>Sheet1!ED350*AFtoMG</f>
        <v>0</v>
      </c>
      <c r="DW348" s="560">
        <f t="shared" si="629"/>
        <v>0</v>
      </c>
      <c r="DX348" s="560">
        <f t="shared" si="630"/>
        <v>0</v>
      </c>
      <c r="DY348" s="560">
        <f t="shared" si="631"/>
        <v>0</v>
      </c>
      <c r="DZ348" s="560">
        <f t="shared" si="632"/>
        <v>0</v>
      </c>
      <c r="EA348" s="560"/>
      <c r="EB348" s="545">
        <f>IF(OR(B348&lt;FV348,B348&gt;FW348),(MIN(BF348+BY348+CT348+MAX(Sheet1!AA350+AQ348-73,0),K348)),0)</f>
        <v>9.0171732999059877</v>
      </c>
      <c r="EC348" s="560"/>
      <c r="ED348" s="560">
        <f t="shared" si="633"/>
        <v>9.0171732999059877</v>
      </c>
      <c r="EE348" s="560"/>
      <c r="EF348" s="560">
        <f>Sheet1!EH350+Sheet1!EI350+Sheet1!EJ350+Sheet1!EK350</f>
        <v>9</v>
      </c>
      <c r="EG348" s="560"/>
      <c r="EH348" s="545">
        <f t="shared" si="634"/>
        <v>0</v>
      </c>
      <c r="EI348" s="560">
        <f>IF(Sheet1!ET350=1,SUM('Calculations II'!AT348:BA348)+'Calculations II'!BC348+Sheet1!BV350+'Calculations II'!BE348+AP348,SUM('Calculations II'!AT348:BA348)+'Calculations II'!BC348+Sheet1!BV350+'Calculations II'!BE348+AP348)</f>
        <v>50.539471999999996</v>
      </c>
      <c r="EJ348" s="560">
        <f>Sheet1!AA350+Sheet1!AB350+'Calculations II'!BC348</f>
        <v>56.667312000000003</v>
      </c>
      <c r="EK348" s="560"/>
      <c r="EL348" s="560"/>
      <c r="EM348" s="560">
        <f t="shared" si="635"/>
        <v>41976</v>
      </c>
      <c r="EN348" s="560">
        <f t="shared" si="636"/>
        <v>0</v>
      </c>
      <c r="EO348" s="560">
        <f t="shared" si="637"/>
        <v>0</v>
      </c>
      <c r="EP348" s="560">
        <v>0</v>
      </c>
      <c r="EQ348" s="560">
        <v>0</v>
      </c>
      <c r="ER348" s="560">
        <v>0</v>
      </c>
      <c r="ES348" s="545">
        <f t="shared" si="660"/>
        <v>-1.661971104548972</v>
      </c>
      <c r="ET348" s="560">
        <f>-(VLOOKUP(Sheet1!BQ350,Lookup!$O$4:$Q$262,2)-VLOOKUP(Sheet1!BQ349,Lookup!$O$4:$Q$262,2))/1000000</f>
        <v>-0.8309278752413094</v>
      </c>
      <c r="EU348" s="560">
        <f>-(VLOOKUP(Sheet1!BR350,Lookup!$O$4:$Q$262,3)-VLOOKUP(Sheet1!BR349,Lookup!$O$4:$Q$262,3))/1000000</f>
        <v>-0.83104322930766272</v>
      </c>
      <c r="EV348" s="560"/>
      <c r="EW348" s="560"/>
      <c r="EX348" s="560"/>
      <c r="EY348" s="560"/>
      <c r="EZ348" s="560"/>
      <c r="FA348" s="560"/>
      <c r="FB348" s="560"/>
      <c r="FC348" s="560"/>
      <c r="FD348" s="594">
        <f t="shared" si="638"/>
        <v>1049</v>
      </c>
      <c r="FE348" s="594" t="e">
        <f t="shared" si="639"/>
        <v>#N/A</v>
      </c>
      <c r="FF348" s="595" t="e">
        <f t="shared" si="640"/>
        <v>#N/A</v>
      </c>
      <c r="FG348" s="596" t="s">
        <v>692</v>
      </c>
      <c r="FH348" s="596" t="s">
        <v>692</v>
      </c>
      <c r="FI348" s="594" t="e">
        <v>#N/A</v>
      </c>
      <c r="FJ348" s="594" t="e">
        <v>#N/A</v>
      </c>
      <c r="FK348" s="560"/>
      <c r="FL348" s="560"/>
      <c r="FM348" s="560"/>
      <c r="FN348" s="560"/>
      <c r="FO348" s="560">
        <f>O348+((Sheet1!CS350)*GPMtoMGD)</f>
        <v>56.667312000000003</v>
      </c>
      <c r="FP348" s="560">
        <f>IF(Sheet1!AA350+AQ348&lt;=Calculation!N348,AQ348,Calculation!N348-Sheet1!AA350)</f>
        <v>21.893136947665308</v>
      </c>
      <c r="FQ348" s="560">
        <f>(Sheet1!BP350+Sheet1!BO350)/694.4</f>
        <v>2.3271889400921659</v>
      </c>
      <c r="FR348" s="560"/>
      <c r="FS348" s="560"/>
      <c r="FT348" s="560"/>
      <c r="FU348" s="560"/>
      <c r="FV348" s="695">
        <f t="shared" si="661"/>
        <v>41827</v>
      </c>
      <c r="FW348" s="695">
        <f t="shared" si="662"/>
        <v>41934</v>
      </c>
      <c r="FX348" s="560"/>
      <c r="FY348" s="560"/>
      <c r="FZ348" s="560"/>
      <c r="GA348" s="560"/>
      <c r="GB348" s="560" t="str">
        <f t="shared" si="663"/>
        <v>n</v>
      </c>
      <c r="GC348" s="564">
        <f t="shared" si="664"/>
        <v>41691</v>
      </c>
      <c r="GD348" s="695">
        <f t="shared" si="665"/>
        <v>41807</v>
      </c>
      <c r="GE348" s="560">
        <v>6518.9</v>
      </c>
      <c r="GF348" s="695">
        <f t="shared" si="666"/>
        <v>41808</v>
      </c>
      <c r="GG348" s="560">
        <f t="shared" si="686"/>
        <v>3259</v>
      </c>
      <c r="GH348" s="564">
        <f t="shared" si="667"/>
        <v>41934</v>
      </c>
      <c r="GJ348" s="545">
        <f t="shared" si="668"/>
        <v>0</v>
      </c>
      <c r="GK348" s="560" t="str">
        <f t="shared" si="641"/>
        <v/>
      </c>
      <c r="GL348" s="560">
        <f t="shared" si="669"/>
        <v>0</v>
      </c>
      <c r="GM348" s="560" t="str">
        <f t="shared" si="670"/>
        <v/>
      </c>
      <c r="GN348" s="560">
        <f>IF(GK348="P",Lookup!$M$12,IF(GK348="PP",Lookup!$M$13,IF(GK348="PPP",Lookup!$M$14,IF(GK348="T",Lookup!$M$15,IF(GK348="TP",Lookup!$M$16,IF(GK348="TPP",Lookup!$M$17,IF(GK348="TPPP",Lookup!$M$18,0)))))))*GJ348</f>
        <v>0</v>
      </c>
      <c r="GO348" s="560">
        <f t="shared" si="671"/>
        <v>0</v>
      </c>
      <c r="GP348" s="560">
        <f t="shared" si="642"/>
        <v>0</v>
      </c>
      <c r="GQ348" s="560">
        <f t="shared" si="679"/>
        <v>0</v>
      </c>
      <c r="GR348" s="560"/>
      <c r="GS348" s="560">
        <f t="shared" si="672"/>
        <v>0</v>
      </c>
      <c r="GT348" s="560" t="str">
        <f t="shared" si="673"/>
        <v/>
      </c>
      <c r="GU348" s="560">
        <f>IF(GK348="P",Lookup!$N$12,IF(GK348="PP",Lookup!$N$13,IF(GK348="PPP",Lookup!$N$14,IF(GK348="T",Lookup!$N$15,IF(GK348="TP",Lookup!$N$16,IF(GK348="TPP",Lookup!$N$17,IF(GK348="TPPP",Lookup!$N$18,0)))))))*GJ348</f>
        <v>0</v>
      </c>
      <c r="GV348" s="560">
        <f t="shared" si="674"/>
        <v>0</v>
      </c>
      <c r="GW348" s="560">
        <f t="shared" si="643"/>
        <v>0</v>
      </c>
      <c r="GX348" s="560">
        <f t="shared" si="680"/>
        <v>0</v>
      </c>
      <c r="GY348" s="560"/>
      <c r="GZ348" s="560">
        <f t="shared" si="675"/>
        <v>0</v>
      </c>
      <c r="HA348" s="560" t="str">
        <f t="shared" si="676"/>
        <v/>
      </c>
      <c r="HB348" s="560">
        <f>IF(GK348="P",Lookup!$N$12,IF(GK348="PP",Lookup!$N$13,IF(GK348="PPP",Lookup!$N$14,IF(GK348="T",Lookup!$N$15,IF(GK348="TP",Lookup!$N$16,IF(GK348="TPP",Lookup!$N$17,IF(GK348="TPPP",Lookup!$N$18,0)))))))*GJ348</f>
        <v>0</v>
      </c>
      <c r="HC348" s="545">
        <f t="shared" si="644"/>
        <v>0</v>
      </c>
      <c r="HD348" s="560">
        <f t="shared" si="645"/>
        <v>0</v>
      </c>
      <c r="HE348" s="560">
        <f t="shared" si="681"/>
        <v>0</v>
      </c>
      <c r="HF348" s="560"/>
      <c r="HG348" s="560">
        <f t="shared" si="677"/>
        <v>0</v>
      </c>
      <c r="HH348" s="560" t="str">
        <f t="shared" si="678"/>
        <v/>
      </c>
      <c r="HI348" s="560">
        <f>IF(GK348="P",Lookup!$N$12,IF(GK348="PP",Lookup!$N$13,IF(GK348="PPP",Lookup!$N$14,IF(GK348="T",Lookup!$N$15,IF(GK348="TP",Lookup!$N$16,IF(GK348="TPP",Lookup!$N$17,IF(GK348="TPPP",Lookup!$N$18,0)))))))*GJ348</f>
        <v>0</v>
      </c>
      <c r="HJ348" s="545">
        <f t="shared" si="646"/>
        <v>0</v>
      </c>
      <c r="HK348" s="560">
        <f t="shared" si="647"/>
        <v>0</v>
      </c>
      <c r="HL348" s="560">
        <f t="shared" si="682"/>
        <v>0</v>
      </c>
    </row>
    <row r="349" spans="1:220" s="696" customFormat="1">
      <c r="A349" s="580" t="s">
        <v>7</v>
      </c>
      <c r="B349" s="556">
        <v>41977</v>
      </c>
      <c r="C349" s="809">
        <v>0</v>
      </c>
      <c r="D349" s="691">
        <f t="shared" si="684"/>
        <v>300</v>
      </c>
      <c r="E349" s="691">
        <f t="shared" si="685"/>
        <v>250</v>
      </c>
      <c r="F349" s="691">
        <v>250</v>
      </c>
      <c r="G349" s="560">
        <f>DR349+Sheet1!CZ351</f>
        <v>999.29904185559417</v>
      </c>
      <c r="H349" s="914">
        <f t="shared" si="650"/>
        <v>378.98370065545606</v>
      </c>
      <c r="I349" s="559">
        <f>MAX(Sheet1!Z351-AT349+(Sheet1!DA351-E349)*CFStoMGD,0)</f>
        <v>891.61199999999997</v>
      </c>
      <c r="J349" s="562">
        <f>IF(AND(B349&gt;=Calculation!GC349,B349&lt;=Calculation!GD349),IF(Sheet1!DB351&gt;=Calculation!D349,64.64,0),MAX(Sheet1!Z351-AT349+(Sheet1!DB351-D349)*CFStoMGD,0))</f>
        <v>529.62800000000004</v>
      </c>
      <c r="K349" s="904">
        <f t="shared" si="583"/>
        <v>64.64</v>
      </c>
      <c r="L349" s="560">
        <f>Sheet1!AA351+Sheet1!AB351-Sheet1!L351+(Sheet1!DA351-F349)*CFStoMGD</f>
        <v>892.21200000000158</v>
      </c>
      <c r="M349" s="698">
        <f t="shared" si="584"/>
        <v>658.86583866856517</v>
      </c>
      <c r="N349" s="910">
        <f>IF(Sheet1!DA351&gt;=F349,MIN(73,MIN(MAX(L349,0),MAX(M349,0))),0)</f>
        <v>73</v>
      </c>
      <c r="O349" s="812">
        <f>Sheet1!AA351+Sheet1!AB351</f>
        <v>53.510000000000005</v>
      </c>
      <c r="P349" s="812">
        <f t="shared" si="585"/>
        <v>82.779969999999992</v>
      </c>
      <c r="Q349" s="898">
        <f t="shared" si="651"/>
        <v>0</v>
      </c>
      <c r="R349" s="829">
        <f t="shared" si="586"/>
        <v>9.0505767524401062</v>
      </c>
      <c r="S349" s="898">
        <f t="shared" si="683"/>
        <v>53.510000000000005</v>
      </c>
      <c r="T349" s="898">
        <f t="shared" si="652"/>
        <v>0</v>
      </c>
      <c r="U349" s="898">
        <f t="shared" si="653"/>
        <v>0</v>
      </c>
      <c r="V349" s="898"/>
      <c r="W349" s="898">
        <f t="shared" si="654"/>
        <v>55.589423247559893</v>
      </c>
      <c r="X349" s="898">
        <f t="shared" si="655"/>
        <v>53.510000000000005</v>
      </c>
      <c r="Y349" s="898" t="str">
        <f t="shared" si="656"/>
        <v/>
      </c>
      <c r="Z349" s="898">
        <f t="shared" si="657"/>
        <v>53.510000000000005</v>
      </c>
      <c r="AA349" s="898">
        <f t="shared" si="658"/>
        <v>53.510000000000005</v>
      </c>
      <c r="AB349" s="898" t="str">
        <f t="shared" si="659"/>
        <v/>
      </c>
      <c r="AC349" s="812">
        <f>Sheet1!Y351*MGDtoCFS</f>
        <v>30.151029999999995</v>
      </c>
      <c r="AD349" s="812">
        <f>Sheet1!Z351*MGDtoCFS</f>
        <v>49.349299999999992</v>
      </c>
      <c r="AE349" s="812">
        <f>Sheet1!AA351*MGDtoCFS</f>
        <v>30.18197</v>
      </c>
      <c r="AF349" s="812">
        <f>Sheet1!AB351*MGDtoCFS</f>
        <v>52.597999999999999</v>
      </c>
      <c r="AG349" s="812">
        <f>Sheet1!L351*MGDtoCFS</f>
        <v>32.502469999997523</v>
      </c>
      <c r="AH349" s="545">
        <f t="shared" si="587"/>
        <v>0</v>
      </c>
      <c r="AI349" s="560">
        <f t="shared" si="588"/>
        <v>0</v>
      </c>
      <c r="AJ349" s="698">
        <f t="shared" si="589"/>
        <v>0</v>
      </c>
      <c r="AK349" s="698">
        <f t="shared" si="590"/>
        <v>0</v>
      </c>
      <c r="AL349" s="560">
        <f>(VLOOKUP(Sheet1!DC351,hhdcap_wcm,4)-(((VLOOKUP(Sheet1!DC351,hhdcap_wcm,3)-Sheet1!DC351)/(VLOOKUP(Sheet1!DC351,hhdcap_wcm,3)-VLOOKUP(Sheet1!DC351,hhdcap_wcm,1)))*(VLOOKUP(Sheet1!DC351,hhdcap_wcm,4)-VLOOKUP(Sheet1!DC351,hhdcap_wcm,2))))</f>
        <v>764.20000000242612</v>
      </c>
      <c r="AM349" s="560">
        <f t="shared" si="591"/>
        <v>-140.20000000035691</v>
      </c>
      <c r="AN349" s="560">
        <f t="shared" si="592"/>
        <v>0</v>
      </c>
      <c r="AO349" s="560">
        <f t="shared" si="593"/>
        <v>0</v>
      </c>
      <c r="AP349" s="560">
        <f>Sheet1!BA351+Sheet1!BB351+Sheet1!BN351+CD349</f>
        <v>24.810000000000002</v>
      </c>
      <c r="AQ349" s="560">
        <f>Sheet1!BN351+(DO349*Sheet1!BN351)</f>
        <v>23.93374741200828</v>
      </c>
      <c r="AR349" s="698">
        <f>Sheet1!BA351+CD349</f>
        <v>0</v>
      </c>
      <c r="AS349" s="560">
        <f>Sheet1!BA351+Sheet1!BB351+CD349</f>
        <v>1.01</v>
      </c>
      <c r="AT349" s="698">
        <f>0</f>
        <v>0</v>
      </c>
      <c r="AU349" s="698">
        <f>IF(EB349&lt;K349,0,MAX(Sheet1!AA351+AQ349-15/36*K349-N349,Sheet1!EH351,0))</f>
        <v>0</v>
      </c>
      <c r="AV349" s="698">
        <f>IF(OR(B349&gt;=GD349,B349&lt;GC349),0,15/36*K349-MAX(0,64.6-(137.6-(Sheet1!AA351+Sheet1!AB351))))</f>
        <v>0</v>
      </c>
      <c r="AW349" s="698">
        <f>Sheet1!DB351-110</f>
        <v>960</v>
      </c>
      <c r="AX349" s="698">
        <f>Sheet1!DA351-265</f>
        <v>1315</v>
      </c>
      <c r="AY349" s="698">
        <f t="shared" si="594"/>
        <v>73</v>
      </c>
      <c r="AZ349" s="698">
        <v>0</v>
      </c>
      <c r="BA349" s="698">
        <f t="shared" si="595"/>
        <v>0</v>
      </c>
      <c r="BB349" s="698">
        <f t="shared" si="596"/>
        <v>0</v>
      </c>
      <c r="BC349" s="698"/>
      <c r="BD349" s="698">
        <f ca="1">IF(B349&gt;Summary!$A$1,#N/A,BB349*MGtoAF)</f>
        <v>0</v>
      </c>
      <c r="BE349" s="698">
        <f>Sheet1!BG351+Sheet1!BH351+Sheet1!BI351-BM349</f>
        <v>0</v>
      </c>
      <c r="BF349" s="698">
        <f t="shared" si="597"/>
        <v>0</v>
      </c>
      <c r="BG349" s="698">
        <f>IF(Sheet1!EP351="FM",BM349,0)</f>
        <v>0</v>
      </c>
      <c r="BH349" s="698">
        <f t="shared" si="598"/>
        <v>0</v>
      </c>
      <c r="BI349" s="698">
        <f>IF(Sheet1!EP351="OTHER",BM349,0)</f>
        <v>0</v>
      </c>
      <c r="BJ349" s="698">
        <f t="shared" si="599"/>
        <v>0</v>
      </c>
      <c r="BK349" s="698">
        <f t="shared" si="600"/>
        <v>0</v>
      </c>
      <c r="BL349" s="698">
        <f t="shared" si="601"/>
        <v>0</v>
      </c>
      <c r="BM349" s="698">
        <f>IF(OR(Sheet1!EP351="FM", Sheet1!EP351="OTHER"),SUM(Sheet1!BG351:'Sheet1'!BI351),0)</f>
        <v>0</v>
      </c>
      <c r="BN349" s="799">
        <f>IF(AND($B349&gt;=$FV349,$B349&lt;=$FW349),MAX(BF349,Sheet1!EI351,0),MAX(BF349-(7/36)*$K349,0))</f>
        <v>0</v>
      </c>
      <c r="BO349" s="698">
        <f t="shared" si="602"/>
        <v>0</v>
      </c>
      <c r="BP349" s="799">
        <f t="shared" si="603"/>
        <v>0</v>
      </c>
      <c r="BQ349" s="799">
        <f>IF(AND($O349&gt;0,Sheet1!EM351=1),(1-($O349-Sheet1!$L351)/$O349)*BL349,0)</f>
        <v>0</v>
      </c>
      <c r="BR349" s="799">
        <f>IF(AND(Sheet1!$L351=0,Sheet1!$L350=0, Calculation!BK349&lt;Sheet1!$EI351-0.1,Sheet1!$EI351=Sheet1!$EI350,Sheet1!$EI351=Sheet1!$EI352),Sheet1!$EI351,BL349-BQ349)</f>
        <v>0</v>
      </c>
      <c r="BS349" s="698"/>
      <c r="BT349" s="698"/>
      <c r="BU349" s="698">
        <f t="shared" si="604"/>
        <v>0</v>
      </c>
      <c r="BV349" s="698"/>
      <c r="BW349" s="698">
        <f ca="1">IF(B349&gt;Summary!$A$1,#N/A,BU349*MGtoAF)</f>
        <v>0</v>
      </c>
      <c r="BX349" s="698">
        <f>Sheet1!BC351+Sheet1!BD351+Sheet1!BE351+Sheet1!BF351-CG349-CH349</f>
        <v>2.5</v>
      </c>
      <c r="BY349" s="698">
        <f t="shared" si="605"/>
        <v>2.5140490979000294</v>
      </c>
      <c r="BZ349" s="698">
        <f>IF(Sheet1!EQ351="FM",CH349,0)</f>
        <v>0</v>
      </c>
      <c r="CA349" s="698">
        <f t="shared" si="606"/>
        <v>0</v>
      </c>
      <c r="CB349" s="698">
        <f>IF(Sheet1!EQ351="OTHER",CH349,0)</f>
        <v>0</v>
      </c>
      <c r="CC349" s="698">
        <f t="shared" si="607"/>
        <v>0</v>
      </c>
      <c r="CD349" s="698">
        <f t="shared" si="608"/>
        <v>0</v>
      </c>
      <c r="CE349" s="698">
        <f t="shared" si="609"/>
        <v>2.5</v>
      </c>
      <c r="CF349" s="698">
        <f t="shared" si="610"/>
        <v>2.5140490979000294</v>
      </c>
      <c r="CG349" s="698">
        <f>IF(Sheet1!EQ351="CWA",SUM(Sheet1!BC351:'Sheet1'!BF351),0)</f>
        <v>0</v>
      </c>
      <c r="CH349" s="698">
        <f>IF(OR(Sheet1!EQ351="FM", Sheet1!EQ351="OTHER"),SUM(Sheet1!BC351:'Sheet1'!BF351),0)</f>
        <v>0</v>
      </c>
      <c r="CI349" s="545">
        <f>IF(AND($B349&gt;=$FV349,$B349&lt;=$FW349),MAX(CF349,Sheet1!EJ351,0),MAX(CF349-(7/36)*$K349,0))</f>
        <v>0</v>
      </c>
      <c r="CJ349" s="698">
        <f t="shared" si="611"/>
        <v>0</v>
      </c>
      <c r="CK349" s="799">
        <f t="shared" si="612"/>
        <v>2.5140490979000294</v>
      </c>
      <c r="CL349" s="799">
        <f>IF(AND($O349&gt;0,Sheet1!EN351=1),(1-($O349-Sheet1!$L351)/$O349)*CF349,0)</f>
        <v>0</v>
      </c>
      <c r="CM349" s="799">
        <f>IF(AND(Sheet1!$L351=0,Sheet1!$L350=0, Calculation!CE349&lt;Sheet1!EJ351-0.1,Sheet1!EJ351=Sheet1!EJ350,Sheet1!EJ351=Sheet1!EJ352),Sheet1!EJ351,CF349-CL349)</f>
        <v>2.5140490979000294</v>
      </c>
      <c r="CN349" s="799"/>
      <c r="CO349" s="698"/>
      <c r="CP349" s="698">
        <f t="shared" si="613"/>
        <v>0</v>
      </c>
      <c r="CQ349" s="698"/>
      <c r="CR349" s="698">
        <f ca="1">IF(B349&gt;Summary!$A$1,#N/A,CP349*MGtoAF)</f>
        <v>0</v>
      </c>
      <c r="CS349" s="698">
        <f>Sheet1!BK351+Sheet1!BL351+Sheet1!BM351-Sheet1!ER351-DA349</f>
        <v>6.5</v>
      </c>
      <c r="CT349" s="698">
        <f t="shared" si="614"/>
        <v>6.5365276545400768</v>
      </c>
      <c r="CU349" s="698">
        <f>IF(Sheet1!ER351="FM",DA349,0)</f>
        <v>0</v>
      </c>
      <c r="CV349" s="698">
        <f t="shared" si="615"/>
        <v>0</v>
      </c>
      <c r="CW349" s="698">
        <f>IF(Sheet1!ER351="OTHER",DA349,0)</f>
        <v>0</v>
      </c>
      <c r="CX349" s="698">
        <f t="shared" si="616"/>
        <v>0</v>
      </c>
      <c r="CY349" s="698">
        <f t="shared" si="617"/>
        <v>6.5</v>
      </c>
      <c r="CZ349" s="698">
        <f t="shared" si="618"/>
        <v>6.5365276545400768</v>
      </c>
      <c r="DA349" s="698">
        <f>IF(OR(Sheet1!ER351="FM", Sheet1!ER351="OTHER"),SUM(Sheet1!BK351:'Sheet1'!BM351),0)</f>
        <v>0</v>
      </c>
      <c r="DB349" s="799">
        <f>IF(AND($B349&gt;=$FV349,$B349&lt;=$FW349),MAX($CT349,Sheet1!EK351,0),MAX($CT349-(7/36)*$K349,0))</f>
        <v>0</v>
      </c>
      <c r="DC349" s="698">
        <f t="shared" si="619"/>
        <v>0</v>
      </c>
      <c r="DD349" s="799">
        <f t="shared" si="620"/>
        <v>6.5365276545400768</v>
      </c>
      <c r="DE349" s="799">
        <f>IF(AND($O349&gt;0,Sheet1!EO351=1),(1-($O349-Sheet1!$L351)/$O349)*CZ349,0)</f>
        <v>0</v>
      </c>
      <c r="DF349" s="799">
        <f>IF(AND(Sheet1!$L351=0,Sheet1!$L350=0, Calculation!CY349&lt;Sheet1!$EK351-0.1,Sheet1!$EK351=Sheet1!$EK350,Sheet1!$EK351=Sheet1!$EK352),Sheet1!$EK351,CZ349-DE349)</f>
        <v>6.5365276545400768</v>
      </c>
      <c r="DG349" s="799"/>
      <c r="DH349" s="698">
        <f t="shared" si="621"/>
        <v>9</v>
      </c>
      <c r="DI349" s="698">
        <f t="shared" si="622"/>
        <v>0</v>
      </c>
      <c r="DJ349" s="698">
        <f t="shared" si="623"/>
        <v>9.0505767524401062</v>
      </c>
      <c r="DK349" s="698">
        <f ca="1">IF(B349&gt;Summary!$A$1,#N/A,DI349*MGtoAF)</f>
        <v>0</v>
      </c>
      <c r="DL349" s="698">
        <f t="shared" si="624"/>
        <v>9</v>
      </c>
      <c r="DM349" s="698">
        <f t="shared" si="625"/>
        <v>33.81</v>
      </c>
      <c r="DN349" s="560">
        <f>Sheet1!AB351-DM349</f>
        <v>0.18999999999999773</v>
      </c>
      <c r="DO349" s="698">
        <f t="shared" si="626"/>
        <v>5.6196391600117634E-3</v>
      </c>
      <c r="DP349" s="560">
        <f>(VLOOKUP(Sheet1!DC351,hhdcap_wcm,4)-(((VLOOKUP(Sheet1!DC351,hhdcap_wcm,3)-Sheet1!DC351)/(VLOOKUP(Sheet1!DC351,hhdcap_wcm,3)-VLOOKUP(Sheet1!DC351,hhdcap_wcm,1)))*(VLOOKUP(Sheet1!DC351,hhdcap_wcm,4)-VLOOKUP(Sheet1!DC351,hhdcap_wcm,2))))</f>
        <v>764.20000000242612</v>
      </c>
      <c r="DQ349" s="698">
        <f t="shared" si="627"/>
        <v>-140.20000000035691</v>
      </c>
      <c r="DR349" s="698">
        <f t="shared" si="628"/>
        <v>-70.700958144405888</v>
      </c>
      <c r="DS349" s="698">
        <f>Sheet1!EA351*AFtoMG</f>
        <v>0</v>
      </c>
      <c r="DT349" s="698">
        <f>Sheet1!EB351*AFtoMG</f>
        <v>0</v>
      </c>
      <c r="DU349" s="698">
        <f>Sheet1!EC351*AFtoMG</f>
        <v>0</v>
      </c>
      <c r="DV349" s="698">
        <f>Sheet1!ED351*AFtoMG</f>
        <v>0</v>
      </c>
      <c r="DW349" s="698">
        <f t="shared" si="629"/>
        <v>0</v>
      </c>
      <c r="DX349" s="698">
        <f t="shared" si="630"/>
        <v>0</v>
      </c>
      <c r="DY349" s="698">
        <f t="shared" si="631"/>
        <v>0</v>
      </c>
      <c r="DZ349" s="698">
        <f t="shared" si="632"/>
        <v>0</v>
      </c>
      <c r="EA349" s="698"/>
      <c r="EB349" s="799">
        <f>IF(OR(B349&lt;FV349,B349&gt;FW349),(MIN(BF349+BY349+CT349+MAX(Sheet1!AA351+AQ349-73,0),K349)),0)</f>
        <v>9.0505767524401062</v>
      </c>
      <c r="EC349" s="698"/>
      <c r="ED349" s="698">
        <f t="shared" si="633"/>
        <v>9.0505767524401062</v>
      </c>
      <c r="EE349" s="698"/>
      <c r="EF349" s="698">
        <f>Sheet1!EH351+Sheet1!EI351+Sheet1!EJ351+Sheet1!EK351</f>
        <v>9</v>
      </c>
      <c r="EG349" s="698"/>
      <c r="EH349" s="799">
        <f t="shared" si="634"/>
        <v>0</v>
      </c>
      <c r="EI349" s="560">
        <f>IF(Sheet1!ET351=1,SUM('Calculations II'!AT349:BA349)+'Calculations II'!BC349+Sheet1!BV351+'Calculations II'!BE349+AP349,SUM('Calculations II'!AT349:BA349)+'Calculations II'!BC349+Sheet1!BV351+'Calculations II'!BE349+AP349)</f>
        <v>47.652352</v>
      </c>
      <c r="EJ349" s="698">
        <f>Sheet1!AA351+Sheet1!AB351+'Calculations II'!BC349</f>
        <v>53.510000000000005</v>
      </c>
      <c r="EK349" s="698"/>
      <c r="EL349" s="698"/>
      <c r="EM349" s="698">
        <f t="shared" si="635"/>
        <v>41977</v>
      </c>
      <c r="EN349" s="698">
        <f t="shared" si="636"/>
        <v>0</v>
      </c>
      <c r="EO349" s="698">
        <f t="shared" si="637"/>
        <v>0</v>
      </c>
      <c r="EP349" s="560">
        <v>0</v>
      </c>
      <c r="EQ349" s="560">
        <v>0</v>
      </c>
      <c r="ER349" s="560">
        <v>0</v>
      </c>
      <c r="ES349" s="545">
        <f t="shared" si="660"/>
        <v>-0.96968822766284268</v>
      </c>
      <c r="ET349" s="698">
        <f>-(VLOOKUP(Sheet1!BQ351,Lookup!$O$4:$Q$262,2)-VLOOKUP(Sheet1!BQ350,Lookup!$O$4:$Q$262,2))/1000000</f>
        <v>-0.55408009047570828</v>
      </c>
      <c r="EU349" s="698">
        <f>-(VLOOKUP(Sheet1!BR351,Lookup!$O$4:$Q$262,3)-VLOOKUP(Sheet1!BR350,Lookup!$O$4:$Q$262,3))/1000000</f>
        <v>-0.41560813718713446</v>
      </c>
      <c r="EV349" s="698"/>
      <c r="EW349" s="698"/>
      <c r="EX349" s="698"/>
      <c r="EY349" s="698"/>
      <c r="EZ349" s="698"/>
      <c r="FA349" s="698"/>
      <c r="FB349" s="698"/>
      <c r="FC349" s="698"/>
      <c r="FD349" s="813" t="e">
        <f t="shared" si="638"/>
        <v>#N/A</v>
      </c>
      <c r="FE349" s="813" t="e">
        <f t="shared" si="639"/>
        <v>#N/A</v>
      </c>
      <c r="FF349" s="814" t="e">
        <f t="shared" si="640"/>
        <v>#N/A</v>
      </c>
      <c r="FG349" s="815" t="s">
        <v>692</v>
      </c>
      <c r="FH349" s="815" t="s">
        <v>692</v>
      </c>
      <c r="FI349" s="813" t="e">
        <v>#N/A</v>
      </c>
      <c r="FJ349" s="594" t="e">
        <v>#N/A</v>
      </c>
      <c r="FK349" s="698"/>
      <c r="FL349" s="698"/>
      <c r="FM349" s="698"/>
      <c r="FN349" s="698"/>
      <c r="FO349" s="698">
        <f>O349+((Sheet1!CS351)*GPMtoMGD)</f>
        <v>53.510000000000005</v>
      </c>
      <c r="FP349" s="698">
        <f>IF(Sheet1!AA351+AQ349&lt;=Calculation!N349,AQ349,Calculation!N349-Sheet1!AA351)</f>
        <v>23.93374741200828</v>
      </c>
      <c r="FQ349" s="698">
        <f>(Sheet1!BP351+Sheet1!BO351)/694.4</f>
        <v>0</v>
      </c>
      <c r="FR349" s="698"/>
      <c r="FS349" s="698"/>
      <c r="FT349" s="698"/>
      <c r="FU349" s="698"/>
      <c r="FV349" s="695">
        <f t="shared" si="661"/>
        <v>41827</v>
      </c>
      <c r="FW349" s="695">
        <f t="shared" si="662"/>
        <v>41934</v>
      </c>
      <c r="FX349" s="698"/>
      <c r="FY349" s="698"/>
      <c r="FZ349" s="698"/>
      <c r="GA349" s="698"/>
      <c r="GB349" s="698" t="str">
        <f t="shared" si="663"/>
        <v>n</v>
      </c>
      <c r="GC349" s="564">
        <f t="shared" si="664"/>
        <v>41691</v>
      </c>
      <c r="GD349" s="695">
        <f t="shared" si="665"/>
        <v>41807</v>
      </c>
      <c r="GE349" s="698">
        <v>6518.9</v>
      </c>
      <c r="GF349" s="695">
        <f t="shared" si="666"/>
        <v>41808</v>
      </c>
      <c r="GG349" s="698">
        <f t="shared" si="686"/>
        <v>3259</v>
      </c>
      <c r="GH349" s="817">
        <f t="shared" si="667"/>
        <v>41934</v>
      </c>
      <c r="GI349" s="818"/>
      <c r="GJ349" s="799">
        <f t="shared" si="668"/>
        <v>0</v>
      </c>
      <c r="GK349" s="698" t="str">
        <f t="shared" si="641"/>
        <v/>
      </c>
      <c r="GL349" s="698">
        <f t="shared" si="669"/>
        <v>0</v>
      </c>
      <c r="GM349" s="698" t="str">
        <f t="shared" si="670"/>
        <v/>
      </c>
      <c r="GN349" s="698">
        <f>IF(GK349="P",Lookup!$M$12,IF(GK349="PP",Lookup!$M$13,IF(GK349="PPP",Lookup!$M$14,IF(GK349="T",Lookup!$M$15,IF(GK349="TP",Lookup!$M$16,IF(GK349="TPP",Lookup!$M$17,IF(GK349="TPPP",Lookup!$M$18,0)))))))*GJ349</f>
        <v>0</v>
      </c>
      <c r="GO349" s="698">
        <f t="shared" si="671"/>
        <v>0</v>
      </c>
      <c r="GP349" s="698">
        <f t="shared" si="642"/>
        <v>0</v>
      </c>
      <c r="GQ349" s="698">
        <f t="shared" si="679"/>
        <v>0</v>
      </c>
      <c r="GR349" s="698"/>
      <c r="GS349" s="698">
        <f t="shared" si="672"/>
        <v>0</v>
      </c>
      <c r="GT349" s="698" t="str">
        <f t="shared" si="673"/>
        <v/>
      </c>
      <c r="GU349" s="698">
        <f>IF(GK349="P",Lookup!$N$12,IF(GK349="PP",Lookup!$N$13,IF(GK349="PPP",Lookup!$N$14,IF(GK349="T",Lookup!$N$15,IF(GK349="TP",Lookup!$N$16,IF(GK349="TPP",Lookup!$N$17,IF(GK349="TPPP",Lookup!$N$18,0)))))))*GJ349</f>
        <v>0</v>
      </c>
      <c r="GV349" s="698">
        <f t="shared" si="674"/>
        <v>0</v>
      </c>
      <c r="GW349" s="698">
        <f t="shared" si="643"/>
        <v>0</v>
      </c>
      <c r="GX349" s="698">
        <f t="shared" si="680"/>
        <v>0</v>
      </c>
      <c r="GY349" s="698"/>
      <c r="GZ349" s="698">
        <f t="shared" si="675"/>
        <v>0</v>
      </c>
      <c r="HA349" s="698" t="str">
        <f t="shared" si="676"/>
        <v/>
      </c>
      <c r="HB349" s="698">
        <f>IF(GK349="P",Lookup!$N$12,IF(GK349="PP",Lookup!$N$13,IF(GK349="PPP",Lookup!$N$14,IF(GK349="T",Lookup!$N$15,IF(GK349="TP",Lookup!$N$16,IF(GK349="TPP",Lookup!$N$17,IF(GK349="TPPP",Lookup!$N$18,0)))))))*GJ349</f>
        <v>0</v>
      </c>
      <c r="HC349" s="799">
        <f t="shared" si="644"/>
        <v>0</v>
      </c>
      <c r="HD349" s="698">
        <f t="shared" si="645"/>
        <v>0</v>
      </c>
      <c r="HE349" s="698">
        <f t="shared" si="681"/>
        <v>0</v>
      </c>
      <c r="HF349" s="698"/>
      <c r="HG349" s="698">
        <f t="shared" si="677"/>
        <v>0</v>
      </c>
      <c r="HH349" s="698" t="str">
        <f t="shared" si="678"/>
        <v/>
      </c>
      <c r="HI349" s="698">
        <f>IF(GK349="P",Lookup!$N$12,IF(GK349="PP",Lookup!$N$13,IF(GK349="PPP",Lookup!$N$14,IF(GK349="T",Lookup!$N$15,IF(GK349="TP",Lookup!$N$16,IF(GK349="TPP",Lookup!$N$17,IF(GK349="TPPP",Lookup!$N$18,0)))))))*GJ349</f>
        <v>0</v>
      </c>
      <c r="HJ349" s="799">
        <f t="shared" si="646"/>
        <v>0</v>
      </c>
      <c r="HK349" s="698">
        <f t="shared" si="647"/>
        <v>0</v>
      </c>
      <c r="HL349" s="698">
        <f t="shared" si="682"/>
        <v>0</v>
      </c>
    </row>
    <row r="350" spans="1:220">
      <c r="A350" s="580" t="s">
        <v>8</v>
      </c>
      <c r="B350" s="556">
        <v>41978</v>
      </c>
      <c r="C350" s="561">
        <v>0</v>
      </c>
      <c r="D350" s="529">
        <f t="shared" si="684"/>
        <v>300</v>
      </c>
      <c r="E350" s="529">
        <f t="shared" si="685"/>
        <v>250</v>
      </c>
      <c r="F350" s="529">
        <v>250</v>
      </c>
      <c r="G350" s="560">
        <f>DR350+Sheet1!CZ352</f>
        <v>853.83913262744352</v>
      </c>
      <c r="H350" s="914">
        <f t="shared" si="650"/>
        <v>284.95841533037947</v>
      </c>
      <c r="I350" s="559">
        <f>MAX(Sheet1!Z352-AT350+(Sheet1!DA352-E350)*CFStoMGD,0)</f>
        <v>796.75199999999995</v>
      </c>
      <c r="J350" s="562">
        <f>IF(AND(B350&gt;=Calculation!GC350,B350&lt;=Calculation!GD350),IF(Sheet1!DB352&gt;=Calculation!D350,64.64,0),MAX(Sheet1!Z352-AT350+(Sheet1!DB352-D350)*CFStoMGD,0))</f>
        <v>412.14400000000001</v>
      </c>
      <c r="K350" s="904">
        <f t="shared" si="583"/>
        <v>64.64</v>
      </c>
      <c r="L350" s="560">
        <f>Sheet1!AA352+Sheet1!AB352-Sheet1!L352+(Sheet1!DA352-F350)*CFStoMGD</f>
        <v>779.75199999999847</v>
      </c>
      <c r="M350" s="560">
        <f t="shared" si="584"/>
        <v>562.96004763698716</v>
      </c>
      <c r="N350" s="910">
        <f>IF(Sheet1!DA352&gt;=F350,MIN(73,MIN(MAX(L350,0),MAX(M350,0))),0)</f>
        <v>73</v>
      </c>
      <c r="O350" s="563">
        <f>Sheet1!AA352+Sheet1!AB352</f>
        <v>53.4</v>
      </c>
      <c r="P350" s="563">
        <f t="shared" si="585"/>
        <v>82.609799999999993</v>
      </c>
      <c r="Q350" s="898">
        <f t="shared" si="651"/>
        <v>0</v>
      </c>
      <c r="R350" s="829">
        <f t="shared" si="586"/>
        <v>9.0165976331360937</v>
      </c>
      <c r="S350" s="898">
        <f t="shared" si="683"/>
        <v>53.4</v>
      </c>
      <c r="T350" s="898">
        <f t="shared" si="652"/>
        <v>0</v>
      </c>
      <c r="U350" s="898">
        <f t="shared" si="653"/>
        <v>0</v>
      </c>
      <c r="V350" s="898"/>
      <c r="W350" s="898">
        <f t="shared" si="654"/>
        <v>55.623402366863907</v>
      </c>
      <c r="X350" s="898">
        <f t="shared" si="655"/>
        <v>53.4</v>
      </c>
      <c r="Y350" s="898" t="str">
        <f t="shared" si="656"/>
        <v/>
      </c>
      <c r="Z350" s="898">
        <f t="shared" si="657"/>
        <v>53.4</v>
      </c>
      <c r="AA350" s="898">
        <f t="shared" si="658"/>
        <v>53.4</v>
      </c>
      <c r="AB350" s="898" t="str">
        <f t="shared" si="659"/>
        <v/>
      </c>
      <c r="AC350" s="563">
        <f>Sheet1!Y352*MGDtoCFS</f>
        <v>30.18197</v>
      </c>
      <c r="AD350" s="563">
        <f>Sheet1!Z352*MGDtoCFS</f>
        <v>52.597999999999999</v>
      </c>
      <c r="AE350" s="563">
        <f>Sheet1!AA352*MGDtoCFS</f>
        <v>30.166499999999999</v>
      </c>
      <c r="AF350" s="563">
        <f>Sheet1!AB352*MGDtoCFS</f>
        <v>52.443299999999994</v>
      </c>
      <c r="AG350" s="563">
        <f>Sheet1!L352*MGDtoCFS</f>
        <v>56.310800000002246</v>
      </c>
      <c r="AH350" s="545">
        <f t="shared" si="587"/>
        <v>0</v>
      </c>
      <c r="AI350" s="560">
        <f t="shared" si="588"/>
        <v>0</v>
      </c>
      <c r="AJ350" s="560">
        <f t="shared" si="589"/>
        <v>0</v>
      </c>
      <c r="AK350" s="560">
        <f t="shared" si="590"/>
        <v>0</v>
      </c>
      <c r="AL350" s="560">
        <f>(VLOOKUP(Sheet1!DC352,hhdcap_wcm,4)-(((VLOOKUP(Sheet1!DC352,hhdcap_wcm,3)-Sheet1!DC352)/(VLOOKUP(Sheet1!DC352,hhdcap_wcm,3)-VLOOKUP(Sheet1!DC352,hhdcap_wcm,1)))*(VLOOKUP(Sheet1!DC352,hhdcap_wcm,4)-VLOOKUP(Sheet1!DC352,hhdcap_wcm,2))))</f>
        <v>750.00000000264663</v>
      </c>
      <c r="AM350" s="560">
        <f t="shared" si="591"/>
        <v>-14.199999999779493</v>
      </c>
      <c r="AN350" s="560">
        <f t="shared" si="592"/>
        <v>0</v>
      </c>
      <c r="AO350" s="560">
        <f t="shared" si="593"/>
        <v>0</v>
      </c>
      <c r="AP350" s="560">
        <f>Sheet1!BA352+Sheet1!BB352+Sheet1!BN352+CD350</f>
        <v>24.810000000000002</v>
      </c>
      <c r="AQ350" s="560">
        <f>Sheet1!BN352+(DO350*Sheet1!BN352)</f>
        <v>23.870414201183429</v>
      </c>
      <c r="AR350" s="560">
        <f>Sheet1!BA352+CD350</f>
        <v>0</v>
      </c>
      <c r="AS350" s="560">
        <f>Sheet1!BA352+Sheet1!BB352+CD350</f>
        <v>1.01</v>
      </c>
      <c r="AT350" s="698">
        <f>0</f>
        <v>0</v>
      </c>
      <c r="AU350" s="560">
        <f>IF(EB350&lt;K350,0,MAX(Sheet1!AA352+AQ350-15/36*K350-N350,Sheet1!EH352,0))</f>
        <v>0</v>
      </c>
      <c r="AV350" s="560">
        <f>IF(OR(B350&gt;=GD350,B350&lt;GC350),0,15/36*K350-MAX(0,64.6-(137.6-(Sheet1!AA352+Sheet1!AB352))))</f>
        <v>0</v>
      </c>
      <c r="AW350" s="698">
        <f>Sheet1!DB352-110</f>
        <v>775</v>
      </c>
      <c r="AX350" s="698">
        <f>Sheet1!DA352-265</f>
        <v>1165</v>
      </c>
      <c r="AY350" s="698">
        <f t="shared" si="594"/>
        <v>73</v>
      </c>
      <c r="AZ350" s="698">
        <v>0</v>
      </c>
      <c r="BA350" s="698">
        <f t="shared" si="595"/>
        <v>0</v>
      </c>
      <c r="BB350" s="560">
        <f t="shared" si="596"/>
        <v>0</v>
      </c>
      <c r="BC350" s="560"/>
      <c r="BD350" s="560">
        <f ca="1">IF(B350&gt;Summary!$A$1,#N/A,BB350*MGtoAF)</f>
        <v>0</v>
      </c>
      <c r="BE350" s="560">
        <f>Sheet1!BG352+Sheet1!BH352+Sheet1!BI352-BM350</f>
        <v>0</v>
      </c>
      <c r="BF350" s="560">
        <f t="shared" si="597"/>
        <v>0</v>
      </c>
      <c r="BG350" s="560">
        <f>IF(Sheet1!EP352="FM",BM350,0)</f>
        <v>0</v>
      </c>
      <c r="BH350" s="560">
        <f t="shared" si="598"/>
        <v>0</v>
      </c>
      <c r="BI350" s="560">
        <f>IF(Sheet1!EP352="OTHER",BM350,0)</f>
        <v>0</v>
      </c>
      <c r="BJ350" s="560">
        <f t="shared" si="599"/>
        <v>0</v>
      </c>
      <c r="BK350" s="560">
        <f t="shared" si="600"/>
        <v>0</v>
      </c>
      <c r="BL350" s="560">
        <f t="shared" si="601"/>
        <v>0</v>
      </c>
      <c r="BM350" s="560">
        <f>IF(OR(Sheet1!EP352="FM", Sheet1!EP352="OTHER"),SUM(Sheet1!BG352:'Sheet1'!BI352),0)</f>
        <v>0</v>
      </c>
      <c r="BN350" s="545">
        <f>IF(AND($B350&gt;=$FV350,$B350&lt;=$FW350),MAX(BF350,Sheet1!EI352,0),MAX(BF350-(7/36)*$K350,0))</f>
        <v>0</v>
      </c>
      <c r="BO350" s="560">
        <f t="shared" si="602"/>
        <v>0</v>
      </c>
      <c r="BP350" s="545">
        <f t="shared" si="603"/>
        <v>0</v>
      </c>
      <c r="BQ350" s="545">
        <f>IF(AND($O350&gt;0,Sheet1!EM352=1),(1-($O350-Sheet1!$L352)/$O350)*BL350,0)</f>
        <v>0</v>
      </c>
      <c r="BR350" s="545">
        <f>IF(AND(Sheet1!$L352=0,Sheet1!$L351=0, Calculation!BK350&lt;Sheet1!$EI352-0.1,Sheet1!$EI352=Sheet1!$EI351,Sheet1!$EI352=Sheet1!$EI353),Sheet1!$EI352,BL350-BQ350)</f>
        <v>0</v>
      </c>
      <c r="BS350" s="560"/>
      <c r="BT350" s="560"/>
      <c r="BU350" s="560">
        <f t="shared" si="604"/>
        <v>0</v>
      </c>
      <c r="BV350" s="560"/>
      <c r="BW350" s="560">
        <f ca="1">IF(B350&gt;Summary!$A$1,#N/A,BU350*MGtoAF)</f>
        <v>0</v>
      </c>
      <c r="BX350" s="560">
        <f>Sheet1!BC352+Sheet1!BD352+Sheet1!BE352+Sheet1!BF352-CG350-CH350</f>
        <v>2.4900000000000002</v>
      </c>
      <c r="BY350" s="560">
        <f t="shared" si="605"/>
        <v>2.497366863905325</v>
      </c>
      <c r="BZ350" s="560">
        <f>IF(Sheet1!EQ352="FM",CH350,0)</f>
        <v>0</v>
      </c>
      <c r="CA350" s="560">
        <f t="shared" si="606"/>
        <v>0</v>
      </c>
      <c r="CB350" s="560">
        <f>IF(Sheet1!EQ352="OTHER",CH350,0)</f>
        <v>0</v>
      </c>
      <c r="CC350" s="560">
        <f t="shared" si="607"/>
        <v>0</v>
      </c>
      <c r="CD350" s="560">
        <f t="shared" si="608"/>
        <v>0</v>
      </c>
      <c r="CE350" s="560">
        <f t="shared" si="609"/>
        <v>2.4900000000000002</v>
      </c>
      <c r="CF350" s="560">
        <f t="shared" si="610"/>
        <v>2.497366863905325</v>
      </c>
      <c r="CG350" s="560">
        <f>IF(Sheet1!EQ352="CWA",SUM(Sheet1!BC352:'Sheet1'!BF352),0)</f>
        <v>0</v>
      </c>
      <c r="CH350" s="560">
        <f>IF(OR(Sheet1!EQ352="FM", Sheet1!EQ352="OTHER"),SUM(Sheet1!BC352:'Sheet1'!BF352),0)</f>
        <v>0</v>
      </c>
      <c r="CI350" s="545">
        <f>IF(AND($B350&gt;=$FV350,$B350&lt;=$FW350),MAX(CF350,Sheet1!EJ352,0),MAX(CF350-(7/36)*$K350,0))</f>
        <v>0</v>
      </c>
      <c r="CJ350" s="560">
        <f t="shared" si="611"/>
        <v>0</v>
      </c>
      <c r="CK350" s="545">
        <f t="shared" si="612"/>
        <v>2.497366863905325</v>
      </c>
      <c r="CL350" s="545">
        <f>IF(AND($O350&gt;0,Sheet1!EN352=1),(1-($O350-Sheet1!$L352)/$O350)*CF350,0)</f>
        <v>0</v>
      </c>
      <c r="CM350" s="545">
        <f>IF(AND(Sheet1!$L352=0,Sheet1!$L351=0, Calculation!CE350&lt;Sheet1!EJ352-0.1,Sheet1!EJ352=Sheet1!EJ351,Sheet1!EJ352=Sheet1!EJ353),Sheet1!EJ352,CF350-CL350)</f>
        <v>2.497366863905325</v>
      </c>
      <c r="CN350" s="545"/>
      <c r="CO350" s="560"/>
      <c r="CP350" s="560">
        <f t="shared" si="613"/>
        <v>0</v>
      </c>
      <c r="CQ350" s="560"/>
      <c r="CR350" s="560">
        <f ca="1">IF(B350&gt;Summary!$A$1,#N/A,CP350*MGtoAF)</f>
        <v>0</v>
      </c>
      <c r="CS350" s="560">
        <f>Sheet1!BK352+Sheet1!BL352+Sheet1!BM352-Sheet1!ER352-DA350</f>
        <v>6.5</v>
      </c>
      <c r="CT350" s="560">
        <f t="shared" si="614"/>
        <v>6.5192307692307683</v>
      </c>
      <c r="CU350" s="560">
        <f>IF(Sheet1!ER352="FM",DA350,0)</f>
        <v>0</v>
      </c>
      <c r="CV350" s="560">
        <f t="shared" si="615"/>
        <v>0</v>
      </c>
      <c r="CW350" s="560">
        <f>IF(Sheet1!ER352="OTHER",DA350,0)</f>
        <v>0</v>
      </c>
      <c r="CX350" s="560">
        <f t="shared" si="616"/>
        <v>0</v>
      </c>
      <c r="CY350" s="560">
        <f t="shared" si="617"/>
        <v>6.5</v>
      </c>
      <c r="CZ350" s="560">
        <f t="shared" si="618"/>
        <v>6.5192307692307683</v>
      </c>
      <c r="DA350" s="560">
        <f>IF(OR(Sheet1!ER352="FM", Sheet1!ER352="OTHER"),SUM(Sheet1!BK352:'Sheet1'!BM352),0)</f>
        <v>0</v>
      </c>
      <c r="DB350" s="545">
        <f>IF(AND($B350&gt;=$FV350,$B350&lt;=$FW350),MAX($CT350,Sheet1!EK352,0),MAX($CT350-(7/36)*$K350,0))</f>
        <v>0</v>
      </c>
      <c r="DC350" s="560">
        <f t="shared" si="619"/>
        <v>0</v>
      </c>
      <c r="DD350" s="545">
        <f t="shared" si="620"/>
        <v>6.5192307692307683</v>
      </c>
      <c r="DE350" s="545">
        <f>IF(AND($O350&gt;0,Sheet1!EO352=1),(1-($O350-Sheet1!$L352)/$O350)*CZ350,0)</f>
        <v>0</v>
      </c>
      <c r="DF350" s="545">
        <f>IF(AND(Sheet1!$L352=0,Sheet1!$L351=0, Calculation!CY350&lt;Sheet1!$EK352-0.1,Sheet1!$EK352=Sheet1!$EK351,Sheet1!$EK352=Sheet1!$EK353),Sheet1!$EK352,CZ350-DE350)</f>
        <v>6.5192307692307683</v>
      </c>
      <c r="DG350" s="545"/>
      <c r="DH350" s="560">
        <f t="shared" si="621"/>
        <v>8.99</v>
      </c>
      <c r="DI350" s="560">
        <f t="shared" si="622"/>
        <v>0</v>
      </c>
      <c r="DJ350" s="698">
        <f t="shared" si="623"/>
        <v>9.0165976331360937</v>
      </c>
      <c r="DK350" s="560">
        <f ca="1">IF(B350&gt;Summary!$A$1,#N/A,DI350*MGtoAF)</f>
        <v>0</v>
      </c>
      <c r="DL350" s="698">
        <f t="shared" si="624"/>
        <v>8.99</v>
      </c>
      <c r="DM350" s="560">
        <f t="shared" si="625"/>
        <v>33.800000000000004</v>
      </c>
      <c r="DN350" s="560">
        <f>Sheet1!AB352-DM350</f>
        <v>9.9999999999994316E-2</v>
      </c>
      <c r="DO350" s="560">
        <f t="shared" si="626"/>
        <v>2.9585798816566364E-3</v>
      </c>
      <c r="DP350" s="560">
        <f>(VLOOKUP(Sheet1!DC352,hhdcap_wcm,4)-(((VLOOKUP(Sheet1!DC352,hhdcap_wcm,3)-Sheet1!DC352)/(VLOOKUP(Sheet1!DC352,hhdcap_wcm,3)-VLOOKUP(Sheet1!DC352,hhdcap_wcm,1)))*(VLOOKUP(Sheet1!DC352,hhdcap_wcm,4)-VLOOKUP(Sheet1!DC352,hhdcap_wcm,2))))</f>
        <v>750.00000000264663</v>
      </c>
      <c r="DQ350" s="560">
        <f t="shared" si="627"/>
        <v>-14.199999999779493</v>
      </c>
      <c r="DR350" s="560">
        <f t="shared" si="628"/>
        <v>-7.160867372556476</v>
      </c>
      <c r="DS350" s="560">
        <f>Sheet1!EA352*AFtoMG</f>
        <v>0</v>
      </c>
      <c r="DT350" s="560">
        <f>Sheet1!EB352*AFtoMG</f>
        <v>0</v>
      </c>
      <c r="DU350" s="560">
        <f>Sheet1!EC352*AFtoMG</f>
        <v>0</v>
      </c>
      <c r="DV350" s="560">
        <f>Sheet1!ED352*AFtoMG</f>
        <v>0</v>
      </c>
      <c r="DW350" s="560">
        <f t="shared" si="629"/>
        <v>0</v>
      </c>
      <c r="DX350" s="560">
        <f t="shared" si="630"/>
        <v>0</v>
      </c>
      <c r="DY350" s="560">
        <f t="shared" si="631"/>
        <v>0</v>
      </c>
      <c r="DZ350" s="560">
        <f t="shared" si="632"/>
        <v>0</v>
      </c>
      <c r="EA350" s="560"/>
      <c r="EB350" s="545">
        <f>IF(OR(B350&lt;FV350,B350&gt;FW350),(MIN(BF350+BY350+CT350+MAX(Sheet1!AA352+AQ350-73,0),K350)),0)</f>
        <v>9.0165976331360937</v>
      </c>
      <c r="EC350" s="560"/>
      <c r="ED350" s="560">
        <f t="shared" si="633"/>
        <v>9.0165976331360937</v>
      </c>
      <c r="EE350" s="560"/>
      <c r="EF350" s="560">
        <f>Sheet1!EH352+Sheet1!EI352+Sheet1!EJ352+Sheet1!EK352</f>
        <v>9</v>
      </c>
      <c r="EG350" s="560"/>
      <c r="EH350" s="545">
        <f t="shared" si="634"/>
        <v>0</v>
      </c>
      <c r="EI350" s="560">
        <f>IF(Sheet1!ET352=1,SUM('Calculations II'!AT350:BA350)+'Calculations II'!BC350+Sheet1!BV352+'Calculations II'!BE350+AP350,SUM('Calculations II'!AT350:BA350)+'Calculations II'!BC350+Sheet1!BV352+'Calculations II'!BE350+AP350)</f>
        <v>55.247728000000002</v>
      </c>
      <c r="EJ350" s="560">
        <f>Sheet1!AA352+Sheet1!AB352+'Calculations II'!BC350</f>
        <v>60.042431999999998</v>
      </c>
      <c r="EK350" s="560"/>
      <c r="EL350" s="560"/>
      <c r="EM350" s="560">
        <f t="shared" si="635"/>
        <v>41978</v>
      </c>
      <c r="EN350" s="560">
        <f t="shared" si="636"/>
        <v>0</v>
      </c>
      <c r="EO350" s="560">
        <f t="shared" si="637"/>
        <v>0</v>
      </c>
      <c r="EP350" s="560">
        <v>0</v>
      </c>
      <c r="EQ350" s="560">
        <v>0</v>
      </c>
      <c r="ER350" s="560">
        <v>0</v>
      </c>
      <c r="ES350" s="545">
        <f t="shared" si="660"/>
        <v>-0.55427878766309846</v>
      </c>
      <c r="ET350" s="560">
        <f>-(VLOOKUP(Sheet1!BQ352,Lookup!$O$4:$Q$262,2)-VLOOKUP(Sheet1!BQ351,Lookup!$O$4:$Q$262,2))/1000000</f>
        <v>0.1385296363076344</v>
      </c>
      <c r="EU350" s="560">
        <f>-(VLOOKUP(Sheet1!BR352,Lookup!$O$4:$Q$262,3)-VLOOKUP(Sheet1!BR351,Lookup!$O$4:$Q$262,3))/1000000</f>
        <v>-0.69280842397073283</v>
      </c>
      <c r="EV350" s="560"/>
      <c r="EW350" s="560"/>
      <c r="EX350" s="560"/>
      <c r="EY350" s="560"/>
      <c r="EZ350" s="560"/>
      <c r="FA350" s="560"/>
      <c r="FB350" s="560"/>
      <c r="FC350" s="560"/>
      <c r="FD350" s="594" t="e">
        <f t="shared" si="638"/>
        <v>#N/A</v>
      </c>
      <c r="FE350" s="594" t="e">
        <f t="shared" si="639"/>
        <v>#N/A</v>
      </c>
      <c r="FF350" s="595" t="e">
        <f t="shared" si="640"/>
        <v>#N/A</v>
      </c>
      <c r="FG350" s="596" t="s">
        <v>692</v>
      </c>
      <c r="FH350" s="596" t="s">
        <v>692</v>
      </c>
      <c r="FI350" s="594" t="e">
        <v>#N/A</v>
      </c>
      <c r="FJ350" s="594" t="e">
        <v>#N/A</v>
      </c>
      <c r="FK350" s="560"/>
      <c r="FL350" s="560"/>
      <c r="FM350" s="560"/>
      <c r="FN350" s="560"/>
      <c r="FO350" s="560">
        <f>O350+((Sheet1!CS352)*GPMtoMGD)</f>
        <v>60.042431999999998</v>
      </c>
      <c r="FP350" s="560">
        <f>IF(Sheet1!AA352+AQ350&lt;=Calculation!N350,AQ350,Calculation!N350-Sheet1!AA352)</f>
        <v>23.870414201183429</v>
      </c>
      <c r="FQ350" s="560">
        <f>(Sheet1!BP352+Sheet1!BO352)/694.4</f>
        <v>2.3202764976958528</v>
      </c>
      <c r="FR350" s="560"/>
      <c r="FS350" s="560"/>
      <c r="FT350" s="560"/>
      <c r="FU350" s="560"/>
      <c r="FV350" s="695">
        <f t="shared" si="661"/>
        <v>41827</v>
      </c>
      <c r="FW350" s="695">
        <f t="shared" si="662"/>
        <v>41934</v>
      </c>
      <c r="FX350" s="560"/>
      <c r="FY350" s="560"/>
      <c r="FZ350" s="560"/>
      <c r="GA350" s="560"/>
      <c r="GB350" s="560" t="str">
        <f t="shared" si="663"/>
        <v>n</v>
      </c>
      <c r="GC350" s="564">
        <f t="shared" si="664"/>
        <v>41691</v>
      </c>
      <c r="GD350" s="695">
        <f t="shared" si="665"/>
        <v>41807</v>
      </c>
      <c r="GE350" s="560">
        <v>6518.9</v>
      </c>
      <c r="GF350" s="695">
        <f t="shared" si="666"/>
        <v>41808</v>
      </c>
      <c r="GG350" s="560">
        <f t="shared" si="686"/>
        <v>3259</v>
      </c>
      <c r="GH350" s="564">
        <f t="shared" si="667"/>
        <v>41934</v>
      </c>
      <c r="GJ350" s="545">
        <f t="shared" si="668"/>
        <v>0</v>
      </c>
      <c r="GK350" s="560" t="str">
        <f t="shared" si="641"/>
        <v/>
      </c>
      <c r="GL350" s="560">
        <f t="shared" si="669"/>
        <v>0</v>
      </c>
      <c r="GM350" s="560" t="str">
        <f t="shared" si="670"/>
        <v/>
      </c>
      <c r="GN350" s="560">
        <f>IF(GK350="P",Lookup!$M$12,IF(GK350="PP",Lookup!$M$13,IF(GK350="PPP",Lookup!$M$14,IF(GK350="T",Lookup!$M$15,IF(GK350="TP",Lookup!$M$16,IF(GK350="TPP",Lookup!$M$17,IF(GK350="TPPP",Lookup!$M$18,0)))))))*GJ350</f>
        <v>0</v>
      </c>
      <c r="GO350" s="560">
        <f t="shared" si="671"/>
        <v>0</v>
      </c>
      <c r="GP350" s="560">
        <f t="shared" si="642"/>
        <v>0</v>
      </c>
      <c r="GQ350" s="560">
        <f t="shared" si="679"/>
        <v>0</v>
      </c>
      <c r="GR350" s="560"/>
      <c r="GS350" s="560">
        <f t="shared" si="672"/>
        <v>0</v>
      </c>
      <c r="GT350" s="560" t="str">
        <f t="shared" si="673"/>
        <v/>
      </c>
      <c r="GU350" s="560">
        <f>IF(GK350="P",Lookup!$N$12,IF(GK350="PP",Lookup!$N$13,IF(GK350="PPP",Lookup!$N$14,IF(GK350="T",Lookup!$N$15,IF(GK350="TP",Lookup!$N$16,IF(GK350="TPP",Lookup!$N$17,IF(GK350="TPPP",Lookup!$N$18,0)))))))*GJ350</f>
        <v>0</v>
      </c>
      <c r="GV350" s="560">
        <f t="shared" si="674"/>
        <v>0</v>
      </c>
      <c r="GW350" s="560">
        <f t="shared" si="643"/>
        <v>0</v>
      </c>
      <c r="GX350" s="560">
        <f t="shared" si="680"/>
        <v>0</v>
      </c>
      <c r="GY350" s="560"/>
      <c r="GZ350" s="560">
        <f t="shared" si="675"/>
        <v>0</v>
      </c>
      <c r="HA350" s="560" t="str">
        <f t="shared" si="676"/>
        <v/>
      </c>
      <c r="HB350" s="560">
        <f>IF(GK350="P",Lookup!$N$12,IF(GK350="PP",Lookup!$N$13,IF(GK350="PPP",Lookup!$N$14,IF(GK350="T",Lookup!$N$15,IF(GK350="TP",Lookup!$N$16,IF(GK350="TPP",Lookup!$N$17,IF(GK350="TPPP",Lookup!$N$18,0)))))))*GJ350</f>
        <v>0</v>
      </c>
      <c r="HC350" s="545">
        <f t="shared" si="644"/>
        <v>0</v>
      </c>
      <c r="HD350" s="560">
        <f t="shared" si="645"/>
        <v>0</v>
      </c>
      <c r="HE350" s="560">
        <f t="shared" si="681"/>
        <v>0</v>
      </c>
      <c r="HF350" s="560"/>
      <c r="HG350" s="560">
        <f t="shared" si="677"/>
        <v>0</v>
      </c>
      <c r="HH350" s="560" t="str">
        <f t="shared" si="678"/>
        <v/>
      </c>
      <c r="HI350" s="560">
        <f>IF(GK350="P",Lookup!$N$12,IF(GK350="PP",Lookup!$N$13,IF(GK350="PPP",Lookup!$N$14,IF(GK350="T",Lookup!$N$15,IF(GK350="TP",Lookup!$N$16,IF(GK350="TPP",Lookup!$N$17,IF(GK350="TPPP",Lookup!$N$18,0)))))))*GJ350</f>
        <v>0</v>
      </c>
      <c r="HJ350" s="545">
        <f t="shared" si="646"/>
        <v>0</v>
      </c>
      <c r="HK350" s="560">
        <f t="shared" si="647"/>
        <v>0</v>
      </c>
      <c r="HL350" s="560">
        <f t="shared" si="682"/>
        <v>0</v>
      </c>
    </row>
    <row r="351" spans="1:220">
      <c r="A351" s="580" t="s">
        <v>9</v>
      </c>
      <c r="B351" s="556">
        <v>41979</v>
      </c>
      <c r="C351" s="561">
        <v>0</v>
      </c>
      <c r="D351" s="529">
        <f t="shared" si="684"/>
        <v>300</v>
      </c>
      <c r="E351" s="529">
        <f t="shared" si="685"/>
        <v>250</v>
      </c>
      <c r="F351" s="529">
        <v>250</v>
      </c>
      <c r="G351" s="560">
        <f>DR351+Sheet1!CZ353</f>
        <v>1060.4402420577637</v>
      </c>
      <c r="H351" s="914">
        <f t="shared" si="650"/>
        <v>418.50537246613845</v>
      </c>
      <c r="I351" s="559">
        <f>MAX(Sheet1!Z353-AT351+(Sheet1!DA353-E351)*CFStoMGD,0)</f>
        <v>796.65199999999993</v>
      </c>
      <c r="J351" s="562">
        <f>IF(AND(B351&gt;=Calculation!GC351,B351&lt;=Calculation!GD351),IF(Sheet1!DB353&gt;=Calculation!D351,64.64,0),MAX(Sheet1!Z353-AT351+(Sheet1!DB353-D351)*CFStoMGD,0))</f>
        <v>414.62959999999998</v>
      </c>
      <c r="K351" s="904">
        <f t="shared" si="583"/>
        <v>64.64</v>
      </c>
      <c r="L351" s="560">
        <f>Sheet1!AA353+Sheet1!AB353-Sheet1!L353+(Sheet1!DA353-F351)*CFStoMGD</f>
        <v>791.17200000000037</v>
      </c>
      <c r="M351" s="560">
        <f t="shared" si="584"/>
        <v>699.17794391546124</v>
      </c>
      <c r="N351" s="910">
        <f>IF(Sheet1!DA353&gt;=F351,MIN(73,MIN(MAX(L351,0),MAX(M351,0))),0)</f>
        <v>73</v>
      </c>
      <c r="O351" s="563">
        <f>Sheet1!AA353+Sheet1!AB353</f>
        <v>48.4</v>
      </c>
      <c r="P351" s="563">
        <f t="shared" si="585"/>
        <v>74.874799999999993</v>
      </c>
      <c r="Q351" s="898">
        <f t="shared" si="651"/>
        <v>0</v>
      </c>
      <c r="R351" s="829">
        <f t="shared" si="586"/>
        <v>9.035809411068362</v>
      </c>
      <c r="S351" s="898">
        <f t="shared" si="683"/>
        <v>48.4</v>
      </c>
      <c r="T351" s="898">
        <f t="shared" si="652"/>
        <v>0</v>
      </c>
      <c r="U351" s="898">
        <f t="shared" si="653"/>
        <v>0</v>
      </c>
      <c r="V351" s="898"/>
      <c r="W351" s="898">
        <f t="shared" si="654"/>
        <v>55.604190588931637</v>
      </c>
      <c r="X351" s="898">
        <f t="shared" si="655"/>
        <v>48.4</v>
      </c>
      <c r="Y351" s="898" t="str">
        <f t="shared" si="656"/>
        <v/>
      </c>
      <c r="Z351" s="898">
        <f t="shared" si="657"/>
        <v>48.4</v>
      </c>
      <c r="AA351" s="898">
        <f t="shared" si="658"/>
        <v>48.4</v>
      </c>
      <c r="AB351" s="898" t="str">
        <f t="shared" si="659"/>
        <v/>
      </c>
      <c r="AC351" s="563">
        <f>Sheet1!Y353*MGDtoCFS</f>
        <v>3016.65</v>
      </c>
      <c r="AD351" s="563">
        <f>Sheet1!Z353*MGDtoCFS</f>
        <v>52.443299999999994</v>
      </c>
      <c r="AE351" s="563">
        <f>Sheet1!AA353*MGDtoCFS</f>
        <v>22.276799999999998</v>
      </c>
      <c r="AF351" s="563">
        <f>Sheet1!AB353*MGDtoCFS</f>
        <v>52.597999999999999</v>
      </c>
      <c r="AG351" s="563">
        <f>Sheet1!L353*MGDtoCFS</f>
        <v>30.909059999999322</v>
      </c>
      <c r="AH351" s="545">
        <f t="shared" si="587"/>
        <v>0</v>
      </c>
      <c r="AI351" s="560">
        <f t="shared" si="588"/>
        <v>0</v>
      </c>
      <c r="AJ351" s="560">
        <f t="shared" si="589"/>
        <v>0</v>
      </c>
      <c r="AK351" s="560">
        <f t="shared" si="590"/>
        <v>0</v>
      </c>
      <c r="AL351" s="560">
        <f>(VLOOKUP(Sheet1!DC353,hhdcap_wcm,4)-(((VLOOKUP(Sheet1!DC353,hhdcap_wcm,3)-Sheet1!DC353)/(VLOOKUP(Sheet1!DC353,hhdcap_wcm,3)-VLOOKUP(Sheet1!DC353,hhdcap_wcm,1)))*(VLOOKUP(Sheet1!DC353,hhdcap_wcm,4)-VLOOKUP(Sheet1!DC353,hhdcap_wcm,2))))</f>
        <v>1086.0000000031923</v>
      </c>
      <c r="AM351" s="560">
        <f t="shared" si="591"/>
        <v>336.0000000005457</v>
      </c>
      <c r="AN351" s="560">
        <f t="shared" si="592"/>
        <v>0</v>
      </c>
      <c r="AO351" s="560">
        <f t="shared" si="593"/>
        <v>0</v>
      </c>
      <c r="AP351" s="560">
        <f>Sheet1!BA353+Sheet1!BB353+Sheet1!BN353+CD351</f>
        <v>24.810000000000002</v>
      </c>
      <c r="AQ351" s="560">
        <f>Sheet1!BN353+(DO351*Sheet1!BN353)</f>
        <v>23.947913583900558</v>
      </c>
      <c r="AR351" s="560">
        <f>Sheet1!BA353+CD351</f>
        <v>0</v>
      </c>
      <c r="AS351" s="560">
        <f>Sheet1!BA353+Sheet1!BB353+CD351</f>
        <v>1.01</v>
      </c>
      <c r="AT351" s="698">
        <f>0</f>
        <v>0</v>
      </c>
      <c r="AU351" s="560">
        <f>IF(EB351&lt;K351,0,MAX(Sheet1!AA353+AQ351-15/36*K351-N351,Sheet1!EH353,0))</f>
        <v>0</v>
      </c>
      <c r="AV351" s="560">
        <f>IF(OR(B351&gt;=GD351,B351&lt;GC351),0,15/36*K351-MAX(0,64.6-(137.6-(Sheet1!AA353+Sheet1!AB353))))</f>
        <v>0</v>
      </c>
      <c r="AW351" s="698">
        <f>Sheet1!DB353-110</f>
        <v>779</v>
      </c>
      <c r="AX351" s="698">
        <f>Sheet1!DA353-265</f>
        <v>1165</v>
      </c>
      <c r="AY351" s="698">
        <f t="shared" si="594"/>
        <v>73</v>
      </c>
      <c r="AZ351" s="698">
        <v>0</v>
      </c>
      <c r="BA351" s="698">
        <f t="shared" si="595"/>
        <v>0</v>
      </c>
      <c r="BB351" s="560">
        <f t="shared" si="596"/>
        <v>0</v>
      </c>
      <c r="BC351" s="560"/>
      <c r="BD351" s="560">
        <f ca="1">IF(B351&gt;Summary!$A$1,#N/A,BB351*MGtoAF)</f>
        <v>0</v>
      </c>
      <c r="BE351" s="560">
        <f>Sheet1!BG353+Sheet1!BH353+Sheet1!BI353-BM351</f>
        <v>0</v>
      </c>
      <c r="BF351" s="560">
        <f t="shared" si="597"/>
        <v>0</v>
      </c>
      <c r="BG351" s="560">
        <f>IF(Sheet1!EP353="FM",BM351,0)</f>
        <v>0</v>
      </c>
      <c r="BH351" s="560">
        <f t="shared" si="598"/>
        <v>0</v>
      </c>
      <c r="BI351" s="560">
        <f>IF(Sheet1!EP353="OTHER",BM351,0)</f>
        <v>0</v>
      </c>
      <c r="BJ351" s="560">
        <f t="shared" si="599"/>
        <v>0</v>
      </c>
      <c r="BK351" s="560">
        <f t="shared" si="600"/>
        <v>0</v>
      </c>
      <c r="BL351" s="560">
        <f t="shared" si="601"/>
        <v>0</v>
      </c>
      <c r="BM351" s="560">
        <f>IF(OR(Sheet1!EP353="FM", Sheet1!EP353="OTHER"),SUM(Sheet1!BG353:'Sheet1'!BI353),0)</f>
        <v>0</v>
      </c>
      <c r="BN351" s="545">
        <f>IF(AND($B351&gt;=$FV351,$B351&lt;=$FW351),MAX(BF351,Sheet1!EI353,0),MAX(BF351-(7/36)*$K351,0))</f>
        <v>0</v>
      </c>
      <c r="BO351" s="560">
        <f t="shared" si="602"/>
        <v>0</v>
      </c>
      <c r="BP351" s="545">
        <f t="shared" si="603"/>
        <v>0</v>
      </c>
      <c r="BQ351" s="545">
        <f>IF(AND($O351&gt;0,Sheet1!EM353=1),(1-($O351-Sheet1!$L353)/$O351)*BL351,0)</f>
        <v>0</v>
      </c>
      <c r="BR351" s="545">
        <f>IF(AND(Sheet1!$L353=0,Sheet1!$L352=0, Calculation!BK351&lt;Sheet1!$EI353-0.1,Sheet1!$EI353=Sheet1!$EI352,Sheet1!$EI353=Sheet1!$EI354),Sheet1!$EI353,BL351-BQ351)</f>
        <v>0</v>
      </c>
      <c r="BS351" s="560"/>
      <c r="BT351" s="560"/>
      <c r="BU351" s="560">
        <f t="shared" si="604"/>
        <v>0</v>
      </c>
      <c r="BV351" s="560"/>
      <c r="BW351" s="560">
        <f ca="1">IF(B351&gt;Summary!$A$1,#N/A,BU351*MGtoAF)</f>
        <v>0</v>
      </c>
      <c r="BX351" s="560">
        <f>Sheet1!BC353+Sheet1!BD353+Sheet1!BE353+Sheet1!BF353-CG351-CH351</f>
        <v>2.4900000000000002</v>
      </c>
      <c r="BY351" s="560">
        <f t="shared" si="605"/>
        <v>2.5054749926013611</v>
      </c>
      <c r="BZ351" s="560">
        <f>IF(Sheet1!EQ353="FM",CH351,0)</f>
        <v>0</v>
      </c>
      <c r="CA351" s="560">
        <f t="shared" si="606"/>
        <v>0</v>
      </c>
      <c r="CB351" s="560">
        <f>IF(Sheet1!EQ353="OTHER",CH351,0)</f>
        <v>0</v>
      </c>
      <c r="CC351" s="560">
        <f t="shared" si="607"/>
        <v>0</v>
      </c>
      <c r="CD351" s="560">
        <f t="shared" si="608"/>
        <v>0</v>
      </c>
      <c r="CE351" s="560">
        <f t="shared" si="609"/>
        <v>2.4900000000000002</v>
      </c>
      <c r="CF351" s="560">
        <f t="shared" si="610"/>
        <v>2.5054749926013611</v>
      </c>
      <c r="CG351" s="560">
        <f>IF(Sheet1!EQ353="CWA",SUM(Sheet1!BC353:'Sheet1'!BF353),0)</f>
        <v>0</v>
      </c>
      <c r="CH351" s="560">
        <f>IF(OR(Sheet1!EQ353="FM", Sheet1!EQ353="OTHER"),SUM(Sheet1!BC353:'Sheet1'!BF353),0)</f>
        <v>0</v>
      </c>
      <c r="CI351" s="545">
        <f>IF(AND($B351&gt;=$FV351,$B351&lt;=$FW351),MAX(CF351,Sheet1!EJ353,0),MAX(CF351-(7/36)*$K351,0))</f>
        <v>0</v>
      </c>
      <c r="CJ351" s="560">
        <f t="shared" si="611"/>
        <v>0</v>
      </c>
      <c r="CK351" s="545">
        <f t="shared" si="612"/>
        <v>2.5054749926013611</v>
      </c>
      <c r="CL351" s="545">
        <f>IF(AND($O351&gt;0,Sheet1!EN353=1),(1-($O351-Sheet1!$L353)/$O351)*CF351,0)</f>
        <v>0</v>
      </c>
      <c r="CM351" s="545">
        <f>IF(AND(Sheet1!$L353=0,Sheet1!$L352=0, Calculation!CE351&lt;Sheet1!EJ353-0.1,Sheet1!EJ353=Sheet1!EJ352,Sheet1!EJ353=Sheet1!EJ354),Sheet1!EJ353,CF351-CL351)</f>
        <v>2.5054749926013611</v>
      </c>
      <c r="CN351" s="545"/>
      <c r="CO351" s="560"/>
      <c r="CP351" s="560">
        <f t="shared" si="613"/>
        <v>0</v>
      </c>
      <c r="CQ351" s="560"/>
      <c r="CR351" s="560">
        <f ca="1">IF(B351&gt;Summary!$A$1,#N/A,CP351*MGtoAF)</f>
        <v>0</v>
      </c>
      <c r="CS351" s="560">
        <f>Sheet1!BK353+Sheet1!BL353+Sheet1!BM353-Sheet1!ER353-DA351</f>
        <v>6.49</v>
      </c>
      <c r="CT351" s="560">
        <f t="shared" si="614"/>
        <v>6.5303344184670014</v>
      </c>
      <c r="CU351" s="560">
        <f>IF(Sheet1!ER353="FM",DA351,0)</f>
        <v>0</v>
      </c>
      <c r="CV351" s="560">
        <f t="shared" si="615"/>
        <v>0</v>
      </c>
      <c r="CW351" s="560">
        <f>IF(Sheet1!ER353="OTHER",DA351,0)</f>
        <v>0</v>
      </c>
      <c r="CX351" s="560">
        <f t="shared" si="616"/>
        <v>0</v>
      </c>
      <c r="CY351" s="560">
        <f t="shared" si="617"/>
        <v>6.49</v>
      </c>
      <c r="CZ351" s="560">
        <f t="shared" si="618"/>
        <v>6.5303344184670014</v>
      </c>
      <c r="DA351" s="560">
        <f>IF(OR(Sheet1!ER353="FM", Sheet1!ER353="OTHER"),SUM(Sheet1!BK353:'Sheet1'!BM353),0)</f>
        <v>0</v>
      </c>
      <c r="DB351" s="545">
        <f>IF(AND($B351&gt;=$FV351,$B351&lt;=$FW351),MAX($CT351,Sheet1!EK353,0),MAX($CT351-(7/36)*$K351,0))</f>
        <v>0</v>
      </c>
      <c r="DC351" s="560">
        <f t="shared" si="619"/>
        <v>0</v>
      </c>
      <c r="DD351" s="545">
        <f t="shared" si="620"/>
        <v>6.5303344184670014</v>
      </c>
      <c r="DE351" s="545">
        <f>IF(AND($O351&gt;0,Sheet1!EO353=1),(1-($O351-Sheet1!$L353)/$O351)*CZ351,0)</f>
        <v>0</v>
      </c>
      <c r="DF351" s="545">
        <f>IF(AND(Sheet1!$L353=0,Sheet1!$L352=0, Calculation!CY351&lt;Sheet1!$EK353-0.1,Sheet1!$EK353=Sheet1!$EK352,Sheet1!$EK353=Sheet1!$EK354),Sheet1!$EK353,CZ351-DE351)</f>
        <v>6.5303344184670014</v>
      </c>
      <c r="DG351" s="545"/>
      <c r="DH351" s="560">
        <f t="shared" si="621"/>
        <v>8.98</v>
      </c>
      <c r="DI351" s="560">
        <f t="shared" si="622"/>
        <v>0</v>
      </c>
      <c r="DJ351" s="698">
        <f t="shared" si="623"/>
        <v>9.035809411068362</v>
      </c>
      <c r="DK351" s="560">
        <f ca="1">IF(B351&gt;Summary!$A$1,#N/A,DI351*MGtoAF)</f>
        <v>0</v>
      </c>
      <c r="DL351" s="698">
        <f t="shared" si="624"/>
        <v>8.98</v>
      </c>
      <c r="DM351" s="560">
        <f t="shared" si="625"/>
        <v>33.790000000000006</v>
      </c>
      <c r="DN351" s="560">
        <f>Sheet1!AB353-DM351</f>
        <v>0.20999999999999375</v>
      </c>
      <c r="DO351" s="560">
        <f t="shared" si="626"/>
        <v>6.2148564664099943E-3</v>
      </c>
      <c r="DP351" s="560">
        <f>(VLOOKUP(Sheet1!DC353,hhdcap_wcm,4)-(((VLOOKUP(Sheet1!DC353,hhdcap_wcm,3)-Sheet1!DC353)/(VLOOKUP(Sheet1!DC353,hhdcap_wcm,3)-VLOOKUP(Sheet1!DC353,hhdcap_wcm,1)))*(VLOOKUP(Sheet1!DC353,hhdcap_wcm,4)-VLOOKUP(Sheet1!DC353,hhdcap_wcm,2))))</f>
        <v>1086.0000000031923</v>
      </c>
      <c r="DQ351" s="560">
        <f t="shared" si="627"/>
        <v>336.0000000005457</v>
      </c>
      <c r="DR351" s="560">
        <f t="shared" si="628"/>
        <v>169.44024205776381</v>
      </c>
      <c r="DS351" s="560">
        <f>Sheet1!EA353*AFtoMG</f>
        <v>0</v>
      </c>
      <c r="DT351" s="560">
        <f>Sheet1!EB353*AFtoMG</f>
        <v>0</v>
      </c>
      <c r="DU351" s="560">
        <f>Sheet1!EC353*AFtoMG</f>
        <v>0</v>
      </c>
      <c r="DV351" s="560">
        <f>Sheet1!ED353*AFtoMG</f>
        <v>0</v>
      </c>
      <c r="DW351" s="560">
        <f t="shared" si="629"/>
        <v>0</v>
      </c>
      <c r="DX351" s="560">
        <f t="shared" si="630"/>
        <v>0</v>
      </c>
      <c r="DY351" s="560">
        <f t="shared" si="631"/>
        <v>0</v>
      </c>
      <c r="DZ351" s="560">
        <f t="shared" si="632"/>
        <v>0</v>
      </c>
      <c r="EA351" s="560"/>
      <c r="EB351" s="545">
        <f>IF(OR(B351&lt;FV351,B351&gt;FW351),(MIN(BF351+BY351+CT351+MAX(Sheet1!AA353+AQ351-73,0),K351)),0)</f>
        <v>9.035809411068362</v>
      </c>
      <c r="EC351" s="560"/>
      <c r="ED351" s="560">
        <f t="shared" si="633"/>
        <v>9.035809411068362</v>
      </c>
      <c r="EE351" s="560"/>
      <c r="EF351" s="560">
        <f>Sheet1!EH353+Sheet1!EI353+Sheet1!EJ353+Sheet1!EK353</f>
        <v>9</v>
      </c>
      <c r="EG351" s="560"/>
      <c r="EH351" s="545">
        <f t="shared" si="634"/>
        <v>0</v>
      </c>
      <c r="EI351" s="560">
        <f>IF(Sheet1!ET353=1,SUM('Calculations II'!AT351:BA351)+'Calculations II'!BC351+Sheet1!BV353+'Calculations II'!BE351+AP351,SUM('Calculations II'!AT351:BA351)+'Calculations II'!BC351+Sheet1!BV353+'Calculations II'!BE351+AP351)</f>
        <v>56.319616000000011</v>
      </c>
      <c r="EJ351" s="560">
        <f>Sheet1!AA353+Sheet1!AB353+'Calculations II'!BC351</f>
        <v>58.263711999999998</v>
      </c>
      <c r="EK351" s="560"/>
      <c r="EL351" s="560"/>
      <c r="EM351" s="560">
        <f t="shared" si="635"/>
        <v>41979</v>
      </c>
      <c r="EN351" s="560">
        <f t="shared" si="636"/>
        <v>0</v>
      </c>
      <c r="EO351" s="560">
        <f t="shared" si="637"/>
        <v>0</v>
      </c>
      <c r="EP351" s="560">
        <v>0</v>
      </c>
      <c r="EQ351" s="560">
        <v>0</v>
      </c>
      <c r="ER351" s="560">
        <v>0</v>
      </c>
      <c r="ES351" s="545">
        <f t="shared" si="660"/>
        <v>2.2165190614550152</v>
      </c>
      <c r="ET351" s="560">
        <f>-(VLOOKUP(Sheet1!BQ353,Lookup!$O$4:$Q$262,2)-VLOOKUP(Sheet1!BQ352,Lookup!$O$4:$Q$262,2))/1000000</f>
        <v>0.69255204612907395</v>
      </c>
      <c r="EU351" s="560">
        <f>-(VLOOKUP(Sheet1!BR353,Lookup!$O$4:$Q$262,3)-VLOOKUP(Sheet1!BR352,Lookup!$O$4:$Q$262,3))/1000000</f>
        <v>1.5239670153259413</v>
      </c>
      <c r="EV351" s="560"/>
      <c r="EW351" s="560"/>
      <c r="EX351" s="560"/>
      <c r="EY351" s="560"/>
      <c r="EZ351" s="560"/>
      <c r="FA351" s="560"/>
      <c r="FB351" s="560"/>
      <c r="FC351" s="560"/>
      <c r="FD351" s="594" t="e">
        <f t="shared" si="638"/>
        <v>#N/A</v>
      </c>
      <c r="FE351" s="594" t="e">
        <f t="shared" si="639"/>
        <v>#N/A</v>
      </c>
      <c r="FF351" s="595" t="e">
        <f t="shared" si="640"/>
        <v>#N/A</v>
      </c>
      <c r="FG351" s="596" t="s">
        <v>692</v>
      </c>
      <c r="FH351" s="596" t="s">
        <v>692</v>
      </c>
      <c r="FI351" s="594" t="e">
        <v>#N/A</v>
      </c>
      <c r="FJ351" s="594" t="e">
        <v>#N/A</v>
      </c>
      <c r="FK351" s="560"/>
      <c r="FL351" s="560"/>
      <c r="FM351" s="560"/>
      <c r="FN351" s="560"/>
      <c r="FO351" s="560">
        <f>O351+((Sheet1!CS353)*GPMtoMGD)</f>
        <v>58.263711999999998</v>
      </c>
      <c r="FP351" s="560">
        <f>IF(Sheet1!AA353+AQ351&lt;=Calculation!N351,AQ351,Calculation!N351-Sheet1!AA353)</f>
        <v>23.947913583900558</v>
      </c>
      <c r="FQ351" s="560">
        <f>(Sheet1!BP353+Sheet1!BO353)/694.4</f>
        <v>1.852246543778802</v>
      </c>
      <c r="FR351" s="560"/>
      <c r="FS351" s="560"/>
      <c r="FT351" s="560"/>
      <c r="FU351" s="560"/>
      <c r="FV351" s="695">
        <f t="shared" si="661"/>
        <v>41827</v>
      </c>
      <c r="FW351" s="695">
        <f t="shared" si="662"/>
        <v>41934</v>
      </c>
      <c r="FX351" s="560"/>
      <c r="FY351" s="560"/>
      <c r="FZ351" s="560"/>
      <c r="GA351" s="560"/>
      <c r="GB351" s="560" t="str">
        <f t="shared" si="663"/>
        <v>n</v>
      </c>
      <c r="GC351" s="564">
        <f t="shared" si="664"/>
        <v>41691</v>
      </c>
      <c r="GD351" s="695">
        <f t="shared" si="665"/>
        <v>41807</v>
      </c>
      <c r="GE351" s="560">
        <v>6518.9</v>
      </c>
      <c r="GF351" s="695">
        <f t="shared" si="666"/>
        <v>41808</v>
      </c>
      <c r="GG351" s="560">
        <f t="shared" si="686"/>
        <v>3259</v>
      </c>
      <c r="GH351" s="564">
        <f t="shared" si="667"/>
        <v>41934</v>
      </c>
      <c r="GJ351" s="545">
        <f t="shared" si="668"/>
        <v>0</v>
      </c>
      <c r="GK351" s="560" t="str">
        <f t="shared" si="641"/>
        <v/>
      </c>
      <c r="GL351" s="560">
        <f t="shared" si="669"/>
        <v>0</v>
      </c>
      <c r="GM351" s="560" t="str">
        <f t="shared" si="670"/>
        <v/>
      </c>
      <c r="GN351" s="560">
        <f>IF(GK351="P",Lookup!$M$12,IF(GK351="PP",Lookup!$M$13,IF(GK351="PPP",Lookup!$M$14,IF(GK351="T",Lookup!$M$15,IF(GK351="TP",Lookup!$M$16,IF(GK351="TPP",Lookup!$M$17,IF(GK351="TPPP",Lookup!$M$18,0)))))))*GJ351</f>
        <v>0</v>
      </c>
      <c r="GO351" s="560">
        <f t="shared" si="671"/>
        <v>0</v>
      </c>
      <c r="GP351" s="560">
        <f t="shared" si="642"/>
        <v>0</v>
      </c>
      <c r="GQ351" s="560">
        <f t="shared" si="679"/>
        <v>0</v>
      </c>
      <c r="GR351" s="560"/>
      <c r="GS351" s="560">
        <f t="shared" si="672"/>
        <v>0</v>
      </c>
      <c r="GT351" s="560" t="str">
        <f t="shared" si="673"/>
        <v/>
      </c>
      <c r="GU351" s="560">
        <f>IF(GK351="P",Lookup!$N$12,IF(GK351="PP",Lookup!$N$13,IF(GK351="PPP",Lookup!$N$14,IF(GK351="T",Lookup!$N$15,IF(GK351="TP",Lookup!$N$16,IF(GK351="TPP",Lookup!$N$17,IF(GK351="TPPP",Lookup!$N$18,0)))))))*GJ351</f>
        <v>0</v>
      </c>
      <c r="GV351" s="560">
        <f t="shared" si="674"/>
        <v>0</v>
      </c>
      <c r="GW351" s="560">
        <f t="shared" si="643"/>
        <v>0</v>
      </c>
      <c r="GX351" s="560">
        <f t="shared" si="680"/>
        <v>0</v>
      </c>
      <c r="GY351" s="560"/>
      <c r="GZ351" s="560">
        <f t="shared" si="675"/>
        <v>0</v>
      </c>
      <c r="HA351" s="560" t="str">
        <f t="shared" si="676"/>
        <v/>
      </c>
      <c r="HB351" s="560">
        <f>IF(GK351="P",Lookup!$N$12,IF(GK351="PP",Lookup!$N$13,IF(GK351="PPP",Lookup!$N$14,IF(GK351="T",Lookup!$N$15,IF(GK351="TP",Lookup!$N$16,IF(GK351="TPP",Lookup!$N$17,IF(GK351="TPPP",Lookup!$N$18,0)))))))*GJ351</f>
        <v>0</v>
      </c>
      <c r="HC351" s="545">
        <f t="shared" si="644"/>
        <v>0</v>
      </c>
      <c r="HD351" s="560">
        <f t="shared" si="645"/>
        <v>0</v>
      </c>
      <c r="HE351" s="560">
        <f t="shared" si="681"/>
        <v>0</v>
      </c>
      <c r="HF351" s="560"/>
      <c r="HG351" s="560">
        <f t="shared" si="677"/>
        <v>0</v>
      </c>
      <c r="HH351" s="560" t="str">
        <f t="shared" si="678"/>
        <v/>
      </c>
      <c r="HI351" s="560">
        <f>IF(GK351="P",Lookup!$N$12,IF(GK351="PP",Lookup!$N$13,IF(GK351="PPP",Lookup!$N$14,IF(GK351="T",Lookup!$N$15,IF(GK351="TP",Lookup!$N$16,IF(GK351="TPP",Lookup!$N$17,IF(GK351="TPPP",Lookup!$N$18,0)))))))*GJ351</f>
        <v>0</v>
      </c>
      <c r="HJ351" s="545">
        <f t="shared" si="646"/>
        <v>0</v>
      </c>
      <c r="HK351" s="560">
        <f t="shared" si="647"/>
        <v>0</v>
      </c>
      <c r="HL351" s="560">
        <f t="shared" si="682"/>
        <v>0</v>
      </c>
    </row>
    <row r="352" spans="1:220">
      <c r="A352" s="580" t="s">
        <v>3</v>
      </c>
      <c r="B352" s="556">
        <v>41980</v>
      </c>
      <c r="C352" s="561">
        <v>0</v>
      </c>
      <c r="D352" s="529">
        <f t="shared" si="684"/>
        <v>300</v>
      </c>
      <c r="E352" s="529">
        <f t="shared" si="685"/>
        <v>250</v>
      </c>
      <c r="F352" s="529">
        <v>250</v>
      </c>
      <c r="G352" s="560">
        <f>DR352+Sheet1!CZ354</f>
        <v>1019.4644478065902</v>
      </c>
      <c r="H352" s="914">
        <f t="shared" si="650"/>
        <v>392.01861906217988</v>
      </c>
      <c r="I352" s="559">
        <f>MAX(Sheet1!Z354-AT352+(Sheet1!DA354-E352)*CFStoMGD,0)</f>
        <v>764.43200000000002</v>
      </c>
      <c r="J352" s="562">
        <f>IF(AND(B352&gt;=Calculation!GC352,B352&lt;=Calculation!GD352),IF(Sheet1!DB354&gt;=Calculation!D352,64.64,0),MAX(Sheet1!Z354-AT352+(Sheet1!DB354-D352)*CFStoMGD,0))</f>
        <v>428.30399999999997</v>
      </c>
      <c r="K352" s="904">
        <f t="shared" si="583"/>
        <v>64.64</v>
      </c>
      <c r="L352" s="560">
        <f>Sheet1!AA354+Sheet1!AB354-Sheet1!L354+(Sheet1!DA354-F352)*CFStoMGD</f>
        <v>772.63200000000006</v>
      </c>
      <c r="M352" s="560">
        <f t="shared" si="584"/>
        <v>672.16145544342351</v>
      </c>
      <c r="N352" s="910">
        <f>IF(Sheet1!DA354&gt;=F352,MIN(73,MIN(MAX(L352,0),MAX(M352,0))),0)</f>
        <v>73</v>
      </c>
      <c r="O352" s="563">
        <f>Sheet1!AA354+Sheet1!AB354</f>
        <v>42.2</v>
      </c>
      <c r="P352" s="563">
        <f t="shared" si="585"/>
        <v>65.2834</v>
      </c>
      <c r="Q352" s="898">
        <f t="shared" si="651"/>
        <v>0</v>
      </c>
      <c r="R352" s="829">
        <f t="shared" si="586"/>
        <v>9.0011278195488718</v>
      </c>
      <c r="S352" s="898">
        <f t="shared" si="683"/>
        <v>42.2</v>
      </c>
      <c r="T352" s="898">
        <f t="shared" si="652"/>
        <v>0</v>
      </c>
      <c r="U352" s="898">
        <f t="shared" si="653"/>
        <v>0</v>
      </c>
      <c r="V352" s="898"/>
      <c r="W352" s="898">
        <f t="shared" si="654"/>
        <v>55.638872180451131</v>
      </c>
      <c r="X352" s="898">
        <f t="shared" si="655"/>
        <v>42.2</v>
      </c>
      <c r="Y352" s="898" t="str">
        <f t="shared" si="656"/>
        <v/>
      </c>
      <c r="Z352" s="898">
        <f t="shared" si="657"/>
        <v>42.2</v>
      </c>
      <c r="AA352" s="898">
        <f t="shared" si="658"/>
        <v>42.2</v>
      </c>
      <c r="AB352" s="898" t="str">
        <f t="shared" si="659"/>
        <v/>
      </c>
      <c r="AC352" s="563">
        <f>Sheet1!Y354*MGDtoCFS</f>
        <v>22.276799999999998</v>
      </c>
      <c r="AD352" s="563">
        <f>Sheet1!Z354*MGDtoCFS</f>
        <v>52.597999999999999</v>
      </c>
      <c r="AE352" s="563">
        <f>Sheet1!AA354*MGDtoCFS</f>
        <v>11.602499999999999</v>
      </c>
      <c r="AF352" s="563">
        <f>Sheet1!AB354*MGDtoCFS</f>
        <v>53.680900000000001</v>
      </c>
      <c r="AG352" s="563">
        <f>Sheet1!L354*MGDtoCFS</f>
        <v>0</v>
      </c>
      <c r="AH352" s="545">
        <f t="shared" si="587"/>
        <v>0</v>
      </c>
      <c r="AI352" s="560">
        <f t="shared" si="588"/>
        <v>0</v>
      </c>
      <c r="AJ352" s="560">
        <f t="shared" si="589"/>
        <v>0</v>
      </c>
      <c r="AK352" s="560">
        <f t="shared" si="590"/>
        <v>0</v>
      </c>
      <c r="AL352" s="560">
        <f>(VLOOKUP(Sheet1!DC354,hhdcap_wcm,4)-(((VLOOKUP(Sheet1!DC354,hhdcap_wcm,3)-Sheet1!DC354)/(VLOOKUP(Sheet1!DC354,hhdcap_wcm,3)-VLOOKUP(Sheet1!DC354,hhdcap_wcm,1)))*(VLOOKUP(Sheet1!DC354,hhdcap_wcm,4)-VLOOKUP(Sheet1!DC354,hhdcap_wcm,2))))</f>
        <v>1311.0000000036607</v>
      </c>
      <c r="AM352" s="560">
        <f t="shared" si="591"/>
        <v>225.00000000046839</v>
      </c>
      <c r="AN352" s="560">
        <f t="shared" si="592"/>
        <v>0</v>
      </c>
      <c r="AO352" s="560">
        <f t="shared" si="593"/>
        <v>0</v>
      </c>
      <c r="AP352" s="560">
        <f>Sheet1!BA354+Sheet1!BB354+Sheet1!BN354+CD352</f>
        <v>25.610000000000003</v>
      </c>
      <c r="AQ352" s="560">
        <f>Sheet1!BN354+(DO352*Sheet1!BN354)</f>
        <v>24.685367264314632</v>
      </c>
      <c r="AR352" s="560">
        <f>Sheet1!BA354+CD352</f>
        <v>0</v>
      </c>
      <c r="AS352" s="560">
        <f>Sheet1!BA354+Sheet1!BB354+CD352</f>
        <v>1.01</v>
      </c>
      <c r="AT352" s="698">
        <f>0</f>
        <v>0</v>
      </c>
      <c r="AU352" s="560">
        <f>IF(EB352&lt;K352,0,MAX(Sheet1!AA354+AQ352-15/36*K352-N352,Sheet1!EH354,0))</f>
        <v>0</v>
      </c>
      <c r="AV352" s="560">
        <f>IF(OR(B352&gt;=GD352,B352&lt;GC352),0,15/36*K352-MAX(0,64.6-(137.6-(Sheet1!AA354+Sheet1!AB354))))</f>
        <v>0</v>
      </c>
      <c r="AW352" s="698">
        <f>Sheet1!DB354-110</f>
        <v>800</v>
      </c>
      <c r="AX352" s="698">
        <f>Sheet1!DA354-265</f>
        <v>1115</v>
      </c>
      <c r="AY352" s="698">
        <f t="shared" si="594"/>
        <v>73</v>
      </c>
      <c r="AZ352" s="698">
        <v>0</v>
      </c>
      <c r="BA352" s="698">
        <f t="shared" si="595"/>
        <v>0</v>
      </c>
      <c r="BB352" s="560">
        <f t="shared" si="596"/>
        <v>0</v>
      </c>
      <c r="BC352" s="560"/>
      <c r="BD352" s="560">
        <f ca="1">IF(B352&gt;Summary!$A$1,#N/A,BB352*MGtoAF)</f>
        <v>0</v>
      </c>
      <c r="BE352" s="560">
        <f>Sheet1!BG354+Sheet1!BH354+Sheet1!BI354-BM352</f>
        <v>0</v>
      </c>
      <c r="BF352" s="560">
        <f t="shared" si="597"/>
        <v>0</v>
      </c>
      <c r="BG352" s="560">
        <f>IF(Sheet1!EP354="FM",BM352,0)</f>
        <v>0</v>
      </c>
      <c r="BH352" s="560">
        <f t="shared" si="598"/>
        <v>0</v>
      </c>
      <c r="BI352" s="560">
        <f>IF(Sheet1!EP354="OTHER",BM352,0)</f>
        <v>0</v>
      </c>
      <c r="BJ352" s="560">
        <f t="shared" si="599"/>
        <v>0</v>
      </c>
      <c r="BK352" s="560">
        <f t="shared" si="600"/>
        <v>0</v>
      </c>
      <c r="BL352" s="560">
        <f t="shared" si="601"/>
        <v>0</v>
      </c>
      <c r="BM352" s="560">
        <f>IF(OR(Sheet1!EP354="FM", Sheet1!EP354="OTHER"),SUM(Sheet1!BG354:'Sheet1'!BI354),0)</f>
        <v>0</v>
      </c>
      <c r="BN352" s="545">
        <f>IF(AND($B352&gt;=$FV352,$B352&lt;=$FW352),MAX(BF352,Sheet1!EI354,0),MAX(BF352-(7/36)*$K352,0))</f>
        <v>0</v>
      </c>
      <c r="BO352" s="560">
        <f t="shared" si="602"/>
        <v>0</v>
      </c>
      <c r="BP352" s="545">
        <f t="shared" si="603"/>
        <v>0</v>
      </c>
      <c r="BQ352" s="545">
        <f>IF(AND($O352&gt;0,Sheet1!EM354=1),(1-($O352-Sheet1!$L354)/$O352)*BL352,0)</f>
        <v>0</v>
      </c>
      <c r="BR352" s="545">
        <f>IF(AND(Sheet1!$L354=0,Sheet1!$L353=0, Calculation!BK352&lt;Sheet1!$EI354-0.1,Sheet1!$EI354=Sheet1!$EI353,Sheet1!$EI354=Sheet1!$EI355),Sheet1!$EI354,BL352-BQ352)</f>
        <v>0</v>
      </c>
      <c r="BS352" s="560"/>
      <c r="BT352" s="560"/>
      <c r="BU352" s="560">
        <f t="shared" si="604"/>
        <v>0</v>
      </c>
      <c r="BV352" s="560"/>
      <c r="BW352" s="560">
        <f ca="1">IF(B352&gt;Summary!$A$1,#N/A,BU352*MGtoAF)</f>
        <v>0</v>
      </c>
      <c r="BX352" s="560">
        <f>Sheet1!BC354+Sheet1!BD354+Sheet1!BE354+Sheet1!BF354-CG352-CH352</f>
        <v>2.48</v>
      </c>
      <c r="BY352" s="560">
        <f t="shared" si="605"/>
        <v>2.4886061307113936</v>
      </c>
      <c r="BZ352" s="560">
        <f>IF(Sheet1!EQ354="FM",CH352,0)</f>
        <v>0</v>
      </c>
      <c r="CA352" s="560">
        <f t="shared" si="606"/>
        <v>0</v>
      </c>
      <c r="CB352" s="560">
        <f>IF(Sheet1!EQ354="OTHER",CH352,0)</f>
        <v>0</v>
      </c>
      <c r="CC352" s="560">
        <f t="shared" si="607"/>
        <v>0</v>
      </c>
      <c r="CD352" s="560">
        <f t="shared" si="608"/>
        <v>0</v>
      </c>
      <c r="CE352" s="560">
        <f t="shared" si="609"/>
        <v>2.48</v>
      </c>
      <c r="CF352" s="560">
        <f t="shared" si="610"/>
        <v>2.4886061307113936</v>
      </c>
      <c r="CG352" s="560">
        <f>IF(Sheet1!EQ354="CWA",SUM(Sheet1!BC354:'Sheet1'!BF354),0)</f>
        <v>0</v>
      </c>
      <c r="CH352" s="560">
        <f>IF(OR(Sheet1!EQ354="FM", Sheet1!EQ354="OTHER"),SUM(Sheet1!BC354:'Sheet1'!BF354),0)</f>
        <v>0</v>
      </c>
      <c r="CI352" s="545">
        <f>IF(AND($B352&gt;=$FV352,$B352&lt;=$FW352),MAX(CF352,Sheet1!EJ354,0),MAX(CF352-(7/36)*$K352,0))</f>
        <v>0</v>
      </c>
      <c r="CJ352" s="560">
        <f t="shared" si="611"/>
        <v>0</v>
      </c>
      <c r="CK352" s="545">
        <f t="shared" si="612"/>
        <v>2.4886061307113936</v>
      </c>
      <c r="CL352" s="545">
        <f>IF(AND($O352&gt;0,Sheet1!EN354=1),(1-($O352-Sheet1!$L354)/$O352)*CF352,0)</f>
        <v>0</v>
      </c>
      <c r="CM352" s="545">
        <f>IF(AND(Sheet1!$L354=0,Sheet1!$L353=0, Calculation!CE352&lt;Sheet1!EJ354-0.1,Sheet1!EJ354=Sheet1!EJ353,Sheet1!EJ354=Sheet1!EJ355),Sheet1!EJ354,CF352-CL352)</f>
        <v>2.4886061307113936</v>
      </c>
      <c r="CN352" s="545"/>
      <c r="CO352" s="560"/>
      <c r="CP352" s="560">
        <f t="shared" si="613"/>
        <v>0</v>
      </c>
      <c r="CQ352" s="560"/>
      <c r="CR352" s="560">
        <f ca="1">IF(B352&gt;Summary!$A$1,#N/A,CP352*MGtoAF)</f>
        <v>0</v>
      </c>
      <c r="CS352" s="560">
        <f>Sheet1!BK354+Sheet1!BL354+Sheet1!BM354-Sheet1!ER354-DA352</f>
        <v>6.49</v>
      </c>
      <c r="CT352" s="560">
        <f t="shared" si="614"/>
        <v>6.5125216888374782</v>
      </c>
      <c r="CU352" s="560">
        <f>IF(Sheet1!ER354="FM",DA352,0)</f>
        <v>0</v>
      </c>
      <c r="CV352" s="560">
        <f t="shared" si="615"/>
        <v>0</v>
      </c>
      <c r="CW352" s="560">
        <f>IF(Sheet1!ER354="OTHER",DA352,0)</f>
        <v>0</v>
      </c>
      <c r="CX352" s="560">
        <f t="shared" si="616"/>
        <v>0</v>
      </c>
      <c r="CY352" s="560">
        <f t="shared" si="617"/>
        <v>6.49</v>
      </c>
      <c r="CZ352" s="560">
        <f t="shared" si="618"/>
        <v>6.5125216888374782</v>
      </c>
      <c r="DA352" s="560">
        <f>IF(OR(Sheet1!ER354="FM", Sheet1!ER354="OTHER"),SUM(Sheet1!BK354:'Sheet1'!BM354),0)</f>
        <v>0</v>
      </c>
      <c r="DB352" s="545">
        <f>IF(AND($B352&gt;=$FV352,$B352&lt;=$FW352),MAX($CT352,Sheet1!EK354,0),MAX($CT352-(7/36)*$K352,0))</f>
        <v>0</v>
      </c>
      <c r="DC352" s="560">
        <f t="shared" si="619"/>
        <v>0</v>
      </c>
      <c r="DD352" s="545">
        <f t="shared" si="620"/>
        <v>6.5125216888374782</v>
      </c>
      <c r="DE352" s="545">
        <f>IF(AND($O352&gt;0,Sheet1!EO354=1),(1-($O352-Sheet1!$L354)/$O352)*CZ352,0)</f>
        <v>0</v>
      </c>
      <c r="DF352" s="545">
        <f>IF(AND(Sheet1!$L354=0,Sheet1!$L353=0, Calculation!CY352&lt;Sheet1!$EK354-0.1,Sheet1!$EK354=Sheet1!$EK353,Sheet1!$EK354=Sheet1!$EK355),Sheet1!$EK354,CZ352-DE352)</f>
        <v>6.5125216888374782</v>
      </c>
      <c r="DG352" s="545"/>
      <c r="DH352" s="560">
        <f t="shared" si="621"/>
        <v>8.9700000000000006</v>
      </c>
      <c r="DI352" s="560">
        <f t="shared" si="622"/>
        <v>0</v>
      </c>
      <c r="DJ352" s="698">
        <f t="shared" si="623"/>
        <v>9.0011278195488718</v>
      </c>
      <c r="DK352" s="560">
        <f ca="1">IF(B352&gt;Summary!$A$1,#N/A,DI352*MGtoAF)</f>
        <v>0</v>
      </c>
      <c r="DL352" s="698">
        <f t="shared" si="624"/>
        <v>8.9700000000000006</v>
      </c>
      <c r="DM352" s="560">
        <f t="shared" si="625"/>
        <v>34.580000000000005</v>
      </c>
      <c r="DN352" s="560">
        <f>Sheet1!AB354-DM352</f>
        <v>0.11999999999999744</v>
      </c>
      <c r="DO352" s="560">
        <f t="shared" si="626"/>
        <v>3.4702139965297114E-3</v>
      </c>
      <c r="DP352" s="560">
        <f>(VLOOKUP(Sheet1!DC354,hhdcap_wcm,4)-(((VLOOKUP(Sheet1!DC354,hhdcap_wcm,3)-Sheet1!DC354)/(VLOOKUP(Sheet1!DC354,hhdcap_wcm,3)-VLOOKUP(Sheet1!DC354,hhdcap_wcm,1)))*(VLOOKUP(Sheet1!DC354,hhdcap_wcm,4)-VLOOKUP(Sheet1!DC354,hhdcap_wcm,2))))</f>
        <v>1311.0000000036607</v>
      </c>
      <c r="DQ352" s="560">
        <f t="shared" si="627"/>
        <v>225.00000000046839</v>
      </c>
      <c r="DR352" s="560">
        <f t="shared" si="628"/>
        <v>113.4644478065902</v>
      </c>
      <c r="DS352" s="560">
        <f>Sheet1!EA354*AFtoMG</f>
        <v>0</v>
      </c>
      <c r="DT352" s="560">
        <f>Sheet1!EB354*AFtoMG</f>
        <v>0</v>
      </c>
      <c r="DU352" s="560">
        <f>Sheet1!EC354*AFtoMG</f>
        <v>0</v>
      </c>
      <c r="DV352" s="560">
        <f>Sheet1!ED354*AFtoMG</f>
        <v>0</v>
      </c>
      <c r="DW352" s="560">
        <f t="shared" si="629"/>
        <v>0</v>
      </c>
      <c r="DX352" s="560">
        <f t="shared" si="630"/>
        <v>0</v>
      </c>
      <c r="DY352" s="560">
        <f t="shared" si="631"/>
        <v>0</v>
      </c>
      <c r="DZ352" s="560">
        <f t="shared" si="632"/>
        <v>0</v>
      </c>
      <c r="EA352" s="560"/>
      <c r="EB352" s="545">
        <f>IF(OR(B352&lt;FV352,B352&gt;FW352),(MIN(BF352+BY352+CT352+MAX(Sheet1!AA354+AQ352-73,0),K352)),0)</f>
        <v>9.0011278195488718</v>
      </c>
      <c r="EC352" s="560"/>
      <c r="ED352" s="560">
        <f t="shared" si="633"/>
        <v>9.0011278195488718</v>
      </c>
      <c r="EE352" s="560"/>
      <c r="EF352" s="560">
        <f>Sheet1!EH354+Sheet1!EI354+Sheet1!EJ354+Sheet1!EK354</f>
        <v>9</v>
      </c>
      <c r="EG352" s="560"/>
      <c r="EH352" s="545">
        <f t="shared" si="634"/>
        <v>0</v>
      </c>
      <c r="EI352" s="560">
        <f>IF(Sheet1!ET354=1,SUM('Calculations II'!AT352:BA352)+'Calculations II'!BC352+Sheet1!BV354+'Calculations II'!BE352+AP352,SUM('Calculations II'!AT352:BA352)+'Calculations II'!BC352+Sheet1!BV354+'Calculations II'!BE352+AP352)</f>
        <v>46.273168000000005</v>
      </c>
      <c r="EJ352" s="560">
        <f>Sheet1!AA354+Sheet1!AB354+'Calculations II'!BC352</f>
        <v>52.645040000000002</v>
      </c>
      <c r="EK352" s="560"/>
      <c r="EL352" s="560"/>
      <c r="EM352" s="560">
        <f t="shared" si="635"/>
        <v>41980</v>
      </c>
      <c r="EN352" s="560">
        <f t="shared" si="636"/>
        <v>0</v>
      </c>
      <c r="EO352" s="560">
        <f t="shared" si="637"/>
        <v>0</v>
      </c>
      <c r="EP352" s="560">
        <v>0</v>
      </c>
      <c r="EQ352" s="560">
        <v>0</v>
      </c>
      <c r="ER352" s="560">
        <v>0</v>
      </c>
      <c r="ES352" s="545">
        <f t="shared" si="660"/>
        <v>-4.7108794020371807</v>
      </c>
      <c r="ET352" s="560">
        <f>-(VLOOKUP(Sheet1!BQ354,Lookup!$O$4:$Q$262,2)-VLOOKUP(Sheet1!BQ353,Lookup!$O$4:$Q$262,2))/1000000</f>
        <v>-2.355330732898079</v>
      </c>
      <c r="EU352" s="560">
        <f>-(VLOOKUP(Sheet1!BR354,Lookup!$O$4:$Q$262,3)-VLOOKUP(Sheet1!BR353,Lookup!$O$4:$Q$262,3))/1000000</f>
        <v>-2.3555486691391021</v>
      </c>
      <c r="EV352" s="560"/>
      <c r="EW352" s="560"/>
      <c r="EX352" s="560"/>
      <c r="EY352" s="560"/>
      <c r="EZ352" s="560"/>
      <c r="FA352" s="560"/>
      <c r="FB352" s="560"/>
      <c r="FC352" s="560"/>
      <c r="FD352" s="594" t="e">
        <f t="shared" si="638"/>
        <v>#N/A</v>
      </c>
      <c r="FE352" s="594" t="e">
        <f t="shared" si="639"/>
        <v>#N/A</v>
      </c>
      <c r="FF352" s="595" t="e">
        <f t="shared" si="640"/>
        <v>#N/A</v>
      </c>
      <c r="FG352" s="596" t="s">
        <v>692</v>
      </c>
      <c r="FH352" s="596" t="s">
        <v>692</v>
      </c>
      <c r="FI352" s="594" t="e">
        <v>#N/A</v>
      </c>
      <c r="FJ352" s="594" t="e">
        <v>#N/A</v>
      </c>
      <c r="FK352" s="560"/>
      <c r="FL352" s="560"/>
      <c r="FM352" s="560"/>
      <c r="FN352" s="560"/>
      <c r="FO352" s="560">
        <f>O352+((Sheet1!CS354)*GPMtoMGD)</f>
        <v>52.645040000000002</v>
      </c>
      <c r="FP352" s="560">
        <f>IF(Sheet1!AA354+AQ352&lt;=Calculation!N352,AQ352,Calculation!N352-Sheet1!AA354)</f>
        <v>24.685367264314632</v>
      </c>
      <c r="FQ352" s="560">
        <f>(Sheet1!BP354+Sheet1!BO354)/694.4</f>
        <v>0.40653801843317977</v>
      </c>
      <c r="FR352" s="560"/>
      <c r="FS352" s="560"/>
      <c r="FT352" s="560"/>
      <c r="FU352" s="560"/>
      <c r="FV352" s="695">
        <f t="shared" si="661"/>
        <v>41827</v>
      </c>
      <c r="FW352" s="695">
        <f t="shared" si="662"/>
        <v>41934</v>
      </c>
      <c r="FX352" s="560"/>
      <c r="FY352" s="560"/>
      <c r="FZ352" s="560"/>
      <c r="GA352" s="560"/>
      <c r="GB352" s="560" t="str">
        <f t="shared" si="663"/>
        <v>n</v>
      </c>
      <c r="GC352" s="564">
        <f t="shared" si="664"/>
        <v>41691</v>
      </c>
      <c r="GD352" s="695">
        <f t="shared" si="665"/>
        <v>41807</v>
      </c>
      <c r="GE352" s="560">
        <v>6518.9</v>
      </c>
      <c r="GF352" s="695">
        <f t="shared" si="666"/>
        <v>41808</v>
      </c>
      <c r="GG352" s="560">
        <f t="shared" si="686"/>
        <v>3259</v>
      </c>
      <c r="GH352" s="564">
        <f t="shared" si="667"/>
        <v>41934</v>
      </c>
      <c r="GJ352" s="545">
        <f t="shared" si="668"/>
        <v>0</v>
      </c>
      <c r="GK352" s="560" t="str">
        <f t="shared" si="641"/>
        <v/>
      </c>
      <c r="GL352" s="560">
        <f t="shared" si="669"/>
        <v>0</v>
      </c>
      <c r="GM352" s="560" t="str">
        <f t="shared" si="670"/>
        <v/>
      </c>
      <c r="GN352" s="560">
        <f>IF(GK352="P",Lookup!$M$12,IF(GK352="PP",Lookup!$M$13,IF(GK352="PPP",Lookup!$M$14,IF(GK352="T",Lookup!$M$15,IF(GK352="TP",Lookup!$M$16,IF(GK352="TPP",Lookup!$M$17,IF(GK352="TPPP",Lookup!$M$18,0)))))))*GJ352</f>
        <v>0</v>
      </c>
      <c r="GO352" s="560">
        <f t="shared" si="671"/>
        <v>0</v>
      </c>
      <c r="GP352" s="560">
        <f t="shared" si="642"/>
        <v>0</v>
      </c>
      <c r="GQ352" s="560">
        <f t="shared" si="679"/>
        <v>0</v>
      </c>
      <c r="GR352" s="560"/>
      <c r="GS352" s="560">
        <f t="shared" si="672"/>
        <v>0</v>
      </c>
      <c r="GT352" s="560" t="str">
        <f t="shared" si="673"/>
        <v/>
      </c>
      <c r="GU352" s="560">
        <f>IF(GK352="P",Lookup!$N$12,IF(GK352="PP",Lookup!$N$13,IF(GK352="PPP",Lookup!$N$14,IF(GK352="T",Lookup!$N$15,IF(GK352="TP",Lookup!$N$16,IF(GK352="TPP",Lookup!$N$17,IF(GK352="TPPP",Lookup!$N$18,0)))))))*GJ352</f>
        <v>0</v>
      </c>
      <c r="GV352" s="560">
        <f t="shared" si="674"/>
        <v>0</v>
      </c>
      <c r="GW352" s="560">
        <f t="shared" si="643"/>
        <v>0</v>
      </c>
      <c r="GX352" s="560">
        <f t="shared" si="680"/>
        <v>0</v>
      </c>
      <c r="GY352" s="560"/>
      <c r="GZ352" s="560">
        <f t="shared" si="675"/>
        <v>0</v>
      </c>
      <c r="HA352" s="560" t="str">
        <f t="shared" si="676"/>
        <v/>
      </c>
      <c r="HB352" s="560">
        <f>IF(GK352="P",Lookup!$N$12,IF(GK352="PP",Lookup!$N$13,IF(GK352="PPP",Lookup!$N$14,IF(GK352="T",Lookup!$N$15,IF(GK352="TP",Lookup!$N$16,IF(GK352="TPP",Lookup!$N$17,IF(GK352="TPPP",Lookup!$N$18,0)))))))*GJ352</f>
        <v>0</v>
      </c>
      <c r="HC352" s="545">
        <f t="shared" si="644"/>
        <v>0</v>
      </c>
      <c r="HD352" s="560">
        <f t="shared" si="645"/>
        <v>0</v>
      </c>
      <c r="HE352" s="560">
        <f t="shared" si="681"/>
        <v>0</v>
      </c>
      <c r="HF352" s="560"/>
      <c r="HG352" s="560">
        <f t="shared" si="677"/>
        <v>0</v>
      </c>
      <c r="HH352" s="560" t="str">
        <f t="shared" si="678"/>
        <v/>
      </c>
      <c r="HI352" s="560">
        <f>IF(GK352="P",Lookup!$N$12,IF(GK352="PP",Lookup!$N$13,IF(GK352="PPP",Lookup!$N$14,IF(GK352="T",Lookup!$N$15,IF(GK352="TP",Lookup!$N$16,IF(GK352="TPP",Lookup!$N$17,IF(GK352="TPPP",Lookup!$N$18,0)))))))*GJ352</f>
        <v>0</v>
      </c>
      <c r="HJ352" s="545">
        <f t="shared" si="646"/>
        <v>0</v>
      </c>
      <c r="HK352" s="560">
        <f t="shared" si="647"/>
        <v>0</v>
      </c>
      <c r="HL352" s="560">
        <f t="shared" si="682"/>
        <v>0</v>
      </c>
    </row>
    <row r="353" spans="1:220">
      <c r="A353" s="580" t="s">
        <v>4</v>
      </c>
      <c r="B353" s="556">
        <v>41981</v>
      </c>
      <c r="C353" s="561">
        <v>0</v>
      </c>
      <c r="D353" s="529">
        <f t="shared" si="684"/>
        <v>300</v>
      </c>
      <c r="E353" s="529">
        <f t="shared" si="685"/>
        <v>250</v>
      </c>
      <c r="F353" s="529">
        <v>250</v>
      </c>
      <c r="G353" s="560">
        <f>DR353+Sheet1!CZ355</f>
        <v>1017.7407967725187</v>
      </c>
      <c r="H353" s="914">
        <f t="shared" si="650"/>
        <v>390.90445103375606</v>
      </c>
      <c r="I353" s="559">
        <f>MAX(Sheet1!Z355-AT353+(Sheet1!DA355-E353)*CFStoMGD,0)</f>
        <v>855.62800000000004</v>
      </c>
      <c r="J353" s="562">
        <f>IF(AND(B353&gt;=Calculation!GC353,B353&lt;=Calculation!GD353),IF(Sheet1!DB355&gt;=Calculation!D353,64.64,0),MAX(Sheet1!Z355-AT353+(Sheet1!DB355-D353)*CFStoMGD,0))</f>
        <v>513.03599999999994</v>
      </c>
      <c r="K353" s="904">
        <f t="shared" si="583"/>
        <v>64.64</v>
      </c>
      <c r="L353" s="560">
        <f>Sheet1!AA355+Sheet1!AB355-Sheet1!L355+(Sheet1!DA355-F353)*CFStoMGD</f>
        <v>856.928</v>
      </c>
      <c r="M353" s="560">
        <f t="shared" si="584"/>
        <v>671.02500405443129</v>
      </c>
      <c r="N353" s="910">
        <f>IF(Sheet1!DA355&gt;=F353,MIN(73,MIN(MAX(L353,0),MAX(M353,0))),0)</f>
        <v>73</v>
      </c>
      <c r="O353" s="563">
        <f>Sheet1!AA355+Sheet1!AB355</f>
        <v>36</v>
      </c>
      <c r="P353" s="563">
        <f t="shared" si="585"/>
        <v>55.692</v>
      </c>
      <c r="Q353" s="898">
        <f t="shared" si="651"/>
        <v>0</v>
      </c>
      <c r="R353" s="829">
        <f t="shared" si="586"/>
        <v>8.9799777530589537</v>
      </c>
      <c r="S353" s="898">
        <f t="shared" si="683"/>
        <v>36</v>
      </c>
      <c r="T353" s="898">
        <f t="shared" si="652"/>
        <v>0</v>
      </c>
      <c r="U353" s="898">
        <f t="shared" si="653"/>
        <v>0</v>
      </c>
      <c r="V353" s="898"/>
      <c r="W353" s="898">
        <f t="shared" si="654"/>
        <v>55.660022246941047</v>
      </c>
      <c r="X353" s="898">
        <f t="shared" si="655"/>
        <v>36</v>
      </c>
      <c r="Y353" s="898" t="str">
        <f t="shared" si="656"/>
        <v/>
      </c>
      <c r="Z353" s="898">
        <f t="shared" si="657"/>
        <v>36</v>
      </c>
      <c r="AA353" s="898">
        <f t="shared" si="658"/>
        <v>36</v>
      </c>
      <c r="AB353" s="898" t="str">
        <f t="shared" si="659"/>
        <v/>
      </c>
      <c r="AC353" s="563">
        <f>Sheet1!Y355*MGDtoCFS</f>
        <v>11.602499999999999</v>
      </c>
      <c r="AD353" s="563">
        <f>Sheet1!Z355*MGDtoCFS</f>
        <v>53.680900000000001</v>
      </c>
      <c r="AE353" s="563">
        <f>Sheet1!AA355*MGDtoCFS</f>
        <v>0</v>
      </c>
      <c r="AF353" s="563">
        <f>Sheet1!AB355*MGDtoCFS</f>
        <v>55.692</v>
      </c>
      <c r="AG353" s="563">
        <f>Sheet1!L355*MGDtoCFS</f>
        <v>0</v>
      </c>
      <c r="AH353" s="545">
        <f t="shared" si="587"/>
        <v>0</v>
      </c>
      <c r="AI353" s="560">
        <f t="shared" si="588"/>
        <v>0</v>
      </c>
      <c r="AJ353" s="560">
        <f t="shared" si="589"/>
        <v>0</v>
      </c>
      <c r="AK353" s="560">
        <f t="shared" si="590"/>
        <v>0</v>
      </c>
      <c r="AL353" s="560">
        <f>(VLOOKUP(Sheet1!DC355,hhdcap_wcm,4)-(((VLOOKUP(Sheet1!DC355,hhdcap_wcm,3)-Sheet1!DC355)/(VLOOKUP(Sheet1!DC355,hhdcap_wcm,3)-VLOOKUP(Sheet1!DC355,hhdcap_wcm,1)))*(VLOOKUP(Sheet1!DC355,hhdcap_wcm,4)-VLOOKUP(Sheet1!DC355,hhdcap_wcm,2))))</f>
        <v>1227.2000000035653</v>
      </c>
      <c r="AM353" s="560">
        <f t="shared" si="591"/>
        <v>-83.800000000095451</v>
      </c>
      <c r="AN353" s="560">
        <f t="shared" si="592"/>
        <v>0</v>
      </c>
      <c r="AO353" s="560">
        <f t="shared" si="593"/>
        <v>0</v>
      </c>
      <c r="AP353" s="560">
        <f>Sheet1!BA355+Sheet1!BB355+Sheet1!BN355+CD353</f>
        <v>26.99</v>
      </c>
      <c r="AQ353" s="560">
        <f>Sheet1!BN355+(DO353*Sheet1!BN355)</f>
        <v>26.028921023359288</v>
      </c>
      <c r="AR353" s="560">
        <f>Sheet1!BA355+CD353</f>
        <v>0</v>
      </c>
      <c r="AS353" s="560">
        <f>Sheet1!BA355+Sheet1!BB355+CD353</f>
        <v>0.99</v>
      </c>
      <c r="AT353" s="698">
        <f>0</f>
        <v>0</v>
      </c>
      <c r="AU353" s="560">
        <f>IF(EB353&lt;K353,0,MAX(Sheet1!AA355+AQ353-15/36*K353-N353,Sheet1!EH355,0))</f>
        <v>0</v>
      </c>
      <c r="AV353" s="560">
        <f>IF(OR(B353&gt;=GD353,B353&lt;GC353),0,15/36*K353-MAX(0,64.6-(137.6-(Sheet1!AA355+Sheet1!AB355))))</f>
        <v>0</v>
      </c>
      <c r="AW353" s="698">
        <f>Sheet1!DB355-110</f>
        <v>930</v>
      </c>
      <c r="AX353" s="698">
        <f>Sheet1!DA355-265</f>
        <v>1255</v>
      </c>
      <c r="AY353" s="698">
        <f t="shared" si="594"/>
        <v>73</v>
      </c>
      <c r="AZ353" s="698">
        <v>0</v>
      </c>
      <c r="BA353" s="698">
        <f t="shared" si="595"/>
        <v>0</v>
      </c>
      <c r="BB353" s="560">
        <f t="shared" si="596"/>
        <v>0</v>
      </c>
      <c r="BC353" s="560"/>
      <c r="BD353" s="560">
        <f ca="1">IF(B353&gt;Summary!$A$1,#N/A,BB353*MGtoAF)</f>
        <v>0</v>
      </c>
      <c r="BE353" s="560">
        <f>Sheet1!BG355+Sheet1!BH355+Sheet1!BI355-BM353</f>
        <v>0</v>
      </c>
      <c r="BF353" s="560">
        <f t="shared" si="597"/>
        <v>0</v>
      </c>
      <c r="BG353" s="560">
        <f>IF(Sheet1!EP355="FM",BM353,0)</f>
        <v>0</v>
      </c>
      <c r="BH353" s="560">
        <f t="shared" si="598"/>
        <v>0</v>
      </c>
      <c r="BI353" s="560">
        <f>IF(Sheet1!EP355="OTHER",BM353,0)</f>
        <v>0</v>
      </c>
      <c r="BJ353" s="560">
        <f t="shared" si="599"/>
        <v>0</v>
      </c>
      <c r="BK353" s="560">
        <f t="shared" si="600"/>
        <v>0</v>
      </c>
      <c r="BL353" s="560">
        <f t="shared" si="601"/>
        <v>0</v>
      </c>
      <c r="BM353" s="560">
        <f>IF(OR(Sheet1!EP355="FM", Sheet1!EP355="OTHER"),SUM(Sheet1!BG355:'Sheet1'!BI355),0)</f>
        <v>0</v>
      </c>
      <c r="BN353" s="545">
        <f>IF(AND($B353&gt;=$FV353,$B353&lt;=$FW353),MAX(BF353,Sheet1!EI355,0),MAX(BF353-(7/36)*$K353,0))</f>
        <v>0</v>
      </c>
      <c r="BO353" s="560">
        <f t="shared" si="602"/>
        <v>0</v>
      </c>
      <c r="BP353" s="545">
        <f t="shared" si="603"/>
        <v>0</v>
      </c>
      <c r="BQ353" s="545">
        <f>IF(AND($O353&gt;0,Sheet1!EM355=1),(1-($O353-Sheet1!$L355)/$O353)*BL353,0)</f>
        <v>0</v>
      </c>
      <c r="BR353" s="545">
        <f>IF(AND(Sheet1!$L355=0,Sheet1!$L354=0, Calculation!BK353&lt;Sheet1!$EI355-0.1,Sheet1!$EI355=Sheet1!$EI354,Sheet1!$EI355=Sheet1!$EI356),Sheet1!$EI355,BL353-BQ353)</f>
        <v>0</v>
      </c>
      <c r="BS353" s="560"/>
      <c r="BT353" s="560"/>
      <c r="BU353" s="560">
        <f t="shared" si="604"/>
        <v>0</v>
      </c>
      <c r="BV353" s="560"/>
      <c r="BW353" s="560">
        <f ca="1">IF(B353&gt;Summary!$A$1,#N/A,BU353*MGtoAF)</f>
        <v>0</v>
      </c>
      <c r="BX353" s="560">
        <f>Sheet1!BC355+Sheet1!BD355+Sheet1!BE355+Sheet1!BF355-CG353-CH353</f>
        <v>2.48</v>
      </c>
      <c r="BY353" s="560">
        <f t="shared" si="605"/>
        <v>2.4827586206896552</v>
      </c>
      <c r="BZ353" s="560">
        <f>IF(Sheet1!EQ355="FM",CH353,0)</f>
        <v>0</v>
      </c>
      <c r="CA353" s="560">
        <f t="shared" si="606"/>
        <v>0</v>
      </c>
      <c r="CB353" s="560">
        <f>IF(Sheet1!EQ355="OTHER",CH353,0)</f>
        <v>0</v>
      </c>
      <c r="CC353" s="560">
        <f t="shared" si="607"/>
        <v>0</v>
      </c>
      <c r="CD353" s="560">
        <f t="shared" si="608"/>
        <v>0</v>
      </c>
      <c r="CE353" s="560">
        <f t="shared" si="609"/>
        <v>2.48</v>
      </c>
      <c r="CF353" s="560">
        <f t="shared" si="610"/>
        <v>2.4827586206896552</v>
      </c>
      <c r="CG353" s="560">
        <f>IF(Sheet1!EQ355="CWA",SUM(Sheet1!BC355:'Sheet1'!BF355),0)</f>
        <v>0</v>
      </c>
      <c r="CH353" s="560">
        <f>IF(OR(Sheet1!EQ355="FM", Sheet1!EQ355="OTHER"),SUM(Sheet1!BC355:'Sheet1'!BF355),0)</f>
        <v>0</v>
      </c>
      <c r="CI353" s="545">
        <f>IF(AND($B353&gt;=$FV353,$B353&lt;=$FW353),MAX(CF353,Sheet1!EJ355,0),MAX(CF353-(7/36)*$K353,0))</f>
        <v>0</v>
      </c>
      <c r="CJ353" s="560">
        <f t="shared" si="611"/>
        <v>0</v>
      </c>
      <c r="CK353" s="545">
        <f t="shared" si="612"/>
        <v>2.4827586206896552</v>
      </c>
      <c r="CL353" s="545">
        <f>IF(AND($O353&gt;0,Sheet1!EN355=1),(1-($O353-Sheet1!$L355)/$O353)*CF353,0)</f>
        <v>0</v>
      </c>
      <c r="CM353" s="545">
        <f>IF(AND(Sheet1!$L355=0,Sheet1!$L354=0, Calculation!CE353&lt;Sheet1!EJ355-0.1,Sheet1!EJ355=Sheet1!EJ354,Sheet1!EJ355=Sheet1!EJ356),Sheet1!EJ355,CF353-CL353)</f>
        <v>2.4827586206896552</v>
      </c>
      <c r="CN353" s="545"/>
      <c r="CO353" s="560"/>
      <c r="CP353" s="560">
        <f t="shared" si="613"/>
        <v>0</v>
      </c>
      <c r="CQ353" s="560"/>
      <c r="CR353" s="560">
        <f ca="1">IF(B353&gt;Summary!$A$1,#N/A,CP353*MGtoAF)</f>
        <v>0</v>
      </c>
      <c r="CS353" s="560">
        <f>Sheet1!BK355+Sheet1!BL355+Sheet1!BM355-Sheet1!ER355-DA353</f>
        <v>6.49</v>
      </c>
      <c r="CT353" s="560">
        <f t="shared" si="614"/>
        <v>6.4972191323692989</v>
      </c>
      <c r="CU353" s="560">
        <f>IF(Sheet1!ER355="FM",DA353,0)</f>
        <v>0</v>
      </c>
      <c r="CV353" s="560">
        <f t="shared" si="615"/>
        <v>0</v>
      </c>
      <c r="CW353" s="560">
        <f>IF(Sheet1!ER355="OTHER",DA353,0)</f>
        <v>0</v>
      </c>
      <c r="CX353" s="560">
        <f t="shared" si="616"/>
        <v>0</v>
      </c>
      <c r="CY353" s="560">
        <f t="shared" si="617"/>
        <v>6.49</v>
      </c>
      <c r="CZ353" s="560">
        <f t="shared" si="618"/>
        <v>6.4972191323692989</v>
      </c>
      <c r="DA353" s="560">
        <f>IF(OR(Sheet1!ER355="FM", Sheet1!ER355="OTHER"),SUM(Sheet1!BK355:'Sheet1'!BM355),0)</f>
        <v>0</v>
      </c>
      <c r="DB353" s="545">
        <f>IF(AND($B353&gt;=$FV353,$B353&lt;=$FW353),MAX($CT353,Sheet1!EK355,0),MAX($CT353-(7/36)*$K353,0))</f>
        <v>0</v>
      </c>
      <c r="DC353" s="560">
        <f t="shared" si="619"/>
        <v>0</v>
      </c>
      <c r="DD353" s="545">
        <f t="shared" si="620"/>
        <v>6.4972191323692989</v>
      </c>
      <c r="DE353" s="545">
        <f>IF(AND($O353&gt;0,Sheet1!EO355=1),(1-($O353-Sheet1!$L355)/$O353)*CZ353,0)</f>
        <v>0</v>
      </c>
      <c r="DF353" s="545">
        <f>IF(AND(Sheet1!$L355=0,Sheet1!$L354=0, Calculation!CY353&lt;Sheet1!$EK355-0.1,Sheet1!$EK355=Sheet1!$EK354,Sheet1!$EK355=Sheet1!$EK356),Sheet1!$EK355,CZ353-DE353)</f>
        <v>6.4972191323692989</v>
      </c>
      <c r="DG353" s="545"/>
      <c r="DH353" s="560">
        <f t="shared" si="621"/>
        <v>8.9700000000000006</v>
      </c>
      <c r="DI353" s="560">
        <f t="shared" si="622"/>
        <v>0</v>
      </c>
      <c r="DJ353" s="698">
        <f t="shared" si="623"/>
        <v>8.9799777530589537</v>
      </c>
      <c r="DK353" s="560">
        <f ca="1">IF(B353&gt;Summary!$A$1,#N/A,DI353*MGtoAF)</f>
        <v>0</v>
      </c>
      <c r="DL353" s="698">
        <f t="shared" si="624"/>
        <v>8.9700000000000006</v>
      </c>
      <c r="DM353" s="560">
        <f t="shared" si="625"/>
        <v>35.96</v>
      </c>
      <c r="DN353" s="560">
        <f>Sheet1!AB355-DM353</f>
        <v>3.9999999999999147E-2</v>
      </c>
      <c r="DO353" s="560">
        <f t="shared" si="626"/>
        <v>1.1123470522802878E-3</v>
      </c>
      <c r="DP353" s="560">
        <f>(VLOOKUP(Sheet1!DC355,hhdcap_wcm,4)-(((VLOOKUP(Sheet1!DC355,hhdcap_wcm,3)-Sheet1!DC355)/(VLOOKUP(Sheet1!DC355,hhdcap_wcm,3)-VLOOKUP(Sheet1!DC355,hhdcap_wcm,1)))*(VLOOKUP(Sheet1!DC355,hhdcap_wcm,4)-VLOOKUP(Sheet1!DC355,hhdcap_wcm,2))))</f>
        <v>1227.2000000035653</v>
      </c>
      <c r="DQ353" s="560">
        <f t="shared" si="627"/>
        <v>-83.800000000095451</v>
      </c>
      <c r="DR353" s="560">
        <f t="shared" si="628"/>
        <v>-42.259203227481308</v>
      </c>
      <c r="DS353" s="560">
        <f>Sheet1!EA355*AFtoMG</f>
        <v>0</v>
      </c>
      <c r="DT353" s="560">
        <f>Sheet1!EB355*AFtoMG</f>
        <v>0</v>
      </c>
      <c r="DU353" s="560">
        <f>Sheet1!EC355*AFtoMG</f>
        <v>0</v>
      </c>
      <c r="DV353" s="560">
        <f>Sheet1!ED355*AFtoMG</f>
        <v>0</v>
      </c>
      <c r="DW353" s="560">
        <f t="shared" si="629"/>
        <v>0</v>
      </c>
      <c r="DX353" s="560">
        <f t="shared" si="630"/>
        <v>0</v>
      </c>
      <c r="DY353" s="560">
        <f t="shared" si="631"/>
        <v>0</v>
      </c>
      <c r="DZ353" s="560">
        <f t="shared" si="632"/>
        <v>0</v>
      </c>
      <c r="EA353" s="560"/>
      <c r="EB353" s="545">
        <f>IF(OR(B353&lt;FV353,B353&gt;FW353),(MIN(BF353+BY353+CT353+MAX(Sheet1!AA355+AQ353-73,0),K353)),0)</f>
        <v>8.9799777530589537</v>
      </c>
      <c r="EC353" s="560"/>
      <c r="ED353" s="560">
        <f t="shared" si="633"/>
        <v>8.9799777530589537</v>
      </c>
      <c r="EE353" s="560"/>
      <c r="EF353" s="560">
        <f>Sheet1!EH355+Sheet1!EI355+Sheet1!EJ355+Sheet1!EK355</f>
        <v>9</v>
      </c>
      <c r="EG353" s="560"/>
      <c r="EH353" s="545">
        <f t="shared" si="634"/>
        <v>0</v>
      </c>
      <c r="EI353" s="560">
        <f>IF(Sheet1!ET355=1,SUM('Calculations II'!AT353:BA353)+'Calculations II'!BC353+Sheet1!BV355+'Calculations II'!BE353+AP353,SUM('Calculations II'!AT353:BA353)+'Calculations II'!BC353+Sheet1!BV355+'Calculations II'!BE353+AP353)</f>
        <v>51.377231999999992</v>
      </c>
      <c r="EJ353" s="560">
        <f>Sheet1!AA355+Sheet1!AB355+'Calculations II'!BC353</f>
        <v>53.217647999999997</v>
      </c>
      <c r="EK353" s="560"/>
      <c r="EL353" s="560"/>
      <c r="EM353" s="560">
        <f t="shared" si="635"/>
        <v>41981</v>
      </c>
      <c r="EN353" s="560">
        <f t="shared" si="636"/>
        <v>0</v>
      </c>
      <c r="EO353" s="560">
        <f t="shared" si="637"/>
        <v>0</v>
      </c>
      <c r="EP353" s="560">
        <v>0</v>
      </c>
      <c r="EQ353" s="560">
        <v>0</v>
      </c>
      <c r="ER353" s="560">
        <v>0</v>
      </c>
      <c r="ES353" s="545">
        <f t="shared" si="660"/>
        <v>0.13860014753019809</v>
      </c>
      <c r="ET353" s="560">
        <f>-(VLOOKUP(Sheet1!BQ355,Lookup!$O$4:$Q$262,2)-VLOOKUP(Sheet1!BQ354,Lookup!$O$4:$Q$262,2))/1000000</f>
        <v>0.13860014753019809</v>
      </c>
      <c r="EU353" s="560">
        <f>-(VLOOKUP(Sheet1!BR355,Lookup!$O$4:$Q$262,3)-VLOOKUP(Sheet1!BR354,Lookup!$O$4:$Q$262,3))/1000000</f>
        <v>0</v>
      </c>
      <c r="EV353" s="560"/>
      <c r="EW353" s="560"/>
      <c r="EX353" s="560"/>
      <c r="EY353" s="560"/>
      <c r="EZ353" s="560"/>
      <c r="FA353" s="560"/>
      <c r="FB353" s="560"/>
      <c r="FC353" s="560"/>
      <c r="FD353" s="594" t="e">
        <f t="shared" si="638"/>
        <v>#N/A</v>
      </c>
      <c r="FE353" s="594" t="e">
        <f t="shared" si="639"/>
        <v>#N/A</v>
      </c>
      <c r="FF353" s="595" t="e">
        <f t="shared" si="640"/>
        <v>#N/A</v>
      </c>
      <c r="FG353" s="596" t="s">
        <v>692</v>
      </c>
      <c r="FH353" s="596" t="s">
        <v>692</v>
      </c>
      <c r="FI353" s="594" t="e">
        <v>#N/A</v>
      </c>
      <c r="FJ353" s="594" t="e">
        <v>#N/A</v>
      </c>
      <c r="FK353" s="560"/>
      <c r="FL353" s="560"/>
      <c r="FM353" s="560"/>
      <c r="FN353" s="560"/>
      <c r="FO353" s="560">
        <f>O353+((Sheet1!CS355)*GPMtoMGD)</f>
        <v>53.217647999999997</v>
      </c>
      <c r="FP353" s="560">
        <f>IF(Sheet1!AA355+AQ353&lt;=Calculation!N353,AQ353,Calculation!N353-Sheet1!AA355)</f>
        <v>26.028921023359288</v>
      </c>
      <c r="FQ353" s="560">
        <f>(Sheet1!BP355+Sheet1!BO355)/694.4</f>
        <v>1.9462845622119815</v>
      </c>
      <c r="FR353" s="560"/>
      <c r="FS353" s="560"/>
      <c r="FT353" s="560"/>
      <c r="FU353" s="560"/>
      <c r="FV353" s="695">
        <f t="shared" si="661"/>
        <v>41827</v>
      </c>
      <c r="FW353" s="695">
        <f t="shared" si="662"/>
        <v>41934</v>
      </c>
      <c r="FX353" s="560"/>
      <c r="FY353" s="560"/>
      <c r="FZ353" s="560"/>
      <c r="GA353" s="560"/>
      <c r="GB353" s="560" t="str">
        <f t="shared" si="663"/>
        <v>n</v>
      </c>
      <c r="GC353" s="564">
        <f t="shared" si="664"/>
        <v>41691</v>
      </c>
      <c r="GD353" s="695">
        <f t="shared" si="665"/>
        <v>41807</v>
      </c>
      <c r="GE353" s="560">
        <v>6518.9</v>
      </c>
      <c r="GF353" s="695">
        <f t="shared" si="666"/>
        <v>41808</v>
      </c>
      <c r="GG353" s="560">
        <f t="shared" si="686"/>
        <v>3259</v>
      </c>
      <c r="GH353" s="564">
        <f t="shared" si="667"/>
        <v>41934</v>
      </c>
      <c r="GJ353" s="545">
        <f t="shared" si="668"/>
        <v>0</v>
      </c>
      <c r="GK353" s="560" t="str">
        <f t="shared" si="641"/>
        <v/>
      </c>
      <c r="GL353" s="560">
        <f t="shared" si="669"/>
        <v>0</v>
      </c>
      <c r="GM353" s="560" t="str">
        <f t="shared" si="670"/>
        <v/>
      </c>
      <c r="GN353" s="560">
        <f>IF(GK353="P",Lookup!$M$12,IF(GK353="PP",Lookup!$M$13,IF(GK353="PPP",Lookup!$M$14,IF(GK353="T",Lookup!$M$15,IF(GK353="TP",Lookup!$M$16,IF(GK353="TPP",Lookup!$M$17,IF(GK353="TPPP",Lookup!$M$18,0)))))))*GJ353</f>
        <v>0</v>
      </c>
      <c r="GO353" s="560">
        <f t="shared" si="671"/>
        <v>0</v>
      </c>
      <c r="GP353" s="560">
        <f t="shared" si="642"/>
        <v>0</v>
      </c>
      <c r="GQ353" s="560">
        <f t="shared" si="679"/>
        <v>0</v>
      </c>
      <c r="GR353" s="560"/>
      <c r="GS353" s="560">
        <f t="shared" si="672"/>
        <v>0</v>
      </c>
      <c r="GT353" s="560" t="str">
        <f t="shared" si="673"/>
        <v/>
      </c>
      <c r="GU353" s="560">
        <f>IF(GK353="P",Lookup!$N$12,IF(GK353="PP",Lookup!$N$13,IF(GK353="PPP",Lookup!$N$14,IF(GK353="T",Lookup!$N$15,IF(GK353="TP",Lookup!$N$16,IF(GK353="TPP",Lookup!$N$17,IF(GK353="TPPP",Lookup!$N$18,0)))))))*GJ353</f>
        <v>0</v>
      </c>
      <c r="GV353" s="560">
        <f t="shared" si="674"/>
        <v>0</v>
      </c>
      <c r="GW353" s="560">
        <f t="shared" si="643"/>
        <v>0</v>
      </c>
      <c r="GX353" s="560">
        <f t="shared" si="680"/>
        <v>0</v>
      </c>
      <c r="GY353" s="560"/>
      <c r="GZ353" s="560">
        <f t="shared" si="675"/>
        <v>0</v>
      </c>
      <c r="HA353" s="560" t="str">
        <f t="shared" si="676"/>
        <v/>
      </c>
      <c r="HB353" s="560">
        <f>IF(GK353="P",Lookup!$N$12,IF(GK353="PP",Lookup!$N$13,IF(GK353="PPP",Lookup!$N$14,IF(GK353="T",Lookup!$N$15,IF(GK353="TP",Lookup!$N$16,IF(GK353="TPP",Lookup!$N$17,IF(GK353="TPPP",Lookup!$N$18,0)))))))*GJ353</f>
        <v>0</v>
      </c>
      <c r="HC353" s="545">
        <f t="shared" si="644"/>
        <v>0</v>
      </c>
      <c r="HD353" s="560">
        <f t="shared" si="645"/>
        <v>0</v>
      </c>
      <c r="HE353" s="560">
        <f t="shared" si="681"/>
        <v>0</v>
      </c>
      <c r="HF353" s="560"/>
      <c r="HG353" s="560">
        <f t="shared" si="677"/>
        <v>0</v>
      </c>
      <c r="HH353" s="560" t="str">
        <f t="shared" si="678"/>
        <v/>
      </c>
      <c r="HI353" s="560">
        <f>IF(GK353="P",Lookup!$N$12,IF(GK353="PP",Lookup!$N$13,IF(GK353="PPP",Lookup!$N$14,IF(GK353="T",Lookup!$N$15,IF(GK353="TP",Lookup!$N$16,IF(GK353="TPP",Lookup!$N$17,IF(GK353="TPPP",Lookup!$N$18,0)))))))*GJ353</f>
        <v>0</v>
      </c>
      <c r="HJ353" s="545">
        <f t="shared" si="646"/>
        <v>0</v>
      </c>
      <c r="HK353" s="560">
        <f t="shared" si="647"/>
        <v>0</v>
      </c>
      <c r="HL353" s="560">
        <f t="shared" si="682"/>
        <v>0</v>
      </c>
    </row>
    <row r="354" spans="1:220">
      <c r="A354" s="580" t="s">
        <v>5</v>
      </c>
      <c r="B354" s="556">
        <v>41982</v>
      </c>
      <c r="C354" s="561">
        <v>0</v>
      </c>
      <c r="D354" s="529">
        <f t="shared" si="684"/>
        <v>300</v>
      </c>
      <c r="E354" s="529">
        <f t="shared" si="685"/>
        <v>250</v>
      </c>
      <c r="F354" s="529">
        <v>250</v>
      </c>
      <c r="G354" s="560">
        <f>DR354+Sheet1!CZ356</f>
        <v>991.9062027229736</v>
      </c>
      <c r="H354" s="914">
        <f t="shared" si="650"/>
        <v>374.20496944013013</v>
      </c>
      <c r="I354" s="559">
        <f>MAX(Sheet1!Z356-AT354+(Sheet1!DA356-E354)*CFStoMGD,0)</f>
        <v>895.71199999999999</v>
      </c>
      <c r="J354" s="562">
        <f>IF(AND(B354&gt;=Calculation!GC354,B354&lt;=Calculation!GD354),IF(Sheet1!DB356&gt;=Calculation!D354,64.64,0),MAX(Sheet1!Z356-AT354+(Sheet1!DB356-D354)*CFStoMGD,0))</f>
        <v>514.33600000000001</v>
      </c>
      <c r="K354" s="904">
        <f t="shared" si="583"/>
        <v>64.64</v>
      </c>
      <c r="L354" s="560">
        <f>Sheet1!AA356+Sheet1!AB356-Sheet1!L356+(Sheet1!DA356-F354)*CFStoMGD</f>
        <v>892.72200000000134</v>
      </c>
      <c r="M354" s="560">
        <f t="shared" si="584"/>
        <v>653.9915328289328</v>
      </c>
      <c r="N354" s="910">
        <f>IF(Sheet1!DA356&gt;=F354,MIN(73,MIN(MAX(L354,0),MAX(M354,0))),0)</f>
        <v>73</v>
      </c>
      <c r="O354" s="563">
        <f>Sheet1!AA356+Sheet1!AB356</f>
        <v>35.950000000000003</v>
      </c>
      <c r="P354" s="563">
        <f t="shared" si="585"/>
        <v>55.614650000000005</v>
      </c>
      <c r="Q354" s="898">
        <f t="shared" si="651"/>
        <v>0</v>
      </c>
      <c r="R354" s="829">
        <f t="shared" si="586"/>
        <v>8.9775027808676313</v>
      </c>
      <c r="S354" s="698">
        <f t="shared" si="683"/>
        <v>35.950000000000003</v>
      </c>
      <c r="T354" s="898">
        <f t="shared" si="652"/>
        <v>0</v>
      </c>
      <c r="U354" s="898">
        <f t="shared" si="653"/>
        <v>0</v>
      </c>
      <c r="V354" s="898"/>
      <c r="W354" s="898">
        <f t="shared" si="654"/>
        <v>55.662497219132369</v>
      </c>
      <c r="X354" s="898">
        <f t="shared" si="655"/>
        <v>35.950000000000003</v>
      </c>
      <c r="Y354" s="898" t="str">
        <f t="shared" si="656"/>
        <v/>
      </c>
      <c r="Z354" s="898">
        <f t="shared" si="657"/>
        <v>35.950000000000003</v>
      </c>
      <c r="AA354" s="898">
        <f t="shared" si="658"/>
        <v>35.950000000000003</v>
      </c>
      <c r="AB354" s="898" t="str">
        <f t="shared" si="659"/>
        <v/>
      </c>
      <c r="AC354" s="563">
        <f>Sheet1!Y356*MGDtoCFS</f>
        <v>0</v>
      </c>
      <c r="AD354" s="563">
        <f>Sheet1!Z356*MGDtoCFS</f>
        <v>55.692</v>
      </c>
      <c r="AE354" s="563">
        <f>Sheet1!AA356*MGDtoCFS</f>
        <v>0</v>
      </c>
      <c r="AF354" s="563">
        <f>Sheet1!AB356*MGDtoCFS</f>
        <v>55.614650000000005</v>
      </c>
      <c r="AG354" s="563">
        <f>Sheet1!L356*MGDtoCFS</f>
        <v>4.5481799999979735</v>
      </c>
      <c r="AH354" s="545">
        <f t="shared" si="587"/>
        <v>0</v>
      </c>
      <c r="AI354" s="560">
        <f t="shared" si="588"/>
        <v>0</v>
      </c>
      <c r="AJ354" s="560">
        <f t="shared" si="589"/>
        <v>0</v>
      </c>
      <c r="AK354" s="560">
        <f t="shared" si="590"/>
        <v>0</v>
      </c>
      <c r="AL354" s="560">
        <f>(VLOOKUP(Sheet1!DC356,hhdcap_wcm,4)-(((VLOOKUP(Sheet1!DC356,hhdcap_wcm,3)-Sheet1!DC356)/(VLOOKUP(Sheet1!DC356,hhdcap_wcm,3)-VLOOKUP(Sheet1!DC356,hhdcap_wcm,1)))*(VLOOKUP(Sheet1!DC356,hhdcap_wcm,4)-VLOOKUP(Sheet1!DC356,hhdcap_wcm,2))))</f>
        <v>1112.0000000032219</v>
      </c>
      <c r="AM354" s="560">
        <f t="shared" si="591"/>
        <v>-115.20000000034338</v>
      </c>
      <c r="AN354" s="560">
        <f t="shared" si="592"/>
        <v>0</v>
      </c>
      <c r="AO354" s="560">
        <f t="shared" si="593"/>
        <v>0</v>
      </c>
      <c r="AP354" s="560">
        <f>Sheet1!BA356+Sheet1!BB356+Sheet1!BN356+CD354</f>
        <v>26.98</v>
      </c>
      <c r="AQ354" s="560">
        <f>Sheet1!BN356+(DO354*Sheet1!BN356)</f>
        <v>25.992769744160178</v>
      </c>
      <c r="AR354" s="560">
        <f>Sheet1!BA356+CD354</f>
        <v>0</v>
      </c>
      <c r="AS354" s="560">
        <f>Sheet1!BA356+Sheet1!BB356+CD354</f>
        <v>0.98</v>
      </c>
      <c r="AT354" s="698">
        <f>0</f>
        <v>0</v>
      </c>
      <c r="AU354" s="560">
        <f>IF(EB354&lt;K354,0,MAX(Sheet1!AA356+AQ354-15/36*K354-N354,Sheet1!EH356,0))</f>
        <v>0</v>
      </c>
      <c r="AV354" s="560">
        <f>IF(OR(B354&gt;=GD354,B354&lt;GC354),0,15/36*K354-MAX(0,64.6-(137.6-(Sheet1!AA356+Sheet1!AB356))))</f>
        <v>0</v>
      </c>
      <c r="AW354" s="698">
        <f>Sheet1!DB356-110</f>
        <v>930</v>
      </c>
      <c r="AX354" s="698">
        <f>Sheet1!DA356-265</f>
        <v>1315</v>
      </c>
      <c r="AY354" s="698">
        <f t="shared" si="594"/>
        <v>73</v>
      </c>
      <c r="AZ354" s="698">
        <v>0</v>
      </c>
      <c r="BA354" s="698">
        <f t="shared" si="595"/>
        <v>0</v>
      </c>
      <c r="BB354" s="560">
        <f t="shared" si="596"/>
        <v>0</v>
      </c>
      <c r="BC354" s="560"/>
      <c r="BD354" s="560">
        <f ca="1">IF(B354&gt;Summary!$A$1,#N/A,BB354*MGtoAF)</f>
        <v>0</v>
      </c>
      <c r="BE354" s="560">
        <f>Sheet1!BG356+Sheet1!BH356+Sheet1!BI356-BM354</f>
        <v>0</v>
      </c>
      <c r="BF354" s="560">
        <f t="shared" si="597"/>
        <v>0</v>
      </c>
      <c r="BG354" s="560">
        <f>IF(Sheet1!EP356="FM",BM354,0)</f>
        <v>0</v>
      </c>
      <c r="BH354" s="560">
        <f t="shared" si="598"/>
        <v>0</v>
      </c>
      <c r="BI354" s="560">
        <f>IF(Sheet1!EP356="OTHER",BM354,0)</f>
        <v>0</v>
      </c>
      <c r="BJ354" s="560">
        <f t="shared" si="599"/>
        <v>0</v>
      </c>
      <c r="BK354" s="560">
        <f t="shared" si="600"/>
        <v>0</v>
      </c>
      <c r="BL354" s="560">
        <f t="shared" si="601"/>
        <v>0</v>
      </c>
      <c r="BM354" s="560">
        <f>IF(OR(Sheet1!EP356="FM", Sheet1!EP356="OTHER"),SUM(Sheet1!BG356:'Sheet1'!BI356),0)</f>
        <v>0</v>
      </c>
      <c r="BN354" s="545">
        <f>IF(AND($B354&gt;=$FV354,$B354&lt;=$FW354),MAX(BF354,Sheet1!EI356,0),MAX(BF354-(7/36)*$K354,0))</f>
        <v>0</v>
      </c>
      <c r="BO354" s="560">
        <f t="shared" si="602"/>
        <v>0</v>
      </c>
      <c r="BP354" s="545">
        <f t="shared" si="603"/>
        <v>0</v>
      </c>
      <c r="BQ354" s="545">
        <f>IF(AND($O354&gt;0,Sheet1!EM356=1),(1-($O354-Sheet1!$L356)/$O354)*BL354,0)</f>
        <v>0</v>
      </c>
      <c r="BR354" s="545">
        <f>IF(AND(Sheet1!$L356=0,Sheet1!$L355=0, Calculation!BK354&lt;Sheet1!$EI356-0.1,Sheet1!$EI356=Sheet1!$EI355,Sheet1!$EI356=Sheet1!$EI357),Sheet1!$EI356,BL354-BQ354)</f>
        <v>0</v>
      </c>
      <c r="BS354" s="560"/>
      <c r="BT354" s="560"/>
      <c r="BU354" s="560">
        <f t="shared" si="604"/>
        <v>0</v>
      </c>
      <c r="BV354" s="560"/>
      <c r="BW354" s="560">
        <f ca="1">IF(B354&gt;Summary!$A$1,#N/A,BU354*MGtoAF)</f>
        <v>0</v>
      </c>
      <c r="BX354" s="560">
        <f>Sheet1!BC356+Sheet1!BD356+Sheet1!BE356+Sheet1!BF356-CG354-CH354</f>
        <v>2.5</v>
      </c>
      <c r="BY354" s="560">
        <f t="shared" si="605"/>
        <v>2.4993047830923247</v>
      </c>
      <c r="BZ354" s="560">
        <f>IF(Sheet1!EQ356="FM",CH354,0)</f>
        <v>0</v>
      </c>
      <c r="CA354" s="560">
        <f t="shared" si="606"/>
        <v>0</v>
      </c>
      <c r="CB354" s="560">
        <f>IF(Sheet1!EQ356="OTHER",CH354,0)</f>
        <v>0</v>
      </c>
      <c r="CC354" s="560">
        <f t="shared" si="607"/>
        <v>0</v>
      </c>
      <c r="CD354" s="560">
        <f t="shared" si="608"/>
        <v>0</v>
      </c>
      <c r="CE354" s="560">
        <f t="shared" si="609"/>
        <v>2.5</v>
      </c>
      <c r="CF354" s="560">
        <f t="shared" si="610"/>
        <v>2.4993047830923247</v>
      </c>
      <c r="CG354" s="560">
        <f>IF(Sheet1!EQ356="CWA",SUM(Sheet1!BC356:'Sheet1'!BF356),0)</f>
        <v>0</v>
      </c>
      <c r="CH354" s="560">
        <f>IF(OR(Sheet1!EQ356="FM", Sheet1!EQ356="OTHER"),SUM(Sheet1!BC356:'Sheet1'!BF356),0)</f>
        <v>0</v>
      </c>
      <c r="CI354" s="545">
        <f>IF(AND($B354&gt;=$FV354,$B354&lt;=$FW354),MAX(CF354,Sheet1!EJ356,0),MAX(CF354-(7/36)*$K354,0))</f>
        <v>0</v>
      </c>
      <c r="CJ354" s="560">
        <f t="shared" si="611"/>
        <v>0</v>
      </c>
      <c r="CK354" s="545">
        <f t="shared" si="612"/>
        <v>2.4993047830923247</v>
      </c>
      <c r="CL354" s="545">
        <f>IF(AND($O354&gt;0,Sheet1!EN356=1),(1-($O354-Sheet1!$L356)/$O354)*CF354,0)</f>
        <v>0</v>
      </c>
      <c r="CM354" s="545">
        <f>IF(AND(Sheet1!$L356=0,Sheet1!$L355=0, Calculation!CE354&lt;Sheet1!EJ356-0.1,Sheet1!EJ356=Sheet1!EJ355,Sheet1!EJ356=Sheet1!EJ357),Sheet1!EJ356,CF354-CL354)</f>
        <v>2.4993047830923247</v>
      </c>
      <c r="CN354" s="545"/>
      <c r="CO354" s="560"/>
      <c r="CP354" s="560">
        <f t="shared" si="613"/>
        <v>0</v>
      </c>
      <c r="CQ354" s="560"/>
      <c r="CR354" s="560">
        <f ca="1">IF(B354&gt;Summary!$A$1,#N/A,CP354*MGtoAF)</f>
        <v>0</v>
      </c>
      <c r="CS354" s="560">
        <f>Sheet1!BK356+Sheet1!BL356+Sheet1!BM356-Sheet1!ER356-DA354</f>
        <v>6.48</v>
      </c>
      <c r="CT354" s="560">
        <f t="shared" si="614"/>
        <v>6.4781979977753066</v>
      </c>
      <c r="CU354" s="560">
        <f>IF(Sheet1!ER356="FM",DA354,0)</f>
        <v>0</v>
      </c>
      <c r="CV354" s="560">
        <f t="shared" si="615"/>
        <v>0</v>
      </c>
      <c r="CW354" s="560">
        <f>IF(Sheet1!ER356="OTHER",DA354,0)</f>
        <v>0</v>
      </c>
      <c r="CX354" s="560">
        <f t="shared" si="616"/>
        <v>0</v>
      </c>
      <c r="CY354" s="560">
        <f t="shared" si="617"/>
        <v>6.48</v>
      </c>
      <c r="CZ354" s="560">
        <f t="shared" si="618"/>
        <v>6.4781979977753066</v>
      </c>
      <c r="DA354" s="560">
        <f>IF(OR(Sheet1!ER356="FM", Sheet1!ER356="OTHER"),SUM(Sheet1!BK356:'Sheet1'!BM356),0)</f>
        <v>0</v>
      </c>
      <c r="DB354" s="545">
        <f>IF(AND($B354&gt;=$FV354,$B354&lt;=$FW354),MAX($CT354,Sheet1!EK356,0),MAX($CT354-(7/36)*$K354,0))</f>
        <v>0</v>
      </c>
      <c r="DC354" s="560">
        <f t="shared" si="619"/>
        <v>0</v>
      </c>
      <c r="DD354" s="545">
        <f t="shared" si="620"/>
        <v>6.4781979977753066</v>
      </c>
      <c r="DE354" s="545">
        <f>IF(AND($O354&gt;0,Sheet1!EO356=1),(1-($O354-Sheet1!$L356)/$O354)*CZ354,0)</f>
        <v>0</v>
      </c>
      <c r="DF354" s="545">
        <f>IF(AND(Sheet1!$L356=0,Sheet1!$L355=0, Calculation!CY354&lt;Sheet1!$EK356-0.1,Sheet1!$EK356=Sheet1!$EK355,Sheet1!$EK356=Sheet1!$EK357),Sheet1!$EK356,CZ354-DE354)</f>
        <v>6.4781979977753066</v>
      </c>
      <c r="DG354" s="545"/>
      <c r="DH354" s="560">
        <f t="shared" si="621"/>
        <v>8.98</v>
      </c>
      <c r="DI354" s="560">
        <f t="shared" si="622"/>
        <v>0</v>
      </c>
      <c r="DJ354" s="698">
        <f t="shared" si="623"/>
        <v>8.9775027808676313</v>
      </c>
      <c r="DK354" s="560">
        <f ca="1">IF(B354&gt;Summary!$A$1,#N/A,DI354*MGtoAF)</f>
        <v>0</v>
      </c>
      <c r="DL354" s="698">
        <f t="shared" si="624"/>
        <v>8.98</v>
      </c>
      <c r="DM354" s="560">
        <f t="shared" si="625"/>
        <v>35.96</v>
      </c>
      <c r="DN354" s="560">
        <f>Sheet1!AB356-DM354</f>
        <v>-9.9999999999980105E-3</v>
      </c>
      <c r="DO354" s="560">
        <f t="shared" si="626"/>
        <v>-2.7808676307002251E-4</v>
      </c>
      <c r="DP354" s="560">
        <f>(VLOOKUP(Sheet1!DC356,hhdcap_wcm,4)-(((VLOOKUP(Sheet1!DC356,hhdcap_wcm,3)-Sheet1!DC356)/(VLOOKUP(Sheet1!DC356,hhdcap_wcm,3)-VLOOKUP(Sheet1!DC356,hhdcap_wcm,1)))*(VLOOKUP(Sheet1!DC356,hhdcap_wcm,4)-VLOOKUP(Sheet1!DC356,hhdcap_wcm,2))))</f>
        <v>1112.0000000032219</v>
      </c>
      <c r="DQ354" s="560">
        <f t="shared" si="627"/>
        <v>-115.20000000034338</v>
      </c>
      <c r="DR354" s="560">
        <f t="shared" si="628"/>
        <v>-58.093797277026404</v>
      </c>
      <c r="DS354" s="560">
        <f>Sheet1!EA356*AFtoMG</f>
        <v>0</v>
      </c>
      <c r="DT354" s="560">
        <f>Sheet1!EB356*AFtoMG</f>
        <v>0</v>
      </c>
      <c r="DU354" s="560">
        <f>Sheet1!EC356*AFtoMG</f>
        <v>0</v>
      </c>
      <c r="DV354" s="560">
        <f>Sheet1!ED356*AFtoMG</f>
        <v>0</v>
      </c>
      <c r="DW354" s="560">
        <f t="shared" si="629"/>
        <v>0</v>
      </c>
      <c r="DX354" s="560">
        <f t="shared" si="630"/>
        <v>0</v>
      </c>
      <c r="DY354" s="560">
        <f t="shared" si="631"/>
        <v>0</v>
      </c>
      <c r="DZ354" s="560">
        <f t="shared" si="632"/>
        <v>0</v>
      </c>
      <c r="EA354" s="560"/>
      <c r="EB354" s="545">
        <f>IF(OR(B354&lt;FV354,B354&gt;FW354),(MIN(BF354+BY354+CT354+MAX(Sheet1!AA356+AQ354-73,0),K354)),0)</f>
        <v>8.9775027808676313</v>
      </c>
      <c r="EC354" s="560"/>
      <c r="ED354" s="560">
        <f t="shared" si="633"/>
        <v>8.9775027808676313</v>
      </c>
      <c r="EE354" s="560"/>
      <c r="EF354" s="560">
        <f>Sheet1!EH356+Sheet1!EI356+Sheet1!EJ356+Sheet1!EK356</f>
        <v>9</v>
      </c>
      <c r="EG354" s="560"/>
      <c r="EH354" s="545">
        <f t="shared" si="634"/>
        <v>0</v>
      </c>
      <c r="EI354" s="560">
        <f>IF(Sheet1!ET356=1,SUM('Calculations II'!AT354:BA354)+'Calculations II'!BC354+Sheet1!BV356+'Calculations II'!BE354+AP354,SUM('Calculations II'!AT354:BA354)+'Calculations II'!BC354+Sheet1!BV356+'Calculations II'!BE354+AP354)</f>
        <v>53.780431999999998</v>
      </c>
      <c r="EJ354" s="560">
        <f>Sheet1!AA356+Sheet1!AB356+'Calculations II'!BC354</f>
        <v>53.005936000000005</v>
      </c>
      <c r="EK354" s="560"/>
      <c r="EL354" s="560"/>
      <c r="EM354" s="560">
        <f t="shared" si="635"/>
        <v>41982</v>
      </c>
      <c r="EN354" s="560">
        <f t="shared" si="636"/>
        <v>0</v>
      </c>
      <c r="EO354" s="560">
        <f t="shared" si="637"/>
        <v>0</v>
      </c>
      <c r="EP354" s="560">
        <v>0</v>
      </c>
      <c r="EQ354" s="560">
        <v>0</v>
      </c>
      <c r="ER354" s="560">
        <v>0</v>
      </c>
      <c r="ES354" s="545">
        <f t="shared" si="660"/>
        <v>1.9401776960137933</v>
      </c>
      <c r="ET354" s="560">
        <f>-(VLOOKUP(Sheet1!BQ356,Lookup!$O$4:$Q$262,2)-VLOOKUP(Sheet1!BQ355,Lookup!$O$4:$Q$262,2))/1000000</f>
        <v>0.97002153718420492</v>
      </c>
      <c r="EU354" s="560">
        <f>-(VLOOKUP(Sheet1!BR356,Lookup!$O$4:$Q$262,3)-VLOOKUP(Sheet1!BR355,Lookup!$O$4:$Q$262,3))/1000000</f>
        <v>0.97015615882958839</v>
      </c>
      <c r="EV354" s="560"/>
      <c r="EW354" s="560"/>
      <c r="EX354" s="560"/>
      <c r="EY354" s="560"/>
      <c r="EZ354" s="560"/>
      <c r="FA354" s="560"/>
      <c r="FB354" s="560"/>
      <c r="FC354" s="560"/>
      <c r="FD354" s="594" t="e">
        <f t="shared" si="638"/>
        <v>#N/A</v>
      </c>
      <c r="FE354" s="594" t="e">
        <f t="shared" si="639"/>
        <v>#N/A</v>
      </c>
      <c r="FF354" s="595" t="e">
        <f t="shared" si="640"/>
        <v>#N/A</v>
      </c>
      <c r="FG354" s="596" t="s">
        <v>692</v>
      </c>
      <c r="FH354" s="596" t="s">
        <v>692</v>
      </c>
      <c r="FI354" s="594" t="e">
        <v>#N/A</v>
      </c>
      <c r="FJ354" s="594" t="e">
        <v>#N/A</v>
      </c>
      <c r="FK354" s="560"/>
      <c r="FL354" s="560"/>
      <c r="FM354" s="560"/>
      <c r="FN354" s="560"/>
      <c r="FO354" s="560">
        <f>O354+((Sheet1!CS356)*GPMtoMGD)</f>
        <v>53.005936000000005</v>
      </c>
      <c r="FP354" s="560">
        <f>IF(Sheet1!AA356+AQ354&lt;=Calculation!N354,AQ354,Calculation!N354-Sheet1!AA356)</f>
        <v>25.992769744160178</v>
      </c>
      <c r="FQ354" s="560">
        <f>(Sheet1!BP356+Sheet1!BO356)/694.4</f>
        <v>2.131048387096774</v>
      </c>
      <c r="FR354" s="560"/>
      <c r="FS354" s="560"/>
      <c r="FT354" s="560"/>
      <c r="FU354" s="560"/>
      <c r="FV354" s="695">
        <f t="shared" si="661"/>
        <v>41827</v>
      </c>
      <c r="FW354" s="695">
        <f t="shared" si="662"/>
        <v>41934</v>
      </c>
      <c r="FX354" s="560"/>
      <c r="FY354" s="560"/>
      <c r="FZ354" s="560"/>
      <c r="GA354" s="560"/>
      <c r="GB354" s="560" t="str">
        <f t="shared" si="663"/>
        <v>n</v>
      </c>
      <c r="GC354" s="564">
        <f t="shared" si="664"/>
        <v>41691</v>
      </c>
      <c r="GD354" s="695">
        <f t="shared" si="665"/>
        <v>41807</v>
      </c>
      <c r="GE354" s="560">
        <v>6518.9</v>
      </c>
      <c r="GF354" s="695">
        <f t="shared" si="666"/>
        <v>41808</v>
      </c>
      <c r="GG354" s="560">
        <f t="shared" si="686"/>
        <v>3259</v>
      </c>
      <c r="GH354" s="564">
        <f t="shared" si="667"/>
        <v>41934</v>
      </c>
      <c r="GJ354" s="545">
        <f t="shared" si="668"/>
        <v>0</v>
      </c>
      <c r="GK354" s="560" t="str">
        <f t="shared" si="641"/>
        <v/>
      </c>
      <c r="GL354" s="560">
        <f t="shared" si="669"/>
        <v>0</v>
      </c>
      <c r="GM354" s="560" t="str">
        <f t="shared" si="670"/>
        <v/>
      </c>
      <c r="GN354" s="560">
        <f>IF(GK354="P",Lookup!$M$12,IF(GK354="PP",Lookup!$M$13,IF(GK354="PPP",Lookup!$M$14,IF(GK354="T",Lookup!$M$15,IF(GK354="TP",Lookup!$M$16,IF(GK354="TPP",Lookup!$M$17,IF(GK354="TPPP",Lookup!$M$18,0)))))))*GJ354</f>
        <v>0</v>
      </c>
      <c r="GO354" s="560">
        <f t="shared" si="671"/>
        <v>0</v>
      </c>
      <c r="GP354" s="560">
        <f t="shared" si="642"/>
        <v>0</v>
      </c>
      <c r="GQ354" s="560">
        <f t="shared" si="679"/>
        <v>0</v>
      </c>
      <c r="GR354" s="560"/>
      <c r="GS354" s="560">
        <f t="shared" si="672"/>
        <v>0</v>
      </c>
      <c r="GT354" s="560" t="str">
        <f t="shared" si="673"/>
        <v/>
      </c>
      <c r="GU354" s="560">
        <f>IF(GK354="P",Lookup!$N$12,IF(GK354="PP",Lookup!$N$13,IF(GK354="PPP",Lookup!$N$14,IF(GK354="T",Lookup!$N$15,IF(GK354="TP",Lookup!$N$16,IF(GK354="TPP",Lookup!$N$17,IF(GK354="TPPP",Lookup!$N$18,0)))))))*GJ354</f>
        <v>0</v>
      </c>
      <c r="GV354" s="560">
        <f t="shared" si="674"/>
        <v>0</v>
      </c>
      <c r="GW354" s="560">
        <f t="shared" si="643"/>
        <v>0</v>
      </c>
      <c r="GX354" s="560">
        <f t="shared" si="680"/>
        <v>0</v>
      </c>
      <c r="GY354" s="560"/>
      <c r="GZ354" s="560">
        <f t="shared" si="675"/>
        <v>0</v>
      </c>
      <c r="HA354" s="560" t="str">
        <f t="shared" si="676"/>
        <v/>
      </c>
      <c r="HB354" s="560">
        <f>IF(GK354="P",Lookup!$N$12,IF(GK354="PP",Lookup!$N$13,IF(GK354="PPP",Lookup!$N$14,IF(GK354="T",Lookup!$N$15,IF(GK354="TP",Lookup!$N$16,IF(GK354="TPP",Lookup!$N$17,IF(GK354="TPPP",Lookup!$N$18,0)))))))*GJ354</f>
        <v>0</v>
      </c>
      <c r="HC354" s="545">
        <f t="shared" si="644"/>
        <v>0</v>
      </c>
      <c r="HD354" s="560">
        <f t="shared" si="645"/>
        <v>0</v>
      </c>
      <c r="HE354" s="560">
        <f t="shared" si="681"/>
        <v>0</v>
      </c>
      <c r="HF354" s="560"/>
      <c r="HG354" s="560">
        <f t="shared" si="677"/>
        <v>0</v>
      </c>
      <c r="HH354" s="560" t="str">
        <f t="shared" si="678"/>
        <v/>
      </c>
      <c r="HI354" s="560">
        <f>IF(GK354="P",Lookup!$N$12,IF(GK354="PP",Lookup!$N$13,IF(GK354="PPP",Lookup!$N$14,IF(GK354="T",Lookup!$N$15,IF(GK354="TP",Lookup!$N$16,IF(GK354="TPP",Lookup!$N$17,IF(GK354="TPPP",Lookup!$N$18,0)))))))*GJ354</f>
        <v>0</v>
      </c>
      <c r="HJ354" s="545">
        <f t="shared" si="646"/>
        <v>0</v>
      </c>
      <c r="HK354" s="560">
        <f t="shared" si="647"/>
        <v>0</v>
      </c>
      <c r="HL354" s="560">
        <f t="shared" si="682"/>
        <v>0</v>
      </c>
    </row>
    <row r="355" spans="1:220">
      <c r="A355" s="580" t="s">
        <v>6</v>
      </c>
      <c r="B355" s="556">
        <v>41983</v>
      </c>
      <c r="C355" s="561">
        <v>0</v>
      </c>
      <c r="D355" s="529">
        <f t="shared" si="684"/>
        <v>300</v>
      </c>
      <c r="E355" s="529">
        <f t="shared" si="685"/>
        <v>250</v>
      </c>
      <c r="F355" s="529">
        <v>250</v>
      </c>
      <c r="G355" s="560">
        <f>DR355+Sheet1!CZ357</f>
        <v>1101.2556732222379</v>
      </c>
      <c r="H355" s="914">
        <f t="shared" si="650"/>
        <v>444.88846717085454</v>
      </c>
      <c r="I355" s="559">
        <f>MAX(Sheet1!Z357-AT355+(Sheet1!DA357-E355)*CFStoMGD,0)</f>
        <v>1012.014</v>
      </c>
      <c r="J355" s="562">
        <f>IF(AND(B355&gt;=Calculation!GC355,B355&lt;=Calculation!GD355),IF(Sheet1!DB357&gt;=Calculation!D355,64.64,0),MAX(Sheet1!Z357-AT355+(Sheet1!DB357-D355)*CFStoMGD,0))</f>
        <v>559.53399999999999</v>
      </c>
      <c r="K355" s="904">
        <f t="shared" si="583"/>
        <v>64.64</v>
      </c>
      <c r="L355" s="560">
        <f>Sheet1!AA357+Sheet1!AB357-Sheet1!L357+(Sheet1!DA357-F355)*CFStoMGD</f>
        <v>1012.0939999999999</v>
      </c>
      <c r="M355" s="560">
        <f t="shared" si="584"/>
        <v>726.08870051427164</v>
      </c>
      <c r="N355" s="910">
        <f>IF(Sheet1!DA357&gt;=F355,MIN(73,MIN(MAX(L355,0),MAX(M355,0))),0)</f>
        <v>73</v>
      </c>
      <c r="O355" s="563">
        <f>Sheet1!AA357+Sheet1!AB357</f>
        <v>36.03</v>
      </c>
      <c r="P355" s="563">
        <f t="shared" si="585"/>
        <v>55.738410000000002</v>
      </c>
      <c r="Q355" s="898">
        <f t="shared" si="651"/>
        <v>0</v>
      </c>
      <c r="R355" s="829">
        <f t="shared" si="586"/>
        <v>8.9700415858053795</v>
      </c>
      <c r="S355" s="698">
        <f t="shared" si="683"/>
        <v>36.03</v>
      </c>
      <c r="T355" s="898">
        <f t="shared" si="652"/>
        <v>0</v>
      </c>
      <c r="U355" s="898">
        <f t="shared" si="653"/>
        <v>0</v>
      </c>
      <c r="V355" s="898"/>
      <c r="W355" s="898">
        <f t="shared" si="654"/>
        <v>55.669958414194625</v>
      </c>
      <c r="X355" s="898">
        <f t="shared" si="655"/>
        <v>36.03</v>
      </c>
      <c r="Y355" s="898" t="str">
        <f t="shared" si="656"/>
        <v/>
      </c>
      <c r="Z355" s="898">
        <f t="shared" si="657"/>
        <v>36.03</v>
      </c>
      <c r="AA355" s="898">
        <f t="shared" si="658"/>
        <v>36.03</v>
      </c>
      <c r="AB355" s="898" t="str">
        <f t="shared" si="659"/>
        <v/>
      </c>
      <c r="AC355" s="563">
        <f>Sheet1!Y357*MGDtoCFS</f>
        <v>0</v>
      </c>
      <c r="AD355" s="563">
        <f>Sheet1!Z357*MGDtoCFS</f>
        <v>55.614650000000005</v>
      </c>
      <c r="AE355" s="563">
        <f>Sheet1!AA357*MGDtoCFS</f>
        <v>0</v>
      </c>
      <c r="AF355" s="563">
        <f>Sheet1!AB357*MGDtoCFS</f>
        <v>55.738410000000002</v>
      </c>
      <c r="AG355" s="563">
        <f>Sheet1!L357*MGDtoCFS</f>
        <v>0</v>
      </c>
      <c r="AH355" s="545">
        <f t="shared" si="587"/>
        <v>0</v>
      </c>
      <c r="AI355" s="560">
        <f t="shared" si="588"/>
        <v>0</v>
      </c>
      <c r="AJ355" s="560">
        <f t="shared" si="589"/>
        <v>0</v>
      </c>
      <c r="AK355" s="560">
        <f t="shared" si="590"/>
        <v>0</v>
      </c>
      <c r="AL355" s="560">
        <f>(VLOOKUP(Sheet1!DC357,hhdcap_wcm,4)-(((VLOOKUP(Sheet1!DC357,hhdcap_wcm,3)-Sheet1!DC357)/(VLOOKUP(Sheet1!DC357,hhdcap_wcm,3)-VLOOKUP(Sheet1!DC357,hhdcap_wcm,1)))*(VLOOKUP(Sheet1!DC357,hhdcap_wcm,4)-VLOOKUP(Sheet1!DC357,hhdcap_wcm,2))))</f>
        <v>1055.0000000029195</v>
      </c>
      <c r="AM355" s="560">
        <f t="shared" si="591"/>
        <v>-57.000000000302407</v>
      </c>
      <c r="AN355" s="560">
        <f t="shared" si="592"/>
        <v>0</v>
      </c>
      <c r="AO355" s="560">
        <f t="shared" si="593"/>
        <v>0</v>
      </c>
      <c r="AP355" s="560">
        <f>Sheet1!BA357+Sheet1!BB357+Sheet1!BN357+CD355</f>
        <v>27.09</v>
      </c>
      <c r="AQ355" s="560">
        <f>Sheet1!BN357+(DO355*Sheet1!BN357)</f>
        <v>26.071056279456613</v>
      </c>
      <c r="AR355" s="560">
        <f>Sheet1!BA357+CD355</f>
        <v>0</v>
      </c>
      <c r="AS355" s="560">
        <f>Sheet1!BA357+Sheet1!BB357+CD355</f>
        <v>0.99</v>
      </c>
      <c r="AT355" s="698">
        <f>0</f>
        <v>0</v>
      </c>
      <c r="AU355" s="560">
        <f>IF(EB355&lt;K355,0,MAX(Sheet1!AA357+AQ355-15/36*K355-N355,Sheet1!EH357,0))</f>
        <v>0</v>
      </c>
      <c r="AV355" s="560">
        <f>IF(OR(B355&gt;=GD355,B355&lt;GC355),0,15/36*K355-MAX(0,64.6-(137.6-(Sheet1!AA357+Sheet1!AB357))))</f>
        <v>0</v>
      </c>
      <c r="AW355" s="698">
        <f>Sheet1!DB357-110</f>
        <v>1000</v>
      </c>
      <c r="AX355" s="698">
        <f>Sheet1!DA357-265</f>
        <v>1495</v>
      </c>
      <c r="AY355" s="698">
        <f t="shared" si="594"/>
        <v>73</v>
      </c>
      <c r="AZ355" s="698">
        <v>0</v>
      </c>
      <c r="BA355" s="698">
        <f t="shared" si="595"/>
        <v>0</v>
      </c>
      <c r="BB355" s="560">
        <f t="shared" si="596"/>
        <v>0</v>
      </c>
      <c r="BC355" s="560"/>
      <c r="BD355" s="560">
        <f ca="1">IF(B355&gt;Summary!$A$1,#N/A,BB355*MGtoAF)</f>
        <v>0</v>
      </c>
      <c r="BE355" s="560">
        <f>Sheet1!BG357+Sheet1!BH357+Sheet1!BI357-BM355</f>
        <v>0</v>
      </c>
      <c r="BF355" s="560">
        <f t="shared" si="597"/>
        <v>0</v>
      </c>
      <c r="BG355" s="560">
        <f>IF(Sheet1!EP357="FM",BM355,0)</f>
        <v>0</v>
      </c>
      <c r="BH355" s="560">
        <f t="shared" si="598"/>
        <v>0</v>
      </c>
      <c r="BI355" s="560">
        <f>IF(Sheet1!EP357="OTHER",BM355,0)</f>
        <v>0</v>
      </c>
      <c r="BJ355" s="560">
        <f t="shared" si="599"/>
        <v>0</v>
      </c>
      <c r="BK355" s="560">
        <f t="shared" si="600"/>
        <v>0</v>
      </c>
      <c r="BL355" s="560">
        <f t="shared" si="601"/>
        <v>0</v>
      </c>
      <c r="BM355" s="560">
        <f>IF(OR(Sheet1!EP357="FM", Sheet1!EP357="OTHER"),SUM(Sheet1!BG357:'Sheet1'!BI357),0)</f>
        <v>0</v>
      </c>
      <c r="BN355" s="545">
        <f>IF(AND($B355&gt;=$FV355,$B355&lt;=$FW355),MAX(BF355,Sheet1!EI357,0),MAX(BF355-(7/36)*$K355,0))</f>
        <v>0</v>
      </c>
      <c r="BO355" s="560">
        <f t="shared" si="602"/>
        <v>0</v>
      </c>
      <c r="BP355" s="545">
        <f t="shared" si="603"/>
        <v>0</v>
      </c>
      <c r="BQ355" s="545">
        <f>IF(AND($O355&gt;0,Sheet1!EM357=1),(1-($O355-Sheet1!$L357)/$O355)*BL355,0)</f>
        <v>0</v>
      </c>
      <c r="BR355" s="545">
        <f>IF(AND(Sheet1!$L357=0,Sheet1!$L356=0, Calculation!BK355&lt;Sheet1!$EI357-0.1,Sheet1!$EI357=Sheet1!$EI356,Sheet1!$EI357=Sheet1!$EI358),Sheet1!$EI357,BL355-BQ355)</f>
        <v>0</v>
      </c>
      <c r="BS355" s="560"/>
      <c r="BT355" s="560"/>
      <c r="BU355" s="560">
        <f t="shared" si="604"/>
        <v>0</v>
      </c>
      <c r="BV355" s="560"/>
      <c r="BW355" s="560">
        <f ca="1">IF(B355&gt;Summary!$A$1,#N/A,BU355*MGtoAF)</f>
        <v>0</v>
      </c>
      <c r="BX355" s="560">
        <f>Sheet1!BC357+Sheet1!BD357+Sheet1!BE357+Sheet1!BF357-CG355-CH355</f>
        <v>2.4900000000000002</v>
      </c>
      <c r="BY355" s="560">
        <f t="shared" si="605"/>
        <v>2.4872387025228724</v>
      </c>
      <c r="BZ355" s="560">
        <f>IF(Sheet1!EQ357="FM",CH355,0)</f>
        <v>0</v>
      </c>
      <c r="CA355" s="560">
        <f t="shared" si="606"/>
        <v>0</v>
      </c>
      <c r="CB355" s="560">
        <f>IF(Sheet1!EQ357="OTHER",CH355,0)</f>
        <v>0</v>
      </c>
      <c r="CC355" s="560">
        <f t="shared" si="607"/>
        <v>0</v>
      </c>
      <c r="CD355" s="560">
        <f t="shared" si="608"/>
        <v>0</v>
      </c>
      <c r="CE355" s="560">
        <f t="shared" si="609"/>
        <v>2.4900000000000002</v>
      </c>
      <c r="CF355" s="560">
        <f t="shared" si="610"/>
        <v>2.4872387025228724</v>
      </c>
      <c r="CG355" s="560">
        <f>IF(Sheet1!EQ357="CWA",SUM(Sheet1!BC357:'Sheet1'!BF357),0)</f>
        <v>0</v>
      </c>
      <c r="CH355" s="560">
        <f>IF(OR(Sheet1!EQ357="FM", Sheet1!EQ357="OTHER"),SUM(Sheet1!BC357:'Sheet1'!BF357),0)</f>
        <v>0</v>
      </c>
      <c r="CI355" s="545">
        <f>IF(AND($B355&gt;=$FV355,$B355&lt;=$FW355),MAX(CF355,Sheet1!EJ357,0),MAX(CF355-(7/36)*$K355,0))</f>
        <v>0</v>
      </c>
      <c r="CJ355" s="560">
        <f t="shared" si="611"/>
        <v>0</v>
      </c>
      <c r="CK355" s="545">
        <f t="shared" si="612"/>
        <v>2.4872387025228724</v>
      </c>
      <c r="CL355" s="545">
        <f>IF(AND($O355&gt;0,Sheet1!EN357=1),(1-($O355-Sheet1!$L357)/$O355)*CF355,0)</f>
        <v>0</v>
      </c>
      <c r="CM355" s="545">
        <f>IF(AND(Sheet1!$L357=0,Sheet1!$L356=0, Calculation!CE355&lt;Sheet1!EJ357-0.1,Sheet1!EJ357=Sheet1!EJ356,Sheet1!EJ357=Sheet1!EJ358),Sheet1!EJ357,CF355-CL355)</f>
        <v>2.4872387025228724</v>
      </c>
      <c r="CN355" s="545"/>
      <c r="CO355" s="560"/>
      <c r="CP355" s="560">
        <f t="shared" si="613"/>
        <v>0</v>
      </c>
      <c r="CQ355" s="560"/>
      <c r="CR355" s="560">
        <f ca="1">IF(B355&gt;Summary!$A$1,#N/A,CP355*MGtoAF)</f>
        <v>0</v>
      </c>
      <c r="CS355" s="560">
        <f>Sheet1!BK357+Sheet1!BL357+Sheet1!BM357-Sheet1!ER357-DA355</f>
        <v>6.49</v>
      </c>
      <c r="CT355" s="560">
        <f t="shared" si="614"/>
        <v>6.4828028832825062</v>
      </c>
      <c r="CU355" s="560">
        <f>IF(Sheet1!ER357="FM",DA355,0)</f>
        <v>0</v>
      </c>
      <c r="CV355" s="560">
        <f t="shared" si="615"/>
        <v>0</v>
      </c>
      <c r="CW355" s="560">
        <f>IF(Sheet1!ER357="OTHER",DA355,0)</f>
        <v>0</v>
      </c>
      <c r="CX355" s="560">
        <f t="shared" si="616"/>
        <v>0</v>
      </c>
      <c r="CY355" s="560">
        <f t="shared" si="617"/>
        <v>6.49</v>
      </c>
      <c r="CZ355" s="560">
        <f t="shared" si="618"/>
        <v>6.4828028832825062</v>
      </c>
      <c r="DA355" s="560">
        <f>IF(OR(Sheet1!ER357="FM", Sheet1!ER357="OTHER"),SUM(Sheet1!BK357:'Sheet1'!BM357),0)</f>
        <v>0</v>
      </c>
      <c r="DB355" s="545">
        <f>IF(AND($B355&gt;=$FV355,$B355&lt;=$FW355),MAX($CT355,Sheet1!EK357,0),MAX($CT355-(7/36)*$K355,0))</f>
        <v>0</v>
      </c>
      <c r="DC355" s="560">
        <f t="shared" si="619"/>
        <v>0</v>
      </c>
      <c r="DD355" s="545">
        <f t="shared" si="620"/>
        <v>6.4828028832825062</v>
      </c>
      <c r="DE355" s="545">
        <f>IF(AND($O355&gt;0,Sheet1!EO357=1),(1-($O355-Sheet1!$L357)/$O355)*CZ355,0)</f>
        <v>0</v>
      </c>
      <c r="DF355" s="545">
        <f>IF(AND(Sheet1!$L357=0,Sheet1!$L356=0, Calculation!CY355&lt;Sheet1!$EK357-0.1,Sheet1!$EK357=Sheet1!$EK356,Sheet1!$EK357=Sheet1!$EK358),Sheet1!$EK357,CZ355-DE355)</f>
        <v>6.4828028832825062</v>
      </c>
      <c r="DG355" s="545"/>
      <c r="DH355" s="560">
        <f t="shared" si="621"/>
        <v>8.98</v>
      </c>
      <c r="DI355" s="560">
        <f t="shared" si="622"/>
        <v>0</v>
      </c>
      <c r="DJ355" s="698">
        <f t="shared" si="623"/>
        <v>8.9700415858053795</v>
      </c>
      <c r="DK355" s="560">
        <f ca="1">IF(B355&gt;Summary!$A$1,#N/A,DI355*MGtoAF)</f>
        <v>0</v>
      </c>
      <c r="DL355" s="698">
        <f t="shared" si="624"/>
        <v>8.98</v>
      </c>
      <c r="DM355" s="560">
        <f t="shared" si="625"/>
        <v>36.07</v>
      </c>
      <c r="DN355" s="560">
        <f>Sheet1!AB357-DM355</f>
        <v>-3.9999999999999147E-2</v>
      </c>
      <c r="DO355" s="560">
        <f t="shared" si="626"/>
        <v>-1.1089548100914651E-3</v>
      </c>
      <c r="DP355" s="560">
        <f>(VLOOKUP(Sheet1!DC357,hhdcap_wcm,4)-(((VLOOKUP(Sheet1!DC357,hhdcap_wcm,3)-Sheet1!DC357)/(VLOOKUP(Sheet1!DC357,hhdcap_wcm,3)-VLOOKUP(Sheet1!DC357,hhdcap_wcm,1)))*(VLOOKUP(Sheet1!DC357,hhdcap_wcm,4)-VLOOKUP(Sheet1!DC357,hhdcap_wcm,2))))</f>
        <v>1055.0000000029195</v>
      </c>
      <c r="DQ355" s="560">
        <f t="shared" si="627"/>
        <v>-57.000000000302407</v>
      </c>
      <c r="DR355" s="560">
        <f t="shared" si="628"/>
        <v>-28.744326777762179</v>
      </c>
      <c r="DS355" s="560">
        <f>Sheet1!EA357*AFtoMG</f>
        <v>0</v>
      </c>
      <c r="DT355" s="560">
        <f>Sheet1!EB357*AFtoMG</f>
        <v>0</v>
      </c>
      <c r="DU355" s="560">
        <f>Sheet1!EC357*AFtoMG</f>
        <v>0</v>
      </c>
      <c r="DV355" s="560">
        <f>Sheet1!ED357*AFtoMG</f>
        <v>0</v>
      </c>
      <c r="DW355" s="560">
        <f t="shared" si="629"/>
        <v>0</v>
      </c>
      <c r="DX355" s="560">
        <f t="shared" si="630"/>
        <v>0</v>
      </c>
      <c r="DY355" s="560">
        <f t="shared" si="631"/>
        <v>0</v>
      </c>
      <c r="DZ355" s="560">
        <f t="shared" si="632"/>
        <v>0</v>
      </c>
      <c r="EA355" s="560"/>
      <c r="EB355" s="545">
        <f>IF(OR(B355&lt;FV355,B355&gt;FW355),(MIN(BF355+BY355+CT355+MAX(Sheet1!AA357+AQ355-73,0),K355)),0)</f>
        <v>8.9700415858053795</v>
      </c>
      <c r="EC355" s="560"/>
      <c r="ED355" s="560">
        <f t="shared" si="633"/>
        <v>8.9700415858053795</v>
      </c>
      <c r="EE355" s="560"/>
      <c r="EF355" s="560">
        <f>Sheet1!EH357+Sheet1!EI357+Sheet1!EJ357+Sheet1!EK357</f>
        <v>9</v>
      </c>
      <c r="EG355" s="560"/>
      <c r="EH355" s="545">
        <f t="shared" si="634"/>
        <v>0</v>
      </c>
      <c r="EI355" s="560">
        <f>IF(Sheet1!ET357=1,SUM('Calculations II'!AT355:BA355)+'Calculations II'!BC355+Sheet1!BV357+'Calculations II'!BE355+AP355,SUM('Calculations II'!AT355:BA355)+'Calculations II'!BC355+Sheet1!BV357+'Calculations II'!BE355+AP355)</f>
        <v>51.574992000000002</v>
      </c>
      <c r="EJ355" s="560">
        <f>Sheet1!AA357+Sheet1!AB357+'Calculations II'!BC355</f>
        <v>51.850416000000003</v>
      </c>
      <c r="EK355" s="560"/>
      <c r="EL355" s="560"/>
      <c r="EM355" s="560">
        <f t="shared" si="635"/>
        <v>41983</v>
      </c>
      <c r="EN355" s="560">
        <f t="shared" si="636"/>
        <v>0</v>
      </c>
      <c r="EO355" s="560">
        <f t="shared" si="637"/>
        <v>0</v>
      </c>
      <c r="EP355" s="560">
        <v>0</v>
      </c>
      <c r="EQ355" s="560">
        <v>0</v>
      </c>
      <c r="ER355" s="560">
        <v>0</v>
      </c>
      <c r="ES355" s="545">
        <f t="shared" si="660"/>
        <v>1.2469333762086332</v>
      </c>
      <c r="ET355" s="560">
        <f>-(VLOOKUP(Sheet1!BQ357,Lookup!$O$4:$Q$262,2)-VLOOKUP(Sheet1!BQ356,Lookup!$O$4:$Q$262,2))/1000000</f>
        <v>0.55415700205460194</v>
      </c>
      <c r="EU355" s="560">
        <f>-(VLOOKUP(Sheet1!BR357,Lookup!$O$4:$Q$262,3)-VLOOKUP(Sheet1!BR356,Lookup!$O$4:$Q$262,3))/1000000</f>
        <v>0.69277637415403126</v>
      </c>
      <c r="EV355" s="560"/>
      <c r="EW355" s="560"/>
      <c r="EX355" s="560"/>
      <c r="EY355" s="560"/>
      <c r="EZ355" s="560"/>
      <c r="FA355" s="560"/>
      <c r="FB355" s="560"/>
      <c r="FC355" s="560"/>
      <c r="FD355" s="594" t="e">
        <f t="shared" si="638"/>
        <v>#N/A</v>
      </c>
      <c r="FE355" s="594" t="e">
        <f t="shared" si="639"/>
        <v>#N/A</v>
      </c>
      <c r="FF355" s="595" t="e">
        <f t="shared" si="640"/>
        <v>#N/A</v>
      </c>
      <c r="FG355" s="596" t="s">
        <v>692</v>
      </c>
      <c r="FH355" s="596" t="s">
        <v>692</v>
      </c>
      <c r="FI355" s="594" t="e">
        <v>#N/A</v>
      </c>
      <c r="FJ355" s="594" t="e">
        <v>#N/A</v>
      </c>
      <c r="FK355" s="560"/>
      <c r="FL355" s="560"/>
      <c r="FM355" s="560"/>
      <c r="FN355" s="560"/>
      <c r="FO355" s="560">
        <f>O355+((Sheet1!CS357)*GPMtoMGD)</f>
        <v>51.850416000000003</v>
      </c>
      <c r="FP355" s="560">
        <f>IF(Sheet1!AA357+AQ355&lt;=Calculation!N355,AQ355,Calculation!N355-Sheet1!AA357)</f>
        <v>26.071056279456613</v>
      </c>
      <c r="FQ355" s="560">
        <f>(Sheet1!BP357+Sheet1!BO357)/694.4</f>
        <v>0.88205645161290325</v>
      </c>
      <c r="FR355" s="560"/>
      <c r="FS355" s="560"/>
      <c r="FT355" s="560"/>
      <c r="FU355" s="560"/>
      <c r="FV355" s="695">
        <f t="shared" si="661"/>
        <v>41827</v>
      </c>
      <c r="FW355" s="695">
        <f t="shared" si="662"/>
        <v>41934</v>
      </c>
      <c r="FX355" s="560"/>
      <c r="FY355" s="560"/>
      <c r="FZ355" s="560"/>
      <c r="GA355" s="560"/>
      <c r="GB355" s="560" t="str">
        <f t="shared" si="663"/>
        <v>n</v>
      </c>
      <c r="GC355" s="564">
        <f t="shared" si="664"/>
        <v>41691</v>
      </c>
      <c r="GD355" s="695">
        <f t="shared" si="665"/>
        <v>41807</v>
      </c>
      <c r="GE355" s="560">
        <v>6518.9</v>
      </c>
      <c r="GF355" s="695">
        <f t="shared" si="666"/>
        <v>41808</v>
      </c>
      <c r="GG355" s="560">
        <f t="shared" si="686"/>
        <v>3259</v>
      </c>
      <c r="GH355" s="564">
        <f t="shared" si="667"/>
        <v>41934</v>
      </c>
      <c r="GJ355" s="545">
        <f t="shared" si="668"/>
        <v>0</v>
      </c>
      <c r="GK355" s="560" t="str">
        <f t="shared" si="641"/>
        <v/>
      </c>
      <c r="GL355" s="560">
        <f t="shared" si="669"/>
        <v>0</v>
      </c>
      <c r="GM355" s="560" t="str">
        <f t="shared" si="670"/>
        <v/>
      </c>
      <c r="GN355" s="560">
        <f>IF(GK355="P",Lookup!$M$12,IF(GK355="PP",Lookup!$M$13,IF(GK355="PPP",Lookup!$M$14,IF(GK355="T",Lookup!$M$15,IF(GK355="TP",Lookup!$M$16,IF(GK355="TPP",Lookup!$M$17,IF(GK355="TPPP",Lookup!$M$18,0)))))))*GJ355</f>
        <v>0</v>
      </c>
      <c r="GO355" s="560">
        <f t="shared" si="671"/>
        <v>0</v>
      </c>
      <c r="GP355" s="560">
        <f t="shared" si="642"/>
        <v>0</v>
      </c>
      <c r="GQ355" s="560">
        <f t="shared" si="679"/>
        <v>0</v>
      </c>
      <c r="GR355" s="560"/>
      <c r="GS355" s="560">
        <f t="shared" si="672"/>
        <v>0</v>
      </c>
      <c r="GT355" s="560" t="str">
        <f t="shared" si="673"/>
        <v/>
      </c>
      <c r="GU355" s="560">
        <f>IF(GK355="P",Lookup!$N$12,IF(GK355="PP",Lookup!$N$13,IF(GK355="PPP",Lookup!$N$14,IF(GK355="T",Lookup!$N$15,IF(GK355="TP",Lookup!$N$16,IF(GK355="TPP",Lookup!$N$17,IF(GK355="TPPP",Lookup!$N$18,0)))))))*GJ355</f>
        <v>0</v>
      </c>
      <c r="GV355" s="560">
        <f t="shared" si="674"/>
        <v>0</v>
      </c>
      <c r="GW355" s="560">
        <f t="shared" si="643"/>
        <v>0</v>
      </c>
      <c r="GX355" s="560">
        <f t="shared" si="680"/>
        <v>0</v>
      </c>
      <c r="GY355" s="560"/>
      <c r="GZ355" s="560">
        <f t="shared" si="675"/>
        <v>0</v>
      </c>
      <c r="HA355" s="560" t="str">
        <f t="shared" si="676"/>
        <v/>
      </c>
      <c r="HB355" s="560">
        <f>IF(GK355="P",Lookup!$N$12,IF(GK355="PP",Lookup!$N$13,IF(GK355="PPP",Lookup!$N$14,IF(GK355="T",Lookup!$N$15,IF(GK355="TP",Lookup!$N$16,IF(GK355="TPP",Lookup!$N$17,IF(GK355="TPPP",Lookup!$N$18,0)))))))*GJ355</f>
        <v>0</v>
      </c>
      <c r="HC355" s="545">
        <f t="shared" si="644"/>
        <v>0</v>
      </c>
      <c r="HD355" s="560">
        <f t="shared" si="645"/>
        <v>0</v>
      </c>
      <c r="HE355" s="560">
        <f t="shared" si="681"/>
        <v>0</v>
      </c>
      <c r="HF355" s="560"/>
      <c r="HG355" s="560">
        <f t="shared" si="677"/>
        <v>0</v>
      </c>
      <c r="HH355" s="560" t="str">
        <f t="shared" si="678"/>
        <v/>
      </c>
      <c r="HI355" s="560">
        <f>IF(GK355="P",Lookup!$N$12,IF(GK355="PP",Lookup!$N$13,IF(GK355="PPP",Lookup!$N$14,IF(GK355="T",Lookup!$N$15,IF(GK355="TP",Lookup!$N$16,IF(GK355="TPP",Lookup!$N$17,IF(GK355="TPPP",Lookup!$N$18,0)))))))*GJ355</f>
        <v>0</v>
      </c>
      <c r="HJ355" s="545">
        <f t="shared" si="646"/>
        <v>0</v>
      </c>
      <c r="HK355" s="560">
        <f t="shared" si="647"/>
        <v>0</v>
      </c>
      <c r="HL355" s="560">
        <f t="shared" si="682"/>
        <v>0</v>
      </c>
    </row>
    <row r="356" spans="1:220">
      <c r="A356" s="580" t="s">
        <v>7</v>
      </c>
      <c r="B356" s="556">
        <v>41984</v>
      </c>
      <c r="C356" s="561">
        <v>0</v>
      </c>
      <c r="D356" s="529">
        <f t="shared" si="684"/>
        <v>300</v>
      </c>
      <c r="E356" s="529">
        <f t="shared" si="685"/>
        <v>250</v>
      </c>
      <c r="F356" s="529">
        <v>250</v>
      </c>
      <c r="G356" s="560">
        <f>DR356+Sheet1!CZ358</f>
        <v>1075.2193645991704</v>
      </c>
      <c r="H356" s="914">
        <f t="shared" si="650"/>
        <v>428.0585972769037</v>
      </c>
      <c r="I356" s="559">
        <f>MAX(Sheet1!Z358-AT356+(Sheet1!DA358-E356)*CFStoMGD,0)</f>
        <v>986.23799999999994</v>
      </c>
      <c r="J356" s="562">
        <f>IF(AND(B356&gt;=Calculation!GC356,B356&lt;=Calculation!GD356),IF(Sheet1!DB358&gt;=Calculation!D356,64.64,0),MAX(Sheet1!Z358-AT356+(Sheet1!DB358-D356)*CFStoMGD,0))</f>
        <v>533.75800000000004</v>
      </c>
      <c r="K356" s="904">
        <f t="shared" si="583"/>
        <v>64.64</v>
      </c>
      <c r="L356" s="560">
        <f>Sheet1!AA358+Sheet1!AB358-Sheet1!L358+(Sheet1!DA358-F356)*CFStoMGD</f>
        <v>993.82799999999941</v>
      </c>
      <c r="M356" s="560">
        <f t="shared" si="584"/>
        <v>708.92223322244183</v>
      </c>
      <c r="N356" s="910">
        <f>IF(Sheet1!DA358&gt;=F356,MIN(73,MIN(MAX(L356,0),MAX(M356,0))),0)</f>
        <v>73</v>
      </c>
      <c r="O356" s="563">
        <f>Sheet1!AA358+Sheet1!AB358</f>
        <v>46.230000000000004</v>
      </c>
      <c r="P356" s="563">
        <f t="shared" si="585"/>
        <v>71.517809999999997</v>
      </c>
      <c r="Q356" s="898">
        <f t="shared" si="651"/>
        <v>0</v>
      </c>
      <c r="R356" s="829">
        <f t="shared" si="586"/>
        <v>8.8747757035385906</v>
      </c>
      <c r="S356" s="698">
        <f t="shared" si="683"/>
        <v>46.230000000000004</v>
      </c>
      <c r="T356" s="898">
        <f t="shared" si="652"/>
        <v>0</v>
      </c>
      <c r="U356" s="898">
        <f t="shared" si="653"/>
        <v>0</v>
      </c>
      <c r="V356" s="898"/>
      <c r="W356" s="898">
        <f t="shared" si="654"/>
        <v>55.765224296461412</v>
      </c>
      <c r="X356" s="898">
        <f t="shared" si="655"/>
        <v>46.230000000000004</v>
      </c>
      <c r="Y356" s="898" t="str">
        <f t="shared" si="656"/>
        <v/>
      </c>
      <c r="Z356" s="898">
        <f t="shared" si="657"/>
        <v>46.230000000000004</v>
      </c>
      <c r="AA356" s="898">
        <f t="shared" si="658"/>
        <v>46.230000000000004</v>
      </c>
      <c r="AB356" s="898" t="str">
        <f t="shared" si="659"/>
        <v/>
      </c>
      <c r="AC356" s="563">
        <f>Sheet1!Y358*MGDtoCFS</f>
        <v>0</v>
      </c>
      <c r="AD356" s="563">
        <f>Sheet1!Z358*MGDtoCFS</f>
        <v>55.738410000000002</v>
      </c>
      <c r="AE356" s="563">
        <f>Sheet1!AA358*MGDtoCFS</f>
        <v>16.707599999999999</v>
      </c>
      <c r="AF356" s="563">
        <f>Sheet1!AB358*MGDtoCFS</f>
        <v>54.810209999999998</v>
      </c>
      <c r="AG356" s="563">
        <f>Sheet1!L358*MGDtoCFS</f>
        <v>4.0376700000009</v>
      </c>
      <c r="AH356" s="545">
        <f t="shared" si="587"/>
        <v>0</v>
      </c>
      <c r="AI356" s="560">
        <f t="shared" si="588"/>
        <v>0</v>
      </c>
      <c r="AJ356" s="560">
        <f t="shared" si="589"/>
        <v>0</v>
      </c>
      <c r="AK356" s="560">
        <f t="shared" si="590"/>
        <v>0</v>
      </c>
      <c r="AL356" s="560">
        <f>(VLOOKUP(Sheet1!DC358,hhdcap_wcm,4)-(((VLOOKUP(Sheet1!DC358,hhdcap_wcm,3)-Sheet1!DC358)/(VLOOKUP(Sheet1!DC358,hhdcap_wcm,3)-VLOOKUP(Sheet1!DC358,hhdcap_wcm,1)))*(VLOOKUP(Sheet1!DC358,hhdcap_wcm,4)-VLOOKUP(Sheet1!DC358,hhdcap_wcm,2))))</f>
        <v>966.20000000307414</v>
      </c>
      <c r="AM356" s="560">
        <f t="shared" si="591"/>
        <v>-88.79999999984534</v>
      </c>
      <c r="AN356" s="560">
        <f t="shared" si="592"/>
        <v>0</v>
      </c>
      <c r="AO356" s="560">
        <f t="shared" si="593"/>
        <v>0</v>
      </c>
      <c r="AP356" s="560">
        <f>Sheet1!BA358+Sheet1!BB358+Sheet1!BN358+CD356</f>
        <v>26.9</v>
      </c>
      <c r="AQ356" s="560">
        <f>Sheet1!BN358+(DO356*Sheet1!BN358)</f>
        <v>25.568041237113398</v>
      </c>
      <c r="AR356" s="560">
        <f>Sheet1!BA358+CD356</f>
        <v>0</v>
      </c>
      <c r="AS356" s="560">
        <f>Sheet1!BA358+Sheet1!BB358+CD356</f>
        <v>1</v>
      </c>
      <c r="AT356" s="698">
        <f>0</f>
        <v>0</v>
      </c>
      <c r="AU356" s="560">
        <f>IF(EB356&lt;K356,0,MAX(Sheet1!AA358+AQ356-15/36*K356-N356,Sheet1!EH358,0))</f>
        <v>0</v>
      </c>
      <c r="AV356" s="560">
        <f>IF(OR(B356&gt;=GD356,B356&lt;GC356),0,15/36*K356-MAX(0,64.6-(137.6-(Sheet1!AA358+Sheet1!AB358))))</f>
        <v>0</v>
      </c>
      <c r="AW356" s="698">
        <f>Sheet1!DB358-110</f>
        <v>960</v>
      </c>
      <c r="AX356" s="698">
        <f>Sheet1!DA358-265</f>
        <v>1455</v>
      </c>
      <c r="AY356" s="698">
        <f t="shared" si="594"/>
        <v>73</v>
      </c>
      <c r="AZ356" s="698">
        <v>0</v>
      </c>
      <c r="BA356" s="698">
        <f t="shared" si="595"/>
        <v>0</v>
      </c>
      <c r="BB356" s="560">
        <f t="shared" si="596"/>
        <v>0</v>
      </c>
      <c r="BC356" s="560"/>
      <c r="BD356" s="560">
        <f ca="1">IF(B356&gt;Summary!$A$1,#N/A,BB356*MGtoAF)</f>
        <v>0</v>
      </c>
      <c r="BE356" s="560">
        <f>Sheet1!BG358+Sheet1!BH358+Sheet1!BI358-BM356</f>
        <v>0</v>
      </c>
      <c r="BF356" s="560">
        <f t="shared" si="597"/>
        <v>0</v>
      </c>
      <c r="BG356" s="560">
        <f>IF(Sheet1!EP358="FM",BM356,0)</f>
        <v>0</v>
      </c>
      <c r="BH356" s="560">
        <f t="shared" si="598"/>
        <v>0</v>
      </c>
      <c r="BI356" s="560">
        <f>IF(Sheet1!EP358="OTHER",BM356,0)</f>
        <v>0</v>
      </c>
      <c r="BJ356" s="560">
        <f t="shared" si="599"/>
        <v>0</v>
      </c>
      <c r="BK356" s="560">
        <f t="shared" si="600"/>
        <v>0</v>
      </c>
      <c r="BL356" s="560">
        <f t="shared" si="601"/>
        <v>0</v>
      </c>
      <c r="BM356" s="560">
        <f>IF(OR(Sheet1!EP358="FM", Sheet1!EP358="OTHER"),SUM(Sheet1!BG358:'Sheet1'!BI358),0)</f>
        <v>0</v>
      </c>
      <c r="BN356" s="545">
        <f>IF(AND($B356&gt;=$FV356,$B356&lt;=$FW356),MAX(BF356,Sheet1!EI358,0),MAX(BF356-(7/36)*$K356,0))</f>
        <v>0</v>
      </c>
      <c r="BO356" s="560">
        <f t="shared" si="602"/>
        <v>0</v>
      </c>
      <c r="BP356" s="545">
        <f t="shared" si="603"/>
        <v>0</v>
      </c>
      <c r="BQ356" s="545">
        <f>IF(AND($O356&gt;0,Sheet1!EM358=1),(1-($O356-Sheet1!$L358)/$O356)*BL356,0)</f>
        <v>0</v>
      </c>
      <c r="BR356" s="545">
        <f>IF(AND(Sheet1!$L358=0,Sheet1!$L357=0, Calculation!BK356&lt;Sheet1!$EI358-0.1,Sheet1!$EI358=Sheet1!$EI357,Sheet1!$EI358=Sheet1!$EI359),Sheet1!$EI358,BL356-BQ356)</f>
        <v>0</v>
      </c>
      <c r="BS356" s="560"/>
      <c r="BT356" s="560"/>
      <c r="BU356" s="560">
        <f t="shared" si="604"/>
        <v>0</v>
      </c>
      <c r="BV356" s="560"/>
      <c r="BW356" s="560">
        <f ca="1">IF(B356&gt;Summary!$A$1,#N/A,BU356*MGtoAF)</f>
        <v>0</v>
      </c>
      <c r="BX356" s="560">
        <f>Sheet1!BC358+Sheet1!BD358+Sheet1!BE358+Sheet1!BF358-CG356-CH356</f>
        <v>2.5099999999999998</v>
      </c>
      <c r="BY356" s="560">
        <f t="shared" si="605"/>
        <v>2.4778294789634994</v>
      </c>
      <c r="BZ356" s="560">
        <f>IF(Sheet1!EQ358="FM",CH356,0)</f>
        <v>0</v>
      </c>
      <c r="CA356" s="560">
        <f t="shared" si="606"/>
        <v>0</v>
      </c>
      <c r="CB356" s="560">
        <f>IF(Sheet1!EQ358="OTHER",CH356,0)</f>
        <v>0</v>
      </c>
      <c r="CC356" s="560">
        <f t="shared" si="607"/>
        <v>0</v>
      </c>
      <c r="CD356" s="560">
        <f t="shared" si="608"/>
        <v>0</v>
      </c>
      <c r="CE356" s="560">
        <f t="shared" si="609"/>
        <v>2.5099999999999998</v>
      </c>
      <c r="CF356" s="560">
        <f t="shared" si="610"/>
        <v>2.4778294789634994</v>
      </c>
      <c r="CG356" s="560">
        <f>IF(Sheet1!EQ358="CWA",SUM(Sheet1!BC358:'Sheet1'!BF358),0)</f>
        <v>0</v>
      </c>
      <c r="CH356" s="560">
        <f>IF(OR(Sheet1!EQ358="FM", Sheet1!EQ358="OTHER"),SUM(Sheet1!BC358:'Sheet1'!BF358),0)</f>
        <v>0</v>
      </c>
      <c r="CI356" s="545">
        <f>IF(AND($B356&gt;=$FV356,$B356&lt;=$FW356),MAX(CF356,Sheet1!EJ358,0),MAX(CF356-(7/36)*$K356,0))</f>
        <v>0</v>
      </c>
      <c r="CJ356" s="560">
        <f t="shared" si="611"/>
        <v>0</v>
      </c>
      <c r="CK356" s="545">
        <f t="shared" si="612"/>
        <v>2.4778294789634994</v>
      </c>
      <c r="CL356" s="545">
        <f>IF(AND($O356&gt;0,Sheet1!EN358=1),(1-($O356-Sheet1!$L358)/$O356)*CF356,0)</f>
        <v>0</v>
      </c>
      <c r="CM356" s="545">
        <f>IF(AND(Sheet1!$L358=0,Sheet1!$L357=0, Calculation!CE356&lt;Sheet1!EJ358-0.1,Sheet1!EJ358=Sheet1!EJ357,Sheet1!EJ358=Sheet1!EJ359),Sheet1!EJ358,CF356-CL356)</f>
        <v>2.4778294789634994</v>
      </c>
      <c r="CN356" s="545"/>
      <c r="CO356" s="560"/>
      <c r="CP356" s="560">
        <f t="shared" si="613"/>
        <v>0</v>
      </c>
      <c r="CQ356" s="560"/>
      <c r="CR356" s="560">
        <f ca="1">IF(B356&gt;Summary!$A$1,#N/A,CP356*MGtoAF)</f>
        <v>0</v>
      </c>
      <c r="CS356" s="560">
        <f>Sheet1!BK358+Sheet1!BL358+Sheet1!BM358-Sheet1!ER358-DA356</f>
        <v>6.48</v>
      </c>
      <c r="CT356" s="560">
        <f t="shared" si="614"/>
        <v>6.3969462245750908</v>
      </c>
      <c r="CU356" s="560">
        <f>IF(Sheet1!ER358="FM",DA356,0)</f>
        <v>0</v>
      </c>
      <c r="CV356" s="560">
        <f t="shared" si="615"/>
        <v>0</v>
      </c>
      <c r="CW356" s="560">
        <f>IF(Sheet1!ER358="OTHER",DA356,0)</f>
        <v>0</v>
      </c>
      <c r="CX356" s="560">
        <f t="shared" si="616"/>
        <v>0</v>
      </c>
      <c r="CY356" s="560">
        <f t="shared" si="617"/>
        <v>6.48</v>
      </c>
      <c r="CZ356" s="560">
        <f t="shared" si="618"/>
        <v>6.3969462245750908</v>
      </c>
      <c r="DA356" s="560">
        <f>IF(OR(Sheet1!ER358="FM", Sheet1!ER358="OTHER"),SUM(Sheet1!BK358:'Sheet1'!BM358),0)</f>
        <v>0</v>
      </c>
      <c r="DB356" s="545">
        <f>IF(AND($B356&gt;=$FV356,$B356&lt;=$FW356),MAX($CT356,Sheet1!EK358,0),MAX($CT356-(7/36)*$K356,0))</f>
        <v>0</v>
      </c>
      <c r="DC356" s="560">
        <f t="shared" si="619"/>
        <v>0</v>
      </c>
      <c r="DD356" s="545">
        <f t="shared" si="620"/>
        <v>6.3969462245750908</v>
      </c>
      <c r="DE356" s="545">
        <f>IF(AND($O356&gt;0,Sheet1!EO358=1),(1-($O356-Sheet1!$L358)/$O356)*CZ356,0)</f>
        <v>0</v>
      </c>
      <c r="DF356" s="545">
        <f>IF(AND(Sheet1!$L358=0,Sheet1!$L357=0, Calculation!CY356&lt;Sheet1!$EK358-0.1,Sheet1!$EK358=Sheet1!$EK357,Sheet1!$EK358=Sheet1!$EK359),Sheet1!$EK358,CZ356-DE356)</f>
        <v>6.3969462245750908</v>
      </c>
      <c r="DG356" s="545"/>
      <c r="DH356" s="560">
        <f t="shared" si="621"/>
        <v>8.99</v>
      </c>
      <c r="DI356" s="560">
        <f t="shared" si="622"/>
        <v>0</v>
      </c>
      <c r="DJ356" s="698">
        <f t="shared" si="623"/>
        <v>8.8747757035385906</v>
      </c>
      <c r="DK356" s="560">
        <f ca="1">IF(B356&gt;Summary!$A$1,#N/A,DI356*MGtoAF)</f>
        <v>0</v>
      </c>
      <c r="DL356" s="698">
        <f t="shared" si="624"/>
        <v>8.99</v>
      </c>
      <c r="DM356" s="560">
        <f t="shared" si="625"/>
        <v>35.89</v>
      </c>
      <c r="DN356" s="560">
        <f>Sheet1!AB358-DM356</f>
        <v>-0.46000000000000085</v>
      </c>
      <c r="DO356" s="560">
        <f t="shared" si="626"/>
        <v>-1.2816940651992221E-2</v>
      </c>
      <c r="DP356" s="560">
        <f>(VLOOKUP(Sheet1!DC358,hhdcap_wcm,4)-(((VLOOKUP(Sheet1!DC358,hhdcap_wcm,3)-Sheet1!DC358)/(VLOOKUP(Sheet1!DC358,hhdcap_wcm,3)-VLOOKUP(Sheet1!DC358,hhdcap_wcm,1)))*(VLOOKUP(Sheet1!DC358,hhdcap_wcm,4)-VLOOKUP(Sheet1!DC358,hhdcap_wcm,2))))</f>
        <v>966.20000000307414</v>
      </c>
      <c r="DQ356" s="560">
        <f t="shared" si="627"/>
        <v>-88.79999999984534</v>
      </c>
      <c r="DR356" s="560">
        <f t="shared" si="628"/>
        <v>-44.780635400829716</v>
      </c>
      <c r="DS356" s="560">
        <f>Sheet1!EA358*AFtoMG</f>
        <v>0</v>
      </c>
      <c r="DT356" s="560">
        <f>Sheet1!EB358*AFtoMG</f>
        <v>0</v>
      </c>
      <c r="DU356" s="560">
        <f>Sheet1!EC358*AFtoMG</f>
        <v>0</v>
      </c>
      <c r="DV356" s="560">
        <f>Sheet1!ED358*AFtoMG</f>
        <v>0</v>
      </c>
      <c r="DW356" s="560">
        <f t="shared" si="629"/>
        <v>0</v>
      </c>
      <c r="DX356" s="560">
        <f t="shared" si="630"/>
        <v>0</v>
      </c>
      <c r="DY356" s="560">
        <f t="shared" si="631"/>
        <v>0</v>
      </c>
      <c r="DZ356" s="560">
        <f t="shared" si="632"/>
        <v>0</v>
      </c>
      <c r="EA356" s="560"/>
      <c r="EB356" s="545">
        <f>IF(OR(B356&lt;FV356,B356&gt;FW356),(MIN(BF356+BY356+CT356+MAX(Sheet1!AA358+AQ356-73,0),K356)),0)</f>
        <v>8.8747757035385906</v>
      </c>
      <c r="EC356" s="560"/>
      <c r="ED356" s="560">
        <f t="shared" si="633"/>
        <v>8.8747757035385906</v>
      </c>
      <c r="EE356" s="560"/>
      <c r="EF356" s="560">
        <f>Sheet1!EH358+Sheet1!EI358+Sheet1!EJ358+Sheet1!EK358</f>
        <v>9</v>
      </c>
      <c r="EG356" s="560"/>
      <c r="EH356" s="545">
        <f t="shared" si="634"/>
        <v>0</v>
      </c>
      <c r="EI356" s="560">
        <f>IF(Sheet1!ET358=1,SUM('Calculations II'!AT356:BA356)+'Calculations II'!BC356+Sheet1!BV358+'Calculations II'!BE356+AP356,SUM('Calculations II'!AT356:BA356)+'Calculations II'!BC356+Sheet1!BV358+'Calculations II'!BE356+AP356)</f>
        <v>48.901200000000003</v>
      </c>
      <c r="EJ356" s="560">
        <f>Sheet1!AA358+Sheet1!AB358+'Calculations II'!BC356</f>
        <v>62.067120000000003</v>
      </c>
      <c r="EK356" s="560"/>
      <c r="EL356" s="560"/>
      <c r="EM356" s="560">
        <f t="shared" si="635"/>
        <v>41984</v>
      </c>
      <c r="EN356" s="560">
        <f t="shared" si="636"/>
        <v>0</v>
      </c>
      <c r="EO356" s="560">
        <f t="shared" si="637"/>
        <v>0</v>
      </c>
      <c r="EP356" s="560">
        <v>0</v>
      </c>
      <c r="EQ356" s="560">
        <v>0</v>
      </c>
      <c r="ER356" s="560">
        <v>0</v>
      </c>
      <c r="ES356" s="545">
        <f t="shared" si="660"/>
        <v>-1.5240631559080631</v>
      </c>
      <c r="ET356" s="560">
        <f>-(VLOOKUP(Sheet1!BQ358,Lookup!$O$4:$Q$262,2)-VLOOKUP(Sheet1!BQ357,Lookup!$O$4:$Q$262,2))/1000000</f>
        <v>-0.69271227673760427</v>
      </c>
      <c r="EU356" s="560">
        <f>-(VLOOKUP(Sheet1!BR358,Lookup!$O$4:$Q$262,3)-VLOOKUP(Sheet1!BR357,Lookup!$O$4:$Q$262,3))/1000000</f>
        <v>-0.8313508791704588</v>
      </c>
      <c r="EV356" s="560"/>
      <c r="EW356" s="560"/>
      <c r="EX356" s="560"/>
      <c r="EY356" s="560"/>
      <c r="EZ356" s="560"/>
      <c r="FA356" s="560"/>
      <c r="FB356" s="560"/>
      <c r="FC356" s="560"/>
      <c r="FD356" s="594" t="e">
        <f t="shared" si="638"/>
        <v>#N/A</v>
      </c>
      <c r="FE356" s="594" t="e">
        <f t="shared" si="639"/>
        <v>#N/A</v>
      </c>
      <c r="FF356" s="595" t="e">
        <f t="shared" si="640"/>
        <v>#N/A</v>
      </c>
      <c r="FG356" s="596" t="s">
        <v>692</v>
      </c>
      <c r="FH356" s="596" t="s">
        <v>692</v>
      </c>
      <c r="FI356" s="594" t="e">
        <v>#N/A</v>
      </c>
      <c r="FJ356" s="594" t="e">
        <v>#N/A</v>
      </c>
      <c r="FK356" s="560"/>
      <c r="FL356" s="560"/>
      <c r="FM356" s="560"/>
      <c r="FN356" s="560"/>
      <c r="FO356" s="560">
        <f>O356+((Sheet1!CS358)*GPMtoMGD)</f>
        <v>62.067120000000003</v>
      </c>
      <c r="FP356" s="560">
        <f>IF(Sheet1!AA358+AQ356&lt;=Calculation!N356,AQ356,Calculation!N356-Sheet1!AA358)</f>
        <v>25.568041237113398</v>
      </c>
      <c r="FQ356" s="560">
        <f>(Sheet1!BP358+Sheet1!BO358)/694.4</f>
        <v>1.0996543778801844</v>
      </c>
      <c r="FR356" s="560"/>
      <c r="FS356" s="560"/>
      <c r="FT356" s="560"/>
      <c r="FU356" s="560"/>
      <c r="FV356" s="695">
        <f t="shared" si="661"/>
        <v>41827</v>
      </c>
      <c r="FW356" s="695">
        <f t="shared" si="662"/>
        <v>41934</v>
      </c>
      <c r="FX356" s="560"/>
      <c r="FY356" s="560"/>
      <c r="FZ356" s="560"/>
      <c r="GA356" s="560"/>
      <c r="GB356" s="560" t="str">
        <f t="shared" si="663"/>
        <v>n</v>
      </c>
      <c r="GC356" s="564">
        <f t="shared" si="664"/>
        <v>41691</v>
      </c>
      <c r="GD356" s="695">
        <f t="shared" si="665"/>
        <v>41807</v>
      </c>
      <c r="GE356" s="560">
        <v>6518.9</v>
      </c>
      <c r="GF356" s="695">
        <f t="shared" si="666"/>
        <v>41808</v>
      </c>
      <c r="GG356" s="560">
        <f t="shared" si="686"/>
        <v>3259</v>
      </c>
      <c r="GH356" s="564">
        <f t="shared" si="667"/>
        <v>41934</v>
      </c>
      <c r="GJ356" s="545">
        <f t="shared" si="668"/>
        <v>0</v>
      </c>
      <c r="GK356" s="560" t="str">
        <f t="shared" si="641"/>
        <v/>
      </c>
      <c r="GL356" s="560">
        <f t="shared" si="669"/>
        <v>0</v>
      </c>
      <c r="GM356" s="560" t="str">
        <f t="shared" si="670"/>
        <v/>
      </c>
      <c r="GN356" s="560">
        <f>IF(GK356="P",Lookup!$M$12,IF(GK356="PP",Lookup!$M$13,IF(GK356="PPP",Lookup!$M$14,IF(GK356="T",Lookup!$M$15,IF(GK356="TP",Lookup!$M$16,IF(GK356="TPP",Lookup!$M$17,IF(GK356="TPPP",Lookup!$M$18,0)))))))*GJ356</f>
        <v>0</v>
      </c>
      <c r="GO356" s="560">
        <f t="shared" si="671"/>
        <v>0</v>
      </c>
      <c r="GP356" s="560">
        <f t="shared" si="642"/>
        <v>0</v>
      </c>
      <c r="GQ356" s="560">
        <f t="shared" si="679"/>
        <v>0</v>
      </c>
      <c r="GR356" s="560"/>
      <c r="GS356" s="560">
        <f t="shared" si="672"/>
        <v>0</v>
      </c>
      <c r="GT356" s="560" t="str">
        <f t="shared" si="673"/>
        <v/>
      </c>
      <c r="GU356" s="560">
        <f>IF(GK356="P",Lookup!$N$12,IF(GK356="PP",Lookup!$N$13,IF(GK356="PPP",Lookup!$N$14,IF(GK356="T",Lookup!$N$15,IF(GK356="TP",Lookup!$N$16,IF(GK356="TPP",Lookup!$N$17,IF(GK356="TPPP",Lookup!$N$18,0)))))))*GJ356</f>
        <v>0</v>
      </c>
      <c r="GV356" s="560">
        <f t="shared" si="674"/>
        <v>0</v>
      </c>
      <c r="GW356" s="560">
        <f t="shared" si="643"/>
        <v>0</v>
      </c>
      <c r="GX356" s="560">
        <f t="shared" si="680"/>
        <v>0</v>
      </c>
      <c r="GY356" s="560"/>
      <c r="GZ356" s="560">
        <f t="shared" si="675"/>
        <v>0</v>
      </c>
      <c r="HA356" s="560" t="str">
        <f t="shared" si="676"/>
        <v/>
      </c>
      <c r="HB356" s="560">
        <f>IF(GK356="P",Lookup!$N$12,IF(GK356="PP",Lookup!$N$13,IF(GK356="PPP",Lookup!$N$14,IF(GK356="T",Lookup!$N$15,IF(GK356="TP",Lookup!$N$16,IF(GK356="TPP",Lookup!$N$17,IF(GK356="TPPP",Lookup!$N$18,0)))))))*GJ356</f>
        <v>0</v>
      </c>
      <c r="HC356" s="545">
        <f t="shared" si="644"/>
        <v>0</v>
      </c>
      <c r="HD356" s="560">
        <f t="shared" si="645"/>
        <v>0</v>
      </c>
      <c r="HE356" s="560">
        <f t="shared" si="681"/>
        <v>0</v>
      </c>
      <c r="HF356" s="560"/>
      <c r="HG356" s="560">
        <f t="shared" si="677"/>
        <v>0</v>
      </c>
      <c r="HH356" s="560" t="str">
        <f t="shared" si="678"/>
        <v/>
      </c>
      <c r="HI356" s="560">
        <f>IF(GK356="P",Lookup!$N$12,IF(GK356="PP",Lookup!$N$13,IF(GK356="PPP",Lookup!$N$14,IF(GK356="T",Lookup!$N$15,IF(GK356="TP",Lookup!$N$16,IF(GK356="TPP",Lookup!$N$17,IF(GK356="TPPP",Lookup!$N$18,0)))))))*GJ356</f>
        <v>0</v>
      </c>
      <c r="HJ356" s="545">
        <f t="shared" si="646"/>
        <v>0</v>
      </c>
      <c r="HK356" s="560">
        <f t="shared" si="647"/>
        <v>0</v>
      </c>
      <c r="HL356" s="560">
        <f t="shared" si="682"/>
        <v>0</v>
      </c>
    </row>
    <row r="357" spans="1:220">
      <c r="A357" s="580" t="s">
        <v>8</v>
      </c>
      <c r="B357" s="556">
        <v>41985</v>
      </c>
      <c r="C357" s="561">
        <v>0</v>
      </c>
      <c r="D357" s="529">
        <f t="shared" si="684"/>
        <v>300</v>
      </c>
      <c r="E357" s="529">
        <f t="shared" si="685"/>
        <v>250</v>
      </c>
      <c r="F357" s="529">
        <v>250</v>
      </c>
      <c r="G357" s="560">
        <f>DR357+Sheet1!CZ359</f>
        <v>941.08068582962574</v>
      </c>
      <c r="H357" s="914">
        <f t="shared" si="650"/>
        <v>341.35135532027005</v>
      </c>
      <c r="I357" s="559">
        <f>MAX(Sheet1!Z359-AT357+(Sheet1!DA359-E357)*CFStoMGD,0)</f>
        <v>778.79</v>
      </c>
      <c r="J357" s="562">
        <f>IF(AND(B357&gt;=Calculation!GC357,B357&lt;=Calculation!GD357),IF(Sheet1!DB359&gt;=Calculation!D357,64.64,0),MAX(Sheet1!Z359-AT357+(Sheet1!DB359-D357)*CFStoMGD,0))</f>
        <v>387.07159999999999</v>
      </c>
      <c r="K357" s="904">
        <f t="shared" si="583"/>
        <v>64.64</v>
      </c>
      <c r="L357" s="560">
        <f>Sheet1!AA359+Sheet1!AB359-Sheet1!L359+(Sheet1!DA359-F357)*CFStoMGD</f>
        <v>800.16</v>
      </c>
      <c r="M357" s="560">
        <f t="shared" si="584"/>
        <v>620.4808464266755</v>
      </c>
      <c r="N357" s="910">
        <f>IF(Sheet1!DA359&gt;=F357,MIN(73,MIN(MAX(L357,0),MAX(M357,0))),0)</f>
        <v>73</v>
      </c>
      <c r="O357" s="563">
        <f>Sheet1!AA359+Sheet1!AB359</f>
        <v>56.8</v>
      </c>
      <c r="P357" s="563">
        <f t="shared" si="585"/>
        <v>87.869599999999991</v>
      </c>
      <c r="Q357" s="898">
        <f t="shared" si="651"/>
        <v>0</v>
      </c>
      <c r="R357" s="829">
        <f t="shared" si="586"/>
        <v>9.0638167938931282</v>
      </c>
      <c r="S357" s="698">
        <f t="shared" si="683"/>
        <v>56.8</v>
      </c>
      <c r="T357" s="898">
        <f t="shared" si="652"/>
        <v>0</v>
      </c>
      <c r="U357" s="898">
        <f t="shared" si="653"/>
        <v>0</v>
      </c>
      <c r="V357" s="898"/>
      <c r="W357" s="898">
        <f t="shared" si="654"/>
        <v>55.576183206106876</v>
      </c>
      <c r="X357" s="898">
        <f t="shared" si="655"/>
        <v>56.8</v>
      </c>
      <c r="Y357" s="898" t="str">
        <f t="shared" si="656"/>
        <v/>
      </c>
      <c r="Z357" s="898">
        <f t="shared" si="657"/>
        <v>56.8</v>
      </c>
      <c r="AA357" s="898">
        <f t="shared" si="658"/>
        <v>56.8</v>
      </c>
      <c r="AB357" s="898" t="str">
        <f t="shared" si="659"/>
        <v/>
      </c>
      <c r="AC357" s="563">
        <f>Sheet1!Y359*MGDtoCFS</f>
        <v>16.707599999999999</v>
      </c>
      <c r="AD357" s="563">
        <f>Sheet1!Z359*MGDtoCFS</f>
        <v>54.810209999999998</v>
      </c>
      <c r="AE357" s="563">
        <f>Sheet1!AA359*MGDtoCFS</f>
        <v>37.128</v>
      </c>
      <c r="AF357" s="563">
        <f>Sheet1!AB359*MGDtoCFS</f>
        <v>50.741599999999991</v>
      </c>
      <c r="AG357" s="563">
        <f>Sheet1!L359*MGDtoCFS</f>
        <v>0</v>
      </c>
      <c r="AH357" s="545">
        <f t="shared" si="587"/>
        <v>0</v>
      </c>
      <c r="AI357" s="560">
        <f t="shared" si="588"/>
        <v>0</v>
      </c>
      <c r="AJ357" s="560">
        <f t="shared" si="589"/>
        <v>0</v>
      </c>
      <c r="AK357" s="560">
        <f t="shared" si="590"/>
        <v>0</v>
      </c>
      <c r="AL357" s="560">
        <f>(VLOOKUP(Sheet1!DC359,hhdcap_wcm,4)-(((VLOOKUP(Sheet1!DC359,hhdcap_wcm,3)-Sheet1!DC359)/(VLOOKUP(Sheet1!DC359,hhdcap_wcm,3)-VLOOKUP(Sheet1!DC359,hhdcap_wcm,1)))*(VLOOKUP(Sheet1!DC359,hhdcap_wcm,4)-VLOOKUP(Sheet1!DC359,hhdcap_wcm,2))))</f>
        <v>1125.0000000032219</v>
      </c>
      <c r="AM357" s="560">
        <f t="shared" si="591"/>
        <v>158.80000000014775</v>
      </c>
      <c r="AN357" s="560">
        <f t="shared" si="592"/>
        <v>0</v>
      </c>
      <c r="AO357" s="560">
        <f t="shared" si="593"/>
        <v>0</v>
      </c>
      <c r="AP357" s="560">
        <f>Sheet1!BA359+Sheet1!BB359+Sheet1!BN359+CD357</f>
        <v>23.7</v>
      </c>
      <c r="AQ357" s="560">
        <f>Sheet1!BN359+(DO357*Sheet1!BN359)</f>
        <v>22.734656488549614</v>
      </c>
      <c r="AR357" s="560">
        <f>Sheet1!BA359+CD357</f>
        <v>0</v>
      </c>
      <c r="AS357" s="560">
        <f>Sheet1!BA359+Sheet1!BB359+CD357</f>
        <v>1</v>
      </c>
      <c r="AT357" s="698">
        <f>0</f>
        <v>0</v>
      </c>
      <c r="AU357" s="560">
        <f>IF(EB357&lt;K357,0,MAX(Sheet1!AA359+AQ357-15/36*K357-N357,Sheet1!EH359,0))</f>
        <v>0</v>
      </c>
      <c r="AV357" s="560">
        <f>IF(OR(B357&gt;=GD357,B357&lt;GC357),0,15/36*K357-MAX(0,64.6-(137.6-(Sheet1!AA359+Sheet1!AB359))))</f>
        <v>0</v>
      </c>
      <c r="AW357" s="698">
        <f>Sheet1!DB359-110</f>
        <v>734</v>
      </c>
      <c r="AX357" s="698">
        <f>Sheet1!DA359-265</f>
        <v>1135</v>
      </c>
      <c r="AY357" s="698">
        <f t="shared" si="594"/>
        <v>73</v>
      </c>
      <c r="AZ357" s="698">
        <v>0</v>
      </c>
      <c r="BA357" s="698">
        <f t="shared" si="595"/>
        <v>0</v>
      </c>
      <c r="BB357" s="560">
        <f t="shared" si="596"/>
        <v>0</v>
      </c>
      <c r="BC357" s="560"/>
      <c r="BD357" s="560">
        <f ca="1">IF(B357&gt;Summary!$A$1,#N/A,BB357*MGtoAF)</f>
        <v>0</v>
      </c>
      <c r="BE357" s="560">
        <f>Sheet1!BG359+Sheet1!BH359+Sheet1!BI359-BM357</f>
        <v>0</v>
      </c>
      <c r="BF357" s="560">
        <f t="shared" si="597"/>
        <v>0</v>
      </c>
      <c r="BG357" s="560">
        <f>IF(Sheet1!EP359="FM",BM357,0)</f>
        <v>0</v>
      </c>
      <c r="BH357" s="560">
        <f t="shared" si="598"/>
        <v>0</v>
      </c>
      <c r="BI357" s="560">
        <f>IF(Sheet1!EP359="OTHER",BM357,0)</f>
        <v>0</v>
      </c>
      <c r="BJ357" s="560">
        <f t="shared" si="599"/>
        <v>0</v>
      </c>
      <c r="BK357" s="560">
        <f t="shared" si="600"/>
        <v>0</v>
      </c>
      <c r="BL357" s="560">
        <f t="shared" si="601"/>
        <v>0</v>
      </c>
      <c r="BM357" s="560">
        <f>IF(OR(Sheet1!EP359="FM", Sheet1!EP359="OTHER"),SUM(Sheet1!BG359:'Sheet1'!BI359),0)</f>
        <v>0</v>
      </c>
      <c r="BN357" s="545">
        <f>IF(AND($B357&gt;=$FV357,$B357&lt;=$FW357),MAX(BF357,Sheet1!EI359,0),MAX(BF357-(7/36)*$K357,0))</f>
        <v>0</v>
      </c>
      <c r="BO357" s="560">
        <f t="shared" si="602"/>
        <v>0</v>
      </c>
      <c r="BP357" s="545">
        <f t="shared" si="603"/>
        <v>0</v>
      </c>
      <c r="BQ357" s="545">
        <f>IF(AND($O357&gt;0,Sheet1!EM359=1),(1-($O357-Sheet1!$L359)/$O357)*BL357,0)</f>
        <v>0</v>
      </c>
      <c r="BR357" s="545">
        <f>IF(AND(Sheet1!$L359=0,Sheet1!$L358=0, Calculation!BK357&lt;Sheet1!$EI359-0.1,Sheet1!$EI359=Sheet1!$EI358,Sheet1!$EI359=Sheet1!$EI360),Sheet1!$EI359,BL357-BQ357)</f>
        <v>0</v>
      </c>
      <c r="BS357" s="560"/>
      <c r="BT357" s="560"/>
      <c r="BU357" s="560">
        <f t="shared" si="604"/>
        <v>0</v>
      </c>
      <c r="BV357" s="560"/>
      <c r="BW357" s="560">
        <f ca="1">IF(B357&gt;Summary!$A$1,#N/A,BU357*MGtoAF)</f>
        <v>0</v>
      </c>
      <c r="BX357" s="560">
        <f>Sheet1!BC359+Sheet1!BD359+Sheet1!BE359+Sheet1!BF359-CG357-CH357</f>
        <v>2.5</v>
      </c>
      <c r="BY357" s="560">
        <f t="shared" si="605"/>
        <v>2.5038167938931295</v>
      </c>
      <c r="BZ357" s="560">
        <f>IF(Sheet1!EQ359="FM",CH357,0)</f>
        <v>0</v>
      </c>
      <c r="CA357" s="560">
        <f t="shared" si="606"/>
        <v>0</v>
      </c>
      <c r="CB357" s="560">
        <f>IF(Sheet1!EQ359="OTHER",CH357,0)</f>
        <v>0</v>
      </c>
      <c r="CC357" s="560">
        <f t="shared" si="607"/>
        <v>0</v>
      </c>
      <c r="CD357" s="560">
        <f t="shared" si="608"/>
        <v>0</v>
      </c>
      <c r="CE357" s="560">
        <f t="shared" si="609"/>
        <v>2.5</v>
      </c>
      <c r="CF357" s="560">
        <f t="shared" si="610"/>
        <v>2.5038167938931295</v>
      </c>
      <c r="CG357" s="560">
        <f>IF(Sheet1!EQ359="CWA",SUM(Sheet1!BC359:'Sheet1'!BF359),0)</f>
        <v>0</v>
      </c>
      <c r="CH357" s="560">
        <f>IF(OR(Sheet1!EQ359="FM", Sheet1!EQ359="OTHER"),SUM(Sheet1!BC359:'Sheet1'!BF359),0)</f>
        <v>0</v>
      </c>
      <c r="CI357" s="545">
        <f>IF(AND($B357&gt;=$FV357,$B357&lt;=$FW357),MAX(CF357,Sheet1!EJ359,0),MAX(CF357-(7/36)*$K357,0))</f>
        <v>0</v>
      </c>
      <c r="CJ357" s="560">
        <f t="shared" si="611"/>
        <v>0</v>
      </c>
      <c r="CK357" s="545">
        <f t="shared" si="612"/>
        <v>2.5038167938931295</v>
      </c>
      <c r="CL357" s="545">
        <f>IF(AND($O357&gt;0,Sheet1!EN359=1),(1-($O357-Sheet1!$L359)/$O357)*CF357,0)</f>
        <v>0</v>
      </c>
      <c r="CM357" s="545">
        <f>IF(AND(Sheet1!$L359=0,Sheet1!$L358=0, Calculation!CE357&lt;Sheet1!EJ359-0.1,Sheet1!EJ359=Sheet1!EJ358,Sheet1!EJ359=Sheet1!EJ360),Sheet1!EJ359,CF357-CL357)</f>
        <v>2.5038167938931295</v>
      </c>
      <c r="CN357" s="545"/>
      <c r="CO357" s="560"/>
      <c r="CP357" s="560">
        <f t="shared" si="613"/>
        <v>0</v>
      </c>
      <c r="CQ357" s="560"/>
      <c r="CR357" s="560">
        <f ca="1">IF(B357&gt;Summary!$A$1,#N/A,CP357*MGtoAF)</f>
        <v>0</v>
      </c>
      <c r="CS357" s="560">
        <f>Sheet1!BK359+Sheet1!BL359+Sheet1!BM359-Sheet1!ER359-DA357</f>
        <v>6.55</v>
      </c>
      <c r="CT357" s="560">
        <f t="shared" si="614"/>
        <v>6.56</v>
      </c>
      <c r="CU357" s="560">
        <f>IF(Sheet1!ER359="FM",DA357,0)</f>
        <v>0</v>
      </c>
      <c r="CV357" s="560">
        <f t="shared" si="615"/>
        <v>0</v>
      </c>
      <c r="CW357" s="560">
        <f>IF(Sheet1!ER359="OTHER",DA357,0)</f>
        <v>0</v>
      </c>
      <c r="CX357" s="560">
        <f t="shared" si="616"/>
        <v>0</v>
      </c>
      <c r="CY357" s="560">
        <f t="shared" si="617"/>
        <v>6.55</v>
      </c>
      <c r="CZ357" s="560">
        <f t="shared" si="618"/>
        <v>6.56</v>
      </c>
      <c r="DA357" s="560">
        <f>IF(OR(Sheet1!ER359="FM", Sheet1!ER359="OTHER"),SUM(Sheet1!BK359:'Sheet1'!BM359),0)</f>
        <v>0</v>
      </c>
      <c r="DB357" s="545">
        <f>IF(AND($B357&gt;=$FV357,$B357&lt;=$FW357),MAX($CT357,Sheet1!EK359,0),MAX($CT357-(7/36)*$K357,0))</f>
        <v>0</v>
      </c>
      <c r="DC357" s="560">
        <f t="shared" si="619"/>
        <v>0</v>
      </c>
      <c r="DD357" s="545">
        <f t="shared" si="620"/>
        <v>6.56</v>
      </c>
      <c r="DE357" s="545">
        <f>IF(AND($O357&gt;0,Sheet1!EO359=1),(1-($O357-Sheet1!$L359)/$O357)*CZ357,0)</f>
        <v>0</v>
      </c>
      <c r="DF357" s="545">
        <f>IF(AND(Sheet1!$L359=0,Sheet1!$L358=0, Calculation!CY357&lt;Sheet1!$EK359-0.1,Sheet1!$EK359=Sheet1!$EK358,Sheet1!$EK359=Sheet1!$EK360),Sheet1!$EK359,CZ357-DE357)</f>
        <v>6.56</v>
      </c>
      <c r="DG357" s="545"/>
      <c r="DH357" s="560">
        <f t="shared" si="621"/>
        <v>9.0500000000000007</v>
      </c>
      <c r="DI357" s="560">
        <f t="shared" si="622"/>
        <v>0</v>
      </c>
      <c r="DJ357" s="698">
        <f t="shared" si="623"/>
        <v>9.0638167938931282</v>
      </c>
      <c r="DK357" s="560">
        <f ca="1">IF(B357&gt;Summary!$A$1,#N/A,DI357*MGtoAF)</f>
        <v>0</v>
      </c>
      <c r="DL357" s="698">
        <f t="shared" si="624"/>
        <v>9.0500000000000007</v>
      </c>
      <c r="DM357" s="560">
        <f t="shared" si="625"/>
        <v>32.75</v>
      </c>
      <c r="DN357" s="560">
        <f>Sheet1!AB359-DM357</f>
        <v>4.9999999999997158E-2</v>
      </c>
      <c r="DO357" s="560">
        <f t="shared" si="626"/>
        <v>1.5267175572518216E-3</v>
      </c>
      <c r="DP357" s="560">
        <f>(VLOOKUP(Sheet1!DC359,hhdcap_wcm,4)-(((VLOOKUP(Sheet1!DC359,hhdcap_wcm,3)-Sheet1!DC359)/(VLOOKUP(Sheet1!DC359,hhdcap_wcm,3)-VLOOKUP(Sheet1!DC359,hhdcap_wcm,1)))*(VLOOKUP(Sheet1!DC359,hhdcap_wcm,4)-VLOOKUP(Sheet1!DC359,hhdcap_wcm,2))))</f>
        <v>1125.0000000032219</v>
      </c>
      <c r="DQ357" s="560">
        <f t="shared" si="627"/>
        <v>158.80000000014775</v>
      </c>
      <c r="DR357" s="560">
        <f t="shared" si="628"/>
        <v>80.080685829625679</v>
      </c>
      <c r="DS357" s="560">
        <f>Sheet1!EA359*AFtoMG</f>
        <v>0</v>
      </c>
      <c r="DT357" s="560">
        <f>Sheet1!EB359*AFtoMG</f>
        <v>0</v>
      </c>
      <c r="DU357" s="560">
        <f>Sheet1!EC359*AFtoMG</f>
        <v>0</v>
      </c>
      <c r="DV357" s="560">
        <f>Sheet1!ED359*AFtoMG</f>
        <v>0</v>
      </c>
      <c r="DW357" s="560">
        <f t="shared" si="629"/>
        <v>0</v>
      </c>
      <c r="DX357" s="560">
        <f t="shared" si="630"/>
        <v>0</v>
      </c>
      <c r="DY357" s="560">
        <f t="shared" si="631"/>
        <v>0</v>
      </c>
      <c r="DZ357" s="560">
        <f t="shared" si="632"/>
        <v>0</v>
      </c>
      <c r="EA357" s="560"/>
      <c r="EB357" s="545">
        <f>IF(OR(B357&lt;FV357,B357&gt;FW357),(MIN(BF357+BY357+CT357+MAX(Sheet1!AA359+AQ357-73,0),K357)),0)</f>
        <v>9.0638167938931282</v>
      </c>
      <c r="EC357" s="560"/>
      <c r="ED357" s="560">
        <f t="shared" si="633"/>
        <v>9.0638167938931282</v>
      </c>
      <c r="EE357" s="560"/>
      <c r="EF357" s="560">
        <f>Sheet1!EH359+Sheet1!EI359+Sheet1!EJ359+Sheet1!EK359</f>
        <v>9</v>
      </c>
      <c r="EG357" s="560"/>
      <c r="EH357" s="545">
        <f t="shared" si="634"/>
        <v>0</v>
      </c>
      <c r="EI357" s="560">
        <f>IF(Sheet1!ET359=1,SUM('Calculations II'!AT357:BA357)+'Calculations II'!BC357+Sheet1!BV359+'Calculations II'!BE357+AP357,SUM('Calculations II'!AT357:BA357)+'Calculations II'!BC357+Sheet1!BV359+'Calculations II'!BE357+AP357)</f>
        <v>53.618448000000001</v>
      </c>
      <c r="EJ357" s="560">
        <f>Sheet1!AA359+Sheet1!AB359+'Calculations II'!BC357</f>
        <v>58.686831999999995</v>
      </c>
      <c r="EK357" s="560"/>
      <c r="EL357" s="560"/>
      <c r="EM357" s="560">
        <f t="shared" si="635"/>
        <v>41985</v>
      </c>
      <c r="EN357" s="560">
        <f t="shared" si="636"/>
        <v>0</v>
      </c>
      <c r="EO357" s="560">
        <f t="shared" si="637"/>
        <v>0</v>
      </c>
      <c r="EP357" s="560">
        <v>0</v>
      </c>
      <c r="EQ357" s="560">
        <v>0</v>
      </c>
      <c r="ER357" s="560">
        <v>0</v>
      </c>
      <c r="ES357" s="545">
        <f t="shared" si="660"/>
        <v>1.8011224286711365</v>
      </c>
      <c r="ET357" s="560">
        <f>-(VLOOKUP(Sheet1!BQ359,Lookup!$O$4:$Q$262,2)-VLOOKUP(Sheet1!BQ358,Lookup!$O$4:$Q$262,2))/1000000</f>
        <v>0.83123550382090361</v>
      </c>
      <c r="EU357" s="560">
        <f>-(VLOOKUP(Sheet1!BR359,Lookup!$O$4:$Q$262,3)-VLOOKUP(Sheet1!BR358,Lookup!$O$4:$Q$262,3))/1000000</f>
        <v>0.96988692485023287</v>
      </c>
      <c r="EV357" s="560"/>
      <c r="EW357" s="560"/>
      <c r="EX357" s="560"/>
      <c r="EY357" s="560"/>
      <c r="EZ357" s="560"/>
      <c r="FA357" s="560"/>
      <c r="FB357" s="560"/>
      <c r="FC357" s="560"/>
      <c r="FD357" s="594" t="e">
        <f t="shared" si="638"/>
        <v>#N/A</v>
      </c>
      <c r="FE357" s="594" t="e">
        <f t="shared" si="639"/>
        <v>#N/A</v>
      </c>
      <c r="FF357" s="595" t="e">
        <f t="shared" si="640"/>
        <v>#N/A</v>
      </c>
      <c r="FG357" s="596" t="s">
        <v>692</v>
      </c>
      <c r="FH357" s="596" t="s">
        <v>692</v>
      </c>
      <c r="FI357" s="594" t="e">
        <v>#N/A</v>
      </c>
      <c r="FJ357" s="594" t="e">
        <v>#N/A</v>
      </c>
      <c r="FK357" s="560"/>
      <c r="FL357" s="560"/>
      <c r="FM357" s="560"/>
      <c r="FN357" s="560"/>
      <c r="FO357" s="560">
        <f>O357+((Sheet1!CS359)*GPMtoMGD)</f>
        <v>58.686831999999995</v>
      </c>
      <c r="FP357" s="560">
        <f>IF(Sheet1!AA359+AQ357&lt;=Calculation!N357,AQ357,Calculation!N357-Sheet1!AA359)</f>
        <v>22.734656488549614</v>
      </c>
      <c r="FQ357" s="560">
        <f>(Sheet1!BP359+Sheet1!BO359)/694.4</f>
        <v>2.3793202764976962</v>
      </c>
      <c r="FR357" s="560"/>
      <c r="FS357" s="560"/>
      <c r="FT357" s="560"/>
      <c r="FU357" s="560"/>
      <c r="FV357" s="695">
        <f t="shared" si="661"/>
        <v>41827</v>
      </c>
      <c r="FW357" s="695">
        <f t="shared" si="662"/>
        <v>41934</v>
      </c>
      <c r="FX357" s="560"/>
      <c r="FY357" s="560"/>
      <c r="FZ357" s="560"/>
      <c r="GA357" s="560"/>
      <c r="GB357" s="560" t="str">
        <f t="shared" si="663"/>
        <v>n</v>
      </c>
      <c r="GC357" s="564">
        <f t="shared" si="664"/>
        <v>41691</v>
      </c>
      <c r="GD357" s="695">
        <f t="shared" si="665"/>
        <v>41807</v>
      </c>
      <c r="GE357" s="560">
        <v>6518.9</v>
      </c>
      <c r="GF357" s="695">
        <f t="shared" si="666"/>
        <v>41808</v>
      </c>
      <c r="GG357" s="560">
        <f t="shared" si="686"/>
        <v>3259</v>
      </c>
      <c r="GH357" s="564">
        <f t="shared" si="667"/>
        <v>41934</v>
      </c>
      <c r="GJ357" s="545">
        <f t="shared" si="668"/>
        <v>0</v>
      </c>
      <c r="GK357" s="560" t="str">
        <f t="shared" si="641"/>
        <v/>
      </c>
      <c r="GL357" s="560">
        <f t="shared" si="669"/>
        <v>0</v>
      </c>
      <c r="GM357" s="560" t="str">
        <f t="shared" si="670"/>
        <v/>
      </c>
      <c r="GN357" s="560">
        <f>IF(GK357="P",Lookup!$M$12,IF(GK357="PP",Lookup!$M$13,IF(GK357="PPP",Lookup!$M$14,IF(GK357="T",Lookup!$M$15,IF(GK357="TP",Lookup!$M$16,IF(GK357="TPP",Lookup!$M$17,IF(GK357="TPPP",Lookup!$M$18,0)))))))*GJ357</f>
        <v>0</v>
      </c>
      <c r="GO357" s="560">
        <f t="shared" si="671"/>
        <v>0</v>
      </c>
      <c r="GP357" s="560">
        <f t="shared" si="642"/>
        <v>0</v>
      </c>
      <c r="GQ357" s="560">
        <f t="shared" si="679"/>
        <v>0</v>
      </c>
      <c r="GR357" s="560"/>
      <c r="GS357" s="560">
        <f t="shared" si="672"/>
        <v>0</v>
      </c>
      <c r="GT357" s="560" t="str">
        <f t="shared" si="673"/>
        <v/>
      </c>
      <c r="GU357" s="560">
        <f>IF(GK357="P",Lookup!$N$12,IF(GK357="PP",Lookup!$N$13,IF(GK357="PPP",Lookup!$N$14,IF(GK357="T",Lookup!$N$15,IF(GK357="TP",Lookup!$N$16,IF(GK357="TPP",Lookup!$N$17,IF(GK357="TPPP",Lookup!$N$18,0)))))))*GJ357</f>
        <v>0</v>
      </c>
      <c r="GV357" s="560">
        <f t="shared" si="674"/>
        <v>0</v>
      </c>
      <c r="GW357" s="560">
        <f t="shared" si="643"/>
        <v>0</v>
      </c>
      <c r="GX357" s="560">
        <f t="shared" si="680"/>
        <v>0</v>
      </c>
      <c r="GY357" s="560"/>
      <c r="GZ357" s="560">
        <f t="shared" si="675"/>
        <v>0</v>
      </c>
      <c r="HA357" s="560" t="str">
        <f t="shared" si="676"/>
        <v/>
      </c>
      <c r="HB357" s="560">
        <f>IF(GK357="P",Lookup!$N$12,IF(GK357="PP",Lookup!$N$13,IF(GK357="PPP",Lookup!$N$14,IF(GK357="T",Lookup!$N$15,IF(GK357="TP",Lookup!$N$16,IF(GK357="TPP",Lookup!$N$17,IF(GK357="TPPP",Lookup!$N$18,0)))))))*GJ357</f>
        <v>0</v>
      </c>
      <c r="HC357" s="545">
        <f t="shared" si="644"/>
        <v>0</v>
      </c>
      <c r="HD357" s="560">
        <f t="shared" si="645"/>
        <v>0</v>
      </c>
      <c r="HE357" s="560">
        <f t="shared" si="681"/>
        <v>0</v>
      </c>
      <c r="HF357" s="560"/>
      <c r="HG357" s="560">
        <f t="shared" si="677"/>
        <v>0</v>
      </c>
      <c r="HH357" s="560" t="str">
        <f t="shared" si="678"/>
        <v/>
      </c>
      <c r="HI357" s="560">
        <f>IF(GK357="P",Lookup!$N$12,IF(GK357="PP",Lookup!$N$13,IF(GK357="PPP",Lookup!$N$14,IF(GK357="T",Lookup!$N$15,IF(GK357="TP",Lookup!$N$16,IF(GK357="TPP",Lookup!$N$17,IF(GK357="TPPP",Lookup!$N$18,0)))))))*GJ357</f>
        <v>0</v>
      </c>
      <c r="HJ357" s="545">
        <f t="shared" si="646"/>
        <v>0</v>
      </c>
      <c r="HK357" s="560">
        <f t="shared" si="647"/>
        <v>0</v>
      </c>
      <c r="HL357" s="560">
        <f t="shared" si="682"/>
        <v>0</v>
      </c>
    </row>
    <row r="358" spans="1:220">
      <c r="A358" s="580" t="s">
        <v>9</v>
      </c>
      <c r="B358" s="556">
        <v>41986</v>
      </c>
      <c r="C358" s="561">
        <v>0</v>
      </c>
      <c r="D358" s="529">
        <f t="shared" si="684"/>
        <v>300</v>
      </c>
      <c r="E358" s="529">
        <f t="shared" si="685"/>
        <v>250</v>
      </c>
      <c r="F358" s="529">
        <v>250</v>
      </c>
      <c r="G358" s="560">
        <f>DR358+Sheet1!CZ360</f>
        <v>1057.4573877965538</v>
      </c>
      <c r="H358" s="914">
        <f t="shared" si="650"/>
        <v>416.57725547169235</v>
      </c>
      <c r="I358" s="559">
        <f>MAX(Sheet1!Z360-AT358+(Sheet1!DA360-E358)*CFStoMGD,0)</f>
        <v>763.23199999999997</v>
      </c>
      <c r="J358" s="562">
        <f>IF(AND(B358&gt;=Calculation!GC358,B358&lt;=Calculation!GD358),IF(Sheet1!DB360&gt;=Calculation!D358,64.64,0),MAX(Sheet1!Z360-AT358+(Sheet1!DB360-D358)*CFStoMGD,0))</f>
        <v>399.95519999999999</v>
      </c>
      <c r="K358" s="904">
        <f t="shared" si="583"/>
        <v>64.64</v>
      </c>
      <c r="L358" s="560">
        <f>Sheet1!AA360+Sheet1!AB360-Sheet1!L360+(Sheet1!DA360-F358)*CFStoMGD</f>
        <v>779.301999999999</v>
      </c>
      <c r="M358" s="560">
        <f t="shared" si="584"/>
        <v>697.21126458112622</v>
      </c>
      <c r="N358" s="910">
        <f>IF(Sheet1!DA360&gt;=F358,MIN(73,MIN(MAX(L358,0),MAX(M358,0))),0)</f>
        <v>73</v>
      </c>
      <c r="O358" s="563">
        <f>Sheet1!AA360+Sheet1!AB360</f>
        <v>51.5</v>
      </c>
      <c r="P358" s="563">
        <f t="shared" si="585"/>
        <v>79.670500000000004</v>
      </c>
      <c r="Q358" s="898">
        <f t="shared" si="651"/>
        <v>0</v>
      </c>
      <c r="R358" s="829">
        <f t="shared" si="586"/>
        <v>9.0435953420669577</v>
      </c>
      <c r="S358" s="698">
        <f t="shared" si="683"/>
        <v>51.5</v>
      </c>
      <c r="T358" s="898">
        <f t="shared" si="652"/>
        <v>0</v>
      </c>
      <c r="U358" s="898">
        <f t="shared" si="653"/>
        <v>0</v>
      </c>
      <c r="V358" s="898"/>
      <c r="W358" s="898">
        <f t="shared" si="654"/>
        <v>55.596404657933043</v>
      </c>
      <c r="X358" s="898">
        <f t="shared" si="655"/>
        <v>51.5</v>
      </c>
      <c r="Y358" s="898" t="str">
        <f t="shared" si="656"/>
        <v/>
      </c>
      <c r="Z358" s="898">
        <f t="shared" si="657"/>
        <v>51.5</v>
      </c>
      <c r="AA358" s="898">
        <f t="shared" si="658"/>
        <v>51.5</v>
      </c>
      <c r="AB358" s="898" t="str">
        <f t="shared" si="659"/>
        <v/>
      </c>
      <c r="AC358" s="563">
        <f>Sheet1!Y360*MGDtoCFS</f>
        <v>37.128</v>
      </c>
      <c r="AD358" s="563">
        <f>Sheet1!Z360*MGDtoCFS</f>
        <v>50.741599999999991</v>
      </c>
      <c r="AE358" s="563">
        <f>Sheet1!AA360*MGDtoCFS</f>
        <v>37.282699999999998</v>
      </c>
      <c r="AF358" s="563">
        <f>Sheet1!AB360*MGDtoCFS</f>
        <v>42.387799999999999</v>
      </c>
      <c r="AG358" s="563">
        <f>Sheet1!L360*MGDtoCFS</f>
        <v>4.0686100000015752</v>
      </c>
      <c r="AH358" s="545">
        <f t="shared" si="587"/>
        <v>0</v>
      </c>
      <c r="AI358" s="560">
        <f t="shared" si="588"/>
        <v>0</v>
      </c>
      <c r="AJ358" s="560">
        <f t="shared" si="589"/>
        <v>0</v>
      </c>
      <c r="AK358" s="560">
        <f t="shared" si="590"/>
        <v>0</v>
      </c>
      <c r="AL358" s="560">
        <f>(VLOOKUP(Sheet1!DC360,hhdcap_wcm,4)-(((VLOOKUP(Sheet1!DC360,hhdcap_wcm,3)-Sheet1!DC360)/(VLOOKUP(Sheet1!DC360,hhdcap_wcm,3)-VLOOKUP(Sheet1!DC360,hhdcap_wcm,1)))*(VLOOKUP(Sheet1!DC360,hhdcap_wcm,4)-VLOOKUP(Sheet1!DC360,hhdcap_wcm,2))))</f>
        <v>1465.000000003788</v>
      </c>
      <c r="AM358" s="560">
        <f t="shared" si="591"/>
        <v>340.00000000056616</v>
      </c>
      <c r="AN358" s="560">
        <f t="shared" si="592"/>
        <v>0</v>
      </c>
      <c r="AO358" s="560">
        <f t="shared" si="593"/>
        <v>0</v>
      </c>
      <c r="AP358" s="560">
        <f>Sheet1!BA360+Sheet1!BB360+Sheet1!BN360+CD358</f>
        <v>18.41</v>
      </c>
      <c r="AQ358" s="560">
        <f>Sheet1!BN360+(DO358*Sheet1!BN360)</f>
        <v>17.349344978165938</v>
      </c>
      <c r="AR358" s="560">
        <f>Sheet1!BA360+CD358</f>
        <v>0</v>
      </c>
      <c r="AS358" s="560">
        <f>Sheet1!BA360+Sheet1!BB360+CD358</f>
        <v>1.01</v>
      </c>
      <c r="AT358" s="698">
        <f>0</f>
        <v>0</v>
      </c>
      <c r="AU358" s="560">
        <f>IF(EB358&lt;K358,0,MAX(Sheet1!AA360+AQ358-15/36*K358-N358,Sheet1!EH360,0))</f>
        <v>0</v>
      </c>
      <c r="AV358" s="560">
        <f>IF(OR(B358&gt;=GD358,B358&lt;GC358),0,15/36*K358-MAX(0,64.6-(137.6-(Sheet1!AA360+Sheet1!AB360))))</f>
        <v>0</v>
      </c>
      <c r="AW358" s="698">
        <f>Sheet1!DB360-110</f>
        <v>758</v>
      </c>
      <c r="AX358" s="698">
        <f>Sheet1!DA360-265</f>
        <v>1115</v>
      </c>
      <c r="AY358" s="698">
        <f t="shared" si="594"/>
        <v>73</v>
      </c>
      <c r="AZ358" s="698">
        <v>0</v>
      </c>
      <c r="BA358" s="698">
        <f t="shared" si="595"/>
        <v>0</v>
      </c>
      <c r="BB358" s="560">
        <f t="shared" si="596"/>
        <v>0</v>
      </c>
      <c r="BC358" s="560"/>
      <c r="BD358" s="560">
        <f ca="1">IF(B358&gt;Summary!$A$1,#N/A,BB358*MGtoAF)</f>
        <v>0</v>
      </c>
      <c r="BE358" s="560">
        <f>Sheet1!BG360+Sheet1!BH360+Sheet1!BI360-BM358</f>
        <v>0</v>
      </c>
      <c r="BF358" s="560">
        <f t="shared" si="597"/>
        <v>0</v>
      </c>
      <c r="BG358" s="560">
        <f>IF(Sheet1!EP360="FM",BM358,0)</f>
        <v>0</v>
      </c>
      <c r="BH358" s="560">
        <f t="shared" si="598"/>
        <v>0</v>
      </c>
      <c r="BI358" s="560">
        <f>IF(Sheet1!EP360="OTHER",BM358,0)</f>
        <v>0</v>
      </c>
      <c r="BJ358" s="560">
        <f t="shared" si="599"/>
        <v>0</v>
      </c>
      <c r="BK358" s="560">
        <f t="shared" si="600"/>
        <v>0</v>
      </c>
      <c r="BL358" s="560">
        <f t="shared" si="601"/>
        <v>0</v>
      </c>
      <c r="BM358" s="560">
        <f>IF(OR(Sheet1!EP360="FM", Sheet1!EP360="OTHER"),SUM(Sheet1!BG360:'Sheet1'!BI360),0)</f>
        <v>0</v>
      </c>
      <c r="BN358" s="545">
        <f>IF(AND($B358&gt;=$FV358,$B358&lt;=$FW358),MAX(BF358,Sheet1!EI360,0),MAX(BF358-(7/36)*$K358,0))</f>
        <v>0</v>
      </c>
      <c r="BO358" s="560">
        <f t="shared" si="602"/>
        <v>0</v>
      </c>
      <c r="BP358" s="545">
        <f t="shared" si="603"/>
        <v>0</v>
      </c>
      <c r="BQ358" s="545">
        <f>IF(AND($O358&gt;0,Sheet1!EM360=1),(1-($O358-Sheet1!$L360)/$O358)*BL358,0)</f>
        <v>0</v>
      </c>
      <c r="BR358" s="545">
        <f>IF(AND(Sheet1!$L360=0,Sheet1!$L359=0, Calculation!BK358&lt;Sheet1!$EI360-0.1,Sheet1!$EI360=Sheet1!$EI359,Sheet1!$EI360=Sheet1!$EI361),Sheet1!$EI360,BL358-BQ358)</f>
        <v>0</v>
      </c>
      <c r="BS358" s="560"/>
      <c r="BT358" s="560"/>
      <c r="BU358" s="560">
        <f t="shared" si="604"/>
        <v>0</v>
      </c>
      <c r="BV358" s="560"/>
      <c r="BW358" s="560">
        <f ca="1">IF(B358&gt;Summary!$A$1,#N/A,BU358*MGtoAF)</f>
        <v>0</v>
      </c>
      <c r="BX358" s="560">
        <f>Sheet1!BC360+Sheet1!BD360+Sheet1!BE360+Sheet1!BF360-CG358-CH358</f>
        <v>2.4900000000000002</v>
      </c>
      <c r="BY358" s="560">
        <f t="shared" si="605"/>
        <v>2.4827510917030566</v>
      </c>
      <c r="BZ358" s="560">
        <f>IF(Sheet1!EQ360="FM",CH358,0)</f>
        <v>0</v>
      </c>
      <c r="CA358" s="560">
        <f t="shared" si="606"/>
        <v>0</v>
      </c>
      <c r="CB358" s="560">
        <f>IF(Sheet1!EQ360="OTHER",CH358,0)</f>
        <v>0</v>
      </c>
      <c r="CC358" s="560">
        <f t="shared" si="607"/>
        <v>0</v>
      </c>
      <c r="CD358" s="560">
        <f t="shared" si="608"/>
        <v>0</v>
      </c>
      <c r="CE358" s="560">
        <f t="shared" si="609"/>
        <v>2.4900000000000002</v>
      </c>
      <c r="CF358" s="560">
        <f t="shared" si="610"/>
        <v>2.4827510917030566</v>
      </c>
      <c r="CG358" s="560">
        <f>IF(Sheet1!EQ360="CWA",SUM(Sheet1!BC360:'Sheet1'!BF360),0)</f>
        <v>0</v>
      </c>
      <c r="CH358" s="560">
        <f>IF(OR(Sheet1!EQ360="FM", Sheet1!EQ360="OTHER"),SUM(Sheet1!BC360:'Sheet1'!BF360),0)</f>
        <v>0</v>
      </c>
      <c r="CI358" s="545">
        <f>IF(AND($B358&gt;=$FV358,$B358&lt;=$FW358),MAX(CF358,Sheet1!EJ360,0),MAX(CF358-(7/36)*$K358,0))</f>
        <v>0</v>
      </c>
      <c r="CJ358" s="560">
        <f t="shared" si="611"/>
        <v>0</v>
      </c>
      <c r="CK358" s="545">
        <f t="shared" si="612"/>
        <v>2.4827510917030566</v>
      </c>
      <c r="CL358" s="545">
        <f>IF(AND($O358&gt;0,Sheet1!EN360=1),(1-($O358-Sheet1!$L360)/$O358)*CF358,0)</f>
        <v>0</v>
      </c>
      <c r="CM358" s="545">
        <f>IF(AND(Sheet1!$L360=0,Sheet1!$L359=0, Calculation!CE358&lt;Sheet1!EJ360-0.1,Sheet1!EJ360=Sheet1!EJ359,Sheet1!EJ360=Sheet1!EJ361),Sheet1!EJ360,CF358-CL358)</f>
        <v>2.4827510917030566</v>
      </c>
      <c r="CN358" s="545"/>
      <c r="CO358" s="560"/>
      <c r="CP358" s="560">
        <f t="shared" si="613"/>
        <v>0</v>
      </c>
      <c r="CQ358" s="560"/>
      <c r="CR358" s="560">
        <f ca="1">IF(B358&gt;Summary!$A$1,#N/A,CP358*MGtoAF)</f>
        <v>0</v>
      </c>
      <c r="CS358" s="560">
        <f>Sheet1!BK360+Sheet1!BL360+Sheet1!BM360-Sheet1!ER360-DA358</f>
        <v>6.58</v>
      </c>
      <c r="CT358" s="560">
        <f t="shared" si="614"/>
        <v>6.5608442503639006</v>
      </c>
      <c r="CU358" s="560">
        <f>IF(Sheet1!ER360="FM",DA358,0)</f>
        <v>0</v>
      </c>
      <c r="CV358" s="560">
        <f t="shared" si="615"/>
        <v>0</v>
      </c>
      <c r="CW358" s="560">
        <f>IF(Sheet1!ER360="OTHER",DA358,0)</f>
        <v>0</v>
      </c>
      <c r="CX358" s="560">
        <f t="shared" si="616"/>
        <v>0</v>
      </c>
      <c r="CY358" s="560">
        <f t="shared" si="617"/>
        <v>6.58</v>
      </c>
      <c r="CZ358" s="560">
        <f t="shared" si="618"/>
        <v>6.5608442503639006</v>
      </c>
      <c r="DA358" s="560">
        <f>IF(OR(Sheet1!ER360="FM", Sheet1!ER360="OTHER"),SUM(Sheet1!BK360:'Sheet1'!BM360),0)</f>
        <v>0</v>
      </c>
      <c r="DB358" s="545">
        <f>IF(AND($B358&gt;=$FV358,$B358&lt;=$FW358),MAX($CT358,Sheet1!EK360,0),MAX($CT358-(7/36)*$K358,0))</f>
        <v>0</v>
      </c>
      <c r="DC358" s="560">
        <f t="shared" si="619"/>
        <v>0</v>
      </c>
      <c r="DD358" s="545">
        <f t="shared" si="620"/>
        <v>6.5608442503639006</v>
      </c>
      <c r="DE358" s="545">
        <f>IF(AND($O358&gt;0,Sheet1!EO360=1),(1-($O358-Sheet1!$L360)/$O358)*CZ358,0)</f>
        <v>0</v>
      </c>
      <c r="DF358" s="545">
        <f>IF(AND(Sheet1!$L360=0,Sheet1!$L359=0, Calculation!CY358&lt;Sheet1!$EK360-0.1,Sheet1!$EK360=Sheet1!$EK359,Sheet1!$EK360=Sheet1!$EK361),Sheet1!$EK360,CZ358-DE358)</f>
        <v>6.5608442503639006</v>
      </c>
      <c r="DG358" s="545"/>
      <c r="DH358" s="560">
        <f t="shared" si="621"/>
        <v>9.07</v>
      </c>
      <c r="DI358" s="560">
        <f t="shared" si="622"/>
        <v>0</v>
      </c>
      <c r="DJ358" s="698">
        <f t="shared" si="623"/>
        <v>9.0435953420669577</v>
      </c>
      <c r="DK358" s="560">
        <f ca="1">IF(B358&gt;Summary!$A$1,#N/A,DI358*MGtoAF)</f>
        <v>0</v>
      </c>
      <c r="DL358" s="698">
        <f t="shared" si="624"/>
        <v>9.07</v>
      </c>
      <c r="DM358" s="560">
        <f t="shared" si="625"/>
        <v>27.48</v>
      </c>
      <c r="DN358" s="560">
        <f>Sheet1!AB360-DM358</f>
        <v>-8.0000000000001847E-2</v>
      </c>
      <c r="DO358" s="560">
        <f t="shared" si="626"/>
        <v>-2.9112081513828912E-3</v>
      </c>
      <c r="DP358" s="560">
        <f>(VLOOKUP(Sheet1!DC360,hhdcap_wcm,4)-(((VLOOKUP(Sheet1!DC360,hhdcap_wcm,3)-Sheet1!DC360)/(VLOOKUP(Sheet1!DC360,hhdcap_wcm,3)-VLOOKUP(Sheet1!DC360,hhdcap_wcm,1)))*(VLOOKUP(Sheet1!DC360,hhdcap_wcm,4)-VLOOKUP(Sheet1!DC360,hhdcap_wcm,2))))</f>
        <v>1465.000000003788</v>
      </c>
      <c r="DQ358" s="560">
        <f t="shared" si="627"/>
        <v>340.00000000056616</v>
      </c>
      <c r="DR358" s="560">
        <f t="shared" si="628"/>
        <v>171.45738779655377</v>
      </c>
      <c r="DS358" s="560">
        <f>Sheet1!EA360*AFtoMG</f>
        <v>0</v>
      </c>
      <c r="DT358" s="560">
        <f>Sheet1!EB360*AFtoMG</f>
        <v>0</v>
      </c>
      <c r="DU358" s="560">
        <f>Sheet1!EC360*AFtoMG</f>
        <v>0</v>
      </c>
      <c r="DV358" s="560">
        <f>Sheet1!ED360*AFtoMG</f>
        <v>0</v>
      </c>
      <c r="DW358" s="560">
        <f t="shared" si="629"/>
        <v>0</v>
      </c>
      <c r="DX358" s="560">
        <f t="shared" si="630"/>
        <v>0</v>
      </c>
      <c r="DY358" s="560">
        <f t="shared" si="631"/>
        <v>0</v>
      </c>
      <c r="DZ358" s="560">
        <f t="shared" si="632"/>
        <v>0</v>
      </c>
      <c r="EA358" s="560"/>
      <c r="EB358" s="545">
        <f>IF(OR(B358&lt;FV358,B358&gt;FW358),(MIN(BF358+BY358+CT358+MAX(Sheet1!AA360+AQ358-73,0),K358)),0)</f>
        <v>9.0435953420669577</v>
      </c>
      <c r="EC358" s="560"/>
      <c r="ED358" s="560">
        <f t="shared" si="633"/>
        <v>9.0435953420669577</v>
      </c>
      <c r="EE358" s="560"/>
      <c r="EF358" s="560">
        <f>Sheet1!EH360+Sheet1!EI360+Sheet1!EJ360+Sheet1!EK360</f>
        <v>9</v>
      </c>
      <c r="EG358" s="560"/>
      <c r="EH358" s="545">
        <f t="shared" si="634"/>
        <v>0</v>
      </c>
      <c r="EI358" s="560">
        <f>IF(Sheet1!ET360=1,SUM('Calculations II'!AT358:BA358)+'Calculations II'!BC358+Sheet1!BV360+'Calculations II'!BE358+AP358,SUM('Calculations II'!AT358:BA358)+'Calculations II'!BC358+Sheet1!BV360+'Calculations II'!BE358+AP358)</f>
        <v>51.267728000000005</v>
      </c>
      <c r="EJ358" s="560">
        <f>Sheet1!AA360+Sheet1!AB360+'Calculations II'!BC358</f>
        <v>51.5</v>
      </c>
      <c r="EK358" s="560"/>
      <c r="EL358" s="560"/>
      <c r="EM358" s="560">
        <f t="shared" si="635"/>
        <v>41986</v>
      </c>
      <c r="EN358" s="560">
        <f t="shared" si="636"/>
        <v>0</v>
      </c>
      <c r="EO358" s="560">
        <f t="shared" si="637"/>
        <v>0</v>
      </c>
      <c r="EP358" s="560">
        <v>0</v>
      </c>
      <c r="EQ358" s="560">
        <v>0</v>
      </c>
      <c r="ER358" s="560">
        <v>0</v>
      </c>
      <c r="ES358" s="545">
        <f t="shared" si="660"/>
        <v>3.3237115187012516</v>
      </c>
      <c r="ET358" s="560">
        <f>-(VLOOKUP(Sheet1!BQ360,Lookup!$O$4:$Q$262,2)-VLOOKUP(Sheet1!BQ359,Lookup!$O$4:$Q$262,2))/1000000</f>
        <v>1.6617788593001255</v>
      </c>
      <c r="EU358" s="560">
        <f>-(VLOOKUP(Sheet1!BR360,Lookup!$O$4:$Q$262,3)-VLOOKUP(Sheet1!BR359,Lookup!$O$4:$Q$262,3))/1000000</f>
        <v>1.6619326594011261</v>
      </c>
      <c r="EV358" s="560"/>
      <c r="EW358" s="560"/>
      <c r="EX358" s="560"/>
      <c r="EY358" s="560"/>
      <c r="EZ358" s="560"/>
      <c r="FA358" s="560"/>
      <c r="FB358" s="560"/>
      <c r="FC358" s="560"/>
      <c r="FD358" s="594" t="e">
        <f t="shared" si="638"/>
        <v>#N/A</v>
      </c>
      <c r="FE358" s="594" t="e">
        <f t="shared" si="639"/>
        <v>#N/A</v>
      </c>
      <c r="FF358" s="595" t="e">
        <f t="shared" si="640"/>
        <v>#N/A</v>
      </c>
      <c r="FG358" s="596" t="s">
        <v>692</v>
      </c>
      <c r="FH358" s="596" t="s">
        <v>692</v>
      </c>
      <c r="FI358" s="594" t="e">
        <v>#N/A</v>
      </c>
      <c r="FJ358" s="594" t="e">
        <v>#N/A</v>
      </c>
      <c r="FK358" s="560"/>
      <c r="FL358" s="560"/>
      <c r="FM358" s="560"/>
      <c r="FN358" s="560"/>
      <c r="FO358" s="560">
        <f>O358+((Sheet1!CS360)*GPMtoMGD)</f>
        <v>51.5</v>
      </c>
      <c r="FP358" s="560">
        <f>IF(Sheet1!AA360+AQ358&lt;=Calculation!N358,AQ358,Calculation!N358-Sheet1!AA360)</f>
        <v>17.349344978165938</v>
      </c>
      <c r="FQ358" s="560">
        <f>(Sheet1!BP360+Sheet1!BO360)/694.4</f>
        <v>0.95118087557603692</v>
      </c>
      <c r="FR358" s="560"/>
      <c r="FS358" s="560"/>
      <c r="FT358" s="560"/>
      <c r="FU358" s="560"/>
      <c r="FV358" s="695">
        <f t="shared" si="661"/>
        <v>41827</v>
      </c>
      <c r="FW358" s="695">
        <f t="shared" si="662"/>
        <v>41934</v>
      </c>
      <c r="FX358" s="560"/>
      <c r="FY358" s="560"/>
      <c r="FZ358" s="560"/>
      <c r="GA358" s="560"/>
      <c r="GB358" s="560" t="str">
        <f t="shared" si="663"/>
        <v>n</v>
      </c>
      <c r="GC358" s="564">
        <f t="shared" si="664"/>
        <v>41691</v>
      </c>
      <c r="GD358" s="695">
        <f t="shared" si="665"/>
        <v>41807</v>
      </c>
      <c r="GE358" s="560">
        <v>6518.9</v>
      </c>
      <c r="GF358" s="695">
        <f t="shared" si="666"/>
        <v>41808</v>
      </c>
      <c r="GG358" s="560">
        <f t="shared" si="686"/>
        <v>3259</v>
      </c>
      <c r="GH358" s="564">
        <f t="shared" si="667"/>
        <v>41934</v>
      </c>
      <c r="GJ358" s="545">
        <f t="shared" si="668"/>
        <v>0</v>
      </c>
      <c r="GK358" s="560" t="str">
        <f t="shared" si="641"/>
        <v/>
      </c>
      <c r="GL358" s="560">
        <f t="shared" si="669"/>
        <v>0</v>
      </c>
      <c r="GM358" s="560" t="str">
        <f t="shared" si="670"/>
        <v/>
      </c>
      <c r="GN358" s="560">
        <f>IF(GK358="P",Lookup!$M$12,IF(GK358="PP",Lookup!$M$13,IF(GK358="PPP",Lookup!$M$14,IF(GK358="T",Lookup!$M$15,IF(GK358="TP",Lookup!$M$16,IF(GK358="TPP",Lookup!$M$17,IF(GK358="TPPP",Lookup!$M$18,0)))))))*GJ358</f>
        <v>0</v>
      </c>
      <c r="GO358" s="560">
        <f t="shared" si="671"/>
        <v>0</v>
      </c>
      <c r="GP358" s="560">
        <f t="shared" si="642"/>
        <v>0</v>
      </c>
      <c r="GQ358" s="560">
        <f t="shared" si="679"/>
        <v>0</v>
      </c>
      <c r="GR358" s="560"/>
      <c r="GS358" s="560">
        <f t="shared" si="672"/>
        <v>0</v>
      </c>
      <c r="GT358" s="560" t="str">
        <f t="shared" si="673"/>
        <v/>
      </c>
      <c r="GU358" s="560">
        <f>IF(GK358="P",Lookup!$N$12,IF(GK358="PP",Lookup!$N$13,IF(GK358="PPP",Lookup!$N$14,IF(GK358="T",Lookup!$N$15,IF(GK358="TP",Lookup!$N$16,IF(GK358="TPP",Lookup!$N$17,IF(GK358="TPPP",Lookup!$N$18,0)))))))*GJ358</f>
        <v>0</v>
      </c>
      <c r="GV358" s="560">
        <f t="shared" si="674"/>
        <v>0</v>
      </c>
      <c r="GW358" s="560">
        <f t="shared" si="643"/>
        <v>0</v>
      </c>
      <c r="GX358" s="560">
        <f t="shared" si="680"/>
        <v>0</v>
      </c>
      <c r="GY358" s="560"/>
      <c r="GZ358" s="560">
        <f t="shared" si="675"/>
        <v>0</v>
      </c>
      <c r="HA358" s="560" t="str">
        <f t="shared" si="676"/>
        <v/>
      </c>
      <c r="HB358" s="560">
        <f>IF(GK358="P",Lookup!$N$12,IF(GK358="PP",Lookup!$N$13,IF(GK358="PPP",Lookup!$N$14,IF(GK358="T",Lookup!$N$15,IF(GK358="TP",Lookup!$N$16,IF(GK358="TPP",Lookup!$N$17,IF(GK358="TPPP",Lookup!$N$18,0)))))))*GJ358</f>
        <v>0</v>
      </c>
      <c r="HC358" s="545">
        <f t="shared" si="644"/>
        <v>0</v>
      </c>
      <c r="HD358" s="560">
        <f t="shared" si="645"/>
        <v>0</v>
      </c>
      <c r="HE358" s="560">
        <f t="shared" si="681"/>
        <v>0</v>
      </c>
      <c r="HF358" s="560"/>
      <c r="HG358" s="560">
        <f t="shared" si="677"/>
        <v>0</v>
      </c>
      <c r="HH358" s="560" t="str">
        <f t="shared" si="678"/>
        <v/>
      </c>
      <c r="HI358" s="560">
        <f>IF(GK358="P",Lookup!$N$12,IF(GK358="PP",Lookup!$N$13,IF(GK358="PPP",Lookup!$N$14,IF(GK358="T",Lookup!$N$15,IF(GK358="TP",Lookup!$N$16,IF(GK358="TPP",Lookup!$N$17,IF(GK358="TPPP",Lookup!$N$18,0)))))))*GJ358</f>
        <v>0</v>
      </c>
      <c r="HJ358" s="545">
        <f t="shared" si="646"/>
        <v>0</v>
      </c>
      <c r="HK358" s="560">
        <f t="shared" si="647"/>
        <v>0</v>
      </c>
      <c r="HL358" s="560">
        <f t="shared" si="682"/>
        <v>0</v>
      </c>
    </row>
    <row r="359" spans="1:220">
      <c r="A359" s="580" t="s">
        <v>3</v>
      </c>
      <c r="B359" s="556">
        <v>41987</v>
      </c>
      <c r="C359" s="561">
        <v>0</v>
      </c>
      <c r="D359" s="529">
        <f t="shared" si="684"/>
        <v>300</v>
      </c>
      <c r="E359" s="529">
        <f t="shared" si="685"/>
        <v>250</v>
      </c>
      <c r="F359" s="529">
        <v>250</v>
      </c>
      <c r="G359" s="560">
        <f>DR359+Sheet1!CZ361</f>
        <v>972.44225920344991</v>
      </c>
      <c r="H359" s="914">
        <f t="shared" si="650"/>
        <v>361.62347634910998</v>
      </c>
      <c r="I359" s="559">
        <f>MAX(Sheet1!Z361-AT359+(Sheet1!DA361-E359)*CFStoMGD,0)</f>
        <v>731.976</v>
      </c>
      <c r="J359" s="562">
        <f>IF(AND(B359&gt;=Calculation!GC359,B359&lt;=Calculation!GD359),IF(Sheet1!DB361&gt;=Calculation!D359,64.64,0),MAX(Sheet1!Z361-AT359+(Sheet1!DB361-D359)*CFStoMGD,0))</f>
        <v>397.14079999999996</v>
      </c>
      <c r="K359" s="904">
        <f t="shared" si="583"/>
        <v>64.64</v>
      </c>
      <c r="L359" s="560">
        <f>Sheet1!AA361+Sheet1!AB361-Sheet1!L361+(Sheet1!DA361-F359)*CFStoMGD</f>
        <v>752.68600000000208</v>
      </c>
      <c r="M359" s="560">
        <f t="shared" si="584"/>
        <v>641.15840987609226</v>
      </c>
      <c r="N359" s="910">
        <f>IF(Sheet1!DA361&gt;=F359,MIN(73,MIN(MAX(L359,0),MAX(M359,0))),0)</f>
        <v>73</v>
      </c>
      <c r="O359" s="563">
        <f>Sheet1!AA361+Sheet1!AB361</f>
        <v>50.099999999999994</v>
      </c>
      <c r="P359" s="563">
        <f t="shared" si="585"/>
        <v>77.504699999999985</v>
      </c>
      <c r="Q359" s="898">
        <f t="shared" si="651"/>
        <v>0</v>
      </c>
      <c r="R359" s="829">
        <f t="shared" si="586"/>
        <v>8.8622007722007705</v>
      </c>
      <c r="S359" s="698">
        <f t="shared" si="683"/>
        <v>50.099999999999994</v>
      </c>
      <c r="T359" s="898">
        <f t="shared" si="652"/>
        <v>0</v>
      </c>
      <c r="U359" s="898">
        <f t="shared" si="653"/>
        <v>0</v>
      </c>
      <c r="V359" s="898"/>
      <c r="W359" s="898">
        <f t="shared" si="654"/>
        <v>55.777799227799228</v>
      </c>
      <c r="X359" s="898">
        <f t="shared" si="655"/>
        <v>50.099999999999994</v>
      </c>
      <c r="Y359" s="898" t="str">
        <f t="shared" si="656"/>
        <v/>
      </c>
      <c r="Z359" s="898">
        <f t="shared" si="657"/>
        <v>50.099999999999994</v>
      </c>
      <c r="AA359" s="898">
        <f t="shared" si="658"/>
        <v>50.099999999999994</v>
      </c>
      <c r="AB359" s="898" t="str">
        <f t="shared" si="659"/>
        <v/>
      </c>
      <c r="AC359" s="563">
        <f>Sheet1!Y361*MGDtoCFS</f>
        <v>37.282699999999998</v>
      </c>
      <c r="AD359" s="563">
        <f>Sheet1!Z361*MGDtoCFS</f>
        <v>42.387799999999999</v>
      </c>
      <c r="AE359" s="563">
        <f>Sheet1!AA361*MGDtoCFS</f>
        <v>37.437399999999997</v>
      </c>
      <c r="AF359" s="563">
        <f>Sheet1!AB361*MGDtoCFS</f>
        <v>40.067299999999996</v>
      </c>
      <c r="AG359" s="563">
        <f>Sheet1!L361*MGDtoCFS</f>
        <v>3.0785299999968481</v>
      </c>
      <c r="AH359" s="545">
        <f t="shared" si="587"/>
        <v>0</v>
      </c>
      <c r="AI359" s="560">
        <f t="shared" si="588"/>
        <v>0</v>
      </c>
      <c r="AJ359" s="560">
        <f t="shared" si="589"/>
        <v>0</v>
      </c>
      <c r="AK359" s="560">
        <f t="shared" si="590"/>
        <v>0</v>
      </c>
      <c r="AL359" s="560">
        <f>(VLOOKUP(Sheet1!DC361,hhdcap_wcm,4)-(((VLOOKUP(Sheet1!DC361,hhdcap_wcm,3)-Sheet1!DC361)/(VLOOKUP(Sheet1!DC361,hhdcap_wcm,3)-VLOOKUP(Sheet1!DC361,hhdcap_wcm,1)))*(VLOOKUP(Sheet1!DC361,hhdcap_wcm,4)-VLOOKUP(Sheet1!DC361,hhdcap_wcm,2))))</f>
        <v>1626.5000000042292</v>
      </c>
      <c r="AM359" s="560">
        <f t="shared" si="591"/>
        <v>161.5000000004411</v>
      </c>
      <c r="AN359" s="560">
        <f t="shared" si="592"/>
        <v>0</v>
      </c>
      <c r="AO359" s="560">
        <f t="shared" si="593"/>
        <v>0</v>
      </c>
      <c r="AP359" s="560">
        <f>Sheet1!BA361+Sheet1!BB361+Sheet1!BN361+CD359</f>
        <v>17.110000000000003</v>
      </c>
      <c r="AQ359" s="560">
        <f>Sheet1!BN361+(DO359*Sheet1!BN361)</f>
        <v>16.031621621621618</v>
      </c>
      <c r="AR359" s="560">
        <f>Sheet1!BA361+CD359</f>
        <v>0</v>
      </c>
      <c r="AS359" s="560">
        <f>Sheet1!BA361+Sheet1!BB361+CD359</f>
        <v>1.01</v>
      </c>
      <c r="AT359" s="698">
        <f>0</f>
        <v>0</v>
      </c>
      <c r="AU359" s="560">
        <f>IF(EB359&lt;K359,0,MAX(Sheet1!AA361+AQ359-15/36*K359-N359,Sheet1!EH361,0))</f>
        <v>0</v>
      </c>
      <c r="AV359" s="560">
        <f>IF(OR(B359&gt;=GD359,B359&lt;GC359),0,15/36*K359-MAX(0,64.6-(137.6-(Sheet1!AA361+Sheet1!AB361))))</f>
        <v>0</v>
      </c>
      <c r="AW359" s="698">
        <f>Sheet1!DB361-110</f>
        <v>762</v>
      </c>
      <c r="AX359" s="698">
        <f>Sheet1!DA361-265</f>
        <v>1075</v>
      </c>
      <c r="AY359" s="698">
        <f t="shared" si="594"/>
        <v>73</v>
      </c>
      <c r="AZ359" s="698">
        <v>0</v>
      </c>
      <c r="BA359" s="698">
        <f t="shared" si="595"/>
        <v>0</v>
      </c>
      <c r="BB359" s="560">
        <f t="shared" si="596"/>
        <v>0</v>
      </c>
      <c r="BC359" s="560"/>
      <c r="BD359" s="560">
        <f ca="1">IF(B359&gt;Summary!$A$1,#N/A,BB359*MGtoAF)</f>
        <v>0</v>
      </c>
      <c r="BE359" s="560">
        <f>Sheet1!BG361+Sheet1!BH361+Sheet1!BI361-BM359</f>
        <v>0</v>
      </c>
      <c r="BF359" s="560">
        <f t="shared" si="597"/>
        <v>0</v>
      </c>
      <c r="BG359" s="560">
        <f>IF(Sheet1!EP361="FM",BM359,0)</f>
        <v>0</v>
      </c>
      <c r="BH359" s="560">
        <f t="shared" si="598"/>
        <v>0</v>
      </c>
      <c r="BI359" s="560">
        <f>IF(Sheet1!EP361="OTHER",BM359,0)</f>
        <v>0</v>
      </c>
      <c r="BJ359" s="560">
        <f t="shared" si="599"/>
        <v>0</v>
      </c>
      <c r="BK359" s="560">
        <f t="shared" si="600"/>
        <v>0</v>
      </c>
      <c r="BL359" s="560">
        <f t="shared" si="601"/>
        <v>0</v>
      </c>
      <c r="BM359" s="560">
        <f>IF(OR(Sheet1!EP361="FM", Sheet1!EP361="OTHER"),SUM(Sheet1!BG361:'Sheet1'!BI361),0)</f>
        <v>0</v>
      </c>
      <c r="BN359" s="545">
        <f>IF(AND($B359&gt;=$FV359,$B359&lt;=$FW359),MAX(BF359,Sheet1!EI361,0),MAX(BF359-(7/36)*$K359,0))</f>
        <v>0</v>
      </c>
      <c r="BO359" s="560">
        <f t="shared" si="602"/>
        <v>0</v>
      </c>
      <c r="BP359" s="545">
        <f t="shared" si="603"/>
        <v>0</v>
      </c>
      <c r="BQ359" s="545">
        <f>IF(AND($O359&gt;0,Sheet1!EM361=1),(1-($O359-Sheet1!$L361)/$O359)*BL359,0)</f>
        <v>0</v>
      </c>
      <c r="BR359" s="545">
        <f>IF(AND(Sheet1!$L361=0,Sheet1!$L360=0, Calculation!BK359&lt;Sheet1!$EI361-0.1,Sheet1!$EI361=Sheet1!$EI360,Sheet1!$EI361=Sheet1!$EI362),Sheet1!$EI361,BL359-BQ359)</f>
        <v>0</v>
      </c>
      <c r="BS359" s="560"/>
      <c r="BT359" s="560"/>
      <c r="BU359" s="560">
        <f t="shared" si="604"/>
        <v>0</v>
      </c>
      <c r="BV359" s="560"/>
      <c r="BW359" s="560">
        <f ca="1">IF(B359&gt;Summary!$A$1,#N/A,BU359*MGtoAF)</f>
        <v>0</v>
      </c>
      <c r="BX359" s="560">
        <f>Sheet1!BC361+Sheet1!BD361+Sheet1!BE361+Sheet1!BF361-CG359-CH359</f>
        <v>2.5</v>
      </c>
      <c r="BY359" s="560">
        <f t="shared" si="605"/>
        <v>2.4893822393822389</v>
      </c>
      <c r="BZ359" s="560">
        <f>IF(Sheet1!EQ361="FM",CH359,0)</f>
        <v>0</v>
      </c>
      <c r="CA359" s="560">
        <f t="shared" si="606"/>
        <v>0</v>
      </c>
      <c r="CB359" s="560">
        <f>IF(Sheet1!EQ361="OTHER",CH359,0)</f>
        <v>0</v>
      </c>
      <c r="CC359" s="560">
        <f t="shared" si="607"/>
        <v>0</v>
      </c>
      <c r="CD359" s="560">
        <f t="shared" si="608"/>
        <v>0</v>
      </c>
      <c r="CE359" s="560">
        <f t="shared" si="609"/>
        <v>2.5</v>
      </c>
      <c r="CF359" s="560">
        <f t="shared" si="610"/>
        <v>2.4893822393822389</v>
      </c>
      <c r="CG359" s="560">
        <f>IF(Sheet1!EQ361="CWA",SUM(Sheet1!BC361:'Sheet1'!BF361),0)</f>
        <v>0</v>
      </c>
      <c r="CH359" s="560">
        <f>IF(OR(Sheet1!EQ361="FM", Sheet1!EQ361="OTHER"),SUM(Sheet1!BC361:'Sheet1'!BF361),0)</f>
        <v>0</v>
      </c>
      <c r="CI359" s="545">
        <f>IF(AND($B359&gt;=$FV359,$B359&lt;=$FW359),MAX(CF359,Sheet1!EJ361,0),MAX(CF359-(7/36)*$K359,0))</f>
        <v>0</v>
      </c>
      <c r="CJ359" s="560">
        <f t="shared" si="611"/>
        <v>0</v>
      </c>
      <c r="CK359" s="545">
        <f t="shared" si="612"/>
        <v>2.4893822393822389</v>
      </c>
      <c r="CL359" s="545">
        <f>IF(AND($O359&gt;0,Sheet1!EN361=1),(1-($O359-Sheet1!$L361)/$O359)*CF359,0)</f>
        <v>0</v>
      </c>
      <c r="CM359" s="545">
        <f>IF(AND(Sheet1!$L361=0,Sheet1!$L360=0, Calculation!CE359&lt;Sheet1!EJ361-0.1,Sheet1!EJ361=Sheet1!EJ360,Sheet1!EJ361=Sheet1!EJ362),Sheet1!EJ361,CF359-CL359)</f>
        <v>2.4893822393822389</v>
      </c>
      <c r="CN359" s="545"/>
      <c r="CO359" s="560"/>
      <c r="CP359" s="560">
        <f t="shared" si="613"/>
        <v>0</v>
      </c>
      <c r="CQ359" s="560"/>
      <c r="CR359" s="560">
        <f ca="1">IF(B359&gt;Summary!$A$1,#N/A,CP359*MGtoAF)</f>
        <v>0</v>
      </c>
      <c r="CS359" s="560">
        <f>Sheet1!BK361+Sheet1!BL361+Sheet1!BM361-Sheet1!ER361-DA359</f>
        <v>6.4</v>
      </c>
      <c r="CT359" s="560">
        <f t="shared" si="614"/>
        <v>6.3728185328185312</v>
      </c>
      <c r="CU359" s="560">
        <f>IF(Sheet1!ER361="FM",DA359,0)</f>
        <v>0</v>
      </c>
      <c r="CV359" s="560">
        <f t="shared" si="615"/>
        <v>0</v>
      </c>
      <c r="CW359" s="560">
        <f>IF(Sheet1!ER361="OTHER",DA359,0)</f>
        <v>0</v>
      </c>
      <c r="CX359" s="560">
        <f t="shared" si="616"/>
        <v>0</v>
      </c>
      <c r="CY359" s="560">
        <f t="shared" si="617"/>
        <v>6.4</v>
      </c>
      <c r="CZ359" s="560">
        <f t="shared" si="618"/>
        <v>6.3728185328185312</v>
      </c>
      <c r="DA359" s="560">
        <f>IF(OR(Sheet1!ER361="FM", Sheet1!ER361="OTHER"),SUM(Sheet1!BK361:'Sheet1'!BM361),0)</f>
        <v>0</v>
      </c>
      <c r="DB359" s="545">
        <f>IF(AND($B359&gt;=$FV359,$B359&lt;=$FW359),MAX($CT359,Sheet1!EK361,0),MAX($CT359-(7/36)*$K359,0))</f>
        <v>0</v>
      </c>
      <c r="DC359" s="560">
        <f t="shared" si="619"/>
        <v>0</v>
      </c>
      <c r="DD359" s="545">
        <f t="shared" si="620"/>
        <v>6.3728185328185312</v>
      </c>
      <c r="DE359" s="545">
        <f>IF(AND($O359&gt;0,Sheet1!EO361=1),(1-($O359-Sheet1!$L361)/$O359)*CZ359,0)</f>
        <v>0</v>
      </c>
      <c r="DF359" s="545">
        <f>IF(AND(Sheet1!$L361=0,Sheet1!$L360=0, Calculation!CY359&lt;Sheet1!$EK361-0.1,Sheet1!$EK361=Sheet1!$EK360,Sheet1!$EK361=Sheet1!$EK362),Sheet1!$EK361,CZ359-DE359)</f>
        <v>6.3728185328185312</v>
      </c>
      <c r="DG359" s="545"/>
      <c r="DH359" s="560">
        <f t="shared" si="621"/>
        <v>8.9</v>
      </c>
      <c r="DI359" s="560">
        <f t="shared" si="622"/>
        <v>0</v>
      </c>
      <c r="DJ359" s="698">
        <f t="shared" si="623"/>
        <v>8.8622007722007705</v>
      </c>
      <c r="DK359" s="560">
        <f ca="1">IF(B359&gt;Summary!$A$1,#N/A,DI359*MGtoAF)</f>
        <v>0</v>
      </c>
      <c r="DL359" s="698">
        <f t="shared" si="624"/>
        <v>8.9</v>
      </c>
      <c r="DM359" s="560">
        <f t="shared" si="625"/>
        <v>26.010000000000005</v>
      </c>
      <c r="DN359" s="560">
        <f>Sheet1!AB361-DM359</f>
        <v>-0.11000000000000654</v>
      </c>
      <c r="DO359" s="1076">
        <f>IF(DM359=0,0,DN359/Sheet1!AB361)</f>
        <v>-4.2471042471044999E-3</v>
      </c>
      <c r="DP359" s="560">
        <f>(VLOOKUP(Sheet1!DC361,hhdcap_wcm,4)-(((VLOOKUP(Sheet1!DC361,hhdcap_wcm,3)-Sheet1!DC361)/(VLOOKUP(Sheet1!DC361,hhdcap_wcm,3)-VLOOKUP(Sheet1!DC361,hhdcap_wcm,1)))*(VLOOKUP(Sheet1!DC361,hhdcap_wcm,4)-VLOOKUP(Sheet1!DC361,hhdcap_wcm,2))))</f>
        <v>1626.5000000042292</v>
      </c>
      <c r="DQ359" s="560">
        <f t="shared" si="627"/>
        <v>161.5000000004411</v>
      </c>
      <c r="DR359" s="560">
        <f t="shared" si="628"/>
        <v>81.442259203449865</v>
      </c>
      <c r="DS359" s="560">
        <f>Sheet1!EA361*AFtoMG</f>
        <v>0</v>
      </c>
      <c r="DT359" s="560">
        <f>Sheet1!EB361*AFtoMG</f>
        <v>0</v>
      </c>
      <c r="DU359" s="560">
        <f>Sheet1!EC361*AFtoMG</f>
        <v>0</v>
      </c>
      <c r="DV359" s="560">
        <f>Sheet1!ED361*AFtoMG</f>
        <v>0</v>
      </c>
      <c r="DW359" s="560">
        <f t="shared" si="629"/>
        <v>0</v>
      </c>
      <c r="DX359" s="560">
        <f t="shared" si="630"/>
        <v>0</v>
      </c>
      <c r="DY359" s="560">
        <f t="shared" si="631"/>
        <v>0</v>
      </c>
      <c r="DZ359" s="560">
        <f t="shared" si="632"/>
        <v>0</v>
      </c>
      <c r="EA359" s="560"/>
      <c r="EB359" s="545">
        <f>IF(OR(B359&lt;FV359,B359&gt;FW359),(MIN(BF359+BY359+CT359+MAX(Sheet1!AA361+AQ359-73,0),K359)),0)</f>
        <v>8.8622007722007705</v>
      </c>
      <c r="EC359" s="560"/>
      <c r="ED359" s="560">
        <f t="shared" si="633"/>
        <v>8.8622007722007705</v>
      </c>
      <c r="EE359" s="560"/>
      <c r="EF359" s="560">
        <f>Sheet1!EH361+Sheet1!EI361+Sheet1!EJ361+Sheet1!EK361</f>
        <v>9</v>
      </c>
      <c r="EG359" s="560"/>
      <c r="EH359" s="545">
        <f t="shared" si="634"/>
        <v>0</v>
      </c>
      <c r="EI359" s="560">
        <f>IF(Sheet1!ET361=1,SUM('Calculations II'!AT359:BA359)+'Calculations II'!BC359+Sheet1!BV361+'Calculations II'!BE359+AP359,SUM('Calculations II'!AT359:BA359)+'Calculations II'!BC359+Sheet1!BV361+'Calculations II'!BE359+AP359)</f>
        <v>49.302336000000011</v>
      </c>
      <c r="EJ359" s="560">
        <f>Sheet1!AA361+Sheet1!AB361+'Calculations II'!BC359</f>
        <v>50.099999999999994</v>
      </c>
      <c r="EK359" s="560"/>
      <c r="EL359" s="560"/>
      <c r="EM359" s="560">
        <f t="shared" si="635"/>
        <v>41987</v>
      </c>
      <c r="EN359" s="560">
        <f t="shared" si="636"/>
        <v>0</v>
      </c>
      <c r="EO359" s="560">
        <f t="shared" si="637"/>
        <v>0</v>
      </c>
      <c r="EP359" s="560">
        <v>0</v>
      </c>
      <c r="EQ359" s="560">
        <v>0</v>
      </c>
      <c r="ER359" s="560">
        <v>0</v>
      </c>
      <c r="ES359" s="545">
        <f t="shared" si="660"/>
        <v>2.6299548644427846</v>
      </c>
      <c r="ET359" s="560">
        <f>-(VLOOKUP(Sheet1!BQ361,Lookup!$O$4:$Q$262,2)-VLOOKUP(Sheet1!BQ360,Lookup!$O$4:$Q$262,2))/1000000</f>
        <v>1.3841109019212163</v>
      </c>
      <c r="EU359" s="560">
        <f>-(VLOOKUP(Sheet1!BR361,Lookup!$O$4:$Q$262,3)-VLOOKUP(Sheet1!BR360,Lookup!$O$4:$Q$262,3))/1000000</f>
        <v>1.245843962521568</v>
      </c>
      <c r="EV359" s="560"/>
      <c r="EW359" s="560"/>
      <c r="EX359" s="560"/>
      <c r="EY359" s="560"/>
      <c r="EZ359" s="560"/>
      <c r="FA359" s="560"/>
      <c r="FB359" s="560"/>
      <c r="FC359" s="560"/>
      <c r="FD359" s="594" t="e">
        <f t="shared" si="638"/>
        <v>#N/A</v>
      </c>
      <c r="FE359" s="594" t="e">
        <f t="shared" si="639"/>
        <v>#N/A</v>
      </c>
      <c r="FF359" s="595" t="e">
        <f t="shared" si="640"/>
        <v>#N/A</v>
      </c>
      <c r="FG359" s="596" t="s">
        <v>692</v>
      </c>
      <c r="FH359" s="596" t="s">
        <v>692</v>
      </c>
      <c r="FI359" s="594" t="e">
        <v>#N/A</v>
      </c>
      <c r="FJ359" s="594" t="e">
        <v>#N/A</v>
      </c>
      <c r="FK359" s="560"/>
      <c r="FL359" s="560"/>
      <c r="FM359" s="560"/>
      <c r="FN359" s="560"/>
      <c r="FO359" s="560">
        <f>O359+((Sheet1!CS361)*GPMtoMGD)</f>
        <v>50.099999999999994</v>
      </c>
      <c r="FP359" s="560">
        <f>IF(Sheet1!AA361+AQ359&lt;=Calculation!N359,AQ359,Calculation!N359-Sheet1!AA361)</f>
        <v>16.031621621621618</v>
      </c>
      <c r="FQ359" s="560">
        <f>(Sheet1!BP361+Sheet1!BO361)/694.4</f>
        <v>1.0868375576036868</v>
      </c>
      <c r="FR359" s="560"/>
      <c r="FS359" s="560"/>
      <c r="FT359" s="560"/>
      <c r="FU359" s="560"/>
      <c r="FV359" s="695">
        <f t="shared" si="661"/>
        <v>41827</v>
      </c>
      <c r="FW359" s="695">
        <f t="shared" si="662"/>
        <v>41934</v>
      </c>
      <c r="FX359" s="560"/>
      <c r="FY359" s="560"/>
      <c r="FZ359" s="560"/>
      <c r="GA359" s="560"/>
      <c r="GB359" s="560" t="str">
        <f t="shared" si="663"/>
        <v>n</v>
      </c>
      <c r="GC359" s="564">
        <f t="shared" si="664"/>
        <v>41691</v>
      </c>
      <c r="GD359" s="695">
        <f t="shared" si="665"/>
        <v>41807</v>
      </c>
      <c r="GE359" s="560">
        <v>6518.9</v>
      </c>
      <c r="GF359" s="695">
        <f t="shared" si="666"/>
        <v>41808</v>
      </c>
      <c r="GG359" s="560">
        <f t="shared" si="686"/>
        <v>3259</v>
      </c>
      <c r="GH359" s="564">
        <f t="shared" si="667"/>
        <v>41934</v>
      </c>
      <c r="GJ359" s="545">
        <f t="shared" si="668"/>
        <v>0</v>
      </c>
      <c r="GK359" s="560" t="str">
        <f t="shared" si="641"/>
        <v/>
      </c>
      <c r="GL359" s="560">
        <f t="shared" si="669"/>
        <v>0</v>
      </c>
      <c r="GM359" s="560" t="str">
        <f t="shared" si="670"/>
        <v/>
      </c>
      <c r="GN359" s="560">
        <f>IF(GK359="P",Lookup!$M$12,IF(GK359="PP",Lookup!$M$13,IF(GK359="PPP",Lookup!$M$14,IF(GK359="T",Lookup!$M$15,IF(GK359="TP",Lookup!$M$16,IF(GK359="TPP",Lookup!$M$17,IF(GK359="TPPP",Lookup!$M$18,0)))))))*GJ359</f>
        <v>0</v>
      </c>
      <c r="GO359" s="560">
        <f t="shared" si="671"/>
        <v>0</v>
      </c>
      <c r="GP359" s="560">
        <f t="shared" si="642"/>
        <v>0</v>
      </c>
      <c r="GQ359" s="560">
        <f t="shared" si="679"/>
        <v>0</v>
      </c>
      <c r="GR359" s="560"/>
      <c r="GS359" s="560">
        <f t="shared" si="672"/>
        <v>0</v>
      </c>
      <c r="GT359" s="560" t="str">
        <f t="shared" si="673"/>
        <v/>
      </c>
      <c r="GU359" s="560">
        <f>IF(GK359="P",Lookup!$N$12,IF(GK359="PP",Lookup!$N$13,IF(GK359="PPP",Lookup!$N$14,IF(GK359="T",Lookup!$N$15,IF(GK359="TP",Lookup!$N$16,IF(GK359="TPP",Lookup!$N$17,IF(GK359="TPPP",Lookup!$N$18,0)))))))*GJ359</f>
        <v>0</v>
      </c>
      <c r="GV359" s="560">
        <f t="shared" si="674"/>
        <v>0</v>
      </c>
      <c r="GW359" s="560">
        <f t="shared" si="643"/>
        <v>0</v>
      </c>
      <c r="GX359" s="560">
        <f t="shared" si="680"/>
        <v>0</v>
      </c>
      <c r="GY359" s="560"/>
      <c r="GZ359" s="560">
        <f t="shared" si="675"/>
        <v>0</v>
      </c>
      <c r="HA359" s="560" t="str">
        <f t="shared" si="676"/>
        <v/>
      </c>
      <c r="HB359" s="560">
        <f>IF(GK359="P",Lookup!$N$12,IF(GK359="PP",Lookup!$N$13,IF(GK359="PPP",Lookup!$N$14,IF(GK359="T",Lookup!$N$15,IF(GK359="TP",Lookup!$N$16,IF(GK359="TPP",Lookup!$N$17,IF(GK359="TPPP",Lookup!$N$18,0)))))))*GJ359</f>
        <v>0</v>
      </c>
      <c r="HC359" s="545">
        <f t="shared" si="644"/>
        <v>0</v>
      </c>
      <c r="HD359" s="560">
        <f t="shared" si="645"/>
        <v>0</v>
      </c>
      <c r="HE359" s="560">
        <f t="shared" si="681"/>
        <v>0</v>
      </c>
      <c r="HF359" s="560"/>
      <c r="HG359" s="560">
        <f t="shared" si="677"/>
        <v>0</v>
      </c>
      <c r="HH359" s="560" t="str">
        <f t="shared" si="678"/>
        <v/>
      </c>
      <c r="HI359" s="560">
        <f>IF(GK359="P",Lookup!$N$12,IF(GK359="PP",Lookup!$N$13,IF(GK359="PPP",Lookup!$N$14,IF(GK359="T",Lookup!$N$15,IF(GK359="TP",Lookup!$N$16,IF(GK359="TPP",Lookup!$N$17,IF(GK359="TPPP",Lookup!$N$18,0)))))))*GJ359</f>
        <v>0</v>
      </c>
      <c r="HJ359" s="545">
        <f t="shared" si="646"/>
        <v>0</v>
      </c>
      <c r="HK359" s="560">
        <f t="shared" si="647"/>
        <v>0</v>
      </c>
      <c r="HL359" s="560">
        <f t="shared" si="682"/>
        <v>0</v>
      </c>
    </row>
    <row r="360" spans="1:220">
      <c r="A360" s="580" t="s">
        <v>4</v>
      </c>
      <c r="B360" s="556">
        <v>41988</v>
      </c>
      <c r="C360" s="561">
        <v>0</v>
      </c>
      <c r="D360" s="529">
        <f t="shared" si="684"/>
        <v>300</v>
      </c>
      <c r="E360" s="529">
        <f t="shared" si="685"/>
        <v>250</v>
      </c>
      <c r="F360" s="529">
        <v>250</v>
      </c>
      <c r="G360" s="560">
        <f>DR360+Sheet1!CZ362</f>
        <v>940.24205748858481</v>
      </c>
      <c r="H360" s="914">
        <f t="shared" si="650"/>
        <v>340.80926596062119</v>
      </c>
      <c r="I360" s="559">
        <f>MAX(Sheet1!Z362-AT360+(Sheet1!DA362-E360)*CFStoMGD,0)</f>
        <v>739.67199999999991</v>
      </c>
      <c r="J360" s="562">
        <f>IF(AND(B360&gt;=Calculation!GC360,B360&lt;=Calculation!GD360),IF(Sheet1!DB362&gt;=Calculation!D360,64.64,0),MAX(Sheet1!Z362-AT360+(Sheet1!DB362-D360)*CFStoMGD,0))</f>
        <v>442.32799999999997</v>
      </c>
      <c r="K360" s="904">
        <f t="shared" si="583"/>
        <v>64.64</v>
      </c>
      <c r="L360" s="560">
        <f>Sheet1!AA362+Sheet1!AB362-Sheet1!L362+(Sheet1!DA362-F360)*CFStoMGD</f>
        <v>764.28199999999947</v>
      </c>
      <c r="M360" s="560">
        <f t="shared" si="584"/>
        <v>619.92791527983366</v>
      </c>
      <c r="N360" s="910">
        <f>IF(Sheet1!DA362&gt;=F360,MIN(73,MIN(MAX(L360,0),MAX(M360,0))),0)</f>
        <v>73</v>
      </c>
      <c r="O360" s="563">
        <f>Sheet1!AA362+Sheet1!AB362</f>
        <v>50.03</v>
      </c>
      <c r="P360" s="563">
        <f t="shared" si="585"/>
        <v>77.396409999999989</v>
      </c>
      <c r="Q360" s="898">
        <f t="shared" si="651"/>
        <v>0</v>
      </c>
      <c r="R360" s="829">
        <f t="shared" si="586"/>
        <v>8.94725915392819</v>
      </c>
      <c r="S360" s="698">
        <f t="shared" si="683"/>
        <v>50.03</v>
      </c>
      <c r="T360" s="898">
        <f t="shared" si="652"/>
        <v>0</v>
      </c>
      <c r="U360" s="898">
        <f t="shared" si="653"/>
        <v>0</v>
      </c>
      <c r="V360" s="898"/>
      <c r="W360" s="898">
        <f t="shared" si="654"/>
        <v>55.692740846071814</v>
      </c>
      <c r="X360" s="898">
        <f t="shared" si="655"/>
        <v>50.03</v>
      </c>
      <c r="Y360" s="898" t="str">
        <f t="shared" si="656"/>
        <v/>
      </c>
      <c r="Z360" s="898">
        <f t="shared" si="657"/>
        <v>50.03</v>
      </c>
      <c r="AA360" s="898">
        <f t="shared" si="658"/>
        <v>50.03</v>
      </c>
      <c r="AB360" s="898" t="str">
        <f t="shared" si="659"/>
        <v/>
      </c>
      <c r="AC360" s="563">
        <f>Sheet1!Y362*MGDtoCFS</f>
        <v>37.437399999999997</v>
      </c>
      <c r="AD360" s="563">
        <f>Sheet1!Z362*MGDtoCFS</f>
        <v>39.293799999999997</v>
      </c>
      <c r="AE360" s="563">
        <f>Sheet1!AA362*MGDtoCFS</f>
        <v>33.879299999999994</v>
      </c>
      <c r="AF360" s="563">
        <f>Sheet1!AB362*MGDtoCFS</f>
        <v>43.517109999999995</v>
      </c>
      <c r="AG360" s="563">
        <f>Sheet1!L362*MGDtoCFS</f>
        <v>3.0940000000675354E-2</v>
      </c>
      <c r="AH360" s="545">
        <f t="shared" si="587"/>
        <v>0</v>
      </c>
      <c r="AI360" s="560">
        <f t="shared" si="588"/>
        <v>0</v>
      </c>
      <c r="AJ360" s="560">
        <f t="shared" si="589"/>
        <v>0</v>
      </c>
      <c r="AK360" s="560">
        <f t="shared" si="590"/>
        <v>0</v>
      </c>
      <c r="AL360" s="560">
        <f>(VLOOKUP(Sheet1!DC362,hhdcap_wcm,4)-(((VLOOKUP(Sheet1!DC362,hhdcap_wcm,3)-Sheet1!DC362)/(VLOOKUP(Sheet1!DC362,hhdcap_wcm,3)-VLOOKUP(Sheet1!DC362,hhdcap_wcm,1)))*(VLOOKUP(Sheet1!DC362,hhdcap_wcm,4)-VLOOKUP(Sheet1!DC362,hhdcap_wcm,2))))</f>
        <v>1508.0000000040927</v>
      </c>
      <c r="AM360" s="560">
        <f t="shared" si="591"/>
        <v>-118.50000000013642</v>
      </c>
      <c r="AN360" s="560">
        <f t="shared" si="592"/>
        <v>0</v>
      </c>
      <c r="AO360" s="560">
        <f t="shared" si="593"/>
        <v>0</v>
      </c>
      <c r="AP360" s="560">
        <f>Sheet1!BA362+Sheet1!BB362+Sheet1!BN362+CD360</f>
        <v>19.21</v>
      </c>
      <c r="AQ360" s="560">
        <f>Sheet1!BN362+(DO360*Sheet1!BN362)</f>
        <v>18.174120156416635</v>
      </c>
      <c r="AR360" s="560">
        <f>Sheet1!BA362+CD360</f>
        <v>0</v>
      </c>
      <c r="AS360" s="560">
        <f>Sheet1!BA362+Sheet1!BB362+CD360</f>
        <v>1.01</v>
      </c>
      <c r="AT360" s="698">
        <f>0</f>
        <v>0</v>
      </c>
      <c r="AU360" s="560">
        <f>IF(EB360&lt;K360,0,MAX(Sheet1!AA362+AQ360-15/36*K360-N360,Sheet1!EH362,0))</f>
        <v>0</v>
      </c>
      <c r="AV360" s="560">
        <f>IF(OR(B360&gt;=GD360,B360&lt;GC360),0,15/36*K360-MAX(0,64.6-(137.6-(Sheet1!AA362+Sheet1!AB362))))</f>
        <v>0</v>
      </c>
      <c r="AW360" s="698">
        <f>Sheet1!DB362-110</f>
        <v>835</v>
      </c>
      <c r="AX360" s="698">
        <f>Sheet1!DA362-265</f>
        <v>1090</v>
      </c>
      <c r="AY360" s="698">
        <f t="shared" si="594"/>
        <v>73</v>
      </c>
      <c r="AZ360" s="698">
        <v>0</v>
      </c>
      <c r="BA360" s="698">
        <f t="shared" si="595"/>
        <v>0</v>
      </c>
      <c r="BB360" s="560">
        <f t="shared" si="596"/>
        <v>0</v>
      </c>
      <c r="BC360" s="560"/>
      <c r="BD360" s="560">
        <f ca="1">IF(B360&gt;Summary!$A$1,#N/A,BB360*MGtoAF)</f>
        <v>0</v>
      </c>
      <c r="BE360" s="560">
        <f>Sheet1!BG362+Sheet1!BH362+Sheet1!BI362-BM360</f>
        <v>0</v>
      </c>
      <c r="BF360" s="560">
        <f t="shared" si="597"/>
        <v>0</v>
      </c>
      <c r="BG360" s="560">
        <f>IF(Sheet1!EP362="FM",BM360,0)</f>
        <v>0</v>
      </c>
      <c r="BH360" s="560">
        <f t="shared" si="598"/>
        <v>0</v>
      </c>
      <c r="BI360" s="560">
        <f>IF(Sheet1!EP362="OTHER",BM360,0)</f>
        <v>0</v>
      </c>
      <c r="BJ360" s="560">
        <f t="shared" si="599"/>
        <v>0</v>
      </c>
      <c r="BK360" s="560">
        <f t="shared" si="600"/>
        <v>0</v>
      </c>
      <c r="BL360" s="560">
        <f t="shared" si="601"/>
        <v>0</v>
      </c>
      <c r="BM360" s="560">
        <f>IF(OR(Sheet1!EP362="FM", Sheet1!EP362="OTHER"),SUM(Sheet1!BG362:'Sheet1'!BI362),0)</f>
        <v>0</v>
      </c>
      <c r="BN360" s="545">
        <f>IF(AND($B360&gt;=$FV360,$B360&lt;=$FW360),MAX(BF360,Sheet1!EI362,0),MAX(BF360-(7/36)*$K360,0))</f>
        <v>0</v>
      </c>
      <c r="BO360" s="560">
        <f t="shared" si="602"/>
        <v>0</v>
      </c>
      <c r="BP360" s="545">
        <f t="shared" si="603"/>
        <v>0</v>
      </c>
      <c r="BQ360" s="545">
        <f>IF(AND($O360&gt;0,Sheet1!EM362=1),(1-($O360-Sheet1!$L362)/$O360)*BL360,0)</f>
        <v>0</v>
      </c>
      <c r="BR360" s="545">
        <f>IF(AND(Sheet1!$L362=0,Sheet1!$L361=0, Calculation!BK360&lt;Sheet1!$EI362-0.1,Sheet1!$EI362=Sheet1!$EI361,Sheet1!$EI362=Sheet1!$EI363),Sheet1!$EI362,BL360-BQ360)</f>
        <v>0</v>
      </c>
      <c r="BS360" s="560"/>
      <c r="BT360" s="560"/>
      <c r="BU360" s="560">
        <f t="shared" si="604"/>
        <v>0</v>
      </c>
      <c r="BV360" s="560"/>
      <c r="BW360" s="560">
        <f ca="1">IF(B360&gt;Summary!$A$1,#N/A,BU360*MGtoAF)</f>
        <v>0</v>
      </c>
      <c r="BX360" s="560">
        <f>Sheet1!BC362+Sheet1!BD362+Sheet1!BE362+Sheet1!BF362-CG360-CH360</f>
        <v>2.46</v>
      </c>
      <c r="BY360" s="560">
        <f t="shared" si="605"/>
        <v>2.4565019552079628</v>
      </c>
      <c r="BZ360" s="560">
        <f>IF(Sheet1!EQ362="FM",CH360,0)</f>
        <v>0</v>
      </c>
      <c r="CA360" s="560">
        <f t="shared" si="606"/>
        <v>0</v>
      </c>
      <c r="CB360" s="560">
        <f>IF(Sheet1!EQ362="OTHER",CH360,0)</f>
        <v>0</v>
      </c>
      <c r="CC360" s="560">
        <f t="shared" si="607"/>
        <v>0</v>
      </c>
      <c r="CD360" s="560">
        <f t="shared" si="608"/>
        <v>0</v>
      </c>
      <c r="CE360" s="560">
        <f t="shared" si="609"/>
        <v>2.46</v>
      </c>
      <c r="CF360" s="560">
        <f t="shared" si="610"/>
        <v>2.4565019552079628</v>
      </c>
      <c r="CG360" s="560">
        <f>IF(Sheet1!EQ362="CWA",SUM(Sheet1!BC362:'Sheet1'!BF362),0)</f>
        <v>0</v>
      </c>
      <c r="CH360" s="560">
        <f>IF(OR(Sheet1!EQ362="FM", Sheet1!EQ362="OTHER"),SUM(Sheet1!BC362:'Sheet1'!BF362),0)</f>
        <v>0</v>
      </c>
      <c r="CI360" s="545">
        <f>IF(AND($B360&gt;=$FV360,$B360&lt;=$FW360),MAX(CF360,Sheet1!EJ362,0),MAX(CF360-(7/36)*$K360,0))</f>
        <v>0</v>
      </c>
      <c r="CJ360" s="560">
        <f t="shared" si="611"/>
        <v>0</v>
      </c>
      <c r="CK360" s="545">
        <f t="shared" si="612"/>
        <v>2.4565019552079628</v>
      </c>
      <c r="CL360" s="545">
        <f>IF(AND($O360&gt;0,Sheet1!EN362=1),(1-($O360-Sheet1!$L362)/$O360)*CF360,0)</f>
        <v>0</v>
      </c>
      <c r="CM360" s="545">
        <f>IF(AND(Sheet1!$L362=0,Sheet1!$L361=0, Calculation!CE360&lt;Sheet1!EJ362-0.1,Sheet1!EJ362=Sheet1!EJ361,Sheet1!EJ362=Sheet1!EJ363),Sheet1!EJ362,CF360-CL360)</f>
        <v>2.4565019552079628</v>
      </c>
      <c r="CN360" s="545"/>
      <c r="CO360" s="560"/>
      <c r="CP360" s="560">
        <f t="shared" si="613"/>
        <v>0</v>
      </c>
      <c r="CQ360" s="560"/>
      <c r="CR360" s="560">
        <f ca="1">IF(B360&gt;Summary!$A$1,#N/A,CP360*MGtoAF)</f>
        <v>0</v>
      </c>
      <c r="CS360" s="560">
        <f>Sheet1!BK362+Sheet1!BL362+Sheet1!BM362-Sheet1!ER362-DA360</f>
        <v>6.5</v>
      </c>
      <c r="CT360" s="560">
        <f t="shared" si="614"/>
        <v>6.4907571987202273</v>
      </c>
      <c r="CU360" s="560">
        <f>IF(Sheet1!ER362="FM",DA360,0)</f>
        <v>0</v>
      </c>
      <c r="CV360" s="560">
        <f t="shared" si="615"/>
        <v>0</v>
      </c>
      <c r="CW360" s="560">
        <f>IF(Sheet1!ER362="OTHER",DA360,0)</f>
        <v>0</v>
      </c>
      <c r="CX360" s="560">
        <f t="shared" si="616"/>
        <v>0</v>
      </c>
      <c r="CY360" s="560">
        <f t="shared" si="617"/>
        <v>6.5</v>
      </c>
      <c r="CZ360" s="560">
        <f t="shared" si="618"/>
        <v>6.4907571987202273</v>
      </c>
      <c r="DA360" s="560">
        <f>IF(OR(Sheet1!ER362="FM", Sheet1!ER362="OTHER"),SUM(Sheet1!BK362:'Sheet1'!BM362),0)</f>
        <v>0</v>
      </c>
      <c r="DB360" s="545">
        <f>IF(AND($B360&gt;=$FV360,$B360&lt;=$FW360),MAX($CT360,Sheet1!EK362,0),MAX($CT360-(7/36)*$K360,0))</f>
        <v>0</v>
      </c>
      <c r="DC360" s="560">
        <f t="shared" si="619"/>
        <v>0</v>
      </c>
      <c r="DD360" s="545">
        <f t="shared" si="620"/>
        <v>6.4907571987202273</v>
      </c>
      <c r="DE360" s="545">
        <f>IF(AND($O360&gt;0,Sheet1!EO362=1),(1-($O360-Sheet1!$L362)/$O360)*CZ360,0)</f>
        <v>0</v>
      </c>
      <c r="DF360" s="545">
        <f>IF(AND(Sheet1!$L362=0,Sheet1!$L361=0, Calculation!CY360&lt;Sheet1!$EK362-0.1,Sheet1!$EK362=Sheet1!$EK361,Sheet1!$EK362=Sheet1!$EK363),Sheet1!$EK362,CZ360-DE360)</f>
        <v>6.4907571987202273</v>
      </c>
      <c r="DG360" s="545"/>
      <c r="DH360" s="560">
        <f t="shared" si="621"/>
        <v>8.9600000000000009</v>
      </c>
      <c r="DI360" s="560">
        <f t="shared" si="622"/>
        <v>0</v>
      </c>
      <c r="DJ360" s="698">
        <f t="shared" si="623"/>
        <v>8.94725915392819</v>
      </c>
      <c r="DK360" s="560">
        <f ca="1">IF(B360&gt;Summary!$A$1,#N/A,DI360*MGtoAF)</f>
        <v>0</v>
      </c>
      <c r="DL360" s="698">
        <f t="shared" si="624"/>
        <v>8.9600000000000009</v>
      </c>
      <c r="DM360" s="560">
        <f t="shared" si="625"/>
        <v>28.17</v>
      </c>
      <c r="DN360" s="560">
        <f>Sheet1!AB362-DM360</f>
        <v>-4.00000000000027E-2</v>
      </c>
      <c r="DO360" s="1076">
        <f>IF(DM360=0,0,DN360/Sheet1!AB362)</f>
        <v>-1.4219694276574014E-3</v>
      </c>
      <c r="DP360" s="560">
        <f>(VLOOKUP(Sheet1!DC362,hhdcap_wcm,4)-(((VLOOKUP(Sheet1!DC362,hhdcap_wcm,3)-Sheet1!DC362)/(VLOOKUP(Sheet1!DC362,hhdcap_wcm,3)-VLOOKUP(Sheet1!DC362,hhdcap_wcm,1)))*(VLOOKUP(Sheet1!DC362,hhdcap_wcm,4)-VLOOKUP(Sheet1!DC362,hhdcap_wcm,2))))</f>
        <v>1508.0000000040927</v>
      </c>
      <c r="DQ360" s="560">
        <f t="shared" si="627"/>
        <v>-118.50000000013642</v>
      </c>
      <c r="DR360" s="560">
        <f t="shared" si="628"/>
        <v>-59.75794251141523</v>
      </c>
      <c r="DS360" s="560">
        <f>Sheet1!EA362*AFtoMG</f>
        <v>0</v>
      </c>
      <c r="DT360" s="560">
        <f>Sheet1!EB362*AFtoMG</f>
        <v>0</v>
      </c>
      <c r="DU360" s="560">
        <f>Sheet1!EC362*AFtoMG</f>
        <v>0</v>
      </c>
      <c r="DV360" s="560">
        <f>Sheet1!ED362*AFtoMG</f>
        <v>0</v>
      </c>
      <c r="DW360" s="560">
        <f t="shared" si="629"/>
        <v>0</v>
      </c>
      <c r="DX360" s="560">
        <f t="shared" si="630"/>
        <v>0</v>
      </c>
      <c r="DY360" s="560">
        <f t="shared" si="631"/>
        <v>0</v>
      </c>
      <c r="DZ360" s="560">
        <f t="shared" si="632"/>
        <v>0</v>
      </c>
      <c r="EA360" s="560"/>
      <c r="EB360" s="545">
        <f>IF(OR(B360&lt;FV360,B360&gt;FW360),(MIN(BF360+BY360+CT360+MAX(Sheet1!AA362+AQ360-73,0),K360)),0)</f>
        <v>8.94725915392819</v>
      </c>
      <c r="EC360" s="560"/>
      <c r="ED360" s="560">
        <f t="shared" si="633"/>
        <v>8.94725915392819</v>
      </c>
      <c r="EE360" s="560"/>
      <c r="EF360" s="560">
        <f>Sheet1!EH362+Sheet1!EI362+Sheet1!EJ362+Sheet1!EK362</f>
        <v>9</v>
      </c>
      <c r="EG360" s="560"/>
      <c r="EH360" s="545">
        <f t="shared" si="634"/>
        <v>0</v>
      </c>
      <c r="EI360" s="560">
        <f>IF(Sheet1!ET362=1,SUM('Calculations II'!AT360:BA360)+'Calculations II'!BC360+Sheet1!BV362+'Calculations II'!BE360+AP360,SUM('Calculations II'!AT360:BA360)+'Calculations II'!BC360+Sheet1!BV362+'Calculations II'!BE360+AP360)</f>
        <v>54.548176000000005</v>
      </c>
      <c r="EJ360" s="560">
        <f>Sheet1!AA362+Sheet1!AB362+'Calculations II'!BC360</f>
        <v>50.03</v>
      </c>
      <c r="EK360" s="560"/>
      <c r="EL360" s="560"/>
      <c r="EM360" s="560">
        <f t="shared" si="635"/>
        <v>41988</v>
      </c>
      <c r="EN360" s="560">
        <f t="shared" si="636"/>
        <v>0</v>
      </c>
      <c r="EO360" s="560">
        <f t="shared" si="637"/>
        <v>0</v>
      </c>
      <c r="EP360" s="560">
        <v>0</v>
      </c>
      <c r="EQ360" s="560">
        <v>0</v>
      </c>
      <c r="ER360" s="560">
        <v>0</v>
      </c>
      <c r="ES360" s="545">
        <f t="shared" si="660"/>
        <v>8.1593657975795271</v>
      </c>
      <c r="ET360" s="560">
        <f>-(VLOOKUP(Sheet1!BQ362,Lookup!$O$4:$Q$262,2)-VLOOKUP(Sheet1!BQ361,Lookup!$O$4:$Q$262,2))/1000000</f>
        <v>4.0102996509129332</v>
      </c>
      <c r="EU360" s="560">
        <f>-(VLOOKUP(Sheet1!BR362,Lookup!$O$4:$Q$262,3)-VLOOKUP(Sheet1!BR361,Lookup!$O$4:$Q$262,3))/1000000</f>
        <v>4.1490661466665939</v>
      </c>
      <c r="EV360" s="560"/>
      <c r="EW360" s="560"/>
      <c r="EX360" s="560"/>
      <c r="EY360" s="560"/>
      <c r="EZ360" s="560"/>
      <c r="FA360" s="560"/>
      <c r="FB360" s="560"/>
      <c r="FC360" s="560"/>
      <c r="FD360" s="594" t="e">
        <f t="shared" si="638"/>
        <v>#N/A</v>
      </c>
      <c r="FE360" s="594" t="e">
        <f t="shared" si="639"/>
        <v>#N/A</v>
      </c>
      <c r="FF360" s="595" t="e">
        <f t="shared" si="640"/>
        <v>#N/A</v>
      </c>
      <c r="FG360" s="596" t="s">
        <v>692</v>
      </c>
      <c r="FH360" s="596" t="s">
        <v>692</v>
      </c>
      <c r="FI360" s="594" t="e">
        <v>#N/A</v>
      </c>
      <c r="FJ360" s="594" t="e">
        <v>#N/A</v>
      </c>
      <c r="FK360" s="560"/>
      <c r="FL360" s="560"/>
      <c r="FM360" s="560"/>
      <c r="FN360" s="560"/>
      <c r="FO360" s="560">
        <f>O360+((Sheet1!CS362)*GPMtoMGD)</f>
        <v>50.03</v>
      </c>
      <c r="FP360" s="560">
        <f>IF(Sheet1!AA362+AQ360&lt;=Calculation!N360,AQ360,Calculation!N360-Sheet1!AA362)</f>
        <v>18.174120156416635</v>
      </c>
      <c r="FQ360" s="560">
        <f>(Sheet1!BP362+Sheet1!BO362)/694.4</f>
        <v>2.9966877880184333</v>
      </c>
      <c r="FR360" s="560"/>
      <c r="FS360" s="560"/>
      <c r="FT360" s="560"/>
      <c r="FU360" s="560"/>
      <c r="FV360" s="695">
        <f t="shared" si="661"/>
        <v>41827</v>
      </c>
      <c r="FW360" s="695">
        <f t="shared" si="662"/>
        <v>41934</v>
      </c>
      <c r="FX360" s="560"/>
      <c r="FY360" s="560"/>
      <c r="FZ360" s="560"/>
      <c r="GA360" s="560"/>
      <c r="GB360" s="560" t="str">
        <f t="shared" si="663"/>
        <v>n</v>
      </c>
      <c r="GC360" s="564">
        <f t="shared" si="664"/>
        <v>41691</v>
      </c>
      <c r="GD360" s="695">
        <f t="shared" si="665"/>
        <v>41807</v>
      </c>
      <c r="GE360" s="560">
        <v>6518.9</v>
      </c>
      <c r="GF360" s="695">
        <f t="shared" si="666"/>
        <v>41808</v>
      </c>
      <c r="GG360" s="560">
        <f t="shared" si="686"/>
        <v>3259</v>
      </c>
      <c r="GH360" s="564">
        <f t="shared" si="667"/>
        <v>41934</v>
      </c>
      <c r="GJ360" s="545">
        <f t="shared" si="668"/>
        <v>0</v>
      </c>
      <c r="GK360" s="560" t="str">
        <f t="shared" si="641"/>
        <v/>
      </c>
      <c r="GL360" s="560">
        <f t="shared" si="669"/>
        <v>0</v>
      </c>
      <c r="GM360" s="560" t="str">
        <f t="shared" si="670"/>
        <v/>
      </c>
      <c r="GN360" s="560">
        <f>IF(GK360="P",Lookup!$M$12,IF(GK360="PP",Lookup!$M$13,IF(GK360="PPP",Lookup!$M$14,IF(GK360="T",Lookup!$M$15,IF(GK360="TP",Lookup!$M$16,IF(GK360="TPP",Lookup!$M$17,IF(GK360="TPPP",Lookup!$M$18,0)))))))*GJ360</f>
        <v>0</v>
      </c>
      <c r="GO360" s="560">
        <f t="shared" si="671"/>
        <v>0</v>
      </c>
      <c r="GP360" s="560">
        <f t="shared" si="642"/>
        <v>0</v>
      </c>
      <c r="GQ360" s="560">
        <f t="shared" si="679"/>
        <v>0</v>
      </c>
      <c r="GR360" s="560"/>
      <c r="GS360" s="560">
        <f t="shared" si="672"/>
        <v>0</v>
      </c>
      <c r="GT360" s="560" t="str">
        <f t="shared" si="673"/>
        <v/>
      </c>
      <c r="GU360" s="560">
        <f>IF(GK360="P",Lookup!$N$12,IF(GK360="PP",Lookup!$N$13,IF(GK360="PPP",Lookup!$N$14,IF(GK360="T",Lookup!$N$15,IF(GK360="TP",Lookup!$N$16,IF(GK360="TPP",Lookup!$N$17,IF(GK360="TPPP",Lookup!$N$18,0)))))))*GJ360</f>
        <v>0</v>
      </c>
      <c r="GV360" s="560">
        <f t="shared" si="674"/>
        <v>0</v>
      </c>
      <c r="GW360" s="560">
        <f t="shared" si="643"/>
        <v>0</v>
      </c>
      <c r="GX360" s="560">
        <f t="shared" si="680"/>
        <v>0</v>
      </c>
      <c r="GY360" s="560"/>
      <c r="GZ360" s="560">
        <f t="shared" si="675"/>
        <v>0</v>
      </c>
      <c r="HA360" s="560" t="str">
        <f t="shared" si="676"/>
        <v/>
      </c>
      <c r="HB360" s="560">
        <f>IF(GK360="P",Lookup!$N$12,IF(GK360="PP",Lookup!$N$13,IF(GK360="PPP",Lookup!$N$14,IF(GK360="T",Lookup!$N$15,IF(GK360="TP",Lookup!$N$16,IF(GK360="TPP",Lookup!$N$17,IF(GK360="TPPP",Lookup!$N$18,0)))))))*GJ360</f>
        <v>0</v>
      </c>
      <c r="HC360" s="545">
        <f t="shared" si="644"/>
        <v>0</v>
      </c>
      <c r="HD360" s="560">
        <f t="shared" si="645"/>
        <v>0</v>
      </c>
      <c r="HE360" s="560">
        <f t="shared" si="681"/>
        <v>0</v>
      </c>
      <c r="HF360" s="560"/>
      <c r="HG360" s="560">
        <f t="shared" si="677"/>
        <v>0</v>
      </c>
      <c r="HH360" s="560" t="str">
        <f t="shared" si="678"/>
        <v/>
      </c>
      <c r="HI360" s="560">
        <f>IF(GK360="P",Lookup!$N$12,IF(GK360="PP",Lookup!$N$13,IF(GK360="PPP",Lookup!$N$14,IF(GK360="T",Lookup!$N$15,IF(GK360="TP",Lookup!$N$16,IF(GK360="TPP",Lookup!$N$17,IF(GK360="TPPP",Lookup!$N$18,0)))))))*GJ360</f>
        <v>0</v>
      </c>
      <c r="HJ360" s="545">
        <f t="shared" si="646"/>
        <v>0</v>
      </c>
      <c r="HK360" s="560">
        <f t="shared" si="647"/>
        <v>0</v>
      </c>
      <c r="HL360" s="560">
        <f t="shared" si="682"/>
        <v>0</v>
      </c>
    </row>
    <row r="361" spans="1:220">
      <c r="A361" s="580" t="s">
        <v>5</v>
      </c>
      <c r="B361" s="556">
        <v>41989</v>
      </c>
      <c r="C361" s="561">
        <v>0</v>
      </c>
      <c r="D361" s="529">
        <f t="shared" si="684"/>
        <v>300</v>
      </c>
      <c r="E361" s="529">
        <f t="shared" si="685"/>
        <v>250</v>
      </c>
      <c r="F361" s="529">
        <v>250</v>
      </c>
      <c r="G361" s="560">
        <f>DR361+Sheet1!CZ363</f>
        <v>850.62531517859748</v>
      </c>
      <c r="H361" s="914">
        <f t="shared" si="650"/>
        <v>282.88100373144539</v>
      </c>
      <c r="I361" s="559">
        <f>MAX(Sheet1!Z363-AT361+(Sheet1!DA363-E361)*CFStoMGD,0)</f>
        <v>771.49</v>
      </c>
      <c r="J361" s="562">
        <f>IF(AND(B361&gt;=Calculation!GC361,B361&lt;=Calculation!GD361),IF(Sheet1!DB363&gt;=Calculation!D361,64.64,0),MAX(Sheet1!Z363-AT361+(Sheet1!DB363-D361)*CFStoMGD,0))</f>
        <v>460.57159999999999</v>
      </c>
      <c r="K361" s="904">
        <f t="shared" si="583"/>
        <v>64.64</v>
      </c>
      <c r="L361" s="560">
        <f>Sheet1!AA363+Sheet1!AB363-Sheet1!L363+(Sheet1!DA363-F361)*CFStoMGD</f>
        <v>796.42000000000007</v>
      </c>
      <c r="M361" s="560">
        <f t="shared" si="584"/>
        <v>560.84108780607437</v>
      </c>
      <c r="N361" s="910">
        <f>IF(Sheet1!DA363&gt;=F361,MIN(73,MIN(MAX(L361,0),MAX(M361,0))),0)</f>
        <v>73</v>
      </c>
      <c r="O361" s="563">
        <f>Sheet1!AA363+Sheet1!AB363</f>
        <v>53.06</v>
      </c>
      <c r="P361" s="563">
        <f t="shared" si="585"/>
        <v>82.083820000000003</v>
      </c>
      <c r="Q361" s="898">
        <f t="shared" si="651"/>
        <v>0</v>
      </c>
      <c r="R361" s="829">
        <f t="shared" si="586"/>
        <v>9.555761689291101</v>
      </c>
      <c r="S361" s="698">
        <f t="shared" si="683"/>
        <v>53.06</v>
      </c>
      <c r="T361" s="898">
        <f t="shared" si="652"/>
        <v>0</v>
      </c>
      <c r="U361" s="898">
        <f t="shared" si="653"/>
        <v>0</v>
      </c>
      <c r="V361" s="898"/>
      <c r="W361" s="898">
        <f t="shared" si="654"/>
        <v>55.084238310708898</v>
      </c>
      <c r="X361" s="898">
        <f t="shared" si="655"/>
        <v>53.06</v>
      </c>
      <c r="Y361" s="898" t="str">
        <f t="shared" si="656"/>
        <v/>
      </c>
      <c r="Z361" s="898">
        <f t="shared" si="657"/>
        <v>53.06</v>
      </c>
      <c r="AA361" s="898">
        <f t="shared" si="658"/>
        <v>53.06</v>
      </c>
      <c r="AB361" s="898" t="str">
        <f t="shared" si="659"/>
        <v/>
      </c>
      <c r="AC361" s="563">
        <f>Sheet1!Y363*MGDtoCFS</f>
        <v>33.879299999999994</v>
      </c>
      <c r="AD361" s="563">
        <f>Sheet1!Z363*MGDtoCFS</f>
        <v>43.517109999999995</v>
      </c>
      <c r="AE361" s="563">
        <f>Sheet1!AA363*MGDtoCFS</f>
        <v>30.769829999999999</v>
      </c>
      <c r="AF361" s="563">
        <f>Sheet1!AB363*MGDtoCFS</f>
        <v>51.313989999999997</v>
      </c>
      <c r="AG361" s="563">
        <f>Sheet1!L363*MGDtoCFS</f>
        <v>0</v>
      </c>
      <c r="AH361" s="545">
        <f t="shared" si="587"/>
        <v>0</v>
      </c>
      <c r="AI361" s="560">
        <f t="shared" si="588"/>
        <v>0</v>
      </c>
      <c r="AJ361" s="560">
        <f t="shared" si="589"/>
        <v>0</v>
      </c>
      <c r="AK361" s="560">
        <f t="shared" si="590"/>
        <v>0</v>
      </c>
      <c r="AL361" s="560">
        <f>(VLOOKUP(Sheet1!DC363,hhdcap_wcm,4)-(((VLOOKUP(Sheet1!DC363,hhdcap_wcm,3)-Sheet1!DC363)/(VLOOKUP(Sheet1!DC363,hhdcap_wcm,3)-VLOOKUP(Sheet1!DC363,hhdcap_wcm,1)))*(VLOOKUP(Sheet1!DC363,hhdcap_wcm,4)-VLOOKUP(Sheet1!DC363,hhdcap_wcm,2))))</f>
        <v>1152.3000000032514</v>
      </c>
      <c r="AM361" s="560">
        <f t="shared" si="591"/>
        <v>-355.70000000084133</v>
      </c>
      <c r="AN361" s="560">
        <f t="shared" si="592"/>
        <v>0</v>
      </c>
      <c r="AO361" s="560">
        <f t="shared" si="593"/>
        <v>0</v>
      </c>
      <c r="AP361" s="560">
        <f>Sheet1!BA363+Sheet1!BB363+Sheet1!BN363+CD361</f>
        <v>23.6</v>
      </c>
      <c r="AQ361" s="560">
        <f>Sheet1!BN363+(DO361*Sheet1!BN363)</f>
        <v>22.613634992458522</v>
      </c>
      <c r="AR361" s="560">
        <f>Sheet1!BA363+CD361</f>
        <v>0</v>
      </c>
      <c r="AS361" s="560">
        <f>Sheet1!BA363+Sheet1!BB363+CD361</f>
        <v>1</v>
      </c>
      <c r="AT361" s="698">
        <f>0</f>
        <v>0</v>
      </c>
      <c r="AU361" s="560">
        <f>IF(EB361&lt;K361,0,MAX(Sheet1!AA363+AQ361-15/36*K361-N361,Sheet1!EH363,0))</f>
        <v>0</v>
      </c>
      <c r="AV361" s="560">
        <f>IF(OR(B361&gt;=GD361,B361&lt;GC361),0,15/36*K361-MAX(0,64.6-(137.6-(Sheet1!AA363+Sheet1!AB363))))</f>
        <v>0</v>
      </c>
      <c r="AW361" s="698">
        <f>Sheet1!DB363-110</f>
        <v>859</v>
      </c>
      <c r="AX361" s="698">
        <f>Sheet1!DA363-265</f>
        <v>1135</v>
      </c>
      <c r="AY361" s="698">
        <f t="shared" si="594"/>
        <v>73</v>
      </c>
      <c r="AZ361" s="698">
        <v>0</v>
      </c>
      <c r="BA361" s="698">
        <f t="shared" si="595"/>
        <v>0</v>
      </c>
      <c r="BB361" s="560">
        <f t="shared" si="596"/>
        <v>0</v>
      </c>
      <c r="BC361" s="560"/>
      <c r="BD361" s="560">
        <f ca="1">IF(B361&gt;Summary!$A$1,#N/A,BB361*MGtoAF)</f>
        <v>0</v>
      </c>
      <c r="BE361" s="560">
        <f>Sheet1!BG363+Sheet1!BH363+Sheet1!BI363-BM361</f>
        <v>0</v>
      </c>
      <c r="BF361" s="560">
        <f t="shared" si="597"/>
        <v>0</v>
      </c>
      <c r="BG361" s="560">
        <f>IF(Sheet1!EP363="FM",BM361,0)</f>
        <v>0</v>
      </c>
      <c r="BH361" s="560">
        <f t="shared" si="598"/>
        <v>0</v>
      </c>
      <c r="BI361" s="560">
        <f>IF(Sheet1!EP363="OTHER",BM361,0)</f>
        <v>0</v>
      </c>
      <c r="BJ361" s="560">
        <f t="shared" si="599"/>
        <v>0</v>
      </c>
      <c r="BK361" s="560">
        <f t="shared" si="600"/>
        <v>0</v>
      </c>
      <c r="BL361" s="560">
        <f t="shared" si="601"/>
        <v>0</v>
      </c>
      <c r="BM361" s="560">
        <f>IF(OR(Sheet1!EP363="FM", Sheet1!EP363="OTHER"),SUM(Sheet1!BG363:'Sheet1'!BI363),0)</f>
        <v>0</v>
      </c>
      <c r="BN361" s="545">
        <f>IF(AND($B361&gt;=$FV361,$B361&lt;=$FW361),MAX(BF361,Sheet1!EI363,0),MAX(BF361-(7/36)*$K361,0))</f>
        <v>0</v>
      </c>
      <c r="BO361" s="560">
        <f t="shared" si="602"/>
        <v>0</v>
      </c>
      <c r="BP361" s="545">
        <f t="shared" si="603"/>
        <v>0</v>
      </c>
      <c r="BQ361" s="545">
        <f>IF(AND($O361&gt;0,Sheet1!EM363=1),(1-($O361-Sheet1!$L363)/$O361)*BL361,0)</f>
        <v>0</v>
      </c>
      <c r="BR361" s="545">
        <f>IF(AND(Sheet1!$L363=0,Sheet1!$L362=0, Calculation!BK361&lt;Sheet1!$EI363-0.1,Sheet1!$EI363=Sheet1!$EI362,Sheet1!$EI363=Sheet1!$EI364),Sheet1!$EI363,BL361-BQ361)</f>
        <v>0</v>
      </c>
      <c r="BS361" s="560"/>
      <c r="BT361" s="560"/>
      <c r="BU361" s="560">
        <f t="shared" si="604"/>
        <v>0</v>
      </c>
      <c r="BV361" s="560"/>
      <c r="BW361" s="560">
        <f ca="1">IF(B361&gt;Summary!$A$1,#N/A,BU361*MGtoAF)</f>
        <v>0</v>
      </c>
      <c r="BX361" s="560">
        <f>Sheet1!BC363+Sheet1!BD363+Sheet1!BE363+Sheet1!BF363-CG361-CH361</f>
        <v>2.48</v>
      </c>
      <c r="BY361" s="560">
        <f t="shared" si="605"/>
        <v>2.481496229260935</v>
      </c>
      <c r="BZ361" s="560">
        <f>IF(Sheet1!EQ363="FM",CH361,0)</f>
        <v>0</v>
      </c>
      <c r="CA361" s="560">
        <f t="shared" si="606"/>
        <v>0</v>
      </c>
      <c r="CB361" s="560">
        <f>IF(Sheet1!EQ363="OTHER",CH361,0)</f>
        <v>0</v>
      </c>
      <c r="CC361" s="560">
        <f t="shared" si="607"/>
        <v>0</v>
      </c>
      <c r="CD361" s="560">
        <f t="shared" si="608"/>
        <v>0</v>
      </c>
      <c r="CE361" s="560">
        <f t="shared" si="609"/>
        <v>2.48</v>
      </c>
      <c r="CF361" s="560">
        <f t="shared" si="610"/>
        <v>2.481496229260935</v>
      </c>
      <c r="CG361" s="560">
        <f>IF(Sheet1!EQ363="CWA",SUM(Sheet1!BC363:'Sheet1'!BF363),0)</f>
        <v>0</v>
      </c>
      <c r="CH361" s="560">
        <f>IF(OR(Sheet1!EQ363="FM", Sheet1!EQ363="OTHER"),SUM(Sheet1!BC363:'Sheet1'!BF363),0)</f>
        <v>0</v>
      </c>
      <c r="CI361" s="545">
        <f>IF(AND($B361&gt;=$FV361,$B361&lt;=$FW361),MAX(CF361,Sheet1!EJ363,0),MAX(CF361-(7/36)*$K361,0))</f>
        <v>0</v>
      </c>
      <c r="CJ361" s="560">
        <f t="shared" si="611"/>
        <v>0</v>
      </c>
      <c r="CK361" s="545">
        <f t="shared" si="612"/>
        <v>2.481496229260935</v>
      </c>
      <c r="CL361" s="545">
        <f>IF(AND($O361&gt;0,Sheet1!EN363=1),(1-($O361-Sheet1!$L363)/$O361)*CF361,0)</f>
        <v>0</v>
      </c>
      <c r="CM361" s="545">
        <f>IF(AND(Sheet1!$L363=0,Sheet1!$L362=0, Calculation!CE361&lt;Sheet1!EJ363-0.1,Sheet1!EJ363=Sheet1!EJ362,Sheet1!EJ363=Sheet1!EJ364),Sheet1!EJ363,CF361-CL361)</f>
        <v>2.481496229260935</v>
      </c>
      <c r="CN361" s="545"/>
      <c r="CO361" s="560"/>
      <c r="CP361" s="560">
        <f t="shared" si="613"/>
        <v>0</v>
      </c>
      <c r="CQ361" s="560"/>
      <c r="CR361" s="560">
        <f ca="1">IF(B361&gt;Summary!$A$1,#N/A,CP361*MGtoAF)</f>
        <v>0</v>
      </c>
      <c r="CS361" s="560">
        <f>Sheet1!BK363+Sheet1!BL363+Sheet1!BM363-Sheet1!ER363-DA361</f>
        <v>7.07</v>
      </c>
      <c r="CT361" s="560">
        <f t="shared" si="614"/>
        <v>7.0742654600301655</v>
      </c>
      <c r="CU361" s="560">
        <f>IF(Sheet1!ER363="FM",DA361,0)</f>
        <v>0</v>
      </c>
      <c r="CV361" s="560">
        <f t="shared" si="615"/>
        <v>0</v>
      </c>
      <c r="CW361" s="560">
        <f>IF(Sheet1!ER363="OTHER",DA361,0)</f>
        <v>0</v>
      </c>
      <c r="CX361" s="560">
        <f t="shared" si="616"/>
        <v>0</v>
      </c>
      <c r="CY361" s="560">
        <f t="shared" si="617"/>
        <v>7.07</v>
      </c>
      <c r="CZ361" s="560">
        <f t="shared" si="618"/>
        <v>7.0742654600301655</v>
      </c>
      <c r="DA361" s="560">
        <f>IF(OR(Sheet1!ER363="FM", Sheet1!ER363="OTHER"),SUM(Sheet1!BK363:'Sheet1'!BM363),0)</f>
        <v>0</v>
      </c>
      <c r="DB361" s="545">
        <f>IF(AND($B361&gt;=$FV361,$B361&lt;=$FW361),MAX($CT361,Sheet1!EK363,0),MAX($CT361-(7/36)*$K361,0))</f>
        <v>0</v>
      </c>
      <c r="DC361" s="560">
        <f t="shared" si="619"/>
        <v>0</v>
      </c>
      <c r="DD361" s="545">
        <f t="shared" si="620"/>
        <v>7.0742654600301655</v>
      </c>
      <c r="DE361" s="545">
        <f>IF(AND($O361&gt;0,Sheet1!EO363=1),(1-($O361-Sheet1!$L363)/$O361)*CZ361,0)</f>
        <v>0</v>
      </c>
      <c r="DF361" s="545">
        <f>IF(AND(Sheet1!$L363=0,Sheet1!$L362=0, Calculation!CY361&lt;Sheet1!$EK363-0.1,Sheet1!$EK363=Sheet1!$EK362,Sheet1!$EK363=Sheet1!$EK364),Sheet1!$EK363,CZ361-DE361)</f>
        <v>7.0742654600301655</v>
      </c>
      <c r="DG361" s="545"/>
      <c r="DH361" s="560">
        <f t="shared" si="621"/>
        <v>9.5500000000000007</v>
      </c>
      <c r="DI361" s="560">
        <f t="shared" si="622"/>
        <v>0</v>
      </c>
      <c r="DJ361" s="698">
        <f t="shared" si="623"/>
        <v>9.555761689291101</v>
      </c>
      <c r="DK361" s="560">
        <f ca="1">IF(B361&gt;Summary!$A$1,#N/A,DI361*MGtoAF)</f>
        <v>0</v>
      </c>
      <c r="DL361" s="698">
        <f t="shared" si="624"/>
        <v>9.5500000000000007</v>
      </c>
      <c r="DM361" s="560">
        <f t="shared" si="625"/>
        <v>33.150000000000006</v>
      </c>
      <c r="DN361" s="560">
        <f>Sheet1!AB363-DM361</f>
        <v>1.9999999999996021E-2</v>
      </c>
      <c r="DO361" s="560">
        <f t="shared" si="626"/>
        <v>6.033182503769538E-4</v>
      </c>
      <c r="DP361" s="560">
        <f>(VLOOKUP(Sheet1!DC363,hhdcap_wcm,4)-(((VLOOKUP(Sheet1!DC363,hhdcap_wcm,3)-Sheet1!DC363)/(VLOOKUP(Sheet1!DC363,hhdcap_wcm,3)-VLOOKUP(Sheet1!DC363,hhdcap_wcm,1)))*(VLOOKUP(Sheet1!DC363,hhdcap_wcm,4)-VLOOKUP(Sheet1!DC363,hhdcap_wcm,2))))</f>
        <v>1152.3000000032514</v>
      </c>
      <c r="DQ361" s="560">
        <f t="shared" si="627"/>
        <v>-355.70000000084133</v>
      </c>
      <c r="DR361" s="560">
        <f t="shared" si="628"/>
        <v>-179.37468482140255</v>
      </c>
      <c r="DS361" s="560">
        <f>Sheet1!EA363*AFtoMG</f>
        <v>0</v>
      </c>
      <c r="DT361" s="560">
        <f>Sheet1!EB363*AFtoMG</f>
        <v>0</v>
      </c>
      <c r="DU361" s="560">
        <f>Sheet1!EC363*AFtoMG</f>
        <v>0</v>
      </c>
      <c r="DV361" s="560">
        <f>Sheet1!ED363*AFtoMG</f>
        <v>0</v>
      </c>
      <c r="DW361" s="560">
        <f t="shared" si="629"/>
        <v>0</v>
      </c>
      <c r="DX361" s="560">
        <f t="shared" si="630"/>
        <v>0</v>
      </c>
      <c r="DY361" s="560">
        <f t="shared" si="631"/>
        <v>0</v>
      </c>
      <c r="DZ361" s="560">
        <f t="shared" si="632"/>
        <v>0</v>
      </c>
      <c r="EA361" s="560"/>
      <c r="EB361" s="545">
        <f>IF(OR(B361&lt;FV361,B361&gt;FW361),(MIN(BF361+BY361+CT361+MAX(Sheet1!AA363+AQ361-73,0),K361)),0)</f>
        <v>9.555761689291101</v>
      </c>
      <c r="EC361" s="560"/>
      <c r="ED361" s="560">
        <f t="shared" si="633"/>
        <v>9.555761689291101</v>
      </c>
      <c r="EE361" s="560"/>
      <c r="EF361" s="560">
        <f>Sheet1!EH363+Sheet1!EI363+Sheet1!EJ363+Sheet1!EK363</f>
        <v>9</v>
      </c>
      <c r="EG361" s="560"/>
      <c r="EH361" s="545">
        <f t="shared" si="634"/>
        <v>0</v>
      </c>
      <c r="EI361" s="560">
        <f>IF(Sheet1!ET363=1,SUM('Calculations II'!AT361:BA361)+'Calculations II'!BC361+Sheet1!BV363+'Calculations II'!BE361+AP361,SUM('Calculations II'!AT361:BA361)+'Calculations II'!BC361+Sheet1!BV363+'Calculations II'!BE361+AP361)</f>
        <v>50.620143999999996</v>
      </c>
      <c r="EJ361" s="560">
        <f>Sheet1!AA363+Sheet1!AB363+'Calculations II'!BC361</f>
        <v>53.06</v>
      </c>
      <c r="EK361" s="560"/>
      <c r="EL361" s="560"/>
      <c r="EM361" s="560">
        <f t="shared" si="635"/>
        <v>41989</v>
      </c>
      <c r="EN361" s="560">
        <f t="shared" si="636"/>
        <v>0</v>
      </c>
      <c r="EO361" s="560">
        <f t="shared" si="637"/>
        <v>0</v>
      </c>
      <c r="EP361" s="560">
        <v>0</v>
      </c>
      <c r="EQ361" s="560">
        <v>0</v>
      </c>
      <c r="ER361" s="560">
        <v>0</v>
      </c>
      <c r="ES361" s="545">
        <f t="shared" si="660"/>
        <v>2.0726282279522867</v>
      </c>
      <c r="ET361" s="560">
        <f>-(VLOOKUP(Sheet1!BQ363,Lookup!$O$4:$Q$262,2)-VLOOKUP(Sheet1!BQ362,Lookup!$O$4:$Q$262,2))/1000000</f>
        <v>1.105341978018038</v>
      </c>
      <c r="EU361" s="560">
        <f>-(VLOOKUP(Sheet1!BR363,Lookup!$O$4:$Q$262,3)-VLOOKUP(Sheet1!BR362,Lookup!$O$4:$Q$262,3))/1000000</f>
        <v>0.96728624993424861</v>
      </c>
      <c r="EV361" s="560"/>
      <c r="EW361" s="560"/>
      <c r="EX361" s="560"/>
      <c r="EY361" s="560"/>
      <c r="EZ361" s="560"/>
      <c r="FA361" s="560"/>
      <c r="FB361" s="560"/>
      <c r="FC361" s="560"/>
      <c r="FD361" s="594" t="e">
        <f t="shared" si="638"/>
        <v>#N/A</v>
      </c>
      <c r="FE361" s="594" t="e">
        <f t="shared" si="639"/>
        <v>#N/A</v>
      </c>
      <c r="FF361" s="595" t="e">
        <f t="shared" si="640"/>
        <v>#N/A</v>
      </c>
      <c r="FG361" s="596" t="s">
        <v>692</v>
      </c>
      <c r="FH361" s="596" t="s">
        <v>692</v>
      </c>
      <c r="FI361" s="594" t="e">
        <v>#N/A</v>
      </c>
      <c r="FJ361" s="594" t="e">
        <v>#N/A</v>
      </c>
      <c r="FK361" s="560"/>
      <c r="FL361" s="560"/>
      <c r="FM361" s="560"/>
      <c r="FN361" s="560"/>
      <c r="FO361" s="560">
        <f>O361+((Sheet1!CS363)*GPMtoMGD)</f>
        <v>53.06</v>
      </c>
      <c r="FP361" s="560">
        <f>IF(Sheet1!AA363+AQ361&lt;=Calculation!N361,AQ361,Calculation!N361-Sheet1!AA363)</f>
        <v>22.613634992458522</v>
      </c>
      <c r="FQ361" s="560">
        <f>(Sheet1!BP363+Sheet1!BO363)/694.4</f>
        <v>0</v>
      </c>
      <c r="FR361" s="560"/>
      <c r="FS361" s="560"/>
      <c r="FT361" s="560"/>
      <c r="FU361" s="560"/>
      <c r="FV361" s="695">
        <f t="shared" si="661"/>
        <v>41827</v>
      </c>
      <c r="FW361" s="695">
        <f t="shared" si="662"/>
        <v>41934</v>
      </c>
      <c r="FX361" s="560"/>
      <c r="FY361" s="560"/>
      <c r="FZ361" s="560"/>
      <c r="GA361" s="560"/>
      <c r="GB361" s="560" t="str">
        <f t="shared" si="663"/>
        <v>n</v>
      </c>
      <c r="GC361" s="564">
        <f t="shared" si="664"/>
        <v>41691</v>
      </c>
      <c r="GD361" s="695">
        <f t="shared" si="665"/>
        <v>41807</v>
      </c>
      <c r="GE361" s="560">
        <v>6518.9</v>
      </c>
      <c r="GF361" s="695">
        <f t="shared" si="666"/>
        <v>41808</v>
      </c>
      <c r="GG361" s="560">
        <f t="shared" si="686"/>
        <v>3259</v>
      </c>
      <c r="GH361" s="564">
        <f t="shared" si="667"/>
        <v>41934</v>
      </c>
      <c r="GJ361" s="545">
        <f t="shared" si="668"/>
        <v>0</v>
      </c>
      <c r="GK361" s="560" t="str">
        <f t="shared" si="641"/>
        <v/>
      </c>
      <c r="GL361" s="560">
        <f t="shared" si="669"/>
        <v>0</v>
      </c>
      <c r="GM361" s="560" t="str">
        <f t="shared" si="670"/>
        <v/>
      </c>
      <c r="GN361" s="560">
        <f>IF(GK361="P",Lookup!$M$12,IF(GK361="PP",Lookup!$M$13,IF(GK361="PPP",Lookup!$M$14,IF(GK361="T",Lookup!$M$15,IF(GK361="TP",Lookup!$M$16,IF(GK361="TPP",Lookup!$M$17,IF(GK361="TPPP",Lookup!$M$18,0)))))))*GJ361</f>
        <v>0</v>
      </c>
      <c r="GO361" s="560">
        <f t="shared" si="671"/>
        <v>0</v>
      </c>
      <c r="GP361" s="560">
        <f t="shared" si="642"/>
        <v>0</v>
      </c>
      <c r="GQ361" s="560">
        <f t="shared" si="679"/>
        <v>0</v>
      </c>
      <c r="GR361" s="560"/>
      <c r="GS361" s="560">
        <f t="shared" si="672"/>
        <v>0</v>
      </c>
      <c r="GT361" s="560" t="str">
        <f t="shared" si="673"/>
        <v/>
      </c>
      <c r="GU361" s="560">
        <f>IF(GK361="P",Lookup!$N$12,IF(GK361="PP",Lookup!$N$13,IF(GK361="PPP",Lookup!$N$14,IF(GK361="T",Lookup!$N$15,IF(GK361="TP",Lookup!$N$16,IF(GK361="TPP",Lookup!$N$17,IF(GK361="TPPP",Lookup!$N$18,0)))))))*GJ361</f>
        <v>0</v>
      </c>
      <c r="GV361" s="560">
        <f t="shared" si="674"/>
        <v>0</v>
      </c>
      <c r="GW361" s="560">
        <f t="shared" si="643"/>
        <v>0</v>
      </c>
      <c r="GX361" s="560">
        <f t="shared" si="680"/>
        <v>0</v>
      </c>
      <c r="GY361" s="560"/>
      <c r="GZ361" s="560">
        <f t="shared" si="675"/>
        <v>0</v>
      </c>
      <c r="HA361" s="560" t="str">
        <f t="shared" si="676"/>
        <v/>
      </c>
      <c r="HB361" s="560">
        <f>IF(GK361="P",Lookup!$N$12,IF(GK361="PP",Lookup!$N$13,IF(GK361="PPP",Lookup!$N$14,IF(GK361="T",Lookup!$N$15,IF(GK361="TP",Lookup!$N$16,IF(GK361="TPP",Lookup!$N$17,IF(GK361="TPPP",Lookup!$N$18,0)))))))*GJ361</f>
        <v>0</v>
      </c>
      <c r="HC361" s="545">
        <f t="shared" si="644"/>
        <v>0</v>
      </c>
      <c r="HD361" s="560">
        <f t="shared" si="645"/>
        <v>0</v>
      </c>
      <c r="HE361" s="560">
        <f t="shared" si="681"/>
        <v>0</v>
      </c>
      <c r="HF361" s="560"/>
      <c r="HG361" s="560">
        <f t="shared" si="677"/>
        <v>0</v>
      </c>
      <c r="HH361" s="560" t="str">
        <f t="shared" si="678"/>
        <v/>
      </c>
      <c r="HI361" s="560">
        <f>IF(GK361="P",Lookup!$N$12,IF(GK361="PP",Lookup!$N$13,IF(GK361="PPP",Lookup!$N$14,IF(GK361="T",Lookup!$N$15,IF(GK361="TP",Lookup!$N$16,IF(GK361="TPP",Lookup!$N$17,IF(GK361="TPPP",Lookup!$N$18,0)))))))*GJ361</f>
        <v>0</v>
      </c>
      <c r="HJ361" s="545">
        <f t="shared" si="646"/>
        <v>0</v>
      </c>
      <c r="HK361" s="560">
        <f t="shared" si="647"/>
        <v>0</v>
      </c>
      <c r="HL361" s="560">
        <f t="shared" si="682"/>
        <v>0</v>
      </c>
    </row>
    <row r="362" spans="1:220">
      <c r="A362" s="580" t="s">
        <v>6</v>
      </c>
      <c r="B362" s="556">
        <v>41990</v>
      </c>
      <c r="C362" s="561">
        <v>0</v>
      </c>
      <c r="D362" s="529">
        <f t="shared" si="684"/>
        <v>300</v>
      </c>
      <c r="E362" s="529">
        <f t="shared" si="685"/>
        <v>250</v>
      </c>
      <c r="F362" s="529">
        <v>250</v>
      </c>
      <c r="G362" s="560">
        <f>DR362+Sheet1!CZ364</f>
        <v>715.09480584947266</v>
      </c>
      <c r="H362" s="914">
        <f t="shared" si="650"/>
        <v>195.27408250109912</v>
      </c>
      <c r="I362" s="559">
        <f>MAX(Sheet1!Z364-AT362+(Sheet1!DA364-E362)*CFStoMGD,0)</f>
        <v>679.56999999999994</v>
      </c>
      <c r="J362" s="562">
        <f>IF(AND(B362&gt;=Calculation!GC362,B362&lt;=Calculation!GD362),IF(Sheet1!DB364&gt;=Calculation!D362,64.64,0),MAX(Sheet1!Z364-AT362+(Sheet1!DB364-D362)*CFStoMGD,0))</f>
        <v>361.5412</v>
      </c>
      <c r="K362" s="904">
        <f t="shared" si="583"/>
        <v>64.64</v>
      </c>
      <c r="L362" s="560">
        <f>Sheet1!AA364+Sheet1!AB364-Sheet1!L364+(Sheet1!DA364-F362)*CFStoMGD</f>
        <v>699.73</v>
      </c>
      <c r="M362" s="560">
        <f t="shared" si="584"/>
        <v>471.48202815112114</v>
      </c>
      <c r="N362" s="910">
        <f>IF(Sheet1!DA364&gt;=F362,MIN(73,MIN(MAX(L362,0),MAX(M362,0))),0)</f>
        <v>73</v>
      </c>
      <c r="O362" s="563">
        <f>Sheet1!AA364+Sheet1!AB364</f>
        <v>53.33</v>
      </c>
      <c r="P362" s="563">
        <f t="shared" si="585"/>
        <v>82.501509999999996</v>
      </c>
      <c r="Q362" s="898">
        <f t="shared" si="651"/>
        <v>0</v>
      </c>
      <c r="R362" s="829">
        <f t="shared" si="586"/>
        <v>9.1907153614457844</v>
      </c>
      <c r="S362" s="698">
        <f t="shared" si="683"/>
        <v>53.33</v>
      </c>
      <c r="T362" s="898">
        <f t="shared" si="652"/>
        <v>0</v>
      </c>
      <c r="U362" s="898">
        <f t="shared" si="653"/>
        <v>0</v>
      </c>
      <c r="V362" s="898"/>
      <c r="W362" s="898">
        <f t="shared" si="654"/>
        <v>55.449284638554218</v>
      </c>
      <c r="X362" s="898">
        <f t="shared" si="655"/>
        <v>53.33</v>
      </c>
      <c r="Y362" s="898" t="str">
        <f t="shared" si="656"/>
        <v/>
      </c>
      <c r="Z362" s="898">
        <f t="shared" si="657"/>
        <v>53.33</v>
      </c>
      <c r="AA362" s="898">
        <f t="shared" si="658"/>
        <v>53.33</v>
      </c>
      <c r="AB362" s="898" t="str">
        <f t="shared" si="659"/>
        <v/>
      </c>
      <c r="AC362" s="563">
        <f>Sheet1!Y364*MGDtoCFS</f>
        <v>30.769829999999999</v>
      </c>
      <c r="AD362" s="563">
        <f>Sheet1!Z364*MGDtoCFS</f>
        <v>51.313989999999997</v>
      </c>
      <c r="AE362" s="563">
        <f>Sheet1!AA364*MGDtoCFS</f>
        <v>41.320369999999997</v>
      </c>
      <c r="AF362" s="563">
        <f>Sheet1!AB364*MGDtoCFS</f>
        <v>41.181139999999999</v>
      </c>
      <c r="AG362" s="563">
        <f>Sheet1!L364*MGDtoCFS</f>
        <v>0</v>
      </c>
      <c r="AH362" s="545">
        <f t="shared" si="587"/>
        <v>0</v>
      </c>
      <c r="AI362" s="560">
        <f t="shared" si="588"/>
        <v>0</v>
      </c>
      <c r="AJ362" s="560">
        <f t="shared" si="589"/>
        <v>0</v>
      </c>
      <c r="AK362" s="560">
        <f t="shared" si="590"/>
        <v>0</v>
      </c>
      <c r="AL362" s="560">
        <f>(VLOOKUP(Sheet1!DC364,hhdcap_wcm,4)-(((VLOOKUP(Sheet1!DC364,hhdcap_wcm,3)-Sheet1!DC364)/(VLOOKUP(Sheet1!DC364,hhdcap_wcm,3)-VLOOKUP(Sheet1!DC364,hhdcap_wcm,1)))*(VLOOKUP(Sheet1!DC364,hhdcap_wcm,4)-VLOOKUP(Sheet1!DC364,hhdcap_wcm,2))))</f>
        <v>882.80000000275572</v>
      </c>
      <c r="AM362" s="560">
        <f t="shared" si="591"/>
        <v>-269.50000000049567</v>
      </c>
      <c r="AN362" s="560">
        <f t="shared" si="592"/>
        <v>0</v>
      </c>
      <c r="AO362" s="560">
        <f t="shared" si="593"/>
        <v>0</v>
      </c>
      <c r="AP362" s="560">
        <f>Sheet1!BA364+Sheet1!BB364+Sheet1!BN364+CD362</f>
        <v>17.389999999999997</v>
      </c>
      <c r="AQ362" s="560">
        <f>Sheet1!BN364+(DO362*Sheet1!BN364)</f>
        <v>16.437048192771087</v>
      </c>
      <c r="AR362" s="560">
        <f>Sheet1!BA364+CD362</f>
        <v>0</v>
      </c>
      <c r="AS362" s="560">
        <f>Sheet1!BA364+Sheet1!BB364+CD362</f>
        <v>0.99</v>
      </c>
      <c r="AT362" s="698">
        <f>0</f>
        <v>0</v>
      </c>
      <c r="AU362" s="560">
        <f>IF(EB362&lt;K362,0,MAX(Sheet1!AA364+AQ362-15/36*K362-N362,Sheet1!EH364,0))</f>
        <v>0</v>
      </c>
      <c r="AV362" s="560">
        <f>IF(OR(B362&gt;=GD362,B362&lt;GC362),0,15/36*K362-MAX(0,64.6-(137.6-(Sheet1!AA364+Sheet1!AB364))))</f>
        <v>0</v>
      </c>
      <c r="AW362" s="698">
        <f>Sheet1!DB364-110</f>
        <v>698</v>
      </c>
      <c r="AX362" s="698">
        <f>Sheet1!DA364-265</f>
        <v>985</v>
      </c>
      <c r="AY362" s="698">
        <f t="shared" si="594"/>
        <v>73</v>
      </c>
      <c r="AZ362" s="698">
        <v>0</v>
      </c>
      <c r="BA362" s="698">
        <f t="shared" si="595"/>
        <v>0</v>
      </c>
      <c r="BB362" s="560">
        <f t="shared" si="596"/>
        <v>0</v>
      </c>
      <c r="BC362" s="560"/>
      <c r="BD362" s="560">
        <f ca="1">IF(B362&gt;Summary!$A$1,#N/A,BB362*MGtoAF)</f>
        <v>0</v>
      </c>
      <c r="BE362" s="560">
        <f>Sheet1!BG364+Sheet1!BH364+Sheet1!BI364-BM362</f>
        <v>0</v>
      </c>
      <c r="BF362" s="560">
        <f t="shared" si="597"/>
        <v>0</v>
      </c>
      <c r="BG362" s="560">
        <f>IF(Sheet1!EP364="FM",BM362,0)</f>
        <v>0</v>
      </c>
      <c r="BH362" s="560">
        <f t="shared" si="598"/>
        <v>0</v>
      </c>
      <c r="BI362" s="560">
        <f>IF(Sheet1!EP364="OTHER",BM362,0)</f>
        <v>0</v>
      </c>
      <c r="BJ362" s="560">
        <f t="shared" si="599"/>
        <v>0</v>
      </c>
      <c r="BK362" s="560">
        <f t="shared" si="600"/>
        <v>0</v>
      </c>
      <c r="BL362" s="560">
        <f t="shared" si="601"/>
        <v>0</v>
      </c>
      <c r="BM362" s="560">
        <f>IF(OR(Sheet1!EP364="FM", Sheet1!EP364="OTHER"),SUM(Sheet1!BG364:'Sheet1'!BI364),0)</f>
        <v>0</v>
      </c>
      <c r="BN362" s="545">
        <f>IF(AND($B362&gt;=$FV362,$B362&lt;=$FW362),MAX(BF362,Sheet1!EI364,0),MAX(BF362-(7/36)*$K362,0))</f>
        <v>0</v>
      </c>
      <c r="BO362" s="560">
        <f t="shared" si="602"/>
        <v>0</v>
      </c>
      <c r="BP362" s="545">
        <f t="shared" si="603"/>
        <v>0</v>
      </c>
      <c r="BQ362" s="545">
        <f>IF(AND($O362&gt;0,Sheet1!EM364=1),(1-($O362-Sheet1!$L364)/$O362)*BL362,0)</f>
        <v>0</v>
      </c>
      <c r="BR362" s="545">
        <f>IF(AND(Sheet1!$L364=0,Sheet1!$L363=0, Calculation!BK362&lt;Sheet1!$EI364-0.1,Sheet1!$EI364=Sheet1!$EI363,Sheet1!$EI364=Sheet1!$EI365),Sheet1!$EI364,BL362-BQ362)</f>
        <v>0</v>
      </c>
      <c r="BS362" s="560"/>
      <c r="BT362" s="560"/>
      <c r="BU362" s="560">
        <f t="shared" si="604"/>
        <v>0</v>
      </c>
      <c r="BV362" s="560"/>
      <c r="BW362" s="560">
        <f ca="1">IF(B362&gt;Summary!$A$1,#N/A,BU362*MGtoAF)</f>
        <v>0</v>
      </c>
      <c r="BX362" s="560">
        <f>Sheet1!BC364+Sheet1!BD364+Sheet1!BE364+Sheet1!BF364-CG362-CH362</f>
        <v>2.4900000000000002</v>
      </c>
      <c r="BY362" s="560">
        <f t="shared" si="605"/>
        <v>2.4956250000000009</v>
      </c>
      <c r="BZ362" s="560">
        <f>IF(Sheet1!EQ364="FM",CH362,0)</f>
        <v>0</v>
      </c>
      <c r="CA362" s="560">
        <f t="shared" si="606"/>
        <v>0</v>
      </c>
      <c r="CB362" s="560">
        <f>IF(Sheet1!EQ364="OTHER",CH362,0)</f>
        <v>0</v>
      </c>
      <c r="CC362" s="560">
        <f t="shared" si="607"/>
        <v>0</v>
      </c>
      <c r="CD362" s="560">
        <f t="shared" si="608"/>
        <v>0</v>
      </c>
      <c r="CE362" s="560">
        <f t="shared" si="609"/>
        <v>2.4900000000000002</v>
      </c>
      <c r="CF362" s="560">
        <f t="shared" si="610"/>
        <v>2.4956250000000009</v>
      </c>
      <c r="CG362" s="560">
        <f>IF(Sheet1!EQ364="CWA",SUM(Sheet1!BC364:'Sheet1'!BF364),0)</f>
        <v>0</v>
      </c>
      <c r="CH362" s="560">
        <f>IF(OR(Sheet1!EQ364="FM", Sheet1!EQ364="OTHER"),SUM(Sheet1!BC364:'Sheet1'!BF364),0)</f>
        <v>0</v>
      </c>
      <c r="CI362" s="545">
        <f>IF(AND($B362&gt;=$FV362,$B362&lt;=$FW362),MAX(CF362,Sheet1!EJ364,0),MAX(CF362-(7/36)*$K362,0))</f>
        <v>0</v>
      </c>
      <c r="CJ362" s="560">
        <f t="shared" si="611"/>
        <v>0</v>
      </c>
      <c r="CK362" s="545">
        <f t="shared" si="612"/>
        <v>2.4956250000000009</v>
      </c>
      <c r="CL362" s="545">
        <f>IF(AND($O362&gt;0,Sheet1!EN364=1),(1-($O362-Sheet1!$L364)/$O362)*CF362,0)</f>
        <v>0</v>
      </c>
      <c r="CM362" s="545">
        <f>IF(AND(Sheet1!$L364=0,Sheet1!$L363=0, Calculation!CE362&lt;Sheet1!EJ364-0.1,Sheet1!EJ364=Sheet1!EJ363,Sheet1!EJ364=Sheet1!EJ365),Sheet1!EJ364,CF362-CL362)</f>
        <v>2.4956250000000009</v>
      </c>
      <c r="CN362" s="545"/>
      <c r="CO362" s="560"/>
      <c r="CP362" s="560">
        <f t="shared" si="613"/>
        <v>0</v>
      </c>
      <c r="CQ362" s="560"/>
      <c r="CR362" s="560">
        <f ca="1">IF(B362&gt;Summary!$A$1,#N/A,CP362*MGtoAF)</f>
        <v>0</v>
      </c>
      <c r="CS362" s="560">
        <f>Sheet1!BK364+Sheet1!BL364+Sheet1!BM364-Sheet1!ER364-DA362</f>
        <v>6.68</v>
      </c>
      <c r="CT362" s="560">
        <f t="shared" si="614"/>
        <v>6.695090361445784</v>
      </c>
      <c r="CU362" s="560">
        <f>IF(Sheet1!ER364="FM",DA362,0)</f>
        <v>0</v>
      </c>
      <c r="CV362" s="560">
        <f t="shared" si="615"/>
        <v>0</v>
      </c>
      <c r="CW362" s="560">
        <f>IF(Sheet1!ER364="OTHER",DA362,0)</f>
        <v>0</v>
      </c>
      <c r="CX362" s="560">
        <f t="shared" si="616"/>
        <v>0</v>
      </c>
      <c r="CY362" s="560">
        <f t="shared" si="617"/>
        <v>6.68</v>
      </c>
      <c r="CZ362" s="560">
        <f t="shared" si="618"/>
        <v>6.695090361445784</v>
      </c>
      <c r="DA362" s="560">
        <f>IF(OR(Sheet1!ER364="FM", Sheet1!ER364="OTHER"),SUM(Sheet1!BK364:'Sheet1'!BM364),0)</f>
        <v>0</v>
      </c>
      <c r="DB362" s="545">
        <f>IF(AND($B362&gt;=$FV362,$B362&lt;=$FW362),MAX($CT362,Sheet1!EK364,0),MAX($CT362-(7/36)*$K362,0))</f>
        <v>0</v>
      </c>
      <c r="DC362" s="560">
        <f t="shared" si="619"/>
        <v>0</v>
      </c>
      <c r="DD362" s="545">
        <f t="shared" si="620"/>
        <v>6.695090361445784</v>
      </c>
      <c r="DE362" s="545">
        <f>IF(AND($O362&gt;0,Sheet1!EO364=1),(1-($O362-Sheet1!$L364)/$O362)*CZ362,0)</f>
        <v>0</v>
      </c>
      <c r="DF362" s="545">
        <f>IF(AND(Sheet1!$L364=0,Sheet1!$L363=0, Calculation!CY362&lt;Sheet1!$EK364-0.1,Sheet1!$EK364=Sheet1!$EK363,Sheet1!$EK364=Sheet1!$EK365),Sheet1!$EK364,CZ362-DE362)</f>
        <v>6.695090361445784</v>
      </c>
      <c r="DG362" s="545"/>
      <c r="DH362" s="560">
        <f t="shared" si="621"/>
        <v>9.17</v>
      </c>
      <c r="DI362" s="560">
        <f t="shared" si="622"/>
        <v>0</v>
      </c>
      <c r="DJ362" s="698">
        <f t="shared" si="623"/>
        <v>9.1907153614457844</v>
      </c>
      <c r="DK362" s="560">
        <f ca="1">IF(B362&gt;Summary!$A$1,#N/A,DI362*MGtoAF)</f>
        <v>0</v>
      </c>
      <c r="DL362" s="698">
        <f t="shared" si="624"/>
        <v>9.17</v>
      </c>
      <c r="DM362" s="560">
        <f t="shared" si="625"/>
        <v>26.559999999999995</v>
      </c>
      <c r="DN362" s="560">
        <f>Sheet1!AB364-DM362</f>
        <v>6.0000000000005826E-2</v>
      </c>
      <c r="DO362" s="560">
        <f t="shared" si="626"/>
        <v>2.259036144578533E-3</v>
      </c>
      <c r="DP362" s="560">
        <f>(VLOOKUP(Sheet1!DC364,hhdcap_wcm,4)-(((VLOOKUP(Sheet1!DC364,hhdcap_wcm,3)-Sheet1!DC364)/(VLOOKUP(Sheet1!DC364,hhdcap_wcm,3)-VLOOKUP(Sheet1!DC364,hhdcap_wcm,1)))*(VLOOKUP(Sheet1!DC364,hhdcap_wcm,4)-VLOOKUP(Sheet1!DC364,hhdcap_wcm,2))))</f>
        <v>882.80000000275572</v>
      </c>
      <c r="DQ362" s="560">
        <f t="shared" si="627"/>
        <v>-269.50000000049567</v>
      </c>
      <c r="DR362" s="560">
        <f t="shared" si="628"/>
        <v>-135.90519415052731</v>
      </c>
      <c r="DS362" s="560">
        <f>Sheet1!EA364*AFtoMG</f>
        <v>0</v>
      </c>
      <c r="DT362" s="560">
        <f>Sheet1!EB364*AFtoMG</f>
        <v>0</v>
      </c>
      <c r="DU362" s="560">
        <f>Sheet1!EC364*AFtoMG</f>
        <v>0</v>
      </c>
      <c r="DV362" s="560">
        <f>Sheet1!ED364*AFtoMG</f>
        <v>0</v>
      </c>
      <c r="DW362" s="560">
        <f t="shared" si="629"/>
        <v>0</v>
      </c>
      <c r="DX362" s="560">
        <f t="shared" si="630"/>
        <v>0</v>
      </c>
      <c r="DY362" s="560">
        <f t="shared" si="631"/>
        <v>0</v>
      </c>
      <c r="DZ362" s="560">
        <f t="shared" si="632"/>
        <v>0</v>
      </c>
      <c r="EA362" s="560"/>
      <c r="EB362" s="545">
        <f>IF(OR(B362&lt;FV362,B362&gt;FW362),(MIN(BF362+BY362+CT362+MAX(Sheet1!AA364+AQ362-73,0),K362)),0)</f>
        <v>9.1907153614457844</v>
      </c>
      <c r="EC362" s="560"/>
      <c r="ED362" s="560">
        <f t="shared" si="633"/>
        <v>9.1907153614457844</v>
      </c>
      <c r="EE362" s="560"/>
      <c r="EF362" s="560">
        <f>Sheet1!EH364+Sheet1!EI364+Sheet1!EJ364+Sheet1!EK364</f>
        <v>9</v>
      </c>
      <c r="EG362" s="560"/>
      <c r="EH362" s="545">
        <f t="shared" si="634"/>
        <v>0</v>
      </c>
      <c r="EI362" s="560">
        <f>IF(Sheet1!ET364=1,SUM('Calculations II'!AT362:BA362)+'Calculations II'!BC362+Sheet1!BV364+'Calculations II'!BE362+AP362,SUM('Calculations II'!AT362:BA362)+'Calculations II'!BC362+Sheet1!BV364+'Calculations II'!BE362+AP362)</f>
        <v>53.295248000000001</v>
      </c>
      <c r="EJ362" s="560">
        <f>Sheet1!AA364+Sheet1!AB364+'Calculations II'!BC362</f>
        <v>54.066415999999997</v>
      </c>
      <c r="EK362" s="560"/>
      <c r="EL362" s="560"/>
      <c r="EM362" s="560">
        <f t="shared" si="635"/>
        <v>41990</v>
      </c>
      <c r="EN362" s="560">
        <f t="shared" si="636"/>
        <v>0</v>
      </c>
      <c r="EO362" s="560">
        <f t="shared" si="637"/>
        <v>0</v>
      </c>
      <c r="EP362" s="560">
        <v>0</v>
      </c>
      <c r="EQ362" s="560">
        <v>0</v>
      </c>
      <c r="ER362" s="560">
        <v>0</v>
      </c>
      <c r="ES362" s="545">
        <f t="shared" si="660"/>
        <v>4.281174541087525</v>
      </c>
      <c r="ET362" s="560">
        <f>-(VLOOKUP(Sheet1!BQ364,Lookup!$O$4:$Q$262,2)-VLOOKUP(Sheet1!BQ363,Lookup!$O$4:$Q$262,2))/1000000</f>
        <v>2.0714122068045269</v>
      </c>
      <c r="EU362" s="560">
        <f>-(VLOOKUP(Sheet1!BR364,Lookup!$O$4:$Q$262,3)-VLOOKUP(Sheet1!BR363,Lookup!$O$4:$Q$262,3))/1000000</f>
        <v>2.2097623342829982</v>
      </c>
      <c r="EV362" s="560"/>
      <c r="EW362" s="560"/>
      <c r="EX362" s="560"/>
      <c r="EY362" s="560"/>
      <c r="EZ362" s="560"/>
      <c r="FA362" s="560"/>
      <c r="FB362" s="560"/>
      <c r="FC362" s="560"/>
      <c r="FD362" s="594" t="e">
        <f t="shared" si="638"/>
        <v>#N/A</v>
      </c>
      <c r="FE362" s="594" t="e">
        <f t="shared" si="639"/>
        <v>#N/A</v>
      </c>
      <c r="FF362" s="595" t="e">
        <f t="shared" si="640"/>
        <v>#N/A</v>
      </c>
      <c r="FG362" s="596" t="s">
        <v>692</v>
      </c>
      <c r="FH362" s="596" t="s">
        <v>692</v>
      </c>
      <c r="FI362" s="594" t="e">
        <v>#N/A</v>
      </c>
      <c r="FJ362" s="594" t="e">
        <v>#N/A</v>
      </c>
      <c r="FK362" s="560"/>
      <c r="FL362" s="560"/>
      <c r="FM362" s="560"/>
      <c r="FN362" s="560"/>
      <c r="FO362" s="560">
        <f>O362+((Sheet1!CS364)*GPMtoMGD)</f>
        <v>54.066415999999997</v>
      </c>
      <c r="FP362" s="560">
        <f>IF(Sheet1!AA364+AQ362&lt;=Calculation!N362,AQ362,Calculation!N362-Sheet1!AA364)</f>
        <v>16.437048192771087</v>
      </c>
      <c r="FQ362" s="560">
        <f>(Sheet1!BP364+Sheet1!BO364)/694.4</f>
        <v>2.693980414746544</v>
      </c>
      <c r="FR362" s="560"/>
      <c r="FS362" s="560"/>
      <c r="FT362" s="560"/>
      <c r="FU362" s="560"/>
      <c r="FV362" s="695">
        <f t="shared" si="661"/>
        <v>41827</v>
      </c>
      <c r="FW362" s="695">
        <f t="shared" si="662"/>
        <v>41934</v>
      </c>
      <c r="FX362" s="560"/>
      <c r="FY362" s="560"/>
      <c r="FZ362" s="560"/>
      <c r="GA362" s="560"/>
      <c r="GB362" s="560" t="str">
        <f t="shared" si="663"/>
        <v>n</v>
      </c>
      <c r="GC362" s="564">
        <f t="shared" si="664"/>
        <v>41691</v>
      </c>
      <c r="GD362" s="695">
        <f t="shared" si="665"/>
        <v>41807</v>
      </c>
      <c r="GE362" s="560">
        <v>6518.9</v>
      </c>
      <c r="GF362" s="695">
        <f t="shared" si="666"/>
        <v>41808</v>
      </c>
      <c r="GG362" s="560">
        <f t="shared" si="686"/>
        <v>3259</v>
      </c>
      <c r="GH362" s="564">
        <f t="shared" si="667"/>
        <v>41934</v>
      </c>
      <c r="GJ362" s="545">
        <f t="shared" si="668"/>
        <v>0</v>
      </c>
      <c r="GK362" s="560" t="str">
        <f t="shared" si="641"/>
        <v/>
      </c>
      <c r="GL362" s="560">
        <f t="shared" si="669"/>
        <v>0</v>
      </c>
      <c r="GM362" s="560" t="str">
        <f t="shared" si="670"/>
        <v/>
      </c>
      <c r="GN362" s="560">
        <f>IF(GK362="P",Lookup!$M$12,IF(GK362="PP",Lookup!$M$13,IF(GK362="PPP",Lookup!$M$14,IF(GK362="T",Lookup!$M$15,IF(GK362="TP",Lookup!$M$16,IF(GK362="TPP",Lookup!$M$17,IF(GK362="TPPP",Lookup!$M$18,0)))))))*GJ362</f>
        <v>0</v>
      </c>
      <c r="GO362" s="560">
        <f t="shared" si="671"/>
        <v>0</v>
      </c>
      <c r="GP362" s="560">
        <f t="shared" si="642"/>
        <v>0</v>
      </c>
      <c r="GQ362" s="560">
        <f t="shared" si="679"/>
        <v>0</v>
      </c>
      <c r="GR362" s="560"/>
      <c r="GS362" s="560">
        <f t="shared" si="672"/>
        <v>0</v>
      </c>
      <c r="GT362" s="560" t="str">
        <f t="shared" si="673"/>
        <v/>
      </c>
      <c r="GU362" s="560">
        <f>IF(GK362="P",Lookup!$N$12,IF(GK362="PP",Lookup!$N$13,IF(GK362="PPP",Lookup!$N$14,IF(GK362="T",Lookup!$N$15,IF(GK362="TP",Lookup!$N$16,IF(GK362="TPP",Lookup!$N$17,IF(GK362="TPPP",Lookup!$N$18,0)))))))*GJ362</f>
        <v>0</v>
      </c>
      <c r="GV362" s="560">
        <f t="shared" si="674"/>
        <v>0</v>
      </c>
      <c r="GW362" s="560">
        <f t="shared" si="643"/>
        <v>0</v>
      </c>
      <c r="GX362" s="560">
        <f t="shared" si="680"/>
        <v>0</v>
      </c>
      <c r="GY362" s="560"/>
      <c r="GZ362" s="560">
        <f t="shared" si="675"/>
        <v>0</v>
      </c>
      <c r="HA362" s="560" t="str">
        <f t="shared" si="676"/>
        <v/>
      </c>
      <c r="HB362" s="560">
        <f>IF(GK362="P",Lookup!$N$12,IF(GK362="PP",Lookup!$N$13,IF(GK362="PPP",Lookup!$N$14,IF(GK362="T",Lookup!$N$15,IF(GK362="TP",Lookup!$N$16,IF(GK362="TPP",Lookup!$N$17,IF(GK362="TPPP",Lookup!$N$18,0)))))))*GJ362</f>
        <v>0</v>
      </c>
      <c r="HC362" s="545">
        <f t="shared" si="644"/>
        <v>0</v>
      </c>
      <c r="HD362" s="560">
        <f t="shared" si="645"/>
        <v>0</v>
      </c>
      <c r="HE362" s="560">
        <f t="shared" si="681"/>
        <v>0</v>
      </c>
      <c r="HF362" s="560"/>
      <c r="HG362" s="560">
        <f t="shared" si="677"/>
        <v>0</v>
      </c>
      <c r="HH362" s="560" t="str">
        <f t="shared" si="678"/>
        <v/>
      </c>
      <c r="HI362" s="560">
        <f>IF(GK362="P",Lookup!$N$12,IF(GK362="PP",Lookup!$N$13,IF(GK362="PPP",Lookup!$N$14,IF(GK362="T",Lookup!$N$15,IF(GK362="TP",Lookup!$N$16,IF(GK362="TPP",Lookup!$N$17,IF(GK362="TPPP",Lookup!$N$18,0)))))))*GJ362</f>
        <v>0</v>
      </c>
      <c r="HJ362" s="545">
        <f t="shared" si="646"/>
        <v>0</v>
      </c>
      <c r="HK362" s="560">
        <f t="shared" si="647"/>
        <v>0</v>
      </c>
      <c r="HL362" s="560">
        <f t="shared" si="682"/>
        <v>0</v>
      </c>
    </row>
    <row r="363" spans="1:220">
      <c r="A363" s="580" t="s">
        <v>7</v>
      </c>
      <c r="B363" s="556">
        <v>41991</v>
      </c>
      <c r="C363" s="561">
        <v>0</v>
      </c>
      <c r="D363" s="529">
        <f t="shared" si="684"/>
        <v>300</v>
      </c>
      <c r="E363" s="529">
        <f t="shared" si="685"/>
        <v>250</v>
      </c>
      <c r="F363" s="529">
        <v>250</v>
      </c>
      <c r="G363" s="560">
        <f>DR363+Sheet1!CZ365</f>
        <v>717.48361069069358</v>
      </c>
      <c r="H363" s="914">
        <f t="shared" si="650"/>
        <v>196.81820595046432</v>
      </c>
      <c r="I363" s="559">
        <f>MAX(Sheet1!Z365-AT363+(Sheet1!DA365-E363)*CFStoMGD,0)</f>
        <v>614.84399999999994</v>
      </c>
      <c r="J363" s="562">
        <f>IF(AND(B363&gt;=Calculation!GC363,B363&lt;=Calculation!GD363),IF(Sheet1!DB365&gt;=Calculation!D363,64.64,0),MAX(Sheet1!Z365-AT363+(Sheet1!DB365-D363)*CFStoMGD,0))</f>
        <v>303.2792</v>
      </c>
      <c r="K363" s="904">
        <f t="shared" ref="K363:K381" si="687">MAX(MIN(H363:J363,64.64),0)</f>
        <v>64.64</v>
      </c>
      <c r="L363" s="560">
        <f>Sheet1!AA365+Sheet1!AB365-Sheet1!L365+(Sheet1!DA365-F363)*CFStoMGD</f>
        <v>648.50399999999991</v>
      </c>
      <c r="M363" s="560">
        <f t="shared" ref="M363:M381" si="688">1.02*CFStoMGD*G363</f>
        <v>473.05703406947362</v>
      </c>
      <c r="N363" s="910">
        <f>IF(Sheet1!DA365&gt;=F363,MIN(73,MIN(MAX(L363,0),MAX(M363,0))),0)</f>
        <v>73</v>
      </c>
      <c r="O363" s="563">
        <f>Sheet1!AA365+Sheet1!AB365</f>
        <v>60.28</v>
      </c>
      <c r="P363" s="563">
        <f t="shared" ref="P363:P381" si="689">AE363+AF363</f>
        <v>93.253159999999994</v>
      </c>
      <c r="Q363" s="898">
        <f t="shared" si="651"/>
        <v>0</v>
      </c>
      <c r="R363" s="829">
        <f t="shared" ref="R363:R381" si="690">IF(AND(B363&gt;=GF363,B363&lt;=GH363),MAX(EB363,EF363),EB363)</f>
        <v>8.8840299251870309</v>
      </c>
      <c r="S363" s="698">
        <f t="shared" si="683"/>
        <v>60.28</v>
      </c>
      <c r="T363" s="898">
        <f t="shared" si="652"/>
        <v>0</v>
      </c>
      <c r="U363" s="898">
        <f t="shared" si="653"/>
        <v>0</v>
      </c>
      <c r="V363" s="898"/>
      <c r="W363" s="898">
        <f t="shared" si="654"/>
        <v>55.755970074812971</v>
      </c>
      <c r="X363" s="898">
        <f t="shared" si="655"/>
        <v>60.28</v>
      </c>
      <c r="Y363" s="898" t="str">
        <f t="shared" si="656"/>
        <v/>
      </c>
      <c r="Z363" s="898">
        <f t="shared" si="657"/>
        <v>60.28</v>
      </c>
      <c r="AA363" s="898">
        <f t="shared" si="658"/>
        <v>60.28</v>
      </c>
      <c r="AB363" s="898" t="str">
        <f t="shared" si="659"/>
        <v/>
      </c>
      <c r="AC363" s="563">
        <f>Sheet1!Y365*MGDtoCFS</f>
        <v>41.320369999999997</v>
      </c>
      <c r="AD363" s="563">
        <f>Sheet1!Z365*MGDtoCFS</f>
        <v>41.181139999999999</v>
      </c>
      <c r="AE363" s="563">
        <f>Sheet1!AA365*MGDtoCFS</f>
        <v>62.498799999999996</v>
      </c>
      <c r="AF363" s="563">
        <f>Sheet1!AB365*MGDtoCFS</f>
        <v>30.754359999999998</v>
      </c>
      <c r="AG363" s="563">
        <f>Sheet1!L365*MGDtoCFS</f>
        <v>0</v>
      </c>
      <c r="AH363" s="545">
        <f t="shared" ref="AH363:AH381" si="691">AU363+BN363+CI363+DB363</f>
        <v>0</v>
      </c>
      <c r="AI363" s="560">
        <f t="shared" ref="AI363:AI381" si="692">AH363*MGDtoCFS</f>
        <v>0</v>
      </c>
      <c r="AJ363" s="560">
        <f t="shared" ref="AJ363:AJ381" si="693">IF(B363&gt;=GC363,IF(B363&lt;=GD363,K363-EB363,0),0)</f>
        <v>0</v>
      </c>
      <c r="AK363" s="560">
        <f t="shared" ref="AK363:AK381" si="694">AJ363*MGDtoCFS</f>
        <v>0</v>
      </c>
      <c r="AL363" s="560">
        <f>(VLOOKUP(Sheet1!DC365,hhdcap_wcm,4)-(((VLOOKUP(Sheet1!DC365,hhdcap_wcm,3)-Sheet1!DC365)/(VLOOKUP(Sheet1!DC365,hhdcap_wcm,3)-VLOOKUP(Sheet1!DC365,hhdcap_wcm,1)))*(VLOOKUP(Sheet1!DC365,hhdcap_wcm,4)-VLOOKUP(Sheet1!DC365,hhdcap_wcm,2))))</f>
        <v>739.00000000240107</v>
      </c>
      <c r="AM363" s="560">
        <f t="shared" ref="AM363:AM381" si="695">AL363-AL362</f>
        <v>-143.80000000035466</v>
      </c>
      <c r="AN363" s="560">
        <f t="shared" ref="AN363:AN381" si="696">(IF(AND(B363&gt;=GC363,B363&lt;GF363),MIN(BB363+BU363+CP363+DI363,GE363),IF(B363=GF363,GG363,IF(AND(B363&gt;GF363,B363&lt;GH363),BB363+BU363+CP363+DI363,IF(B363&gt;=GH363,0,0)))))</f>
        <v>0</v>
      </c>
      <c r="AO363" s="560">
        <f t="shared" ref="AO363:AO381" si="697">AN363*MGtoAF</f>
        <v>0</v>
      </c>
      <c r="AP363" s="560">
        <f>Sheet1!BA365+Sheet1!BB365+Sheet1!BN365+CD363</f>
        <v>11.09</v>
      </c>
      <c r="AQ363" s="560">
        <f>Sheet1!BN365+(DO363*Sheet1!BN365)</f>
        <v>10.01436408977556</v>
      </c>
      <c r="AR363" s="560">
        <f>Sheet1!BA365+CD363</f>
        <v>0</v>
      </c>
      <c r="AS363" s="560">
        <f>Sheet1!BA365+Sheet1!BB365+CD363</f>
        <v>0.99</v>
      </c>
      <c r="AT363" s="698">
        <f>0</f>
        <v>0</v>
      </c>
      <c r="AU363" s="560">
        <f>IF(EB363&lt;K363,0,MAX(Sheet1!AA365+AQ363-15/36*K363-N363,Sheet1!EH365,0))</f>
        <v>0</v>
      </c>
      <c r="AV363" s="560">
        <f>IF(OR(B363&gt;=GD363,B363&lt;GC363),0,15/36*K363-MAX(0,64.6-(137.6-(Sheet1!AA365+Sheet1!AB365))))</f>
        <v>0</v>
      </c>
      <c r="AW363" s="698">
        <f>Sheet1!DB365-110</f>
        <v>618</v>
      </c>
      <c r="AX363" s="698">
        <f>Sheet1!DA365-265</f>
        <v>895</v>
      </c>
      <c r="AY363" s="698">
        <f t="shared" ref="AY363:AY381" si="698">N363-Q363</f>
        <v>73</v>
      </c>
      <c r="AZ363" s="698">
        <v>0</v>
      </c>
      <c r="BA363" s="698">
        <f t="shared" ref="BA363:BA381" si="699">IF(AZ363&lt;=0,0,AZ363/1.547)</f>
        <v>0</v>
      </c>
      <c r="BB363" s="560">
        <f t="shared" ref="BB363:BB381" si="700">GO363+GQ363</f>
        <v>0</v>
      </c>
      <c r="BC363" s="560"/>
      <c r="BD363" s="560">
        <f ca="1">IF(B363&gt;Summary!$A$1,#N/A,BB363*MGtoAF)</f>
        <v>0</v>
      </c>
      <c r="BE363" s="560">
        <f>Sheet1!BG365+Sheet1!BH365+Sheet1!BI365-BM363</f>
        <v>0</v>
      </c>
      <c r="BF363" s="560">
        <f t="shared" ref="BF363:BF381" si="701">BE363+(DO363*BE363)</f>
        <v>0</v>
      </c>
      <c r="BG363" s="560">
        <f>IF(Sheet1!EP365="FM",BM363,0)</f>
        <v>0</v>
      </c>
      <c r="BH363" s="560">
        <f t="shared" ref="BH363:BH381" si="702">BG363+(DO363*BG363)</f>
        <v>0</v>
      </c>
      <c r="BI363" s="560">
        <f>IF(Sheet1!EP365="OTHER",BM363,0)</f>
        <v>0</v>
      </c>
      <c r="BJ363" s="560">
        <f t="shared" ref="BJ363:BJ381" si="703">BI363+(DO363*BI363)</f>
        <v>0</v>
      </c>
      <c r="BK363" s="560">
        <f t="shared" ref="BK363:BK381" si="704">MAX(BE363,BG363,BI363)</f>
        <v>0</v>
      </c>
      <c r="BL363" s="560">
        <f t="shared" ref="BL363:BL381" si="705">MAX(BF363,BH363,BJ363)</f>
        <v>0</v>
      </c>
      <c r="BM363" s="560">
        <f>IF(OR(Sheet1!EP365="FM", Sheet1!EP365="OTHER"),SUM(Sheet1!BG365:'Sheet1'!BI365),0)</f>
        <v>0</v>
      </c>
      <c r="BN363" s="545">
        <f>IF(AND($B363&gt;=$FV363,$B363&lt;=$FW363),MAX(BF363,Sheet1!EI365,0),MAX(BF363-(7/36)*$K363,0))</f>
        <v>0</v>
      </c>
      <c r="BO363" s="560">
        <f t="shared" ref="BO363:BO381" si="706">IF(B363&gt;=GC363,IF(B363&lt;=GD363,(7/36)*K363-BF363,0),0)</f>
        <v>0</v>
      </c>
      <c r="BP363" s="545">
        <f t="shared" ref="BP363:BP381" si="707">MAX(BL363-BN363,0)</f>
        <v>0</v>
      </c>
      <c r="BQ363" s="545">
        <f>IF(AND($O363&gt;0,Sheet1!EM365=1),(1-($O363-Sheet1!$L365)/$O363)*BL363,0)</f>
        <v>0</v>
      </c>
      <c r="BR363" s="545">
        <f>IF(AND(Sheet1!$L365=0,Sheet1!$L364=0, Calculation!BK363&lt;Sheet1!$EI365-0.1,Sheet1!$EI365=Sheet1!$EI364,Sheet1!$EI365=Sheet1!$EI366),Sheet1!$EI365,BL363-BQ363)</f>
        <v>0</v>
      </c>
      <c r="BS363" s="560"/>
      <c r="BT363" s="560"/>
      <c r="BU363" s="560">
        <f t="shared" ref="BU363:BU381" si="708">GV363+GX363</f>
        <v>0</v>
      </c>
      <c r="BV363" s="560"/>
      <c r="BW363" s="560">
        <f ca="1">IF(B363&gt;Summary!$A$1,#N/A,BU363*MGtoAF)</f>
        <v>0</v>
      </c>
      <c r="BX363" s="560">
        <f>Sheet1!BC365+Sheet1!BD365+Sheet1!BE365+Sheet1!BF365-CG363-CH363</f>
        <v>2.4900000000000002</v>
      </c>
      <c r="BY363" s="560">
        <f t="shared" ref="BY363:BY381" si="709">BX363+(DO363*BX363)</f>
        <v>2.4688877805486285</v>
      </c>
      <c r="BZ363" s="560">
        <f>IF(Sheet1!EQ365="FM",CH363,0)</f>
        <v>0</v>
      </c>
      <c r="CA363" s="560">
        <f t="shared" ref="CA363:CA381" si="710">BZ363+(DO363*BZ363)</f>
        <v>0</v>
      </c>
      <c r="CB363" s="560">
        <f>IF(Sheet1!EQ365="OTHER",CH363,0)</f>
        <v>0</v>
      </c>
      <c r="CC363" s="560">
        <f t="shared" ref="CC363:CC381" si="711">CB363+(DO363*CB363)</f>
        <v>0</v>
      </c>
      <c r="CD363" s="560">
        <f t="shared" ref="CD363:CD381" si="712">CG363</f>
        <v>0</v>
      </c>
      <c r="CE363" s="560">
        <f t="shared" ref="CE363:CE381" si="713">MAX(BX363,BZ363,CB363)</f>
        <v>2.4900000000000002</v>
      </c>
      <c r="CF363" s="560">
        <f t="shared" ref="CF363:CF381" si="714">MAX(BY363,CA363, CC363)</f>
        <v>2.4688877805486285</v>
      </c>
      <c r="CG363" s="560">
        <f>IF(Sheet1!EQ365="CWA",SUM(Sheet1!BC365:'Sheet1'!BF365),0)</f>
        <v>0</v>
      </c>
      <c r="CH363" s="560">
        <f>IF(OR(Sheet1!EQ365="FM", Sheet1!EQ365="OTHER"),SUM(Sheet1!BC365:'Sheet1'!BF365),0)</f>
        <v>0</v>
      </c>
      <c r="CI363" s="545">
        <f>IF(AND($B363&gt;=$FV363,$B363&lt;=$FW363),MAX(CF363,Sheet1!EJ365,0),MAX(CF363-(7/36)*$K363,0))</f>
        <v>0</v>
      </c>
      <c r="CJ363" s="560">
        <f t="shared" ref="CJ363:CJ381" si="715">IF(B363&gt;=GC363,IF(B363&lt;=GD363,(7/36)*K363-BY363,0),0)</f>
        <v>0</v>
      </c>
      <c r="CK363" s="545">
        <f t="shared" ref="CK363:CK381" si="716">MAX(CF363-CI363,0)</f>
        <v>2.4688877805486285</v>
      </c>
      <c r="CL363" s="545">
        <f>IF(AND($O363&gt;0,Sheet1!EN365=1),(1-($O363-Sheet1!$L365)/$O363)*CF363,0)</f>
        <v>0</v>
      </c>
      <c r="CM363" s="545">
        <f>IF(AND(Sheet1!$L365=0,Sheet1!$L364=0, Calculation!CE363&lt;Sheet1!EJ365-0.1,Sheet1!EJ365=Sheet1!EJ364,Sheet1!EJ365=Sheet1!EJ366),Sheet1!EJ365,CF363-CL363)</f>
        <v>2.4688877805486285</v>
      </c>
      <c r="CN363" s="545"/>
      <c r="CO363" s="560"/>
      <c r="CP363" s="560">
        <f t="shared" ref="CP363:CP381" si="717">HC363+HE363</f>
        <v>0</v>
      </c>
      <c r="CQ363" s="560"/>
      <c r="CR363" s="560">
        <f ca="1">IF(B363&gt;Summary!$A$1,#N/A,CP363*MGtoAF)</f>
        <v>0</v>
      </c>
      <c r="CS363" s="560">
        <f>Sheet1!BK365+Sheet1!BL365+Sheet1!BM365-Sheet1!ER365-DA363</f>
        <v>6.47</v>
      </c>
      <c r="CT363" s="560">
        <f t="shared" ref="CT363:CT381" si="718">CS363+(DO363*CS363)</f>
        <v>6.4151421446384029</v>
      </c>
      <c r="CU363" s="560">
        <f>IF(Sheet1!ER365="FM",DA363,0)</f>
        <v>0</v>
      </c>
      <c r="CV363" s="560">
        <f t="shared" ref="CV363:CV381" si="719">CU363+(DO363*CU363)</f>
        <v>0</v>
      </c>
      <c r="CW363" s="560">
        <f>IF(Sheet1!ER365="OTHER",DA363,0)</f>
        <v>0</v>
      </c>
      <c r="CX363" s="560">
        <f t="shared" ref="CX363:CX381" si="720">CW363+(DO363*CW363)</f>
        <v>0</v>
      </c>
      <c r="CY363" s="560">
        <f t="shared" ref="CY363:CY381" si="721">MAX(CS363,CU363)</f>
        <v>6.47</v>
      </c>
      <c r="CZ363" s="560">
        <f t="shared" ref="CZ363:CZ381" si="722">MAX(CT363,CV363)</f>
        <v>6.4151421446384029</v>
      </c>
      <c r="DA363" s="560">
        <f>IF(OR(Sheet1!ER365="FM", Sheet1!ER365="OTHER"),SUM(Sheet1!BK365:'Sheet1'!BM365),0)</f>
        <v>0</v>
      </c>
      <c r="DB363" s="545">
        <f>IF(AND($B363&gt;=$FV363,$B363&lt;=$FW363),MAX($CT363,Sheet1!EK365,0),MAX($CT363-(7/36)*$K363,0))</f>
        <v>0</v>
      </c>
      <c r="DC363" s="560">
        <f t="shared" ref="DC363:DC381" si="723">IF(B363&gt;=GC363,IF(B363&lt;=GD363,(7/36)*K363-CT363,0),0)</f>
        <v>0</v>
      </c>
      <c r="DD363" s="545">
        <f t="shared" ref="DD363:DD381" si="724">MAX(CZ363-DB363,0)</f>
        <v>6.4151421446384029</v>
      </c>
      <c r="DE363" s="545">
        <f>IF(AND($O363&gt;0,Sheet1!EO365=1),(1-($O363-Sheet1!$L365)/$O363)*CZ363,0)</f>
        <v>0</v>
      </c>
      <c r="DF363" s="545">
        <f>IF(AND(Sheet1!$L365=0,Sheet1!$L364=0, Calculation!CY363&lt;Sheet1!$EK365-0.1,Sheet1!$EK365=Sheet1!$EK364,Sheet1!$EK365=Sheet1!$EK366),Sheet1!$EK365,CZ363-DE363)</f>
        <v>6.4151421446384029</v>
      </c>
      <c r="DG363" s="545"/>
      <c r="DH363" s="560">
        <f t="shared" ref="DH363:DH381" si="725">BK363+CE363+CY363</f>
        <v>8.9600000000000009</v>
      </c>
      <c r="DI363" s="560">
        <f t="shared" ref="DI363:DI381" si="726">HJ363+HL363</f>
        <v>0</v>
      </c>
      <c r="DJ363" s="698">
        <f t="shared" ref="DJ363:DJ381" si="727">BL363+CF363+CZ363</f>
        <v>8.8840299251870309</v>
      </c>
      <c r="DK363" s="560">
        <f ca="1">IF(B363&gt;Summary!$A$1,#N/A,DI363*MGtoAF)</f>
        <v>0</v>
      </c>
      <c r="DL363" s="698">
        <f t="shared" ref="DL363:DL381" si="728">CY363+CE363+BK363</f>
        <v>8.9600000000000009</v>
      </c>
      <c r="DM363" s="560">
        <f t="shared" ref="DM363:DM381" si="729">DL363+AP363</f>
        <v>20.05</v>
      </c>
      <c r="DN363" s="560">
        <f>Sheet1!AB365-DM363</f>
        <v>-0.17000000000000171</v>
      </c>
      <c r="DO363" s="560">
        <f t="shared" ref="DO363:DO381" si="730">IF(DM363=0,0,DN363/DM363)</f>
        <v>-8.4788029925187882E-3</v>
      </c>
      <c r="DP363" s="560">
        <f>(VLOOKUP(Sheet1!DC365,hhdcap_wcm,4)-(((VLOOKUP(Sheet1!DC365,hhdcap_wcm,3)-Sheet1!DC365)/(VLOOKUP(Sheet1!DC365,hhdcap_wcm,3)-VLOOKUP(Sheet1!DC365,hhdcap_wcm,1)))*(VLOOKUP(Sheet1!DC365,hhdcap_wcm,4)-VLOOKUP(Sheet1!DC365,hhdcap_wcm,2))))</f>
        <v>739.00000000240107</v>
      </c>
      <c r="DQ363" s="560">
        <f t="shared" ref="DQ363:DQ381" si="731">DP363-DP362</f>
        <v>-143.80000000035466</v>
      </c>
      <c r="DR363" s="560">
        <f t="shared" ref="DR363:DR381" si="732">DQ363*AFtoCFS</f>
        <v>-72.516389309306419</v>
      </c>
      <c r="DS363" s="560">
        <f>Sheet1!EA365*AFtoMG</f>
        <v>0</v>
      </c>
      <c r="DT363" s="560">
        <f>Sheet1!EB365*AFtoMG</f>
        <v>0</v>
      </c>
      <c r="DU363" s="560">
        <f>Sheet1!EC365*AFtoMG</f>
        <v>0</v>
      </c>
      <c r="DV363" s="560">
        <f>Sheet1!ED365*AFtoMG</f>
        <v>0</v>
      </c>
      <c r="DW363" s="560">
        <f t="shared" ref="DW363:DW381" si="733">SUM(DS363:DV363)</f>
        <v>0</v>
      </c>
      <c r="DX363" s="560">
        <f t="shared" ref="DX363:DX381" si="734">DW363*MGtoAF</f>
        <v>0</v>
      </c>
      <c r="DY363" s="560">
        <f t="shared" ref="DY363:DY381" si="735">AN363</f>
        <v>0</v>
      </c>
      <c r="DZ363" s="560">
        <f t="shared" ref="DZ363:DZ381" si="736">DY363*MGtoAF</f>
        <v>0</v>
      </c>
      <c r="EA363" s="560"/>
      <c r="EB363" s="545">
        <f>IF(OR(B363&lt;FV363,B363&gt;FW363),(MIN(BF363+BY363+CT363+MAX(Sheet1!AA365+AQ363-73,0),K363)),0)</f>
        <v>8.8840299251870309</v>
      </c>
      <c r="EC363" s="560"/>
      <c r="ED363" s="560">
        <f t="shared" ref="ED363:ED381" si="737">CT363+BF363+BY363</f>
        <v>8.8840299251870309</v>
      </c>
      <c r="EE363" s="560"/>
      <c r="EF363" s="560">
        <f>Sheet1!EH365+Sheet1!EI365+Sheet1!EJ365+Sheet1!EK365</f>
        <v>9</v>
      </c>
      <c r="EG363" s="560"/>
      <c r="EH363" s="545">
        <f t="shared" ref="EH363:EH381" si="738">EB363-BP363-CK363-DD363</f>
        <v>0</v>
      </c>
      <c r="EI363" s="560">
        <f>IF(Sheet1!ET365=1,SUM('Calculations II'!AT363:BA363)+'Calculations II'!BC363+Sheet1!BV365+'Calculations II'!BE363+AP363,SUM('Calculations II'!AT363:BA363)+'Calculations II'!BC363+Sheet1!BV365+'Calculations II'!BE363+AP363)</f>
        <v>46.723280000000003</v>
      </c>
      <c r="EJ363" s="560">
        <f>Sheet1!AA365+Sheet1!AB365+'Calculations II'!BC363</f>
        <v>60.28</v>
      </c>
      <c r="EK363" s="560"/>
      <c r="EL363" s="560"/>
      <c r="EM363" s="560">
        <f t="shared" ref="EM363:EM381" si="739">B363</f>
        <v>41991</v>
      </c>
      <c r="EN363" s="560">
        <f t="shared" ref="EN363:EN381" si="740">AJ363-AH363</f>
        <v>0</v>
      </c>
      <c r="EO363" s="560">
        <f t="shared" ref="EO363:EO381" si="741">AK363-AI363</f>
        <v>0</v>
      </c>
      <c r="EP363" s="560">
        <v>0</v>
      </c>
      <c r="EQ363" s="560">
        <v>0</v>
      </c>
      <c r="ER363" s="560">
        <v>0</v>
      </c>
      <c r="ES363" s="545">
        <f t="shared" si="660"/>
        <v>-8.5654085584786177</v>
      </c>
      <c r="ET363" s="560">
        <f>-(VLOOKUP(Sheet1!BQ365,Lookup!$O$4:$Q$262,2)-VLOOKUP(Sheet1!BQ364,Lookup!$O$4:$Q$262,2))/1000000</f>
        <v>-4.2825058613200389</v>
      </c>
      <c r="EU363" s="560">
        <f>-(VLOOKUP(Sheet1!BR365,Lookup!$O$4:$Q$262,3)-VLOOKUP(Sheet1!BR364,Lookup!$O$4:$Q$262,3))/1000000</f>
        <v>-4.2829026971585789</v>
      </c>
      <c r="EV363" s="560"/>
      <c r="EW363" s="560"/>
      <c r="EX363" s="560"/>
      <c r="EY363" s="560"/>
      <c r="EZ363" s="560"/>
      <c r="FA363" s="560"/>
      <c r="FB363" s="560"/>
      <c r="FC363" s="560"/>
      <c r="FD363" s="594" t="e">
        <f t="shared" ref="FD363:FD381" si="742">VLOOKUP(FJ360,hhdelev_wcm,4) -(((VLOOKUP(FJ360,hhdelev_wcm,3)-FJ360)/(VLOOKUP(FJ360,hhdelev_wcm,3)-VLOOKUP(FJ360,hhdelev_wcm,1)))*(VLOOKUP(FJ360,hhdelev_wcm,4)-VLOOKUP(FJ360,hhdelev_wcm,2)))</f>
        <v>#N/A</v>
      </c>
      <c r="FE363" s="594" t="e">
        <f t="shared" ref="FE363:FE381" si="743">MAX((FE362-FI363*1.983),0)</f>
        <v>#N/A</v>
      </c>
      <c r="FF363" s="595" t="e">
        <f t="shared" ref="FF363:FF381" si="744">IF(DP363-AO363-FE363-1220&lt;0,0,DP363-AO363-FE363-1220)</f>
        <v>#N/A</v>
      </c>
      <c r="FG363" s="596" t="s">
        <v>692</v>
      </c>
      <c r="FH363" s="596" t="s">
        <v>692</v>
      </c>
      <c r="FI363" s="594" t="e">
        <v>#N/A</v>
      </c>
      <c r="FJ363" s="594" t="e">
        <v>#N/A</v>
      </c>
      <c r="FK363" s="560"/>
      <c r="FL363" s="560"/>
      <c r="FM363" s="560"/>
      <c r="FN363" s="560"/>
      <c r="FO363" s="560">
        <f>O363+((Sheet1!CS365)*GPMtoMGD)</f>
        <v>60.28</v>
      </c>
      <c r="FP363" s="560">
        <f>IF(Sheet1!AA365+AQ363&lt;=Calculation!N363,AQ363,Calculation!N363-Sheet1!AA365)</f>
        <v>10.01436408977556</v>
      </c>
      <c r="FQ363" s="560">
        <f>(Sheet1!BP365+Sheet1!BO365)/694.4</f>
        <v>7.5460829493087564E-2</v>
      </c>
      <c r="FR363" s="560"/>
      <c r="FS363" s="560"/>
      <c r="FT363" s="560"/>
      <c r="FU363" s="560"/>
      <c r="FV363" s="695">
        <f t="shared" si="661"/>
        <v>41827</v>
      </c>
      <c r="FW363" s="695">
        <f t="shared" si="662"/>
        <v>41934</v>
      </c>
      <c r="FX363" s="560"/>
      <c r="FY363" s="560"/>
      <c r="FZ363" s="560"/>
      <c r="GA363" s="560"/>
      <c r="GB363" s="560" t="str">
        <f t="shared" si="663"/>
        <v>n</v>
      </c>
      <c r="GC363" s="564">
        <f t="shared" si="664"/>
        <v>41691</v>
      </c>
      <c r="GD363" s="695">
        <f t="shared" si="665"/>
        <v>41807</v>
      </c>
      <c r="GE363" s="560">
        <v>6518.9</v>
      </c>
      <c r="GF363" s="695">
        <f t="shared" si="666"/>
        <v>41808</v>
      </c>
      <c r="GG363" s="560">
        <f t="shared" si="686"/>
        <v>3259</v>
      </c>
      <c r="GH363" s="564">
        <f t="shared" si="667"/>
        <v>41934</v>
      </c>
      <c r="GJ363" s="545">
        <f t="shared" si="668"/>
        <v>0</v>
      </c>
      <c r="GK363" s="560" t="str">
        <f t="shared" ref="GK363:GK381" si="745">CONCATENATE(GM363,HA363,GT363,HH363)</f>
        <v/>
      </c>
      <c r="GL363" s="560">
        <f t="shared" si="669"/>
        <v>0</v>
      </c>
      <c r="GM363" s="560" t="str">
        <f t="shared" si="670"/>
        <v/>
      </c>
      <c r="GN363" s="560">
        <f>IF(GK363="P",Lookup!$M$12,IF(GK363="PP",Lookup!$M$13,IF(GK363="PPP",Lookup!$M$14,IF(GK363="T",Lookup!$M$15,IF(GK363="TP",Lookup!$M$16,IF(GK363="TPP",Lookup!$M$17,IF(GK363="TPPP",Lookup!$M$18,0)))))))*GJ363</f>
        <v>0</v>
      </c>
      <c r="GO363" s="560">
        <f t="shared" si="671"/>
        <v>0</v>
      </c>
      <c r="GP363" s="560">
        <f t="shared" ref="GP363:GP381" si="746">GQ363*MGtoAF</f>
        <v>0</v>
      </c>
      <c r="GQ363" s="560">
        <f t="shared" si="679"/>
        <v>0</v>
      </c>
      <c r="GR363" s="560"/>
      <c r="GS363" s="560">
        <f t="shared" si="672"/>
        <v>0</v>
      </c>
      <c r="GT363" s="560" t="str">
        <f t="shared" si="673"/>
        <v/>
      </c>
      <c r="GU363" s="560">
        <f>IF(GK363="P",Lookup!$N$12,IF(GK363="PP",Lookup!$N$13,IF(GK363="PPP",Lookup!$N$14,IF(GK363="T",Lookup!$N$15,IF(GK363="TP",Lookup!$N$16,IF(GK363="TPP",Lookup!$N$17,IF(GK363="TPPP",Lookup!$N$18,0)))))))*GJ363</f>
        <v>0</v>
      </c>
      <c r="GV363" s="560">
        <f t="shared" si="674"/>
        <v>0</v>
      </c>
      <c r="GW363" s="560">
        <f t="shared" ref="GW363:GW381" si="747">GX363*MGtoAF</f>
        <v>0</v>
      </c>
      <c r="GX363" s="560">
        <f t="shared" si="680"/>
        <v>0</v>
      </c>
      <c r="GY363" s="560"/>
      <c r="GZ363" s="560">
        <f t="shared" si="675"/>
        <v>0</v>
      </c>
      <c r="HA363" s="560" t="str">
        <f t="shared" si="676"/>
        <v/>
      </c>
      <c r="HB363" s="560">
        <f>IF(GK363="P",Lookup!$N$12,IF(GK363="PP",Lookup!$N$13,IF(GK363="PPP",Lookup!$N$14,IF(GK363="T",Lookup!$N$15,IF(GK363="TP",Lookup!$N$16,IF(GK363="TPP",Lookup!$N$17,IF(GK363="TPPP",Lookup!$N$18,0)))))))*GJ363</f>
        <v>0</v>
      </c>
      <c r="HC363" s="545">
        <f t="shared" ref="HC363:HC381" si="748">IF(HA363="P",MIN(HB363,7/36*GE363-HE363),0)</f>
        <v>0</v>
      </c>
      <c r="HD363" s="560">
        <f t="shared" ref="HD363:HD381" si="749">HE363*MGtoAF</f>
        <v>0</v>
      </c>
      <c r="HE363" s="560">
        <f t="shared" si="681"/>
        <v>0</v>
      </c>
      <c r="HF363" s="560"/>
      <c r="HG363" s="560">
        <f t="shared" si="677"/>
        <v>0</v>
      </c>
      <c r="HH363" s="560" t="str">
        <f t="shared" si="678"/>
        <v/>
      </c>
      <c r="HI363" s="560">
        <f>IF(GK363="P",Lookup!$N$12,IF(GK363="PP",Lookup!$N$13,IF(GK363="PPP",Lookup!$N$14,IF(GK363="T",Lookup!$N$15,IF(GK363="TP",Lookup!$N$16,IF(GK363="TPP",Lookup!$N$17,IF(GK363="TPPP",Lookup!$N$18,0)))))))*GJ363</f>
        <v>0</v>
      </c>
      <c r="HJ363" s="545">
        <f t="shared" ref="HJ363:HJ381" si="750">IF(HH363="P",MIN(HI363,7/36*GE363-HL363),0)</f>
        <v>0</v>
      </c>
      <c r="HK363" s="560">
        <f t="shared" ref="HK363:HK381" si="751">HL363*MGtoAF</f>
        <v>0</v>
      </c>
      <c r="HL363" s="560">
        <f t="shared" si="682"/>
        <v>0</v>
      </c>
    </row>
    <row r="364" spans="1:220">
      <c r="A364" s="580" t="s">
        <v>8</v>
      </c>
      <c r="B364" s="556">
        <v>41992</v>
      </c>
      <c r="C364" s="561">
        <v>0</v>
      </c>
      <c r="D364" s="529">
        <f t="shared" si="684"/>
        <v>300</v>
      </c>
      <c r="E364" s="529">
        <f t="shared" si="685"/>
        <v>250</v>
      </c>
      <c r="F364" s="529">
        <v>250</v>
      </c>
      <c r="G364" s="560">
        <f>DR364+Sheet1!CZ366</f>
        <v>724.94856278377119</v>
      </c>
      <c r="H364" s="914">
        <f t="shared" si="650"/>
        <v>201.64355098342969</v>
      </c>
      <c r="I364" s="559">
        <f>MAX(Sheet1!Z366-AT364+(Sheet1!DA366-E364)*CFStoMGD,0)</f>
        <v>627.49599999999998</v>
      </c>
      <c r="J364" s="562">
        <f>IF(AND(B364&gt;=Calculation!GC364,B364&lt;=Calculation!GD364),IF(Sheet1!DB366&gt;=Calculation!D364,64.64,0),MAX(Sheet1!Z366-AT364+(Sheet1!DB366-D364)*CFStoMGD,0))</f>
        <v>289.42879999999997</v>
      </c>
      <c r="K364" s="904">
        <f t="shared" si="687"/>
        <v>64.64</v>
      </c>
      <c r="L364" s="560">
        <f>Sheet1!AA366+Sheet1!AB366-Sheet1!L366+(Sheet1!DA366-F364)*CFStoMGD</f>
        <v>652.79599999999959</v>
      </c>
      <c r="M364" s="560">
        <f t="shared" si="688"/>
        <v>477.9788860030983</v>
      </c>
      <c r="N364" s="910">
        <f>IF(Sheet1!DA366&gt;=F364,MIN(73,MIN(MAX(L364,0),MAX(M364,0))),0)</f>
        <v>73</v>
      </c>
      <c r="O364" s="563">
        <f>Sheet1!AA366+Sheet1!AB366</f>
        <v>60.7</v>
      </c>
      <c r="P364" s="563">
        <f t="shared" si="689"/>
        <v>93.902899999999988</v>
      </c>
      <c r="Q364" s="898">
        <f t="shared" si="651"/>
        <v>0</v>
      </c>
      <c r="R364" s="829">
        <f t="shared" si="690"/>
        <v>8.7502262443438923</v>
      </c>
      <c r="S364" s="698">
        <f t="shared" si="683"/>
        <v>60.7</v>
      </c>
      <c r="T364" s="898">
        <f t="shared" si="652"/>
        <v>0</v>
      </c>
      <c r="U364" s="898">
        <f t="shared" si="653"/>
        <v>0</v>
      </c>
      <c r="V364" s="898"/>
      <c r="W364" s="898">
        <f t="shared" si="654"/>
        <v>55.889773755656108</v>
      </c>
      <c r="X364" s="898">
        <f t="shared" si="655"/>
        <v>60.7</v>
      </c>
      <c r="Y364" s="898" t="str">
        <f t="shared" si="656"/>
        <v/>
      </c>
      <c r="Z364" s="898">
        <f t="shared" si="657"/>
        <v>60.7</v>
      </c>
      <c r="AA364" s="898">
        <f t="shared" si="658"/>
        <v>60.7</v>
      </c>
      <c r="AB364" s="898" t="str">
        <f t="shared" si="659"/>
        <v/>
      </c>
      <c r="AC364" s="563">
        <f>Sheet1!Y366*MGDtoCFS</f>
        <v>62.498799999999996</v>
      </c>
      <c r="AD364" s="563">
        <f>Sheet1!Z366*MGDtoCFS</f>
        <v>30.754359999999998</v>
      </c>
      <c r="AE364" s="563">
        <f>Sheet1!AA366*MGDtoCFS</f>
        <v>63.272299999999994</v>
      </c>
      <c r="AF364" s="563">
        <f>Sheet1!AB366*MGDtoCFS</f>
        <v>30.630600000000001</v>
      </c>
      <c r="AG364" s="563">
        <f>Sheet1!L366*MGDtoCFS</f>
        <v>24.009440000000673</v>
      </c>
      <c r="AH364" s="545">
        <f t="shared" si="691"/>
        <v>0</v>
      </c>
      <c r="AI364" s="560">
        <f t="shared" si="692"/>
        <v>0</v>
      </c>
      <c r="AJ364" s="560">
        <f t="shared" si="693"/>
        <v>0</v>
      </c>
      <c r="AK364" s="560">
        <f t="shared" si="694"/>
        <v>0</v>
      </c>
      <c r="AL364" s="560">
        <f>(VLOOKUP(Sheet1!DC366,hhdcap_wcm,4)-(((VLOOKUP(Sheet1!DC366,hhdcap_wcm,3)-Sheet1!DC366)/(VLOOKUP(Sheet1!DC366,hhdcap_wcm,3)-VLOOKUP(Sheet1!DC366,hhdcap_wcm,1)))*(VLOOKUP(Sheet1!DC366,hhdcap_wcm,4)-VLOOKUP(Sheet1!DC366,hhdcap_wcm,2))))</f>
        <v>727.00000000261934</v>
      </c>
      <c r="AM364" s="560">
        <f t="shared" si="695"/>
        <v>-11.999999999781721</v>
      </c>
      <c r="AN364" s="560">
        <f t="shared" si="696"/>
        <v>0</v>
      </c>
      <c r="AO364" s="560">
        <f t="shared" si="697"/>
        <v>0</v>
      </c>
      <c r="AP364" s="560">
        <f>Sheet1!BA366+Sheet1!BB366+Sheet1!BN366+CD364</f>
        <v>11.1</v>
      </c>
      <c r="AQ364" s="560">
        <f>Sheet1!BN366+(DO364*Sheet1!BN366)</f>
        <v>10.054298642533936</v>
      </c>
      <c r="AR364" s="560">
        <f>Sheet1!BA366+CD364</f>
        <v>0</v>
      </c>
      <c r="AS364" s="560">
        <f>Sheet1!BA366+Sheet1!BB366+CD364</f>
        <v>1</v>
      </c>
      <c r="AT364" s="698">
        <f>0</f>
        <v>0</v>
      </c>
      <c r="AU364" s="560">
        <f>IF(EB364&lt;K364,0,MAX(Sheet1!AA366+AQ364-15/36*K364-N364,Sheet1!EH366,0))</f>
        <v>0</v>
      </c>
      <c r="AV364" s="560">
        <f>IF(OR(B364&gt;=GD364,B364&lt;GC364),0,15/36*K364-MAX(0,64.6-(137.6-(Sheet1!AA366+Sheet1!AB366))))</f>
        <v>0</v>
      </c>
      <c r="AW364" s="698">
        <f>Sheet1!DB366-110</f>
        <v>607</v>
      </c>
      <c r="AX364" s="698">
        <f>Sheet1!DA366-265</f>
        <v>925</v>
      </c>
      <c r="AY364" s="698">
        <f t="shared" si="698"/>
        <v>73</v>
      </c>
      <c r="AZ364" s="698">
        <v>0</v>
      </c>
      <c r="BA364" s="698">
        <f t="shared" si="699"/>
        <v>0</v>
      </c>
      <c r="BB364" s="560">
        <f t="shared" si="700"/>
        <v>0</v>
      </c>
      <c r="BC364" s="560"/>
      <c r="BD364" s="560">
        <f ca="1">IF(B364&gt;Summary!$A$1,#N/A,BB364*MGtoAF)</f>
        <v>0</v>
      </c>
      <c r="BE364" s="560">
        <f>Sheet1!BG366+Sheet1!BH366+Sheet1!BI366-BM364</f>
        <v>0</v>
      </c>
      <c r="BF364" s="560">
        <f t="shared" si="701"/>
        <v>0</v>
      </c>
      <c r="BG364" s="560">
        <f>IF(Sheet1!EP366="FM",BM364,0)</f>
        <v>0</v>
      </c>
      <c r="BH364" s="560">
        <f t="shared" si="702"/>
        <v>0</v>
      </c>
      <c r="BI364" s="560">
        <f>IF(Sheet1!EP366="OTHER",BM364,0)</f>
        <v>0</v>
      </c>
      <c r="BJ364" s="560">
        <f t="shared" si="703"/>
        <v>0</v>
      </c>
      <c r="BK364" s="560">
        <f t="shared" si="704"/>
        <v>0</v>
      </c>
      <c r="BL364" s="560">
        <f t="shared" si="705"/>
        <v>0</v>
      </c>
      <c r="BM364" s="560">
        <f>IF(OR(Sheet1!EP366="FM", Sheet1!EP366="OTHER"),SUM(Sheet1!BG366:'Sheet1'!BI366),0)</f>
        <v>0</v>
      </c>
      <c r="BN364" s="545">
        <f>IF(AND($B364&gt;=$FV364,$B364&lt;=$FW364),MAX(BF364,Sheet1!EI366,0),MAX(BF364-(7/36)*$K364,0))</f>
        <v>0</v>
      </c>
      <c r="BO364" s="560">
        <f t="shared" si="706"/>
        <v>0</v>
      </c>
      <c r="BP364" s="545">
        <f t="shared" si="707"/>
        <v>0</v>
      </c>
      <c r="BQ364" s="545">
        <f>IF(AND($O364&gt;0,Sheet1!EM366=1),(1-($O364-Sheet1!$L366)/$O364)*BL364,0)</f>
        <v>0</v>
      </c>
      <c r="BR364" s="545">
        <f>IF(AND(Sheet1!$L366=0,Sheet1!$L365=0, Calculation!BK364&lt;Sheet1!$EI366-0.1,Sheet1!$EI366=Sheet1!$EI365,Sheet1!$EI366=Sheet1!$EI367),Sheet1!$EI366,BL364-BQ364)</f>
        <v>0</v>
      </c>
      <c r="BS364" s="560"/>
      <c r="BT364" s="560"/>
      <c r="BU364" s="560">
        <f t="shared" si="708"/>
        <v>0</v>
      </c>
      <c r="BV364" s="560"/>
      <c r="BW364" s="560">
        <f ca="1">IF(B364&gt;Summary!$A$1,#N/A,BU364*MGtoAF)</f>
        <v>0</v>
      </c>
      <c r="BX364" s="560">
        <f>Sheet1!BC366+Sheet1!BD366+Sheet1!BE366+Sheet1!BF366-CG364-CH364</f>
        <v>2.5</v>
      </c>
      <c r="BY364" s="560">
        <f t="shared" si="709"/>
        <v>2.4886877828054299</v>
      </c>
      <c r="BZ364" s="560">
        <f>IF(Sheet1!EQ366="FM",CH364,0)</f>
        <v>0</v>
      </c>
      <c r="CA364" s="560">
        <f t="shared" si="710"/>
        <v>0</v>
      </c>
      <c r="CB364" s="560">
        <f>IF(Sheet1!EQ366="OTHER",CH364,0)</f>
        <v>0</v>
      </c>
      <c r="CC364" s="560">
        <f t="shared" si="711"/>
        <v>0</v>
      </c>
      <c r="CD364" s="560">
        <f t="shared" si="712"/>
        <v>0</v>
      </c>
      <c r="CE364" s="560">
        <f t="shared" si="713"/>
        <v>2.5</v>
      </c>
      <c r="CF364" s="560">
        <f t="shared" si="714"/>
        <v>2.4886877828054299</v>
      </c>
      <c r="CG364" s="560">
        <f>IF(Sheet1!EQ366="CWA",SUM(Sheet1!BC366:'Sheet1'!BF366),0)</f>
        <v>0</v>
      </c>
      <c r="CH364" s="560">
        <f>IF(OR(Sheet1!EQ366="FM", Sheet1!EQ366="OTHER"),SUM(Sheet1!BC366:'Sheet1'!BF366),0)</f>
        <v>0</v>
      </c>
      <c r="CI364" s="545">
        <f>IF(AND($B364&gt;=$FV364,$B364&lt;=$FW364),MAX(CF364,Sheet1!EJ366,0),MAX(CF364-(7/36)*$K364,0))</f>
        <v>0</v>
      </c>
      <c r="CJ364" s="560">
        <f t="shared" si="715"/>
        <v>0</v>
      </c>
      <c r="CK364" s="545">
        <f t="shared" si="716"/>
        <v>2.4886877828054299</v>
      </c>
      <c r="CL364" s="545">
        <f>IF(AND($O364&gt;0,Sheet1!EN366=1),(1-($O364-Sheet1!$L366)/$O364)*CF364,0)</f>
        <v>0</v>
      </c>
      <c r="CM364" s="545">
        <f>IF(AND(Sheet1!$L366=0,Sheet1!$L365=0, Calculation!CE364&lt;Sheet1!EJ366-0.1,Sheet1!EJ366=Sheet1!EJ365,Sheet1!EJ366=Sheet1!EJ367),Sheet1!EJ366,CF364-CL364)</f>
        <v>2.4886877828054299</v>
      </c>
      <c r="CN364" s="545"/>
      <c r="CO364" s="560"/>
      <c r="CP364" s="560">
        <f t="shared" si="717"/>
        <v>0</v>
      </c>
      <c r="CQ364" s="560"/>
      <c r="CR364" s="560">
        <f ca="1">IF(B364&gt;Summary!$A$1,#N/A,CP364*MGtoAF)</f>
        <v>0</v>
      </c>
      <c r="CS364" s="560">
        <f>Sheet1!BK366+Sheet1!BL366+Sheet1!BM366-Sheet1!ER366-DA364</f>
        <v>6.29</v>
      </c>
      <c r="CT364" s="560">
        <f t="shared" si="718"/>
        <v>6.2615384615384615</v>
      </c>
      <c r="CU364" s="560">
        <f>IF(Sheet1!ER366="FM",DA364,0)</f>
        <v>0</v>
      </c>
      <c r="CV364" s="560">
        <f t="shared" si="719"/>
        <v>0</v>
      </c>
      <c r="CW364" s="560">
        <f>IF(Sheet1!ER366="OTHER",DA364,0)</f>
        <v>0</v>
      </c>
      <c r="CX364" s="560">
        <f t="shared" si="720"/>
        <v>0</v>
      </c>
      <c r="CY364" s="560">
        <f t="shared" si="721"/>
        <v>6.29</v>
      </c>
      <c r="CZ364" s="560">
        <f t="shared" si="722"/>
        <v>6.2615384615384615</v>
      </c>
      <c r="DA364" s="560">
        <f>IF(OR(Sheet1!ER366="FM", Sheet1!ER366="OTHER"),SUM(Sheet1!BK366:'Sheet1'!BM366),0)</f>
        <v>0</v>
      </c>
      <c r="DB364" s="545">
        <f>IF(AND($B364&gt;=$FV364,$B364&lt;=$FW364),MAX($CT364,Sheet1!EK366,0),MAX($CT364-(7/36)*$K364,0))</f>
        <v>0</v>
      </c>
      <c r="DC364" s="560">
        <f t="shared" si="723"/>
        <v>0</v>
      </c>
      <c r="DD364" s="545">
        <f t="shared" si="724"/>
        <v>6.2615384615384615</v>
      </c>
      <c r="DE364" s="545">
        <f>IF(AND($O364&gt;0,Sheet1!EO366=1),(1-($O364-Sheet1!$L366)/$O364)*CZ364,0)</f>
        <v>0</v>
      </c>
      <c r="DF364" s="545">
        <f>IF(AND(Sheet1!$L366=0,Sheet1!$L365=0, Calculation!CY364&lt;Sheet1!$EK366-0.1,Sheet1!$EK366=Sheet1!$EK365,Sheet1!$EK366=Sheet1!$EK367),Sheet1!$EK366,CZ364-DE364)</f>
        <v>6.2615384615384615</v>
      </c>
      <c r="DG364" s="545"/>
      <c r="DH364" s="560">
        <f t="shared" si="725"/>
        <v>8.7899999999999991</v>
      </c>
      <c r="DI364" s="560">
        <f t="shared" si="726"/>
        <v>0</v>
      </c>
      <c r="DJ364" s="698">
        <f t="shared" si="727"/>
        <v>8.7502262443438923</v>
      </c>
      <c r="DK364" s="560">
        <f ca="1">IF(B364&gt;Summary!$A$1,#N/A,DI364*MGtoAF)</f>
        <v>0</v>
      </c>
      <c r="DL364" s="698">
        <f t="shared" si="728"/>
        <v>8.7899999999999991</v>
      </c>
      <c r="DM364" s="560">
        <f t="shared" si="729"/>
        <v>19.89</v>
      </c>
      <c r="DN364" s="560">
        <f>Sheet1!AB366-DM364</f>
        <v>-8.9999999999999858E-2</v>
      </c>
      <c r="DO364" s="560">
        <f t="shared" si="730"/>
        <v>-4.5248868778280469E-3</v>
      </c>
      <c r="DP364" s="560">
        <f>(VLOOKUP(Sheet1!DC366,hhdcap_wcm,4)-(((VLOOKUP(Sheet1!DC366,hhdcap_wcm,3)-Sheet1!DC366)/(VLOOKUP(Sheet1!DC366,hhdcap_wcm,3)-VLOOKUP(Sheet1!DC366,hhdcap_wcm,1)))*(VLOOKUP(Sheet1!DC366,hhdcap_wcm,4)-VLOOKUP(Sheet1!DC366,hhdcap_wcm,2))))</f>
        <v>727.00000000261934</v>
      </c>
      <c r="DQ364" s="560">
        <f t="shared" si="731"/>
        <v>-11.999999999781721</v>
      </c>
      <c r="DR364" s="560">
        <f t="shared" si="732"/>
        <v>-6.0514372162288046</v>
      </c>
      <c r="DS364" s="560">
        <f>Sheet1!EA366*AFtoMG</f>
        <v>0</v>
      </c>
      <c r="DT364" s="560">
        <f>Sheet1!EB366*AFtoMG</f>
        <v>0</v>
      </c>
      <c r="DU364" s="560">
        <f>Sheet1!EC366*AFtoMG</f>
        <v>0</v>
      </c>
      <c r="DV364" s="560">
        <f>Sheet1!ED366*AFtoMG</f>
        <v>0</v>
      </c>
      <c r="DW364" s="560">
        <f t="shared" si="733"/>
        <v>0</v>
      </c>
      <c r="DX364" s="560">
        <f t="shared" si="734"/>
        <v>0</v>
      </c>
      <c r="DY364" s="560">
        <f t="shared" si="735"/>
        <v>0</v>
      </c>
      <c r="DZ364" s="560">
        <f t="shared" si="736"/>
        <v>0</v>
      </c>
      <c r="EA364" s="560"/>
      <c r="EB364" s="545">
        <f>IF(OR(B364&lt;FV364,B364&gt;FW364),(MIN(BF364+BY364+CT364+MAX(Sheet1!AA366+AQ364-73,0),K364)),0)</f>
        <v>8.7502262443438923</v>
      </c>
      <c r="EC364" s="560"/>
      <c r="ED364" s="560">
        <f t="shared" si="737"/>
        <v>8.7502262443438923</v>
      </c>
      <c r="EE364" s="560"/>
      <c r="EF364" s="560">
        <f>Sheet1!EH366+Sheet1!EI366+Sheet1!EJ366+Sheet1!EK366</f>
        <v>9</v>
      </c>
      <c r="EG364" s="560"/>
      <c r="EH364" s="545">
        <f t="shared" si="738"/>
        <v>0</v>
      </c>
      <c r="EI364" s="560">
        <f>IF(Sheet1!ET366=1,SUM('Calculations II'!AT364:BA364)+'Calculations II'!BC364+Sheet1!BV366+'Calculations II'!BE364+AP364,SUM('Calculations II'!AT364:BA364)+'Calculations II'!BC364+Sheet1!BV366+'Calculations II'!BE364+AP364)</f>
        <v>50.850512000000002</v>
      </c>
      <c r="EJ364" s="560">
        <f>Sheet1!AA366+Sheet1!AB366+'Calculations II'!BC364</f>
        <v>60.760912000000005</v>
      </c>
      <c r="EK364" s="560"/>
      <c r="EL364" s="560"/>
      <c r="EM364" s="560">
        <f t="shared" si="739"/>
        <v>41992</v>
      </c>
      <c r="EN364" s="560">
        <f t="shared" si="740"/>
        <v>0</v>
      </c>
      <c r="EO364" s="560">
        <f t="shared" si="741"/>
        <v>0</v>
      </c>
      <c r="EP364" s="560">
        <v>0</v>
      </c>
      <c r="EQ364" s="560">
        <v>0</v>
      </c>
      <c r="ER364" s="560">
        <v>0</v>
      </c>
      <c r="ES364" s="545">
        <f t="shared" si="660"/>
        <v>-9.1315386295575465</v>
      </c>
      <c r="ET364" s="560">
        <f>-(VLOOKUP(Sheet1!BQ366,Lookup!$O$4:$Q$262,2)-VLOOKUP(Sheet1!BQ365,Lookup!$O$4:$Q$262,2))/1000000</f>
        <v>-4.5655579396266077</v>
      </c>
      <c r="EU364" s="560">
        <f>-(VLOOKUP(Sheet1!BR366,Lookup!$O$4:$Q$262,3)-VLOOKUP(Sheet1!BR365,Lookup!$O$4:$Q$262,3))/1000000</f>
        <v>-4.5659806899309379</v>
      </c>
      <c r="EV364" s="560"/>
      <c r="EW364" s="560"/>
      <c r="EX364" s="560"/>
      <c r="EY364" s="560"/>
      <c r="EZ364" s="560"/>
      <c r="FA364" s="560"/>
      <c r="FB364" s="560"/>
      <c r="FC364" s="560"/>
      <c r="FD364" s="594" t="e">
        <f t="shared" si="742"/>
        <v>#N/A</v>
      </c>
      <c r="FE364" s="594" t="e">
        <f t="shared" si="743"/>
        <v>#N/A</v>
      </c>
      <c r="FF364" s="595" t="e">
        <f t="shared" si="744"/>
        <v>#N/A</v>
      </c>
      <c r="FG364" s="596" t="s">
        <v>692</v>
      </c>
      <c r="FH364" s="596" t="s">
        <v>692</v>
      </c>
      <c r="FI364" s="594" t="e">
        <v>#N/A</v>
      </c>
      <c r="FJ364" s="594" t="e">
        <v>#N/A</v>
      </c>
      <c r="FK364" s="560"/>
      <c r="FL364" s="560"/>
      <c r="FM364" s="560"/>
      <c r="FN364" s="560"/>
      <c r="FO364" s="560">
        <f>O364+((Sheet1!CS366)*GPMtoMGD)</f>
        <v>60.760912000000005</v>
      </c>
      <c r="FP364" s="560">
        <f>IF(Sheet1!AA366+AQ364&lt;=Calculation!N364,AQ364,Calculation!N364-Sheet1!AA366)</f>
        <v>10.054298642533936</v>
      </c>
      <c r="FQ364" s="560">
        <f>(Sheet1!BP366+Sheet1!BO366)/694.4</f>
        <v>1.7623847926267282</v>
      </c>
      <c r="FR364" s="560"/>
      <c r="FS364" s="560"/>
      <c r="FT364" s="560"/>
      <c r="FU364" s="560"/>
      <c r="FV364" s="695">
        <f t="shared" si="661"/>
        <v>41827</v>
      </c>
      <c r="FW364" s="695">
        <f t="shared" si="662"/>
        <v>41934</v>
      </c>
      <c r="FX364" s="560"/>
      <c r="FY364" s="560"/>
      <c r="FZ364" s="560"/>
      <c r="GA364" s="560"/>
      <c r="GB364" s="560" t="str">
        <f t="shared" si="663"/>
        <v>n</v>
      </c>
      <c r="GC364" s="564">
        <f t="shared" si="664"/>
        <v>41691</v>
      </c>
      <c r="GD364" s="695">
        <f t="shared" si="665"/>
        <v>41807</v>
      </c>
      <c r="GE364" s="560">
        <v>6518.9</v>
      </c>
      <c r="GF364" s="695">
        <f t="shared" si="666"/>
        <v>41808</v>
      </c>
      <c r="GG364" s="560">
        <f t="shared" si="686"/>
        <v>3259</v>
      </c>
      <c r="GH364" s="564">
        <f t="shared" si="667"/>
        <v>41934</v>
      </c>
      <c r="GJ364" s="545">
        <f t="shared" si="668"/>
        <v>0</v>
      </c>
      <c r="GK364" s="560" t="str">
        <f t="shared" si="745"/>
        <v/>
      </c>
      <c r="GL364" s="560">
        <f t="shared" si="669"/>
        <v>0</v>
      </c>
      <c r="GM364" s="560" t="str">
        <f t="shared" si="670"/>
        <v/>
      </c>
      <c r="GN364" s="560">
        <f>IF(GK364="P",Lookup!$M$12,IF(GK364="PP",Lookup!$M$13,IF(GK364="PPP",Lookup!$M$14,IF(GK364="T",Lookup!$M$15,IF(GK364="TP",Lookup!$M$16,IF(GK364="TPP",Lookup!$M$17,IF(GK364="TPPP",Lookup!$M$18,0)))))))*GJ364</f>
        <v>0</v>
      </c>
      <c r="GO364" s="560">
        <f t="shared" si="671"/>
        <v>0</v>
      </c>
      <c r="GP364" s="560">
        <f t="shared" si="746"/>
        <v>0</v>
      </c>
      <c r="GQ364" s="560">
        <f t="shared" si="679"/>
        <v>0</v>
      </c>
      <c r="GR364" s="560"/>
      <c r="GS364" s="560">
        <f t="shared" si="672"/>
        <v>0</v>
      </c>
      <c r="GT364" s="560" t="str">
        <f t="shared" si="673"/>
        <v/>
      </c>
      <c r="GU364" s="560">
        <f>IF(GK364="P",Lookup!$N$12,IF(GK364="PP",Lookup!$N$13,IF(GK364="PPP",Lookup!$N$14,IF(GK364="T",Lookup!$N$15,IF(GK364="TP",Lookup!$N$16,IF(GK364="TPP",Lookup!$N$17,IF(GK364="TPPP",Lookup!$N$18,0)))))))*GJ364</f>
        <v>0</v>
      </c>
      <c r="GV364" s="560">
        <f t="shared" si="674"/>
        <v>0</v>
      </c>
      <c r="GW364" s="560">
        <f t="shared" si="747"/>
        <v>0</v>
      </c>
      <c r="GX364" s="560">
        <f t="shared" si="680"/>
        <v>0</v>
      </c>
      <c r="GY364" s="560"/>
      <c r="GZ364" s="560">
        <f t="shared" si="675"/>
        <v>0</v>
      </c>
      <c r="HA364" s="560" t="str">
        <f t="shared" si="676"/>
        <v/>
      </c>
      <c r="HB364" s="560">
        <f>IF(GK364="P",Lookup!$N$12,IF(GK364="PP",Lookup!$N$13,IF(GK364="PPP",Lookup!$N$14,IF(GK364="T",Lookup!$N$15,IF(GK364="TP",Lookup!$N$16,IF(GK364="TPP",Lookup!$N$17,IF(GK364="TPPP",Lookup!$N$18,0)))))))*GJ364</f>
        <v>0</v>
      </c>
      <c r="HC364" s="545">
        <f t="shared" si="748"/>
        <v>0</v>
      </c>
      <c r="HD364" s="560">
        <f t="shared" si="749"/>
        <v>0</v>
      </c>
      <c r="HE364" s="560">
        <f t="shared" si="681"/>
        <v>0</v>
      </c>
      <c r="HF364" s="560"/>
      <c r="HG364" s="560">
        <f t="shared" si="677"/>
        <v>0</v>
      </c>
      <c r="HH364" s="560" t="str">
        <f t="shared" si="678"/>
        <v/>
      </c>
      <c r="HI364" s="560">
        <f>IF(GK364="P",Lookup!$N$12,IF(GK364="PP",Lookup!$N$13,IF(GK364="PPP",Lookup!$N$14,IF(GK364="T",Lookup!$N$15,IF(GK364="TP",Lookup!$N$16,IF(GK364="TPP",Lookup!$N$17,IF(GK364="TPPP",Lookup!$N$18,0)))))))*GJ364</f>
        <v>0</v>
      </c>
      <c r="HJ364" s="545">
        <f t="shared" si="750"/>
        <v>0</v>
      </c>
      <c r="HK364" s="560">
        <f t="shared" si="751"/>
        <v>0</v>
      </c>
      <c r="HL364" s="560">
        <f t="shared" si="682"/>
        <v>0</v>
      </c>
    </row>
    <row r="365" spans="1:220">
      <c r="A365" s="580" t="s">
        <v>9</v>
      </c>
      <c r="B365" s="556">
        <v>41993</v>
      </c>
      <c r="C365" s="561">
        <v>0</v>
      </c>
      <c r="D365" s="529">
        <f t="shared" si="684"/>
        <v>300</v>
      </c>
      <c r="E365" s="529">
        <f t="shared" si="685"/>
        <v>250</v>
      </c>
      <c r="F365" s="529">
        <v>250</v>
      </c>
      <c r="G365" s="560">
        <f>DR365+Sheet1!CZ367</f>
        <v>1477.1659102371384</v>
      </c>
      <c r="H365" s="914">
        <f t="shared" si="650"/>
        <v>687.87684437728626</v>
      </c>
      <c r="I365" s="559">
        <f>MAX(Sheet1!Z367-AT365+(Sheet1!DA367-E365)*CFStoMGD,0)</f>
        <v>827.8</v>
      </c>
      <c r="J365" s="562">
        <f>IF(AND(B365&gt;=Calculation!GC365,B365&lt;=Calculation!GD365),IF(Sheet1!DB367&gt;=Calculation!D365,64.64,0),MAX(Sheet1!Z367-AT365+(Sheet1!DB367-D365)*CFStoMGD,0))</f>
        <v>756.69599999999991</v>
      </c>
      <c r="K365" s="904">
        <f t="shared" si="687"/>
        <v>64.64</v>
      </c>
      <c r="L365" s="560">
        <f>Sheet1!AA367+Sheet1!AB367-Sheet1!L367+(Sheet1!DA367-F365)*CFStoMGD</f>
        <v>830.92000000000041</v>
      </c>
      <c r="M365" s="560">
        <f t="shared" si="688"/>
        <v>973.93684526483207</v>
      </c>
      <c r="N365" s="910">
        <f>IF(Sheet1!DA367&gt;=F365,MIN(73,MIN(MAX(L365,0),MAX(M365,0))),0)</f>
        <v>73</v>
      </c>
      <c r="O365" s="563">
        <f>Sheet1!AA367+Sheet1!AB367</f>
        <v>50.4</v>
      </c>
      <c r="P365" s="563">
        <f t="shared" si="689"/>
        <v>77.968799999999987</v>
      </c>
      <c r="Q365" s="898">
        <f t="shared" si="651"/>
        <v>0</v>
      </c>
      <c r="R365" s="829">
        <f t="shared" si="690"/>
        <v>8.9552238805970141</v>
      </c>
      <c r="S365" s="698">
        <f t="shared" si="683"/>
        <v>50.4</v>
      </c>
      <c r="T365" s="898">
        <f t="shared" si="652"/>
        <v>0</v>
      </c>
      <c r="U365" s="898">
        <f t="shared" si="653"/>
        <v>0</v>
      </c>
      <c r="V365" s="898"/>
      <c r="W365" s="898">
        <f t="shared" si="654"/>
        <v>55.684776119402983</v>
      </c>
      <c r="X365" s="898">
        <f t="shared" si="655"/>
        <v>50.4</v>
      </c>
      <c r="Y365" s="898" t="str">
        <f t="shared" si="656"/>
        <v/>
      </c>
      <c r="Z365" s="898">
        <f t="shared" si="657"/>
        <v>50.4</v>
      </c>
      <c r="AA365" s="898">
        <f t="shared" si="658"/>
        <v>50.4</v>
      </c>
      <c r="AB365" s="898" t="str">
        <f t="shared" si="659"/>
        <v/>
      </c>
      <c r="AC365" s="563">
        <f>Sheet1!Y367*MGDtoCFS</f>
        <v>63.272299999999994</v>
      </c>
      <c r="AD365" s="563">
        <f>Sheet1!Z367*MGDtoCFS</f>
        <v>30.630600000000001</v>
      </c>
      <c r="AE365" s="563">
        <f>Sheet1!AA367*MGDtoCFS</f>
        <v>47.028799999999997</v>
      </c>
      <c r="AF365" s="563">
        <f>Sheet1!AB367*MGDtoCFS</f>
        <v>30.939999999999998</v>
      </c>
      <c r="AG365" s="563">
        <f>Sheet1!L367*MGDtoCFS</f>
        <v>42.511559999999321</v>
      </c>
      <c r="AH365" s="545">
        <f t="shared" si="691"/>
        <v>0</v>
      </c>
      <c r="AI365" s="560">
        <f t="shared" si="692"/>
        <v>0</v>
      </c>
      <c r="AJ365" s="560">
        <f t="shared" si="693"/>
        <v>0</v>
      </c>
      <c r="AK365" s="560">
        <f t="shared" si="694"/>
        <v>0</v>
      </c>
      <c r="AL365" s="560">
        <f>(VLOOKUP(Sheet1!DC367,hhdcap_wcm,4)-(((VLOOKUP(Sheet1!DC367,hhdcap_wcm,3)-Sheet1!DC367)/(VLOOKUP(Sheet1!DC367,hhdcap_wcm,3)-VLOOKUP(Sheet1!DC367,hhdcap_wcm,1)))*(VLOOKUP(Sheet1!DC367,hhdcap_wcm,4)-VLOOKUP(Sheet1!DC367,hhdcap_wcm,2))))</f>
        <v>999.00000000286491</v>
      </c>
      <c r="AM365" s="560">
        <f t="shared" si="695"/>
        <v>272.00000000024556</v>
      </c>
      <c r="AN365" s="560">
        <f t="shared" si="696"/>
        <v>0</v>
      </c>
      <c r="AO365" s="560">
        <f t="shared" si="697"/>
        <v>0</v>
      </c>
      <c r="AP365" s="560">
        <f>Sheet1!BA367+Sheet1!BB367+Sheet1!BN367+CD365</f>
        <v>11.1</v>
      </c>
      <c r="AQ365" s="560">
        <f>Sheet1!BN367+(DO365*Sheet1!BN367)</f>
        <v>10.049751243781094</v>
      </c>
      <c r="AR365" s="560">
        <f>Sheet1!BA367+CD365</f>
        <v>0</v>
      </c>
      <c r="AS365" s="560">
        <f>Sheet1!BA367+Sheet1!BB367+CD365</f>
        <v>1</v>
      </c>
      <c r="AT365" s="698">
        <f>0</f>
        <v>0</v>
      </c>
      <c r="AU365" s="560">
        <f>IF(EB365&lt;K365,0,MAX(Sheet1!AA367+AQ365-15/36*K365-N365,Sheet1!EH367,0))</f>
        <v>0</v>
      </c>
      <c r="AV365" s="560">
        <f>IF(OR(B365&gt;=GD365,B365&lt;GC365),0,15/36*K365-MAX(0,64.6-(137.6-(Sheet1!AA367+Sheet1!AB367))))</f>
        <v>0</v>
      </c>
      <c r="AW365" s="698">
        <f>Sheet1!DB367-110</f>
        <v>1330</v>
      </c>
      <c r="AX365" s="698">
        <f>Sheet1!DA367-265</f>
        <v>1235</v>
      </c>
      <c r="AY365" s="698">
        <f t="shared" si="698"/>
        <v>73</v>
      </c>
      <c r="AZ365" s="698">
        <v>0</v>
      </c>
      <c r="BA365" s="698">
        <f t="shared" si="699"/>
        <v>0</v>
      </c>
      <c r="BB365" s="560">
        <f t="shared" si="700"/>
        <v>0</v>
      </c>
      <c r="BC365" s="560"/>
      <c r="BD365" s="560">
        <f ca="1">IF(B365&gt;Summary!$A$1,#N/A,BB365*MGtoAF)</f>
        <v>0</v>
      </c>
      <c r="BE365" s="560">
        <f>Sheet1!BG367+Sheet1!BH367+Sheet1!BI367-BM365</f>
        <v>0</v>
      </c>
      <c r="BF365" s="560">
        <f t="shared" si="701"/>
        <v>0</v>
      </c>
      <c r="BG365" s="560">
        <f>IF(Sheet1!EP367="FM",BM365,0)</f>
        <v>0</v>
      </c>
      <c r="BH365" s="560">
        <f t="shared" si="702"/>
        <v>0</v>
      </c>
      <c r="BI365" s="560">
        <f>IF(Sheet1!EP367="OTHER",BM365,0)</f>
        <v>0</v>
      </c>
      <c r="BJ365" s="560">
        <f t="shared" si="703"/>
        <v>0</v>
      </c>
      <c r="BK365" s="560">
        <f t="shared" si="704"/>
        <v>0</v>
      </c>
      <c r="BL365" s="560">
        <f t="shared" si="705"/>
        <v>0</v>
      </c>
      <c r="BM365" s="560">
        <f>IF(OR(Sheet1!EP367="FM", Sheet1!EP367="OTHER"),SUM(Sheet1!BG367:'Sheet1'!BI367),0)</f>
        <v>0</v>
      </c>
      <c r="BN365" s="545">
        <f>IF(AND($B365&gt;=$FV365,$B365&lt;=$FW365),MAX(BF365,Sheet1!EI367,0),MAX(BF365-(7/36)*$K365,0))</f>
        <v>0</v>
      </c>
      <c r="BO365" s="560">
        <f t="shared" si="706"/>
        <v>0</v>
      </c>
      <c r="BP365" s="545">
        <f t="shared" si="707"/>
        <v>0</v>
      </c>
      <c r="BQ365" s="545">
        <f>IF(AND($O365&gt;0,Sheet1!EM367=1),(1-($O365-Sheet1!$L367)/$O365)*BL365,0)</f>
        <v>0</v>
      </c>
      <c r="BR365" s="545">
        <f>IF(AND(Sheet1!$L367=0,Sheet1!$L366=0, Calculation!BK365&lt;Sheet1!$EI367-0.1,Sheet1!$EI367=Sheet1!$EI366,Sheet1!$EI367=Sheet1!$EI368),Sheet1!$EI367,BL365-BQ365)</f>
        <v>0</v>
      </c>
      <c r="BS365" s="560"/>
      <c r="BT365" s="560"/>
      <c r="BU365" s="560">
        <f t="shared" si="708"/>
        <v>0</v>
      </c>
      <c r="BV365" s="560"/>
      <c r="BW365" s="560">
        <f ca="1">IF(B365&gt;Summary!$A$1,#N/A,BU365*MGtoAF)</f>
        <v>0</v>
      </c>
      <c r="BX365" s="560">
        <f>Sheet1!BC367+Sheet1!BD367+Sheet1!BE367+Sheet1!BF367-CG365-CH365</f>
        <v>2.5</v>
      </c>
      <c r="BY365" s="560">
        <f t="shared" si="709"/>
        <v>2.4875621890547261</v>
      </c>
      <c r="BZ365" s="560">
        <f>IF(Sheet1!EQ367="FM",CH365,0)</f>
        <v>0</v>
      </c>
      <c r="CA365" s="560">
        <f t="shared" si="710"/>
        <v>0</v>
      </c>
      <c r="CB365" s="560">
        <f>IF(Sheet1!EQ367="OTHER",CH365,0)</f>
        <v>0</v>
      </c>
      <c r="CC365" s="560">
        <f t="shared" si="711"/>
        <v>0</v>
      </c>
      <c r="CD365" s="560">
        <f t="shared" si="712"/>
        <v>0</v>
      </c>
      <c r="CE365" s="560">
        <f t="shared" si="713"/>
        <v>2.5</v>
      </c>
      <c r="CF365" s="560">
        <f t="shared" si="714"/>
        <v>2.4875621890547261</v>
      </c>
      <c r="CG365" s="560">
        <f>IF(Sheet1!EQ367="CWA",SUM(Sheet1!BC367:'Sheet1'!BF367),0)</f>
        <v>0</v>
      </c>
      <c r="CH365" s="560">
        <f>IF(OR(Sheet1!EQ367="FM", Sheet1!EQ367="OTHER"),SUM(Sheet1!BC367:'Sheet1'!BF367),0)</f>
        <v>0</v>
      </c>
      <c r="CI365" s="545">
        <f>IF(AND($B365&gt;=$FV365,$B365&lt;=$FW365),MAX(CF365,Sheet1!EJ367,0),MAX(CF365-(7/36)*$K365,0))</f>
        <v>0</v>
      </c>
      <c r="CJ365" s="560">
        <f t="shared" si="715"/>
        <v>0</v>
      </c>
      <c r="CK365" s="545">
        <f t="shared" si="716"/>
        <v>2.4875621890547261</v>
      </c>
      <c r="CL365" s="545">
        <f>IF(AND($O365&gt;0,Sheet1!EN367=1),(1-($O365-Sheet1!$L367)/$O365)*CF365,0)</f>
        <v>0</v>
      </c>
      <c r="CM365" s="545">
        <f>IF(AND(Sheet1!$L367=0,Sheet1!$L366=0, Calculation!CE365&lt;Sheet1!EJ367-0.1,Sheet1!EJ367=Sheet1!EJ366,Sheet1!EJ367=Sheet1!EJ368),Sheet1!EJ367,CF365-CL365)</f>
        <v>2.4875621890547261</v>
      </c>
      <c r="CN365" s="545"/>
      <c r="CO365" s="560"/>
      <c r="CP365" s="560">
        <f t="shared" si="717"/>
        <v>0</v>
      </c>
      <c r="CQ365" s="560"/>
      <c r="CR365" s="560">
        <f ca="1">IF(B365&gt;Summary!$A$1,#N/A,CP365*MGtoAF)</f>
        <v>0</v>
      </c>
      <c r="CS365" s="560">
        <f>Sheet1!BK367+Sheet1!BL367+Sheet1!BM367-Sheet1!ER367-DA365</f>
        <v>6.5</v>
      </c>
      <c r="CT365" s="560">
        <f t="shared" si="718"/>
        <v>6.467661691542288</v>
      </c>
      <c r="CU365" s="560">
        <f>IF(Sheet1!ER367="FM",DA365,0)</f>
        <v>0</v>
      </c>
      <c r="CV365" s="560">
        <f t="shared" si="719"/>
        <v>0</v>
      </c>
      <c r="CW365" s="560">
        <f>IF(Sheet1!ER367="OTHER",DA365,0)</f>
        <v>0</v>
      </c>
      <c r="CX365" s="560">
        <f t="shared" si="720"/>
        <v>0</v>
      </c>
      <c r="CY365" s="560">
        <f t="shared" si="721"/>
        <v>6.5</v>
      </c>
      <c r="CZ365" s="560">
        <f t="shared" si="722"/>
        <v>6.467661691542288</v>
      </c>
      <c r="DA365" s="560">
        <f>IF(OR(Sheet1!ER367="FM", Sheet1!ER367="OTHER"),SUM(Sheet1!BK367:'Sheet1'!BM367),0)</f>
        <v>0</v>
      </c>
      <c r="DB365" s="545">
        <f>IF(AND($B365&gt;=$FV365,$B365&lt;=$FW365),MAX($CT365,Sheet1!EK367,0),MAX($CT365-(7/36)*$K365,0))</f>
        <v>0</v>
      </c>
      <c r="DC365" s="560">
        <f t="shared" si="723"/>
        <v>0</v>
      </c>
      <c r="DD365" s="545">
        <f t="shared" si="724"/>
        <v>6.467661691542288</v>
      </c>
      <c r="DE365" s="545">
        <f>IF(AND($O365&gt;0,Sheet1!EO367=1),(1-($O365-Sheet1!$L367)/$O365)*CZ365,0)</f>
        <v>0</v>
      </c>
      <c r="DF365" s="545">
        <f>IF(AND(Sheet1!$L367=0,Sheet1!$L366=0, Calculation!CY365&lt;Sheet1!$EK367-0.1,Sheet1!$EK367=Sheet1!$EK366,Sheet1!$EK367=Sheet1!$EK368),Sheet1!$EK367,CZ365-DE365)</f>
        <v>6.467661691542288</v>
      </c>
      <c r="DG365" s="545"/>
      <c r="DH365" s="560">
        <f t="shared" si="725"/>
        <v>9</v>
      </c>
      <c r="DI365" s="560">
        <f t="shared" si="726"/>
        <v>0</v>
      </c>
      <c r="DJ365" s="698">
        <f t="shared" si="727"/>
        <v>8.9552238805970141</v>
      </c>
      <c r="DK365" s="560">
        <f ca="1">IF(B365&gt;Summary!$A$1,#N/A,DI365*MGtoAF)</f>
        <v>0</v>
      </c>
      <c r="DL365" s="698">
        <f t="shared" si="728"/>
        <v>9</v>
      </c>
      <c r="DM365" s="560">
        <f t="shared" si="729"/>
        <v>20.100000000000001</v>
      </c>
      <c r="DN365" s="560">
        <f>Sheet1!AB367-DM365</f>
        <v>-0.10000000000000142</v>
      </c>
      <c r="DO365" s="560">
        <f t="shared" si="730"/>
        <v>-4.9751243781095229E-3</v>
      </c>
      <c r="DP365" s="560">
        <f>(VLOOKUP(Sheet1!DC367,hhdcap_wcm,4)-(((VLOOKUP(Sheet1!DC367,hhdcap_wcm,3)-Sheet1!DC367)/(VLOOKUP(Sheet1!DC367,hhdcap_wcm,3)-VLOOKUP(Sheet1!DC367,hhdcap_wcm,1)))*(VLOOKUP(Sheet1!DC367,hhdcap_wcm,4)-VLOOKUP(Sheet1!DC367,hhdcap_wcm,2))))</f>
        <v>999.00000000286491</v>
      </c>
      <c r="DQ365" s="560">
        <f t="shared" si="731"/>
        <v>272.00000000024556</v>
      </c>
      <c r="DR365" s="560">
        <f t="shared" si="732"/>
        <v>137.16591023713843</v>
      </c>
      <c r="DS365" s="560">
        <f>Sheet1!EA367*AFtoMG</f>
        <v>0</v>
      </c>
      <c r="DT365" s="560">
        <f>Sheet1!EB367*AFtoMG</f>
        <v>0</v>
      </c>
      <c r="DU365" s="560">
        <f>Sheet1!EC367*AFtoMG</f>
        <v>0</v>
      </c>
      <c r="DV365" s="560">
        <f>Sheet1!ED367*AFtoMG</f>
        <v>0</v>
      </c>
      <c r="DW365" s="560">
        <f t="shared" si="733"/>
        <v>0</v>
      </c>
      <c r="DX365" s="560">
        <f t="shared" si="734"/>
        <v>0</v>
      </c>
      <c r="DY365" s="560">
        <f t="shared" si="735"/>
        <v>0</v>
      </c>
      <c r="DZ365" s="560">
        <f t="shared" si="736"/>
        <v>0</v>
      </c>
      <c r="EA365" s="560"/>
      <c r="EB365" s="545">
        <f>IF(OR(B365&lt;FV365,B365&gt;FW365),(MIN(BF365+BY365+CT365+MAX(Sheet1!AA367+AQ365-73,0),K365)),0)</f>
        <v>8.9552238805970141</v>
      </c>
      <c r="EC365" s="560"/>
      <c r="ED365" s="560">
        <f t="shared" si="737"/>
        <v>8.9552238805970141</v>
      </c>
      <c r="EE365" s="560"/>
      <c r="EF365" s="560">
        <f>Sheet1!EH367+Sheet1!EI367+Sheet1!EJ367+Sheet1!EK367</f>
        <v>9</v>
      </c>
      <c r="EG365" s="560"/>
      <c r="EH365" s="545">
        <f t="shared" si="738"/>
        <v>0</v>
      </c>
      <c r="EI365" s="560">
        <f>IF(Sheet1!ET367=1,SUM('Calculations II'!AT365:BA365)+'Calculations II'!BC365+Sheet1!BV367+'Calculations II'!BE365+AP365,SUM('Calculations II'!AT365:BA365)+'Calculations II'!BC365+Sheet1!BV367+'Calculations II'!BE365+AP365)</f>
        <v>52.245744000000002</v>
      </c>
      <c r="EJ365" s="560">
        <f>Sheet1!AA367+Sheet1!AB367+'Calculations II'!BC365</f>
        <v>50.4</v>
      </c>
      <c r="EK365" s="560"/>
      <c r="EL365" s="560"/>
      <c r="EM365" s="560">
        <f t="shared" si="739"/>
        <v>41993</v>
      </c>
      <c r="EN365" s="560">
        <f t="shared" si="740"/>
        <v>0</v>
      </c>
      <c r="EO365" s="560">
        <f t="shared" si="741"/>
        <v>0</v>
      </c>
      <c r="EP365" s="560">
        <v>0</v>
      </c>
      <c r="EQ365" s="560">
        <v>0</v>
      </c>
      <c r="ER365" s="560">
        <v>0</v>
      </c>
      <c r="ES365" s="545">
        <f t="shared" si="660"/>
        <v>5.1209060894664749</v>
      </c>
      <c r="ET365" s="560">
        <f>-(VLOOKUP(Sheet1!BQ367,Lookup!$O$4:$Q$262,2)-VLOOKUP(Sheet1!BQ366,Lookup!$O$4:$Q$262,2))/1000000</f>
        <v>2.6295064411778899</v>
      </c>
      <c r="EU365" s="560">
        <f>-(VLOOKUP(Sheet1!BR367,Lookup!$O$4:$Q$262,3)-VLOOKUP(Sheet1!BR366,Lookup!$O$4:$Q$262,3))/1000000</f>
        <v>2.4913996482885854</v>
      </c>
      <c r="EV365" s="560"/>
      <c r="EW365" s="560"/>
      <c r="EX365" s="560"/>
      <c r="EY365" s="560"/>
      <c r="EZ365" s="560"/>
      <c r="FA365" s="560"/>
      <c r="FB365" s="560"/>
      <c r="FC365" s="560"/>
      <c r="FD365" s="594" t="e">
        <f t="shared" si="742"/>
        <v>#N/A</v>
      </c>
      <c r="FE365" s="594" t="e">
        <f t="shared" si="743"/>
        <v>#N/A</v>
      </c>
      <c r="FF365" s="595" t="e">
        <f t="shared" si="744"/>
        <v>#N/A</v>
      </c>
      <c r="FG365" s="596" t="s">
        <v>692</v>
      </c>
      <c r="FH365" s="596" t="s">
        <v>692</v>
      </c>
      <c r="FI365" s="594" t="e">
        <v>#N/A</v>
      </c>
      <c r="FJ365" s="594" t="e">
        <v>#N/A</v>
      </c>
      <c r="FK365" s="560"/>
      <c r="FL365" s="560"/>
      <c r="FM365" s="560"/>
      <c r="FN365" s="560"/>
      <c r="FO365" s="560">
        <f>O365+((Sheet1!CS367)*GPMtoMGD)</f>
        <v>50.4</v>
      </c>
      <c r="FP365" s="560">
        <f>IF(Sheet1!AA367+AQ365&lt;=Calculation!N365,AQ365,Calculation!N365-Sheet1!AA367)</f>
        <v>10.049751243781094</v>
      </c>
      <c r="FQ365" s="560">
        <f>(Sheet1!BP367+Sheet1!BO367)/694.4</f>
        <v>1.2158698156682028</v>
      </c>
      <c r="FR365" s="560"/>
      <c r="FS365" s="560"/>
      <c r="FT365" s="560"/>
      <c r="FU365" s="560"/>
      <c r="FV365" s="695">
        <f t="shared" si="661"/>
        <v>41827</v>
      </c>
      <c r="FW365" s="695">
        <f t="shared" si="662"/>
        <v>41934</v>
      </c>
      <c r="FX365" s="560"/>
      <c r="FY365" s="560"/>
      <c r="FZ365" s="560"/>
      <c r="GA365" s="560"/>
      <c r="GB365" s="560" t="str">
        <f t="shared" si="663"/>
        <v>n</v>
      </c>
      <c r="GC365" s="564">
        <f t="shared" si="664"/>
        <v>41691</v>
      </c>
      <c r="GD365" s="695">
        <f t="shared" si="665"/>
        <v>41807</v>
      </c>
      <c r="GE365" s="560">
        <v>6518.9</v>
      </c>
      <c r="GF365" s="695">
        <f t="shared" si="666"/>
        <v>41808</v>
      </c>
      <c r="GG365" s="560">
        <f t="shared" si="686"/>
        <v>3259</v>
      </c>
      <c r="GH365" s="564">
        <f t="shared" si="667"/>
        <v>41934</v>
      </c>
      <c r="GJ365" s="545">
        <f t="shared" si="668"/>
        <v>0</v>
      </c>
      <c r="GK365" s="560" t="str">
        <f t="shared" si="745"/>
        <v/>
      </c>
      <c r="GL365" s="560">
        <f t="shared" si="669"/>
        <v>0</v>
      </c>
      <c r="GM365" s="560" t="str">
        <f t="shared" si="670"/>
        <v/>
      </c>
      <c r="GN365" s="560">
        <f>IF(GK365="P",Lookup!$M$12,IF(GK365="PP",Lookup!$M$13,IF(GK365="PPP",Lookup!$M$14,IF(GK365="T",Lookup!$M$15,IF(GK365="TP",Lookup!$M$16,IF(GK365="TPP",Lookup!$M$17,IF(GK365="TPPP",Lookup!$M$18,0)))))))*GJ365</f>
        <v>0</v>
      </c>
      <c r="GO365" s="560">
        <f t="shared" si="671"/>
        <v>0</v>
      </c>
      <c r="GP365" s="560">
        <f t="shared" si="746"/>
        <v>0</v>
      </c>
      <c r="GQ365" s="560">
        <f t="shared" si="679"/>
        <v>0</v>
      </c>
      <c r="GR365" s="560"/>
      <c r="GS365" s="560">
        <f t="shared" si="672"/>
        <v>0</v>
      </c>
      <c r="GT365" s="560" t="str">
        <f t="shared" si="673"/>
        <v/>
      </c>
      <c r="GU365" s="560">
        <f>IF(GK365="P",Lookup!$N$12,IF(GK365="PP",Lookup!$N$13,IF(GK365="PPP",Lookup!$N$14,IF(GK365="T",Lookup!$N$15,IF(GK365="TP",Lookup!$N$16,IF(GK365="TPP",Lookup!$N$17,IF(GK365="TPPP",Lookup!$N$18,0)))))))*GJ365</f>
        <v>0</v>
      </c>
      <c r="GV365" s="560">
        <f t="shared" si="674"/>
        <v>0</v>
      </c>
      <c r="GW365" s="560">
        <f t="shared" si="747"/>
        <v>0</v>
      </c>
      <c r="GX365" s="560">
        <f t="shared" si="680"/>
        <v>0</v>
      </c>
      <c r="GY365" s="560"/>
      <c r="GZ365" s="560">
        <f t="shared" si="675"/>
        <v>0</v>
      </c>
      <c r="HA365" s="560" t="str">
        <f t="shared" si="676"/>
        <v/>
      </c>
      <c r="HB365" s="560">
        <f>IF(GK365="P",Lookup!$N$12,IF(GK365="PP",Lookup!$N$13,IF(GK365="PPP",Lookup!$N$14,IF(GK365="T",Lookup!$N$15,IF(GK365="TP",Lookup!$N$16,IF(GK365="TPP",Lookup!$N$17,IF(GK365="TPPP",Lookup!$N$18,0)))))))*GJ365</f>
        <v>0</v>
      </c>
      <c r="HC365" s="545">
        <f t="shared" si="748"/>
        <v>0</v>
      </c>
      <c r="HD365" s="560">
        <f t="shared" si="749"/>
        <v>0</v>
      </c>
      <c r="HE365" s="560">
        <f t="shared" si="681"/>
        <v>0</v>
      </c>
      <c r="HF365" s="560"/>
      <c r="HG365" s="560">
        <f t="shared" si="677"/>
        <v>0</v>
      </c>
      <c r="HH365" s="560" t="str">
        <f t="shared" si="678"/>
        <v/>
      </c>
      <c r="HI365" s="560">
        <f>IF(GK365="P",Lookup!$N$12,IF(GK365="PP",Lookup!$N$13,IF(GK365="PPP",Lookup!$N$14,IF(GK365="T",Lookup!$N$15,IF(GK365="TP",Lookup!$N$16,IF(GK365="TPP",Lookup!$N$17,IF(GK365="TPPP",Lookup!$N$18,0)))))))*GJ365</f>
        <v>0</v>
      </c>
      <c r="HJ365" s="545">
        <f t="shared" si="750"/>
        <v>0</v>
      </c>
      <c r="HK365" s="560">
        <f t="shared" si="751"/>
        <v>0</v>
      </c>
      <c r="HL365" s="560">
        <f t="shared" si="682"/>
        <v>0</v>
      </c>
    </row>
    <row r="366" spans="1:220">
      <c r="A366" s="580" t="s">
        <v>3</v>
      </c>
      <c r="B366" s="556">
        <v>41994</v>
      </c>
      <c r="C366" s="561">
        <v>0</v>
      </c>
      <c r="D366" s="529">
        <f t="shared" si="684"/>
        <v>300</v>
      </c>
      <c r="E366" s="529">
        <f t="shared" si="685"/>
        <v>250</v>
      </c>
      <c r="F366" s="529">
        <v>250</v>
      </c>
      <c r="G366" s="560">
        <f>DR366+Sheet1!CZ368</f>
        <v>5183.7569339416477</v>
      </c>
      <c r="H366" s="914">
        <f t="shared" si="650"/>
        <v>3083.8172820998811</v>
      </c>
      <c r="I366" s="559">
        <f>MAX(Sheet1!Z368-AT366+(Sheet1!DA368-E366)*CFStoMGD,0)</f>
        <v>2431.0720000000001</v>
      </c>
      <c r="J366" s="562">
        <f>IF(AND(B366&gt;=Calculation!GC366,B366&lt;=Calculation!GD366),IF(Sheet1!DB368&gt;=Calculation!D366,64.64,0),MAX(Sheet1!Z368-AT366+(Sheet1!DB368-D366)*CFStoMGD,0))</f>
        <v>2133.7280000000001</v>
      </c>
      <c r="K366" s="904">
        <f t="shared" si="687"/>
        <v>64.64</v>
      </c>
      <c r="L366" s="560">
        <f>Sheet1!AA368+Sheet1!AB368-Sheet1!L368+(Sheet1!DA368-F366)*CFStoMGD</f>
        <v>2411.1820000000016</v>
      </c>
      <c r="M366" s="560">
        <f t="shared" si="688"/>
        <v>3417.7960917418786</v>
      </c>
      <c r="N366" s="910">
        <f>IF(Sheet1!DA368&gt;=F366,MIN(73,MIN(MAX(L366,0),MAX(M366,0))),0)</f>
        <v>73</v>
      </c>
      <c r="O366" s="563">
        <f>Sheet1!AA368+Sheet1!AB368</f>
        <v>50.3</v>
      </c>
      <c r="P366" s="563">
        <f t="shared" si="689"/>
        <v>77.814099999999996</v>
      </c>
      <c r="Q366" s="898">
        <f t="shared" si="651"/>
        <v>0</v>
      </c>
      <c r="R366" s="829">
        <f t="shared" si="690"/>
        <v>8.9108910891089117</v>
      </c>
      <c r="S366" s="698">
        <f t="shared" si="683"/>
        <v>50.3</v>
      </c>
      <c r="T366" s="898">
        <f t="shared" si="652"/>
        <v>0</v>
      </c>
      <c r="U366" s="898">
        <f t="shared" si="653"/>
        <v>0</v>
      </c>
      <c r="V366" s="898"/>
      <c r="W366" s="898">
        <f t="shared" si="654"/>
        <v>55.729108910891085</v>
      </c>
      <c r="X366" s="898">
        <f t="shared" si="655"/>
        <v>50.3</v>
      </c>
      <c r="Y366" s="898" t="str">
        <f t="shared" si="656"/>
        <v/>
      </c>
      <c r="Z366" s="898">
        <f t="shared" si="657"/>
        <v>50.3</v>
      </c>
      <c r="AA366" s="898">
        <f t="shared" si="658"/>
        <v>50.3</v>
      </c>
      <c r="AB366" s="898" t="str">
        <f t="shared" si="659"/>
        <v/>
      </c>
      <c r="AC366" s="563">
        <f>Sheet1!Y368*MGDtoCFS</f>
        <v>47.028799999999997</v>
      </c>
      <c r="AD366" s="563">
        <f>Sheet1!Z368*MGDtoCFS</f>
        <v>30.939999999999998</v>
      </c>
      <c r="AE366" s="563">
        <f>Sheet1!AA368*MGDtoCFS</f>
        <v>46.874099999999999</v>
      </c>
      <c r="AF366" s="563">
        <f>Sheet1!AB368*MGDtoCFS</f>
        <v>30.939999999999998</v>
      </c>
      <c r="AG366" s="563">
        <f>Sheet1!L368*MGDtoCFS</f>
        <v>77.643929999997965</v>
      </c>
      <c r="AH366" s="545">
        <f t="shared" si="691"/>
        <v>0</v>
      </c>
      <c r="AI366" s="560">
        <f t="shared" si="692"/>
        <v>0</v>
      </c>
      <c r="AJ366" s="560">
        <f t="shared" si="693"/>
        <v>0</v>
      </c>
      <c r="AK366" s="560">
        <f t="shared" si="694"/>
        <v>0</v>
      </c>
      <c r="AL366" s="560">
        <f>(VLOOKUP(Sheet1!DC368,hhdcap_wcm,4)-(((VLOOKUP(Sheet1!DC368,hhdcap_wcm,3)-Sheet1!DC368)/(VLOOKUP(Sheet1!DC368,hhdcap_wcm,3)-VLOOKUP(Sheet1!DC368,hhdcap_wcm,1)))*(VLOOKUP(Sheet1!DC368,hhdcap_wcm,4)-VLOOKUP(Sheet1!DC368,hhdcap_wcm,2))))</f>
        <v>4080.1000000091517</v>
      </c>
      <c r="AM366" s="560">
        <f t="shared" si="695"/>
        <v>3081.1000000062868</v>
      </c>
      <c r="AN366" s="560">
        <f t="shared" si="696"/>
        <v>0</v>
      </c>
      <c r="AO366" s="560">
        <f t="shared" si="697"/>
        <v>0</v>
      </c>
      <c r="AP366" s="560">
        <f>Sheet1!BA368+Sheet1!BB368+Sheet1!BN368+CD366</f>
        <v>11.2</v>
      </c>
      <c r="AQ366" s="560">
        <f>Sheet1!BN368+(DO366*Sheet1!BN368)</f>
        <v>10.099009900990099</v>
      </c>
      <c r="AR366" s="560">
        <f>Sheet1!BA368+CD366</f>
        <v>0</v>
      </c>
      <c r="AS366" s="560">
        <f>Sheet1!BA368+Sheet1!BB368+CD366</f>
        <v>1</v>
      </c>
      <c r="AT366" s="698">
        <f>0</f>
        <v>0</v>
      </c>
      <c r="AU366" s="560">
        <f>IF(EB366&lt;K366,0,MAX(Sheet1!AA368+AQ366-15/36*K366-N366,Sheet1!EH368,0))</f>
        <v>0</v>
      </c>
      <c r="AV366" s="560">
        <f>IF(OR(B366&gt;=GD366,B366&lt;GC366),0,15/36*K366-MAX(0,64.6-(137.6-(Sheet1!AA368+Sheet1!AB368))))</f>
        <v>0</v>
      </c>
      <c r="AW366" s="698">
        <f>Sheet1!DB368-110</f>
        <v>3460</v>
      </c>
      <c r="AX366" s="698">
        <f>Sheet1!DA368-265</f>
        <v>3715</v>
      </c>
      <c r="AY366" s="698">
        <f t="shared" si="698"/>
        <v>73</v>
      </c>
      <c r="AZ366" s="698">
        <v>0</v>
      </c>
      <c r="BA366" s="698">
        <f t="shared" si="699"/>
        <v>0</v>
      </c>
      <c r="BB366" s="560">
        <f t="shared" si="700"/>
        <v>0</v>
      </c>
      <c r="BC366" s="560"/>
      <c r="BD366" s="560">
        <f ca="1">IF(B366&gt;Summary!$A$1,#N/A,BB366*MGtoAF)</f>
        <v>0</v>
      </c>
      <c r="BE366" s="560">
        <f>Sheet1!BG368+Sheet1!BH368+Sheet1!BI368-BM366</f>
        <v>0</v>
      </c>
      <c r="BF366" s="560">
        <f t="shared" si="701"/>
        <v>0</v>
      </c>
      <c r="BG366" s="560">
        <f>IF(Sheet1!EP368="FM",BM366,0)</f>
        <v>0</v>
      </c>
      <c r="BH366" s="560">
        <f t="shared" si="702"/>
        <v>0</v>
      </c>
      <c r="BI366" s="560">
        <f>IF(Sheet1!EP368="OTHER",BM366,0)</f>
        <v>0</v>
      </c>
      <c r="BJ366" s="560">
        <f t="shared" si="703"/>
        <v>0</v>
      </c>
      <c r="BK366" s="560">
        <f t="shared" si="704"/>
        <v>0</v>
      </c>
      <c r="BL366" s="560">
        <f t="shared" si="705"/>
        <v>0</v>
      </c>
      <c r="BM366" s="560">
        <f>IF(OR(Sheet1!EP368="FM", Sheet1!EP368="OTHER"),SUM(Sheet1!BG368:'Sheet1'!BI368),0)</f>
        <v>0</v>
      </c>
      <c r="BN366" s="545">
        <f>IF(AND($B366&gt;=$FV366,$B366&lt;=$FW366),MAX(BF366,Sheet1!EI368,0),MAX(BF366-(7/36)*$K366,0))</f>
        <v>0</v>
      </c>
      <c r="BO366" s="560">
        <f t="shared" si="706"/>
        <v>0</v>
      </c>
      <c r="BP366" s="545">
        <f t="shared" si="707"/>
        <v>0</v>
      </c>
      <c r="BQ366" s="545">
        <f>IF(AND($O366&gt;0,Sheet1!EM368=1),(1-($O366-Sheet1!$L368)/$O366)*BL366,0)</f>
        <v>0</v>
      </c>
      <c r="BR366" s="545">
        <f>IF(AND(Sheet1!$L368=0,Sheet1!$L367=0, Calculation!BK366&lt;Sheet1!$EI368-0.1,Sheet1!$EI368=Sheet1!$EI367,Sheet1!$EI368=Sheet1!$EI369),Sheet1!$EI368,BL366-BQ366)</f>
        <v>0</v>
      </c>
      <c r="BS366" s="560"/>
      <c r="BT366" s="560"/>
      <c r="BU366" s="560">
        <f t="shared" si="708"/>
        <v>0</v>
      </c>
      <c r="BV366" s="560"/>
      <c r="BW366" s="560">
        <f ca="1">IF(B366&gt;Summary!$A$1,#N/A,BU366*MGtoAF)</f>
        <v>0</v>
      </c>
      <c r="BX366" s="560">
        <f>Sheet1!BC368+Sheet1!BD368+Sheet1!BE368+Sheet1!BF368-CG366-CH366</f>
        <v>2.5</v>
      </c>
      <c r="BY366" s="560">
        <f t="shared" si="709"/>
        <v>2.4752475247524752</v>
      </c>
      <c r="BZ366" s="560">
        <f>IF(Sheet1!EQ368="FM",CH366,0)</f>
        <v>0</v>
      </c>
      <c r="CA366" s="560">
        <f t="shared" si="710"/>
        <v>0</v>
      </c>
      <c r="CB366" s="560">
        <f>IF(Sheet1!EQ368="OTHER",CH366,0)</f>
        <v>0</v>
      </c>
      <c r="CC366" s="560">
        <f t="shared" si="711"/>
        <v>0</v>
      </c>
      <c r="CD366" s="560">
        <f t="shared" si="712"/>
        <v>0</v>
      </c>
      <c r="CE366" s="560">
        <f t="shared" si="713"/>
        <v>2.5</v>
      </c>
      <c r="CF366" s="560">
        <f t="shared" si="714"/>
        <v>2.4752475247524752</v>
      </c>
      <c r="CG366" s="560">
        <f>IF(Sheet1!EQ368="CWA",SUM(Sheet1!BC368:'Sheet1'!BF368),0)</f>
        <v>0</v>
      </c>
      <c r="CH366" s="560">
        <f>IF(OR(Sheet1!EQ368="FM", Sheet1!EQ368="OTHER"),SUM(Sheet1!BC368:'Sheet1'!BF368),0)</f>
        <v>0</v>
      </c>
      <c r="CI366" s="545">
        <f>IF(AND($B366&gt;=$FV366,$B366&lt;=$FW366),MAX(CF366,Sheet1!EJ368,0),MAX(CF366-(7/36)*$K366,0))</f>
        <v>0</v>
      </c>
      <c r="CJ366" s="560">
        <f t="shared" si="715"/>
        <v>0</v>
      </c>
      <c r="CK366" s="545">
        <f t="shared" si="716"/>
        <v>2.4752475247524752</v>
      </c>
      <c r="CL366" s="545">
        <f>IF(AND($O366&gt;0,Sheet1!EN368=1),(1-($O366-Sheet1!$L368)/$O366)*CF366,0)</f>
        <v>0</v>
      </c>
      <c r="CM366" s="545">
        <f>IF(AND(Sheet1!$L368=0,Sheet1!$L367=0, Calculation!CE366&lt;Sheet1!EJ368-0.1,Sheet1!EJ368=Sheet1!EJ367,Sheet1!EJ368=Sheet1!EJ369),Sheet1!EJ368,CF366-CL366)</f>
        <v>2.4752475247524752</v>
      </c>
      <c r="CN366" s="545"/>
      <c r="CO366" s="560"/>
      <c r="CP366" s="560">
        <f t="shared" si="717"/>
        <v>0</v>
      </c>
      <c r="CQ366" s="560"/>
      <c r="CR366" s="560">
        <f ca="1">IF(B366&gt;Summary!$A$1,#N/A,CP366*MGtoAF)</f>
        <v>0</v>
      </c>
      <c r="CS366" s="560">
        <f>Sheet1!BK368+Sheet1!BL368+Sheet1!BM368-Sheet1!ER368-DA366</f>
        <v>6.5</v>
      </c>
      <c r="CT366" s="560">
        <f t="shared" si="718"/>
        <v>6.435643564356436</v>
      </c>
      <c r="CU366" s="560">
        <f>IF(Sheet1!ER368="FM",DA366,0)</f>
        <v>0</v>
      </c>
      <c r="CV366" s="560">
        <f t="shared" si="719"/>
        <v>0</v>
      </c>
      <c r="CW366" s="560">
        <f>IF(Sheet1!ER368="OTHER",DA366,0)</f>
        <v>0</v>
      </c>
      <c r="CX366" s="560">
        <f t="shared" si="720"/>
        <v>0</v>
      </c>
      <c r="CY366" s="560">
        <f t="shared" si="721"/>
        <v>6.5</v>
      </c>
      <c r="CZ366" s="560">
        <f t="shared" si="722"/>
        <v>6.435643564356436</v>
      </c>
      <c r="DA366" s="560">
        <f>IF(OR(Sheet1!ER368="FM", Sheet1!ER368="OTHER"),SUM(Sheet1!BK368:'Sheet1'!BM368),0)</f>
        <v>0</v>
      </c>
      <c r="DB366" s="545">
        <f>IF(AND($B366&gt;=$FV366,$B366&lt;=$FW366),MAX($CT366,Sheet1!EK368,0),MAX($CT366-(7/36)*$K366,0))</f>
        <v>0</v>
      </c>
      <c r="DC366" s="560">
        <f t="shared" si="723"/>
        <v>0</v>
      </c>
      <c r="DD366" s="545">
        <f t="shared" si="724"/>
        <v>6.435643564356436</v>
      </c>
      <c r="DE366" s="545">
        <f>IF(AND($O366&gt;0,Sheet1!EO368=1),(1-($O366-Sheet1!$L368)/$O366)*CZ366,0)</f>
        <v>0</v>
      </c>
      <c r="DF366" s="545">
        <f>IF(AND(Sheet1!$L368=0,Sheet1!$L367=0, Calculation!CY366&lt;Sheet1!$EK368-0.1,Sheet1!$EK368=Sheet1!$EK367,Sheet1!$EK368=Sheet1!$EK369),Sheet1!$EK368,CZ366-DE366)</f>
        <v>6.435643564356436</v>
      </c>
      <c r="DG366" s="545"/>
      <c r="DH366" s="560">
        <f t="shared" si="725"/>
        <v>9</v>
      </c>
      <c r="DI366" s="560">
        <f t="shared" si="726"/>
        <v>0</v>
      </c>
      <c r="DJ366" s="698">
        <f t="shared" si="727"/>
        <v>8.9108910891089117</v>
      </c>
      <c r="DK366" s="560">
        <f ca="1">IF(B366&gt;Summary!$A$1,#N/A,DI366*MGtoAF)</f>
        <v>0</v>
      </c>
      <c r="DL366" s="698">
        <f t="shared" si="728"/>
        <v>9</v>
      </c>
      <c r="DM366" s="560">
        <f t="shared" si="729"/>
        <v>20.2</v>
      </c>
      <c r="DN366" s="560">
        <f>Sheet1!AB368-DM366</f>
        <v>-0.19999999999999929</v>
      </c>
      <c r="DO366" s="560">
        <f t="shared" si="730"/>
        <v>-9.9009900990098664E-3</v>
      </c>
      <c r="DP366" s="560">
        <f>(VLOOKUP(Sheet1!DC368,hhdcap_wcm,4)-(((VLOOKUP(Sheet1!DC368,hhdcap_wcm,3)-Sheet1!DC368)/(VLOOKUP(Sheet1!DC368,hhdcap_wcm,3)-VLOOKUP(Sheet1!DC368,hhdcap_wcm,1)))*(VLOOKUP(Sheet1!DC368,hhdcap_wcm,4)-VLOOKUP(Sheet1!DC368,hhdcap_wcm,2))))</f>
        <v>4080.1000000091517</v>
      </c>
      <c r="DQ366" s="560">
        <f t="shared" si="731"/>
        <v>3081.1000000062868</v>
      </c>
      <c r="DR366" s="560">
        <f t="shared" si="732"/>
        <v>1553.7569339416473</v>
      </c>
      <c r="DS366" s="560">
        <f>Sheet1!EA368*AFtoMG</f>
        <v>0</v>
      </c>
      <c r="DT366" s="560">
        <f>Sheet1!EB368*AFtoMG</f>
        <v>0</v>
      </c>
      <c r="DU366" s="560">
        <f>Sheet1!EC368*AFtoMG</f>
        <v>0</v>
      </c>
      <c r="DV366" s="560">
        <f>Sheet1!ED368*AFtoMG</f>
        <v>0</v>
      </c>
      <c r="DW366" s="560">
        <f t="shared" si="733"/>
        <v>0</v>
      </c>
      <c r="DX366" s="560">
        <f t="shared" si="734"/>
        <v>0</v>
      </c>
      <c r="DY366" s="560">
        <f t="shared" si="735"/>
        <v>0</v>
      </c>
      <c r="DZ366" s="560">
        <f t="shared" si="736"/>
        <v>0</v>
      </c>
      <c r="EA366" s="560"/>
      <c r="EB366" s="545">
        <f>IF(OR(B366&lt;FV366,B366&gt;FW366),(MIN(BF366+BY366+CT366+MAX(Sheet1!AA368+AQ366-73,0),K366)),0)</f>
        <v>8.9108910891089117</v>
      </c>
      <c r="EC366" s="560"/>
      <c r="ED366" s="560">
        <f t="shared" si="737"/>
        <v>8.9108910891089117</v>
      </c>
      <c r="EE366" s="560"/>
      <c r="EF366" s="560">
        <f>Sheet1!EH368+Sheet1!EI368+Sheet1!EJ368+Sheet1!EK368</f>
        <v>9</v>
      </c>
      <c r="EG366" s="560"/>
      <c r="EH366" s="545">
        <f t="shared" si="738"/>
        <v>0</v>
      </c>
      <c r="EI366" s="560">
        <f>IF(Sheet1!ET368=1,SUM('Calculations II'!AT366:BA366)+'Calculations II'!BC366+Sheet1!BV368+'Calculations II'!BE366+AP366,SUM('Calculations II'!AT366:BA366)+'Calculations II'!BC366+Sheet1!BV368+'Calculations II'!BE366+AP366)</f>
        <v>58.073183999999998</v>
      </c>
      <c r="EJ366" s="560">
        <f>Sheet1!AA368+Sheet1!AB368+'Calculations II'!BC366</f>
        <v>50.3</v>
      </c>
      <c r="EK366" s="560"/>
      <c r="EL366" s="560"/>
      <c r="EM366" s="560">
        <f t="shared" si="739"/>
        <v>41994</v>
      </c>
      <c r="EN366" s="560">
        <f t="shared" si="740"/>
        <v>0</v>
      </c>
      <c r="EO366" s="560">
        <f t="shared" si="741"/>
        <v>0</v>
      </c>
      <c r="EP366" s="560">
        <v>0</v>
      </c>
      <c r="EQ366" s="560">
        <v>0</v>
      </c>
      <c r="ER366" s="560">
        <v>0</v>
      </c>
      <c r="ES366" s="545">
        <f t="shared" si="660"/>
        <v>11.05726145129314</v>
      </c>
      <c r="ET366" s="560">
        <f>-(VLOOKUP(Sheet1!BQ368,Lookup!$O$4:$Q$262,2)-VLOOKUP(Sheet1!BQ367,Lookup!$O$4:$Q$262,2))/1000000</f>
        <v>5.5282466022841072</v>
      </c>
      <c r="EU366" s="560">
        <f>-(VLOOKUP(Sheet1!BR368,Lookup!$O$4:$Q$262,3)-VLOOKUP(Sheet1!BR367,Lookup!$O$4:$Q$262,3))/1000000</f>
        <v>5.529014849009033</v>
      </c>
      <c r="EV366" s="560"/>
      <c r="EW366" s="560"/>
      <c r="EX366" s="560"/>
      <c r="EY366" s="560"/>
      <c r="EZ366" s="560"/>
      <c r="FA366" s="560"/>
      <c r="FB366" s="560"/>
      <c r="FC366" s="560"/>
      <c r="FD366" s="594" t="e">
        <f t="shared" si="742"/>
        <v>#N/A</v>
      </c>
      <c r="FE366" s="594" t="e">
        <f t="shared" si="743"/>
        <v>#N/A</v>
      </c>
      <c r="FF366" s="595" t="e">
        <f t="shared" si="744"/>
        <v>#N/A</v>
      </c>
      <c r="FG366" s="596" t="s">
        <v>692</v>
      </c>
      <c r="FH366" s="596" t="s">
        <v>692</v>
      </c>
      <c r="FI366" s="594" t="e">
        <v>#N/A</v>
      </c>
      <c r="FJ366" s="594" t="e">
        <v>#N/A</v>
      </c>
      <c r="FK366" s="560"/>
      <c r="FL366" s="560"/>
      <c r="FM366" s="560"/>
      <c r="FN366" s="560"/>
      <c r="FO366" s="560">
        <f>O366+((Sheet1!CS368)*GPMtoMGD)</f>
        <v>50.3</v>
      </c>
      <c r="FP366" s="560">
        <f>IF(Sheet1!AA368+AQ366&lt;=Calculation!N366,AQ366,Calculation!N366-Sheet1!AA368)</f>
        <v>10.099009900990099</v>
      </c>
      <c r="FQ366" s="560">
        <f>(Sheet1!BP368+Sheet1!BO368)/694.4</f>
        <v>1.9408122119815669</v>
      </c>
      <c r="FR366" s="560"/>
      <c r="FS366" s="560"/>
      <c r="FT366" s="560"/>
      <c r="FU366" s="560"/>
      <c r="FV366" s="695">
        <f t="shared" si="661"/>
        <v>41827</v>
      </c>
      <c r="FW366" s="695">
        <f t="shared" si="662"/>
        <v>41934</v>
      </c>
      <c r="FX366" s="560"/>
      <c r="FY366" s="560"/>
      <c r="FZ366" s="560"/>
      <c r="GA366" s="560"/>
      <c r="GB366" s="560" t="str">
        <f t="shared" si="663"/>
        <v>n</v>
      </c>
      <c r="GC366" s="564">
        <f t="shared" si="664"/>
        <v>41691</v>
      </c>
      <c r="GD366" s="695">
        <f t="shared" si="665"/>
        <v>41807</v>
      </c>
      <c r="GE366" s="560">
        <v>6518.9</v>
      </c>
      <c r="GF366" s="695">
        <f t="shared" si="666"/>
        <v>41808</v>
      </c>
      <c r="GG366" s="560">
        <f t="shared" si="686"/>
        <v>3259</v>
      </c>
      <c r="GH366" s="564">
        <f t="shared" si="667"/>
        <v>41934</v>
      </c>
      <c r="GJ366" s="545">
        <f t="shared" si="668"/>
        <v>0</v>
      </c>
      <c r="GK366" s="560" t="str">
        <f t="shared" si="745"/>
        <v/>
      </c>
      <c r="GL366" s="560">
        <f t="shared" si="669"/>
        <v>0</v>
      </c>
      <c r="GM366" s="560" t="str">
        <f t="shared" si="670"/>
        <v/>
      </c>
      <c r="GN366" s="560">
        <f>IF(GK366="P",Lookup!$M$12,IF(GK366="PP",Lookup!$M$13,IF(GK366="PPP",Lookup!$M$14,IF(GK366="T",Lookup!$M$15,IF(GK366="TP",Lookup!$M$16,IF(GK366="TPP",Lookup!$M$17,IF(GK366="TPPP",Lookup!$M$18,0)))))))*GJ366</f>
        <v>0</v>
      </c>
      <c r="GO366" s="560">
        <f t="shared" si="671"/>
        <v>0</v>
      </c>
      <c r="GP366" s="560">
        <f t="shared" si="746"/>
        <v>0</v>
      </c>
      <c r="GQ366" s="560">
        <f t="shared" si="679"/>
        <v>0</v>
      </c>
      <c r="GR366" s="560"/>
      <c r="GS366" s="560">
        <f t="shared" si="672"/>
        <v>0</v>
      </c>
      <c r="GT366" s="560" t="str">
        <f t="shared" si="673"/>
        <v/>
      </c>
      <c r="GU366" s="560">
        <f>IF(GK366="P",Lookup!$N$12,IF(GK366="PP",Lookup!$N$13,IF(GK366="PPP",Lookup!$N$14,IF(GK366="T",Lookup!$N$15,IF(GK366="TP",Lookup!$N$16,IF(GK366="TPP",Lookup!$N$17,IF(GK366="TPPP",Lookup!$N$18,0)))))))*GJ366</f>
        <v>0</v>
      </c>
      <c r="GV366" s="560">
        <f t="shared" si="674"/>
        <v>0</v>
      </c>
      <c r="GW366" s="560">
        <f t="shared" si="747"/>
        <v>0</v>
      </c>
      <c r="GX366" s="560">
        <f t="shared" si="680"/>
        <v>0</v>
      </c>
      <c r="GY366" s="560"/>
      <c r="GZ366" s="560">
        <f t="shared" si="675"/>
        <v>0</v>
      </c>
      <c r="HA366" s="560" t="str">
        <f t="shared" si="676"/>
        <v/>
      </c>
      <c r="HB366" s="560">
        <f>IF(GK366="P",Lookup!$N$12,IF(GK366="PP",Lookup!$N$13,IF(GK366="PPP",Lookup!$N$14,IF(GK366="T",Lookup!$N$15,IF(GK366="TP",Lookup!$N$16,IF(GK366="TPP",Lookup!$N$17,IF(GK366="TPPP",Lookup!$N$18,0)))))))*GJ366</f>
        <v>0</v>
      </c>
      <c r="HC366" s="545">
        <f t="shared" si="748"/>
        <v>0</v>
      </c>
      <c r="HD366" s="560">
        <f t="shared" si="749"/>
        <v>0</v>
      </c>
      <c r="HE366" s="560">
        <f t="shared" si="681"/>
        <v>0</v>
      </c>
      <c r="HF366" s="560"/>
      <c r="HG366" s="560">
        <f t="shared" si="677"/>
        <v>0</v>
      </c>
      <c r="HH366" s="560" t="str">
        <f t="shared" si="678"/>
        <v/>
      </c>
      <c r="HI366" s="560">
        <f>IF(GK366="P",Lookup!$N$12,IF(GK366="PP",Lookup!$N$13,IF(GK366="PPP",Lookup!$N$14,IF(GK366="T",Lookup!$N$15,IF(GK366="TP",Lookup!$N$16,IF(GK366="TPP",Lookup!$N$17,IF(GK366="TPPP",Lookup!$N$18,0)))))))*GJ366</f>
        <v>0</v>
      </c>
      <c r="HJ366" s="545">
        <f t="shared" si="750"/>
        <v>0</v>
      </c>
      <c r="HK366" s="560">
        <f t="shared" si="751"/>
        <v>0</v>
      </c>
      <c r="HL366" s="560">
        <f t="shared" si="682"/>
        <v>0</v>
      </c>
    </row>
    <row r="367" spans="1:220">
      <c r="A367" s="580" t="s">
        <v>4</v>
      </c>
      <c r="B367" s="556">
        <v>41995</v>
      </c>
      <c r="C367" s="561">
        <v>0</v>
      </c>
      <c r="D367" s="529">
        <f t="shared" si="684"/>
        <v>300</v>
      </c>
      <c r="E367" s="529">
        <f t="shared" si="685"/>
        <v>250</v>
      </c>
      <c r="F367" s="529">
        <v>250</v>
      </c>
      <c r="G367" s="560">
        <f>DR367+Sheet1!CZ369</f>
        <v>2989.2788703979336</v>
      </c>
      <c r="H367" s="914">
        <f t="shared" si="650"/>
        <v>1665.3066618252242</v>
      </c>
      <c r="I367" s="559">
        <f>MAX(Sheet1!Z369-AT367+(Sheet1!DA369-E367)*CFStoMGD,0)</f>
        <v>2437.5360000000001</v>
      </c>
      <c r="J367" s="562">
        <f>IF(AND(B367&gt;=Calculation!GC367,B367&lt;=Calculation!GD367),IF(Sheet1!DB369&gt;=Calculation!D367,64.64,0),MAX(Sheet1!Z369-AT367+(Sheet1!DB369-D367)*CFStoMGD,0))</f>
        <v>1907.4879999999998</v>
      </c>
      <c r="K367" s="904">
        <f t="shared" si="687"/>
        <v>64.64</v>
      </c>
      <c r="L367" s="560">
        <f>Sheet1!AA369+Sheet1!AB369-Sheet1!L369+(Sheet1!DA369-F367)*CFStoMGD</f>
        <v>2422.1659999999988</v>
      </c>
      <c r="M367" s="560">
        <f t="shared" si="688"/>
        <v>1970.9152590617289</v>
      </c>
      <c r="N367" s="910">
        <f>IF(Sheet1!DA369&gt;=F367,MIN(73,MIN(MAX(L367,0),MAX(M367,0))),0)</f>
        <v>73</v>
      </c>
      <c r="O367" s="563">
        <f>Sheet1!AA369+Sheet1!AB369</f>
        <v>50.1</v>
      </c>
      <c r="P367" s="563">
        <f t="shared" si="689"/>
        <v>77.5047</v>
      </c>
      <c r="Q367" s="898">
        <f t="shared" si="651"/>
        <v>0</v>
      </c>
      <c r="R367" s="829">
        <f t="shared" si="690"/>
        <v>8.8717511289513311</v>
      </c>
      <c r="S367" s="698">
        <f t="shared" si="683"/>
        <v>50.1</v>
      </c>
      <c r="T367" s="898">
        <f t="shared" si="652"/>
        <v>0</v>
      </c>
      <c r="U367" s="898">
        <f t="shared" si="653"/>
        <v>0</v>
      </c>
      <c r="V367" s="898"/>
      <c r="W367" s="898">
        <f t="shared" si="654"/>
        <v>55.768248871048669</v>
      </c>
      <c r="X367" s="898">
        <f t="shared" si="655"/>
        <v>50.1</v>
      </c>
      <c r="Y367" s="898" t="str">
        <f t="shared" si="656"/>
        <v/>
      </c>
      <c r="Z367" s="898">
        <f t="shared" si="657"/>
        <v>50.1</v>
      </c>
      <c r="AA367" s="898">
        <f t="shared" si="658"/>
        <v>50.1</v>
      </c>
      <c r="AB367" s="898" t="str">
        <f t="shared" si="659"/>
        <v/>
      </c>
      <c r="AC367" s="563">
        <f>Sheet1!Y369*MGDtoCFS</f>
        <v>46.874099999999999</v>
      </c>
      <c r="AD367" s="563">
        <f>Sheet1!Z369*MGDtoCFS</f>
        <v>30.939999999999998</v>
      </c>
      <c r="AE367" s="563">
        <f>Sheet1!AA369*MGDtoCFS</f>
        <v>46.874099999999999</v>
      </c>
      <c r="AF367" s="563">
        <f>Sheet1!AB369*MGDtoCFS</f>
        <v>30.630600000000001</v>
      </c>
      <c r="AG367" s="563">
        <f>Sheet1!L369*MGDtoCFS</f>
        <v>70.342090000001804</v>
      </c>
      <c r="AH367" s="545">
        <f t="shared" si="691"/>
        <v>0</v>
      </c>
      <c r="AI367" s="560">
        <f t="shared" si="692"/>
        <v>0</v>
      </c>
      <c r="AJ367" s="560">
        <f t="shared" si="693"/>
        <v>0</v>
      </c>
      <c r="AK367" s="560">
        <f t="shared" si="694"/>
        <v>0</v>
      </c>
      <c r="AL367" s="560">
        <f>(VLOOKUP(Sheet1!DC369,hhdcap_wcm,4)-(((VLOOKUP(Sheet1!DC369,hhdcap_wcm,3)-Sheet1!DC369)/(VLOOKUP(Sheet1!DC369,hhdcap_wcm,3)-VLOOKUP(Sheet1!DC369,hhdcap_wcm,1)))*(VLOOKUP(Sheet1!DC369,hhdcap_wcm,4)-VLOOKUP(Sheet1!DC369,hhdcap_wcm,2))))</f>
        <v>3503.6000000082536</v>
      </c>
      <c r="AM367" s="560">
        <f t="shared" si="695"/>
        <v>-576.50000000089813</v>
      </c>
      <c r="AN367" s="560">
        <f t="shared" si="696"/>
        <v>0</v>
      </c>
      <c r="AO367" s="560">
        <f t="shared" si="697"/>
        <v>0</v>
      </c>
      <c r="AP367" s="560">
        <f>Sheet1!BA369+Sheet1!BB369+Sheet1!BN369+CD367</f>
        <v>11</v>
      </c>
      <c r="AQ367" s="560">
        <f>Sheet1!BN369+(DO367*Sheet1!BN369)</f>
        <v>9.9347717009533376</v>
      </c>
      <c r="AR367" s="560">
        <f>Sheet1!BA369+CD367</f>
        <v>0</v>
      </c>
      <c r="AS367" s="560">
        <f>Sheet1!BA369+Sheet1!BB369+CD367</f>
        <v>1</v>
      </c>
      <c r="AT367" s="698">
        <f>0</f>
        <v>0</v>
      </c>
      <c r="AU367" s="560">
        <f>IF(EB367&lt;K367,0,MAX(Sheet1!AA369+AQ367-15/36*K367-N367,Sheet1!EH369,0))</f>
        <v>0</v>
      </c>
      <c r="AV367" s="560">
        <f>IF(OR(B367&gt;=GD367,B367&lt;GC367),0,15/36*K367-MAX(0,64.6-(137.6-(Sheet1!AA369+Sheet1!AB369))))</f>
        <v>0</v>
      </c>
      <c r="AW367" s="698">
        <f>Sheet1!DB369-110</f>
        <v>3110</v>
      </c>
      <c r="AX367" s="698">
        <f>Sheet1!DA369-265</f>
        <v>3725</v>
      </c>
      <c r="AY367" s="698">
        <f t="shared" si="698"/>
        <v>73</v>
      </c>
      <c r="AZ367" s="698">
        <v>0</v>
      </c>
      <c r="BA367" s="698">
        <f t="shared" si="699"/>
        <v>0</v>
      </c>
      <c r="BB367" s="560">
        <f t="shared" si="700"/>
        <v>0</v>
      </c>
      <c r="BC367" s="560"/>
      <c r="BD367" s="560">
        <f ca="1">IF(B367&gt;Summary!$A$1,#N/A,BB367*MGtoAF)</f>
        <v>0</v>
      </c>
      <c r="BE367" s="560">
        <f>Sheet1!BG369+Sheet1!BH369+Sheet1!BI369-BM367</f>
        <v>0</v>
      </c>
      <c r="BF367" s="560">
        <f t="shared" si="701"/>
        <v>0</v>
      </c>
      <c r="BG367" s="560">
        <f>IF(Sheet1!EP369="FM",BM367,0)</f>
        <v>0</v>
      </c>
      <c r="BH367" s="560">
        <f t="shared" si="702"/>
        <v>0</v>
      </c>
      <c r="BI367" s="560">
        <f>IF(Sheet1!EP369="OTHER",BM367,0)</f>
        <v>0</v>
      </c>
      <c r="BJ367" s="560">
        <f t="shared" si="703"/>
        <v>0</v>
      </c>
      <c r="BK367" s="560">
        <f t="shared" si="704"/>
        <v>0</v>
      </c>
      <c r="BL367" s="560">
        <f t="shared" si="705"/>
        <v>0</v>
      </c>
      <c r="BM367" s="560">
        <f>IF(OR(Sheet1!EP369="FM", Sheet1!EP369="OTHER"),SUM(Sheet1!BG369:'Sheet1'!BI369),0)</f>
        <v>0</v>
      </c>
      <c r="BN367" s="545">
        <f>IF(AND($B367&gt;=$FV367,$B367&lt;=$FW367),MAX(BF367,Sheet1!EI369,0),MAX(BF367-(7/36)*$K367,0))</f>
        <v>0</v>
      </c>
      <c r="BO367" s="560">
        <f t="shared" si="706"/>
        <v>0</v>
      </c>
      <c r="BP367" s="545">
        <f t="shared" si="707"/>
        <v>0</v>
      </c>
      <c r="BQ367" s="545">
        <f>IF(AND($O367&gt;0,Sheet1!EM369=1),(1-($O367-Sheet1!$L369)/$O367)*BL367,0)</f>
        <v>0</v>
      </c>
      <c r="BR367" s="545">
        <f>IF(AND(Sheet1!$L369=0,Sheet1!$L368=0, Calculation!BK367&lt;Sheet1!$EI369-0.1,Sheet1!$EI369=Sheet1!$EI368,Sheet1!$EI369=Sheet1!$EI370),Sheet1!$EI369,BL367-BQ367)</f>
        <v>0</v>
      </c>
      <c r="BS367" s="560"/>
      <c r="BT367" s="560"/>
      <c r="BU367" s="560">
        <f t="shared" si="708"/>
        <v>0</v>
      </c>
      <c r="BV367" s="560"/>
      <c r="BW367" s="560">
        <f ca="1">IF(B367&gt;Summary!$A$1,#N/A,BU367*MGtoAF)</f>
        <v>0</v>
      </c>
      <c r="BX367" s="560">
        <f>Sheet1!BC369+Sheet1!BD369+Sheet1!BE369+Sheet1!BF369-CG367-CH367</f>
        <v>2.5</v>
      </c>
      <c r="BY367" s="560">
        <f t="shared" si="709"/>
        <v>2.4836929252383344</v>
      </c>
      <c r="BZ367" s="560">
        <f>IF(Sheet1!EQ369="FM",CH367,0)</f>
        <v>0</v>
      </c>
      <c r="CA367" s="560">
        <f t="shared" si="710"/>
        <v>0</v>
      </c>
      <c r="CB367" s="560">
        <f>IF(Sheet1!EQ369="OTHER",CH367,0)</f>
        <v>0</v>
      </c>
      <c r="CC367" s="560">
        <f t="shared" si="711"/>
        <v>0</v>
      </c>
      <c r="CD367" s="560">
        <f t="shared" si="712"/>
        <v>0</v>
      </c>
      <c r="CE367" s="560">
        <f t="shared" si="713"/>
        <v>2.5</v>
      </c>
      <c r="CF367" s="560">
        <f t="shared" si="714"/>
        <v>2.4836929252383344</v>
      </c>
      <c r="CG367" s="560">
        <f>IF(Sheet1!EQ369="CWA",SUM(Sheet1!BC369:'Sheet1'!BF369),0)</f>
        <v>0</v>
      </c>
      <c r="CH367" s="560">
        <f>IF(OR(Sheet1!EQ369="FM", Sheet1!EQ369="OTHER"),SUM(Sheet1!BC369:'Sheet1'!BF369),0)</f>
        <v>0</v>
      </c>
      <c r="CI367" s="545">
        <f>IF(AND($B367&gt;=$FV367,$B367&lt;=$FW367),MAX(CF367,Sheet1!EJ369,0),MAX(CF367-(7/36)*$K367,0))</f>
        <v>0</v>
      </c>
      <c r="CJ367" s="560">
        <f t="shared" si="715"/>
        <v>0</v>
      </c>
      <c r="CK367" s="545">
        <f t="shared" si="716"/>
        <v>2.4836929252383344</v>
      </c>
      <c r="CL367" s="545">
        <f>IF(AND($O367&gt;0,Sheet1!EN369=1),(1-($O367-Sheet1!$L369)/$O367)*CF367,0)</f>
        <v>0</v>
      </c>
      <c r="CM367" s="545">
        <f>IF(AND(Sheet1!$L369=0,Sheet1!$L368=0, Calculation!CE367&lt;Sheet1!EJ369-0.1,Sheet1!EJ369=Sheet1!EJ368,Sheet1!EJ369=Sheet1!EJ370),Sheet1!EJ369,CF367-CL367)</f>
        <v>2.4836929252383344</v>
      </c>
      <c r="CN367" s="545"/>
      <c r="CO367" s="560"/>
      <c r="CP367" s="560">
        <f t="shared" si="717"/>
        <v>0</v>
      </c>
      <c r="CQ367" s="560"/>
      <c r="CR367" s="560">
        <f ca="1">IF(B367&gt;Summary!$A$1,#N/A,CP367*MGtoAF)</f>
        <v>0</v>
      </c>
      <c r="CS367" s="560">
        <f>Sheet1!BK369+Sheet1!BL369+Sheet1!BM369-Sheet1!ER369-DA367</f>
        <v>6.43</v>
      </c>
      <c r="CT367" s="560">
        <f t="shared" si="718"/>
        <v>6.3880582037129958</v>
      </c>
      <c r="CU367" s="560">
        <f>IF(Sheet1!ER369="FM",DA367,0)</f>
        <v>0</v>
      </c>
      <c r="CV367" s="560">
        <f t="shared" si="719"/>
        <v>0</v>
      </c>
      <c r="CW367" s="560">
        <f>IF(Sheet1!ER369="OTHER",DA367,0)</f>
        <v>0</v>
      </c>
      <c r="CX367" s="560">
        <f t="shared" si="720"/>
        <v>0</v>
      </c>
      <c r="CY367" s="560">
        <f t="shared" si="721"/>
        <v>6.43</v>
      </c>
      <c r="CZ367" s="560">
        <f t="shared" si="722"/>
        <v>6.3880582037129958</v>
      </c>
      <c r="DA367" s="560">
        <f>IF(OR(Sheet1!ER369="FM", Sheet1!ER369="OTHER"),SUM(Sheet1!BK369:'Sheet1'!BM369),0)</f>
        <v>0</v>
      </c>
      <c r="DB367" s="545">
        <f>IF(AND($B367&gt;=$FV367,$B367&lt;=$FW367),MAX($CT367,Sheet1!EK369,0),MAX($CT367-(7/36)*$K367,0))</f>
        <v>0</v>
      </c>
      <c r="DC367" s="560">
        <f t="shared" si="723"/>
        <v>0</v>
      </c>
      <c r="DD367" s="545">
        <f t="shared" si="724"/>
        <v>6.3880582037129958</v>
      </c>
      <c r="DE367" s="545">
        <f>IF(AND($O367&gt;0,Sheet1!EO369=1),(1-($O367-Sheet1!$L369)/$O367)*CZ367,0)</f>
        <v>0</v>
      </c>
      <c r="DF367" s="545">
        <f>IF(AND(Sheet1!$L369=0,Sheet1!$L368=0, Calculation!CY367&lt;Sheet1!$EK369-0.1,Sheet1!$EK369=Sheet1!$EK368,Sheet1!$EK369=Sheet1!$EK370),Sheet1!$EK369,CZ367-DE367)</f>
        <v>6.3880582037129958</v>
      </c>
      <c r="DG367" s="545"/>
      <c r="DH367" s="560">
        <f t="shared" si="725"/>
        <v>8.93</v>
      </c>
      <c r="DI367" s="560">
        <f t="shared" si="726"/>
        <v>0</v>
      </c>
      <c r="DJ367" s="698">
        <f t="shared" si="727"/>
        <v>8.8717511289513311</v>
      </c>
      <c r="DK367" s="560">
        <f ca="1">IF(B367&gt;Summary!$A$1,#N/A,DI367*MGtoAF)</f>
        <v>0</v>
      </c>
      <c r="DL367" s="698">
        <f t="shared" si="728"/>
        <v>8.93</v>
      </c>
      <c r="DM367" s="560">
        <f t="shared" si="729"/>
        <v>19.93</v>
      </c>
      <c r="DN367" s="560">
        <f>Sheet1!AB369-DM367</f>
        <v>-0.12999999999999901</v>
      </c>
      <c r="DO367" s="560">
        <f t="shared" si="730"/>
        <v>-6.5228299046662819E-3</v>
      </c>
      <c r="DP367" s="560">
        <f>(VLOOKUP(Sheet1!DC369,hhdcap_wcm,4)-(((VLOOKUP(Sheet1!DC369,hhdcap_wcm,3)-Sheet1!DC369)/(VLOOKUP(Sheet1!DC369,hhdcap_wcm,3)-VLOOKUP(Sheet1!DC369,hhdcap_wcm,1)))*(VLOOKUP(Sheet1!DC369,hhdcap_wcm,4)-VLOOKUP(Sheet1!DC369,hhdcap_wcm,2))))</f>
        <v>3503.6000000082536</v>
      </c>
      <c r="DQ367" s="560">
        <f t="shared" si="731"/>
        <v>-576.50000000089813</v>
      </c>
      <c r="DR367" s="560">
        <f t="shared" si="732"/>
        <v>-290.72112960206658</v>
      </c>
      <c r="DS367" s="560">
        <f>Sheet1!EA369*AFtoMG</f>
        <v>0</v>
      </c>
      <c r="DT367" s="560">
        <f>Sheet1!EB369*AFtoMG</f>
        <v>0</v>
      </c>
      <c r="DU367" s="560">
        <f>Sheet1!EC369*AFtoMG</f>
        <v>0</v>
      </c>
      <c r="DV367" s="560">
        <f>Sheet1!ED369*AFtoMG</f>
        <v>0</v>
      </c>
      <c r="DW367" s="560">
        <f t="shared" si="733"/>
        <v>0</v>
      </c>
      <c r="DX367" s="560">
        <f t="shared" si="734"/>
        <v>0</v>
      </c>
      <c r="DY367" s="560">
        <f t="shared" si="735"/>
        <v>0</v>
      </c>
      <c r="DZ367" s="560">
        <f t="shared" si="736"/>
        <v>0</v>
      </c>
      <c r="EA367" s="560"/>
      <c r="EB367" s="545">
        <f>IF(OR(B367&lt;FV367,B367&gt;FW367),(MIN(BF367+BY367+CT367+MAX(Sheet1!AA369+AQ367-73,0),K367)),0)</f>
        <v>8.8717511289513311</v>
      </c>
      <c r="EC367" s="560"/>
      <c r="ED367" s="560">
        <f t="shared" si="737"/>
        <v>8.8717511289513311</v>
      </c>
      <c r="EE367" s="560"/>
      <c r="EF367" s="560">
        <f>Sheet1!EH369+Sheet1!EI369+Sheet1!EJ369+Sheet1!EK369</f>
        <v>9</v>
      </c>
      <c r="EG367" s="560"/>
      <c r="EH367" s="545">
        <f t="shared" si="738"/>
        <v>0</v>
      </c>
      <c r="EI367" s="560">
        <f>IF(Sheet1!ET369=1,SUM('Calculations II'!AT367:BA367)+'Calculations II'!BC367+Sheet1!BV369+'Calculations II'!BE367+AP367,SUM('Calculations II'!AT367:BA367)+'Calculations II'!BC367+Sheet1!BV369+'Calculations II'!BE367+AP367)</f>
        <v>47.832048</v>
      </c>
      <c r="EJ367" s="560">
        <f>Sheet1!AA369+Sheet1!AB369+'Calculations II'!BC367</f>
        <v>52.750032000000004</v>
      </c>
      <c r="EK367" s="560"/>
      <c r="EL367" s="560"/>
      <c r="EM367" s="560">
        <f t="shared" si="739"/>
        <v>41995</v>
      </c>
      <c r="EN367" s="560">
        <f t="shared" si="740"/>
        <v>0</v>
      </c>
      <c r="EO367" s="560">
        <f t="shared" si="741"/>
        <v>0</v>
      </c>
      <c r="EP367" s="560">
        <v>0</v>
      </c>
      <c r="EQ367" s="560">
        <v>0</v>
      </c>
      <c r="ER367" s="560">
        <v>0</v>
      </c>
      <c r="ES367" s="545">
        <f t="shared" si="660"/>
        <v>-1.6572833389672077</v>
      </c>
      <c r="ET367" s="560">
        <f>-(VLOOKUP(Sheet1!BQ369,Lookup!$O$4:$Q$262,2)-VLOOKUP(Sheet1!BQ368,Lookup!$O$4:$Q$262,2))/1000000</f>
        <v>-0.82858407359264041</v>
      </c>
      <c r="EU367" s="560">
        <f>-(VLOOKUP(Sheet1!BR369,Lookup!$O$4:$Q$262,3)-VLOOKUP(Sheet1!BR368,Lookup!$O$4:$Q$262,3))/1000000</f>
        <v>-0.8286992653745674</v>
      </c>
      <c r="EV367" s="560"/>
      <c r="EW367" s="560"/>
      <c r="EX367" s="560"/>
      <c r="EY367" s="560"/>
      <c r="EZ367" s="560"/>
      <c r="FA367" s="560"/>
      <c r="FB367" s="560"/>
      <c r="FC367" s="560"/>
      <c r="FD367" s="594" t="e">
        <f t="shared" si="742"/>
        <v>#N/A</v>
      </c>
      <c r="FE367" s="594" t="e">
        <f t="shared" si="743"/>
        <v>#N/A</v>
      </c>
      <c r="FF367" s="595" t="e">
        <f t="shared" si="744"/>
        <v>#N/A</v>
      </c>
      <c r="FG367" s="596" t="s">
        <v>692</v>
      </c>
      <c r="FH367" s="596" t="s">
        <v>692</v>
      </c>
      <c r="FI367" s="594" t="e">
        <v>#N/A</v>
      </c>
      <c r="FJ367" s="594" t="e">
        <v>#N/A</v>
      </c>
      <c r="FK367" s="560"/>
      <c r="FL367" s="560"/>
      <c r="FM367" s="560"/>
      <c r="FN367" s="560"/>
      <c r="FO367" s="560">
        <f>O367+((Sheet1!CS369)*GPMtoMGD)</f>
        <v>52.750032000000004</v>
      </c>
      <c r="FP367" s="560">
        <f>IF(Sheet1!AA369+AQ367&lt;=Calculation!N367,AQ367,Calculation!N367-Sheet1!AA369)</f>
        <v>9.9347717009533376</v>
      </c>
      <c r="FQ367" s="560">
        <f>(Sheet1!BP369+Sheet1!BO369)/694.4</f>
        <v>0.54781105990783407</v>
      </c>
      <c r="FR367" s="560"/>
      <c r="FS367" s="560"/>
      <c r="FT367" s="560"/>
      <c r="FU367" s="560"/>
      <c r="FV367" s="695">
        <f t="shared" si="661"/>
        <v>41827</v>
      </c>
      <c r="FW367" s="695">
        <f t="shared" si="662"/>
        <v>41934</v>
      </c>
      <c r="FX367" s="560"/>
      <c r="FY367" s="560"/>
      <c r="FZ367" s="560"/>
      <c r="GA367" s="560"/>
      <c r="GB367" s="560" t="str">
        <f t="shared" si="663"/>
        <v>n</v>
      </c>
      <c r="GC367" s="564">
        <f t="shared" si="664"/>
        <v>41691</v>
      </c>
      <c r="GD367" s="695">
        <f t="shared" si="665"/>
        <v>41807</v>
      </c>
      <c r="GE367" s="560">
        <v>6518.9</v>
      </c>
      <c r="GF367" s="695">
        <f t="shared" si="666"/>
        <v>41808</v>
      </c>
      <c r="GG367" s="560">
        <f t="shared" si="686"/>
        <v>3259</v>
      </c>
      <c r="GH367" s="564">
        <f t="shared" si="667"/>
        <v>41934</v>
      </c>
      <c r="GJ367" s="545">
        <f t="shared" si="668"/>
        <v>0</v>
      </c>
      <c r="GK367" s="560" t="str">
        <f t="shared" si="745"/>
        <v/>
      </c>
      <c r="GL367" s="560">
        <f t="shared" si="669"/>
        <v>0</v>
      </c>
      <c r="GM367" s="560" t="str">
        <f t="shared" si="670"/>
        <v/>
      </c>
      <c r="GN367" s="560">
        <f>IF(GK367="P",Lookup!$M$12,IF(GK367="PP",Lookup!$M$13,IF(GK367="PPP",Lookup!$M$14,IF(GK367="T",Lookup!$M$15,IF(GK367="TP",Lookup!$M$16,IF(GK367="TPP",Lookup!$M$17,IF(GK367="TPPP",Lookup!$M$18,0)))))))*GJ367</f>
        <v>0</v>
      </c>
      <c r="GO367" s="560">
        <f t="shared" si="671"/>
        <v>0</v>
      </c>
      <c r="GP367" s="560">
        <f t="shared" si="746"/>
        <v>0</v>
      </c>
      <c r="GQ367" s="560">
        <f t="shared" si="679"/>
        <v>0</v>
      </c>
      <c r="GR367" s="560"/>
      <c r="GS367" s="560">
        <f t="shared" si="672"/>
        <v>0</v>
      </c>
      <c r="GT367" s="560" t="str">
        <f t="shared" si="673"/>
        <v/>
      </c>
      <c r="GU367" s="560">
        <f>IF(GK367="P",Lookup!$N$12,IF(GK367="PP",Lookup!$N$13,IF(GK367="PPP",Lookup!$N$14,IF(GK367="T",Lookup!$N$15,IF(GK367="TP",Lookup!$N$16,IF(GK367="TPP",Lookup!$N$17,IF(GK367="TPPP",Lookup!$N$18,0)))))))*GJ367</f>
        <v>0</v>
      </c>
      <c r="GV367" s="560">
        <f t="shared" si="674"/>
        <v>0</v>
      </c>
      <c r="GW367" s="560">
        <f t="shared" si="747"/>
        <v>0</v>
      </c>
      <c r="GX367" s="560">
        <f t="shared" si="680"/>
        <v>0</v>
      </c>
      <c r="GY367" s="560"/>
      <c r="GZ367" s="560">
        <f t="shared" si="675"/>
        <v>0</v>
      </c>
      <c r="HA367" s="560" t="str">
        <f t="shared" si="676"/>
        <v/>
      </c>
      <c r="HB367" s="560">
        <f>IF(GK367="P",Lookup!$N$12,IF(GK367="PP",Lookup!$N$13,IF(GK367="PPP",Lookup!$N$14,IF(GK367="T",Lookup!$N$15,IF(GK367="TP",Lookup!$N$16,IF(GK367="TPP",Lookup!$N$17,IF(GK367="TPPP",Lookup!$N$18,0)))))))*GJ367</f>
        <v>0</v>
      </c>
      <c r="HC367" s="545">
        <f t="shared" si="748"/>
        <v>0</v>
      </c>
      <c r="HD367" s="560">
        <f t="shared" si="749"/>
        <v>0</v>
      </c>
      <c r="HE367" s="560">
        <f t="shared" si="681"/>
        <v>0</v>
      </c>
      <c r="HF367" s="560"/>
      <c r="HG367" s="560">
        <f t="shared" si="677"/>
        <v>0</v>
      </c>
      <c r="HH367" s="560" t="str">
        <f t="shared" si="678"/>
        <v/>
      </c>
      <c r="HI367" s="560">
        <f>IF(GK367="P",Lookup!$N$12,IF(GK367="PP",Lookup!$N$13,IF(GK367="PPP",Lookup!$N$14,IF(GK367="T",Lookup!$N$15,IF(GK367="TP",Lookup!$N$16,IF(GK367="TPP",Lookup!$N$17,IF(GK367="TPPP",Lookup!$N$18,0)))))))*GJ367</f>
        <v>0</v>
      </c>
      <c r="HJ367" s="545">
        <f t="shared" si="750"/>
        <v>0</v>
      </c>
      <c r="HK367" s="560">
        <f t="shared" si="751"/>
        <v>0</v>
      </c>
      <c r="HL367" s="560">
        <f t="shared" si="682"/>
        <v>0</v>
      </c>
    </row>
    <row r="368" spans="1:220">
      <c r="A368" s="580" t="s">
        <v>5</v>
      </c>
      <c r="B368" s="556">
        <v>41996</v>
      </c>
      <c r="C368" s="561">
        <v>0</v>
      </c>
      <c r="D368" s="529">
        <f t="shared" si="684"/>
        <v>300</v>
      </c>
      <c r="E368" s="529">
        <f t="shared" si="685"/>
        <v>250</v>
      </c>
      <c r="F368" s="529">
        <v>250</v>
      </c>
      <c r="G368" s="560">
        <f>DR368+Sheet1!CZ370</f>
        <v>3426.3187090283482</v>
      </c>
      <c r="H368" s="914">
        <f t="shared" si="650"/>
        <v>1947.8092135159243</v>
      </c>
      <c r="I368" s="559">
        <f>MAX(Sheet1!Z370-AT368+(Sheet1!DA370-E368)*CFStoMGD,0)</f>
        <v>2133.5280000000002</v>
      </c>
      <c r="J368" s="562">
        <f>IF(AND(B368&gt;=Calculation!GC368,B368&lt;=Calculation!GD368),IF(Sheet1!DB370&gt;=Calculation!D368,64.64,0),MAX(Sheet1!Z370-AT368+(Sheet1!DB370-D368)*CFStoMGD,0))</f>
        <v>1584.088</v>
      </c>
      <c r="K368" s="904">
        <f t="shared" si="687"/>
        <v>64.64</v>
      </c>
      <c r="L368" s="560">
        <f>Sheet1!AA370+Sheet1!AB370-Sheet1!L370+(Sheet1!DA370-F368)*CFStoMGD</f>
        <v>2119.7779999999998</v>
      </c>
      <c r="M368" s="560">
        <f t="shared" si="688"/>
        <v>2259.0678617862427</v>
      </c>
      <c r="N368" s="910">
        <f>IF(Sheet1!DA370&gt;=F368,MIN(73,MIN(MAX(L368,0),MAX(M368,0))),0)</f>
        <v>73</v>
      </c>
      <c r="O368" s="563">
        <f>Sheet1!AA370+Sheet1!AB370</f>
        <v>49.32</v>
      </c>
      <c r="P368" s="563">
        <f t="shared" si="689"/>
        <v>76.298039999999986</v>
      </c>
      <c r="Q368" s="898">
        <f t="shared" si="651"/>
        <v>0</v>
      </c>
      <c r="R368" s="829">
        <f t="shared" si="690"/>
        <v>8.9142857142857146</v>
      </c>
      <c r="S368" s="698">
        <f t="shared" si="683"/>
        <v>49.32</v>
      </c>
      <c r="T368" s="898">
        <f t="shared" si="652"/>
        <v>0</v>
      </c>
      <c r="U368" s="898">
        <f t="shared" si="653"/>
        <v>0</v>
      </c>
      <c r="V368" s="898"/>
      <c r="W368" s="898">
        <f t="shared" si="654"/>
        <v>55.72571428571429</v>
      </c>
      <c r="X368" s="898">
        <f t="shared" si="655"/>
        <v>49.32</v>
      </c>
      <c r="Y368" s="898" t="str">
        <f t="shared" si="656"/>
        <v/>
      </c>
      <c r="Z368" s="898">
        <f t="shared" si="657"/>
        <v>49.32</v>
      </c>
      <c r="AA368" s="898">
        <f t="shared" si="658"/>
        <v>49.32</v>
      </c>
      <c r="AB368" s="898" t="str">
        <f t="shared" si="659"/>
        <v/>
      </c>
      <c r="AC368" s="563">
        <f>Sheet1!Y370*MGDtoCFS</f>
        <v>46.874099999999999</v>
      </c>
      <c r="AD368" s="563">
        <f>Sheet1!Z370*MGDtoCFS</f>
        <v>30.630600000000001</v>
      </c>
      <c r="AE368" s="563">
        <f>Sheet1!AA370*MGDtoCFS</f>
        <v>44.120439999999995</v>
      </c>
      <c r="AF368" s="563">
        <f>Sheet1!AB370*MGDtoCFS</f>
        <v>32.177599999999998</v>
      </c>
      <c r="AG368" s="563">
        <f>Sheet1!L370*MGDtoCFS</f>
        <v>66.938690000000676</v>
      </c>
      <c r="AH368" s="545">
        <f t="shared" si="691"/>
        <v>0</v>
      </c>
      <c r="AI368" s="560">
        <f t="shared" si="692"/>
        <v>0</v>
      </c>
      <c r="AJ368" s="560">
        <f t="shared" si="693"/>
        <v>0</v>
      </c>
      <c r="AK368" s="560">
        <f t="shared" si="694"/>
        <v>0</v>
      </c>
      <c r="AL368" s="560">
        <f>(VLOOKUP(Sheet1!DC370,hhdcap_wcm,4)-(((VLOOKUP(Sheet1!DC370,hhdcap_wcm,3)-Sheet1!DC370)/(VLOOKUP(Sheet1!DC370,hhdcap_wcm,3)-VLOOKUP(Sheet1!DC370,hhdcap_wcm,1)))*(VLOOKUP(Sheet1!DC370,hhdcap_wcm,4)-VLOOKUP(Sheet1!DC370,hhdcap_wcm,2))))</f>
        <v>5281.0000000114687</v>
      </c>
      <c r="AM368" s="560">
        <f t="shared" si="695"/>
        <v>1777.4000000032152</v>
      </c>
      <c r="AN368" s="560">
        <f t="shared" si="696"/>
        <v>0</v>
      </c>
      <c r="AO368" s="560">
        <f t="shared" si="697"/>
        <v>0</v>
      </c>
      <c r="AP368" s="560">
        <f>Sheet1!BA370+Sheet1!BB370+Sheet1!BN370+CD368</f>
        <v>12</v>
      </c>
      <c r="AQ368" s="560">
        <f>Sheet1!BN370+(DO368*Sheet1!BN370)</f>
        <v>10.895238095238096</v>
      </c>
      <c r="AR368" s="560">
        <f>Sheet1!BA370+CD368</f>
        <v>0</v>
      </c>
      <c r="AS368" s="560">
        <f>Sheet1!BA370+Sheet1!BB370+CD368</f>
        <v>1</v>
      </c>
      <c r="AT368" s="698">
        <f>0</f>
        <v>0</v>
      </c>
      <c r="AU368" s="560">
        <f>IF(EB368&lt;K368,0,MAX(Sheet1!AA370+AQ368-15/36*K368-N368,Sheet1!EH370,0))</f>
        <v>0</v>
      </c>
      <c r="AV368" s="560">
        <f>IF(OR(B368&gt;=GD368,B368&lt;GC368),0,15/36*K368-MAX(0,64.6-(137.6-(Sheet1!AA370+Sheet1!AB370))))</f>
        <v>0</v>
      </c>
      <c r="AW368" s="698">
        <f>Sheet1!DB370-110</f>
        <v>2610</v>
      </c>
      <c r="AX368" s="698">
        <f>Sheet1!DA370-265</f>
        <v>3255</v>
      </c>
      <c r="AY368" s="698">
        <f t="shared" si="698"/>
        <v>73</v>
      </c>
      <c r="AZ368" s="698">
        <v>0</v>
      </c>
      <c r="BA368" s="698">
        <f t="shared" si="699"/>
        <v>0</v>
      </c>
      <c r="BB368" s="560">
        <f t="shared" si="700"/>
        <v>0</v>
      </c>
      <c r="BC368" s="560"/>
      <c r="BD368" s="560">
        <f ca="1">IF(B368&gt;Summary!$A$1,#N/A,BB368*MGtoAF)</f>
        <v>0</v>
      </c>
      <c r="BE368" s="560">
        <f>Sheet1!BG370+Sheet1!BH370+Sheet1!BI370-BM368</f>
        <v>0</v>
      </c>
      <c r="BF368" s="560">
        <f t="shared" si="701"/>
        <v>0</v>
      </c>
      <c r="BG368" s="560">
        <f>IF(Sheet1!EP370="FM",BM368,0)</f>
        <v>0</v>
      </c>
      <c r="BH368" s="560">
        <f t="shared" si="702"/>
        <v>0</v>
      </c>
      <c r="BI368" s="560">
        <f>IF(Sheet1!EP370="OTHER",BM368,0)</f>
        <v>0</v>
      </c>
      <c r="BJ368" s="560">
        <f t="shared" si="703"/>
        <v>0</v>
      </c>
      <c r="BK368" s="560">
        <f t="shared" si="704"/>
        <v>0</v>
      </c>
      <c r="BL368" s="560">
        <f t="shared" si="705"/>
        <v>0</v>
      </c>
      <c r="BM368" s="560">
        <f>IF(OR(Sheet1!EP370="FM", Sheet1!EP370="OTHER"),SUM(Sheet1!BG370:'Sheet1'!BI370),0)</f>
        <v>0</v>
      </c>
      <c r="BN368" s="545">
        <f>IF(AND($B368&gt;=$FV368,$B368&lt;=$FW368),MAX(BF368,Sheet1!EI370,0),MAX(BF368-(7/36)*$K368,0))</f>
        <v>0</v>
      </c>
      <c r="BO368" s="560">
        <f t="shared" si="706"/>
        <v>0</v>
      </c>
      <c r="BP368" s="545">
        <f t="shared" si="707"/>
        <v>0</v>
      </c>
      <c r="BQ368" s="545">
        <f>IF(AND($O368&gt;0,Sheet1!EM370=1),(1-($O368-Sheet1!$L370)/$O368)*BL368,0)</f>
        <v>0</v>
      </c>
      <c r="BR368" s="545">
        <f>IF(AND(Sheet1!$L370=0,Sheet1!$L369=0, Calculation!BK368&lt;Sheet1!$EI370-0.1,Sheet1!$EI370=Sheet1!$EI369,Sheet1!$EI370=Sheet1!$EI371),Sheet1!$EI370,BL368-BQ368)</f>
        <v>0</v>
      </c>
      <c r="BS368" s="560"/>
      <c r="BT368" s="560"/>
      <c r="BU368" s="560">
        <f t="shared" si="708"/>
        <v>0</v>
      </c>
      <c r="BV368" s="560"/>
      <c r="BW368" s="560">
        <f ca="1">IF(B368&gt;Summary!$A$1,#N/A,BU368*MGtoAF)</f>
        <v>0</v>
      </c>
      <c r="BX368" s="560">
        <f>Sheet1!BC370+Sheet1!BD370+Sheet1!BE370+Sheet1!BF370-CG368-CH368</f>
        <v>2.5</v>
      </c>
      <c r="BY368" s="560">
        <f t="shared" si="709"/>
        <v>2.4761904761904763</v>
      </c>
      <c r="BZ368" s="560">
        <f>IF(Sheet1!EQ370="FM",CH368,0)</f>
        <v>0</v>
      </c>
      <c r="CA368" s="560">
        <f t="shared" si="710"/>
        <v>0</v>
      </c>
      <c r="CB368" s="560">
        <f>IF(Sheet1!EQ370="OTHER",CH368,0)</f>
        <v>0</v>
      </c>
      <c r="CC368" s="560">
        <f t="shared" si="711"/>
        <v>0</v>
      </c>
      <c r="CD368" s="560">
        <f t="shared" si="712"/>
        <v>0</v>
      </c>
      <c r="CE368" s="560">
        <f t="shared" si="713"/>
        <v>2.5</v>
      </c>
      <c r="CF368" s="560">
        <f t="shared" si="714"/>
        <v>2.4761904761904763</v>
      </c>
      <c r="CG368" s="560">
        <f>IF(Sheet1!EQ370="CWA",SUM(Sheet1!BC370:'Sheet1'!BF370),0)</f>
        <v>0</v>
      </c>
      <c r="CH368" s="560">
        <f>IF(OR(Sheet1!EQ370="FM", Sheet1!EQ370="OTHER"),SUM(Sheet1!BC370:'Sheet1'!BF370),0)</f>
        <v>0</v>
      </c>
      <c r="CI368" s="545">
        <f>IF(AND($B368&gt;=$FV368,$B368&lt;=$FW368),MAX(CF368,Sheet1!EJ370,0),MAX(CF368-(7/36)*$K368,0))</f>
        <v>0</v>
      </c>
      <c r="CJ368" s="560">
        <f t="shared" si="715"/>
        <v>0</v>
      </c>
      <c r="CK368" s="545">
        <f t="shared" si="716"/>
        <v>2.4761904761904763</v>
      </c>
      <c r="CL368" s="545">
        <f>IF(AND($O368&gt;0,Sheet1!EN370=1),(1-($O368-Sheet1!$L370)/$O368)*CF368,0)</f>
        <v>0</v>
      </c>
      <c r="CM368" s="545">
        <f>IF(AND(Sheet1!$L370=0,Sheet1!$L369=0, Calculation!CE368&lt;Sheet1!EJ370-0.1,Sheet1!EJ370=Sheet1!EJ369,Sheet1!EJ370=Sheet1!EJ371),Sheet1!EJ370,CF368-CL368)</f>
        <v>2.4761904761904763</v>
      </c>
      <c r="CN368" s="545"/>
      <c r="CO368" s="560"/>
      <c r="CP368" s="560">
        <f t="shared" si="717"/>
        <v>0</v>
      </c>
      <c r="CQ368" s="560"/>
      <c r="CR368" s="560">
        <f ca="1">IF(B368&gt;Summary!$A$1,#N/A,CP368*MGtoAF)</f>
        <v>0</v>
      </c>
      <c r="CS368" s="560">
        <f>Sheet1!BK370+Sheet1!BL370+Sheet1!BM370-Sheet1!ER370-DA368</f>
        <v>6.5</v>
      </c>
      <c r="CT368" s="560">
        <f t="shared" si="718"/>
        <v>6.4380952380952383</v>
      </c>
      <c r="CU368" s="560">
        <f>IF(Sheet1!ER370="FM",DA368,0)</f>
        <v>0</v>
      </c>
      <c r="CV368" s="560">
        <f t="shared" si="719"/>
        <v>0</v>
      </c>
      <c r="CW368" s="560">
        <f>IF(Sheet1!ER370="OTHER",DA368,0)</f>
        <v>0</v>
      </c>
      <c r="CX368" s="560">
        <f t="shared" si="720"/>
        <v>0</v>
      </c>
      <c r="CY368" s="560">
        <f t="shared" si="721"/>
        <v>6.5</v>
      </c>
      <c r="CZ368" s="560">
        <f t="shared" si="722"/>
        <v>6.4380952380952383</v>
      </c>
      <c r="DA368" s="560">
        <f>IF(OR(Sheet1!ER370="FM", Sheet1!ER370="OTHER"),SUM(Sheet1!BK370:'Sheet1'!BM370),0)</f>
        <v>0</v>
      </c>
      <c r="DB368" s="545">
        <f>IF(AND($B368&gt;=$FV368,$B368&lt;=$FW368),MAX($CT368,Sheet1!EK370,0),MAX($CT368-(7/36)*$K368,0))</f>
        <v>0</v>
      </c>
      <c r="DC368" s="560">
        <f t="shared" si="723"/>
        <v>0</v>
      </c>
      <c r="DD368" s="545">
        <f t="shared" si="724"/>
        <v>6.4380952380952383</v>
      </c>
      <c r="DE368" s="545">
        <f>IF(AND($O368&gt;0,Sheet1!EO370=1),(1-($O368-Sheet1!$L370)/$O368)*CZ368,0)</f>
        <v>0</v>
      </c>
      <c r="DF368" s="545">
        <f>IF(AND(Sheet1!$L370=0,Sheet1!$L369=0, Calculation!CY368&lt;Sheet1!$EK370-0.1,Sheet1!$EK370=Sheet1!$EK369,Sheet1!$EK370=Sheet1!$EK371),Sheet1!$EK370,CZ368-DE368)</f>
        <v>6.4380952380952383</v>
      </c>
      <c r="DG368" s="545"/>
      <c r="DH368" s="560">
        <f t="shared" si="725"/>
        <v>9</v>
      </c>
      <c r="DI368" s="560">
        <f t="shared" si="726"/>
        <v>0</v>
      </c>
      <c r="DJ368" s="698">
        <f t="shared" si="727"/>
        <v>8.9142857142857146</v>
      </c>
      <c r="DK368" s="560">
        <f ca="1">IF(B368&gt;Summary!$A$1,#N/A,DI368*MGtoAF)</f>
        <v>0</v>
      </c>
      <c r="DL368" s="698">
        <f t="shared" si="728"/>
        <v>9</v>
      </c>
      <c r="DM368" s="560">
        <f t="shared" si="729"/>
        <v>21</v>
      </c>
      <c r="DN368" s="560">
        <f>Sheet1!AB370-DM368</f>
        <v>-0.19999999999999929</v>
      </c>
      <c r="DO368" s="560">
        <f t="shared" si="730"/>
        <v>-9.52380952380949E-3</v>
      </c>
      <c r="DP368" s="560">
        <f>(VLOOKUP(Sheet1!DC370,hhdcap_wcm,4)-(((VLOOKUP(Sheet1!DC370,hhdcap_wcm,3)-Sheet1!DC370)/(VLOOKUP(Sheet1!DC370,hhdcap_wcm,3)-VLOOKUP(Sheet1!DC370,hhdcap_wcm,1)))*(VLOOKUP(Sheet1!DC370,hhdcap_wcm,4)-VLOOKUP(Sheet1!DC370,hhdcap_wcm,2))))</f>
        <v>5281.0000000114687</v>
      </c>
      <c r="DQ368" s="560">
        <f t="shared" si="731"/>
        <v>1777.4000000032152</v>
      </c>
      <c r="DR368" s="560">
        <f t="shared" si="732"/>
        <v>896.31870902834839</v>
      </c>
      <c r="DS368" s="560">
        <f>Sheet1!EA370*AFtoMG</f>
        <v>0</v>
      </c>
      <c r="DT368" s="560">
        <f>Sheet1!EB370*AFtoMG</f>
        <v>0</v>
      </c>
      <c r="DU368" s="560">
        <f>Sheet1!EC370*AFtoMG</f>
        <v>0</v>
      </c>
      <c r="DV368" s="560">
        <f>Sheet1!ED370*AFtoMG</f>
        <v>0</v>
      </c>
      <c r="DW368" s="560">
        <f t="shared" si="733"/>
        <v>0</v>
      </c>
      <c r="DX368" s="560">
        <f t="shared" si="734"/>
        <v>0</v>
      </c>
      <c r="DY368" s="560">
        <f t="shared" si="735"/>
        <v>0</v>
      </c>
      <c r="DZ368" s="560">
        <f t="shared" si="736"/>
        <v>0</v>
      </c>
      <c r="EA368" s="560"/>
      <c r="EB368" s="545">
        <f>IF(OR(B368&lt;FV368,B368&gt;FW368),(MIN(BF368+BY368+CT368+MAX(Sheet1!AA370+AQ368-73,0),K368)),0)</f>
        <v>8.9142857142857146</v>
      </c>
      <c r="EC368" s="560"/>
      <c r="ED368" s="560">
        <f t="shared" si="737"/>
        <v>8.9142857142857146</v>
      </c>
      <c r="EE368" s="560"/>
      <c r="EF368" s="560">
        <f>Sheet1!EH370+Sheet1!EI370+Sheet1!EJ370+Sheet1!EK370</f>
        <v>9</v>
      </c>
      <c r="EG368" s="560"/>
      <c r="EH368" s="545">
        <f t="shared" si="738"/>
        <v>0</v>
      </c>
      <c r="EI368" s="560">
        <f>IF(Sheet1!ET370=1,SUM('Calculations II'!AT368:BA368)+'Calculations II'!BC368+Sheet1!BV370+'Calculations II'!BE368+AP368,SUM('Calculations II'!AT368:BA368)+'Calculations II'!BC368+Sheet1!BV370+'Calculations II'!BE368+AP368)</f>
        <v>48.697232000000007</v>
      </c>
      <c r="EJ368" s="560">
        <f>Sheet1!AA370+Sheet1!AB370+'Calculations II'!BC368</f>
        <v>54.863135999999997</v>
      </c>
      <c r="EK368" s="560"/>
      <c r="EL368" s="560"/>
      <c r="EM368" s="560">
        <f t="shared" si="739"/>
        <v>41996</v>
      </c>
      <c r="EN368" s="560">
        <f t="shared" si="740"/>
        <v>0</v>
      </c>
      <c r="EO368" s="560">
        <f t="shared" si="741"/>
        <v>0</v>
      </c>
      <c r="EP368" s="560">
        <v>0</v>
      </c>
      <c r="EQ368" s="560">
        <v>0</v>
      </c>
      <c r="ER368" s="560">
        <v>0</v>
      </c>
      <c r="ES368" s="545">
        <f t="shared" si="660"/>
        <v>-3.3159491389416234</v>
      </c>
      <c r="ET368" s="560">
        <f>-(VLOOKUP(Sheet1!BQ370,Lookup!$O$4:$Q$262,2)-VLOOKUP(Sheet1!BQ369,Lookup!$O$4:$Q$262,2))/1000000</f>
        <v>-1.6578593537452742</v>
      </c>
      <c r="EU368" s="560">
        <f>-(VLOOKUP(Sheet1!BR370,Lookup!$O$4:$Q$262,3)-VLOOKUP(Sheet1!BR369,Lookup!$O$4:$Q$262,3))/1000000</f>
        <v>-1.658089785196349</v>
      </c>
      <c r="EV368" s="560"/>
      <c r="EW368" s="560"/>
      <c r="EX368" s="560"/>
      <c r="EY368" s="560"/>
      <c r="EZ368" s="560"/>
      <c r="FA368" s="560"/>
      <c r="FB368" s="560"/>
      <c r="FC368" s="560"/>
      <c r="FD368" s="594" t="e">
        <f t="shared" si="742"/>
        <v>#N/A</v>
      </c>
      <c r="FE368" s="594" t="e">
        <f t="shared" si="743"/>
        <v>#N/A</v>
      </c>
      <c r="FF368" s="595" t="e">
        <f t="shared" si="744"/>
        <v>#N/A</v>
      </c>
      <c r="FG368" s="596" t="s">
        <v>692</v>
      </c>
      <c r="FH368" s="596" t="s">
        <v>692</v>
      </c>
      <c r="FI368" s="594" t="e">
        <v>#N/A</v>
      </c>
      <c r="FJ368" s="594" t="e">
        <v>#N/A</v>
      </c>
      <c r="FK368" s="560"/>
      <c r="FL368" s="560"/>
      <c r="FM368" s="560"/>
      <c r="FN368" s="560"/>
      <c r="FO368" s="560">
        <f>O368+((Sheet1!CS370)*GPMtoMGD)</f>
        <v>54.863135999999997</v>
      </c>
      <c r="FP368" s="560">
        <f>IF(Sheet1!AA370+AQ368&lt;=Calculation!N368,AQ368,Calculation!N368-Sheet1!AA370)</f>
        <v>10.895238095238096</v>
      </c>
      <c r="FQ368" s="560">
        <f>(Sheet1!BP370+Sheet1!BO370)/694.4</f>
        <v>0.22235023041474655</v>
      </c>
      <c r="FR368" s="560"/>
      <c r="FS368" s="560"/>
      <c r="FT368" s="560"/>
      <c r="FU368" s="560"/>
      <c r="FV368" s="695">
        <f t="shared" si="661"/>
        <v>41827</v>
      </c>
      <c r="FW368" s="695">
        <f t="shared" si="662"/>
        <v>41934</v>
      </c>
      <c r="FX368" s="560"/>
      <c r="FY368" s="560"/>
      <c r="FZ368" s="560"/>
      <c r="GA368" s="560"/>
      <c r="GB368" s="560" t="str">
        <f t="shared" si="663"/>
        <v>n</v>
      </c>
      <c r="GC368" s="564">
        <f t="shared" si="664"/>
        <v>41691</v>
      </c>
      <c r="GD368" s="695">
        <f t="shared" si="665"/>
        <v>41807</v>
      </c>
      <c r="GE368" s="560">
        <v>6518.9</v>
      </c>
      <c r="GF368" s="695">
        <f t="shared" si="666"/>
        <v>41808</v>
      </c>
      <c r="GG368" s="560">
        <f t="shared" si="686"/>
        <v>3259</v>
      </c>
      <c r="GH368" s="564">
        <f t="shared" si="667"/>
        <v>41934</v>
      </c>
      <c r="GJ368" s="545">
        <f t="shared" si="668"/>
        <v>0</v>
      </c>
      <c r="GK368" s="560" t="str">
        <f t="shared" si="745"/>
        <v/>
      </c>
      <c r="GL368" s="560">
        <f t="shared" si="669"/>
        <v>0</v>
      </c>
      <c r="GM368" s="560" t="str">
        <f t="shared" si="670"/>
        <v/>
      </c>
      <c r="GN368" s="560">
        <f>IF(GK368="P",Lookup!$M$12,IF(GK368="PP",Lookup!$M$13,IF(GK368="PPP",Lookup!$M$14,IF(GK368="T",Lookup!$M$15,IF(GK368="TP",Lookup!$M$16,IF(GK368="TPP",Lookup!$M$17,IF(GK368="TPPP",Lookup!$M$18,0)))))))*GJ368</f>
        <v>0</v>
      </c>
      <c r="GO368" s="560">
        <f t="shared" si="671"/>
        <v>0</v>
      </c>
      <c r="GP368" s="560">
        <f t="shared" si="746"/>
        <v>0</v>
      </c>
      <c r="GQ368" s="560">
        <f t="shared" si="679"/>
        <v>0</v>
      </c>
      <c r="GR368" s="560"/>
      <c r="GS368" s="560">
        <f t="shared" si="672"/>
        <v>0</v>
      </c>
      <c r="GT368" s="560" t="str">
        <f t="shared" si="673"/>
        <v/>
      </c>
      <c r="GU368" s="560">
        <f>IF(GK368="P",Lookup!$N$12,IF(GK368="PP",Lookup!$N$13,IF(GK368="PPP",Lookup!$N$14,IF(GK368="T",Lookup!$N$15,IF(GK368="TP",Lookup!$N$16,IF(GK368="TPP",Lookup!$N$17,IF(GK368="TPPP",Lookup!$N$18,0)))))))*GJ368</f>
        <v>0</v>
      </c>
      <c r="GV368" s="560">
        <f t="shared" si="674"/>
        <v>0</v>
      </c>
      <c r="GW368" s="560">
        <f t="shared" si="747"/>
        <v>0</v>
      </c>
      <c r="GX368" s="560">
        <f t="shared" si="680"/>
        <v>0</v>
      </c>
      <c r="GY368" s="560"/>
      <c r="GZ368" s="560">
        <f t="shared" si="675"/>
        <v>0</v>
      </c>
      <c r="HA368" s="560" t="str">
        <f t="shared" si="676"/>
        <v/>
      </c>
      <c r="HB368" s="560">
        <f>IF(GK368="P",Lookup!$N$12,IF(GK368="PP",Lookup!$N$13,IF(GK368="PPP",Lookup!$N$14,IF(GK368="T",Lookup!$N$15,IF(GK368="TP",Lookup!$N$16,IF(GK368="TPP",Lookup!$N$17,IF(GK368="TPPP",Lookup!$N$18,0)))))))*GJ368</f>
        <v>0</v>
      </c>
      <c r="HC368" s="545">
        <f t="shared" si="748"/>
        <v>0</v>
      </c>
      <c r="HD368" s="560">
        <f t="shared" si="749"/>
        <v>0</v>
      </c>
      <c r="HE368" s="560">
        <f t="shared" si="681"/>
        <v>0</v>
      </c>
      <c r="HF368" s="560"/>
      <c r="HG368" s="560">
        <f t="shared" si="677"/>
        <v>0</v>
      </c>
      <c r="HH368" s="560" t="str">
        <f t="shared" si="678"/>
        <v/>
      </c>
      <c r="HI368" s="560">
        <f>IF(GK368="P",Lookup!$N$12,IF(GK368="PP",Lookup!$N$13,IF(GK368="PPP",Lookup!$N$14,IF(GK368="T",Lookup!$N$15,IF(GK368="TP",Lookup!$N$16,IF(GK368="TPP",Lookup!$N$17,IF(GK368="TPPP",Lookup!$N$18,0)))))))*GJ368</f>
        <v>0</v>
      </c>
      <c r="HJ368" s="545">
        <f t="shared" si="750"/>
        <v>0</v>
      </c>
      <c r="HK368" s="560">
        <f t="shared" si="751"/>
        <v>0</v>
      </c>
      <c r="HL368" s="560">
        <f t="shared" si="682"/>
        <v>0</v>
      </c>
    </row>
    <row r="369" spans="1:220">
      <c r="A369" s="580" t="s">
        <v>6</v>
      </c>
      <c r="B369" s="556">
        <v>41997</v>
      </c>
      <c r="C369" s="561">
        <v>0</v>
      </c>
      <c r="D369" s="529">
        <f t="shared" si="684"/>
        <v>300</v>
      </c>
      <c r="E369" s="529">
        <f t="shared" si="685"/>
        <v>250</v>
      </c>
      <c r="F369" s="529">
        <v>250</v>
      </c>
      <c r="G369" s="560">
        <f>DR369+Sheet1!CZ371</f>
        <v>5549.5965708577887</v>
      </c>
      <c r="H369" s="914">
        <f t="shared" si="650"/>
        <v>3320.2960234024745</v>
      </c>
      <c r="I369" s="559">
        <f>MAX(Sheet1!Z371-AT369+(Sheet1!DA371-E369)*CFStoMGD,0)</f>
        <v>2574.08</v>
      </c>
      <c r="J369" s="562">
        <f>IF(AND(B369&gt;=Calculation!GC369,B369&lt;=Calculation!GD369),IF(Sheet1!DB371&gt;=Calculation!D369,64.64,0),MAX(Sheet1!Z371-AT369+(Sheet1!DB371-D369)*CFStoMGD,0))</f>
        <v>1791.9359999999999</v>
      </c>
      <c r="K369" s="904">
        <f t="shared" si="687"/>
        <v>64.64</v>
      </c>
      <c r="L369" s="560">
        <f>Sheet1!AA371+Sheet1!AB371-Sheet1!L371+(Sheet1!DA371-F369)*CFStoMGD</f>
        <v>2564.349999999999</v>
      </c>
      <c r="M369" s="560">
        <f t="shared" si="688"/>
        <v>3659.0044078705241</v>
      </c>
      <c r="N369" s="910">
        <f>IF(Sheet1!DA371&gt;=F369,MIN(73,MIN(MAX(L369,0),MAX(M369,0))),0)</f>
        <v>73</v>
      </c>
      <c r="O369" s="563">
        <f>Sheet1!AA371+Sheet1!AB371</f>
        <v>50.18</v>
      </c>
      <c r="P369" s="563">
        <f t="shared" si="689"/>
        <v>77.62845999999999</v>
      </c>
      <c r="Q369" s="898">
        <f t="shared" si="651"/>
        <v>0</v>
      </c>
      <c r="R369" s="829">
        <f t="shared" si="690"/>
        <v>8.9454282964388838</v>
      </c>
      <c r="S369" s="698">
        <f t="shared" si="683"/>
        <v>50.18</v>
      </c>
      <c r="T369" s="898">
        <f t="shared" si="652"/>
        <v>0</v>
      </c>
      <c r="U369" s="898">
        <f t="shared" si="653"/>
        <v>0</v>
      </c>
      <c r="V369" s="898"/>
      <c r="W369" s="898">
        <f t="shared" si="654"/>
        <v>55.694571703561117</v>
      </c>
      <c r="X369" s="898">
        <f t="shared" si="655"/>
        <v>50.18</v>
      </c>
      <c r="Y369" s="898" t="str">
        <f t="shared" si="656"/>
        <v/>
      </c>
      <c r="Z369" s="898">
        <f t="shared" si="657"/>
        <v>50.18</v>
      </c>
      <c r="AA369" s="898">
        <f t="shared" si="658"/>
        <v>50.18</v>
      </c>
      <c r="AB369" s="898" t="str">
        <f t="shared" si="659"/>
        <v/>
      </c>
      <c r="AC369" s="563">
        <f>Sheet1!Y371*MGDtoCFS</f>
        <v>44.120439999999995</v>
      </c>
      <c r="AD369" s="563">
        <f>Sheet1!Z371*MGDtoCFS</f>
        <v>32.177599999999998</v>
      </c>
      <c r="AE369" s="563">
        <f>Sheet1!AA371*MGDtoCFS</f>
        <v>45.605559999999997</v>
      </c>
      <c r="AF369" s="563">
        <f>Sheet1!AB371*MGDtoCFS</f>
        <v>32.0229</v>
      </c>
      <c r="AG369" s="563">
        <f>Sheet1!L371*MGDtoCFS</f>
        <v>60.5031700000009</v>
      </c>
      <c r="AH369" s="545">
        <f t="shared" si="691"/>
        <v>0</v>
      </c>
      <c r="AI369" s="560">
        <f t="shared" si="692"/>
        <v>0</v>
      </c>
      <c r="AJ369" s="560">
        <f t="shared" si="693"/>
        <v>0</v>
      </c>
      <c r="AK369" s="560">
        <f t="shared" si="694"/>
        <v>0</v>
      </c>
      <c r="AL369" s="560">
        <f>(VLOOKUP(Sheet1!DC371,hhdcap_wcm,4)-(((VLOOKUP(Sheet1!DC371,hhdcap_wcm,3)-Sheet1!DC371)/(VLOOKUP(Sheet1!DC371,hhdcap_wcm,3)-VLOOKUP(Sheet1!DC371,hhdcap_wcm,1)))*(VLOOKUP(Sheet1!DC371,hhdcap_wcm,4)-VLOOKUP(Sheet1!DC371,hhdcap_wcm,2))))</f>
        <v>10436.000000022465</v>
      </c>
      <c r="AM369" s="560">
        <f t="shared" si="695"/>
        <v>5155.0000000109958</v>
      </c>
      <c r="AN369" s="560">
        <f t="shared" si="696"/>
        <v>0</v>
      </c>
      <c r="AO369" s="560">
        <f t="shared" si="697"/>
        <v>0</v>
      </c>
      <c r="AP369" s="560">
        <f>Sheet1!BA371+Sheet1!BB371+Sheet1!BN371+CD369</f>
        <v>11.8</v>
      </c>
      <c r="AQ369" s="560">
        <f>Sheet1!BN371+(DO369*Sheet1!BN371)</f>
        <v>10.758421559191531</v>
      </c>
      <c r="AR369" s="560">
        <f>Sheet1!BA371+CD369</f>
        <v>0</v>
      </c>
      <c r="AS369" s="560">
        <f>Sheet1!BA371+Sheet1!BB371+CD369</f>
        <v>1</v>
      </c>
      <c r="AT369" s="698">
        <f>0</f>
        <v>0</v>
      </c>
      <c r="AU369" s="560">
        <f>IF(EB369&lt;K369,0,MAX(Sheet1!AA371+AQ369-15/36*K369-N369,Sheet1!EH371,0))</f>
        <v>0</v>
      </c>
      <c r="AV369" s="560">
        <f>IF(OR(B369&gt;=GD369,B369&lt;GC369),0,15/36*K369-MAX(0,64.6-(137.6-(Sheet1!AA371+Sheet1!AB371))))</f>
        <v>0</v>
      </c>
      <c r="AW369" s="698">
        <f>Sheet1!DB371-110</f>
        <v>2930</v>
      </c>
      <c r="AX369" s="698">
        <f>Sheet1!DA371-265</f>
        <v>3935</v>
      </c>
      <c r="AY369" s="698">
        <f t="shared" si="698"/>
        <v>73</v>
      </c>
      <c r="AZ369" s="698">
        <v>0</v>
      </c>
      <c r="BA369" s="698">
        <f t="shared" si="699"/>
        <v>0</v>
      </c>
      <c r="BB369" s="560">
        <f t="shared" si="700"/>
        <v>0</v>
      </c>
      <c r="BC369" s="560"/>
      <c r="BD369" s="560">
        <f ca="1">IF(B369&gt;Summary!$A$1,#N/A,BB369*MGtoAF)</f>
        <v>0</v>
      </c>
      <c r="BE369" s="560">
        <f>Sheet1!BG371+Sheet1!BH371+Sheet1!BI371-BM369</f>
        <v>0</v>
      </c>
      <c r="BF369" s="560">
        <f t="shared" si="701"/>
        <v>0</v>
      </c>
      <c r="BG369" s="560">
        <f>IF(Sheet1!EP371="FM",BM369,0)</f>
        <v>0</v>
      </c>
      <c r="BH369" s="560">
        <f t="shared" si="702"/>
        <v>0</v>
      </c>
      <c r="BI369" s="560">
        <f>IF(Sheet1!EP371="OTHER",BM369,0)</f>
        <v>0</v>
      </c>
      <c r="BJ369" s="560">
        <f t="shared" si="703"/>
        <v>0</v>
      </c>
      <c r="BK369" s="560">
        <f t="shared" si="704"/>
        <v>0</v>
      </c>
      <c r="BL369" s="560">
        <f t="shared" si="705"/>
        <v>0</v>
      </c>
      <c r="BM369" s="560">
        <f>IF(OR(Sheet1!EP371="FM", Sheet1!EP371="OTHER"),SUM(Sheet1!BG371:'Sheet1'!BI371),0)</f>
        <v>0</v>
      </c>
      <c r="BN369" s="545">
        <f>IF(AND($B369&gt;=$FV369,$B369&lt;=$FW369),MAX(BF369,Sheet1!EI371,0),MAX(BF369-(7/36)*$K369,0))</f>
        <v>0</v>
      </c>
      <c r="BO369" s="560">
        <f t="shared" si="706"/>
        <v>0</v>
      </c>
      <c r="BP369" s="545">
        <f t="shared" si="707"/>
        <v>0</v>
      </c>
      <c r="BQ369" s="545">
        <f>IF(AND($O369&gt;0,Sheet1!EM371=1),(1-($O369-Sheet1!$L371)/$O369)*BL369,0)</f>
        <v>0</v>
      </c>
      <c r="BR369" s="545">
        <f>IF(AND(Sheet1!$L371=0,Sheet1!$L370=0, Calculation!BK369&lt;Sheet1!$EI371-0.1,Sheet1!$EI371=Sheet1!$EI370,Sheet1!$EI371=Sheet1!$EI372),Sheet1!$EI371,BL369-BQ369)</f>
        <v>0</v>
      </c>
      <c r="BS369" s="560"/>
      <c r="BT369" s="560"/>
      <c r="BU369" s="560">
        <f t="shared" si="708"/>
        <v>0</v>
      </c>
      <c r="BV369" s="560"/>
      <c r="BW369" s="560">
        <f ca="1">IF(B369&gt;Summary!$A$1,#N/A,BU369*MGtoAF)</f>
        <v>0</v>
      </c>
      <c r="BX369" s="560">
        <f>Sheet1!BC371+Sheet1!BD371+Sheet1!BE371+Sheet1!BF371-CG369-CH369</f>
        <v>2.4900000000000002</v>
      </c>
      <c r="BY369" s="560">
        <f t="shared" si="709"/>
        <v>2.4804138594802696</v>
      </c>
      <c r="BZ369" s="560">
        <f>IF(Sheet1!EQ371="FM",CH369,0)</f>
        <v>0</v>
      </c>
      <c r="CA369" s="560">
        <f t="shared" si="710"/>
        <v>0</v>
      </c>
      <c r="CB369" s="560">
        <f>IF(Sheet1!EQ371="OTHER",CH369,0)</f>
        <v>0</v>
      </c>
      <c r="CC369" s="560">
        <f t="shared" si="711"/>
        <v>0</v>
      </c>
      <c r="CD369" s="560">
        <f t="shared" si="712"/>
        <v>0</v>
      </c>
      <c r="CE369" s="560">
        <f t="shared" si="713"/>
        <v>2.4900000000000002</v>
      </c>
      <c r="CF369" s="560">
        <f t="shared" si="714"/>
        <v>2.4804138594802696</v>
      </c>
      <c r="CG369" s="560">
        <f>IF(Sheet1!EQ371="CWA",SUM(Sheet1!BC371:'Sheet1'!BF371),0)</f>
        <v>0</v>
      </c>
      <c r="CH369" s="560">
        <f>IF(OR(Sheet1!EQ371="FM", Sheet1!EQ371="OTHER"),SUM(Sheet1!BC371:'Sheet1'!BF371),0)</f>
        <v>0</v>
      </c>
      <c r="CI369" s="545">
        <f>IF(AND($B369&gt;=$FV369,$B369&lt;=$FW369),MAX(CF369,Sheet1!EJ371,0),MAX(CF369-(7/36)*$K369,0))</f>
        <v>0</v>
      </c>
      <c r="CJ369" s="560">
        <f t="shared" si="715"/>
        <v>0</v>
      </c>
      <c r="CK369" s="545">
        <f t="shared" si="716"/>
        <v>2.4804138594802696</v>
      </c>
      <c r="CL369" s="545">
        <f>IF(AND($O369&gt;0,Sheet1!EN371=1),(1-($O369-Sheet1!$L371)/$O369)*CF369,0)</f>
        <v>0</v>
      </c>
      <c r="CM369" s="545">
        <f>IF(AND(Sheet1!$L371=0,Sheet1!$L370=0, Calculation!CE369&lt;Sheet1!EJ371-0.1,Sheet1!EJ371=Sheet1!EJ370,Sheet1!EJ371=Sheet1!EJ372),Sheet1!EJ371,CF369-CL369)</f>
        <v>2.4804138594802696</v>
      </c>
      <c r="CN369" s="545"/>
      <c r="CO369" s="560"/>
      <c r="CP369" s="560">
        <f t="shared" si="717"/>
        <v>0</v>
      </c>
      <c r="CQ369" s="560"/>
      <c r="CR369" s="560">
        <f ca="1">IF(B369&gt;Summary!$A$1,#N/A,CP369*MGtoAF)</f>
        <v>0</v>
      </c>
      <c r="CS369" s="560">
        <f>Sheet1!BK371+Sheet1!BL371+Sheet1!BM371-Sheet1!ER371-DA369</f>
        <v>6.49</v>
      </c>
      <c r="CT369" s="560">
        <f t="shared" si="718"/>
        <v>6.4650144369586133</v>
      </c>
      <c r="CU369" s="560">
        <f>IF(Sheet1!ER371="FM",DA369,0)</f>
        <v>0</v>
      </c>
      <c r="CV369" s="560">
        <f t="shared" si="719"/>
        <v>0</v>
      </c>
      <c r="CW369" s="560">
        <f>IF(Sheet1!ER371="OTHER",DA369,0)</f>
        <v>0</v>
      </c>
      <c r="CX369" s="560">
        <f t="shared" si="720"/>
        <v>0</v>
      </c>
      <c r="CY369" s="560">
        <f t="shared" si="721"/>
        <v>6.49</v>
      </c>
      <c r="CZ369" s="560">
        <f t="shared" si="722"/>
        <v>6.4650144369586133</v>
      </c>
      <c r="DA369" s="560">
        <f>IF(OR(Sheet1!ER371="FM", Sheet1!ER371="OTHER"),SUM(Sheet1!BK371:'Sheet1'!BM371),0)</f>
        <v>0</v>
      </c>
      <c r="DB369" s="545">
        <f>IF(AND($B369&gt;=$FV369,$B369&lt;=$FW369),MAX($CT369,Sheet1!EK371,0),MAX($CT369-(7/36)*$K369,0))</f>
        <v>0</v>
      </c>
      <c r="DC369" s="560">
        <f t="shared" si="723"/>
        <v>0</v>
      </c>
      <c r="DD369" s="545">
        <f t="shared" si="724"/>
        <v>6.4650144369586133</v>
      </c>
      <c r="DE369" s="545">
        <f>IF(AND($O369&gt;0,Sheet1!EO371=1),(1-($O369-Sheet1!$L371)/$O369)*CZ369,0)</f>
        <v>0</v>
      </c>
      <c r="DF369" s="545">
        <f>IF(AND(Sheet1!$L371=0,Sheet1!$L370=0, Calculation!CY369&lt;Sheet1!$EK371-0.1,Sheet1!$EK371=Sheet1!$EK370,Sheet1!$EK371=Sheet1!$EK372),Sheet1!$EK371,CZ369-DE369)</f>
        <v>6.4650144369586133</v>
      </c>
      <c r="DG369" s="545"/>
      <c r="DH369" s="560">
        <f t="shared" si="725"/>
        <v>8.98</v>
      </c>
      <c r="DI369" s="560">
        <f t="shared" si="726"/>
        <v>0</v>
      </c>
      <c r="DJ369" s="698">
        <f t="shared" si="727"/>
        <v>8.9454282964388838</v>
      </c>
      <c r="DK369" s="560">
        <f ca="1">IF(B369&gt;Summary!$A$1,#N/A,DI369*MGtoAF)</f>
        <v>0</v>
      </c>
      <c r="DL369" s="698">
        <f t="shared" si="728"/>
        <v>8.98</v>
      </c>
      <c r="DM369" s="560">
        <f t="shared" si="729"/>
        <v>20.78</v>
      </c>
      <c r="DN369" s="560">
        <f>Sheet1!AB371-DM369</f>
        <v>-8.0000000000001847E-2</v>
      </c>
      <c r="DO369" s="560">
        <f t="shared" si="730"/>
        <v>-3.8498556304139482E-3</v>
      </c>
      <c r="DP369" s="560">
        <f>(VLOOKUP(Sheet1!DC371,hhdcap_wcm,4)-(((VLOOKUP(Sheet1!DC371,hhdcap_wcm,3)-Sheet1!DC371)/(VLOOKUP(Sheet1!DC371,hhdcap_wcm,3)-VLOOKUP(Sheet1!DC371,hhdcap_wcm,1)))*(VLOOKUP(Sheet1!DC371,hhdcap_wcm,4)-VLOOKUP(Sheet1!DC371,hhdcap_wcm,2))))</f>
        <v>10436.000000022465</v>
      </c>
      <c r="DQ369" s="560">
        <f t="shared" si="731"/>
        <v>5155.0000000109958</v>
      </c>
      <c r="DR369" s="560">
        <f t="shared" si="732"/>
        <v>2599.5965708577887</v>
      </c>
      <c r="DS369" s="560">
        <f>Sheet1!EA371*AFtoMG</f>
        <v>0</v>
      </c>
      <c r="DT369" s="560">
        <f>Sheet1!EB371*AFtoMG</f>
        <v>0</v>
      </c>
      <c r="DU369" s="560">
        <f>Sheet1!EC371*AFtoMG</f>
        <v>0</v>
      </c>
      <c r="DV369" s="560">
        <f>Sheet1!ED371*AFtoMG</f>
        <v>0</v>
      </c>
      <c r="DW369" s="560">
        <f t="shared" si="733"/>
        <v>0</v>
      </c>
      <c r="DX369" s="560">
        <f t="shared" si="734"/>
        <v>0</v>
      </c>
      <c r="DY369" s="560">
        <f t="shared" si="735"/>
        <v>0</v>
      </c>
      <c r="DZ369" s="560">
        <f t="shared" si="736"/>
        <v>0</v>
      </c>
      <c r="EA369" s="560"/>
      <c r="EB369" s="545">
        <f>IF(OR(B369&lt;FV369,B369&gt;FW369),(MIN(BF369+BY369+CT369+MAX(Sheet1!AA371+AQ369-73,0),K369)),0)</f>
        <v>8.9454282964388838</v>
      </c>
      <c r="EC369" s="560"/>
      <c r="ED369" s="560">
        <f t="shared" si="737"/>
        <v>8.9454282964388838</v>
      </c>
      <c r="EE369" s="560"/>
      <c r="EF369" s="560">
        <f>Sheet1!EH371+Sheet1!EI371+Sheet1!EJ371+Sheet1!EK371</f>
        <v>9</v>
      </c>
      <c r="EG369" s="560"/>
      <c r="EH369" s="545">
        <f t="shared" si="738"/>
        <v>0</v>
      </c>
      <c r="EI369" s="560">
        <f>IF(Sheet1!ET371=1,SUM('Calculations II'!AT369:BA369)+'Calculations II'!BC369+Sheet1!BV371+'Calculations II'!BE369+AP369,SUM('Calculations II'!AT369:BA369)+'Calculations II'!BC369+Sheet1!BV371+'Calculations II'!BE369+AP369)</f>
        <v>54.024944000000005</v>
      </c>
      <c r="EJ369" s="560">
        <f>Sheet1!AA371+Sheet1!AB371+'Calculations II'!BC369</f>
        <v>53.537216000000001</v>
      </c>
      <c r="EK369" s="560"/>
      <c r="EL369" s="560"/>
      <c r="EM369" s="560">
        <f t="shared" si="739"/>
        <v>41997</v>
      </c>
      <c r="EN369" s="560">
        <f t="shared" si="740"/>
        <v>0</v>
      </c>
      <c r="EO369" s="560">
        <f t="shared" si="741"/>
        <v>0</v>
      </c>
      <c r="EP369" s="560">
        <v>0</v>
      </c>
      <c r="EQ369" s="560">
        <v>0</v>
      </c>
      <c r="ER369" s="560">
        <v>0</v>
      </c>
      <c r="ES369" s="545">
        <f t="shared" si="660"/>
        <v>3.454081682829905</v>
      </c>
      <c r="ET369" s="560">
        <f>-(VLOOKUP(Sheet1!BQ371,Lookup!$O$4:$Q$262,2)-VLOOKUP(Sheet1!BQ370,Lookup!$O$4:$Q$262,2))/1000000</f>
        <v>1.6578593537452742</v>
      </c>
      <c r="EU369" s="560">
        <f>-(VLOOKUP(Sheet1!BR371,Lookup!$O$4:$Q$262,3)-VLOOKUP(Sheet1!BR370,Lookup!$O$4:$Q$262,3))/1000000</f>
        <v>1.7962223290846311</v>
      </c>
      <c r="EV369" s="560"/>
      <c r="EW369" s="560"/>
      <c r="EX369" s="560"/>
      <c r="EY369" s="560"/>
      <c r="EZ369" s="560"/>
      <c r="FA369" s="560"/>
      <c r="FB369" s="560"/>
      <c r="FC369" s="560"/>
      <c r="FD369" s="594" t="e">
        <f t="shared" si="742"/>
        <v>#N/A</v>
      </c>
      <c r="FE369" s="594" t="e">
        <f t="shared" si="743"/>
        <v>#N/A</v>
      </c>
      <c r="FF369" s="595" t="e">
        <f t="shared" si="744"/>
        <v>#N/A</v>
      </c>
      <c r="FG369" s="596" t="s">
        <v>692</v>
      </c>
      <c r="FH369" s="596" t="s">
        <v>692</v>
      </c>
      <c r="FI369" s="594" t="e">
        <v>#N/A</v>
      </c>
      <c r="FJ369" s="594" t="e">
        <v>#N/A</v>
      </c>
      <c r="FK369" s="560"/>
      <c r="FL369" s="560"/>
      <c r="FM369" s="560"/>
      <c r="FN369" s="560"/>
      <c r="FO369" s="560">
        <f>O369+((Sheet1!CS371)*GPMtoMGD)</f>
        <v>53.537216000000001</v>
      </c>
      <c r="FP369" s="560">
        <f>IF(Sheet1!AA371+AQ369&lt;=Calculation!N369,AQ369,Calculation!N369-Sheet1!AA371)</f>
        <v>10.758421559191531</v>
      </c>
      <c r="FQ369" s="560">
        <f>(Sheet1!BP371+Sheet1!BO371)/694.4</f>
        <v>0.97033410138248843</v>
      </c>
      <c r="FR369" s="560"/>
      <c r="FS369" s="560"/>
      <c r="FT369" s="560"/>
      <c r="FU369" s="560"/>
      <c r="FV369" s="695">
        <f t="shared" si="661"/>
        <v>41827</v>
      </c>
      <c r="FW369" s="695">
        <f t="shared" si="662"/>
        <v>41934</v>
      </c>
      <c r="FX369" s="560"/>
      <c r="FY369" s="560"/>
      <c r="FZ369" s="560"/>
      <c r="GA369" s="560"/>
      <c r="GB369" s="560" t="str">
        <f t="shared" si="663"/>
        <v>n</v>
      </c>
      <c r="GC369" s="564">
        <f t="shared" si="664"/>
        <v>41691</v>
      </c>
      <c r="GD369" s="695">
        <f t="shared" si="665"/>
        <v>41807</v>
      </c>
      <c r="GE369" s="560">
        <v>6518.9</v>
      </c>
      <c r="GF369" s="695">
        <f t="shared" si="666"/>
        <v>41808</v>
      </c>
      <c r="GG369" s="560">
        <f t="shared" si="686"/>
        <v>3259</v>
      </c>
      <c r="GH369" s="564">
        <f t="shared" si="667"/>
        <v>41934</v>
      </c>
      <c r="GJ369" s="545">
        <f t="shared" si="668"/>
        <v>0</v>
      </c>
      <c r="GK369" s="560" t="str">
        <f t="shared" si="745"/>
        <v/>
      </c>
      <c r="GL369" s="560">
        <f t="shared" si="669"/>
        <v>0</v>
      </c>
      <c r="GM369" s="560" t="str">
        <f t="shared" si="670"/>
        <v/>
      </c>
      <c r="GN369" s="560">
        <f>IF(GK369="P",Lookup!$M$12,IF(GK369="PP",Lookup!$M$13,IF(GK369="PPP",Lookup!$M$14,IF(GK369="T",Lookup!$M$15,IF(GK369="TP",Lookup!$M$16,IF(GK369="TPP",Lookup!$M$17,IF(GK369="TPPP",Lookup!$M$18,0)))))))*GJ369</f>
        <v>0</v>
      </c>
      <c r="GO369" s="560">
        <f t="shared" si="671"/>
        <v>0</v>
      </c>
      <c r="GP369" s="560">
        <f t="shared" si="746"/>
        <v>0</v>
      </c>
      <c r="GQ369" s="560">
        <f t="shared" si="679"/>
        <v>0</v>
      </c>
      <c r="GR369" s="560"/>
      <c r="GS369" s="560">
        <f t="shared" si="672"/>
        <v>0</v>
      </c>
      <c r="GT369" s="560" t="str">
        <f t="shared" si="673"/>
        <v/>
      </c>
      <c r="GU369" s="560">
        <f>IF(GK369="P",Lookup!$N$12,IF(GK369="PP",Lookup!$N$13,IF(GK369="PPP",Lookup!$N$14,IF(GK369="T",Lookup!$N$15,IF(GK369="TP",Lookup!$N$16,IF(GK369="TPP",Lookup!$N$17,IF(GK369="TPPP",Lookup!$N$18,0)))))))*GJ369</f>
        <v>0</v>
      </c>
      <c r="GV369" s="560">
        <f t="shared" si="674"/>
        <v>0</v>
      </c>
      <c r="GW369" s="560">
        <f t="shared" si="747"/>
        <v>0</v>
      </c>
      <c r="GX369" s="560">
        <f t="shared" si="680"/>
        <v>0</v>
      </c>
      <c r="GY369" s="560"/>
      <c r="GZ369" s="560">
        <f t="shared" si="675"/>
        <v>0</v>
      </c>
      <c r="HA369" s="560" t="str">
        <f t="shared" si="676"/>
        <v/>
      </c>
      <c r="HB369" s="560">
        <f>IF(GK369="P",Lookup!$N$12,IF(GK369="PP",Lookup!$N$13,IF(GK369="PPP",Lookup!$N$14,IF(GK369="T",Lookup!$N$15,IF(GK369="TP",Lookup!$N$16,IF(GK369="TPP",Lookup!$N$17,IF(GK369="TPPP",Lookup!$N$18,0)))))))*GJ369</f>
        <v>0</v>
      </c>
      <c r="HC369" s="545">
        <f t="shared" si="748"/>
        <v>0</v>
      </c>
      <c r="HD369" s="560">
        <f t="shared" si="749"/>
        <v>0</v>
      </c>
      <c r="HE369" s="560">
        <f t="shared" si="681"/>
        <v>0</v>
      </c>
      <c r="HF369" s="560"/>
      <c r="HG369" s="560">
        <f t="shared" si="677"/>
        <v>0</v>
      </c>
      <c r="HH369" s="560" t="str">
        <f t="shared" si="678"/>
        <v/>
      </c>
      <c r="HI369" s="560">
        <f>IF(GK369="P",Lookup!$N$12,IF(GK369="PP",Lookup!$N$13,IF(GK369="PPP",Lookup!$N$14,IF(GK369="T",Lookup!$N$15,IF(GK369="TP",Lookup!$N$16,IF(GK369="TPP",Lookup!$N$17,IF(GK369="TPPP",Lookup!$N$18,0)))))))*GJ369</f>
        <v>0</v>
      </c>
      <c r="HJ369" s="545">
        <f t="shared" si="750"/>
        <v>0</v>
      </c>
      <c r="HK369" s="560">
        <f t="shared" si="751"/>
        <v>0</v>
      </c>
      <c r="HL369" s="560">
        <f t="shared" si="682"/>
        <v>0</v>
      </c>
    </row>
    <row r="370" spans="1:220">
      <c r="A370" s="580" t="s">
        <v>7</v>
      </c>
      <c r="B370" s="556">
        <v>41998</v>
      </c>
      <c r="C370" s="561">
        <v>0</v>
      </c>
      <c r="D370" s="529">
        <f t="shared" si="684"/>
        <v>300</v>
      </c>
      <c r="E370" s="529">
        <f t="shared" si="685"/>
        <v>250</v>
      </c>
      <c r="F370" s="529">
        <v>250</v>
      </c>
      <c r="G370" s="560">
        <f>DR370+Sheet1!CZ372</f>
        <v>2660.1059001510243</v>
      </c>
      <c r="H370" s="914">
        <f t="shared" si="650"/>
        <v>1452.5292538576221</v>
      </c>
      <c r="I370" s="559">
        <f>MAX(Sheet1!Z372-AT370+(Sheet1!DA372-E370)*CFStoMGD,0)</f>
        <v>2367.1319999999996</v>
      </c>
      <c r="J370" s="562">
        <f>IF(AND(B370&gt;=Calculation!GC370,B370&lt;=Calculation!GD370),IF(Sheet1!DB372&gt;=Calculation!D370,64.64,0),MAX(Sheet1!Z372-AT370+(Sheet1!DB372-D370)*CFStoMGD,0))</f>
        <v>1740.124</v>
      </c>
      <c r="K370" s="904">
        <f t="shared" si="687"/>
        <v>64.64</v>
      </c>
      <c r="L370" s="560">
        <f>Sheet1!AA372+Sheet1!AB372-Sheet1!L372+(Sheet1!DA372-F370)*CFStoMGD</f>
        <v>2357.831999999999</v>
      </c>
      <c r="M370" s="560">
        <f t="shared" si="688"/>
        <v>1753.8823029347745</v>
      </c>
      <c r="N370" s="910">
        <f>IF(Sheet1!DA372&gt;=F370,MIN(73,MIN(MAX(L370,0),MAX(M370,0))),0)</f>
        <v>73</v>
      </c>
      <c r="O370" s="563">
        <f>Sheet1!AA372+Sheet1!AB372</f>
        <v>50.1</v>
      </c>
      <c r="P370" s="563">
        <f t="shared" si="689"/>
        <v>77.5047</v>
      </c>
      <c r="Q370" s="898">
        <f t="shared" si="651"/>
        <v>0</v>
      </c>
      <c r="R370" s="829">
        <f t="shared" si="690"/>
        <v>8.9441874376869386</v>
      </c>
      <c r="S370" s="698">
        <f t="shared" si="683"/>
        <v>50.1</v>
      </c>
      <c r="T370" s="898">
        <f t="shared" si="652"/>
        <v>0</v>
      </c>
      <c r="U370" s="898">
        <f t="shared" si="653"/>
        <v>0</v>
      </c>
      <c r="V370" s="898"/>
      <c r="W370" s="898">
        <f t="shared" si="654"/>
        <v>55.695812562313066</v>
      </c>
      <c r="X370" s="898">
        <f t="shared" si="655"/>
        <v>50.1</v>
      </c>
      <c r="Y370" s="898" t="str">
        <f t="shared" si="656"/>
        <v/>
      </c>
      <c r="Z370" s="898">
        <f t="shared" si="657"/>
        <v>50.1</v>
      </c>
      <c r="AA370" s="898">
        <f t="shared" si="658"/>
        <v>50.1</v>
      </c>
      <c r="AB370" s="898" t="str">
        <f t="shared" si="659"/>
        <v/>
      </c>
      <c r="AC370" s="563">
        <f>Sheet1!Y372*MGDtoCFS</f>
        <v>45.605559999999997</v>
      </c>
      <c r="AD370" s="563">
        <f>Sheet1!Z372*MGDtoCFS</f>
        <v>32.0229</v>
      </c>
      <c r="AE370" s="563">
        <f>Sheet1!AA372*MGDtoCFS</f>
        <v>46.595639999999996</v>
      </c>
      <c r="AF370" s="563">
        <f>Sheet1!AB372*MGDtoCFS</f>
        <v>30.90906</v>
      </c>
      <c r="AG370" s="563">
        <f>Sheet1!L372*MGDtoCFS</f>
        <v>59.868900000001126</v>
      </c>
      <c r="AH370" s="545">
        <f t="shared" si="691"/>
        <v>0</v>
      </c>
      <c r="AI370" s="560">
        <f t="shared" si="692"/>
        <v>0</v>
      </c>
      <c r="AJ370" s="560">
        <f t="shared" si="693"/>
        <v>0</v>
      </c>
      <c r="AK370" s="560">
        <f t="shared" si="694"/>
        <v>0</v>
      </c>
      <c r="AL370" s="560">
        <f>(VLOOKUP(Sheet1!DC372,hhdcap_wcm,4)-(((VLOOKUP(Sheet1!DC372,hhdcap_wcm,3)-Sheet1!DC372)/(VLOOKUP(Sheet1!DC372,hhdcap_wcm,3)-VLOOKUP(Sheet1!DC372,hhdcap_wcm,1)))*(VLOOKUP(Sheet1!DC372,hhdcap_wcm,4)-VLOOKUP(Sheet1!DC372,hhdcap_wcm,2))))</f>
        <v>9900.8000000219454</v>
      </c>
      <c r="AM370" s="560">
        <f t="shared" si="695"/>
        <v>-535.20000000051914</v>
      </c>
      <c r="AN370" s="560">
        <f t="shared" si="696"/>
        <v>0</v>
      </c>
      <c r="AO370" s="560">
        <f t="shared" si="697"/>
        <v>0</v>
      </c>
      <c r="AP370" s="560">
        <f>Sheet1!BA372+Sheet1!BB372+Sheet1!BN372+CD370</f>
        <v>11.08</v>
      </c>
      <c r="AQ370" s="560">
        <f>Sheet1!BN372+(DO370*Sheet1!BN372)</f>
        <v>10.059720837487536</v>
      </c>
      <c r="AR370" s="560">
        <f>Sheet1!BA372+CD370</f>
        <v>0</v>
      </c>
      <c r="AS370" s="560">
        <f>Sheet1!BA372+Sheet1!BB372+CD370</f>
        <v>0.98</v>
      </c>
      <c r="AT370" s="698">
        <f>0</f>
        <v>0</v>
      </c>
      <c r="AU370" s="560">
        <f>IF(EB370&lt;K370,0,MAX(Sheet1!AA372+AQ370-15/36*K370-N370,Sheet1!EH372,0))</f>
        <v>0</v>
      </c>
      <c r="AV370" s="560">
        <f>IF(OR(B370&gt;=GD370,B370&lt;GC370),0,15/36*K370-MAX(0,64.6-(137.6-(Sheet1!AA372+Sheet1!AB372))))</f>
        <v>0</v>
      </c>
      <c r="AW370" s="698">
        <f>Sheet1!DB372-110</f>
        <v>2850</v>
      </c>
      <c r="AX370" s="698">
        <f>Sheet1!DA372-265</f>
        <v>3615</v>
      </c>
      <c r="AY370" s="698">
        <f t="shared" si="698"/>
        <v>73</v>
      </c>
      <c r="AZ370" s="698">
        <v>0</v>
      </c>
      <c r="BA370" s="698">
        <f t="shared" si="699"/>
        <v>0</v>
      </c>
      <c r="BB370" s="560">
        <f t="shared" si="700"/>
        <v>0</v>
      </c>
      <c r="BC370" s="560"/>
      <c r="BD370" s="560">
        <f ca="1">IF(B370&gt;Summary!$A$1,#N/A,BB370*MGtoAF)</f>
        <v>0</v>
      </c>
      <c r="BE370" s="560">
        <f>Sheet1!BG372+Sheet1!BH372+Sheet1!BI372-BM370</f>
        <v>0</v>
      </c>
      <c r="BF370" s="560">
        <f t="shared" si="701"/>
        <v>0</v>
      </c>
      <c r="BG370" s="560">
        <f>IF(Sheet1!EP372="FM",BM370,0)</f>
        <v>0</v>
      </c>
      <c r="BH370" s="560">
        <f t="shared" si="702"/>
        <v>0</v>
      </c>
      <c r="BI370" s="560">
        <f>IF(Sheet1!EP372="OTHER",BM370,0)</f>
        <v>0</v>
      </c>
      <c r="BJ370" s="560">
        <f t="shared" si="703"/>
        <v>0</v>
      </c>
      <c r="BK370" s="560">
        <f t="shared" si="704"/>
        <v>0</v>
      </c>
      <c r="BL370" s="560">
        <f t="shared" si="705"/>
        <v>0</v>
      </c>
      <c r="BM370" s="560">
        <f>IF(OR(Sheet1!EP372="FM", Sheet1!EP372="OTHER"),SUM(Sheet1!BG372:'Sheet1'!BI372),0)</f>
        <v>0</v>
      </c>
      <c r="BN370" s="545">
        <f>IF(AND($B370&gt;=$FV370,$B370&lt;=$FW370),MAX(BF370,Sheet1!EI372,0),MAX(BF370-(7/36)*$K370,0))</f>
        <v>0</v>
      </c>
      <c r="BO370" s="560">
        <f t="shared" si="706"/>
        <v>0</v>
      </c>
      <c r="BP370" s="545">
        <f t="shared" si="707"/>
        <v>0</v>
      </c>
      <c r="BQ370" s="545">
        <f>IF(AND($O370&gt;0,Sheet1!EM372=1),(1-($O370-Sheet1!$L372)/$O370)*BL370,0)</f>
        <v>0</v>
      </c>
      <c r="BR370" s="545">
        <f>IF(AND(Sheet1!$L372=0,Sheet1!$L371=0, Calculation!BK370&lt;Sheet1!$EI372-0.1,Sheet1!$EI372=Sheet1!$EI371,Sheet1!$EI372=Sheet1!$EI373),Sheet1!$EI372,BL370-BQ370)</f>
        <v>0</v>
      </c>
      <c r="BS370" s="560"/>
      <c r="BT370" s="560"/>
      <c r="BU370" s="560">
        <f t="shared" si="708"/>
        <v>0</v>
      </c>
      <c r="BV370" s="560"/>
      <c r="BW370" s="560">
        <f ca="1">IF(B370&gt;Summary!$A$1,#N/A,BU370*MGtoAF)</f>
        <v>0</v>
      </c>
      <c r="BX370" s="560">
        <f>Sheet1!BC372+Sheet1!BD372+Sheet1!BE372+Sheet1!BF372-CG370-CH370</f>
        <v>2.5</v>
      </c>
      <c r="BY370" s="560">
        <f t="shared" si="709"/>
        <v>2.4900299102691923</v>
      </c>
      <c r="BZ370" s="560">
        <f>IF(Sheet1!EQ372="FM",CH370,0)</f>
        <v>0</v>
      </c>
      <c r="CA370" s="560">
        <f t="shared" si="710"/>
        <v>0</v>
      </c>
      <c r="CB370" s="560">
        <f>IF(Sheet1!EQ372="OTHER",CH370,0)</f>
        <v>0</v>
      </c>
      <c r="CC370" s="560">
        <f t="shared" si="711"/>
        <v>0</v>
      </c>
      <c r="CD370" s="560">
        <f t="shared" si="712"/>
        <v>0</v>
      </c>
      <c r="CE370" s="560">
        <f t="shared" si="713"/>
        <v>2.5</v>
      </c>
      <c r="CF370" s="560">
        <f t="shared" si="714"/>
        <v>2.4900299102691923</v>
      </c>
      <c r="CG370" s="560">
        <f>IF(Sheet1!EQ372="CWA",SUM(Sheet1!BC372:'Sheet1'!BF372),0)</f>
        <v>0</v>
      </c>
      <c r="CH370" s="560">
        <f>IF(OR(Sheet1!EQ372="FM", Sheet1!EQ372="OTHER"),SUM(Sheet1!BC372:'Sheet1'!BF372),0)</f>
        <v>0</v>
      </c>
      <c r="CI370" s="545">
        <f>IF(AND($B370&gt;=$FV370,$B370&lt;=$FW370),MAX(CF370,Sheet1!EJ372,0),MAX(CF370-(7/36)*$K370,0))</f>
        <v>0</v>
      </c>
      <c r="CJ370" s="560">
        <f t="shared" si="715"/>
        <v>0</v>
      </c>
      <c r="CK370" s="545">
        <f t="shared" si="716"/>
        <v>2.4900299102691923</v>
      </c>
      <c r="CL370" s="545">
        <f>IF(AND($O370&gt;0,Sheet1!EN372=1),(1-($O370-Sheet1!$L372)/$O370)*CF370,0)</f>
        <v>0</v>
      </c>
      <c r="CM370" s="545">
        <f>IF(AND(Sheet1!$L372=0,Sheet1!$L371=0, Calculation!CE370&lt;Sheet1!EJ372-0.1,Sheet1!EJ372=Sheet1!EJ371,Sheet1!EJ372=Sheet1!EJ373),Sheet1!EJ372,CF370-CL370)</f>
        <v>2.4900299102691923</v>
      </c>
      <c r="CN370" s="545"/>
      <c r="CO370" s="560"/>
      <c r="CP370" s="560">
        <f t="shared" si="717"/>
        <v>0</v>
      </c>
      <c r="CQ370" s="560"/>
      <c r="CR370" s="560">
        <f ca="1">IF(B370&gt;Summary!$A$1,#N/A,CP370*MGtoAF)</f>
        <v>0</v>
      </c>
      <c r="CS370" s="560">
        <f>Sheet1!BK372+Sheet1!BL372+Sheet1!BM372-Sheet1!ER372-DA370</f>
        <v>6.48</v>
      </c>
      <c r="CT370" s="560">
        <f t="shared" si="718"/>
        <v>6.4541575274177463</v>
      </c>
      <c r="CU370" s="560">
        <f>IF(Sheet1!ER372="FM",DA370,0)</f>
        <v>0</v>
      </c>
      <c r="CV370" s="560">
        <f t="shared" si="719"/>
        <v>0</v>
      </c>
      <c r="CW370" s="560">
        <f>IF(Sheet1!ER372="OTHER",DA370,0)</f>
        <v>0</v>
      </c>
      <c r="CX370" s="560">
        <f t="shared" si="720"/>
        <v>0</v>
      </c>
      <c r="CY370" s="560">
        <f t="shared" si="721"/>
        <v>6.48</v>
      </c>
      <c r="CZ370" s="560">
        <f t="shared" si="722"/>
        <v>6.4541575274177463</v>
      </c>
      <c r="DA370" s="560">
        <f>IF(OR(Sheet1!ER372="FM", Sheet1!ER372="OTHER"),SUM(Sheet1!BK372:'Sheet1'!BM372),0)</f>
        <v>0</v>
      </c>
      <c r="DB370" s="545">
        <f>IF(AND($B370&gt;=$FV370,$B370&lt;=$FW370),MAX($CT370,Sheet1!EK372,0),MAX($CT370-(7/36)*$K370,0))</f>
        <v>0</v>
      </c>
      <c r="DC370" s="560">
        <f t="shared" si="723"/>
        <v>0</v>
      </c>
      <c r="DD370" s="545">
        <f t="shared" si="724"/>
        <v>6.4541575274177463</v>
      </c>
      <c r="DE370" s="545">
        <f>IF(AND($O370&gt;0,Sheet1!EO372=1),(1-($O370-Sheet1!$L372)/$O370)*CZ370,0)</f>
        <v>0</v>
      </c>
      <c r="DF370" s="545">
        <f>IF(AND(Sheet1!$L372=0,Sheet1!$L371=0, Calculation!CY370&lt;Sheet1!$EK372-0.1,Sheet1!$EK372=Sheet1!$EK371,Sheet1!$EK372=Sheet1!$EK373),Sheet1!$EK372,CZ370-DE370)</f>
        <v>6.4541575274177463</v>
      </c>
      <c r="DG370" s="545"/>
      <c r="DH370" s="560">
        <f t="shared" si="725"/>
        <v>8.98</v>
      </c>
      <c r="DI370" s="560">
        <f t="shared" si="726"/>
        <v>0</v>
      </c>
      <c r="DJ370" s="698">
        <f t="shared" si="727"/>
        <v>8.9441874376869386</v>
      </c>
      <c r="DK370" s="560">
        <f ca="1">IF(B370&gt;Summary!$A$1,#N/A,DI370*MGtoAF)</f>
        <v>0</v>
      </c>
      <c r="DL370" s="698">
        <f t="shared" si="728"/>
        <v>8.98</v>
      </c>
      <c r="DM370" s="560">
        <f t="shared" si="729"/>
        <v>20.060000000000002</v>
      </c>
      <c r="DN370" s="560">
        <f>Sheet1!AB372-DM370</f>
        <v>-8.0000000000001847E-2</v>
      </c>
      <c r="DO370" s="560">
        <f t="shared" si="730"/>
        <v>-3.9880358923231225E-3</v>
      </c>
      <c r="DP370" s="560">
        <f>(VLOOKUP(Sheet1!DC372,hhdcap_wcm,4)-(((VLOOKUP(Sheet1!DC372,hhdcap_wcm,3)-Sheet1!DC372)/(VLOOKUP(Sheet1!DC372,hhdcap_wcm,3)-VLOOKUP(Sheet1!DC372,hhdcap_wcm,1)))*(VLOOKUP(Sheet1!DC372,hhdcap_wcm,4)-VLOOKUP(Sheet1!DC372,hhdcap_wcm,2))))</f>
        <v>9900.8000000219454</v>
      </c>
      <c r="DQ370" s="560">
        <f t="shared" si="731"/>
        <v>-535.20000000051914</v>
      </c>
      <c r="DR370" s="560">
        <f t="shared" si="732"/>
        <v>-269.89409984897583</v>
      </c>
      <c r="DS370" s="560">
        <f>Sheet1!EA372*AFtoMG</f>
        <v>0</v>
      </c>
      <c r="DT370" s="560">
        <f>Sheet1!EB372*AFtoMG</f>
        <v>0</v>
      </c>
      <c r="DU370" s="560">
        <f>Sheet1!EC372*AFtoMG</f>
        <v>0</v>
      </c>
      <c r="DV370" s="560">
        <f>Sheet1!ED372*AFtoMG</f>
        <v>0</v>
      </c>
      <c r="DW370" s="560">
        <f t="shared" si="733"/>
        <v>0</v>
      </c>
      <c r="DX370" s="560">
        <f t="shared" si="734"/>
        <v>0</v>
      </c>
      <c r="DY370" s="560">
        <f t="shared" si="735"/>
        <v>0</v>
      </c>
      <c r="DZ370" s="560">
        <f t="shared" si="736"/>
        <v>0</v>
      </c>
      <c r="EA370" s="560"/>
      <c r="EB370" s="545">
        <f>IF(OR(B370&lt;FV370,B370&gt;FW370),(MIN(BF370+BY370+CT370+MAX(Sheet1!AA372+AQ370-73,0),K370)),0)</f>
        <v>8.9441874376869386</v>
      </c>
      <c r="EC370" s="560"/>
      <c r="ED370" s="560">
        <f t="shared" si="737"/>
        <v>8.9441874376869386</v>
      </c>
      <c r="EE370" s="560"/>
      <c r="EF370" s="560">
        <f>Sheet1!EH372+Sheet1!EI372+Sheet1!EJ372+Sheet1!EK372</f>
        <v>9</v>
      </c>
      <c r="EG370" s="560"/>
      <c r="EH370" s="545">
        <f t="shared" si="738"/>
        <v>0</v>
      </c>
      <c r="EI370" s="560">
        <f>IF(Sheet1!ET372=1,SUM('Calculations II'!AT370:BA370)+'Calculations II'!BC370+Sheet1!BV372+'Calculations II'!BE370+AP370,SUM('Calculations II'!AT370:BA370)+'Calculations II'!BC370+Sheet1!BV372+'Calculations II'!BE370+AP370)</f>
        <v>44.596367999999998</v>
      </c>
      <c r="EJ370" s="560">
        <f>Sheet1!AA372+Sheet1!AB372+'Calculations II'!BC370</f>
        <v>51.958176000000002</v>
      </c>
      <c r="EK370" s="560"/>
      <c r="EL370" s="560"/>
      <c r="EM370" s="560">
        <f t="shared" si="739"/>
        <v>41998</v>
      </c>
      <c r="EN370" s="560">
        <f t="shared" si="740"/>
        <v>0</v>
      </c>
      <c r="EO370" s="560">
        <f t="shared" si="741"/>
        <v>0</v>
      </c>
      <c r="EP370" s="560">
        <v>0</v>
      </c>
      <c r="EQ370" s="560">
        <v>0</v>
      </c>
      <c r="ER370" s="560">
        <v>0</v>
      </c>
      <c r="ES370" s="545">
        <f t="shared" si="660"/>
        <v>-4.0069191081512008</v>
      </c>
      <c r="ET370" s="560">
        <f>-(VLOOKUP(Sheet1!BQ372,Lookup!$O$4:$Q$262,2)-VLOOKUP(Sheet1!BQ371,Lookup!$O$4:$Q$262,2))/1000000</f>
        <v>-1.9342588606811948</v>
      </c>
      <c r="EU370" s="560">
        <f>-(VLOOKUP(Sheet1!BR372,Lookup!$O$4:$Q$262,3)-VLOOKUP(Sheet1!BR371,Lookup!$O$4:$Q$262,3))/1000000</f>
        <v>-2.0726602474700062</v>
      </c>
      <c r="EV370" s="560"/>
      <c r="EW370" s="560"/>
      <c r="EX370" s="560"/>
      <c r="EY370" s="560"/>
      <c r="EZ370" s="560"/>
      <c r="FA370" s="560"/>
      <c r="FB370" s="560"/>
      <c r="FC370" s="560"/>
      <c r="FD370" s="594" t="e">
        <f t="shared" si="742"/>
        <v>#N/A</v>
      </c>
      <c r="FE370" s="594" t="e">
        <f t="shared" si="743"/>
        <v>#N/A</v>
      </c>
      <c r="FF370" s="595" t="e">
        <f t="shared" si="744"/>
        <v>#N/A</v>
      </c>
      <c r="FG370" s="596" t="s">
        <v>692</v>
      </c>
      <c r="FH370" s="596" t="s">
        <v>692</v>
      </c>
      <c r="FI370" s="594" t="e">
        <v>#N/A</v>
      </c>
      <c r="FJ370" s="594" t="e">
        <v>#N/A</v>
      </c>
      <c r="FK370" s="560"/>
      <c r="FL370" s="560"/>
      <c r="FM370" s="560"/>
      <c r="FN370" s="560"/>
      <c r="FO370" s="560">
        <f>O370+((Sheet1!CS372)*GPMtoMGD)</f>
        <v>51.958176000000002</v>
      </c>
      <c r="FP370" s="560">
        <f>IF(Sheet1!AA372+AQ370&lt;=Calculation!N370,AQ370,Calculation!N370-Sheet1!AA372)</f>
        <v>10.059720837487536</v>
      </c>
      <c r="FQ370" s="560">
        <f>(Sheet1!BP372+Sheet1!BO372)/694.4</f>
        <v>5.4291474654377885E-2</v>
      </c>
      <c r="FR370" s="560"/>
      <c r="FS370" s="560"/>
      <c r="FT370" s="560"/>
      <c r="FU370" s="560"/>
      <c r="FV370" s="695">
        <f t="shared" si="661"/>
        <v>41827</v>
      </c>
      <c r="FW370" s="695">
        <f t="shared" si="662"/>
        <v>41934</v>
      </c>
      <c r="FX370" s="560"/>
      <c r="FY370" s="560"/>
      <c r="FZ370" s="560"/>
      <c r="GA370" s="560"/>
      <c r="GB370" s="560" t="str">
        <f t="shared" si="663"/>
        <v>n</v>
      </c>
      <c r="GC370" s="564">
        <f t="shared" si="664"/>
        <v>41691</v>
      </c>
      <c r="GD370" s="695">
        <f t="shared" si="665"/>
        <v>41807</v>
      </c>
      <c r="GE370" s="560">
        <v>6518.9</v>
      </c>
      <c r="GF370" s="695">
        <f t="shared" si="666"/>
        <v>41808</v>
      </c>
      <c r="GG370" s="560">
        <f t="shared" si="686"/>
        <v>3259</v>
      </c>
      <c r="GH370" s="564">
        <f t="shared" si="667"/>
        <v>41934</v>
      </c>
      <c r="GJ370" s="545">
        <f t="shared" si="668"/>
        <v>0</v>
      </c>
      <c r="GK370" s="560" t="str">
        <f t="shared" si="745"/>
        <v/>
      </c>
      <c r="GL370" s="560">
        <f t="shared" si="669"/>
        <v>0</v>
      </c>
      <c r="GM370" s="560" t="str">
        <f t="shared" si="670"/>
        <v/>
      </c>
      <c r="GN370" s="560">
        <f>IF(GK370="P",Lookup!$M$12,IF(GK370="PP",Lookup!$M$13,IF(GK370="PPP",Lookup!$M$14,IF(GK370="T",Lookup!$M$15,IF(GK370="TP",Lookup!$M$16,IF(GK370="TPP",Lookup!$M$17,IF(GK370="TPPP",Lookup!$M$18,0)))))))*GJ370</f>
        <v>0</v>
      </c>
      <c r="GO370" s="560">
        <f t="shared" si="671"/>
        <v>0</v>
      </c>
      <c r="GP370" s="560">
        <f t="shared" si="746"/>
        <v>0</v>
      </c>
      <c r="GQ370" s="560">
        <f t="shared" si="679"/>
        <v>0</v>
      </c>
      <c r="GR370" s="560"/>
      <c r="GS370" s="560">
        <f t="shared" si="672"/>
        <v>0</v>
      </c>
      <c r="GT370" s="560" t="str">
        <f t="shared" si="673"/>
        <v/>
      </c>
      <c r="GU370" s="560">
        <f>IF(GK370="P",Lookup!$N$12,IF(GK370="PP",Lookup!$N$13,IF(GK370="PPP",Lookup!$N$14,IF(GK370="T",Lookup!$N$15,IF(GK370="TP",Lookup!$N$16,IF(GK370="TPP",Lookup!$N$17,IF(GK370="TPPP",Lookup!$N$18,0)))))))*GJ370</f>
        <v>0</v>
      </c>
      <c r="GV370" s="560">
        <f t="shared" si="674"/>
        <v>0</v>
      </c>
      <c r="GW370" s="560">
        <f t="shared" si="747"/>
        <v>0</v>
      </c>
      <c r="GX370" s="560">
        <f t="shared" si="680"/>
        <v>0</v>
      </c>
      <c r="GY370" s="560"/>
      <c r="GZ370" s="560">
        <f t="shared" si="675"/>
        <v>0</v>
      </c>
      <c r="HA370" s="560" t="str">
        <f t="shared" si="676"/>
        <v/>
      </c>
      <c r="HB370" s="560">
        <f>IF(GK370="P",Lookup!$N$12,IF(GK370="PP",Lookup!$N$13,IF(GK370="PPP",Lookup!$N$14,IF(GK370="T",Lookup!$N$15,IF(GK370="TP",Lookup!$N$16,IF(GK370="TPP",Lookup!$N$17,IF(GK370="TPPP",Lookup!$N$18,0)))))))*GJ370</f>
        <v>0</v>
      </c>
      <c r="HC370" s="545">
        <f t="shared" si="748"/>
        <v>0</v>
      </c>
      <c r="HD370" s="560">
        <f t="shared" si="749"/>
        <v>0</v>
      </c>
      <c r="HE370" s="560">
        <f t="shared" si="681"/>
        <v>0</v>
      </c>
      <c r="HF370" s="560"/>
      <c r="HG370" s="560">
        <f t="shared" si="677"/>
        <v>0</v>
      </c>
      <c r="HH370" s="560" t="str">
        <f t="shared" si="678"/>
        <v/>
      </c>
      <c r="HI370" s="560">
        <f>IF(GK370="P",Lookup!$N$12,IF(GK370="PP",Lookup!$N$13,IF(GK370="PPP",Lookup!$N$14,IF(GK370="T",Lookup!$N$15,IF(GK370="TP",Lookup!$N$16,IF(GK370="TPP",Lookup!$N$17,IF(GK370="TPPP",Lookup!$N$18,0)))))))*GJ370</f>
        <v>0</v>
      </c>
      <c r="HJ370" s="545">
        <f t="shared" si="750"/>
        <v>0</v>
      </c>
      <c r="HK370" s="560">
        <f t="shared" si="751"/>
        <v>0</v>
      </c>
      <c r="HL370" s="560">
        <f t="shared" si="682"/>
        <v>0</v>
      </c>
    </row>
    <row r="371" spans="1:220">
      <c r="A371" s="580" t="s">
        <v>8</v>
      </c>
      <c r="B371" s="556">
        <v>41999</v>
      </c>
      <c r="C371" s="561">
        <v>0</v>
      </c>
      <c r="D371" s="529">
        <f t="shared" si="684"/>
        <v>300</v>
      </c>
      <c r="E371" s="529">
        <f t="shared" si="685"/>
        <v>250</v>
      </c>
      <c r="F371" s="529">
        <v>250</v>
      </c>
      <c r="G371" s="560">
        <f>DR371+Sheet1!CZ373</f>
        <v>1879.1880988376238</v>
      </c>
      <c r="H371" s="914">
        <f t="shared" si="650"/>
        <v>947.74398708863998</v>
      </c>
      <c r="I371" s="559">
        <f>MAX(Sheet1!Z373-AT371+(Sheet1!DA373-E371)*CFStoMGD,0)</f>
        <v>2243.596</v>
      </c>
      <c r="J371" s="562">
        <f>IF(AND(B371&gt;=Calculation!GC371,B371&lt;=Calculation!GD371),IF(Sheet1!DB373&gt;=Calculation!D371,64.64,0),MAX(Sheet1!Z373-AT371+(Sheet1!DB373-D371)*CFStoMGD,0))</f>
        <v>1635.98</v>
      </c>
      <c r="K371" s="904">
        <f t="shared" si="687"/>
        <v>64.64</v>
      </c>
      <c r="L371" s="560">
        <f>Sheet1!AA373+Sheet1!AB373-Sheet1!L373+(Sheet1!DA373-F371)*CFStoMGD</f>
        <v>2237.0760000000023</v>
      </c>
      <c r="M371" s="560">
        <f t="shared" si="688"/>
        <v>1239.0013308304128</v>
      </c>
      <c r="N371" s="910">
        <f>IF(Sheet1!DA373&gt;=F371,MIN(73,MIN(MAX(L371,0),MAX(M371,0))),0)</f>
        <v>73</v>
      </c>
      <c r="O371" s="563">
        <f>Sheet1!AA373+Sheet1!AB373</f>
        <v>45.68</v>
      </c>
      <c r="P371" s="563">
        <f t="shared" si="689"/>
        <v>70.666959999999989</v>
      </c>
      <c r="Q371" s="898">
        <f t="shared" si="651"/>
        <v>0</v>
      </c>
      <c r="R371" s="829">
        <f t="shared" si="690"/>
        <v>8.8968152866242036</v>
      </c>
      <c r="S371" s="698">
        <f t="shared" si="683"/>
        <v>45.68</v>
      </c>
      <c r="T371" s="898">
        <f t="shared" si="652"/>
        <v>0</v>
      </c>
      <c r="U371" s="898">
        <f t="shared" si="653"/>
        <v>0</v>
      </c>
      <c r="V371" s="898"/>
      <c r="W371" s="898">
        <f t="shared" si="654"/>
        <v>55.743184713375797</v>
      </c>
      <c r="X371" s="898">
        <f t="shared" si="655"/>
        <v>45.68</v>
      </c>
      <c r="Y371" s="898" t="str">
        <f t="shared" si="656"/>
        <v/>
      </c>
      <c r="Z371" s="898">
        <f t="shared" si="657"/>
        <v>45.68</v>
      </c>
      <c r="AA371" s="898">
        <f t="shared" si="658"/>
        <v>45.68</v>
      </c>
      <c r="AB371" s="898" t="str">
        <f t="shared" si="659"/>
        <v/>
      </c>
      <c r="AC371" s="563">
        <f>Sheet1!Y373*MGDtoCFS</f>
        <v>46.595639999999996</v>
      </c>
      <c r="AD371" s="563">
        <f>Sheet1!Z373*MGDtoCFS</f>
        <v>30.90906</v>
      </c>
      <c r="AE371" s="563">
        <f>Sheet1!AA373*MGDtoCFS</f>
        <v>46.657519999999998</v>
      </c>
      <c r="AF371" s="563">
        <f>Sheet1!AB373*MGDtoCFS</f>
        <v>24.009439999999998</v>
      </c>
      <c r="AG371" s="563">
        <f>Sheet1!L373*MGDtoCFS</f>
        <v>49.844339999996173</v>
      </c>
      <c r="AH371" s="545">
        <f t="shared" si="691"/>
        <v>0</v>
      </c>
      <c r="AI371" s="560">
        <f t="shared" si="692"/>
        <v>0</v>
      </c>
      <c r="AJ371" s="560">
        <f t="shared" si="693"/>
        <v>0</v>
      </c>
      <c r="AK371" s="560">
        <f t="shared" si="694"/>
        <v>0</v>
      </c>
      <c r="AL371" s="560">
        <f>(VLOOKUP(Sheet1!DC373,hhdcap_wcm,4)-(((VLOOKUP(Sheet1!DC373,hhdcap_wcm,3)-Sheet1!DC373)/(VLOOKUP(Sheet1!DC373,hhdcap_wcm,3)-VLOOKUP(Sheet1!DC373,hhdcap_wcm,1)))*(VLOOKUP(Sheet1!DC373,hhdcap_wcm,4)-VLOOKUP(Sheet1!DC373,hhdcap_wcm,2))))</f>
        <v>8055.000000016953</v>
      </c>
      <c r="AM371" s="560">
        <f t="shared" si="695"/>
        <v>-1845.8000000049924</v>
      </c>
      <c r="AN371" s="560">
        <f t="shared" si="696"/>
        <v>0</v>
      </c>
      <c r="AO371" s="560">
        <f t="shared" si="697"/>
        <v>0</v>
      </c>
      <c r="AP371" s="560">
        <f>Sheet1!BA373+Sheet1!BB373+Sheet1!BN373+CD371</f>
        <v>6.7</v>
      </c>
      <c r="AQ371" s="560">
        <f>Sheet1!BN373+(DO371*Sheet1!BN373)</f>
        <v>5.6346496815286624</v>
      </c>
      <c r="AR371" s="560">
        <f>Sheet1!BA373+CD371</f>
        <v>0</v>
      </c>
      <c r="AS371" s="560">
        <f>Sheet1!BA373+Sheet1!BB373+CD371</f>
        <v>1</v>
      </c>
      <c r="AT371" s="698">
        <f>0</f>
        <v>0</v>
      </c>
      <c r="AU371" s="560">
        <f>IF(EB371&lt;K371,0,MAX(Sheet1!AA373+AQ371-15/36*K371-N371,Sheet1!EH373,0))</f>
        <v>0</v>
      </c>
      <c r="AV371" s="560">
        <f>IF(OR(B371&gt;=GD371,B371&lt;GC371),0,15/36*K371-MAX(0,64.6-(137.6-(Sheet1!AA373+Sheet1!AB373))))</f>
        <v>0</v>
      </c>
      <c r="AW371" s="698">
        <f>Sheet1!DB373-110</f>
        <v>2690</v>
      </c>
      <c r="AX371" s="698">
        <f>Sheet1!DA373-265</f>
        <v>3425</v>
      </c>
      <c r="AY371" s="698">
        <f t="shared" si="698"/>
        <v>73</v>
      </c>
      <c r="AZ371" s="698">
        <v>0</v>
      </c>
      <c r="BA371" s="698">
        <f t="shared" si="699"/>
        <v>0</v>
      </c>
      <c r="BB371" s="560">
        <f t="shared" si="700"/>
        <v>0</v>
      </c>
      <c r="BC371" s="560"/>
      <c r="BD371" s="560">
        <f ca="1">IF(B371&gt;Summary!$A$1,#N/A,BB371*MGtoAF)</f>
        <v>0</v>
      </c>
      <c r="BE371" s="560">
        <f>Sheet1!BG373+Sheet1!BH373+Sheet1!BI373-BM371</f>
        <v>0</v>
      </c>
      <c r="BF371" s="560">
        <f t="shared" si="701"/>
        <v>0</v>
      </c>
      <c r="BG371" s="560">
        <f>IF(Sheet1!EP373="FM",BM371,0)</f>
        <v>0</v>
      </c>
      <c r="BH371" s="560">
        <f t="shared" si="702"/>
        <v>0</v>
      </c>
      <c r="BI371" s="560">
        <f>IF(Sheet1!EP373="OTHER",BM371,0)</f>
        <v>0</v>
      </c>
      <c r="BJ371" s="560">
        <f t="shared" si="703"/>
        <v>0</v>
      </c>
      <c r="BK371" s="560">
        <f t="shared" si="704"/>
        <v>0</v>
      </c>
      <c r="BL371" s="560">
        <f t="shared" si="705"/>
        <v>0</v>
      </c>
      <c r="BM371" s="560">
        <f>IF(OR(Sheet1!EP373="FM", Sheet1!EP373="OTHER"),SUM(Sheet1!BG373:'Sheet1'!BI373),0)</f>
        <v>0</v>
      </c>
      <c r="BN371" s="545">
        <f>IF(AND($B371&gt;=$FV371,$B371&lt;=$FW371),MAX(BF371,Sheet1!EI373,0),MAX(BF371-(7/36)*$K371,0))</f>
        <v>0</v>
      </c>
      <c r="BO371" s="560">
        <f t="shared" si="706"/>
        <v>0</v>
      </c>
      <c r="BP371" s="545">
        <f t="shared" si="707"/>
        <v>0</v>
      </c>
      <c r="BQ371" s="545">
        <f>IF(AND($O371&gt;0,Sheet1!EM373=1),(1-($O371-Sheet1!$L373)/$O371)*BL371,0)</f>
        <v>0</v>
      </c>
      <c r="BR371" s="545">
        <f>IF(AND(Sheet1!$L373=0,Sheet1!$L372=0, Calculation!BK371&lt;Sheet1!$EI373-0.1,Sheet1!$EI373=Sheet1!$EI372,Sheet1!$EI373=Sheet1!$EI374),Sheet1!$EI373,BL371-BQ371)</f>
        <v>0</v>
      </c>
      <c r="BS371" s="560"/>
      <c r="BT371" s="560"/>
      <c r="BU371" s="560">
        <f t="shared" si="708"/>
        <v>0</v>
      </c>
      <c r="BV371" s="560"/>
      <c r="BW371" s="560">
        <f ca="1">IF(B371&gt;Summary!$A$1,#N/A,BU371*MGtoAF)</f>
        <v>0</v>
      </c>
      <c r="BX371" s="560">
        <f>Sheet1!BC373+Sheet1!BD373+Sheet1!BE373+Sheet1!BF373-CG371-CH371</f>
        <v>2.5</v>
      </c>
      <c r="BY371" s="560">
        <f t="shared" si="709"/>
        <v>2.4713375796178343</v>
      </c>
      <c r="BZ371" s="560">
        <f>IF(Sheet1!EQ373="FM",CH371,0)</f>
        <v>0</v>
      </c>
      <c r="CA371" s="560">
        <f t="shared" si="710"/>
        <v>0</v>
      </c>
      <c r="CB371" s="560">
        <f>IF(Sheet1!EQ373="OTHER",CH371,0)</f>
        <v>0</v>
      </c>
      <c r="CC371" s="560">
        <f t="shared" si="711"/>
        <v>0</v>
      </c>
      <c r="CD371" s="560">
        <f t="shared" si="712"/>
        <v>0</v>
      </c>
      <c r="CE371" s="560">
        <f t="shared" si="713"/>
        <v>2.5</v>
      </c>
      <c r="CF371" s="560">
        <f t="shared" si="714"/>
        <v>2.4713375796178343</v>
      </c>
      <c r="CG371" s="560">
        <f>IF(Sheet1!EQ373="CWA",SUM(Sheet1!BC373:'Sheet1'!BF373),0)</f>
        <v>0</v>
      </c>
      <c r="CH371" s="560">
        <f>IF(OR(Sheet1!EQ373="FM", Sheet1!EQ373="OTHER"),SUM(Sheet1!BC373:'Sheet1'!BF373),0)</f>
        <v>0</v>
      </c>
      <c r="CI371" s="545">
        <f>IF(AND($B371&gt;=$FV371,$B371&lt;=$FW371),MAX(CF371,Sheet1!EJ373,0),MAX(CF371-(7/36)*$K371,0))</f>
        <v>0</v>
      </c>
      <c r="CJ371" s="560">
        <f t="shared" si="715"/>
        <v>0</v>
      </c>
      <c r="CK371" s="545">
        <f t="shared" si="716"/>
        <v>2.4713375796178343</v>
      </c>
      <c r="CL371" s="545">
        <f>IF(AND($O371&gt;0,Sheet1!EN373=1),(1-($O371-Sheet1!$L373)/$O371)*CF371,0)</f>
        <v>0</v>
      </c>
      <c r="CM371" s="545">
        <f>IF(AND(Sheet1!$L373=0,Sheet1!$L372=0, Calculation!CE371&lt;Sheet1!EJ373-0.1,Sheet1!EJ373=Sheet1!EJ372,Sheet1!EJ373=Sheet1!EJ374),Sheet1!EJ373,CF371-CL371)</f>
        <v>2.4713375796178343</v>
      </c>
      <c r="CN371" s="545"/>
      <c r="CO371" s="560"/>
      <c r="CP371" s="560">
        <f t="shared" si="717"/>
        <v>0</v>
      </c>
      <c r="CQ371" s="560"/>
      <c r="CR371" s="560">
        <f ca="1">IF(B371&gt;Summary!$A$1,#N/A,CP371*MGtoAF)</f>
        <v>0</v>
      </c>
      <c r="CS371" s="560">
        <f>Sheet1!BK373+Sheet1!BL373+Sheet1!BM373-Sheet1!ER373-DA371</f>
        <v>6.5</v>
      </c>
      <c r="CT371" s="560">
        <f t="shared" si="718"/>
        <v>6.4254777070063698</v>
      </c>
      <c r="CU371" s="560">
        <f>IF(Sheet1!ER373="FM",DA371,0)</f>
        <v>0</v>
      </c>
      <c r="CV371" s="560">
        <f t="shared" si="719"/>
        <v>0</v>
      </c>
      <c r="CW371" s="560">
        <f>IF(Sheet1!ER373="OTHER",DA371,0)</f>
        <v>0</v>
      </c>
      <c r="CX371" s="560">
        <f t="shared" si="720"/>
        <v>0</v>
      </c>
      <c r="CY371" s="560">
        <f t="shared" si="721"/>
        <v>6.5</v>
      </c>
      <c r="CZ371" s="560">
        <f t="shared" si="722"/>
        <v>6.4254777070063698</v>
      </c>
      <c r="DA371" s="560">
        <f>IF(OR(Sheet1!ER373="FM", Sheet1!ER373="OTHER"),SUM(Sheet1!BK373:'Sheet1'!BM373),0)</f>
        <v>0</v>
      </c>
      <c r="DB371" s="545">
        <f>IF(AND($B371&gt;=$FV371,$B371&lt;=$FW371),MAX($CT371,Sheet1!EK373,0),MAX($CT371-(7/36)*$K371,0))</f>
        <v>0</v>
      </c>
      <c r="DC371" s="560">
        <f t="shared" si="723"/>
        <v>0</v>
      </c>
      <c r="DD371" s="545">
        <f t="shared" si="724"/>
        <v>6.4254777070063698</v>
      </c>
      <c r="DE371" s="545">
        <f>IF(AND($O371&gt;0,Sheet1!EO373=1),(1-($O371-Sheet1!$L373)/$O371)*CZ371,0)</f>
        <v>0</v>
      </c>
      <c r="DF371" s="545">
        <f>IF(AND(Sheet1!$L373=0,Sheet1!$L372=0, Calculation!CY371&lt;Sheet1!$EK373-0.1,Sheet1!$EK373=Sheet1!$EK372,Sheet1!$EK373=Sheet1!$EK374),Sheet1!$EK373,CZ371-DE371)</f>
        <v>6.4254777070063698</v>
      </c>
      <c r="DG371" s="545"/>
      <c r="DH371" s="560">
        <f t="shared" si="725"/>
        <v>9</v>
      </c>
      <c r="DI371" s="560">
        <f t="shared" si="726"/>
        <v>0</v>
      </c>
      <c r="DJ371" s="698">
        <f t="shared" si="727"/>
        <v>8.8968152866242036</v>
      </c>
      <c r="DK371" s="560">
        <f ca="1">IF(B371&gt;Summary!$A$1,#N/A,DI371*MGtoAF)</f>
        <v>0</v>
      </c>
      <c r="DL371" s="698">
        <f t="shared" si="728"/>
        <v>9</v>
      </c>
      <c r="DM371" s="560">
        <f t="shared" si="729"/>
        <v>15.7</v>
      </c>
      <c r="DN371" s="560">
        <f>Sheet1!AB373-DM371</f>
        <v>-0.17999999999999972</v>
      </c>
      <c r="DO371" s="560">
        <f t="shared" si="730"/>
        <v>-1.1464968152866224E-2</v>
      </c>
      <c r="DP371" s="560">
        <f>(VLOOKUP(Sheet1!DC373,hhdcap_wcm,4)-(((VLOOKUP(Sheet1!DC373,hhdcap_wcm,3)-Sheet1!DC373)/(VLOOKUP(Sheet1!DC373,hhdcap_wcm,3)-VLOOKUP(Sheet1!DC373,hhdcap_wcm,1)))*(VLOOKUP(Sheet1!DC373,hhdcap_wcm,4)-VLOOKUP(Sheet1!DC373,hhdcap_wcm,2))))</f>
        <v>8055.000000016953</v>
      </c>
      <c r="DQ371" s="560">
        <f t="shared" si="731"/>
        <v>-1845.8000000049924</v>
      </c>
      <c r="DR371" s="560">
        <f t="shared" si="732"/>
        <v>-930.81190116237622</v>
      </c>
      <c r="DS371" s="560">
        <f>Sheet1!EA373*AFtoMG</f>
        <v>0</v>
      </c>
      <c r="DT371" s="560">
        <f>Sheet1!EB373*AFtoMG</f>
        <v>0</v>
      </c>
      <c r="DU371" s="560">
        <f>Sheet1!EC373*AFtoMG</f>
        <v>0</v>
      </c>
      <c r="DV371" s="560">
        <f>Sheet1!ED373*AFtoMG</f>
        <v>0</v>
      </c>
      <c r="DW371" s="560">
        <f t="shared" si="733"/>
        <v>0</v>
      </c>
      <c r="DX371" s="560">
        <f t="shared" si="734"/>
        <v>0</v>
      </c>
      <c r="DY371" s="560">
        <f t="shared" si="735"/>
        <v>0</v>
      </c>
      <c r="DZ371" s="560">
        <f t="shared" si="736"/>
        <v>0</v>
      </c>
      <c r="EA371" s="560"/>
      <c r="EB371" s="545">
        <f>IF(OR(B371&lt;FV371,B371&gt;FW371),(MIN(BF371+BY371+CT371+MAX(Sheet1!AA373+AQ371-73,0),K371)),0)</f>
        <v>8.8968152866242036</v>
      </c>
      <c r="EC371" s="560"/>
      <c r="ED371" s="560">
        <f t="shared" si="737"/>
        <v>8.8968152866242036</v>
      </c>
      <c r="EE371" s="560"/>
      <c r="EF371" s="560">
        <f>Sheet1!EH373+Sheet1!EI373+Sheet1!EJ373+Sheet1!EK373</f>
        <v>9</v>
      </c>
      <c r="EG371" s="560"/>
      <c r="EH371" s="545">
        <f t="shared" si="738"/>
        <v>0</v>
      </c>
      <c r="EI371" s="560">
        <f>IF(Sheet1!ET373=1,SUM('Calculations II'!AT371:BA371)+'Calculations II'!BC371+Sheet1!BV373+'Calculations II'!BE371+AP371,SUM('Calculations II'!AT371:BA371)+'Calculations II'!BC371+Sheet1!BV373+'Calculations II'!BE371+AP371)</f>
        <v>47.98644800000001</v>
      </c>
      <c r="EJ371" s="560">
        <f>Sheet1!AA373+Sheet1!AB373+'Calculations II'!BC371</f>
        <v>45.68</v>
      </c>
      <c r="EK371" s="560"/>
      <c r="EL371" s="560"/>
      <c r="EM371" s="560">
        <f t="shared" si="739"/>
        <v>41999</v>
      </c>
      <c r="EN371" s="560">
        <f t="shared" si="740"/>
        <v>0</v>
      </c>
      <c r="EO371" s="560">
        <f t="shared" si="741"/>
        <v>0</v>
      </c>
      <c r="EP371" s="560">
        <v>0</v>
      </c>
      <c r="EQ371" s="560">
        <v>0</v>
      </c>
      <c r="ER371" s="560">
        <v>0</v>
      </c>
      <c r="ES371" s="545">
        <f t="shared" si="660"/>
        <v>5.8022389976333715</v>
      </c>
      <c r="ET371" s="560">
        <f>-(VLOOKUP(Sheet1!BQ373,Lookup!$O$4:$Q$262,2)-VLOOKUP(Sheet1!BQ372,Lookup!$O$4:$Q$262,2))/1000000</f>
        <v>2.900917882936243</v>
      </c>
      <c r="EU371" s="560">
        <f>-(VLOOKUP(Sheet1!BR373,Lookup!$O$4:$Q$262,3)-VLOOKUP(Sheet1!BR372,Lookup!$O$4:$Q$262,3))/1000000</f>
        <v>2.9013211146971285</v>
      </c>
      <c r="EV371" s="560"/>
      <c r="EW371" s="560"/>
      <c r="EX371" s="560"/>
      <c r="EY371" s="560"/>
      <c r="EZ371" s="560"/>
      <c r="FA371" s="560"/>
      <c r="FB371" s="560"/>
      <c r="FC371" s="560"/>
      <c r="FD371" s="594" t="e">
        <f t="shared" si="742"/>
        <v>#N/A</v>
      </c>
      <c r="FE371" s="594" t="e">
        <f t="shared" si="743"/>
        <v>#N/A</v>
      </c>
      <c r="FF371" s="595" t="e">
        <f t="shared" si="744"/>
        <v>#N/A</v>
      </c>
      <c r="FG371" s="596" t="s">
        <v>692</v>
      </c>
      <c r="FH371" s="596" t="s">
        <v>692</v>
      </c>
      <c r="FI371" s="594" t="e">
        <v>#N/A</v>
      </c>
      <c r="FJ371" s="594" t="e">
        <v>#N/A</v>
      </c>
      <c r="FK371" s="560"/>
      <c r="FL371" s="560"/>
      <c r="FM371" s="560"/>
      <c r="FN371" s="560"/>
      <c r="FO371" s="560">
        <f>O371+((Sheet1!CS373)*GPMtoMGD)</f>
        <v>45.68</v>
      </c>
      <c r="FP371" s="560">
        <f>IF(Sheet1!AA373+AQ371&lt;=Calculation!N371,AQ371,Calculation!N371-Sheet1!AA373)</f>
        <v>5.6346496815286624</v>
      </c>
      <c r="FQ371" s="560">
        <f>(Sheet1!BP373+Sheet1!BO373)/694.4</f>
        <v>1.0122407834101383</v>
      </c>
      <c r="FR371" s="560"/>
      <c r="FS371" s="560"/>
      <c r="FT371" s="560"/>
      <c r="FU371" s="560"/>
      <c r="FV371" s="695">
        <f t="shared" si="661"/>
        <v>41827</v>
      </c>
      <c r="FW371" s="695">
        <f t="shared" si="662"/>
        <v>41934</v>
      </c>
      <c r="FX371" s="560"/>
      <c r="FY371" s="560"/>
      <c r="FZ371" s="560"/>
      <c r="GA371" s="560"/>
      <c r="GB371" s="560" t="str">
        <f t="shared" si="663"/>
        <v>n</v>
      </c>
      <c r="GC371" s="564">
        <f t="shared" si="664"/>
        <v>41691</v>
      </c>
      <c r="GD371" s="695">
        <f t="shared" si="665"/>
        <v>41807</v>
      </c>
      <c r="GE371" s="560">
        <v>6518.9</v>
      </c>
      <c r="GF371" s="695">
        <f t="shared" si="666"/>
        <v>41808</v>
      </c>
      <c r="GG371" s="560">
        <f t="shared" si="686"/>
        <v>3259</v>
      </c>
      <c r="GH371" s="564">
        <f t="shared" si="667"/>
        <v>41934</v>
      </c>
      <c r="GJ371" s="545">
        <f t="shared" si="668"/>
        <v>0</v>
      </c>
      <c r="GK371" s="560" t="str">
        <f t="shared" si="745"/>
        <v/>
      </c>
      <c r="GL371" s="560">
        <f t="shared" si="669"/>
        <v>0</v>
      </c>
      <c r="GM371" s="560" t="str">
        <f t="shared" si="670"/>
        <v/>
      </c>
      <c r="GN371" s="560">
        <f>IF(GK371="P",Lookup!$M$12,IF(GK371="PP",Lookup!$M$13,IF(GK371="PPP",Lookup!$M$14,IF(GK371="T",Lookup!$M$15,IF(GK371="TP",Lookup!$M$16,IF(GK371="TPP",Lookup!$M$17,IF(GK371="TPPP",Lookup!$M$18,0)))))))*GJ371</f>
        <v>0</v>
      </c>
      <c r="GO371" s="560">
        <f t="shared" si="671"/>
        <v>0</v>
      </c>
      <c r="GP371" s="560">
        <f t="shared" si="746"/>
        <v>0</v>
      </c>
      <c r="GQ371" s="560">
        <f t="shared" si="679"/>
        <v>0</v>
      </c>
      <c r="GR371" s="560"/>
      <c r="GS371" s="560">
        <f t="shared" si="672"/>
        <v>0</v>
      </c>
      <c r="GT371" s="560" t="str">
        <f t="shared" si="673"/>
        <v/>
      </c>
      <c r="GU371" s="560">
        <f>IF(GK371="P",Lookup!$N$12,IF(GK371="PP",Lookup!$N$13,IF(GK371="PPP",Lookup!$N$14,IF(GK371="T",Lookup!$N$15,IF(GK371="TP",Lookup!$N$16,IF(GK371="TPP",Lookup!$N$17,IF(GK371="TPPP",Lookup!$N$18,0)))))))*GJ371</f>
        <v>0</v>
      </c>
      <c r="GV371" s="560">
        <f t="shared" si="674"/>
        <v>0</v>
      </c>
      <c r="GW371" s="560">
        <f t="shared" si="747"/>
        <v>0</v>
      </c>
      <c r="GX371" s="560">
        <f t="shared" si="680"/>
        <v>0</v>
      </c>
      <c r="GY371" s="560"/>
      <c r="GZ371" s="560">
        <f t="shared" si="675"/>
        <v>0</v>
      </c>
      <c r="HA371" s="560" t="str">
        <f t="shared" si="676"/>
        <v/>
      </c>
      <c r="HB371" s="560">
        <f>IF(GK371="P",Lookup!$N$12,IF(GK371="PP",Lookup!$N$13,IF(GK371="PPP",Lookup!$N$14,IF(GK371="T",Lookup!$N$15,IF(GK371="TP",Lookup!$N$16,IF(GK371="TPP",Lookup!$N$17,IF(GK371="TPPP",Lookup!$N$18,0)))))))*GJ371</f>
        <v>0</v>
      </c>
      <c r="HC371" s="545">
        <f t="shared" si="748"/>
        <v>0</v>
      </c>
      <c r="HD371" s="560">
        <f t="shared" si="749"/>
        <v>0</v>
      </c>
      <c r="HE371" s="560">
        <f t="shared" si="681"/>
        <v>0</v>
      </c>
      <c r="HF371" s="560"/>
      <c r="HG371" s="560">
        <f t="shared" si="677"/>
        <v>0</v>
      </c>
      <c r="HH371" s="560" t="str">
        <f t="shared" si="678"/>
        <v/>
      </c>
      <c r="HI371" s="560">
        <f>IF(GK371="P",Lookup!$N$12,IF(GK371="PP",Lookup!$N$13,IF(GK371="PPP",Lookup!$N$14,IF(GK371="T",Lookup!$N$15,IF(GK371="TP",Lookup!$N$16,IF(GK371="TPP",Lookup!$N$17,IF(GK371="TPPP",Lookup!$N$18,0)))))))*GJ371</f>
        <v>0</v>
      </c>
      <c r="HJ371" s="545">
        <f t="shared" si="750"/>
        <v>0</v>
      </c>
      <c r="HK371" s="560">
        <f t="shared" si="751"/>
        <v>0</v>
      </c>
      <c r="HL371" s="560">
        <f t="shared" si="682"/>
        <v>0</v>
      </c>
    </row>
    <row r="372" spans="1:220">
      <c r="A372" s="580" t="s">
        <v>9</v>
      </c>
      <c r="B372" s="556">
        <v>42000</v>
      </c>
      <c r="C372" s="561">
        <v>0</v>
      </c>
      <c r="D372" s="529">
        <f t="shared" si="684"/>
        <v>300</v>
      </c>
      <c r="E372" s="529">
        <f t="shared" si="685"/>
        <v>250</v>
      </c>
      <c r="F372" s="529">
        <v>250</v>
      </c>
      <c r="G372" s="560">
        <f>DR372+Sheet1!CZ374</f>
        <v>1838.6787695392923</v>
      </c>
      <c r="H372" s="914">
        <f t="shared" si="650"/>
        <v>921.55875663019845</v>
      </c>
      <c r="I372" s="559">
        <f>MAX(Sheet1!Z374-AT372+(Sheet1!DA374-E372)*CFStoMGD,0)</f>
        <v>2174.4960000000001</v>
      </c>
      <c r="J372" s="562">
        <f>IF(AND(B372&gt;=Calculation!GC372,B372&lt;=Calculation!GD372),IF(Sheet1!DB374&gt;=Calculation!D372,64.64,0),MAX(Sheet1!Z374-AT372+(Sheet1!DB374-D372)*CFStoMGD,0))</f>
        <v>1566.8799999999999</v>
      </c>
      <c r="K372" s="904">
        <f t="shared" si="687"/>
        <v>64.64</v>
      </c>
      <c r="L372" s="560">
        <f>Sheet1!AA374+Sheet1!AB374-Sheet1!L374+(Sheet1!DA374-F372)*CFStoMGD</f>
        <v>2175.3159999999984</v>
      </c>
      <c r="M372" s="560">
        <f t="shared" si="688"/>
        <v>1212.2923957628025</v>
      </c>
      <c r="N372" s="910">
        <f>IF(Sheet1!DA374&gt;=F372,MIN(73,MIN(MAX(L372,0),MAX(M372,0))),0)</f>
        <v>73</v>
      </c>
      <c r="O372" s="563">
        <f>Sheet1!AA374+Sheet1!AB374</f>
        <v>43.08</v>
      </c>
      <c r="P372" s="563">
        <f t="shared" si="689"/>
        <v>66.644759999999991</v>
      </c>
      <c r="Q372" s="898">
        <f t="shared" si="651"/>
        <v>0</v>
      </c>
      <c r="R372" s="829">
        <f t="shared" si="690"/>
        <v>8.9960418280402799</v>
      </c>
      <c r="S372" s="898">
        <f t="shared" si="683"/>
        <v>43.08</v>
      </c>
      <c r="T372" s="898">
        <f t="shared" si="652"/>
        <v>0</v>
      </c>
      <c r="U372" s="898">
        <f t="shared" si="653"/>
        <v>0</v>
      </c>
      <c r="V372" s="898"/>
      <c r="W372" s="898">
        <f t="shared" si="654"/>
        <v>55.643958171959724</v>
      </c>
      <c r="X372" s="898">
        <f t="shared" si="655"/>
        <v>43.08</v>
      </c>
      <c r="Y372" s="898" t="str">
        <f t="shared" si="656"/>
        <v/>
      </c>
      <c r="Z372" s="898">
        <f t="shared" si="657"/>
        <v>43.08</v>
      </c>
      <c r="AA372" s="898">
        <f t="shared" si="658"/>
        <v>43.08</v>
      </c>
      <c r="AB372" s="898" t="str">
        <f t="shared" si="659"/>
        <v/>
      </c>
      <c r="AC372" s="563">
        <f>Sheet1!Y374*MGDtoCFS</f>
        <v>46.657519999999998</v>
      </c>
      <c r="AD372" s="563">
        <f>Sheet1!Z374*MGDtoCFS</f>
        <v>24.009439999999998</v>
      </c>
      <c r="AE372" s="563">
        <f>Sheet1!AA374*MGDtoCFS</f>
        <v>46.70393</v>
      </c>
      <c r="AF372" s="563">
        <f>Sheet1!AB374*MGDtoCFS</f>
        <v>19.940829999999998</v>
      </c>
      <c r="AG372" s="563">
        <f>Sheet1!L374*MGDtoCFS</f>
        <v>41.366780000002471</v>
      </c>
      <c r="AH372" s="545">
        <f t="shared" si="691"/>
        <v>0</v>
      </c>
      <c r="AI372" s="560">
        <f t="shared" si="692"/>
        <v>0</v>
      </c>
      <c r="AJ372" s="560">
        <f t="shared" si="693"/>
        <v>0</v>
      </c>
      <c r="AK372" s="560">
        <f t="shared" si="694"/>
        <v>0</v>
      </c>
      <c r="AL372" s="560">
        <f>(VLOOKUP(Sheet1!DC374,hhdcap_wcm,4)-(((VLOOKUP(Sheet1!DC374,hhdcap_wcm,3)-Sheet1!DC374)/(VLOOKUP(Sheet1!DC374,hhdcap_wcm,3)-VLOOKUP(Sheet1!DC374,hhdcap_wcm,1)))*(VLOOKUP(Sheet1!DC374,hhdcap_wcm,4)-VLOOKUP(Sheet1!DC374,hhdcap_wcm,2))))</f>
        <v>6347.0000000133696</v>
      </c>
      <c r="AM372" s="560">
        <f t="shared" si="695"/>
        <v>-1708.0000000035834</v>
      </c>
      <c r="AN372" s="560">
        <f t="shared" si="696"/>
        <v>0</v>
      </c>
      <c r="AO372" s="560">
        <f t="shared" si="697"/>
        <v>0</v>
      </c>
      <c r="AP372" s="560">
        <f>Sheet1!BA374+Sheet1!BB374+Sheet1!BN374+CD372</f>
        <v>3.9</v>
      </c>
      <c r="AQ372" s="560">
        <f>Sheet1!BN374+(DO372*Sheet1!BN374)</f>
        <v>2.8955073586367157</v>
      </c>
      <c r="AR372" s="560">
        <f>Sheet1!BA374+CD372</f>
        <v>0</v>
      </c>
      <c r="AS372" s="560">
        <f>Sheet1!BA374+Sheet1!BB374+CD372</f>
        <v>1</v>
      </c>
      <c r="AT372" s="698">
        <f>0</f>
        <v>0</v>
      </c>
      <c r="AU372" s="560">
        <f>IF(EB372&lt;K372,0,MAX(Sheet1!AA374+AQ372-15/36*K372-N372,Sheet1!EH374,0))</f>
        <v>0</v>
      </c>
      <c r="AV372" s="560">
        <f>IF(OR(B372&gt;=GD372,B372&lt;GC372),0,15/36*K372-MAX(0,64.6-(137.6-(Sheet1!AA374+Sheet1!AB374))))</f>
        <v>0</v>
      </c>
      <c r="AW372" s="698">
        <f>Sheet1!DB374-110</f>
        <v>2590</v>
      </c>
      <c r="AX372" s="698">
        <f>Sheet1!DA374-265</f>
        <v>3325</v>
      </c>
      <c r="AY372" s="698">
        <f t="shared" si="698"/>
        <v>73</v>
      </c>
      <c r="AZ372" s="698">
        <v>0</v>
      </c>
      <c r="BA372" s="698">
        <f t="shared" si="699"/>
        <v>0</v>
      </c>
      <c r="BB372" s="560">
        <f t="shared" si="700"/>
        <v>0</v>
      </c>
      <c r="BC372" s="560"/>
      <c r="BD372" s="560">
        <f ca="1">IF(B372&gt;Summary!$A$1,#N/A,BB372*MGtoAF)</f>
        <v>0</v>
      </c>
      <c r="BE372" s="560">
        <f>Sheet1!BG374+Sheet1!BH374+Sheet1!BI374-BM372</f>
        <v>0</v>
      </c>
      <c r="BF372" s="560">
        <f t="shared" si="701"/>
        <v>0</v>
      </c>
      <c r="BG372" s="560">
        <f>IF(Sheet1!EP374="FM",BM372,0)</f>
        <v>0</v>
      </c>
      <c r="BH372" s="560">
        <f t="shared" si="702"/>
        <v>0</v>
      </c>
      <c r="BI372" s="560">
        <f>IF(Sheet1!EP374="OTHER",BM372,0)</f>
        <v>0</v>
      </c>
      <c r="BJ372" s="560">
        <f t="shared" si="703"/>
        <v>0</v>
      </c>
      <c r="BK372" s="560">
        <f t="shared" si="704"/>
        <v>0</v>
      </c>
      <c r="BL372" s="560">
        <f t="shared" si="705"/>
        <v>0</v>
      </c>
      <c r="BM372" s="560">
        <f>IF(OR(Sheet1!EP374="FM", Sheet1!EP374="OTHER"),SUM(Sheet1!BG374:'Sheet1'!BI374),0)</f>
        <v>0</v>
      </c>
      <c r="BN372" s="545">
        <f>IF(AND($B372&gt;=$FV372,$B372&lt;=$FW372),MAX(BF372,Sheet1!EI374,0),MAX(BF372-(7/36)*$K372,0))</f>
        <v>0</v>
      </c>
      <c r="BO372" s="560">
        <f t="shared" si="706"/>
        <v>0</v>
      </c>
      <c r="BP372" s="545">
        <f t="shared" si="707"/>
        <v>0</v>
      </c>
      <c r="BQ372" s="545">
        <f>IF(AND($O372&gt;0,Sheet1!EM374=1),(1-($O372-Sheet1!$L374)/$O372)*BL372,0)</f>
        <v>0</v>
      </c>
      <c r="BR372" s="545">
        <f>IF(AND(Sheet1!$L374=0,Sheet1!$L373=0, Calculation!BK372&lt;Sheet1!$EI374-0.1,Sheet1!$EI374=Sheet1!$EI373,Sheet1!$EI374=Sheet1!$EI375),Sheet1!$EI374,BL372-BQ372)</f>
        <v>0</v>
      </c>
      <c r="BS372" s="560"/>
      <c r="BT372" s="560"/>
      <c r="BU372" s="560">
        <f t="shared" si="708"/>
        <v>0</v>
      </c>
      <c r="BV372" s="560"/>
      <c r="BW372" s="560">
        <f ca="1">IF(B372&gt;Summary!$A$1,#N/A,BU372*MGtoAF)</f>
        <v>0</v>
      </c>
      <c r="BX372" s="560">
        <f>Sheet1!BC374+Sheet1!BD374+Sheet1!BE374+Sheet1!BF374-CG372-CH372</f>
        <v>2.5099999999999998</v>
      </c>
      <c r="BY372" s="560">
        <f t="shared" si="709"/>
        <v>2.5061115414407436</v>
      </c>
      <c r="BZ372" s="560">
        <f>IF(Sheet1!EQ374="FM",CH372,0)</f>
        <v>0</v>
      </c>
      <c r="CA372" s="560">
        <f t="shared" si="710"/>
        <v>0</v>
      </c>
      <c r="CB372" s="560">
        <f>IF(Sheet1!EQ374="OTHER",CH372,0)</f>
        <v>0</v>
      </c>
      <c r="CC372" s="560">
        <f t="shared" si="711"/>
        <v>0</v>
      </c>
      <c r="CD372" s="560">
        <f t="shared" si="712"/>
        <v>0</v>
      </c>
      <c r="CE372" s="560">
        <f t="shared" si="713"/>
        <v>2.5099999999999998</v>
      </c>
      <c r="CF372" s="560">
        <f t="shared" si="714"/>
        <v>2.5061115414407436</v>
      </c>
      <c r="CG372" s="560">
        <f>IF(Sheet1!EQ374="CWA",SUM(Sheet1!BC374:'Sheet1'!BF374),0)</f>
        <v>0</v>
      </c>
      <c r="CH372" s="560">
        <f>IF(OR(Sheet1!EQ374="FM", Sheet1!EQ374="OTHER"),SUM(Sheet1!BC374:'Sheet1'!BF374),0)</f>
        <v>0</v>
      </c>
      <c r="CI372" s="545">
        <f>IF(AND($B372&gt;=$FV372,$B372&lt;=$FW372),MAX(CF372,Sheet1!EJ374,0),MAX(CF372-(7/36)*$K372,0))</f>
        <v>0</v>
      </c>
      <c r="CJ372" s="560">
        <f t="shared" si="715"/>
        <v>0</v>
      </c>
      <c r="CK372" s="545">
        <f t="shared" si="716"/>
        <v>2.5061115414407436</v>
      </c>
      <c r="CL372" s="545">
        <f>IF(AND($O372&gt;0,Sheet1!EN374=1),(1-($O372-Sheet1!$L374)/$O372)*CF372,0)</f>
        <v>0</v>
      </c>
      <c r="CM372" s="545">
        <f>IF(AND(Sheet1!$L374=0,Sheet1!$L373=0, Calculation!CE372&lt;Sheet1!EJ374-0.1,Sheet1!EJ374=Sheet1!EJ373,Sheet1!EJ374=Sheet1!EJ375),Sheet1!EJ374,CF372-CL372)</f>
        <v>2.5061115414407436</v>
      </c>
      <c r="CN372" s="545"/>
      <c r="CO372" s="560"/>
      <c r="CP372" s="560">
        <f t="shared" si="717"/>
        <v>0</v>
      </c>
      <c r="CQ372" s="560"/>
      <c r="CR372" s="560">
        <f ca="1">IF(B372&gt;Summary!$A$1,#N/A,CP372*MGtoAF)</f>
        <v>0</v>
      </c>
      <c r="CS372" s="560">
        <f>Sheet1!BK374+Sheet1!BL374+Sheet1!BM374-Sheet1!ER374-DA372</f>
        <v>6.5</v>
      </c>
      <c r="CT372" s="560">
        <f t="shared" si="718"/>
        <v>6.4899302865995354</v>
      </c>
      <c r="CU372" s="560">
        <f>IF(Sheet1!ER374="FM",DA372,0)</f>
        <v>0</v>
      </c>
      <c r="CV372" s="560">
        <f t="shared" si="719"/>
        <v>0</v>
      </c>
      <c r="CW372" s="560">
        <f>IF(Sheet1!ER374="OTHER",DA372,0)</f>
        <v>0</v>
      </c>
      <c r="CX372" s="560">
        <f t="shared" si="720"/>
        <v>0</v>
      </c>
      <c r="CY372" s="560">
        <f t="shared" si="721"/>
        <v>6.5</v>
      </c>
      <c r="CZ372" s="560">
        <f t="shared" si="722"/>
        <v>6.4899302865995354</v>
      </c>
      <c r="DA372" s="560">
        <f>IF(OR(Sheet1!ER374="FM", Sheet1!ER374="OTHER"),SUM(Sheet1!BK374:'Sheet1'!BM374),0)</f>
        <v>0</v>
      </c>
      <c r="DB372" s="545">
        <f>IF(AND($B372&gt;=$FV372,$B372&lt;=$FW372),MAX($CT372,Sheet1!EK374,0),MAX($CT372-(7/36)*$K372,0))</f>
        <v>0</v>
      </c>
      <c r="DC372" s="560">
        <f t="shared" si="723"/>
        <v>0</v>
      </c>
      <c r="DD372" s="545">
        <f t="shared" si="724"/>
        <v>6.4899302865995354</v>
      </c>
      <c r="DE372" s="545">
        <f>IF(AND($O372&gt;0,Sheet1!EO374=1),(1-($O372-Sheet1!$L374)/$O372)*CZ372,0)</f>
        <v>0</v>
      </c>
      <c r="DF372" s="545">
        <f>IF(AND(Sheet1!$L374=0,Sheet1!$L373=0, Calculation!CY372&lt;Sheet1!$EK374-0.1,Sheet1!$EK374=Sheet1!$EK373,Sheet1!$EK374=Sheet1!$EK375),Sheet1!$EK374,CZ372-DE372)</f>
        <v>6.4899302865995354</v>
      </c>
      <c r="DG372" s="545"/>
      <c r="DH372" s="560">
        <f t="shared" si="725"/>
        <v>9.01</v>
      </c>
      <c r="DI372" s="560">
        <f t="shared" si="726"/>
        <v>0</v>
      </c>
      <c r="DJ372" s="698">
        <f t="shared" si="727"/>
        <v>8.9960418280402799</v>
      </c>
      <c r="DK372" s="560">
        <f ca="1">IF(B372&gt;Summary!$A$1,#N/A,DI372*MGtoAF)</f>
        <v>0</v>
      </c>
      <c r="DL372" s="698">
        <f t="shared" si="728"/>
        <v>9.01</v>
      </c>
      <c r="DM372" s="560">
        <f t="shared" si="729"/>
        <v>12.91</v>
      </c>
      <c r="DN372" s="560">
        <f>Sheet1!AB374-DM372</f>
        <v>-1.9999999999999574E-2</v>
      </c>
      <c r="DO372" s="560">
        <f t="shared" si="730"/>
        <v>-1.5491866769945448E-3</v>
      </c>
      <c r="DP372" s="560">
        <f>(VLOOKUP(Sheet1!DC374,hhdcap_wcm,4)-(((VLOOKUP(Sheet1!DC374,hhdcap_wcm,3)-Sheet1!DC374)/(VLOOKUP(Sheet1!DC374,hhdcap_wcm,3)-VLOOKUP(Sheet1!DC374,hhdcap_wcm,1)))*(VLOOKUP(Sheet1!DC374,hhdcap_wcm,4)-VLOOKUP(Sheet1!DC374,hhdcap_wcm,2))))</f>
        <v>6347.0000000133696</v>
      </c>
      <c r="DQ372" s="560">
        <f t="shared" si="731"/>
        <v>-1708.0000000035834</v>
      </c>
      <c r="DR372" s="560">
        <f t="shared" si="732"/>
        <v>-861.32123046070762</v>
      </c>
      <c r="DS372" s="560">
        <f>Sheet1!EA374*AFtoMG</f>
        <v>0</v>
      </c>
      <c r="DT372" s="560">
        <f>Sheet1!EB374*AFtoMG</f>
        <v>0</v>
      </c>
      <c r="DU372" s="560">
        <f>Sheet1!EC374*AFtoMG</f>
        <v>0</v>
      </c>
      <c r="DV372" s="560">
        <f>Sheet1!ED374*AFtoMG</f>
        <v>0</v>
      </c>
      <c r="DW372" s="560">
        <f t="shared" si="733"/>
        <v>0</v>
      </c>
      <c r="DX372" s="560">
        <f t="shared" si="734"/>
        <v>0</v>
      </c>
      <c r="DY372" s="560">
        <f t="shared" si="735"/>
        <v>0</v>
      </c>
      <c r="DZ372" s="560">
        <f t="shared" si="736"/>
        <v>0</v>
      </c>
      <c r="EA372" s="560"/>
      <c r="EB372" s="545">
        <f>IF(OR(B372&lt;FV372,B372&gt;FW372),(MIN(BF372+BY372+CT372+MAX(Sheet1!AA374+AQ372-73,0),K372)),0)</f>
        <v>8.9960418280402799</v>
      </c>
      <c r="EC372" s="560"/>
      <c r="ED372" s="560">
        <f t="shared" si="737"/>
        <v>8.9960418280402799</v>
      </c>
      <c r="EE372" s="560"/>
      <c r="EF372" s="560">
        <f>Sheet1!EH374+Sheet1!EI374+Sheet1!EJ374+Sheet1!EK374</f>
        <v>9</v>
      </c>
      <c r="EG372" s="560"/>
      <c r="EH372" s="545">
        <f t="shared" si="738"/>
        <v>0</v>
      </c>
      <c r="EI372" s="560">
        <f>IF(Sheet1!ET374=1,SUM('Calculations II'!AT372:BA372)+'Calculations II'!BC372+Sheet1!BV374+'Calculations II'!BE372+AP372,SUM('Calculations II'!AT372:BA372)+'Calculations II'!BC372+Sheet1!BV374+'Calculations II'!BE372+AP372)</f>
        <v>48.524175999999997</v>
      </c>
      <c r="EJ372" s="560">
        <f>Sheet1!AA374+Sheet1!AB374+'Calculations II'!BC372</f>
        <v>51.471455999999996</v>
      </c>
      <c r="EK372" s="560"/>
      <c r="EL372" s="560"/>
      <c r="EM372" s="560">
        <f t="shared" si="739"/>
        <v>42000</v>
      </c>
      <c r="EN372" s="560">
        <f t="shared" si="740"/>
        <v>0</v>
      </c>
      <c r="EO372" s="560">
        <f t="shared" si="741"/>
        <v>0</v>
      </c>
      <c r="EP372" s="560">
        <v>0</v>
      </c>
      <c r="EQ372" s="560">
        <v>0</v>
      </c>
      <c r="ER372" s="560">
        <v>0</v>
      </c>
      <c r="ES372" s="545">
        <f t="shared" si="660"/>
        <v>0.4142376440395229</v>
      </c>
      <c r="ET372" s="560">
        <f>-(VLOOKUP(Sheet1!BQ374,Lookup!$O$4:$Q$262,2)-VLOOKUP(Sheet1!BQ373,Lookup!$O$4:$Q$262,2))/1000000</f>
        <v>0.13806854993187265</v>
      </c>
      <c r="EU372" s="560">
        <f>-(VLOOKUP(Sheet1!BR374,Lookup!$O$4:$Q$262,3)-VLOOKUP(Sheet1!BR373,Lookup!$O$4:$Q$262,3))/1000000</f>
        <v>0.27616909410765023</v>
      </c>
      <c r="EV372" s="560"/>
      <c r="EW372" s="560"/>
      <c r="EX372" s="560"/>
      <c r="EY372" s="560"/>
      <c r="EZ372" s="560"/>
      <c r="FA372" s="560"/>
      <c r="FB372" s="560"/>
      <c r="FC372" s="560"/>
      <c r="FD372" s="594" t="e">
        <f t="shared" si="742"/>
        <v>#N/A</v>
      </c>
      <c r="FE372" s="594" t="e">
        <f t="shared" si="743"/>
        <v>#N/A</v>
      </c>
      <c r="FF372" s="595" t="e">
        <f t="shared" si="744"/>
        <v>#N/A</v>
      </c>
      <c r="FG372" s="596" t="s">
        <v>692</v>
      </c>
      <c r="FH372" s="596" t="s">
        <v>692</v>
      </c>
      <c r="FI372" s="594" t="e">
        <v>#N/A</v>
      </c>
      <c r="FJ372" s="594" t="e">
        <v>#N/A</v>
      </c>
      <c r="FK372" s="560"/>
      <c r="FL372" s="560"/>
      <c r="FM372" s="560"/>
      <c r="FN372" s="560"/>
      <c r="FO372" s="560">
        <f>O372+((Sheet1!CS374)*GPMtoMGD)</f>
        <v>51.471455999999996</v>
      </c>
      <c r="FP372" s="560">
        <f>IF(Sheet1!AA374+AQ372&lt;=Calculation!N372,AQ372,Calculation!N372-Sheet1!AA374)</f>
        <v>2.8955073586367157</v>
      </c>
      <c r="FQ372" s="560">
        <f>(Sheet1!BP374+Sheet1!BO374)/694.4</f>
        <v>0.27808179723502302</v>
      </c>
      <c r="FR372" s="560"/>
      <c r="FS372" s="560"/>
      <c r="FT372" s="560"/>
      <c r="FU372" s="560"/>
      <c r="FV372" s="695">
        <f t="shared" si="661"/>
        <v>41827</v>
      </c>
      <c r="FW372" s="695">
        <f t="shared" si="662"/>
        <v>41934</v>
      </c>
      <c r="FX372" s="560"/>
      <c r="FY372" s="560"/>
      <c r="FZ372" s="560"/>
      <c r="GA372" s="560"/>
      <c r="GB372" s="560" t="str">
        <f t="shared" si="663"/>
        <v>n</v>
      </c>
      <c r="GC372" s="564">
        <f t="shared" si="664"/>
        <v>41691</v>
      </c>
      <c r="GD372" s="695">
        <f t="shared" si="665"/>
        <v>41807</v>
      </c>
      <c r="GE372" s="560">
        <v>6518.9</v>
      </c>
      <c r="GF372" s="695">
        <f t="shared" si="666"/>
        <v>41808</v>
      </c>
      <c r="GG372" s="560">
        <f t="shared" si="686"/>
        <v>3259</v>
      </c>
      <c r="GH372" s="564">
        <f t="shared" si="667"/>
        <v>41934</v>
      </c>
      <c r="GJ372" s="545">
        <f t="shared" si="668"/>
        <v>0</v>
      </c>
      <c r="GK372" s="560" t="str">
        <f t="shared" si="745"/>
        <v/>
      </c>
      <c r="GL372" s="560">
        <f t="shared" si="669"/>
        <v>0</v>
      </c>
      <c r="GM372" s="560" t="str">
        <f t="shared" si="670"/>
        <v/>
      </c>
      <c r="GN372" s="560">
        <f>IF(GK372="P",Lookup!$M$12,IF(GK372="PP",Lookup!$M$13,IF(GK372="PPP",Lookup!$M$14,IF(GK372="T",Lookup!$M$15,IF(GK372="TP",Lookup!$M$16,IF(GK372="TPP",Lookup!$M$17,IF(GK372="TPPP",Lookup!$M$18,0)))))))*GJ372</f>
        <v>0</v>
      </c>
      <c r="GO372" s="560">
        <f t="shared" si="671"/>
        <v>0</v>
      </c>
      <c r="GP372" s="560">
        <f t="shared" si="746"/>
        <v>0</v>
      </c>
      <c r="GQ372" s="560">
        <f t="shared" si="679"/>
        <v>0</v>
      </c>
      <c r="GR372" s="560"/>
      <c r="GS372" s="560">
        <f t="shared" si="672"/>
        <v>0</v>
      </c>
      <c r="GT372" s="560" t="str">
        <f t="shared" si="673"/>
        <v/>
      </c>
      <c r="GU372" s="560">
        <f>IF(GK372="P",Lookup!$N$12,IF(GK372="PP",Lookup!$N$13,IF(GK372="PPP",Lookup!$N$14,IF(GK372="T",Lookup!$N$15,IF(GK372="TP",Lookup!$N$16,IF(GK372="TPP",Lookup!$N$17,IF(GK372="TPPP",Lookup!$N$18,0)))))))*GJ372</f>
        <v>0</v>
      </c>
      <c r="GV372" s="560">
        <f t="shared" si="674"/>
        <v>0</v>
      </c>
      <c r="GW372" s="560">
        <f t="shared" si="747"/>
        <v>0</v>
      </c>
      <c r="GX372" s="560">
        <f t="shared" si="680"/>
        <v>0</v>
      </c>
      <c r="GY372" s="560"/>
      <c r="GZ372" s="560">
        <f t="shared" si="675"/>
        <v>0</v>
      </c>
      <c r="HA372" s="560" t="str">
        <f t="shared" si="676"/>
        <v/>
      </c>
      <c r="HB372" s="560">
        <f>IF(GK372="P",Lookup!$N$12,IF(GK372="PP",Lookup!$N$13,IF(GK372="PPP",Lookup!$N$14,IF(GK372="T",Lookup!$N$15,IF(GK372="TP",Lookup!$N$16,IF(GK372="TPP",Lookup!$N$17,IF(GK372="TPPP",Lookup!$N$18,0)))))))*GJ372</f>
        <v>0</v>
      </c>
      <c r="HC372" s="545">
        <f t="shared" si="748"/>
        <v>0</v>
      </c>
      <c r="HD372" s="560">
        <f t="shared" si="749"/>
        <v>0</v>
      </c>
      <c r="HE372" s="560">
        <f t="shared" si="681"/>
        <v>0</v>
      </c>
      <c r="HF372" s="560"/>
      <c r="HG372" s="560">
        <f t="shared" si="677"/>
        <v>0</v>
      </c>
      <c r="HH372" s="560" t="str">
        <f t="shared" si="678"/>
        <v/>
      </c>
      <c r="HI372" s="560">
        <f>IF(GK372="P",Lookup!$N$12,IF(GK372="PP",Lookup!$N$13,IF(GK372="PPP",Lookup!$N$14,IF(GK372="T",Lookup!$N$15,IF(GK372="TP",Lookup!$N$16,IF(GK372="TPP",Lookup!$N$17,IF(GK372="TPPP",Lookup!$N$18,0)))))))*GJ372</f>
        <v>0</v>
      </c>
      <c r="HJ372" s="545">
        <f t="shared" si="750"/>
        <v>0</v>
      </c>
      <c r="HK372" s="560">
        <f t="shared" si="751"/>
        <v>0</v>
      </c>
      <c r="HL372" s="560">
        <f t="shared" si="682"/>
        <v>0</v>
      </c>
    </row>
    <row r="373" spans="1:220">
      <c r="A373" s="580" t="s">
        <v>3</v>
      </c>
      <c r="B373" s="556">
        <v>42001</v>
      </c>
      <c r="C373" s="561">
        <v>0</v>
      </c>
      <c r="D373" s="529">
        <f t="shared" si="684"/>
        <v>300</v>
      </c>
      <c r="E373" s="529">
        <f t="shared" si="685"/>
        <v>250</v>
      </c>
      <c r="F373" s="529">
        <v>250</v>
      </c>
      <c r="G373" s="560">
        <f>DR373+Sheet1!CZ375</f>
        <v>2054.0746343913765</v>
      </c>
      <c r="H373" s="914">
        <f t="shared" si="650"/>
        <v>1060.7906436705857</v>
      </c>
      <c r="I373" s="559">
        <f>MAX(Sheet1!Z375-AT373+(Sheet1!DA375-E373)*CFStoMGD,0)</f>
        <v>2113.6899999999996</v>
      </c>
      <c r="J373" s="562">
        <f>IF(AND(B373&gt;=Calculation!GC373,B373&lt;=Calculation!GD373),IF(Sheet1!DB375&gt;=Calculation!D373,64.64,0),MAX(Sheet1!Z375-AT373+(Sheet1!DB375-D373)*CFStoMGD,0))</f>
        <v>1493.146</v>
      </c>
      <c r="K373" s="904">
        <f t="shared" si="687"/>
        <v>64.64</v>
      </c>
      <c r="L373" s="560">
        <f>Sheet1!AA375+Sheet1!AB375-Sheet1!L375+(Sheet1!DA375-F373)*CFStoMGD</f>
        <v>2118.3700000000008</v>
      </c>
      <c r="M373" s="560">
        <f t="shared" si="688"/>
        <v>1354.3089205439976</v>
      </c>
      <c r="N373" s="910">
        <f>IF(Sheet1!DA375&gt;=F373,MIN(73,MIN(MAX(L373,0),MAX(M373,0))),0)</f>
        <v>73</v>
      </c>
      <c r="O373" s="563">
        <f>Sheet1!AA375+Sheet1!AB375</f>
        <v>43.44</v>
      </c>
      <c r="P373" s="563">
        <f t="shared" si="689"/>
        <v>67.201679999999996</v>
      </c>
      <c r="Q373" s="898">
        <f t="shared" si="651"/>
        <v>0</v>
      </c>
      <c r="R373" s="829">
        <f t="shared" si="690"/>
        <v>8.9395522388059696</v>
      </c>
      <c r="S373" s="898">
        <f t="shared" si="683"/>
        <v>43.44</v>
      </c>
      <c r="T373" s="898">
        <f t="shared" si="652"/>
        <v>0</v>
      </c>
      <c r="U373" s="898">
        <f t="shared" si="653"/>
        <v>0</v>
      </c>
      <c r="V373" s="898"/>
      <c r="W373" s="898">
        <f t="shared" si="654"/>
        <v>55.700447761194027</v>
      </c>
      <c r="X373" s="898">
        <f t="shared" si="655"/>
        <v>43.44</v>
      </c>
      <c r="Y373" s="898" t="str">
        <f t="shared" si="656"/>
        <v/>
      </c>
      <c r="Z373" s="898">
        <f t="shared" si="657"/>
        <v>43.44</v>
      </c>
      <c r="AA373" s="898">
        <f t="shared" si="658"/>
        <v>43.44</v>
      </c>
      <c r="AB373" s="898" t="str">
        <f t="shared" si="659"/>
        <v/>
      </c>
      <c r="AC373" s="563">
        <f>Sheet1!Y375*MGDtoCFS</f>
        <v>46.70393</v>
      </c>
      <c r="AD373" s="563">
        <f>Sheet1!Z375*MGDtoCFS</f>
        <v>19.940829999999998</v>
      </c>
      <c r="AE373" s="563">
        <f>Sheet1!AA375*MGDtoCFS</f>
        <v>46.611109999999996</v>
      </c>
      <c r="AF373" s="563">
        <f>Sheet1!AB375*MGDtoCFS</f>
        <v>20.59057</v>
      </c>
      <c r="AG373" s="563">
        <f>Sheet1!L375*MGDtoCFS</f>
        <v>40.020889999998424</v>
      </c>
      <c r="AH373" s="545">
        <f t="shared" si="691"/>
        <v>0</v>
      </c>
      <c r="AI373" s="560">
        <f t="shared" si="692"/>
        <v>0</v>
      </c>
      <c r="AJ373" s="560">
        <f t="shared" si="693"/>
        <v>0</v>
      </c>
      <c r="AK373" s="560">
        <f t="shared" si="694"/>
        <v>0</v>
      </c>
      <c r="AL373" s="560">
        <f>(VLOOKUP(Sheet1!DC375,hhdcap_wcm,4)-(((VLOOKUP(Sheet1!DC375,hhdcap_wcm,3)-Sheet1!DC375)/(VLOOKUP(Sheet1!DC375,hhdcap_wcm,3)-VLOOKUP(Sheet1!DC375,hhdcap_wcm,1)))*(VLOOKUP(Sheet1!DC375,hhdcap_wcm,4)-VLOOKUP(Sheet1!DC375,hhdcap_wcm,2))))</f>
        <v>5244.6000000114691</v>
      </c>
      <c r="AM373" s="560">
        <f t="shared" si="695"/>
        <v>-1102.4000000019005</v>
      </c>
      <c r="AN373" s="560">
        <f t="shared" si="696"/>
        <v>0</v>
      </c>
      <c r="AO373" s="560">
        <f t="shared" si="697"/>
        <v>0</v>
      </c>
      <c r="AP373" s="560">
        <f>Sheet1!BA375+Sheet1!BB375+Sheet1!BN375+CD373</f>
        <v>4.4000000000000004</v>
      </c>
      <c r="AQ373" s="560">
        <f>Sheet1!BN375+(DO373*Sheet1!BN375)</f>
        <v>3.3771641791044775</v>
      </c>
      <c r="AR373" s="560">
        <f>Sheet1!BA375+CD373</f>
        <v>0</v>
      </c>
      <c r="AS373" s="560">
        <f>Sheet1!BA375+Sheet1!BB375+CD373</f>
        <v>1</v>
      </c>
      <c r="AT373" s="698">
        <f>0</f>
        <v>0</v>
      </c>
      <c r="AU373" s="560">
        <f>IF(EB373&lt;K373,0,MAX(Sheet1!AA375+AQ373-15/36*K373-N373,Sheet1!EH375,0))</f>
        <v>0</v>
      </c>
      <c r="AV373" s="560">
        <f>IF(OR(B373&gt;=GD373,B373&lt;GC373),0,15/36*K373-MAX(0,64.6-(137.6-(Sheet1!AA375+Sheet1!AB375))))</f>
        <v>0</v>
      </c>
      <c r="AW373" s="698">
        <f>Sheet1!DB375-110</f>
        <v>2480</v>
      </c>
      <c r="AX373" s="698">
        <f>Sheet1!DA375-265</f>
        <v>3235</v>
      </c>
      <c r="AY373" s="698">
        <f t="shared" si="698"/>
        <v>73</v>
      </c>
      <c r="AZ373" s="698">
        <v>0</v>
      </c>
      <c r="BA373" s="698">
        <f t="shared" si="699"/>
        <v>0</v>
      </c>
      <c r="BB373" s="560">
        <f t="shared" si="700"/>
        <v>0</v>
      </c>
      <c r="BC373" s="560"/>
      <c r="BD373" s="560">
        <f ca="1">IF(B373&gt;Summary!$A$1,#N/A,BB373*MGtoAF)</f>
        <v>0</v>
      </c>
      <c r="BE373" s="560">
        <f>Sheet1!BG375+Sheet1!BH375+Sheet1!BI375-BM373</f>
        <v>0</v>
      </c>
      <c r="BF373" s="560">
        <f t="shared" si="701"/>
        <v>0</v>
      </c>
      <c r="BG373" s="560">
        <f>IF(Sheet1!EP375="FM",BM373,0)</f>
        <v>0</v>
      </c>
      <c r="BH373" s="560">
        <f t="shared" si="702"/>
        <v>0</v>
      </c>
      <c r="BI373" s="560">
        <f>IF(Sheet1!EP375="OTHER",BM373,0)</f>
        <v>0</v>
      </c>
      <c r="BJ373" s="560">
        <f t="shared" si="703"/>
        <v>0</v>
      </c>
      <c r="BK373" s="560">
        <f t="shared" si="704"/>
        <v>0</v>
      </c>
      <c r="BL373" s="560">
        <f t="shared" si="705"/>
        <v>0</v>
      </c>
      <c r="BM373" s="560">
        <f>IF(OR(Sheet1!EP375="FM", Sheet1!EP375="OTHER"),SUM(Sheet1!BG375:'Sheet1'!BI375),0)</f>
        <v>0</v>
      </c>
      <c r="BN373" s="545">
        <f>IF(AND($B373&gt;=$FV373,$B373&lt;=$FW373),MAX(BF373,Sheet1!EI375,0),MAX(BF373-(7/36)*$K373,0))</f>
        <v>0</v>
      </c>
      <c r="BO373" s="560">
        <f t="shared" si="706"/>
        <v>0</v>
      </c>
      <c r="BP373" s="545">
        <f t="shared" si="707"/>
        <v>0</v>
      </c>
      <c r="BQ373" s="545">
        <f>IF(AND($O373&gt;0,Sheet1!EM375=1),(1-($O373-Sheet1!$L375)/$O373)*BL373,0)</f>
        <v>0</v>
      </c>
      <c r="BR373" s="545">
        <f>IF(AND(Sheet1!$L375=0,Sheet1!$L374=0, Calculation!BK373&lt;Sheet1!$EI375-0.1,Sheet1!$EI375=Sheet1!$EI374,Sheet1!$EI375=Sheet1!$EI376),Sheet1!$EI375,BL373-BQ373)</f>
        <v>0</v>
      </c>
      <c r="BS373" s="560"/>
      <c r="BT373" s="560"/>
      <c r="BU373" s="560">
        <f t="shared" si="708"/>
        <v>0</v>
      </c>
      <c r="BV373" s="560"/>
      <c r="BW373" s="560">
        <f ca="1">IF(B373&gt;Summary!$A$1,#N/A,BU373*MGtoAF)</f>
        <v>0</v>
      </c>
      <c r="BX373" s="560">
        <f>Sheet1!BC375+Sheet1!BD375+Sheet1!BE375+Sheet1!BF375-CG373-CH373</f>
        <v>2.5</v>
      </c>
      <c r="BY373" s="560">
        <f t="shared" si="709"/>
        <v>2.4832089552238807</v>
      </c>
      <c r="BZ373" s="560">
        <f>IF(Sheet1!EQ375="FM",CH373,0)</f>
        <v>0</v>
      </c>
      <c r="CA373" s="560">
        <f t="shared" si="710"/>
        <v>0</v>
      </c>
      <c r="CB373" s="560">
        <f>IF(Sheet1!EQ375="OTHER",CH373,0)</f>
        <v>0</v>
      </c>
      <c r="CC373" s="560">
        <f t="shared" si="711"/>
        <v>0</v>
      </c>
      <c r="CD373" s="560">
        <f t="shared" si="712"/>
        <v>0</v>
      </c>
      <c r="CE373" s="560">
        <f t="shared" si="713"/>
        <v>2.5</v>
      </c>
      <c r="CF373" s="560">
        <f t="shared" si="714"/>
        <v>2.4832089552238807</v>
      </c>
      <c r="CG373" s="560">
        <f>IF(Sheet1!EQ375="CWA",SUM(Sheet1!BC375:'Sheet1'!BF375),0)</f>
        <v>0</v>
      </c>
      <c r="CH373" s="560">
        <f>IF(OR(Sheet1!EQ375="FM", Sheet1!EQ375="OTHER"),SUM(Sheet1!BC375:'Sheet1'!BF375),0)</f>
        <v>0</v>
      </c>
      <c r="CI373" s="545">
        <f>IF(AND($B373&gt;=$FV373,$B373&lt;=$FW373),MAX(CF373,Sheet1!EJ375,0),MAX(CF373-(7/36)*$K373,0))</f>
        <v>0</v>
      </c>
      <c r="CJ373" s="560">
        <f t="shared" si="715"/>
        <v>0</v>
      </c>
      <c r="CK373" s="545">
        <f t="shared" si="716"/>
        <v>2.4832089552238807</v>
      </c>
      <c r="CL373" s="545">
        <f>IF(AND($O373&gt;0,Sheet1!EN375=1),(1-($O373-Sheet1!$L375)/$O373)*CF373,0)</f>
        <v>0</v>
      </c>
      <c r="CM373" s="545">
        <f>IF(AND(Sheet1!$L375=0,Sheet1!$L374=0, Calculation!CE373&lt;Sheet1!EJ375-0.1,Sheet1!EJ375=Sheet1!EJ374,Sheet1!EJ375=Sheet1!EJ376),Sheet1!EJ375,CF373-CL373)</f>
        <v>2.4832089552238807</v>
      </c>
      <c r="CN373" s="545"/>
      <c r="CO373" s="560"/>
      <c r="CP373" s="560">
        <f t="shared" si="717"/>
        <v>0</v>
      </c>
      <c r="CQ373" s="560"/>
      <c r="CR373" s="560">
        <f ca="1">IF(B373&gt;Summary!$A$1,#N/A,CP373*MGtoAF)</f>
        <v>0</v>
      </c>
      <c r="CS373" s="560">
        <f>Sheet1!BK375+Sheet1!BL375+Sheet1!BM375-Sheet1!ER375-DA373</f>
        <v>6.5</v>
      </c>
      <c r="CT373" s="560">
        <f t="shared" si="718"/>
        <v>6.4563432835820898</v>
      </c>
      <c r="CU373" s="560">
        <f>IF(Sheet1!ER375="FM",DA373,0)</f>
        <v>0</v>
      </c>
      <c r="CV373" s="560">
        <f t="shared" si="719"/>
        <v>0</v>
      </c>
      <c r="CW373" s="560">
        <f>IF(Sheet1!ER375="OTHER",DA373,0)</f>
        <v>0</v>
      </c>
      <c r="CX373" s="560">
        <f t="shared" si="720"/>
        <v>0</v>
      </c>
      <c r="CY373" s="560">
        <f t="shared" si="721"/>
        <v>6.5</v>
      </c>
      <c r="CZ373" s="560">
        <f t="shared" si="722"/>
        <v>6.4563432835820898</v>
      </c>
      <c r="DA373" s="560">
        <f>IF(OR(Sheet1!ER375="FM", Sheet1!ER375="OTHER"),SUM(Sheet1!BK375:'Sheet1'!BM375),0)</f>
        <v>0</v>
      </c>
      <c r="DB373" s="545">
        <f>IF(AND($B373&gt;=$FV373,$B373&lt;=$FW373),MAX($CT373,Sheet1!EK375,0),MAX($CT373-(7/36)*$K373,0))</f>
        <v>0</v>
      </c>
      <c r="DC373" s="560">
        <f t="shared" si="723"/>
        <v>0</v>
      </c>
      <c r="DD373" s="545">
        <f t="shared" si="724"/>
        <v>6.4563432835820898</v>
      </c>
      <c r="DE373" s="545">
        <f>IF(AND($O373&gt;0,Sheet1!EO375=1),(1-($O373-Sheet1!$L375)/$O373)*CZ373,0)</f>
        <v>0</v>
      </c>
      <c r="DF373" s="545">
        <f>IF(AND(Sheet1!$L375=0,Sheet1!$L374=0, Calculation!CY373&lt;Sheet1!$EK375-0.1,Sheet1!$EK375=Sheet1!$EK374,Sheet1!$EK375=Sheet1!$EK376),Sheet1!$EK375,CZ373-DE373)</f>
        <v>6.4563432835820898</v>
      </c>
      <c r="DG373" s="545"/>
      <c r="DH373" s="560">
        <f t="shared" si="725"/>
        <v>9</v>
      </c>
      <c r="DI373" s="560">
        <f t="shared" si="726"/>
        <v>0</v>
      </c>
      <c r="DJ373" s="698">
        <f t="shared" si="727"/>
        <v>8.9395522388059696</v>
      </c>
      <c r="DK373" s="560">
        <f ca="1">IF(B373&gt;Summary!$A$1,#N/A,DI373*MGtoAF)</f>
        <v>0</v>
      </c>
      <c r="DL373" s="698">
        <f t="shared" si="728"/>
        <v>9</v>
      </c>
      <c r="DM373" s="560">
        <f t="shared" si="729"/>
        <v>13.4</v>
      </c>
      <c r="DN373" s="560">
        <f>Sheet1!AB375-DM373</f>
        <v>-8.9999999999999858E-2</v>
      </c>
      <c r="DO373" s="560">
        <f t="shared" si="730"/>
        <v>-6.7164179104477507E-3</v>
      </c>
      <c r="DP373" s="560">
        <f>(VLOOKUP(Sheet1!DC375,hhdcap_wcm,4)-(((VLOOKUP(Sheet1!DC375,hhdcap_wcm,3)-Sheet1!DC375)/(VLOOKUP(Sheet1!DC375,hhdcap_wcm,3)-VLOOKUP(Sheet1!DC375,hhdcap_wcm,1)))*(VLOOKUP(Sheet1!DC375,hhdcap_wcm,4)-VLOOKUP(Sheet1!DC375,hhdcap_wcm,2))))</f>
        <v>5244.6000000114691</v>
      </c>
      <c r="DQ373" s="560">
        <f t="shared" si="731"/>
        <v>-1102.4000000019005</v>
      </c>
      <c r="DR373" s="560">
        <f t="shared" si="732"/>
        <v>-555.92536560862345</v>
      </c>
      <c r="DS373" s="560">
        <f>Sheet1!EA375*AFtoMG</f>
        <v>0</v>
      </c>
      <c r="DT373" s="560">
        <f>Sheet1!EB375*AFtoMG</f>
        <v>0</v>
      </c>
      <c r="DU373" s="560">
        <f>Sheet1!EC375*AFtoMG</f>
        <v>0</v>
      </c>
      <c r="DV373" s="560">
        <f>Sheet1!ED375*AFtoMG</f>
        <v>0</v>
      </c>
      <c r="DW373" s="560">
        <f t="shared" si="733"/>
        <v>0</v>
      </c>
      <c r="DX373" s="560">
        <f t="shared" si="734"/>
        <v>0</v>
      </c>
      <c r="DY373" s="560">
        <f t="shared" si="735"/>
        <v>0</v>
      </c>
      <c r="DZ373" s="560">
        <f t="shared" si="736"/>
        <v>0</v>
      </c>
      <c r="EA373" s="560"/>
      <c r="EB373" s="545">
        <f>IF(OR(B373&lt;FV373,B373&gt;FW373),(MIN(BF373+BY373+CT373+MAX(Sheet1!AA375+AQ373-73,0),K373)),0)</f>
        <v>8.9395522388059696</v>
      </c>
      <c r="EC373" s="560"/>
      <c r="ED373" s="560">
        <f t="shared" si="737"/>
        <v>8.9395522388059696</v>
      </c>
      <c r="EE373" s="560"/>
      <c r="EF373" s="560">
        <f>Sheet1!EH375+Sheet1!EI375+Sheet1!EJ375+Sheet1!EK375</f>
        <v>9</v>
      </c>
      <c r="EG373" s="560"/>
      <c r="EH373" s="545">
        <f t="shared" si="738"/>
        <v>0</v>
      </c>
      <c r="EI373" s="560">
        <f>IF(Sheet1!ET375=1,SUM('Calculations II'!AT373:BA373)+'Calculations II'!BC373+Sheet1!BV375+'Calculations II'!BE373+AP373,SUM('Calculations II'!AT373:BA373)+'Calculations II'!BC373+Sheet1!BV375+'Calculations II'!BE373+AP373)</f>
        <v>49.085279999999997</v>
      </c>
      <c r="EJ373" s="560">
        <f>Sheet1!AA375+Sheet1!AB375+'Calculations II'!BC373</f>
        <v>48.839568</v>
      </c>
      <c r="EK373" s="560"/>
      <c r="EL373" s="560"/>
      <c r="EM373" s="560">
        <f t="shared" si="739"/>
        <v>42001</v>
      </c>
      <c r="EN373" s="560">
        <f t="shared" si="740"/>
        <v>0</v>
      </c>
      <c r="EO373" s="560">
        <f t="shared" si="741"/>
        <v>0</v>
      </c>
      <c r="EP373" s="560">
        <v>0</v>
      </c>
      <c r="EQ373" s="560">
        <v>0</v>
      </c>
      <c r="ER373" s="560">
        <v>0</v>
      </c>
      <c r="ES373" s="545">
        <f t="shared" si="660"/>
        <v>3.7267631890074142</v>
      </c>
      <c r="ET373" s="560">
        <f>-(VLOOKUP(Sheet1!BQ375,Lookup!$O$4:$Q$262,2)-VLOOKUP(Sheet1!BQ374,Lookup!$O$4:$Q$262,2))/1000000</f>
        <v>1.9322879151074308</v>
      </c>
      <c r="EU373" s="560">
        <f>-(VLOOKUP(Sheet1!BR375,Lookup!$O$4:$Q$262,3)-VLOOKUP(Sheet1!BR374,Lookup!$O$4:$Q$262,3))/1000000</f>
        <v>1.7944752738999836</v>
      </c>
      <c r="EV373" s="560"/>
      <c r="EW373" s="560"/>
      <c r="EX373" s="560"/>
      <c r="EY373" s="560"/>
      <c r="EZ373" s="560"/>
      <c r="FA373" s="560"/>
      <c r="FB373" s="560"/>
      <c r="FC373" s="560"/>
      <c r="FD373" s="594" t="e">
        <f t="shared" si="742"/>
        <v>#N/A</v>
      </c>
      <c r="FE373" s="594" t="e">
        <f t="shared" si="743"/>
        <v>#N/A</v>
      </c>
      <c r="FF373" s="595" t="e">
        <f t="shared" si="744"/>
        <v>#N/A</v>
      </c>
      <c r="FG373" s="596" t="s">
        <v>692</v>
      </c>
      <c r="FH373" s="596" t="s">
        <v>692</v>
      </c>
      <c r="FI373" s="594" t="e">
        <v>#N/A</v>
      </c>
      <c r="FJ373" s="594" t="e">
        <v>#N/A</v>
      </c>
      <c r="FK373" s="560"/>
      <c r="FL373" s="560"/>
      <c r="FM373" s="560"/>
      <c r="FN373" s="560"/>
      <c r="FO373" s="560">
        <f>O373+((Sheet1!CS375)*GPMtoMGD)</f>
        <v>48.839568</v>
      </c>
      <c r="FP373" s="560">
        <f>IF(Sheet1!AA375+AQ373&lt;=Calculation!N373,AQ373,Calculation!N373-Sheet1!AA375)</f>
        <v>3.3771641791044775</v>
      </c>
      <c r="FQ373" s="560">
        <f>(Sheet1!BP375+Sheet1!BO375)/694.4</f>
        <v>0.47638248847926268</v>
      </c>
      <c r="FR373" s="560"/>
      <c r="FS373" s="560"/>
      <c r="FT373" s="560"/>
      <c r="FU373" s="560"/>
      <c r="FV373" s="695">
        <f t="shared" si="661"/>
        <v>41827</v>
      </c>
      <c r="FW373" s="695">
        <f t="shared" si="662"/>
        <v>41934</v>
      </c>
      <c r="FX373" s="560"/>
      <c r="FY373" s="560"/>
      <c r="FZ373" s="560"/>
      <c r="GA373" s="560"/>
      <c r="GB373" s="560" t="str">
        <f t="shared" si="663"/>
        <v>n</v>
      </c>
      <c r="GC373" s="564">
        <f t="shared" si="664"/>
        <v>41691</v>
      </c>
      <c r="GD373" s="695">
        <f t="shared" si="665"/>
        <v>41807</v>
      </c>
      <c r="GE373" s="560">
        <v>6518.9</v>
      </c>
      <c r="GF373" s="695">
        <f t="shared" si="666"/>
        <v>41808</v>
      </c>
      <c r="GG373" s="560">
        <f t="shared" si="686"/>
        <v>3259</v>
      </c>
      <c r="GH373" s="564">
        <f t="shared" si="667"/>
        <v>41934</v>
      </c>
      <c r="GJ373" s="545">
        <f t="shared" si="668"/>
        <v>0</v>
      </c>
      <c r="GK373" s="560" t="str">
        <f t="shared" si="745"/>
        <v/>
      </c>
      <c r="GL373" s="560">
        <f t="shared" si="669"/>
        <v>0</v>
      </c>
      <c r="GM373" s="560" t="str">
        <f t="shared" si="670"/>
        <v/>
      </c>
      <c r="GN373" s="560">
        <f>IF(GK373="P",Lookup!$M$12,IF(GK373="PP",Lookup!$M$13,IF(GK373="PPP",Lookup!$M$14,IF(GK373="T",Lookup!$M$15,IF(GK373="TP",Lookup!$M$16,IF(GK373="TPP",Lookup!$M$17,IF(GK373="TPPP",Lookup!$M$18,0)))))))*GJ373</f>
        <v>0</v>
      </c>
      <c r="GO373" s="560">
        <f t="shared" si="671"/>
        <v>0</v>
      </c>
      <c r="GP373" s="560">
        <f t="shared" si="746"/>
        <v>0</v>
      </c>
      <c r="GQ373" s="560">
        <f t="shared" si="679"/>
        <v>0</v>
      </c>
      <c r="GR373" s="560"/>
      <c r="GS373" s="560">
        <f t="shared" si="672"/>
        <v>0</v>
      </c>
      <c r="GT373" s="560" t="str">
        <f t="shared" si="673"/>
        <v/>
      </c>
      <c r="GU373" s="560">
        <f>IF(GK373="P",Lookup!$N$12,IF(GK373="PP",Lookup!$N$13,IF(GK373="PPP",Lookup!$N$14,IF(GK373="T",Lookup!$N$15,IF(GK373="TP",Lookup!$N$16,IF(GK373="TPP",Lookup!$N$17,IF(GK373="TPPP",Lookup!$N$18,0)))))))*GJ373</f>
        <v>0</v>
      </c>
      <c r="GV373" s="560">
        <f t="shared" si="674"/>
        <v>0</v>
      </c>
      <c r="GW373" s="560">
        <f t="shared" si="747"/>
        <v>0</v>
      </c>
      <c r="GX373" s="560">
        <f t="shared" si="680"/>
        <v>0</v>
      </c>
      <c r="GY373" s="560"/>
      <c r="GZ373" s="560">
        <f t="shared" si="675"/>
        <v>0</v>
      </c>
      <c r="HA373" s="560" t="str">
        <f t="shared" si="676"/>
        <v/>
      </c>
      <c r="HB373" s="560">
        <f>IF(GK373="P",Lookup!$N$12,IF(GK373="PP",Lookup!$N$13,IF(GK373="PPP",Lookup!$N$14,IF(GK373="T",Lookup!$N$15,IF(GK373="TP",Lookup!$N$16,IF(GK373="TPP",Lookup!$N$17,IF(GK373="TPPP",Lookup!$N$18,0)))))))*GJ373</f>
        <v>0</v>
      </c>
      <c r="HC373" s="545">
        <f t="shared" si="748"/>
        <v>0</v>
      </c>
      <c r="HD373" s="560">
        <f t="shared" si="749"/>
        <v>0</v>
      </c>
      <c r="HE373" s="560">
        <f t="shared" si="681"/>
        <v>0</v>
      </c>
      <c r="HF373" s="560"/>
      <c r="HG373" s="560">
        <f t="shared" si="677"/>
        <v>0</v>
      </c>
      <c r="HH373" s="560" t="str">
        <f t="shared" si="678"/>
        <v/>
      </c>
      <c r="HI373" s="560">
        <f>IF(GK373="P",Lookup!$N$12,IF(GK373="PP",Lookup!$N$13,IF(GK373="PPP",Lookup!$N$14,IF(GK373="T",Lookup!$N$15,IF(GK373="TP",Lookup!$N$16,IF(GK373="TPP",Lookup!$N$17,IF(GK373="TPPP",Lookup!$N$18,0)))))))*GJ373</f>
        <v>0</v>
      </c>
      <c r="HJ373" s="545">
        <f t="shared" si="750"/>
        <v>0</v>
      </c>
      <c r="HK373" s="560">
        <f t="shared" si="751"/>
        <v>0</v>
      </c>
      <c r="HL373" s="560">
        <f t="shared" si="682"/>
        <v>0</v>
      </c>
    </row>
    <row r="374" spans="1:220">
      <c r="A374" s="580" t="s">
        <v>4</v>
      </c>
      <c r="B374" s="556">
        <v>42002</v>
      </c>
      <c r="C374" s="561">
        <v>0</v>
      </c>
      <c r="D374" s="529">
        <f t="shared" si="684"/>
        <v>300</v>
      </c>
      <c r="E374" s="529">
        <f t="shared" si="685"/>
        <v>250</v>
      </c>
      <c r="F374" s="529">
        <v>250</v>
      </c>
      <c r="G374" s="560">
        <f>DR374+Sheet1!CZ376</f>
        <v>1348.8098840136392</v>
      </c>
      <c r="H374" s="914">
        <f t="shared" si="650"/>
        <v>604.90750902641639</v>
      </c>
      <c r="I374" s="559">
        <f>MAX(Sheet1!Z376-AT374+(Sheet1!DA376-E374)*CFStoMGD,0)</f>
        <v>1428.9259999999999</v>
      </c>
      <c r="J374" s="562">
        <f>IF(AND(B374&gt;=Calculation!GC374,B374&lt;=Calculation!GD374),IF(Sheet1!DB376&gt;=Calculation!D374,64.64,0),MAX(Sheet1!Z376-AT374+(Sheet1!DB376-D374)*CFStoMGD,0))</f>
        <v>879.48599999999988</v>
      </c>
      <c r="K374" s="904">
        <f t="shared" si="687"/>
        <v>64.64</v>
      </c>
      <c r="L374" s="560">
        <f>Sheet1!AA376+Sheet1!AB376-Sheet1!L376+(Sheet1!DA376-F374)*CFStoMGD</f>
        <v>1440.7760000000005</v>
      </c>
      <c r="M374" s="560">
        <f t="shared" si="688"/>
        <v>889.30812320694474</v>
      </c>
      <c r="N374" s="910">
        <f>IF(Sheet1!DA376&gt;=F374,MIN(73,MIN(MAX(L374,0),MAX(M374,0))),0)</f>
        <v>73</v>
      </c>
      <c r="O374" s="563">
        <f>Sheet1!AA376+Sheet1!AB376</f>
        <v>47.3</v>
      </c>
      <c r="P374" s="563">
        <f t="shared" si="689"/>
        <v>73.173100000000005</v>
      </c>
      <c r="Q374" s="898">
        <f t="shared" si="651"/>
        <v>0</v>
      </c>
      <c r="R374" s="829">
        <f t="shared" si="690"/>
        <v>8.89206167904055</v>
      </c>
      <c r="S374" s="898">
        <f t="shared" si="683"/>
        <v>47.3</v>
      </c>
      <c r="T374" s="898">
        <f t="shared" si="652"/>
        <v>0</v>
      </c>
      <c r="U374" s="898">
        <f t="shared" si="653"/>
        <v>0</v>
      </c>
      <c r="V374" s="898"/>
      <c r="W374" s="898">
        <f t="shared" si="654"/>
        <v>55.747938320959449</v>
      </c>
      <c r="X374" s="898">
        <f t="shared" si="655"/>
        <v>47.3</v>
      </c>
      <c r="Y374" s="898" t="str">
        <f t="shared" si="656"/>
        <v/>
      </c>
      <c r="Z374" s="898">
        <f t="shared" si="657"/>
        <v>47.3</v>
      </c>
      <c r="AA374" s="898">
        <f t="shared" si="658"/>
        <v>47.3</v>
      </c>
      <c r="AB374" s="898" t="str">
        <f t="shared" si="659"/>
        <v/>
      </c>
      <c r="AC374" s="563">
        <f>Sheet1!Y376*MGDtoCFS</f>
        <v>46.611109999999996</v>
      </c>
      <c r="AD374" s="563">
        <f>Sheet1!Z376*MGDtoCFS</f>
        <v>20.59057</v>
      </c>
      <c r="AE374" s="563">
        <f>Sheet1!AA376*MGDtoCFS</f>
        <v>46.41</v>
      </c>
      <c r="AF374" s="563">
        <f>Sheet1!AB376*MGDtoCFS</f>
        <v>26.763100000000001</v>
      </c>
      <c r="AG374" s="563">
        <f>Sheet1!L376*MGDtoCFS</f>
        <v>34.250579999999097</v>
      </c>
      <c r="AH374" s="545">
        <f t="shared" si="691"/>
        <v>0</v>
      </c>
      <c r="AI374" s="560">
        <f t="shared" si="692"/>
        <v>0</v>
      </c>
      <c r="AJ374" s="560">
        <f t="shared" si="693"/>
        <v>0</v>
      </c>
      <c r="AK374" s="560">
        <f t="shared" si="694"/>
        <v>0</v>
      </c>
      <c r="AL374" s="560">
        <f>(VLOOKUP(Sheet1!DC376,hhdcap_wcm,4)-(((VLOOKUP(Sheet1!DC376,hhdcap_wcm,3)-Sheet1!DC376)/(VLOOKUP(Sheet1!DC376,hhdcap_wcm,3)-VLOOKUP(Sheet1!DC376,hhdcap_wcm,1)))*(VLOOKUP(Sheet1!DC376,hhdcap_wcm,4)-VLOOKUP(Sheet1!DC376,hhdcap_wcm,2))))</f>
        <v>4687.0000000105156</v>
      </c>
      <c r="AM374" s="560">
        <f t="shared" si="695"/>
        <v>-557.60000000095351</v>
      </c>
      <c r="AN374" s="560">
        <f t="shared" si="696"/>
        <v>0</v>
      </c>
      <c r="AO374" s="560">
        <f t="shared" si="697"/>
        <v>0</v>
      </c>
      <c r="AP374" s="560">
        <f>Sheet1!BA376+Sheet1!BB376+Sheet1!BN376+CD374</f>
        <v>8.51</v>
      </c>
      <c r="AQ374" s="560">
        <f>Sheet1!BN376+(DO374*Sheet1!BN376)</f>
        <v>7.4100513992004577</v>
      </c>
      <c r="AR374" s="560">
        <f>Sheet1!BA376+CD374</f>
        <v>0</v>
      </c>
      <c r="AS374" s="560">
        <f>Sheet1!BA376+Sheet1!BB376+CD374</f>
        <v>1.01</v>
      </c>
      <c r="AT374" s="698">
        <f>0</f>
        <v>0</v>
      </c>
      <c r="AU374" s="560">
        <f>IF(EB374&lt;K374,0,MAX(Sheet1!AA376+AQ374-15/36*K374-N374,Sheet1!EH376,0))</f>
        <v>0</v>
      </c>
      <c r="AV374" s="560">
        <f>IF(OR(B374&gt;=GD374,B374&lt;GC374),0,15/36*K374-MAX(0,64.6-(137.6-(Sheet1!AA376+Sheet1!AB376))))</f>
        <v>0</v>
      </c>
      <c r="AW374" s="698">
        <f>Sheet1!DB376-110</f>
        <v>1530</v>
      </c>
      <c r="AX374" s="698">
        <f>Sheet1!DA376-265</f>
        <v>2175</v>
      </c>
      <c r="AY374" s="698">
        <f t="shared" si="698"/>
        <v>73</v>
      </c>
      <c r="AZ374" s="698">
        <v>0</v>
      </c>
      <c r="BA374" s="698">
        <f t="shared" si="699"/>
        <v>0</v>
      </c>
      <c r="BB374" s="560">
        <f t="shared" si="700"/>
        <v>0</v>
      </c>
      <c r="BC374" s="560"/>
      <c r="BD374" s="560">
        <f ca="1">IF(B374&gt;Summary!$A$1,#N/A,BB374*MGtoAF)</f>
        <v>0</v>
      </c>
      <c r="BE374" s="560">
        <f>Sheet1!BG376+Sheet1!BH376+Sheet1!BI376-BM374</f>
        <v>0</v>
      </c>
      <c r="BF374" s="560">
        <f t="shared" si="701"/>
        <v>0</v>
      </c>
      <c r="BG374" s="560">
        <f>IF(Sheet1!EP376="FM",BM374,0)</f>
        <v>0</v>
      </c>
      <c r="BH374" s="560">
        <f t="shared" si="702"/>
        <v>0</v>
      </c>
      <c r="BI374" s="560">
        <f>IF(Sheet1!EP376="OTHER",BM374,0)</f>
        <v>0</v>
      </c>
      <c r="BJ374" s="560">
        <f t="shared" si="703"/>
        <v>0</v>
      </c>
      <c r="BK374" s="560">
        <f t="shared" si="704"/>
        <v>0</v>
      </c>
      <c r="BL374" s="560">
        <f t="shared" si="705"/>
        <v>0</v>
      </c>
      <c r="BM374" s="560">
        <f>IF(OR(Sheet1!EP376="FM", Sheet1!EP376="OTHER"),SUM(Sheet1!BG376:'Sheet1'!BI376),0)</f>
        <v>0</v>
      </c>
      <c r="BN374" s="545">
        <f>IF(AND($B374&gt;=$FV374,$B374&lt;=$FW374),MAX(BF374,Sheet1!EI376,0),MAX(BF374-(7/36)*$K374,0))</f>
        <v>0</v>
      </c>
      <c r="BO374" s="560">
        <f t="shared" si="706"/>
        <v>0</v>
      </c>
      <c r="BP374" s="545">
        <f t="shared" si="707"/>
        <v>0</v>
      </c>
      <c r="BQ374" s="545">
        <f>IF(AND($O374&gt;0,Sheet1!EM376=1),(1-($O374-Sheet1!$L376)/$O374)*BL374,0)</f>
        <v>0</v>
      </c>
      <c r="BR374" s="545">
        <f>IF(AND(Sheet1!$L376=0,Sheet1!$L375=0, Calculation!BK374&lt;Sheet1!$EI376-0.1,Sheet1!$EI376=Sheet1!$EI375,Sheet1!$EI376=Sheet1!$EI377),Sheet1!$EI376,BL374-BQ374)</f>
        <v>0</v>
      </c>
      <c r="BS374" s="560"/>
      <c r="BT374" s="560"/>
      <c r="BU374" s="560">
        <f t="shared" si="708"/>
        <v>0</v>
      </c>
      <c r="BV374" s="560"/>
      <c r="BW374" s="560">
        <f ca="1">IF(B374&gt;Summary!$A$1,#N/A,BU374*MGtoAF)</f>
        <v>0</v>
      </c>
      <c r="BX374" s="560">
        <f>Sheet1!BC376+Sheet1!BD376+Sheet1!BE376+Sheet1!BF376-CG374-CH374</f>
        <v>2.5099999999999998</v>
      </c>
      <c r="BY374" s="560">
        <f t="shared" si="709"/>
        <v>2.4798972015990866</v>
      </c>
      <c r="BZ374" s="560">
        <f>IF(Sheet1!EQ376="FM",CH374,0)</f>
        <v>0</v>
      </c>
      <c r="CA374" s="560">
        <f t="shared" si="710"/>
        <v>0</v>
      </c>
      <c r="CB374" s="560">
        <f>IF(Sheet1!EQ376="OTHER",CH374,0)</f>
        <v>0</v>
      </c>
      <c r="CC374" s="560">
        <f t="shared" si="711"/>
        <v>0</v>
      </c>
      <c r="CD374" s="560">
        <f t="shared" si="712"/>
        <v>0</v>
      </c>
      <c r="CE374" s="560">
        <f t="shared" si="713"/>
        <v>2.5099999999999998</v>
      </c>
      <c r="CF374" s="560">
        <f t="shared" si="714"/>
        <v>2.4798972015990866</v>
      </c>
      <c r="CG374" s="560">
        <f>IF(Sheet1!EQ376="CWA",SUM(Sheet1!BC376:'Sheet1'!BF376),0)</f>
        <v>0</v>
      </c>
      <c r="CH374" s="560">
        <f>IF(OR(Sheet1!EQ376="FM", Sheet1!EQ376="OTHER"),SUM(Sheet1!BC376:'Sheet1'!BF376),0)</f>
        <v>0</v>
      </c>
      <c r="CI374" s="545">
        <f>IF(AND($B374&gt;=$FV374,$B374&lt;=$FW374),MAX(CF374,Sheet1!EJ376,0),MAX(CF374-(7/36)*$K374,0))</f>
        <v>0</v>
      </c>
      <c r="CJ374" s="560">
        <f t="shared" si="715"/>
        <v>0</v>
      </c>
      <c r="CK374" s="545">
        <f t="shared" si="716"/>
        <v>2.4798972015990866</v>
      </c>
      <c r="CL374" s="545">
        <f>IF(AND($O374&gt;0,Sheet1!EN376=1),(1-($O374-Sheet1!$L376)/$O374)*CF374,0)</f>
        <v>0</v>
      </c>
      <c r="CM374" s="545">
        <f>IF(AND(Sheet1!$L376=0,Sheet1!$L375=0, Calculation!CE374&lt;Sheet1!EJ376-0.1,Sheet1!EJ376=Sheet1!EJ375,Sheet1!EJ376=Sheet1!EJ377),Sheet1!EJ376,CF374-CL374)</f>
        <v>2.4798972015990866</v>
      </c>
      <c r="CN374" s="545"/>
      <c r="CO374" s="560"/>
      <c r="CP374" s="560">
        <f t="shared" si="717"/>
        <v>0</v>
      </c>
      <c r="CQ374" s="560"/>
      <c r="CR374" s="560">
        <f ca="1">IF(B374&gt;Summary!$A$1,#N/A,CP374*MGtoAF)</f>
        <v>0</v>
      </c>
      <c r="CS374" s="560">
        <f>Sheet1!BK376+Sheet1!BL376+Sheet1!BM376-Sheet1!ER376-DA374</f>
        <v>6.49</v>
      </c>
      <c r="CT374" s="560">
        <f t="shared" si="718"/>
        <v>6.412164477441463</v>
      </c>
      <c r="CU374" s="560">
        <f>IF(Sheet1!ER376="FM",DA374,0)</f>
        <v>0</v>
      </c>
      <c r="CV374" s="560">
        <f t="shared" si="719"/>
        <v>0</v>
      </c>
      <c r="CW374" s="560">
        <f>IF(Sheet1!ER376="OTHER",DA374,0)</f>
        <v>0</v>
      </c>
      <c r="CX374" s="560">
        <f t="shared" si="720"/>
        <v>0</v>
      </c>
      <c r="CY374" s="560">
        <f t="shared" si="721"/>
        <v>6.49</v>
      </c>
      <c r="CZ374" s="560">
        <f t="shared" si="722"/>
        <v>6.412164477441463</v>
      </c>
      <c r="DA374" s="560">
        <f>IF(OR(Sheet1!ER376="FM", Sheet1!ER376="OTHER"),SUM(Sheet1!BK376:'Sheet1'!BM376),0)</f>
        <v>0</v>
      </c>
      <c r="DB374" s="545">
        <f>IF(AND($B374&gt;=$FV374,$B374&lt;=$FW374),MAX($CT374,Sheet1!EK376,0),MAX($CT374-(7/36)*$K374,0))</f>
        <v>0</v>
      </c>
      <c r="DC374" s="560">
        <f t="shared" si="723"/>
        <v>0</v>
      </c>
      <c r="DD374" s="545">
        <f t="shared" si="724"/>
        <v>6.412164477441463</v>
      </c>
      <c r="DE374" s="545">
        <f>IF(AND($O374&gt;0,Sheet1!EO376=1),(1-($O374-Sheet1!$L376)/$O374)*CZ374,0)</f>
        <v>0</v>
      </c>
      <c r="DF374" s="545">
        <f>IF(AND(Sheet1!$L376=0,Sheet1!$L375=0, Calculation!CY374&lt;Sheet1!$EK376-0.1,Sheet1!$EK376=Sheet1!$EK375,Sheet1!$EK376=Sheet1!$EK377),Sheet1!$EK376,CZ374-DE374)</f>
        <v>6.412164477441463</v>
      </c>
      <c r="DG374" s="545"/>
      <c r="DH374" s="560">
        <f t="shared" si="725"/>
        <v>9</v>
      </c>
      <c r="DI374" s="560">
        <f t="shared" si="726"/>
        <v>0</v>
      </c>
      <c r="DJ374" s="698">
        <f t="shared" si="727"/>
        <v>8.89206167904055</v>
      </c>
      <c r="DK374" s="560">
        <f ca="1">IF(B374&gt;Summary!$A$1,#N/A,DI374*MGtoAF)</f>
        <v>0</v>
      </c>
      <c r="DL374" s="698">
        <f t="shared" si="728"/>
        <v>9</v>
      </c>
      <c r="DM374" s="560">
        <f t="shared" si="729"/>
        <v>17.509999999999998</v>
      </c>
      <c r="DN374" s="560">
        <f>Sheet1!AB376-DM374</f>
        <v>-0.2099999999999973</v>
      </c>
      <c r="DO374" s="560">
        <f t="shared" si="730"/>
        <v>-1.1993146773272264E-2</v>
      </c>
      <c r="DP374" s="560">
        <f>(VLOOKUP(Sheet1!DC376,hhdcap_wcm,4)-(((VLOOKUP(Sheet1!DC376,hhdcap_wcm,3)-Sheet1!DC376)/(VLOOKUP(Sheet1!DC376,hhdcap_wcm,3)-VLOOKUP(Sheet1!DC376,hhdcap_wcm,1)))*(VLOOKUP(Sheet1!DC376,hhdcap_wcm,4)-VLOOKUP(Sheet1!DC376,hhdcap_wcm,2))))</f>
        <v>4687.0000000105156</v>
      </c>
      <c r="DQ374" s="560">
        <f t="shared" si="731"/>
        <v>-557.60000000095351</v>
      </c>
      <c r="DR374" s="560">
        <f t="shared" si="732"/>
        <v>-281.19011598636081</v>
      </c>
      <c r="DS374" s="560">
        <f>Sheet1!EA376*AFtoMG</f>
        <v>0</v>
      </c>
      <c r="DT374" s="560">
        <f>Sheet1!EB376*AFtoMG</f>
        <v>0</v>
      </c>
      <c r="DU374" s="560">
        <f>Sheet1!EC376*AFtoMG</f>
        <v>0</v>
      </c>
      <c r="DV374" s="560">
        <f>Sheet1!ED376*AFtoMG</f>
        <v>0</v>
      </c>
      <c r="DW374" s="560">
        <f t="shared" si="733"/>
        <v>0</v>
      </c>
      <c r="DX374" s="560">
        <f t="shared" si="734"/>
        <v>0</v>
      </c>
      <c r="DY374" s="560">
        <f t="shared" si="735"/>
        <v>0</v>
      </c>
      <c r="DZ374" s="560">
        <f t="shared" si="736"/>
        <v>0</v>
      </c>
      <c r="EA374" s="560"/>
      <c r="EB374" s="545">
        <f>IF(OR(B374&lt;FV374,B374&gt;FW374),(MIN(BF374+BY374+CT374+MAX(Sheet1!AA376+AQ374-73,0),K374)),0)</f>
        <v>8.89206167904055</v>
      </c>
      <c r="EC374" s="560"/>
      <c r="ED374" s="560">
        <f t="shared" si="737"/>
        <v>8.89206167904055</v>
      </c>
      <c r="EE374" s="560"/>
      <c r="EF374" s="560">
        <f>Sheet1!EH376+Sheet1!EI376+Sheet1!EJ376+Sheet1!EK376</f>
        <v>9</v>
      </c>
      <c r="EG374" s="560"/>
      <c r="EH374" s="545">
        <f t="shared" si="738"/>
        <v>0</v>
      </c>
      <c r="EI374" s="560">
        <f>IF(Sheet1!ET376=1,SUM('Calculations II'!AT374:BA374)+'Calculations II'!BC374+Sheet1!BV376+'Calculations II'!BE374+AP374,SUM('Calculations II'!AT374:BA374)+'Calculations II'!BC374+Sheet1!BV376+'Calculations II'!BE374+AP374)</f>
        <v>53.320656</v>
      </c>
      <c r="EJ374" s="560">
        <f>Sheet1!AA376+Sheet1!AB376+'Calculations II'!BC374</f>
        <v>57.899264000000002</v>
      </c>
      <c r="EK374" s="560"/>
      <c r="EL374" s="560"/>
      <c r="EM374" s="560">
        <f t="shared" si="739"/>
        <v>42002</v>
      </c>
      <c r="EN374" s="560">
        <f t="shared" si="740"/>
        <v>0</v>
      </c>
      <c r="EO374" s="560">
        <f t="shared" si="741"/>
        <v>0</v>
      </c>
      <c r="EP374" s="560">
        <v>0</v>
      </c>
      <c r="EQ374" s="560">
        <v>0</v>
      </c>
      <c r="ER374" s="560">
        <v>0</v>
      </c>
      <c r="ES374" s="545">
        <f t="shared" si="660"/>
        <v>-1.1039853912749886</v>
      </c>
      <c r="ET374" s="560">
        <f>-(VLOOKUP(Sheet1!BQ376,Lookup!$O$4:$Q$262,2)-VLOOKUP(Sheet1!BQ375,Lookup!$O$4:$Q$262,2))/1000000</f>
        <v>-0.55195431345244872</v>
      </c>
      <c r="EU374" s="560">
        <f>-(VLOOKUP(Sheet1!BR376,Lookup!$O$4:$Q$262,3)-VLOOKUP(Sheet1!BR375,Lookup!$O$4:$Q$262,3))/1000000</f>
        <v>-0.55203107782253991</v>
      </c>
      <c r="EV374" s="560"/>
      <c r="EW374" s="560"/>
      <c r="EX374" s="560"/>
      <c r="EY374" s="560"/>
      <c r="EZ374" s="560"/>
      <c r="FA374" s="560"/>
      <c r="FB374" s="560"/>
      <c r="FC374" s="560"/>
      <c r="FD374" s="594" t="e">
        <f t="shared" si="742"/>
        <v>#N/A</v>
      </c>
      <c r="FE374" s="594" t="e">
        <f t="shared" si="743"/>
        <v>#N/A</v>
      </c>
      <c r="FF374" s="595" t="e">
        <f t="shared" si="744"/>
        <v>#N/A</v>
      </c>
      <c r="FG374" s="596" t="s">
        <v>692</v>
      </c>
      <c r="FH374" s="596" t="s">
        <v>692</v>
      </c>
      <c r="FI374" s="594" t="e">
        <v>#N/A</v>
      </c>
      <c r="FJ374" s="594" t="e">
        <v>#N/A</v>
      </c>
      <c r="FK374" s="560"/>
      <c r="FL374" s="560"/>
      <c r="FM374" s="560"/>
      <c r="FN374" s="560"/>
      <c r="FO374" s="560">
        <f>O374+((Sheet1!CS376)*GPMtoMGD)</f>
        <v>57.899264000000002</v>
      </c>
      <c r="FP374" s="560">
        <f>IF(Sheet1!AA376+AQ374&lt;=Calculation!N374,AQ374,Calculation!N374-Sheet1!AA376)</f>
        <v>7.4100513992004577</v>
      </c>
      <c r="FQ374" s="560">
        <f>(Sheet1!BP376+Sheet1!BO376)/694.4</f>
        <v>0.76137672811059898</v>
      </c>
      <c r="FR374" s="560"/>
      <c r="FS374" s="560"/>
      <c r="FT374" s="560"/>
      <c r="FU374" s="560"/>
      <c r="FV374" s="695">
        <f t="shared" si="661"/>
        <v>41827</v>
      </c>
      <c r="FW374" s="695">
        <f t="shared" si="662"/>
        <v>41934</v>
      </c>
      <c r="FX374" s="560"/>
      <c r="FY374" s="560"/>
      <c r="FZ374" s="560"/>
      <c r="GA374" s="560"/>
      <c r="GB374" s="560" t="str">
        <f t="shared" si="663"/>
        <v>n</v>
      </c>
      <c r="GC374" s="564">
        <f t="shared" si="664"/>
        <v>41691</v>
      </c>
      <c r="GD374" s="695">
        <f t="shared" si="665"/>
        <v>41807</v>
      </c>
      <c r="GE374" s="560">
        <v>6518.9</v>
      </c>
      <c r="GF374" s="695">
        <f t="shared" si="666"/>
        <v>41808</v>
      </c>
      <c r="GG374" s="560">
        <f t="shared" si="686"/>
        <v>3259</v>
      </c>
      <c r="GH374" s="564">
        <f t="shared" si="667"/>
        <v>41934</v>
      </c>
      <c r="GJ374" s="545">
        <f t="shared" si="668"/>
        <v>0</v>
      </c>
      <c r="GK374" s="560" t="str">
        <f t="shared" si="745"/>
        <v/>
      </c>
      <c r="GL374" s="560">
        <f t="shared" si="669"/>
        <v>0</v>
      </c>
      <c r="GM374" s="560" t="str">
        <f t="shared" si="670"/>
        <v/>
      </c>
      <c r="GN374" s="560">
        <f>IF(GK374="P",Lookup!$M$12,IF(GK374="PP",Lookup!$M$13,IF(GK374="PPP",Lookup!$M$14,IF(GK374="T",Lookup!$M$15,IF(GK374="TP",Lookup!$M$16,IF(GK374="TPP",Lookup!$M$17,IF(GK374="TPPP",Lookup!$M$18,0)))))))*GJ374</f>
        <v>0</v>
      </c>
      <c r="GO374" s="560">
        <f t="shared" si="671"/>
        <v>0</v>
      </c>
      <c r="GP374" s="560">
        <f t="shared" si="746"/>
        <v>0</v>
      </c>
      <c r="GQ374" s="560">
        <f t="shared" si="679"/>
        <v>0</v>
      </c>
      <c r="GR374" s="560"/>
      <c r="GS374" s="560">
        <f t="shared" si="672"/>
        <v>0</v>
      </c>
      <c r="GT374" s="560" t="str">
        <f t="shared" si="673"/>
        <v/>
      </c>
      <c r="GU374" s="560">
        <f>IF(GK374="P",Lookup!$N$12,IF(GK374="PP",Lookup!$N$13,IF(GK374="PPP",Lookup!$N$14,IF(GK374="T",Lookup!$N$15,IF(GK374="TP",Lookup!$N$16,IF(GK374="TPP",Lookup!$N$17,IF(GK374="TPPP",Lookup!$N$18,0)))))))*GJ374</f>
        <v>0</v>
      </c>
      <c r="GV374" s="560">
        <f t="shared" si="674"/>
        <v>0</v>
      </c>
      <c r="GW374" s="560">
        <f t="shared" si="747"/>
        <v>0</v>
      </c>
      <c r="GX374" s="560">
        <f t="shared" si="680"/>
        <v>0</v>
      </c>
      <c r="GY374" s="560"/>
      <c r="GZ374" s="560">
        <f t="shared" si="675"/>
        <v>0</v>
      </c>
      <c r="HA374" s="560" t="str">
        <f t="shared" si="676"/>
        <v/>
      </c>
      <c r="HB374" s="560">
        <f>IF(GK374="P",Lookup!$N$12,IF(GK374="PP",Lookup!$N$13,IF(GK374="PPP",Lookup!$N$14,IF(GK374="T",Lookup!$N$15,IF(GK374="TP",Lookup!$N$16,IF(GK374="TPP",Lookup!$N$17,IF(GK374="TPPP",Lookup!$N$18,0)))))))*GJ374</f>
        <v>0</v>
      </c>
      <c r="HC374" s="545">
        <f t="shared" si="748"/>
        <v>0</v>
      </c>
      <c r="HD374" s="560">
        <f t="shared" si="749"/>
        <v>0</v>
      </c>
      <c r="HE374" s="560">
        <f t="shared" si="681"/>
        <v>0</v>
      </c>
      <c r="HF374" s="560"/>
      <c r="HG374" s="560">
        <f t="shared" si="677"/>
        <v>0</v>
      </c>
      <c r="HH374" s="560" t="str">
        <f t="shared" si="678"/>
        <v/>
      </c>
      <c r="HI374" s="560">
        <f>IF(GK374="P",Lookup!$N$12,IF(GK374="PP",Lookup!$N$13,IF(GK374="PPP",Lookup!$N$14,IF(GK374="T",Lookup!$N$15,IF(GK374="TP",Lookup!$N$16,IF(GK374="TPP",Lookup!$N$17,IF(GK374="TPPP",Lookup!$N$18,0)))))))*GJ374</f>
        <v>0</v>
      </c>
      <c r="HJ374" s="545">
        <f t="shared" si="750"/>
        <v>0</v>
      </c>
      <c r="HK374" s="560">
        <f t="shared" si="751"/>
        <v>0</v>
      </c>
      <c r="HL374" s="560">
        <f t="shared" si="682"/>
        <v>0</v>
      </c>
    </row>
    <row r="375" spans="1:220">
      <c r="A375" s="580" t="s">
        <v>5</v>
      </c>
      <c r="B375" s="556">
        <v>42003</v>
      </c>
      <c r="C375" s="561">
        <v>0</v>
      </c>
      <c r="D375" s="529">
        <f t="shared" si="684"/>
        <v>300</v>
      </c>
      <c r="E375" s="529">
        <f t="shared" si="685"/>
        <v>250</v>
      </c>
      <c r="F375" s="529">
        <v>250</v>
      </c>
      <c r="G375" s="560">
        <f>DR375+Sheet1!CZ377</f>
        <v>523.02571860611283</v>
      </c>
      <c r="H375" s="914">
        <f t="shared" si="650"/>
        <v>71.120624506991334</v>
      </c>
      <c r="I375" s="559">
        <f>MAX(Sheet1!Z377-AT375+(Sheet1!DA377-E375)*CFStoMGD,0)</f>
        <v>1245.4599999999998</v>
      </c>
      <c r="J375" s="562">
        <f>IF(AND(B375&gt;=Calculation!GC375,B375&lt;=Calculation!GD375),IF(Sheet1!DB377&gt;=Calculation!D375,64.64,0),MAX(Sheet1!Z377-AT375+(Sheet1!DB377-D375)*CFStoMGD,0))</f>
        <v>773.58799999999997</v>
      </c>
      <c r="K375" s="904">
        <f t="shared" si="687"/>
        <v>64.64</v>
      </c>
      <c r="L375" s="560">
        <f>Sheet1!AA377+Sheet1!AB377-Sheet1!L377+(Sheet1!DA377-F375)*CFStoMGD</f>
        <v>1272.6800000000003</v>
      </c>
      <c r="M375" s="560">
        <f t="shared" si="688"/>
        <v>344.84550099713118</v>
      </c>
      <c r="N375" s="910">
        <f>IF(Sheet1!DA377&gt;=F375,MIN(73,MIN(MAX(L375,0),MAX(M375,0))),0)</f>
        <v>73</v>
      </c>
      <c r="O375" s="563">
        <f>Sheet1!AA377+Sheet1!AB377</f>
        <v>50</v>
      </c>
      <c r="P375" s="563">
        <f t="shared" si="689"/>
        <v>77.349999999999994</v>
      </c>
      <c r="Q375" s="898">
        <f t="shared" si="651"/>
        <v>0</v>
      </c>
      <c r="R375" s="829">
        <f t="shared" si="690"/>
        <v>8.9662027833001989</v>
      </c>
      <c r="S375" s="898">
        <f t="shared" si="683"/>
        <v>50</v>
      </c>
      <c r="T375" s="898">
        <f t="shared" si="652"/>
        <v>0</v>
      </c>
      <c r="U375" s="898">
        <f t="shared" si="653"/>
        <v>0</v>
      </c>
      <c r="V375" s="898"/>
      <c r="W375" s="898">
        <f t="shared" si="654"/>
        <v>55.673797216699803</v>
      </c>
      <c r="X375" s="898">
        <f t="shared" si="655"/>
        <v>50</v>
      </c>
      <c r="Y375" s="898" t="str">
        <f t="shared" si="656"/>
        <v/>
      </c>
      <c r="Z375" s="898">
        <f t="shared" si="657"/>
        <v>50</v>
      </c>
      <c r="AA375" s="898">
        <f t="shared" si="658"/>
        <v>50</v>
      </c>
      <c r="AB375" s="898" t="str">
        <f t="shared" si="659"/>
        <v/>
      </c>
      <c r="AC375" s="563">
        <f>Sheet1!Y377*MGDtoCFS</f>
        <v>46.41</v>
      </c>
      <c r="AD375" s="563">
        <f>Sheet1!Z377*MGDtoCFS</f>
        <v>26.763100000000001</v>
      </c>
      <c r="AE375" s="563">
        <f>Sheet1!AA377*MGDtoCFS</f>
        <v>46.41</v>
      </c>
      <c r="AF375" s="563">
        <f>Sheet1!AB377*MGDtoCFS</f>
        <v>30.939999999999998</v>
      </c>
      <c r="AG375" s="563">
        <f>Sheet1!L377*MGDtoCFS</f>
        <v>8.4775599999993236</v>
      </c>
      <c r="AH375" s="545">
        <f t="shared" si="691"/>
        <v>0</v>
      </c>
      <c r="AI375" s="560">
        <f t="shared" si="692"/>
        <v>0</v>
      </c>
      <c r="AJ375" s="560">
        <f t="shared" si="693"/>
        <v>0</v>
      </c>
      <c r="AK375" s="560">
        <f t="shared" si="694"/>
        <v>0</v>
      </c>
      <c r="AL375" s="560">
        <f>(VLOOKUP(Sheet1!DC377,hhdcap_wcm,4)-(((VLOOKUP(Sheet1!DC377,hhdcap_wcm,3)-Sheet1!DC377)/(VLOOKUP(Sheet1!DC377,hhdcap_wcm,3)-VLOOKUP(Sheet1!DC377,hhdcap_wcm,1)))*(VLOOKUP(Sheet1!DC377,hhdcap_wcm,4)-VLOOKUP(Sheet1!DC377,hhdcap_wcm,2))))</f>
        <v>2710.0000000064369</v>
      </c>
      <c r="AM375" s="560">
        <f t="shared" si="695"/>
        <v>-1977.0000000040786</v>
      </c>
      <c r="AN375" s="560">
        <f t="shared" si="696"/>
        <v>0</v>
      </c>
      <c r="AO375" s="560">
        <f t="shared" si="697"/>
        <v>0</v>
      </c>
      <c r="AP375" s="560">
        <f>Sheet1!BA377+Sheet1!BB377+Sheet1!BN377+CD375</f>
        <v>11.1</v>
      </c>
      <c r="AQ375" s="560">
        <f>Sheet1!BN377+(DO375*Sheet1!BN377)</f>
        <v>10.039761431411531</v>
      </c>
      <c r="AR375" s="560">
        <f>Sheet1!BA377+CD375</f>
        <v>0</v>
      </c>
      <c r="AS375" s="560">
        <f>Sheet1!BA377+Sheet1!BB377+CD375</f>
        <v>1</v>
      </c>
      <c r="AT375" s="698">
        <f>0</f>
        <v>0</v>
      </c>
      <c r="AU375" s="560">
        <f>IF(EB375&lt;K375,0,MAX(Sheet1!AA377+AQ375-15/36*K375-N375,Sheet1!EH377,0))</f>
        <v>0</v>
      </c>
      <c r="AV375" s="560">
        <f>IF(OR(B375&gt;=GD375,B375&lt;GC375),0,15/36*K375-MAX(0,64.6-(137.6-(Sheet1!AA377+Sheet1!AB377))))</f>
        <v>0</v>
      </c>
      <c r="AW375" s="698">
        <f>Sheet1!DB377-110</f>
        <v>1360</v>
      </c>
      <c r="AX375" s="698">
        <f>Sheet1!DA377-265</f>
        <v>1885</v>
      </c>
      <c r="AY375" s="698">
        <f t="shared" si="698"/>
        <v>73</v>
      </c>
      <c r="AZ375" s="698">
        <v>0</v>
      </c>
      <c r="BA375" s="698">
        <f t="shared" si="699"/>
        <v>0</v>
      </c>
      <c r="BB375" s="560">
        <f t="shared" si="700"/>
        <v>0</v>
      </c>
      <c r="BC375" s="560"/>
      <c r="BD375" s="560">
        <f ca="1">IF(B375&gt;Summary!$A$1,#N/A,BB375*MGtoAF)</f>
        <v>0</v>
      </c>
      <c r="BE375" s="560">
        <f>Sheet1!BG377+Sheet1!BH377+Sheet1!BI377-BM375</f>
        <v>0</v>
      </c>
      <c r="BF375" s="560">
        <f t="shared" si="701"/>
        <v>0</v>
      </c>
      <c r="BG375" s="560">
        <f>IF(Sheet1!EP377="FM",BM375,0)</f>
        <v>0</v>
      </c>
      <c r="BH375" s="560">
        <f t="shared" si="702"/>
        <v>0</v>
      </c>
      <c r="BI375" s="560">
        <f>IF(Sheet1!EP377="OTHER",BM375,0)</f>
        <v>0</v>
      </c>
      <c r="BJ375" s="560">
        <f t="shared" si="703"/>
        <v>0</v>
      </c>
      <c r="BK375" s="560">
        <f t="shared" si="704"/>
        <v>0</v>
      </c>
      <c r="BL375" s="560">
        <f t="shared" si="705"/>
        <v>0</v>
      </c>
      <c r="BM375" s="560">
        <f>IF(OR(Sheet1!EP377="FM", Sheet1!EP377="OTHER"),SUM(Sheet1!BG377:'Sheet1'!BI377),0)</f>
        <v>0</v>
      </c>
      <c r="BN375" s="545">
        <f>IF(AND($B375&gt;=$FV375,$B375&lt;=$FW375),MAX(BF375,Sheet1!EI377,0),MAX(BF375-(7/36)*$K375,0))</f>
        <v>0</v>
      </c>
      <c r="BO375" s="560">
        <f t="shared" si="706"/>
        <v>0</v>
      </c>
      <c r="BP375" s="545">
        <f t="shared" si="707"/>
        <v>0</v>
      </c>
      <c r="BQ375" s="545">
        <f>IF(AND($O375&gt;0,Sheet1!EM377=1),(1-($O375-Sheet1!$L377)/$O375)*BL375,0)</f>
        <v>0</v>
      </c>
      <c r="BR375" s="545">
        <f>IF(AND(Sheet1!$L377=0,Sheet1!$L376=0, Calculation!BK375&lt;Sheet1!$EI377-0.1,Sheet1!$EI377=Sheet1!$EI376,Sheet1!$EI377=Sheet1!$EI378),Sheet1!$EI377,BL375-BQ375)</f>
        <v>0</v>
      </c>
      <c r="BS375" s="560"/>
      <c r="BT375" s="560"/>
      <c r="BU375" s="560">
        <f t="shared" si="708"/>
        <v>0</v>
      </c>
      <c r="BV375" s="560"/>
      <c r="BW375" s="560">
        <f ca="1">IF(B375&gt;Summary!$A$1,#N/A,BU375*MGtoAF)</f>
        <v>0</v>
      </c>
      <c r="BX375" s="560">
        <f>Sheet1!BC377+Sheet1!BD377+Sheet1!BE377+Sheet1!BF377-CG375-CH375</f>
        <v>2.5099999999999998</v>
      </c>
      <c r="BY375" s="560">
        <f t="shared" si="709"/>
        <v>2.4950298210735586</v>
      </c>
      <c r="BZ375" s="560">
        <f>IF(Sheet1!EQ377="FM",CH375,0)</f>
        <v>0</v>
      </c>
      <c r="CA375" s="560">
        <f t="shared" si="710"/>
        <v>0</v>
      </c>
      <c r="CB375" s="560">
        <f>IF(Sheet1!EQ377="OTHER",CH375,0)</f>
        <v>0</v>
      </c>
      <c r="CC375" s="560">
        <f t="shared" si="711"/>
        <v>0</v>
      </c>
      <c r="CD375" s="560">
        <f t="shared" si="712"/>
        <v>0</v>
      </c>
      <c r="CE375" s="560">
        <f t="shared" si="713"/>
        <v>2.5099999999999998</v>
      </c>
      <c r="CF375" s="560">
        <f t="shared" si="714"/>
        <v>2.4950298210735586</v>
      </c>
      <c r="CG375" s="560">
        <f>IF(Sheet1!EQ377="CWA",SUM(Sheet1!BC377:'Sheet1'!BF377),0)</f>
        <v>0</v>
      </c>
      <c r="CH375" s="560">
        <f>IF(OR(Sheet1!EQ377="FM", Sheet1!EQ377="OTHER"),SUM(Sheet1!BC377:'Sheet1'!BF377),0)</f>
        <v>0</v>
      </c>
      <c r="CI375" s="545">
        <f>IF(AND($B375&gt;=$FV375,$B375&lt;=$FW375),MAX(CF375,Sheet1!EJ377,0),MAX(CF375-(7/36)*$K375,0))</f>
        <v>0</v>
      </c>
      <c r="CJ375" s="560">
        <f t="shared" si="715"/>
        <v>0</v>
      </c>
      <c r="CK375" s="545">
        <f t="shared" si="716"/>
        <v>2.4950298210735586</v>
      </c>
      <c r="CL375" s="545">
        <f>IF(AND($O375&gt;0,Sheet1!EN377=1),(1-($O375-Sheet1!$L377)/$O375)*CF375,0)</f>
        <v>0</v>
      </c>
      <c r="CM375" s="545">
        <f>IF(AND(Sheet1!$L377=0,Sheet1!$L376=0, Calculation!CE375&lt;Sheet1!EJ377-0.1,Sheet1!EJ377=Sheet1!EJ376,Sheet1!EJ377=Sheet1!EJ378),Sheet1!EJ377,CF375-CL375)</f>
        <v>2.4950298210735586</v>
      </c>
      <c r="CN375" s="545"/>
      <c r="CO375" s="560"/>
      <c r="CP375" s="560">
        <f t="shared" si="717"/>
        <v>0</v>
      </c>
      <c r="CQ375" s="560"/>
      <c r="CR375" s="560">
        <f ca="1">IF(B375&gt;Summary!$A$1,#N/A,CP375*MGtoAF)</f>
        <v>0</v>
      </c>
      <c r="CS375" s="560">
        <f>Sheet1!BK377+Sheet1!BL377+Sheet1!BM377-Sheet1!ER377-DA375</f>
        <v>6.51</v>
      </c>
      <c r="CT375" s="560">
        <f t="shared" si="718"/>
        <v>6.4711729622266407</v>
      </c>
      <c r="CU375" s="560">
        <f>IF(Sheet1!ER377="FM",DA375,0)</f>
        <v>0</v>
      </c>
      <c r="CV375" s="560">
        <f t="shared" si="719"/>
        <v>0</v>
      </c>
      <c r="CW375" s="560">
        <f>IF(Sheet1!ER377="OTHER",DA375,0)</f>
        <v>0</v>
      </c>
      <c r="CX375" s="560">
        <f t="shared" si="720"/>
        <v>0</v>
      </c>
      <c r="CY375" s="560">
        <f t="shared" si="721"/>
        <v>6.51</v>
      </c>
      <c r="CZ375" s="560">
        <f t="shared" si="722"/>
        <v>6.4711729622266407</v>
      </c>
      <c r="DA375" s="560">
        <f>IF(OR(Sheet1!ER377="FM", Sheet1!ER377="OTHER"),SUM(Sheet1!BK377:'Sheet1'!BM377),0)</f>
        <v>0</v>
      </c>
      <c r="DB375" s="545">
        <f>IF(AND($B375&gt;=$FV375,$B375&lt;=$FW375),MAX($CT375,Sheet1!EK377,0),MAX($CT375-(7/36)*$K375,0))</f>
        <v>0</v>
      </c>
      <c r="DC375" s="560">
        <f t="shared" si="723"/>
        <v>0</v>
      </c>
      <c r="DD375" s="545">
        <f t="shared" si="724"/>
        <v>6.4711729622266407</v>
      </c>
      <c r="DE375" s="545">
        <f>IF(AND($O375&gt;0,Sheet1!EO377=1),(1-($O375-Sheet1!$L377)/$O375)*CZ375,0)</f>
        <v>0</v>
      </c>
      <c r="DF375" s="545">
        <f>IF(AND(Sheet1!$L377=0,Sheet1!$L376=0, Calculation!CY375&lt;Sheet1!$EK377-0.1,Sheet1!$EK377=Sheet1!$EK376,Sheet1!$EK377=Sheet1!$EK378),Sheet1!$EK377,CZ375-DE375)</f>
        <v>6.4711729622266407</v>
      </c>
      <c r="DG375" s="545"/>
      <c r="DH375" s="560">
        <f t="shared" si="725"/>
        <v>9.02</v>
      </c>
      <c r="DI375" s="560">
        <f t="shared" si="726"/>
        <v>0</v>
      </c>
      <c r="DJ375" s="698">
        <f t="shared" si="727"/>
        <v>8.9662027833001989</v>
      </c>
      <c r="DK375" s="560">
        <f ca="1">IF(B375&gt;Summary!$A$1,#N/A,DI375*MGtoAF)</f>
        <v>0</v>
      </c>
      <c r="DL375" s="698">
        <f t="shared" si="728"/>
        <v>9.02</v>
      </c>
      <c r="DM375" s="560">
        <f t="shared" si="729"/>
        <v>20.119999999999997</v>
      </c>
      <c r="DN375" s="560">
        <f>Sheet1!AB377-DM375</f>
        <v>-0.11999999999999744</v>
      </c>
      <c r="DO375" s="560">
        <f t="shared" si="730"/>
        <v>-5.9642147117294963E-3</v>
      </c>
      <c r="DP375" s="560">
        <f>(VLOOKUP(Sheet1!DC377,hhdcap_wcm,4)-(((VLOOKUP(Sheet1!DC377,hhdcap_wcm,3)-Sheet1!DC377)/(VLOOKUP(Sheet1!DC377,hhdcap_wcm,3)-VLOOKUP(Sheet1!DC377,hhdcap_wcm,1)))*(VLOOKUP(Sheet1!DC377,hhdcap_wcm,4)-VLOOKUP(Sheet1!DC377,hhdcap_wcm,2))))</f>
        <v>2710.0000000064369</v>
      </c>
      <c r="DQ375" s="560">
        <f t="shared" si="731"/>
        <v>-1977.0000000040786</v>
      </c>
      <c r="DR375" s="560">
        <f t="shared" si="732"/>
        <v>-996.97428139388717</v>
      </c>
      <c r="DS375" s="560">
        <f>Sheet1!EA377*AFtoMG</f>
        <v>0</v>
      </c>
      <c r="DT375" s="560">
        <f>Sheet1!EB377*AFtoMG</f>
        <v>0</v>
      </c>
      <c r="DU375" s="560">
        <f>Sheet1!EC377*AFtoMG</f>
        <v>0</v>
      </c>
      <c r="DV375" s="560">
        <f>Sheet1!ED377*AFtoMG</f>
        <v>0</v>
      </c>
      <c r="DW375" s="560">
        <f t="shared" si="733"/>
        <v>0</v>
      </c>
      <c r="DX375" s="560">
        <f t="shared" si="734"/>
        <v>0</v>
      </c>
      <c r="DY375" s="560">
        <f t="shared" si="735"/>
        <v>0</v>
      </c>
      <c r="DZ375" s="560">
        <f t="shared" si="736"/>
        <v>0</v>
      </c>
      <c r="EA375" s="560"/>
      <c r="EB375" s="545">
        <f>IF(OR(B375&lt;FV375,B375&gt;FW375),(MIN(BF375+BY375+CT375+MAX(Sheet1!AA377+AQ375-73,0),K375)),0)</f>
        <v>8.9662027833001989</v>
      </c>
      <c r="EC375" s="560"/>
      <c r="ED375" s="560">
        <f t="shared" si="737"/>
        <v>8.9662027833001989</v>
      </c>
      <c r="EE375" s="560"/>
      <c r="EF375" s="560">
        <f>Sheet1!EH377+Sheet1!EI377+Sheet1!EJ377+Sheet1!EK377</f>
        <v>9</v>
      </c>
      <c r="EG375" s="560"/>
      <c r="EH375" s="545">
        <f t="shared" si="738"/>
        <v>0</v>
      </c>
      <c r="EI375" s="560">
        <f>IF(Sheet1!ET377=1,SUM('Calculations II'!AT375:BA375)+'Calculations II'!BC375+Sheet1!BV377+'Calculations II'!BE375+AP375,SUM('Calculations II'!AT375:BA375)+'Calculations II'!BC375+Sheet1!BV377+'Calculations II'!BE375+AP375)</f>
        <v>53.373199999999997</v>
      </c>
      <c r="EJ375" s="560">
        <f>Sheet1!AA377+Sheet1!AB377+'Calculations II'!BC375</f>
        <v>56.640127999999997</v>
      </c>
      <c r="EK375" s="560"/>
      <c r="EL375" s="560"/>
      <c r="EM375" s="560">
        <f t="shared" si="739"/>
        <v>42003</v>
      </c>
      <c r="EN375" s="560">
        <f t="shared" si="740"/>
        <v>0</v>
      </c>
      <c r="EO375" s="560">
        <f t="shared" si="741"/>
        <v>0</v>
      </c>
      <c r="EP375" s="560">
        <v>0</v>
      </c>
      <c r="EQ375" s="560">
        <v>0</v>
      </c>
      <c r="ER375" s="560">
        <v>0</v>
      </c>
      <c r="ES375" s="545">
        <f t="shared" si="660"/>
        <v>0.276015539059069</v>
      </c>
      <c r="ET375" s="560">
        <f>-(VLOOKUP(Sheet1!BQ377,Lookup!$O$4:$Q$262,2)-VLOOKUP(Sheet1!BQ376,Lookup!$O$4:$Q$262,2))/1000000</f>
        <v>0.13799817365072109</v>
      </c>
      <c r="EU375" s="560">
        <f>-(VLOOKUP(Sheet1!BR377,Lookup!$O$4:$Q$262,3)-VLOOKUP(Sheet1!BR376,Lookup!$O$4:$Q$262,3))/1000000</f>
        <v>0.13801736540834791</v>
      </c>
      <c r="EV375" s="560"/>
      <c r="EW375" s="560"/>
      <c r="EX375" s="560"/>
      <c r="EY375" s="560"/>
      <c r="EZ375" s="560"/>
      <c r="FA375" s="560"/>
      <c r="FB375" s="560"/>
      <c r="FC375" s="560"/>
      <c r="FD375" s="594" t="e">
        <f t="shared" si="742"/>
        <v>#N/A</v>
      </c>
      <c r="FE375" s="594" t="e">
        <f t="shared" si="743"/>
        <v>#N/A</v>
      </c>
      <c r="FF375" s="595" t="e">
        <f t="shared" si="744"/>
        <v>#N/A</v>
      </c>
      <c r="FG375" s="596" t="s">
        <v>692</v>
      </c>
      <c r="FH375" s="596" t="s">
        <v>692</v>
      </c>
      <c r="FI375" s="594" t="e">
        <v>#N/A</v>
      </c>
      <c r="FJ375" s="594" t="e">
        <v>#N/A</v>
      </c>
      <c r="FK375" s="560"/>
      <c r="FL375" s="560"/>
      <c r="FM375" s="560"/>
      <c r="FN375" s="560"/>
      <c r="FO375" s="560">
        <f>O375+((Sheet1!CS377)*GPMtoMGD)</f>
        <v>56.640127999999997</v>
      </c>
      <c r="FP375" s="560">
        <f>IF(Sheet1!AA377+AQ375&lt;=Calculation!N375,AQ375,Calculation!N375-Sheet1!AA377)</f>
        <v>10.039761431411531</v>
      </c>
      <c r="FQ375" s="560">
        <f>(Sheet1!BP377+Sheet1!BO377)/694.4</f>
        <v>1.1028225806451613</v>
      </c>
      <c r="FR375" s="560"/>
      <c r="FS375" s="560"/>
      <c r="FT375" s="560"/>
      <c r="FU375" s="560"/>
      <c r="FV375" s="695">
        <f t="shared" si="661"/>
        <v>41827</v>
      </c>
      <c r="FW375" s="695">
        <f t="shared" si="662"/>
        <v>41934</v>
      </c>
      <c r="FX375" s="560"/>
      <c r="FY375" s="560"/>
      <c r="FZ375" s="560"/>
      <c r="GA375" s="560"/>
      <c r="GB375" s="560" t="str">
        <f t="shared" si="663"/>
        <v>n</v>
      </c>
      <c r="GC375" s="564">
        <f t="shared" si="664"/>
        <v>41691</v>
      </c>
      <c r="GD375" s="695">
        <f t="shared" si="665"/>
        <v>41807</v>
      </c>
      <c r="GE375" s="560">
        <v>6518.9</v>
      </c>
      <c r="GF375" s="695">
        <f t="shared" si="666"/>
        <v>41808</v>
      </c>
      <c r="GG375" s="560">
        <f t="shared" si="686"/>
        <v>3259</v>
      </c>
      <c r="GH375" s="564">
        <f t="shared" si="667"/>
        <v>41934</v>
      </c>
      <c r="GJ375" s="545">
        <f t="shared" si="668"/>
        <v>0</v>
      </c>
      <c r="GK375" s="560" t="str">
        <f t="shared" si="745"/>
        <v/>
      </c>
      <c r="GL375" s="560">
        <f t="shared" si="669"/>
        <v>0</v>
      </c>
      <c r="GM375" s="560" t="str">
        <f t="shared" si="670"/>
        <v/>
      </c>
      <c r="GN375" s="560">
        <f>IF(GK375="P",Lookup!$M$12,IF(GK375="PP",Lookup!$M$13,IF(GK375="PPP",Lookup!$M$14,IF(GK375="T",Lookup!$M$15,IF(GK375="TP",Lookup!$M$16,IF(GK375="TPP",Lookup!$M$17,IF(GK375="TPPP",Lookup!$M$18,0)))))))*GJ375</f>
        <v>0</v>
      </c>
      <c r="GO375" s="560">
        <f t="shared" si="671"/>
        <v>0</v>
      </c>
      <c r="GP375" s="560">
        <f t="shared" si="746"/>
        <v>0</v>
      </c>
      <c r="GQ375" s="560">
        <f t="shared" si="679"/>
        <v>0</v>
      </c>
      <c r="GR375" s="560"/>
      <c r="GS375" s="560">
        <f t="shared" si="672"/>
        <v>0</v>
      </c>
      <c r="GT375" s="560" t="str">
        <f t="shared" si="673"/>
        <v/>
      </c>
      <c r="GU375" s="560">
        <f>IF(GK375="P",Lookup!$N$12,IF(GK375="PP",Lookup!$N$13,IF(GK375="PPP",Lookup!$N$14,IF(GK375="T",Lookup!$N$15,IF(GK375="TP",Lookup!$N$16,IF(GK375="TPP",Lookup!$N$17,IF(GK375="TPPP",Lookup!$N$18,0)))))))*GJ375</f>
        <v>0</v>
      </c>
      <c r="GV375" s="560">
        <f t="shared" si="674"/>
        <v>0</v>
      </c>
      <c r="GW375" s="560">
        <f t="shared" si="747"/>
        <v>0</v>
      </c>
      <c r="GX375" s="560">
        <f t="shared" si="680"/>
        <v>0</v>
      </c>
      <c r="GY375" s="560"/>
      <c r="GZ375" s="560">
        <f t="shared" si="675"/>
        <v>0</v>
      </c>
      <c r="HA375" s="560" t="str">
        <f t="shared" si="676"/>
        <v/>
      </c>
      <c r="HB375" s="560">
        <f>IF(GK375="P",Lookup!$N$12,IF(GK375="PP",Lookup!$N$13,IF(GK375="PPP",Lookup!$N$14,IF(GK375="T",Lookup!$N$15,IF(GK375="TP",Lookup!$N$16,IF(GK375="TPP",Lookup!$N$17,IF(GK375="TPPP",Lookup!$N$18,0)))))))*GJ375</f>
        <v>0</v>
      </c>
      <c r="HC375" s="545">
        <f t="shared" si="748"/>
        <v>0</v>
      </c>
      <c r="HD375" s="560">
        <f t="shared" si="749"/>
        <v>0</v>
      </c>
      <c r="HE375" s="560">
        <f t="shared" si="681"/>
        <v>0</v>
      </c>
      <c r="HF375" s="560"/>
      <c r="HG375" s="560">
        <f t="shared" si="677"/>
        <v>0</v>
      </c>
      <c r="HH375" s="560" t="str">
        <f t="shared" si="678"/>
        <v/>
      </c>
      <c r="HI375" s="560">
        <f>IF(GK375="P",Lookup!$N$12,IF(GK375="PP",Lookup!$N$13,IF(GK375="PPP",Lookup!$N$14,IF(GK375="T",Lookup!$N$15,IF(GK375="TP",Lookup!$N$16,IF(GK375="TPP",Lookup!$N$17,IF(GK375="TPPP",Lookup!$N$18,0)))))))*GJ375</f>
        <v>0</v>
      </c>
      <c r="HJ375" s="545">
        <f t="shared" si="750"/>
        <v>0</v>
      </c>
      <c r="HK375" s="560">
        <f t="shared" si="751"/>
        <v>0</v>
      </c>
      <c r="HL375" s="560">
        <f t="shared" si="682"/>
        <v>0</v>
      </c>
    </row>
    <row r="376" spans="1:220">
      <c r="A376" s="580" t="s">
        <v>6</v>
      </c>
      <c r="B376" s="556">
        <v>42004</v>
      </c>
      <c r="C376" s="561">
        <v>0</v>
      </c>
      <c r="D376" s="529">
        <f t="shared" si="684"/>
        <v>300</v>
      </c>
      <c r="E376" s="529">
        <f t="shared" si="685"/>
        <v>250</v>
      </c>
      <c r="F376" s="529">
        <v>250</v>
      </c>
      <c r="G376" s="560">
        <f>DR376+Sheet1!CZ378</f>
        <v>1194.2713061016332</v>
      </c>
      <c r="H376" s="914">
        <f t="shared" si="650"/>
        <v>505.01377226409568</v>
      </c>
      <c r="I376" s="559">
        <f>MAX(Sheet1!Z378-AT376+(Sheet1!DA378-E376)*CFStoMGD,0)</f>
        <v>1067.1679999999999</v>
      </c>
      <c r="J376" s="562">
        <f>IF(AND(B376&gt;=Calculation!GC376,B376&lt;=Calculation!GD376),IF(Sheet1!DB378&gt;=Calculation!D376,64.64,0),MAX(Sheet1!Z378-AT376+(Sheet1!DB378-D376)*CFStoMGD,0))</f>
        <v>621.15199999999993</v>
      </c>
      <c r="K376" s="904">
        <f t="shared" si="687"/>
        <v>64.64</v>
      </c>
      <c r="L376" s="560">
        <f>Sheet1!AA378+Sheet1!AB378-Sheet1!L378+(Sheet1!DA378-F376)*CFStoMGD</f>
        <v>1097.1679999999999</v>
      </c>
      <c r="M376" s="560">
        <f t="shared" si="688"/>
        <v>787.41651170937757</v>
      </c>
      <c r="N376" s="910">
        <f>IF(Sheet1!DA378&gt;=F376,MIN(73,MIN(MAX(L376,0),MAX(M376,0))),0)</f>
        <v>73</v>
      </c>
      <c r="O376" s="563">
        <f>Sheet1!AA378+Sheet1!AB378</f>
        <v>50</v>
      </c>
      <c r="P376" s="563">
        <f t="shared" si="689"/>
        <v>77.349999999999994</v>
      </c>
      <c r="Q376" s="898">
        <f t="shared" si="651"/>
        <v>0</v>
      </c>
      <c r="R376" s="829">
        <f t="shared" si="690"/>
        <v>8.9990089197224989</v>
      </c>
      <c r="S376" s="898">
        <f t="shared" si="683"/>
        <v>50</v>
      </c>
      <c r="T376" s="898">
        <f t="shared" si="652"/>
        <v>0</v>
      </c>
      <c r="U376" s="898">
        <f t="shared" si="653"/>
        <v>0</v>
      </c>
      <c r="V376" s="898"/>
      <c r="W376" s="898">
        <f t="shared" si="654"/>
        <v>55.640991080277502</v>
      </c>
      <c r="X376" s="898">
        <f t="shared" si="655"/>
        <v>50</v>
      </c>
      <c r="Y376" s="898" t="str">
        <f t="shared" si="656"/>
        <v/>
      </c>
      <c r="Z376" s="898">
        <f t="shared" si="657"/>
        <v>50</v>
      </c>
      <c r="AA376" s="898">
        <f t="shared" si="658"/>
        <v>50</v>
      </c>
      <c r="AB376" s="898" t="str">
        <f t="shared" si="659"/>
        <v/>
      </c>
      <c r="AC376" s="563">
        <f>Sheet1!Y378*MGDtoCFS</f>
        <v>46.41</v>
      </c>
      <c r="AD376" s="563">
        <f>Sheet1!Z378*MGDtoCFS</f>
        <v>30.939999999999998</v>
      </c>
      <c r="AE376" s="563">
        <f>Sheet1!AA378*MGDtoCFS</f>
        <v>46.41</v>
      </c>
      <c r="AF376" s="563">
        <f>Sheet1!AB378*MGDtoCFS</f>
        <v>30.939999999999998</v>
      </c>
      <c r="AG376" s="563">
        <f>Sheet1!L378*MGDtoCFS</f>
        <v>0</v>
      </c>
      <c r="AH376" s="545">
        <f t="shared" si="691"/>
        <v>0</v>
      </c>
      <c r="AI376" s="560">
        <f t="shared" si="692"/>
        <v>0</v>
      </c>
      <c r="AJ376" s="560">
        <f t="shared" si="693"/>
        <v>0</v>
      </c>
      <c r="AK376" s="560">
        <f t="shared" si="694"/>
        <v>0</v>
      </c>
      <c r="AL376" s="560">
        <f>(VLOOKUP(Sheet1!DC378,hhdcap_wcm,4)-(((VLOOKUP(Sheet1!DC378,hhdcap_wcm,3)-Sheet1!DC378)/(VLOOKUP(Sheet1!DC378,hhdcap_wcm,3)-VLOOKUP(Sheet1!DC378,hhdcap_wcm,1)))*(VLOOKUP(Sheet1!DC378,hhdcap_wcm,4)-VLOOKUP(Sheet1!DC378,hhdcap_wcm,2))))</f>
        <v>2540.0000000059754</v>
      </c>
      <c r="AM376" s="560">
        <f t="shared" si="695"/>
        <v>-170.00000000046157</v>
      </c>
      <c r="AN376" s="560">
        <f t="shared" si="696"/>
        <v>0</v>
      </c>
      <c r="AO376" s="560">
        <f t="shared" si="697"/>
        <v>0</v>
      </c>
      <c r="AP376" s="560">
        <f>Sheet1!BA378+Sheet1!BB378+Sheet1!BN378+CD376</f>
        <v>11.1</v>
      </c>
      <c r="AQ376" s="560">
        <f>Sheet1!BN378+(DO376*Sheet1!BN378)</f>
        <v>10.009910802775025</v>
      </c>
      <c r="AR376" s="560">
        <f>Sheet1!BA378+CD376</f>
        <v>0</v>
      </c>
      <c r="AS376" s="560">
        <f>Sheet1!BA378+Sheet1!BB378+CD376</f>
        <v>1</v>
      </c>
      <c r="AT376" s="698">
        <f>0</f>
        <v>0</v>
      </c>
      <c r="AU376" s="560">
        <f>IF(EB376&lt;K376,0,MAX(Sheet1!AA378+AQ376-15/36*K376-N376,Sheet1!EH378,0))</f>
        <v>0</v>
      </c>
      <c r="AV376" s="560">
        <f>IF(OR(B376&gt;=GD376,B376&lt;GC376),0,15/36*K376-MAX(0,64.6-(137.6-(Sheet1!AA378+Sheet1!AB378))))</f>
        <v>0</v>
      </c>
      <c r="AW376" s="698">
        <f>Sheet1!DB378-110</f>
        <v>1120</v>
      </c>
      <c r="AX376" s="698">
        <f>Sheet1!DA378-265</f>
        <v>1605</v>
      </c>
      <c r="AY376" s="698">
        <f t="shared" si="698"/>
        <v>73</v>
      </c>
      <c r="AZ376" s="698">
        <v>0</v>
      </c>
      <c r="BA376" s="698">
        <f t="shared" si="699"/>
        <v>0</v>
      </c>
      <c r="BB376" s="560">
        <f t="shared" si="700"/>
        <v>0</v>
      </c>
      <c r="BC376" s="560"/>
      <c r="BD376" s="560">
        <f ca="1">IF(B376&gt;Summary!$A$1,#N/A,BB376*MGtoAF)</f>
        <v>0</v>
      </c>
      <c r="BE376" s="560">
        <f>Sheet1!BG378+Sheet1!BH378+Sheet1!BI378-BM376</f>
        <v>0</v>
      </c>
      <c r="BF376" s="560">
        <f t="shared" si="701"/>
        <v>0</v>
      </c>
      <c r="BG376" s="560">
        <f>IF(Sheet1!EP378="FM",BM376,0)</f>
        <v>0</v>
      </c>
      <c r="BH376" s="560">
        <f t="shared" si="702"/>
        <v>0</v>
      </c>
      <c r="BI376" s="560">
        <f>IF(Sheet1!EP378="OTHER",BM376,0)</f>
        <v>0</v>
      </c>
      <c r="BJ376" s="560">
        <f t="shared" si="703"/>
        <v>0</v>
      </c>
      <c r="BK376" s="560">
        <f t="shared" si="704"/>
        <v>0</v>
      </c>
      <c r="BL376" s="560">
        <f t="shared" si="705"/>
        <v>0</v>
      </c>
      <c r="BM376" s="560">
        <f>IF(OR(Sheet1!EP378="FM", Sheet1!EP378="OTHER"),SUM(Sheet1!BG378:'Sheet1'!BI378),0)</f>
        <v>0</v>
      </c>
      <c r="BN376" s="545">
        <f>IF(AND($B376&gt;=$FV376,$B376&lt;=$FW376),MAX(BF376,Sheet1!EI378,0),MAX(BF376-(7/36)*$K376,0))</f>
        <v>0</v>
      </c>
      <c r="BO376" s="560">
        <f t="shared" si="706"/>
        <v>0</v>
      </c>
      <c r="BP376" s="545">
        <f t="shared" si="707"/>
        <v>0</v>
      </c>
      <c r="BQ376" s="545">
        <f>IF(AND($O376&gt;0,Sheet1!EM378=1),(1-($O376-Sheet1!$L378)/$O376)*BL376,0)</f>
        <v>0</v>
      </c>
      <c r="BR376" s="545">
        <f>IF(AND(Sheet1!$L378=0,Sheet1!$L377=0, Calculation!BK376&lt;Sheet1!$EI378-0.1,Sheet1!$EI378=Sheet1!$EI377,Sheet1!$EI378=Sheet1!$EI379),Sheet1!$EI378,BL376-BQ376)</f>
        <v>0</v>
      </c>
      <c r="BS376" s="560"/>
      <c r="BT376" s="560"/>
      <c r="BU376" s="560">
        <f t="shared" si="708"/>
        <v>0</v>
      </c>
      <c r="BV376" s="560"/>
      <c r="BW376" s="560">
        <f ca="1">IF(B376&gt;Summary!$A$1,#N/A,BU376*MGtoAF)</f>
        <v>0</v>
      </c>
      <c r="BX376" s="560">
        <f>Sheet1!BC378+Sheet1!BD378+Sheet1!BE378+Sheet1!BF378-CG376-CH376</f>
        <v>2.5099999999999998</v>
      </c>
      <c r="BY376" s="560">
        <f t="shared" si="709"/>
        <v>2.487611496531219</v>
      </c>
      <c r="BZ376" s="560">
        <f>IF(Sheet1!EQ378="FM",CH376,0)</f>
        <v>0</v>
      </c>
      <c r="CA376" s="560">
        <f t="shared" si="710"/>
        <v>0</v>
      </c>
      <c r="CB376" s="560">
        <f>IF(Sheet1!EQ378="OTHER",CH376,0)</f>
        <v>0</v>
      </c>
      <c r="CC376" s="560">
        <f t="shared" si="711"/>
        <v>0</v>
      </c>
      <c r="CD376" s="560">
        <f t="shared" si="712"/>
        <v>0</v>
      </c>
      <c r="CE376" s="560">
        <f t="shared" si="713"/>
        <v>2.5099999999999998</v>
      </c>
      <c r="CF376" s="560">
        <f t="shared" si="714"/>
        <v>2.487611496531219</v>
      </c>
      <c r="CG376" s="560">
        <f>IF(Sheet1!EQ378="CWA",SUM(Sheet1!BC378:'Sheet1'!BF378),0)</f>
        <v>0</v>
      </c>
      <c r="CH376" s="560">
        <f>IF(OR(Sheet1!EQ378="FM", Sheet1!EQ378="OTHER"),SUM(Sheet1!BC378:'Sheet1'!BF378),0)</f>
        <v>0</v>
      </c>
      <c r="CI376" s="545">
        <f>IF(AND($B376&gt;=$FV376,$B376&lt;=$FW376),MAX(CF376,Sheet1!EJ378,0),MAX(CF376-(7/36)*$K376,0))</f>
        <v>0</v>
      </c>
      <c r="CJ376" s="560">
        <f t="shared" si="715"/>
        <v>0</v>
      </c>
      <c r="CK376" s="545">
        <f t="shared" si="716"/>
        <v>2.487611496531219</v>
      </c>
      <c r="CL376" s="545">
        <f>IF(AND($O376&gt;0,Sheet1!EN378=1),(1-($O376-Sheet1!$L378)/$O376)*CF376,0)</f>
        <v>0</v>
      </c>
      <c r="CM376" s="545">
        <f>IF(AND(Sheet1!$L378=0,Sheet1!$L377=0, Calculation!CE376&lt;Sheet1!EJ378-0.1,Sheet1!EJ378=Sheet1!EJ377,Sheet1!EJ378=Sheet1!EJ379),Sheet1!EJ378,CF376-CL376)</f>
        <v>2.487611496531219</v>
      </c>
      <c r="CN376" s="545"/>
      <c r="CO376" s="560"/>
      <c r="CP376" s="560">
        <f t="shared" si="717"/>
        <v>0</v>
      </c>
      <c r="CQ376" s="560"/>
      <c r="CR376" s="560">
        <f ca="1">IF(B376&gt;Summary!$A$1,#N/A,CP376*MGtoAF)</f>
        <v>0</v>
      </c>
      <c r="CS376" s="560">
        <f>Sheet1!BK378+Sheet1!BL378+Sheet1!BM378-Sheet1!ER378-DA376</f>
        <v>6.57</v>
      </c>
      <c r="CT376" s="560">
        <f t="shared" si="718"/>
        <v>6.511397423191279</v>
      </c>
      <c r="CU376" s="560">
        <f>IF(Sheet1!ER378="FM",DA376,0)</f>
        <v>0</v>
      </c>
      <c r="CV376" s="560">
        <f t="shared" si="719"/>
        <v>0</v>
      </c>
      <c r="CW376" s="560">
        <f>IF(Sheet1!ER378="OTHER",DA376,0)</f>
        <v>0</v>
      </c>
      <c r="CX376" s="560">
        <f t="shared" si="720"/>
        <v>0</v>
      </c>
      <c r="CY376" s="560">
        <f t="shared" si="721"/>
        <v>6.57</v>
      </c>
      <c r="CZ376" s="560">
        <f t="shared" si="722"/>
        <v>6.511397423191279</v>
      </c>
      <c r="DA376" s="560">
        <f>IF(OR(Sheet1!ER378="FM", Sheet1!ER378="OTHER"),SUM(Sheet1!BK378:'Sheet1'!BM378),0)</f>
        <v>0</v>
      </c>
      <c r="DB376" s="545">
        <f>IF(AND($B376&gt;=$FV376,$B376&lt;=$FW376),MAX($CT376,Sheet1!EK378,0),MAX($CT376-(7/36)*$K376,0))</f>
        <v>0</v>
      </c>
      <c r="DC376" s="560">
        <f t="shared" si="723"/>
        <v>0</v>
      </c>
      <c r="DD376" s="545">
        <f t="shared" si="724"/>
        <v>6.511397423191279</v>
      </c>
      <c r="DE376" s="545">
        <f>IF(AND($O376&gt;0,Sheet1!EO378=1),(1-($O376-Sheet1!$L378)/$O376)*CZ376,0)</f>
        <v>0</v>
      </c>
      <c r="DF376" s="545">
        <f>IF(AND(Sheet1!$L378=0,Sheet1!$L377=0, Calculation!CY376&lt;Sheet1!$EK378-0.1,Sheet1!$EK378=Sheet1!$EK377,Sheet1!$EK378=Sheet1!$EK379),Sheet1!$EK378,CZ376-DE376)</f>
        <v>6.511397423191279</v>
      </c>
      <c r="DG376" s="545"/>
      <c r="DH376" s="560">
        <f t="shared" si="725"/>
        <v>9.08</v>
      </c>
      <c r="DI376" s="560">
        <f t="shared" si="726"/>
        <v>0</v>
      </c>
      <c r="DJ376" s="698">
        <f t="shared" si="727"/>
        <v>8.9990089197224989</v>
      </c>
      <c r="DK376" s="560">
        <f ca="1">IF(B376&gt;Summary!$A$1,#N/A,DI376*MGtoAF)</f>
        <v>0</v>
      </c>
      <c r="DL376" s="698">
        <f t="shared" si="728"/>
        <v>9.08</v>
      </c>
      <c r="DM376" s="560">
        <f t="shared" si="729"/>
        <v>20.18</v>
      </c>
      <c r="DN376" s="560">
        <f>Sheet1!AB378-DM376</f>
        <v>-0.17999999999999972</v>
      </c>
      <c r="DO376" s="560">
        <f t="shared" si="730"/>
        <v>-8.9197224975222852E-3</v>
      </c>
      <c r="DP376" s="560">
        <f>(VLOOKUP(Sheet1!DC378,hhdcap_wcm,4)-(((VLOOKUP(Sheet1!DC378,hhdcap_wcm,3)-Sheet1!DC378)/(VLOOKUP(Sheet1!DC378,hhdcap_wcm,3)-VLOOKUP(Sheet1!DC378,hhdcap_wcm,1)))*(VLOOKUP(Sheet1!DC378,hhdcap_wcm,4)-VLOOKUP(Sheet1!DC378,hhdcap_wcm,2))))</f>
        <v>2540.0000000059754</v>
      </c>
      <c r="DQ376" s="560">
        <f t="shared" si="731"/>
        <v>-170.00000000046157</v>
      </c>
      <c r="DR376" s="560">
        <f t="shared" si="732"/>
        <v>-85.728693898366885</v>
      </c>
      <c r="DS376" s="560">
        <f>Sheet1!EA378*AFtoMG</f>
        <v>0</v>
      </c>
      <c r="DT376" s="560">
        <f>Sheet1!EB378*AFtoMG</f>
        <v>0</v>
      </c>
      <c r="DU376" s="560">
        <f>Sheet1!EC378*AFtoMG</f>
        <v>0</v>
      </c>
      <c r="DV376" s="560">
        <f>Sheet1!ED378*AFtoMG</f>
        <v>0</v>
      </c>
      <c r="DW376" s="560">
        <f t="shared" si="733"/>
        <v>0</v>
      </c>
      <c r="DX376" s="560">
        <f t="shared" si="734"/>
        <v>0</v>
      </c>
      <c r="DY376" s="560">
        <f t="shared" si="735"/>
        <v>0</v>
      </c>
      <c r="DZ376" s="560">
        <f t="shared" si="736"/>
        <v>0</v>
      </c>
      <c r="EA376" s="560"/>
      <c r="EB376" s="545">
        <f>IF(OR(B376&lt;FV376,B376&gt;FW376),(MIN(BF376+BY376+CT376+MAX(Sheet1!AA378+AQ376-73,0),K376)),0)</f>
        <v>8.9990089197224989</v>
      </c>
      <c r="EC376" s="560"/>
      <c r="ED376" s="560">
        <f t="shared" si="737"/>
        <v>8.9990089197224989</v>
      </c>
      <c r="EE376" s="560"/>
      <c r="EF376" s="560">
        <f>Sheet1!EH378+Sheet1!EI378+Sheet1!EJ378+Sheet1!EK378</f>
        <v>9</v>
      </c>
      <c r="EG376" s="560"/>
      <c r="EH376" s="545">
        <f t="shared" si="738"/>
        <v>0</v>
      </c>
      <c r="EI376" s="560">
        <f>IF(Sheet1!ET378=1,SUM('Calculations II'!AT376:BA376)+'Calculations II'!BC376+Sheet1!BV378+'Calculations II'!BE376+AP376,SUM('Calculations II'!AT376:BA376)+'Calculations II'!BC376+Sheet1!BV378+'Calculations II'!BE376+AP376)</f>
        <v>49.928751999999996</v>
      </c>
      <c r="EJ376" s="560">
        <f>Sheet1!AA378+Sheet1!AB378+'Calculations II'!BC376</f>
        <v>55.395967999999996</v>
      </c>
      <c r="EK376" s="560"/>
      <c r="EL376" s="560"/>
      <c r="EM376" s="560">
        <f t="shared" si="739"/>
        <v>42004</v>
      </c>
      <c r="EN376" s="560">
        <f t="shared" si="740"/>
        <v>0</v>
      </c>
      <c r="EO376" s="560">
        <f t="shared" si="741"/>
        <v>0</v>
      </c>
      <c r="EP376" s="560">
        <v>0</v>
      </c>
      <c r="EQ376" s="560">
        <v>0</v>
      </c>
      <c r="ER376" s="560">
        <v>0</v>
      </c>
      <c r="ES376" s="545">
        <f t="shared" si="660"/>
        <v>-1.656285160059646</v>
      </c>
      <c r="ET376" s="560">
        <f>-(VLOOKUP(Sheet1!BQ378,Lookup!$O$4:$Q$262,2)-VLOOKUP(Sheet1!BQ377,Lookup!$O$4:$Q$262,2))/1000000</f>
        <v>-0.82808500143145403</v>
      </c>
      <c r="EU376" s="560">
        <f>-(VLOOKUP(Sheet1!BR378,Lookup!$O$4:$Q$262,3)-VLOOKUP(Sheet1!BR377,Lookup!$O$4:$Q$262,3))/1000000</f>
        <v>-0.82820015862819185</v>
      </c>
      <c r="EV376" s="560"/>
      <c r="EW376" s="560"/>
      <c r="EX376" s="560"/>
      <c r="EY376" s="560"/>
      <c r="EZ376" s="560"/>
      <c r="FA376" s="560"/>
      <c r="FB376" s="560"/>
      <c r="FC376" s="560"/>
      <c r="FD376" s="594" t="e">
        <f t="shared" si="742"/>
        <v>#N/A</v>
      </c>
      <c r="FE376" s="594" t="e">
        <f t="shared" si="743"/>
        <v>#N/A</v>
      </c>
      <c r="FF376" s="595" t="e">
        <f t="shared" si="744"/>
        <v>#N/A</v>
      </c>
      <c r="FG376" s="596" t="s">
        <v>692</v>
      </c>
      <c r="FH376" s="596" t="s">
        <v>692</v>
      </c>
      <c r="FI376" s="594" t="e">
        <v>#N/A</v>
      </c>
      <c r="FJ376" s="594" t="e">
        <v>#N/A</v>
      </c>
      <c r="FK376" s="560"/>
      <c r="FL376" s="560"/>
      <c r="FM376" s="560"/>
      <c r="FN376" s="560"/>
      <c r="FO376" s="560">
        <f>O376+((Sheet1!CS378)*GPMtoMGD)</f>
        <v>55.395967999999996</v>
      </c>
      <c r="FP376" s="560">
        <f>IF(Sheet1!AA378+AQ376&lt;=Calculation!N376,AQ376,Calculation!N376-Sheet1!AA378)</f>
        <v>10.009910802775025</v>
      </c>
      <c r="FQ376" s="560">
        <f>(Sheet1!BP378+Sheet1!BO378)/694.4</f>
        <v>1.1926843317972349</v>
      </c>
      <c r="FR376" s="560"/>
      <c r="FS376" s="560"/>
      <c r="FT376" s="560"/>
      <c r="FU376" s="560"/>
      <c r="FV376" s="695">
        <f t="shared" si="661"/>
        <v>41827</v>
      </c>
      <c r="FW376" s="695">
        <f t="shared" si="662"/>
        <v>41934</v>
      </c>
      <c r="FX376" s="560"/>
      <c r="FY376" s="560"/>
      <c r="FZ376" s="560"/>
      <c r="GA376" s="560"/>
      <c r="GB376" s="560" t="str">
        <f t="shared" si="663"/>
        <v>n</v>
      </c>
      <c r="GC376" s="564">
        <f t="shared" si="664"/>
        <v>41691</v>
      </c>
      <c r="GD376" s="695">
        <f t="shared" si="665"/>
        <v>41807</v>
      </c>
      <c r="GE376" s="560">
        <v>6518.9</v>
      </c>
      <c r="GF376" s="695">
        <f t="shared" si="666"/>
        <v>41808</v>
      </c>
      <c r="GG376" s="560">
        <f t="shared" si="686"/>
        <v>3259</v>
      </c>
      <c r="GH376" s="564">
        <f t="shared" si="667"/>
        <v>41934</v>
      </c>
      <c r="GJ376" s="545">
        <f t="shared" si="668"/>
        <v>0</v>
      </c>
      <c r="GK376" s="560" t="str">
        <f t="shared" si="745"/>
        <v/>
      </c>
      <c r="GL376" s="560">
        <f t="shared" si="669"/>
        <v>0</v>
      </c>
      <c r="GM376" s="560" t="str">
        <f t="shared" si="670"/>
        <v/>
      </c>
      <c r="GN376" s="560">
        <f>IF(GK376="P",Lookup!$M$12,IF(GK376="PP",Lookup!$M$13,IF(GK376="PPP",Lookup!$M$14,IF(GK376="T",Lookup!$M$15,IF(GK376="TP",Lookup!$M$16,IF(GK376="TPP",Lookup!$M$17,IF(GK376="TPPP",Lookup!$M$18,0)))))))*GJ376</f>
        <v>0</v>
      </c>
      <c r="GO376" s="560">
        <f t="shared" si="671"/>
        <v>0</v>
      </c>
      <c r="GP376" s="560">
        <f t="shared" si="746"/>
        <v>0</v>
      </c>
      <c r="GQ376" s="560">
        <f t="shared" si="679"/>
        <v>0</v>
      </c>
      <c r="GR376" s="560"/>
      <c r="GS376" s="560">
        <f t="shared" si="672"/>
        <v>0</v>
      </c>
      <c r="GT376" s="560" t="str">
        <f t="shared" si="673"/>
        <v/>
      </c>
      <c r="GU376" s="560">
        <f>IF(GK376="P",Lookup!$N$12,IF(GK376="PP",Lookup!$N$13,IF(GK376="PPP",Lookup!$N$14,IF(GK376="T",Lookup!$N$15,IF(GK376="TP",Lookup!$N$16,IF(GK376="TPP",Lookup!$N$17,IF(GK376="TPPP",Lookup!$N$18,0)))))))*GJ376</f>
        <v>0</v>
      </c>
      <c r="GV376" s="560">
        <f t="shared" si="674"/>
        <v>0</v>
      </c>
      <c r="GW376" s="560">
        <f t="shared" si="747"/>
        <v>0</v>
      </c>
      <c r="GX376" s="560">
        <f t="shared" si="680"/>
        <v>0</v>
      </c>
      <c r="GY376" s="560"/>
      <c r="GZ376" s="560">
        <f t="shared" si="675"/>
        <v>0</v>
      </c>
      <c r="HA376" s="560" t="str">
        <f t="shared" si="676"/>
        <v/>
      </c>
      <c r="HB376" s="560">
        <f>IF(GK376="P",Lookup!$N$12,IF(GK376="PP",Lookup!$N$13,IF(GK376="PPP",Lookup!$N$14,IF(GK376="T",Lookup!$N$15,IF(GK376="TP",Lookup!$N$16,IF(GK376="TPP",Lookup!$N$17,IF(GK376="TPPP",Lookup!$N$18,0)))))))*GJ376</f>
        <v>0</v>
      </c>
      <c r="HC376" s="545">
        <f t="shared" si="748"/>
        <v>0</v>
      </c>
      <c r="HD376" s="560">
        <f t="shared" si="749"/>
        <v>0</v>
      </c>
      <c r="HE376" s="560">
        <f t="shared" si="681"/>
        <v>0</v>
      </c>
      <c r="HF376" s="560"/>
      <c r="HG376" s="560">
        <f t="shared" si="677"/>
        <v>0</v>
      </c>
      <c r="HH376" s="560" t="str">
        <f t="shared" si="678"/>
        <v/>
      </c>
      <c r="HI376" s="560">
        <f>IF(GK376="P",Lookup!$N$12,IF(GK376="PP",Lookup!$N$13,IF(GK376="PPP",Lookup!$N$14,IF(GK376="T",Lookup!$N$15,IF(GK376="TP",Lookup!$N$16,IF(GK376="TPP",Lookup!$N$17,IF(GK376="TPPP",Lookup!$N$18,0)))))))*GJ376</f>
        <v>0</v>
      </c>
      <c r="HJ376" s="545">
        <f t="shared" si="750"/>
        <v>0</v>
      </c>
      <c r="HK376" s="560">
        <f t="shared" si="751"/>
        <v>0</v>
      </c>
      <c r="HL376" s="560">
        <f t="shared" si="682"/>
        <v>0</v>
      </c>
    </row>
    <row r="377" spans="1:220">
      <c r="A377" s="580" t="s">
        <v>7</v>
      </c>
      <c r="B377" s="556">
        <v>42005</v>
      </c>
      <c r="C377" s="561">
        <v>0</v>
      </c>
      <c r="D377" s="529">
        <f t="shared" si="684"/>
        <v>300</v>
      </c>
      <c r="E377" s="529">
        <f t="shared" si="685"/>
        <v>250</v>
      </c>
      <c r="F377" s="529">
        <v>250</v>
      </c>
      <c r="G377" s="560">
        <f>DR377+Sheet1!CZ379</f>
        <v>1150.569843671102</v>
      </c>
      <c r="H377" s="914">
        <f t="shared" si="650"/>
        <v>476.76514694900033</v>
      </c>
      <c r="I377" s="559">
        <f>MAX(Sheet1!Z379-AT377+(Sheet1!DA379-E377)*CFStoMGD,0)</f>
        <v>1021.92</v>
      </c>
      <c r="J377" s="562">
        <f>IF(AND(B377&gt;=Calculation!GC377,B377&lt;=Calculation!GD377),IF(Sheet1!DB379&gt;=Calculation!D377,64.64,0),MAX(Sheet1!Z379-AT377+(Sheet1!DB379-D377)*CFStoMGD,0))</f>
        <v>595.29599999999994</v>
      </c>
      <c r="K377" s="904">
        <f t="shared" si="687"/>
        <v>64.64</v>
      </c>
      <c r="L377" s="560">
        <f>Sheet1!AA379+Sheet1!AB379-Sheet1!L379+(Sheet1!DA379-F377)*CFStoMGD</f>
        <v>1051.42</v>
      </c>
      <c r="M377" s="560">
        <f t="shared" si="688"/>
        <v>758.60291388798043</v>
      </c>
      <c r="N377" s="910">
        <f>IF(Sheet1!DA379&gt;=F377,MIN(73,MIN(MAX(L377,0),MAX(M377,0))),0)</f>
        <v>73</v>
      </c>
      <c r="O377" s="563">
        <f>Sheet1!AA379+Sheet1!AB379</f>
        <v>49.5</v>
      </c>
      <c r="P377" s="563">
        <f t="shared" si="689"/>
        <v>76.576499999999996</v>
      </c>
      <c r="Q377" s="898">
        <f t="shared" si="651"/>
        <v>0</v>
      </c>
      <c r="R377" s="829">
        <f t="shared" si="690"/>
        <v>8.9317507418397639</v>
      </c>
      <c r="S377" s="898">
        <f t="shared" si="683"/>
        <v>49.5</v>
      </c>
      <c r="T377" s="898">
        <f t="shared" si="652"/>
        <v>0</v>
      </c>
      <c r="U377" s="898">
        <f t="shared" si="653"/>
        <v>0</v>
      </c>
      <c r="V377" s="898"/>
      <c r="W377" s="898">
        <f t="shared" si="654"/>
        <v>55.708249258160237</v>
      </c>
      <c r="X377" s="898">
        <f t="shared" si="655"/>
        <v>49.5</v>
      </c>
      <c r="Y377" s="898" t="str">
        <f t="shared" si="656"/>
        <v/>
      </c>
      <c r="Z377" s="898">
        <f t="shared" si="657"/>
        <v>49.5</v>
      </c>
      <c r="AA377" s="898">
        <f t="shared" si="658"/>
        <v>49.5</v>
      </c>
      <c r="AB377" s="898" t="str">
        <f t="shared" si="659"/>
        <v/>
      </c>
      <c r="AC377" s="563">
        <f>Sheet1!Y379*MGDtoCFS</f>
        <v>46.41</v>
      </c>
      <c r="AD377" s="563">
        <f>Sheet1!Z379*MGDtoCFS</f>
        <v>30.939999999999998</v>
      </c>
      <c r="AE377" s="563">
        <f>Sheet1!AA379*MGDtoCFS</f>
        <v>45.636499999999998</v>
      </c>
      <c r="AF377" s="563">
        <f>Sheet1!AB379*MGDtoCFS</f>
        <v>30.939999999999998</v>
      </c>
      <c r="AG377" s="563">
        <f>Sheet1!L379*MGDtoCFS</f>
        <v>0</v>
      </c>
      <c r="AH377" s="545">
        <f t="shared" si="691"/>
        <v>0</v>
      </c>
      <c r="AI377" s="560">
        <f t="shared" si="692"/>
        <v>0</v>
      </c>
      <c r="AJ377" s="560">
        <f t="shared" si="693"/>
        <v>0</v>
      </c>
      <c r="AK377" s="560">
        <f t="shared" si="694"/>
        <v>0</v>
      </c>
      <c r="AL377" s="560">
        <f>(VLOOKUP(Sheet1!DC379,hhdcap_wcm,4)-(((VLOOKUP(Sheet1!DC379,hhdcap_wcm,3)-Sheet1!DC379)/(VLOOKUP(Sheet1!DC379,hhdcap_wcm,3)-VLOOKUP(Sheet1!DC379,hhdcap_wcm,1)))*(VLOOKUP(Sheet1!DC379,hhdcap_wcm,4)-VLOOKUP(Sheet1!DC379,hhdcap_wcm,2))))</f>
        <v>2323.0000000057707</v>
      </c>
      <c r="AM377" s="560">
        <f t="shared" si="695"/>
        <v>-217.00000000020464</v>
      </c>
      <c r="AN377" s="560">
        <f t="shared" si="696"/>
        <v>0</v>
      </c>
      <c r="AO377" s="560">
        <f t="shared" si="697"/>
        <v>0</v>
      </c>
      <c r="AP377" s="560">
        <f>Sheet1!BA379+Sheet1!BB379+Sheet1!BN379+CD377</f>
        <v>11.19</v>
      </c>
      <c r="AQ377" s="560">
        <f>Sheet1!BN379+(DO377*Sheet1!BN379)</f>
        <v>10.089020771513352</v>
      </c>
      <c r="AR377" s="560">
        <f>Sheet1!BA379+CD377</f>
        <v>0</v>
      </c>
      <c r="AS377" s="560">
        <f>Sheet1!BA379+Sheet1!BB379+CD377</f>
        <v>0.99</v>
      </c>
      <c r="AT377" s="698">
        <f>0</f>
        <v>0</v>
      </c>
      <c r="AU377" s="560">
        <f>IF(EB377&lt;K377,0,MAX(Sheet1!AA379+AQ377-15/36*K377-N377,Sheet1!EH379,0))</f>
        <v>0</v>
      </c>
      <c r="AV377" s="560">
        <f>IF(OR(B377&gt;=GD377,B377&lt;GC377),0,15/36*K377-MAX(0,64.6-(137.6-(Sheet1!AA379+Sheet1!AB379))))</f>
        <v>0</v>
      </c>
      <c r="AW377" s="698">
        <f>Sheet1!DB379-110</f>
        <v>1080</v>
      </c>
      <c r="AX377" s="698">
        <f>Sheet1!DA379-265</f>
        <v>1535</v>
      </c>
      <c r="AY377" s="698">
        <f t="shared" si="698"/>
        <v>73</v>
      </c>
      <c r="AZ377" s="698">
        <v>0</v>
      </c>
      <c r="BA377" s="698">
        <f t="shared" si="699"/>
        <v>0</v>
      </c>
      <c r="BB377" s="560">
        <f t="shared" si="700"/>
        <v>0</v>
      </c>
      <c r="BC377" s="560"/>
      <c r="BD377" s="560">
        <f ca="1">IF(B377&gt;Summary!$A$1,#N/A,BB377*MGtoAF)</f>
        <v>0</v>
      </c>
      <c r="BE377" s="560">
        <f>Sheet1!BG379+Sheet1!BH379+Sheet1!BI379-BM377</f>
        <v>0</v>
      </c>
      <c r="BF377" s="560">
        <f t="shared" si="701"/>
        <v>0</v>
      </c>
      <c r="BG377" s="560">
        <f>IF(Sheet1!EP379="FM",BM377,0)</f>
        <v>0</v>
      </c>
      <c r="BH377" s="560">
        <f t="shared" si="702"/>
        <v>0</v>
      </c>
      <c r="BI377" s="560">
        <f>IF(Sheet1!EP379="OTHER",BM377,0)</f>
        <v>0</v>
      </c>
      <c r="BJ377" s="560">
        <f t="shared" si="703"/>
        <v>0</v>
      </c>
      <c r="BK377" s="560">
        <f t="shared" si="704"/>
        <v>0</v>
      </c>
      <c r="BL377" s="560">
        <f t="shared" si="705"/>
        <v>0</v>
      </c>
      <c r="BM377" s="560">
        <f>IF(OR(Sheet1!EP379="FM", Sheet1!EP379="OTHER"),SUM(Sheet1!BG379:'Sheet1'!BI379),0)</f>
        <v>0</v>
      </c>
      <c r="BN377" s="545">
        <f>IF(AND($B377&gt;=$FV377,$B377&lt;=$FW377),MAX(BF377,Sheet1!EI379,0),MAX(BF377-(7/36)*$K377,0))</f>
        <v>0</v>
      </c>
      <c r="BO377" s="560">
        <f t="shared" si="706"/>
        <v>0</v>
      </c>
      <c r="BP377" s="545">
        <f t="shared" si="707"/>
        <v>0</v>
      </c>
      <c r="BQ377" s="545">
        <f>IF(AND($O377&gt;0,Sheet1!EM379=1),(1-($O377-Sheet1!$L379)/$O377)*BL377,0)</f>
        <v>0</v>
      </c>
      <c r="BR377" s="545">
        <f>IF(AND(Sheet1!$L379=0,Sheet1!$L378=0, Calculation!BK377&lt;Sheet1!$EI379-0.1,Sheet1!$EI379=Sheet1!$EI378,Sheet1!$EI379=Sheet1!$EI380),Sheet1!$EI379,BL377-BQ377)</f>
        <v>0</v>
      </c>
      <c r="BS377" s="560"/>
      <c r="BT377" s="560"/>
      <c r="BU377" s="560">
        <f t="shared" si="708"/>
        <v>0</v>
      </c>
      <c r="BV377" s="560"/>
      <c r="BW377" s="560">
        <f ca="1">IF(B377&gt;Summary!$A$1,#N/A,BU377*MGtoAF)</f>
        <v>0</v>
      </c>
      <c r="BX377" s="560">
        <f>Sheet1!BC379+Sheet1!BD379+Sheet1!BE379+Sheet1!BF379-CG377-CH377</f>
        <v>2.52</v>
      </c>
      <c r="BY377" s="560">
        <f t="shared" si="709"/>
        <v>2.4925816023738876</v>
      </c>
      <c r="BZ377" s="560">
        <f>IF(Sheet1!EQ379="FM",CH377,0)</f>
        <v>0</v>
      </c>
      <c r="CA377" s="560">
        <f t="shared" si="710"/>
        <v>0</v>
      </c>
      <c r="CB377" s="560">
        <f>IF(Sheet1!EQ379="OTHER",CH377,0)</f>
        <v>0</v>
      </c>
      <c r="CC377" s="560">
        <f t="shared" si="711"/>
        <v>0</v>
      </c>
      <c r="CD377" s="560">
        <f t="shared" si="712"/>
        <v>0</v>
      </c>
      <c r="CE377" s="560">
        <f t="shared" si="713"/>
        <v>2.52</v>
      </c>
      <c r="CF377" s="560">
        <f t="shared" si="714"/>
        <v>2.4925816023738876</v>
      </c>
      <c r="CG377" s="560">
        <f>IF(Sheet1!EQ379="CWA",SUM(Sheet1!BC379:'Sheet1'!BF379),0)</f>
        <v>0</v>
      </c>
      <c r="CH377" s="560">
        <f>IF(OR(Sheet1!EQ379="FM", Sheet1!EQ379="OTHER"),SUM(Sheet1!BC379:'Sheet1'!BF379),0)</f>
        <v>0</v>
      </c>
      <c r="CI377" s="545">
        <f>IF(AND($B377&gt;=$FV377,$B377&lt;=$FW377),MAX(CF377,Sheet1!EJ379,0),MAX(CF377-(7/36)*$K377,0))</f>
        <v>0</v>
      </c>
      <c r="CJ377" s="560">
        <f t="shared" si="715"/>
        <v>0</v>
      </c>
      <c r="CK377" s="545">
        <f t="shared" si="716"/>
        <v>2.4925816023738876</v>
      </c>
      <c r="CL377" s="545">
        <f>IF(AND($O377&gt;0,Sheet1!EN379=1),(1-($O377-Sheet1!$L379)/$O377)*CF377,0)</f>
        <v>0</v>
      </c>
      <c r="CM377" s="545">
        <f>IF(AND(Sheet1!$L379=0,Sheet1!$L378=0, Calculation!CE377&lt;Sheet1!EJ379-0.1,Sheet1!EJ379=Sheet1!EJ378,Sheet1!EJ379=Sheet1!EJ380),Sheet1!EJ379,CF377-CL377)</f>
        <v>2.4925816023738876</v>
      </c>
      <c r="CN377" s="545"/>
      <c r="CO377" s="560"/>
      <c r="CP377" s="560">
        <f t="shared" si="717"/>
        <v>0</v>
      </c>
      <c r="CQ377" s="560"/>
      <c r="CR377" s="560">
        <f ca="1">IF(B377&gt;Summary!$A$1,#N/A,CP377*MGtoAF)</f>
        <v>0</v>
      </c>
      <c r="CS377" s="560">
        <f>Sheet1!BK379+Sheet1!BL379+Sheet1!BM379-Sheet1!ER379-DA377</f>
        <v>6.51</v>
      </c>
      <c r="CT377" s="560">
        <f t="shared" si="718"/>
        <v>6.4391691394658759</v>
      </c>
      <c r="CU377" s="560">
        <f>IF(Sheet1!ER379="FM",DA377,0)</f>
        <v>0</v>
      </c>
      <c r="CV377" s="560">
        <f t="shared" si="719"/>
        <v>0</v>
      </c>
      <c r="CW377" s="560">
        <f>IF(Sheet1!ER379="OTHER",DA377,0)</f>
        <v>0</v>
      </c>
      <c r="CX377" s="560">
        <f t="shared" si="720"/>
        <v>0</v>
      </c>
      <c r="CY377" s="560">
        <f t="shared" si="721"/>
        <v>6.51</v>
      </c>
      <c r="CZ377" s="560">
        <f t="shared" si="722"/>
        <v>6.4391691394658759</v>
      </c>
      <c r="DA377" s="560">
        <f>IF(OR(Sheet1!ER379="FM", Sheet1!ER379="OTHER"),SUM(Sheet1!BK379:'Sheet1'!BM379),0)</f>
        <v>0</v>
      </c>
      <c r="DB377" s="545">
        <f>IF(AND($B377&gt;=$FV377,$B377&lt;=$FW377),MAX($CT377,Sheet1!EK379,0),MAX($CT377-(7/36)*$K377,0))</f>
        <v>0</v>
      </c>
      <c r="DC377" s="560">
        <f t="shared" si="723"/>
        <v>0</v>
      </c>
      <c r="DD377" s="545">
        <f t="shared" si="724"/>
        <v>6.4391691394658759</v>
      </c>
      <c r="DE377" s="545">
        <f>IF(AND($O377&gt;0,Sheet1!EO379=1),(1-($O377-Sheet1!$L379)/$O377)*CZ377,0)</f>
        <v>0</v>
      </c>
      <c r="DF377" s="545">
        <f>IF(AND(Sheet1!$L379=0,Sheet1!$L378=0, Calculation!CY377&lt;Sheet1!$EK379-0.1,Sheet1!$EK379=Sheet1!$EK378,Sheet1!$EK379=Sheet1!$EK380),Sheet1!$EK379,CZ377-DE377)</f>
        <v>6.4391691394658759</v>
      </c>
      <c r="DG377" s="545"/>
      <c r="DH377" s="560">
        <f t="shared" si="725"/>
        <v>9.0299999999999994</v>
      </c>
      <c r="DI377" s="560">
        <f t="shared" si="726"/>
        <v>0</v>
      </c>
      <c r="DJ377" s="698">
        <f t="shared" si="727"/>
        <v>8.9317507418397639</v>
      </c>
      <c r="DK377" s="560">
        <f ca="1">IF(B377&gt;Summary!$A$1,#N/A,DI377*MGtoAF)</f>
        <v>0</v>
      </c>
      <c r="DL377" s="698">
        <f t="shared" si="728"/>
        <v>9.0299999999999994</v>
      </c>
      <c r="DM377" s="560">
        <f t="shared" si="729"/>
        <v>20.22</v>
      </c>
      <c r="DN377" s="560">
        <f>Sheet1!AB379-DM377</f>
        <v>-0.21999999999999886</v>
      </c>
      <c r="DO377" s="560">
        <f t="shared" si="730"/>
        <v>-1.0880316518298658E-2</v>
      </c>
      <c r="DP377" s="560">
        <f>(VLOOKUP(Sheet1!DC379,hhdcap_wcm,4)-(((VLOOKUP(Sheet1!DC379,hhdcap_wcm,3)-Sheet1!DC379)/(VLOOKUP(Sheet1!DC379,hhdcap_wcm,3)-VLOOKUP(Sheet1!DC379,hhdcap_wcm,1)))*(VLOOKUP(Sheet1!DC379,hhdcap_wcm,4)-VLOOKUP(Sheet1!DC379,hhdcap_wcm,2))))</f>
        <v>2323.0000000057707</v>
      </c>
      <c r="DQ377" s="560">
        <f t="shared" si="731"/>
        <v>-217.00000000020464</v>
      </c>
      <c r="DR377" s="560">
        <f t="shared" si="732"/>
        <v>-109.43015632889794</v>
      </c>
      <c r="DS377" s="560">
        <f>Sheet1!EA379*AFtoMG</f>
        <v>0</v>
      </c>
      <c r="DT377" s="560">
        <f>Sheet1!EB379*AFtoMG</f>
        <v>0</v>
      </c>
      <c r="DU377" s="560">
        <f>Sheet1!EC379*AFtoMG</f>
        <v>0</v>
      </c>
      <c r="DV377" s="560">
        <f>Sheet1!ED379*AFtoMG</f>
        <v>0</v>
      </c>
      <c r="DW377" s="560">
        <f t="shared" si="733"/>
        <v>0</v>
      </c>
      <c r="DX377" s="560">
        <f t="shared" si="734"/>
        <v>0</v>
      </c>
      <c r="DY377" s="560">
        <f t="shared" si="735"/>
        <v>0</v>
      </c>
      <c r="DZ377" s="560">
        <f t="shared" si="736"/>
        <v>0</v>
      </c>
      <c r="EA377" s="560"/>
      <c r="EB377" s="545">
        <f>IF(OR(B377&lt;FV377,B377&gt;FW377),(MIN(BF377+BY377+CT377+MAX(Sheet1!AA379+AQ377-73,0),K377)),0)</f>
        <v>8.9317507418397639</v>
      </c>
      <c r="EC377" s="560"/>
      <c r="ED377" s="560">
        <f t="shared" si="737"/>
        <v>8.9317507418397639</v>
      </c>
      <c r="EE377" s="560"/>
      <c r="EF377" s="560">
        <f>Sheet1!EH379+Sheet1!EI379+Sheet1!EJ379+Sheet1!EK379</f>
        <v>9</v>
      </c>
      <c r="EG377" s="560"/>
      <c r="EH377" s="545">
        <f t="shared" si="738"/>
        <v>0</v>
      </c>
      <c r="EI377" s="560">
        <f>IF(Sheet1!ET379=1,SUM('Calculations II'!AT377:BA377)+'Calculations II'!BC377+Sheet1!BV379+'Calculations II'!BE377+AP377,SUM('Calculations II'!AT377:BA377)+'Calculations II'!BC377+Sheet1!BV379+'Calculations II'!BE377+AP377)</f>
        <v>49.012127999999997</v>
      </c>
      <c r="EJ377" s="560">
        <f>Sheet1!AA379+Sheet1!AB379+'Calculations II'!BC377</f>
        <v>51.557471999999997</v>
      </c>
      <c r="EK377" s="560"/>
      <c r="EL377" s="560"/>
      <c r="EM377" s="560">
        <f t="shared" si="739"/>
        <v>42005</v>
      </c>
      <c r="EN377" s="560">
        <f t="shared" si="740"/>
        <v>0</v>
      </c>
      <c r="EO377" s="560">
        <f t="shared" si="741"/>
        <v>0</v>
      </c>
      <c r="EP377" s="560">
        <v>0</v>
      </c>
      <c r="EQ377" s="560">
        <v>0</v>
      </c>
      <c r="ER377" s="560">
        <v>0</v>
      </c>
      <c r="ES377" s="545">
        <f t="shared" si="660"/>
        <v>1.656285160059646</v>
      </c>
      <c r="ET377" s="560">
        <f>-(VLOOKUP(Sheet1!BQ379,Lookup!$O$4:$Q$262,2)-VLOOKUP(Sheet1!BQ378,Lookup!$O$4:$Q$262,2))/1000000</f>
        <v>0.82808500143145403</v>
      </c>
      <c r="EU377" s="560">
        <f>-(VLOOKUP(Sheet1!BR379,Lookup!$O$4:$Q$262,3)-VLOOKUP(Sheet1!BR378,Lookup!$O$4:$Q$262,3))/1000000</f>
        <v>0.82820015862819185</v>
      </c>
      <c r="EV377" s="560"/>
      <c r="EW377" s="560"/>
      <c r="EX377" s="560"/>
      <c r="EY377" s="560"/>
      <c r="EZ377" s="560"/>
      <c r="FA377" s="560"/>
      <c r="FB377" s="560"/>
      <c r="FC377" s="560"/>
      <c r="FD377" s="594" t="e">
        <f t="shared" si="742"/>
        <v>#N/A</v>
      </c>
      <c r="FE377" s="594" t="e">
        <f t="shared" si="743"/>
        <v>#N/A</v>
      </c>
      <c r="FF377" s="595" t="e">
        <f t="shared" si="744"/>
        <v>#N/A</v>
      </c>
      <c r="FG377" s="596" t="s">
        <v>692</v>
      </c>
      <c r="FH377" s="596" t="s">
        <v>692</v>
      </c>
      <c r="FI377" s="594" t="e">
        <v>#N/A</v>
      </c>
      <c r="FJ377" s="594" t="e">
        <v>#N/A</v>
      </c>
      <c r="FK377" s="560"/>
      <c r="FL377" s="560"/>
      <c r="FM377" s="560"/>
      <c r="FN377" s="560"/>
      <c r="FO377" s="560">
        <f>O377+((Sheet1!CS379)*GPMtoMGD)</f>
        <v>51.557471999999997</v>
      </c>
      <c r="FP377" s="560">
        <f>IF(Sheet1!AA379+AQ377&lt;=Calculation!N377,AQ377,Calculation!N377-Sheet1!AA379)</f>
        <v>10.089020771513352</v>
      </c>
      <c r="FQ377" s="560">
        <f>(Sheet1!BP379+Sheet1!BO379)/694.4</f>
        <v>0.54722062211981559</v>
      </c>
      <c r="FR377" s="560"/>
      <c r="FS377" s="560"/>
      <c r="FT377" s="560"/>
      <c r="FU377" s="560"/>
      <c r="FV377" s="695">
        <f t="shared" si="661"/>
        <v>41827</v>
      </c>
      <c r="FW377" s="695">
        <f t="shared" si="662"/>
        <v>41934</v>
      </c>
      <c r="FX377" s="560"/>
      <c r="FY377" s="560"/>
      <c r="FZ377" s="560"/>
      <c r="GA377" s="560"/>
      <c r="GB377" s="560" t="str">
        <f t="shared" si="663"/>
        <v>n</v>
      </c>
      <c r="GC377" s="564">
        <f t="shared" si="664"/>
        <v>41691</v>
      </c>
      <c r="GD377" s="695">
        <f t="shared" si="665"/>
        <v>41807</v>
      </c>
      <c r="GE377" s="560">
        <v>6518.9</v>
      </c>
      <c r="GF377" s="695">
        <f t="shared" si="666"/>
        <v>41808</v>
      </c>
      <c r="GG377" s="560">
        <f t="shared" si="686"/>
        <v>3259</v>
      </c>
      <c r="GH377" s="564">
        <f t="shared" si="667"/>
        <v>41934</v>
      </c>
      <c r="GJ377" s="545">
        <f t="shared" si="668"/>
        <v>0</v>
      </c>
      <c r="GK377" s="560" t="str">
        <f t="shared" si="745"/>
        <v/>
      </c>
      <c r="GL377" s="560">
        <f t="shared" si="669"/>
        <v>0</v>
      </c>
      <c r="GM377" s="560" t="str">
        <f t="shared" si="670"/>
        <v/>
      </c>
      <c r="GN377" s="560">
        <f>IF(GK377="P",Lookup!$M$12,IF(GK377="PP",Lookup!$M$13,IF(GK377="PPP",Lookup!$M$14,IF(GK377="T",Lookup!$M$15,IF(GK377="TP",Lookup!$M$16,IF(GK377="TPP",Lookup!$M$17,IF(GK377="TPPP",Lookup!$M$18,0)))))))*GJ377</f>
        <v>0</v>
      </c>
      <c r="GO377" s="560">
        <f t="shared" si="671"/>
        <v>0</v>
      </c>
      <c r="GP377" s="560">
        <f t="shared" si="746"/>
        <v>0</v>
      </c>
      <c r="GQ377" s="560">
        <f t="shared" si="679"/>
        <v>0</v>
      </c>
      <c r="GR377" s="560"/>
      <c r="GS377" s="560">
        <f t="shared" si="672"/>
        <v>0</v>
      </c>
      <c r="GT377" s="560" t="str">
        <f t="shared" si="673"/>
        <v/>
      </c>
      <c r="GU377" s="560">
        <f>IF(GK377="P",Lookup!$N$12,IF(GK377="PP",Lookup!$N$13,IF(GK377="PPP",Lookup!$N$14,IF(GK377="T",Lookup!$N$15,IF(GK377="TP",Lookup!$N$16,IF(GK377="TPP",Lookup!$N$17,IF(GK377="TPPP",Lookup!$N$18,0)))))))*GJ377</f>
        <v>0</v>
      </c>
      <c r="GV377" s="560">
        <f t="shared" si="674"/>
        <v>0</v>
      </c>
      <c r="GW377" s="560">
        <f t="shared" si="747"/>
        <v>0</v>
      </c>
      <c r="GX377" s="560">
        <f t="shared" si="680"/>
        <v>0</v>
      </c>
      <c r="GY377" s="560"/>
      <c r="GZ377" s="560">
        <f t="shared" si="675"/>
        <v>0</v>
      </c>
      <c r="HA377" s="560" t="str">
        <f t="shared" si="676"/>
        <v/>
      </c>
      <c r="HB377" s="560">
        <f>IF(GK377="P",Lookup!$N$12,IF(GK377="PP",Lookup!$N$13,IF(GK377="PPP",Lookup!$N$14,IF(GK377="T",Lookup!$N$15,IF(GK377="TP",Lookup!$N$16,IF(GK377="TPP",Lookup!$N$17,IF(GK377="TPPP",Lookup!$N$18,0)))))))*GJ377</f>
        <v>0</v>
      </c>
      <c r="HC377" s="545">
        <f t="shared" si="748"/>
        <v>0</v>
      </c>
      <c r="HD377" s="560">
        <f t="shared" si="749"/>
        <v>0</v>
      </c>
      <c r="HE377" s="560">
        <f t="shared" si="681"/>
        <v>0</v>
      </c>
      <c r="HF377" s="560"/>
      <c r="HG377" s="560">
        <f t="shared" si="677"/>
        <v>0</v>
      </c>
      <c r="HH377" s="560" t="str">
        <f t="shared" si="678"/>
        <v/>
      </c>
      <c r="HI377" s="560">
        <f>IF(GK377="P",Lookup!$N$12,IF(GK377="PP",Lookup!$N$13,IF(GK377="PPP",Lookup!$N$14,IF(GK377="T",Lookup!$N$15,IF(GK377="TP",Lookup!$N$16,IF(GK377="TPP",Lookup!$N$17,IF(GK377="TPPP",Lookup!$N$18,0)))))))*GJ377</f>
        <v>0</v>
      </c>
      <c r="HJ377" s="545">
        <f t="shared" si="750"/>
        <v>0</v>
      </c>
      <c r="HK377" s="560">
        <f t="shared" si="751"/>
        <v>0</v>
      </c>
      <c r="HL377" s="560">
        <f t="shared" si="682"/>
        <v>0</v>
      </c>
    </row>
    <row r="378" spans="1:220">
      <c r="A378" s="580" t="s">
        <v>8</v>
      </c>
      <c r="B378" s="556">
        <v>42006</v>
      </c>
      <c r="C378" s="561">
        <v>0</v>
      </c>
      <c r="D378" s="529">
        <f t="shared" si="684"/>
        <v>300</v>
      </c>
      <c r="E378" s="529">
        <f t="shared" si="685"/>
        <v>250</v>
      </c>
      <c r="F378" s="529">
        <v>250</v>
      </c>
      <c r="G378" s="560">
        <f>DR378+Sheet1!CZ380</f>
        <v>1050.9783156828198</v>
      </c>
      <c r="H378" s="914">
        <f t="shared" si="650"/>
        <v>412.38918325737473</v>
      </c>
      <c r="I378" s="559">
        <f>MAX(Sheet1!Z380-AT378+(Sheet1!DA380-E378)*CFStoMGD,0)</f>
        <v>1008.992</v>
      </c>
      <c r="J378" s="562">
        <f>IF(AND(B378&gt;=Calculation!GC378,B378&lt;=Calculation!GD378),IF(Sheet1!DB380&gt;=Calculation!D378,64.64,0),MAX(Sheet1!Z380-AT378+(Sheet1!DB380-D378)*CFStoMGD,0))</f>
        <v>588.83199999999999</v>
      </c>
      <c r="K378" s="904">
        <f t="shared" si="687"/>
        <v>64.64</v>
      </c>
      <c r="L378" s="560">
        <f>Sheet1!AA380+Sheet1!AB380-Sheet1!L380+(Sheet1!DA380-F378)*CFStoMGD</f>
        <v>1038.5319999999999</v>
      </c>
      <c r="M378" s="560">
        <f t="shared" si="688"/>
        <v>692.93943092252221</v>
      </c>
      <c r="N378" s="910">
        <f>IF(Sheet1!DA380&gt;=F378,MIN(73,MIN(MAX(L378,0),MAX(M378,0))),0)</f>
        <v>73</v>
      </c>
      <c r="O378" s="563">
        <f>Sheet1!AA380+Sheet1!AB380</f>
        <v>49.54</v>
      </c>
      <c r="P378" s="563">
        <f t="shared" si="689"/>
        <v>76.638379999999984</v>
      </c>
      <c r="Q378" s="898">
        <f t="shared" si="651"/>
        <v>0</v>
      </c>
      <c r="R378" s="829">
        <f t="shared" si="690"/>
        <v>8.9596814335490294</v>
      </c>
      <c r="S378" s="898">
        <f t="shared" si="683"/>
        <v>49.54</v>
      </c>
      <c r="T378" s="898">
        <f t="shared" si="652"/>
        <v>0</v>
      </c>
      <c r="U378" s="898">
        <f t="shared" si="653"/>
        <v>0</v>
      </c>
      <c r="V378" s="898"/>
      <c r="W378" s="898">
        <f t="shared" si="654"/>
        <v>55.680318566450971</v>
      </c>
      <c r="X378" s="898">
        <f t="shared" si="655"/>
        <v>49.54</v>
      </c>
      <c r="Y378" s="898" t="str">
        <f t="shared" si="656"/>
        <v/>
      </c>
      <c r="Z378" s="898">
        <f t="shared" si="657"/>
        <v>49.54</v>
      </c>
      <c r="AA378" s="898">
        <f t="shared" si="658"/>
        <v>49.54</v>
      </c>
      <c r="AB378" s="898" t="str">
        <f t="shared" si="659"/>
        <v/>
      </c>
      <c r="AC378" s="563">
        <f>Sheet1!Y380*MGDtoCFS</f>
        <v>45.636499999999998</v>
      </c>
      <c r="AD378" s="563">
        <f>Sheet1!Z380*MGDtoCFS</f>
        <v>30.939999999999998</v>
      </c>
      <c r="AE378" s="563">
        <f>Sheet1!AA380*MGDtoCFS</f>
        <v>45.698379999999993</v>
      </c>
      <c r="AF378" s="563">
        <f>Sheet1!AB380*MGDtoCFS</f>
        <v>30.939999999999998</v>
      </c>
      <c r="AG378" s="563">
        <f>Sheet1!L380*MGDtoCFS</f>
        <v>0</v>
      </c>
      <c r="AH378" s="545">
        <f t="shared" si="691"/>
        <v>0</v>
      </c>
      <c r="AI378" s="560">
        <f t="shared" si="692"/>
        <v>0</v>
      </c>
      <c r="AJ378" s="560">
        <f t="shared" si="693"/>
        <v>0</v>
      </c>
      <c r="AK378" s="560">
        <f t="shared" si="694"/>
        <v>0</v>
      </c>
      <c r="AL378" s="560">
        <f>(VLOOKUP(Sheet1!DC380,hhdcap_wcm,4)-(((VLOOKUP(Sheet1!DC380,hhdcap_wcm,3)-Sheet1!DC380)/(VLOOKUP(Sheet1!DC380,hhdcap_wcm,3)-VLOOKUP(Sheet1!DC380,hhdcap_wcm,1)))*(VLOOKUP(Sheet1!DC380,hhdcap_wcm,4)-VLOOKUP(Sheet1!DC380,hhdcap_wcm,2))))</f>
        <v>1968.0000000048021</v>
      </c>
      <c r="AM378" s="560">
        <f t="shared" si="695"/>
        <v>-355.00000000096861</v>
      </c>
      <c r="AN378" s="560">
        <f t="shared" si="696"/>
        <v>0</v>
      </c>
      <c r="AO378" s="560">
        <f t="shared" si="697"/>
        <v>0</v>
      </c>
      <c r="AP378" s="560">
        <f>Sheet1!BA380+Sheet1!BB380+Sheet1!BN380+CD378</f>
        <v>11.09</v>
      </c>
      <c r="AQ378" s="560">
        <f>Sheet1!BN380+(DO378*Sheet1!BN380)</f>
        <v>10.054753608760578</v>
      </c>
      <c r="AR378" s="560">
        <f>Sheet1!BA380+CD378</f>
        <v>0</v>
      </c>
      <c r="AS378" s="560">
        <f>Sheet1!BA380+Sheet1!BB380+CD378</f>
        <v>0.99</v>
      </c>
      <c r="AT378" s="698">
        <f>0</f>
        <v>0</v>
      </c>
      <c r="AU378" s="560">
        <f>IF(EB378&lt;K378,0,MAX(Sheet1!AA380+AQ378-15/36*K378-N378,Sheet1!EH380,0))</f>
        <v>0</v>
      </c>
      <c r="AV378" s="560">
        <f>IF(OR(B378&gt;=GD378,B378&lt;GC378),0,15/36*K378-MAX(0,64.6-(137.6-(Sheet1!AA380+Sheet1!AB380))))</f>
        <v>0</v>
      </c>
      <c r="AW378" s="698">
        <f>Sheet1!DB380-110</f>
        <v>1070</v>
      </c>
      <c r="AX378" s="698">
        <f>Sheet1!DA380-265</f>
        <v>1515</v>
      </c>
      <c r="AY378" s="698">
        <f t="shared" si="698"/>
        <v>73</v>
      </c>
      <c r="AZ378" s="698">
        <v>0</v>
      </c>
      <c r="BA378" s="698">
        <f t="shared" si="699"/>
        <v>0</v>
      </c>
      <c r="BB378" s="560">
        <f t="shared" si="700"/>
        <v>0</v>
      </c>
      <c r="BC378" s="560"/>
      <c r="BD378" s="560">
        <f ca="1">IF(B378&gt;Summary!$A$1,#N/A,BB378*MGtoAF)</f>
        <v>0</v>
      </c>
      <c r="BE378" s="560">
        <f>Sheet1!BG380+Sheet1!BH380+Sheet1!BI380-BM378</f>
        <v>0</v>
      </c>
      <c r="BF378" s="560">
        <f t="shared" si="701"/>
        <v>0</v>
      </c>
      <c r="BG378" s="560">
        <f>IF(Sheet1!EP380="FM",BM378,0)</f>
        <v>0</v>
      </c>
      <c r="BH378" s="560">
        <f t="shared" si="702"/>
        <v>0</v>
      </c>
      <c r="BI378" s="560">
        <f>IF(Sheet1!EP380="OTHER",BM378,0)</f>
        <v>0</v>
      </c>
      <c r="BJ378" s="560">
        <f t="shared" si="703"/>
        <v>0</v>
      </c>
      <c r="BK378" s="560">
        <f t="shared" si="704"/>
        <v>0</v>
      </c>
      <c r="BL378" s="560">
        <f t="shared" si="705"/>
        <v>0</v>
      </c>
      <c r="BM378" s="560">
        <f>IF(OR(Sheet1!EP380="FM", Sheet1!EP380="OTHER"),SUM(Sheet1!BG380:'Sheet1'!BI380),0)</f>
        <v>0</v>
      </c>
      <c r="BN378" s="545">
        <f>IF(AND($B378&gt;=$FV378,$B378&lt;=$FW378),MAX(BF378,Sheet1!EI380,0),MAX(BF378-(7/36)*$K378,0))</f>
        <v>0</v>
      </c>
      <c r="BO378" s="560">
        <f t="shared" si="706"/>
        <v>0</v>
      </c>
      <c r="BP378" s="545">
        <f t="shared" si="707"/>
        <v>0</v>
      </c>
      <c r="BQ378" s="545">
        <f>IF(AND($O378&gt;0,Sheet1!EM380=1),(1-($O378-Sheet1!$L380)/$O378)*BL378,0)</f>
        <v>0</v>
      </c>
      <c r="BR378" s="545">
        <f>IF(AND(Sheet1!$L380=0,Sheet1!$L379=0, Calculation!BK378&lt;Sheet1!$EI380-0.1,Sheet1!$EI380=Sheet1!$EI379,Sheet1!$EI380=Sheet1!$EI381),Sheet1!$EI380,BL378-BQ378)</f>
        <v>0</v>
      </c>
      <c r="BS378" s="560"/>
      <c r="BT378" s="560"/>
      <c r="BU378" s="560">
        <f t="shared" si="708"/>
        <v>0</v>
      </c>
      <c r="BV378" s="560"/>
      <c r="BW378" s="560">
        <f ca="1">IF(B378&gt;Summary!$A$1,#N/A,BU378*MGtoAF)</f>
        <v>0</v>
      </c>
      <c r="BX378" s="560">
        <f>Sheet1!BC380+Sheet1!BD380+Sheet1!BE380+Sheet1!BF380-CG378-CH378</f>
        <v>2.52</v>
      </c>
      <c r="BY378" s="560">
        <f t="shared" si="709"/>
        <v>2.508710801393728</v>
      </c>
      <c r="BZ378" s="560">
        <f>IF(Sheet1!EQ380="FM",CH378,0)</f>
        <v>0</v>
      </c>
      <c r="CA378" s="560">
        <f t="shared" si="710"/>
        <v>0</v>
      </c>
      <c r="CB378" s="560">
        <f>IF(Sheet1!EQ380="OTHER",CH378,0)</f>
        <v>0</v>
      </c>
      <c r="CC378" s="560">
        <f t="shared" si="711"/>
        <v>0</v>
      </c>
      <c r="CD378" s="560">
        <f t="shared" si="712"/>
        <v>0</v>
      </c>
      <c r="CE378" s="560">
        <f t="shared" si="713"/>
        <v>2.52</v>
      </c>
      <c r="CF378" s="560">
        <f t="shared" si="714"/>
        <v>2.508710801393728</v>
      </c>
      <c r="CG378" s="560">
        <f>IF(Sheet1!EQ380="CWA",SUM(Sheet1!BC380:'Sheet1'!BF380),0)</f>
        <v>0</v>
      </c>
      <c r="CH378" s="560">
        <f>IF(OR(Sheet1!EQ380="FM", Sheet1!EQ380="OTHER"),SUM(Sheet1!BC380:'Sheet1'!BF380),0)</f>
        <v>0</v>
      </c>
      <c r="CI378" s="545">
        <f>IF(AND($B378&gt;=$FV378,$B378&lt;=$FW378),MAX(CF378,Sheet1!EJ380,0),MAX(CF378-(7/36)*$K378,0))</f>
        <v>0</v>
      </c>
      <c r="CJ378" s="560">
        <f t="shared" si="715"/>
        <v>0</v>
      </c>
      <c r="CK378" s="545">
        <f t="shared" si="716"/>
        <v>2.508710801393728</v>
      </c>
      <c r="CL378" s="545">
        <f>IF(AND($O378&gt;0,Sheet1!EN380=1),(1-($O378-Sheet1!$L380)/$O378)*CF378,0)</f>
        <v>0</v>
      </c>
      <c r="CM378" s="545">
        <f>IF(AND(Sheet1!$L380=0,Sheet1!$L379=0, Calculation!CE378&lt;Sheet1!EJ380-0.1,Sheet1!EJ380=Sheet1!EJ379,Sheet1!EJ380=Sheet1!EJ381),Sheet1!EJ380,CF378-CL378)</f>
        <v>2.508710801393728</v>
      </c>
      <c r="CN378" s="545"/>
      <c r="CO378" s="560"/>
      <c r="CP378" s="560">
        <f t="shared" si="717"/>
        <v>0</v>
      </c>
      <c r="CQ378" s="560"/>
      <c r="CR378" s="560">
        <f ca="1">IF(B378&gt;Summary!$A$1,#N/A,CP378*MGtoAF)</f>
        <v>0</v>
      </c>
      <c r="CS378" s="560">
        <f>Sheet1!BK380+Sheet1!BL380+Sheet1!BM380-Sheet1!ER380-DA378</f>
        <v>6.48</v>
      </c>
      <c r="CT378" s="560">
        <f t="shared" si="718"/>
        <v>6.4509706321553013</v>
      </c>
      <c r="CU378" s="560">
        <f>IF(Sheet1!ER380="FM",DA378,0)</f>
        <v>0</v>
      </c>
      <c r="CV378" s="560">
        <f t="shared" si="719"/>
        <v>0</v>
      </c>
      <c r="CW378" s="560">
        <f>IF(Sheet1!ER380="OTHER",DA378,0)</f>
        <v>0</v>
      </c>
      <c r="CX378" s="560">
        <f t="shared" si="720"/>
        <v>0</v>
      </c>
      <c r="CY378" s="560">
        <f t="shared" si="721"/>
        <v>6.48</v>
      </c>
      <c r="CZ378" s="560">
        <f t="shared" si="722"/>
        <v>6.4509706321553013</v>
      </c>
      <c r="DA378" s="560">
        <f>IF(OR(Sheet1!ER380="FM", Sheet1!ER380="OTHER"),SUM(Sheet1!BK380:'Sheet1'!BM380),0)</f>
        <v>0</v>
      </c>
      <c r="DB378" s="545">
        <f>IF(AND($B378&gt;=$FV378,$B378&lt;=$FW378),MAX($CT378,Sheet1!EK380,0),MAX($CT378-(7/36)*$K378,0))</f>
        <v>0</v>
      </c>
      <c r="DC378" s="560">
        <f t="shared" si="723"/>
        <v>0</v>
      </c>
      <c r="DD378" s="545">
        <f t="shared" si="724"/>
        <v>6.4509706321553013</v>
      </c>
      <c r="DE378" s="545">
        <f>IF(AND($O378&gt;0,Sheet1!EO380=1),(1-($O378-Sheet1!$L380)/$O378)*CZ378,0)</f>
        <v>0</v>
      </c>
      <c r="DF378" s="545">
        <f>IF(AND(Sheet1!$L380=0,Sheet1!$L379=0, Calculation!CY378&lt;Sheet1!$EK380-0.1,Sheet1!$EK380=Sheet1!$EK379,Sheet1!$EK380=Sheet1!$EK381),Sheet1!$EK380,CZ378-DE378)</f>
        <v>6.4509706321553013</v>
      </c>
      <c r="DG378" s="545"/>
      <c r="DH378" s="560">
        <f t="shared" si="725"/>
        <v>9</v>
      </c>
      <c r="DI378" s="560">
        <f t="shared" si="726"/>
        <v>0</v>
      </c>
      <c r="DJ378" s="698">
        <f t="shared" si="727"/>
        <v>8.9596814335490294</v>
      </c>
      <c r="DK378" s="560">
        <f ca="1">IF(B378&gt;Summary!$A$1,#N/A,DI378*MGtoAF)</f>
        <v>0</v>
      </c>
      <c r="DL378" s="698">
        <f t="shared" si="728"/>
        <v>9</v>
      </c>
      <c r="DM378" s="560">
        <f t="shared" si="729"/>
        <v>20.09</v>
      </c>
      <c r="DN378" s="560">
        <f>Sheet1!AB380-DM378</f>
        <v>-8.9999999999999858E-2</v>
      </c>
      <c r="DO378" s="560">
        <f t="shared" si="730"/>
        <v>-4.4798407167745075E-3</v>
      </c>
      <c r="DP378" s="560">
        <f>(VLOOKUP(Sheet1!DC380,hhdcap_wcm,4)-(((VLOOKUP(Sheet1!DC380,hhdcap_wcm,3)-Sheet1!DC380)/(VLOOKUP(Sheet1!DC380,hhdcap_wcm,3)-VLOOKUP(Sheet1!DC380,hhdcap_wcm,1)))*(VLOOKUP(Sheet1!DC380,hhdcap_wcm,4)-VLOOKUP(Sheet1!DC380,hhdcap_wcm,2))))</f>
        <v>1968.0000000048021</v>
      </c>
      <c r="DQ378" s="560">
        <f t="shared" si="731"/>
        <v>-355.00000000096861</v>
      </c>
      <c r="DR378" s="560">
        <f t="shared" si="732"/>
        <v>-179.0216843171803</v>
      </c>
      <c r="DS378" s="560">
        <f>Sheet1!EA380*AFtoMG</f>
        <v>0</v>
      </c>
      <c r="DT378" s="560">
        <f>Sheet1!EB380*AFtoMG</f>
        <v>0</v>
      </c>
      <c r="DU378" s="560">
        <f>Sheet1!EC380*AFtoMG</f>
        <v>0</v>
      </c>
      <c r="DV378" s="560">
        <f>Sheet1!ED380*AFtoMG</f>
        <v>0</v>
      </c>
      <c r="DW378" s="560">
        <f t="shared" si="733"/>
        <v>0</v>
      </c>
      <c r="DX378" s="560">
        <f t="shared" si="734"/>
        <v>0</v>
      </c>
      <c r="DY378" s="560">
        <f t="shared" si="735"/>
        <v>0</v>
      </c>
      <c r="DZ378" s="560">
        <f t="shared" si="736"/>
        <v>0</v>
      </c>
      <c r="EA378" s="560"/>
      <c r="EB378" s="545">
        <f>IF(OR(B378&lt;FV378,B378&gt;FW378),(MIN(BF378+BY378+CT378+MAX(Sheet1!AA380+AQ378-73,0),K378)),0)</f>
        <v>8.9596814335490294</v>
      </c>
      <c r="EC378" s="560"/>
      <c r="ED378" s="560">
        <f t="shared" si="737"/>
        <v>8.9596814335490294</v>
      </c>
      <c r="EE378" s="560"/>
      <c r="EF378" s="560">
        <f>Sheet1!EH380+Sheet1!EI380+Sheet1!EJ380+Sheet1!EK380</f>
        <v>0</v>
      </c>
      <c r="EG378" s="560"/>
      <c r="EH378" s="545">
        <f t="shared" si="738"/>
        <v>0</v>
      </c>
      <c r="EI378" s="560">
        <f>IF(Sheet1!ET380=1,SUM('Calculations II'!AT378:BA378)+'Calculations II'!BC378+Sheet1!BV380+'Calculations II'!BE378+AP378,SUM('Calculations II'!AT378:BA378)+'Calculations II'!BC378+Sheet1!BV380+'Calculations II'!BE378+AP378)</f>
        <v>50.299247999999992</v>
      </c>
      <c r="EJ378" s="560">
        <f>Sheet1!AA380+Sheet1!AB380+'Calculations II'!BC378</f>
        <v>55.052895999999997</v>
      </c>
      <c r="EK378" s="560"/>
      <c r="EL378" s="560"/>
      <c r="EM378" s="560">
        <f t="shared" si="739"/>
        <v>42006</v>
      </c>
      <c r="EN378" s="560">
        <f t="shared" si="740"/>
        <v>0</v>
      </c>
      <c r="EO378" s="560">
        <f t="shared" si="741"/>
        <v>0</v>
      </c>
      <c r="EP378" s="560">
        <v>0</v>
      </c>
      <c r="EQ378" s="560">
        <v>0</v>
      </c>
      <c r="ER378" s="560">
        <v>0</v>
      </c>
      <c r="ES378" s="545">
        <f t="shared" si="660"/>
        <v>-0.55204387277102096</v>
      </c>
      <c r="ET378" s="560">
        <f>-(VLOOKUP(Sheet1!BQ380,Lookup!$O$4:$Q$262,2)-VLOOKUP(Sheet1!BQ379,Lookup!$O$4:$Q$262,2))/1000000</f>
        <v>-0.27600274440618788</v>
      </c>
      <c r="EU378" s="560">
        <f>-(VLOOKUP(Sheet1!BR380,Lookup!$O$4:$Q$262,3)-VLOOKUP(Sheet1!BR379,Lookup!$O$4:$Q$262,3))/1000000</f>
        <v>-0.27604112836483308</v>
      </c>
      <c r="EV378" s="560"/>
      <c r="EW378" s="560"/>
      <c r="EX378" s="560"/>
      <c r="EY378" s="560"/>
      <c r="EZ378" s="560"/>
      <c r="FA378" s="560"/>
      <c r="FB378" s="560"/>
      <c r="FC378" s="560"/>
      <c r="FD378" s="594" t="e">
        <f t="shared" si="742"/>
        <v>#N/A</v>
      </c>
      <c r="FE378" s="594" t="e">
        <f t="shared" si="743"/>
        <v>#N/A</v>
      </c>
      <c r="FF378" s="595" t="e">
        <f t="shared" si="744"/>
        <v>#N/A</v>
      </c>
      <c r="FG378" s="596" t="s">
        <v>692</v>
      </c>
      <c r="FH378" s="596" t="s">
        <v>692</v>
      </c>
      <c r="FI378" s="594" t="e">
        <v>#N/A</v>
      </c>
      <c r="FJ378" s="594" t="e">
        <v>#N/A</v>
      </c>
      <c r="FK378" s="560"/>
      <c r="FL378" s="560"/>
      <c r="FM378" s="560"/>
      <c r="FN378" s="560"/>
      <c r="FO378" s="560">
        <f>O378+((Sheet1!CS380)*GPMtoMGD)</f>
        <v>55.052895999999997</v>
      </c>
      <c r="FP378" s="560">
        <f>IF(Sheet1!AA380+AQ378&lt;=Calculation!N378,AQ378,Calculation!N378-Sheet1!AA380)</f>
        <v>10.054753608760578</v>
      </c>
      <c r="FQ378" s="560">
        <f>(Sheet1!BP380+Sheet1!BO380)/694.4</f>
        <v>0.95823732718894028</v>
      </c>
      <c r="FR378" s="560"/>
      <c r="FS378" s="560"/>
      <c r="FT378" s="560"/>
      <c r="FU378" s="560"/>
      <c r="FV378" s="695">
        <f t="shared" si="661"/>
        <v>41827</v>
      </c>
      <c r="FW378" s="695">
        <f t="shared" si="662"/>
        <v>41934</v>
      </c>
      <c r="FX378" s="560"/>
      <c r="FY378" s="560"/>
      <c r="FZ378" s="560"/>
      <c r="GA378" s="560"/>
      <c r="GB378" s="560" t="str">
        <f t="shared" si="663"/>
        <v>n</v>
      </c>
      <c r="GC378" s="564">
        <f t="shared" si="664"/>
        <v>41691</v>
      </c>
      <c r="GD378" s="695">
        <f t="shared" si="665"/>
        <v>41807</v>
      </c>
      <c r="GE378" s="560">
        <v>6518.9</v>
      </c>
      <c r="GF378" s="695">
        <f t="shared" si="666"/>
        <v>41808</v>
      </c>
      <c r="GG378" s="560">
        <f t="shared" si="686"/>
        <v>3259</v>
      </c>
      <c r="GH378" s="564">
        <f t="shared" si="667"/>
        <v>41934</v>
      </c>
      <c r="GJ378" s="545">
        <f t="shared" si="668"/>
        <v>0</v>
      </c>
      <c r="GK378" s="560" t="str">
        <f t="shared" si="745"/>
        <v/>
      </c>
      <c r="GL378" s="560">
        <f t="shared" si="669"/>
        <v>0</v>
      </c>
      <c r="GM378" s="560" t="str">
        <f t="shared" si="670"/>
        <v/>
      </c>
      <c r="GN378" s="560">
        <f>IF(GK378="P",Lookup!$M$12,IF(GK378="PP",Lookup!$M$13,IF(GK378="PPP",Lookup!$M$14,IF(GK378="T",Lookup!$M$15,IF(GK378="TP",Lookup!$M$16,IF(GK378="TPP",Lookup!$M$17,IF(GK378="TPPP",Lookup!$M$18,0)))))))*GJ378</f>
        <v>0</v>
      </c>
      <c r="GO378" s="560">
        <f t="shared" si="671"/>
        <v>0</v>
      </c>
      <c r="GP378" s="560">
        <f t="shared" si="746"/>
        <v>0</v>
      </c>
      <c r="GQ378" s="560">
        <f t="shared" si="679"/>
        <v>0</v>
      </c>
      <c r="GR378" s="560"/>
      <c r="GS378" s="560">
        <f t="shared" si="672"/>
        <v>0</v>
      </c>
      <c r="GT378" s="560" t="str">
        <f t="shared" si="673"/>
        <v/>
      </c>
      <c r="GU378" s="560">
        <f>IF(GK378="P",Lookup!$N$12,IF(GK378="PP",Lookup!$N$13,IF(GK378="PPP",Lookup!$N$14,IF(GK378="T",Lookup!$N$15,IF(GK378="TP",Lookup!$N$16,IF(GK378="TPP",Lookup!$N$17,IF(GK378="TPPP",Lookup!$N$18,0)))))))*GJ378</f>
        <v>0</v>
      </c>
      <c r="GV378" s="560">
        <f t="shared" si="674"/>
        <v>0</v>
      </c>
      <c r="GW378" s="560">
        <f t="shared" si="747"/>
        <v>0</v>
      </c>
      <c r="GX378" s="560">
        <f t="shared" si="680"/>
        <v>0</v>
      </c>
      <c r="GY378" s="560"/>
      <c r="GZ378" s="560">
        <f t="shared" si="675"/>
        <v>0</v>
      </c>
      <c r="HA378" s="560" t="str">
        <f t="shared" si="676"/>
        <v/>
      </c>
      <c r="HB378" s="560">
        <f>IF(GK378="P",Lookup!$N$12,IF(GK378="PP",Lookup!$N$13,IF(GK378="PPP",Lookup!$N$14,IF(GK378="T",Lookup!$N$15,IF(GK378="TP",Lookup!$N$16,IF(GK378="TPP",Lookup!$N$17,IF(GK378="TPPP",Lookup!$N$18,0)))))))*GJ378</f>
        <v>0</v>
      </c>
      <c r="HC378" s="545">
        <f t="shared" si="748"/>
        <v>0</v>
      </c>
      <c r="HD378" s="560">
        <f t="shared" si="749"/>
        <v>0</v>
      </c>
      <c r="HE378" s="560">
        <f t="shared" si="681"/>
        <v>0</v>
      </c>
      <c r="HF378" s="560"/>
      <c r="HG378" s="560">
        <f t="shared" si="677"/>
        <v>0</v>
      </c>
      <c r="HH378" s="560" t="str">
        <f t="shared" si="678"/>
        <v/>
      </c>
      <c r="HI378" s="560">
        <f>IF(GK378="P",Lookup!$N$12,IF(GK378="PP",Lookup!$N$13,IF(GK378="PPP",Lookup!$N$14,IF(GK378="T",Lookup!$N$15,IF(GK378="TP",Lookup!$N$16,IF(GK378="TPP",Lookup!$N$17,IF(GK378="TPPP",Lookup!$N$18,0)))))))*GJ378</f>
        <v>0</v>
      </c>
      <c r="HJ378" s="545">
        <f t="shared" si="750"/>
        <v>0</v>
      </c>
      <c r="HK378" s="560">
        <f t="shared" si="751"/>
        <v>0</v>
      </c>
      <c r="HL378" s="560">
        <f t="shared" si="682"/>
        <v>0</v>
      </c>
    </row>
    <row r="379" spans="1:220">
      <c r="A379" s="580" t="s">
        <v>9</v>
      </c>
      <c r="B379" s="556">
        <v>42007</v>
      </c>
      <c r="C379" s="561">
        <v>0</v>
      </c>
      <c r="D379" s="529">
        <f t="shared" si="684"/>
        <v>300</v>
      </c>
      <c r="E379" s="529">
        <f t="shared" si="685"/>
        <v>250</v>
      </c>
      <c r="F379" s="529">
        <v>250</v>
      </c>
      <c r="G379" s="560">
        <f>DR379+Sheet1!CZ381</f>
        <v>965.59253656028727</v>
      </c>
      <c r="H379" s="914">
        <f t="shared" si="650"/>
        <v>357.19581563256969</v>
      </c>
      <c r="I379" s="559">
        <f>MAX(Sheet1!Z381-AT379+(Sheet1!DA381-E379)*CFStoMGD,0)</f>
        <v>970.20799999999997</v>
      </c>
      <c r="J379" s="562">
        <f>IF(AND(B379&gt;=Calculation!GC379,B379&lt;=Calculation!GD379),IF(Sheet1!DB381&gt;=Calculation!D379,64.64,0),MAX(Sheet1!Z381-AT379+(Sheet1!DB381-D379)*CFStoMGD,0))</f>
        <v>556.51199999999994</v>
      </c>
      <c r="K379" s="904">
        <f t="shared" si="687"/>
        <v>64.64</v>
      </c>
      <c r="L379" s="560">
        <f>Sheet1!AA381+Sheet1!AB381-Sheet1!L381+(Sheet1!DA381-F379)*CFStoMGD</f>
        <v>999.66800000000001</v>
      </c>
      <c r="M379" s="560">
        <f t="shared" si="688"/>
        <v>636.64219594522115</v>
      </c>
      <c r="N379" s="910">
        <f>IF(Sheet1!DA381&gt;=F379,MIN(73,MIN(MAX(L379,0),MAX(M379,0))),0)</f>
        <v>73</v>
      </c>
      <c r="O379" s="563">
        <f>Sheet1!AA381+Sheet1!AB381</f>
        <v>49.459999999999994</v>
      </c>
      <c r="P379" s="563">
        <f t="shared" si="689"/>
        <v>76.514619999999994</v>
      </c>
      <c r="Q379" s="898">
        <f t="shared" si="651"/>
        <v>0</v>
      </c>
      <c r="R379" s="829">
        <f t="shared" si="690"/>
        <v>8.894020926756351</v>
      </c>
      <c r="S379" s="898">
        <f t="shared" si="683"/>
        <v>49.459999999999994</v>
      </c>
      <c r="T379" s="898">
        <f t="shared" si="652"/>
        <v>0</v>
      </c>
      <c r="U379" s="898">
        <f t="shared" si="653"/>
        <v>0</v>
      </c>
      <c r="V379" s="898"/>
      <c r="W379" s="898">
        <f t="shared" si="654"/>
        <v>55.745979073243646</v>
      </c>
      <c r="X379" s="898">
        <f t="shared" si="655"/>
        <v>49.459999999999994</v>
      </c>
      <c r="Y379" s="898" t="str">
        <f t="shared" si="656"/>
        <v/>
      </c>
      <c r="Z379" s="898">
        <f t="shared" si="657"/>
        <v>49.459999999999994</v>
      </c>
      <c r="AA379" s="898">
        <f t="shared" si="658"/>
        <v>49.459999999999994</v>
      </c>
      <c r="AB379" s="898" t="str">
        <f t="shared" si="659"/>
        <v/>
      </c>
      <c r="AC379" s="563">
        <f>Sheet1!Y381*MGDtoCFS</f>
        <v>45.698379999999993</v>
      </c>
      <c r="AD379" s="563">
        <f>Sheet1!Z381*MGDtoCFS</f>
        <v>30.939999999999998</v>
      </c>
      <c r="AE379" s="563">
        <f>Sheet1!AA381*MGDtoCFS</f>
        <v>45.729319999999994</v>
      </c>
      <c r="AF379" s="563">
        <f>Sheet1!AB381*MGDtoCFS</f>
        <v>30.785299999999996</v>
      </c>
      <c r="AG379" s="563">
        <f>Sheet1!L381*MGDtoCFS</f>
        <v>0</v>
      </c>
      <c r="AH379" s="545">
        <f t="shared" si="691"/>
        <v>0</v>
      </c>
      <c r="AI379" s="560">
        <f t="shared" si="692"/>
        <v>0</v>
      </c>
      <c r="AJ379" s="560">
        <f t="shared" si="693"/>
        <v>0</v>
      </c>
      <c r="AK379" s="560">
        <f t="shared" si="694"/>
        <v>0</v>
      </c>
      <c r="AL379" s="560">
        <f>(VLOOKUP(Sheet1!DC381,hhdcap_wcm,4)-(((VLOOKUP(Sheet1!DC381,hhdcap_wcm,3)-Sheet1!DC381)/(VLOOKUP(Sheet1!DC381,hhdcap_wcm,3)-VLOOKUP(Sheet1!DC381,hhdcap_wcm,1)))*(VLOOKUP(Sheet1!DC381,hhdcap_wcm,4)-VLOOKUP(Sheet1!DC381,hhdcap_wcm,2))))</f>
        <v>1523.0000000038517</v>
      </c>
      <c r="AM379" s="560">
        <f t="shared" si="695"/>
        <v>-445.00000000095042</v>
      </c>
      <c r="AN379" s="560">
        <f t="shared" si="696"/>
        <v>0</v>
      </c>
      <c r="AO379" s="560">
        <f t="shared" si="697"/>
        <v>0</v>
      </c>
      <c r="AP379" s="560">
        <f>Sheet1!BA381+Sheet1!BB381+Sheet1!BN381+CD379</f>
        <v>11.1</v>
      </c>
      <c r="AQ379" s="560">
        <f>Sheet1!BN381+(DO379*Sheet1!BN381)</f>
        <v>10.014449427005479</v>
      </c>
      <c r="AR379" s="560">
        <f>Sheet1!BA381+CD379</f>
        <v>0</v>
      </c>
      <c r="AS379" s="560">
        <f>Sheet1!BA381+Sheet1!BB381+CD379</f>
        <v>1</v>
      </c>
      <c r="AT379" s="698">
        <f>0</f>
        <v>0</v>
      </c>
      <c r="AU379" s="560">
        <f>IF(EB379&lt;K379,0,MAX(Sheet1!AA381+AQ379-15/36*K379-N379,Sheet1!EH381,0))</f>
        <v>0</v>
      </c>
      <c r="AV379" s="560">
        <f>IF(OR(B379&gt;=GD379,B379&lt;GC379),0,15/36*K379-MAX(0,64.6-(137.6-(Sheet1!AA381+Sheet1!AB381))))</f>
        <v>0</v>
      </c>
      <c r="AW379" s="698">
        <f>Sheet1!DB381-110</f>
        <v>1020</v>
      </c>
      <c r="AX379" s="698">
        <f>Sheet1!DA381-265</f>
        <v>1455</v>
      </c>
      <c r="AY379" s="698">
        <f t="shared" si="698"/>
        <v>73</v>
      </c>
      <c r="AZ379" s="698">
        <v>0</v>
      </c>
      <c r="BA379" s="698">
        <f t="shared" si="699"/>
        <v>0</v>
      </c>
      <c r="BB379" s="560">
        <f t="shared" si="700"/>
        <v>0</v>
      </c>
      <c r="BC379" s="560"/>
      <c r="BD379" s="560">
        <f ca="1">IF(B379&gt;Summary!$A$1,#N/A,BB379*MGtoAF)</f>
        <v>0</v>
      </c>
      <c r="BE379" s="560">
        <f>Sheet1!BG381+Sheet1!BH381+Sheet1!BI381-BM379</f>
        <v>0</v>
      </c>
      <c r="BF379" s="560">
        <f t="shared" si="701"/>
        <v>0</v>
      </c>
      <c r="BG379" s="560">
        <f>IF(Sheet1!EP381="FM",BM379,0)</f>
        <v>0</v>
      </c>
      <c r="BH379" s="560">
        <f t="shared" si="702"/>
        <v>0</v>
      </c>
      <c r="BI379" s="560">
        <f>IF(Sheet1!EP381="OTHER",BM379,0)</f>
        <v>0</v>
      </c>
      <c r="BJ379" s="560">
        <f t="shared" si="703"/>
        <v>0</v>
      </c>
      <c r="BK379" s="560">
        <f t="shared" si="704"/>
        <v>0</v>
      </c>
      <c r="BL379" s="560">
        <f t="shared" si="705"/>
        <v>0</v>
      </c>
      <c r="BM379" s="560">
        <f>IF(OR(Sheet1!EP381="FM", Sheet1!EP381="OTHER"),SUM(Sheet1!BG381:'Sheet1'!BI381),0)</f>
        <v>0</v>
      </c>
      <c r="BN379" s="545">
        <f>IF(AND($B379&gt;=$FV379,$B379&lt;=$FW379),MAX(BF379,Sheet1!EI381,0),MAX(BF379-(7/36)*$K379,0))</f>
        <v>0</v>
      </c>
      <c r="BO379" s="560">
        <f t="shared" si="706"/>
        <v>0</v>
      </c>
      <c r="BP379" s="545">
        <f t="shared" si="707"/>
        <v>0</v>
      </c>
      <c r="BQ379" s="545">
        <f>IF(AND($O379&gt;0,Sheet1!EM381=1),(1-($O379-Sheet1!$L381)/$O379)*BL379,0)</f>
        <v>0</v>
      </c>
      <c r="BR379" s="545">
        <f>IF(AND(Sheet1!$L381=0,Sheet1!$L380=0, Calculation!BK379&lt;Sheet1!$EI381-0.1,Sheet1!$EI381=Sheet1!$EI380,Sheet1!$EI381=Sheet1!$EI382),Sheet1!$EI381,BL379-BQ379)</f>
        <v>0</v>
      </c>
      <c r="BS379" s="560"/>
      <c r="BT379" s="560"/>
      <c r="BU379" s="560">
        <f t="shared" si="708"/>
        <v>0</v>
      </c>
      <c r="BV379" s="560"/>
      <c r="BW379" s="560">
        <f ca="1">IF(B379&gt;Summary!$A$1,#N/A,BU379*MGtoAF)</f>
        <v>0</v>
      </c>
      <c r="BX379" s="560">
        <f>Sheet1!BC381+Sheet1!BD381+Sheet1!BE381+Sheet1!BF381-CG379-CH379</f>
        <v>2.5099999999999998</v>
      </c>
      <c r="BY379" s="560">
        <f t="shared" si="709"/>
        <v>2.4887394120577975</v>
      </c>
      <c r="BZ379" s="560">
        <f>IF(Sheet1!EQ381="FM",CH379,0)</f>
        <v>0</v>
      </c>
      <c r="CA379" s="560">
        <f t="shared" si="710"/>
        <v>0</v>
      </c>
      <c r="CB379" s="560">
        <f>IF(Sheet1!EQ381="OTHER",CH379,0)</f>
        <v>0</v>
      </c>
      <c r="CC379" s="560">
        <f t="shared" si="711"/>
        <v>0</v>
      </c>
      <c r="CD379" s="560">
        <f t="shared" si="712"/>
        <v>0</v>
      </c>
      <c r="CE379" s="560">
        <f t="shared" si="713"/>
        <v>2.5099999999999998</v>
      </c>
      <c r="CF379" s="560">
        <f t="shared" si="714"/>
        <v>2.4887394120577975</v>
      </c>
      <c r="CG379" s="560">
        <f>IF(Sheet1!EQ381="CWA",SUM(Sheet1!BC381:'Sheet1'!BF381),0)</f>
        <v>0</v>
      </c>
      <c r="CH379" s="560">
        <f>IF(OR(Sheet1!EQ381="FM", Sheet1!EQ381="OTHER"),SUM(Sheet1!BC381:'Sheet1'!BF381),0)</f>
        <v>0</v>
      </c>
      <c r="CI379" s="545">
        <f>IF(AND($B379&gt;=$FV379,$B379&lt;=$FW379),MAX(CF379,Sheet1!EJ381,0),MAX(CF379-(7/36)*$K379,0))</f>
        <v>0</v>
      </c>
      <c r="CJ379" s="560">
        <f t="shared" si="715"/>
        <v>0</v>
      </c>
      <c r="CK379" s="545">
        <f t="shared" si="716"/>
        <v>2.4887394120577975</v>
      </c>
      <c r="CL379" s="545">
        <f>IF(AND($O379&gt;0,Sheet1!EN381=1),(1-($O379-Sheet1!$L381)/$O379)*CF379,0)</f>
        <v>0</v>
      </c>
      <c r="CM379" s="545">
        <f>IF(AND(Sheet1!$L381=0,Sheet1!$L380=0, Calculation!CE379&lt;Sheet1!EJ381-0.1,Sheet1!EJ381=Sheet1!EJ380,Sheet1!EJ381=Sheet1!EJ382),Sheet1!EJ381,CF379-CL379)</f>
        <v>2.4887394120577975</v>
      </c>
      <c r="CN379" s="545"/>
      <c r="CO379" s="560"/>
      <c r="CP379" s="560">
        <f t="shared" si="717"/>
        <v>0</v>
      </c>
      <c r="CQ379" s="560"/>
      <c r="CR379" s="560">
        <f ca="1">IF(B379&gt;Summary!$A$1,#N/A,CP379*MGtoAF)</f>
        <v>0</v>
      </c>
      <c r="CS379" s="560">
        <f>Sheet1!BK381+Sheet1!BL381+Sheet1!BM381-Sheet1!ER381-DA379</f>
        <v>6.46</v>
      </c>
      <c r="CT379" s="560">
        <f t="shared" si="718"/>
        <v>6.4052815146985544</v>
      </c>
      <c r="CU379" s="560">
        <f>IF(Sheet1!ER381="FM",DA379,0)</f>
        <v>0</v>
      </c>
      <c r="CV379" s="560">
        <f t="shared" si="719"/>
        <v>0</v>
      </c>
      <c r="CW379" s="560">
        <f>IF(Sheet1!ER381="OTHER",DA379,0)</f>
        <v>0</v>
      </c>
      <c r="CX379" s="560">
        <f t="shared" si="720"/>
        <v>0</v>
      </c>
      <c r="CY379" s="560">
        <f t="shared" si="721"/>
        <v>6.46</v>
      </c>
      <c r="CZ379" s="560">
        <f t="shared" si="722"/>
        <v>6.4052815146985544</v>
      </c>
      <c r="DA379" s="560">
        <f>IF(OR(Sheet1!ER381="FM", Sheet1!ER381="OTHER"),SUM(Sheet1!BK381:'Sheet1'!BM381),0)</f>
        <v>0</v>
      </c>
      <c r="DB379" s="545">
        <f>IF(AND($B379&gt;=$FV379,$B379&lt;=$FW379),MAX($CT379,Sheet1!EK381,0),MAX($CT379-(7/36)*$K379,0))</f>
        <v>0</v>
      </c>
      <c r="DC379" s="560">
        <f t="shared" si="723"/>
        <v>0</v>
      </c>
      <c r="DD379" s="545">
        <f t="shared" si="724"/>
        <v>6.4052815146985544</v>
      </c>
      <c r="DE379" s="545">
        <f>IF(AND($O379&gt;0,Sheet1!EO381=1),(1-($O379-Sheet1!$L381)/$O379)*CZ379,0)</f>
        <v>0</v>
      </c>
      <c r="DF379" s="545">
        <f>IF(AND(Sheet1!$L381=0,Sheet1!$L380=0, Calculation!CY379&lt;Sheet1!$EK381-0.1,Sheet1!$EK381=Sheet1!$EK380,Sheet1!$EK381=Sheet1!$EK382),Sheet1!$EK381,CZ379-DE379)</f>
        <v>6.4052815146985544</v>
      </c>
      <c r="DG379" s="545"/>
      <c r="DH379" s="560">
        <f t="shared" si="725"/>
        <v>8.9699999999999989</v>
      </c>
      <c r="DI379" s="560">
        <f t="shared" si="726"/>
        <v>0</v>
      </c>
      <c r="DJ379" s="698">
        <f t="shared" si="727"/>
        <v>8.894020926756351</v>
      </c>
      <c r="DK379" s="560">
        <f ca="1">IF(B379&gt;Summary!$A$1,#N/A,DI379*MGtoAF)</f>
        <v>0</v>
      </c>
      <c r="DL379" s="698">
        <f t="shared" si="728"/>
        <v>8.9699999999999989</v>
      </c>
      <c r="DM379" s="560">
        <f t="shared" si="729"/>
        <v>20.07</v>
      </c>
      <c r="DN379" s="560">
        <f>Sheet1!AB381-DM379</f>
        <v>-0.17000000000000171</v>
      </c>
      <c r="DO379" s="560">
        <f t="shared" si="730"/>
        <v>-8.4703537618336672E-3</v>
      </c>
      <c r="DP379" s="560">
        <f>(VLOOKUP(Sheet1!DC381,hhdcap_wcm,4)-(((VLOOKUP(Sheet1!DC381,hhdcap_wcm,3)-Sheet1!DC381)/(VLOOKUP(Sheet1!DC381,hhdcap_wcm,3)-VLOOKUP(Sheet1!DC381,hhdcap_wcm,1)))*(VLOOKUP(Sheet1!DC381,hhdcap_wcm,4)-VLOOKUP(Sheet1!DC381,hhdcap_wcm,2))))</f>
        <v>1523.0000000038517</v>
      </c>
      <c r="DQ379" s="560">
        <f t="shared" si="731"/>
        <v>-445.00000000095042</v>
      </c>
      <c r="DR379" s="560">
        <f t="shared" si="732"/>
        <v>-224.40746343971273</v>
      </c>
      <c r="DS379" s="560">
        <f>Sheet1!EA381*AFtoMG</f>
        <v>0</v>
      </c>
      <c r="DT379" s="560">
        <f>Sheet1!EB381*AFtoMG</f>
        <v>0</v>
      </c>
      <c r="DU379" s="560">
        <f>Sheet1!EC381*AFtoMG</f>
        <v>0</v>
      </c>
      <c r="DV379" s="560">
        <f>Sheet1!ED381*AFtoMG</f>
        <v>0</v>
      </c>
      <c r="DW379" s="560">
        <f t="shared" si="733"/>
        <v>0</v>
      </c>
      <c r="DX379" s="560">
        <f t="shared" si="734"/>
        <v>0</v>
      </c>
      <c r="DY379" s="560">
        <f t="shared" si="735"/>
        <v>0</v>
      </c>
      <c r="DZ379" s="560">
        <f t="shared" si="736"/>
        <v>0</v>
      </c>
      <c r="EA379" s="560"/>
      <c r="EB379" s="545">
        <f>IF(OR(B379&lt;FV379,B379&gt;FW379),(MIN(BF379+BY379+CT379+MAX(Sheet1!AA381+AQ379-73,0),K379)),0)</f>
        <v>8.894020926756351</v>
      </c>
      <c r="EC379" s="560"/>
      <c r="ED379" s="560">
        <f t="shared" si="737"/>
        <v>8.894020926756351</v>
      </c>
      <c r="EE379" s="560"/>
      <c r="EF379" s="560">
        <f>Sheet1!EH381+Sheet1!EI381+Sheet1!EJ381+Sheet1!EK381</f>
        <v>0</v>
      </c>
      <c r="EG379" s="560"/>
      <c r="EH379" s="545">
        <f t="shared" si="738"/>
        <v>0</v>
      </c>
      <c r="EI379" s="560">
        <f>IF(Sheet1!ET381=1,SUM('Calculations II'!AT379:BA379)+'Calculations II'!BC379+Sheet1!BV381+'Calculations II'!BE379+AP379,SUM('Calculations II'!AT379:BA379)+'Calculations II'!BC379+Sheet1!BV381+'Calculations II'!BE379+AP379)</f>
        <v>48.728752000000007</v>
      </c>
      <c r="EJ379" s="560">
        <f>Sheet1!AA381+Sheet1!AB381+'Calculations II'!BC379</f>
        <v>54.827887999999994</v>
      </c>
      <c r="EK379" s="560"/>
      <c r="EL379" s="560"/>
      <c r="EM379" s="560">
        <f t="shared" si="739"/>
        <v>42007</v>
      </c>
      <c r="EN379" s="560">
        <f t="shared" si="740"/>
        <v>0</v>
      </c>
      <c r="EO379" s="560">
        <f t="shared" si="741"/>
        <v>0</v>
      </c>
      <c r="EP379" s="560">
        <v>0</v>
      </c>
      <c r="EQ379" s="560">
        <v>0</v>
      </c>
      <c r="ER379" s="560">
        <v>0</v>
      </c>
      <c r="ES379" s="545">
        <f t="shared" si="660"/>
        <v>-1.6564387065358237</v>
      </c>
      <c r="ET379" s="560">
        <f>-(VLOOKUP(Sheet1!BQ381,Lookup!$O$4:$Q$262,2)-VLOOKUP(Sheet1!BQ380,Lookup!$O$4:$Q$262,2))/1000000</f>
        <v>-0.82816177200914542</v>
      </c>
      <c r="EU379" s="560">
        <f>-(VLOOKUP(Sheet1!BR381,Lookup!$O$4:$Q$262,3)-VLOOKUP(Sheet1!BR380,Lookup!$O$4:$Q$262,3))/1000000</f>
        <v>-0.82827693452667817</v>
      </c>
      <c r="EV379" s="560"/>
      <c r="EW379" s="560"/>
      <c r="EX379" s="560"/>
      <c r="EY379" s="560"/>
      <c r="EZ379" s="560"/>
      <c r="FA379" s="560"/>
      <c r="FB379" s="560"/>
      <c r="FC379" s="560"/>
      <c r="FD379" s="594" t="e">
        <f t="shared" si="742"/>
        <v>#N/A</v>
      </c>
      <c r="FE379" s="594" t="e">
        <f t="shared" si="743"/>
        <v>#N/A</v>
      </c>
      <c r="FF379" s="595" t="e">
        <f t="shared" si="744"/>
        <v>#N/A</v>
      </c>
      <c r="FG379" s="596" t="s">
        <v>692</v>
      </c>
      <c r="FH379" s="596" t="s">
        <v>692</v>
      </c>
      <c r="FI379" s="594" t="e">
        <v>#N/A</v>
      </c>
      <c r="FJ379" s="594" t="e">
        <v>#N/A</v>
      </c>
      <c r="FK379" s="560"/>
      <c r="FL379" s="560"/>
      <c r="FM379" s="560"/>
      <c r="FN379" s="560"/>
      <c r="FO379" s="560">
        <f>O379+((Sheet1!CS381)*GPMtoMGD)</f>
        <v>54.827887999999994</v>
      </c>
      <c r="FP379" s="560">
        <f>IF(Sheet1!AA381+AQ379&lt;=Calculation!N379,AQ379,Calculation!N379-Sheet1!AA381)</f>
        <v>10.014449427005479</v>
      </c>
      <c r="FQ379" s="560">
        <f>(Sheet1!BP381+Sheet1!BO381)/694.4</f>
        <v>1.0142569124423964</v>
      </c>
      <c r="FR379" s="560"/>
      <c r="FS379" s="560"/>
      <c r="FT379" s="560"/>
      <c r="FU379" s="560"/>
      <c r="FV379" s="695">
        <f t="shared" si="661"/>
        <v>41827</v>
      </c>
      <c r="FW379" s="695">
        <f t="shared" si="662"/>
        <v>41934</v>
      </c>
      <c r="FX379" s="560"/>
      <c r="FY379" s="560"/>
      <c r="FZ379" s="560"/>
      <c r="GA379" s="560"/>
      <c r="GB379" s="560" t="str">
        <f t="shared" si="663"/>
        <v>n</v>
      </c>
      <c r="GC379" s="564">
        <f t="shared" si="664"/>
        <v>41691</v>
      </c>
      <c r="GD379" s="695">
        <f t="shared" si="665"/>
        <v>41807</v>
      </c>
      <c r="GE379" s="560">
        <v>6518.9</v>
      </c>
      <c r="GF379" s="695">
        <f t="shared" si="666"/>
        <v>41808</v>
      </c>
      <c r="GG379" s="560">
        <f t="shared" si="686"/>
        <v>3259</v>
      </c>
      <c r="GH379" s="564">
        <f t="shared" si="667"/>
        <v>41934</v>
      </c>
      <c r="GJ379" s="545">
        <f t="shared" si="668"/>
        <v>0</v>
      </c>
      <c r="GK379" s="560" t="str">
        <f t="shared" si="745"/>
        <v/>
      </c>
      <c r="GL379" s="560">
        <f t="shared" si="669"/>
        <v>0</v>
      </c>
      <c r="GM379" s="560" t="str">
        <f t="shared" si="670"/>
        <v/>
      </c>
      <c r="GN379" s="560">
        <f>IF(GK379="P",Lookup!$M$12,IF(GK379="PP",Lookup!$M$13,IF(GK379="PPP",Lookup!$M$14,IF(GK379="T",Lookup!$M$15,IF(GK379="TP",Lookup!$M$16,IF(GK379="TPP",Lookup!$M$17,IF(GK379="TPPP",Lookup!$M$18,0)))))))*GJ379</f>
        <v>0</v>
      </c>
      <c r="GO379" s="560">
        <f t="shared" si="671"/>
        <v>0</v>
      </c>
      <c r="GP379" s="560">
        <f t="shared" si="746"/>
        <v>0</v>
      </c>
      <c r="GQ379" s="560">
        <f t="shared" si="679"/>
        <v>0</v>
      </c>
      <c r="GR379" s="560"/>
      <c r="GS379" s="560">
        <f t="shared" si="672"/>
        <v>0</v>
      </c>
      <c r="GT379" s="560" t="str">
        <f t="shared" si="673"/>
        <v/>
      </c>
      <c r="GU379" s="560">
        <f>IF(GK379="P",Lookup!$N$12,IF(GK379="PP",Lookup!$N$13,IF(GK379="PPP",Lookup!$N$14,IF(GK379="T",Lookup!$N$15,IF(GK379="TP",Lookup!$N$16,IF(GK379="TPP",Lookup!$N$17,IF(GK379="TPPP",Lookup!$N$18,0)))))))*GJ379</f>
        <v>0</v>
      </c>
      <c r="GV379" s="560">
        <f t="shared" si="674"/>
        <v>0</v>
      </c>
      <c r="GW379" s="560">
        <f t="shared" si="747"/>
        <v>0</v>
      </c>
      <c r="GX379" s="560">
        <f t="shared" si="680"/>
        <v>0</v>
      </c>
      <c r="GY379" s="560"/>
      <c r="GZ379" s="560">
        <f t="shared" si="675"/>
        <v>0</v>
      </c>
      <c r="HA379" s="560" t="str">
        <f t="shared" si="676"/>
        <v/>
      </c>
      <c r="HB379" s="560">
        <f>IF(GK379="P",Lookup!$N$12,IF(GK379="PP",Lookup!$N$13,IF(GK379="PPP",Lookup!$N$14,IF(GK379="T",Lookup!$N$15,IF(GK379="TP",Lookup!$N$16,IF(GK379="TPP",Lookup!$N$17,IF(GK379="TPPP",Lookup!$N$18,0)))))))*GJ379</f>
        <v>0</v>
      </c>
      <c r="HC379" s="545">
        <f t="shared" si="748"/>
        <v>0</v>
      </c>
      <c r="HD379" s="560">
        <f t="shared" si="749"/>
        <v>0</v>
      </c>
      <c r="HE379" s="560">
        <f t="shared" si="681"/>
        <v>0</v>
      </c>
      <c r="HF379" s="560"/>
      <c r="HG379" s="560">
        <f t="shared" si="677"/>
        <v>0</v>
      </c>
      <c r="HH379" s="560" t="str">
        <f t="shared" si="678"/>
        <v/>
      </c>
      <c r="HI379" s="560">
        <f>IF(GK379="P",Lookup!$N$12,IF(GK379="PP",Lookup!$N$13,IF(GK379="PPP",Lookup!$N$14,IF(GK379="T",Lookup!$N$15,IF(GK379="TP",Lookup!$N$16,IF(GK379="TPP",Lookup!$N$17,IF(GK379="TPPP",Lookup!$N$18,0)))))))*GJ379</f>
        <v>0</v>
      </c>
      <c r="HJ379" s="545">
        <f t="shared" si="750"/>
        <v>0</v>
      </c>
      <c r="HK379" s="560">
        <f t="shared" si="751"/>
        <v>0</v>
      </c>
      <c r="HL379" s="560">
        <f t="shared" si="682"/>
        <v>0</v>
      </c>
    </row>
    <row r="380" spans="1:220">
      <c r="A380" s="580" t="s">
        <v>3</v>
      </c>
      <c r="B380" s="556">
        <v>42008</v>
      </c>
      <c r="C380" s="561">
        <v>0</v>
      </c>
      <c r="D380" s="529">
        <f t="shared" si="684"/>
        <v>300</v>
      </c>
      <c r="E380" s="529">
        <f t="shared" si="685"/>
        <v>250</v>
      </c>
      <c r="F380" s="529">
        <v>250</v>
      </c>
      <c r="G380" s="560">
        <f>DR380+Sheet1!CZ382</f>
        <v>1258.628340897357</v>
      </c>
      <c r="H380" s="914">
        <f t="shared" si="650"/>
        <v>546.6141595560515</v>
      </c>
      <c r="I380" s="559">
        <f>MAX(Sheet1!Z382-AT380+(Sheet1!DA382-E380)*CFStoMGD,0)</f>
        <v>1015.456</v>
      </c>
      <c r="J380" s="562">
        <f>IF(AND(B380&gt;=Calculation!GC380,B380&lt;=Calculation!GD380),IF(Sheet1!DB382&gt;=Calculation!D380,64.64,0),MAX(Sheet1!Z382-AT380+(Sheet1!DB382-D380)*CFStoMGD,0))</f>
        <v>769.82399999999996</v>
      </c>
      <c r="K380" s="904">
        <f t="shared" si="687"/>
        <v>64.64</v>
      </c>
      <c r="L380" s="560" t="e">
        <f>Sheet1!AA382+Sheet1!AB382-Sheet1!L382+(Sheet1!DA382-F380)*CFStoMGD</f>
        <v>#N/A</v>
      </c>
      <c r="M380" s="560">
        <f t="shared" si="688"/>
        <v>829.84890674717269</v>
      </c>
      <c r="N380" s="910" t="e">
        <f>IF(Sheet1!DA382&gt;=F380,MIN(73,MIN(MAX(L380,0),MAX(M380,0))),0)</f>
        <v>#N/A</v>
      </c>
      <c r="O380" s="563">
        <f>Sheet1!AA382+Sheet1!AB382</f>
        <v>49.510000000000005</v>
      </c>
      <c r="P380" s="563">
        <f t="shared" si="689"/>
        <v>76.591970000000003</v>
      </c>
      <c r="Q380" s="898">
        <f t="shared" si="651"/>
        <v>0</v>
      </c>
      <c r="R380" s="829">
        <f t="shared" si="690"/>
        <v>8.9552238805970141</v>
      </c>
      <c r="S380" s="898">
        <f t="shared" si="683"/>
        <v>49.510000000000005</v>
      </c>
      <c r="T380" s="898">
        <f t="shared" si="652"/>
        <v>0</v>
      </c>
      <c r="U380" s="898">
        <f t="shared" si="653"/>
        <v>0</v>
      </c>
      <c r="V380" s="898"/>
      <c r="W380" s="898">
        <f t="shared" si="654"/>
        <v>55.684776119402983</v>
      </c>
      <c r="X380" s="898">
        <f t="shared" si="655"/>
        <v>49.510000000000005</v>
      </c>
      <c r="Y380" s="898" t="str">
        <f t="shared" si="656"/>
        <v/>
      </c>
      <c r="Z380" s="898">
        <f t="shared" si="657"/>
        <v>49.510000000000005</v>
      </c>
      <c r="AA380" s="898">
        <f t="shared" si="658"/>
        <v>49.510000000000005</v>
      </c>
      <c r="AB380" s="898" t="str">
        <f t="shared" si="659"/>
        <v/>
      </c>
      <c r="AC380" s="563">
        <f>Sheet1!Y382*MGDtoCFS</f>
        <v>45.698379999999993</v>
      </c>
      <c r="AD380" s="563">
        <f>Sheet1!Z382*MGDtoCFS</f>
        <v>30.939999999999998</v>
      </c>
      <c r="AE380" s="563">
        <f>Sheet1!AA382*MGDtoCFS</f>
        <v>45.651969999999999</v>
      </c>
      <c r="AF380" s="563">
        <f>Sheet1!AB382*MGDtoCFS</f>
        <v>30.939999999999998</v>
      </c>
      <c r="AG380" s="563" t="e">
        <f>Sheet1!L382*MGDtoCFS</f>
        <v>#N/A</v>
      </c>
      <c r="AH380" s="545">
        <f t="shared" si="691"/>
        <v>0</v>
      </c>
      <c r="AI380" s="560">
        <f t="shared" si="692"/>
        <v>0</v>
      </c>
      <c r="AJ380" s="560">
        <f t="shared" si="693"/>
        <v>0</v>
      </c>
      <c r="AK380" s="560">
        <f t="shared" si="694"/>
        <v>0</v>
      </c>
      <c r="AL380" s="560">
        <f>(VLOOKUP(Sheet1!DC382,hhdcap_wcm,4)-(((VLOOKUP(Sheet1!DC382,hhdcap_wcm,3)-Sheet1!DC382)/(VLOOKUP(Sheet1!DC382,hhdcap_wcm,3)-VLOOKUP(Sheet1!DC382,hhdcap_wcm,1)))*(VLOOKUP(Sheet1!DC382,hhdcap_wcm,4)-VLOOKUP(Sheet1!DC382,hhdcap_wcm,2))))</f>
        <v>1203.0000000033106</v>
      </c>
      <c r="AM380" s="560">
        <f t="shared" si="695"/>
        <v>-320.00000000054115</v>
      </c>
      <c r="AN380" s="560">
        <f t="shared" si="696"/>
        <v>0</v>
      </c>
      <c r="AO380" s="560">
        <f t="shared" si="697"/>
        <v>0</v>
      </c>
      <c r="AP380" s="560">
        <f>Sheet1!BA382+Sheet1!BB382+Sheet1!BN382+CD380</f>
        <v>11.1</v>
      </c>
      <c r="AQ380" s="560">
        <f>Sheet1!BN382+(DO380*Sheet1!BN382)</f>
        <v>10.049751243781094</v>
      </c>
      <c r="AR380" s="560">
        <f>Sheet1!BA382+CD380</f>
        <v>0</v>
      </c>
      <c r="AS380" s="560">
        <f>Sheet1!BA382+Sheet1!BB382+CD380</f>
        <v>1</v>
      </c>
      <c r="AT380" s="698">
        <f>0</f>
        <v>0</v>
      </c>
      <c r="AU380" s="560">
        <f>IF(EB380&lt;K380,0,MAX(Sheet1!AA382+AQ380-15/36*K380-N380,Sheet1!EH382,0))</f>
        <v>0</v>
      </c>
      <c r="AV380" s="560">
        <f>IF(OR(B380&gt;=GD380,B380&lt;GC380),0,15/36*K380-MAX(0,64.6-(137.6-(Sheet1!AA382+Sheet1!AB382))))</f>
        <v>0</v>
      </c>
      <c r="AW380" s="698">
        <f>Sheet1!DB382-110</f>
        <v>1350</v>
      </c>
      <c r="AX380" s="698">
        <f>Sheet1!DA382-265</f>
        <v>1525</v>
      </c>
      <c r="AY380" s="698" t="e">
        <f t="shared" si="698"/>
        <v>#N/A</v>
      </c>
      <c r="AZ380" s="698">
        <v>0</v>
      </c>
      <c r="BA380" s="698">
        <f t="shared" si="699"/>
        <v>0</v>
      </c>
      <c r="BB380" s="560">
        <f t="shared" si="700"/>
        <v>0</v>
      </c>
      <c r="BC380" s="560"/>
      <c r="BD380" s="560">
        <f ca="1">IF(B380&gt;Summary!$A$1,#N/A,BB380*MGtoAF)</f>
        <v>0</v>
      </c>
      <c r="BE380" s="560">
        <f>Sheet1!BG382+Sheet1!BH382+Sheet1!BI382-BM380</f>
        <v>0</v>
      </c>
      <c r="BF380" s="560">
        <f t="shared" si="701"/>
        <v>0</v>
      </c>
      <c r="BG380" s="560">
        <f>IF(Sheet1!EP382="FM",BM380,0)</f>
        <v>0</v>
      </c>
      <c r="BH380" s="560">
        <f t="shared" si="702"/>
        <v>0</v>
      </c>
      <c r="BI380" s="560">
        <f>IF(Sheet1!EP382="OTHER",BM380,0)</f>
        <v>0</v>
      </c>
      <c r="BJ380" s="560">
        <f t="shared" si="703"/>
        <v>0</v>
      </c>
      <c r="BK380" s="560">
        <f t="shared" si="704"/>
        <v>0</v>
      </c>
      <c r="BL380" s="560">
        <f t="shared" si="705"/>
        <v>0</v>
      </c>
      <c r="BM380" s="560">
        <f>IF(OR(Sheet1!EP382="FM", Sheet1!EP382="OTHER"),SUM(Sheet1!BG382:'Sheet1'!BI382),0)</f>
        <v>0</v>
      </c>
      <c r="BN380" s="545">
        <f>IF(AND($B380&gt;=$FV380,$B380&lt;=$FW380),MAX(BF380,Sheet1!EI382,0),MAX(BF380-(7/36)*$K380,0))</f>
        <v>0</v>
      </c>
      <c r="BO380" s="560">
        <f t="shared" si="706"/>
        <v>0</v>
      </c>
      <c r="BP380" s="545">
        <f t="shared" si="707"/>
        <v>0</v>
      </c>
      <c r="BQ380" s="545">
        <f>IF(AND($O380&gt;0,Sheet1!EM382=1),(1-($O380-Sheet1!$L382)/$O380)*BL380,0)</f>
        <v>0</v>
      </c>
      <c r="BR380" s="545" t="e">
        <f>IF(AND(Sheet1!$L382=0,Sheet1!$L381=0, Calculation!BK380&lt;Sheet1!$EI382-0.1,Sheet1!$EI382=Sheet1!$EI381,Sheet1!$EI382=Sheet1!$EI383),Sheet1!$EI382,BL380-BQ380)</f>
        <v>#N/A</v>
      </c>
      <c r="BS380" s="560"/>
      <c r="BT380" s="560"/>
      <c r="BU380" s="560">
        <f t="shared" si="708"/>
        <v>0</v>
      </c>
      <c r="BV380" s="560"/>
      <c r="BW380" s="560">
        <f ca="1">IF(B380&gt;Summary!$A$1,#N/A,BU380*MGtoAF)</f>
        <v>0</v>
      </c>
      <c r="BX380" s="560">
        <f>Sheet1!BC382+Sheet1!BD382+Sheet1!BE382+Sheet1!BF382-CG380-CH380</f>
        <v>2.52</v>
      </c>
      <c r="BY380" s="560">
        <f t="shared" si="709"/>
        <v>2.5074626865671639</v>
      </c>
      <c r="BZ380" s="560">
        <f>IF(Sheet1!EQ382="FM",CH380,0)</f>
        <v>0</v>
      </c>
      <c r="CA380" s="560">
        <f t="shared" si="710"/>
        <v>0</v>
      </c>
      <c r="CB380" s="560">
        <f>IF(Sheet1!EQ382="OTHER",CH380,0)</f>
        <v>0</v>
      </c>
      <c r="CC380" s="560">
        <f t="shared" si="711"/>
        <v>0</v>
      </c>
      <c r="CD380" s="560">
        <f t="shared" si="712"/>
        <v>0</v>
      </c>
      <c r="CE380" s="560">
        <f t="shared" si="713"/>
        <v>2.52</v>
      </c>
      <c r="CF380" s="560">
        <f t="shared" si="714"/>
        <v>2.5074626865671639</v>
      </c>
      <c r="CG380" s="560">
        <f>IF(Sheet1!EQ382="CWA",SUM(Sheet1!BC382:'Sheet1'!BF382),0)</f>
        <v>0</v>
      </c>
      <c r="CH380" s="560">
        <f>IF(OR(Sheet1!EQ382="FM", Sheet1!EQ382="OTHER"),SUM(Sheet1!BC382:'Sheet1'!BF382),0)</f>
        <v>0</v>
      </c>
      <c r="CI380" s="545">
        <f>IF(AND($B380&gt;=$FV380,$B380&lt;=$FW380),MAX(CF380,Sheet1!EJ382,0),MAX(CF380-(7/36)*$K380,0))</f>
        <v>0</v>
      </c>
      <c r="CJ380" s="560">
        <f t="shared" si="715"/>
        <v>0</v>
      </c>
      <c r="CK380" s="545">
        <f t="shared" si="716"/>
        <v>2.5074626865671639</v>
      </c>
      <c r="CL380" s="545">
        <f>IF(AND($O380&gt;0,Sheet1!EN382=1),(1-($O380-Sheet1!$L382)/$O380)*CF380,0)</f>
        <v>0</v>
      </c>
      <c r="CM380" s="545" t="e">
        <f>IF(AND(Sheet1!$L382=0,Sheet1!$L381=0, Calculation!CE380&lt;Sheet1!EJ382-0.1,Sheet1!EJ382=Sheet1!EJ381,Sheet1!EJ382=Sheet1!EJ383),Sheet1!EJ382,CF380-CL380)</f>
        <v>#N/A</v>
      </c>
      <c r="CN380" s="545"/>
      <c r="CO380" s="560"/>
      <c r="CP380" s="560">
        <f t="shared" si="717"/>
        <v>0</v>
      </c>
      <c r="CQ380" s="560"/>
      <c r="CR380" s="560">
        <f ca="1">IF(B380&gt;Summary!$A$1,#N/A,CP380*MGtoAF)</f>
        <v>0</v>
      </c>
      <c r="CS380" s="560">
        <f>Sheet1!BK382+Sheet1!BL382+Sheet1!BM382-Sheet1!ER382-DA380</f>
        <v>6.48</v>
      </c>
      <c r="CT380" s="560">
        <f t="shared" si="718"/>
        <v>6.4477611940298507</v>
      </c>
      <c r="CU380" s="560">
        <f>IF(Sheet1!ER382="FM",DA380,0)</f>
        <v>0</v>
      </c>
      <c r="CV380" s="560">
        <f t="shared" si="719"/>
        <v>0</v>
      </c>
      <c r="CW380" s="560">
        <f>IF(Sheet1!ER382="OTHER",DA380,0)</f>
        <v>0</v>
      </c>
      <c r="CX380" s="560">
        <f t="shared" si="720"/>
        <v>0</v>
      </c>
      <c r="CY380" s="560">
        <f t="shared" si="721"/>
        <v>6.48</v>
      </c>
      <c r="CZ380" s="560">
        <f t="shared" si="722"/>
        <v>6.4477611940298507</v>
      </c>
      <c r="DA380" s="560">
        <f>IF(OR(Sheet1!ER382="FM", Sheet1!ER382="OTHER"),SUM(Sheet1!BK382:'Sheet1'!BM382),0)</f>
        <v>0</v>
      </c>
      <c r="DB380" s="545">
        <f>IF(AND($B380&gt;=$FV380,$B380&lt;=$FW380),MAX($CT380,Sheet1!EK382,0),MAX($CT380-(7/36)*$K380,0))</f>
        <v>0</v>
      </c>
      <c r="DC380" s="560">
        <f t="shared" si="723"/>
        <v>0</v>
      </c>
      <c r="DD380" s="545">
        <f t="shared" si="724"/>
        <v>6.4477611940298507</v>
      </c>
      <c r="DE380" s="545">
        <f>IF(AND($O380&gt;0,Sheet1!EO382=1),(1-($O380-Sheet1!$L382)/$O380)*CZ380,0)</f>
        <v>0</v>
      </c>
      <c r="DF380" s="545" t="e">
        <f>IF(AND(Sheet1!$L382=0,Sheet1!$L381=0, Calculation!CY380&lt;Sheet1!$EK382-0.1,Sheet1!$EK382=Sheet1!$EK381,Sheet1!$EK382=Sheet1!$EK383),Sheet1!$EK382,CZ380-DE380)</f>
        <v>#N/A</v>
      </c>
      <c r="DG380" s="545"/>
      <c r="DH380" s="560">
        <f t="shared" si="725"/>
        <v>9</v>
      </c>
      <c r="DI380" s="560">
        <f t="shared" si="726"/>
        <v>0</v>
      </c>
      <c r="DJ380" s="698">
        <f t="shared" si="727"/>
        <v>8.9552238805970141</v>
      </c>
      <c r="DK380" s="560">
        <f ca="1">IF(B380&gt;Summary!$A$1,#N/A,DI380*MGtoAF)</f>
        <v>0</v>
      </c>
      <c r="DL380" s="698">
        <f t="shared" si="728"/>
        <v>9</v>
      </c>
      <c r="DM380" s="560">
        <f t="shared" si="729"/>
        <v>20.100000000000001</v>
      </c>
      <c r="DN380" s="560">
        <f>Sheet1!AB382-DM380</f>
        <v>-0.10000000000000142</v>
      </c>
      <c r="DO380" s="560">
        <f t="shared" si="730"/>
        <v>-4.9751243781095229E-3</v>
      </c>
      <c r="DP380" s="560">
        <f>(VLOOKUP(Sheet1!DC382,hhdcap_wcm,4)-(((VLOOKUP(Sheet1!DC382,hhdcap_wcm,3)-Sheet1!DC382)/(VLOOKUP(Sheet1!DC382,hhdcap_wcm,3)-VLOOKUP(Sheet1!DC382,hhdcap_wcm,1)))*(VLOOKUP(Sheet1!DC382,hhdcap_wcm,4)-VLOOKUP(Sheet1!DC382,hhdcap_wcm,2))))</f>
        <v>1203.0000000033106</v>
      </c>
      <c r="DQ380" s="560">
        <f t="shared" si="731"/>
        <v>-320.00000000054115</v>
      </c>
      <c r="DR380" s="560">
        <f t="shared" si="732"/>
        <v>-161.37165910264301</v>
      </c>
      <c r="DS380" s="560">
        <f>Sheet1!EA382*AFtoMG</f>
        <v>0</v>
      </c>
      <c r="DT380" s="560">
        <f>Sheet1!EB382*AFtoMG</f>
        <v>0</v>
      </c>
      <c r="DU380" s="560">
        <f>Sheet1!EC382*AFtoMG</f>
        <v>0</v>
      </c>
      <c r="DV380" s="560">
        <f>Sheet1!ED382*AFtoMG</f>
        <v>0</v>
      </c>
      <c r="DW380" s="560">
        <f t="shared" si="733"/>
        <v>0</v>
      </c>
      <c r="DX380" s="560">
        <f t="shared" si="734"/>
        <v>0</v>
      </c>
      <c r="DY380" s="560">
        <f t="shared" si="735"/>
        <v>0</v>
      </c>
      <c r="DZ380" s="560">
        <f t="shared" si="736"/>
        <v>0</v>
      </c>
      <c r="EA380" s="560"/>
      <c r="EB380" s="545">
        <f>IF(OR(B380&lt;FV380,B380&gt;FW380),(MIN(BF380+BY380+CT380+MAX(Sheet1!AA382+AQ380-73,0),K380)),0)</f>
        <v>8.9552238805970141</v>
      </c>
      <c r="EC380" s="560"/>
      <c r="ED380" s="560">
        <f t="shared" si="737"/>
        <v>8.9552238805970141</v>
      </c>
      <c r="EE380" s="560"/>
      <c r="EF380" s="560">
        <f>Sheet1!EH382+Sheet1!EI382+Sheet1!EJ382+Sheet1!EK382</f>
        <v>0</v>
      </c>
      <c r="EG380" s="560"/>
      <c r="EH380" s="545">
        <f t="shared" si="738"/>
        <v>0</v>
      </c>
      <c r="EI380" s="560">
        <f>IF(Sheet1!ET382=1,SUM('Calculations II'!AT380:BA380)+'Calculations II'!BC380+Sheet1!BV382+'Calculations II'!BE380+AP380,SUM('Calculations II'!AT380:BA380)+'Calculations II'!BC380+Sheet1!BV382+'Calculations II'!BE380+AP380)</f>
        <v>47.247440000000005</v>
      </c>
      <c r="EJ380" s="560">
        <f>Sheet1!AA382+Sheet1!AB382+'Calculations II'!BC380</f>
        <v>50.061376000000003</v>
      </c>
      <c r="EK380" s="560"/>
      <c r="EL380" s="560"/>
      <c r="EM380" s="560">
        <f t="shared" si="739"/>
        <v>42008</v>
      </c>
      <c r="EN380" s="560">
        <f t="shared" si="740"/>
        <v>0</v>
      </c>
      <c r="EO380" s="560">
        <f t="shared" si="741"/>
        <v>0</v>
      </c>
      <c r="EP380" s="560">
        <v>0</v>
      </c>
      <c r="EQ380" s="560">
        <v>0</v>
      </c>
      <c r="ER380" s="560">
        <v>0</v>
      </c>
      <c r="ES380" s="545">
        <f t="shared" si="660"/>
        <v>1.6564387065358237</v>
      </c>
      <c r="ET380" s="560">
        <f>-(VLOOKUP(Sheet1!BQ382,Lookup!$O$4:$Q$262,2)-VLOOKUP(Sheet1!BQ381,Lookup!$O$4:$Q$262,2))/1000000</f>
        <v>0.82816177200914542</v>
      </c>
      <c r="EU380" s="560">
        <f>-(VLOOKUP(Sheet1!BR382,Lookup!$O$4:$Q$262,3)-VLOOKUP(Sheet1!BR381,Lookup!$O$4:$Q$262,3))/1000000</f>
        <v>0.82827693452667817</v>
      </c>
      <c r="EV380" s="560"/>
      <c r="EW380" s="560"/>
      <c r="EX380" s="560"/>
      <c r="EY380" s="560"/>
      <c r="EZ380" s="560"/>
      <c r="FA380" s="560"/>
      <c r="FB380" s="560"/>
      <c r="FC380" s="560"/>
      <c r="FD380" s="594" t="e">
        <f t="shared" si="742"/>
        <v>#N/A</v>
      </c>
      <c r="FE380" s="594" t="e">
        <f t="shared" si="743"/>
        <v>#N/A</v>
      </c>
      <c r="FF380" s="595" t="e">
        <f t="shared" si="744"/>
        <v>#N/A</v>
      </c>
      <c r="FG380" s="596" t="s">
        <v>692</v>
      </c>
      <c r="FH380" s="596" t="s">
        <v>692</v>
      </c>
      <c r="FI380" s="594" t="e">
        <v>#N/A</v>
      </c>
      <c r="FK380" s="560"/>
      <c r="FL380" s="560"/>
      <c r="FM380" s="560"/>
      <c r="FN380" s="560"/>
      <c r="FO380" s="560">
        <f>O380+((Sheet1!CS382)*GPMtoMGD)</f>
        <v>50.061376000000003</v>
      </c>
      <c r="FP380" s="560" t="e">
        <f>IF(Sheet1!AA382+AQ380&lt;=Calculation!N380,AQ380,Calculation!N380-Sheet1!AA382)</f>
        <v>#N/A</v>
      </c>
      <c r="FQ380" s="560">
        <f>(Sheet1!BP382+Sheet1!BO382)/694.4</f>
        <v>1.0518433179723503</v>
      </c>
      <c r="FR380" s="560"/>
      <c r="FS380" s="560"/>
      <c r="FT380" s="560"/>
      <c r="FU380" s="560"/>
      <c r="FV380" s="695">
        <f t="shared" si="661"/>
        <v>41827</v>
      </c>
      <c r="FW380" s="695">
        <f t="shared" si="662"/>
        <v>41934</v>
      </c>
      <c r="FX380" s="560"/>
      <c r="FY380" s="560"/>
      <c r="FZ380" s="560"/>
      <c r="GA380" s="560"/>
      <c r="GB380" s="560" t="str">
        <f t="shared" si="663"/>
        <v>n</v>
      </c>
      <c r="GC380" s="564">
        <f t="shared" si="664"/>
        <v>41691</v>
      </c>
      <c r="GD380" s="695">
        <f t="shared" si="665"/>
        <v>41807</v>
      </c>
      <c r="GE380" s="560">
        <v>6518.9</v>
      </c>
      <c r="GF380" s="695">
        <f t="shared" si="666"/>
        <v>41808</v>
      </c>
      <c r="GG380" s="560">
        <f t="shared" si="686"/>
        <v>3259</v>
      </c>
      <c r="GH380" s="564">
        <f t="shared" si="667"/>
        <v>41934</v>
      </c>
      <c r="GJ380" s="545">
        <f t="shared" si="668"/>
        <v>0</v>
      </c>
      <c r="GK380" s="560" t="str">
        <f t="shared" si="745"/>
        <v/>
      </c>
      <c r="GL380" s="560">
        <f t="shared" si="669"/>
        <v>0</v>
      </c>
      <c r="GM380" s="560" t="str">
        <f t="shared" si="670"/>
        <v/>
      </c>
      <c r="GN380" s="560">
        <f>IF(GK380="P",Lookup!$M$12,IF(GK380="PP",Lookup!$M$13,IF(GK380="PPP",Lookup!$M$14,IF(GK380="T",Lookup!$M$15,IF(GK380="TP",Lookup!$M$16,IF(GK380="TPP",Lookup!$M$17,IF(GK380="TPPP",Lookup!$M$18,0)))))))*GJ380</f>
        <v>0</v>
      </c>
      <c r="GO380" s="560">
        <f t="shared" si="671"/>
        <v>0</v>
      </c>
      <c r="GP380" s="560">
        <f t="shared" si="746"/>
        <v>0</v>
      </c>
      <c r="GQ380" s="560">
        <f t="shared" si="679"/>
        <v>0</v>
      </c>
      <c r="GR380" s="560"/>
      <c r="GS380" s="560">
        <f t="shared" si="672"/>
        <v>0</v>
      </c>
      <c r="GT380" s="560" t="str">
        <f t="shared" si="673"/>
        <v/>
      </c>
      <c r="GU380" s="560">
        <f>IF(GK380="P",Lookup!$N$12,IF(GK380="PP",Lookup!$N$13,IF(GK380="PPP",Lookup!$N$14,IF(GK380="T",Lookup!$N$15,IF(GK380="TP",Lookup!$N$16,IF(GK380="TPP",Lookup!$N$17,IF(GK380="TPPP",Lookup!$N$18,0)))))))*GJ380</f>
        <v>0</v>
      </c>
      <c r="GV380" s="560">
        <f t="shared" si="674"/>
        <v>0</v>
      </c>
      <c r="GW380" s="560">
        <f t="shared" si="747"/>
        <v>0</v>
      </c>
      <c r="GX380" s="560">
        <f t="shared" si="680"/>
        <v>0</v>
      </c>
      <c r="GY380" s="560"/>
      <c r="GZ380" s="560">
        <f t="shared" si="675"/>
        <v>0</v>
      </c>
      <c r="HA380" s="560" t="str">
        <f t="shared" si="676"/>
        <v/>
      </c>
      <c r="HB380" s="560">
        <f>IF(GK380="P",Lookup!$N$12,IF(GK380="PP",Lookup!$N$13,IF(GK380="PPP",Lookup!$N$14,IF(GK380="T",Lookup!$N$15,IF(GK380="TP",Lookup!$N$16,IF(GK380="TPP",Lookup!$N$17,IF(GK380="TPPP",Lookup!$N$18,0)))))))*GJ380</f>
        <v>0</v>
      </c>
      <c r="HC380" s="545">
        <f t="shared" si="748"/>
        <v>0</v>
      </c>
      <c r="HD380" s="560">
        <f t="shared" si="749"/>
        <v>0</v>
      </c>
      <c r="HE380" s="560">
        <f t="shared" si="681"/>
        <v>0</v>
      </c>
      <c r="HF380" s="560"/>
      <c r="HG380" s="560">
        <f t="shared" si="677"/>
        <v>0</v>
      </c>
      <c r="HH380" s="560" t="str">
        <f t="shared" si="678"/>
        <v/>
      </c>
      <c r="HI380" s="560">
        <f>IF(GK380="P",Lookup!$N$12,IF(GK380="PP",Lookup!$N$13,IF(GK380="PPP",Lookup!$N$14,IF(GK380="T",Lookup!$N$15,IF(GK380="TP",Lookup!$N$16,IF(GK380="TPP",Lookup!$N$17,IF(GK380="TPPP",Lookup!$N$18,0)))))))*GJ380</f>
        <v>0</v>
      </c>
      <c r="HJ380" s="545">
        <f t="shared" si="750"/>
        <v>0</v>
      </c>
      <c r="HK380" s="560">
        <f t="shared" si="751"/>
        <v>0</v>
      </c>
      <c r="HL380" s="560">
        <f t="shared" si="682"/>
        <v>0</v>
      </c>
    </row>
    <row r="381" spans="1:220">
      <c r="A381" s="555"/>
      <c r="B381" s="556">
        <v>42009</v>
      </c>
      <c r="C381" s="561">
        <v>0</v>
      </c>
      <c r="D381" s="529">
        <f t="shared" si="684"/>
        <v>300</v>
      </c>
      <c r="E381" s="529">
        <f t="shared" si="685"/>
        <v>250</v>
      </c>
      <c r="F381" s="529">
        <v>250</v>
      </c>
      <c r="G381" s="560" t="e">
        <f>DR381+Sheet1!CZ383</f>
        <v>#N/A</v>
      </c>
      <c r="H381" s="914" t="e">
        <f t="shared" si="650"/>
        <v>#N/A</v>
      </c>
      <c r="I381" s="559">
        <f>MAX(Sheet1!Z383-AT381+(Sheet1!DA383-E381)*CFStoMGD,0)</f>
        <v>0</v>
      </c>
      <c r="J381" s="562">
        <f>IF(AND(B381&gt;=Calculation!GC381,B381&lt;=Calculation!GD381),IF(Sheet1!DB383&gt;=Calculation!D381,64.64,0),MAX(Sheet1!Z383-AT381+(Sheet1!DB383-D381)*CFStoMGD,0))</f>
        <v>0</v>
      </c>
      <c r="K381" s="904" t="e">
        <f t="shared" si="687"/>
        <v>#N/A</v>
      </c>
      <c r="L381" s="560">
        <f>Sheet1!AA383+Sheet1!AB383-Sheet1!L383+(Sheet1!DA383-F381)*CFStoMGD</f>
        <v>-161.6</v>
      </c>
      <c r="M381" s="560" t="e">
        <f t="shared" si="688"/>
        <v>#N/A</v>
      </c>
      <c r="N381" s="910">
        <f>IF(Sheet1!DA383&gt;=F381,MIN(73,MIN(MAX(L381,0),MAX(M381,0))),0)</f>
        <v>0</v>
      </c>
      <c r="O381" s="563">
        <f>Sheet1!AA383+Sheet1!AB383</f>
        <v>0</v>
      </c>
      <c r="P381" s="563">
        <f t="shared" si="689"/>
        <v>0</v>
      </c>
      <c r="Q381" s="898" t="e">
        <f t="shared" si="651"/>
        <v>#N/A</v>
      </c>
      <c r="R381" s="829" t="e">
        <f t="shared" si="690"/>
        <v>#N/A</v>
      </c>
      <c r="S381" s="898" t="e">
        <f t="shared" si="683"/>
        <v>#N/A</v>
      </c>
      <c r="T381" s="898">
        <f t="shared" si="652"/>
        <v>0</v>
      </c>
      <c r="U381" s="898">
        <f t="shared" si="653"/>
        <v>0</v>
      </c>
      <c r="V381" s="898"/>
      <c r="W381" s="898" t="e">
        <f t="shared" si="654"/>
        <v>#N/A</v>
      </c>
      <c r="X381" s="898" t="e">
        <f t="shared" si="655"/>
        <v>#N/A</v>
      </c>
      <c r="Y381" s="898" t="e">
        <f t="shared" si="656"/>
        <v>#N/A</v>
      </c>
      <c r="Z381" s="898">
        <f t="shared" si="657"/>
        <v>0</v>
      </c>
      <c r="AA381" s="898" t="e">
        <f t="shared" si="658"/>
        <v>#N/A</v>
      </c>
      <c r="AB381" s="898" t="e">
        <f t="shared" si="659"/>
        <v>#N/A</v>
      </c>
      <c r="AC381" s="563">
        <f>Sheet1!Y383*MGDtoCFS</f>
        <v>0</v>
      </c>
      <c r="AD381" s="563">
        <f>Sheet1!Z383*MGDtoCFS</f>
        <v>0</v>
      </c>
      <c r="AE381" s="563">
        <f>Sheet1!AA383*MGDtoCFS</f>
        <v>0</v>
      </c>
      <c r="AF381" s="563">
        <f>Sheet1!AB383*MGDtoCFS</f>
        <v>0</v>
      </c>
      <c r="AG381" s="563">
        <f>Sheet1!L383*MGDtoCFS</f>
        <v>0</v>
      </c>
      <c r="AH381" s="545" t="e">
        <f t="shared" si="691"/>
        <v>#N/A</v>
      </c>
      <c r="AI381" s="560" t="e">
        <f t="shared" si="692"/>
        <v>#N/A</v>
      </c>
      <c r="AJ381" s="560">
        <f t="shared" si="693"/>
        <v>0</v>
      </c>
      <c r="AK381" s="560">
        <f t="shared" si="694"/>
        <v>0</v>
      </c>
      <c r="AL381" s="560" t="e">
        <f>(VLOOKUP(Sheet1!DC383,hhdcap_wcm,4)-(((VLOOKUP(Sheet1!DC383,hhdcap_wcm,3)-Sheet1!DC383)/(VLOOKUP(Sheet1!DC383,hhdcap_wcm,3)-VLOOKUP(Sheet1!DC383,hhdcap_wcm,1)))*(VLOOKUP(Sheet1!DC383,hhdcap_wcm,4)-VLOOKUP(Sheet1!DC383,hhdcap_wcm,2))))</f>
        <v>#N/A</v>
      </c>
      <c r="AM381" s="560" t="e">
        <f t="shared" si="695"/>
        <v>#N/A</v>
      </c>
      <c r="AN381" s="560">
        <f t="shared" si="696"/>
        <v>0</v>
      </c>
      <c r="AO381" s="560">
        <f t="shared" si="697"/>
        <v>0</v>
      </c>
      <c r="AP381" s="560">
        <f>Sheet1!BA383+Sheet1!BB383+Sheet1!BN383+CD381</f>
        <v>0</v>
      </c>
      <c r="AQ381" s="560">
        <f>Sheet1!BN383+(DO381*Sheet1!BN383)</f>
        <v>0</v>
      </c>
      <c r="AR381" s="560">
        <f>Sheet1!BA383+CD381</f>
        <v>0</v>
      </c>
      <c r="AS381" s="560">
        <f>Sheet1!BA383+Sheet1!BB383+CD381</f>
        <v>0</v>
      </c>
      <c r="AT381" s="698">
        <f>0</f>
        <v>0</v>
      </c>
      <c r="AU381" s="560" t="e">
        <f>IF(EB381&lt;K381,0,MAX(Sheet1!AA383+AQ381-15/36*K381-N381,Sheet1!EH383,0))</f>
        <v>#N/A</v>
      </c>
      <c r="AV381" s="560">
        <f>IF(OR(B381&gt;=GD381,B381&lt;GC381),0,15/36*K381-MAX(0,64.6-(137.6-(Sheet1!AA383+Sheet1!AB383))))</f>
        <v>0</v>
      </c>
      <c r="AW381" s="698">
        <f>Sheet1!DB383-110</f>
        <v>-110</v>
      </c>
      <c r="AX381" s="698">
        <f>Sheet1!DA383-265</f>
        <v>-265</v>
      </c>
      <c r="AY381" s="698" t="e">
        <f t="shared" si="698"/>
        <v>#N/A</v>
      </c>
      <c r="AZ381" s="698">
        <v>0</v>
      </c>
      <c r="BA381" s="698">
        <f t="shared" si="699"/>
        <v>0</v>
      </c>
      <c r="BB381" s="560">
        <f t="shared" si="700"/>
        <v>0</v>
      </c>
      <c r="BC381" s="560"/>
      <c r="BD381" s="560">
        <f ca="1">IF(B381&gt;Summary!$A$1,#N/A,BB381*MGtoAF)</f>
        <v>0</v>
      </c>
      <c r="BE381" s="560">
        <f>Sheet1!BG383+Sheet1!BH383+Sheet1!BI383-BM381</f>
        <v>0</v>
      </c>
      <c r="BF381" s="560">
        <f t="shared" si="701"/>
        <v>0</v>
      </c>
      <c r="BG381" s="560">
        <f>IF(Sheet1!EP383="FM",BM381,0)</f>
        <v>0</v>
      </c>
      <c r="BH381" s="560">
        <f t="shared" si="702"/>
        <v>0</v>
      </c>
      <c r="BI381" s="560">
        <f>IF(Sheet1!EP383="OTHER",BM381,0)</f>
        <v>0</v>
      </c>
      <c r="BJ381" s="560">
        <f t="shared" si="703"/>
        <v>0</v>
      </c>
      <c r="BK381" s="560">
        <f t="shared" si="704"/>
        <v>0</v>
      </c>
      <c r="BL381" s="560">
        <f t="shared" si="705"/>
        <v>0</v>
      </c>
      <c r="BM381" s="560">
        <f>IF(OR(Sheet1!EP383="FM", Sheet1!EP383="OTHER"),SUM(Sheet1!BG383:'Sheet1'!BI383),0)</f>
        <v>0</v>
      </c>
      <c r="BN381" s="545" t="e">
        <f>IF(AND($B381&gt;=$FV381,$B381&lt;=$FW381),MAX(BF381,Sheet1!EI383,0),MAX(BF381-(7/36)*$K381,0))</f>
        <v>#N/A</v>
      </c>
      <c r="BO381" s="560">
        <f t="shared" si="706"/>
        <v>0</v>
      </c>
      <c r="BP381" s="545" t="e">
        <f t="shared" si="707"/>
        <v>#N/A</v>
      </c>
      <c r="BQ381" s="545">
        <f>IF(AND($O381&gt;0,Sheet1!EM383=1),(1-($O381-Sheet1!$L383)/$O381)*BL381,0)</f>
        <v>0</v>
      </c>
      <c r="BR381" s="545" t="e">
        <f>IF(AND(Sheet1!$L383=0,Sheet1!$L382=0, Calculation!BK381&lt;Sheet1!$EI383-0.1,Sheet1!$EI383=Sheet1!$EI382,Sheet1!$EI383=Sheet1!#REF!),Sheet1!$EI383,BL381-BQ381)</f>
        <v>#N/A</v>
      </c>
      <c r="BS381" s="560"/>
      <c r="BT381" s="560"/>
      <c r="BU381" s="560">
        <f t="shared" si="708"/>
        <v>0</v>
      </c>
      <c r="BV381" s="560"/>
      <c r="BW381" s="560">
        <f ca="1">IF(B381&gt;Summary!$A$1,#N/A,BU381*MGtoAF)</f>
        <v>0</v>
      </c>
      <c r="BX381" s="560">
        <f>Sheet1!BC383+Sheet1!BD383+Sheet1!BE383+Sheet1!BF383-CG381-CH381</f>
        <v>0</v>
      </c>
      <c r="BY381" s="560">
        <f t="shared" si="709"/>
        <v>0</v>
      </c>
      <c r="BZ381" s="560">
        <f>IF(Sheet1!EQ383="FM",CH381,0)</f>
        <v>0</v>
      </c>
      <c r="CA381" s="560">
        <f t="shared" si="710"/>
        <v>0</v>
      </c>
      <c r="CB381" s="560">
        <f>IF(Sheet1!EQ383="OTHER",CH381,0)</f>
        <v>0</v>
      </c>
      <c r="CC381" s="560">
        <f t="shared" si="711"/>
        <v>0</v>
      </c>
      <c r="CD381" s="560">
        <f t="shared" si="712"/>
        <v>0</v>
      </c>
      <c r="CE381" s="560">
        <f t="shared" si="713"/>
        <v>0</v>
      </c>
      <c r="CF381" s="560">
        <f t="shared" si="714"/>
        <v>0</v>
      </c>
      <c r="CG381" s="560">
        <f>IF(Sheet1!EQ383="CWA",SUM(Sheet1!BC383:'Sheet1'!BF383),0)</f>
        <v>0</v>
      </c>
      <c r="CH381" s="560">
        <f>IF(OR(Sheet1!EQ383="FM", Sheet1!EQ383="OTHER"),SUM(Sheet1!BC383:'Sheet1'!BF383),0)</f>
        <v>0</v>
      </c>
      <c r="CI381" s="545" t="e">
        <f>IF(AND($B381&gt;=$FV381,$B381&lt;=$FW381),MAX(CF381,Sheet1!EJ383,0),MAX(CF381-(7/36)*$K381,0))</f>
        <v>#N/A</v>
      </c>
      <c r="CJ381" s="560">
        <f t="shared" si="715"/>
        <v>0</v>
      </c>
      <c r="CK381" s="545" t="e">
        <f t="shared" si="716"/>
        <v>#N/A</v>
      </c>
      <c r="CL381" s="545">
        <f>IF(AND($O381&gt;0,Sheet1!EN383=1),(1-($O381-Sheet1!$L383)/$O381)*CF381,0)</f>
        <v>0</v>
      </c>
      <c r="CM381" s="545" t="e">
        <f>IF(AND(Sheet1!$L383=0,Sheet1!$L382=0, Calculation!CE381&lt;Sheet1!EJ383-0.1,Sheet1!EJ383=Sheet1!EJ382,Sheet1!EJ383=Sheet1!#REF!),Sheet1!EJ383,CF381-CL381)</f>
        <v>#N/A</v>
      </c>
      <c r="CN381" s="545"/>
      <c r="CO381" s="560"/>
      <c r="CP381" s="560">
        <f t="shared" si="717"/>
        <v>0</v>
      </c>
      <c r="CQ381" s="560"/>
      <c r="CR381" s="560">
        <f ca="1">IF(B381&gt;Summary!$A$1,#N/A,CP381*MGtoAF)</f>
        <v>0</v>
      </c>
      <c r="CS381" s="560">
        <f>Sheet1!BK383+Sheet1!BL383+Sheet1!BM383-Sheet1!ER383-DA381</f>
        <v>0</v>
      </c>
      <c r="CT381" s="560">
        <f t="shared" si="718"/>
        <v>0</v>
      </c>
      <c r="CU381" s="560">
        <f>IF(Sheet1!ER383="FM",DA381,0)</f>
        <v>0</v>
      </c>
      <c r="CV381" s="560">
        <f t="shared" si="719"/>
        <v>0</v>
      </c>
      <c r="CW381" s="560">
        <f>IF(Sheet1!ER383="OTHER",DA381,0)</f>
        <v>0</v>
      </c>
      <c r="CX381" s="560">
        <f t="shared" si="720"/>
        <v>0</v>
      </c>
      <c r="CY381" s="560">
        <f t="shared" si="721"/>
        <v>0</v>
      </c>
      <c r="CZ381" s="560">
        <f t="shared" si="722"/>
        <v>0</v>
      </c>
      <c r="DA381" s="560">
        <f>IF(OR(Sheet1!ER383="FM", Sheet1!ER383="OTHER"),SUM(Sheet1!BK383:'Sheet1'!BM383),0)</f>
        <v>0</v>
      </c>
      <c r="DB381" s="545" t="e">
        <f>IF(AND($B381&gt;=$FV381,$B381&lt;=$FW381),MAX($CT381,Sheet1!EK383,0),MAX($CT381-(7/36)*$K381,0))</f>
        <v>#N/A</v>
      </c>
      <c r="DC381" s="560">
        <f t="shared" si="723"/>
        <v>0</v>
      </c>
      <c r="DD381" s="545" t="e">
        <f t="shared" si="724"/>
        <v>#N/A</v>
      </c>
      <c r="DE381" s="545">
        <f>IF(AND($O381&gt;0,Sheet1!EO383=1),(1-($O381-Sheet1!$L383)/$O381)*CZ381,0)</f>
        <v>0</v>
      </c>
      <c r="DF381" s="545" t="e">
        <f>IF(AND(Sheet1!$L383=0,Sheet1!$L382=0, Calculation!CY381&lt;Sheet1!$EK383-0.1,Sheet1!$EK383=Sheet1!$EK382,Sheet1!$EK383=Sheet1!#REF!),Sheet1!$EK383,CZ381-DE381)</f>
        <v>#N/A</v>
      </c>
      <c r="DG381" s="545"/>
      <c r="DH381" s="560">
        <f t="shared" si="725"/>
        <v>0</v>
      </c>
      <c r="DI381" s="560">
        <f t="shared" si="726"/>
        <v>0</v>
      </c>
      <c r="DJ381" s="698">
        <f t="shared" si="727"/>
        <v>0</v>
      </c>
      <c r="DK381" s="560">
        <f ca="1">IF(B381&gt;Summary!$A$1,#N/A,DI381*MGtoAF)</f>
        <v>0</v>
      </c>
      <c r="DL381" s="698">
        <f t="shared" si="728"/>
        <v>0</v>
      </c>
      <c r="DM381" s="560">
        <f t="shared" si="729"/>
        <v>0</v>
      </c>
      <c r="DN381" s="560">
        <f>Sheet1!AB383-DM381</f>
        <v>0</v>
      </c>
      <c r="DO381" s="560">
        <f t="shared" si="730"/>
        <v>0</v>
      </c>
      <c r="DP381" s="560" t="e">
        <f>(VLOOKUP(Sheet1!DC383,hhdcap_wcm,4)-(((VLOOKUP(Sheet1!DC383,hhdcap_wcm,3)-Sheet1!DC383)/(VLOOKUP(Sheet1!DC383,hhdcap_wcm,3)-VLOOKUP(Sheet1!DC383,hhdcap_wcm,1)))*(VLOOKUP(Sheet1!DC383,hhdcap_wcm,4)-VLOOKUP(Sheet1!DC383,hhdcap_wcm,2))))</f>
        <v>#N/A</v>
      </c>
      <c r="DQ381" s="560" t="e">
        <f t="shared" si="731"/>
        <v>#N/A</v>
      </c>
      <c r="DR381" s="560" t="e">
        <f t="shared" si="732"/>
        <v>#N/A</v>
      </c>
      <c r="DS381" s="560">
        <f>Sheet1!EA383*AFtoMG</f>
        <v>0</v>
      </c>
      <c r="DT381" s="560">
        <f>Sheet1!EB383*AFtoMG</f>
        <v>0</v>
      </c>
      <c r="DU381" s="560">
        <f>Sheet1!EC383*AFtoMG</f>
        <v>0</v>
      </c>
      <c r="DV381" s="560">
        <f>Sheet1!ED383*AFtoMG</f>
        <v>0</v>
      </c>
      <c r="DW381" s="560">
        <f t="shared" si="733"/>
        <v>0</v>
      </c>
      <c r="DX381" s="560">
        <f t="shared" si="734"/>
        <v>0</v>
      </c>
      <c r="DY381" s="560">
        <f t="shared" si="735"/>
        <v>0</v>
      </c>
      <c r="DZ381" s="560">
        <f t="shared" si="736"/>
        <v>0</v>
      </c>
      <c r="EA381" s="560"/>
      <c r="EB381" s="545" t="e">
        <f>IF(OR(B381&lt;FV381,B381&gt;FW381),(MIN(BF381+BY381+CT381+MAX(Sheet1!AA383+AQ381-73,0),K381)),0)</f>
        <v>#N/A</v>
      </c>
      <c r="EC381" s="560"/>
      <c r="ED381" s="560">
        <f t="shared" si="737"/>
        <v>0</v>
      </c>
      <c r="EE381" s="560"/>
      <c r="EF381" s="560">
        <f>Sheet1!EH383+Sheet1!EI383+Sheet1!EJ383+Sheet1!EK383</f>
        <v>0</v>
      </c>
      <c r="EG381" s="560"/>
      <c r="EH381" s="545" t="e">
        <f t="shared" si="738"/>
        <v>#N/A</v>
      </c>
      <c r="EI381" s="560">
        <f>IF(Sheet1!ET383=1,SUM('Calculations II'!AT381:BA381)+'Calculations II'!BC381+Sheet1!BV383+'Calculations II'!BE381+AP381,SUM('Calculations II'!AT381:BA381)+'Calculations II'!BC381+Sheet1!BV383+'Calculations II'!BE381+AP381)</f>
        <v>0</v>
      </c>
      <c r="EJ381" s="560">
        <f>Sheet1!AA383+Sheet1!AB383+'Calculations II'!BC381</f>
        <v>0</v>
      </c>
      <c r="EK381" s="560"/>
      <c r="EL381" s="560"/>
      <c r="EM381" s="560">
        <f t="shared" si="739"/>
        <v>42009</v>
      </c>
      <c r="EN381" s="560" t="e">
        <f t="shared" si="740"/>
        <v>#N/A</v>
      </c>
      <c r="EO381" s="560" t="e">
        <f t="shared" si="741"/>
        <v>#N/A</v>
      </c>
      <c r="EP381" s="560">
        <v>0</v>
      </c>
      <c r="EQ381" s="560">
        <v>0</v>
      </c>
      <c r="ER381" s="560">
        <v>0</v>
      </c>
      <c r="ES381" s="545">
        <f t="shared" si="660"/>
        <v>31.787077842060341</v>
      </c>
      <c r="ET381" s="560">
        <f>-(VLOOKUP(Sheet1!BQ383,Lookup!$O$4:$Q$262,2)-VLOOKUP(Sheet1!BQ382,Lookup!$O$4:$Q$262,2))/1000000</f>
        <v>15.686512872843752</v>
      </c>
      <c r="EU381" s="560">
        <f>-(VLOOKUP(Sheet1!BR383,Lookup!$O$4:$Q$262,3)-VLOOKUP(Sheet1!BR382,Lookup!$O$4:$Q$262,3))/1000000</f>
        <v>16.100564969216588</v>
      </c>
      <c r="EV381" s="560"/>
      <c r="EW381" s="560"/>
      <c r="EX381" s="560"/>
      <c r="EY381" s="560"/>
      <c r="EZ381" s="560"/>
      <c r="FA381" s="560"/>
      <c r="FB381" s="560"/>
      <c r="FC381" s="560"/>
      <c r="FD381" s="594" t="e">
        <f t="shared" si="742"/>
        <v>#N/A</v>
      </c>
      <c r="FE381" s="594" t="e">
        <f t="shared" si="743"/>
        <v>#N/A</v>
      </c>
      <c r="FF381" s="595" t="e">
        <f t="shared" si="744"/>
        <v>#N/A</v>
      </c>
      <c r="FG381" s="596" t="s">
        <v>692</v>
      </c>
      <c r="FH381" s="596" t="s">
        <v>692</v>
      </c>
      <c r="FI381" s="594" t="e">
        <v>#N/A</v>
      </c>
      <c r="FK381" s="560"/>
      <c r="FL381" s="560"/>
      <c r="FM381" s="560"/>
      <c r="FN381" s="560"/>
      <c r="FO381" s="560">
        <f>O381+((Sheet1!CS383)*GPMtoMGD)</f>
        <v>0</v>
      </c>
      <c r="FP381" s="560">
        <f>IF(Sheet1!AA383+AQ381&lt;=Calculation!N381,AQ381,Calculation!N381-Sheet1!AA383)</f>
        <v>0</v>
      </c>
      <c r="FQ381" s="560">
        <f>(Sheet1!BP383+Sheet1!BO383)/694.4</f>
        <v>0</v>
      </c>
      <c r="FR381" s="560"/>
      <c r="FS381" s="560"/>
      <c r="FT381" s="560"/>
      <c r="FU381" s="560"/>
      <c r="FV381" s="695">
        <f t="shared" si="661"/>
        <v>41827</v>
      </c>
      <c r="FW381" s="695">
        <f t="shared" si="662"/>
        <v>41934</v>
      </c>
      <c r="FX381" s="560"/>
      <c r="FY381" s="560"/>
      <c r="FZ381" s="560"/>
      <c r="GA381" s="560"/>
      <c r="GB381" s="560" t="str">
        <f t="shared" si="663"/>
        <v>n</v>
      </c>
      <c r="GC381" s="564">
        <f t="shared" si="664"/>
        <v>41691</v>
      </c>
      <c r="GD381" s="695">
        <f t="shared" si="665"/>
        <v>41807</v>
      </c>
      <c r="GE381" s="560">
        <v>6518.9</v>
      </c>
      <c r="GF381" s="695">
        <f t="shared" si="666"/>
        <v>41808</v>
      </c>
      <c r="GG381" s="560">
        <f t="shared" si="686"/>
        <v>3259</v>
      </c>
      <c r="GH381" s="564">
        <f t="shared" si="667"/>
        <v>41934</v>
      </c>
      <c r="GJ381" s="545">
        <f t="shared" si="668"/>
        <v>0</v>
      </c>
      <c r="GK381" s="560" t="str">
        <f t="shared" si="745"/>
        <v/>
      </c>
      <c r="GL381" s="560">
        <f t="shared" si="669"/>
        <v>0</v>
      </c>
      <c r="GM381" s="560" t="str">
        <f t="shared" si="670"/>
        <v/>
      </c>
      <c r="GN381" s="560">
        <f>IF(GK381="P",Lookup!$M$12,IF(GK381="PP",Lookup!$M$13,IF(GK381="PPP",Lookup!$M$14,IF(GK381="T",Lookup!$M$15,IF(GK381="TP",Lookup!$M$16,IF(GK381="TPP",Lookup!$M$17,IF(GK381="TPPP",Lookup!$M$18,0)))))))*GJ381</f>
        <v>0</v>
      </c>
      <c r="GO381" s="560">
        <f t="shared" si="671"/>
        <v>0</v>
      </c>
      <c r="GP381" s="560">
        <f t="shared" si="746"/>
        <v>0</v>
      </c>
      <c r="GQ381" s="560">
        <f t="shared" si="679"/>
        <v>0</v>
      </c>
      <c r="GR381" s="560"/>
      <c r="GS381" s="560">
        <f t="shared" si="672"/>
        <v>0</v>
      </c>
      <c r="GT381" s="560" t="str">
        <f t="shared" si="673"/>
        <v/>
      </c>
      <c r="GU381" s="560">
        <f>IF(GK381="P",Lookup!$N$12,IF(GK381="PP",Lookup!$N$13,IF(GK381="PPP",Lookup!$N$14,IF(GK381="T",Lookup!$N$15,IF(GK381="TP",Lookup!$N$16,IF(GK381="TPP",Lookup!$N$17,IF(GK381="TPPP",Lookup!$N$18,0)))))))*GJ381</f>
        <v>0</v>
      </c>
      <c r="GV381" s="560">
        <f t="shared" si="674"/>
        <v>0</v>
      </c>
      <c r="GW381" s="560">
        <f t="shared" si="747"/>
        <v>0</v>
      </c>
      <c r="GX381" s="560">
        <f t="shared" si="680"/>
        <v>0</v>
      </c>
      <c r="GY381" s="560"/>
      <c r="GZ381" s="560">
        <f t="shared" si="675"/>
        <v>0</v>
      </c>
      <c r="HA381" s="560" t="str">
        <f t="shared" si="676"/>
        <v/>
      </c>
      <c r="HB381" s="560">
        <f>IF(GK381="P",Lookup!$N$12,IF(GK381="PP",Lookup!$N$13,IF(GK381="PPP",Lookup!$N$14,IF(GK381="T",Lookup!$N$15,IF(GK381="TP",Lookup!$N$16,IF(GK381="TPP",Lookup!$N$17,IF(GK381="TPPP",Lookup!$N$18,0)))))))*GJ381</f>
        <v>0</v>
      </c>
      <c r="HC381" s="545">
        <f t="shared" si="748"/>
        <v>0</v>
      </c>
      <c r="HD381" s="560">
        <f t="shared" si="749"/>
        <v>0</v>
      </c>
      <c r="HE381" s="560">
        <f t="shared" si="681"/>
        <v>0</v>
      </c>
      <c r="HF381" s="560"/>
      <c r="HG381" s="560">
        <f t="shared" si="677"/>
        <v>0</v>
      </c>
      <c r="HH381" s="560" t="str">
        <f t="shared" si="678"/>
        <v/>
      </c>
      <c r="HI381" s="560">
        <f>IF(GK381="P",Lookup!$N$12,IF(GK381="PP",Lookup!$N$13,IF(GK381="PPP",Lookup!$N$14,IF(GK381="T",Lookup!$N$15,IF(GK381="TP",Lookup!$N$16,IF(GK381="TPP",Lookup!$N$17,IF(GK381="TPPP",Lookup!$N$18,0)))))))*GJ381</f>
        <v>0</v>
      </c>
      <c r="HJ381" s="545">
        <f t="shared" si="750"/>
        <v>0</v>
      </c>
      <c r="HK381" s="560">
        <f t="shared" si="751"/>
        <v>0</v>
      </c>
      <c r="HL381" s="560">
        <f t="shared" si="682"/>
        <v>0</v>
      </c>
    </row>
    <row r="382" spans="1:220">
      <c r="A382" s="555"/>
    </row>
    <row r="383" spans="1:220">
      <c r="A383" s="555"/>
    </row>
    <row r="384" spans="1:220">
      <c r="A384" s="555"/>
    </row>
    <row r="385" spans="1:1">
      <c r="A385" s="555"/>
    </row>
    <row r="386" spans="1:1">
      <c r="A386" s="555"/>
    </row>
    <row r="387" spans="1:1">
      <c r="A387" s="555"/>
    </row>
    <row r="388" spans="1:1">
      <c r="A388" s="555"/>
    </row>
    <row r="389" spans="1:1">
      <c r="A389" s="555"/>
    </row>
    <row r="390" spans="1:1">
      <c r="A390" s="555"/>
    </row>
    <row r="391" spans="1:1">
      <c r="A391" s="555"/>
    </row>
    <row r="392" spans="1:1">
      <c r="A392" s="555"/>
    </row>
    <row r="393" spans="1:1">
      <c r="A393" s="555"/>
    </row>
    <row r="394" spans="1:1">
      <c r="A394" s="555"/>
    </row>
    <row r="395" spans="1:1">
      <c r="A395" s="555"/>
    </row>
    <row r="396" spans="1:1">
      <c r="A396" s="555"/>
    </row>
    <row r="397" spans="1:1">
      <c r="A397" s="555"/>
    </row>
    <row r="398" spans="1:1">
      <c r="A398" s="555"/>
    </row>
    <row r="399" spans="1:1">
      <c r="A399" s="555"/>
    </row>
    <row r="400" spans="1:1">
      <c r="A400" s="555"/>
    </row>
    <row r="401" spans="1:1">
      <c r="A401" s="555"/>
    </row>
    <row r="402" spans="1:1">
      <c r="A402" s="555"/>
    </row>
    <row r="403" spans="1:1">
      <c r="A403" s="555"/>
    </row>
    <row r="404" spans="1:1">
      <c r="A404" s="555"/>
    </row>
    <row r="405" spans="1:1">
      <c r="A405" s="555"/>
    </row>
    <row r="406" spans="1:1">
      <c r="A406" s="555"/>
    </row>
    <row r="407" spans="1:1">
      <c r="A407" s="555"/>
    </row>
    <row r="408" spans="1:1">
      <c r="A408" s="555"/>
    </row>
    <row r="409" spans="1:1">
      <c r="A409" s="555"/>
    </row>
    <row r="410" spans="1:1">
      <c r="A410" s="555"/>
    </row>
    <row r="411" spans="1:1">
      <c r="A411" s="555"/>
    </row>
    <row r="412" spans="1:1">
      <c r="A412" s="555"/>
    </row>
    <row r="413" spans="1:1">
      <c r="A413" s="555"/>
    </row>
    <row r="414" spans="1:1">
      <c r="A414" s="555"/>
    </row>
    <row r="415" spans="1:1">
      <c r="A415" s="555"/>
    </row>
    <row r="416" spans="1:1">
      <c r="A416" s="555"/>
    </row>
    <row r="417" spans="1:1">
      <c r="A417" s="555"/>
    </row>
    <row r="418" spans="1:1">
      <c r="A418" s="555"/>
    </row>
    <row r="419" spans="1:1">
      <c r="A419" s="555"/>
    </row>
    <row r="420" spans="1:1">
      <c r="A420" s="555"/>
    </row>
    <row r="421" spans="1:1">
      <c r="A421" s="555"/>
    </row>
    <row r="422" spans="1:1">
      <c r="A422" s="555"/>
    </row>
    <row r="423" spans="1:1">
      <c r="A423" s="555"/>
    </row>
    <row r="424" spans="1:1">
      <c r="A424" s="555"/>
    </row>
    <row r="425" spans="1:1">
      <c r="A425" s="555"/>
    </row>
    <row r="426" spans="1:1">
      <c r="A426" s="555"/>
    </row>
    <row r="427" spans="1:1">
      <c r="A427" s="555"/>
    </row>
    <row r="428" spans="1:1">
      <c r="A428" s="555"/>
    </row>
    <row r="429" spans="1:1">
      <c r="A429" s="555"/>
    </row>
    <row r="430" spans="1:1">
      <c r="A430" s="555"/>
    </row>
    <row r="431" spans="1:1">
      <c r="A431" s="555"/>
    </row>
    <row r="432" spans="1:1">
      <c r="A432" s="555"/>
    </row>
    <row r="433" spans="1:1">
      <c r="A433" s="555"/>
    </row>
    <row r="434" spans="1:1">
      <c r="A434" s="555"/>
    </row>
    <row r="435" spans="1:1">
      <c r="A435" s="555"/>
    </row>
    <row r="436" spans="1:1">
      <c r="A436" s="555"/>
    </row>
    <row r="437" spans="1:1">
      <c r="A437" s="555"/>
    </row>
    <row r="438" spans="1:1">
      <c r="A438" s="555"/>
    </row>
    <row r="439" spans="1:1">
      <c r="A439" s="555"/>
    </row>
    <row r="440" spans="1:1">
      <c r="A440" s="555"/>
    </row>
    <row r="441" spans="1:1">
      <c r="A441" s="555"/>
    </row>
    <row r="442" spans="1:1">
      <c r="A442" s="555"/>
    </row>
    <row r="443" spans="1:1">
      <c r="A443" s="555"/>
    </row>
    <row r="444" spans="1:1">
      <c r="A444" s="555"/>
    </row>
    <row r="445" spans="1:1">
      <c r="A445" s="555"/>
    </row>
    <row r="446" spans="1:1">
      <c r="A446" s="555"/>
    </row>
    <row r="447" spans="1:1">
      <c r="A447" s="555"/>
    </row>
    <row r="448" spans="1:1">
      <c r="A448" s="555"/>
    </row>
    <row r="449" spans="1:1">
      <c r="A449" s="555"/>
    </row>
    <row r="450" spans="1:1">
      <c r="A450" s="555"/>
    </row>
    <row r="451" spans="1:1">
      <c r="A451" s="555"/>
    </row>
    <row r="452" spans="1:1">
      <c r="A452" s="555"/>
    </row>
    <row r="453" spans="1:1">
      <c r="A453" s="555"/>
    </row>
    <row r="454" spans="1:1">
      <c r="A454" s="555"/>
    </row>
    <row r="455" spans="1:1">
      <c r="A455" s="555"/>
    </row>
    <row r="456" spans="1:1">
      <c r="A456" s="555"/>
    </row>
    <row r="457" spans="1:1">
      <c r="A457" s="555"/>
    </row>
    <row r="458" spans="1:1">
      <c r="A458" s="555"/>
    </row>
    <row r="459" spans="1:1">
      <c r="A459" s="555"/>
    </row>
    <row r="460" spans="1:1">
      <c r="A460" s="555"/>
    </row>
    <row r="461" spans="1:1">
      <c r="A461" s="555"/>
    </row>
    <row r="462" spans="1:1">
      <c r="A462" s="555"/>
    </row>
    <row r="463" spans="1:1">
      <c r="A463" s="555"/>
    </row>
    <row r="464" spans="1:1">
      <c r="A464" s="555"/>
    </row>
    <row r="465" spans="1:1">
      <c r="A465" s="555"/>
    </row>
    <row r="466" spans="1:1">
      <c r="A466" s="555"/>
    </row>
    <row r="467" spans="1:1">
      <c r="A467" s="555"/>
    </row>
    <row r="468" spans="1:1">
      <c r="A468" s="555"/>
    </row>
    <row r="469" spans="1:1">
      <c r="A469" s="555"/>
    </row>
    <row r="470" spans="1:1">
      <c r="A470" s="555"/>
    </row>
    <row r="471" spans="1:1">
      <c r="A471" s="555"/>
    </row>
    <row r="472" spans="1:1">
      <c r="A472" s="555"/>
    </row>
    <row r="473" spans="1:1">
      <c r="A473" s="555"/>
    </row>
    <row r="474" spans="1:1">
      <c r="A474" s="555"/>
    </row>
    <row r="475" spans="1:1">
      <c r="A475" s="555"/>
    </row>
    <row r="476" spans="1:1">
      <c r="A476" s="555"/>
    </row>
    <row r="477" spans="1:1">
      <c r="A477" s="555"/>
    </row>
    <row r="478" spans="1:1">
      <c r="A478" s="555"/>
    </row>
    <row r="479" spans="1:1">
      <c r="A479" s="555"/>
    </row>
    <row r="480" spans="1:1">
      <c r="A480" s="555"/>
    </row>
    <row r="481" spans="1:1">
      <c r="A481" s="555"/>
    </row>
    <row r="482" spans="1:1">
      <c r="A482" s="555"/>
    </row>
    <row r="483" spans="1:1">
      <c r="A483" s="555"/>
    </row>
    <row r="484" spans="1:1">
      <c r="A484" s="555"/>
    </row>
    <row r="485" spans="1:1">
      <c r="A485" s="555"/>
    </row>
    <row r="486" spans="1:1">
      <c r="A486" s="555"/>
    </row>
    <row r="487" spans="1:1">
      <c r="A487" s="555"/>
    </row>
    <row r="488" spans="1:1">
      <c r="A488" s="555"/>
    </row>
    <row r="489" spans="1:1">
      <c r="A489" s="555"/>
    </row>
    <row r="490" spans="1:1">
      <c r="A490" s="555"/>
    </row>
    <row r="491" spans="1:1">
      <c r="A491" s="555"/>
    </row>
    <row r="492" spans="1:1">
      <c r="A492" s="555"/>
    </row>
    <row r="493" spans="1:1">
      <c r="A493" s="555"/>
    </row>
    <row r="494" spans="1:1">
      <c r="A494" s="555"/>
    </row>
    <row r="495" spans="1:1">
      <c r="A495" s="555"/>
    </row>
    <row r="496" spans="1:1">
      <c r="A496" s="555"/>
    </row>
    <row r="497" spans="1:1">
      <c r="A497" s="555"/>
    </row>
    <row r="498" spans="1:1">
      <c r="A498" s="555"/>
    </row>
    <row r="499" spans="1:1">
      <c r="A499" s="555"/>
    </row>
    <row r="500" spans="1:1">
      <c r="A500" s="555"/>
    </row>
    <row r="501" spans="1:1">
      <c r="A501" s="555"/>
    </row>
    <row r="502" spans="1:1">
      <c r="A502" s="555"/>
    </row>
    <row r="503" spans="1:1">
      <c r="A503" s="555"/>
    </row>
    <row r="504" spans="1:1">
      <c r="A504" s="555"/>
    </row>
    <row r="505" spans="1:1">
      <c r="A505" s="555"/>
    </row>
    <row r="506" spans="1:1">
      <c r="A506" s="555"/>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381">
    <cfRule type="expression" dxfId="14" priority="37" stopIfTrue="1">
      <formula>ISERROR(FF8)</formula>
    </cfRule>
    <cfRule type="expression" dxfId="13" priority="38" stopIfTrue="1">
      <formula>AND($B8&gt;0,FF8=0)</formula>
    </cfRule>
    <cfRule type="expression" dxfId="12" priority="39" stopIfTrue="1">
      <formula>OR(FF8=0,$B8&lt;=0)</formula>
    </cfRule>
  </conditionalFormatting>
  <conditionalFormatting sqref="FJ232:FJ345">
    <cfRule type="expression" dxfId="11" priority="10" stopIfTrue="1">
      <formula>ISERROR(FJ232)</formula>
    </cfRule>
    <cfRule type="expression" dxfId="10" priority="11" stopIfTrue="1">
      <formula>AND($B234&gt;0,FJ232=0)</formula>
    </cfRule>
    <cfRule type="expression" dxfId="9" priority="12" stopIfTrue="1">
      <formula>OR(FJ232=0,$B234&lt;=0)</formula>
    </cfRule>
  </conditionalFormatting>
  <conditionalFormatting sqref="FJ192:FJ231">
    <cfRule type="expression" dxfId="8" priority="7" stopIfTrue="1">
      <formula>ISERROR(FJ192)</formula>
    </cfRule>
    <cfRule type="expression" dxfId="7" priority="8" stopIfTrue="1">
      <formula>AND($B193&gt;0,FJ192=0)</formula>
    </cfRule>
    <cfRule type="expression" dxfId="6" priority="9" stopIfTrue="1">
      <formula>OR(FJ192=0,$B193&lt;=0)</formula>
    </cfRule>
  </conditionalFormatting>
  <conditionalFormatting sqref="FJ232:FJ345">
    <cfRule type="expression" dxfId="5" priority="4" stopIfTrue="1">
      <formula>ISERROR(FJ232)</formula>
    </cfRule>
    <cfRule type="expression" dxfId="4" priority="5" stopIfTrue="1">
      <formula>AND($B234&gt;0,FJ232=0)</formula>
    </cfRule>
    <cfRule type="expression" dxfId="3" priority="6" stopIfTrue="1">
      <formula>OR(FJ232=0,$B234&lt;=0)</formula>
    </cfRule>
  </conditionalFormatting>
  <conditionalFormatting sqref="FJ192:FJ231">
    <cfRule type="expression" dxfId="2" priority="1" stopIfTrue="1">
      <formula>ISERROR(FJ192)</formula>
    </cfRule>
    <cfRule type="expression" dxfId="1" priority="2" stopIfTrue="1">
      <formula>AND($B193&gt;0,FJ192=0)</formula>
    </cfRule>
    <cfRule type="expression" dxfId="0" priority="3" stopIfTrue="1">
      <formula>OR(FJ192=0,$B193&lt;=0)</formula>
    </cfRule>
  </conditionalFormatting>
  <pageMargins left="0.7" right="0.7" top="0.75" bottom="0.75" header="0.3" footer="0.3"/>
  <pageSetup paperSize="5" orientation="landscape" r:id="rId1"/>
  <headerFooter alignWithMargins="0">
    <oddFooter>&amp;C&amp;P</oddFooter>
  </headerFooter>
  <legacyDrawing r:id="rId2"/>
</worksheet>
</file>

<file path=xl/worksheets/sheet8.xml><?xml version="1.0" encoding="utf-8"?>
<worksheet xmlns="http://schemas.openxmlformats.org/spreadsheetml/2006/main" xmlns:r="http://schemas.openxmlformats.org/officeDocument/2006/relationships">
  <sheetPr codeName="Sheet9"/>
  <dimension ref="A1:IV434"/>
  <sheetViews>
    <sheetView workbookViewId="0">
      <pane xSplit="2" ySplit="7" topLeftCell="C320" activePane="bottomRight" state="frozen"/>
      <selection activeCell="AS9" sqref="AS9"/>
      <selection pane="topRight" activeCell="AS9" sqref="AS9"/>
      <selection pane="bottomLeft" activeCell="AS9" sqref="AS9"/>
      <selection pane="bottomRight" activeCell="F335" sqref="F335"/>
    </sheetView>
  </sheetViews>
  <sheetFormatPr defaultRowHeight="12.75"/>
  <cols>
    <col min="1" max="1" width="10.42578125" customWidth="1"/>
    <col min="2" max="2" width="12.5703125" customWidth="1"/>
    <col min="4" max="4" width="15.85546875" customWidth="1"/>
    <col min="10" max="10" width="1.5703125" customWidth="1"/>
    <col min="12" max="12" width="1.5703125" customWidth="1"/>
    <col min="15" max="15" width="10" customWidth="1"/>
    <col min="16" max="16" width="9.85546875" customWidth="1"/>
    <col min="27" max="27" width="12.85546875" customWidth="1"/>
    <col min="29" max="29" width="10.140625" customWidth="1"/>
    <col min="30" max="30" width="10" customWidth="1"/>
    <col min="33" max="33" width="10.42578125" customWidth="1"/>
    <col min="35" max="35" width="11.140625" customWidth="1"/>
    <col min="39" max="39" width="10.42578125" customWidth="1"/>
    <col min="43" max="43" width="9.85546875" customWidth="1"/>
    <col min="46" max="46" width="10" customWidth="1"/>
    <col min="47" max="47" width="11" customWidth="1"/>
    <col min="48" max="48" width="10.42578125" customWidth="1"/>
    <col min="68" max="68" width="9.140625" style="30"/>
  </cols>
  <sheetData>
    <row r="1" spans="1:256" s="376" customFormat="1">
      <c r="A1" s="2"/>
      <c r="B1" s="375">
        <v>1</v>
      </c>
      <c r="C1" s="375">
        <v>2</v>
      </c>
      <c r="D1" s="376">
        <v>3</v>
      </c>
      <c r="E1" s="376">
        <v>4</v>
      </c>
      <c r="F1" s="375">
        <v>5</v>
      </c>
      <c r="G1" s="375">
        <v>6</v>
      </c>
      <c r="H1" s="376">
        <v>7</v>
      </c>
      <c r="I1" s="376">
        <v>8</v>
      </c>
      <c r="J1" s="375">
        <v>9</v>
      </c>
      <c r="K1" s="375">
        <v>10</v>
      </c>
      <c r="L1" s="376">
        <v>11</v>
      </c>
      <c r="M1" s="376">
        <v>12</v>
      </c>
      <c r="N1" s="375">
        <v>13</v>
      </c>
      <c r="O1" s="375">
        <v>14</v>
      </c>
      <c r="P1" s="376">
        <v>15</v>
      </c>
      <c r="Q1" s="376">
        <v>16</v>
      </c>
      <c r="R1" s="375">
        <v>17</v>
      </c>
      <c r="S1" s="375">
        <v>18</v>
      </c>
      <c r="T1" s="376">
        <v>19</v>
      </c>
      <c r="U1" s="376">
        <v>20</v>
      </c>
      <c r="V1" s="375">
        <v>21</v>
      </c>
      <c r="W1" s="375">
        <v>22</v>
      </c>
      <c r="X1" s="376">
        <v>23</v>
      </c>
      <c r="Y1" s="376">
        <v>24</v>
      </c>
      <c r="Z1" s="375">
        <v>25</v>
      </c>
      <c r="AA1" s="375">
        <v>26</v>
      </c>
      <c r="AB1" s="376">
        <v>27</v>
      </c>
      <c r="AC1" s="376">
        <v>28</v>
      </c>
      <c r="AD1" s="375">
        <v>29</v>
      </c>
      <c r="AE1" s="375">
        <v>30</v>
      </c>
      <c r="AF1" s="376">
        <v>31</v>
      </c>
      <c r="AG1" s="376">
        <v>32</v>
      </c>
      <c r="AH1" s="375">
        <v>33</v>
      </c>
      <c r="AI1" s="375">
        <v>34</v>
      </c>
      <c r="AJ1" s="376">
        <v>35</v>
      </c>
      <c r="AK1" s="376">
        <v>36</v>
      </c>
      <c r="AL1" s="375">
        <v>37</v>
      </c>
      <c r="AM1" s="375">
        <v>38</v>
      </c>
      <c r="AN1" s="376">
        <v>39</v>
      </c>
      <c r="AO1" s="376">
        <v>40</v>
      </c>
      <c r="AP1" s="375">
        <v>41</v>
      </c>
      <c r="AQ1" s="375">
        <v>42</v>
      </c>
      <c r="AR1" s="376">
        <v>43</v>
      </c>
      <c r="AS1" s="376">
        <v>44</v>
      </c>
      <c r="AT1" s="375">
        <v>45</v>
      </c>
      <c r="AU1" s="375">
        <v>46</v>
      </c>
      <c r="AV1" s="376">
        <v>47</v>
      </c>
      <c r="AW1" s="376">
        <v>48</v>
      </c>
      <c r="AX1" s="375">
        <v>49</v>
      </c>
      <c r="AY1" s="375">
        <v>50</v>
      </c>
      <c r="AZ1" s="376">
        <v>51</v>
      </c>
      <c r="BA1" s="376">
        <v>52</v>
      </c>
      <c r="BB1" s="375">
        <v>53</v>
      </c>
      <c r="BC1" s="375">
        <v>54</v>
      </c>
      <c r="BD1" s="376">
        <v>55</v>
      </c>
      <c r="BE1" s="376">
        <v>56</v>
      </c>
      <c r="BF1" s="375">
        <v>57</v>
      </c>
      <c r="BG1" s="375">
        <v>58</v>
      </c>
      <c r="BH1" s="376">
        <v>59</v>
      </c>
      <c r="BI1" s="376">
        <v>60</v>
      </c>
      <c r="BJ1" s="375">
        <v>61</v>
      </c>
      <c r="BK1" s="375">
        <v>62</v>
      </c>
      <c r="BL1" s="376">
        <v>63</v>
      </c>
      <c r="BM1" s="376">
        <v>64</v>
      </c>
      <c r="BN1" s="375">
        <v>65</v>
      </c>
      <c r="BO1" s="375">
        <v>66</v>
      </c>
      <c r="BP1" s="776">
        <v>67</v>
      </c>
      <c r="BQ1" s="376">
        <v>68</v>
      </c>
      <c r="BR1" s="375">
        <v>69</v>
      </c>
      <c r="BS1" s="375">
        <v>70</v>
      </c>
      <c r="BT1" s="376">
        <v>71</v>
      </c>
      <c r="BU1" s="376">
        <v>72</v>
      </c>
      <c r="BV1" s="375">
        <v>73</v>
      </c>
      <c r="BW1" s="375">
        <v>74</v>
      </c>
      <c r="BX1" s="376">
        <v>75</v>
      </c>
      <c r="BY1" s="376">
        <v>76</v>
      </c>
      <c r="BZ1" s="375">
        <v>77</v>
      </c>
      <c r="CA1" s="375">
        <v>78</v>
      </c>
      <c r="CB1" s="376">
        <v>79</v>
      </c>
      <c r="CC1" s="376">
        <v>80</v>
      </c>
      <c r="CD1" s="375">
        <v>81</v>
      </c>
      <c r="CE1" s="375">
        <v>82</v>
      </c>
      <c r="CF1" s="376">
        <v>83</v>
      </c>
      <c r="CG1" s="376">
        <v>84</v>
      </c>
      <c r="CH1" s="375">
        <v>85</v>
      </c>
      <c r="CI1" s="375">
        <v>86</v>
      </c>
      <c r="CJ1" s="376">
        <v>87</v>
      </c>
      <c r="CK1" s="376">
        <v>88</v>
      </c>
      <c r="CL1" s="375">
        <v>89</v>
      </c>
      <c r="CM1" s="375">
        <v>90</v>
      </c>
      <c r="CN1" s="376">
        <v>91</v>
      </c>
      <c r="CO1" s="376">
        <v>92</v>
      </c>
      <c r="CP1" s="375">
        <v>93</v>
      </c>
      <c r="CQ1" s="375">
        <v>94</v>
      </c>
      <c r="CR1" s="376">
        <v>95</v>
      </c>
      <c r="CS1" s="376">
        <v>96</v>
      </c>
      <c r="CT1" s="375">
        <v>97</v>
      </c>
      <c r="CU1" s="375">
        <v>98</v>
      </c>
      <c r="CV1" s="376">
        <v>99</v>
      </c>
      <c r="CW1" s="376">
        <v>100</v>
      </c>
      <c r="CX1" s="375">
        <v>101</v>
      </c>
      <c r="CY1" s="375">
        <v>102</v>
      </c>
      <c r="CZ1" s="376">
        <v>103</v>
      </c>
      <c r="DA1" s="376">
        <v>104</v>
      </c>
      <c r="DB1" s="375">
        <v>105</v>
      </c>
      <c r="DC1" s="375">
        <v>106</v>
      </c>
      <c r="DD1" s="376">
        <v>107</v>
      </c>
      <c r="DE1" s="376">
        <v>108</v>
      </c>
      <c r="DF1" s="375">
        <v>109</v>
      </c>
      <c r="DG1" s="375">
        <v>110</v>
      </c>
      <c r="DH1" s="376">
        <v>111</v>
      </c>
      <c r="DI1" s="376">
        <v>112</v>
      </c>
      <c r="DJ1" s="375">
        <v>113</v>
      </c>
      <c r="DK1" s="375">
        <v>114</v>
      </c>
      <c r="DL1" s="376">
        <v>115</v>
      </c>
      <c r="DM1" s="376">
        <v>116</v>
      </c>
      <c r="DN1" s="375">
        <v>117</v>
      </c>
      <c r="DO1" s="375">
        <v>118</v>
      </c>
      <c r="DP1" s="376">
        <v>119</v>
      </c>
      <c r="DQ1" s="376">
        <v>120</v>
      </c>
      <c r="DR1" s="375">
        <v>121</v>
      </c>
      <c r="DS1" s="375">
        <v>122</v>
      </c>
      <c r="DT1" s="376">
        <v>123</v>
      </c>
      <c r="DU1" s="376">
        <v>124</v>
      </c>
      <c r="DV1" s="375">
        <v>125</v>
      </c>
      <c r="DW1" s="375">
        <v>126</v>
      </c>
      <c r="DX1" s="376">
        <v>127</v>
      </c>
      <c r="DY1" s="376">
        <v>128</v>
      </c>
      <c r="DZ1" s="375">
        <v>129</v>
      </c>
      <c r="EA1" s="375">
        <v>130</v>
      </c>
      <c r="EB1" s="376">
        <v>131</v>
      </c>
      <c r="EC1" s="376">
        <v>132</v>
      </c>
      <c r="ED1" s="375">
        <v>133</v>
      </c>
      <c r="EE1" s="375">
        <v>134</v>
      </c>
      <c r="EF1" s="376">
        <v>135</v>
      </c>
      <c r="EG1" s="376">
        <v>136</v>
      </c>
      <c r="EH1" s="375">
        <v>137</v>
      </c>
      <c r="EI1" s="375">
        <v>138</v>
      </c>
      <c r="EJ1" s="376">
        <v>139</v>
      </c>
      <c r="EK1" s="376">
        <v>140</v>
      </c>
      <c r="EL1" s="375">
        <v>141</v>
      </c>
      <c r="EM1" s="375">
        <v>142</v>
      </c>
      <c r="EN1" s="376">
        <v>143</v>
      </c>
      <c r="EO1" s="376">
        <v>144</v>
      </c>
      <c r="EP1" s="375">
        <v>145</v>
      </c>
      <c r="EQ1" s="375">
        <v>146</v>
      </c>
      <c r="ER1" s="376">
        <v>147</v>
      </c>
      <c r="ES1" s="376">
        <v>148</v>
      </c>
      <c r="ET1" s="375">
        <v>149</v>
      </c>
      <c r="EU1" s="375">
        <v>150</v>
      </c>
      <c r="EV1" s="376">
        <v>151</v>
      </c>
      <c r="EW1" s="376">
        <v>152</v>
      </c>
      <c r="EX1" s="375">
        <v>153</v>
      </c>
      <c r="EY1" s="375">
        <v>154</v>
      </c>
      <c r="EZ1" s="376">
        <v>155</v>
      </c>
      <c r="FA1" s="376">
        <v>156</v>
      </c>
      <c r="FB1" s="375">
        <v>157</v>
      </c>
      <c r="FC1" s="375">
        <v>158</v>
      </c>
      <c r="FD1" s="376">
        <v>159</v>
      </c>
      <c r="FE1" s="376">
        <v>160</v>
      </c>
      <c r="FF1" s="375">
        <v>161</v>
      </c>
      <c r="FG1" s="375">
        <v>162</v>
      </c>
      <c r="FH1" s="376">
        <v>163</v>
      </c>
      <c r="FI1" s="376">
        <v>164</v>
      </c>
      <c r="FJ1" s="375">
        <v>165</v>
      </c>
      <c r="FK1" s="375">
        <v>166</v>
      </c>
      <c r="FL1" s="376">
        <v>167</v>
      </c>
      <c r="FM1" s="376">
        <v>168</v>
      </c>
      <c r="FN1" s="375">
        <v>169</v>
      </c>
      <c r="FO1" s="375">
        <v>170</v>
      </c>
      <c r="FP1" s="376">
        <v>171</v>
      </c>
      <c r="FQ1" s="376">
        <v>172</v>
      </c>
      <c r="FR1" s="375">
        <v>173</v>
      </c>
      <c r="FS1" s="375">
        <v>174</v>
      </c>
      <c r="FT1" s="376">
        <v>175</v>
      </c>
      <c r="FU1" s="376">
        <v>176</v>
      </c>
      <c r="FV1" s="375">
        <v>177</v>
      </c>
      <c r="FW1" s="375">
        <v>178</v>
      </c>
      <c r="FX1" s="376">
        <v>179</v>
      </c>
      <c r="FY1" s="376">
        <v>180</v>
      </c>
      <c r="FZ1" s="375">
        <v>181</v>
      </c>
      <c r="GA1" s="375">
        <v>182</v>
      </c>
      <c r="GB1" s="376">
        <v>183</v>
      </c>
      <c r="GC1" s="376">
        <v>184</v>
      </c>
      <c r="GD1" s="375">
        <v>185</v>
      </c>
      <c r="GE1" s="375">
        <v>186</v>
      </c>
      <c r="GF1" s="376">
        <v>187</v>
      </c>
      <c r="GG1" s="376">
        <v>188</v>
      </c>
      <c r="GH1" s="375">
        <v>189</v>
      </c>
      <c r="GI1" s="375">
        <v>190</v>
      </c>
      <c r="GJ1" s="376">
        <v>191</v>
      </c>
      <c r="GK1" s="376">
        <v>192</v>
      </c>
      <c r="GL1" s="375">
        <v>193</v>
      </c>
      <c r="GM1" s="375">
        <v>194</v>
      </c>
      <c r="GN1" s="376">
        <v>195</v>
      </c>
      <c r="GO1" s="376">
        <v>196</v>
      </c>
      <c r="GP1" s="375">
        <v>197</v>
      </c>
      <c r="GQ1" s="375">
        <v>198</v>
      </c>
      <c r="GR1" s="376">
        <v>199</v>
      </c>
      <c r="GS1" s="376">
        <v>200</v>
      </c>
      <c r="GT1" s="375">
        <v>201</v>
      </c>
      <c r="GU1" s="375">
        <v>202</v>
      </c>
      <c r="GV1" s="376">
        <v>203</v>
      </c>
      <c r="GW1" s="376">
        <v>204</v>
      </c>
      <c r="GX1" s="375">
        <v>205</v>
      </c>
      <c r="GY1" s="375">
        <v>206</v>
      </c>
      <c r="GZ1" s="376">
        <v>207</v>
      </c>
      <c r="HA1" s="376">
        <v>208</v>
      </c>
      <c r="HB1" s="375">
        <v>209</v>
      </c>
      <c r="HC1" s="375">
        <v>210</v>
      </c>
      <c r="HD1" s="376">
        <v>211</v>
      </c>
      <c r="HE1" s="376">
        <v>212</v>
      </c>
      <c r="HF1" s="375">
        <v>213</v>
      </c>
      <c r="HG1" s="375">
        <v>214</v>
      </c>
      <c r="HH1" s="376">
        <v>215</v>
      </c>
      <c r="HI1" s="376">
        <v>216</v>
      </c>
      <c r="HJ1" s="375">
        <v>217</v>
      </c>
      <c r="HK1" s="375">
        <v>218</v>
      </c>
      <c r="HL1" s="376">
        <v>219</v>
      </c>
      <c r="HM1" s="376">
        <v>220</v>
      </c>
      <c r="HN1" s="375">
        <v>221</v>
      </c>
      <c r="HO1" s="375">
        <v>222</v>
      </c>
      <c r="HP1" s="376">
        <v>223</v>
      </c>
      <c r="HQ1" s="376">
        <v>224</v>
      </c>
      <c r="HR1" s="375">
        <v>225</v>
      </c>
      <c r="HS1" s="375">
        <v>226</v>
      </c>
      <c r="HT1" s="376">
        <v>227</v>
      </c>
      <c r="HU1" s="376">
        <v>228</v>
      </c>
      <c r="HV1" s="375">
        <v>229</v>
      </c>
      <c r="HW1" s="375">
        <v>230</v>
      </c>
      <c r="HX1" s="376">
        <v>231</v>
      </c>
      <c r="HY1" s="376">
        <v>232</v>
      </c>
      <c r="HZ1" s="375">
        <v>233</v>
      </c>
      <c r="IA1" s="375">
        <v>234</v>
      </c>
      <c r="IB1" s="376">
        <v>235</v>
      </c>
      <c r="IC1" s="376">
        <v>236</v>
      </c>
      <c r="ID1" s="375">
        <v>237</v>
      </c>
      <c r="IE1" s="375">
        <v>238</v>
      </c>
      <c r="IF1" s="376">
        <v>239</v>
      </c>
      <c r="IG1" s="376">
        <v>240</v>
      </c>
      <c r="IH1" s="375">
        <v>241</v>
      </c>
      <c r="II1" s="375">
        <v>242</v>
      </c>
      <c r="IJ1" s="376">
        <v>243</v>
      </c>
      <c r="IK1" s="376">
        <v>244</v>
      </c>
      <c r="IL1" s="375">
        <v>245</v>
      </c>
      <c r="IM1" s="375">
        <v>246</v>
      </c>
      <c r="IN1" s="376">
        <v>247</v>
      </c>
      <c r="IO1" s="376">
        <v>248</v>
      </c>
      <c r="IP1" s="375">
        <v>249</v>
      </c>
      <c r="IQ1" s="375">
        <v>250</v>
      </c>
      <c r="IR1" s="376">
        <v>251</v>
      </c>
      <c r="IS1" s="376">
        <v>252</v>
      </c>
      <c r="IT1" s="375">
        <v>253</v>
      </c>
      <c r="IU1" s="375">
        <v>254</v>
      </c>
      <c r="IV1" s="376">
        <v>255</v>
      </c>
    </row>
    <row r="2" spans="1:256">
      <c r="A2" s="2"/>
      <c r="B2" s="2"/>
      <c r="C2" s="2"/>
      <c r="R2" s="2"/>
      <c r="S2" s="2"/>
      <c r="T2" s="2"/>
      <c r="U2" s="2"/>
      <c r="V2" s="2"/>
      <c r="W2" s="2"/>
      <c r="X2" s="2"/>
      <c r="Y2" s="2"/>
      <c r="Z2" s="2"/>
      <c r="AA2" s="2"/>
      <c r="AC2" s="2"/>
      <c r="AD2" s="2"/>
      <c r="AE2" s="2"/>
      <c r="AF2" s="2"/>
      <c r="AG2" s="2"/>
      <c r="AH2" s="2"/>
      <c r="AI2" s="2"/>
      <c r="AJ2" s="2"/>
      <c r="AK2" s="2"/>
      <c r="AL2" s="2"/>
      <c r="AM2" s="2"/>
      <c r="AN2" s="2"/>
      <c r="AO2" s="2"/>
      <c r="AP2" s="2"/>
      <c r="AQ2" s="2"/>
      <c r="AR2" s="2"/>
      <c r="AS2" s="2"/>
    </row>
    <row r="3" spans="1:256">
      <c r="A3" s="2"/>
      <c r="B3" s="2"/>
      <c r="C3" s="2"/>
      <c r="F3" t="s">
        <v>727</v>
      </c>
      <c r="G3" t="s">
        <v>728</v>
      </c>
      <c r="H3" t="s">
        <v>723</v>
      </c>
      <c r="I3" t="s">
        <v>730</v>
      </c>
      <c r="K3" t="s">
        <v>726</v>
      </c>
      <c r="M3" t="s">
        <v>725</v>
      </c>
      <c r="N3" t="s">
        <v>724</v>
      </c>
      <c r="R3" s="2"/>
      <c r="S3" s="2"/>
      <c r="T3" s="2"/>
      <c r="U3" s="2"/>
      <c r="V3" s="2"/>
      <c r="W3" s="2"/>
      <c r="X3" s="2"/>
      <c r="Y3" s="2"/>
      <c r="Z3" s="2"/>
      <c r="AA3" s="2"/>
      <c r="AC3" s="2"/>
      <c r="AD3" s="2"/>
      <c r="AE3" s="2"/>
      <c r="AF3" s="2"/>
      <c r="AG3" s="2"/>
      <c r="AH3" s="2"/>
      <c r="AI3" s="2"/>
      <c r="AJ3" s="2"/>
      <c r="AK3" s="2"/>
      <c r="AL3" s="2"/>
      <c r="AM3" s="2"/>
      <c r="AN3" s="2"/>
      <c r="AO3" s="2"/>
      <c r="AP3" s="2"/>
      <c r="AQ3" s="2"/>
      <c r="AR3" s="2"/>
      <c r="AS3" s="2"/>
    </row>
    <row r="4" spans="1:256" ht="13.5" thickBot="1">
      <c r="A4" s="1"/>
      <c r="B4" s="1"/>
      <c r="C4" s="1"/>
      <c r="D4" s="80" t="s">
        <v>270</v>
      </c>
      <c r="F4" s="2"/>
      <c r="G4" s="2"/>
      <c r="H4" s="2"/>
      <c r="I4" s="111">
        <v>77</v>
      </c>
      <c r="J4" s="82" t="s">
        <v>186</v>
      </c>
      <c r="K4" s="2"/>
      <c r="L4" s="82" t="s">
        <v>186</v>
      </c>
      <c r="M4" s="109"/>
      <c r="N4" s="2"/>
      <c r="P4" s="2"/>
      <c r="R4" s="2"/>
      <c r="S4" s="2"/>
      <c r="T4" s="2"/>
      <c r="U4" s="2"/>
      <c r="V4" s="2"/>
      <c r="W4" s="2"/>
      <c r="X4" s="2"/>
      <c r="Y4" s="2"/>
      <c r="Z4" s="2"/>
      <c r="AA4" s="2"/>
      <c r="AC4" s="2"/>
      <c r="AD4" s="2"/>
      <c r="AE4" s="2"/>
      <c r="AF4" s="2"/>
      <c r="AG4" s="2"/>
      <c r="AH4" s="2"/>
      <c r="AI4" s="2"/>
      <c r="AJ4" s="2"/>
      <c r="AK4" s="2"/>
      <c r="AL4" s="2"/>
      <c r="AM4" s="2"/>
      <c r="AN4" s="2"/>
      <c r="AO4" s="2"/>
      <c r="AP4" s="2"/>
      <c r="AQ4" s="2"/>
      <c r="AR4" s="2"/>
      <c r="AS4" s="2"/>
    </row>
    <row r="5" spans="1:256" ht="13.5" thickBot="1">
      <c r="A5" s="2"/>
      <c r="B5" s="1210"/>
      <c r="C5" s="1210"/>
      <c r="D5" s="80" t="s">
        <v>272</v>
      </c>
      <c r="F5" s="81">
        <v>421</v>
      </c>
      <c r="G5" s="81">
        <v>260</v>
      </c>
      <c r="H5" s="81">
        <v>160</v>
      </c>
      <c r="I5" s="110">
        <v>78</v>
      </c>
      <c r="J5" s="82" t="s">
        <v>186</v>
      </c>
      <c r="K5" s="83">
        <v>106.5</v>
      </c>
      <c r="L5" s="82" t="s">
        <v>186</v>
      </c>
      <c r="M5" s="108">
        <v>175</v>
      </c>
      <c r="N5" s="81">
        <v>325</v>
      </c>
      <c r="P5" s="2"/>
      <c r="R5" s="2"/>
      <c r="S5" s="2"/>
      <c r="T5" s="2"/>
      <c r="U5" s="2"/>
      <c r="V5" s="2"/>
      <c r="W5" s="2"/>
      <c r="X5" s="2"/>
      <c r="Y5" s="2"/>
      <c r="Z5" s="2"/>
      <c r="AA5" s="2"/>
      <c r="AC5" s="2"/>
      <c r="AD5" s="2"/>
      <c r="AE5" s="2"/>
      <c r="AF5" s="2"/>
      <c r="AG5" s="2"/>
      <c r="AH5" s="2"/>
      <c r="AI5" s="2"/>
      <c r="AJ5" s="2"/>
      <c r="AK5" s="2"/>
      <c r="AL5" s="2"/>
      <c r="AM5" s="2"/>
      <c r="AN5" s="2"/>
      <c r="AO5" s="2"/>
      <c r="AP5" s="2"/>
      <c r="AQ5" s="2"/>
      <c r="AR5" s="2"/>
      <c r="AS5" s="2"/>
    </row>
    <row r="6" spans="1:256" ht="13.5" thickBot="1">
      <c r="A6" s="2"/>
      <c r="B6" s="1211" t="s">
        <v>0</v>
      </c>
      <c r="C6" s="1212"/>
      <c r="D6" s="84" t="s">
        <v>187</v>
      </c>
      <c r="F6" s="85">
        <f>(PI()/4)*F5^2</f>
        <v>139204.75587872713</v>
      </c>
      <c r="G6" s="85">
        <f>(PI()/4)*G5^2</f>
        <v>53092.915845667507</v>
      </c>
      <c r="H6" s="85">
        <f>(PI()/4)*H5^2</f>
        <v>20106.192982974677</v>
      </c>
      <c r="I6" s="86">
        <f>I4*I5</f>
        <v>6006</v>
      </c>
      <c r="J6" s="87" t="s">
        <v>186</v>
      </c>
      <c r="K6" s="88">
        <f>(PI()/4)*(K5^2)</f>
        <v>8908.1823187947084</v>
      </c>
      <c r="L6" s="87" t="s">
        <v>186</v>
      </c>
      <c r="M6" s="86">
        <f>(PI()/4)*(M5^2)</f>
        <v>24052.818754046853</v>
      </c>
      <c r="N6" s="85">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3"/>
      <c r="AR6" s="3"/>
      <c r="AS6" s="3"/>
    </row>
    <row r="7" spans="1:256" ht="180" customHeight="1">
      <c r="A7" s="4"/>
      <c r="B7" s="99" t="s">
        <v>1</v>
      </c>
      <c r="C7" s="99" t="s">
        <v>2</v>
      </c>
      <c r="D7" s="1054" t="s">
        <v>833</v>
      </c>
      <c r="E7" s="1053" t="s">
        <v>832</v>
      </c>
      <c r="F7" s="33" t="s">
        <v>195</v>
      </c>
      <c r="G7" s="31" t="s">
        <v>190</v>
      </c>
      <c r="H7" s="31" t="s">
        <v>189</v>
      </c>
      <c r="I7" s="89" t="s">
        <v>278</v>
      </c>
      <c r="J7" s="89"/>
      <c r="K7" s="32" t="s">
        <v>729</v>
      </c>
      <c r="L7" s="89"/>
      <c r="M7" s="89" t="s">
        <v>226</v>
      </c>
      <c r="N7" s="32" t="s">
        <v>188</v>
      </c>
      <c r="O7" s="32" t="s">
        <v>196</v>
      </c>
      <c r="P7" s="32" t="s">
        <v>424</v>
      </c>
      <c r="Q7" s="892" t="s">
        <v>747</v>
      </c>
      <c r="R7" s="32" t="s">
        <v>747</v>
      </c>
      <c r="S7" s="32" t="s">
        <v>748</v>
      </c>
      <c r="T7" s="32" t="s">
        <v>198</v>
      </c>
      <c r="U7" s="32" t="s">
        <v>197</v>
      </c>
      <c r="V7" s="32" t="s">
        <v>199</v>
      </c>
      <c r="W7" s="32" t="s">
        <v>200</v>
      </c>
      <c r="X7" s="32" t="s">
        <v>540</v>
      </c>
      <c r="Y7" s="32" t="s">
        <v>221</v>
      </c>
      <c r="Z7" s="32" t="s">
        <v>165</v>
      </c>
      <c r="AA7" s="32" t="s">
        <v>201</v>
      </c>
      <c r="AC7" s="32" t="s">
        <v>466</v>
      </c>
      <c r="AD7" s="32" t="s">
        <v>426</v>
      </c>
      <c r="AE7" s="32" t="s">
        <v>425</v>
      </c>
      <c r="AF7" s="32" t="s">
        <v>427</v>
      </c>
      <c r="AG7" s="32" t="s">
        <v>694</v>
      </c>
      <c r="AH7" s="32" t="s">
        <v>695</v>
      </c>
      <c r="AI7" s="32" t="s">
        <v>696</v>
      </c>
      <c r="AJ7" s="33"/>
      <c r="AK7" s="33"/>
      <c r="AL7" s="33"/>
      <c r="AM7" s="32" t="s">
        <v>1</v>
      </c>
      <c r="AN7" s="892" t="s">
        <v>622</v>
      </c>
      <c r="AO7" s="892" t="s">
        <v>835</v>
      </c>
      <c r="AP7" s="892" t="s">
        <v>834</v>
      </c>
      <c r="AQ7" s="892" t="s">
        <v>840</v>
      </c>
      <c r="AR7" s="892" t="s">
        <v>836</v>
      </c>
      <c r="AS7" s="892" t="s">
        <v>839</v>
      </c>
      <c r="AT7" s="892" t="s">
        <v>813</v>
      </c>
      <c r="AU7" s="33" t="s">
        <v>343</v>
      </c>
      <c r="AV7" s="892" t="s">
        <v>812</v>
      </c>
      <c r="AW7" s="33" t="s">
        <v>344</v>
      </c>
      <c r="AX7" s="33" t="s">
        <v>345</v>
      </c>
      <c r="AY7" s="33" t="s">
        <v>346</v>
      </c>
      <c r="AZ7" s="33" t="s">
        <v>347</v>
      </c>
      <c r="BA7" s="33" t="s">
        <v>348</v>
      </c>
      <c r="BB7" s="47" t="s">
        <v>349</v>
      </c>
      <c r="BC7" s="47" t="s">
        <v>350</v>
      </c>
      <c r="BD7" s="32" t="s">
        <v>351</v>
      </c>
      <c r="BE7" s="32" t="s">
        <v>352</v>
      </c>
      <c r="BF7" s="32" t="s">
        <v>353</v>
      </c>
      <c r="BG7" s="32" t="s">
        <v>354</v>
      </c>
      <c r="BH7" s="32" t="s">
        <v>355</v>
      </c>
      <c r="BI7" s="32" t="s">
        <v>402</v>
      </c>
      <c r="BK7" s="32" t="s">
        <v>552</v>
      </c>
      <c r="BM7" s="32" t="s">
        <v>653</v>
      </c>
      <c r="BN7" s="32" t="s">
        <v>656</v>
      </c>
      <c r="BP7" s="777" t="s">
        <v>652</v>
      </c>
    </row>
    <row r="8" spans="1:256" s="90" customFormat="1">
      <c r="A8" s="651" t="s">
        <v>9</v>
      </c>
      <c r="B8" s="92">
        <v>41636</v>
      </c>
      <c r="C8" s="93">
        <v>0</v>
      </c>
      <c r="E8" s="30"/>
      <c r="F8" s="30">
        <f ca="1">IF(B8=TODAY(),0,-(VLOOKUP(Sheet1!CD10,Lookup!$I$4:$J$216,2)-VLOOKUP(Sheet1!CD9,Lookup!$I$4:$J$216,2))/1000000)</f>
        <v>-0.725458569834603</v>
      </c>
      <c r="G8" s="95">
        <f ca="1">IF(B8=TODAY(),0,-$G$6*(Sheet1!CF10-Sheet1!CF9)*7.48/1000000)</f>
        <v>-1.1516915305242199</v>
      </c>
      <c r="H8" s="95">
        <f ca="1">IF(B8=TODAY(),0,-$H$6*(Sheet1!CE10-Sheet1!CE9)*7.48/1000000)</f>
        <v>7.5197161756325293E-2</v>
      </c>
      <c r="I8" s="95">
        <f ca="1">IF(B8=TODAY(),0,-$I$6*(Sheet1!CG10-Sheet1!CG9)*7.48/1000000)</f>
        <v>-8.9849760000000015E-2</v>
      </c>
      <c r="J8" s="96" t="s">
        <v>186</v>
      </c>
      <c r="K8" s="95">
        <f ca="1">IF(B8=TODAY(),0,-$K$6*(Sheet1!CH10-Sheet1!CH9)*7.48/1000000)</f>
        <v>-0.14659304823808569</v>
      </c>
      <c r="L8" s="96" t="s">
        <v>186</v>
      </c>
      <c r="M8" s="95">
        <f ca="1">IF(B8=TODAY(),0,-$M$6*(Sheet1!CI10-Sheet1!CI9)*7.48/1000000)</f>
        <v>-0.44978771070067586</v>
      </c>
      <c r="N8" s="95">
        <f ca="1">IF(B8=TODAY(),0,-$N$6*(Sheet1!CJ10-Sheet1!CJ9)*7.48/1000000)</f>
        <v>0</v>
      </c>
      <c r="O8" s="95">
        <f ca="1">SUM(F8:I8)+K8+SUM(M8:N8)</f>
        <v>-2.4881834575412589</v>
      </c>
      <c r="P8" s="95">
        <f ca="1">O8+Calculation!ES8</f>
        <v>0.41922148006503868</v>
      </c>
      <c r="Q8" s="90" t="str">
        <f>IF(Sheet1!BQ10&gt;25.75,"spill elevation","-")</f>
        <v>-</v>
      </c>
      <c r="R8" s="90" t="str">
        <f>IF(Sheet1!BQ10&gt;25.75,"spill elevation","-")</f>
        <v>-</v>
      </c>
      <c r="S8" s="90" t="str">
        <f>IF(Sheet1!BR10&gt;25.75,"spill elevation","-")</f>
        <v>-</v>
      </c>
      <c r="T8" s="94">
        <f>IF(Sheet1!DU10=1,Sheet1!AA10-(SUM(AT8:BA8)+BE8),Sheet1!AA10-SUM(AT8:BA8))</f>
        <v>18.772592000000003</v>
      </c>
      <c r="U8" s="94">
        <f>Sheet1!BV10</f>
        <v>23.2</v>
      </c>
      <c r="V8" s="94">
        <f>T8-U8</f>
        <v>-4.4274079999999962</v>
      </c>
      <c r="W8" s="94">
        <f>0</f>
        <v>0</v>
      </c>
      <c r="X8" s="90">
        <f>0</f>
        <v>0</v>
      </c>
      <c r="Y8" s="95">
        <f ca="1">Calculation!EJ9+Calculation!ES8+'Calculations II'!O8-'Calculations II'!W8</f>
        <v>51.541285480065035</v>
      </c>
      <c r="Z8" s="95">
        <f ca="1">Y8-Sheet1!CT11</f>
        <v>34.247285480065031</v>
      </c>
      <c r="AA8" s="95">
        <f ca="1">Y8+Calculation!DJ9+Calculation!AS9</f>
        <v>55.052823119012551</v>
      </c>
      <c r="AC8" s="95">
        <f>Sheet1!AA10+Sheet1!AB10+BC8</f>
        <v>49.333855999999997</v>
      </c>
      <c r="AD8" s="95">
        <f>Sheet1!AA10+Sheet1!BN10+'Calculations II'!BC8-Calculation!AS8-Calculation!DJ8</f>
        <v>42.333856000000004</v>
      </c>
      <c r="AE8" s="95">
        <f>Sheet1!AA10+Sheet1!AB10+'Calculations II'!BC8-Calculation!AS8-Calculation!DJ8</f>
        <v>45.833855999999997</v>
      </c>
      <c r="AF8" s="95">
        <f ca="1">Sheet1!AA10+Sheet1!BN10+P8+'Calculations II'!BC8+Calculation!AS8+Calculation!DJ8</f>
        <v>49.753077480065038</v>
      </c>
      <c r="AG8" s="95">
        <f ca="1">IF(B8=TODAY(),0,Sheet1!AA10+Sheet1!BN10+'Calculations II'!BC8+'Calculations II'!P8-Sheet1!CT10-BP8)</f>
        <v>29.282077480065045</v>
      </c>
      <c r="AH8" s="95">
        <f ca="1">IF(B8=TODAY(),0,Sheet1!AA10+Sheet1!BN10+'Calculations II'!BC8+'Calculations II'!P8-BP8)</f>
        <v>46.253077480065045</v>
      </c>
      <c r="AI8" s="95">
        <f ca="1">IF(B8=TODAY(),0,BC8+Sheet1!AA10+Calculation!ES8+O8+W8+Sheet1!BN10+Calculation!AS8+Calculation!DJ8-BP8)</f>
        <v>49.753077480065031</v>
      </c>
      <c r="AJ8" s="95"/>
      <c r="AM8" s="91">
        <f t="shared" ref="AM8:AM17" si="0">B8</f>
        <v>41636</v>
      </c>
      <c r="AN8" s="95"/>
      <c r="AO8" s="95"/>
      <c r="AR8" s="95"/>
      <c r="AT8" s="90">
        <f>Sheet1!BB10</f>
        <v>1</v>
      </c>
      <c r="AU8" s="90">
        <f>Sheet1!AS10*GPMtoMGD</f>
        <v>1.6560000000000002E-2</v>
      </c>
      <c r="AV8" s="95">
        <f>Sheet1!AT10</f>
        <v>0</v>
      </c>
      <c r="AW8" s="90">
        <f>Sheet1!AV10*GPMtoMGD</f>
        <v>0.55065600000000003</v>
      </c>
      <c r="AX8" s="90">
        <f>Sheet1!AW10*GPMtoMGD</f>
        <v>0.69019200000000003</v>
      </c>
      <c r="AY8" s="90">
        <f>Sheet1!AX10*GPMtoMGD</f>
        <v>0</v>
      </c>
      <c r="AZ8" s="90">
        <f>Sheet1!AY10*GPMtoMGD</f>
        <v>0</v>
      </c>
      <c r="BA8" s="90">
        <f>Sheet1!AZ10*GPMtoMGD</f>
        <v>0</v>
      </c>
      <c r="BB8" s="90">
        <f>Sheet1!BP10*GPMtoMGD</f>
        <v>0</v>
      </c>
      <c r="BC8" s="90">
        <f>Sheet1!CS10*GPMtoMGD</f>
        <v>14.003856000000001</v>
      </c>
      <c r="BD8" s="90">
        <f>Sheet1!BO10*GPMtoMGD</f>
        <v>2.2034880000000001</v>
      </c>
      <c r="BE8" s="90">
        <f>Sheet1!BW10*GPMtoMGD</f>
        <v>0.98150400000000004</v>
      </c>
      <c r="BF8" s="90">
        <f>Sheet1!CN10*GPMtoMGD</f>
        <v>0.83937600000000001</v>
      </c>
      <c r="BG8" s="90">
        <f>Sheet1!CO10*GPMtoMGD</f>
        <v>0.52056000000000002</v>
      </c>
      <c r="BH8" s="90">
        <f>Sheet1!CP10*GPMtoMGD</f>
        <v>0.59342400000000006</v>
      </c>
      <c r="BI8" s="90">
        <f>BD8+BB8</f>
        <v>2.2034880000000001</v>
      </c>
      <c r="BK8" s="95">
        <f>SUM(AT8:BA8,BE8,Sheet1!BV10,'Calculations II'!BC8,Calculation!AQ8)</f>
        <v>51.242767999999998</v>
      </c>
      <c r="BM8" s="373">
        <f>0</f>
        <v>0</v>
      </c>
      <c r="BN8" s="373">
        <f>0</f>
        <v>0</v>
      </c>
      <c r="BP8" s="95">
        <f>SUM(BM8:BN8,W8,Sheet1!DX10)</f>
        <v>0</v>
      </c>
    </row>
    <row r="9" spans="1:256" s="90" customFormat="1">
      <c r="A9" s="651" t="s">
        <v>3</v>
      </c>
      <c r="B9" s="92">
        <v>41637</v>
      </c>
      <c r="C9" s="93">
        <v>0</v>
      </c>
      <c r="D9" s="95">
        <f>(Sheet1!BQ11-Sheet1!BQ10)*1.385</f>
        <v>1.661999999999999</v>
      </c>
      <c r="E9" s="30">
        <f>(Sheet1!BR11-Sheet1!BR10)*1.385</f>
        <v>1.800499999999996</v>
      </c>
      <c r="F9" s="30">
        <f ca="1">IF(B9=TODAY(),0,-(VLOOKUP(Sheet1!CD11,Lookup!$I$4:$J$216,2)-VLOOKUP(Sheet1!CD10,Lookup!$I$4:$J$216,2))/1000000)</f>
        <v>-0.51818469273899681</v>
      </c>
      <c r="G9" s="95">
        <f ca="1">IF(B9=TODAY(),0,-$G$6*(Sheet1!CF11-Sheet1!CF10)*7.48/1000000)</f>
        <v>0.23828100631535562</v>
      </c>
      <c r="H9" s="95">
        <f ca="1">IF(B9=TODAY(),0,-$H$6*(Sheet1!CE11-Sheet1!CE10)*7.48/1000000)</f>
        <v>0</v>
      </c>
      <c r="I9" s="95">
        <f ca="1">IF(B9=TODAY(),0,-$I$6*(Sheet1!CG11-Sheet1!CG10)*7.48/1000000)</f>
        <v>0.20665444799999999</v>
      </c>
      <c r="J9" s="96" t="s">
        <v>186</v>
      </c>
      <c r="K9" s="95">
        <f ca="1">IF(B9=TODAY(),0,-$K$6*(Sheet1!CH11-Sheet1!CH10)*7.48/1000000)</f>
        <v>0.34649265947183905</v>
      </c>
      <c r="L9" s="96" t="s">
        <v>186</v>
      </c>
      <c r="M9" s="95">
        <f ca="1">IF(B9=TODAY(),0,-$M$6*(Sheet1!CI11-Sheet1!CI10)*7.48/1000000)</f>
        <v>1.0075244719695144</v>
      </c>
      <c r="N9" s="95">
        <f ca="1">IF(B9=TODAY(),0,-$N$6*(Sheet1!CJ11-Sheet1!CJ10)*7.48/1000000)</f>
        <v>-0.31026172697311949</v>
      </c>
      <c r="O9" s="95">
        <f ca="1">SUM(F9:I9)+K9+SUM(M9:N9)</f>
        <v>0.97050616604459283</v>
      </c>
      <c r="P9" s="95">
        <f ca="1">O9+Calculation!ES9</f>
        <v>-2.4908506876009699</v>
      </c>
      <c r="Q9" s="90" t="str">
        <f>IF(Sheet1!BQ11&gt;25.75,"spill elevation","-")</f>
        <v>-</v>
      </c>
      <c r="R9" s="90" t="str">
        <f>IF(Sheet1!BQ11&gt;25.75,"spill elevation","-")</f>
        <v>-</v>
      </c>
      <c r="S9" s="90" t="str">
        <f>IF(Sheet1!BR11&gt;25.75,"spill elevation","-")</f>
        <v>-</v>
      </c>
      <c r="T9" s="94">
        <f>IF(Sheet1!DU11=1,Sheet1!AA11-(SUM(AT9:BA9)+BE9),Sheet1!AA11-SUM(AT9:BA9))</f>
        <v>18.586448000000001</v>
      </c>
      <c r="U9" s="94">
        <f>Sheet1!BV11</f>
        <v>17</v>
      </c>
      <c r="V9" s="94">
        <f>T9-U9</f>
        <v>1.5864480000000007</v>
      </c>
      <c r="W9" s="94">
        <f>0</f>
        <v>0</v>
      </c>
      <c r="X9" s="90">
        <f>0</f>
        <v>0</v>
      </c>
      <c r="Y9" s="95">
        <f ca="1">Calculation!EJ10+Calculation!ES9+'Calculations II'!O9-'Calculations II'!W9</f>
        <v>46.656013312399033</v>
      </c>
      <c r="Z9" s="95">
        <f ca="1">Y9-Sheet1!CT12</f>
        <v>29.633013312399033</v>
      </c>
      <c r="AA9" s="95">
        <f ca="1">Y9+Calculation!DJ10+Calculation!AS10</f>
        <v>50.526352646823469</v>
      </c>
      <c r="AC9" s="95">
        <f>Sheet1!AA11+Sheet1!AB11+BC9</f>
        <v>51.122064000000002</v>
      </c>
      <c r="AD9" s="95">
        <f>Sheet1!AA11+Sheet1!BN11+'Calculations II'!BC9-Calculation!AS9-Calculation!DJ9</f>
        <v>44.110526361052479</v>
      </c>
      <c r="AE9" s="95">
        <f>Sheet1!AA11+Sheet1!AB11+'Calculations II'!BC9-Calculation!AS9-Calculation!DJ9</f>
        <v>47.610526361052479</v>
      </c>
      <c r="AF9" s="95">
        <f ca="1">Sheet1!AA11+Sheet1!BN11+P9+'Calculations II'!BC9+Calculation!AS9+Calculation!DJ9</f>
        <v>48.642750951346557</v>
      </c>
      <c r="AG9" s="95">
        <f ca="1">IF(B9=TODAY(),0,Sheet1!AA11+Sheet1!BN11+'Calculations II'!BC9+'Calculations II'!P9-Sheet1!CT11-BP9)</f>
        <v>27.837213312399033</v>
      </c>
      <c r="AH9" s="95">
        <f ca="1">IF(B9=TODAY(),0,Sheet1!AA11+Sheet1!BN11+'Calculations II'!BC9+'Calculations II'!P9-BP9)</f>
        <v>45.131213312399034</v>
      </c>
      <c r="AI9" s="95">
        <f ca="1">IF(B9=TODAY(),0,BC9+Sheet1!AA11+Calculation!ES9+O9+W9+Sheet1!BN11+Calculation!AS9+Calculation!DJ9-BP9)</f>
        <v>48.642750951346542</v>
      </c>
      <c r="AJ9" s="95"/>
      <c r="AM9" s="91">
        <f t="shared" si="0"/>
        <v>41637</v>
      </c>
      <c r="AN9" s="95">
        <f>Sheet1!BU11</f>
        <v>20</v>
      </c>
      <c r="AO9" s="95">
        <f>Sheet1!AA11</f>
        <v>21.02</v>
      </c>
      <c r="AP9" s="95">
        <f>D9+E9</f>
        <v>3.462499999999995</v>
      </c>
      <c r="AQ9" s="1055">
        <f>((Sheet1!BV11-(Sheet1!BU11-AP9))/(Sheet1!BU11-AP9))</f>
        <v>2.7966742252456229E-2</v>
      </c>
      <c r="AR9" s="95">
        <f>AO9-AP9</f>
        <v>17.557500000000005</v>
      </c>
      <c r="AS9" s="95">
        <f>AN9-AP9</f>
        <v>16.537500000000005</v>
      </c>
      <c r="AT9" s="90">
        <f>Sheet1!BB11</f>
        <v>1.014</v>
      </c>
      <c r="AU9" s="90">
        <f>Sheet1!AS11*GPMtoMGD</f>
        <v>3.0384000000000005E-2</v>
      </c>
      <c r="AV9" s="95">
        <f>Sheet1!AT11</f>
        <v>0</v>
      </c>
      <c r="AW9" s="90">
        <f>Sheet1!AV11*GPMtoMGD</f>
        <v>0.64900800000000003</v>
      </c>
      <c r="AX9" s="90">
        <f>Sheet1!AW11*GPMtoMGD</f>
        <v>0.74016000000000004</v>
      </c>
      <c r="AY9" s="90">
        <f>Sheet1!AX11*GPMtoMGD</f>
        <v>0</v>
      </c>
      <c r="AZ9" s="90">
        <f>Sheet1!AY11*GPMtoMGD</f>
        <v>0</v>
      </c>
      <c r="BA9" s="90">
        <f>Sheet1!AZ11*GPMtoMGD</f>
        <v>0</v>
      </c>
      <c r="BB9" s="90">
        <f>Sheet1!BP11*GPMtoMGD</f>
        <v>0</v>
      </c>
      <c r="BC9" s="90">
        <f>Sheet1!CS11*GPMtoMGD</f>
        <v>15.902064000000001</v>
      </c>
      <c r="BD9" s="90">
        <f>Sheet1!BO11*GPMtoMGD</f>
        <v>0.34732800000000003</v>
      </c>
      <c r="BE9" s="90">
        <f>Sheet1!BW11*GPMtoMGD</f>
        <v>0.71496000000000004</v>
      </c>
      <c r="BF9" s="90">
        <f>Sheet1!CN11*GPMtoMGD</f>
        <v>0.7922880000000001</v>
      </c>
      <c r="BG9" s="90">
        <f>Sheet1!CO11*GPMtoMGD</f>
        <v>0.52228799999999997</v>
      </c>
      <c r="BH9" s="90">
        <f>Sheet1!CP11*GPMtoMGD</f>
        <v>0.58406400000000003</v>
      </c>
      <c r="BI9" s="90">
        <f>BD9+BB9</f>
        <v>0.34732800000000003</v>
      </c>
      <c r="BK9" s="95">
        <f>SUM(AT9:BA9,BE9,Sheet1!BV11,'Calculations II'!BC9,Calculation!AQ9)</f>
        <v>46.740037094695367</v>
      </c>
      <c r="BM9" s="373">
        <f>0</f>
        <v>0</v>
      </c>
      <c r="BN9" s="373">
        <f>0</f>
        <v>0</v>
      </c>
      <c r="BP9" s="95">
        <f>SUM(BM9:BN9,W9,Sheet1!DX11)</f>
        <v>0</v>
      </c>
    </row>
    <row r="10" spans="1:256" s="90" customFormat="1">
      <c r="A10" s="651" t="s">
        <v>4</v>
      </c>
      <c r="B10" s="92">
        <v>41638</v>
      </c>
      <c r="C10" s="93">
        <v>0</v>
      </c>
      <c r="D10" s="95">
        <f>(Sheet1!BQ12-Sheet1!BQ11)*1.385</f>
        <v>-0.96949999999999903</v>
      </c>
      <c r="E10" s="30">
        <f>(Sheet1!BR12-Sheet1!BR11)*1.385</f>
        <v>-0.98334999999999628</v>
      </c>
      <c r="F10" s="30">
        <f ca="1">IF(B10=TODAY(),0,-(VLOOKUP(Sheet1!CD12,Lookup!$I$4:$J$216,2)-VLOOKUP(Sheet1!CD11,Lookup!$I$4:$J$216,2))/1000000)</f>
        <v>0.41454775419119744</v>
      </c>
      <c r="G10" s="95">
        <f ca="1">IF(B10=TODAY(),0,-$G$6*(Sheet1!CF12-Sheet1!CF11)*7.48/1000000)</f>
        <v>0.23828100631535562</v>
      </c>
      <c r="H10" s="95">
        <f ca="1">IF(B10=TODAY(),0,-$H$6*(Sheet1!CE12-Sheet1!CE11)*7.48/1000000)</f>
        <v>0</v>
      </c>
      <c r="I10" s="95">
        <f ca="1">IF(B10=TODAY(),0,-$I$6*(Sheet1!CG12-Sheet1!CG11)*7.48/1000000)</f>
        <v>-0.22013191200000001</v>
      </c>
      <c r="J10" s="96" t="s">
        <v>186</v>
      </c>
      <c r="K10" s="95">
        <f ca="1">IF(B10=TODAY(),0,-$K$6*(Sheet1!CH12-Sheet1!CH11)*7.48/1000000)</f>
        <v>-0.3731459409696728</v>
      </c>
      <c r="L10" s="96" t="s">
        <v>186</v>
      </c>
      <c r="M10" s="95">
        <f ca="1">IF(B10=TODAY(),0,-$M$6*(Sheet1!CI12-Sheet1!CI11)*7.48/1000000)</f>
        <v>-1.0255159803975415</v>
      </c>
      <c r="N10" s="95">
        <f ca="1">IF(B10=TODAY(),0,-$N$6*(Sheet1!CJ12-Sheet1!CJ11)*7.48/1000000)</f>
        <v>6.2052345394623676E-2</v>
      </c>
      <c r="O10" s="95">
        <f ca="1">SUM(F10:I10)+K10+SUM(M10:N10)</f>
        <v>-0.90391272746603768</v>
      </c>
      <c r="P10" s="95">
        <f ca="1">O10+Calculation!ES10</f>
        <v>1.0346946972034738</v>
      </c>
      <c r="Q10" s="90" t="str">
        <f>IF(Sheet1!BQ12&gt;25.75,"spill elevation","-")</f>
        <v>-</v>
      </c>
      <c r="R10" s="90" t="str">
        <f>IF(Sheet1!BQ12&gt;25.75,"spill elevation","-")</f>
        <v>-</v>
      </c>
      <c r="S10" s="90" t="str">
        <f>IF(Sheet1!BR12&gt;25.75,"spill elevation","-")</f>
        <v>-</v>
      </c>
      <c r="T10" s="94">
        <f>IF(Sheet1!DU12=1,Sheet1!AA12-(SUM(AT10:BA10)+BE10),Sheet1!AA12-SUM(AT10:BA10))</f>
        <v>18.566976</v>
      </c>
      <c r="U10" s="94">
        <f>Sheet1!BV12</f>
        <v>22.3</v>
      </c>
      <c r="V10" s="94">
        <f>T10-U10</f>
        <v>-3.7330240000000003</v>
      </c>
      <c r="W10" s="94">
        <f>0</f>
        <v>0</v>
      </c>
      <c r="X10" s="90">
        <f>0</f>
        <v>0</v>
      </c>
      <c r="Y10" s="95">
        <f ca="1">Calculation!EJ11+Calculation!ES10+'Calculations II'!O10-'Calculations II'!W10</f>
        <v>50.097574697203484</v>
      </c>
      <c r="Z10" s="95">
        <f ca="1">Y10-Sheet1!CT13</f>
        <v>33.347574697203484</v>
      </c>
      <c r="AA10" s="95">
        <f ca="1">Y10+Calculation!DJ11+Calculation!AS11</f>
        <v>53.979467701318711</v>
      </c>
      <c r="AC10" s="95">
        <f>Sheet1!AA12+Sheet1!AB12+BC10</f>
        <v>49.146864000000001</v>
      </c>
      <c r="AD10" s="95">
        <f>Sheet1!AA12+Sheet1!BN12+'Calculations II'!BC10-Calculation!AS10-Calculation!DJ10</f>
        <v>41.776524665575565</v>
      </c>
      <c r="AE10" s="95">
        <f>Sheet1!AA12+Sheet1!AB12+'Calculations II'!BC10-Calculation!AS10-Calculation!DJ10</f>
        <v>45.276524665575565</v>
      </c>
      <c r="AF10" s="95">
        <f ca="1">Sheet1!AA12+Sheet1!BN12+P10+'Calculations II'!BC10+Calculation!AS10+Calculation!DJ10</f>
        <v>50.551898031627914</v>
      </c>
      <c r="AG10" s="95">
        <f ca="1">IF(B10=TODAY(),0,Sheet1!AA12+Sheet1!BN12+'Calculations II'!BC10+'Calculations II'!P10-Sheet1!CT12-BP10)</f>
        <v>29.658558697203478</v>
      </c>
      <c r="AH10" s="95">
        <f ca="1">IF(B10=TODAY(),0,Sheet1!AA12+Sheet1!BN12+'Calculations II'!BC10+'Calculations II'!P10-BP10)</f>
        <v>46.681558697203478</v>
      </c>
      <c r="AI10" s="95">
        <f ca="1">IF(B10=TODAY(),0,BC10+Sheet1!AA12+Calculation!ES10+O10+W10+Sheet1!BN12+Calculation!AS10+Calculation!DJ10-BP10)</f>
        <v>50.551898031627921</v>
      </c>
      <c r="AJ10" s="95"/>
      <c r="AM10" s="91">
        <f t="shared" si="0"/>
        <v>41638</v>
      </c>
      <c r="AN10" s="95">
        <f>Sheet1!BU12</f>
        <v>19.8</v>
      </c>
      <c r="AO10" s="95">
        <f>Sheet1!AA12</f>
        <v>21.05</v>
      </c>
      <c r="AP10" s="95">
        <f t="shared" ref="AP10:AP73" si="1">D10+E10</f>
        <v>-1.9528499999999953</v>
      </c>
      <c r="AQ10" s="1055">
        <f>((Sheet1!BV12-(Sheet1!BU12-AP10))/(Sheet1!BU12-AP10))</f>
        <v>2.515302592533878E-2</v>
      </c>
      <c r="AR10" s="95">
        <f t="shared" ref="AR10:AR73" si="2">AO10-AP10</f>
        <v>23.002849999999995</v>
      </c>
      <c r="AS10" s="95">
        <f t="shared" ref="AS10:AS73" si="3">AN10-AP10</f>
        <v>21.752849999999995</v>
      </c>
      <c r="AT10" s="90">
        <f>Sheet1!BB12</f>
        <v>1.004</v>
      </c>
      <c r="AU10" s="90">
        <f>Sheet1!AS12*GPMtoMGD</f>
        <v>1.6128E-2</v>
      </c>
      <c r="AV10" s="95">
        <f>Sheet1!AT12</f>
        <v>0</v>
      </c>
      <c r="AW10" s="90">
        <f>Sheet1!AV12*GPMtoMGD</f>
        <v>0.58550400000000002</v>
      </c>
      <c r="AX10" s="90">
        <f>Sheet1!AW12*GPMtoMGD</f>
        <v>0.87739199999999995</v>
      </c>
      <c r="AY10" s="90">
        <f>Sheet1!AX12*GPMtoMGD</f>
        <v>0</v>
      </c>
      <c r="AZ10" s="90">
        <f>Sheet1!AY12*GPMtoMGD</f>
        <v>0</v>
      </c>
      <c r="BA10" s="90">
        <f>Sheet1!AZ12*GPMtoMGD</f>
        <v>0</v>
      </c>
      <c r="BB10" s="90">
        <f>Sheet1!BP12*GPMtoMGD</f>
        <v>0</v>
      </c>
      <c r="BC10" s="90">
        <f>Sheet1!CS12*GPMtoMGD</f>
        <v>13.896864000000001</v>
      </c>
      <c r="BD10" s="90">
        <f>Sheet1!BO12*GPMtoMGD</f>
        <v>2.8627200000000004</v>
      </c>
      <c r="BE10" s="90">
        <f>Sheet1!BW12*GPMtoMGD</f>
        <v>0.83793600000000001</v>
      </c>
      <c r="BF10" s="90">
        <f>Sheet1!CN12*GPMtoMGD</f>
        <v>0.76694400000000007</v>
      </c>
      <c r="BG10" s="90">
        <f>Sheet1!CO12*GPMtoMGD</f>
        <v>0.49348800000000004</v>
      </c>
      <c r="BH10" s="90">
        <f>Sheet1!CP12*GPMtoMGD</f>
        <v>0.62064000000000008</v>
      </c>
      <c r="BI10" s="90">
        <f>BD10+BB10</f>
        <v>2.8627200000000004</v>
      </c>
      <c r="BK10" s="95">
        <f>SUM(AT10:BA10,BE10,Sheet1!BV12,'Calculations II'!BC10,Calculation!AQ10)</f>
        <v>49.87925335079106</v>
      </c>
      <c r="BM10" s="373">
        <f>0</f>
        <v>0</v>
      </c>
      <c r="BN10" s="373">
        <f>0</f>
        <v>0</v>
      </c>
      <c r="BP10" s="95">
        <f>SUM(BM10:BN10,W10,Sheet1!DX12)</f>
        <v>0</v>
      </c>
    </row>
    <row r="11" spans="1:256" s="90" customFormat="1">
      <c r="A11" s="651" t="s">
        <v>5</v>
      </c>
      <c r="B11" s="92">
        <v>41639</v>
      </c>
      <c r="C11" s="93">
        <v>0</v>
      </c>
      <c r="D11" s="95">
        <f>(Sheet1!BQ13-Sheet1!BQ12)*1.385</f>
        <v>0.83100000000000196</v>
      </c>
      <c r="E11" s="30">
        <f>(Sheet1!BR13-Sheet1!BR12)*1.385</f>
        <v>0.84484999999999921</v>
      </c>
      <c r="F11" s="30">
        <f ca="1">IF(B11=TODAY(),0,-(VLOOKUP(Sheet1!CD13,Lookup!$I$4:$J$216,2)-VLOOKUP(Sheet1!CD12,Lookup!$I$4:$J$216,2))/1000000)</f>
        <v>0.20727387709560618</v>
      </c>
      <c r="G11" s="95">
        <f ca="1">IF(B11=TODAY(),0,-$G$6*(Sheet1!CF13-Sheet1!CF12)*7.48/1000000)</f>
        <v>0.19856750526279648</v>
      </c>
      <c r="H11" s="95">
        <f ca="1">IF(B11=TODAY(),0,-$H$6*(Sheet1!CE13-Sheet1!CE12)*7.48/1000000)</f>
        <v>-1.5039432351264204E-2</v>
      </c>
      <c r="I11" s="95">
        <f ca="1">IF(B11=TODAY(),0,-$I$6*(Sheet1!CG13-Sheet1!CG12)*7.48/1000000)</f>
        <v>0.22237815600000002</v>
      </c>
      <c r="J11" s="96" t="s">
        <v>186</v>
      </c>
      <c r="K11" s="95">
        <f ca="1">IF(B11=TODAY(),0,-$K$6*(Sheet1!CH13-Sheet1!CH12)*7.48/1000000)</f>
        <v>0.38647258171858972</v>
      </c>
      <c r="L11" s="96" t="s">
        <v>186</v>
      </c>
      <c r="M11" s="95">
        <f ca="1">IF(B11=TODAY(),0,-$M$6*(Sheet1!CI13-Sheet1!CI12)*7.48/1000000)</f>
        <v>0.97154145511346068</v>
      </c>
      <c r="N11" s="95">
        <f ca="1">IF(B11=TODAY(),0,-$N$6*(Sheet1!CJ13-Sheet1!CJ12)*7.48/1000000)</f>
        <v>0.24820938157849581</v>
      </c>
      <c r="O11" s="95">
        <f ca="1">SUM(F11:I11)+K11+SUM(M11:N11)</f>
        <v>2.2194035244176846</v>
      </c>
      <c r="P11" s="95">
        <f ca="1">O11+Calculation!ES11</f>
        <v>0.55777846610535042</v>
      </c>
      <c r="Q11" s="90" t="str">
        <f>IF(Sheet1!BQ13&gt;25.75,"spill elevation","-")</f>
        <v>-</v>
      </c>
      <c r="R11" s="90" t="str">
        <f>IF(Sheet1!BQ13&gt;25.75,"spill elevation","-")</f>
        <v>-</v>
      </c>
      <c r="S11" s="90" t="str">
        <f>IF(Sheet1!BR13&gt;25.75,"spill elevation","-")</f>
        <v>-</v>
      </c>
      <c r="T11" s="94">
        <f>IF(Sheet1!DU13=1,Sheet1!AA13-(SUM(AT11:BA11)+BE11),Sheet1!AA13-SUM(AT11:BA11))</f>
        <v>18.973344000000001</v>
      </c>
      <c r="U11" s="94">
        <f>Sheet1!BV13</f>
        <v>18.899999999999999</v>
      </c>
      <c r="V11" s="94">
        <f t="shared" ref="V11:V17" si="4">T11-U11</f>
        <v>7.3344000000002296E-2</v>
      </c>
      <c r="W11" s="94">
        <f>0</f>
        <v>0</v>
      </c>
      <c r="X11" s="90">
        <f>0</f>
        <v>0</v>
      </c>
      <c r="Y11" s="95">
        <f ca="1">Calculation!EJ12+Calculation!ES11+'Calculations II'!O11-'Calculations II'!W11</f>
        <v>50.726978466105358</v>
      </c>
      <c r="Z11" s="95">
        <f ca="1">Y11-Sheet1!CT14</f>
        <v>32.855978466105356</v>
      </c>
      <c r="AA11" s="95">
        <f ca="1">Y11+Calculation!DJ12+Calculation!AS12</f>
        <v>56.645207797928684</v>
      </c>
      <c r="AC11" s="95">
        <f>Sheet1!AA13+Sheet1!AB13+BC11</f>
        <v>49.062880000000007</v>
      </c>
      <c r="AD11" s="95">
        <f>Sheet1!AA13+Sheet1!BN13+'Calculations II'!BC11-Calculation!AS11-Calculation!DJ11</f>
        <v>41.68098699588478</v>
      </c>
      <c r="AE11" s="95">
        <f>Sheet1!AA13+Sheet1!AB13+'Calculations II'!BC11-Calculation!AS11-Calculation!DJ11</f>
        <v>45.18098699588478</v>
      </c>
      <c r="AF11" s="95">
        <f ca="1">Sheet1!AA13+Sheet1!BN13+P11+'Calculations II'!BC11+Calculation!AS11+Calculation!DJ11</f>
        <v>50.002551470220581</v>
      </c>
      <c r="AG11" s="95">
        <f ca="1">IF(B11=TODAY(),0,Sheet1!AA13+Sheet1!BN13+'Calculations II'!BC11+'Calculations II'!P11-Sheet1!CT13-BP11)</f>
        <v>29.370658466105354</v>
      </c>
      <c r="AH11" s="95">
        <f ca="1">IF(B11=TODAY(),0,Sheet1!AA13+Sheet1!BN13+'Calculations II'!BC11+'Calculations II'!P11-BP11)</f>
        <v>46.120658466105354</v>
      </c>
      <c r="AI11" s="95">
        <f ca="1">IF(B11=TODAY(),0,BC11+Sheet1!AA13+Calculation!ES11+O11+W11+Sheet1!BN13+Calculation!AS11+Calculation!DJ11-BP11)</f>
        <v>50.002551470220581</v>
      </c>
      <c r="AJ11" s="95"/>
      <c r="AM11" s="91">
        <f t="shared" si="0"/>
        <v>41639</v>
      </c>
      <c r="AN11" s="95">
        <f>Sheet1!BU13</f>
        <v>20.2</v>
      </c>
      <c r="AO11" s="95">
        <f>Sheet1!AA13</f>
        <v>21.1</v>
      </c>
      <c r="AP11" s="95">
        <f t="shared" si="1"/>
        <v>1.6758500000000012</v>
      </c>
      <c r="AQ11" s="1055">
        <f>((Sheet1!BV13-(Sheet1!BU13-AP11))/(Sheet1!BU13-AP11))</f>
        <v>2.0289729893139485E-2</v>
      </c>
      <c r="AR11" s="95">
        <f t="shared" si="2"/>
        <v>19.424150000000001</v>
      </c>
      <c r="AS11" s="95">
        <f t="shared" si="3"/>
        <v>18.524149999999999</v>
      </c>
      <c r="AT11" s="90">
        <f>Sheet1!BB13</f>
        <v>1</v>
      </c>
      <c r="AU11" s="90">
        <f>Sheet1!AS13*GPMtoMGD</f>
        <v>3.0672000000000001E-2</v>
      </c>
      <c r="AV11" s="95">
        <f>Sheet1!AT13</f>
        <v>0</v>
      </c>
      <c r="AW11" s="90">
        <f>Sheet1!AV13*GPMtoMGD</f>
        <v>0.45316800000000002</v>
      </c>
      <c r="AX11" s="90">
        <f>Sheet1!AW13*GPMtoMGD</f>
        <v>0.64281600000000005</v>
      </c>
      <c r="AY11" s="90">
        <f>Sheet1!AX13*GPMtoMGD</f>
        <v>0</v>
      </c>
      <c r="AZ11" s="90">
        <f>Sheet1!AY13*GPMtoMGD</f>
        <v>0</v>
      </c>
      <c r="BA11" s="90">
        <f>Sheet1!AZ13*GPMtoMGD</f>
        <v>0</v>
      </c>
      <c r="BB11" s="90">
        <f>Sheet1!BP13*GPMtoMGD</f>
        <v>0</v>
      </c>
      <c r="BC11" s="90">
        <f>Sheet1!CS13*GPMtoMGD</f>
        <v>13.862880000000001</v>
      </c>
      <c r="BD11" s="90">
        <f>Sheet1!BO13*GPMtoMGD</f>
        <v>0.26812799999999998</v>
      </c>
      <c r="BE11" s="90">
        <f>Sheet1!BW13*GPMtoMGD</f>
        <v>0.80380800000000008</v>
      </c>
      <c r="BF11" s="90">
        <f>Sheet1!CN13*GPMtoMGD</f>
        <v>0.7898400000000001</v>
      </c>
      <c r="BG11" s="90">
        <f>Sheet1!CO13*GPMtoMGD</f>
        <v>0.49348800000000004</v>
      </c>
      <c r="BH11" s="90">
        <f>Sheet1!CP13*GPMtoMGD</f>
        <v>0.62769600000000003</v>
      </c>
      <c r="BI11" s="90">
        <f t="shared" ref="BI11:BI17" si="5">BD11+BB11</f>
        <v>0.26812799999999998</v>
      </c>
      <c r="BK11" s="95">
        <f>SUM(AT11:BA11,BE11,Sheet1!BV13,'Calculations II'!BC11,Calculation!AQ11)</f>
        <v>45.944372806584354</v>
      </c>
      <c r="BM11" s="373">
        <f>0</f>
        <v>0</v>
      </c>
      <c r="BN11" s="373">
        <f>0</f>
        <v>0</v>
      </c>
      <c r="BP11" s="95">
        <f>SUM(BM11:BN11,W11,Sheet1!DX13)</f>
        <v>0</v>
      </c>
    </row>
    <row r="12" spans="1:256" s="90" customFormat="1">
      <c r="A12" s="651" t="s">
        <v>6</v>
      </c>
      <c r="B12" s="92">
        <v>41640</v>
      </c>
      <c r="C12" s="93">
        <v>0</v>
      </c>
      <c r="D12" s="1055">
        <f>(Sheet1!BQ14-Sheet1!BQ13)*1.385</f>
        <v>-0.83100000000000196</v>
      </c>
      <c r="E12" s="1056">
        <f>(Sheet1!BR14-Sheet1!BR13)*1.385</f>
        <v>-0.83100000000000196</v>
      </c>
      <c r="F12" s="30">
        <f ca="1">IF(B12=TODAY(),0,-(VLOOKUP(Sheet1!CD14,Lookup!$I$4:$J$216,2)-VLOOKUP(Sheet1!CD13,Lookup!$I$4:$J$216,2))/1000000)</f>
        <v>0.31091081564339806</v>
      </c>
      <c r="G12" s="95">
        <f ca="1">IF(B12=TODAY(),0,-$G$6*(Sheet1!CF14-Sheet1!CF13)*7.48/1000000)</f>
        <v>0.27799450736791548</v>
      </c>
      <c r="H12" s="95">
        <f ca="1">IF(B12=TODAY(),0,-$H$6*(Sheet1!CE14-Sheet1!CE13)*7.48/1000000)</f>
        <v>1.5039432351264204E-2</v>
      </c>
      <c r="I12" s="95">
        <f ca="1">IF(B12=TODAY(),0,-$I$6*(Sheet1!CG14-Sheet1!CG13)*7.48/1000000)</f>
        <v>-5.1663612000000025E-2</v>
      </c>
      <c r="J12" s="96" t="s">
        <v>186</v>
      </c>
      <c r="K12" s="95">
        <f ca="1">IF(B12=TODAY(),0,-$K$6*(Sheet1!CH14-Sheet1!CH13)*7.48/1000000)</f>
        <v>-9.9949805616876636E-2</v>
      </c>
      <c r="L12" s="96" t="s">
        <v>186</v>
      </c>
      <c r="M12" s="95">
        <f ca="1">IF(B12=TODAY(),0,-$M$6*(Sheet1!CI14-Sheet1!CI13)*7.48/1000000)</f>
        <v>-0.17991508428027048</v>
      </c>
      <c r="N12" s="95">
        <f ca="1">IF(B12=TODAY(),0,-$N$6*(Sheet1!CJ14-Sheet1!CJ13)*7.48/1000000)</f>
        <v>-0.37231407236774428</v>
      </c>
      <c r="O12" s="95">
        <f t="shared" ref="O12:O17" ca="1" si="6">SUM(F12:I12)+K12+SUM(M12:N12)</f>
        <v>-9.9897818902313751E-2</v>
      </c>
      <c r="P12" s="95">
        <f ca="1">O12+Calculation!ES12</f>
        <v>1.5617272394100206</v>
      </c>
      <c r="Q12" s="90" t="str">
        <f>IF(Sheet1!BQ14&gt;25.75,"spill elevation","-")</f>
        <v>-</v>
      </c>
      <c r="R12" s="90" t="str">
        <f>IF(Sheet1!BQ14&gt;25.75,"spill elevation","-")</f>
        <v>-</v>
      </c>
      <c r="S12" s="90" t="str">
        <f>IF(Sheet1!BR14&gt;25.75,"spill elevation","-")</f>
        <v>-</v>
      </c>
      <c r="T12" s="94">
        <f>IF(Sheet1!DU14=1,Sheet1!AA14-(SUM(AT12:BA12)+BE12),Sheet1!AA14-SUM(AT12:BA12))</f>
        <v>18.882719999999999</v>
      </c>
      <c r="U12" s="94">
        <f>Sheet1!BV14</f>
        <v>22.3</v>
      </c>
      <c r="V12" s="94">
        <f t="shared" si="4"/>
        <v>-3.4172800000000016</v>
      </c>
      <c r="W12" s="94">
        <f>0</f>
        <v>0</v>
      </c>
      <c r="X12" s="90">
        <f>0</f>
        <v>0</v>
      </c>
      <c r="Y12" s="95">
        <f ca="1">Calculation!EJ13+Calculation!ES12+'Calculations II'!O12-'Calculations II'!W12</f>
        <v>56.554303239410018</v>
      </c>
      <c r="Z12" s="95">
        <f ca="1">Y12-Sheet1!CT15</f>
        <v>39.568303239410014</v>
      </c>
      <c r="AA12" s="95">
        <f ca="1">Y12+Calculation!DJ13+Calculation!AS13</f>
        <v>63.752611262231738</v>
      </c>
      <c r="AC12" s="95">
        <f>Sheet1!AA14+Sheet1!AB14+BC12</f>
        <v>50.169200000000004</v>
      </c>
      <c r="AD12" s="95">
        <f>Sheet1!AA14+Sheet1!BN14+'Calculations II'!BC12-Calculation!AS12-Calculation!DJ12</f>
        <v>38.350970668176672</v>
      </c>
      <c r="AE12" s="95">
        <f>Sheet1!AA14+Sheet1!AB14+'Calculations II'!BC12-Calculation!AS12-Calculation!DJ12</f>
        <v>44.250970668176677</v>
      </c>
      <c r="AF12" s="95">
        <f ca="1">Sheet1!AA14+Sheet1!BN14+P12+'Calculations II'!BC12+Calculation!AS12+Calculation!DJ12</f>
        <v>51.74915657123335</v>
      </c>
      <c r="AG12" s="95">
        <f ca="1">IF(B12=TODAY(),0,Sheet1!AA14+Sheet1!BN14+'Calculations II'!BC12+'Calculations II'!P12-Sheet1!CT14-BP12)</f>
        <v>27.959927239410018</v>
      </c>
      <c r="AH12" s="95">
        <f ca="1">IF(B12=TODAY(),0,Sheet1!AA14+Sheet1!BN14+'Calculations II'!BC12+'Calculations II'!P12-BP12)</f>
        <v>45.830927239410016</v>
      </c>
      <c r="AI12" s="95">
        <f ca="1">IF(B12=TODAY(),0,BC12+Sheet1!AA14+Calculation!ES12+O12+W12+Sheet1!BN14+Calculation!AS12+Calculation!DJ12-BP12)</f>
        <v>51.749156571233343</v>
      </c>
      <c r="AJ12" s="95"/>
      <c r="AM12" s="91">
        <f t="shared" si="0"/>
        <v>41640</v>
      </c>
      <c r="AN12" s="95">
        <f>Sheet1!BU14</f>
        <v>20.2</v>
      </c>
      <c r="AO12" s="95">
        <f>Sheet1!AA14</f>
        <v>21.05</v>
      </c>
      <c r="AP12" s="1055">
        <f t="shared" si="1"/>
        <v>-1.6620000000000039</v>
      </c>
      <c r="AQ12" s="1055">
        <f>((Sheet1!BV14-(Sheet1!BU14-AP12))/(Sheet1!BU14-AP12))</f>
        <v>2.0034763516604097E-2</v>
      </c>
      <c r="AR12" s="95">
        <f t="shared" si="2"/>
        <v>22.712000000000003</v>
      </c>
      <c r="AS12" s="95">
        <f t="shared" si="3"/>
        <v>21.862000000000002</v>
      </c>
      <c r="AT12" s="90">
        <f>Sheet1!BB14</f>
        <v>0.998</v>
      </c>
      <c r="AU12" s="90">
        <f>Sheet1!AS14*GPMtoMGD</f>
        <v>1.6272000000000002E-2</v>
      </c>
      <c r="AV12" s="95">
        <f>Sheet1!AT14</f>
        <v>0</v>
      </c>
      <c r="AW12" s="90">
        <f>Sheet1!AV14*GPMtoMGD</f>
        <v>0.52416000000000007</v>
      </c>
      <c r="AX12" s="90">
        <f>Sheet1!AW14*GPMtoMGD</f>
        <v>0.62884800000000007</v>
      </c>
      <c r="AY12" s="90">
        <f>Sheet1!AX14*GPMtoMGD</f>
        <v>0</v>
      </c>
      <c r="AZ12" s="90">
        <f>Sheet1!AY14*GPMtoMGD</f>
        <v>0</v>
      </c>
      <c r="BA12" s="90">
        <f>Sheet1!AZ14*GPMtoMGD</f>
        <v>0</v>
      </c>
      <c r="BB12" s="90">
        <f>Sheet1!BP14*GPMtoMGD</f>
        <v>0</v>
      </c>
      <c r="BC12" s="90">
        <f>Sheet1!CS14*GPMtoMGD</f>
        <v>15.019200000000001</v>
      </c>
      <c r="BD12" s="90">
        <f>Sheet1!BO14*GPMtoMGD</f>
        <v>1.8876960000000003</v>
      </c>
      <c r="BE12" s="90">
        <f>Sheet1!BW14*GPMtoMGD</f>
        <v>0.77630400000000011</v>
      </c>
      <c r="BF12" s="90">
        <f>Sheet1!CN14*GPMtoMGD</f>
        <v>0.75974400000000009</v>
      </c>
      <c r="BG12" s="90">
        <f>Sheet1!CO14*GPMtoMGD</f>
        <v>0.53323200000000004</v>
      </c>
      <c r="BH12" s="90">
        <f>Sheet1!CP14*GPMtoMGD</f>
        <v>0.58593600000000001</v>
      </c>
      <c r="BI12" s="90">
        <f t="shared" si="5"/>
        <v>1.8876960000000003</v>
      </c>
      <c r="BK12" s="95">
        <f>SUM(AT12:BA12,BE12,Sheet1!BV14,'Calculations II'!BC12,Calculation!AQ12)</f>
        <v>48.446532584371468</v>
      </c>
      <c r="BM12" s="373">
        <f>0</f>
        <v>0</v>
      </c>
      <c r="BN12" s="373">
        <f>0</f>
        <v>0</v>
      </c>
      <c r="BP12" s="95">
        <f>SUM(BM12:BN12,W12,Sheet1!DX14)</f>
        <v>0</v>
      </c>
    </row>
    <row r="13" spans="1:256" s="90" customFormat="1">
      <c r="A13" s="651" t="s">
        <v>7</v>
      </c>
      <c r="B13" s="92">
        <v>41641</v>
      </c>
      <c r="C13" s="93">
        <v>0</v>
      </c>
      <c r="D13" s="95">
        <f>(Sheet1!BQ15-Sheet1!BQ14)*1.385</f>
        <v>0.47089999999999982</v>
      </c>
      <c r="E13" s="30">
        <f>(Sheet1!BR15-Sheet1!BR14)*1.385</f>
        <v>0.44320000000000037</v>
      </c>
      <c r="F13" s="30">
        <f ca="1">IF(B13=TODAY(),0,-(VLOOKUP(Sheet1!CD15,Lookup!$I$4:$J$216,2)-VLOOKUP(Sheet1!CD14,Lookup!$I$4:$J$216,2))/1000000)</f>
        <v>-0.41454775419120493</v>
      </c>
      <c r="G13" s="95">
        <f ca="1">IF(B13=TODAY(),0,-$G$6*(Sheet1!CF15-Sheet1!CF14)*7.48/1000000)</f>
        <v>0.19856750526279648</v>
      </c>
      <c r="H13" s="95">
        <f ca="1">IF(B13=TODAY(),0,-$H$6*(Sheet1!CE15-Sheet1!CE14)*7.48/1000000)</f>
        <v>3.0078864702530548E-2</v>
      </c>
      <c r="I13" s="95">
        <f ca="1">IF(B13=TODAY(),0,-$I$6*(Sheet1!CG15-Sheet1!CG14)*7.48/1000000)</f>
        <v>-0.19766947200000001</v>
      </c>
      <c r="J13" s="96" t="s">
        <v>186</v>
      </c>
      <c r="K13" s="95">
        <f ca="1">IF(B13=TODAY(),0,-$K$6*(Sheet1!CH15-Sheet1!CH14)*7.48/1000000)</f>
        <v>-0.33316601872292212</v>
      </c>
      <c r="L13" s="96" t="s">
        <v>186</v>
      </c>
      <c r="M13" s="95">
        <f ca="1">IF(B13=TODAY(),0,-$M$6*(Sheet1!CI15-Sheet1!CI14)*7.48/1000000)</f>
        <v>-0.97154145511346068</v>
      </c>
      <c r="N13" s="95">
        <f ca="1">IF(B13=TODAY(),0,-$N$6*(Sheet1!CJ15-Sheet1!CJ14)*7.48/1000000)</f>
        <v>-7.4462814473548189E-2</v>
      </c>
      <c r="O13" s="95">
        <f t="shared" ca="1" si="6"/>
        <v>-1.762741144535809</v>
      </c>
      <c r="P13" s="95">
        <f ca="1">O13+Calculation!ES13</f>
        <v>-2.8704399198634394</v>
      </c>
      <c r="Q13" s="90" t="str">
        <f>IF(Sheet1!BQ15&gt;25.75,"spill elevation","-")</f>
        <v>-</v>
      </c>
      <c r="R13" s="90" t="str">
        <f>IF(Sheet1!BQ15&gt;25.75,"spill elevation","-")</f>
        <v>-</v>
      </c>
      <c r="S13" s="90" t="str">
        <f>IF(Sheet1!BR15&gt;25.75,"spill elevation","-")</f>
        <v>-</v>
      </c>
      <c r="T13" s="94">
        <f>IF(Sheet1!DU15=1,Sheet1!AA15-(SUM(AT13:BA13)+BE13),Sheet1!AA15-SUM(AT13:BA13))</f>
        <v>18.585320000000003</v>
      </c>
      <c r="U13" s="94">
        <f>Sheet1!BV15</f>
        <v>19.7</v>
      </c>
      <c r="V13" s="94">
        <f t="shared" si="4"/>
        <v>-1.1146799999999963</v>
      </c>
      <c r="W13" s="94">
        <f>0</f>
        <v>0</v>
      </c>
      <c r="X13" s="90">
        <f>0</f>
        <v>0</v>
      </c>
      <c r="Y13" s="95">
        <f ca="1">Calculation!EJ14+Calculation!ES13+'Calculations II'!O13-'Calculations II'!W13</f>
        <v>51.961912080136564</v>
      </c>
      <c r="Z13" s="95">
        <f ca="1">Y13-Sheet1!CT16</f>
        <v>34.951912080136566</v>
      </c>
      <c r="AA13" s="95">
        <f ca="1">Y13+Calculation!DJ14+Calculation!AS14</f>
        <v>59.123840299700248</v>
      </c>
      <c r="AC13" s="95">
        <f>Sheet1!AA15+Sheet1!AB15+BC13</f>
        <v>54.992576</v>
      </c>
      <c r="AD13" s="95">
        <f>Sheet1!AA15+Sheet1!BN15+'Calculations II'!BC13-Calculation!AS13-Calculation!DJ13</f>
        <v>40.594267977178276</v>
      </c>
      <c r="AE13" s="95">
        <f>Sheet1!AA15+Sheet1!AB15+'Calculations II'!BC13-Calculation!AS13-Calculation!DJ13</f>
        <v>47.794267977178279</v>
      </c>
      <c r="AF13" s="95">
        <f ca="1">Sheet1!AA15+Sheet1!BN15+P13+'Calculations II'!BC13+Calculation!AS13+Calculation!DJ13</f>
        <v>52.120444102958281</v>
      </c>
      <c r="AG13" s="95">
        <f ca="1">IF(B13=TODAY(),0,Sheet1!AA15+Sheet1!BN15+'Calculations II'!BC13+'Calculations II'!P13-Sheet1!CT15-BP13)</f>
        <v>27.93613608013656</v>
      </c>
      <c r="AH13" s="95">
        <f ca="1">IF(B13=TODAY(),0,Sheet1!AA15+Sheet1!BN15+'Calculations II'!BC13+'Calculations II'!P13-BP13)</f>
        <v>44.922136080136561</v>
      </c>
      <c r="AI13" s="95">
        <f ca="1">IF(B13=TODAY(),0,BC13+Sheet1!AA15+Calculation!ES13+O13+W13+Sheet1!BN15+Calculation!AS13+Calculation!DJ13-BP13)</f>
        <v>52.120444102958281</v>
      </c>
      <c r="AJ13" s="95"/>
      <c r="AM13" s="91">
        <f t="shared" si="0"/>
        <v>41641</v>
      </c>
      <c r="AN13" s="95">
        <f>Sheet1!BU15</f>
        <v>20</v>
      </c>
      <c r="AO13" s="95">
        <f>Sheet1!AA15</f>
        <v>21.1</v>
      </c>
      <c r="AP13" s="95">
        <f t="shared" si="1"/>
        <v>0.91410000000000013</v>
      </c>
      <c r="AQ13" s="1055">
        <f>((Sheet1!BV15-(Sheet1!BU15-AP13))/(Sheet1!BU15-AP13))</f>
        <v>3.2175585117809512E-2</v>
      </c>
      <c r="AR13" s="95">
        <f t="shared" si="2"/>
        <v>20.1859</v>
      </c>
      <c r="AS13" s="95">
        <f t="shared" si="3"/>
        <v>19.085899999999999</v>
      </c>
      <c r="AT13" s="90">
        <f>Sheet1!BB15</f>
        <v>1.0069999999999999</v>
      </c>
      <c r="AU13" s="90">
        <f>Sheet1!AS15*GPMtoMGD</f>
        <v>2.4336E-2</v>
      </c>
      <c r="AV13" s="95">
        <f>Sheet1!AT15</f>
        <v>0</v>
      </c>
      <c r="AW13" s="90">
        <f>Sheet1!AV15*GPMtoMGD</f>
        <v>0.68529600000000002</v>
      </c>
      <c r="AX13" s="90">
        <f>Sheet1!AW15*GPMtoMGD</f>
        <v>0.79804800000000009</v>
      </c>
      <c r="AY13" s="90">
        <f>Sheet1!AX15*GPMtoMGD</f>
        <v>0</v>
      </c>
      <c r="AZ13" s="90">
        <f>Sheet1!AY15*GPMtoMGD</f>
        <v>0</v>
      </c>
      <c r="BA13" s="90">
        <f>Sheet1!AZ15*GPMtoMGD</f>
        <v>0</v>
      </c>
      <c r="BB13" s="90">
        <f>Sheet1!BP15*GPMtoMGD</f>
        <v>0</v>
      </c>
      <c r="BC13" s="90">
        <f>Sheet1!CS15*GPMtoMGD</f>
        <v>19.692575999999999</v>
      </c>
      <c r="BD13" s="90">
        <f>Sheet1!BO15*GPMtoMGD</f>
        <v>2.7439200000000001</v>
      </c>
      <c r="BE13" s="90">
        <f>Sheet1!BW15*GPMtoMGD</f>
        <v>0.85089599999999999</v>
      </c>
      <c r="BF13" s="90">
        <f>Sheet1!CN15*GPMtoMGD</f>
        <v>0.79963200000000001</v>
      </c>
      <c r="BG13" s="90">
        <f>Sheet1!CO15*GPMtoMGD</f>
        <v>0.504</v>
      </c>
      <c r="BH13" s="90">
        <f>Sheet1!CP15*GPMtoMGD</f>
        <v>0.642096</v>
      </c>
      <c r="BI13" s="90">
        <f t="shared" si="5"/>
        <v>2.7439200000000001</v>
      </c>
      <c r="BK13" s="95">
        <f>SUM(AT13:BA13,BE13,Sheet1!BV15,'Calculations II'!BC13,Calculation!AQ13)</f>
        <v>49.759631185743459</v>
      </c>
      <c r="BM13" s="373">
        <f>0</f>
        <v>0</v>
      </c>
      <c r="BN13" s="373">
        <f>0</f>
        <v>0</v>
      </c>
      <c r="BP13" s="95">
        <f>SUM(BM13:BN13,W13,Sheet1!DX15)</f>
        <v>0</v>
      </c>
    </row>
    <row r="14" spans="1:256" s="90" customFormat="1">
      <c r="A14" s="651" t="s">
        <v>8</v>
      </c>
      <c r="B14" s="92">
        <v>41642</v>
      </c>
      <c r="C14" s="93">
        <v>0</v>
      </c>
      <c r="D14" s="95">
        <f>(Sheet1!BQ16-Sheet1!BQ15)*1.385</f>
        <v>2.1328999999999989</v>
      </c>
      <c r="E14" s="30">
        <f>(Sheet1!BR16-Sheet1!BR15)*1.385</f>
        <v>2.1467500000000008</v>
      </c>
      <c r="F14" s="30">
        <f ca="1">IF(B14=TODAY(),0,-(VLOOKUP(Sheet1!CD16,Lookup!$I$4:$J$216,2)-VLOOKUP(Sheet1!CD15,Lookup!$I$4:$J$216,2))/1000000)</f>
        <v>-0.41454775419119744</v>
      </c>
      <c r="G14" s="95">
        <f ca="1">IF(B14=TODAY(),0,-$G$6*(Sheet1!CF16-Sheet1!CF15)*7.48/1000000)</f>
        <v>-1.1516915305242199</v>
      </c>
      <c r="H14" s="95">
        <f ca="1">IF(B14=TODAY(),0,-$H$6*(Sheet1!CE16-Sheet1!CE15)*7.48/1000000)</f>
        <v>4.5118297053794748E-2</v>
      </c>
      <c r="I14" s="95">
        <f ca="1">IF(B14=TODAY(),0,-$I$6*(Sheet1!CG16-Sheet1!CG15)*7.48/1000000)</f>
        <v>0.238101864</v>
      </c>
      <c r="J14" s="96" t="s">
        <v>186</v>
      </c>
      <c r="K14" s="95">
        <f ca="1">IF(B14=TODAY(),0,-$K$6*(Sheet1!CH16-Sheet1!CH15)*7.48/1000000)</f>
        <v>0.39979922246750654</v>
      </c>
      <c r="L14" s="96" t="s">
        <v>186</v>
      </c>
      <c r="M14" s="95">
        <f ca="1">IF(B14=TODAY(),0,-$M$6*(Sheet1!CI16-Sheet1!CI15)*7.48/1000000)</f>
        <v>1.1514565393937308</v>
      </c>
      <c r="N14" s="95">
        <f ca="1">IF(B14=TODAY(),0,-$N$6*(Sheet1!CJ16-Sheet1!CJ15)*7.48/1000000)</f>
        <v>0.6329339230251636</v>
      </c>
      <c r="O14" s="95">
        <f t="shared" ca="1" si="6"/>
        <v>0.90117056122477834</v>
      </c>
      <c r="P14" s="95">
        <f ca="1">O14+Calculation!ES14</f>
        <v>-3.2545262926581309</v>
      </c>
      <c r="Q14" s="90" t="str">
        <f>IF(Sheet1!BQ16&gt;25.75,"spill elevation","-")</f>
        <v>-</v>
      </c>
      <c r="R14" s="90" t="str">
        <f>IF(Sheet1!BQ16&gt;25.75,"spill elevation","-")</f>
        <v>-</v>
      </c>
      <c r="S14" s="90" t="str">
        <f>IF(Sheet1!BR16&gt;25.75,"spill elevation","-")</f>
        <v>-</v>
      </c>
      <c r="T14" s="94">
        <f>IF(Sheet1!DU16=1,Sheet1!AA16-(SUM(AT14:BA14)+BE14),Sheet1!AA16-SUM(AT14:BA14))</f>
        <v>19.215375999999999</v>
      </c>
      <c r="U14" s="94">
        <f>Sheet1!BV16</f>
        <v>16.600000000000001</v>
      </c>
      <c r="V14" s="94">
        <f t="shared" si="4"/>
        <v>2.6153759999999977</v>
      </c>
      <c r="W14" s="94">
        <f>0</f>
        <v>0</v>
      </c>
      <c r="X14" s="90">
        <f>0</f>
        <v>0</v>
      </c>
      <c r="Y14" s="95">
        <f ca="1">Calculation!EJ15+Calculation!ES14+'Calculations II'!O14-'Calculations II'!W14</f>
        <v>47.827777707341873</v>
      </c>
      <c r="Z14" s="95">
        <f ca="1">Y14-Sheet1!CT17</f>
        <v>30.747777707341875</v>
      </c>
      <c r="AA14" s="95">
        <f ca="1">Y14+Calculation!DJ15+Calculation!AS15</f>
        <v>54.941064420628585</v>
      </c>
      <c r="AC14" s="95">
        <f>Sheet1!AA16+Sheet1!AB16+BC14</f>
        <v>54.832352</v>
      </c>
      <c r="AD14" s="95">
        <f>Sheet1!AA16+Sheet1!BN16+'Calculations II'!BC14-Calculation!AS14-Calculation!DJ14</f>
        <v>40.570423780436322</v>
      </c>
      <c r="AE14" s="95">
        <f>Sheet1!AA16+Sheet1!AB16+'Calculations II'!BC14-Calculation!AS14-Calculation!DJ14</f>
        <v>47.670423780436316</v>
      </c>
      <c r="AF14" s="95">
        <f ca="1">Sheet1!AA16+Sheet1!BN16+P14+'Calculations II'!BC14+Calculation!AS14+Calculation!DJ14</f>
        <v>51.639753926905556</v>
      </c>
      <c r="AG14" s="95">
        <f ca="1">IF(B14=TODAY(),0,Sheet1!AA16+Sheet1!BN16+'Calculations II'!BC14+'Calculations II'!P14-Sheet1!CT16-BP14)</f>
        <v>27.467825707341877</v>
      </c>
      <c r="AH14" s="95">
        <f ca="1">IF(B14=TODAY(),0,Sheet1!AA16+Sheet1!BN16+'Calculations II'!BC14+'Calculations II'!P14-BP14)</f>
        <v>44.477825707341879</v>
      </c>
      <c r="AI14" s="95">
        <f ca="1">IF(B14=TODAY(),0,BC14+Sheet1!AA16+Calculation!ES14+O14+W14+Sheet1!BN16+Calculation!AS14+Calculation!DJ14-BP14)</f>
        <v>51.639753926905563</v>
      </c>
      <c r="AJ14" s="95"/>
      <c r="AM14" s="91">
        <f t="shared" si="0"/>
        <v>41642</v>
      </c>
      <c r="AN14" s="95">
        <f>Sheet1!BU16</f>
        <v>20.399999999999999</v>
      </c>
      <c r="AO14" s="95">
        <f>Sheet1!AA16</f>
        <v>21.05</v>
      </c>
      <c r="AP14" s="95">
        <f t="shared" si="1"/>
        <v>4.2796500000000002</v>
      </c>
      <c r="AQ14" s="1055">
        <f>((Sheet1!BV16-(Sheet1!BU16-AP14))/(Sheet1!BU16-AP14))</f>
        <v>2.975431674870602E-2</v>
      </c>
      <c r="AR14" s="95">
        <f t="shared" si="2"/>
        <v>16.770350000000001</v>
      </c>
      <c r="AS14" s="95">
        <f t="shared" si="3"/>
        <v>16.120349999999998</v>
      </c>
      <c r="AT14" s="90">
        <f>Sheet1!BB16</f>
        <v>1</v>
      </c>
      <c r="AU14" s="90">
        <f>Sheet1!AS16*GPMtoMGD</f>
        <v>2.2176000000000001E-2</v>
      </c>
      <c r="AV14" s="95">
        <f>Sheet1!AT16</f>
        <v>0</v>
      </c>
      <c r="AW14" s="90">
        <f>Sheet1!AV16*GPMtoMGD</f>
        <v>0.33825600000000006</v>
      </c>
      <c r="AX14" s="90">
        <f>Sheet1!AW16*GPMtoMGD</f>
        <v>0.47419200000000006</v>
      </c>
      <c r="AY14" s="90">
        <f>Sheet1!AX16*GPMtoMGD</f>
        <v>0</v>
      </c>
      <c r="AZ14" s="90">
        <f>Sheet1!AY16*GPMtoMGD</f>
        <v>0</v>
      </c>
      <c r="BA14" s="90">
        <f>Sheet1!AZ16*GPMtoMGD</f>
        <v>0</v>
      </c>
      <c r="BB14" s="90">
        <f>Sheet1!BP16*GPMtoMGD</f>
        <v>0</v>
      </c>
      <c r="BC14" s="90">
        <f>Sheet1!CS16*GPMtoMGD</f>
        <v>19.682352000000002</v>
      </c>
      <c r="BD14" s="90">
        <f>Sheet1!BO16*GPMtoMGD</f>
        <v>3.2688000000000002E-2</v>
      </c>
      <c r="BE14" s="90">
        <f>Sheet1!BW16*GPMtoMGD</f>
        <v>0.67147200000000007</v>
      </c>
      <c r="BF14" s="90">
        <f>Sheet1!CN16*GPMtoMGD</f>
        <v>0.78652800000000012</v>
      </c>
      <c r="BG14" s="90">
        <f>Sheet1!CO16*GPMtoMGD</f>
        <v>0.51739200000000007</v>
      </c>
      <c r="BH14" s="90">
        <f>Sheet1!CP16*GPMtoMGD</f>
        <v>0.65736000000000006</v>
      </c>
      <c r="BI14" s="90">
        <f t="shared" si="5"/>
        <v>3.2688000000000002E-2</v>
      </c>
      <c r="BK14" s="95">
        <f>SUM(AT14:BA14,BE14,Sheet1!BV16,'Calculations II'!BC14,Calculation!AQ14)</f>
        <v>45.734260807881775</v>
      </c>
      <c r="BM14" s="373">
        <f>0</f>
        <v>0</v>
      </c>
      <c r="BN14" s="373">
        <f>0</f>
        <v>0</v>
      </c>
      <c r="BP14" s="95">
        <f>SUM(BM14:BN14,W14,Sheet1!DX16)</f>
        <v>0</v>
      </c>
    </row>
    <row r="15" spans="1:256" s="90" customFormat="1">
      <c r="A15" s="651" t="s">
        <v>9</v>
      </c>
      <c r="B15" s="92">
        <v>41643</v>
      </c>
      <c r="C15" s="93">
        <v>0</v>
      </c>
      <c r="D15" s="95">
        <f>(Sheet1!BQ17-Sheet1!BQ16)*1.385</f>
        <v>-0.88639999999999586</v>
      </c>
      <c r="E15" s="30">
        <f>(Sheet1!BR17-Sheet1!BR16)*1.385</f>
        <v>-0.88640000000000074</v>
      </c>
      <c r="F15" s="30">
        <f ca="1">IF(B15=TODAY(),0,-(VLOOKUP(Sheet1!CD17,Lookup!$I$4:$J$216,2)-VLOOKUP(Sheet1!CD16,Lookup!$I$4:$J$216,2))/1000000)</f>
        <v>1.3472802011213991</v>
      </c>
      <c r="G15" s="95">
        <f ca="1">IF(B15=TODAY(),0,-$G$6*(Sheet1!CF17-Sheet1!CF16)*7.48/1000000)</f>
        <v>0.23828100631535562</v>
      </c>
      <c r="H15" s="95">
        <f ca="1">IF(B15=TODAY(),0,-$H$6*(Sheet1!CE17-Sheet1!CE16)*7.48/1000000)</f>
        <v>-7.5197161756325293E-2</v>
      </c>
      <c r="I15" s="95">
        <f ca="1">IF(B15=TODAY(),0,-$I$6*(Sheet1!CG17-Sheet1!CG16)*7.48/1000000)</f>
        <v>-0.20665444800000005</v>
      </c>
      <c r="J15" s="96" t="s">
        <v>186</v>
      </c>
      <c r="K15" s="95">
        <f ca="1">IF(B15=TODAY(),0,-$K$6*(Sheet1!CH17-Sheet1!CH16)*7.48/1000000)</f>
        <v>-0.3464926594718391</v>
      </c>
      <c r="L15" s="96" t="s">
        <v>186</v>
      </c>
      <c r="M15" s="95">
        <f ca="1">IF(B15=TODAY(),0,-$M$6*(Sheet1!CI17-Sheet1!CI16)*7.48/1000000)</f>
        <v>-0.95354994668543336</v>
      </c>
      <c r="N15" s="95">
        <f ca="1">IF(B15=TODAY(),0,-$N$6*(Sheet1!CJ17-Sheet1!CJ16)*7.48/1000000)</f>
        <v>0.28544078881527046</v>
      </c>
      <c r="O15" s="95">
        <f t="shared" ca="1" si="6"/>
        <v>0.2891077803384271</v>
      </c>
      <c r="P15" s="95">
        <f ca="1">O15+Calculation!ES15</f>
        <v>1.9517326200060379</v>
      </c>
      <c r="Q15" s="90" t="str">
        <f>IF(Sheet1!BQ17&gt;25.75,"spill elevation","-")</f>
        <v>-</v>
      </c>
      <c r="R15" s="90" t="str">
        <f>IF(Sheet1!BQ17&gt;25.75,"spill elevation","-")</f>
        <v>-</v>
      </c>
      <c r="S15" s="90" t="str">
        <f>IF(Sheet1!BR17&gt;25.75,"spill elevation","-")</f>
        <v>-</v>
      </c>
      <c r="T15" s="94">
        <f>IF(Sheet1!DU17=1,Sheet1!AA17-(SUM(AT15:BA15)+BE15),Sheet1!AA17-SUM(AT15:BA15))</f>
        <v>18.838528</v>
      </c>
      <c r="U15" s="94">
        <f>Sheet1!BV17</f>
        <v>22.2</v>
      </c>
      <c r="V15" s="94">
        <f t="shared" si="4"/>
        <v>-3.3614719999999991</v>
      </c>
      <c r="W15" s="94">
        <f>0</f>
        <v>0</v>
      </c>
      <c r="X15" s="90">
        <f>0</f>
        <v>0</v>
      </c>
      <c r="Y15" s="95">
        <f ca="1">Calculation!EJ16+Calculation!ES15+'Calculations II'!O15-'Calculations II'!W15</f>
        <v>50.509860620006037</v>
      </c>
      <c r="Z15" s="95">
        <f ca="1">Y15-Sheet1!CT18</f>
        <v>34.699860620006035</v>
      </c>
      <c r="AA15" s="95">
        <f ca="1">Y15+Calculation!DJ16+Calculation!AS16</f>
        <v>57.595590814378362</v>
      </c>
      <c r="AC15" s="95">
        <f>Sheet1!AA17+Sheet1!AB17+BC15</f>
        <v>51.082304000000001</v>
      </c>
      <c r="AD15" s="95">
        <f>Sheet1!AA17+Sheet1!BN17+'Calculations II'!BC15-Calculation!AS15-Calculation!DJ15</f>
        <v>36.969017286713289</v>
      </c>
      <c r="AE15" s="95">
        <f>Sheet1!AA17+Sheet1!AB17+'Calculations II'!BC15-Calculation!AS15-Calculation!DJ15</f>
        <v>43.969017286713289</v>
      </c>
      <c r="AF15" s="95">
        <f ca="1">Sheet1!AA17+Sheet1!BN17+P15+'Calculations II'!BC15+Calculation!AS15+Calculation!DJ15</f>
        <v>53.147323333292746</v>
      </c>
      <c r="AG15" s="95">
        <f ca="1">IF(B15=TODAY(),0,Sheet1!AA17+Sheet1!BN17+'Calculations II'!BC15+'Calculations II'!P15-Sheet1!CT17-BP15)</f>
        <v>28.954036620006043</v>
      </c>
      <c r="AH15" s="95">
        <f ca="1">IF(B15=TODAY(),0,Sheet1!AA17+Sheet1!BN17+'Calculations II'!BC15+'Calculations II'!P15-BP15)</f>
        <v>46.034036620006042</v>
      </c>
      <c r="AI15" s="95">
        <f ca="1">IF(B15=TODAY(),0,BC15+Sheet1!AA17+Calculation!ES15+O15+W15+Sheet1!BN17+Calculation!AS15+Calculation!DJ15-BP15)</f>
        <v>53.147323333292746</v>
      </c>
      <c r="AJ15" s="95"/>
      <c r="AM15" s="91">
        <f t="shared" si="0"/>
        <v>41643</v>
      </c>
      <c r="AN15" s="95">
        <f>Sheet1!BU17</f>
        <v>20</v>
      </c>
      <c r="AO15" s="95">
        <f>Sheet1!AA17</f>
        <v>21.05</v>
      </c>
      <c r="AP15" s="95">
        <f t="shared" si="1"/>
        <v>-1.7727999999999966</v>
      </c>
      <c r="AQ15" s="1055">
        <f>((Sheet1!BV17-(Sheet1!BU17-AP15))/(Sheet1!BU17-AP15))</f>
        <v>1.9620811287478081E-2</v>
      </c>
      <c r="AR15" s="95">
        <f t="shared" si="2"/>
        <v>22.822799999999997</v>
      </c>
      <c r="AS15" s="95">
        <f t="shared" si="3"/>
        <v>21.772799999999997</v>
      </c>
      <c r="AT15" s="90">
        <f>Sheet1!BB17</f>
        <v>1</v>
      </c>
      <c r="AU15" s="90">
        <f>Sheet1!AS17*GPMtoMGD</f>
        <v>1.728E-2</v>
      </c>
      <c r="AV15" s="95">
        <f>Sheet1!AT17</f>
        <v>0</v>
      </c>
      <c r="AW15" s="90">
        <f>Sheet1!AV17*GPMtoMGD</f>
        <v>0.48384000000000005</v>
      </c>
      <c r="AX15" s="90">
        <f>Sheet1!AW17*GPMtoMGD</f>
        <v>0.71035200000000009</v>
      </c>
      <c r="AY15" s="90">
        <f>Sheet1!AX17*GPMtoMGD</f>
        <v>0</v>
      </c>
      <c r="AZ15" s="90">
        <f>Sheet1!AY17*GPMtoMGD</f>
        <v>0</v>
      </c>
      <c r="BA15" s="90">
        <f>Sheet1!AZ17*GPMtoMGD</f>
        <v>0</v>
      </c>
      <c r="BB15" s="90">
        <f>Sheet1!BP17*GPMtoMGD</f>
        <v>0</v>
      </c>
      <c r="BC15" s="90">
        <f>Sheet1!CS17*GPMtoMGD</f>
        <v>15.932304000000002</v>
      </c>
      <c r="BD15" s="90">
        <f>Sheet1!BO17*GPMtoMGD</f>
        <v>2.8324800000000003</v>
      </c>
      <c r="BE15" s="90">
        <f>Sheet1!BW17*GPMtoMGD</f>
        <v>0.97272000000000003</v>
      </c>
      <c r="BF15" s="90">
        <f>Sheet1!CN17*GPMtoMGD</f>
        <v>0.80784</v>
      </c>
      <c r="BG15" s="90">
        <f>Sheet1!CO17*GPMtoMGD</f>
        <v>0.49881599999999998</v>
      </c>
      <c r="BH15" s="90">
        <f>Sheet1!CP17*GPMtoMGD</f>
        <v>0.63806400000000008</v>
      </c>
      <c r="BI15" s="90">
        <f t="shared" si="5"/>
        <v>2.8324800000000003</v>
      </c>
      <c r="BK15" s="95">
        <f>SUM(AT15:BA15,BE15,Sheet1!BV17,'Calculations II'!BC15,Calculation!AQ15)</f>
        <v>48.317195300699304</v>
      </c>
      <c r="BM15" s="373">
        <f>0</f>
        <v>0</v>
      </c>
      <c r="BN15" s="373">
        <f>0</f>
        <v>0</v>
      </c>
      <c r="BP15" s="95">
        <f>SUM(BM15:BN15,W15,Sheet1!DX17)</f>
        <v>0</v>
      </c>
    </row>
    <row r="16" spans="1:256" s="90" customFormat="1">
      <c r="A16" s="651" t="s">
        <v>3</v>
      </c>
      <c r="B16" s="92">
        <v>41644</v>
      </c>
      <c r="C16" s="93">
        <v>0</v>
      </c>
      <c r="D16" s="95">
        <f>(Sheet1!BQ18-Sheet1!BQ17)*1.385</f>
        <v>-1.2742000000000024</v>
      </c>
      <c r="E16" s="30">
        <f>(Sheet1!BR18-Sheet1!BR17)*1.385</f>
        <v>-1.2880499999999997</v>
      </c>
      <c r="F16" s="30">
        <f ca="1">IF(B16=TODAY(),0,-(VLOOKUP(Sheet1!CD18,Lookup!$I$4:$J$216,2)-VLOOKUP(Sheet1!CD17,Lookup!$I$4:$J$216,2))/1000000)</f>
        <v>0</v>
      </c>
      <c r="G16" s="95">
        <f ca="1">IF(B16=TODAY(),0,-$G$6*(Sheet1!CF18-Sheet1!CF17)*7.48/1000000)</f>
        <v>0.23828100631535562</v>
      </c>
      <c r="H16" s="95">
        <f ca="1">IF(B16=TODAY(),0,-$H$6*(Sheet1!CE18-Sheet1!CE17)*7.48/1000000)</f>
        <v>3.0078864702530548E-2</v>
      </c>
      <c r="I16" s="95">
        <f ca="1">IF(B16=TODAY(),0,-$I$6*(Sheet1!CG18-Sheet1!CG17)*7.48/1000000)</f>
        <v>0.17206229039999998</v>
      </c>
      <c r="J16" s="96" t="s">
        <v>186</v>
      </c>
      <c r="K16" s="95">
        <f ca="1">IF(B16=TODAY(),0,-$K$6*(Sheet1!CH18-Sheet1!CH17)*7.48/1000000)</f>
        <v>0.30184841296296749</v>
      </c>
      <c r="L16" s="96" t="s">
        <v>186</v>
      </c>
      <c r="M16" s="95">
        <f ca="1">IF(B16=TODAY(),0,-$M$6*(Sheet1!CI18-Sheet1!CI17)*7.48/1000000)</f>
        <v>0.74664759976312223</v>
      </c>
      <c r="N16" s="95">
        <f ca="1">IF(B16=TODAY(),0,-$N$6*(Sheet1!CJ18-Sheet1!CJ17)*7.48/1000000)</f>
        <v>-0.25441461611795807</v>
      </c>
      <c r="O16" s="95">
        <f t="shared" ca="1" si="6"/>
        <v>1.2345035580260177</v>
      </c>
      <c r="P16" s="95">
        <f ca="1">O16+Calculation!ES16</f>
        <v>3.8660475308506843</v>
      </c>
      <c r="Q16" s="90" t="str">
        <f>IF(Sheet1!BQ18&gt;25.75,"spill elevation","-")</f>
        <v>-</v>
      </c>
      <c r="R16" s="90" t="str">
        <f>IF(Sheet1!BQ18&gt;25.75,"spill elevation","-")</f>
        <v>-</v>
      </c>
      <c r="S16" s="90" t="str">
        <f>IF(Sheet1!BR18&gt;25.75,"spill elevation","-")</f>
        <v>-</v>
      </c>
      <c r="T16" s="94">
        <f>IF(Sheet1!DU18=1,Sheet1!AA18-(SUM(AT16:BA16)+BE16),Sheet1!AA18-SUM(AT16:BA16))</f>
        <v>18.140920000000001</v>
      </c>
      <c r="U16" s="94">
        <f>Sheet1!BV18</f>
        <v>22.6</v>
      </c>
      <c r="V16" s="94">
        <f t="shared" si="4"/>
        <v>-4.4590800000000002</v>
      </c>
      <c r="W16" s="94">
        <f>0</f>
        <v>0</v>
      </c>
      <c r="X16" s="90">
        <f>0</f>
        <v>0</v>
      </c>
      <c r="Y16" s="95">
        <f ca="1">Calculation!EJ17+Calculation!ES16+'Calculations II'!O16-'Calculations II'!W16</f>
        <v>55.36211153085069</v>
      </c>
      <c r="Z16" s="95">
        <f ca="1">Y16-Sheet1!CT19</f>
        <v>38.602111530850692</v>
      </c>
      <c r="AA16" s="95">
        <f ca="1">Y16+Calculation!DJ17+Calculation!AS17</f>
        <v>62.421947856088281</v>
      </c>
      <c r="AC16" s="95">
        <f>Sheet1!AA18+Sheet1!AB18+BC16</f>
        <v>48.558128000000004</v>
      </c>
      <c r="AD16" s="95">
        <f>Sheet1!AA18+Sheet1!BN18+'Calculations II'!BC16-Calculation!AS16-Calculation!DJ16</f>
        <v>34.472397805627679</v>
      </c>
      <c r="AE16" s="95">
        <f>Sheet1!AA18+Sheet1!AB18+'Calculations II'!BC16-Calculation!AS16-Calculation!DJ16</f>
        <v>41.472397805627679</v>
      </c>
      <c r="AF16" s="95">
        <f ca="1">Sheet1!AA18+Sheet1!BN18+P16+'Calculations II'!BC16+Calculation!AS16+Calculation!DJ16</f>
        <v>52.509905725223014</v>
      </c>
      <c r="AG16" s="95">
        <f ca="1">IF(B16=TODAY(),0,Sheet1!AA18+Sheet1!BN18+'Calculations II'!BC16+'Calculations II'!P16-Sheet1!CT18-BP16)</f>
        <v>29.614175530850687</v>
      </c>
      <c r="AH16" s="95">
        <f ca="1">IF(B16=TODAY(),0,Sheet1!AA18+Sheet1!BN18+'Calculations II'!BC16+'Calculations II'!P16-BP16)</f>
        <v>45.42417553085069</v>
      </c>
      <c r="AI16" s="95">
        <f ca="1">IF(B16=TODAY(),0,BC16+Sheet1!AA18+Calculation!ES16+O16+W16+Sheet1!BN18+Calculation!AS16+Calculation!DJ16-BP16)</f>
        <v>52.509905725223014</v>
      </c>
      <c r="AJ16" s="95"/>
      <c r="AM16" s="91">
        <f t="shared" si="0"/>
        <v>41644</v>
      </c>
      <c r="AN16" s="95">
        <f>Sheet1!BU18</f>
        <v>19.7</v>
      </c>
      <c r="AO16" s="95">
        <f>Sheet1!AA18</f>
        <v>20.6</v>
      </c>
      <c r="AP16" s="95">
        <f t="shared" si="1"/>
        <v>-2.5622500000000024</v>
      </c>
      <c r="AQ16" s="1055">
        <f>((Sheet1!BV18-(Sheet1!BU18-AP16))/(Sheet1!BU18-AP16))</f>
        <v>1.5171422475266415E-2</v>
      </c>
      <c r="AR16" s="95">
        <f t="shared" si="2"/>
        <v>23.162250000000004</v>
      </c>
      <c r="AS16" s="95">
        <f t="shared" si="3"/>
        <v>22.262250000000002</v>
      </c>
      <c r="AT16" s="90">
        <f>Sheet1!BB18</f>
        <v>0.99099999999999999</v>
      </c>
      <c r="AU16" s="90">
        <f>Sheet1!AS18*GPMtoMGD</f>
        <v>3.1248000000000001E-2</v>
      </c>
      <c r="AV16" s="95">
        <f>Sheet1!AT18</f>
        <v>0</v>
      </c>
      <c r="AW16" s="90">
        <f>Sheet1!AV18*GPMtoMGD</f>
        <v>0.65044800000000003</v>
      </c>
      <c r="AX16" s="90">
        <f>Sheet1!AW18*GPMtoMGD</f>
        <v>0.78638400000000008</v>
      </c>
      <c r="AY16" s="90">
        <f>Sheet1!AX18*GPMtoMGD</f>
        <v>0</v>
      </c>
      <c r="AZ16" s="90">
        <f>Sheet1!AY18*GPMtoMGD</f>
        <v>0</v>
      </c>
      <c r="BA16" s="90">
        <f>Sheet1!AZ18*GPMtoMGD</f>
        <v>0</v>
      </c>
      <c r="BB16" s="90">
        <f>Sheet1!BP18*GPMtoMGD</f>
        <v>0</v>
      </c>
      <c r="BC16" s="90">
        <f>Sheet1!CS18*GPMtoMGD</f>
        <v>13.858128000000002</v>
      </c>
      <c r="BD16" s="90">
        <f>Sheet1!BO18*GPMtoMGD</f>
        <v>0.68947200000000008</v>
      </c>
      <c r="BE16" s="90">
        <f>Sheet1!BW18*GPMtoMGD</f>
        <v>0.7312320000000001</v>
      </c>
      <c r="BF16" s="90">
        <f>Sheet1!CN18*GPMtoMGD</f>
        <v>0.9037440000000001</v>
      </c>
      <c r="BG16" s="90">
        <f>Sheet1!CO18*GPMtoMGD</f>
        <v>0.9037440000000001</v>
      </c>
      <c r="BH16" s="90">
        <f>Sheet1!CP18*GPMtoMGD</f>
        <v>0.51998400000000011</v>
      </c>
      <c r="BI16" s="90">
        <f t="shared" si="5"/>
        <v>0.68947200000000008</v>
      </c>
      <c r="BK16" s="95">
        <f>SUM(AT16:BA16,BE16,Sheet1!BV18,'Calculations II'!BC16,Calculation!AQ16)</f>
        <v>46.673210191565502</v>
      </c>
      <c r="BM16" s="373">
        <f>0</f>
        <v>0</v>
      </c>
      <c r="BN16" s="373">
        <f>0</f>
        <v>0</v>
      </c>
      <c r="BP16" s="95">
        <f>SUM(BM16:BN16,W16,Sheet1!DX18)</f>
        <v>0</v>
      </c>
    </row>
    <row r="17" spans="1:68" s="90" customFormat="1">
      <c r="A17" s="651" t="s">
        <v>4</v>
      </c>
      <c r="B17" s="92">
        <v>41645</v>
      </c>
      <c r="C17" s="93">
        <v>0</v>
      </c>
      <c r="D17" s="95">
        <f>(Sheet1!BQ19-Sheet1!BQ18)*1.385</f>
        <v>-0.7201999999999994</v>
      </c>
      <c r="E17" s="30">
        <f>(Sheet1!BR19-Sheet1!BR18)*1.385</f>
        <v>-0.7201999999999994</v>
      </c>
      <c r="F17" s="30">
        <f ca="1">IF(B17=TODAY(),0,-(VLOOKUP(Sheet1!CD19,Lookup!$I$4:$J$216,2)-VLOOKUP(Sheet1!CD18,Lookup!$I$4:$J$216,2))/1000000)</f>
        <v>-0.31091081564339806</v>
      </c>
      <c r="G17" s="95">
        <f ca="1">IF(B17=TODAY(),0,-$G$6*(Sheet1!CF19-Sheet1!CF18)*7.48/1000000)</f>
        <v>0.15885400421023735</v>
      </c>
      <c r="H17" s="95">
        <f ca="1">IF(B17=TODAY(),0,-$H$6*(Sheet1!CE19-Sheet1!CE18)*7.48/1000000)</f>
        <v>3.0078864702530548E-2</v>
      </c>
      <c r="I17" s="95">
        <f ca="1">IF(B17=TODAY(),0,-$I$6*(Sheet1!CG19-Sheet1!CG18)*7.48/1000000)</f>
        <v>0</v>
      </c>
      <c r="J17" s="96" t="s">
        <v>186</v>
      </c>
      <c r="K17" s="95">
        <f ca="1">IF(B17=TODAY(),0,-$K$6*(Sheet1!CH19-Sheet1!CH18)*7.48/1000000)</f>
        <v>-8.6623164867960269E-3</v>
      </c>
      <c r="L17" s="96" t="s">
        <v>186</v>
      </c>
      <c r="M17" s="95">
        <f ca="1">IF(B17=TODAY(),0,-$M$6*(Sheet1!CI19-Sheet1!CI18)*7.48/1000000)</f>
        <v>4.8577072755672954E-2</v>
      </c>
      <c r="N17" s="95">
        <f ca="1">IF(B17=TODAY(),0,-$N$6*(Sheet1!CJ19-Sheet1!CJ18)*7.48/1000000)</f>
        <v>-0.34128789967043188</v>
      </c>
      <c r="O17" s="95">
        <f t="shared" ca="1" si="6"/>
        <v>-0.42335109013218508</v>
      </c>
      <c r="P17" s="95">
        <f ca="1">O17+Calculation!ES17</f>
        <v>1.0996482236585869</v>
      </c>
      <c r="Q17" s="90" t="str">
        <f>IF(Sheet1!BQ19&gt;25.75,"spill elevation","-")</f>
        <v>-</v>
      </c>
      <c r="R17" s="90" t="str">
        <f>IF(Sheet1!BQ19&gt;25.75,"spill elevation","-")</f>
        <v>-</v>
      </c>
      <c r="S17" s="90" t="str">
        <f>IF(Sheet1!BR19&gt;25.75,"spill elevation","-")</f>
        <v>-</v>
      </c>
      <c r="T17" s="94">
        <f>IF(Sheet1!DU19=1,Sheet1!AA19-(SUM(AT17:BA17)+BE17),Sheet1!AA19-SUM(AT17:BA17))</f>
        <v>17.812104000000001</v>
      </c>
      <c r="U17" s="94">
        <f>Sheet1!BV19</f>
        <v>21</v>
      </c>
      <c r="V17" s="94">
        <f t="shared" si="4"/>
        <v>-3.1878959999999985</v>
      </c>
      <c r="W17" s="94">
        <f>0</f>
        <v>0</v>
      </c>
      <c r="X17" s="90">
        <f>0</f>
        <v>0</v>
      </c>
      <c r="Y17" s="95">
        <f ca="1">Calculation!EJ18+Calculation!ES17+'Calculations II'!O17-'Calculations II'!W17</f>
        <v>54.555808223658588</v>
      </c>
      <c r="Z17" s="95">
        <f ca="1">Y17-Sheet1!CT20</f>
        <v>36.455808223658586</v>
      </c>
      <c r="AA17" s="95">
        <f ca="1">Y17+Calculation!DJ18+Calculation!AS18</f>
        <v>61.723685318630658</v>
      </c>
      <c r="AC17" s="95">
        <f>Sheet1!AA19+Sheet1!AB19+BC17</f>
        <v>51.496064000000004</v>
      </c>
      <c r="AD17" s="95">
        <f>Sheet1!AA19+Sheet1!BN19+'Calculations II'!BC17-Calculation!AS17-Calculation!DJ17</f>
        <v>37.436227674762414</v>
      </c>
      <c r="AE17" s="95">
        <f>Sheet1!AA19+Sheet1!AB19+'Calculations II'!BC17-Calculation!AS17-Calculation!DJ17</f>
        <v>44.436227674762414</v>
      </c>
      <c r="AF17" s="95">
        <f ca="1">Sheet1!AA19+Sheet1!BN19+P17+'Calculations II'!BC17+Calculation!AS17+Calculation!DJ17</f>
        <v>52.655548548896178</v>
      </c>
      <c r="AG17" s="95">
        <f ca="1">IF(B17=TODAY(),0,Sheet1!AA19+Sheet1!BN19+'Calculations II'!BC17+'Calculations II'!P17-Sheet1!CT19-BP17)</f>
        <v>28.835712223658593</v>
      </c>
      <c r="AH17" s="95">
        <f ca="1">IF(B17=TODAY(),0,Sheet1!AA19+Sheet1!BN19+'Calculations II'!BC17+'Calculations II'!P17-BP17)</f>
        <v>45.595712223658595</v>
      </c>
      <c r="AI17" s="95">
        <f ca="1">IF(B17=TODAY(),0,BC17+Sheet1!AA19+Calculation!ES17+O17+W17+Sheet1!BN19+Calculation!AS17+Calculation!DJ17-BP17)</f>
        <v>52.655548548896178</v>
      </c>
      <c r="AJ17" s="95"/>
      <c r="AM17" s="91">
        <f t="shared" si="0"/>
        <v>41645</v>
      </c>
      <c r="AN17" s="95">
        <f>Sheet1!BU19</f>
        <v>19.2</v>
      </c>
      <c r="AO17" s="95">
        <f>Sheet1!AA19</f>
        <v>19.73</v>
      </c>
      <c r="AP17" s="95">
        <f t="shared" si="1"/>
        <v>-1.4403999999999988</v>
      </c>
      <c r="AQ17" s="1055">
        <f>((Sheet1!BV19-(Sheet1!BU19-AP17))/(Sheet1!BU19-AP17))</f>
        <v>1.7422142981725178E-2</v>
      </c>
      <c r="AR17" s="95">
        <f t="shared" si="2"/>
        <v>21.170400000000001</v>
      </c>
      <c r="AS17" s="95">
        <f t="shared" si="3"/>
        <v>20.6404</v>
      </c>
      <c r="AT17" s="90">
        <f>Sheet1!BB19</f>
        <v>0.995</v>
      </c>
      <c r="AU17" s="90">
        <f>Sheet1!AS19*GPMtoMGD</f>
        <v>1.584E-2</v>
      </c>
      <c r="AV17" s="95">
        <f>Sheet1!AT19</f>
        <v>0</v>
      </c>
      <c r="AW17" s="90">
        <f>Sheet1!AV19*GPMtoMGD</f>
        <v>0.44092799999999999</v>
      </c>
      <c r="AX17" s="90">
        <f>Sheet1!AW19*GPMtoMGD</f>
        <v>0.46612799999999999</v>
      </c>
      <c r="AY17" s="90">
        <f>Sheet1!AX19*GPMtoMGD</f>
        <v>0</v>
      </c>
      <c r="AZ17" s="90">
        <f>Sheet1!AY19*GPMtoMGD</f>
        <v>0</v>
      </c>
      <c r="BA17" s="90">
        <f>Sheet1!AZ19*GPMtoMGD</f>
        <v>0</v>
      </c>
      <c r="BB17" s="90">
        <f>Sheet1!BP19*GPMtoMGD</f>
        <v>1.3392000000000001E-2</v>
      </c>
      <c r="BC17" s="90">
        <f>Sheet1!CS19*GPMtoMGD</f>
        <v>17.666064000000002</v>
      </c>
      <c r="BD17" s="90">
        <f>Sheet1!BO19*GPMtoMGD</f>
        <v>1.439856</v>
      </c>
      <c r="BE17" s="90">
        <f>Sheet1!BW19*GPMtoMGD</f>
        <v>0.9807840000000001</v>
      </c>
      <c r="BF17" s="90">
        <f>Sheet1!CN19*GPMtoMGD</f>
        <v>0.73828800000000017</v>
      </c>
      <c r="BG17" s="90">
        <f>Sheet1!CO19*GPMtoMGD</f>
        <v>0.45172800000000002</v>
      </c>
      <c r="BH17" s="90">
        <f>Sheet1!CP19*GPMtoMGD</f>
        <v>0.626112</v>
      </c>
      <c r="BI17" s="90">
        <f t="shared" si="5"/>
        <v>1.4532480000000001</v>
      </c>
      <c r="BK17" s="95">
        <f>SUM(AT17:BA17,BE17,Sheet1!BV19,'Calculations II'!BC17,Calculation!AQ17)</f>
        <v>48.612262479408663</v>
      </c>
      <c r="BM17" s="373">
        <f>0</f>
        <v>0</v>
      </c>
      <c r="BN17" s="373">
        <f>0</f>
        <v>0</v>
      </c>
      <c r="BP17" s="95">
        <f>SUM(BM17:BN17,W17,Sheet1!DX19)</f>
        <v>0</v>
      </c>
    </row>
    <row r="18" spans="1:68" s="90" customFormat="1">
      <c r="A18" s="651" t="s">
        <v>5</v>
      </c>
      <c r="B18" s="92">
        <v>41646</v>
      </c>
      <c r="C18" s="93">
        <v>0</v>
      </c>
      <c r="D18" s="95">
        <f>(Sheet1!BQ20-Sheet1!BQ19)*1.385</f>
        <v>-0.16620000000000137</v>
      </c>
      <c r="E18" s="30">
        <f>(Sheet1!BR20-Sheet1!BR19)*1.385</f>
        <v>-0.15234999999999921</v>
      </c>
      <c r="F18" s="30">
        <f ca="1">IF(B18=TODAY(),0,-(VLOOKUP(Sheet1!CD20,Lookup!$I$4:$J$216,2)-VLOOKUP(Sheet1!CD19,Lookup!$I$4:$J$216,2))/1000000)</f>
        <v>0.10363693854779936</v>
      </c>
      <c r="G18" s="95">
        <f ca="1">IF(B18=TODAY(),0,-$G$6*(Sheet1!CF20-Sheet1!CF19)*7.48/1000000)</f>
        <v>0.15885400421023735</v>
      </c>
      <c r="H18" s="95">
        <f ca="1">IF(B18=TODAY(),0,-$H$6*(Sheet1!CE20-Sheet1!CE19)*7.48/1000000)</f>
        <v>3.0078864702529479E-2</v>
      </c>
      <c r="I18" s="95">
        <f ca="1">IF(B18=TODAY(),0,-$I$6*(Sheet1!CG20-Sheet1!CG19)*7.48/1000000)</f>
        <v>-0.18553975439999998</v>
      </c>
      <c r="J18" s="96" t="s">
        <v>186</v>
      </c>
      <c r="K18" s="95">
        <f ca="1">IF(B18=TODAY(),0,-$K$6*(Sheet1!CH20-Sheet1!CH19)*7.48/1000000)</f>
        <v>-0.31983937797400519</v>
      </c>
      <c r="L18" s="96" t="s">
        <v>186</v>
      </c>
      <c r="M18" s="95">
        <f ca="1">IF(B18=TODAY(),0,-$M$6*(Sheet1!CI20-Sheet1!CI19)*7.48/1000000)</f>
        <v>-0.86719070623090377</v>
      </c>
      <c r="N18" s="95">
        <f ca="1">IF(B18=TODAY(),0,-$N$6*(Sheet1!CJ20-Sheet1!CJ19)*7.48/1000000)</f>
        <v>0.1054889871708606</v>
      </c>
      <c r="O18" s="95">
        <f t="shared" ref="O18:O81" ca="1" si="7">SUM(F18:I18)+K18+SUM(M18:N18)</f>
        <v>-0.97451104397348209</v>
      </c>
      <c r="P18" s="95">
        <f ca="1">O18+Calculation!ES18</f>
        <v>-0.69764401705045898</v>
      </c>
      <c r="Q18" s="90" t="str">
        <f>IF(Sheet1!BQ20&gt;25.75,"spill elevation","-")</f>
        <v>-</v>
      </c>
      <c r="R18" s="90" t="str">
        <f>IF(Sheet1!BQ20&gt;25.75,"spill elevation","-")</f>
        <v>-</v>
      </c>
      <c r="S18" s="90" t="str">
        <f>IF(Sheet1!BR20&gt;25.75,"spill elevation","-")</f>
        <v>-</v>
      </c>
      <c r="T18" s="94">
        <f>IF(Sheet1!DU20=1,Sheet1!AA20-(SUM(AT18:BA18)+BE18),Sheet1!AA20-SUM(AT18:BA18))</f>
        <v>17.715712000000003</v>
      </c>
      <c r="U18" s="94">
        <f>Sheet1!BV20</f>
        <v>19.600000000000001</v>
      </c>
      <c r="V18" s="94">
        <f t="shared" ref="V18:V81" si="8">T18-U18</f>
        <v>-1.884287999999998</v>
      </c>
      <c r="W18" s="94">
        <f>0</f>
        <v>0</v>
      </c>
      <c r="X18" s="90">
        <f>0</f>
        <v>0</v>
      </c>
      <c r="Y18" s="95">
        <f ca="1">Calculation!EJ19+Calculation!ES18+'Calculations II'!O18-'Calculations II'!W18</f>
        <v>52.601699982949548</v>
      </c>
      <c r="Z18" s="95">
        <f ca="1">Y18-Sheet1!CT21</f>
        <v>36.189699982949548</v>
      </c>
      <c r="AA18" s="95">
        <f ca="1">Y18+Calculation!DJ19+Calculation!AS19</f>
        <v>59.580169739874364</v>
      </c>
      <c r="AC18" s="95">
        <f>Sheet1!AA20+Sheet1!AB20+BC18</f>
        <v>53.456160000000004</v>
      </c>
      <c r="AD18" s="95">
        <f>Sheet1!AA20+Sheet1!BN20+'Calculations II'!BC18-Calculation!AS18-Calculation!DJ18</f>
        <v>39.188282905027933</v>
      </c>
      <c r="AE18" s="95">
        <f>Sheet1!AA20+Sheet1!AB20+'Calculations II'!BC18-Calculation!AS18-Calculation!DJ18</f>
        <v>46.288282905027941</v>
      </c>
      <c r="AF18" s="95">
        <f ca="1">Sheet1!AA20+Sheet1!BN20+P18+'Calculations II'!BC18+Calculation!AS18+Calculation!DJ18</f>
        <v>52.826393077921608</v>
      </c>
      <c r="AG18" s="95">
        <f ca="1">IF(B18=TODAY(),0,Sheet1!AA20+Sheet1!BN20+'Calculations II'!BC18+'Calculations II'!P18-Sheet1!CT20-BP18)</f>
        <v>27.558515982949544</v>
      </c>
      <c r="AH18" s="95">
        <f ca="1">IF(B18=TODAY(),0,Sheet1!AA20+Sheet1!BN20+'Calculations II'!BC18+'Calculations II'!P18-BP18)</f>
        <v>45.658515982949545</v>
      </c>
      <c r="AI18" s="95">
        <f ca="1">IF(B18=TODAY(),0,BC18+Sheet1!AA20+Calculation!ES18+O18+W18+Sheet1!BN20+Calculation!AS18+Calculation!DJ18-BP18)</f>
        <v>52.826393077921608</v>
      </c>
      <c r="AJ18" s="95"/>
      <c r="AM18" s="91">
        <f t="shared" ref="AM18:AM81" si="9">B18</f>
        <v>41646</v>
      </c>
      <c r="AN18" s="95">
        <f>Sheet1!BU20</f>
        <v>18.899999999999999</v>
      </c>
      <c r="AO18" s="95">
        <f>Sheet1!AA20</f>
        <v>19.670000000000002</v>
      </c>
      <c r="AP18" s="95">
        <f t="shared" si="1"/>
        <v>-0.31855000000000055</v>
      </c>
      <c r="AQ18" s="1055">
        <f>((Sheet1!BV20-(Sheet1!BU20-AP18))/(Sheet1!BU20-AP18))</f>
        <v>1.9848011426460421E-2</v>
      </c>
      <c r="AR18" s="95">
        <f t="shared" si="2"/>
        <v>19.988550000000004</v>
      </c>
      <c r="AS18" s="95">
        <f t="shared" si="3"/>
        <v>19.21855</v>
      </c>
      <c r="AT18" s="90">
        <f>Sheet1!BB20</f>
        <v>1</v>
      </c>
      <c r="AU18" s="90">
        <f>Sheet1!AS20*GPMtoMGD</f>
        <v>3.1104000000000003E-2</v>
      </c>
      <c r="AV18" s="95">
        <f>Sheet1!AT20</f>
        <v>0</v>
      </c>
      <c r="AW18" s="90">
        <f>Sheet1!AV20*GPMtoMGD</f>
        <v>0.40723200000000004</v>
      </c>
      <c r="AX18" s="90">
        <f>Sheet1!AW20*GPMtoMGD</f>
        <v>0.51595200000000008</v>
      </c>
      <c r="AY18" s="90">
        <f>Sheet1!AX20*GPMtoMGD</f>
        <v>0</v>
      </c>
      <c r="AZ18" s="90">
        <f>Sheet1!AY20*GPMtoMGD</f>
        <v>0</v>
      </c>
      <c r="BA18" s="90">
        <f>Sheet1!AZ20*GPMtoMGD</f>
        <v>0</v>
      </c>
      <c r="BB18" s="90">
        <f>Sheet1!BP20*GPMtoMGD</f>
        <v>0</v>
      </c>
      <c r="BC18" s="90">
        <f>Sheet1!CS20*GPMtoMGD</f>
        <v>19.58616</v>
      </c>
      <c r="BD18" s="90">
        <f>Sheet1!BO20*GPMtoMGD</f>
        <v>2.5709760000000004</v>
      </c>
      <c r="BE18" s="90">
        <f>Sheet1!BW20*GPMtoMGD</f>
        <v>0.72345599999999999</v>
      </c>
      <c r="BF18" s="90">
        <f>Sheet1!CN20*GPMtoMGD</f>
        <v>0.77572800000000008</v>
      </c>
      <c r="BG18" s="90">
        <f>Sheet1!CO20*GPMtoMGD</f>
        <v>0.44222400000000006</v>
      </c>
      <c r="BH18" s="90">
        <f>Sheet1!CP20*GPMtoMGD</f>
        <v>0.62452799999999997</v>
      </c>
      <c r="BI18" s="90">
        <f t="shared" ref="BI18:BI81" si="10">BD18+BB18</f>
        <v>2.5709760000000004</v>
      </c>
      <c r="BK18" s="95">
        <f>SUM(AT18:BA18,BE18,Sheet1!BV20,'Calculations II'!BC18,Calculation!AQ18)</f>
        <v>48.90440679329609</v>
      </c>
      <c r="BM18" s="373">
        <f>0</f>
        <v>0</v>
      </c>
      <c r="BN18" s="373">
        <f>0</f>
        <v>0</v>
      </c>
      <c r="BP18" s="95">
        <f>SUM(BM18:BN18,W18,Sheet1!DX20)</f>
        <v>0</v>
      </c>
    </row>
    <row r="19" spans="1:68" s="90" customFormat="1">
      <c r="A19" s="651" t="s">
        <v>6</v>
      </c>
      <c r="B19" s="92">
        <v>41647</v>
      </c>
      <c r="C19" s="93">
        <v>0</v>
      </c>
      <c r="D19" s="95">
        <f>(Sheet1!BQ21-Sheet1!BQ20)*1.385</f>
        <v>1.661999999999999</v>
      </c>
      <c r="E19" s="30">
        <f>(Sheet1!BR21-Sheet1!BR20)*1.385</f>
        <v>1.661999999999999</v>
      </c>
      <c r="F19" s="30">
        <f ca="1">IF(B19=TODAY(),0,-(VLOOKUP(Sheet1!CD21,Lookup!$I$4:$J$216,2)-VLOOKUP(Sheet1!CD20,Lookup!$I$4:$J$216,2))/1000000)</f>
        <v>-0.51818469273899681</v>
      </c>
      <c r="G19" s="95">
        <f ca="1">IF(B19=TODAY(),0,-$G$6*(Sheet1!CF21-Sheet1!CF20)*7.48/1000000)</f>
        <v>0.15885400421023735</v>
      </c>
      <c r="H19" s="95">
        <f ca="1">IF(B19=TODAY(),0,-$H$6*(Sheet1!CE21-Sheet1!CE20)*7.48/1000000)</f>
        <v>0</v>
      </c>
      <c r="I19" s="95">
        <f ca="1">IF(B19=TODAY(),0,-$I$6*(Sheet1!CG21-Sheet1!CG20)*7.48/1000000)</f>
        <v>0.24259435199999999</v>
      </c>
      <c r="J19" s="96" t="s">
        <v>186</v>
      </c>
      <c r="K19" s="95">
        <f ca="1">IF(B19=TODAY(),0,-$K$6*(Sheet1!CH21-Sheet1!CH20)*7.48/1000000)</f>
        <v>0.41312586321642336</v>
      </c>
      <c r="L19" s="96" t="s">
        <v>186</v>
      </c>
      <c r="M19" s="95">
        <f ca="1">IF(B19=TODAY(),0,-$M$6*(Sheet1!CI21-Sheet1!CI20)*7.48/1000000)</f>
        <v>1.1334650309657039</v>
      </c>
      <c r="N19" s="95">
        <f ca="1">IF(B19=TODAY(),0,-$N$6*(Sheet1!CJ21-Sheet1!CJ20)*7.48/1000000)</f>
        <v>-0.322672196052044</v>
      </c>
      <c r="O19" s="95">
        <f t="shared" ca="1" si="7"/>
        <v>1.1071823616013239</v>
      </c>
      <c r="P19" s="95">
        <f ca="1">O19+Calculation!ES19</f>
        <v>-2.2160677709857217</v>
      </c>
      <c r="Q19" s="90" t="str">
        <f>IF(Sheet1!BQ21&gt;25.75,"spill elevation","-")</f>
        <v>-</v>
      </c>
      <c r="R19" s="90" t="str">
        <f>IF(Sheet1!BQ21&gt;25.75,"spill elevation","-")</f>
        <v>-</v>
      </c>
      <c r="S19" s="90" t="str">
        <f>IF(Sheet1!BR21&gt;25.75,"spill elevation","-")</f>
        <v>-</v>
      </c>
      <c r="T19" s="94">
        <f>IF(Sheet1!DU21=1,Sheet1!AA21-(SUM(AT19:BA19)+BE19),Sheet1!AA21-SUM(AT19:BA19))</f>
        <v>17.5776</v>
      </c>
      <c r="U19" s="94">
        <f>Sheet1!BV21</f>
        <v>15.9</v>
      </c>
      <c r="V19" s="94">
        <f t="shared" si="8"/>
        <v>1.6776</v>
      </c>
      <c r="W19" s="94">
        <f>0</f>
        <v>0</v>
      </c>
      <c r="X19" s="90">
        <f>0</f>
        <v>0</v>
      </c>
      <c r="Y19" s="95">
        <f ca="1">Calculation!EJ20+Calculation!ES19+'Calculations II'!O19-'Calculations II'!W19</f>
        <v>51.123564229014278</v>
      </c>
      <c r="Z19" s="95">
        <f ca="1">Y19-Sheet1!CT22</f>
        <v>34.415564229014279</v>
      </c>
      <c r="AA19" s="95">
        <f ca="1">Y19+Calculation!DJ20+Calculation!AS20</f>
        <v>57.986639012610134</v>
      </c>
      <c r="AC19" s="95">
        <f>Sheet1!AA21+Sheet1!AB21+BC19</f>
        <v>53.299344000000005</v>
      </c>
      <c r="AD19" s="95">
        <f>Sheet1!AA21+Sheet1!BN21+'Calculations II'!BC19-Calculation!AS19-Calculation!DJ19</f>
        <v>39.440874243075179</v>
      </c>
      <c r="AE19" s="95">
        <f>Sheet1!AA21+Sheet1!AB21+'Calculations II'!BC19-Calculation!AS19-Calculation!DJ19</f>
        <v>46.320874243075188</v>
      </c>
      <c r="AF19" s="95">
        <f ca="1">Sheet1!AA21+Sheet1!BN21+P19+'Calculations II'!BC19+Calculation!AS19+Calculation!DJ19</f>
        <v>51.181745985939095</v>
      </c>
      <c r="AG19" s="95">
        <f ca="1">IF(B19=TODAY(),0,Sheet1!AA21+Sheet1!BN21+'Calculations II'!BC19+'Calculations II'!P19-Sheet1!CT21-BP19)</f>
        <v>27.791276229014272</v>
      </c>
      <c r="AH19" s="95">
        <f ca="1">IF(B19=TODAY(),0,Sheet1!AA21+Sheet1!BN21+'Calculations II'!BC19+'Calculations II'!P19-BP19)</f>
        <v>44.203276229014271</v>
      </c>
      <c r="AI19" s="95">
        <f ca="1">IF(B19=TODAY(),0,BC19+Sheet1!AA21+Calculation!ES19+O19+W19+Sheet1!BN21+Calculation!AS19+Calculation!DJ19-BP19)</f>
        <v>51.181745985939095</v>
      </c>
      <c r="AJ19" s="95"/>
      <c r="AM19" s="91">
        <f t="shared" si="9"/>
        <v>41647</v>
      </c>
      <c r="AN19" s="95">
        <f>Sheet1!BU21</f>
        <v>18.8</v>
      </c>
      <c r="AO19" s="95">
        <f>Sheet1!AA21</f>
        <v>19.8</v>
      </c>
      <c r="AP19" s="95">
        <f t="shared" si="1"/>
        <v>3.3239999999999981</v>
      </c>
      <c r="AQ19" s="1055">
        <f>((Sheet1!BV21-(Sheet1!BU21-AP19))/(Sheet1!BU21-AP19))</f>
        <v>2.7397260273972449E-2</v>
      </c>
      <c r="AR19" s="95">
        <f t="shared" si="2"/>
        <v>16.476000000000003</v>
      </c>
      <c r="AS19" s="95">
        <f t="shared" si="3"/>
        <v>15.476000000000003</v>
      </c>
      <c r="AT19" s="90">
        <f>Sheet1!BB21</f>
        <v>1.002</v>
      </c>
      <c r="AU19" s="90">
        <f>Sheet1!AS21*GPMtoMGD</f>
        <v>2.0736000000000001E-2</v>
      </c>
      <c r="AV19" s="95">
        <f>Sheet1!AT21</f>
        <v>0</v>
      </c>
      <c r="AW19" s="90">
        <f>Sheet1!AV21*GPMtoMGD</f>
        <v>0.46972800000000003</v>
      </c>
      <c r="AX19" s="90">
        <f>Sheet1!AW21*GPMtoMGD</f>
        <v>0.72993600000000003</v>
      </c>
      <c r="AY19" s="90">
        <f>Sheet1!AX21*GPMtoMGD</f>
        <v>0</v>
      </c>
      <c r="AZ19" s="90">
        <f>Sheet1!AY21*GPMtoMGD</f>
        <v>0</v>
      </c>
      <c r="BA19" s="90">
        <f>Sheet1!AZ21*GPMtoMGD</f>
        <v>0</v>
      </c>
      <c r="BB19" s="90">
        <f>Sheet1!BP21*GPMtoMGD</f>
        <v>0</v>
      </c>
      <c r="BC19" s="90">
        <f>Sheet1!CS21*GPMtoMGD</f>
        <v>19.519344</v>
      </c>
      <c r="BD19" s="90">
        <f>Sheet1!BO21*GPMtoMGD</f>
        <v>0</v>
      </c>
      <c r="BE19" s="90">
        <f>Sheet1!BW21*GPMtoMGD</f>
        <v>0.67348799999999998</v>
      </c>
      <c r="BF19" s="90">
        <f>Sheet1!CN21*GPMtoMGD</f>
        <v>0.79156800000000016</v>
      </c>
      <c r="BG19" s="90">
        <f>Sheet1!CO21*GPMtoMGD</f>
        <v>0.45043200000000005</v>
      </c>
      <c r="BH19" s="90">
        <f>Sheet1!CP21*GPMtoMGD</f>
        <v>0.64771200000000007</v>
      </c>
      <c r="BI19" s="90">
        <f t="shared" si="10"/>
        <v>0</v>
      </c>
      <c r="BK19" s="95">
        <f>SUM(AT19:BA19,BE19,Sheet1!BV21,'Calculations II'!BC19,Calculation!AQ19)</f>
        <v>45.32894030977954</v>
      </c>
      <c r="BM19" s="373">
        <f>0</f>
        <v>0</v>
      </c>
      <c r="BN19" s="373">
        <f>0</f>
        <v>0</v>
      </c>
      <c r="BP19" s="95">
        <f>SUM(BM19:BN19,W19,Sheet1!DX21)</f>
        <v>0</v>
      </c>
    </row>
    <row r="20" spans="1:68" s="90" customFormat="1">
      <c r="A20" s="651" t="s">
        <v>7</v>
      </c>
      <c r="B20" s="92">
        <v>41648</v>
      </c>
      <c r="C20" s="93">
        <v>0</v>
      </c>
      <c r="D20" s="95">
        <f>(Sheet1!BQ22-Sheet1!BQ21)*1.385</f>
        <v>1.108000000000001</v>
      </c>
      <c r="E20" s="30">
        <f>(Sheet1!BR22-Sheet1!BR21)*1.385</f>
        <v>1.108000000000001</v>
      </c>
      <c r="F20" s="30">
        <f ca="1">IF(B20=TODAY(),0,-(VLOOKUP(Sheet1!CD22,Lookup!$I$4:$J$216,2)-VLOOKUP(Sheet1!CD21,Lookup!$I$4:$J$216,2))/1000000)</f>
        <v>0.41454775419119744</v>
      </c>
      <c r="G20" s="95">
        <f ca="1">IF(B20=TODAY(),0,-$G$6*(Sheet1!CF22-Sheet1!CF21)*7.48/1000000)</f>
        <v>0.15885400421023735</v>
      </c>
      <c r="H20" s="95">
        <f ca="1">IF(B20=TODAY(),0,-$H$6*(Sheet1!CE22-Sheet1!CE21)*7.48/1000000)</f>
        <v>1.5039432351265274E-2</v>
      </c>
      <c r="I20" s="95">
        <f ca="1">IF(B20=TODAY(),0,-$I$6*(Sheet1!CG22-Sheet1!CG21)*7.48/1000000)</f>
        <v>-0.16622205600000001</v>
      </c>
      <c r="J20" s="96" t="s">
        <v>186</v>
      </c>
      <c r="K20" s="95">
        <f ca="1">IF(B20=TODAY(),0,-$K$6*(Sheet1!CH22-Sheet1!CH21)*7.48/1000000)</f>
        <v>-0.27985945572725451</v>
      </c>
      <c r="L20" s="96" t="s">
        <v>186</v>
      </c>
      <c r="M20" s="95">
        <f ca="1">IF(B20=TODAY(),0,-$M$6*(Sheet1!CI22-Sheet1!CI21)*7.48/1000000)</f>
        <v>-0.7736348624051631</v>
      </c>
      <c r="N20" s="95">
        <f ca="1">IF(B20=TODAY(),0,-$N$6*(Sheet1!CJ22-Sheet1!CJ21)*7.48/1000000)</f>
        <v>0.29164602335473272</v>
      </c>
      <c r="O20" s="95">
        <f t="shared" ca="1" si="7"/>
        <v>-0.33962916002498483</v>
      </c>
      <c r="P20" s="95">
        <f ca="1">O20+Calculation!ES20</f>
        <v>-2.5561546218363409</v>
      </c>
      <c r="Q20" s="90" t="str">
        <f>IF(Sheet1!BQ22&gt;25.75,"spill elevation","-")</f>
        <v>-</v>
      </c>
      <c r="R20" s="90" t="str">
        <f>IF(Sheet1!BQ22&gt;25.75,"spill elevation","-")</f>
        <v>-</v>
      </c>
      <c r="S20" s="90" t="str">
        <f>IF(Sheet1!BR22&gt;25.75,"spill elevation","-")</f>
        <v>-</v>
      </c>
      <c r="T20" s="94">
        <f>IF(Sheet1!DU22=1,Sheet1!AA22-(SUM(AT20:BA20)+BE20),Sheet1!AA22-SUM(AT20:BA20))</f>
        <v>17.386960000000002</v>
      </c>
      <c r="U20" s="94">
        <f>Sheet1!BV22</f>
        <v>17</v>
      </c>
      <c r="V20" s="94">
        <f t="shared" si="8"/>
        <v>0.38696000000000197</v>
      </c>
      <c r="W20" s="94">
        <f>0</f>
        <v>0</v>
      </c>
      <c r="X20" s="90">
        <f>0</f>
        <v>0</v>
      </c>
      <c r="Y20" s="95">
        <f ca="1">Calculation!EJ21+Calculation!ES20+'Calculations II'!O20-'Calculations II'!W20</f>
        <v>50.796517378163657</v>
      </c>
      <c r="Z20" s="95">
        <f ca="1">Y20-Sheet1!CT23</f>
        <v>33.776517378163661</v>
      </c>
      <c r="AA20" s="95">
        <f ca="1">Y20+Calculation!DJ21+Calculation!AS21</f>
        <v>58.84683184357246</v>
      </c>
      <c r="AC20" s="95">
        <f>Sheet1!AA22+Sheet1!AB22+BC20</f>
        <v>53.339632000000002</v>
      </c>
      <c r="AD20" s="95">
        <f>Sheet1!AA22+Sheet1!BN22+'Calculations II'!BC20-Calculation!AS20-Calculation!DJ20</f>
        <v>39.656557216404146</v>
      </c>
      <c r="AE20" s="95">
        <f>Sheet1!AA22+Sheet1!AB22+'Calculations II'!BC20-Calculation!AS20-Calculation!DJ20</f>
        <v>46.476557216404146</v>
      </c>
      <c r="AF20" s="95">
        <f ca="1">Sheet1!AA22+Sheet1!BN22+P20+'Calculations II'!BC20+Calculation!AS20+Calculation!DJ20</f>
        <v>50.826552161759516</v>
      </c>
      <c r="AG20" s="95">
        <f ca="1">IF(B20=TODAY(),0,Sheet1!AA22+Sheet1!BN22+'Calculations II'!BC20+'Calculations II'!P20-Sheet1!CT22-BP20)</f>
        <v>27.255477378163661</v>
      </c>
      <c r="AH20" s="95">
        <f ca="1">IF(B20=TODAY(),0,Sheet1!AA22+Sheet1!BN22+'Calculations II'!BC20+'Calculations II'!P20-BP20)</f>
        <v>43.96347737816366</v>
      </c>
      <c r="AI20" s="95">
        <f ca="1">IF(B20=TODAY(),0,BC20+Sheet1!AA22+Calculation!ES20+O20+W20+Sheet1!BN22+Calculation!AS20+Calculation!DJ20-BP20)</f>
        <v>50.826552161759516</v>
      </c>
      <c r="AJ20" s="95"/>
      <c r="AM20" s="91">
        <f t="shared" si="9"/>
        <v>41648</v>
      </c>
      <c r="AN20" s="95">
        <f>Sheet1!BU22</f>
        <v>18.8</v>
      </c>
      <c r="AO20" s="95">
        <f>Sheet1!AA22</f>
        <v>19.8</v>
      </c>
      <c r="AP20" s="95">
        <f t="shared" si="1"/>
        <v>2.216000000000002</v>
      </c>
      <c r="AQ20" s="1055">
        <f>((Sheet1!BV22-(Sheet1!BU22-AP20))/(Sheet1!BU22-AP20))</f>
        <v>2.5084418716835526E-2</v>
      </c>
      <c r="AR20" s="95">
        <f t="shared" si="2"/>
        <v>17.584</v>
      </c>
      <c r="AS20" s="95">
        <f t="shared" si="3"/>
        <v>16.584</v>
      </c>
      <c r="AT20" s="90">
        <f>Sheet1!BB22</f>
        <v>1.004</v>
      </c>
      <c r="AU20" s="90">
        <f>Sheet1!AS22*GPMtoMGD</f>
        <v>2.6064000000000004E-2</v>
      </c>
      <c r="AV20" s="95">
        <f>Sheet1!AT22</f>
        <v>0</v>
      </c>
      <c r="AW20" s="90">
        <f>Sheet1!AV22*GPMtoMGD</f>
        <v>0.58564800000000006</v>
      </c>
      <c r="AX20" s="90">
        <f>Sheet1!AW22*GPMtoMGD</f>
        <v>0.79732800000000015</v>
      </c>
      <c r="AY20" s="90">
        <f>Sheet1!AX22*GPMtoMGD</f>
        <v>0</v>
      </c>
      <c r="AZ20" s="90">
        <f>Sheet1!AY22*GPMtoMGD</f>
        <v>0</v>
      </c>
      <c r="BA20" s="90">
        <f>Sheet1!AZ22*GPMtoMGD</f>
        <v>0</v>
      </c>
      <c r="BB20" s="90">
        <f>Sheet1!BP22*GPMtoMGD</f>
        <v>4.4208000000000004E-2</v>
      </c>
      <c r="BC20" s="90">
        <f>Sheet1!CS22*GPMtoMGD</f>
        <v>19.519632000000001</v>
      </c>
      <c r="BD20" s="90">
        <f>Sheet1!BO22*GPMtoMGD</f>
        <v>2.3927040000000002</v>
      </c>
      <c r="BE20" s="90">
        <f>Sheet1!BW22*GPMtoMGD</f>
        <v>0.96724800000000011</v>
      </c>
      <c r="BF20" s="90">
        <f>Sheet1!CN22*GPMtoMGD</f>
        <v>0.77284800000000009</v>
      </c>
      <c r="BG20" s="90">
        <f>Sheet1!CO22*GPMtoMGD</f>
        <v>0.44726400000000005</v>
      </c>
      <c r="BH20" s="90">
        <f>Sheet1!CP22*GPMtoMGD</f>
        <v>0.67248000000000008</v>
      </c>
      <c r="BI20" s="90">
        <f t="shared" si="10"/>
        <v>2.436912</v>
      </c>
      <c r="BK20" s="95">
        <f>SUM(AT20:BA20,BE20,Sheet1!BV22,'Calculations II'!BC20,Calculation!AQ20)</f>
        <v>47.062116679438063</v>
      </c>
      <c r="BM20" s="373">
        <f>0</f>
        <v>0</v>
      </c>
      <c r="BN20" s="373">
        <f>0</f>
        <v>0</v>
      </c>
      <c r="BP20" s="95">
        <f>SUM(BM20:BN20,W20,Sheet1!DX22)</f>
        <v>0</v>
      </c>
    </row>
    <row r="21" spans="1:68" s="90" customFormat="1">
      <c r="A21" s="651" t="s">
        <v>8</v>
      </c>
      <c r="B21" s="92">
        <v>41649</v>
      </c>
      <c r="C21" s="93">
        <v>0</v>
      </c>
      <c r="D21" s="95">
        <f>(Sheet1!BQ23-Sheet1!BQ22)*1.385</f>
        <v>0.45705000000000257</v>
      </c>
      <c r="E21" s="30">
        <f>(Sheet1!BR23-Sheet1!BR22)*1.385</f>
        <v>0.45704999999999762</v>
      </c>
      <c r="F21" s="30">
        <f ca="1">IF(B21=TODAY(),0,-(VLOOKUP(Sheet1!CD23,Lookup!$I$4:$J$216,2)-VLOOKUP(Sheet1!CD22,Lookup!$I$4:$J$216,2))/1000000)</f>
        <v>-0.51818469273899681</v>
      </c>
      <c r="G21" s="95">
        <f ca="1">IF(B21=TODAY(),0,-$G$6*(Sheet1!CF23-Sheet1!CF22)*7.48/1000000)</f>
        <v>0.15885400421023663</v>
      </c>
      <c r="H21" s="95">
        <f ca="1">IF(B21=TODAY(),0,-$H$6*(Sheet1!CE23-Sheet1!CE22)*7.48/1000000)</f>
        <v>-4.5118297053794748E-2</v>
      </c>
      <c r="I21" s="95">
        <f ca="1">IF(B21=TODAY(),0,-$I$6*(Sheet1!CG23-Sheet1!CG22)*7.48/1000000)</f>
        <v>8.9849760000000074E-3</v>
      </c>
      <c r="J21" s="96" t="s">
        <v>186</v>
      </c>
      <c r="K21" s="95">
        <f ca="1">IF(B21=TODAY(),0,-$K$6*(Sheet1!CH23-Sheet1!CH22)*7.48/1000000)</f>
        <v>1.3326640748916837E-2</v>
      </c>
      <c r="L21" s="96" t="s">
        <v>186</v>
      </c>
      <c r="M21" s="95">
        <f ca="1">IF(B21=TODAY(),0,-$M$6*(Sheet1!CI23-Sheet1!CI22)*7.48/1000000)</f>
        <v>3.5983016856054283E-2</v>
      </c>
      <c r="N21" s="95">
        <f ca="1">IF(B21=TODAY(),0,-$N$6*(Sheet1!CJ23-Sheet1!CJ22)*7.48/1000000)</f>
        <v>5.5847110855161426E-2</v>
      </c>
      <c r="O21" s="95">
        <f t="shared" ca="1" si="7"/>
        <v>-0.29030724112242234</v>
      </c>
      <c r="P21" s="95">
        <f ca="1">O21+Calculation!ES21</f>
        <v>-1.2602967253861219</v>
      </c>
      <c r="Q21" s="90" t="str">
        <f>IF(Sheet1!BQ23&gt;25.75,"spill elevation","-")</f>
        <v>-</v>
      </c>
      <c r="R21" s="90" t="str">
        <f>IF(Sheet1!BQ23&gt;25.75,"spill elevation","-")</f>
        <v>-</v>
      </c>
      <c r="S21" s="90" t="str">
        <f>IF(Sheet1!BR23&gt;25.75,"spill elevation","-")</f>
        <v>-</v>
      </c>
      <c r="T21" s="94">
        <f>IF(Sheet1!DU23=1,Sheet1!AA23-(SUM(AT21:BA21)+BE21),Sheet1!AA23-SUM(AT21:BA21))</f>
        <v>17.40352</v>
      </c>
      <c r="U21" s="94">
        <f>Sheet1!BV23</f>
        <v>18.100000000000001</v>
      </c>
      <c r="V21" s="94">
        <f t="shared" si="8"/>
        <v>-0.6964800000000011</v>
      </c>
      <c r="W21" s="94">
        <f>0</f>
        <v>0</v>
      </c>
      <c r="X21" s="90">
        <f>0</f>
        <v>0</v>
      </c>
      <c r="Y21" s="95">
        <f ca="1">Calculation!EJ22+Calculation!ES21+'Calculations II'!O21-'Calculations II'!W21</f>
        <v>52.919031274613879</v>
      </c>
      <c r="Z21" s="95">
        <f ca="1">Y21-Sheet1!CT24</f>
        <v>36.178031274613879</v>
      </c>
      <c r="AA21" s="95">
        <f ca="1">Y21+Calculation!DJ22+Calculation!AS22</f>
        <v>61.841865920283169</v>
      </c>
      <c r="AC21" s="95">
        <f>Sheet1!AA23+Sheet1!AB23+BC21</f>
        <v>53.352671999999998</v>
      </c>
      <c r="AD21" s="95">
        <f>Sheet1!AA23+Sheet1!BN23+'Calculations II'!BC21-Calculation!AS21-Calculation!DJ21</f>
        <v>37.302357534591195</v>
      </c>
      <c r="AE21" s="95">
        <f>Sheet1!AA23+Sheet1!AB23+'Calculations II'!BC21-Calculation!AS21-Calculation!DJ21</f>
        <v>45.302357534591195</v>
      </c>
      <c r="AF21" s="95">
        <f ca="1">Sheet1!AA23+Sheet1!BN23+P21+'Calculations II'!BC21+Calculation!AS21+Calculation!DJ21</f>
        <v>52.142689740022682</v>
      </c>
      <c r="AG21" s="95">
        <f ca="1">IF(B21=TODAY(),0,Sheet1!AA23+Sheet1!BN23+'Calculations II'!BC21+'Calculations II'!P21-Sheet1!CT23-BP21)</f>
        <v>27.072375274613879</v>
      </c>
      <c r="AH21" s="95">
        <f ca="1">IF(B21=TODAY(),0,Sheet1!AA23+Sheet1!BN23+'Calculations II'!BC21+'Calculations II'!P21-BP21)</f>
        <v>44.092375274613879</v>
      </c>
      <c r="AI21" s="95">
        <f ca="1">IF(B21=TODAY(),0,BC21+Sheet1!AA23+Calculation!ES21+O21+W21+Sheet1!BN23+Calculation!AS21+Calculation!DJ21-BP21)</f>
        <v>52.142689740022682</v>
      </c>
      <c r="AJ21" s="95"/>
      <c r="AM21" s="91">
        <f t="shared" si="9"/>
        <v>41649</v>
      </c>
      <c r="AN21" s="95">
        <f>Sheet1!BU23</f>
        <v>18.600000000000001</v>
      </c>
      <c r="AO21" s="95">
        <f>Sheet1!AA23</f>
        <v>19.670000000000002</v>
      </c>
      <c r="AP21" s="95">
        <f t="shared" si="1"/>
        <v>0.91410000000000013</v>
      </c>
      <c r="AQ21" s="1055">
        <f>((Sheet1!BV23-(Sheet1!BU23-AP21))/(Sheet1!BU23-AP21))</f>
        <v>2.3414132161778661E-2</v>
      </c>
      <c r="AR21" s="95">
        <f t="shared" si="2"/>
        <v>18.7559</v>
      </c>
      <c r="AS21" s="95">
        <f t="shared" si="3"/>
        <v>17.6859</v>
      </c>
      <c r="AT21" s="90">
        <f>Sheet1!BB23</f>
        <v>1</v>
      </c>
      <c r="AU21" s="90">
        <f>Sheet1!AS23*GPMtoMGD</f>
        <v>1.5408E-2</v>
      </c>
      <c r="AV21" s="95">
        <f>Sheet1!AT23</f>
        <v>0</v>
      </c>
      <c r="AW21" s="90">
        <f>Sheet1!AV23*GPMtoMGD</f>
        <v>0.47476800000000002</v>
      </c>
      <c r="AX21" s="90">
        <f>Sheet1!AW23*GPMtoMGD</f>
        <v>0.77630400000000011</v>
      </c>
      <c r="AY21" s="90">
        <f>Sheet1!AX23*GPMtoMGD</f>
        <v>0</v>
      </c>
      <c r="AZ21" s="90">
        <f>Sheet1!AY23*GPMtoMGD</f>
        <v>0</v>
      </c>
      <c r="BA21" s="90">
        <f>Sheet1!AZ23*GPMtoMGD</f>
        <v>0</v>
      </c>
      <c r="BB21" s="90">
        <f>Sheet1!BP23*GPMtoMGD</f>
        <v>0</v>
      </c>
      <c r="BC21" s="90">
        <f>Sheet1!CS23*GPMtoMGD</f>
        <v>14.682672</v>
      </c>
      <c r="BD21" s="90">
        <f>Sheet1!BO23*GPMtoMGD</f>
        <v>1.3841280000000002</v>
      </c>
      <c r="BE21" s="90">
        <f>Sheet1!BW23*GPMtoMGD</f>
        <v>0.67161599999999999</v>
      </c>
      <c r="BF21" s="90">
        <f>Sheet1!CN23*GPMtoMGD</f>
        <v>0.70200000000000007</v>
      </c>
      <c r="BG21" s="90">
        <f>Sheet1!CO23*GPMtoMGD</f>
        <v>0.44467200000000007</v>
      </c>
      <c r="BH21" s="90">
        <f>Sheet1!CP23*GPMtoMGD</f>
        <v>0.668736</v>
      </c>
      <c r="BI21" s="90">
        <f t="shared" si="10"/>
        <v>1.3841280000000002</v>
      </c>
      <c r="BK21" s="95">
        <f>SUM(AT21:BA21,BE21,Sheet1!BV23,'Calculations II'!BC21,Calculation!AQ21)</f>
        <v>46.674646406708604</v>
      </c>
      <c r="BM21" s="373">
        <f>0</f>
        <v>0</v>
      </c>
      <c r="BN21" s="373">
        <f>0</f>
        <v>0</v>
      </c>
      <c r="BP21" s="95">
        <f>SUM(BM21:BN21,W21,Sheet1!DX23)</f>
        <v>0</v>
      </c>
    </row>
    <row r="22" spans="1:68" s="90" customFormat="1">
      <c r="A22" s="651" t="s">
        <v>9</v>
      </c>
      <c r="B22" s="92">
        <v>41650</v>
      </c>
      <c r="C22" s="93">
        <v>0</v>
      </c>
      <c r="D22" s="95">
        <f>(Sheet1!BQ24-Sheet1!BQ23)*1.385</f>
        <v>1.108000000000001</v>
      </c>
      <c r="E22" s="30">
        <f>(Sheet1!BR24-Sheet1!BR23)*1.385</f>
        <v>1.0941499999999988</v>
      </c>
      <c r="F22" s="30">
        <f ca="1">IF(B22=TODAY(),0,-(VLOOKUP(Sheet1!CD24,Lookup!$I$4:$J$216,2)-VLOOKUP(Sheet1!CD23,Lookup!$I$4:$J$216,2))/1000000)</f>
        <v>1.0363693854779992</v>
      </c>
      <c r="G22" s="95">
        <f ca="1">IF(B22=TODAY(),0,-$G$6*(Sheet1!CF24-Sheet1!CF23)*7.48/1000000)</f>
        <v>-7.9427002105118313E-2</v>
      </c>
      <c r="H22" s="95">
        <f ca="1">IF(B22=TODAY(),0,-$H$6*(Sheet1!CE24-Sheet1!CE23)*7.48/1000000)</f>
        <v>0</v>
      </c>
      <c r="I22" s="95">
        <f ca="1">IF(B22=TODAY(),0,-$I$6*(Sheet1!CG24-Sheet1!CG23)*7.48/1000000)</f>
        <v>-1.3477463999999995E-2</v>
      </c>
      <c r="J22" s="96" t="s">
        <v>186</v>
      </c>
      <c r="K22" s="95">
        <f ca="1">IF(B22=TODAY(),0,-$K$6*(Sheet1!CH24-Sheet1!CH23)*7.48/1000000)</f>
        <v>-1.9989961123375376E-2</v>
      </c>
      <c r="L22" s="96" t="s">
        <v>186</v>
      </c>
      <c r="M22" s="95">
        <f ca="1">IF(B22=TODAY(),0,-$M$6*(Sheet1!CI24-Sheet1!CI23)*7.48/1000000)</f>
        <v>-5.3974525284081275E-2</v>
      </c>
      <c r="N22" s="95">
        <f ca="1">IF(B22=TODAY(),0,-$N$6*(Sheet1!CJ24-Sheet1!CJ23)*7.48/1000000)</f>
        <v>-0.45298212138075472</v>
      </c>
      <c r="O22" s="95">
        <f t="shared" ca="1" si="7"/>
        <v>0.41651831158466945</v>
      </c>
      <c r="P22" s="95">
        <f ca="1">O22+Calculation!ES22</f>
        <v>-1.8011866313687528</v>
      </c>
      <c r="Q22" s="90" t="str">
        <f>IF(Sheet1!BQ24&gt;25.75,"spill elevation","-")</f>
        <v>-</v>
      </c>
      <c r="R22" s="90" t="str">
        <f>IF(Sheet1!BQ24&gt;25.75,"spill elevation","-")</f>
        <v>-</v>
      </c>
      <c r="S22" s="90" t="str">
        <f>IF(Sheet1!BR24&gt;25.75,"spill elevation","-")</f>
        <v>-</v>
      </c>
      <c r="T22" s="94">
        <f>IF(Sheet1!DU24=1,Sheet1!AA24-(SUM(AT22:BA22)+BE22),Sheet1!AA24-SUM(AT22:BA22))</f>
        <v>16.780207999999998</v>
      </c>
      <c r="U22" s="94">
        <f>Sheet1!BV24</f>
        <v>17.100000000000001</v>
      </c>
      <c r="V22" s="94">
        <f t="shared" si="8"/>
        <v>-0.31979200000000318</v>
      </c>
      <c r="W22" s="94">
        <f>0</f>
        <v>0</v>
      </c>
      <c r="X22" s="90">
        <f>0</f>
        <v>0</v>
      </c>
      <c r="Y22" s="95">
        <f ca="1">Calculation!EJ23+Calculation!ES22+'Calculations II'!O22-'Calculations II'!W22</f>
        <v>52.529277368631242</v>
      </c>
      <c r="Z22" s="95">
        <f ca="1">Y22-Sheet1!CT25</f>
        <v>36.084277368631241</v>
      </c>
      <c r="AA22" s="95">
        <f ca="1">Y22+Calculation!DJ23+Calculation!AS23</f>
        <v>61.618200477554488</v>
      </c>
      <c r="AC22" s="95">
        <f>Sheet1!AA24+Sheet1!AB24+BC22</f>
        <v>54.179327999999998</v>
      </c>
      <c r="AD22" s="95">
        <f>Sheet1!AA24+Sheet1!BN24+'Calculations II'!BC22-Calculation!AS22-Calculation!DJ22</f>
        <v>36.056493354330712</v>
      </c>
      <c r="AE22" s="95">
        <f>Sheet1!AA24+Sheet1!AB24+'Calculations II'!BC22-Calculation!AS22-Calculation!DJ22</f>
        <v>45.256493354330708</v>
      </c>
      <c r="AF22" s="95">
        <f ca="1">Sheet1!AA24+Sheet1!BN24+P22+'Calculations II'!BC22+Calculation!AS22+Calculation!DJ22</f>
        <v>52.100976014300542</v>
      </c>
      <c r="AG22" s="95">
        <f ca="1">IF(B22=TODAY(),0,Sheet1!AA24+Sheet1!BN24+'Calculations II'!BC22+'Calculations II'!P22-Sheet1!CT24-BP22)</f>
        <v>26.437141368631252</v>
      </c>
      <c r="AH22" s="95">
        <f ca="1">IF(B22=TODAY(),0,Sheet1!AA24+Sheet1!BN24+'Calculations II'!BC22+'Calculations II'!P22-BP22)</f>
        <v>43.178141368631252</v>
      </c>
      <c r="AI22" s="95">
        <f ca="1">IF(B22=TODAY(),0,BC22+Sheet1!AA24+Calculation!ES22+O22+W22+Sheet1!BN24+Calculation!AS22+Calculation!DJ22-BP22)</f>
        <v>52.100976014300542</v>
      </c>
      <c r="AJ22" s="95"/>
      <c r="AM22" s="91">
        <f t="shared" si="9"/>
        <v>41650</v>
      </c>
      <c r="AN22" s="95">
        <f>Sheet1!BU24</f>
        <v>18.7</v>
      </c>
      <c r="AO22" s="95">
        <f>Sheet1!AA24</f>
        <v>18.329999999999998</v>
      </c>
      <c r="AP22" s="95">
        <f t="shared" si="1"/>
        <v>2.2021499999999996</v>
      </c>
      <c r="AQ22" s="1055">
        <f>((Sheet1!BV24-(Sheet1!BU24-AP22))/(Sheet1!BU24-AP22))</f>
        <v>3.6498695284537183E-2</v>
      </c>
      <c r="AR22" s="95">
        <f t="shared" si="2"/>
        <v>16.127849999999999</v>
      </c>
      <c r="AS22" s="95">
        <f t="shared" si="3"/>
        <v>16.49785</v>
      </c>
      <c r="AT22" s="90">
        <f>Sheet1!BB24</f>
        <v>1</v>
      </c>
      <c r="AU22" s="90">
        <f>Sheet1!AS24*GPMtoMGD</f>
        <v>3.0240000000000003E-2</v>
      </c>
      <c r="AV22" s="95">
        <f>Sheet1!AT24</f>
        <v>0</v>
      </c>
      <c r="AW22" s="90">
        <f>Sheet1!AV24*GPMtoMGD</f>
        <v>1.0224E-2</v>
      </c>
      <c r="AX22" s="90">
        <f>Sheet1!AW24*GPMtoMGD</f>
        <v>0.509328</v>
      </c>
      <c r="AY22" s="90">
        <f>Sheet1!AX24*GPMtoMGD</f>
        <v>0</v>
      </c>
      <c r="AZ22" s="90">
        <f>Sheet1!AY24*GPMtoMGD</f>
        <v>0</v>
      </c>
      <c r="BA22" s="90">
        <f>Sheet1!AZ24*GPMtoMGD</f>
        <v>0</v>
      </c>
      <c r="BB22" s="90">
        <f>Sheet1!BP24*GPMtoMGD</f>
        <v>0</v>
      </c>
      <c r="BC22" s="90">
        <f>Sheet1!CS24*GPMtoMGD</f>
        <v>10.049328000000001</v>
      </c>
      <c r="BD22" s="90">
        <f>Sheet1!BO24*GPMtoMGD</f>
        <v>1.6339680000000001</v>
      </c>
      <c r="BE22" s="90">
        <f>Sheet1!BW24*GPMtoMGD</f>
        <v>0.96739200000000003</v>
      </c>
      <c r="BF22" s="90">
        <f>Sheet1!CN24*GPMtoMGD</f>
        <v>0.72964800000000007</v>
      </c>
      <c r="BG22" s="90">
        <f>Sheet1!CO24*GPMtoMGD</f>
        <v>0.47476800000000002</v>
      </c>
      <c r="BH22" s="90">
        <f>Sheet1!CP24*GPMtoMGD</f>
        <v>0.63705599999999996</v>
      </c>
      <c r="BI22" s="90">
        <f t="shared" si="10"/>
        <v>1.6339680000000001</v>
      </c>
      <c r="BK22" s="95">
        <f>SUM(AT22:BA22,BE22,Sheet1!BV24,'Calculations II'!BC22,Calculation!AQ22)</f>
        <v>46.527929322834652</v>
      </c>
      <c r="BM22" s="373">
        <f>0</f>
        <v>0</v>
      </c>
      <c r="BN22" s="373">
        <f>0</f>
        <v>0</v>
      </c>
      <c r="BP22" s="95">
        <f>SUM(BM22:BN22,W22,Sheet1!DX24)</f>
        <v>0</v>
      </c>
    </row>
    <row r="23" spans="1:68" s="90" customFormat="1">
      <c r="A23" s="651" t="s">
        <v>3</v>
      </c>
      <c r="B23" s="92">
        <v>41651</v>
      </c>
      <c r="C23" s="93">
        <v>0</v>
      </c>
      <c r="D23" s="95">
        <f>(Sheet1!BQ25-Sheet1!BQ24)*1.385</f>
        <v>-1.6897000000000033</v>
      </c>
      <c r="E23" s="30">
        <f>(Sheet1!BR25-Sheet1!BR24)*1.385</f>
        <v>-1.6896999999999984</v>
      </c>
      <c r="F23" s="30">
        <f ca="1">IF(B23=TODAY(),0,-(VLOOKUP(Sheet1!CD25,Lookup!$I$4:$J$216,2)-VLOOKUP(Sheet1!CD24,Lookup!$I$4:$J$216,2))/1000000)</f>
        <v>-1.6581910167648028</v>
      </c>
      <c r="G23" s="95">
        <f ca="1">IF(B23=TODAY(),0,-$G$6*(Sheet1!CF25-Sheet1!CF24)*7.48/1000000)</f>
        <v>-0.99283752631398237</v>
      </c>
      <c r="H23" s="95">
        <f ca="1">IF(B23=TODAY(),0,-$H$6*(Sheet1!CE25-Sheet1!CE24)*7.48/1000000)</f>
        <v>0</v>
      </c>
      <c r="I23" s="95">
        <f ca="1">IF(B23=TODAY(),0,-$I$6*(Sheet1!CG25-Sheet1!CG24)*7.48/1000000)</f>
        <v>0</v>
      </c>
      <c r="J23" s="96" t="s">
        <v>186</v>
      </c>
      <c r="K23" s="95">
        <f ca="1">IF(B23=TODAY(),0,-$K$6*(Sheet1!CH25-Sheet1!CH24)*7.48/1000000)</f>
        <v>-6.6633203744584186E-3</v>
      </c>
      <c r="L23" s="96" t="s">
        <v>186</v>
      </c>
      <c r="M23" s="95">
        <f ca="1">IF(B23=TODAY(),0,-$M$6*(Sheet1!CI25-Sheet1!CI24)*7.48/1000000)</f>
        <v>0</v>
      </c>
      <c r="N23" s="95">
        <f ca="1">IF(B23=TODAY(),0,-$N$6*(Sheet1!CJ25-Sheet1!CJ24)*7.48/1000000)</f>
        <v>-0.28544078881527046</v>
      </c>
      <c r="O23" s="95">
        <f t="shared" ca="1" si="7"/>
        <v>-2.9431326522685142</v>
      </c>
      <c r="P23" s="95">
        <f ca="1">O23+Calculation!ES23</f>
        <v>0.52167232431461308</v>
      </c>
      <c r="Q23" s="90" t="str">
        <f>IF(Sheet1!BQ25&gt;25.75,"spill elevation","-")</f>
        <v>-</v>
      </c>
      <c r="R23" s="90" t="str">
        <f>IF(Sheet1!BQ25&gt;25.75,"spill elevation","-")</f>
        <v>-</v>
      </c>
      <c r="S23" s="90" t="str">
        <f>IF(Sheet1!BR25&gt;25.75,"spill elevation","-")</f>
        <v>-</v>
      </c>
      <c r="T23" s="94">
        <f>IF(Sheet1!DU25=1,Sheet1!AA25-(SUM(AT23:BA23)+BE23),Sheet1!AA25-SUM(AT23:BA23))</f>
        <v>11.853056</v>
      </c>
      <c r="U23" s="94">
        <f>Sheet1!BV25</f>
        <v>17</v>
      </c>
      <c r="V23" s="94">
        <f t="shared" si="8"/>
        <v>-5.1469439999999995</v>
      </c>
      <c r="W23" s="94">
        <f>0</f>
        <v>0</v>
      </c>
      <c r="X23" s="90">
        <f>0</f>
        <v>0</v>
      </c>
      <c r="Y23" s="95">
        <f ca="1">Calculation!EJ24+Calculation!ES23+'Calculations II'!O23-'Calculations II'!W23</f>
        <v>54.736584324314613</v>
      </c>
      <c r="Z23" s="95">
        <f ca="1">Y23-Sheet1!CT26</f>
        <v>37.956584324314612</v>
      </c>
      <c r="AA23" s="95">
        <f ca="1">Y23+Calculation!DJ24+Calculation!AS24</f>
        <v>63.716435993041436</v>
      </c>
      <c r="AC23" s="95">
        <f>Sheet1!AA25+Sheet1!AB25+BC23</f>
        <v>54.330463999999999</v>
      </c>
      <c r="AD23" s="95">
        <f>Sheet1!AA25+Sheet1!BN25+'Calculations II'!BC23-Calculation!AS23-Calculation!DJ23</f>
        <v>36.041540891076757</v>
      </c>
      <c r="AE23" s="95">
        <f>Sheet1!AA25+Sheet1!AB25+'Calculations II'!BC23-Calculation!AS23-Calculation!DJ23</f>
        <v>45.241540891076752</v>
      </c>
      <c r="AF23" s="95">
        <f ca="1">Sheet1!AA25+Sheet1!BN25+P23+'Calculations II'!BC23+Calculation!AS23+Calculation!DJ23</f>
        <v>54.741059433237865</v>
      </c>
      <c r="AG23" s="95">
        <f ca="1">IF(B23=TODAY(),0,Sheet1!AA25+Sheet1!BN25+'Calculations II'!BC23+'Calculations II'!P23-Sheet1!CT25-BP23)</f>
        <v>29.207136324314618</v>
      </c>
      <c r="AH23" s="95">
        <f ca="1">IF(B23=TODAY(),0,Sheet1!AA25+Sheet1!BN25+'Calculations II'!BC23+'Calculations II'!P23-BP23)</f>
        <v>45.652136324314618</v>
      </c>
      <c r="AI23" s="95">
        <f ca="1">IF(B23=TODAY(),0,BC23+Sheet1!AA25+Calculation!ES23+O23+W23+Sheet1!BN25+Calculation!AS23+Calculation!DJ23-BP23)</f>
        <v>54.741059433237858</v>
      </c>
      <c r="AJ23" s="95"/>
      <c r="AM23" s="91">
        <f t="shared" si="9"/>
        <v>41651</v>
      </c>
      <c r="AN23" s="95">
        <f>Sheet1!BU25</f>
        <v>13.3</v>
      </c>
      <c r="AO23" s="95">
        <f>Sheet1!AA25</f>
        <v>15.3</v>
      </c>
      <c r="AP23" s="95">
        <f t="shared" si="1"/>
        <v>-3.3794000000000017</v>
      </c>
      <c r="AQ23" s="1055">
        <f>((Sheet1!BV25-(Sheet1!BU25-AP23))/(Sheet1!BU25-AP23))</f>
        <v>1.9221314915404564E-2</v>
      </c>
      <c r="AR23" s="95">
        <f t="shared" si="2"/>
        <v>18.679400000000001</v>
      </c>
      <c r="AS23" s="95">
        <f t="shared" si="3"/>
        <v>16.679400000000001</v>
      </c>
      <c r="AT23" s="90">
        <f>Sheet1!BB25</f>
        <v>1.006</v>
      </c>
      <c r="AU23" s="90">
        <f>Sheet1!AS25*GPMtoMGD</f>
        <v>1.7136000000000002E-2</v>
      </c>
      <c r="AV23" s="95">
        <f>Sheet1!AT25</f>
        <v>0</v>
      </c>
      <c r="AW23" s="90">
        <f>Sheet1!AV25*GPMtoMGD</f>
        <v>0.74923200000000001</v>
      </c>
      <c r="AX23" s="90">
        <f>Sheet1!AW25*GPMtoMGD</f>
        <v>1.6745760000000003</v>
      </c>
      <c r="AY23" s="90">
        <f>Sheet1!AX25*GPMtoMGD</f>
        <v>0</v>
      </c>
      <c r="AZ23" s="90">
        <f>Sheet1!AY25*GPMtoMGD</f>
        <v>0</v>
      </c>
      <c r="BA23" s="90">
        <f>Sheet1!AZ25*GPMtoMGD</f>
        <v>0</v>
      </c>
      <c r="BB23" s="90">
        <f>Sheet1!BP25*GPMtoMGD</f>
        <v>0</v>
      </c>
      <c r="BC23" s="90">
        <f>Sheet1!CS25*GPMtoMGD</f>
        <v>10.030464</v>
      </c>
      <c r="BD23" s="90">
        <f>Sheet1!BO25*GPMtoMGD</f>
        <v>1.6594560000000003</v>
      </c>
      <c r="BE23" s="90">
        <f>Sheet1!BW25*GPMtoMGD</f>
        <v>0.78451199999999999</v>
      </c>
      <c r="BF23" s="90">
        <f>Sheet1!CN25*GPMtoMGD</f>
        <v>0.93412800000000007</v>
      </c>
      <c r="BG23" s="90">
        <f>Sheet1!CO25*GPMtoMGD</f>
        <v>0.51307200000000008</v>
      </c>
      <c r="BH23" s="90">
        <f>Sheet1!CP25*GPMtoMGD</f>
        <v>0.65548800000000007</v>
      </c>
      <c r="BI23" s="90">
        <f t="shared" si="10"/>
        <v>1.6594560000000003</v>
      </c>
      <c r="BK23" s="95">
        <f>SUM(AT23:BA23,BE23,Sheet1!BV25,'Calculations II'!BC23,Calculation!AQ23)</f>
        <v>51.167626163766215</v>
      </c>
      <c r="BM23" s="373">
        <f>0</f>
        <v>0</v>
      </c>
      <c r="BN23" s="373">
        <f>0</f>
        <v>0</v>
      </c>
      <c r="BP23" s="95">
        <f>SUM(BM23:BN23,W23,Sheet1!DX25)</f>
        <v>0</v>
      </c>
    </row>
    <row r="24" spans="1:68" s="90" customFormat="1">
      <c r="A24" s="651" t="s">
        <v>4</v>
      </c>
      <c r="B24" s="92">
        <v>41652</v>
      </c>
      <c r="C24" s="93">
        <v>0</v>
      </c>
      <c r="D24" s="95">
        <f>(Sheet1!BQ26-Sheet1!BQ25)*1.385</f>
        <v>0.84484999999999921</v>
      </c>
      <c r="E24" s="30">
        <f>(Sheet1!BR26-Sheet1!BR25)*1.385</f>
        <v>0.85870000000000135</v>
      </c>
      <c r="F24" s="30">
        <f ca="1">IF(B24=TODAY(),0,-(VLOOKUP(Sheet1!CD26,Lookup!$I$4:$J$216,2)-VLOOKUP(Sheet1!CD25,Lookup!$I$4:$J$216,2))/1000000)</f>
        <v>0.41454775419119744</v>
      </c>
      <c r="G24" s="95">
        <f ca="1">IF(B24=TODAY(),0,-$G$6*(Sheet1!CF26-Sheet1!CF25)*7.48/1000000)</f>
        <v>0.15885400421023735</v>
      </c>
      <c r="H24" s="95">
        <f ca="1">IF(B24=TODAY(),0,-$H$6*(Sheet1!CE26-Sheet1!CE25)*7.48/1000000)</f>
        <v>1.5039432351264204E-2</v>
      </c>
      <c r="I24" s="95">
        <f ca="1">IF(B24=TODAY(),0,-$I$6*(Sheet1!CG26-Sheet1!CG25)*7.48/1000000)</f>
        <v>1.796995199999998E-2</v>
      </c>
      <c r="J24" s="96" t="s">
        <v>186</v>
      </c>
      <c r="K24" s="95">
        <f ca="1">IF(B24=TODAY(),0,-$K$6*(Sheet1!CH26-Sheet1!CH25)*7.48/1000000)</f>
        <v>3.3316601872292212E-2</v>
      </c>
      <c r="L24" s="96" t="s">
        <v>186</v>
      </c>
      <c r="M24" s="95">
        <f ca="1">IF(B24=TODAY(),0,-$M$6*(Sheet1!CI26-Sheet1!CI25)*7.48/1000000)</f>
        <v>8.9957542140135238E-2</v>
      </c>
      <c r="N24" s="95">
        <f ca="1">IF(B24=TODAY(),0,-$N$6*(Sheet1!CJ26-Sheet1!CJ25)*7.48/1000000)</f>
        <v>0.31646696151258286</v>
      </c>
      <c r="O24" s="95">
        <f t="shared" ca="1" si="7"/>
        <v>1.0461522482777093</v>
      </c>
      <c r="P24" s="95">
        <f ca="1">O24+Calculation!ES24</f>
        <v>-0.61670335273060162</v>
      </c>
      <c r="Q24" s="90" t="str">
        <f>IF(Sheet1!BQ26&gt;25.75,"spill elevation","-")</f>
        <v>-</v>
      </c>
      <c r="R24" s="90" t="str">
        <f>IF(Sheet1!BQ26&gt;25.75,"spill elevation","-")</f>
        <v>-</v>
      </c>
      <c r="S24" s="90" t="str">
        <f>IF(Sheet1!BR26&gt;25.75,"spill elevation","-")</f>
        <v>-</v>
      </c>
      <c r="T24" s="94">
        <f>IF(Sheet1!DU26=1,Sheet1!AA26-(SUM(AT24:BA24)+BE24),Sheet1!AA26-SUM(AT24:BA24))</f>
        <v>18.457632</v>
      </c>
      <c r="U24" s="94">
        <f>Sheet1!BV26</f>
        <v>18.399999999999999</v>
      </c>
      <c r="V24" s="94">
        <f t="shared" si="8"/>
        <v>5.7632000000001682E-2</v>
      </c>
      <c r="W24" s="94">
        <f>0</f>
        <v>0</v>
      </c>
      <c r="X24" s="90">
        <f>0</f>
        <v>0</v>
      </c>
      <c r="Y24" s="95">
        <f ca="1">Calculation!EJ25+Calculation!ES24+'Calculations II'!O24-'Calculations II'!W24</f>
        <v>50.081040647269397</v>
      </c>
      <c r="Z24" s="95">
        <f ca="1">Y24-Sheet1!CT27</f>
        <v>32.863040647269401</v>
      </c>
      <c r="AA24" s="95">
        <f ca="1">Y24+Calculation!DJ25+Calculation!AS25</f>
        <v>59.078367008491178</v>
      </c>
      <c r="AC24" s="95">
        <f>Sheet1!AA26+Sheet1!AB26+BC24</f>
        <v>54.214912000000005</v>
      </c>
      <c r="AD24" s="95">
        <f>Sheet1!AA26+Sheet1!BN26+'Calculations II'!BC24-Calculation!AS24-Calculation!DJ24</f>
        <v>36.235060331273182</v>
      </c>
      <c r="AE24" s="95">
        <f>Sheet1!AA26+Sheet1!AB26+'Calculations II'!BC24-Calculation!AS24-Calculation!DJ24</f>
        <v>45.235060331273182</v>
      </c>
      <c r="AF24" s="95">
        <f ca="1">Sheet1!AA26+Sheet1!BN26+P24+'Calculations II'!BC24+Calculation!AS24+Calculation!DJ24</f>
        <v>53.578060315996225</v>
      </c>
      <c r="AG24" s="95">
        <f ca="1">IF(B24=TODAY(),0,Sheet1!AA26+Sheet1!BN26+'Calculations II'!BC24+'Calculations II'!P24-Sheet1!CT26-BP24)</f>
        <v>27.818208647269401</v>
      </c>
      <c r="AH24" s="95">
        <f ca="1">IF(B24=TODAY(),0,Sheet1!AA26+Sheet1!BN26+'Calculations II'!BC24+'Calculations II'!P24-BP24)</f>
        <v>44.598208647269402</v>
      </c>
      <c r="AI24" s="95">
        <f ca="1">IF(B24=TODAY(),0,BC24+Sheet1!AA26+Calculation!ES24+O24+W24+Sheet1!BN26+Calculation!AS24+Calculation!DJ24-BP24)</f>
        <v>53.578060315996225</v>
      </c>
      <c r="AJ24" s="95"/>
      <c r="AM24" s="91">
        <f t="shared" si="9"/>
        <v>41652</v>
      </c>
      <c r="AN24" s="95">
        <f>Sheet1!BU26</f>
        <v>19.600000000000001</v>
      </c>
      <c r="AO24" s="95">
        <f>Sheet1!AA26</f>
        <v>19.899999999999999</v>
      </c>
      <c r="AP24" s="95">
        <f t="shared" si="1"/>
        <v>1.7035500000000006</v>
      </c>
      <c r="AQ24" s="1055">
        <f>((Sheet1!BV26-(Sheet1!BU26-AP24))/(Sheet1!BU26-AP24))</f>
        <v>2.813686513247024E-2</v>
      </c>
      <c r="AR24" s="95">
        <f t="shared" si="2"/>
        <v>18.196449999999999</v>
      </c>
      <c r="AS24" s="95">
        <f t="shared" si="3"/>
        <v>17.896450000000002</v>
      </c>
      <c r="AT24" s="90">
        <f>Sheet1!BB26</f>
        <v>1</v>
      </c>
      <c r="AU24" s="90">
        <f>Sheet1!AS26*GPMtoMGD</f>
        <v>3.1248000000000001E-2</v>
      </c>
      <c r="AV24" s="95">
        <f>Sheet1!AT26</f>
        <v>0</v>
      </c>
      <c r="AW24" s="90">
        <f>Sheet1!AV26*GPMtoMGD</f>
        <v>0.15667200000000001</v>
      </c>
      <c r="AX24" s="90">
        <f>Sheet1!AW26*GPMtoMGD</f>
        <v>0.25444800000000001</v>
      </c>
      <c r="AY24" s="90">
        <f>Sheet1!AX26*GPMtoMGD</f>
        <v>0</v>
      </c>
      <c r="AZ24" s="90">
        <f>Sheet1!AY26*GPMtoMGD</f>
        <v>0</v>
      </c>
      <c r="BA24" s="90">
        <f>Sheet1!AZ26*GPMtoMGD</f>
        <v>0</v>
      </c>
      <c r="BB24" s="90">
        <f>Sheet1!BP26*GPMtoMGD</f>
        <v>0</v>
      </c>
      <c r="BC24" s="90">
        <f>Sheet1!CS26*GPMtoMGD</f>
        <v>10.014912000000001</v>
      </c>
      <c r="BD24" s="90">
        <f>Sheet1!BO26*GPMtoMGD</f>
        <v>1.371456</v>
      </c>
      <c r="BE24" s="90">
        <f>Sheet1!BW26*GPMtoMGD</f>
        <v>1.0929600000000002</v>
      </c>
      <c r="BF24" s="90">
        <f>Sheet1!CN26*GPMtoMGD</f>
        <v>0.75052800000000008</v>
      </c>
      <c r="BG24" s="90">
        <f>Sheet1!CO26*GPMtoMGD</f>
        <v>0.45720000000000005</v>
      </c>
      <c r="BH24" s="90">
        <f>Sheet1!CP26*GPMtoMGD</f>
        <v>0.67406400000000011</v>
      </c>
      <c r="BI24" s="90">
        <f t="shared" si="10"/>
        <v>1.371456</v>
      </c>
      <c r="BK24" s="95">
        <f>SUM(AT24:BA24,BE24,Sheet1!BV26,'Calculations II'!BC24,Calculation!AQ24)</f>
        <v>46.26915223733004</v>
      </c>
      <c r="BM24" s="373">
        <f>0</f>
        <v>0</v>
      </c>
      <c r="BN24" s="373">
        <f>0</f>
        <v>0</v>
      </c>
      <c r="BP24" s="95">
        <f>SUM(BM24:BN24,W24,Sheet1!DX26)</f>
        <v>0</v>
      </c>
    </row>
    <row r="25" spans="1:68" s="90" customFormat="1">
      <c r="A25" s="651" t="s">
        <v>5</v>
      </c>
      <c r="B25" s="92">
        <v>41653</v>
      </c>
      <c r="C25" s="93">
        <v>0</v>
      </c>
      <c r="D25" s="95">
        <f>(Sheet1!BQ27-Sheet1!BQ26)*1.385</f>
        <v>-1.0110499999999958</v>
      </c>
      <c r="E25" s="30">
        <f>(Sheet1!BR27-Sheet1!BR26)*1.385</f>
        <v>-1.0387500000000001</v>
      </c>
      <c r="F25" s="30">
        <f ca="1">IF(B25=TODAY(),0,-(VLOOKUP(Sheet1!CD27,Lookup!$I$4:$J$216,2)-VLOOKUP(Sheet1!CD26,Lookup!$I$4:$J$216,2))/1000000)</f>
        <v>0.41454775419120493</v>
      </c>
      <c r="G25" s="95">
        <f ca="1">IF(B25=TODAY(),0,-$G$6*(Sheet1!CF27-Sheet1!CF26)*7.48/1000000)</f>
        <v>0.19856750526279648</v>
      </c>
      <c r="H25" s="95">
        <f ca="1">IF(B25=TODAY(),0,-$H$6*(Sheet1!CE27-Sheet1!CE26)*7.48/1000000)</f>
        <v>1.5039432351265274E-2</v>
      </c>
      <c r="I25" s="95">
        <f ca="1">IF(B25=TODAY(),0,-$I$6*(Sheet1!CG27-Sheet1!CG26)*7.48/1000000)</f>
        <v>8.9849760000000074E-3</v>
      </c>
      <c r="J25" s="96" t="s">
        <v>186</v>
      </c>
      <c r="K25" s="95">
        <f ca="1">IF(B25=TODAY(),0,-$K$6*(Sheet1!CH27-Sheet1!CH26)*7.48/1000000)</f>
        <v>1.3326640748916953E-2</v>
      </c>
      <c r="L25" s="96" t="s">
        <v>186</v>
      </c>
      <c r="M25" s="95">
        <f ca="1">IF(B25=TODAY(),0,-$M$6*(Sheet1!CI27-Sheet1!CI26)*7.48/1000000)</f>
        <v>3.5983016856054283E-2</v>
      </c>
      <c r="N25" s="95">
        <f ca="1">IF(B25=TODAY(),0,-$N$6*(Sheet1!CJ27-Sheet1!CJ26)*7.48/1000000)</f>
        <v>0.32887743059150631</v>
      </c>
      <c r="O25" s="95">
        <f t="shared" ca="1" si="7"/>
        <v>1.0153267560017443</v>
      </c>
      <c r="P25" s="95">
        <f ca="1">O25+Calculation!ES25</f>
        <v>2.95528008674499</v>
      </c>
      <c r="Q25" s="90" t="str">
        <f>IF(Sheet1!BQ27&gt;25.75,"spill elevation","-")</f>
        <v>-</v>
      </c>
      <c r="R25" s="90" t="str">
        <f>IF(Sheet1!BQ27&gt;25.75,"spill elevation","-")</f>
        <v>-</v>
      </c>
      <c r="S25" s="90" t="str">
        <f>IF(Sheet1!BR27&gt;25.75,"spill elevation","-")</f>
        <v>-</v>
      </c>
      <c r="T25" s="94">
        <f>IF(Sheet1!DU27=1,Sheet1!AA27-(SUM(AT25:BA25)+BE25),Sheet1!AA27-SUM(AT25:BA25))</f>
        <v>18.033183999999999</v>
      </c>
      <c r="U25" s="94">
        <f>Sheet1!BV27</f>
        <v>21.8</v>
      </c>
      <c r="V25" s="94">
        <f t="shared" si="8"/>
        <v>-3.7668160000000022</v>
      </c>
      <c r="W25" s="94">
        <f>0</f>
        <v>0</v>
      </c>
      <c r="X25" s="90">
        <f>0</f>
        <v>0</v>
      </c>
      <c r="Y25" s="95">
        <f ca="1">Calculation!EJ26+Calculation!ES25+'Calculations II'!O25-'Calculations II'!W25</f>
        <v>54.96406408674499</v>
      </c>
      <c r="Z25" s="95">
        <f ca="1">Y25-Sheet1!CT28</f>
        <v>36.176064086744987</v>
      </c>
      <c r="AA25" s="95">
        <f ca="1">Y25+Calculation!DJ26+Calculation!AS26</f>
        <v>63.957380815678157</v>
      </c>
      <c r="AC25" s="95">
        <f>Sheet1!AA27+Sheet1!AB27+BC25</f>
        <v>50.697744</v>
      </c>
      <c r="AD25" s="95">
        <f>Sheet1!AA27+Sheet1!BN27+'Calculations II'!BC25-Calculation!AS25-Calculation!DJ25</f>
        <v>32.700417638778219</v>
      </c>
      <c r="AE25" s="95">
        <f>Sheet1!AA27+Sheet1!AB27+'Calculations II'!BC25-Calculation!AS25-Calculation!DJ25</f>
        <v>41.700417638778219</v>
      </c>
      <c r="AF25" s="95">
        <f ca="1">Sheet1!AA27+Sheet1!BN27+P25+'Calculations II'!BC25+Calculation!AS25+Calculation!DJ25</f>
        <v>53.650350447966773</v>
      </c>
      <c r="AG25" s="95">
        <f ca="1">IF(B25=TODAY(),0,Sheet1!AA27+Sheet1!BN27+'Calculations II'!BC25+'Calculations II'!P25-Sheet1!CT27-BP25)</f>
        <v>27.435024086744992</v>
      </c>
      <c r="AH25" s="95">
        <f ca="1">IF(B25=TODAY(),0,Sheet1!AA27+Sheet1!BN27+'Calculations II'!BC25+'Calculations II'!P25-BP25)</f>
        <v>44.653024086744992</v>
      </c>
      <c r="AI25" s="95">
        <f ca="1">IF(B25=TODAY(),0,BC25+Sheet1!AA27+Calculation!ES25+O25+W25+Sheet1!BN27+Calculation!AS25+Calculation!DJ25-BP25)</f>
        <v>53.650350447966773</v>
      </c>
      <c r="AJ25" s="95"/>
      <c r="AM25" s="91">
        <f t="shared" si="9"/>
        <v>41653</v>
      </c>
      <c r="AN25" s="95">
        <f>Sheet1!BU27</f>
        <v>19.3</v>
      </c>
      <c r="AO25" s="95">
        <f>Sheet1!AA27</f>
        <v>19.7</v>
      </c>
      <c r="AP25" s="95">
        <f t="shared" si="1"/>
        <v>-2.0497999999999958</v>
      </c>
      <c r="AQ25" s="1055">
        <f>((Sheet1!BV27-(Sheet1!BU27-AP25))/(Sheet1!BU27-AP25))</f>
        <v>2.1086848588745846E-2</v>
      </c>
      <c r="AR25" s="95">
        <f t="shared" si="2"/>
        <v>21.749799999999993</v>
      </c>
      <c r="AS25" s="95">
        <f t="shared" si="3"/>
        <v>21.349799999999995</v>
      </c>
      <c r="AT25" s="90">
        <f>Sheet1!BB27</f>
        <v>1.006</v>
      </c>
      <c r="AU25" s="90">
        <f>Sheet1!AS27*GPMtoMGD</f>
        <v>1.5408E-2</v>
      </c>
      <c r="AV25" s="95">
        <f>Sheet1!AT27</f>
        <v>0</v>
      </c>
      <c r="AW25" s="90">
        <f>Sheet1!AV27*GPMtoMGD</f>
        <v>0.25963200000000003</v>
      </c>
      <c r="AX25" s="90">
        <f>Sheet1!AW27*GPMtoMGD</f>
        <v>0.38577600000000001</v>
      </c>
      <c r="AY25" s="90">
        <f>Sheet1!AX27*GPMtoMGD</f>
        <v>0</v>
      </c>
      <c r="AZ25" s="90">
        <f>Sheet1!AY27*GPMtoMGD</f>
        <v>0</v>
      </c>
      <c r="BA25" s="90">
        <f>Sheet1!AZ27*GPMtoMGD</f>
        <v>0</v>
      </c>
      <c r="BB25" s="90">
        <f>Sheet1!BP27*GPMtoMGD</f>
        <v>3.7440000000000004E-3</v>
      </c>
      <c r="BC25" s="90">
        <f>Sheet1!CS27*GPMtoMGD</f>
        <v>6.8977440000000012</v>
      </c>
      <c r="BD25" s="90">
        <f>Sheet1!BO27*GPMtoMGD</f>
        <v>1.3927680000000002</v>
      </c>
      <c r="BE25" s="90">
        <f>Sheet1!BW27*GPMtoMGD</f>
        <v>0.67651200000000011</v>
      </c>
      <c r="BF25" s="90">
        <f>Sheet1!CN27*GPMtoMGD</f>
        <v>0.7007040000000001</v>
      </c>
      <c r="BG25" s="90">
        <f>Sheet1!CO27*GPMtoMGD</f>
        <v>0.464256</v>
      </c>
      <c r="BH25" s="90">
        <f>Sheet1!CP27*GPMtoMGD</f>
        <v>0.65462400000000009</v>
      </c>
      <c r="BI25" s="90">
        <f t="shared" si="10"/>
        <v>1.3965120000000002</v>
      </c>
      <c r="BK25" s="95">
        <f>SUM(AT25:BA25,BE25,Sheet1!BV27,'Calculations II'!BC25,Calculation!AQ25)</f>
        <v>46.143578640106242</v>
      </c>
      <c r="BM25" s="373">
        <f>0</f>
        <v>0</v>
      </c>
      <c r="BN25" s="373">
        <f>0</f>
        <v>0</v>
      </c>
      <c r="BP25" s="95">
        <f>SUM(BM25:BN25,W25,Sheet1!DX27)</f>
        <v>0</v>
      </c>
    </row>
    <row r="26" spans="1:68" s="90" customFormat="1">
      <c r="A26" s="651" t="s">
        <v>6</v>
      </c>
      <c r="B26" s="92">
        <v>41654</v>
      </c>
      <c r="C26" s="93">
        <v>0</v>
      </c>
      <c r="D26" s="95">
        <f>(Sheet1!BQ28-Sheet1!BQ27)*1.385</f>
        <v>-2.4237500000000001</v>
      </c>
      <c r="E26" s="30">
        <f>(Sheet1!BR28-Sheet1!BR27)*1.385</f>
        <v>-2.437600000000002</v>
      </c>
      <c r="F26" s="30">
        <f ca="1">IF(B26=TODAY(),0,-(VLOOKUP(Sheet1!CD28,Lookup!$I$4:$J$216,2)-VLOOKUP(Sheet1!CD27,Lookup!$I$4:$J$216,2))/1000000)</f>
        <v>0.20727387709559872</v>
      </c>
      <c r="G26" s="95">
        <f ca="1">IF(B26=TODAY(),0,-$G$6*(Sheet1!CF28-Sheet1!CF27)*7.48/1000000)</f>
        <v>0.19856750526279648</v>
      </c>
      <c r="H26" s="95">
        <f ca="1">IF(B26=TODAY(),0,-$H$6*(Sheet1!CE28-Sheet1!CE27)*7.48/1000000)</f>
        <v>0</v>
      </c>
      <c r="I26" s="95">
        <f ca="1">IF(B26=TODAY(),0,-$I$6*(Sheet1!CG28-Sheet1!CG27)*7.48/1000000)</f>
        <v>4.4924879999999837E-3</v>
      </c>
      <c r="J26" s="96" t="s">
        <v>186</v>
      </c>
      <c r="K26" s="95">
        <f ca="1">IF(B26=TODAY(),0,-$K$6*(Sheet1!CH28-Sheet1!CH27)*7.48/1000000)</f>
        <v>6.6633203744584186E-3</v>
      </c>
      <c r="L26" s="96" t="s">
        <v>186</v>
      </c>
      <c r="M26" s="95">
        <f ca="1">IF(B26=TODAY(),0,-$M$6*(Sheet1!CI28-Sheet1!CI27)*7.48/1000000)</f>
        <v>1.7991508428026985E-2</v>
      </c>
      <c r="N26" s="95">
        <f ca="1">IF(B26=TODAY(),0,-$N$6*(Sheet1!CJ28-Sheet1!CJ27)*7.48/1000000)</f>
        <v>-0.3971350105255933</v>
      </c>
      <c r="O26" s="95">
        <f t="shared" ca="1" si="7"/>
        <v>3.7853688635287264E-2</v>
      </c>
      <c r="P26" s="95">
        <f ca="1">O26+Calculation!ES26</f>
        <v>4.8849874904712385</v>
      </c>
      <c r="Q26" s="90" t="str">
        <f>IF(Sheet1!BQ28&gt;25.75,"spill elevation","-")</f>
        <v>-</v>
      </c>
      <c r="R26" s="90" t="str">
        <f>IF(Sheet1!BQ28&gt;25.75,"spill elevation","-")</f>
        <v>-</v>
      </c>
      <c r="S26" s="90" t="str">
        <f>IF(Sheet1!BR28&gt;25.75,"spill elevation","-")</f>
        <v>-</v>
      </c>
      <c r="T26" s="94">
        <f>IF(Sheet1!DU28=1,Sheet1!AA28-(SUM(AT26:BA26)+BE26),Sheet1!AA28-SUM(AT26:BA26))</f>
        <v>17.367056000000002</v>
      </c>
      <c r="U26" s="94">
        <f>Sheet1!BV28</f>
        <v>24.1</v>
      </c>
      <c r="V26" s="94">
        <f t="shared" si="8"/>
        <v>-6.7329439999999998</v>
      </c>
      <c r="W26" s="94">
        <f>0</f>
        <v>0</v>
      </c>
      <c r="X26" s="90">
        <f>0</f>
        <v>0</v>
      </c>
      <c r="Y26" s="95">
        <f ca="1">Calculation!EJ27+Calculation!ES26+'Calculations II'!O26-'Calculations II'!W26</f>
        <v>61.90013949047124</v>
      </c>
      <c r="Z26" s="95">
        <f ca="1">Y26-Sheet1!CT29</f>
        <v>42.486139490471238</v>
      </c>
      <c r="AA26" s="95">
        <f ca="1">Y26+Calculation!DJ27+Calculation!AS27</f>
        <v>70.873571351081083</v>
      </c>
      <c r="AC26" s="95">
        <f>Sheet1!AA28+Sheet1!AB28+BC26</f>
        <v>52.008784000000006</v>
      </c>
      <c r="AD26" s="95">
        <f>Sheet1!AA28+Sheet1!BN28+'Calculations II'!BC26-Calculation!AS26-Calculation!DJ26</f>
        <v>34.015467271066832</v>
      </c>
      <c r="AE26" s="95">
        <f>Sheet1!AA28+Sheet1!AB28+'Calculations II'!BC26-Calculation!AS26-Calculation!DJ26</f>
        <v>43.015467271066839</v>
      </c>
      <c r="AF26" s="95">
        <f ca="1">Sheet1!AA28+Sheet1!BN28+P26+'Calculations II'!BC26+Calculation!AS26+Calculation!DJ26</f>
        <v>56.887088219404404</v>
      </c>
      <c r="AG26" s="95">
        <f ca="1">IF(B26=TODAY(),0,Sheet1!AA28+Sheet1!BN28+'Calculations II'!BC26+'Calculations II'!P26-Sheet1!CT28-BP26)</f>
        <v>29.105771490471238</v>
      </c>
      <c r="AH26" s="95">
        <f ca="1">IF(B26=TODAY(),0,Sheet1!AA28+Sheet1!BN28+'Calculations II'!BC26+'Calculations II'!P26-BP26)</f>
        <v>47.893771490471238</v>
      </c>
      <c r="AI26" s="95">
        <f ca="1">IF(B26=TODAY(),0,BC26+Sheet1!AA28+Calculation!ES26+O26+W26+Sheet1!BN28+Calculation!AS26+Calculation!DJ26-BP26)</f>
        <v>56.887088219404411</v>
      </c>
      <c r="AJ26" s="95"/>
      <c r="AM26" s="91">
        <f t="shared" si="9"/>
        <v>41654</v>
      </c>
      <c r="AN26" s="95">
        <f>Sheet1!BU28</f>
        <v>18.8</v>
      </c>
      <c r="AO26" s="95">
        <f>Sheet1!AA28</f>
        <v>19.8</v>
      </c>
      <c r="AP26" s="95">
        <f t="shared" si="1"/>
        <v>-4.8613500000000016</v>
      </c>
      <c r="AQ26" s="1055">
        <f>((Sheet1!BV28-(Sheet1!BU28-AP26))/(Sheet1!BU28-AP26))</f>
        <v>1.8538671715688203E-2</v>
      </c>
      <c r="AR26" s="95">
        <f t="shared" si="2"/>
        <v>24.661350000000002</v>
      </c>
      <c r="AS26" s="95">
        <f t="shared" si="3"/>
        <v>23.661350000000002</v>
      </c>
      <c r="AT26" s="90">
        <f>Sheet1!BB28</f>
        <v>1</v>
      </c>
      <c r="AU26" s="90">
        <f>Sheet1!AS28*GPMtoMGD</f>
        <v>3.1248000000000001E-2</v>
      </c>
      <c r="AV26" s="95">
        <f>Sheet1!AT28</f>
        <v>0</v>
      </c>
      <c r="AW26" s="90">
        <f>Sheet1!AV28*GPMtoMGD</f>
        <v>0.52300800000000003</v>
      </c>
      <c r="AX26" s="90">
        <f>Sheet1!AW28*GPMtoMGD</f>
        <v>0.87868800000000014</v>
      </c>
      <c r="AY26" s="90">
        <f>Sheet1!AX28*GPMtoMGD</f>
        <v>0</v>
      </c>
      <c r="AZ26" s="90">
        <f>Sheet1!AY28*GPMtoMGD</f>
        <v>0</v>
      </c>
      <c r="BA26" s="90">
        <f>Sheet1!AZ28*GPMtoMGD</f>
        <v>0</v>
      </c>
      <c r="BB26" s="90">
        <f>Sheet1!BP28*GPMtoMGD</f>
        <v>0</v>
      </c>
      <c r="BC26" s="90">
        <f>Sheet1!CS28*GPMtoMGD</f>
        <v>8.1087840000000018</v>
      </c>
      <c r="BD26" s="90">
        <f>Sheet1!BO28*GPMtoMGD</f>
        <v>1.4358240000000002</v>
      </c>
      <c r="BE26" s="90">
        <f>Sheet1!BW28*GPMtoMGD</f>
        <v>0.75830400000000009</v>
      </c>
      <c r="BF26" s="90">
        <f>Sheet1!CN28*GPMtoMGD</f>
        <v>0.48124800000000001</v>
      </c>
      <c r="BG26" s="90">
        <f>Sheet1!CO28*GPMtoMGD</f>
        <v>0.48326400000000008</v>
      </c>
      <c r="BH26" s="90">
        <f>Sheet1!CP28*GPMtoMGD</f>
        <v>0.67089600000000005</v>
      </c>
      <c r="BI26" s="90">
        <f t="shared" si="10"/>
        <v>1.4358240000000002</v>
      </c>
      <c r="BK26" s="95">
        <f>SUM(AT26:BA26,BE26,Sheet1!BV28,'Calculations II'!BC26,Calculation!AQ26)</f>
        <v>50.506300161062683</v>
      </c>
      <c r="BM26" s="373">
        <f>0</f>
        <v>0</v>
      </c>
      <c r="BN26" s="373">
        <f>0</f>
        <v>0</v>
      </c>
      <c r="BP26" s="95">
        <f>SUM(BM26:BN26,W26,Sheet1!DX28)</f>
        <v>0</v>
      </c>
    </row>
    <row r="27" spans="1:68" s="90" customFormat="1">
      <c r="A27" s="651" t="s">
        <v>7</v>
      </c>
      <c r="B27" s="92">
        <v>41655</v>
      </c>
      <c r="C27" s="93">
        <v>0</v>
      </c>
      <c r="D27" s="95">
        <f>(Sheet1!BQ29-Sheet1!BQ28)*1.385</f>
        <v>0.24929999999999961</v>
      </c>
      <c r="E27" s="30">
        <f>(Sheet1!BR29-Sheet1!BR28)*1.385</f>
        <v>0.30470000000000336</v>
      </c>
      <c r="F27" s="30">
        <f ca="1">IF(B27=TODAY(),0,-(VLOOKUP(Sheet1!CD29,Lookup!$I$4:$J$216,2)-VLOOKUP(Sheet1!CD28,Lookup!$I$4:$J$216,2))/1000000)</f>
        <v>0.72545856983460111</v>
      </c>
      <c r="G27" s="95">
        <f ca="1">IF(B27=TODAY(),0,-$G$6*(Sheet1!CF29-Sheet1!CF28)*7.48/1000000)</f>
        <v>0.15885400421023735</v>
      </c>
      <c r="H27" s="95">
        <f ca="1">IF(B27=TODAY(),0,-$H$6*(Sheet1!CE29-Sheet1!CE28)*7.48/1000000)</f>
        <v>-7.5197161756325293E-2</v>
      </c>
      <c r="I27" s="95">
        <f ca="1">IF(B27=TODAY(),0,-$I$6*(Sheet1!CG29-Sheet1!CG28)*7.48/1000000)</f>
        <v>0</v>
      </c>
      <c r="J27" s="96" t="s">
        <v>186</v>
      </c>
      <c r="K27" s="95">
        <f ca="1">IF(B27=TODAY(),0,-$K$6*(Sheet1!CH29-Sheet1!CH28)*7.48/1000000)</f>
        <v>6.6633203744584186E-3</v>
      </c>
      <c r="L27" s="96" t="s">
        <v>186</v>
      </c>
      <c r="M27" s="95">
        <f ca="1">IF(B27=TODAY(),0,-$M$6*(Sheet1!CI29-Sheet1!CI28)*7.48/1000000)</f>
        <v>0</v>
      </c>
      <c r="N27" s="95">
        <f ca="1">IF(B27=TODAY(),0,-$N$6*(Sheet1!CJ29-Sheet1!CJ28)*7.48/1000000)</f>
        <v>0.48400829407806717</v>
      </c>
      <c r="O27" s="95">
        <f t="shared" ca="1" si="7"/>
        <v>1.2997870267410387</v>
      </c>
      <c r="P27" s="95">
        <f ca="1">O27+Calculation!ES27</f>
        <v>0.88447367204620664</v>
      </c>
      <c r="Q27" s="90" t="str">
        <f>IF(Sheet1!BQ29&gt;25.75,"spill elevation","-")</f>
        <v>-</v>
      </c>
      <c r="R27" s="90" t="str">
        <f>IF(Sheet1!BQ29&gt;25.75,"spill elevation","-")</f>
        <v>-</v>
      </c>
      <c r="S27" s="90" t="str">
        <f>IF(Sheet1!BR29&gt;25.75,"spill elevation","-")</f>
        <v>-</v>
      </c>
      <c r="T27" s="94">
        <f>IF(Sheet1!DU29=1,Sheet1!AA29-(SUM(AT27:BA27)+BE27),Sheet1!AA29-SUM(AT27:BA27))</f>
        <v>17.528647999999997</v>
      </c>
      <c r="U27" s="94">
        <f>Sheet1!BV29</f>
        <v>18.8</v>
      </c>
      <c r="V27" s="94">
        <f t="shared" si="8"/>
        <v>-1.2713520000000038</v>
      </c>
      <c r="W27" s="94">
        <f>0</f>
        <v>0</v>
      </c>
      <c r="X27" s="90">
        <f>0</f>
        <v>0</v>
      </c>
      <c r="Y27" s="95">
        <f ca="1">Calculation!EJ28+Calculation!ES27+'Calculations II'!O27-'Calculations II'!W27</f>
        <v>58.408553672046203</v>
      </c>
      <c r="Z27" s="95">
        <f ca="1">Y27-Sheet1!CT30</f>
        <v>38.985553672046208</v>
      </c>
      <c r="AA27" s="95">
        <f ca="1">Y27+Calculation!DJ28+Calculation!AS28</f>
        <v>67.418578547668091</v>
      </c>
      <c r="AC27" s="95">
        <f>Sheet1!AA29+Sheet1!AB29+BC27</f>
        <v>57.015152</v>
      </c>
      <c r="AD27" s="95">
        <f>Sheet1!AA29+Sheet1!BN29+'Calculations II'!BC27-Calculation!AS27-Calculation!DJ27</f>
        <v>39.131720139390175</v>
      </c>
      <c r="AE27" s="95">
        <f>Sheet1!AA29+Sheet1!AB29+'Calculations II'!BC27-Calculation!AS27-Calculation!DJ27</f>
        <v>48.041720139390172</v>
      </c>
      <c r="AF27" s="95">
        <f ca="1">Sheet1!AA29+Sheet1!BN29+P27+'Calculations II'!BC27+Calculation!AS27+Calculation!DJ27</f>
        <v>57.96305753265603</v>
      </c>
      <c r="AG27" s="95">
        <f ca="1">IF(B27=TODAY(),0,Sheet1!AA29+Sheet1!BN29+'Calculations II'!BC27+'Calculations II'!P27-Sheet1!CT29-BP27)</f>
        <v>29.575625672046208</v>
      </c>
      <c r="AH27" s="95">
        <f ca="1">IF(B27=TODAY(),0,Sheet1!AA29+Sheet1!BN29+'Calculations II'!BC27+'Calculations II'!P27-BP27)</f>
        <v>48.989625672046209</v>
      </c>
      <c r="AI27" s="95">
        <f ca="1">IF(B27=TODAY(),0,BC27+Sheet1!AA29+Calculation!ES27+O27+W27+Sheet1!BN29+Calculation!AS27+Calculation!DJ27-BP27)</f>
        <v>57.96305753265603</v>
      </c>
      <c r="AJ27" s="95"/>
      <c r="AM27" s="91">
        <f t="shared" si="9"/>
        <v>41655</v>
      </c>
      <c r="AN27" s="95">
        <f>Sheet1!BU29</f>
        <v>18.899999999999999</v>
      </c>
      <c r="AO27" s="95">
        <f>Sheet1!AA29</f>
        <v>19.899999999999999</v>
      </c>
      <c r="AP27" s="95">
        <f t="shared" si="1"/>
        <v>0.55400000000000293</v>
      </c>
      <c r="AQ27" s="1055">
        <f>((Sheet1!BV29-(Sheet1!BU29-AP27))/(Sheet1!BU29-AP27))</f>
        <v>2.4746538755042204E-2</v>
      </c>
      <c r="AR27" s="95">
        <f t="shared" si="2"/>
        <v>19.345999999999997</v>
      </c>
      <c r="AS27" s="95">
        <f t="shared" si="3"/>
        <v>18.345999999999997</v>
      </c>
      <c r="AT27" s="90">
        <f>Sheet1!BB29</f>
        <v>0.995</v>
      </c>
      <c r="AU27" s="90">
        <f>Sheet1!AS29*GPMtoMGD</f>
        <v>1.5408E-2</v>
      </c>
      <c r="AV27" s="95">
        <f>Sheet1!AT29</f>
        <v>0</v>
      </c>
      <c r="AW27" s="90">
        <f>Sheet1!AV29*GPMtoMGD</f>
        <v>0.60739200000000004</v>
      </c>
      <c r="AX27" s="90">
        <f>Sheet1!AW29*GPMtoMGD</f>
        <v>0.753552</v>
      </c>
      <c r="AY27" s="90">
        <f>Sheet1!AX29*GPMtoMGD</f>
        <v>0</v>
      </c>
      <c r="AZ27" s="90">
        <f>Sheet1!AY29*GPMtoMGD</f>
        <v>0</v>
      </c>
      <c r="BA27" s="90">
        <f>Sheet1!AZ29*GPMtoMGD</f>
        <v>0</v>
      </c>
      <c r="BB27" s="90">
        <f>Sheet1!BP29*GPMtoMGD</f>
        <v>0</v>
      </c>
      <c r="BC27" s="90">
        <f>Sheet1!CS29*GPMtoMGD</f>
        <v>13.105152</v>
      </c>
      <c r="BD27" s="90">
        <f>Sheet1!BO29*GPMtoMGD</f>
        <v>1.403856</v>
      </c>
      <c r="BE27" s="90">
        <f>Sheet1!BW29*GPMtoMGD</f>
        <v>0.88761600000000007</v>
      </c>
      <c r="BF27" s="90">
        <f>Sheet1!CN29*GPMtoMGD</f>
        <v>0.74404800000000015</v>
      </c>
      <c r="BG27" s="90">
        <f>Sheet1!CO29*GPMtoMGD</f>
        <v>0.46396799999999999</v>
      </c>
      <c r="BH27" s="90">
        <f>Sheet1!CP29*GPMtoMGD</f>
        <v>0.66427200000000008</v>
      </c>
      <c r="BI27" s="90">
        <f t="shared" si="10"/>
        <v>1.403856</v>
      </c>
      <c r="BK27" s="95">
        <f>SUM(AT27:BA27,BE27,Sheet1!BV29,'Calculations II'!BC27,Calculation!AQ27)</f>
        <v>50.204609524994815</v>
      </c>
      <c r="BM27" s="373">
        <f>0</f>
        <v>0</v>
      </c>
      <c r="BN27" s="373">
        <f>0</f>
        <v>0</v>
      </c>
      <c r="BP27" s="95">
        <f>SUM(BM27:BN27,W27,Sheet1!DX29)</f>
        <v>0</v>
      </c>
    </row>
    <row r="28" spans="1:68" s="90" customFormat="1">
      <c r="A28" s="651" t="s">
        <v>8</v>
      </c>
      <c r="B28" s="92">
        <v>41656</v>
      </c>
      <c r="C28" s="93">
        <v>0</v>
      </c>
      <c r="D28" s="95">
        <f>(Sheet1!BQ30-Sheet1!BQ29)*1.385</f>
        <v>0</v>
      </c>
      <c r="E28" s="30">
        <f>(Sheet1!BR30-Sheet1!BR29)*1.385</f>
        <v>0.13849999999999704</v>
      </c>
      <c r="F28" s="30">
        <f ca="1">IF(B28=TODAY(),0,-(VLOOKUP(Sheet1!CD30,Lookup!$I$4:$J$216,2)-VLOOKUP(Sheet1!CD29,Lookup!$I$4:$J$216,2))/1000000)</f>
        <v>-0.62182163128680179</v>
      </c>
      <c r="G28" s="95">
        <f ca="1">IF(B28=TODAY(),0,-$G$6*(Sheet1!CF30-Sheet1!CF29)*7.48/1000000)</f>
        <v>0.15885400421023663</v>
      </c>
      <c r="H28" s="95">
        <f ca="1">IF(B28=TODAY(),0,-$H$6*(Sheet1!CE30-Sheet1!CE29)*7.48/1000000)</f>
        <v>1.5039432351265274E-2</v>
      </c>
      <c r="I28" s="95">
        <f ca="1">IF(B28=TODAY(),0,-$I$6*(Sheet1!CG30-Sheet1!CG29)*7.48/1000000)</f>
        <v>-4.4924879999999837E-3</v>
      </c>
      <c r="J28" s="96" t="s">
        <v>186</v>
      </c>
      <c r="K28" s="95">
        <f ca="1">IF(B28=TODAY(),0,-$K$6*(Sheet1!CH30-Sheet1!CH29)*7.48/1000000)</f>
        <v>-1.3326640748916837E-2</v>
      </c>
      <c r="L28" s="96" t="s">
        <v>186</v>
      </c>
      <c r="M28" s="95">
        <f ca="1">IF(B28=TODAY(),0,-$M$6*(Sheet1!CI30-Sheet1!CI29)*7.48/1000000)</f>
        <v>-1.7991508428026985E-2</v>
      </c>
      <c r="N28" s="95">
        <f ca="1">IF(B28=TODAY(),0,-$N$6*(Sheet1!CJ30-Sheet1!CJ29)*7.48/1000000)</f>
        <v>6.2052345394623676E-2</v>
      </c>
      <c r="O28" s="95">
        <f t="shared" ca="1" si="7"/>
        <v>-0.42168648650761997</v>
      </c>
      <c r="P28" s="95">
        <f ca="1">O28+Calculation!ES28</f>
        <v>-0.56013281442721485</v>
      </c>
      <c r="Q28" s="90" t="str">
        <f>IF(Sheet1!BQ30&gt;25.75,"spill elevation","-")</f>
        <v>-</v>
      </c>
      <c r="R28" s="90" t="str">
        <f>IF(Sheet1!BQ30&gt;25.75,"spill elevation","-")</f>
        <v>-</v>
      </c>
      <c r="S28" s="90" t="str">
        <f>IF(Sheet1!BR30&gt;25.75,"spill elevation","-")</f>
        <v>-</v>
      </c>
      <c r="T28" s="94">
        <f>IF(Sheet1!DU30=1,Sheet1!AA30-(SUM(AT28:BA28)+BE28),Sheet1!AA30-SUM(AT28:BA28))</f>
        <v>17.059775999999999</v>
      </c>
      <c r="U28" s="94">
        <f>Sheet1!BV30</f>
        <v>19</v>
      </c>
      <c r="V28" s="94">
        <f t="shared" si="8"/>
        <v>-1.9402240000000006</v>
      </c>
      <c r="W28" s="94">
        <f>0</f>
        <v>0</v>
      </c>
      <c r="X28" s="90">
        <f>0</f>
        <v>0</v>
      </c>
      <c r="Y28" s="95">
        <f ca="1">Calculation!EJ29+Calculation!ES28+'Calculations II'!O28-'Calculations II'!W28</f>
        <v>56.86343518557279</v>
      </c>
      <c r="Z28" s="95">
        <f ca="1">Y28-Sheet1!CT31</f>
        <v>37.209435185572787</v>
      </c>
      <c r="AA28" s="95">
        <f ca="1">Y28+Calculation!DJ29+Calculation!AS29</f>
        <v>65.866790639741183</v>
      </c>
      <c r="AC28" s="95">
        <f>Sheet1!AA30+Sheet1!AB30+BC28</f>
        <v>57.524079999999998</v>
      </c>
      <c r="AD28" s="95">
        <f>Sheet1!AA30+Sheet1!BN30+'Calculations II'!BC28-Calculation!AS28-Calculation!DJ28</f>
        <v>39.524055124378116</v>
      </c>
      <c r="AE28" s="95">
        <f>Sheet1!AA30+Sheet1!AB30+'Calculations II'!BC28-Calculation!AS28-Calculation!DJ28</f>
        <v>48.51405512437811</v>
      </c>
      <c r="AF28" s="95">
        <f ca="1">Sheet1!AA30+Sheet1!BN30+P28+'Calculations II'!BC28+Calculation!AS28+Calculation!DJ28</f>
        <v>56.983972061194677</v>
      </c>
      <c r="AG28" s="95">
        <f ca="1">IF(B28=TODAY(),0,Sheet1!AA30+Sheet1!BN30+'Calculations II'!BC28+'Calculations II'!P28-Sheet1!CT30-BP28)</f>
        <v>28.550947185572792</v>
      </c>
      <c r="AH28" s="95">
        <f ca="1">IF(B28=TODAY(),0,Sheet1!AA30+Sheet1!BN30+'Calculations II'!BC28+'Calculations II'!P28-BP28)</f>
        <v>47.97394718557279</v>
      </c>
      <c r="AI28" s="95">
        <f ca="1">IF(B28=TODAY(),0,BC28+Sheet1!AA30+Calculation!ES28+O28+W28+Sheet1!BN30+Calculation!AS28+Calculation!DJ28-BP28)</f>
        <v>56.983972061194677</v>
      </c>
      <c r="AJ28" s="95"/>
      <c r="AM28" s="91">
        <f t="shared" si="9"/>
        <v>41656</v>
      </c>
      <c r="AN28" s="95">
        <f>Sheet1!BU30</f>
        <v>18.7</v>
      </c>
      <c r="AO28" s="95">
        <f>Sheet1!AA30</f>
        <v>19.600000000000001</v>
      </c>
      <c r="AP28" s="95">
        <f t="shared" si="1"/>
        <v>0.13849999999999704</v>
      </c>
      <c r="AQ28" s="1055">
        <f>((Sheet1!BV30-(Sheet1!BU30-AP28))/(Sheet1!BU30-AP28))</f>
        <v>2.3624168305363125E-2</v>
      </c>
      <c r="AR28" s="95">
        <f t="shared" si="2"/>
        <v>19.461500000000004</v>
      </c>
      <c r="AS28" s="95">
        <f t="shared" si="3"/>
        <v>18.561500000000002</v>
      </c>
      <c r="AT28" s="90">
        <f>Sheet1!BB30</f>
        <v>1</v>
      </c>
      <c r="AU28" s="90">
        <f>Sheet1!AS30*GPMtoMGD</f>
        <v>2.9952000000000003E-2</v>
      </c>
      <c r="AV28" s="95">
        <f>Sheet1!AT30</f>
        <v>0</v>
      </c>
      <c r="AW28" s="90">
        <f>Sheet1!AV30*GPMtoMGD</f>
        <v>0.39427200000000007</v>
      </c>
      <c r="AX28" s="90">
        <f>Sheet1!AW30*GPMtoMGD</f>
        <v>1.1160000000000001</v>
      </c>
      <c r="AY28" s="90">
        <f>Sheet1!AX30*GPMtoMGD</f>
        <v>0</v>
      </c>
      <c r="AZ28" s="90">
        <f>Sheet1!AY30*GPMtoMGD</f>
        <v>0</v>
      </c>
      <c r="BA28" s="90">
        <f>Sheet1!AZ30*GPMtoMGD</f>
        <v>0</v>
      </c>
      <c r="BB28" s="90">
        <f>Sheet1!BP30*GPMtoMGD</f>
        <v>0</v>
      </c>
      <c r="BC28" s="90">
        <f>Sheet1!CS30*GPMtoMGD</f>
        <v>13.83408</v>
      </c>
      <c r="BD28" s="90">
        <f>Sheet1!BO30*GPMtoMGD</f>
        <v>1.4696640000000001</v>
      </c>
      <c r="BE28" s="90">
        <f>Sheet1!BW30*GPMtoMGD</f>
        <v>0.6808320000000001</v>
      </c>
      <c r="BF28" s="90">
        <f>Sheet1!CN30*GPMtoMGD</f>
        <v>0.79776000000000002</v>
      </c>
      <c r="BG28" s="90">
        <f>Sheet1!CO30*GPMtoMGD</f>
        <v>0.43617600000000001</v>
      </c>
      <c r="BH28" s="90">
        <f>Sheet1!CP30*GPMtoMGD</f>
        <v>0.6531840000000001</v>
      </c>
      <c r="BI28" s="90">
        <f t="shared" si="10"/>
        <v>1.4696640000000001</v>
      </c>
      <c r="BK28" s="95">
        <f>SUM(AT28:BA28,BE28,Sheet1!BV30,'Calculations II'!BC28,Calculation!AQ28)</f>
        <v>51.136354905472643</v>
      </c>
      <c r="BM28" s="373">
        <f>0</f>
        <v>0</v>
      </c>
      <c r="BN28" s="373">
        <f>0</f>
        <v>0</v>
      </c>
      <c r="BP28" s="95">
        <f>SUM(BM28:BN28,W28,Sheet1!DX30)</f>
        <v>0</v>
      </c>
    </row>
    <row r="29" spans="1:68" s="90" customFormat="1">
      <c r="A29" s="651" t="s">
        <v>9</v>
      </c>
      <c r="B29" s="92">
        <v>41657</v>
      </c>
      <c r="C29" s="93">
        <v>0</v>
      </c>
      <c r="D29" s="95">
        <f>(Sheet1!BQ31-Sheet1!BQ30)*1.385</f>
        <v>-8.3100000000003144E-2</v>
      </c>
      <c r="E29" s="30">
        <f>(Sheet1!BR31-Sheet1!BR30)*1.385</f>
        <v>-0.13849999999999704</v>
      </c>
      <c r="F29" s="30">
        <f ca="1">IF(B29=TODAY(),0,-(VLOOKUP(Sheet1!CD31,Lookup!$I$4:$J$216,2)-VLOOKUP(Sheet1!CD30,Lookup!$I$4:$J$216,2))/1000000)</f>
        <v>0</v>
      </c>
      <c r="G29" s="95">
        <f ca="1">IF(B29=TODAY(),0,-$G$6*(Sheet1!CF31-Sheet1!CF30)*7.48/1000000)</f>
        <v>0.23828100631535634</v>
      </c>
      <c r="H29" s="95">
        <f ca="1">IF(B29=TODAY(),0,-$H$6*(Sheet1!CE31-Sheet1!CE30)*7.48/1000000)</f>
        <v>0</v>
      </c>
      <c r="I29" s="95">
        <f ca="1">IF(B29=TODAY(),0,-$I$6*(Sheet1!CG31-Sheet1!CG30)*7.48/1000000)</f>
        <v>-3.1447416000000006E-2</v>
      </c>
      <c r="J29" s="96" t="s">
        <v>186</v>
      </c>
      <c r="K29" s="95">
        <f ca="1">IF(B29=TODAY(),0,-$K$6*(Sheet1!CH31-Sheet1!CH30)*7.48/1000000)</f>
        <v>-5.3306562995667592E-2</v>
      </c>
      <c r="L29" s="96" t="s">
        <v>186</v>
      </c>
      <c r="M29" s="95">
        <f ca="1">IF(B29=TODAY(),0,-$M$6*(Sheet1!CI31-Sheet1!CI30)*7.48/1000000)</f>
        <v>-0.16192357585224382</v>
      </c>
      <c r="N29" s="95">
        <f ca="1">IF(B29=TODAY(),0,-$N$6*(Sheet1!CJ31-Sheet1!CJ30)*7.48/1000000)</f>
        <v>-6.2052345394623676E-2</v>
      </c>
      <c r="O29" s="95">
        <f t="shared" ca="1" si="7"/>
        <v>-7.0448893927178735E-2</v>
      </c>
      <c r="P29" s="95">
        <f ca="1">O29+Calculation!ES29</f>
        <v>6.7997433992416201E-2</v>
      </c>
      <c r="Q29" s="90" t="str">
        <f>IF(Sheet1!BQ31&gt;25.75,"spill elevation","-")</f>
        <v>-</v>
      </c>
      <c r="R29" s="90" t="str">
        <f>IF(Sheet1!BQ31&gt;25.75,"spill elevation","-")</f>
        <v>-</v>
      </c>
      <c r="S29" s="90" t="str">
        <f>IF(Sheet1!BR31&gt;25.75,"spill elevation","-")</f>
        <v>-</v>
      </c>
      <c r="T29" s="94">
        <f>IF(Sheet1!DU31=1,Sheet1!AA31-(SUM(AT29:BA29)+BE29),Sheet1!AA31-SUM(AT29:BA29))</f>
        <v>17.692512000000001</v>
      </c>
      <c r="U29" s="94">
        <f>Sheet1!BV31</f>
        <v>19.8</v>
      </c>
      <c r="V29" s="94">
        <f t="shared" si="8"/>
        <v>-2.107488</v>
      </c>
      <c r="W29" s="94">
        <f>0</f>
        <v>0</v>
      </c>
      <c r="X29" s="90">
        <f>0</f>
        <v>0</v>
      </c>
      <c r="Y29" s="95">
        <f ca="1">Calculation!EJ30+Calculation!ES29+'Calculations II'!O29-'Calculations II'!W29</f>
        <v>57.346141433992415</v>
      </c>
      <c r="Z29" s="95">
        <f ca="1">Y29-Sheet1!CT32</f>
        <v>39.070141433992418</v>
      </c>
      <c r="AA29" s="95">
        <f ca="1">Y29+Calculation!DJ30+Calculation!AS30</f>
        <v>65.699278604048672</v>
      </c>
      <c r="AC29" s="95">
        <f>Sheet1!AA31+Sheet1!AB31+BC29</f>
        <v>57.423568000000003</v>
      </c>
      <c r="AD29" s="95">
        <f>Sheet1!AA31+Sheet1!BN31+'Calculations II'!BC29-Calculation!AS29-Calculation!DJ29</f>
        <v>39.430212545831616</v>
      </c>
      <c r="AE29" s="95">
        <f>Sheet1!AA31+Sheet1!AB31+'Calculations II'!BC29-Calculation!AS29-Calculation!DJ29</f>
        <v>48.42021254583161</v>
      </c>
      <c r="AF29" s="95">
        <f ca="1">Sheet1!AA31+Sheet1!BN31+P29+'Calculations II'!BC29+Calculation!AS29+Calculation!DJ29</f>
        <v>57.504920888160818</v>
      </c>
      <c r="AG29" s="95">
        <f ca="1">IF(B29=TODAY(),0,Sheet1!AA31+Sheet1!BN31+'Calculations II'!BC29+'Calculations II'!P29-Sheet1!CT31-BP29)</f>
        <v>28.847565433992425</v>
      </c>
      <c r="AH29" s="95">
        <f ca="1">IF(B29=TODAY(),0,Sheet1!AA31+Sheet1!BN31+'Calculations II'!BC29+'Calculations II'!P29-BP29)</f>
        <v>48.501565433992425</v>
      </c>
      <c r="AI29" s="95">
        <f ca="1">IF(B29=TODAY(),0,BC29+Sheet1!AA31+Calculation!ES29+O29+W29+Sheet1!BN31+Calculation!AS29+Calculation!DJ29-BP29)</f>
        <v>57.504920888160811</v>
      </c>
      <c r="AJ29" s="95"/>
      <c r="AM29" s="91">
        <f t="shared" si="9"/>
        <v>41657</v>
      </c>
      <c r="AN29" s="95">
        <f>Sheet1!BU31</f>
        <v>19</v>
      </c>
      <c r="AO29" s="95">
        <f>Sheet1!AA31</f>
        <v>19.600000000000001</v>
      </c>
      <c r="AP29" s="95">
        <f t="shared" si="1"/>
        <v>-0.22160000000000019</v>
      </c>
      <c r="AQ29" s="1055">
        <f>((Sheet1!BV31-(Sheet1!BU31-AP29))/(Sheet1!BU31-AP29))</f>
        <v>3.0091147459108611E-2</v>
      </c>
      <c r="AR29" s="95">
        <f t="shared" si="2"/>
        <v>19.8216</v>
      </c>
      <c r="AS29" s="95">
        <f t="shared" si="3"/>
        <v>19.221599999999999</v>
      </c>
      <c r="AT29" s="90">
        <f>Sheet1!BB31</f>
        <v>1</v>
      </c>
      <c r="AU29" s="90">
        <f>Sheet1!AS31*GPMtoMGD</f>
        <v>1.7136000000000002E-2</v>
      </c>
      <c r="AV29" s="95">
        <f>Sheet1!AT31</f>
        <v>0</v>
      </c>
      <c r="AW29" s="90">
        <f>Sheet1!AV31*GPMtoMGD</f>
        <v>0.40046400000000004</v>
      </c>
      <c r="AX29" s="90">
        <f>Sheet1!AW31*GPMtoMGD</f>
        <v>0.48988799999999999</v>
      </c>
      <c r="AY29" s="90">
        <f>Sheet1!AX31*GPMtoMGD</f>
        <v>0</v>
      </c>
      <c r="AZ29" s="90">
        <f>Sheet1!AY31*GPMtoMGD</f>
        <v>0</v>
      </c>
      <c r="BA29" s="90">
        <f>Sheet1!AZ31*GPMtoMGD</f>
        <v>0</v>
      </c>
      <c r="BB29" s="90">
        <f>Sheet1!BP31*GPMtoMGD</f>
        <v>0</v>
      </c>
      <c r="BC29" s="90">
        <f>Sheet1!CS31*GPMtoMGD</f>
        <v>13.733568000000002</v>
      </c>
      <c r="BD29" s="90">
        <f>Sheet1!BO31*GPMtoMGD</f>
        <v>1.7818560000000003</v>
      </c>
      <c r="BE29" s="90">
        <f>Sheet1!BW31*GPMtoMGD</f>
        <v>0.54705599999999999</v>
      </c>
      <c r="BF29" s="90">
        <f>Sheet1!CN31*GPMtoMGD</f>
        <v>0.84859200000000001</v>
      </c>
      <c r="BG29" s="90">
        <f>Sheet1!CO31*GPMtoMGD</f>
        <v>0.49392000000000003</v>
      </c>
      <c r="BH29" s="90">
        <f>Sheet1!CP31*GPMtoMGD</f>
        <v>0.62942400000000009</v>
      </c>
      <c r="BI29" s="90">
        <f t="shared" si="10"/>
        <v>1.7818560000000003</v>
      </c>
      <c r="BK29" s="95">
        <f>SUM(AT29:BA29,BE29,Sheet1!BV31,'Calculations II'!BC29,Calculation!AQ29)</f>
        <v>51.075586077146411</v>
      </c>
      <c r="BM29" s="373">
        <f>0</f>
        <v>0</v>
      </c>
      <c r="BN29" s="373">
        <f>0</f>
        <v>0</v>
      </c>
      <c r="BP29" s="95">
        <f>SUM(BM29:BN29,W29,Sheet1!DX31)</f>
        <v>0</v>
      </c>
    </row>
    <row r="30" spans="1:68" s="90" customFormat="1">
      <c r="A30" s="651" t="s">
        <v>3</v>
      </c>
      <c r="B30" s="92">
        <v>41658</v>
      </c>
      <c r="C30" s="93">
        <v>0</v>
      </c>
      <c r="D30" s="95">
        <f>(Sheet1!BQ32-Sheet1!BQ31)*1.385</f>
        <v>0.77560000000000318</v>
      </c>
      <c r="E30" s="30">
        <f>(Sheet1!BR32-Sheet1!BR31)*1.385</f>
        <v>0.6925</v>
      </c>
      <c r="F30" s="30">
        <f ca="1">IF(B30=TODAY(),0,-(VLOOKUP(Sheet1!CD32,Lookup!$I$4:$J$216,2)-VLOOKUP(Sheet1!CD31,Lookup!$I$4:$J$216,2))/1000000)</f>
        <v>-0.51818469273899681</v>
      </c>
      <c r="G30" s="95">
        <f ca="1">IF(B30=TODAY(),0,-$G$6*(Sheet1!CF32-Sheet1!CF31)*7.48/1000000)</f>
        <v>-7.9427002105119021E-2</v>
      </c>
      <c r="H30" s="95">
        <f ca="1">IF(B30=TODAY(),0,-$H$6*(Sheet1!CE32-Sheet1!CE31)*7.48/1000000)</f>
        <v>0</v>
      </c>
      <c r="I30" s="95">
        <f ca="1">IF(B30=TODAY(),0,-$I$6*(Sheet1!CG32-Sheet1!CG31)*7.48/1000000)</f>
        <v>-1.796995199999998E-2</v>
      </c>
      <c r="J30" s="96" t="s">
        <v>186</v>
      </c>
      <c r="K30" s="95">
        <f ca="1">IF(B30=TODAY(),0,-$K$6*(Sheet1!CH32-Sheet1!CH31)*7.48/1000000)</f>
        <v>-2.6653281497833796E-2</v>
      </c>
      <c r="L30" s="96" t="s">
        <v>186</v>
      </c>
      <c r="M30" s="95">
        <f ca="1">IF(B30=TODAY(),0,-$M$6*(Sheet1!CI32-Sheet1!CI31)*7.48/1000000)</f>
        <v>-5.3974525284080636E-2</v>
      </c>
      <c r="N30" s="95">
        <f ca="1">IF(B30=TODAY(),0,-$N$6*(Sheet1!CJ32-Sheet1!CJ31)*7.48/1000000)</f>
        <v>-0.18615703618387214</v>
      </c>
      <c r="O30" s="95">
        <f t="shared" ca="1" si="7"/>
        <v>-0.88236648980990229</v>
      </c>
      <c r="P30" s="95">
        <f ca="1">O30+Calculation!ES30</f>
        <v>-2.2669579209767226</v>
      </c>
      <c r="Q30" s="90" t="str">
        <f>IF(Sheet1!BQ32&gt;25.75,"spill elevation","-")</f>
        <v>-</v>
      </c>
      <c r="R30" s="90" t="str">
        <f>IF(Sheet1!BQ32&gt;25.75,"spill elevation","-")</f>
        <v>-</v>
      </c>
      <c r="S30" s="90" t="str">
        <f>IF(Sheet1!BR32&gt;25.75,"spill elevation","-")</f>
        <v>-</v>
      </c>
      <c r="T30" s="94">
        <f>IF(Sheet1!DU32=1,Sheet1!AA32-(SUM(AT30:BA30)+BE30),Sheet1!AA32-SUM(AT30:BA30))</f>
        <v>18.407632</v>
      </c>
      <c r="U30" s="94">
        <f>Sheet1!BV32</f>
        <v>17.7</v>
      </c>
      <c r="V30" s="94">
        <f t="shared" si="8"/>
        <v>0.70763200000000026</v>
      </c>
      <c r="W30" s="94">
        <f>0</f>
        <v>0</v>
      </c>
      <c r="X30" s="90">
        <f>0</f>
        <v>0</v>
      </c>
      <c r="Y30" s="95">
        <f ca="1">Calculation!EJ31+Calculation!ES30+'Calculations II'!O30-'Calculations II'!W30</f>
        <v>55.035634079023282</v>
      </c>
      <c r="Z30" s="95">
        <f ca="1">Y30-Sheet1!CT33</f>
        <v>36.271634079023286</v>
      </c>
      <c r="AA30" s="95">
        <f ca="1">Y30+Calculation!DJ31+Calculation!AS31</f>
        <v>64.049011453094295</v>
      </c>
      <c r="AC30" s="95">
        <f>Sheet1!AA32+Sheet1!AB32+BC30</f>
        <v>57.278143999999998</v>
      </c>
      <c r="AD30" s="95">
        <f>Sheet1!AA32+Sheet1!BN32+'Calculations II'!BC30-Calculation!AS30-Calculation!DJ30</f>
        <v>39.92500682994374</v>
      </c>
      <c r="AE30" s="95">
        <f>Sheet1!AA32+Sheet1!AB32+'Calculations II'!BC30-Calculation!AS30-Calculation!DJ30</f>
        <v>48.92500682994374</v>
      </c>
      <c r="AF30" s="95">
        <f ca="1">Sheet1!AA32+Sheet1!BN32+P30+'Calculations II'!BC30+Calculation!AS30+Calculation!DJ30</f>
        <v>54.364323249079533</v>
      </c>
      <c r="AG30" s="95">
        <f ca="1">IF(B30=TODAY(),0,Sheet1!AA32+Sheet1!BN32+'Calculations II'!BC30+'Calculations II'!P30-Sheet1!CT32-BP30)</f>
        <v>27.735186079023276</v>
      </c>
      <c r="AH30" s="95">
        <f ca="1">IF(B30=TODAY(),0,Sheet1!AA32+Sheet1!BN32+'Calculations II'!BC30+'Calculations II'!P30-BP30)</f>
        <v>46.011186079023275</v>
      </c>
      <c r="AI30" s="95">
        <f ca="1">IF(B30=TODAY(),0,BC30+Sheet1!AA32+Calculation!ES30+O30+W30+Sheet1!BN32+Calculation!AS30+Calculation!DJ30-BP30)</f>
        <v>54.364323249079533</v>
      </c>
      <c r="AJ30" s="95"/>
      <c r="AM30" s="91">
        <f t="shared" si="9"/>
        <v>41658</v>
      </c>
      <c r="AN30" s="95">
        <f>Sheet1!BU32</f>
        <v>18.8</v>
      </c>
      <c r="AO30" s="95">
        <f>Sheet1!AA32</f>
        <v>19.48</v>
      </c>
      <c r="AP30" s="95">
        <f t="shared" si="1"/>
        <v>1.4681000000000033</v>
      </c>
      <c r="AQ30" s="1055">
        <f>((Sheet1!BV32-(Sheet1!BU32-AP30))/(Sheet1!BU32-AP30))</f>
        <v>2.1238294705139191E-2</v>
      </c>
      <c r="AR30" s="95">
        <f t="shared" si="2"/>
        <v>18.011899999999997</v>
      </c>
      <c r="AS30" s="95">
        <f t="shared" si="3"/>
        <v>17.331899999999997</v>
      </c>
      <c r="AT30" s="90">
        <f>Sheet1!BB32</f>
        <v>0</v>
      </c>
      <c r="AU30" s="90">
        <f>Sheet1!AS32*GPMtoMGD</f>
        <v>3.1968000000000003E-2</v>
      </c>
      <c r="AV30" s="95">
        <f>Sheet1!AT32</f>
        <v>0</v>
      </c>
      <c r="AW30" s="90">
        <f>Sheet1!AV32*GPMtoMGD</f>
        <v>0.42998400000000003</v>
      </c>
      <c r="AX30" s="90">
        <f>Sheet1!AW32*GPMtoMGD</f>
        <v>0.61041599999999996</v>
      </c>
      <c r="AY30" s="90">
        <f>Sheet1!AX32*GPMtoMGD</f>
        <v>0</v>
      </c>
      <c r="AZ30" s="90">
        <f>Sheet1!AY32*GPMtoMGD</f>
        <v>0</v>
      </c>
      <c r="BA30" s="90">
        <f>Sheet1!AZ32*GPMtoMGD</f>
        <v>0</v>
      </c>
      <c r="BB30" s="90">
        <f>Sheet1!BP32*GPMtoMGD</f>
        <v>0</v>
      </c>
      <c r="BC30" s="90">
        <f>Sheet1!CS32*GPMtoMGD</f>
        <v>13.698144000000001</v>
      </c>
      <c r="BD30" s="90">
        <f>Sheet1!BO32*GPMtoMGD</f>
        <v>1.6267680000000002</v>
      </c>
      <c r="BE30" s="90">
        <f>Sheet1!BW32*GPMtoMGD</f>
        <v>0.69969599999999998</v>
      </c>
      <c r="BF30" s="90">
        <f>Sheet1!CN32*GPMtoMGD</f>
        <v>0.83678400000000008</v>
      </c>
      <c r="BG30" s="90">
        <f>Sheet1!CO32*GPMtoMGD</f>
        <v>0.46454400000000007</v>
      </c>
      <c r="BH30" s="90">
        <f>Sheet1!CP32*GPMtoMGD</f>
        <v>0.61804800000000004</v>
      </c>
      <c r="BI30" s="90">
        <f t="shared" si="10"/>
        <v>1.6267680000000002</v>
      </c>
      <c r="BK30" s="95">
        <f>SUM(AT30:BA30,BE30,Sheet1!BV32,'Calculations II'!BC30,Calculation!AQ30)</f>
        <v>48.917070829943754</v>
      </c>
      <c r="BM30" s="373">
        <f>0</f>
        <v>0</v>
      </c>
      <c r="BN30" s="373">
        <f>0</f>
        <v>0</v>
      </c>
      <c r="BP30" s="95">
        <f>SUM(BM30:BN30,W30,Sheet1!DX32)</f>
        <v>0</v>
      </c>
    </row>
    <row r="31" spans="1:68" s="90" customFormat="1">
      <c r="A31" s="651" t="s">
        <v>4</v>
      </c>
      <c r="B31" s="92">
        <v>41659</v>
      </c>
      <c r="C31" s="93">
        <v>0</v>
      </c>
      <c r="D31" s="95">
        <f>(Sheet1!BQ33-Sheet1!BQ32)*1.385</f>
        <v>0.36009999999999726</v>
      </c>
      <c r="E31" s="30">
        <f>(Sheet1!BR33-Sheet1!BR32)*1.385</f>
        <v>0.41549999999999604</v>
      </c>
      <c r="F31" s="30">
        <f ca="1">IF(B31=TODAY(),0,-(VLOOKUP(Sheet1!CD33,Lookup!$I$4:$J$216,2)-VLOOKUP(Sheet1!CD32,Lookup!$I$4:$J$216,2))/1000000)</f>
        <v>0.9327324469301943</v>
      </c>
      <c r="G31" s="95">
        <f ca="1">IF(B31=TODAY(),0,-$G$6*(Sheet1!CF33-Sheet1!CF32)*7.48/1000000)</f>
        <v>-0.99283752631398237</v>
      </c>
      <c r="H31" s="95">
        <f ca="1">IF(B31=TODAY(),0,-$H$6*(Sheet1!CE33-Sheet1!CE32)*7.48/1000000)</f>
        <v>0</v>
      </c>
      <c r="I31" s="95">
        <f ca="1">IF(B31=TODAY(),0,-$I$6*(Sheet1!CG33-Sheet1!CG32)*7.48/1000000)</f>
        <v>0</v>
      </c>
      <c r="J31" s="96" t="s">
        <v>186</v>
      </c>
      <c r="K31" s="95">
        <f ca="1">IF(B31=TODAY(),0,-$K$6*(Sheet1!CH33-Sheet1!CH32)*7.48/1000000)</f>
        <v>0</v>
      </c>
      <c r="L31" s="96" t="s">
        <v>186</v>
      </c>
      <c r="M31" s="95">
        <f ca="1">IF(B31=TODAY(),0,-$M$6*(Sheet1!CI33-Sheet1!CI32)*7.48/1000000)</f>
        <v>-1.7991508428027301E-2</v>
      </c>
      <c r="N31" s="95">
        <f ca="1">IF(B31=TODAY(),0,-$N$6*(Sheet1!CJ33-Sheet1!CJ32)*7.48/1000000)</f>
        <v>0.49641876315699163</v>
      </c>
      <c r="O31" s="95">
        <f t="shared" ca="1" si="7"/>
        <v>0.41832217534517624</v>
      </c>
      <c r="P31" s="95">
        <f ca="1">O31+Calculation!ES31</f>
        <v>-0.41258647399670501</v>
      </c>
      <c r="Q31" s="90" t="str">
        <f>IF(Sheet1!BQ33&gt;25.75,"spill elevation","-")</f>
        <v>-</v>
      </c>
      <c r="R31" s="90" t="str">
        <f>IF(Sheet1!BQ33&gt;25.75,"spill elevation","-")</f>
        <v>-</v>
      </c>
      <c r="S31" s="90" t="str">
        <f>IF(Sheet1!BR33&gt;25.75,"spill elevation","-")</f>
        <v>-</v>
      </c>
      <c r="T31" s="94">
        <f>IF(Sheet1!DU33=1,Sheet1!AA33-(SUM(AT31:BA31)+BE31),Sheet1!AA33-SUM(AT31:BA31))</f>
        <v>17.372112000000001</v>
      </c>
      <c r="U31" s="94">
        <f>Sheet1!BV33</f>
        <v>18.399999999999999</v>
      </c>
      <c r="V31" s="94">
        <f t="shared" si="8"/>
        <v>-1.0278879999999972</v>
      </c>
      <c r="W31" s="94">
        <f>0</f>
        <v>0</v>
      </c>
      <c r="X31" s="90">
        <f>0</f>
        <v>0</v>
      </c>
      <c r="Y31" s="95">
        <f ca="1">Calculation!EJ32+Calculation!ES31+'Calculations II'!O31-'Calculations II'!W31</f>
        <v>55.605765526003296</v>
      </c>
      <c r="Z31" s="95">
        <f ca="1">Y31-Sheet1!CT34</f>
        <v>38.3267655260033</v>
      </c>
      <c r="AA31" s="95">
        <f ca="1">Y31+Calculation!DJ32+Calculation!AS32</f>
        <v>63.841918048490584</v>
      </c>
      <c r="AC31" s="95">
        <f>Sheet1!AA33+Sheet1!AB33+BC31</f>
        <v>57.302592000000004</v>
      </c>
      <c r="AD31" s="95">
        <f>Sheet1!AA33+Sheet1!BN33+'Calculations II'!BC31-Calculation!AS31-Calculation!DJ31</f>
        <v>39.289214625928992</v>
      </c>
      <c r="AE31" s="95">
        <f>Sheet1!AA33+Sheet1!AB33+'Calculations II'!BC31-Calculation!AS31-Calculation!DJ31</f>
        <v>48.289214625928992</v>
      </c>
      <c r="AF31" s="95">
        <f ca="1">Sheet1!AA33+Sheet1!BN33+P31+'Calculations II'!BC31+Calculation!AS31+Calculation!DJ31</f>
        <v>56.90338290007432</v>
      </c>
      <c r="AG31" s="95">
        <f ca="1">IF(B31=TODAY(),0,Sheet1!AA33+Sheet1!BN33+'Calculations II'!BC31+'Calculations II'!P31-Sheet1!CT33-BP31)</f>
        <v>29.126005526003301</v>
      </c>
      <c r="AH31" s="95">
        <f ca="1">IF(B31=TODAY(),0,Sheet1!AA33+Sheet1!BN33+'Calculations II'!BC31+'Calculations II'!P31-BP31)</f>
        <v>47.8900055260033</v>
      </c>
      <c r="AI31" s="95">
        <f ca="1">IF(B31=TODAY(),0,BC31+Sheet1!AA33+Calculation!ES31+O31+W31+Sheet1!BN33+Calculation!AS31+Calculation!DJ31-BP31)</f>
        <v>56.903382900074305</v>
      </c>
      <c r="AJ31" s="95"/>
      <c r="AM31" s="91">
        <f t="shared" si="9"/>
        <v>41659</v>
      </c>
      <c r="AN31" s="95">
        <f>Sheet1!BU33</f>
        <v>18.7</v>
      </c>
      <c r="AO31" s="95">
        <f>Sheet1!AA33</f>
        <v>19.420000000000002</v>
      </c>
      <c r="AP31" s="95">
        <f t="shared" si="1"/>
        <v>0.77559999999999329</v>
      </c>
      <c r="AQ31" s="1055">
        <f>((Sheet1!BV33-(Sheet1!BU33-AP31))/(Sheet1!BU33-AP31))</f>
        <v>2.6533663609381222E-2</v>
      </c>
      <c r="AR31" s="95">
        <f t="shared" si="2"/>
        <v>18.644400000000008</v>
      </c>
      <c r="AS31" s="95">
        <f t="shared" si="3"/>
        <v>17.924400000000006</v>
      </c>
      <c r="AT31" s="90">
        <f>Sheet1!BB33</f>
        <v>1</v>
      </c>
      <c r="AU31" s="90">
        <f>Sheet1!AS33*GPMtoMGD</f>
        <v>1.5552000000000002E-2</v>
      </c>
      <c r="AV31" s="95">
        <f>Sheet1!AT33</f>
        <v>0</v>
      </c>
      <c r="AW31" s="90">
        <f>Sheet1!AV33*GPMtoMGD</f>
        <v>0.407808</v>
      </c>
      <c r="AX31" s="90">
        <f>Sheet1!AW33*GPMtoMGD</f>
        <v>0.62452799999999997</v>
      </c>
      <c r="AY31" s="90">
        <f>Sheet1!AX33*GPMtoMGD</f>
        <v>0</v>
      </c>
      <c r="AZ31" s="90">
        <f>Sheet1!AY33*GPMtoMGD</f>
        <v>0</v>
      </c>
      <c r="BA31" s="90">
        <f>Sheet1!AZ33*GPMtoMGD</f>
        <v>0</v>
      </c>
      <c r="BB31" s="90">
        <f>Sheet1!BP33*GPMtoMGD</f>
        <v>0</v>
      </c>
      <c r="BC31" s="90">
        <f>Sheet1!CS33*GPMtoMGD</f>
        <v>13.682592</v>
      </c>
      <c r="BD31" s="90">
        <f>Sheet1!BO33*GPMtoMGD</f>
        <v>1.55664</v>
      </c>
      <c r="BE31" s="90">
        <f>Sheet1!BW33*GPMtoMGD</f>
        <v>0.97747200000000001</v>
      </c>
      <c r="BF31" s="90">
        <f>Sheet1!CN33*GPMtoMGD</f>
        <v>0.78264</v>
      </c>
      <c r="BG31" s="90">
        <f>Sheet1!CO33*GPMtoMGD</f>
        <v>0.484848</v>
      </c>
      <c r="BH31" s="90">
        <f>Sheet1!CP33*GPMtoMGD</f>
        <v>0.63878400000000002</v>
      </c>
      <c r="BI31" s="90">
        <f t="shared" si="10"/>
        <v>1.55664</v>
      </c>
      <c r="BK31" s="95">
        <f>SUM(AT31:BA31,BE31,Sheet1!BV33,'Calculations II'!BC31,Calculation!AQ31)</f>
        <v>50.295400389760523</v>
      </c>
      <c r="BM31" s="373">
        <f>0</f>
        <v>0</v>
      </c>
      <c r="BN31" s="373">
        <f>0</f>
        <v>0</v>
      </c>
      <c r="BP31" s="95">
        <f>SUM(BM31:BN31,W31,Sheet1!DX33)</f>
        <v>0</v>
      </c>
    </row>
    <row r="32" spans="1:68" s="90" customFormat="1">
      <c r="A32" s="651" t="s">
        <v>5</v>
      </c>
      <c r="B32" s="92">
        <v>41660</v>
      </c>
      <c r="C32" s="93">
        <v>0</v>
      </c>
      <c r="D32" s="95">
        <f>(Sheet1!BQ34-Sheet1!BQ33)*1.385</f>
        <v>0.84484999999999921</v>
      </c>
      <c r="E32" s="30">
        <f>(Sheet1!BR34-Sheet1!BR33)*1.385</f>
        <v>-0.41549999999999604</v>
      </c>
      <c r="F32" s="30">
        <f ca="1">IF(B32=TODAY(),0,-(VLOOKUP(Sheet1!CD34,Lookup!$I$4:$J$216,2)-VLOOKUP(Sheet1!CD33,Lookup!$I$4:$J$216,2))/1000000)</f>
        <v>0</v>
      </c>
      <c r="G32" s="95">
        <f ca="1">IF(B32=TODAY(),0,-$G$6*(Sheet1!CF34-Sheet1!CF33)*7.48/1000000)</f>
        <v>0.19856750526279648</v>
      </c>
      <c r="H32" s="95">
        <f ca="1">IF(B32=TODAY(),0,-$H$6*(Sheet1!CE34-Sheet1!CE33)*7.48/1000000)</f>
        <v>1.5039432351265274E-2</v>
      </c>
      <c r="I32" s="95">
        <f ca="1">IF(B32=TODAY(),0,-$I$6*(Sheet1!CG34-Sheet1!CG33)*7.48/1000000)</f>
        <v>4.4924879999999837E-3</v>
      </c>
      <c r="J32" s="96" t="s">
        <v>186</v>
      </c>
      <c r="K32" s="95">
        <f ca="1">IF(B32=TODAY(),0,-$K$6*(Sheet1!CH34-Sheet1!CH33)*7.48/1000000)</f>
        <v>-4.6643242621209283E-3</v>
      </c>
      <c r="L32" s="96" t="s">
        <v>186</v>
      </c>
      <c r="M32" s="95">
        <f ca="1">IF(B32=TODAY(),0,-$M$6*(Sheet1!CI34-Sheet1!CI33)*7.48/1000000)</f>
        <v>1.7991508428027301E-2</v>
      </c>
      <c r="N32" s="95">
        <f ca="1">IF(B32=TODAY(),0,-$N$6*(Sheet1!CJ34-Sheet1!CJ33)*7.48/1000000)</f>
        <v>-0.70739673749871279</v>
      </c>
      <c r="O32" s="95">
        <f t="shared" ca="1" si="7"/>
        <v>-0.47597012771874464</v>
      </c>
      <c r="P32" s="95">
        <f ca="1">O32+Calculation!ES32</f>
        <v>-0.89159748548451234</v>
      </c>
      <c r="Q32" s="90" t="str">
        <f>IF(Sheet1!BQ34&gt;25.75,"spill elevation","-")</f>
        <v>-</v>
      </c>
      <c r="R32" s="90" t="str">
        <f>IF(Sheet1!BQ34&gt;25.75,"spill elevation","-")</f>
        <v>-</v>
      </c>
      <c r="S32" s="90" t="str">
        <f>IF(Sheet1!BR34&gt;25.75,"spill elevation","-")</f>
        <v>-</v>
      </c>
      <c r="T32" s="94">
        <f>IF(Sheet1!DU34=1,Sheet1!AA34-(SUM(AT32:BA32)+BE32),Sheet1!AA34-SUM(AT32:BA32))</f>
        <v>17.688320000000001</v>
      </c>
      <c r="U32" s="94">
        <f>Sheet1!BV34</f>
        <v>17.899999999999999</v>
      </c>
      <c r="V32" s="94">
        <f t="shared" si="8"/>
        <v>-0.21167999999999765</v>
      </c>
      <c r="W32" s="94">
        <f>0</f>
        <v>0</v>
      </c>
      <c r="X32" s="90">
        <f>0</f>
        <v>0</v>
      </c>
      <c r="Y32" s="95">
        <f ca="1">Calculation!EJ33+Calculation!ES32+'Calculations II'!O32-'Calculations II'!W32</f>
        <v>55.172322514515493</v>
      </c>
      <c r="Z32" s="95">
        <f ca="1">Y32-Sheet1!CT35</f>
        <v>38.381322514515489</v>
      </c>
      <c r="AA32" s="95">
        <f ca="1">Y32+Calculation!DJ33+Calculation!AS33</f>
        <v>62.201338202452739</v>
      </c>
      <c r="AC32" s="95">
        <f>Sheet1!AA34+Sheet1!AB34+BC32</f>
        <v>56.018352</v>
      </c>
      <c r="AD32" s="95">
        <f>Sheet1!AA34+Sheet1!BN34+'Calculations II'!BC32-Calculation!AS32-Calculation!DJ32</f>
        <v>39.582199477512717</v>
      </c>
      <c r="AE32" s="95">
        <f>Sheet1!AA34+Sheet1!AB34+'Calculations II'!BC32-Calculation!AS32-Calculation!DJ32</f>
        <v>47.782199477512712</v>
      </c>
      <c r="AF32" s="95">
        <f ca="1">Sheet1!AA34+Sheet1!BN34+P32+'Calculations II'!BC32+Calculation!AS32+Calculation!DJ32</f>
        <v>55.162907037002775</v>
      </c>
      <c r="AG32" s="95">
        <f ca="1">IF(B32=TODAY(),0,Sheet1!AA34+Sheet1!BN34+'Calculations II'!BC32+'Calculations II'!P32-Sheet1!CT34-BP32)</f>
        <v>29.647754514515494</v>
      </c>
      <c r="AH32" s="95">
        <f ca="1">IF(B32=TODAY(),0,Sheet1!AA34+Sheet1!BN34+'Calculations II'!BC32+'Calculations II'!P32-BP32)</f>
        <v>46.926754514515494</v>
      </c>
      <c r="AI32" s="95">
        <f ca="1">IF(B32=TODAY(),0,BC32+Sheet1!AA34+Calculation!ES32+O32+W32+Sheet1!BN34+Calculation!AS32+Calculation!DJ32-BP32)</f>
        <v>55.162907037002782</v>
      </c>
      <c r="AJ32" s="95"/>
      <c r="AM32" s="91">
        <f t="shared" si="9"/>
        <v>41660</v>
      </c>
      <c r="AN32" s="95">
        <f>Sheet1!BU34</f>
        <v>19.100000000000001</v>
      </c>
      <c r="AO32" s="95">
        <f>Sheet1!AA34</f>
        <v>19.5</v>
      </c>
      <c r="AP32" s="95">
        <f t="shared" si="1"/>
        <v>0.42935000000000317</v>
      </c>
      <c r="AQ32" s="1055">
        <f>((Sheet1!BV34-(Sheet1!BU34-AP32))/(Sheet1!BU34-AP32))</f>
        <v>-4.1276013422135806E-2</v>
      </c>
      <c r="AR32" s="95">
        <f t="shared" si="2"/>
        <v>19.070649999999997</v>
      </c>
      <c r="AS32" s="95">
        <f t="shared" si="3"/>
        <v>18.670649999999998</v>
      </c>
      <c r="AT32" s="90">
        <f>Sheet1!BB34</f>
        <v>1.006</v>
      </c>
      <c r="AU32" s="90">
        <f>Sheet1!AS34*GPMtoMGD</f>
        <v>2.3615999999999998E-2</v>
      </c>
      <c r="AV32" s="95">
        <f>Sheet1!AT34</f>
        <v>0</v>
      </c>
      <c r="AW32" s="90">
        <f>Sheet1!AV34*GPMtoMGD</f>
        <v>0.33782400000000001</v>
      </c>
      <c r="AX32" s="90">
        <f>Sheet1!AW34*GPMtoMGD</f>
        <v>0.44424000000000002</v>
      </c>
      <c r="AY32" s="90">
        <f>Sheet1!AX34*GPMtoMGD</f>
        <v>0</v>
      </c>
      <c r="AZ32" s="90">
        <f>Sheet1!AY34*GPMtoMGD</f>
        <v>0</v>
      </c>
      <c r="BA32" s="90">
        <f>Sheet1!AZ34*GPMtoMGD</f>
        <v>0</v>
      </c>
      <c r="BB32" s="90">
        <f>Sheet1!BP34*GPMtoMGD</f>
        <v>0</v>
      </c>
      <c r="BC32" s="90">
        <f>Sheet1!CS34*GPMtoMGD</f>
        <v>16.118352000000002</v>
      </c>
      <c r="BD32" s="90">
        <f>Sheet1!BO34*GPMtoMGD</f>
        <v>1.4326560000000002</v>
      </c>
      <c r="BE32" s="90">
        <f>Sheet1!BW34*GPMtoMGD</f>
        <v>0.67579200000000006</v>
      </c>
      <c r="BF32" s="90">
        <f>Sheet1!CN34*GPMtoMGD</f>
        <v>0.71956799999999999</v>
      </c>
      <c r="BG32" s="90">
        <f>Sheet1!CO34*GPMtoMGD</f>
        <v>0.47649599999999998</v>
      </c>
      <c r="BH32" s="90">
        <f>Sheet1!CP34*GPMtoMGD</f>
        <v>0.66484799999999999</v>
      </c>
      <c r="BI32" s="90">
        <f t="shared" si="10"/>
        <v>1.4326560000000002</v>
      </c>
      <c r="BK32" s="95">
        <f>SUM(AT32:BA32,BE32,Sheet1!BV34,'Calculations II'!BC32,Calculation!AQ32)</f>
        <v>48.672425486116545</v>
      </c>
      <c r="BM32" s="373">
        <f>0</f>
        <v>0</v>
      </c>
      <c r="BN32" s="373">
        <f>0</f>
        <v>0</v>
      </c>
      <c r="BP32" s="95">
        <f>SUM(BM32:BN32,W32,Sheet1!DX34)</f>
        <v>0</v>
      </c>
    </row>
    <row r="33" spans="1:68" s="90" customFormat="1">
      <c r="A33" s="651" t="s">
        <v>6</v>
      </c>
      <c r="B33" s="92">
        <v>41661</v>
      </c>
      <c r="C33" s="93">
        <v>0</v>
      </c>
      <c r="D33" s="95">
        <f>(Sheet1!BQ35-Sheet1!BQ34)*1.385</f>
        <v>2.8254000000000037</v>
      </c>
      <c r="E33" s="30">
        <f>(Sheet1!BR35-Sheet1!BR34)*1.385</f>
        <v>4.016499999999998</v>
      </c>
      <c r="F33" s="30">
        <f ca="1">IF(B33=TODAY(),0,-(VLOOKUP(Sheet1!CD35,Lookup!$I$4:$J$216,2)-VLOOKUP(Sheet1!CD34,Lookup!$I$4:$J$216,2))/1000000)</f>
        <v>0.31091081564340367</v>
      </c>
      <c r="G33" s="95">
        <f ca="1">IF(B33=TODAY(),0,-$G$6*(Sheet1!CF35-Sheet1!CF34)*7.48/1000000)</f>
        <v>0.15885400421023735</v>
      </c>
      <c r="H33" s="95">
        <f ca="1">IF(B33=TODAY(),0,-$H$6*(Sheet1!CE35-Sheet1!CE34)*7.48/1000000)</f>
        <v>3.0078864702529479E-2</v>
      </c>
      <c r="I33" s="95">
        <f ca="1">IF(B33=TODAY(),0,-$I$6*(Sheet1!CG35-Sheet1!CG34)*7.48/1000000)</f>
        <v>1.7969952000000015E-2</v>
      </c>
      <c r="J33" s="96" t="s">
        <v>186</v>
      </c>
      <c r="K33" s="95">
        <f ca="1">IF(B33=TODAY(),0,-$K$6*(Sheet1!CH35-Sheet1!CH34)*7.48/1000000)</f>
        <v>3.7980926134413139E-2</v>
      </c>
      <c r="L33" s="96" t="s">
        <v>186</v>
      </c>
      <c r="M33" s="95">
        <f ca="1">IF(B33=TODAY(),0,-$M$6*(Sheet1!CI35-Sheet1!CI34)*7.48/1000000)</f>
        <v>8.9957542140134933E-2</v>
      </c>
      <c r="N33" s="95">
        <f ca="1">IF(B33=TODAY(),0,-$N$6*(Sheet1!CJ35-Sheet1!CJ34)*7.48/1000000)</f>
        <v>0.36610883782828091</v>
      </c>
      <c r="O33" s="95">
        <f t="shared" ca="1" si="7"/>
        <v>1.0118609426589995</v>
      </c>
      <c r="P33" s="95">
        <f ca="1">O33+Calculation!ES33</f>
        <v>-5.9172171103623121</v>
      </c>
      <c r="Q33" s="90" t="str">
        <f>IF(Sheet1!BQ35&gt;25.75,"spill elevation","-")</f>
        <v>-</v>
      </c>
      <c r="R33" s="90" t="str">
        <f>IF(Sheet1!BQ35&gt;25.75,"spill elevation","-")</f>
        <v>-</v>
      </c>
      <c r="S33" s="90" t="str">
        <f>IF(Sheet1!BR35&gt;25.75,"spill elevation","-")</f>
        <v>-</v>
      </c>
      <c r="T33" s="94">
        <f>IF(Sheet1!DU35=1,Sheet1!AA35-(SUM(AT33:BA33)+BE33),Sheet1!AA35-SUM(AT33:BA33))</f>
        <v>16.883991999999999</v>
      </c>
      <c r="U33" s="94">
        <f>Sheet1!BV35</f>
        <v>13.5</v>
      </c>
      <c r="V33" s="94">
        <f t="shared" si="8"/>
        <v>3.3839919999999992</v>
      </c>
      <c r="W33" s="94">
        <f>0</f>
        <v>0</v>
      </c>
      <c r="X33" s="90">
        <f>0</f>
        <v>0</v>
      </c>
      <c r="Y33" s="95">
        <f ca="1">Calculation!EJ34+Calculation!ES33+'Calculations II'!O33-'Calculations II'!W33</f>
        <v>47.320702889637687</v>
      </c>
      <c r="Z33" s="95">
        <f ca="1">Y33-Sheet1!CT36</f>
        <v>31.285702889637687</v>
      </c>
      <c r="AA33" s="95">
        <f ca="1">Y33+Calculation!DJ34+Calculation!AS34</f>
        <v>54.453467686925435</v>
      </c>
      <c r="AC33" s="95">
        <f>Sheet1!AA35+Sheet1!AB35+BC33</f>
        <v>56.063920000000003</v>
      </c>
      <c r="AD33" s="95">
        <f>Sheet1!AA35+Sheet1!BN35+'Calculations II'!BC33-Calculation!AS33-Calculation!DJ33</f>
        <v>42.03490431206275</v>
      </c>
      <c r="AE33" s="95">
        <f>Sheet1!AA35+Sheet1!AB35+'Calculations II'!BC33-Calculation!AS33-Calculation!DJ33</f>
        <v>49.03490431206275</v>
      </c>
      <c r="AF33" s="95">
        <f ca="1">Sheet1!AA35+Sheet1!BN35+P33+'Calculations II'!BC33+Calculation!AS33+Calculation!DJ33</f>
        <v>50.175718577574941</v>
      </c>
      <c r="AG33" s="95">
        <f ca="1">IF(B33=TODAY(),0,Sheet1!AA35+Sheet1!BN35+'Calculations II'!BC33+'Calculations II'!P33-Sheet1!CT35-BP33)</f>
        <v>26.355702889637694</v>
      </c>
      <c r="AH33" s="95">
        <f ca="1">IF(B33=TODAY(),0,Sheet1!AA35+Sheet1!BN35+'Calculations II'!BC33+'Calculations II'!P33-BP33)</f>
        <v>43.146702889637695</v>
      </c>
      <c r="AI33" s="95">
        <f ca="1">IF(B33=TODAY(),0,BC33+Sheet1!AA35+Calculation!ES33+O33+W33+Sheet1!BN35+Calculation!AS33+Calculation!DJ33-BP33)</f>
        <v>50.175718577574941</v>
      </c>
      <c r="AJ33" s="95"/>
      <c r="AM33" s="91">
        <f t="shared" si="9"/>
        <v>41661</v>
      </c>
      <c r="AN33" s="95">
        <f>Sheet1!BU35</f>
        <v>18.600000000000001</v>
      </c>
      <c r="AO33" s="95">
        <f>Sheet1!AA35</f>
        <v>19.600000000000001</v>
      </c>
      <c r="AP33" s="95">
        <f t="shared" si="1"/>
        <v>6.8419000000000016</v>
      </c>
      <c r="AQ33" s="1055">
        <f>((Sheet1!BV35-(Sheet1!BU35-AP33))/(Sheet1!BU35-AP33))</f>
        <v>0.14814468323963917</v>
      </c>
      <c r="AR33" s="95">
        <f t="shared" si="2"/>
        <v>12.758099999999999</v>
      </c>
      <c r="AS33" s="95">
        <f t="shared" si="3"/>
        <v>11.758099999999999</v>
      </c>
      <c r="AT33" s="90">
        <f>Sheet1!BB35</f>
        <v>0.95099999999999996</v>
      </c>
      <c r="AU33" s="90">
        <f>Sheet1!AS35*GPMtoMGD</f>
        <v>2.3184000000000003E-2</v>
      </c>
      <c r="AV33" s="95">
        <f>Sheet1!AT35</f>
        <v>0</v>
      </c>
      <c r="AW33" s="90">
        <f>Sheet1!AV35*GPMtoMGD</f>
        <v>0.46944000000000002</v>
      </c>
      <c r="AX33" s="90">
        <f>Sheet1!AW35*GPMtoMGD</f>
        <v>1.2723840000000002</v>
      </c>
      <c r="AY33" s="90">
        <f>Sheet1!AX35*GPMtoMGD</f>
        <v>0</v>
      </c>
      <c r="AZ33" s="90">
        <f>Sheet1!AY35*GPMtoMGD</f>
        <v>0</v>
      </c>
      <c r="BA33" s="90">
        <f>Sheet1!AZ35*GPMtoMGD</f>
        <v>0</v>
      </c>
      <c r="BB33" s="90">
        <f>Sheet1!BP35*GPMtoMGD</f>
        <v>0</v>
      </c>
      <c r="BC33" s="90">
        <f>Sheet1!CS35*GPMtoMGD</f>
        <v>22.36392</v>
      </c>
      <c r="BD33" s="90">
        <f>Sheet1!BO35*GPMtoMGD</f>
        <v>1.32192</v>
      </c>
      <c r="BE33" s="90">
        <f>Sheet1!BW35*GPMtoMGD</f>
        <v>0.89539199999999997</v>
      </c>
      <c r="BF33" s="90">
        <f>Sheet1!CN35*GPMtoMGD</f>
        <v>0.66239999999999999</v>
      </c>
      <c r="BG33" s="90">
        <f>Sheet1!CO35*GPMtoMGD</f>
        <v>0.44856000000000001</v>
      </c>
      <c r="BH33" s="90">
        <f>Sheet1!CP35*GPMtoMGD</f>
        <v>0.65736000000000006</v>
      </c>
      <c r="BI33" s="90">
        <f t="shared" si="10"/>
        <v>1.32192</v>
      </c>
      <c r="BK33" s="95">
        <f>SUM(AT33:BA33,BE33,Sheet1!BV35,'Calculations II'!BC33,Calculation!AQ33)</f>
        <v>46.549731702353185</v>
      </c>
      <c r="BM33" s="373">
        <f>0</f>
        <v>0</v>
      </c>
      <c r="BN33" s="373">
        <f>0</f>
        <v>0</v>
      </c>
      <c r="BP33" s="95">
        <f>SUM(BM33:BN33,W33,Sheet1!DX35)</f>
        <v>0</v>
      </c>
    </row>
    <row r="34" spans="1:68" s="90" customFormat="1">
      <c r="A34" s="651" t="s">
        <v>7</v>
      </c>
      <c r="B34" s="92">
        <v>41662</v>
      </c>
      <c r="C34" s="93">
        <v>0</v>
      </c>
      <c r="D34" s="95">
        <f>(Sheet1!BQ36-Sheet1!BQ35)*1.385</f>
        <v>1.2464999999999979</v>
      </c>
      <c r="E34" s="30">
        <f>(Sheet1!BR36-Sheet1!BR35)*1.385</f>
        <v>1.2049500000000013</v>
      </c>
      <c r="F34" s="30">
        <f ca="1">IF(B34=TODAY(),0,-(VLOOKUP(Sheet1!CD36,Lookup!$I$4:$J$216,2)-VLOOKUP(Sheet1!CD35,Lookup!$I$4:$J$216,2))/1000000)</f>
        <v>0</v>
      </c>
      <c r="G34" s="95">
        <f ca="1">IF(B34=TODAY(),0,-$G$6*(Sheet1!CF36-Sheet1!CF35)*7.48/1000000)</f>
        <v>0.15885400421023735</v>
      </c>
      <c r="H34" s="95">
        <f ca="1">IF(B34=TODAY(),0,-$H$6*(Sheet1!CE36-Sheet1!CE35)*7.48/1000000)</f>
        <v>1.5039432351265274E-2</v>
      </c>
      <c r="I34" s="95">
        <f ca="1">IF(B34=TODAY(),0,-$I$6*(Sheet1!CG36-Sheet1!CG35)*7.48/1000000)</f>
        <v>1.796995199999998E-2</v>
      </c>
      <c r="J34" s="96" t="s">
        <v>186</v>
      </c>
      <c r="K34" s="95">
        <f ca="1">IF(B34=TODAY(),0,-$K$6*(Sheet1!CH36-Sheet1!CH35)*7.48/1000000)</f>
        <v>3.3316601872292212E-2</v>
      </c>
      <c r="L34" s="96" t="s">
        <v>186</v>
      </c>
      <c r="M34" s="95">
        <f ca="1">IF(B34=TODAY(),0,-$M$6*(Sheet1!CI36-Sheet1!CI35)*7.48/1000000)</f>
        <v>7.196603371210826E-2</v>
      </c>
      <c r="N34" s="95">
        <f ca="1">IF(B34=TODAY(),0,-$N$6*(Sheet1!CJ36-Sheet1!CJ35)*7.48/1000000)</f>
        <v>-9.3078518091936069E-2</v>
      </c>
      <c r="O34" s="95">
        <f t="shared" ca="1" si="7"/>
        <v>0.20406750605396701</v>
      </c>
      <c r="P34" s="95">
        <f ca="1">O34+Calculation!ES34</f>
        <v>-2.2924086895395912</v>
      </c>
      <c r="Q34" s="90" t="str">
        <f>IF(Sheet1!BQ36&gt;25.75,"spill elevation","-")</f>
        <v>-</v>
      </c>
      <c r="R34" s="90" t="str">
        <f>IF(Sheet1!BQ36&gt;25.75,"spill elevation","-")</f>
        <v>-</v>
      </c>
      <c r="S34" s="90" t="str">
        <f>IF(Sheet1!BR36&gt;25.75,"spill elevation","-")</f>
        <v>-</v>
      </c>
      <c r="T34" s="94">
        <f>IF(Sheet1!DU36=1,Sheet1!AA36-(SUM(AT34:BA34)+BE34),Sheet1!AA36-SUM(AT34:BA34))</f>
        <v>16.779536</v>
      </c>
      <c r="U34" s="94">
        <f>Sheet1!BV36</f>
        <v>16.5</v>
      </c>
      <c r="V34" s="94">
        <f t="shared" si="8"/>
        <v>0.27953600000000023</v>
      </c>
      <c r="W34" s="94">
        <f>0</f>
        <v>0</v>
      </c>
      <c r="X34" s="90">
        <f>0</f>
        <v>0</v>
      </c>
      <c r="Y34" s="95">
        <f ca="1">Calculation!EJ35+Calculation!ES34+'Calculations II'!O34-'Calculations II'!W34</f>
        <v>46.823767310460404</v>
      </c>
      <c r="Z34" s="95">
        <f ca="1">Y34-Sheet1!CT37</f>
        <v>30.584767310460403</v>
      </c>
      <c r="AA34" s="95">
        <f ca="1">Y34+Calculation!DJ35+Calculation!AS35</f>
        <v>54.084630721642284</v>
      </c>
      <c r="AC34" s="95">
        <f>Sheet1!AA36+Sheet1!AB36+BC34</f>
        <v>53.237920000000003</v>
      </c>
      <c r="AD34" s="95">
        <f>Sheet1!AA36+Sheet1!BN36+'Calculations II'!BC34-Calculation!AS34-Calculation!DJ34</f>
        <v>39.005155202712253</v>
      </c>
      <c r="AE34" s="95">
        <f>Sheet1!AA36+Sheet1!AB36+'Calculations II'!BC34-Calculation!AS34-Calculation!DJ34</f>
        <v>46.105155202712254</v>
      </c>
      <c r="AF34" s="95">
        <f ca="1">Sheet1!AA36+Sheet1!BN36+P34+'Calculations II'!BC34+Calculation!AS34+Calculation!DJ34</f>
        <v>50.978276107748158</v>
      </c>
      <c r="AG34" s="95">
        <f ca="1">IF(B34=TODAY(),0,Sheet1!AA36+Sheet1!BN36+'Calculations II'!BC34+'Calculations II'!P34-Sheet1!CT36-BP34)</f>
        <v>27.810511310460409</v>
      </c>
      <c r="AH34" s="95">
        <f ca="1">IF(B34=TODAY(),0,Sheet1!AA36+Sheet1!BN36+'Calculations II'!BC34+'Calculations II'!P34-BP34)</f>
        <v>43.84551131046041</v>
      </c>
      <c r="AI34" s="95">
        <f ca="1">IF(B34=TODAY(),0,BC34+Sheet1!AA36+Calculation!ES34+O34+W34+Sheet1!BN36+Calculation!AS34+Calculation!DJ34-BP34)</f>
        <v>50.978276107748158</v>
      </c>
      <c r="AJ34" s="95"/>
      <c r="AM34" s="91">
        <f t="shared" si="9"/>
        <v>41662</v>
      </c>
      <c r="AN34" s="95">
        <f>Sheet1!BU36</f>
        <v>18.5</v>
      </c>
      <c r="AO34" s="95">
        <f>Sheet1!AA36</f>
        <v>19.600000000000001</v>
      </c>
      <c r="AP34" s="95">
        <f t="shared" si="1"/>
        <v>2.4514499999999995</v>
      </c>
      <c r="AQ34" s="1055">
        <f>((Sheet1!BV36-(Sheet1!BU36-AP34))/(Sheet1!BU36-AP34))</f>
        <v>2.8130267220403168E-2</v>
      </c>
      <c r="AR34" s="95">
        <f t="shared" si="2"/>
        <v>17.14855</v>
      </c>
      <c r="AS34" s="95">
        <f t="shared" si="3"/>
        <v>16.048549999999999</v>
      </c>
      <c r="AT34" s="90">
        <f>Sheet1!BB36</f>
        <v>0.998</v>
      </c>
      <c r="AU34" s="90">
        <f>Sheet1!AS36*GPMtoMGD</f>
        <v>1.7568E-2</v>
      </c>
      <c r="AV34" s="95">
        <f>Sheet1!AT36</f>
        <v>0</v>
      </c>
      <c r="AW34" s="90">
        <f>Sheet1!AV36*GPMtoMGD</f>
        <v>0.63115200000000005</v>
      </c>
      <c r="AX34" s="90">
        <f>Sheet1!AW36*GPMtoMGD</f>
        <v>1.1737440000000001</v>
      </c>
      <c r="AY34" s="90">
        <f>Sheet1!AX36*GPMtoMGD</f>
        <v>0</v>
      </c>
      <c r="AZ34" s="90">
        <f>Sheet1!AY36*GPMtoMGD</f>
        <v>0</v>
      </c>
      <c r="BA34" s="90">
        <f>Sheet1!AZ36*GPMtoMGD</f>
        <v>0</v>
      </c>
      <c r="BB34" s="90">
        <f>Sheet1!BP36*GPMtoMGD</f>
        <v>0</v>
      </c>
      <c r="BC34" s="90">
        <f>Sheet1!CS36*GPMtoMGD</f>
        <v>19.53792</v>
      </c>
      <c r="BD34" s="90">
        <f>Sheet1!BO36*GPMtoMGD</f>
        <v>1.338192</v>
      </c>
      <c r="BE34" s="90">
        <f>Sheet1!BW36*GPMtoMGD</f>
        <v>0.76089600000000002</v>
      </c>
      <c r="BF34" s="90">
        <f>Sheet1!CN36*GPMtoMGD</f>
        <v>0.72043200000000007</v>
      </c>
      <c r="BG34" s="90">
        <f>Sheet1!CO36*GPMtoMGD</f>
        <v>0.44150400000000006</v>
      </c>
      <c r="BH34" s="90">
        <f>Sheet1!CP36*GPMtoMGD</f>
        <v>0.65289600000000003</v>
      </c>
      <c r="BI34" s="90">
        <f t="shared" si="10"/>
        <v>1.338192</v>
      </c>
      <c r="BK34" s="95">
        <f>SUM(AT34:BA34,BE34,Sheet1!BV36,'Calculations II'!BC34,Calculation!AQ34)</f>
        <v>46.590603633281539</v>
      </c>
      <c r="BM34" s="373">
        <f>0</f>
        <v>0</v>
      </c>
      <c r="BN34" s="373">
        <f>0</f>
        <v>0</v>
      </c>
      <c r="BP34" s="95">
        <f>SUM(BM34:BN34,W34,Sheet1!DX36)</f>
        <v>0</v>
      </c>
    </row>
    <row r="35" spans="1:68" s="90" customFormat="1">
      <c r="A35" s="651" t="s">
        <v>8</v>
      </c>
      <c r="B35" s="92">
        <v>41663</v>
      </c>
      <c r="C35" s="93">
        <v>0</v>
      </c>
      <c r="D35" s="95">
        <f>(Sheet1!BQ37-Sheet1!BQ36)*1.385</f>
        <v>-1.3988500000000021</v>
      </c>
      <c r="E35" s="30">
        <f>(Sheet1!BR37-Sheet1!BR36)*1.385</f>
        <v>-1.3434500000000034</v>
      </c>
      <c r="F35" s="30">
        <f ca="1">IF(B35=TODAY(),0,-(VLOOKUP(Sheet1!CD37,Lookup!$I$4:$J$216,2)-VLOOKUP(Sheet1!CD36,Lookup!$I$4:$J$216,2))/1000000)</f>
        <v>-1.1400063240257985</v>
      </c>
      <c r="G35" s="95">
        <f ca="1">IF(B35=TODAY(),0,-$G$6*(Sheet1!CF37-Sheet1!CF36)*7.48/1000000)</f>
        <v>0.11914050315767746</v>
      </c>
      <c r="H35" s="95">
        <f ca="1">IF(B35=TODAY(),0,-$H$6*(Sheet1!CE37-Sheet1!CE36)*7.48/1000000)</f>
        <v>-6.0157729405060027E-2</v>
      </c>
      <c r="I35" s="95">
        <f ca="1">IF(B35=TODAY(),0,-$I$6*(Sheet1!CG37-Sheet1!CG36)*7.48/1000000)</f>
        <v>-4.4924879999999837E-3</v>
      </c>
      <c r="J35" s="96" t="s">
        <v>186</v>
      </c>
      <c r="K35" s="95">
        <f ca="1">IF(B35=TODAY(),0,-$K$6*(Sheet1!CH37-Sheet1!CH36)*7.48/1000000)</f>
        <v>-6.6633203744584186E-3</v>
      </c>
      <c r="L35" s="96" t="s">
        <v>186</v>
      </c>
      <c r="M35" s="95">
        <f ca="1">IF(B35=TODAY(),0,-$M$6*(Sheet1!CI37-Sheet1!CI36)*7.48/1000000)</f>
        <v>0</v>
      </c>
      <c r="N35" s="95">
        <f ca="1">IF(B35=TODAY(),0,-$N$6*(Sheet1!CJ37-Sheet1!CJ36)*7.48/1000000)</f>
        <v>0.12410469078924848</v>
      </c>
      <c r="O35" s="95">
        <f t="shared" ca="1" si="7"/>
        <v>-0.96807466785839069</v>
      </c>
      <c r="P35" s="95">
        <f ca="1">O35+Calculation!ES35</f>
        <v>1.9443814955607255</v>
      </c>
      <c r="Q35" s="90" t="str">
        <f>IF(Sheet1!BQ37&gt;25.75,"spill elevation","-")</f>
        <v>-</v>
      </c>
      <c r="R35" s="90" t="str">
        <f>IF(Sheet1!BQ37&gt;25.75,"spill elevation","-")</f>
        <v>-</v>
      </c>
      <c r="S35" s="90" t="str">
        <f>IF(Sheet1!BR37&gt;25.75,"spill elevation","-")</f>
        <v>-</v>
      </c>
      <c r="T35" s="94">
        <f>IF(Sheet1!DU37=1,Sheet1!AA37-(SUM(AT35:BA35)+BE35),Sheet1!AA37-SUM(AT35:BA35))</f>
        <v>17.850383999999998</v>
      </c>
      <c r="U35" s="94">
        <f>Sheet1!BV37</f>
        <v>22.2</v>
      </c>
      <c r="V35" s="94">
        <f t="shared" si="8"/>
        <v>-4.349616000000001</v>
      </c>
      <c r="W35" s="94">
        <f>0</f>
        <v>0</v>
      </c>
      <c r="X35" s="90">
        <f>0</f>
        <v>0</v>
      </c>
      <c r="Y35" s="95">
        <f ca="1">Calculation!EJ36+Calculation!ES35+'Calculations II'!O35-'Calculations II'!W35</f>
        <v>49.412525495560729</v>
      </c>
      <c r="Z35" s="95">
        <f ca="1">Y35-Sheet1!CT38</f>
        <v>33.226525495560729</v>
      </c>
      <c r="AA35" s="95">
        <f ca="1">Y35+Calculation!DJ36+Calculation!AS36</f>
        <v>56.629298319339924</v>
      </c>
      <c r="AC35" s="95">
        <f>Sheet1!AA37+Sheet1!AB37+BC35</f>
        <v>49.116175999999996</v>
      </c>
      <c r="AD35" s="95">
        <f>Sheet1!AA37+Sheet1!BN37+'Calculations II'!BC35-Calculation!AS35-Calculation!DJ35</f>
        <v>34.555312588818119</v>
      </c>
      <c r="AE35" s="95">
        <f>Sheet1!AA37+Sheet1!AB37+'Calculations II'!BC35-Calculation!AS35-Calculation!DJ35</f>
        <v>41.855312588818116</v>
      </c>
      <c r="AF35" s="95">
        <f ca="1">Sheet1!AA37+Sheet1!BN37+P35+'Calculations II'!BC35+Calculation!AS35+Calculation!DJ35</f>
        <v>51.021420906742605</v>
      </c>
      <c r="AG35" s="95">
        <f ca="1">IF(B35=TODAY(),0,Sheet1!AA37+Sheet1!BN37+'Calculations II'!BC35+'Calculations II'!P35-Sheet1!CT37-BP35)</f>
        <v>27.521557495560725</v>
      </c>
      <c r="AH35" s="95">
        <f ca="1">IF(B35=TODAY(),0,Sheet1!AA37+Sheet1!BN37+'Calculations II'!BC35+'Calculations II'!P35-BP35)</f>
        <v>43.760557495560725</v>
      </c>
      <c r="AI35" s="95">
        <f ca="1">IF(B35=TODAY(),0,BC35+Sheet1!AA37+Calculation!ES35+O35+W35+Sheet1!BN37+Calculation!AS35+Calculation!DJ35-BP35)</f>
        <v>51.021420906742605</v>
      </c>
      <c r="AJ35" s="95"/>
      <c r="AM35" s="91">
        <f t="shared" si="9"/>
        <v>41663</v>
      </c>
      <c r="AN35" s="95">
        <f>Sheet1!BU37</f>
        <v>19.100000000000001</v>
      </c>
      <c r="AO35" s="95">
        <f>Sheet1!AA37</f>
        <v>19.54</v>
      </c>
      <c r="AP35" s="95">
        <f t="shared" si="1"/>
        <v>-2.7423000000000055</v>
      </c>
      <c r="AQ35" s="1055">
        <f>((Sheet1!BV37-(Sheet1!BU37-AP35))/(Sheet1!BU37-AP35))</f>
        <v>1.6376480498848128E-2</v>
      </c>
      <c r="AR35" s="95">
        <f t="shared" si="2"/>
        <v>22.282300000000006</v>
      </c>
      <c r="AS35" s="95">
        <f t="shared" si="3"/>
        <v>21.842300000000009</v>
      </c>
      <c r="AT35" s="90">
        <f>Sheet1!BB37</f>
        <v>1</v>
      </c>
      <c r="AU35" s="90">
        <f>Sheet1!AS37*GPMtoMGD</f>
        <v>2.8080000000000001E-2</v>
      </c>
      <c r="AV35" s="95">
        <f>Sheet1!AT37</f>
        <v>0</v>
      </c>
      <c r="AW35" s="90">
        <f>Sheet1!AV37*GPMtoMGD</f>
        <v>0.23875200000000002</v>
      </c>
      <c r="AX35" s="90">
        <f>Sheet1!AW37*GPMtoMGD</f>
        <v>0.42278400000000005</v>
      </c>
      <c r="AY35" s="90">
        <f>Sheet1!AX37*GPMtoMGD</f>
        <v>0</v>
      </c>
      <c r="AZ35" s="90">
        <f>Sheet1!AY37*GPMtoMGD</f>
        <v>0</v>
      </c>
      <c r="BA35" s="90">
        <f>Sheet1!AZ37*GPMtoMGD</f>
        <v>0</v>
      </c>
      <c r="BB35" s="90">
        <f>Sheet1!BP37*GPMtoMGD</f>
        <v>0</v>
      </c>
      <c r="BC35" s="90">
        <f>Sheet1!CS37*GPMtoMGD</f>
        <v>15.376176000000001</v>
      </c>
      <c r="BD35" s="90">
        <f>Sheet1!BO37*GPMtoMGD</f>
        <v>1.4338080000000002</v>
      </c>
      <c r="BE35" s="90">
        <f>Sheet1!BW37*GPMtoMGD</f>
        <v>0.67132800000000004</v>
      </c>
      <c r="BF35" s="90">
        <f>Sheet1!CN37*GPMtoMGD</f>
        <v>0.52560000000000007</v>
      </c>
      <c r="BG35" s="90">
        <f>Sheet1!CO37*GPMtoMGD</f>
        <v>0.42595200000000005</v>
      </c>
      <c r="BH35" s="90">
        <f>Sheet1!CP37*GPMtoMGD</f>
        <v>0.63792000000000004</v>
      </c>
      <c r="BI35" s="90">
        <f t="shared" si="10"/>
        <v>1.4338080000000002</v>
      </c>
      <c r="BK35" s="95">
        <f>SUM(AT35:BA35,BE35,Sheet1!BV37,'Calculations II'!BC35,Calculation!AQ35)</f>
        <v>46.871302590233547</v>
      </c>
      <c r="BM35" s="373">
        <f>0</f>
        <v>0</v>
      </c>
      <c r="BN35" s="373">
        <f>0</f>
        <v>0</v>
      </c>
      <c r="BP35" s="95">
        <f>SUM(BM35:BN35,W35,Sheet1!DX37)</f>
        <v>0</v>
      </c>
    </row>
    <row r="36" spans="1:68" s="90" customFormat="1">
      <c r="A36" s="651" t="s">
        <v>9</v>
      </c>
      <c r="B36" s="92">
        <v>41664</v>
      </c>
      <c r="C36" s="93">
        <v>0</v>
      </c>
      <c r="D36" s="95">
        <f>(Sheet1!BQ38-Sheet1!BQ37)*1.385</f>
        <v>-2.0913499999999972</v>
      </c>
      <c r="E36" s="30">
        <f>(Sheet1!BR38-Sheet1!BR37)*1.385</f>
        <v>-2.1467499999999959</v>
      </c>
      <c r="F36" s="30">
        <f ca="1">IF(B36=TODAY(),0,-(VLOOKUP(Sheet1!CD38,Lookup!$I$4:$J$216,2)-VLOOKUP(Sheet1!CD37,Lookup!$I$4:$J$216,2))/1000000)</f>
        <v>0.41454775419119744</v>
      </c>
      <c r="G36" s="95">
        <f ca="1">IF(B36=TODAY(),0,-$G$6*(Sheet1!CF38-Sheet1!CF37)*7.48/1000000)</f>
        <v>0.23828100631535634</v>
      </c>
      <c r="H36" s="95">
        <f ca="1">IF(B36=TODAY(),0,-$H$6*(Sheet1!CE38-Sheet1!CE37)*7.48/1000000)</f>
        <v>0</v>
      </c>
      <c r="I36" s="95">
        <f ca="1">IF(B36=TODAY(),0,-$I$6*(Sheet1!CG38-Sheet1!CG37)*7.48/1000000)</f>
        <v>-3.5939903999999995E-2</v>
      </c>
      <c r="J36" s="96" t="s">
        <v>186</v>
      </c>
      <c r="K36" s="95">
        <f ca="1">IF(B36=TODAY(),0,-$K$6*(Sheet1!CH38-Sheet1!CH37)*7.48/1000000)</f>
        <v>-6.6633203744584424E-2</v>
      </c>
      <c r="L36" s="96" t="s">
        <v>186</v>
      </c>
      <c r="M36" s="95">
        <f ca="1">IF(B36=TODAY(),0,-$M$6*(Sheet1!CI38-Sheet1!CI37)*7.48/1000000)</f>
        <v>-0.17991508428027048</v>
      </c>
      <c r="N36" s="95">
        <f ca="1">IF(B36=TODAY(),0,-$N$6*(Sheet1!CJ38-Sheet1!CJ37)*7.48/1000000)</f>
        <v>-2.482093815785013E-2</v>
      </c>
      <c r="O36" s="95">
        <f t="shared" ca="1" si="7"/>
        <v>0.34551963032384869</v>
      </c>
      <c r="P36" s="95">
        <f ca="1">O36+Calculation!ES36</f>
        <v>4.5037164275520132</v>
      </c>
      <c r="Q36" s="90" t="str">
        <f>IF(Sheet1!BQ38&gt;25.75,"spill elevation","-")</f>
        <v>-</v>
      </c>
      <c r="R36" s="90" t="str">
        <f>IF(Sheet1!BQ38&gt;25.75,"spill elevation","-")</f>
        <v>-</v>
      </c>
      <c r="S36" s="90" t="str">
        <f>IF(Sheet1!BR38&gt;25.75,"spill elevation","-")</f>
        <v>-</v>
      </c>
      <c r="T36" s="94">
        <f>IF(Sheet1!DU38=1,Sheet1!AA38-(SUM(AT36:BA36)+BE36),Sheet1!AA38-SUM(AT36:BA36))</f>
        <v>17.619807999999999</v>
      </c>
      <c r="U36" s="94">
        <f>Sheet1!BV38</f>
        <v>23.8</v>
      </c>
      <c r="V36" s="94">
        <f t="shared" si="8"/>
        <v>-6.1801920000000017</v>
      </c>
      <c r="W36" s="94">
        <f>0</f>
        <v>0</v>
      </c>
      <c r="X36" s="90">
        <f>0</f>
        <v>0</v>
      </c>
      <c r="Y36" s="95">
        <f ca="1">Calculation!EJ37+Calculation!ES36+'Calculations II'!O36-'Calculations II'!W36</f>
        <v>51.930884427552016</v>
      </c>
      <c r="Z36" s="95">
        <f ca="1">Y36-Sheet1!CT39</f>
        <v>35.385884427552014</v>
      </c>
      <c r="AA36" s="95">
        <f ca="1">Y36+Calculation!DJ37+Calculation!AS37</f>
        <v>59.140394167581768</v>
      </c>
      <c r="AC36" s="95">
        <f>Sheet1!AA38+Sheet1!AB38+BC36</f>
        <v>47.468144000000002</v>
      </c>
      <c r="AD36" s="95">
        <f>Sheet1!AA38+Sheet1!BN38+'Calculations II'!BC36-Calculation!AS36-Calculation!DJ36</f>
        <v>33.051371176220805</v>
      </c>
      <c r="AE36" s="95">
        <f>Sheet1!AA38+Sheet1!AB38+'Calculations II'!BC36-Calculation!AS36-Calculation!DJ36</f>
        <v>40.251371176220808</v>
      </c>
      <c r="AF36" s="95">
        <f ca="1">Sheet1!AA38+Sheet1!BN38+P36+'Calculations II'!BC36+Calculation!AS36+Calculation!DJ36</f>
        <v>51.988633251331208</v>
      </c>
      <c r="AG36" s="95">
        <f ca="1">IF(B36=TODAY(),0,Sheet1!AA38+Sheet1!BN38+'Calculations II'!BC36+'Calculations II'!P36-Sheet1!CT38-BP36)</f>
        <v>28.585860427552014</v>
      </c>
      <c r="AH36" s="95">
        <f ca="1">IF(B36=TODAY(),0,Sheet1!AA38+Sheet1!BN38+'Calculations II'!BC36+'Calculations II'!P36-BP36)</f>
        <v>44.771860427552014</v>
      </c>
      <c r="AI36" s="95">
        <f ca="1">IF(B36=TODAY(),0,BC36+Sheet1!AA38+Calculation!ES36+O36+W36+Sheet1!BN38+Calculation!AS36+Calculation!DJ36-BP36)</f>
        <v>51.988633251331208</v>
      </c>
      <c r="AJ36" s="95"/>
      <c r="AM36" s="91">
        <f t="shared" si="9"/>
        <v>41664</v>
      </c>
      <c r="AN36" s="95">
        <f>Sheet1!BU38</f>
        <v>19</v>
      </c>
      <c r="AO36" s="95">
        <f>Sheet1!AA38</f>
        <v>19.579999999999998</v>
      </c>
      <c r="AP36" s="95">
        <f t="shared" si="1"/>
        <v>-4.2380999999999931</v>
      </c>
      <c r="AQ36" s="1055">
        <f>((Sheet1!BV38-(Sheet1!BU38-AP36))/(Sheet1!BU38-AP36))</f>
        <v>2.4180117995877833E-2</v>
      </c>
      <c r="AR36" s="95">
        <f t="shared" si="2"/>
        <v>23.818099999999991</v>
      </c>
      <c r="AS36" s="95">
        <f t="shared" si="3"/>
        <v>23.238099999999992</v>
      </c>
      <c r="AT36" s="90">
        <f>Sheet1!BB38</f>
        <v>1</v>
      </c>
      <c r="AU36" s="90">
        <f>Sheet1!AS38*GPMtoMGD</f>
        <v>1.7136000000000002E-2</v>
      </c>
      <c r="AV36" s="95">
        <f>Sheet1!AT38</f>
        <v>0</v>
      </c>
      <c r="AW36" s="90">
        <f>Sheet1!AV38*GPMtoMGD</f>
        <v>0.36720000000000003</v>
      </c>
      <c r="AX36" s="90">
        <f>Sheet1!AW38*GPMtoMGD</f>
        <v>0.57585600000000003</v>
      </c>
      <c r="AY36" s="90">
        <f>Sheet1!AX38*GPMtoMGD</f>
        <v>0</v>
      </c>
      <c r="AZ36" s="90">
        <f>Sheet1!AY38*GPMtoMGD</f>
        <v>0</v>
      </c>
      <c r="BA36" s="90">
        <f>Sheet1!AZ38*GPMtoMGD</f>
        <v>0</v>
      </c>
      <c r="BB36" s="90">
        <f>Sheet1!BP38*GPMtoMGD</f>
        <v>0</v>
      </c>
      <c r="BC36" s="90">
        <f>Sheet1!CS38*GPMtoMGD</f>
        <v>13.788144000000001</v>
      </c>
      <c r="BD36" s="90">
        <f>Sheet1!BO38*GPMtoMGD</f>
        <v>1.7966880000000003</v>
      </c>
      <c r="BE36" s="90">
        <f>Sheet1!BW38*GPMtoMGD</f>
        <v>0.97819199999999995</v>
      </c>
      <c r="BF36" s="90">
        <f>Sheet1!CN38*GPMtoMGD</f>
        <v>0.713808</v>
      </c>
      <c r="BG36" s="90">
        <f>Sheet1!CO38*GPMtoMGD</f>
        <v>0.48326400000000008</v>
      </c>
      <c r="BH36" s="90">
        <f>Sheet1!CP38*GPMtoMGD</f>
        <v>0.62064000000000008</v>
      </c>
      <c r="BI36" s="90">
        <f t="shared" si="10"/>
        <v>1.7966880000000003</v>
      </c>
      <c r="BK36" s="95">
        <f>SUM(AT36:BA36,BE36,Sheet1!BV38,'Calculations II'!BC36,Calculation!AQ36)</f>
        <v>47.411878318471338</v>
      </c>
      <c r="BM36" s="373">
        <f>0</f>
        <v>0</v>
      </c>
      <c r="BN36" s="373">
        <f>0</f>
        <v>0</v>
      </c>
      <c r="BP36" s="95">
        <f>SUM(BM36:BN36,W36,Sheet1!DX38)</f>
        <v>0</v>
      </c>
    </row>
    <row r="37" spans="1:68" s="90" customFormat="1">
      <c r="A37" s="651" t="s">
        <v>3</v>
      </c>
      <c r="B37" s="92">
        <v>41665</v>
      </c>
      <c r="C37" s="93">
        <v>0</v>
      </c>
      <c r="D37" s="95">
        <f>(Sheet1!BQ39-Sheet1!BQ38)*1.385</f>
        <v>-2.3267999999999995</v>
      </c>
      <c r="E37" s="30">
        <f>(Sheet1!BR39-Sheet1!BR38)*1.385</f>
        <v>-2.3129500000000025</v>
      </c>
      <c r="F37" s="30">
        <f ca="1">IF(B37=TODAY(),0,-(VLOOKUP(Sheet1!CD39,Lookup!$I$4:$J$216,2)-VLOOKUP(Sheet1!CD38,Lookup!$I$4:$J$216,2))/1000000)</f>
        <v>0.41454775419119744</v>
      </c>
      <c r="G37" s="95">
        <f ca="1">IF(B37=TODAY(),0,-$G$6*(Sheet1!CF39-Sheet1!CF38)*7.48/1000000)</f>
        <v>0.19856750526279648</v>
      </c>
      <c r="H37" s="95">
        <f ca="1">IF(B37=TODAY(),0,-$H$6*(Sheet1!CE39-Sheet1!CE38)*7.48/1000000)</f>
        <v>1.5039432351265274E-2</v>
      </c>
      <c r="I37" s="95">
        <f ca="1">IF(B37=TODAY(),0,-$I$6*(Sheet1!CG39-Sheet1!CG38)*7.48/1000000)</f>
        <v>-3.1447416000000006E-2</v>
      </c>
      <c r="J37" s="96" t="s">
        <v>186</v>
      </c>
      <c r="K37" s="95">
        <f ca="1">IF(B37=TODAY(),0,-$K$6*(Sheet1!CH39-Sheet1!CH38)*7.48/1000000)</f>
        <v>-5.3306562995667592E-2</v>
      </c>
      <c r="L37" s="96" t="s">
        <v>186</v>
      </c>
      <c r="M37" s="95">
        <f ca="1">IF(B37=TODAY(),0,-$M$6*(Sheet1!CI39-Sheet1!CI38)*7.48/1000000)</f>
        <v>-0.14393206742421652</v>
      </c>
      <c r="N37" s="95">
        <f ca="1">IF(B37=TODAY(),0,-$N$6*(Sheet1!CJ39-Sheet1!CJ38)*7.48/1000000)</f>
        <v>0.27303031973634484</v>
      </c>
      <c r="O37" s="95">
        <f t="shared" ca="1" si="7"/>
        <v>0.67249896512171992</v>
      </c>
      <c r="P37" s="95">
        <f ca="1">O37+Calculation!ES37</f>
        <v>5.2431823001542508</v>
      </c>
      <c r="Q37" s="90" t="str">
        <f>IF(Sheet1!BQ39&gt;25.75,"spill elevation","-")</f>
        <v>-</v>
      </c>
      <c r="R37" s="90" t="str">
        <f>IF(Sheet1!BQ39&gt;25.75,"spill elevation","-")</f>
        <v>-</v>
      </c>
      <c r="S37" s="90" t="str">
        <f>IF(Sheet1!BR39&gt;25.75,"spill elevation","-")</f>
        <v>-</v>
      </c>
      <c r="T37" s="94">
        <f>IF(Sheet1!DU39=1,Sheet1!AA39-(SUM(AT37:BA37)+BE37),Sheet1!AA39-SUM(AT37:BA37))</f>
        <v>17.164808000000001</v>
      </c>
      <c r="U37" s="94">
        <f>Sheet1!BV39</f>
        <v>23.7</v>
      </c>
      <c r="V37" s="94">
        <f t="shared" si="8"/>
        <v>-6.5351919999999986</v>
      </c>
      <c r="W37" s="94">
        <f>0</f>
        <v>0</v>
      </c>
      <c r="X37" s="90">
        <f>0</f>
        <v>0</v>
      </c>
      <c r="Y37" s="95">
        <f ca="1">Calculation!EJ38+Calculation!ES37+'Calculations II'!O37-'Calculations II'!W37</f>
        <v>58.624238300154246</v>
      </c>
      <c r="Z37" s="95">
        <f ca="1">Y37-Sheet1!CT40</f>
        <v>41.237238300154246</v>
      </c>
      <c r="AA37" s="95">
        <f ca="1">Y37+Calculation!DJ38+Calculation!AS38</f>
        <v>65.882822188020597</v>
      </c>
      <c r="AC37" s="95">
        <f>Sheet1!AA39+Sheet1!AB39+BC37</f>
        <v>47.427168000000002</v>
      </c>
      <c r="AD37" s="95">
        <f>Sheet1!AA39+Sheet1!BN39+'Calculations II'!BC37-Calculation!AS37-Calculation!DJ37</f>
        <v>33.017658259970247</v>
      </c>
      <c r="AE37" s="95">
        <f>Sheet1!AA39+Sheet1!AB39+'Calculations II'!BC37-Calculation!AS37-Calculation!DJ37</f>
        <v>40.21765825997025</v>
      </c>
      <c r="AF37" s="95">
        <f ca="1">Sheet1!AA39+Sheet1!BN39+P37+'Calculations II'!BC37+Calculation!AS37+Calculation!DJ37</f>
        <v>52.679860040184003</v>
      </c>
      <c r="AG37" s="95">
        <f ca="1">IF(B37=TODAY(),0,Sheet1!AA39+Sheet1!BN39+'Calculations II'!BC37+'Calculations II'!P37-Sheet1!CT39-BP37)</f>
        <v>28.92535030015425</v>
      </c>
      <c r="AH37" s="95">
        <f ca="1">IF(B37=TODAY(),0,Sheet1!AA39+Sheet1!BN39+'Calculations II'!BC37+'Calculations II'!P37-BP37)</f>
        <v>45.470350300154251</v>
      </c>
      <c r="AI37" s="95">
        <f ca="1">IF(B37=TODAY(),0,BC37+Sheet1!AA39+Calculation!ES37+O37+W37+Sheet1!BN39+Calculation!AS37+Calculation!DJ37-BP37)</f>
        <v>52.679860040183996</v>
      </c>
      <c r="AJ37" s="95"/>
      <c r="AM37" s="91">
        <f t="shared" si="9"/>
        <v>41665</v>
      </c>
      <c r="AN37" s="95">
        <f>Sheet1!BU39</f>
        <v>18.600000000000001</v>
      </c>
      <c r="AO37" s="95">
        <f>Sheet1!AA39</f>
        <v>19.68</v>
      </c>
      <c r="AP37" s="95">
        <f t="shared" si="1"/>
        <v>-4.639750000000002</v>
      </c>
      <c r="AQ37" s="1055">
        <f>((Sheet1!BV39-(Sheet1!BU39-AP37))/(Sheet1!BU39-AP37))</f>
        <v>1.9804429909960085E-2</v>
      </c>
      <c r="AR37" s="95">
        <f t="shared" si="2"/>
        <v>24.319750000000003</v>
      </c>
      <c r="AS37" s="95">
        <f t="shared" si="3"/>
        <v>23.239750000000004</v>
      </c>
      <c r="AT37" s="90">
        <f>Sheet1!BB39</f>
        <v>0.997</v>
      </c>
      <c r="AU37" s="90">
        <f>Sheet1!AS39*GPMtoMGD</f>
        <v>3.1248000000000001E-2</v>
      </c>
      <c r="AV37" s="95">
        <f>Sheet1!AT39</f>
        <v>0</v>
      </c>
      <c r="AW37" s="90">
        <f>Sheet1!AV39*GPMtoMGD</f>
        <v>0.65592000000000006</v>
      </c>
      <c r="AX37" s="90">
        <f>Sheet1!AW39*GPMtoMGD</f>
        <v>0.8310240000000001</v>
      </c>
      <c r="AY37" s="90">
        <f>Sheet1!AX39*GPMtoMGD</f>
        <v>0</v>
      </c>
      <c r="AZ37" s="90">
        <f>Sheet1!AY39*GPMtoMGD</f>
        <v>0</v>
      </c>
      <c r="BA37" s="90">
        <f>Sheet1!AZ39*GPMtoMGD</f>
        <v>0</v>
      </c>
      <c r="BB37" s="90">
        <f>Sheet1!BP39*GPMtoMGD</f>
        <v>0</v>
      </c>
      <c r="BC37" s="90">
        <f>Sheet1!CS39*GPMtoMGD</f>
        <v>13.647168000000002</v>
      </c>
      <c r="BD37" s="90">
        <f>Sheet1!BO39*GPMtoMGD</f>
        <v>1.8161280000000002</v>
      </c>
      <c r="BE37" s="90">
        <f>Sheet1!BW39*GPMtoMGD</f>
        <v>0.71323200000000009</v>
      </c>
      <c r="BF37" s="90">
        <f>Sheet1!CN39*GPMtoMGD</f>
        <v>0.82353600000000005</v>
      </c>
      <c r="BG37" s="90">
        <f>Sheet1!CO39*GPMtoMGD</f>
        <v>0.50126400000000004</v>
      </c>
      <c r="BH37" s="90">
        <f>Sheet1!CP39*GPMtoMGD</f>
        <v>0.62395200000000006</v>
      </c>
      <c r="BI37" s="90">
        <f t="shared" si="10"/>
        <v>1.8161280000000002</v>
      </c>
      <c r="BK37" s="95">
        <f>SUM(AT37:BA37,BE37,Sheet1!BV39,'Calculations II'!BC37,Calculation!AQ37)</f>
        <v>47.467282869164833</v>
      </c>
      <c r="BM37" s="373">
        <f>0</f>
        <v>0</v>
      </c>
      <c r="BN37" s="373">
        <f>0</f>
        <v>0</v>
      </c>
      <c r="BP37" s="95">
        <f>SUM(BM37:BN37,W37,Sheet1!DX39)</f>
        <v>0</v>
      </c>
    </row>
    <row r="38" spans="1:68" s="90" customFormat="1">
      <c r="A38" s="651" t="s">
        <v>4</v>
      </c>
      <c r="B38" s="92">
        <v>41666</v>
      </c>
      <c r="C38" s="93">
        <v>0</v>
      </c>
      <c r="D38" s="95">
        <f>(Sheet1!BQ40-Sheet1!BQ39)*1.385</f>
        <v>-1.5235000000000021</v>
      </c>
      <c r="E38" s="30">
        <f>(Sheet1!BR40-Sheet1!BR39)*1.385</f>
        <v>-1.5096499999999997</v>
      </c>
      <c r="F38" s="30">
        <f ca="1">IF(B38=TODAY(),0,-(VLOOKUP(Sheet1!CD40,Lookup!$I$4:$J$216,2)-VLOOKUP(Sheet1!CD39,Lookup!$I$4:$J$216,2))/1000000)</f>
        <v>-1.2436432625735998</v>
      </c>
      <c r="G38" s="95">
        <f ca="1">IF(B38=TODAY(),0,-$G$6*(Sheet1!CF40-Sheet1!CF39)*7.48/1000000)</f>
        <v>-1.191405031576779</v>
      </c>
      <c r="H38" s="95">
        <f ca="1">IF(B38=TODAY(),0,-$H$6*(Sheet1!CE40-Sheet1!CE39)*7.48/1000000)</f>
        <v>3.0078864702529479E-2</v>
      </c>
      <c r="I38" s="95">
        <f ca="1">IF(B38=TODAY(),0,-$I$6*(Sheet1!CG40-Sheet1!CG39)*7.48/1000000)</f>
        <v>-1.796995199999998E-2</v>
      </c>
      <c r="J38" s="96" t="s">
        <v>186</v>
      </c>
      <c r="K38" s="95">
        <f ca="1">IF(B38=TODAY(),0,-$K$6*(Sheet1!CH40-Sheet1!CH39)*7.48/1000000)</f>
        <v>-2.6653281497833674E-2</v>
      </c>
      <c r="L38" s="96" t="s">
        <v>186</v>
      </c>
      <c r="M38" s="95">
        <f ca="1">IF(B38=TODAY(),0,-$M$6*(Sheet1!CI40-Sheet1!CI39)*7.48/1000000)</f>
        <v>-7.1966033712107941E-2</v>
      </c>
      <c r="N38" s="95">
        <f ca="1">IF(B38=TODAY(),0,-$N$6*(Sheet1!CJ40-Sheet1!CJ39)*7.48/1000000)</f>
        <v>-0.93078518091935858</v>
      </c>
      <c r="O38" s="95">
        <f t="shared" ca="1" si="7"/>
        <v>-3.4523438775771496</v>
      </c>
      <c r="P38" s="95">
        <f ca="1">O38+Calculation!ES38</f>
        <v>-0.40715894406637654</v>
      </c>
      <c r="Q38" s="90" t="str">
        <f>IF(Sheet1!BQ40&gt;25.75,"spill elevation","-")</f>
        <v>-</v>
      </c>
      <c r="R38" s="90" t="str">
        <f>IF(Sheet1!BQ40&gt;25.75,"spill elevation","-")</f>
        <v>-</v>
      </c>
      <c r="S38" s="90" t="str">
        <f>IF(Sheet1!BR40&gt;25.75,"spill elevation","-")</f>
        <v>-</v>
      </c>
      <c r="T38" s="94">
        <f>IF(Sheet1!DU40=1,Sheet1!AA40-(SUM(AT38:BA38)+BE38),Sheet1!AA40-SUM(AT38:BA38))</f>
        <v>17.563472000000001</v>
      </c>
      <c r="U38" s="94">
        <f>Sheet1!BV40</f>
        <v>22.4</v>
      </c>
      <c r="V38" s="94">
        <f t="shared" si="8"/>
        <v>-4.8365279999999977</v>
      </c>
      <c r="W38" s="94">
        <f>0</f>
        <v>0</v>
      </c>
      <c r="X38" s="90">
        <f>0</f>
        <v>0</v>
      </c>
      <c r="Y38" s="95">
        <f ca="1">Calculation!EJ39+Calculation!ES38+'Calculations II'!O38-'Calculations II'!W38</f>
        <v>55.992217055933629</v>
      </c>
      <c r="Z38" s="95">
        <f ca="1">Y38-Sheet1!CT41</f>
        <v>40.12021705593363</v>
      </c>
      <c r="AA38" s="95">
        <f ca="1">Y38+Calculation!DJ39+Calculation!AS39</f>
        <v>63.102922598411695</v>
      </c>
      <c r="AC38" s="95">
        <f>Sheet1!AA40+Sheet1!AB40+BC38</f>
        <v>53.381056000000001</v>
      </c>
      <c r="AD38" s="95">
        <f>Sheet1!AA40+Sheet1!BN40+'Calculations II'!BC38-Calculation!AS38-Calculation!DJ38</f>
        <v>38.82247211213366</v>
      </c>
      <c r="AE38" s="95">
        <f>Sheet1!AA40+Sheet1!AB40+'Calculations II'!BC38-Calculation!AS38-Calculation!DJ38</f>
        <v>46.122472112133657</v>
      </c>
      <c r="AF38" s="95">
        <f ca="1">Sheet1!AA40+Sheet1!BN40+P38+'Calculations II'!BC38+Calculation!AS38+Calculation!DJ38</f>
        <v>52.932480943799966</v>
      </c>
      <c r="AG38" s="95">
        <f ca="1">IF(B38=TODAY(),0,Sheet1!AA40+Sheet1!BN40+'Calculations II'!BC38+'Calculations II'!P38-Sheet1!CT40-BP38)</f>
        <v>28.286897055933629</v>
      </c>
      <c r="AH38" s="95">
        <f ca="1">IF(B38=TODAY(),0,Sheet1!AA40+Sheet1!BN40+'Calculations II'!BC38+'Calculations II'!P38-BP38)</f>
        <v>45.673897055933629</v>
      </c>
      <c r="AI38" s="95">
        <f ca="1">IF(B38=TODAY(),0,BC38+Sheet1!AA40+Calculation!ES38+O38+W38+Sheet1!BN40+Calculation!AS38+Calculation!DJ38-BP38)</f>
        <v>52.932480943799966</v>
      </c>
      <c r="AJ38" s="95"/>
      <c r="AM38" s="91">
        <f t="shared" si="9"/>
        <v>41666</v>
      </c>
      <c r="AN38" s="95">
        <f>Sheet1!BU40</f>
        <v>18.899999999999999</v>
      </c>
      <c r="AO38" s="95">
        <f>Sheet1!AA40</f>
        <v>19.5</v>
      </c>
      <c r="AP38" s="95">
        <f t="shared" si="1"/>
        <v>-3.0331500000000018</v>
      </c>
      <c r="AQ38" s="1055">
        <f>((Sheet1!BV40-(Sheet1!BU40-AP38))/(Sheet1!BU40-AP38))</f>
        <v>2.1285132322534487E-2</v>
      </c>
      <c r="AR38" s="95">
        <f t="shared" si="2"/>
        <v>22.533150000000003</v>
      </c>
      <c r="AS38" s="95">
        <f t="shared" si="3"/>
        <v>21.933150000000001</v>
      </c>
      <c r="AT38" s="90">
        <f>Sheet1!BB40</f>
        <v>1.006</v>
      </c>
      <c r="AU38" s="90">
        <f>Sheet1!AS40*GPMtoMGD</f>
        <v>1.584E-2</v>
      </c>
      <c r="AV38" s="95">
        <f>Sheet1!AT40</f>
        <v>0</v>
      </c>
      <c r="AW38" s="90">
        <f>Sheet1!AV40*GPMtoMGD</f>
        <v>0.6081120000000001</v>
      </c>
      <c r="AX38" s="90">
        <f>Sheet1!AW40*GPMtoMGD</f>
        <v>0.30657600000000002</v>
      </c>
      <c r="AY38" s="90">
        <f>Sheet1!AX40*GPMtoMGD</f>
        <v>0</v>
      </c>
      <c r="AZ38" s="90">
        <f>Sheet1!AY40*GPMtoMGD</f>
        <v>0</v>
      </c>
      <c r="BA38" s="90">
        <f>Sheet1!AZ40*GPMtoMGD</f>
        <v>0</v>
      </c>
      <c r="BB38" s="90">
        <f>Sheet1!BP40*GPMtoMGD</f>
        <v>0</v>
      </c>
      <c r="BC38" s="90">
        <f>Sheet1!CS40*GPMtoMGD</f>
        <v>19.681056000000002</v>
      </c>
      <c r="BD38" s="90">
        <f>Sheet1!BO40*GPMtoMGD</f>
        <v>1.5840000000000001</v>
      </c>
      <c r="BE38" s="90">
        <f>Sheet1!BW40*GPMtoMGD</f>
        <v>0.97228800000000015</v>
      </c>
      <c r="BF38" s="90">
        <f>Sheet1!CN40*GPMtoMGD</f>
        <v>0.65793599999999997</v>
      </c>
      <c r="BG38" s="90">
        <f>Sheet1!CO40*GPMtoMGD</f>
        <v>0.44625599999999999</v>
      </c>
      <c r="BH38" s="90">
        <f>Sheet1!CP40*GPMtoMGD</f>
        <v>0.65059200000000006</v>
      </c>
      <c r="BI38" s="90">
        <f t="shared" si="10"/>
        <v>1.5840000000000001</v>
      </c>
      <c r="BK38" s="95">
        <f>SUM(AT38:BA38,BE38,Sheet1!BV40,'Calculations II'!BC38,Calculation!AQ38)</f>
        <v>51.926018113549489</v>
      </c>
      <c r="BM38" s="373">
        <f>0</f>
        <v>0</v>
      </c>
      <c r="BN38" s="373">
        <f>0</f>
        <v>0</v>
      </c>
      <c r="BP38" s="95">
        <f>SUM(BM38:BN38,W38,Sheet1!DX40)</f>
        <v>0</v>
      </c>
    </row>
    <row r="39" spans="1:68" s="90" customFormat="1">
      <c r="A39" s="651" t="s">
        <v>5</v>
      </c>
      <c r="B39" s="92">
        <v>41667</v>
      </c>
      <c r="C39" s="93">
        <v>0</v>
      </c>
      <c r="D39" s="95">
        <f>(Sheet1!BQ41-Sheet1!BQ40)*1.385</f>
        <v>3.5594500000000004</v>
      </c>
      <c r="E39" s="30">
        <f>(Sheet1!BR41-Sheet1!BR40)*1.385</f>
        <v>3.5594500000000004</v>
      </c>
      <c r="F39" s="30">
        <f ca="1">IF(B39=TODAY(),0,-(VLOOKUP(Sheet1!CD41,Lookup!$I$4:$J$216,2)-VLOOKUP(Sheet1!CD40,Lookup!$I$4:$J$216,2))/1000000)</f>
        <v>0.10363693854779936</v>
      </c>
      <c r="G39" s="95">
        <f ca="1">IF(B39=TODAY(),0,-$G$6*(Sheet1!CF41-Sheet1!CF40)*7.48/1000000)</f>
        <v>0.15885400421023663</v>
      </c>
      <c r="H39" s="95">
        <f ca="1">IF(B39=TODAY(),0,-$H$6*(Sheet1!CE41-Sheet1!CE40)*7.48/1000000)</f>
        <v>1.5039432351265274E-2</v>
      </c>
      <c r="I39" s="95">
        <f ca="1">IF(B39=TODAY(),0,-$I$6*(Sheet1!CG41-Sheet1!CG40)*7.48/1000000)</f>
        <v>-4.4924880000000635E-3</v>
      </c>
      <c r="J39" s="96" t="s">
        <v>186</v>
      </c>
      <c r="K39" s="95">
        <f ca="1">IF(B39=TODAY(),0,-$K$6*(Sheet1!CH41-Sheet1!CH40)*7.48/1000000)</f>
        <v>-6.6633203744585374E-3</v>
      </c>
      <c r="L39" s="96" t="s">
        <v>186</v>
      </c>
      <c r="M39" s="95">
        <f ca="1">IF(B39=TODAY(),0,-$M$6*(Sheet1!CI41-Sheet1!CI40)*7.48/1000000)</f>
        <v>-3.598301685605397E-2</v>
      </c>
      <c r="N39" s="95">
        <f ca="1">IF(B39=TODAY(),0,-$N$6*(Sheet1!CJ41-Sheet1!CJ40)*7.48/1000000)</f>
        <v>0.37231407236774428</v>
      </c>
      <c r="O39" s="95">
        <f t="shared" ca="1" si="7"/>
        <v>0.6027056222465329</v>
      </c>
      <c r="P39" s="95">
        <f ca="1">O39+Calculation!ES39</f>
        <v>-6.4589543671958305</v>
      </c>
      <c r="Q39" s="90" t="str">
        <f>IF(Sheet1!BQ41&gt;25.75,"spill elevation","-")</f>
        <v>-</v>
      </c>
      <c r="R39" s="90" t="str">
        <f>IF(Sheet1!BQ41&gt;25.75,"spill elevation","-")</f>
        <v>-</v>
      </c>
      <c r="S39" s="90" t="str">
        <f>IF(Sheet1!BR41&gt;25.75,"spill elevation","-")</f>
        <v>-</v>
      </c>
      <c r="T39" s="94">
        <f>IF(Sheet1!DU41=1,Sheet1!AA41-(SUM(AT39:BA39)+BE39),Sheet1!AA41-SUM(AT39:BA39))</f>
        <v>17.646856</v>
      </c>
      <c r="U39" s="94">
        <f>Sheet1!BV41</f>
        <v>12.3</v>
      </c>
      <c r="V39" s="94">
        <f t="shared" si="8"/>
        <v>5.3468559999999989</v>
      </c>
      <c r="W39" s="94">
        <f>0</f>
        <v>0</v>
      </c>
      <c r="X39" s="90">
        <f>0</f>
        <v>0</v>
      </c>
      <c r="Y39" s="95">
        <f ca="1">Calculation!EJ40+Calculation!ES39+'Calculations II'!O39-'Calculations II'!W39</f>
        <v>41.190037632804177</v>
      </c>
      <c r="Z39" s="95">
        <f ca="1">Y39-Sheet1!CT42</f>
        <v>25.261037632804175</v>
      </c>
      <c r="AA39" s="95">
        <f ca="1">Y39+Calculation!DJ40+Calculation!AS40</f>
        <v>48.276478388385179</v>
      </c>
      <c r="AC39" s="95">
        <f>Sheet1!AA41+Sheet1!AB41+BC39</f>
        <v>56.399376000000004</v>
      </c>
      <c r="AD39" s="95">
        <f>Sheet1!AA41+Sheet1!BN41+'Calculations II'!BC39-Calculation!AS39-Calculation!DJ39</f>
        <v>42.188670457521937</v>
      </c>
      <c r="AE39" s="95">
        <f>Sheet1!AA41+Sheet1!AB41+'Calculations II'!BC39-Calculation!AS39-Calculation!DJ39</f>
        <v>49.288670457521938</v>
      </c>
      <c r="AF39" s="95">
        <f ca="1">Sheet1!AA41+Sheet1!BN41+P39+'Calculations II'!BC39+Calculation!AS39+Calculation!DJ39</f>
        <v>49.951127175282238</v>
      </c>
      <c r="AG39" s="95">
        <f ca="1">IF(B39=TODAY(),0,Sheet1!AA41+Sheet1!BN41+'Calculations II'!BC39+'Calculations II'!P39-Sheet1!CT41-BP39)</f>
        <v>26.968421632804173</v>
      </c>
      <c r="AH39" s="95">
        <f ca="1">IF(B39=TODAY(),0,Sheet1!AA41+Sheet1!BN41+'Calculations II'!BC39+'Calculations II'!P39-BP39)</f>
        <v>42.840421632804173</v>
      </c>
      <c r="AI39" s="95">
        <f ca="1">IF(B39=TODAY(),0,BC39+Sheet1!AA41+Calculation!ES39+O39+W39+Sheet1!BN41+Calculation!AS39+Calculation!DJ39-BP39)</f>
        <v>49.951127175282238</v>
      </c>
      <c r="AJ39" s="95"/>
      <c r="AM39" s="91">
        <f t="shared" si="9"/>
        <v>41667</v>
      </c>
      <c r="AN39" s="95">
        <f>Sheet1!BU41</f>
        <v>18.8</v>
      </c>
      <c r="AO39" s="95">
        <f>Sheet1!AA41</f>
        <v>19.600000000000001</v>
      </c>
      <c r="AP39" s="95">
        <f t="shared" si="1"/>
        <v>7.1189000000000009</v>
      </c>
      <c r="AQ39" s="1055">
        <f>((Sheet1!BV41-(Sheet1!BU41-AP39))/(Sheet1!BU41-AP39))</f>
        <v>5.2983023859054366E-2</v>
      </c>
      <c r="AR39" s="95">
        <f t="shared" si="2"/>
        <v>12.481100000000001</v>
      </c>
      <c r="AS39" s="95">
        <f t="shared" si="3"/>
        <v>11.681100000000001</v>
      </c>
      <c r="AT39" s="90">
        <f>Sheet1!BB41</f>
        <v>0.999</v>
      </c>
      <c r="AU39" s="90">
        <f>Sheet1!AS41*GPMtoMGD</f>
        <v>3.0960000000000001E-2</v>
      </c>
      <c r="AV39" s="95">
        <f>Sheet1!AT41</f>
        <v>0</v>
      </c>
      <c r="AW39" s="90">
        <f>Sheet1!AV41*GPMtoMGD</f>
        <v>0.85708800000000007</v>
      </c>
      <c r="AX39" s="90">
        <f>Sheet1!AW41*GPMtoMGD</f>
        <v>6.6096000000000002E-2</v>
      </c>
      <c r="AY39" s="90">
        <f>Sheet1!AX41*GPMtoMGD</f>
        <v>0</v>
      </c>
      <c r="AZ39" s="90">
        <f>Sheet1!AY41*GPMtoMGD</f>
        <v>0</v>
      </c>
      <c r="BA39" s="90">
        <f>Sheet1!AZ41*GPMtoMGD</f>
        <v>0</v>
      </c>
      <c r="BB39" s="90">
        <f>Sheet1!BP41*GPMtoMGD</f>
        <v>0</v>
      </c>
      <c r="BC39" s="90">
        <f>Sheet1!CS41*GPMtoMGD</f>
        <v>22.799376000000002</v>
      </c>
      <c r="BD39" s="90">
        <f>Sheet1!BO41*GPMtoMGD</f>
        <v>1.468512</v>
      </c>
      <c r="BE39" s="90">
        <f>Sheet1!BW41*GPMtoMGD</f>
        <v>0.6755040000000001</v>
      </c>
      <c r="BF39" s="90">
        <f>Sheet1!CN41*GPMtoMGD</f>
        <v>0.53351999999999999</v>
      </c>
      <c r="BG39" s="90">
        <f>Sheet1!CO41*GPMtoMGD</f>
        <v>0.43430400000000008</v>
      </c>
      <c r="BH39" s="90">
        <f>Sheet1!CP41*GPMtoMGD</f>
        <v>0.65160000000000007</v>
      </c>
      <c r="BI39" s="90">
        <f t="shared" si="10"/>
        <v>1.468512</v>
      </c>
      <c r="BK39" s="95">
        <f>SUM(AT39:BA39,BE39,Sheet1!BV41,'Calculations II'!BC39,Calculation!AQ39)</f>
        <v>44.618672405735083</v>
      </c>
      <c r="BM39" s="373">
        <f>0</f>
        <v>0</v>
      </c>
      <c r="BN39" s="373">
        <f>0</f>
        <v>0</v>
      </c>
      <c r="BP39" s="95">
        <f>SUM(BM39:BN39,W39,Sheet1!DX41)</f>
        <v>0</v>
      </c>
    </row>
    <row r="40" spans="1:68" s="90" customFormat="1">
      <c r="A40" s="651" t="s">
        <v>6</v>
      </c>
      <c r="B40" s="92">
        <v>41668</v>
      </c>
      <c r="C40" s="93">
        <v>0</v>
      </c>
      <c r="D40" s="95">
        <f>(Sheet1!BQ42-Sheet1!BQ41)*1.385</f>
        <v>-1.1357000000000004</v>
      </c>
      <c r="E40" s="30">
        <f>(Sheet1!BR42-Sheet1!BR41)*1.385</f>
        <v>-1.1633999999999998</v>
      </c>
      <c r="F40" s="30">
        <f ca="1">IF(B40=TODAY(),0,-(VLOOKUP(Sheet1!CD42,Lookup!$I$4:$J$216,2)-VLOOKUP(Sheet1!CD41,Lookup!$I$4:$J$216,2))/1000000)</f>
        <v>0.51818469273900425</v>
      </c>
      <c r="G40" s="95">
        <f ca="1">IF(B40=TODAY(),0,-$G$6*(Sheet1!CF42-Sheet1!CF41)*7.48/1000000)</f>
        <v>0.15885400421023735</v>
      </c>
      <c r="H40" s="95">
        <f ca="1">IF(B40=TODAY(),0,-$H$6*(Sheet1!CE42-Sheet1!CE41)*7.48/1000000)</f>
        <v>-0.12031545881012005</v>
      </c>
      <c r="I40" s="95">
        <f ca="1">IF(B40=TODAY(),0,-$I$6*(Sheet1!CG42-Sheet1!CG41)*7.48/1000000)</f>
        <v>4.4924880000000635E-3</v>
      </c>
      <c r="J40" s="96" t="s">
        <v>186</v>
      </c>
      <c r="K40" s="95">
        <f ca="1">IF(B40=TODAY(),0,-$K$6*(Sheet1!CH42-Sheet1!CH41)*7.48/1000000)</f>
        <v>6.6633203744585374E-3</v>
      </c>
      <c r="L40" s="96" t="s">
        <v>186</v>
      </c>
      <c r="M40" s="95">
        <f ca="1">IF(B40=TODAY(),0,-$M$6*(Sheet1!CI42-Sheet1!CI41)*7.48/1000000)</f>
        <v>-3.5983016856054602E-2</v>
      </c>
      <c r="N40" s="95">
        <f ca="1">IF(B40=TODAY(),0,-$N$6*(Sheet1!CJ42-Sheet1!CJ41)*7.48/1000000)</f>
        <v>0.12410469078924735</v>
      </c>
      <c r="O40" s="95">
        <f t="shared" ca="1" si="7"/>
        <v>0.65600072044677282</v>
      </c>
      <c r="P40" s="95">
        <f ca="1">O40+Calculation!ES40</f>
        <v>2.8723210870791895</v>
      </c>
      <c r="Q40" s="90" t="str">
        <f>IF(Sheet1!BQ42&gt;25.75,"spill elevation","-")</f>
        <v>-</v>
      </c>
      <c r="R40" s="90" t="str">
        <f>IF(Sheet1!BQ42&gt;25.75,"spill elevation","-")</f>
        <v>-</v>
      </c>
      <c r="S40" s="90" t="str">
        <f>IF(Sheet1!BR42&gt;25.75,"spill elevation","-")</f>
        <v>-</v>
      </c>
      <c r="T40" s="94">
        <f>IF(Sheet1!DU42=1,Sheet1!AA42-(SUM(AT40:BA40)+BE40),Sheet1!AA42-SUM(AT40:BA40))</f>
        <v>17.018335999999998</v>
      </c>
      <c r="U40" s="94">
        <f>Sheet1!BV42</f>
        <v>21.5</v>
      </c>
      <c r="V40" s="94">
        <f t="shared" si="8"/>
        <v>-4.4816640000000021</v>
      </c>
      <c r="W40" s="94">
        <f>0</f>
        <v>0</v>
      </c>
      <c r="X40" s="90">
        <f>0</f>
        <v>0</v>
      </c>
      <c r="Y40" s="95">
        <f ca="1">Calculation!EJ41+Calculation!ES40+'Calculations II'!O40-'Calculations II'!W40</f>
        <v>52.060017087079189</v>
      </c>
      <c r="Z40" s="95">
        <f ca="1">Y40-Sheet1!CT43</f>
        <v>38.473017087079185</v>
      </c>
      <c r="AA40" s="95">
        <f ca="1">Y40+Calculation!DJ41+Calculation!AS41</f>
        <v>59.203595973390094</v>
      </c>
      <c r="AC40" s="95">
        <f>Sheet1!AA42+Sheet1!AB42+BC40</f>
        <v>47.648992000000007</v>
      </c>
      <c r="AD40" s="95">
        <f>Sheet1!AA42+Sheet1!BN42+'Calculations II'!BC40-Calculation!AS40-Calculation!DJ40</f>
        <v>33.462551244419004</v>
      </c>
      <c r="AE40" s="95">
        <f>Sheet1!AA42+Sheet1!AB42+'Calculations II'!BC40-Calculation!AS40-Calculation!DJ40</f>
        <v>40.562551244419012</v>
      </c>
      <c r="AF40" s="95">
        <f ca="1">Sheet1!AA42+Sheet1!BN42+P40+'Calculations II'!BC40+Calculation!AS40+Calculation!DJ40</f>
        <v>50.507753842660193</v>
      </c>
      <c r="AG40" s="95">
        <f ca="1">IF(B40=TODAY(),0,Sheet1!AA42+Sheet1!BN42+'Calculations II'!BC40+'Calculations II'!P40-Sheet1!CT42-BP40)</f>
        <v>27.492313087079182</v>
      </c>
      <c r="AH40" s="95">
        <f ca="1">IF(B40=TODAY(),0,Sheet1!AA42+Sheet1!BN42+'Calculations II'!BC40+'Calculations II'!P40-BP40)</f>
        <v>43.421313087079184</v>
      </c>
      <c r="AI40" s="95">
        <f ca="1">IF(B40=TODAY(),0,BC40+Sheet1!AA42+Calculation!ES40+O40+W40+Sheet1!BN42+Calculation!AS40+Calculation!DJ40-BP40)</f>
        <v>50.507753842660179</v>
      </c>
      <c r="AJ40" s="95"/>
      <c r="AM40" s="91">
        <f t="shared" si="9"/>
        <v>41668</v>
      </c>
      <c r="AN40" s="95">
        <f>Sheet1!BU42</f>
        <v>18.600000000000001</v>
      </c>
      <c r="AO40" s="95">
        <f>Sheet1!AA42</f>
        <v>19.7</v>
      </c>
      <c r="AP40" s="95">
        <f t="shared" si="1"/>
        <v>-2.2991000000000001</v>
      </c>
      <c r="AQ40" s="1055">
        <f>((Sheet1!BV42-(Sheet1!BU42-AP40))/(Sheet1!BU42-AP40))</f>
        <v>2.8752434315353258E-2</v>
      </c>
      <c r="AR40" s="95">
        <f t="shared" si="2"/>
        <v>21.999099999999999</v>
      </c>
      <c r="AS40" s="95">
        <f t="shared" si="3"/>
        <v>20.899100000000001</v>
      </c>
      <c r="AT40" s="90">
        <f>Sheet1!BB42</f>
        <v>0.996</v>
      </c>
      <c r="AU40" s="90">
        <f>Sheet1!AS42*GPMtoMGD</f>
        <v>1.584E-2</v>
      </c>
      <c r="AV40" s="95">
        <f>Sheet1!AT42</f>
        <v>0</v>
      </c>
      <c r="AW40" s="90">
        <f>Sheet1!AV42*GPMtoMGD</f>
        <v>0.76276800000000011</v>
      </c>
      <c r="AX40" s="90">
        <f>Sheet1!AW42*GPMtoMGD</f>
        <v>0.90705599999999997</v>
      </c>
      <c r="AY40" s="90">
        <f>Sheet1!AX42*GPMtoMGD</f>
        <v>0</v>
      </c>
      <c r="AZ40" s="90">
        <f>Sheet1!AY42*GPMtoMGD</f>
        <v>0</v>
      </c>
      <c r="BA40" s="90">
        <f>Sheet1!AZ42*GPMtoMGD</f>
        <v>0</v>
      </c>
      <c r="BB40" s="90">
        <f>Sheet1!BP42*GPMtoMGD</f>
        <v>0</v>
      </c>
      <c r="BC40" s="90">
        <f>Sheet1!CS42*GPMtoMGD</f>
        <v>13.948992000000001</v>
      </c>
      <c r="BD40" s="90">
        <f>Sheet1!BO42*GPMtoMGD</f>
        <v>1.4683680000000001</v>
      </c>
      <c r="BE40" s="90">
        <f>Sheet1!BW42*GPMtoMGD</f>
        <v>0.96091199999999999</v>
      </c>
      <c r="BF40" s="90">
        <f>Sheet1!CN42*GPMtoMGD</f>
        <v>0.58060800000000001</v>
      </c>
      <c r="BG40" s="90">
        <f>Sheet1!CO42*GPMtoMGD</f>
        <v>0.45504000000000006</v>
      </c>
      <c r="BH40" s="90">
        <f>Sheet1!CP42*GPMtoMGD</f>
        <v>0.651312</v>
      </c>
      <c r="BI40" s="90">
        <f t="shared" si="10"/>
        <v>1.4683680000000001</v>
      </c>
      <c r="BK40" s="95">
        <f>SUM(AT40:BA40,BE40,Sheet1!BV42,'Calculations II'!BC40,Calculation!AQ40)</f>
        <v>46.003416883800796</v>
      </c>
      <c r="BM40" s="373">
        <f>0</f>
        <v>0</v>
      </c>
      <c r="BN40" s="373">
        <f>0</f>
        <v>0</v>
      </c>
      <c r="BP40" s="95">
        <f>SUM(BM40:BN40,W40,Sheet1!DX42)</f>
        <v>0</v>
      </c>
    </row>
    <row r="41" spans="1:68" s="90" customFormat="1">
      <c r="A41" s="651" t="s">
        <v>7</v>
      </c>
      <c r="B41" s="92">
        <v>41669</v>
      </c>
      <c r="C41" s="93">
        <v>0</v>
      </c>
      <c r="D41" s="95">
        <f>(Sheet1!BQ43-Sheet1!BQ42)*1.385</f>
        <v>0.11080000000000256</v>
      </c>
      <c r="E41" s="30">
        <f>(Sheet1!BR43-Sheet1!BR42)*1.385</f>
        <v>0.13850000000000198</v>
      </c>
      <c r="F41" s="30">
        <f ca="1">IF(B41=TODAY(),0,-(VLOOKUP(Sheet1!CD43,Lookup!$I$4:$J$216,2)-VLOOKUP(Sheet1!CD42,Lookup!$I$4:$J$216,2))/1000000)</f>
        <v>-1.1400063240258005</v>
      </c>
      <c r="G41" s="95">
        <f ca="1">IF(B41=TODAY(),0,-$G$6*(Sheet1!CF43-Sheet1!CF42)*7.48/1000000)</f>
        <v>0.19856750526279648</v>
      </c>
      <c r="H41" s="95">
        <f ca="1">IF(B41=TODAY(),0,-$H$6*(Sheet1!CE43-Sheet1!CE42)*7.48/1000000)</f>
        <v>3.0078864702529479E-2</v>
      </c>
      <c r="I41" s="95">
        <f ca="1">IF(B41=TODAY(),0,-$I$6*(Sheet1!CG43-Sheet1!CG42)*7.48/1000000)</f>
        <v>-4.4924880000000635E-3</v>
      </c>
      <c r="J41" s="96" t="s">
        <v>186</v>
      </c>
      <c r="K41" s="95">
        <f ca="1">IF(B41=TODAY(),0,-$K$6*(Sheet1!CH43-Sheet1!CH42)*7.48/1000000)</f>
        <v>-1.3326640748916953E-2</v>
      </c>
      <c r="L41" s="96" t="s">
        <v>186</v>
      </c>
      <c r="M41" s="95">
        <f ca="1">IF(B41=TODAY(),0,-$M$6*(Sheet1!CI43-Sheet1!CI42)*7.48/1000000)</f>
        <v>3.0585564327646288E-2</v>
      </c>
      <c r="N41" s="95">
        <f ca="1">IF(B41=TODAY(),0,-$N$6*(Sheet1!CJ43-Sheet1!CJ42)*7.48/1000000)</f>
        <v>-0.16754133256548429</v>
      </c>
      <c r="O41" s="95">
        <f t="shared" ca="1" si="7"/>
        <v>-1.0661348510472295</v>
      </c>
      <c r="P41" s="95">
        <f ca="1">O41+Calculation!ES41</f>
        <v>-1.3431300343750907</v>
      </c>
      <c r="Q41" s="90" t="str">
        <f>IF(Sheet1!BQ43&gt;25.75,"spill elevation","-")</f>
        <v>-</v>
      </c>
      <c r="R41" s="90" t="str">
        <f>IF(Sheet1!BQ43&gt;25.75,"spill elevation","-")</f>
        <v>-</v>
      </c>
      <c r="S41" s="90" t="str">
        <f>IF(Sheet1!BR43&gt;25.75,"spill elevation","-")</f>
        <v>-</v>
      </c>
      <c r="T41" s="94">
        <f>IF(Sheet1!DU43=1,Sheet1!AA43-(SUM(AT41:BA41)+BE41),Sheet1!AA43-SUM(AT41:BA41))</f>
        <v>17.364879999999999</v>
      </c>
      <c r="U41" s="94">
        <f>Sheet1!BV43</f>
        <v>18.899999999999999</v>
      </c>
      <c r="V41" s="94">
        <f t="shared" si="8"/>
        <v>-1.5351199999999992</v>
      </c>
      <c r="W41" s="94">
        <f>0</f>
        <v>0</v>
      </c>
      <c r="X41" s="90">
        <f>0</f>
        <v>0</v>
      </c>
      <c r="Y41" s="95">
        <f ca="1">Calculation!EJ42+Calculation!ES41+'Calculations II'!O41-'Calculations II'!W41</f>
        <v>49.356757965624908</v>
      </c>
      <c r="Z41" s="95">
        <f ca="1">Y41-Sheet1!CT44</f>
        <v>33.16675796562491</v>
      </c>
      <c r="AA41" s="95">
        <f ca="1">Y41+Calculation!DJ42+Calculation!AS42</f>
        <v>56.913043356338385</v>
      </c>
      <c r="AC41" s="95">
        <f>Sheet1!AA43+Sheet1!AB43+BC41</f>
        <v>49.187696000000003</v>
      </c>
      <c r="AD41" s="95">
        <f>Sheet1!AA43+Sheet1!BN43+'Calculations II'!BC41-Calculation!AS41-Calculation!DJ41</f>
        <v>34.894117113689092</v>
      </c>
      <c r="AE41" s="95">
        <f>Sheet1!AA43+Sheet1!AB43+'Calculations II'!BC41-Calculation!AS41-Calculation!DJ41</f>
        <v>42.044117113689097</v>
      </c>
      <c r="AF41" s="95">
        <f ca="1">Sheet1!AA43+Sheet1!BN43+P41+'Calculations II'!BC41+Calculation!AS41+Calculation!DJ41</f>
        <v>47.838144851935809</v>
      </c>
      <c r="AG41" s="95">
        <f ca="1">IF(B41=TODAY(),0,Sheet1!AA43+Sheet1!BN43+'Calculations II'!BC41+'Calculations II'!P41-Sheet1!CT43-BP41)</f>
        <v>27.107565965624904</v>
      </c>
      <c r="AH41" s="95">
        <f ca="1">IF(B41=TODAY(),0,Sheet1!AA43+Sheet1!BN43+'Calculations II'!BC41+'Calculations II'!P41-BP41)</f>
        <v>40.694565965624903</v>
      </c>
      <c r="AI41" s="95">
        <f ca="1">IF(B41=TODAY(),0,BC41+Sheet1!AA43+Calculation!ES41+O41+W41+Sheet1!BN43+Calculation!AS41+Calculation!DJ41-BP41)</f>
        <v>47.838144851935809</v>
      </c>
      <c r="AJ41" s="95"/>
      <c r="AM41" s="91">
        <f t="shared" si="9"/>
        <v>41669</v>
      </c>
      <c r="AN41" s="95">
        <f>Sheet1!BU43</f>
        <v>18.600000000000001</v>
      </c>
      <c r="AO41" s="95">
        <f>Sheet1!AA43</f>
        <v>19.7</v>
      </c>
      <c r="AP41" s="95">
        <f t="shared" si="1"/>
        <v>0.24930000000000455</v>
      </c>
      <c r="AQ41" s="1055">
        <f>((Sheet1!BV43-(Sheet1!BU43-AP41))/(Sheet1!BU43-AP41))</f>
        <v>2.9933463028658441E-2</v>
      </c>
      <c r="AR41" s="95">
        <f t="shared" si="2"/>
        <v>19.450699999999994</v>
      </c>
      <c r="AS41" s="95">
        <f t="shared" si="3"/>
        <v>18.350699999999996</v>
      </c>
      <c r="AT41" s="90">
        <f>Sheet1!BB43</f>
        <v>0.97</v>
      </c>
      <c r="AU41" s="90">
        <f>Sheet1!AS43*GPMtoMGD</f>
        <v>3.1392000000000003E-2</v>
      </c>
      <c r="AV41" s="95">
        <f>Sheet1!AT43</f>
        <v>0</v>
      </c>
      <c r="AW41" s="90">
        <f>Sheet1!AV43*GPMtoMGD</f>
        <v>0.51969600000000005</v>
      </c>
      <c r="AX41" s="90">
        <f>Sheet1!AW43*GPMtoMGD</f>
        <v>0.81403199999999998</v>
      </c>
      <c r="AY41" s="90">
        <f>Sheet1!AX43*GPMtoMGD</f>
        <v>0</v>
      </c>
      <c r="AZ41" s="90">
        <f>Sheet1!AY43*GPMtoMGD</f>
        <v>0</v>
      </c>
      <c r="BA41" s="90">
        <f>Sheet1!AZ43*GPMtoMGD</f>
        <v>0</v>
      </c>
      <c r="BB41" s="90">
        <f>Sheet1!BP43*GPMtoMGD</f>
        <v>0</v>
      </c>
      <c r="BC41" s="90">
        <f>Sheet1!CS43*GPMtoMGD</f>
        <v>12.237696</v>
      </c>
      <c r="BD41" s="90">
        <f>Sheet1!BO43*GPMtoMGD</f>
        <v>1.4683680000000001</v>
      </c>
      <c r="BE41" s="90">
        <f>Sheet1!BW43*GPMtoMGD</f>
        <v>0.68112000000000006</v>
      </c>
      <c r="BF41" s="90">
        <f>Sheet1!CN43*GPMtoMGD</f>
        <v>0.61027200000000004</v>
      </c>
      <c r="BG41" s="90">
        <f>Sheet1!CO43*GPMtoMGD</f>
        <v>0.47203200000000006</v>
      </c>
      <c r="BH41" s="90">
        <f>Sheet1!CP43*GPMtoMGD</f>
        <v>0.65390400000000004</v>
      </c>
      <c r="BI41" s="90">
        <f t="shared" si="10"/>
        <v>1.4683680000000001</v>
      </c>
      <c r="BK41" s="95">
        <f>SUM(AT41:BA41,BE41,Sheet1!BV43,'Calculations II'!BC41,Calculation!AQ41)</f>
        <v>44.259794468677498</v>
      </c>
      <c r="BM41" s="373">
        <f>0</f>
        <v>0</v>
      </c>
      <c r="BN41" s="373">
        <f>0</f>
        <v>0</v>
      </c>
      <c r="BP41" s="95">
        <f>SUM(BM41:BN41,W41,Sheet1!DX43)</f>
        <v>0</v>
      </c>
    </row>
    <row r="42" spans="1:68" s="90" customFormat="1">
      <c r="A42" s="651" t="s">
        <v>8</v>
      </c>
      <c r="B42" s="92">
        <v>41670</v>
      </c>
      <c r="C42" s="93">
        <v>0</v>
      </c>
      <c r="D42" s="95">
        <f>(Sheet1!BQ44-Sheet1!BQ43)*1.385</f>
        <v>0.51244999999999641</v>
      </c>
      <c r="E42" s="30">
        <f>(Sheet1!BR44-Sheet1!BR43)*1.385</f>
        <v>0.48474999999999707</v>
      </c>
      <c r="F42" s="30">
        <f ca="1">IF(B42=TODAY(),0,-(VLOOKUP(Sheet1!CD44,Lookup!$I$4:$J$216,2)-VLOOKUP(Sheet1!CD43,Lookup!$I$4:$J$216,2))/1000000)</f>
        <v>-0.10363693854779936</v>
      </c>
      <c r="G42" s="95">
        <f ca="1">IF(B42=TODAY(),0,-$G$6*(Sheet1!CF44-Sheet1!CF43)*7.48/1000000)</f>
        <v>0.15885400421023735</v>
      </c>
      <c r="H42" s="95">
        <f ca="1">IF(B42=TODAY(),0,-$H$6*(Sheet1!CE44-Sheet1!CE43)*7.48/1000000)</f>
        <v>0</v>
      </c>
      <c r="I42" s="95">
        <f ca="1">IF(B42=TODAY(),0,-$I$6*(Sheet1!CG44-Sheet1!CG43)*7.48/1000000)</f>
        <v>-4.4924879999999837E-3</v>
      </c>
      <c r="J42" s="96" t="s">
        <v>186</v>
      </c>
      <c r="K42" s="95">
        <f ca="1">IF(B42=TODAY(),0,-$K$6*(Sheet1!CH44-Sheet1!CH43)*7.48/1000000)</f>
        <v>0</v>
      </c>
      <c r="L42" s="96" t="s">
        <v>186</v>
      </c>
      <c r="M42" s="95">
        <f ca="1">IF(B42=TODAY(),0,-$M$6*(Sheet1!CI44-Sheet1!CI43)*7.48/1000000)</f>
        <v>-1.2594055899618985E-2</v>
      </c>
      <c r="N42" s="95">
        <f ca="1">IF(B42=TODAY(),0,-$N$6*(Sheet1!CJ44-Sheet1!CJ43)*7.48/1000000)</f>
        <v>-0.18615703618387214</v>
      </c>
      <c r="O42" s="95">
        <f t="shared" ca="1" si="7"/>
        <v>-0.14802651442105311</v>
      </c>
      <c r="P42" s="95">
        <f ca="1">O42+Calculation!ES42</f>
        <v>-1.1176121962680405</v>
      </c>
      <c r="Q42" s="90" t="str">
        <f>IF(Sheet1!BQ44&gt;25.75,"spill elevation","-")</f>
        <v>-</v>
      </c>
      <c r="R42" s="90" t="str">
        <f>IF(Sheet1!BQ44&gt;25.75,"spill elevation","-")</f>
        <v>-</v>
      </c>
      <c r="S42" s="90" t="str">
        <f>IF(Sheet1!BR44&gt;25.75,"spill elevation","-")</f>
        <v>-</v>
      </c>
      <c r="T42" s="94">
        <f>IF(Sheet1!DU44=1,Sheet1!AA44-(SUM(AT42:BA42)+BE42),Sheet1!AA44-SUM(AT42:BA42))</f>
        <v>18.006720000000001</v>
      </c>
      <c r="U42" s="94">
        <f>Sheet1!BV44</f>
        <v>18.899999999999999</v>
      </c>
      <c r="V42" s="94">
        <f t="shared" si="8"/>
        <v>-0.89327999999999719</v>
      </c>
      <c r="W42" s="94">
        <f>0</f>
        <v>0</v>
      </c>
      <c r="X42" s="90">
        <f>0</f>
        <v>0</v>
      </c>
      <c r="Y42" s="95">
        <f ca="1">Calculation!EJ43+Calculation!ES42+'Calculations II'!O42-'Calculations II'!W42</f>
        <v>49.291635803731957</v>
      </c>
      <c r="Z42" s="95">
        <f ca="1">Y42-Sheet1!CT45</f>
        <v>33.581635803731956</v>
      </c>
      <c r="AA42" s="95">
        <f ca="1">Y42+Calculation!DJ43+Calculation!AS43</f>
        <v>56.541528737350802</v>
      </c>
      <c r="AC42" s="95">
        <f>Sheet1!AA44+Sheet1!AB44+BC42</f>
        <v>50.699888000000001</v>
      </c>
      <c r="AD42" s="95">
        <f>Sheet1!AA44+Sheet1!BN44+'Calculations II'!BC42-Calculation!AS42-Calculation!DJ42</f>
        <v>35.593602609286528</v>
      </c>
      <c r="AE42" s="95">
        <f>Sheet1!AA44+Sheet1!AB44+'Calculations II'!BC42-Calculation!AS42-Calculation!DJ42</f>
        <v>43.143602609286525</v>
      </c>
      <c r="AF42" s="95">
        <f ca="1">Sheet1!AA44+Sheet1!BN44+P42+'Calculations II'!BC42+Calculation!AS42+Calculation!DJ42</f>
        <v>49.58856119444544</v>
      </c>
      <c r="AG42" s="95">
        <f ca="1">IF(B42=TODAY(),0,Sheet1!AA44+Sheet1!BN44+'Calculations II'!BC42+'Calculations II'!P42-Sheet1!CT44-BP42)</f>
        <v>25.842275803731962</v>
      </c>
      <c r="AH42" s="95">
        <f ca="1">IF(B42=TODAY(),0,Sheet1!AA44+Sheet1!BN44+'Calculations II'!BC42+'Calculations II'!P42-BP42)</f>
        <v>42.032275803731963</v>
      </c>
      <c r="AI42" s="95">
        <f ca="1">IF(B42=TODAY(),0,BC42+Sheet1!AA44+Calculation!ES42+O42+W42+Sheet1!BN44+Calculation!AS42+Calculation!DJ42-BP42)</f>
        <v>49.58856119444544</v>
      </c>
      <c r="AJ42" s="95"/>
      <c r="AM42" s="91">
        <f t="shared" si="9"/>
        <v>41670</v>
      </c>
      <c r="AN42" s="95">
        <f>Sheet1!BU44</f>
        <v>19.399999999999999</v>
      </c>
      <c r="AO42" s="95">
        <f>Sheet1!AA44</f>
        <v>19.600000000000001</v>
      </c>
      <c r="AP42" s="95">
        <f t="shared" si="1"/>
        <v>0.99719999999999342</v>
      </c>
      <c r="AQ42" s="1055">
        <f>((Sheet1!BV44-(Sheet1!BU44-AP42))/(Sheet1!BU44-AP42))</f>
        <v>2.7017627752298136E-2</v>
      </c>
      <c r="AR42" s="95">
        <f t="shared" si="2"/>
        <v>18.602800000000009</v>
      </c>
      <c r="AS42" s="95">
        <f t="shared" si="3"/>
        <v>18.402800000000006</v>
      </c>
      <c r="AT42" s="90">
        <f>Sheet1!BB44</f>
        <v>1</v>
      </c>
      <c r="AU42" s="90">
        <f>Sheet1!AS44*GPMtoMGD</f>
        <v>1.5696000000000002E-2</v>
      </c>
      <c r="AV42" s="95">
        <f>Sheet1!AT44</f>
        <v>0</v>
      </c>
      <c r="AW42" s="90">
        <f>Sheet1!AV44*GPMtoMGD</f>
        <v>0.24177600000000002</v>
      </c>
      <c r="AX42" s="90">
        <f>Sheet1!AW44*GPMtoMGD</f>
        <v>0.335808</v>
      </c>
      <c r="AY42" s="90">
        <f>Sheet1!AX44*GPMtoMGD</f>
        <v>0</v>
      </c>
      <c r="AZ42" s="90">
        <f>Sheet1!AY44*GPMtoMGD</f>
        <v>0</v>
      </c>
      <c r="BA42" s="90">
        <f>Sheet1!AZ44*GPMtoMGD</f>
        <v>0</v>
      </c>
      <c r="BB42" s="90">
        <f>Sheet1!BP44*GPMtoMGD</f>
        <v>0</v>
      </c>
      <c r="BC42" s="90">
        <f>Sheet1!CS44*GPMtoMGD</f>
        <v>13.449888000000001</v>
      </c>
      <c r="BD42" s="90">
        <f>Sheet1!BO44*GPMtoMGD</f>
        <v>1.4250240000000001</v>
      </c>
      <c r="BE42" s="90">
        <f>Sheet1!BW44*GPMtoMGD</f>
        <v>0.7273440000000001</v>
      </c>
      <c r="BF42" s="90">
        <f>Sheet1!CN44*GPMtoMGD</f>
        <v>0.55036799999999997</v>
      </c>
      <c r="BG42" s="90">
        <f>Sheet1!CO44*GPMtoMGD</f>
        <v>0.436608</v>
      </c>
      <c r="BH42" s="90">
        <f>Sheet1!CP44*GPMtoMGD</f>
        <v>0.64958400000000005</v>
      </c>
      <c r="BI42" s="90">
        <f t="shared" si="10"/>
        <v>1.4250240000000001</v>
      </c>
      <c r="BK42" s="95">
        <f>SUM(AT42:BA42,BE42,Sheet1!BV44,'Calculations II'!BC42,Calculation!AQ42)</f>
        <v>44.764792860702151</v>
      </c>
      <c r="BM42" s="373">
        <f>0</f>
        <v>0</v>
      </c>
      <c r="BN42" s="373">
        <f>0</f>
        <v>0</v>
      </c>
      <c r="BP42" s="95">
        <f>SUM(BM42:BN42,W42,Sheet1!DX44)</f>
        <v>0</v>
      </c>
    </row>
    <row r="43" spans="1:68" s="90" customFormat="1">
      <c r="A43" s="651" t="s">
        <v>9</v>
      </c>
      <c r="B43" s="92">
        <v>41671</v>
      </c>
      <c r="C43" s="93">
        <v>0</v>
      </c>
      <c r="D43" s="95">
        <f>(Sheet1!BQ45-Sheet1!BQ44)*1.385</f>
        <v>1.7451000000000021</v>
      </c>
      <c r="E43" s="30">
        <f>(Sheet1!BR45-Sheet1!BR44)*1.385</f>
        <v>1.7589499999999993</v>
      </c>
      <c r="F43" s="30">
        <f ca="1">IF(B43=TODAY(),0,-(VLOOKUP(Sheet1!CD45,Lookup!$I$4:$J$216,2)-VLOOKUP(Sheet1!CD44,Lookup!$I$4:$J$216,2))/1000000)</f>
        <v>2.6945604022427965</v>
      </c>
      <c r="G43" s="95">
        <f ca="1">IF(B43=TODAY(),0,-$G$6*(Sheet1!CF45-Sheet1!CF44)*7.48/1000000)</f>
        <v>0.23828100631535562</v>
      </c>
      <c r="H43" s="95">
        <f ca="1">IF(B43=TODAY(),0,-$H$6*(Sheet1!CE45-Sheet1!CE44)*7.48/1000000)</f>
        <v>4.5118297053795817E-2</v>
      </c>
      <c r="I43" s="95">
        <f ca="1">IF(B43=TODAY(),0,-$I$6*(Sheet1!CG45-Sheet1!CG44)*7.48/1000000)</f>
        <v>1.7969952000000015E-2</v>
      </c>
      <c r="J43" s="96" t="s">
        <v>186</v>
      </c>
      <c r="K43" s="95">
        <f ca="1">IF(B43=TODAY(),0,-$K$6*(Sheet1!CH45-Sheet1!CH44)*7.48/1000000)</f>
        <v>2.6653281497833796E-2</v>
      </c>
      <c r="L43" s="96" t="s">
        <v>186</v>
      </c>
      <c r="M43" s="95">
        <f ca="1">IF(B43=TODAY(),0,-$M$6*(Sheet1!CI45-Sheet1!CI44)*7.48/1000000)</f>
        <v>7.1966033712107941E-2</v>
      </c>
      <c r="N43" s="95">
        <f ca="1">IF(B43=TODAY(),0,-$N$6*(Sheet1!CJ45-Sheet1!CJ44)*7.48/1000000)</f>
        <v>0.7198072065776373</v>
      </c>
      <c r="O43" s="95">
        <f t="shared" ca="1" si="7"/>
        <v>3.8143561793995273</v>
      </c>
      <c r="P43" s="95">
        <f ca="1">O43+Calculation!ES43</f>
        <v>0.35027557877821813</v>
      </c>
      <c r="Q43" s="90" t="str">
        <f>IF(Sheet1!BQ45&gt;25.75,"spill elevation","-")</f>
        <v>-</v>
      </c>
      <c r="R43" s="90" t="str">
        <f>IF(Sheet1!BQ45&gt;25.75,"spill elevation","-")</f>
        <v>-</v>
      </c>
      <c r="S43" s="90" t="str">
        <f>IF(Sheet1!BR45&gt;25.75,"spill elevation","-")</f>
        <v>-</v>
      </c>
      <c r="T43" s="94">
        <f>IF(Sheet1!DU45=1,Sheet1!AA45-(SUM(AT43:BA43)+BE43),Sheet1!AA45-SUM(AT43:BA43))</f>
        <v>17.416096</v>
      </c>
      <c r="U43" s="94">
        <f>Sheet1!BV45</f>
        <v>16</v>
      </c>
      <c r="V43" s="94">
        <f t="shared" si="8"/>
        <v>1.4160959999999996</v>
      </c>
      <c r="W43" s="94">
        <f>0</f>
        <v>0</v>
      </c>
      <c r="X43" s="90">
        <f>0</f>
        <v>0</v>
      </c>
      <c r="Y43" s="95">
        <f ca="1">Calculation!EJ44+Calculation!ES43+'Calculations II'!O43-'Calculations II'!W43</f>
        <v>50.182611578778214</v>
      </c>
      <c r="Z43" s="95">
        <f ca="1">Y43-Sheet1!CT46</f>
        <v>34.462611578778215</v>
      </c>
      <c r="AA43" s="95">
        <f ca="1">Y43+Calculation!DJ44+Calculation!AS44</f>
        <v>57.423048746919804</v>
      </c>
      <c r="AC43" s="95">
        <f>Sheet1!AA45+Sheet1!AB45+BC43</f>
        <v>50.409247999999998</v>
      </c>
      <c r="AD43" s="95">
        <f>Sheet1!AA45+Sheet1!BN45+'Calculations II'!BC43-Calculation!AS43-Calculation!DJ43</f>
        <v>35.859355066381156</v>
      </c>
      <c r="AE43" s="95">
        <f>Sheet1!AA45+Sheet1!AB45+'Calculations II'!BC43-Calculation!AS43-Calculation!DJ43</f>
        <v>43.159355066381153</v>
      </c>
      <c r="AF43" s="95">
        <f ca="1">Sheet1!AA45+Sheet1!BN45+P43+'Calculations II'!BC43+Calculation!AS43+Calculation!DJ43</f>
        <v>50.709416512397063</v>
      </c>
      <c r="AG43" s="95">
        <f ca="1">IF(B43=TODAY(),0,Sheet1!AA45+Sheet1!BN45+'Calculations II'!BC43+'Calculations II'!P43-Sheet1!CT45-BP43)</f>
        <v>27.749523578778216</v>
      </c>
      <c r="AH43" s="95">
        <f ca="1">IF(B43=TODAY(),0,Sheet1!AA45+Sheet1!BN45+'Calculations II'!BC43+'Calculations II'!P43-BP43)</f>
        <v>43.459523578778217</v>
      </c>
      <c r="AI43" s="95">
        <f ca="1">IF(B43=TODAY(),0,BC43+Sheet1!AA45+Calculation!ES43+O43+W43+Sheet1!BN45+Calculation!AS43+Calculation!DJ43-BP43)</f>
        <v>50.709416512397055</v>
      </c>
      <c r="AJ43" s="95"/>
      <c r="AM43" s="91">
        <f t="shared" si="9"/>
        <v>41671</v>
      </c>
      <c r="AN43" s="95">
        <f>Sheet1!BU45</f>
        <v>18.899999999999999</v>
      </c>
      <c r="AO43" s="95">
        <f>Sheet1!AA45</f>
        <v>19.7</v>
      </c>
      <c r="AP43" s="95">
        <f t="shared" si="1"/>
        <v>3.5040500000000012</v>
      </c>
      <c r="AQ43" s="1055">
        <f>((Sheet1!BV45-(Sheet1!BU45-AP43))/(Sheet1!BU45-AP43))</f>
        <v>3.9234344096986722E-2</v>
      </c>
      <c r="AR43" s="95">
        <f t="shared" si="2"/>
        <v>16.195949999999996</v>
      </c>
      <c r="AS43" s="95">
        <f t="shared" si="3"/>
        <v>15.395949999999997</v>
      </c>
      <c r="AT43" s="90">
        <f>Sheet1!BB45</f>
        <v>1</v>
      </c>
      <c r="AU43" s="90">
        <f>Sheet1!AS45*GPMtoMGD</f>
        <v>3.0816E-2</v>
      </c>
      <c r="AV43" s="95">
        <f>Sheet1!AT45</f>
        <v>0</v>
      </c>
      <c r="AW43" s="90">
        <f>Sheet1!AV45*GPMtoMGD</f>
        <v>0.56664000000000003</v>
      </c>
      <c r="AX43" s="90">
        <f>Sheet1!AW45*GPMtoMGD</f>
        <v>0.68644800000000006</v>
      </c>
      <c r="AY43" s="90">
        <f>Sheet1!AX45*GPMtoMGD</f>
        <v>0</v>
      </c>
      <c r="AZ43" s="90">
        <f>Sheet1!AY45*GPMtoMGD</f>
        <v>0</v>
      </c>
      <c r="BA43" s="90">
        <f>Sheet1!AZ45*GPMtoMGD</f>
        <v>0</v>
      </c>
      <c r="BB43" s="90">
        <f>Sheet1!BP45*GPMtoMGD</f>
        <v>0</v>
      </c>
      <c r="BC43" s="90">
        <f>Sheet1!CS45*GPMtoMGD</f>
        <v>16.609248000000001</v>
      </c>
      <c r="BD43" s="90">
        <f>Sheet1!BO45*GPMtoMGD</f>
        <v>1.5016320000000001</v>
      </c>
      <c r="BE43" s="90">
        <f>Sheet1!BW45*GPMtoMGD</f>
        <v>0.93398400000000004</v>
      </c>
      <c r="BF43" s="90">
        <f>Sheet1!CN45*GPMtoMGD</f>
        <v>0.73238400000000003</v>
      </c>
      <c r="BG43" s="90">
        <f>Sheet1!CO45*GPMtoMGD</f>
        <v>0.47923200000000005</v>
      </c>
      <c r="BH43" s="90">
        <f>Sheet1!CP45*GPMtoMGD</f>
        <v>0.64152000000000009</v>
      </c>
      <c r="BI43" s="90">
        <f t="shared" si="10"/>
        <v>1.5016320000000001</v>
      </c>
      <c r="BK43" s="95">
        <f>SUM(AT43:BA43,BE43,Sheet1!BV45,'Calculations II'!BC43,Calculation!AQ43)</f>
        <v>42.67081908351178</v>
      </c>
      <c r="BM43" s="373">
        <f>0</f>
        <v>0</v>
      </c>
      <c r="BN43" s="373">
        <f>0</f>
        <v>0</v>
      </c>
      <c r="BP43" s="95">
        <f>SUM(BM43:BN43,W43,Sheet1!DX45)</f>
        <v>0</v>
      </c>
    </row>
    <row r="44" spans="1:68" s="90" customFormat="1">
      <c r="A44" s="651" t="s">
        <v>3</v>
      </c>
      <c r="B44" s="92">
        <v>41672</v>
      </c>
      <c r="C44" s="93">
        <v>0</v>
      </c>
      <c r="D44" s="95">
        <f>(Sheet1!BQ46-Sheet1!BQ45)*1.385</f>
        <v>-0.66480000000000061</v>
      </c>
      <c r="E44" s="30">
        <f>(Sheet1!BR46-Sheet1!BR45)*1.385</f>
        <v>-0.67864999999999787</v>
      </c>
      <c r="F44" s="30">
        <f ca="1">IF(B44=TODAY(),0,-(VLOOKUP(Sheet1!CD46,Lookup!$I$4:$J$216,2)-VLOOKUP(Sheet1!CD45,Lookup!$I$4:$J$216,2))/1000000)</f>
        <v>-0.82909550838240054</v>
      </c>
      <c r="G44" s="95">
        <f ca="1">IF(B44=TODAY(),0,-$G$6*(Sheet1!CF46-Sheet1!CF45)*7.48/1000000)</f>
        <v>0.23828100631535562</v>
      </c>
      <c r="H44" s="95">
        <f ca="1">IF(B44=TODAY(),0,-$H$6*(Sheet1!CE46-Sheet1!CE45)*7.48/1000000)</f>
        <v>-6.0157729405060027E-2</v>
      </c>
      <c r="I44" s="95">
        <f ca="1">IF(B44=TODAY(),0,-$I$6*(Sheet1!CG46-Sheet1!CG45)*7.48/1000000)</f>
        <v>1.3477463999999995E-2</v>
      </c>
      <c r="J44" s="96" t="s">
        <v>186</v>
      </c>
      <c r="K44" s="95">
        <f ca="1">IF(B44=TODAY(),0,-$K$6*(Sheet1!CH46-Sheet1!CH45)*7.48/1000000)</f>
        <v>2.6653281497833796E-2</v>
      </c>
      <c r="L44" s="96" t="s">
        <v>186</v>
      </c>
      <c r="M44" s="95">
        <f ca="1">IF(B44=TODAY(),0,-$M$6*(Sheet1!CI46-Sheet1!CI45)*7.48/1000000)</f>
        <v>7.1966033712108565E-2</v>
      </c>
      <c r="N44" s="95">
        <f ca="1">IF(B44=TODAY(),0,-$N$6*(Sheet1!CJ46-Sheet1!CJ45)*7.48/1000000)</f>
        <v>-0.47159782499914149</v>
      </c>
      <c r="O44" s="95">
        <f t="shared" ca="1" si="7"/>
        <v>-1.0104732772613041</v>
      </c>
      <c r="P44" s="95">
        <f ca="1">O44+Calculation!ES44</f>
        <v>0.37539998399382601</v>
      </c>
      <c r="Q44" s="90" t="str">
        <f>IF(Sheet1!BQ46&gt;25.75,"spill elevation","-")</f>
        <v>-</v>
      </c>
      <c r="R44" s="90" t="str">
        <f>IF(Sheet1!BQ46&gt;25.75,"spill elevation","-")</f>
        <v>-</v>
      </c>
      <c r="S44" s="90" t="str">
        <f>IF(Sheet1!BR46&gt;25.75,"spill elevation","-")</f>
        <v>-</v>
      </c>
      <c r="T44" s="94">
        <f>IF(Sheet1!DU46=1,Sheet1!AA46-(SUM(AT44:BA44)+BE44),Sheet1!AA46-SUM(AT44:BA44))</f>
        <v>17.673527999999997</v>
      </c>
      <c r="U44" s="94">
        <f>Sheet1!BV46</f>
        <v>20.8</v>
      </c>
      <c r="V44" s="94">
        <f t="shared" si="8"/>
        <v>-3.1264720000000032</v>
      </c>
      <c r="W44" s="94">
        <f>0</f>
        <v>0</v>
      </c>
      <c r="X44" s="90">
        <f>0</f>
        <v>0</v>
      </c>
      <c r="Y44" s="95">
        <f ca="1">Calculation!EJ45+Calculation!ES44+'Calculations II'!O44-'Calculations II'!W44</f>
        <v>49.769991983993826</v>
      </c>
      <c r="Z44" s="95">
        <f ca="1">Y44-Sheet1!CT47</f>
        <v>33.859991983993822</v>
      </c>
      <c r="AA44" s="95">
        <f ca="1">Y44+Calculation!DJ45+Calculation!AS45</f>
        <v>57.002724977552262</v>
      </c>
      <c r="AC44" s="95">
        <f>Sheet1!AA46+Sheet1!AB46+BC44</f>
        <v>49.832335999999998</v>
      </c>
      <c r="AD44" s="95">
        <f>Sheet1!AA46+Sheet1!BN46+'Calculations II'!BC44-Calculation!AS44-Calculation!DJ44</f>
        <v>35.33189883185841</v>
      </c>
      <c r="AE44" s="95">
        <f>Sheet1!AA46+Sheet1!AB46+'Calculations II'!BC44-Calculation!AS44-Calculation!DJ44</f>
        <v>42.591898831858408</v>
      </c>
      <c r="AF44" s="95">
        <f ca="1">Sheet1!AA46+Sheet1!BN46+P44+'Calculations II'!BC44+Calculation!AS44+Calculation!DJ44</f>
        <v>50.18817315213542</v>
      </c>
      <c r="AG44" s="95">
        <f ca="1">IF(B44=TODAY(),0,Sheet1!AA46+Sheet1!BN46+'Calculations II'!BC44+'Calculations II'!P44-Sheet1!CT46-BP44)</f>
        <v>27.227735983993824</v>
      </c>
      <c r="AH44" s="95">
        <f ca="1">IF(B44=TODAY(),0,Sheet1!AA46+Sheet1!BN46+'Calculations II'!BC44+'Calculations II'!P44-BP44)</f>
        <v>42.947735983993823</v>
      </c>
      <c r="AI44" s="95">
        <f ca="1">IF(B44=TODAY(),0,BC44+Sheet1!AA46+Calculation!ES44+O44+W44+Sheet1!BN46+Calculation!AS44+Calculation!DJ44-BP44)</f>
        <v>50.188173152135413</v>
      </c>
      <c r="AJ44" s="95"/>
      <c r="AM44" s="91">
        <f t="shared" si="9"/>
        <v>41672</v>
      </c>
      <c r="AN44" s="95">
        <f>Sheet1!BU46</f>
        <v>18.8</v>
      </c>
      <c r="AO44" s="95">
        <f>Sheet1!AA46</f>
        <v>19.7</v>
      </c>
      <c r="AP44" s="95">
        <f t="shared" si="1"/>
        <v>-1.3434499999999985</v>
      </c>
      <c r="AQ44" s="1055">
        <f>((Sheet1!BV46-(Sheet1!BU46-AP44))/(Sheet1!BU46-AP44))</f>
        <v>3.2593721532309654E-2</v>
      </c>
      <c r="AR44" s="95">
        <f t="shared" si="2"/>
        <v>21.043449999999996</v>
      </c>
      <c r="AS44" s="95">
        <f t="shared" si="3"/>
        <v>20.143449999999998</v>
      </c>
      <c r="AT44" s="90">
        <f>Sheet1!BB46</f>
        <v>0.995</v>
      </c>
      <c r="AU44" s="90">
        <f>Sheet1!AS46*GPMtoMGD</f>
        <v>1.728E-2</v>
      </c>
      <c r="AV44" s="95">
        <f>Sheet1!AT46</f>
        <v>0</v>
      </c>
      <c r="AW44" s="90">
        <f>Sheet1!AV46*GPMtoMGD</f>
        <v>0.50558400000000003</v>
      </c>
      <c r="AX44" s="90">
        <f>Sheet1!AW46*GPMtoMGD</f>
        <v>0.50860800000000006</v>
      </c>
      <c r="AY44" s="90">
        <f>Sheet1!AX46*GPMtoMGD</f>
        <v>0</v>
      </c>
      <c r="AZ44" s="90">
        <f>Sheet1!AY46*GPMtoMGD</f>
        <v>0</v>
      </c>
      <c r="BA44" s="90">
        <f>Sheet1!AZ46*GPMtoMGD</f>
        <v>0</v>
      </c>
      <c r="BB44" s="90">
        <f>Sheet1!BP46*GPMtoMGD</f>
        <v>0</v>
      </c>
      <c r="BC44" s="90">
        <f>Sheet1!CS46*GPMtoMGD</f>
        <v>15.972336</v>
      </c>
      <c r="BD44" s="90">
        <f>Sheet1!BO46*GPMtoMGD</f>
        <v>1.5733440000000001</v>
      </c>
      <c r="BE44" s="90">
        <f>Sheet1!BW46*GPMtoMGD</f>
        <v>0.82886400000000005</v>
      </c>
      <c r="BF44" s="90">
        <f>Sheet1!CN46*GPMtoMGD</f>
        <v>0.79948800000000009</v>
      </c>
      <c r="BG44" s="90">
        <f>Sheet1!CO46*GPMtoMGD</f>
        <v>0.49593599999999999</v>
      </c>
      <c r="BH44" s="90">
        <f>Sheet1!CP46*GPMtoMGD</f>
        <v>0.64296000000000009</v>
      </c>
      <c r="BI44" s="90">
        <f t="shared" si="10"/>
        <v>1.5733440000000001</v>
      </c>
      <c r="BK44" s="95">
        <f>SUM(AT44:BA44,BE44,Sheet1!BV46,'Calculations II'!BC44,Calculation!AQ44)</f>
        <v>46.54476934513275</v>
      </c>
      <c r="BM44" s="373">
        <f>0</f>
        <v>0</v>
      </c>
      <c r="BN44" s="373">
        <f>0</f>
        <v>0</v>
      </c>
      <c r="BP44" s="95">
        <f>SUM(BM44:BN44,W44,Sheet1!DX46)</f>
        <v>0</v>
      </c>
    </row>
    <row r="45" spans="1:68" s="90" customFormat="1">
      <c r="A45" s="651" t="s">
        <v>4</v>
      </c>
      <c r="B45" s="92">
        <v>41673</v>
      </c>
      <c r="C45" s="93">
        <v>0</v>
      </c>
      <c r="D45" s="95">
        <f>(Sheet1!BQ47-Sheet1!BQ46)*1.385</f>
        <v>-0.70635000000000214</v>
      </c>
      <c r="E45" s="30">
        <f>(Sheet1!BR47-Sheet1!BR46)*1.385</f>
        <v>-0.73405000000000153</v>
      </c>
      <c r="F45" s="30">
        <f ca="1">IF(B45=TODAY(),0,-(VLOOKUP(Sheet1!CD47,Lookup!$I$4:$J$216,2)-VLOOKUP(Sheet1!CD46,Lookup!$I$4:$J$216,2))/1000000)</f>
        <v>0.51818469273900236</v>
      </c>
      <c r="G45" s="95">
        <f ca="1">IF(B45=TODAY(),0,-$G$6*(Sheet1!CF47-Sheet1!CF46)*7.48/1000000)</f>
        <v>-1.191405031576779</v>
      </c>
      <c r="H45" s="95">
        <f ca="1">IF(B45=TODAY(),0,-$H$6*(Sheet1!CE47-Sheet1!CE46)*7.48/1000000)</f>
        <v>1.5039432351264204E-2</v>
      </c>
      <c r="I45" s="95">
        <f ca="1">IF(B45=TODAY(),0,-$I$6*(Sheet1!CG47-Sheet1!CG46)*7.48/1000000)</f>
        <v>-4.4924879999999837E-3</v>
      </c>
      <c r="J45" s="96" t="s">
        <v>186</v>
      </c>
      <c r="K45" s="95">
        <f ca="1">IF(B45=TODAY(),0,-$K$6*(Sheet1!CH47-Sheet1!CH46)*7.48/1000000)</f>
        <v>-6.6633203744584186E-3</v>
      </c>
      <c r="L45" s="96" t="s">
        <v>186</v>
      </c>
      <c r="M45" s="95">
        <f ca="1">IF(B45=TODAY(),0,-$M$6*(Sheet1!CI47-Sheet1!CI46)*7.48/1000000)</f>
        <v>-1.7991508428027301E-2</v>
      </c>
      <c r="N45" s="95">
        <f ca="1">IF(B45=TODAY(),0,-$N$6*(Sheet1!CJ47-Sheet1!CJ46)*7.48/1000000)</f>
        <v>0.26682508519688258</v>
      </c>
      <c r="O45" s="95">
        <f t="shared" ca="1" si="7"/>
        <v>-0.42050313809211559</v>
      </c>
      <c r="P45" s="95">
        <f ca="1">O45+Calculation!ES45</f>
        <v>0.96504961021594693</v>
      </c>
      <c r="Q45" s="90" t="str">
        <f>IF(Sheet1!BQ47&gt;25.75,"spill elevation","-")</f>
        <v>-</v>
      </c>
      <c r="R45" s="90" t="str">
        <f>IF(Sheet1!BQ47&gt;25.75,"spill elevation","-")</f>
        <v>-</v>
      </c>
      <c r="S45" s="90" t="str">
        <f>IF(Sheet1!BR47&gt;25.75,"spill elevation","-")</f>
        <v>-</v>
      </c>
      <c r="T45" s="94">
        <f>IF(Sheet1!DU47=1,Sheet1!AA47-(SUM(AT45:BA45)+BE45),Sheet1!AA47-SUM(AT45:BA45))</f>
        <v>17.952472</v>
      </c>
      <c r="U45" s="94">
        <f>Sheet1!BV47</f>
        <v>21.2</v>
      </c>
      <c r="V45" s="94">
        <f t="shared" si="8"/>
        <v>-3.2475279999999991</v>
      </c>
      <c r="W45" s="94">
        <f>0</f>
        <v>0</v>
      </c>
      <c r="X45" s="90">
        <f>0</f>
        <v>0</v>
      </c>
      <c r="Y45" s="95">
        <f ca="1">Calculation!EJ46+Calculation!ES45+'Calculations II'!O45-'Calculations II'!W45</f>
        <v>50.259881610215949</v>
      </c>
      <c r="Z45" s="95">
        <f ca="1">Y45-Sheet1!CT48</f>
        <v>35.175881610215953</v>
      </c>
      <c r="AA45" s="95">
        <f ca="1">Y45+Calculation!DJ46+Calculation!AS46</f>
        <v>57.368944800921533</v>
      </c>
      <c r="AC45" s="95">
        <f>Sheet1!AA47+Sheet1!AB47+BC45</f>
        <v>49.394592000000003</v>
      </c>
      <c r="AD45" s="95">
        <f>Sheet1!AA47+Sheet1!BN47+'Calculations II'!BC45-Calculation!AS45-Calculation!DJ45</f>
        <v>34.921859006441565</v>
      </c>
      <c r="AE45" s="95">
        <f>Sheet1!AA47+Sheet1!AB47+'Calculations II'!BC45-Calculation!AS45-Calculation!DJ45</f>
        <v>42.161859006441567</v>
      </c>
      <c r="AF45" s="95">
        <f ca="1">Sheet1!AA47+Sheet1!BN47+P45+'Calculations II'!BC45+Calculation!AS45+Calculation!DJ45</f>
        <v>50.352374603774386</v>
      </c>
      <c r="AG45" s="95">
        <f ca="1">IF(B45=TODAY(),0,Sheet1!AA47+Sheet1!BN47+'Calculations II'!BC45+'Calculations II'!P45-Sheet1!CT47-BP45)</f>
        <v>27.20964161021595</v>
      </c>
      <c r="AH45" s="95">
        <f ca="1">IF(B45=TODAY(),0,Sheet1!AA47+Sheet1!BN47+'Calculations II'!BC45+'Calculations II'!P45-BP45)</f>
        <v>43.11964161021595</v>
      </c>
      <c r="AI45" s="95">
        <f ca="1">IF(B45=TODAY(),0,BC45+Sheet1!AA47+Calculation!ES45+O45+W45+Sheet1!BN47+Calculation!AS45+Calculation!DJ45-BP45)</f>
        <v>50.352374603774386</v>
      </c>
      <c r="AJ45" s="95"/>
      <c r="AM45" s="91">
        <f t="shared" si="9"/>
        <v>41673</v>
      </c>
      <c r="AN45" s="95">
        <f>Sheet1!BU47</f>
        <v>19.2</v>
      </c>
      <c r="AO45" s="95">
        <f>Sheet1!AA47</f>
        <v>19.7</v>
      </c>
      <c r="AP45" s="95">
        <f t="shared" si="1"/>
        <v>-1.4404000000000037</v>
      </c>
      <c r="AQ45" s="1055">
        <f>((Sheet1!BV47-(Sheet1!BU47-AP45))/(Sheet1!BU47-AP45))</f>
        <v>2.7111877676789017E-2</v>
      </c>
      <c r="AR45" s="95">
        <f t="shared" si="2"/>
        <v>21.140400000000003</v>
      </c>
      <c r="AS45" s="95">
        <f t="shared" si="3"/>
        <v>20.640400000000003</v>
      </c>
      <c r="AT45" s="90">
        <f>Sheet1!BB47</f>
        <v>0.997</v>
      </c>
      <c r="AU45" s="90">
        <f>Sheet1!AS47*GPMtoMGD</f>
        <v>3.1104000000000003E-2</v>
      </c>
      <c r="AV45" s="95">
        <f>Sheet1!AT47</f>
        <v>0</v>
      </c>
      <c r="AW45" s="90">
        <f>Sheet1!AV47*GPMtoMGD</f>
        <v>0.29937600000000003</v>
      </c>
      <c r="AX45" s="90">
        <f>Sheet1!AW47*GPMtoMGD</f>
        <v>0.42004800000000003</v>
      </c>
      <c r="AY45" s="90">
        <f>Sheet1!AX47*GPMtoMGD</f>
        <v>0</v>
      </c>
      <c r="AZ45" s="90">
        <f>Sheet1!AY47*GPMtoMGD</f>
        <v>0</v>
      </c>
      <c r="BA45" s="90">
        <f>Sheet1!AZ47*GPMtoMGD</f>
        <v>0</v>
      </c>
      <c r="BB45" s="90">
        <f>Sheet1!BP47*GPMtoMGD</f>
        <v>0</v>
      </c>
      <c r="BC45" s="90">
        <f>Sheet1!CS47*GPMtoMGD</f>
        <v>15.554592</v>
      </c>
      <c r="BD45" s="90">
        <f>Sheet1!BO47*GPMtoMGD</f>
        <v>1.4974560000000001</v>
      </c>
      <c r="BE45" s="90">
        <f>Sheet1!BW47*GPMtoMGD</f>
        <v>0.84052800000000016</v>
      </c>
      <c r="BF45" s="90">
        <f>Sheet1!CN47*GPMtoMGD</f>
        <v>0.752112</v>
      </c>
      <c r="BG45" s="90">
        <f>Sheet1!CO47*GPMtoMGD</f>
        <v>0.46857599999999999</v>
      </c>
      <c r="BH45" s="90">
        <f>Sheet1!CP47*GPMtoMGD</f>
        <v>0.66326400000000008</v>
      </c>
      <c r="BI45" s="90">
        <f t="shared" si="10"/>
        <v>1.4974560000000001</v>
      </c>
      <c r="BK45" s="95">
        <f>SUM(AT45:BA45,BE45,Sheet1!BV47,'Calculations II'!BC45,Calculation!AQ45)</f>
        <v>46.248997543427478</v>
      </c>
      <c r="BM45" s="373">
        <f>0</f>
        <v>0</v>
      </c>
      <c r="BN45" s="373">
        <f>0</f>
        <v>0</v>
      </c>
      <c r="BP45" s="95">
        <f>SUM(BM45:BN45,W45,Sheet1!DX47)</f>
        <v>0</v>
      </c>
    </row>
    <row r="46" spans="1:68" s="90" customFormat="1">
      <c r="A46" s="651" t="s">
        <v>5</v>
      </c>
      <c r="B46" s="92">
        <v>41674</v>
      </c>
      <c r="C46" s="93">
        <v>0</v>
      </c>
      <c r="D46" s="95">
        <f>(Sheet1!BQ48-Sheet1!BQ47)*1.385</f>
        <v>-0.83099999999999707</v>
      </c>
      <c r="E46" s="30">
        <f>(Sheet1!BR48-Sheet1!BR47)*1.385</f>
        <v>-0.78945000000000043</v>
      </c>
      <c r="F46" s="30">
        <f ca="1">IF(B46=TODAY(),0,-(VLOOKUP(Sheet1!CD48,Lookup!$I$4:$J$216,2)-VLOOKUP(Sheet1!CD47,Lookup!$I$4:$J$216,2))/1000000)</f>
        <v>-0.72545856983460111</v>
      </c>
      <c r="G46" s="95">
        <f ca="1">IF(B46=TODAY(),0,-$G$6*(Sheet1!CF48-Sheet1!CF47)*7.48/1000000)</f>
        <v>7.9427002105119021E-2</v>
      </c>
      <c r="H46" s="95">
        <f ca="1">IF(B46=TODAY(),0,-$H$6*(Sheet1!CE48-Sheet1!CE47)*7.48/1000000)</f>
        <v>0</v>
      </c>
      <c r="I46" s="95">
        <f ca="1">IF(B46=TODAY(),0,-$I$6*(Sheet1!CG48-Sheet1!CG47)*7.48/1000000)</f>
        <v>-2.2462440000000042E-2</v>
      </c>
      <c r="J46" s="96" t="s">
        <v>186</v>
      </c>
      <c r="K46" s="95">
        <f ca="1">IF(B46=TODAY(),0,-$K$6*(Sheet1!CH48-Sheet1!CH47)*7.48/1000000)</f>
        <v>-4.6643242621209169E-2</v>
      </c>
      <c r="L46" s="96" t="s">
        <v>186</v>
      </c>
      <c r="M46" s="95">
        <f ca="1">IF(B46=TODAY(),0,-$M$6*(Sheet1!CI48-Sheet1!CI47)*7.48/1000000)</f>
        <v>-0.10794905056816191</v>
      </c>
      <c r="N46" s="95">
        <f ca="1">IF(B46=TODAY(),0,-$N$6*(Sheet1!CJ48-Sheet1!CJ47)*7.48/1000000)</f>
        <v>-0.13030992532870961</v>
      </c>
      <c r="O46" s="95">
        <f t="shared" ca="1" si="7"/>
        <v>-0.95339622624756293</v>
      </c>
      <c r="P46" s="95">
        <f ca="1">O46+Calculation!ES46</f>
        <v>0.70884404665754086</v>
      </c>
      <c r="Q46" s="90" t="str">
        <f>IF(Sheet1!BQ48&gt;25.75,"spill elevation","-")</f>
        <v>-</v>
      </c>
      <c r="R46" s="90" t="str">
        <f>IF(Sheet1!BQ48&gt;25.75,"spill elevation","-")</f>
        <v>-</v>
      </c>
      <c r="S46" s="90" t="str">
        <f>IF(Sheet1!BR48&gt;25.75,"spill elevation","-")</f>
        <v>-</v>
      </c>
      <c r="T46" s="94">
        <f>IF(Sheet1!DU48=1,Sheet1!AA48-(SUM(AT46:BA46)+BE46),Sheet1!AA48-SUM(AT46:BA46))</f>
        <v>17.134256000000001</v>
      </c>
      <c r="U46" s="94">
        <f>Sheet1!BV48</f>
        <v>20.9</v>
      </c>
      <c r="V46" s="94">
        <f t="shared" si="8"/>
        <v>-3.765743999999998</v>
      </c>
      <c r="W46" s="94">
        <f>0</f>
        <v>0</v>
      </c>
      <c r="X46" s="90">
        <f>0</f>
        <v>0</v>
      </c>
      <c r="Y46" s="95">
        <f ca="1">Calculation!EJ47+Calculation!ES46+'Calculations II'!O46-'Calculations II'!W46</f>
        <v>50.076572046657539</v>
      </c>
      <c r="Z46" s="95">
        <f ca="1">Y46-Sheet1!CT49</f>
        <v>34.763572046657536</v>
      </c>
      <c r="AA46" s="95">
        <f ca="1">Y46+Calculation!DJ47+Calculation!AS47</f>
        <v>57.141680337689685</v>
      </c>
      <c r="AC46" s="95">
        <f>Sheet1!AA48+Sheet1!AB48+BC46</f>
        <v>49.294832</v>
      </c>
      <c r="AD46" s="95">
        <f>Sheet1!AA48+Sheet1!BN48+'Calculations II'!BC46-Calculation!AS46-Calculation!DJ46</f>
        <v>35.085768809294414</v>
      </c>
      <c r="AE46" s="95">
        <f>Sheet1!AA48+Sheet1!AB48+'Calculations II'!BC46-Calculation!AS46-Calculation!DJ46</f>
        <v>42.185768809294416</v>
      </c>
      <c r="AF46" s="95">
        <f ca="1">Sheet1!AA48+Sheet1!BN48+P46+'Calculations II'!BC46+Calculation!AS46+Calculation!DJ46</f>
        <v>50.012739237363121</v>
      </c>
      <c r="AG46" s="95">
        <f ca="1">IF(B46=TODAY(),0,Sheet1!AA48+Sheet1!BN48+'Calculations II'!BC46+'Calculations II'!P46-Sheet1!CT48-BP46)</f>
        <v>27.819676046657538</v>
      </c>
      <c r="AH46" s="95">
        <f ca="1">IF(B46=TODAY(),0,Sheet1!AA48+Sheet1!BN48+'Calculations II'!BC46+'Calculations II'!P46-BP46)</f>
        <v>42.903676046657537</v>
      </c>
      <c r="AI46" s="95">
        <f ca="1">IF(B46=TODAY(),0,BC46+Sheet1!AA48+Calculation!ES46+O46+W46+Sheet1!BN48+Calculation!AS46+Calculation!DJ46-BP46)</f>
        <v>50.012739237363121</v>
      </c>
      <c r="AJ46" s="95"/>
      <c r="AM46" s="91">
        <f t="shared" si="9"/>
        <v>41674</v>
      </c>
      <c r="AN46" s="95">
        <f>Sheet1!BU48</f>
        <v>18.7</v>
      </c>
      <c r="AO46" s="95">
        <f>Sheet1!AA48</f>
        <v>19.7</v>
      </c>
      <c r="AP46" s="95">
        <f t="shared" si="1"/>
        <v>-1.6204499999999975</v>
      </c>
      <c r="AQ46" s="1055">
        <f>((Sheet1!BV48-(Sheet1!BU48-AP46))/(Sheet1!BU48-AP46))</f>
        <v>2.8520529811101682E-2</v>
      </c>
      <c r="AR46" s="95">
        <f t="shared" si="2"/>
        <v>21.320449999999997</v>
      </c>
      <c r="AS46" s="95">
        <f t="shared" si="3"/>
        <v>20.320449999999997</v>
      </c>
      <c r="AT46" s="90">
        <f>Sheet1!BB48</f>
        <v>0.996</v>
      </c>
      <c r="AU46" s="90">
        <f>Sheet1!AS48*GPMtoMGD</f>
        <v>1.584E-2</v>
      </c>
      <c r="AV46" s="95">
        <f>Sheet1!AT48</f>
        <v>0</v>
      </c>
      <c r="AW46" s="90">
        <f>Sheet1!AV48*GPMtoMGD</f>
        <v>0.75686400000000009</v>
      </c>
      <c r="AX46" s="90">
        <f>Sheet1!AW48*GPMtoMGD</f>
        <v>0.79704000000000008</v>
      </c>
      <c r="AY46" s="90">
        <f>Sheet1!AX48*GPMtoMGD</f>
        <v>0</v>
      </c>
      <c r="AZ46" s="90">
        <f>Sheet1!AY48*GPMtoMGD</f>
        <v>0</v>
      </c>
      <c r="BA46" s="90">
        <f>Sheet1!AZ48*GPMtoMGD</f>
        <v>0</v>
      </c>
      <c r="BB46" s="90">
        <f>Sheet1!BP48*GPMtoMGD</f>
        <v>7.9920000000000005E-2</v>
      </c>
      <c r="BC46" s="90">
        <f>Sheet1!CS48*GPMtoMGD</f>
        <v>15.494832000000001</v>
      </c>
      <c r="BD46" s="90">
        <f>Sheet1!BO48*GPMtoMGD</f>
        <v>1.5014880000000002</v>
      </c>
      <c r="BE46" s="90">
        <f>Sheet1!BW48*GPMtoMGD</f>
        <v>0.67968000000000006</v>
      </c>
      <c r="BF46" s="90">
        <f>Sheet1!CN48*GPMtoMGD</f>
        <v>0.74577599999999999</v>
      </c>
      <c r="BG46" s="90">
        <f>Sheet1!CO48*GPMtoMGD</f>
        <v>0.45288</v>
      </c>
      <c r="BH46" s="90">
        <f>Sheet1!CP48*GPMtoMGD</f>
        <v>0.66081599999999996</v>
      </c>
      <c r="BI46" s="90">
        <f t="shared" si="10"/>
        <v>1.5814080000000001</v>
      </c>
      <c r="BK46" s="95">
        <f>SUM(AT46:BA46,BE46,Sheet1!BV48,'Calculations II'!BC46,Calculation!AQ46)</f>
        <v>46.632321741003118</v>
      </c>
      <c r="BM46" s="373">
        <f>0</f>
        <v>0</v>
      </c>
      <c r="BN46" s="373">
        <f>0</f>
        <v>0</v>
      </c>
      <c r="BP46" s="95">
        <f>SUM(BM46:BN46,W46,Sheet1!DX48)</f>
        <v>0</v>
      </c>
    </row>
    <row r="47" spans="1:68" s="90" customFormat="1">
      <c r="A47" s="651" t="s">
        <v>6</v>
      </c>
      <c r="B47" s="92">
        <v>41675</v>
      </c>
      <c r="C47" s="93">
        <v>0</v>
      </c>
      <c r="D47" s="95">
        <f>(Sheet1!BQ49-Sheet1!BQ48)*1.385</f>
        <v>-0.73405000000000153</v>
      </c>
      <c r="E47" s="30">
        <f>(Sheet1!BR49-Sheet1!BR48)*1.385</f>
        <v>-0.74789999999999879</v>
      </c>
      <c r="F47" s="30">
        <f ca="1">IF(B47=TODAY(),0,-(VLOOKUP(Sheet1!CD49,Lookup!$I$4:$J$216,2)-VLOOKUP(Sheet1!CD48,Lookup!$I$4:$J$216,2))/1000000)</f>
        <v>-0.51818469273899681</v>
      </c>
      <c r="G47" s="95">
        <f ca="1">IF(B47=TODAY(),0,-$G$6*(Sheet1!CF49-Sheet1!CF48)*7.48/1000000)</f>
        <v>0.15885400421023735</v>
      </c>
      <c r="H47" s="95">
        <f ca="1">IF(B47=TODAY(),0,-$H$6*(Sheet1!CE49-Sheet1!CE48)*7.48/1000000)</f>
        <v>-3.0078864702529479E-2</v>
      </c>
      <c r="I47" s="95">
        <f ca="1">IF(B47=TODAY(),0,-$I$6*(Sheet1!CG49-Sheet1!CG48)*7.48/1000000)</f>
        <v>8.9849760000000473E-3</v>
      </c>
      <c r="J47" s="96" t="s">
        <v>186</v>
      </c>
      <c r="K47" s="95">
        <f ca="1">IF(B47=TODAY(),0,-$K$6*(Sheet1!CH49-Sheet1!CH48)*7.48/1000000)</f>
        <v>2.6653281497833796E-2</v>
      </c>
      <c r="L47" s="96" t="s">
        <v>186</v>
      </c>
      <c r="M47" s="95">
        <f ca="1">IF(B47=TODAY(),0,-$M$6*(Sheet1!CI49-Sheet1!CI48)*7.48/1000000)</f>
        <v>-8.9957542140136505E-3</v>
      </c>
      <c r="N47" s="95">
        <f ca="1">IF(B47=TODAY(),0,-$N$6*(Sheet1!CJ49-Sheet1!CJ48)*7.48/1000000)</f>
        <v>-0.17995180164440988</v>
      </c>
      <c r="O47" s="95">
        <f t="shared" ca="1" si="7"/>
        <v>-0.5427188515918786</v>
      </c>
      <c r="P47" s="95">
        <f ca="1">O47+Calculation!ES47</f>
        <v>0.84212889829660109</v>
      </c>
      <c r="Q47" s="90" t="str">
        <f>IF(Sheet1!BQ49&gt;25.75,"spill elevation","-")</f>
        <v>-</v>
      </c>
      <c r="R47" s="90" t="str">
        <f>IF(Sheet1!BQ49&gt;25.75,"spill elevation","-")</f>
        <v>-</v>
      </c>
      <c r="S47" s="90" t="str">
        <f>IF(Sheet1!BR49&gt;25.75,"spill elevation","-")</f>
        <v>-</v>
      </c>
      <c r="T47" s="94">
        <f>IF(Sheet1!DU49=1,Sheet1!AA49-(SUM(AT47:BA47)+BE47),Sheet1!AA49-SUM(AT47:BA47))</f>
        <v>17.471552000000003</v>
      </c>
      <c r="U47" s="94">
        <f>Sheet1!BV49</f>
        <v>20.7</v>
      </c>
      <c r="V47" s="94">
        <f t="shared" si="8"/>
        <v>-3.2284479999999967</v>
      </c>
      <c r="W47" s="94">
        <f>0</f>
        <v>0</v>
      </c>
      <c r="X47" s="90">
        <f>0</f>
        <v>0</v>
      </c>
      <c r="Y47" s="95">
        <f ca="1">Calculation!EJ48+Calculation!ES47+'Calculations II'!O47-'Calculations II'!W47</f>
        <v>49.961168898296599</v>
      </c>
      <c r="Z47" s="95">
        <f ca="1">Y47-Sheet1!CT50</f>
        <v>33.769168898296599</v>
      </c>
      <c r="AA47" s="95">
        <f ca="1">Y47+Calculation!DJ48+Calculation!AS48</f>
        <v>57.050205630405529</v>
      </c>
      <c r="AC47" s="95">
        <f>Sheet1!AA49+Sheet1!AB49+BC47</f>
        <v>49.367728</v>
      </c>
      <c r="AD47" s="95">
        <f>Sheet1!AA49+Sheet1!BN49+'Calculations II'!BC47-Calculation!AS47-Calculation!DJ47</f>
        <v>35.262619708967861</v>
      </c>
      <c r="AE47" s="95">
        <f>Sheet1!AA49+Sheet1!AB49+'Calculations II'!BC47-Calculation!AS47-Calculation!DJ47</f>
        <v>42.302619708967853</v>
      </c>
      <c r="AF47" s="95">
        <f ca="1">Sheet1!AA49+Sheet1!BN49+P47+'Calculations II'!BC47+Calculation!AS47+Calculation!DJ47</f>
        <v>50.234965189328747</v>
      </c>
      <c r="AG47" s="95">
        <f ca="1">IF(B47=TODAY(),0,Sheet1!AA49+Sheet1!BN49+'Calculations II'!BC47+'Calculations II'!P47-Sheet1!CT49-BP47)</f>
        <v>27.856856898296606</v>
      </c>
      <c r="AH47" s="95">
        <f ca="1">IF(B47=TODAY(),0,Sheet1!AA49+Sheet1!BN49+'Calculations II'!BC47+'Calculations II'!P47-BP47)</f>
        <v>43.169856898296608</v>
      </c>
      <c r="AI47" s="95">
        <f ca="1">IF(B47=TODAY(),0,BC47+Sheet1!AA49+Calculation!ES47+O47+W47+Sheet1!BN49+Calculation!AS47+Calculation!DJ47-BP47)</f>
        <v>50.234965189328747</v>
      </c>
      <c r="AJ47" s="95"/>
      <c r="AM47" s="91">
        <f t="shared" si="9"/>
        <v>41675</v>
      </c>
      <c r="AN47" s="95">
        <f>Sheet1!BU49</f>
        <v>18.7</v>
      </c>
      <c r="AO47" s="95">
        <f>Sheet1!AA49</f>
        <v>19.71</v>
      </c>
      <c r="AP47" s="95">
        <f t="shared" si="1"/>
        <v>-1.4819500000000003</v>
      </c>
      <c r="AQ47" s="1055">
        <f>((Sheet1!BV49-(Sheet1!BU49-AP47))/(Sheet1!BU49-AP47))</f>
        <v>2.566897648641478E-2</v>
      </c>
      <c r="AR47" s="95">
        <f t="shared" si="2"/>
        <v>21.191950000000002</v>
      </c>
      <c r="AS47" s="95">
        <f t="shared" si="3"/>
        <v>20.181950000000001</v>
      </c>
      <c r="AT47" s="90">
        <f>Sheet1!BB49</f>
        <v>0.99399999999999999</v>
      </c>
      <c r="AU47" s="90">
        <f>Sheet1!AS49*GPMtoMGD</f>
        <v>3.168E-2</v>
      </c>
      <c r="AV47" s="95">
        <f>Sheet1!AT49</f>
        <v>0</v>
      </c>
      <c r="AW47" s="90">
        <f>Sheet1!AV49*GPMtoMGD</f>
        <v>0.46382400000000007</v>
      </c>
      <c r="AX47" s="90">
        <f>Sheet1!AW49*GPMtoMGD</f>
        <v>0.74894400000000005</v>
      </c>
      <c r="AY47" s="90">
        <f>Sheet1!AX49*GPMtoMGD</f>
        <v>0</v>
      </c>
      <c r="AZ47" s="90">
        <f>Sheet1!AY49*GPMtoMGD</f>
        <v>0</v>
      </c>
      <c r="BA47" s="90">
        <f>Sheet1!AZ49*GPMtoMGD</f>
        <v>0</v>
      </c>
      <c r="BB47" s="90">
        <f>Sheet1!BP49*GPMtoMGD</f>
        <v>0</v>
      </c>
      <c r="BC47" s="90">
        <f>Sheet1!CS49*GPMtoMGD</f>
        <v>15.517728000000002</v>
      </c>
      <c r="BD47" s="90">
        <f>Sheet1!BO49*GPMtoMGD</f>
        <v>1.405872</v>
      </c>
      <c r="BE47" s="90">
        <f>Sheet1!BW49*GPMtoMGD</f>
        <v>0.95616000000000001</v>
      </c>
      <c r="BF47" s="90">
        <f>Sheet1!CN49*GPMtoMGD</f>
        <v>0.80150400000000011</v>
      </c>
      <c r="BG47" s="90">
        <f>Sheet1!CO49*GPMtoMGD</f>
        <v>0.44841599999999998</v>
      </c>
      <c r="BH47" s="90">
        <f>Sheet1!CP49*GPMtoMGD</f>
        <v>0.64180800000000005</v>
      </c>
      <c r="BI47" s="90">
        <f t="shared" si="10"/>
        <v>1.405872</v>
      </c>
      <c r="BK47" s="95">
        <f>SUM(AT47:BA47,BE47,Sheet1!BV49,'Calculations II'!BC47,Calculation!AQ47)</f>
        <v>46.490311183305131</v>
      </c>
      <c r="BM47" s="373">
        <f>0</f>
        <v>0</v>
      </c>
      <c r="BN47" s="373">
        <f>0</f>
        <v>0</v>
      </c>
      <c r="BP47" s="95">
        <f>SUM(BM47:BN47,W47,Sheet1!DX49)</f>
        <v>0</v>
      </c>
    </row>
    <row r="48" spans="1:68" s="90" customFormat="1">
      <c r="A48" s="651" t="s">
        <v>7</v>
      </c>
      <c r="B48" s="92">
        <v>41676</v>
      </c>
      <c r="C48" s="93">
        <v>0</v>
      </c>
      <c r="D48" s="95">
        <f>(Sheet1!BQ50-Sheet1!BQ49)*1.385</f>
        <v>-0.23544999999999744</v>
      </c>
      <c r="E48" s="30">
        <f>(Sheet1!BR50-Sheet1!BR49)*1.385</f>
        <v>-0.22160000000000019</v>
      </c>
      <c r="F48" s="30">
        <f ca="1">IF(B48=TODAY(),0,-(VLOOKUP(Sheet1!CD50,Lookup!$I$4:$J$216,2)-VLOOKUP(Sheet1!CD49,Lookup!$I$4:$J$216,2))/1000000)</f>
        <v>0.93273244693019985</v>
      </c>
      <c r="G48" s="95">
        <f ca="1">IF(B48=TODAY(),0,-$G$6*(Sheet1!CF50-Sheet1!CF49)*7.48/1000000)</f>
        <v>0.15885400421023663</v>
      </c>
      <c r="H48" s="95">
        <f ca="1">IF(B48=TODAY(),0,-$H$6*(Sheet1!CE50-Sheet1!CE49)*7.48/1000000)</f>
        <v>1.5039432351265274E-2</v>
      </c>
      <c r="I48" s="95">
        <f ca="1">IF(B48=TODAY(),0,-$I$6*(Sheet1!CG50-Sheet1!CG49)*7.48/1000000)</f>
        <v>0</v>
      </c>
      <c r="J48" s="96" t="s">
        <v>186</v>
      </c>
      <c r="K48" s="95">
        <f ca="1">IF(B48=TODAY(),0,-$K$6*(Sheet1!CH50-Sheet1!CH49)*7.48/1000000)</f>
        <v>0</v>
      </c>
      <c r="L48" s="96" t="s">
        <v>186</v>
      </c>
      <c r="M48" s="95">
        <f ca="1">IF(B48=TODAY(),0,-$M$6*(Sheet1!CI50-Sheet1!CI49)*7.48/1000000)</f>
        <v>0</v>
      </c>
      <c r="N48" s="95">
        <f ca="1">IF(B48=TODAY(),0,-$N$6*(Sheet1!CJ50-Sheet1!CJ49)*7.48/1000000)</f>
        <v>0.34128789967043188</v>
      </c>
      <c r="O48" s="95">
        <f t="shared" ca="1" si="7"/>
        <v>1.4479137831621336</v>
      </c>
      <c r="P48" s="95">
        <f ca="1">O48+Calculation!ES48</f>
        <v>2.0017631705303507</v>
      </c>
      <c r="Q48" s="90" t="str">
        <f>IF(Sheet1!BQ50&gt;25.75,"spill elevation","-")</f>
        <v>-</v>
      </c>
      <c r="R48" s="90" t="str">
        <f>IF(Sheet1!BQ50&gt;25.75,"spill elevation","-")</f>
        <v>-</v>
      </c>
      <c r="S48" s="90" t="str">
        <f>IF(Sheet1!BR50&gt;25.75,"spill elevation","-")</f>
        <v>-</v>
      </c>
      <c r="T48" s="94">
        <f>IF(Sheet1!DU50=1,Sheet1!AA50-(SUM(AT48:BA48)+BE48),Sheet1!AA50-SUM(AT48:BA48))</f>
        <v>17.128968</v>
      </c>
      <c r="U48" s="94">
        <f>Sheet1!BV50</f>
        <v>19.7</v>
      </c>
      <c r="V48" s="94">
        <f t="shared" si="8"/>
        <v>-2.5710319999999989</v>
      </c>
      <c r="W48" s="94">
        <f>0</f>
        <v>0</v>
      </c>
      <c r="X48" s="90">
        <f>0</f>
        <v>0</v>
      </c>
      <c r="Y48" s="95">
        <f ca="1">Calculation!EJ49+Calculation!ES48+'Calculations II'!O48-'Calculations II'!W48</f>
        <v>51.185539170530355</v>
      </c>
      <c r="Z48" s="95">
        <f ca="1">Y48-Sheet1!CT51</f>
        <v>35.086539170530358</v>
      </c>
      <c r="AA48" s="95">
        <f ca="1">Y48+Calculation!DJ49+Calculation!AS49</f>
        <v>58.254080396745998</v>
      </c>
      <c r="AC48" s="95">
        <f>Sheet1!AA50+Sheet1!AB50+BC48</f>
        <v>49.119039999999998</v>
      </c>
      <c r="AD48" s="95">
        <f>Sheet1!AA50+Sheet1!BN50+'Calculations II'!BC48-Calculation!AS48-Calculation!DJ48</f>
        <v>34.970003267891066</v>
      </c>
      <c r="AE48" s="95">
        <f>Sheet1!AA50+Sheet1!AB50+'Calculations II'!BC48-Calculation!AS48-Calculation!DJ48</f>
        <v>42.030003267891068</v>
      </c>
      <c r="AF48" s="95">
        <f ca="1">Sheet1!AA50+Sheet1!BN50+P48+'Calculations II'!BC48+Calculation!AS48+Calculation!DJ48</f>
        <v>51.149839902639279</v>
      </c>
      <c r="AG48" s="95">
        <f ca="1">IF(B48=TODAY(),0,Sheet1!AA50+Sheet1!BN50+'Calculations II'!BC48+'Calculations II'!P48-Sheet1!CT50-BP48)</f>
        <v>27.868803170530349</v>
      </c>
      <c r="AH48" s="95">
        <f ca="1">IF(B48=TODAY(),0,Sheet1!AA50+Sheet1!BN50+'Calculations II'!BC48+'Calculations II'!P48-BP48)</f>
        <v>44.060803170530349</v>
      </c>
      <c r="AI48" s="95">
        <f ca="1">IF(B48=TODAY(),0,BC48+Sheet1!AA50+Calculation!ES48+O48+W48+Sheet1!BN50+Calculation!AS48+Calculation!DJ48-BP48)</f>
        <v>51.149839902639286</v>
      </c>
      <c r="AJ48" s="95"/>
      <c r="AM48" s="91">
        <f t="shared" si="9"/>
        <v>41676</v>
      </c>
      <c r="AN48" s="95">
        <f>Sheet1!BU50</f>
        <v>18.600000000000001</v>
      </c>
      <c r="AO48" s="95">
        <f>Sheet1!AA50</f>
        <v>19.690000000000001</v>
      </c>
      <c r="AP48" s="95">
        <f t="shared" si="1"/>
        <v>-0.45704999999999762</v>
      </c>
      <c r="AQ48" s="1055">
        <f>((Sheet1!BV50-(Sheet1!BU50-AP48))/(Sheet1!BU50-AP48))</f>
        <v>3.3738170388386397E-2</v>
      </c>
      <c r="AR48" s="95">
        <f t="shared" si="2"/>
        <v>20.14705</v>
      </c>
      <c r="AS48" s="95">
        <f t="shared" si="3"/>
        <v>19.05705</v>
      </c>
      <c r="AT48" s="90">
        <f>Sheet1!BB50</f>
        <v>0.99099999999999999</v>
      </c>
      <c r="AU48" s="90">
        <f>Sheet1!AS50*GPMtoMGD</f>
        <v>2.3328000000000002E-2</v>
      </c>
      <c r="AV48" s="95">
        <f>Sheet1!AT50</f>
        <v>0</v>
      </c>
      <c r="AW48" s="90">
        <f>Sheet1!AV50*GPMtoMGD</f>
        <v>0.69192000000000009</v>
      </c>
      <c r="AX48" s="90">
        <f>Sheet1!AW50*GPMtoMGD</f>
        <v>0.8547840000000001</v>
      </c>
      <c r="AY48" s="90">
        <f>Sheet1!AX50*GPMtoMGD</f>
        <v>0</v>
      </c>
      <c r="AZ48" s="90">
        <f>Sheet1!AY50*GPMtoMGD</f>
        <v>0</v>
      </c>
      <c r="BA48" s="90">
        <f>Sheet1!AZ50*GPMtoMGD</f>
        <v>0</v>
      </c>
      <c r="BB48" s="90">
        <f>Sheet1!BP50*GPMtoMGD</f>
        <v>0</v>
      </c>
      <c r="BC48" s="90">
        <f>Sheet1!CS50*GPMtoMGD</f>
        <v>15.26904</v>
      </c>
      <c r="BD48" s="90">
        <f>Sheet1!BO50*GPMtoMGD</f>
        <v>1.4688000000000001</v>
      </c>
      <c r="BE48" s="90">
        <f>Sheet1!BW50*GPMtoMGD</f>
        <v>0.68270400000000009</v>
      </c>
      <c r="BF48" s="90">
        <f>Sheet1!CN50*GPMtoMGD</f>
        <v>0.70632000000000006</v>
      </c>
      <c r="BG48" s="90">
        <f>Sheet1!CO50*GPMtoMGD</f>
        <v>0.46915200000000007</v>
      </c>
      <c r="BH48" s="90">
        <f>Sheet1!CP50*GPMtoMGD</f>
        <v>0.65808</v>
      </c>
      <c r="BI48" s="90">
        <f t="shared" si="10"/>
        <v>1.4688000000000001</v>
      </c>
      <c r="BK48" s="95">
        <f>SUM(AT48:BA48,BE48,Sheet1!BV50,'Calculations II'!BC48,Calculation!AQ48)</f>
        <v>45.287295738230952</v>
      </c>
      <c r="BM48" s="373">
        <f>0</f>
        <v>0</v>
      </c>
      <c r="BN48" s="373">
        <f>0</f>
        <v>0</v>
      </c>
      <c r="BP48" s="95">
        <f>SUM(BM48:BN48,W48,Sheet1!DX50)</f>
        <v>0</v>
      </c>
    </row>
    <row r="49" spans="1:68" s="90" customFormat="1">
      <c r="A49" s="651" t="s">
        <v>8</v>
      </c>
      <c r="B49" s="92">
        <v>41677</v>
      </c>
      <c r="C49" s="93">
        <v>0</v>
      </c>
      <c r="D49" s="95">
        <f>(Sheet1!BQ51-Sheet1!BQ50)*1.385</f>
        <v>-1.6620000000000039</v>
      </c>
      <c r="E49" s="30">
        <f>(Sheet1!BR51-Sheet1!BR50)*1.385</f>
        <v>-1.6758500000000012</v>
      </c>
      <c r="F49" s="30">
        <f ca="1">IF(B49=TODAY(),0,-(VLOOKUP(Sheet1!CD51,Lookup!$I$4:$J$216,2)-VLOOKUP(Sheet1!CD50,Lookup!$I$4:$J$216,2))/1000000)</f>
        <v>-0.41454775419120304</v>
      </c>
      <c r="G49" s="95">
        <f ca="1">IF(B49=TODAY(),0,-$G$6*(Sheet1!CF51-Sheet1!CF50)*7.48/1000000)</f>
        <v>0.23828100631535634</v>
      </c>
      <c r="H49" s="95">
        <f ca="1">IF(B49=TODAY(),0,-$H$6*(Sheet1!CE51-Sheet1!CE50)*7.48/1000000)</f>
        <v>-0.24063091762024114</v>
      </c>
      <c r="I49" s="95">
        <f ca="1">IF(B49=TODAY(),0,-$I$6*(Sheet1!CG51-Sheet1!CG50)*7.48/1000000)</f>
        <v>-4.4924879999999837E-3</v>
      </c>
      <c r="J49" s="96" t="s">
        <v>186</v>
      </c>
      <c r="K49" s="95">
        <f ca="1">IF(B49=TODAY(),0,-$K$6*(Sheet1!CH51-Sheet1!CH50)*7.48/1000000)</f>
        <v>-1.3326640748916837E-2</v>
      </c>
      <c r="L49" s="96" t="s">
        <v>186</v>
      </c>
      <c r="M49" s="95">
        <f ca="1">IF(B49=TODAY(),0,-$M$6*(Sheet1!CI51-Sheet1!CI50)*7.48/1000000)</f>
        <v>-8.9957542140136505E-3</v>
      </c>
      <c r="N49" s="95">
        <f ca="1">IF(B49=TODAY(),0,-$N$6*(Sheet1!CJ51-Sheet1!CJ50)*7.48/1000000)</f>
        <v>-0.37231407236774317</v>
      </c>
      <c r="O49" s="95">
        <f t="shared" ca="1" si="7"/>
        <v>-0.81602662082676147</v>
      </c>
      <c r="P49" s="95">
        <f ca="1">O49+Calculation!ES49</f>
        <v>2.5059933095955373</v>
      </c>
      <c r="Q49" s="90" t="str">
        <f>IF(Sheet1!BQ51&gt;25.75,"spill elevation","-")</f>
        <v>-</v>
      </c>
      <c r="R49" s="90" t="str">
        <f>IF(Sheet1!BQ51&gt;25.75,"spill elevation","-")</f>
        <v>-</v>
      </c>
      <c r="S49" s="90" t="str">
        <f>IF(Sheet1!BR51&gt;25.75,"spill elevation","-")</f>
        <v>-</v>
      </c>
      <c r="T49" s="94">
        <f>IF(Sheet1!DU51=1,Sheet1!AA51-(SUM(AT49:BA49)+BE49),Sheet1!AA51-SUM(AT49:BA49))</f>
        <v>17.823903999999999</v>
      </c>
      <c r="U49" s="94">
        <f>Sheet1!BV51</f>
        <v>23.1</v>
      </c>
      <c r="V49" s="94">
        <f t="shared" si="8"/>
        <v>-5.2760960000000026</v>
      </c>
      <c r="W49" s="94">
        <f>0</f>
        <v>0</v>
      </c>
      <c r="X49" s="90">
        <f>0</f>
        <v>0</v>
      </c>
      <c r="Y49" s="95">
        <f ca="1">Calculation!EJ50+Calculation!ES49+'Calculations II'!O49-'Calculations II'!W49</f>
        <v>53.225801309595539</v>
      </c>
      <c r="Z49" s="95">
        <f ca="1">Y49-Sheet1!CT52</f>
        <v>36.61580130959554</v>
      </c>
      <c r="AA49" s="95">
        <f ca="1">Y49+Calculation!DJ50+Calculation!AS50</f>
        <v>60.385801309595536</v>
      </c>
      <c r="AC49" s="95">
        <f>Sheet1!AA51+Sheet1!AB51+BC49</f>
        <v>49.183776000000002</v>
      </c>
      <c r="AD49" s="95">
        <f>Sheet1!AA51+Sheet1!BN51+'Calculations II'!BC49-Calculation!AS49-Calculation!DJ49</f>
        <v>35.075234773784352</v>
      </c>
      <c r="AE49" s="95">
        <f>Sheet1!AA51+Sheet1!AB51+'Calculations II'!BC49-Calculation!AS49-Calculation!DJ49</f>
        <v>42.115234773784358</v>
      </c>
      <c r="AF49" s="95">
        <f ca="1">Sheet1!AA51+Sheet1!BN51+P49+'Calculations II'!BC49+Calculation!AS49+Calculation!DJ49</f>
        <v>51.718310535811177</v>
      </c>
      <c r="AG49" s="95">
        <f ca="1">IF(B49=TODAY(),0,Sheet1!AA51+Sheet1!BN51+'Calculations II'!BC49+'Calculations II'!P49-Sheet1!CT51-BP49)</f>
        <v>28.550769309595534</v>
      </c>
      <c r="AH49" s="95">
        <f ca="1">IF(B49=TODAY(),0,Sheet1!AA51+Sheet1!BN51+'Calculations II'!BC49+'Calculations II'!P49-BP49)</f>
        <v>44.649769309595534</v>
      </c>
      <c r="AI49" s="95">
        <f ca="1">IF(B49=TODAY(),0,BC49+Sheet1!AA51+Calculation!ES49+O49+W49+Sheet1!BN51+Calculation!AS49+Calculation!DJ49-BP49)</f>
        <v>51.718310535811185</v>
      </c>
      <c r="AJ49" s="95"/>
      <c r="AM49" s="91">
        <f t="shared" si="9"/>
        <v>41677</v>
      </c>
      <c r="AN49" s="95">
        <f>Sheet1!BU51</f>
        <v>19.100000000000001</v>
      </c>
      <c r="AO49" s="95">
        <f>Sheet1!AA51</f>
        <v>19.7</v>
      </c>
      <c r="AP49" s="95">
        <f t="shared" si="1"/>
        <v>-3.3378500000000049</v>
      </c>
      <c r="AQ49" s="1055">
        <f>((Sheet1!BV51-(Sheet1!BU51-AP49))/(Sheet1!BU51-AP49))</f>
        <v>2.9510403180340219E-2</v>
      </c>
      <c r="AR49" s="95">
        <f t="shared" si="2"/>
        <v>23.037850000000006</v>
      </c>
      <c r="AS49" s="95">
        <f t="shared" si="3"/>
        <v>22.437850000000005</v>
      </c>
      <c r="AT49" s="90">
        <f>Sheet1!BB51</f>
        <v>1</v>
      </c>
      <c r="AU49" s="90">
        <f>Sheet1!AS51*GPMtoMGD</f>
        <v>2.4912000000000004E-2</v>
      </c>
      <c r="AV49" s="95">
        <f>Sheet1!AT51</f>
        <v>0</v>
      </c>
      <c r="AW49" s="90">
        <f>Sheet1!AV51*GPMtoMGD</f>
        <v>0.38491200000000003</v>
      </c>
      <c r="AX49" s="90">
        <f>Sheet1!AW51*GPMtoMGD</f>
        <v>0.46627200000000002</v>
      </c>
      <c r="AY49" s="90">
        <f>Sheet1!AX51*GPMtoMGD</f>
        <v>0</v>
      </c>
      <c r="AZ49" s="90">
        <f>Sheet1!AY51*GPMtoMGD</f>
        <v>0</v>
      </c>
      <c r="BA49" s="90">
        <f>Sheet1!AZ51*GPMtoMGD</f>
        <v>0</v>
      </c>
      <c r="BB49" s="90">
        <f>Sheet1!BP51*GPMtoMGD</f>
        <v>0</v>
      </c>
      <c r="BC49" s="90">
        <f>Sheet1!CS51*GPMtoMGD</f>
        <v>15.343776</v>
      </c>
      <c r="BD49" s="90">
        <f>Sheet1!BO51*GPMtoMGD</f>
        <v>1.5351839999999999</v>
      </c>
      <c r="BE49" s="90">
        <f>Sheet1!BW51*GPMtoMGD</f>
        <v>0.96465600000000007</v>
      </c>
      <c r="BF49" s="90">
        <f>Sheet1!CN51*GPMtoMGD</f>
        <v>0.71553600000000006</v>
      </c>
      <c r="BG49" s="90">
        <f>Sheet1!CO51*GPMtoMGD</f>
        <v>0.51235200000000003</v>
      </c>
      <c r="BH49" s="90">
        <f>Sheet1!CP51*GPMtoMGD</f>
        <v>0.70084800000000003</v>
      </c>
      <c r="BI49" s="90">
        <f t="shared" si="10"/>
        <v>1.5351839999999999</v>
      </c>
      <c r="BK49" s="95">
        <f>SUM(AT49:BA49,BE49,Sheet1!BV51,'Calculations II'!BC49,Calculation!AQ49)</f>
        <v>48.359510381959126</v>
      </c>
      <c r="BM49" s="373">
        <f>0</f>
        <v>0</v>
      </c>
      <c r="BN49" s="373">
        <f>0</f>
        <v>0</v>
      </c>
      <c r="BP49" s="95">
        <f>SUM(BM49:BN49,W49,Sheet1!DX51)</f>
        <v>0</v>
      </c>
    </row>
    <row r="50" spans="1:68" s="90" customFormat="1">
      <c r="A50" s="651" t="s">
        <v>9</v>
      </c>
      <c r="B50" s="92">
        <v>41678</v>
      </c>
      <c r="C50" s="93">
        <v>0</v>
      </c>
      <c r="D50" s="95">
        <f>(Sheet1!BQ52-Sheet1!BQ51)*1.385</f>
        <v>-0.6925</v>
      </c>
      <c r="E50" s="30">
        <f>(Sheet1!BR52-Sheet1!BR51)*1.385</f>
        <v>-0.67864999999999787</v>
      </c>
      <c r="F50" s="30">
        <f ca="1">IF(B50=TODAY(),0,-(VLOOKUP(Sheet1!CD52,Lookup!$I$4:$J$216,2)-VLOOKUP(Sheet1!CD51,Lookup!$I$4:$J$216,2))/1000000)</f>
        <v>0</v>
      </c>
      <c r="G50" s="95">
        <f ca="1">IF(B50=TODAY(),0,-$G$6*(Sheet1!CF52-Sheet1!CF51)*7.48/1000000)</f>
        <v>0.27799450736791476</v>
      </c>
      <c r="H50" s="95">
        <f ca="1">IF(B50=TODAY(),0,-$H$6*(Sheet1!CE52-Sheet1!CE51)*7.48/1000000)</f>
        <v>0.1353548911613853</v>
      </c>
      <c r="I50" s="95">
        <f ca="1">IF(B50=TODAY(),0,-$I$6*(Sheet1!CG52-Sheet1!CG51)*7.48/1000000)</f>
        <v>0</v>
      </c>
      <c r="J50" s="96" t="s">
        <v>186</v>
      </c>
      <c r="K50" s="95">
        <f ca="1">IF(B50=TODAY(),0,-$K$6*(Sheet1!CH52-Sheet1!CH51)*7.48/1000000)</f>
        <v>0</v>
      </c>
      <c r="L50" s="96" t="s">
        <v>186</v>
      </c>
      <c r="M50" s="95">
        <f ca="1">IF(B50=TODAY(),0,-$M$6*(Sheet1!CI52-Sheet1!CI51)*7.48/1000000)</f>
        <v>5.3974525284081275E-2</v>
      </c>
      <c r="N50" s="95">
        <f ca="1">IF(B50=TODAY(),0,-$N$6*(Sheet1!CJ52-Sheet1!CJ51)*7.48/1000000)</f>
        <v>0.41575071414398007</v>
      </c>
      <c r="O50" s="95">
        <f t="shared" ca="1" si="7"/>
        <v>0.88307463795736141</v>
      </c>
      <c r="P50" s="95">
        <f ca="1">O50+Calculation!ES50</f>
        <v>2.2667050845329806</v>
      </c>
      <c r="Q50" s="90" t="str">
        <f>IF(Sheet1!BQ52&gt;25.75,"spill elevation","-")</f>
        <v>-</v>
      </c>
      <c r="R50" s="90" t="str">
        <f>IF(Sheet1!BQ52&gt;25.75,"spill elevation","-")</f>
        <v>-</v>
      </c>
      <c r="S50" s="90" t="str">
        <f>IF(Sheet1!BR52&gt;25.75,"spill elevation","-")</f>
        <v>-</v>
      </c>
      <c r="T50" s="94">
        <f>IF(Sheet1!DU52=1,Sheet1!AA52-(SUM(AT50:BA50)+BE50),Sheet1!AA52-SUM(AT50:BA50))</f>
        <v>17.448063999999999</v>
      </c>
      <c r="U50" s="94">
        <f>Sheet1!BV52</f>
        <v>20.9</v>
      </c>
      <c r="V50" s="94">
        <f t="shared" si="8"/>
        <v>-3.4519359999999999</v>
      </c>
      <c r="W50" s="94">
        <f>0</f>
        <v>0</v>
      </c>
      <c r="X50" s="90">
        <f>0</f>
        <v>0</v>
      </c>
      <c r="Y50" s="95">
        <f ca="1">Calculation!EJ51+Calculation!ES50+'Calculations II'!O50-'Calculations II'!W50</f>
        <v>54.668193084532987</v>
      </c>
      <c r="Z50" s="95">
        <f ca="1">Y50-Sheet1!CT53</f>
        <v>38.258193084532991</v>
      </c>
      <c r="AA50" s="95">
        <f ca="1">Y50+Calculation!DJ51+Calculation!AS51</f>
        <v>61.881047223172089</v>
      </c>
      <c r="AC50" s="95">
        <f>Sheet1!AA52+Sheet1!AB52+BC50</f>
        <v>50.719808</v>
      </c>
      <c r="AD50" s="95">
        <f>Sheet1!AA52+Sheet1!BN52+'Calculations II'!BC50-Calculation!AS50-Calculation!DJ50</f>
        <v>36.399808000000007</v>
      </c>
      <c r="AE50" s="95">
        <f>Sheet1!AA52+Sheet1!AB52+'Calculations II'!BC50-Calculation!AS50-Calculation!DJ50</f>
        <v>43.559808000000004</v>
      </c>
      <c r="AF50" s="95">
        <f ca="1">Sheet1!AA52+Sheet1!BN52+P50+'Calculations II'!BC50+Calculation!AS50+Calculation!DJ50</f>
        <v>52.986513084532973</v>
      </c>
      <c r="AG50" s="95">
        <f ca="1">IF(B50=TODAY(),0,Sheet1!AA52+Sheet1!BN52+'Calculations II'!BC50+'Calculations II'!P50-Sheet1!CT52-BP50)</f>
        <v>29.216513084532984</v>
      </c>
      <c r="AH50" s="95">
        <f ca="1">IF(B50=TODAY(),0,Sheet1!AA52+Sheet1!BN52+'Calculations II'!BC50+'Calculations II'!P50-BP50)</f>
        <v>45.826513084532984</v>
      </c>
      <c r="AI50" s="95">
        <f ca="1">IF(B50=TODAY(),0,BC50+Sheet1!AA52+Calculation!ES50+O50+W50+Sheet1!BN52+Calculation!AS50+Calculation!DJ50-BP50)</f>
        <v>52.986513084532987</v>
      </c>
      <c r="AJ50" s="95"/>
      <c r="AM50" s="91">
        <f t="shared" si="9"/>
        <v>41678</v>
      </c>
      <c r="AN50" s="95">
        <f>Sheet1!BU52</f>
        <v>18.899999999999999</v>
      </c>
      <c r="AO50" s="95">
        <f>Sheet1!AA52</f>
        <v>19.7</v>
      </c>
      <c r="AP50" s="95">
        <f t="shared" si="1"/>
        <v>-1.3711499999999979</v>
      </c>
      <c r="AQ50" s="1055">
        <f>((Sheet1!BV52-(Sheet1!BU52-AP50))/(Sheet1!BU52-AP50))</f>
        <v>3.102192031532516E-2</v>
      </c>
      <c r="AR50" s="95">
        <f t="shared" si="2"/>
        <v>21.071149999999996</v>
      </c>
      <c r="AS50" s="95">
        <f t="shared" si="3"/>
        <v>20.271149999999995</v>
      </c>
      <c r="AT50" s="90">
        <f>Sheet1!BB52</f>
        <v>1</v>
      </c>
      <c r="AU50" s="90">
        <f>Sheet1!AS52*GPMtoMGD</f>
        <v>3.0960000000000001E-2</v>
      </c>
      <c r="AV50" s="95">
        <f>Sheet1!AT52</f>
        <v>0</v>
      </c>
      <c r="AW50" s="90">
        <f>Sheet1!AV52*GPMtoMGD</f>
        <v>0.53798400000000002</v>
      </c>
      <c r="AX50" s="90">
        <f>Sheet1!AW52*GPMtoMGD</f>
        <v>0.68299200000000004</v>
      </c>
      <c r="AY50" s="90">
        <f>Sheet1!AX52*GPMtoMGD</f>
        <v>0</v>
      </c>
      <c r="AZ50" s="90">
        <f>Sheet1!AY52*GPMtoMGD</f>
        <v>0</v>
      </c>
      <c r="BA50" s="90">
        <f>Sheet1!AZ52*GPMtoMGD</f>
        <v>0</v>
      </c>
      <c r="BB50" s="90">
        <f>Sheet1!BP52*GPMtoMGD</f>
        <v>0</v>
      </c>
      <c r="BC50" s="90">
        <f>Sheet1!CS52*GPMtoMGD</f>
        <v>16.859808000000001</v>
      </c>
      <c r="BD50" s="90">
        <f>Sheet1!BO52*GPMtoMGD</f>
        <v>1.5798239999999999</v>
      </c>
      <c r="BE50" s="90">
        <f>Sheet1!BW52*GPMtoMGD</f>
        <v>0.73857600000000001</v>
      </c>
      <c r="BF50" s="90">
        <f>Sheet1!CN52*GPMtoMGD</f>
        <v>0.7898400000000001</v>
      </c>
      <c r="BG50" s="90">
        <f>Sheet1!CO52*GPMtoMGD</f>
        <v>0.56880000000000008</v>
      </c>
      <c r="BH50" s="90">
        <f>Sheet1!CP52*GPMtoMGD</f>
        <v>0.67161599999999999</v>
      </c>
      <c r="BI50" s="90">
        <f t="shared" si="10"/>
        <v>1.5798239999999999</v>
      </c>
      <c r="BK50" s="95">
        <f>SUM(AT50:BA50,BE50,Sheet1!BV52,'Calculations II'!BC50,Calculation!AQ50)</f>
        <v>47.750320000000002</v>
      </c>
      <c r="BM50" s="373">
        <f>0</f>
        <v>0</v>
      </c>
      <c r="BN50" s="373">
        <f>0</f>
        <v>0</v>
      </c>
      <c r="BP50" s="95">
        <f>SUM(BM50:BN50,W50,Sheet1!DX52)</f>
        <v>0</v>
      </c>
    </row>
    <row r="51" spans="1:68" s="90" customFormat="1">
      <c r="A51" s="651" t="s">
        <v>3</v>
      </c>
      <c r="B51" s="92">
        <v>41679</v>
      </c>
      <c r="C51" s="93">
        <v>0</v>
      </c>
      <c r="D51" s="95">
        <f>(Sheet1!BQ53-Sheet1!BQ52)*1.385</f>
        <v>-2.7699999999999409E-2</v>
      </c>
      <c r="E51" s="30">
        <f>(Sheet1!BR53-Sheet1!BR52)*1.385</f>
        <v>-1.3850000000002164E-2</v>
      </c>
      <c r="F51" s="30">
        <f ca="1">IF(B51=TODAY(),0,-(VLOOKUP(Sheet1!CD53,Lookup!$I$4:$J$216,2)-VLOOKUP(Sheet1!CD52,Lookup!$I$4:$J$216,2))/1000000)</f>
        <v>0.20727387709559872</v>
      </c>
      <c r="G51" s="95">
        <f ca="1">IF(B51=TODAY(),0,-$G$6*(Sheet1!CF53-Sheet1!CF52)*7.48/1000000)</f>
        <v>0.3177080084204747</v>
      </c>
      <c r="H51" s="95">
        <f ca="1">IF(B51=TODAY(),0,-$H$6*(Sheet1!CE53-Sheet1!CE52)*7.48/1000000)</f>
        <v>-6.0157729405060027E-2</v>
      </c>
      <c r="I51" s="95">
        <f ca="1">IF(B51=TODAY(),0,-$I$6*(Sheet1!CG53-Sheet1!CG52)*7.48/1000000)</f>
        <v>-4.4924880000000635E-3</v>
      </c>
      <c r="J51" s="96" t="s">
        <v>186</v>
      </c>
      <c r="K51" s="95">
        <f ca="1">IF(B51=TODAY(),0,-$K$6*(Sheet1!CH53-Sheet1!CH52)*7.48/1000000)</f>
        <v>-6.6633203744585374E-3</v>
      </c>
      <c r="L51" s="96" t="s">
        <v>186</v>
      </c>
      <c r="M51" s="95">
        <f ca="1">IF(B51=TODAY(),0,-$M$6*(Sheet1!CI53-Sheet1!CI52)*7.48/1000000)</f>
        <v>-1.7991508428027301E-2</v>
      </c>
      <c r="N51" s="95">
        <f ca="1">IF(B51=TODAY(),0,-$N$6*(Sheet1!CJ53-Sheet1!CJ52)*7.48/1000000)</f>
        <v>-0.20477273980225894</v>
      </c>
      <c r="O51" s="95">
        <f t="shared" ca="1" si="7"/>
        <v>0.2309040995062685</v>
      </c>
      <c r="P51" s="95">
        <f ca="1">O51+Calculation!ES51</f>
        <v>0.2309040995062685</v>
      </c>
      <c r="Q51" s="90" t="str">
        <f>IF(Sheet1!BQ53&gt;25.75,"spill elevation","-")</f>
        <v>-</v>
      </c>
      <c r="R51" s="90" t="str">
        <f>IF(Sheet1!BQ53&gt;25.75,"spill elevation","-")</f>
        <v>-</v>
      </c>
      <c r="S51" s="90" t="str">
        <f>IF(Sheet1!BR53&gt;25.75,"spill elevation","-")</f>
        <v>-</v>
      </c>
      <c r="T51" s="94">
        <f>IF(Sheet1!DU53=1,Sheet1!AA53-(SUM(AT51:BA51)+BE51),Sheet1!AA53-SUM(AT51:BA51))</f>
        <v>17.358007999999998</v>
      </c>
      <c r="U51" s="94">
        <f>Sheet1!BV53</f>
        <v>19.3</v>
      </c>
      <c r="V51" s="94">
        <f t="shared" si="8"/>
        <v>-1.9419920000000026</v>
      </c>
      <c r="W51" s="94">
        <f>0</f>
        <v>0</v>
      </c>
      <c r="X51" s="90">
        <f>0</f>
        <v>0</v>
      </c>
      <c r="Y51" s="95">
        <f ca="1">Calculation!EJ52+Calculation!ES51+'Calculations II'!O51-'Calculations II'!W51</f>
        <v>54.904200099506269</v>
      </c>
      <c r="Z51" s="95">
        <f ca="1">Y51-Sheet1!CT54</f>
        <v>38.912200099506265</v>
      </c>
      <c r="AA51" s="95">
        <f ca="1">Y51+Calculation!DJ52+Calculation!AS52</f>
        <v>62.110359195247177</v>
      </c>
      <c r="AC51" s="95">
        <f>Sheet1!AA53+Sheet1!AB53+BC51</f>
        <v>52.401488000000001</v>
      </c>
      <c r="AD51" s="95">
        <f>Sheet1!AA53+Sheet1!BN53+'Calculations II'!BC51-Calculation!AS51-Calculation!DJ51</f>
        <v>37.988633861360903</v>
      </c>
      <c r="AE51" s="95">
        <f>Sheet1!AA53+Sheet1!AB53+'Calculations II'!BC51-Calculation!AS51-Calculation!DJ51</f>
        <v>45.188633861360898</v>
      </c>
      <c r="AF51" s="95">
        <f ca="1">Sheet1!AA53+Sheet1!BN53+P51+'Calculations II'!BC51+Calculation!AS51+Calculation!DJ51</f>
        <v>52.645246238145376</v>
      </c>
      <c r="AG51" s="95">
        <f ca="1">IF(B51=TODAY(),0,Sheet1!AA53+Sheet1!BN53+'Calculations II'!BC51+'Calculations II'!P51-Sheet1!CT53-BP51)</f>
        <v>29.022392099506273</v>
      </c>
      <c r="AH51" s="95">
        <f ca="1">IF(B51=TODAY(),0,Sheet1!AA53+Sheet1!BN53+'Calculations II'!BC51+'Calculations II'!P51-BP51)</f>
        <v>45.432392099506274</v>
      </c>
      <c r="AI51" s="95">
        <f ca="1">IF(B51=TODAY(),0,BC51+Sheet1!AA53+Calculation!ES51+O51+W51+Sheet1!BN53+Calculation!AS51+Calculation!DJ51-BP51)</f>
        <v>52.645246238145376</v>
      </c>
      <c r="AJ51" s="95"/>
      <c r="AM51" s="91">
        <f t="shared" si="9"/>
        <v>41679</v>
      </c>
      <c r="AN51" s="95">
        <f>Sheet1!BU53</f>
        <v>18.7</v>
      </c>
      <c r="AO51" s="95">
        <f>Sheet1!AA53</f>
        <v>19.7</v>
      </c>
      <c r="AP51" s="95">
        <f t="shared" si="1"/>
        <v>-4.1550000000001572E-2</v>
      </c>
      <c r="AQ51" s="1055">
        <f>((Sheet1!BV53-(Sheet1!BU53-AP51))/(Sheet1!BU53-AP51))</f>
        <v>2.9797428707871044E-2</v>
      </c>
      <c r="AR51" s="95">
        <f t="shared" si="2"/>
        <v>19.74155</v>
      </c>
      <c r="AS51" s="95">
        <f t="shared" si="3"/>
        <v>18.74155</v>
      </c>
      <c r="AT51" s="90">
        <f>Sheet1!BB53</f>
        <v>0.99299999999999999</v>
      </c>
      <c r="AU51" s="90">
        <f>Sheet1!AS53*GPMtoMGD</f>
        <v>3.4416000000000002E-2</v>
      </c>
      <c r="AV51" s="95">
        <f>Sheet1!AT53</f>
        <v>0</v>
      </c>
      <c r="AW51" s="90">
        <f>Sheet1!AV53*GPMtoMGD</f>
        <v>0.51868800000000004</v>
      </c>
      <c r="AX51" s="90">
        <f>Sheet1!AW53*GPMtoMGD</f>
        <v>0.79588800000000015</v>
      </c>
      <c r="AY51" s="90">
        <f>Sheet1!AX53*GPMtoMGD</f>
        <v>0</v>
      </c>
      <c r="AZ51" s="90">
        <f>Sheet1!AY53*GPMtoMGD</f>
        <v>0</v>
      </c>
      <c r="BA51" s="90">
        <f>Sheet1!AZ53*GPMtoMGD</f>
        <v>0</v>
      </c>
      <c r="BB51" s="90">
        <f>Sheet1!BP53*GPMtoMGD</f>
        <v>0</v>
      </c>
      <c r="BC51" s="90">
        <f>Sheet1!CS53*GPMtoMGD</f>
        <v>18.601488000000003</v>
      </c>
      <c r="BD51" s="90">
        <f>Sheet1!BO53*GPMtoMGD</f>
        <v>1.7244000000000002</v>
      </c>
      <c r="BE51" s="90">
        <f>Sheet1!BW53*GPMtoMGD</f>
        <v>0.997776</v>
      </c>
      <c r="BF51" s="90">
        <f>Sheet1!CN53*GPMtoMGD</f>
        <v>0.72057599999999999</v>
      </c>
      <c r="BG51" s="90">
        <f>Sheet1!CO53*GPMtoMGD</f>
        <v>0.57139200000000001</v>
      </c>
      <c r="BH51" s="90">
        <f>Sheet1!CP53*GPMtoMGD</f>
        <v>0.65448000000000006</v>
      </c>
      <c r="BI51" s="90">
        <f t="shared" si="10"/>
        <v>1.7244000000000002</v>
      </c>
      <c r="BK51" s="95">
        <f>SUM(AT51:BA51,BE51,Sheet1!BV53,'Calculations II'!BC51,Calculation!AQ51)</f>
        <v>48.130019010691782</v>
      </c>
      <c r="BM51" s="373">
        <f>0</f>
        <v>0</v>
      </c>
      <c r="BN51" s="373">
        <f>0</f>
        <v>0</v>
      </c>
      <c r="BP51" s="95">
        <f>SUM(BM51:BN51,W51,Sheet1!DX53)</f>
        <v>0</v>
      </c>
    </row>
    <row r="52" spans="1:68" s="90" customFormat="1">
      <c r="A52" s="651" t="s">
        <v>4</v>
      </c>
      <c r="B52" s="92">
        <v>41680</v>
      </c>
      <c r="C52" s="93">
        <v>0</v>
      </c>
      <c r="D52" s="95">
        <f>(Sheet1!BQ54-Sheet1!BQ53)*1.385</f>
        <v>1.3019000000000018</v>
      </c>
      <c r="E52" s="30">
        <f>(Sheet1!BR54-Sheet1!BR53)*1.385</f>
        <v>1.3019000000000018</v>
      </c>
      <c r="F52" s="30">
        <f ca="1">IF(B52=TODAY(),0,-(VLOOKUP(Sheet1!CD54,Lookup!$I$4:$J$216,2)-VLOOKUP(Sheet1!CD53,Lookup!$I$4:$J$216,2))/1000000)</f>
        <v>0</v>
      </c>
      <c r="G52" s="95">
        <f ca="1">IF(B52=TODAY(),0,-$G$6*(Sheet1!CF54-Sheet1!CF53)*7.48/1000000)</f>
        <v>-1.0325510273665424</v>
      </c>
      <c r="H52" s="95">
        <f ca="1">IF(B52=TODAY(),0,-$H$6*(Sheet1!CE54-Sheet1!CE53)*7.48/1000000)</f>
        <v>0</v>
      </c>
      <c r="I52" s="95">
        <f ca="1">IF(B52=TODAY(),0,-$I$6*(Sheet1!CG54-Sheet1!CG53)*7.48/1000000)</f>
        <v>0</v>
      </c>
      <c r="J52" s="96" t="s">
        <v>186</v>
      </c>
      <c r="K52" s="95">
        <f ca="1">IF(B52=TODAY(),0,-$K$6*(Sheet1!CH54-Sheet1!CH53)*7.48/1000000)</f>
        <v>0</v>
      </c>
      <c r="L52" s="96" t="s">
        <v>186</v>
      </c>
      <c r="M52" s="95">
        <f ca="1">IF(B52=TODAY(),0,-$M$6*(Sheet1!CI54-Sheet1!CI53)*7.48/1000000)</f>
        <v>-1.7991508428026663E-2</v>
      </c>
      <c r="N52" s="95">
        <f ca="1">IF(B52=TODAY(),0,-$N$6*(Sheet1!CJ54-Sheet1!CJ53)*7.48/1000000)</f>
        <v>-0.35990360328881865</v>
      </c>
      <c r="O52" s="95">
        <f t="shared" ca="1" si="7"/>
        <v>-1.4104461390833878</v>
      </c>
      <c r="P52" s="95">
        <f ca="1">O52+Calculation!ES52</f>
        <v>-3.9012115508437999</v>
      </c>
      <c r="Q52" s="90" t="str">
        <f>IF(Sheet1!BQ54&gt;25.75,"spill elevation","-")</f>
        <v>-</v>
      </c>
      <c r="R52" s="90" t="str">
        <f>IF(Sheet1!BQ54&gt;25.75,"spill elevation","-")</f>
        <v>-</v>
      </c>
      <c r="S52" s="90" t="str">
        <f>IF(Sheet1!BR54&gt;25.75,"spill elevation","-")</f>
        <v>-</v>
      </c>
      <c r="T52" s="94">
        <f>IF(Sheet1!DU54=1,Sheet1!AA54-(SUM(AT52:BA52)+BE52),Sheet1!AA54-SUM(AT52:BA52))</f>
        <v>17.750247999999999</v>
      </c>
      <c r="U52" s="94">
        <f>Sheet1!BV54</f>
        <v>17</v>
      </c>
      <c r="V52" s="94">
        <f t="shared" si="8"/>
        <v>0.75024799999999914</v>
      </c>
      <c r="W52" s="94">
        <f>0</f>
        <v>0</v>
      </c>
      <c r="X52" s="90">
        <f>0</f>
        <v>0</v>
      </c>
      <c r="Y52" s="95">
        <f ca="1">Calculation!EJ53+Calculation!ES52+'Calculations II'!O52-'Calculations II'!W52</f>
        <v>48.843652449156203</v>
      </c>
      <c r="Z52" s="95">
        <f ca="1">Y52-Sheet1!CT55</f>
        <v>32.642652449156202</v>
      </c>
      <c r="AA52" s="95">
        <f ca="1">Y52+Calculation!DJ53+Calculation!AS53</f>
        <v>56.05484225085592</v>
      </c>
      <c r="AC52" s="95">
        <f>Sheet1!AA54+Sheet1!AB54+BC52</f>
        <v>54.673296000000001</v>
      </c>
      <c r="AD52" s="95">
        <f>Sheet1!AA54+Sheet1!BN54+'Calculations II'!BC52-Calculation!AS52-Calculation!DJ52</f>
        <v>40.267136904259097</v>
      </c>
      <c r="AE52" s="95">
        <f>Sheet1!AA54+Sheet1!AB54+'Calculations II'!BC52-Calculation!AS52-Calculation!DJ52</f>
        <v>47.467136904259092</v>
      </c>
      <c r="AF52" s="95">
        <f ca="1">Sheet1!AA54+Sheet1!BN54+P52+'Calculations II'!BC52+Calculation!AS52+Calculation!DJ52</f>
        <v>50.778243544897116</v>
      </c>
      <c r="AG52" s="95">
        <f ca="1">IF(B52=TODAY(),0,Sheet1!AA54+Sheet1!BN54+'Calculations II'!BC52+'Calculations II'!P52-Sheet1!CT54-BP52)</f>
        <v>27.580084449156207</v>
      </c>
      <c r="AH52" s="95">
        <f ca="1">IF(B52=TODAY(),0,Sheet1!AA54+Sheet1!BN54+'Calculations II'!BC52+'Calculations II'!P52-BP52)</f>
        <v>43.572084449156208</v>
      </c>
      <c r="AI52" s="95">
        <f ca="1">IF(B52=TODAY(),0,BC52+Sheet1!AA54+Calculation!ES52+O52+W52+Sheet1!BN54+Calculation!AS52+Calculation!DJ52-BP52)</f>
        <v>50.778243544897101</v>
      </c>
      <c r="AJ52" s="95"/>
      <c r="AM52" s="91">
        <f t="shared" si="9"/>
        <v>41680</v>
      </c>
      <c r="AN52" s="95">
        <f>Sheet1!BU54</f>
        <v>19</v>
      </c>
      <c r="AO52" s="95">
        <f>Sheet1!AA54</f>
        <v>19.8</v>
      </c>
      <c r="AP52" s="95">
        <f t="shared" si="1"/>
        <v>2.6038000000000037</v>
      </c>
      <c r="AQ52" s="1055">
        <f>((Sheet1!BV54-(Sheet1!BU54-AP52))/(Sheet1!BU54-AP52))</f>
        <v>3.6825605933082262E-2</v>
      </c>
      <c r="AR52" s="95">
        <f t="shared" si="2"/>
        <v>17.196199999999997</v>
      </c>
      <c r="AS52" s="95">
        <f t="shared" si="3"/>
        <v>16.396199999999997</v>
      </c>
      <c r="AT52" s="90">
        <f>Sheet1!BB54</f>
        <v>1.0009999999999999</v>
      </c>
      <c r="AU52" s="90">
        <f>Sheet1!AS54*GPMtoMGD</f>
        <v>3.3120000000000004E-2</v>
      </c>
      <c r="AV52" s="95">
        <f>Sheet1!AT54</f>
        <v>0</v>
      </c>
      <c r="AW52" s="90">
        <f>Sheet1!AV54*GPMtoMGD</f>
        <v>0.42220800000000003</v>
      </c>
      <c r="AX52" s="90">
        <f>Sheet1!AW54*GPMtoMGD</f>
        <v>0.59342400000000006</v>
      </c>
      <c r="AY52" s="90">
        <f>Sheet1!AX54*GPMtoMGD</f>
        <v>0</v>
      </c>
      <c r="AZ52" s="90">
        <f>Sheet1!AY54*GPMtoMGD</f>
        <v>0</v>
      </c>
      <c r="BA52" s="90">
        <f>Sheet1!AZ54*GPMtoMGD</f>
        <v>0</v>
      </c>
      <c r="BB52" s="90">
        <f>Sheet1!BP54*GPMtoMGD</f>
        <v>0</v>
      </c>
      <c r="BC52" s="90">
        <f>Sheet1!CS54*GPMtoMGD</f>
        <v>20.773296000000002</v>
      </c>
      <c r="BD52" s="90">
        <f>Sheet1!BO54*GPMtoMGD</f>
        <v>1.4960160000000002</v>
      </c>
      <c r="BE52" s="90">
        <f>Sheet1!BW54*GPMtoMGD</f>
        <v>0.69652800000000004</v>
      </c>
      <c r="BF52" s="90">
        <f>Sheet1!CN54*GPMtoMGD</f>
        <v>0.66009600000000002</v>
      </c>
      <c r="BG52" s="90">
        <f>Sheet1!CO54*GPMtoMGD</f>
        <v>0.47102400000000005</v>
      </c>
      <c r="BH52" s="90">
        <f>Sheet1!CP54*GPMtoMGD</f>
        <v>0.68299200000000004</v>
      </c>
      <c r="BI52" s="90">
        <f t="shared" si="10"/>
        <v>1.4960160000000002</v>
      </c>
      <c r="BK52" s="95">
        <f>SUM(AT52:BA52,BE52,Sheet1!BV54,'Calculations II'!BC52,Calculation!AQ52)</f>
        <v>47.4141972174899</v>
      </c>
      <c r="BM52" s="373">
        <f>0</f>
        <v>0</v>
      </c>
      <c r="BN52" s="373">
        <f>0</f>
        <v>0</v>
      </c>
      <c r="BP52" s="95">
        <f>SUM(BM52:BN52,W52,Sheet1!DX54)</f>
        <v>0</v>
      </c>
    </row>
    <row r="53" spans="1:68" s="90" customFormat="1">
      <c r="A53" s="651" t="s">
        <v>5</v>
      </c>
      <c r="B53" s="92">
        <v>41681</v>
      </c>
      <c r="C53" s="93">
        <v>0</v>
      </c>
      <c r="D53" s="95">
        <f>(Sheet1!BQ55-Sheet1!BQ54)*1.385</f>
        <v>0.74789999999999879</v>
      </c>
      <c r="E53" s="30">
        <f>(Sheet1!BR55-Sheet1!BR54)*1.385</f>
        <v>0.60940000000000183</v>
      </c>
      <c r="F53" s="30">
        <f ca="1">IF(B53=TODAY(),0,-(VLOOKUP(Sheet1!CD55,Lookup!$I$4:$J$216,2)-VLOOKUP(Sheet1!CD54,Lookup!$I$4:$J$216,2))/1000000)</f>
        <v>-2.3836495865993985</v>
      </c>
      <c r="G53" s="95">
        <f ca="1">IF(B53=TODAY(),0,-$G$6*(Sheet1!CF55-Sheet1!CF54)*7.48/1000000)</f>
        <v>-0.23828100631535562</v>
      </c>
      <c r="H53" s="95">
        <f ca="1">IF(B53=TODAY(),0,-$H$6*(Sheet1!CE55-Sheet1!CE54)*7.48/1000000)</f>
        <v>7.5197161756325293E-2</v>
      </c>
      <c r="I53" s="95">
        <f ca="1">IF(B53=TODAY(),0,-$I$6*(Sheet1!CG55-Sheet1!CG54)*7.48/1000000)</f>
        <v>4.4924880000000042E-2</v>
      </c>
      <c r="J53" s="96" t="s">
        <v>186</v>
      </c>
      <c r="K53" s="95">
        <f ca="1">IF(B53=TODAY(),0,-$K$6*(Sheet1!CH55-Sheet1!CH54)*7.48/1000000)</f>
        <v>7.9959844493501367E-2</v>
      </c>
      <c r="L53" s="96" t="s">
        <v>186</v>
      </c>
      <c r="M53" s="95">
        <f ca="1">IF(B53=TODAY(),0,-$M$6*(Sheet1!CI55-Sheet1!CI54)*7.48/1000000)</f>
        <v>0.16192357585224318</v>
      </c>
      <c r="N53" s="95">
        <f ca="1">IF(B53=TODAY(),0,-$N$6*(Sheet1!CJ55-Sheet1!CJ54)*7.48/1000000)</f>
        <v>0.32887743059150631</v>
      </c>
      <c r="O53" s="95">
        <f t="shared" ca="1" si="7"/>
        <v>-1.9310477002211779</v>
      </c>
      <c r="P53" s="95">
        <f ca="1">O53+Calculation!ES53</f>
        <v>-3.4536946182621575</v>
      </c>
      <c r="Q53" s="90" t="str">
        <f>IF(Sheet1!BQ55&gt;25.75,"spill elevation","-")</f>
        <v>-</v>
      </c>
      <c r="R53" s="90" t="str">
        <f>IF(Sheet1!BQ55&gt;25.75,"spill elevation","-")</f>
        <v>-</v>
      </c>
      <c r="S53" s="90" t="str">
        <f>IF(Sheet1!BR55&gt;25.75,"spill elevation","-")</f>
        <v>-</v>
      </c>
      <c r="T53" s="94">
        <f>IF(Sheet1!DU55=1,Sheet1!AA55-(SUM(AT53:BA53)+BE53),Sheet1!AA55-SUM(AT53:BA53))</f>
        <v>17.357856000000002</v>
      </c>
      <c r="U53" s="94">
        <f>Sheet1!BV55</f>
        <v>18.2</v>
      </c>
      <c r="V53" s="94">
        <f t="shared" si="8"/>
        <v>-0.84214399999999756</v>
      </c>
      <c r="W53" s="94">
        <f>0</f>
        <v>0</v>
      </c>
      <c r="X53" s="90">
        <f>0</f>
        <v>0</v>
      </c>
      <c r="Y53" s="95">
        <f ca="1">Calculation!EJ54+Calculation!ES53+'Calculations II'!O53-'Calculations II'!W53</f>
        <v>50.195137381737844</v>
      </c>
      <c r="Z53" s="95">
        <f ca="1">Y53-Sheet1!CT56</f>
        <v>34.493137381737846</v>
      </c>
      <c r="AA53" s="95">
        <f ca="1">Y53+Calculation!DJ54+Calculation!AS54</f>
        <v>57.365168312835067</v>
      </c>
      <c r="AC53" s="95">
        <f>Sheet1!AA55+Sheet1!AB55+BC53</f>
        <v>52.744864000000007</v>
      </c>
      <c r="AD53" s="95">
        <f>Sheet1!AA55+Sheet1!BN55+'Calculations II'!BC53-Calculation!AS53-Calculation!DJ53</f>
        <v>38.333674198300287</v>
      </c>
      <c r="AE53" s="95">
        <f>Sheet1!AA55+Sheet1!AB55+'Calculations II'!BC53-Calculation!AS53-Calculation!DJ53</f>
        <v>45.53367419830029</v>
      </c>
      <c r="AF53" s="95">
        <f ca="1">Sheet1!AA55+Sheet1!BN55+P53+'Calculations II'!BC53+Calculation!AS53+Calculation!DJ53</f>
        <v>49.302359183437559</v>
      </c>
      <c r="AG53" s="95">
        <f ca="1">IF(B53=TODAY(),0,Sheet1!AA55+Sheet1!BN55+'Calculations II'!BC53+'Calculations II'!P53-Sheet1!CT55-BP53)</f>
        <v>25.890169381737849</v>
      </c>
      <c r="AH53" s="95">
        <f ca="1">IF(B53=TODAY(),0,Sheet1!AA55+Sheet1!BN55+'Calculations II'!BC53+'Calculations II'!P53-BP53)</f>
        <v>42.091169381737849</v>
      </c>
      <c r="AI53" s="95">
        <f ca="1">IF(B53=TODAY(),0,BC53+Sheet1!AA55+Calculation!ES53+O53+W53+Sheet1!BN55+Calculation!AS53+Calculation!DJ53-BP53)</f>
        <v>49.302359183437559</v>
      </c>
      <c r="AJ53" s="95"/>
      <c r="AM53" s="91">
        <f t="shared" si="9"/>
        <v>41681</v>
      </c>
      <c r="AN53" s="95">
        <f>Sheet1!BU55</f>
        <v>18.8</v>
      </c>
      <c r="AO53" s="95">
        <f>Sheet1!AA55</f>
        <v>19.78</v>
      </c>
      <c r="AP53" s="95">
        <f t="shared" si="1"/>
        <v>1.3573000000000006</v>
      </c>
      <c r="AQ53" s="1055">
        <f>((Sheet1!BV55-(Sheet1!BU55-AP53))/(Sheet1!BU55-AP53))</f>
        <v>4.3416443555183593E-2</v>
      </c>
      <c r="AR53" s="95">
        <f t="shared" si="2"/>
        <v>18.422699999999999</v>
      </c>
      <c r="AS53" s="95">
        <f t="shared" si="3"/>
        <v>17.442699999999999</v>
      </c>
      <c r="AT53" s="90">
        <f>Sheet1!BB55</f>
        <v>1</v>
      </c>
      <c r="AU53" s="90">
        <f>Sheet1!AS55*GPMtoMGD</f>
        <v>1.5984000000000002E-2</v>
      </c>
      <c r="AV53" s="95">
        <f>Sheet1!AT55</f>
        <v>0</v>
      </c>
      <c r="AW53" s="90">
        <f>Sheet1!AV55*GPMtoMGD</f>
        <v>0.64396799999999998</v>
      </c>
      <c r="AX53" s="90">
        <f>Sheet1!AW55*GPMtoMGD</f>
        <v>0.76219199999999998</v>
      </c>
      <c r="AY53" s="90">
        <f>Sheet1!AX55*GPMtoMGD</f>
        <v>0</v>
      </c>
      <c r="AZ53" s="90">
        <f>Sheet1!AY55*GPMtoMGD</f>
        <v>0</v>
      </c>
      <c r="BA53" s="90">
        <f>Sheet1!AZ55*GPMtoMGD</f>
        <v>0</v>
      </c>
      <c r="BB53" s="90">
        <f>Sheet1!BP55*GPMtoMGD</f>
        <v>0</v>
      </c>
      <c r="BC53" s="90">
        <f>Sheet1!CS55*GPMtoMGD</f>
        <v>18.864864000000001</v>
      </c>
      <c r="BD53" s="90">
        <f>Sheet1!BO55*GPMtoMGD</f>
        <v>1.1892960000000001</v>
      </c>
      <c r="BE53" s="90">
        <f>Sheet1!BW55*GPMtoMGD</f>
        <v>0.90964800000000012</v>
      </c>
      <c r="BF53" s="90">
        <f>Sheet1!CN55*GPMtoMGD</f>
        <v>0.74880000000000002</v>
      </c>
      <c r="BG53" s="90">
        <f>Sheet1!CO55*GPMtoMGD</f>
        <v>0.45230400000000004</v>
      </c>
      <c r="BH53" s="90">
        <f>Sheet1!CP55*GPMtoMGD</f>
        <v>0.65937599999999996</v>
      </c>
      <c r="BI53" s="90">
        <f t="shared" si="10"/>
        <v>1.1892960000000001</v>
      </c>
      <c r="BK53" s="95">
        <f>SUM(AT53:BA53,BE53,Sheet1!BV55,'Calculations II'!BC53,Calculation!AQ53)</f>
        <v>47.286882628895185</v>
      </c>
      <c r="BM53" s="373">
        <f>0</f>
        <v>0</v>
      </c>
      <c r="BN53" s="373">
        <f>0</f>
        <v>0</v>
      </c>
      <c r="BP53" s="95">
        <f>SUM(BM53:BN53,W53,Sheet1!DX55)</f>
        <v>0</v>
      </c>
    </row>
    <row r="54" spans="1:68" s="90" customFormat="1">
      <c r="A54" s="651" t="s">
        <v>6</v>
      </c>
      <c r="B54" s="92">
        <v>41682</v>
      </c>
      <c r="C54" s="93">
        <v>0</v>
      </c>
      <c r="D54" s="95">
        <f>(Sheet1!BQ56-Sheet1!BQ55)*1.385</f>
        <v>3.5594500000000004</v>
      </c>
      <c r="E54" s="30">
        <f>(Sheet1!BR56-Sheet1!BR55)*1.385</f>
        <v>3.670249999999998</v>
      </c>
      <c r="F54" s="30">
        <f ca="1">IF(B54=TODAY(),0,-(VLOOKUP(Sheet1!CD56,Lookup!$I$4:$J$216,2)-VLOOKUP(Sheet1!CD55,Lookup!$I$4:$J$216,2))/1000000)</f>
        <v>2.4872865251472032</v>
      </c>
      <c r="G54" s="95">
        <f ca="1">IF(B54=TODAY(),0,-$G$6*(Sheet1!CF56-Sheet1!CF55)*7.48/1000000)</f>
        <v>0.15885400421023735</v>
      </c>
      <c r="H54" s="95">
        <f ca="1">IF(B54=TODAY(),0,-$H$6*(Sheet1!CE56-Sheet1!CE55)*7.48/1000000)</f>
        <v>1.5039432351265274E-2</v>
      </c>
      <c r="I54" s="95">
        <f ca="1">IF(B54=TODAY(),0,-$I$6*(Sheet1!CG56-Sheet1!CG55)*7.48/1000000)</f>
        <v>-2.6954928000000024E-2</v>
      </c>
      <c r="J54" s="96" t="s">
        <v>186</v>
      </c>
      <c r="K54" s="95">
        <f ca="1">IF(B54=TODAY(),0,-$K$6*(Sheet1!CH56-Sheet1!CH55)*7.48/1000000)</f>
        <v>-5.3306562995667592E-2</v>
      </c>
      <c r="L54" s="96" t="s">
        <v>186</v>
      </c>
      <c r="M54" s="95">
        <f ca="1">IF(B54=TODAY(),0,-$M$6*(Sheet1!CI56-Sheet1!CI55)*7.48/1000000)</f>
        <v>-7.1966033712107941E-2</v>
      </c>
      <c r="N54" s="95">
        <f ca="1">IF(B54=TODAY(),0,-$N$6*(Sheet1!CJ56-Sheet1!CJ55)*7.48/1000000)</f>
        <v>-0.21097797434172119</v>
      </c>
      <c r="O54" s="95">
        <f t="shared" ca="1" si="7"/>
        <v>2.2979744626592091</v>
      </c>
      <c r="P54" s="95">
        <f ca="1">O54+Calculation!ES54</f>
        <v>-4.905233562790448</v>
      </c>
      <c r="Q54" s="90" t="str">
        <f>IF(Sheet1!BQ56&gt;25.75,"spill elevation","-")</f>
        <v>-</v>
      </c>
      <c r="R54" s="90" t="str">
        <f>IF(Sheet1!BQ56&gt;25.75,"spill elevation","-")</f>
        <v>-</v>
      </c>
      <c r="S54" s="90" t="str">
        <f>IF(Sheet1!BR56&gt;25.75,"spill elevation","-")</f>
        <v>-</v>
      </c>
      <c r="T54" s="94">
        <f>IF(Sheet1!DU56=1,Sheet1!AA56-(SUM(AT54:BA54)+BE54),Sheet1!AA56-SUM(AT54:BA54))</f>
        <v>18.892807999999999</v>
      </c>
      <c r="U54" s="94">
        <f>Sheet1!BV56</f>
        <v>13.4</v>
      </c>
      <c r="V54" s="94">
        <f t="shared" si="8"/>
        <v>5.4928079999999984</v>
      </c>
      <c r="W54" s="94">
        <f>0</f>
        <v>0</v>
      </c>
      <c r="X54" s="90">
        <f>0</f>
        <v>0</v>
      </c>
      <c r="Y54" s="95">
        <f ca="1">Calculation!EJ55+Calculation!ES54+'Calculations II'!O54-'Calculations II'!W54</f>
        <v>44.38148643720956</v>
      </c>
      <c r="Z54" s="95">
        <f ca="1">Y54-Sheet1!CT57</f>
        <v>28.319486437209559</v>
      </c>
      <c r="AA54" s="95">
        <f ca="1">Y54+Calculation!DJ55+Calculation!AS55</f>
        <v>51.586534514132637</v>
      </c>
      <c r="AC54" s="95">
        <f>Sheet1!AA56+Sheet1!AB56+BC54</f>
        <v>53.648831999999999</v>
      </c>
      <c r="AD54" s="95">
        <f>Sheet1!AA56+Sheet1!BN56+'Calculations II'!BC54-Calculation!AS54-Calculation!DJ54</f>
        <v>39.278801068902773</v>
      </c>
      <c r="AE54" s="95">
        <f>Sheet1!AA56+Sheet1!AB56+'Calculations II'!BC54-Calculation!AS54-Calculation!DJ54</f>
        <v>46.478801068902776</v>
      </c>
      <c r="AF54" s="95">
        <f ca="1">Sheet1!AA56+Sheet1!BN56+P54+'Calculations II'!BC54+Calculation!AS54+Calculation!DJ54</f>
        <v>48.713629368306776</v>
      </c>
      <c r="AG54" s="95">
        <f ca="1">IF(B54=TODAY(),0,Sheet1!AA56+Sheet1!BN56+'Calculations II'!BC54+'Calculations II'!P54-Sheet1!CT56-BP54)</f>
        <v>25.841598437209548</v>
      </c>
      <c r="AH54" s="95">
        <f ca="1">IF(B54=TODAY(),0,Sheet1!AA56+Sheet1!BN56+'Calculations II'!BC54+'Calculations II'!P54-BP54)</f>
        <v>41.543598437209546</v>
      </c>
      <c r="AI54" s="95">
        <f ca="1">IF(B54=TODAY(),0,BC54+Sheet1!AA56+Calculation!ES54+O54+W54+Sheet1!BN56+Calculation!AS54+Calculation!DJ54-BP54)</f>
        <v>48.713629368306776</v>
      </c>
      <c r="AJ54" s="95"/>
      <c r="AM54" s="91">
        <f t="shared" si="9"/>
        <v>41682</v>
      </c>
      <c r="AN54" s="95">
        <f>Sheet1!BU56</f>
        <v>19.7</v>
      </c>
      <c r="AO54" s="95">
        <f>Sheet1!AA56</f>
        <v>20.72</v>
      </c>
      <c r="AP54" s="95">
        <f t="shared" si="1"/>
        <v>7.2296999999999985</v>
      </c>
      <c r="AQ54" s="1055">
        <f>((Sheet1!BV56-(Sheet1!BU56-AP54))/(Sheet1!BU56-AP54))</f>
        <v>7.4553138256497314E-2</v>
      </c>
      <c r="AR54" s="95">
        <f t="shared" si="2"/>
        <v>13.490300000000001</v>
      </c>
      <c r="AS54" s="95">
        <f t="shared" si="3"/>
        <v>12.470300000000002</v>
      </c>
      <c r="AT54" s="90">
        <f>Sheet1!BB56</f>
        <v>0.92100000000000004</v>
      </c>
      <c r="AU54" s="90">
        <f>Sheet1!AS56*GPMtoMGD</f>
        <v>3.1248000000000001E-2</v>
      </c>
      <c r="AV54" s="95">
        <f>Sheet1!AT56</f>
        <v>0</v>
      </c>
      <c r="AW54" s="90">
        <f>Sheet1!AV56*GPMtoMGD</f>
        <v>0.39369599999999999</v>
      </c>
      <c r="AX54" s="90">
        <f>Sheet1!AW56*GPMtoMGD</f>
        <v>0.48124800000000001</v>
      </c>
      <c r="AY54" s="90">
        <f>Sheet1!AX56*GPMtoMGD</f>
        <v>0</v>
      </c>
      <c r="AZ54" s="90">
        <f>Sheet1!AY56*GPMtoMGD</f>
        <v>0</v>
      </c>
      <c r="BA54" s="90">
        <f>Sheet1!AZ56*GPMtoMGD</f>
        <v>0</v>
      </c>
      <c r="BB54" s="90">
        <f>Sheet1!BP56*GPMtoMGD</f>
        <v>0.48657600000000001</v>
      </c>
      <c r="BC54" s="90">
        <f>Sheet1!CS56*GPMtoMGD</f>
        <v>20.228832000000001</v>
      </c>
      <c r="BD54" s="90">
        <f>Sheet1!BO56*GPMtoMGD</f>
        <v>1.089216</v>
      </c>
      <c r="BE54" s="90">
        <f>Sheet1!BW56*GPMtoMGD</f>
        <v>0.7312320000000001</v>
      </c>
      <c r="BF54" s="90">
        <f>Sheet1!CN56*GPMtoMGD</f>
        <v>0.72648000000000001</v>
      </c>
      <c r="BG54" s="90">
        <f>Sheet1!CO56*GPMtoMGD</f>
        <v>0.45705600000000002</v>
      </c>
      <c r="BH54" s="90">
        <f>Sheet1!CP56*GPMtoMGD</f>
        <v>0.65836800000000006</v>
      </c>
      <c r="BI54" s="90">
        <f t="shared" si="10"/>
        <v>1.5757919999999999</v>
      </c>
      <c r="BK54" s="95">
        <f>SUM(AT54:BA54,BE54,Sheet1!BV56,'Calculations II'!BC54,Calculation!AQ54)</f>
        <v>41.712926437465391</v>
      </c>
      <c r="BM54" s="373">
        <f>0</f>
        <v>0</v>
      </c>
      <c r="BN54" s="373">
        <f>0</f>
        <v>0</v>
      </c>
      <c r="BP54" s="95">
        <f>SUM(BM54:BN54,W54,Sheet1!DX56)</f>
        <v>0</v>
      </c>
    </row>
    <row r="55" spans="1:68" s="90" customFormat="1">
      <c r="A55" s="651" t="s">
        <v>7</v>
      </c>
      <c r="B55" s="92">
        <v>41683</v>
      </c>
      <c r="C55" s="93">
        <v>0</v>
      </c>
      <c r="D55" s="95">
        <f>(Sheet1!BQ57-Sheet1!BQ56)*1.385</f>
        <v>-0.15234999999999921</v>
      </c>
      <c r="E55" s="30">
        <f>(Sheet1!BR57-Sheet1!BR56)*1.385</f>
        <v>-9.6950000000000397E-2</v>
      </c>
      <c r="F55" s="30">
        <f ca="1">IF(B55=TODAY(),0,-(VLOOKUP(Sheet1!CD57,Lookup!$I$4:$J$216,2)-VLOOKUP(Sheet1!CD56,Lookup!$I$4:$J$216,2))/1000000)</f>
        <v>0.51818469273899681</v>
      </c>
      <c r="G55" s="95">
        <f ca="1">IF(B55=TODAY(),0,-$G$6*(Sheet1!CF57-Sheet1!CF56)*7.48/1000000)</f>
        <v>0.19856750526279648</v>
      </c>
      <c r="H55" s="95">
        <f ca="1">IF(B55=TODAY(),0,-$H$6*(Sheet1!CE57-Sheet1!CE56)*7.48/1000000)</f>
        <v>1.5039432351264204E-2</v>
      </c>
      <c r="I55" s="95">
        <f ca="1">IF(B55=TODAY(),0,-$I$6*(Sheet1!CG57-Sheet1!CG56)*7.48/1000000)</f>
        <v>-8.9849759999999675E-3</v>
      </c>
      <c r="J55" s="96" t="s">
        <v>186</v>
      </c>
      <c r="K55" s="95">
        <f ca="1">IF(B55=TODAY(),0,-$K$6*(Sheet1!CH57-Sheet1!CH56)*7.48/1000000)</f>
        <v>-1.3326640748916837E-2</v>
      </c>
      <c r="L55" s="96" t="s">
        <v>186</v>
      </c>
      <c r="M55" s="95">
        <f ca="1">IF(B55=TODAY(),0,-$M$6*(Sheet1!CI57-Sheet1!CI56)*7.48/1000000)</f>
        <v>-7.1966033712108565E-2</v>
      </c>
      <c r="N55" s="95">
        <f ca="1">IF(B55=TODAY(),0,-$N$6*(Sheet1!CJ57-Sheet1!CJ56)*7.48/1000000)</f>
        <v>0.57708681217000213</v>
      </c>
      <c r="O55" s="95">
        <f t="shared" ca="1" si="7"/>
        <v>1.2146007920620341</v>
      </c>
      <c r="P55" s="95">
        <f ca="1">O55+Calculation!ES55</f>
        <v>1.6304076456505667</v>
      </c>
      <c r="Q55" s="90" t="str">
        <f>IF(Sheet1!BQ57&gt;25.75,"spill elevation","-")</f>
        <v>-</v>
      </c>
      <c r="R55" s="90" t="str">
        <f>IF(Sheet1!BQ57&gt;25.75,"spill elevation","-")</f>
        <v>-</v>
      </c>
      <c r="S55" s="90" t="str">
        <f>IF(Sheet1!BR57&gt;25.75,"spill elevation","-")</f>
        <v>-</v>
      </c>
      <c r="T55" s="94">
        <f>IF(Sheet1!DU57=1,Sheet1!AA57-(SUM(AT55:BA55)+BE55),Sheet1!AA57-SUM(AT55:BA55))</f>
        <v>20.829967999999997</v>
      </c>
      <c r="U55" s="94">
        <f>Sheet1!BV57</f>
        <v>22.3</v>
      </c>
      <c r="V55" s="94">
        <f t="shared" si="8"/>
        <v>-1.4700320000000033</v>
      </c>
      <c r="W55" s="94">
        <f>0</f>
        <v>0</v>
      </c>
      <c r="X55" s="90">
        <f>0</f>
        <v>0</v>
      </c>
      <c r="Y55" s="95">
        <f ca="1">Calculation!EJ56+Calculation!ES55+'Calculations II'!O55-'Calculations II'!W55</f>
        <v>49.17986364565057</v>
      </c>
      <c r="Z55" s="95">
        <f ca="1">Y55-Sheet1!CT58</f>
        <v>33.35986364565057</v>
      </c>
      <c r="AA55" s="95">
        <f ca="1">Y55+Calculation!DJ56+Calculation!AS56</f>
        <v>56.388454710942668</v>
      </c>
      <c r="AC55" s="95">
        <f>Sheet1!AA57+Sheet1!AB57+BC55</f>
        <v>49.286720000000003</v>
      </c>
      <c r="AD55" s="95">
        <f>Sheet1!AA57+Sheet1!BN57+'Calculations II'!BC55-Calculation!AS55-Calculation!DJ55</f>
        <v>34.881671923076922</v>
      </c>
      <c r="AE55" s="95">
        <f>Sheet1!AA57+Sheet1!AB57+'Calculations II'!BC55-Calculation!AS55-Calculation!DJ55</f>
        <v>42.081671923076925</v>
      </c>
      <c r="AF55" s="95">
        <f ca="1">Sheet1!AA57+Sheet1!BN57+P55+'Calculations II'!BC55+Calculation!AS55+Calculation!DJ55</f>
        <v>50.922175722573641</v>
      </c>
      <c r="AG55" s="95">
        <f ca="1">IF(B55=TODAY(),0,Sheet1!AA57+Sheet1!BN57+'Calculations II'!BC55+'Calculations II'!P55-Sheet1!CT57-BP55)</f>
        <v>27.655127645650563</v>
      </c>
      <c r="AH55" s="95">
        <f ca="1">IF(B55=TODAY(),0,Sheet1!AA57+Sheet1!BN57+'Calculations II'!BC55+'Calculations II'!P55-BP55)</f>
        <v>43.717127645650564</v>
      </c>
      <c r="AI55" s="95">
        <f ca="1">IF(B55=TODAY(),0,BC55+Sheet1!AA57+Calculation!ES55+O55+W55+Sheet1!BN57+Calculation!AS55+Calculation!DJ55-BP55)</f>
        <v>50.922175722573648</v>
      </c>
      <c r="AJ55" s="95"/>
      <c r="AM55" s="91">
        <f t="shared" si="9"/>
        <v>41683</v>
      </c>
      <c r="AN55" s="95">
        <f>Sheet1!BU57</f>
        <v>22.2</v>
      </c>
      <c r="AO55" s="95">
        <f>Sheet1!AA57</f>
        <v>23.4</v>
      </c>
      <c r="AP55" s="95">
        <f t="shared" si="1"/>
        <v>-0.24929999999999961</v>
      </c>
      <c r="AQ55" s="1055">
        <f>((Sheet1!BV57-(Sheet1!BU57-AP55))/(Sheet1!BU57-AP55))</f>
        <v>-6.6505414422719936E-3</v>
      </c>
      <c r="AR55" s="95">
        <f t="shared" si="2"/>
        <v>23.649299999999997</v>
      </c>
      <c r="AS55" s="95">
        <f t="shared" si="3"/>
        <v>22.449299999999997</v>
      </c>
      <c r="AT55" s="90">
        <f>Sheet1!BB57</f>
        <v>1</v>
      </c>
      <c r="AU55" s="90">
        <f>Sheet1!AS57*GPMtoMGD</f>
        <v>1.5552000000000002E-2</v>
      </c>
      <c r="AV55" s="95">
        <f>Sheet1!AT57</f>
        <v>0</v>
      </c>
      <c r="AW55" s="90">
        <f>Sheet1!AV57*GPMtoMGD</f>
        <v>0.716256</v>
      </c>
      <c r="AX55" s="90">
        <f>Sheet1!AW57*GPMtoMGD</f>
        <v>0.83822400000000008</v>
      </c>
      <c r="AY55" s="90">
        <f>Sheet1!AX57*GPMtoMGD</f>
        <v>0</v>
      </c>
      <c r="AZ55" s="90">
        <f>Sheet1!AY57*GPMtoMGD</f>
        <v>0</v>
      </c>
      <c r="BA55" s="90">
        <f>Sheet1!AZ57*GPMtoMGD</f>
        <v>0</v>
      </c>
      <c r="BB55" s="90">
        <f>Sheet1!BP57*GPMtoMGD</f>
        <v>1.503792</v>
      </c>
      <c r="BC55" s="90">
        <f>Sheet1!CS57*GPMtoMGD</f>
        <v>17.58672</v>
      </c>
      <c r="BD55" s="90">
        <f>Sheet1!BO57*GPMtoMGD</f>
        <v>0</v>
      </c>
      <c r="BE55" s="90">
        <f>Sheet1!BW57*GPMtoMGD</f>
        <v>0.6755040000000001</v>
      </c>
      <c r="BF55" s="90">
        <f>Sheet1!CN57*GPMtoMGD</f>
        <v>0.81691199999999997</v>
      </c>
      <c r="BG55" s="90">
        <f>Sheet1!CO57*GPMtoMGD</f>
        <v>0.44524800000000003</v>
      </c>
      <c r="BH55" s="90">
        <f>Sheet1!CP57*GPMtoMGD</f>
        <v>0.65145600000000004</v>
      </c>
      <c r="BI55" s="90">
        <f t="shared" si="10"/>
        <v>1.503792</v>
      </c>
      <c r="BK55" s="95">
        <f>SUM(AT55:BA55,BE55,Sheet1!BV57,'Calculations II'!BC55,Calculation!AQ55)</f>
        <v>44.229611769230765</v>
      </c>
      <c r="BM55" s="373">
        <f>0</f>
        <v>0</v>
      </c>
      <c r="BN55" s="373">
        <f>0</f>
        <v>0</v>
      </c>
      <c r="BP55" s="95">
        <f>SUM(BM55:BN55,W55,Sheet1!DX57)</f>
        <v>0</v>
      </c>
    </row>
    <row r="56" spans="1:68" s="90" customFormat="1">
      <c r="A56" s="651" t="s">
        <v>8</v>
      </c>
      <c r="B56" s="92">
        <v>41684</v>
      </c>
      <c r="C56" s="93">
        <v>0</v>
      </c>
      <c r="D56" s="95">
        <f>(Sheet1!BQ58-Sheet1!BQ57)*1.385</f>
        <v>0.15234999999999921</v>
      </c>
      <c r="E56" s="30">
        <f>(Sheet1!BR58-Sheet1!BR57)*1.385</f>
        <v>0</v>
      </c>
      <c r="F56" s="30">
        <f ca="1">IF(B56=TODAY(),0,-(VLOOKUP(Sheet1!CD58,Lookup!$I$4:$J$216,2)-VLOOKUP(Sheet1!CD57,Lookup!$I$4:$J$216,2))/1000000)</f>
        <v>-0.41454775419119744</v>
      </c>
      <c r="G56" s="95">
        <f ca="1">IF(B56=TODAY(),0,-$G$6*(Sheet1!CF58-Sheet1!CF57)*7.48/1000000)</f>
        <v>0.19856750526279648</v>
      </c>
      <c r="H56" s="95">
        <f ca="1">IF(B56=TODAY(),0,-$H$6*(Sheet1!CE58-Sheet1!CE57)*7.48/1000000)</f>
        <v>-1.5039432351264204E-2</v>
      </c>
      <c r="I56" s="95">
        <f ca="1">IF(B56=TODAY(),0,-$I$6*(Sheet1!CG58-Sheet1!CG57)*7.48/1000000)</f>
        <v>4.4924879999999837E-3</v>
      </c>
      <c r="J56" s="96" t="s">
        <v>186</v>
      </c>
      <c r="K56" s="95">
        <f ca="1">IF(B56=TODAY(),0,-$K$6*(Sheet1!CH58-Sheet1!CH57)*7.48/1000000)</f>
        <v>1.3326640748916837E-2</v>
      </c>
      <c r="L56" s="96" t="s">
        <v>186</v>
      </c>
      <c r="M56" s="95">
        <f ca="1">IF(B56=TODAY(),0,-$M$6*(Sheet1!CI58-Sheet1!CI57)*7.48/1000000)</f>
        <v>0</v>
      </c>
      <c r="N56" s="95">
        <f ca="1">IF(B56=TODAY(),0,-$N$6*(Sheet1!CJ58-Sheet1!CJ57)*7.48/1000000)</f>
        <v>0.13030992532871072</v>
      </c>
      <c r="O56" s="95">
        <f t="shared" ca="1" si="7"/>
        <v>-8.2890627202037603E-2</v>
      </c>
      <c r="P56" s="95">
        <f ca="1">O56+Calculation!ES56</f>
        <v>-0.36009733326037219</v>
      </c>
      <c r="Q56" s="90" t="str">
        <f>IF(Sheet1!BQ58&gt;25.75,"spill elevation","-")</f>
        <v>-</v>
      </c>
      <c r="R56" s="90" t="str">
        <f>IF(Sheet1!BQ58&gt;25.75,"spill elevation","-")</f>
        <v>-</v>
      </c>
      <c r="S56" s="90" t="str">
        <f>IF(Sheet1!BR58&gt;25.75,"spill elevation","-")</f>
        <v>-</v>
      </c>
      <c r="T56" s="94">
        <f>IF(Sheet1!DU58=1,Sheet1!AA58-(SUM(AT56:BA56)+BE56),Sheet1!AA58-SUM(AT56:BA56))</f>
        <v>21.392416000000001</v>
      </c>
      <c r="U56" s="94">
        <f>Sheet1!BV58</f>
        <v>25.5</v>
      </c>
      <c r="V56" s="94">
        <f t="shared" si="8"/>
        <v>-4.1075839999999992</v>
      </c>
      <c r="W56" s="94">
        <f>0</f>
        <v>0</v>
      </c>
      <c r="X56" s="90">
        <f>0</f>
        <v>0</v>
      </c>
      <c r="Y56" s="95">
        <f ca="1">Calculation!EJ57+Calculation!ES56+'Calculations II'!O56-'Calculations II'!W56</f>
        <v>47.44473466673962</v>
      </c>
      <c r="Z56" s="95">
        <f ca="1">Y56-Sheet1!CT59</f>
        <v>31.056734666739619</v>
      </c>
      <c r="AA56" s="95">
        <f ca="1">Y56+Calculation!DJ57+Calculation!AS57</f>
        <v>54.689815311900915</v>
      </c>
      <c r="AC56" s="95">
        <f>Sheet1!AA58+Sheet1!AB58+BC56</f>
        <v>47.549455999999999</v>
      </c>
      <c r="AD56" s="95">
        <f>Sheet1!AA58+Sheet1!BN58+'Calculations II'!BC56-Calculation!AS56-Calculation!DJ56</f>
        <v>33.140864934707906</v>
      </c>
      <c r="AE56" s="95">
        <f>Sheet1!AA58+Sheet1!AB58+'Calculations II'!BC56-Calculation!AS56-Calculation!DJ56</f>
        <v>40.340864934707902</v>
      </c>
      <c r="AF56" s="95">
        <f ca="1">Sheet1!AA58+Sheet1!BN58+P56+'Calculations II'!BC56+Calculation!AS56+Calculation!DJ56</f>
        <v>47.197949732031724</v>
      </c>
      <c r="AG56" s="95">
        <f ca="1">IF(B56=TODAY(),0,Sheet1!AA58+Sheet1!BN58+'Calculations II'!BC56+'Calculations II'!P56-Sheet1!CT58-BP56)</f>
        <v>24.169358666739633</v>
      </c>
      <c r="AH56" s="95">
        <f ca="1">IF(B56=TODAY(),0,Sheet1!AA58+Sheet1!BN58+'Calculations II'!BC56+'Calculations II'!P56-BP56)</f>
        <v>39.989358666739633</v>
      </c>
      <c r="AI56" s="95">
        <f ca="1">IF(B56=TODAY(),0,BC56+Sheet1!AA58+Calculation!ES56+O56+W56+Sheet1!BN58+Calculation!AS56+Calculation!DJ56-BP56)</f>
        <v>47.197949732031724</v>
      </c>
      <c r="AJ56" s="95"/>
      <c r="AM56" s="91">
        <f t="shared" si="9"/>
        <v>41684</v>
      </c>
      <c r="AN56" s="95">
        <f>Sheet1!BU58</f>
        <v>22.5</v>
      </c>
      <c r="AO56" s="95">
        <f>Sheet1!AA58</f>
        <v>23.6</v>
      </c>
      <c r="AP56" s="95">
        <f t="shared" si="1"/>
        <v>0.15234999999999921</v>
      </c>
      <c r="AQ56" s="1055">
        <f>((Sheet1!BV58-(Sheet1!BU58-AP56))/(Sheet1!BU58-AP56))</f>
        <v>0.14105957449664722</v>
      </c>
      <c r="AR56" s="95">
        <f t="shared" si="2"/>
        <v>23.447650000000003</v>
      </c>
      <c r="AS56" s="95">
        <f t="shared" si="3"/>
        <v>22.347650000000002</v>
      </c>
      <c r="AT56" s="90">
        <f>Sheet1!BB58</f>
        <v>1</v>
      </c>
      <c r="AU56" s="90">
        <f>Sheet1!AS58*GPMtoMGD</f>
        <v>3.1104000000000003E-2</v>
      </c>
      <c r="AV56" s="95">
        <f>Sheet1!AT58</f>
        <v>0</v>
      </c>
      <c r="AW56" s="90">
        <f>Sheet1!AV58*GPMtoMGD</f>
        <v>0.45273599999999997</v>
      </c>
      <c r="AX56" s="90">
        <f>Sheet1!AW58*GPMtoMGD</f>
        <v>0.72374400000000005</v>
      </c>
      <c r="AY56" s="90">
        <f>Sheet1!AX58*GPMtoMGD</f>
        <v>0</v>
      </c>
      <c r="AZ56" s="90">
        <f>Sheet1!AY58*GPMtoMGD</f>
        <v>0</v>
      </c>
      <c r="BA56" s="90">
        <f>Sheet1!AZ58*GPMtoMGD</f>
        <v>0</v>
      </c>
      <c r="BB56" s="90">
        <f>Sheet1!BP58*GPMtoMGD</f>
        <v>0.109152</v>
      </c>
      <c r="BC56" s="90">
        <f>Sheet1!CS58*GPMtoMGD</f>
        <v>15.249456</v>
      </c>
      <c r="BD56" s="90">
        <f>Sheet1!BO58*GPMtoMGD</f>
        <v>1.2631680000000001</v>
      </c>
      <c r="BE56" s="90">
        <f>Sheet1!BW58*GPMtoMGD</f>
        <v>0.94953600000000005</v>
      </c>
      <c r="BF56" s="90">
        <f>Sheet1!CN58*GPMtoMGD</f>
        <v>0.75168000000000001</v>
      </c>
      <c r="BG56" s="90">
        <f>Sheet1!CO58*GPMtoMGD</f>
        <v>0.45792000000000005</v>
      </c>
      <c r="BH56" s="90">
        <f>Sheet1!CP58*GPMtoMGD</f>
        <v>0.65433600000000003</v>
      </c>
      <c r="BI56" s="90">
        <f t="shared" si="10"/>
        <v>1.37232</v>
      </c>
      <c r="BK56" s="95">
        <f>SUM(AT56:BA56,BE56,Sheet1!BV58,'Calculations II'!BC56,Calculation!AQ56)</f>
        <v>45.401421360824742</v>
      </c>
      <c r="BM56" s="373">
        <f>0</f>
        <v>0</v>
      </c>
      <c r="BN56" s="373">
        <f>0</f>
        <v>0</v>
      </c>
      <c r="BP56" s="95">
        <f>SUM(BM56:BN56,W56,Sheet1!DX58)</f>
        <v>0</v>
      </c>
    </row>
    <row r="57" spans="1:68" s="90" customFormat="1">
      <c r="A57" s="651" t="s">
        <v>9</v>
      </c>
      <c r="B57" s="92">
        <v>41685</v>
      </c>
      <c r="C57" s="93">
        <v>0</v>
      </c>
      <c r="D57" s="95">
        <f>(Sheet1!BQ59-Sheet1!BQ58)*1.385</f>
        <v>-1.8143499999999981</v>
      </c>
      <c r="E57" s="30">
        <f>(Sheet1!BR59-Sheet1!BR58)*1.385</f>
        <v>-2.77</v>
      </c>
      <c r="F57" s="30">
        <f ca="1">IF(B57=TODAY(),0,-(VLOOKUP(Sheet1!CD59,Lookup!$I$4:$J$216,2)-VLOOKUP(Sheet1!CD58,Lookup!$I$4:$J$216,2))/1000000)</f>
        <v>0.31091081564339806</v>
      </c>
      <c r="G57" s="95">
        <f ca="1">IF(B57=TODAY(),0,-$G$6*(Sheet1!CF59-Sheet1!CF58)*7.48/1000000)</f>
        <v>0.19856750526279648</v>
      </c>
      <c r="H57" s="95">
        <f ca="1">IF(B57=TODAY(),0,-$H$6*(Sheet1!CE59-Sheet1!CE58)*7.48/1000000)</f>
        <v>4.5118297053794748E-2</v>
      </c>
      <c r="I57" s="95">
        <f ca="1">IF(B57=TODAY(),0,-$I$6*(Sheet1!CG59-Sheet1!CG58)*7.48/1000000)</f>
        <v>-1.7969952000000015E-2</v>
      </c>
      <c r="J57" s="96" t="s">
        <v>186</v>
      </c>
      <c r="K57" s="95">
        <f ca="1">IF(B57=TODAY(),0,-$K$6*(Sheet1!CH59-Sheet1!CH58)*7.48/1000000)</f>
        <v>-3.3316601872292212E-2</v>
      </c>
      <c r="L57" s="96" t="s">
        <v>186</v>
      </c>
      <c r="M57" s="95">
        <f ca="1">IF(B57=TODAY(),0,-$M$6*(Sheet1!CI59-Sheet1!CI58)*7.48/1000000)</f>
        <v>-3.598301685605397E-2</v>
      </c>
      <c r="N57" s="95">
        <f ca="1">IF(B57=TODAY(),0,-$N$6*(Sheet1!CJ59-Sheet1!CJ58)*7.48/1000000)</f>
        <v>0.18615703618387103</v>
      </c>
      <c r="O57" s="95">
        <f t="shared" ca="1" si="7"/>
        <v>0.65348408341551412</v>
      </c>
      <c r="P57" s="95">
        <f ca="1">O57+Calculation!ES57</f>
        <v>5.3640494244441452</v>
      </c>
      <c r="Q57" s="90" t="str">
        <f>IF(Sheet1!BQ59&gt;25.75,"spill elevation","-")</f>
        <v>-</v>
      </c>
      <c r="R57" s="90" t="str">
        <f>IF(Sheet1!BQ59&gt;25.75,"spill elevation","-")</f>
        <v>-</v>
      </c>
      <c r="S57" s="90" t="str">
        <f>IF(Sheet1!BR59&gt;25.75,"spill elevation","-")</f>
        <v>-</v>
      </c>
      <c r="T57" s="94">
        <f>IF(Sheet1!DU59=1,Sheet1!AA59-(SUM(AT57:BA57)+BE57),Sheet1!AA59-SUM(AT57:BA57))</f>
        <v>22.041488000000001</v>
      </c>
      <c r="U57" s="94">
        <f>Sheet1!BV59</f>
        <v>25.3</v>
      </c>
      <c r="V57" s="94">
        <f t="shared" si="8"/>
        <v>-3.2585119999999996</v>
      </c>
      <c r="W57" s="94">
        <f>0</f>
        <v>0</v>
      </c>
      <c r="X57" s="90">
        <f>0</f>
        <v>0</v>
      </c>
      <c r="Y57" s="95">
        <f ca="1">Calculation!EJ58+Calculation!ES57+'Calculations II'!O57-'Calculations II'!W57</f>
        <v>54.853777424444147</v>
      </c>
      <c r="Z57" s="95">
        <f ca="1">Y57-Sheet1!CT60</f>
        <v>38.703777424444148</v>
      </c>
      <c r="AA57" s="95">
        <f ca="1">Y57+Calculation!DJ58+Calculation!AS58</f>
        <v>62.086317747024793</v>
      </c>
      <c r="AC57" s="95">
        <f>Sheet1!AA59+Sheet1!AB59+BC57</f>
        <v>47.804831999999998</v>
      </c>
      <c r="AD57" s="95">
        <f>Sheet1!AA59+Sheet1!BN59+'Calculations II'!BC57-Calculation!AS57-Calculation!DJ57</f>
        <v>33.299751354838705</v>
      </c>
      <c r="AE57" s="95">
        <f>Sheet1!AA59+Sheet1!AB59+'Calculations II'!BC57-Calculation!AS57-Calculation!DJ57</f>
        <v>40.55975135483871</v>
      </c>
      <c r="AF57" s="95">
        <f ca="1">Sheet1!AA59+Sheet1!BN59+P57+'Calculations II'!BC57+Calculation!AS57+Calculation!DJ57</f>
        <v>53.153962069605441</v>
      </c>
      <c r="AG57" s="95">
        <f ca="1">IF(B57=TODAY(),0,Sheet1!AA59+Sheet1!BN59+'Calculations II'!BC57+'Calculations II'!P57-Sheet1!CT59-BP57)</f>
        <v>29.520881424444145</v>
      </c>
      <c r="AH57" s="95">
        <f ca="1">IF(B57=TODAY(),0,Sheet1!AA59+Sheet1!BN59+'Calculations II'!BC57+'Calculations II'!P57-BP57)</f>
        <v>45.908881424444147</v>
      </c>
      <c r="AI57" s="95">
        <f ca="1">IF(B57=TODAY(),0,BC57+Sheet1!AA59+Calculation!ES57+O57+W57+Sheet1!BN59+Calculation!AS57+Calculation!DJ57-BP57)</f>
        <v>53.153962069605441</v>
      </c>
      <c r="AJ57" s="95"/>
      <c r="AM57" s="91">
        <f t="shared" si="9"/>
        <v>41685</v>
      </c>
      <c r="AN57" s="95">
        <f>Sheet1!BU59</f>
        <v>23.1</v>
      </c>
      <c r="AO57" s="95">
        <f>Sheet1!AA59</f>
        <v>23.7</v>
      </c>
      <c r="AP57" s="95">
        <f t="shared" si="1"/>
        <v>-4.5843499999999979</v>
      </c>
      <c r="AQ57" s="1055">
        <f>((Sheet1!BV59-(Sheet1!BU59-AP57))/(Sheet1!BU59-AP57))</f>
        <v>-8.6126277120466901E-2</v>
      </c>
      <c r="AR57" s="95">
        <f t="shared" si="2"/>
        <v>28.284349999999996</v>
      </c>
      <c r="AS57" s="95">
        <f t="shared" si="3"/>
        <v>27.684349999999998</v>
      </c>
      <c r="AT57" s="90">
        <f>Sheet1!BB59</f>
        <v>1</v>
      </c>
      <c r="AU57" s="90">
        <f>Sheet1!AS59*GPMtoMGD</f>
        <v>1.6560000000000002E-2</v>
      </c>
      <c r="AV57" s="95">
        <f>Sheet1!AT59</f>
        <v>0</v>
      </c>
      <c r="AW57" s="90">
        <f>Sheet1!AV59*GPMtoMGD</f>
        <v>0.26697600000000005</v>
      </c>
      <c r="AX57" s="90">
        <f>Sheet1!AW59*GPMtoMGD</f>
        <v>0.37497599999999998</v>
      </c>
      <c r="AY57" s="90">
        <f>Sheet1!AX59*GPMtoMGD</f>
        <v>0</v>
      </c>
      <c r="AZ57" s="90">
        <f>Sheet1!AY59*GPMtoMGD</f>
        <v>0</v>
      </c>
      <c r="BA57" s="90">
        <f>Sheet1!AZ59*GPMtoMGD</f>
        <v>0</v>
      </c>
      <c r="BB57" s="90">
        <f>Sheet1!BP59*GPMtoMGD</f>
        <v>0</v>
      </c>
      <c r="BC57" s="90">
        <f>Sheet1!CS59*GPMtoMGD</f>
        <v>14.144831999999999</v>
      </c>
      <c r="BD57" s="90">
        <f>Sheet1!BO59*GPMtoMGD</f>
        <v>1.5723360000000002</v>
      </c>
      <c r="BE57" s="90">
        <f>Sheet1!BW59*GPMtoMGD</f>
        <v>0.69134400000000007</v>
      </c>
      <c r="BF57" s="90">
        <f>Sheet1!CN59*GPMtoMGD</f>
        <v>0.96984000000000004</v>
      </c>
      <c r="BG57" s="90">
        <f>Sheet1!CO59*GPMtoMGD</f>
        <v>0.47088000000000002</v>
      </c>
      <c r="BH57" s="90">
        <f>Sheet1!CP59*GPMtoMGD</f>
        <v>0.61243200000000009</v>
      </c>
      <c r="BI57" s="90">
        <f t="shared" si="10"/>
        <v>1.5723360000000002</v>
      </c>
      <c r="BK57" s="95">
        <f>SUM(AT57:BA57,BE57,Sheet1!BV59,'Calculations II'!BC57,Calculation!AQ57)</f>
        <v>44.505575096774194</v>
      </c>
      <c r="BM57" s="373">
        <f>0</f>
        <v>0</v>
      </c>
      <c r="BN57" s="373">
        <f>0</f>
        <v>0</v>
      </c>
      <c r="BP57" s="95">
        <f>SUM(BM57:BN57,W57,Sheet1!DX59)</f>
        <v>0</v>
      </c>
    </row>
    <row r="58" spans="1:68" s="90" customFormat="1">
      <c r="A58" s="651" t="s">
        <v>3</v>
      </c>
      <c r="B58" s="92">
        <v>41686</v>
      </c>
      <c r="C58" s="93">
        <v>0</v>
      </c>
      <c r="D58" s="95">
        <f>(Sheet1!BQ60-Sheet1!BQ59)*1.385</f>
        <v>-0.76175000000000104</v>
      </c>
      <c r="E58" s="30">
        <f>(Sheet1!BR60-Sheet1!BR59)*1.385</f>
        <v>0</v>
      </c>
      <c r="F58" s="30">
        <f ca="1">IF(B58=TODAY(),0,-(VLOOKUP(Sheet1!CD60,Lookup!$I$4:$J$216,2)-VLOOKUP(Sheet1!CD59,Lookup!$I$4:$J$216,2))/1000000)</f>
        <v>-0.82909550838240054</v>
      </c>
      <c r="G58" s="95">
        <f ca="1">IF(B58=TODAY(),0,-$G$6*(Sheet1!CF60-Sheet1!CF59)*7.48/1000000)</f>
        <v>0.23828100631535562</v>
      </c>
      <c r="H58" s="95">
        <f ca="1">IF(B58=TODAY(),0,-$H$6*(Sheet1!CE60-Sheet1!CE59)*7.48/1000000)</f>
        <v>-0.10527602645885584</v>
      </c>
      <c r="I58" s="95">
        <f ca="1">IF(B58=TODAY(),0,-$I$6*(Sheet1!CG60-Sheet1!CG59)*7.48/1000000)</f>
        <v>4.4924879999999837E-3</v>
      </c>
      <c r="J58" s="96" t="s">
        <v>186</v>
      </c>
      <c r="K58" s="95">
        <f ca="1">IF(B58=TODAY(),0,-$K$6*(Sheet1!CH60-Sheet1!CH59)*7.48/1000000)</f>
        <v>0</v>
      </c>
      <c r="L58" s="96" t="s">
        <v>186</v>
      </c>
      <c r="M58" s="95">
        <f ca="1">IF(B58=TODAY(),0,-$M$6*(Sheet1!CI60-Sheet1!CI59)*7.48/1000000)</f>
        <v>1.7991508428027301E-2</v>
      </c>
      <c r="N58" s="95">
        <f ca="1">IF(B58=TODAY(),0,-$N$6*(Sheet1!CJ60-Sheet1!CJ59)*7.48/1000000)</f>
        <v>-0.65154962664355032</v>
      </c>
      <c r="O58" s="95">
        <f t="shared" ca="1" si="7"/>
        <v>-1.3251561587414238</v>
      </c>
      <c r="P58" s="95">
        <f ca="1">O58+Calculation!ES58</f>
        <v>-0.6326361565170604</v>
      </c>
      <c r="Q58" s="90" t="str">
        <f>IF(Sheet1!BQ60&gt;25.75,"spill elevation","-")</f>
        <v>-</v>
      </c>
      <c r="R58" s="90" t="str">
        <f>IF(Sheet1!BQ60&gt;25.75,"spill elevation","-")</f>
        <v>-</v>
      </c>
      <c r="S58" s="90" t="str">
        <f>IF(Sheet1!BR60&gt;25.75,"spill elevation","-")</f>
        <v>-</v>
      </c>
      <c r="T58" s="94">
        <f>IF(Sheet1!DU60=1,Sheet1!AA60-(SUM(AT58:BA58)+BE58),Sheet1!AA60-SUM(AT58:BA58))</f>
        <v>21.585808</v>
      </c>
      <c r="U58" s="94">
        <f>Sheet1!BV60</f>
        <v>25.1</v>
      </c>
      <c r="V58" s="94">
        <f t="shared" si="8"/>
        <v>-3.5141920000000013</v>
      </c>
      <c r="W58" s="94">
        <f>0</f>
        <v>0</v>
      </c>
      <c r="X58" s="90">
        <f>0</f>
        <v>0</v>
      </c>
      <c r="Y58" s="95">
        <f ca="1">Calculation!EJ59+Calculation!ES58+'Calculations II'!O58-'Calculations II'!W58</f>
        <v>48.732835843482938</v>
      </c>
      <c r="Z58" s="95">
        <f ca="1">Y58-Sheet1!CT61</f>
        <v>32.484835843482941</v>
      </c>
      <c r="AA58" s="95">
        <f ca="1">Y58+Calculation!DJ59+Calculation!AS59</f>
        <v>56.000705119254569</v>
      </c>
      <c r="AC58" s="95">
        <f>Sheet1!AA60+Sheet1!AB60+BC58</f>
        <v>49.489727999999999</v>
      </c>
      <c r="AD58" s="95">
        <f>Sheet1!AA60+Sheet1!BN60+'Calculations II'!BC58-Calculation!AS58-Calculation!DJ58</f>
        <v>35.017187677419358</v>
      </c>
      <c r="AE58" s="95">
        <f>Sheet1!AA60+Sheet1!AB60+'Calculations II'!BC58-Calculation!AS58-Calculation!DJ58</f>
        <v>42.257187677419353</v>
      </c>
      <c r="AF58" s="95">
        <f ca="1">Sheet1!AA60+Sheet1!BN60+P58+'Calculations II'!BC58+Calculation!AS58+Calculation!DJ58</f>
        <v>48.849632166063586</v>
      </c>
      <c r="AG58" s="95">
        <f ca="1">IF(B58=TODAY(),0,Sheet1!AA60+Sheet1!BN60+'Calculations II'!BC58+'Calculations II'!P58-Sheet1!CT60-BP58)</f>
        <v>25.467091843482947</v>
      </c>
      <c r="AH58" s="95">
        <f ca="1">IF(B58=TODAY(),0,Sheet1!AA60+Sheet1!BN60+'Calculations II'!BC58+'Calculations II'!P58-BP58)</f>
        <v>41.617091843482946</v>
      </c>
      <c r="AI58" s="95">
        <f ca="1">IF(B58=TODAY(),0,BC58+Sheet1!AA60+Calculation!ES58+O58+W58+Sheet1!BN60+Calculation!AS58+Calculation!DJ58-BP58)</f>
        <v>48.849632166063593</v>
      </c>
      <c r="AJ58" s="95"/>
      <c r="AM58" s="91">
        <f t="shared" si="9"/>
        <v>41686</v>
      </c>
      <c r="AN58" s="95">
        <f>Sheet1!BU60</f>
        <v>22.7</v>
      </c>
      <c r="AO58" s="95">
        <f>Sheet1!AA60</f>
        <v>23.6</v>
      </c>
      <c r="AP58" s="95">
        <f t="shared" si="1"/>
        <v>-0.76175000000000104</v>
      </c>
      <c r="AQ58" s="1055">
        <f>((Sheet1!BV60-(Sheet1!BU60-AP58))/(Sheet1!BU60-AP58))</f>
        <v>6.9826419597856043E-2</v>
      </c>
      <c r="AR58" s="95">
        <f t="shared" si="2"/>
        <v>24.361750000000001</v>
      </c>
      <c r="AS58" s="95">
        <f t="shared" si="3"/>
        <v>23.461750000000002</v>
      </c>
      <c r="AT58" s="90">
        <f>Sheet1!BB60</f>
        <v>1</v>
      </c>
      <c r="AU58" s="90">
        <f>Sheet1!AS60*GPMtoMGD</f>
        <v>3.1248000000000001E-2</v>
      </c>
      <c r="AV58" s="95">
        <f>Sheet1!AT60</f>
        <v>0</v>
      </c>
      <c r="AW58" s="90">
        <f>Sheet1!AV60*GPMtoMGD</f>
        <v>0.39038400000000006</v>
      </c>
      <c r="AX58" s="90">
        <f>Sheet1!AW60*GPMtoMGD</f>
        <v>0.59256000000000009</v>
      </c>
      <c r="AY58" s="90">
        <f>Sheet1!AX60*GPMtoMGD</f>
        <v>0</v>
      </c>
      <c r="AZ58" s="90">
        <f>Sheet1!AY60*GPMtoMGD</f>
        <v>0</v>
      </c>
      <c r="BA58" s="90">
        <f>Sheet1!AZ60*GPMtoMGD</f>
        <v>0</v>
      </c>
      <c r="BB58" s="90">
        <f>Sheet1!BP60*GPMtoMGD</f>
        <v>0</v>
      </c>
      <c r="BC58" s="90">
        <f>Sheet1!CS60*GPMtoMGD</f>
        <v>15.949728000000002</v>
      </c>
      <c r="BD58" s="90">
        <f>Sheet1!BO60*GPMtoMGD</f>
        <v>1.518192</v>
      </c>
      <c r="BE58" s="90">
        <f>Sheet1!BW60*GPMtoMGD</f>
        <v>0.96940800000000016</v>
      </c>
      <c r="BF58" s="90">
        <f>Sheet1!CN60*GPMtoMGD</f>
        <v>0.95385600000000004</v>
      </c>
      <c r="BG58" s="90">
        <f>Sheet1!CO60*GPMtoMGD</f>
        <v>0.48024000000000006</v>
      </c>
      <c r="BH58" s="90">
        <f>Sheet1!CP60*GPMtoMGD</f>
        <v>0.61272000000000004</v>
      </c>
      <c r="BI58" s="90">
        <f t="shared" si="10"/>
        <v>1.518192</v>
      </c>
      <c r="BK58" s="95">
        <f>SUM(AT58:BA58,BE58,Sheet1!BV60,'Calculations II'!BC58,Calculation!AQ58)</f>
        <v>46.738771548387099</v>
      </c>
      <c r="BM58" s="373">
        <f>0</f>
        <v>0</v>
      </c>
      <c r="BN58" s="373">
        <f>0</f>
        <v>0</v>
      </c>
      <c r="BP58" s="95">
        <f>SUM(BM58:BN58,W58,Sheet1!DX60)</f>
        <v>0</v>
      </c>
    </row>
    <row r="59" spans="1:68" s="90" customFormat="1">
      <c r="A59" s="651" t="s">
        <v>4</v>
      </c>
      <c r="B59" s="92">
        <v>41687</v>
      </c>
      <c r="C59" s="93">
        <v>0</v>
      </c>
      <c r="D59" s="95">
        <f>(Sheet1!BQ61-Sheet1!BQ60)*1.385</f>
        <v>0.45704999999999762</v>
      </c>
      <c r="E59" s="30">
        <f>(Sheet1!BR61-Sheet1!BR60)*1.385</f>
        <v>0</v>
      </c>
      <c r="F59" s="30">
        <f ca="1">IF(B59=TODAY(),0,-(VLOOKUP(Sheet1!CD61,Lookup!$I$4:$J$216,2)-VLOOKUP(Sheet1!CD60,Lookup!$I$4:$J$216,2))/1000000)</f>
        <v>0.10363693854779936</v>
      </c>
      <c r="G59" s="95">
        <f ca="1">IF(B59=TODAY(),0,-$G$6*(Sheet1!CF61-Sheet1!CF60)*7.48/1000000)</f>
        <v>0.23828100631535562</v>
      </c>
      <c r="H59" s="95">
        <f ca="1">IF(B59=TODAY(),0,-$H$6*(Sheet1!CE61-Sheet1!CE60)*7.48/1000000)</f>
        <v>9.0236594107590579E-2</v>
      </c>
      <c r="I59" s="95">
        <f ca="1">IF(B59=TODAY(),0,-$I$6*(Sheet1!CG61-Sheet1!CG60)*7.48/1000000)</f>
        <v>0</v>
      </c>
      <c r="J59" s="96" t="s">
        <v>186</v>
      </c>
      <c r="K59" s="95">
        <f ca="1">IF(B59=TODAY(),0,-$K$6*(Sheet1!CH61-Sheet1!CH60)*7.48/1000000)</f>
        <v>1.3326640748916953E-2</v>
      </c>
      <c r="L59" s="96" t="s">
        <v>186</v>
      </c>
      <c r="M59" s="95">
        <f ca="1">IF(B59=TODAY(),0,-$M$6*(Sheet1!CI61-Sheet1!CI60)*7.48/1000000)</f>
        <v>-3.5983016856054602E-2</v>
      </c>
      <c r="N59" s="95">
        <f ca="1">IF(B59=TODAY(),0,-$N$6*(Sheet1!CJ61-Sheet1!CJ60)*7.48/1000000)</f>
        <v>0.13030992532870961</v>
      </c>
      <c r="O59" s="95">
        <f t="shared" ca="1" si="7"/>
        <v>0.53980808819231751</v>
      </c>
      <c r="P59" s="95">
        <f ca="1">O59+Calculation!ES59</f>
        <v>0.12431531305272864</v>
      </c>
      <c r="Q59" s="90" t="str">
        <f>IF(Sheet1!BQ61&gt;25.75,"spill elevation","-")</f>
        <v>-</v>
      </c>
      <c r="R59" s="90" t="str">
        <f>IF(Sheet1!BQ61&gt;25.75,"spill elevation","-")</f>
        <v>-</v>
      </c>
      <c r="S59" s="90" t="str">
        <f>IF(Sheet1!BR61&gt;25.75,"spill elevation","-")</f>
        <v>-</v>
      </c>
      <c r="T59" s="94">
        <f>IF(Sheet1!DU61=1,Sheet1!AA61-(SUM(AT59:BA59)+BE59),Sheet1!AA61-SUM(AT59:BA59))</f>
        <v>21.619744000000001</v>
      </c>
      <c r="U59" s="94">
        <f>Sheet1!BV61</f>
        <v>24.5</v>
      </c>
      <c r="V59" s="94">
        <f t="shared" si="8"/>
        <v>-2.8802559999999993</v>
      </c>
      <c r="W59" s="94">
        <f>0</f>
        <v>0</v>
      </c>
      <c r="X59" s="90">
        <f>0</f>
        <v>0</v>
      </c>
      <c r="Y59" s="95">
        <f ca="1">Calculation!EJ60+Calculation!ES59+'Calculations II'!O59-'Calculations II'!W59</f>
        <v>49.239755313052733</v>
      </c>
      <c r="Z59" s="95">
        <f ca="1">Y59-Sheet1!CT62</f>
        <v>33.197755313052731</v>
      </c>
      <c r="AA59" s="95">
        <f ca="1">Y59+Calculation!DJ60+Calculation!AS60</f>
        <v>56.446840805541896</v>
      </c>
      <c r="AC59" s="95">
        <f>Sheet1!AA61+Sheet1!AB61+BC59</f>
        <v>49.365471999999997</v>
      </c>
      <c r="AD59" s="95">
        <f>Sheet1!AA61+Sheet1!BN61+'Calculations II'!BC59-Calculation!AS59-Calculation!DJ59</f>
        <v>34.797602724228369</v>
      </c>
      <c r="AE59" s="95">
        <f>Sheet1!AA61+Sheet1!AB61+'Calculations II'!BC59-Calculation!AS59-Calculation!DJ59</f>
        <v>42.097602724228366</v>
      </c>
      <c r="AF59" s="95">
        <f ca="1">Sheet1!AA61+Sheet1!BN61+P59+'Calculations II'!BC59+Calculation!AS59+Calculation!DJ59</f>
        <v>49.457656588824364</v>
      </c>
      <c r="AG59" s="95">
        <f ca="1">IF(B59=TODAY(),0,Sheet1!AA61+Sheet1!BN61+'Calculations II'!BC59+'Calculations II'!P59-Sheet1!CT61-BP59)</f>
        <v>25.941787313052725</v>
      </c>
      <c r="AH59" s="95">
        <f ca="1">IF(B59=TODAY(),0,Sheet1!AA61+Sheet1!BN61+'Calculations II'!BC59+'Calculations II'!P59-BP59)</f>
        <v>42.189787313052726</v>
      </c>
      <c r="AI59" s="95">
        <f ca="1">IF(B59=TODAY(),0,BC59+Sheet1!AA61+Calculation!ES59+O59+W59+Sheet1!BN61+Calculation!AS59+Calculation!DJ59-BP59)</f>
        <v>49.457656588824364</v>
      </c>
      <c r="AJ59" s="95"/>
      <c r="AM59" s="91">
        <f t="shared" si="9"/>
        <v>41687</v>
      </c>
      <c r="AN59" s="95">
        <f>Sheet1!BU61</f>
        <v>22.5</v>
      </c>
      <c r="AO59" s="95">
        <f>Sheet1!AA61</f>
        <v>23.61</v>
      </c>
      <c r="AP59" s="95">
        <f t="shared" si="1"/>
        <v>0.45704999999999762</v>
      </c>
      <c r="AQ59" s="1055">
        <f>((Sheet1!BV61-(Sheet1!BU61-AP59))/(Sheet1!BU61-AP59))</f>
        <v>0.11146647794419526</v>
      </c>
      <c r="AR59" s="95">
        <f t="shared" si="2"/>
        <v>23.152950000000001</v>
      </c>
      <c r="AS59" s="95">
        <f t="shared" si="3"/>
        <v>22.042950000000001</v>
      </c>
      <c r="AT59" s="90">
        <f>Sheet1!BB61</f>
        <v>1.004</v>
      </c>
      <c r="AU59" s="90">
        <f>Sheet1!AS61*GPMtoMGD</f>
        <v>1.5984000000000002E-2</v>
      </c>
      <c r="AV59" s="95">
        <f>Sheet1!AT61</f>
        <v>0</v>
      </c>
      <c r="AW59" s="90">
        <f>Sheet1!AV61*GPMtoMGD</f>
        <v>0.38635200000000003</v>
      </c>
      <c r="AX59" s="90">
        <f>Sheet1!AW61*GPMtoMGD</f>
        <v>0.58391999999999999</v>
      </c>
      <c r="AY59" s="90">
        <f>Sheet1!AX61*GPMtoMGD</f>
        <v>0</v>
      </c>
      <c r="AZ59" s="90">
        <f>Sheet1!AY61*GPMtoMGD</f>
        <v>0</v>
      </c>
      <c r="BA59" s="90">
        <f>Sheet1!AZ61*GPMtoMGD</f>
        <v>0</v>
      </c>
      <c r="BB59" s="90">
        <f>Sheet1!BP61*GPMtoMGD</f>
        <v>4.104E-2</v>
      </c>
      <c r="BC59" s="90">
        <f>Sheet1!CS61*GPMtoMGD</f>
        <v>15.755471999999999</v>
      </c>
      <c r="BD59" s="90">
        <f>Sheet1!BO61*GPMtoMGD</f>
        <v>1.5233760000000003</v>
      </c>
      <c r="BE59" s="90">
        <f>Sheet1!BW61*GPMtoMGD</f>
        <v>0.69868799999999998</v>
      </c>
      <c r="BF59" s="90">
        <f>Sheet1!CN61*GPMtoMGD</f>
        <v>0.91310400000000014</v>
      </c>
      <c r="BG59" s="90">
        <f>Sheet1!CO61*GPMtoMGD</f>
        <v>0.48499200000000003</v>
      </c>
      <c r="BH59" s="90">
        <f>Sheet1!CP61*GPMtoMGD</f>
        <v>0.62985599999999997</v>
      </c>
      <c r="BI59" s="90">
        <f t="shared" si="10"/>
        <v>1.5644160000000003</v>
      </c>
      <c r="BK59" s="95">
        <f>SUM(AT59:BA59,BE59,Sheet1!BV61,'Calculations II'!BC59,Calculation!AQ59)</f>
        <v>45.667837424248532</v>
      </c>
      <c r="BM59" s="373">
        <f>0</f>
        <v>0</v>
      </c>
      <c r="BN59" s="373">
        <f>0</f>
        <v>0</v>
      </c>
      <c r="BP59" s="95">
        <f>SUM(BM59:BN59,W59,Sheet1!DX61)</f>
        <v>0</v>
      </c>
    </row>
    <row r="60" spans="1:68" s="90" customFormat="1">
      <c r="A60" s="651" t="s">
        <v>5</v>
      </c>
      <c r="B60" s="92">
        <v>41688</v>
      </c>
      <c r="C60" s="93">
        <v>0</v>
      </c>
      <c r="D60" s="95">
        <f>(Sheet1!BQ62-Sheet1!BQ61)*1.385</f>
        <v>-0.94179999999999964</v>
      </c>
      <c r="E60" s="30">
        <f>(Sheet1!BR62-Sheet1!BR61)*1.385</f>
        <v>0</v>
      </c>
      <c r="F60" s="30">
        <f ca="1">IF(B60=TODAY(),0,-(VLOOKUP(Sheet1!CD62,Lookup!$I$4:$J$216,2)-VLOOKUP(Sheet1!CD61,Lookup!$I$4:$J$216,2))/1000000)</f>
        <v>-0.10363693854779936</v>
      </c>
      <c r="G60" s="95">
        <f ca="1">IF(B60=TODAY(),0,-$G$6*(Sheet1!CF62-Sheet1!CF61)*7.48/1000000)</f>
        <v>0.15885400421023735</v>
      </c>
      <c r="H60" s="95">
        <f ca="1">IF(B60=TODAY(),0,-$H$6*(Sheet1!CE62-Sheet1!CE61)*7.48/1000000)</f>
        <v>-7.5197161756325293E-2</v>
      </c>
      <c r="I60" s="95">
        <f ca="1">IF(B60=TODAY(),0,-$I$6*(Sheet1!CG62-Sheet1!CG61)*7.48/1000000)</f>
        <v>1.7969952000000015E-2</v>
      </c>
      <c r="J60" s="96" t="s">
        <v>186</v>
      </c>
      <c r="K60" s="95">
        <f ca="1">IF(B60=TODAY(),0,-$K$6*(Sheet1!CH62-Sheet1!CH61)*7.48/1000000)</f>
        <v>3.3316601872292212E-2</v>
      </c>
      <c r="L60" s="96" t="s">
        <v>186</v>
      </c>
      <c r="M60" s="95">
        <f ca="1">IF(B60=TODAY(),0,-$M$6*(Sheet1!CI62-Sheet1!CI61)*7.48/1000000)</f>
        <v>8.9957542140135238E-2</v>
      </c>
      <c r="N60" s="95">
        <f ca="1">IF(B60=TODAY(),0,-$N$6*(Sheet1!CJ62-Sheet1!CJ61)*7.48/1000000)</f>
        <v>0.33508266513096968</v>
      </c>
      <c r="O60" s="95">
        <f t="shared" ca="1" si="7"/>
        <v>0.45634666504950983</v>
      </c>
      <c r="P60" s="95">
        <f ca="1">O60+Calculation!ES60</f>
        <v>1.425740091006042</v>
      </c>
      <c r="Q60" s="90" t="str">
        <f>IF(Sheet1!BQ62&gt;25.75,"spill elevation","-")</f>
        <v>-</v>
      </c>
      <c r="R60" s="90" t="str">
        <f>IF(Sheet1!BQ62&gt;25.75,"spill elevation","-")</f>
        <v>-</v>
      </c>
      <c r="S60" s="90" t="str">
        <f>IF(Sheet1!BR62&gt;25.75,"spill elevation","-")</f>
        <v>-</v>
      </c>
      <c r="T60" s="94">
        <f>IF(Sheet1!DU62=1,Sheet1!AA62-(SUM(AT60:BA60)+BE60),Sheet1!AA62-SUM(AT60:BA60))</f>
        <v>21.745864000000001</v>
      </c>
      <c r="U60" s="94">
        <f>Sheet1!BV62</f>
        <v>23.6</v>
      </c>
      <c r="V60" s="94">
        <f t="shared" si="8"/>
        <v>-1.8541360000000005</v>
      </c>
      <c r="W60" s="94">
        <f>0</f>
        <v>0</v>
      </c>
      <c r="X60" s="90">
        <f>0</f>
        <v>0</v>
      </c>
      <c r="Y60" s="95">
        <f ca="1">Calculation!EJ61+Calculation!ES60+'Calculations II'!O60-'Calculations II'!W60</f>
        <v>50.824972091006039</v>
      </c>
      <c r="Z60" s="95">
        <f ca="1">Y60-Sheet1!CT63</f>
        <v>33.819972091006036</v>
      </c>
      <c r="AA60" s="95">
        <f ca="1">Y60+Calculation!DJ61+Calculation!AS61</f>
        <v>58.071327247146208</v>
      </c>
      <c r="AC60" s="95">
        <f>Sheet1!AA62+Sheet1!AB62+BC60</f>
        <v>49.115440000000007</v>
      </c>
      <c r="AD60" s="95">
        <f>Sheet1!AA62+Sheet1!BN62+'Calculations II'!BC60-Calculation!AS60-Calculation!DJ60</f>
        <v>34.70835450751084</v>
      </c>
      <c r="AE60" s="95">
        <f>Sheet1!AA62+Sheet1!AB62+'Calculations II'!BC60-Calculation!AS60-Calculation!DJ60</f>
        <v>41.908354507510843</v>
      </c>
      <c r="AF60" s="95">
        <f ca="1">Sheet1!AA62+Sheet1!BN62+P60+'Calculations II'!BC60+Calculation!AS60+Calculation!DJ60</f>
        <v>50.548265583495201</v>
      </c>
      <c r="AG60" s="95">
        <f ca="1">IF(B60=TODAY(),0,Sheet1!AA62+Sheet1!BN62+'Calculations II'!BC60+'Calculations II'!P60-Sheet1!CT62-BP60)</f>
        <v>27.299180091006043</v>
      </c>
      <c r="AH60" s="95">
        <f ca="1">IF(B60=TODAY(),0,Sheet1!AA62+Sheet1!BN62+'Calculations II'!BC60+'Calculations II'!P60-BP60)</f>
        <v>43.341180091006045</v>
      </c>
      <c r="AI60" s="95">
        <f ca="1">IF(B60=TODAY(),0,BC60+Sheet1!AA62+Calculation!ES60+O60+W60+Sheet1!BN62+Calculation!AS60+Calculation!DJ60-BP60)</f>
        <v>50.548265583495208</v>
      </c>
      <c r="AJ60" s="95"/>
      <c r="AM60" s="91">
        <f t="shared" si="9"/>
        <v>41688</v>
      </c>
      <c r="AN60" s="95">
        <f>Sheet1!BU62</f>
        <v>22.7</v>
      </c>
      <c r="AO60" s="95">
        <f>Sheet1!AA62</f>
        <v>23.59</v>
      </c>
      <c r="AP60" s="95">
        <f t="shared" si="1"/>
        <v>-0.94179999999999964</v>
      </c>
      <c r="AQ60" s="1055">
        <f>((Sheet1!BV62-(Sheet1!BU62-AP60))/(Sheet1!BU62-AP60))</f>
        <v>-1.7680548858377326E-3</v>
      </c>
      <c r="AR60" s="95">
        <f t="shared" si="2"/>
        <v>24.5318</v>
      </c>
      <c r="AS60" s="95">
        <f t="shared" si="3"/>
        <v>23.6418</v>
      </c>
      <c r="AT60" s="90">
        <f>Sheet1!BB62</f>
        <v>0.999</v>
      </c>
      <c r="AU60" s="90">
        <f>Sheet1!AS62*GPMtoMGD</f>
        <v>3.3264000000000002E-2</v>
      </c>
      <c r="AV60" s="95">
        <f>Sheet1!AT62</f>
        <v>0</v>
      </c>
      <c r="AW60" s="90">
        <f>Sheet1!AV62*GPMtoMGD</f>
        <v>0.29707200000000006</v>
      </c>
      <c r="AX60" s="90">
        <f>Sheet1!AW62*GPMtoMGD</f>
        <v>0.51480000000000004</v>
      </c>
      <c r="AY60" s="90">
        <f>Sheet1!AX62*GPMtoMGD</f>
        <v>0</v>
      </c>
      <c r="AZ60" s="90">
        <f>Sheet1!AY62*GPMtoMGD</f>
        <v>0</v>
      </c>
      <c r="BA60" s="90">
        <f>Sheet1!AZ62*GPMtoMGD</f>
        <v>0</v>
      </c>
      <c r="BB60" s="90">
        <f>Sheet1!BP62*GPMtoMGD</f>
        <v>5.0400000000000002E-3</v>
      </c>
      <c r="BC60" s="90">
        <f>Sheet1!CS62*GPMtoMGD</f>
        <v>15.625440000000001</v>
      </c>
      <c r="BD60" s="90">
        <f>Sheet1!BO62*GPMtoMGD</f>
        <v>1.330992</v>
      </c>
      <c r="BE60" s="90">
        <f>Sheet1!BW62*GPMtoMGD</f>
        <v>0.84801599999999999</v>
      </c>
      <c r="BF60" s="90">
        <f>Sheet1!CN62*GPMtoMGD</f>
        <v>0.80755199999999994</v>
      </c>
      <c r="BG60" s="90">
        <f>Sheet1!CO62*GPMtoMGD</f>
        <v>0.43632000000000004</v>
      </c>
      <c r="BH60" s="90">
        <f>Sheet1!CP62*GPMtoMGD</f>
        <v>0.6552</v>
      </c>
      <c r="BI60" s="90">
        <f t="shared" si="10"/>
        <v>1.3360319999999999</v>
      </c>
      <c r="BK60" s="95">
        <f>SUM(AT60:BA60,BE60,Sheet1!BV62,'Calculations II'!BC60,Calculation!AQ60)</f>
        <v>44.612420107672143</v>
      </c>
      <c r="BM60" s="373">
        <f>0</f>
        <v>0</v>
      </c>
      <c r="BN60" s="373">
        <f>0</f>
        <v>0</v>
      </c>
      <c r="BP60" s="95">
        <f>SUM(BM60:BN60,W60,Sheet1!DX62)</f>
        <v>0</v>
      </c>
    </row>
    <row r="61" spans="1:68" s="90" customFormat="1">
      <c r="A61" s="651" t="s">
        <v>6</v>
      </c>
      <c r="B61" s="92">
        <v>41689</v>
      </c>
      <c r="C61" s="93">
        <v>0</v>
      </c>
      <c r="D61" s="95">
        <f>(Sheet1!BQ63-Sheet1!BQ62)*1.385</f>
        <v>-1.1633999999999998</v>
      </c>
      <c r="E61" s="30">
        <f>(Sheet1!BR63-Sheet1!BR62)*1.385</f>
        <v>-1.385</v>
      </c>
      <c r="F61" s="30">
        <f ca="1">IF(B61=TODAY(),0,-(VLOOKUP(Sheet1!CD63,Lookup!$I$4:$J$216,2)-VLOOKUP(Sheet1!CD62,Lookup!$I$4:$J$216,2))/1000000)</f>
        <v>0.51818469273900236</v>
      </c>
      <c r="G61" s="95">
        <f ca="1">IF(B61=TODAY(),0,-$G$6*(Sheet1!CF63-Sheet1!CF62)*7.48/1000000)</f>
        <v>-1.3105455347344563</v>
      </c>
      <c r="H61" s="95">
        <f ca="1">IF(B61=TODAY(),0,-$H$6*(Sheet1!CE63-Sheet1!CE62)*7.48/1000000)</f>
        <v>6.0157729405060027E-2</v>
      </c>
      <c r="I61" s="95">
        <f ca="1">IF(B61=TODAY(),0,-$I$6*(Sheet1!CG63-Sheet1!CG62)*7.48/1000000)</f>
        <v>8.5357272000000012E-2</v>
      </c>
      <c r="J61" s="96" t="s">
        <v>186</v>
      </c>
      <c r="K61" s="95">
        <f ca="1">IF(B61=TODAY(),0,-$K$6*(Sheet1!CH63-Sheet1!CH62)*7.48/1000000)</f>
        <v>0.13992972786362726</v>
      </c>
      <c r="L61" s="96" t="s">
        <v>186</v>
      </c>
      <c r="M61" s="95">
        <f ca="1">IF(B61=TODAY(),0,-$M$6*(Sheet1!CI63-Sheet1!CI62)*7.48/1000000)</f>
        <v>0.41380469384462221</v>
      </c>
      <c r="N61" s="95">
        <f ca="1">IF(B61=TODAY(),0,-$N$6*(Sheet1!CJ63-Sheet1!CJ62)*7.48/1000000)</f>
        <v>6.2052345394623676E-2</v>
      </c>
      <c r="O61" s="95">
        <f t="shared" ca="1" si="7"/>
        <v>-3.105907348752085E-2</v>
      </c>
      <c r="P61" s="95">
        <f ca="1">O61+Calculation!ES61</f>
        <v>2.4608018420840345</v>
      </c>
      <c r="Q61" s="90" t="str">
        <f>IF(Sheet1!BQ63&gt;25.75,"spill elevation","-")</f>
        <v>-</v>
      </c>
      <c r="R61" s="90" t="str">
        <f>IF(Sheet1!BQ63&gt;25.75,"spill elevation","-")</f>
        <v>-</v>
      </c>
      <c r="S61" s="90" t="str">
        <f>IF(Sheet1!BR63&gt;25.75,"spill elevation","-")</f>
        <v>-</v>
      </c>
      <c r="T61" s="94">
        <f>IF(Sheet1!DU63=1,Sheet1!AA63-(SUM(AT61:BA61)+BE61),Sheet1!AA63-SUM(AT61:BA61))</f>
        <v>21.284247999999998</v>
      </c>
      <c r="U61" s="94">
        <f>Sheet1!BV63</f>
        <v>25.5</v>
      </c>
      <c r="V61" s="94">
        <f t="shared" si="8"/>
        <v>-4.2157520000000019</v>
      </c>
      <c r="W61" s="94">
        <f>0</f>
        <v>0</v>
      </c>
      <c r="X61" s="90">
        <f>0</f>
        <v>0</v>
      </c>
      <c r="Y61" s="95">
        <f ca="1">Calculation!EJ62+Calculation!ES61+'Calculations II'!O61-'Calculations II'!W61</f>
        <v>52.151041842084041</v>
      </c>
      <c r="Z61" s="95">
        <f ca="1">Y61-Sheet1!CT64</f>
        <v>35.271041842084045</v>
      </c>
      <c r="AA61" s="95">
        <f ca="1">Y61+Calculation!DJ62+Calculation!AS62</f>
        <v>59.193789094831295</v>
      </c>
      <c r="AC61" s="95">
        <f>Sheet1!AA63+Sheet1!AB63+BC61</f>
        <v>49.399231999999998</v>
      </c>
      <c r="AD61" s="95">
        <f>Sheet1!AA63+Sheet1!BN63+'Calculations II'!BC61-Calculation!AS61-Calculation!DJ61</f>
        <v>34.852876843859832</v>
      </c>
      <c r="AE61" s="95">
        <f>Sheet1!AA63+Sheet1!AB63+'Calculations II'!BC61-Calculation!AS61-Calculation!DJ61</f>
        <v>42.152876843859829</v>
      </c>
      <c r="AF61" s="95">
        <f ca="1">Sheet1!AA63+Sheet1!BN63+P61+'Calculations II'!BC61+Calculation!AS61+Calculation!DJ61</f>
        <v>51.806388998224207</v>
      </c>
      <c r="AG61" s="95">
        <f ca="1">IF(B61=TODAY(),0,Sheet1!AA63+Sheet1!BN63+'Calculations II'!BC61+'Calculations II'!P61-Sheet1!CT63-BP61)</f>
        <v>27.55503384208404</v>
      </c>
      <c r="AH61" s="95">
        <f ca="1">IF(B61=TODAY(),0,Sheet1!AA63+Sheet1!BN63+'Calculations II'!BC61+'Calculations II'!P61-BP61)</f>
        <v>44.560033842084039</v>
      </c>
      <c r="AI61" s="95">
        <f ca="1">IF(B61=TODAY(),0,BC61+Sheet1!AA63+Calculation!ES61+O61+W61+Sheet1!BN63+Calculation!AS61+Calculation!DJ61-BP61)</f>
        <v>51.806388998224207</v>
      </c>
      <c r="AJ61" s="95"/>
      <c r="AM61" s="91">
        <f t="shared" si="9"/>
        <v>41689</v>
      </c>
      <c r="AN61" s="95">
        <f>Sheet1!BU63</f>
        <v>22.4</v>
      </c>
      <c r="AO61" s="95">
        <f>Sheet1!AA63</f>
        <v>23.79</v>
      </c>
      <c r="AP61" s="95">
        <f t="shared" si="1"/>
        <v>-2.5484</v>
      </c>
      <c r="AQ61" s="1055">
        <f>((Sheet1!BV63-(Sheet1!BU63-AP61))/(Sheet1!BU63-AP61))</f>
        <v>2.2109634285164603E-2</v>
      </c>
      <c r="AR61" s="95">
        <f t="shared" si="2"/>
        <v>26.3384</v>
      </c>
      <c r="AS61" s="95">
        <f t="shared" si="3"/>
        <v>24.948399999999999</v>
      </c>
      <c r="AT61" s="90">
        <f>Sheet1!BB63</f>
        <v>0.98899999999999999</v>
      </c>
      <c r="AU61" s="90">
        <f>Sheet1!AS63*GPMtoMGD</f>
        <v>1.8720000000000001E-2</v>
      </c>
      <c r="AV61" s="95">
        <f>Sheet1!AT63</f>
        <v>0.36</v>
      </c>
      <c r="AW61" s="90">
        <f>Sheet1!AV63*GPMtoMGD</f>
        <v>0.44366400000000006</v>
      </c>
      <c r="AX61" s="90">
        <f>Sheet1!AW63*GPMtoMGD</f>
        <v>0.69436799999999999</v>
      </c>
      <c r="AY61" s="90">
        <f>Sheet1!AX63*GPMtoMGD</f>
        <v>0</v>
      </c>
      <c r="AZ61" s="90">
        <f>Sheet1!AY63*GPMtoMGD</f>
        <v>0</v>
      </c>
      <c r="BA61" s="90">
        <f>Sheet1!AZ63*GPMtoMGD</f>
        <v>0</v>
      </c>
      <c r="BB61" s="90">
        <f>Sheet1!BP63*GPMtoMGD</f>
        <v>0</v>
      </c>
      <c r="BC61" s="90">
        <f>Sheet1!CS63*GPMtoMGD</f>
        <v>15.509232000000001</v>
      </c>
      <c r="BD61" s="90">
        <f>Sheet1!BO63*GPMtoMGD</f>
        <v>0.90244800000000014</v>
      </c>
      <c r="BE61" s="90">
        <f>Sheet1!BW63*GPMtoMGD</f>
        <v>0.7937280000000001</v>
      </c>
      <c r="BF61" s="90">
        <f>Sheet1!CN63*GPMtoMGD</f>
        <v>0.997776</v>
      </c>
      <c r="BG61" s="90">
        <f>Sheet1!CO63*GPMtoMGD</f>
        <v>0.44395200000000007</v>
      </c>
      <c r="BH61" s="90">
        <f>Sheet1!CP63*GPMtoMGD</f>
        <v>0.62337600000000004</v>
      </c>
      <c r="BI61" s="90">
        <f t="shared" si="10"/>
        <v>0.90244800000000014</v>
      </c>
      <c r="BK61" s="95">
        <f>SUM(AT61:BA61,BE61,Sheet1!BV63,'Calculations II'!BC61,Calculation!AQ61)</f>
        <v>47.148354534391004</v>
      </c>
      <c r="BM61" s="373">
        <f>0</f>
        <v>0</v>
      </c>
      <c r="BN61" s="373">
        <f>0</f>
        <v>0</v>
      </c>
      <c r="BP61" s="95">
        <f>SUM(BM61:BN61,W61,Sheet1!DX63)</f>
        <v>0</v>
      </c>
    </row>
    <row r="62" spans="1:68" s="90" customFormat="1">
      <c r="A62" s="651" t="s">
        <v>7</v>
      </c>
      <c r="B62" s="92">
        <v>41690</v>
      </c>
      <c r="C62" s="93">
        <v>0</v>
      </c>
      <c r="D62" s="95">
        <f>(Sheet1!BQ64-Sheet1!BQ63)*1.385</f>
        <v>-1.3295999999999963</v>
      </c>
      <c r="E62" s="30">
        <f>(Sheet1!BR64-Sheet1!BR63)*1.385</f>
        <v>-1.2464999999999979</v>
      </c>
      <c r="F62" s="30">
        <f ca="1">IF(B62=TODAY(),0,-(VLOOKUP(Sheet1!CD64,Lookup!$I$4:$J$216,2)-VLOOKUP(Sheet1!CD63,Lookup!$I$4:$J$216,2))/1000000)</f>
        <v>-0.62182163128680179</v>
      </c>
      <c r="G62" s="95">
        <f ca="1">IF(B62=TODAY(),0,-$G$6*(Sheet1!CF64-Sheet1!CF63)*7.48/1000000)</f>
        <v>0.19856750526279648</v>
      </c>
      <c r="H62" s="95">
        <f ca="1">IF(B62=TODAY(),0,-$H$6*(Sheet1!CE64-Sheet1!CE63)*7.48/1000000)</f>
        <v>0</v>
      </c>
      <c r="I62" s="95">
        <f ca="1">IF(B62=TODAY(),0,-$I$6*(Sheet1!CG64-Sheet1!CG63)*7.48/1000000)</f>
        <v>-3.5939903999999995E-2</v>
      </c>
      <c r="J62" s="96" t="s">
        <v>186</v>
      </c>
      <c r="K62" s="95">
        <f ca="1">IF(B62=TODAY(),0,-$K$6*(Sheet1!CH64-Sheet1!CH63)*7.48/1000000)</f>
        <v>-5.9969883370126001E-2</v>
      </c>
      <c r="L62" s="96" t="s">
        <v>186</v>
      </c>
      <c r="M62" s="95">
        <f ca="1">IF(B62=TODAY(),0,-$M$6*(Sheet1!CI64-Sheet1!CI63)*7.48/1000000)</f>
        <v>-0.19790659270829714</v>
      </c>
      <c r="N62" s="95">
        <f ca="1">IF(B62=TODAY(),0,-$N$6*(Sheet1!CJ64-Sheet1!CJ63)*7.48/1000000)</f>
        <v>-0.32887743059150737</v>
      </c>
      <c r="O62" s="95">
        <f t="shared" ca="1" si="7"/>
        <v>-1.0459479366939357</v>
      </c>
      <c r="P62" s="95">
        <f ca="1">O62+Calculation!ES62</f>
        <v>1.5832253613854208</v>
      </c>
      <c r="Q62" s="90" t="str">
        <f>IF(Sheet1!BQ64&gt;25.75,"spill elevation","-")</f>
        <v>-</v>
      </c>
      <c r="R62" s="90" t="str">
        <f>IF(Sheet1!BQ64&gt;25.75,"spill elevation","-")</f>
        <v>-</v>
      </c>
      <c r="S62" s="90" t="str">
        <f>IF(Sheet1!BR64&gt;25.75,"spill elevation","-")</f>
        <v>-</v>
      </c>
      <c r="T62" s="94">
        <f>IF(Sheet1!DU64=1,Sheet1!AA64-(SUM(AT62:BA62)+BE62),Sheet1!AA64-SUM(AT62:BA62))</f>
        <v>22.067152</v>
      </c>
      <c r="U62" s="94">
        <f>Sheet1!BV64</f>
        <v>26.3</v>
      </c>
      <c r="V62" s="94">
        <f t="shared" si="8"/>
        <v>-4.2328480000000006</v>
      </c>
      <c r="W62" s="94">
        <f>0</f>
        <v>0</v>
      </c>
      <c r="X62" s="90">
        <f>0</f>
        <v>0</v>
      </c>
      <c r="Y62" s="95">
        <f ca="1">Calculation!EJ63+Calculation!ES62+'Calculations II'!O62-'Calculations II'!W62</f>
        <v>54.418553361385428</v>
      </c>
      <c r="Z62" s="95">
        <f ca="1">Y62-Sheet1!CT65</f>
        <v>37.79855336138543</v>
      </c>
      <c r="AA62" s="95">
        <f ca="1">Y62+Calculation!DJ63+Calculation!AS63</f>
        <v>61.718901523861248</v>
      </c>
      <c r="AC62" s="95">
        <f>Sheet1!AA64+Sheet1!AB64+BC62</f>
        <v>49.690240000000003</v>
      </c>
      <c r="AD62" s="95">
        <f>Sheet1!AA64+Sheet1!BN64+'Calculations II'!BC62-Calculation!AS62-Calculation!DJ62</f>
        <v>35.647492747252748</v>
      </c>
      <c r="AE62" s="95">
        <f>Sheet1!AA64+Sheet1!AB64+'Calculations II'!BC62-Calculation!AS62-Calculation!DJ62</f>
        <v>42.647492747252748</v>
      </c>
      <c r="AF62" s="95">
        <f ca="1">Sheet1!AA64+Sheet1!BN64+P62+'Calculations II'!BC62+Calculation!AS62+Calculation!DJ62</f>
        <v>51.316212614132674</v>
      </c>
      <c r="AG62" s="95">
        <f ca="1">IF(B62=TODAY(),0,Sheet1!AA64+Sheet1!BN64+'Calculations II'!BC62+'Calculations II'!P62-Sheet1!CT64-BP62)</f>
        <v>27.393465361385427</v>
      </c>
      <c r="AH62" s="95">
        <f ca="1">IF(B62=TODAY(),0,Sheet1!AA64+Sheet1!BN64+'Calculations II'!BC62+'Calculations II'!P62-BP62)</f>
        <v>44.273465361385426</v>
      </c>
      <c r="AI62" s="95">
        <f ca="1">IF(B62=TODAY(),0,BC62+Sheet1!AA64+Calculation!ES62+O62+W62+Sheet1!BN64+Calculation!AS62+Calculation!DJ62-BP62)</f>
        <v>51.316212614132681</v>
      </c>
      <c r="AJ62" s="95"/>
      <c r="AM62" s="91">
        <f t="shared" si="9"/>
        <v>41690</v>
      </c>
      <c r="AN62" s="95">
        <f>Sheet1!BU64</f>
        <v>22.8</v>
      </c>
      <c r="AO62" s="95">
        <f>Sheet1!AA64</f>
        <v>24.28</v>
      </c>
      <c r="AP62" s="95">
        <f t="shared" si="1"/>
        <v>-2.5760999999999941</v>
      </c>
      <c r="AQ62" s="1055">
        <f>((Sheet1!BV64-(Sheet1!BU64-AP62))/(Sheet1!BU64-AP62))</f>
        <v>3.6408273927041865E-2</v>
      </c>
      <c r="AR62" s="95">
        <f t="shared" si="2"/>
        <v>26.856099999999994</v>
      </c>
      <c r="AS62" s="95">
        <f t="shared" si="3"/>
        <v>25.376099999999994</v>
      </c>
      <c r="AT62" s="90">
        <f>Sheet1!BB64</f>
        <v>0.99</v>
      </c>
      <c r="AU62" s="90">
        <f>Sheet1!AS64*GPMtoMGD</f>
        <v>2.9087999999999999E-2</v>
      </c>
      <c r="AV62" s="95">
        <f>Sheet1!AT64</f>
        <v>0</v>
      </c>
      <c r="AW62" s="90">
        <f>Sheet1!AV64*GPMtoMGD</f>
        <v>0.34905600000000003</v>
      </c>
      <c r="AX62" s="90">
        <f>Sheet1!AW64*GPMtoMGD</f>
        <v>0.84470400000000012</v>
      </c>
      <c r="AY62" s="90">
        <f>Sheet1!AX64*GPMtoMGD</f>
        <v>0</v>
      </c>
      <c r="AZ62" s="90">
        <f>Sheet1!AY64*GPMtoMGD</f>
        <v>0</v>
      </c>
      <c r="BA62" s="90">
        <f>Sheet1!AZ64*GPMtoMGD</f>
        <v>0</v>
      </c>
      <c r="BB62" s="90">
        <f>Sheet1!BP64*GPMtoMGD</f>
        <v>0</v>
      </c>
      <c r="BC62" s="90">
        <f>Sheet1!CS64*GPMtoMGD</f>
        <v>15.510240000000001</v>
      </c>
      <c r="BD62" s="90">
        <f>Sheet1!BO64*GPMtoMGD</f>
        <v>1.6215839999999999</v>
      </c>
      <c r="BE62" s="90">
        <f>Sheet1!BW64*GPMtoMGD</f>
        <v>0.68558400000000008</v>
      </c>
      <c r="BF62" s="90">
        <f>Sheet1!CN64*GPMtoMGD</f>
        <v>0.90144000000000002</v>
      </c>
      <c r="BG62" s="90">
        <f>Sheet1!CO64*GPMtoMGD</f>
        <v>0.44496000000000002</v>
      </c>
      <c r="BH62" s="90">
        <f>Sheet1!CP64*GPMtoMGD</f>
        <v>0.63633600000000001</v>
      </c>
      <c r="BI62" s="90">
        <f t="shared" si="10"/>
        <v>1.6215839999999999</v>
      </c>
      <c r="BK62" s="95">
        <f>SUM(AT62:BA62,BE62,Sheet1!BV64,'Calculations II'!BC62,Calculation!AQ62)</f>
        <v>47.576803868131869</v>
      </c>
      <c r="BM62" s="373">
        <f>0</f>
        <v>0</v>
      </c>
      <c r="BN62" s="373">
        <f>0</f>
        <v>0</v>
      </c>
      <c r="BP62" s="95">
        <f>SUM(BM62:BN62,W62,Sheet1!DX64)</f>
        <v>0</v>
      </c>
    </row>
    <row r="63" spans="1:68" s="90" customFormat="1">
      <c r="A63" s="651" t="s">
        <v>8</v>
      </c>
      <c r="B63" s="92">
        <v>41691</v>
      </c>
      <c r="C63" s="93">
        <v>0</v>
      </c>
      <c r="D63" s="95">
        <f>(Sheet1!BQ65-Sheet1!BQ64)*1.385</f>
        <v>0.96949999999999903</v>
      </c>
      <c r="E63" s="30">
        <f>(Sheet1!BR65-Sheet1!BR64)*1.385</f>
        <v>0.96949999999999903</v>
      </c>
      <c r="F63" s="30">
        <f ca="1">IF(B63=TODAY(),0,-(VLOOKUP(Sheet1!CD65,Lookup!$I$4:$J$216,2)-VLOOKUP(Sheet1!CD64,Lookup!$I$4:$J$216,2))/1000000)</f>
        <v>0.41454775419119744</v>
      </c>
      <c r="G63" s="95">
        <f ca="1">IF(B63=TODAY(),0,-$G$6*(Sheet1!CF65-Sheet1!CF64)*7.48/1000000)</f>
        <v>0.15885400421023663</v>
      </c>
      <c r="H63" s="95">
        <f ca="1">IF(B63=TODAY(),0,-$H$6*(Sheet1!CE65-Sheet1!CE64)*7.48/1000000)</f>
        <v>0.13535489116138638</v>
      </c>
      <c r="I63" s="95">
        <f ca="1">IF(B63=TODAY(),0,-$I$6*(Sheet1!CG65-Sheet1!CG64)*7.48/1000000)</f>
        <v>-4.0432392000000018E-2</v>
      </c>
      <c r="J63" s="96" t="s">
        <v>186</v>
      </c>
      <c r="K63" s="95">
        <f ca="1">IF(B63=TODAY(),0,-$K$6*(Sheet1!CH65-Sheet1!CH64)*7.48/1000000)</f>
        <v>-6.6633203744584424E-2</v>
      </c>
      <c r="L63" s="96" t="s">
        <v>186</v>
      </c>
      <c r="M63" s="95">
        <f ca="1">IF(B63=TODAY(),0,-$M$6*(Sheet1!CI65-Sheet1!CI64)*7.48/1000000)</f>
        <v>-0.17991508428027048</v>
      </c>
      <c r="N63" s="95">
        <f ca="1">IF(B63=TODAY(),0,-$N$6*(Sheet1!CJ65-Sheet1!CJ64)*7.48/1000000)</f>
        <v>-0.38472454144666768</v>
      </c>
      <c r="O63" s="95">
        <f t="shared" ca="1" si="7"/>
        <v>3.7051428091297689E-2</v>
      </c>
      <c r="P63" s="95">
        <f ca="1">O63+Calculation!ES63</f>
        <v>-1.9001208765945483</v>
      </c>
      <c r="Q63" s="90" t="str">
        <f>IF(Sheet1!BQ65&gt;25.75,"spill elevation","-")</f>
        <v>-</v>
      </c>
      <c r="R63" s="90" t="str">
        <f>IF(Sheet1!BQ65&gt;25.75,"spill elevation","-")</f>
        <v>-</v>
      </c>
      <c r="S63" s="90" t="str">
        <f>IF(Sheet1!BR65&gt;25.75,"spill elevation","-")</f>
        <v>-</v>
      </c>
      <c r="T63" s="94">
        <f>IF(Sheet1!DU65=1,Sheet1!AA65-(SUM(AT63:BA63)+BE63),Sheet1!AA65-SUM(AT63:BA63))</f>
        <v>21.295376000000001</v>
      </c>
      <c r="U63" s="94">
        <f>Sheet1!BV65</f>
        <v>22.3</v>
      </c>
      <c r="V63" s="94">
        <f t="shared" si="8"/>
        <v>-1.0046239999999997</v>
      </c>
      <c r="W63" s="94">
        <f>0</f>
        <v>0</v>
      </c>
      <c r="X63" s="90">
        <f>0</f>
        <v>0</v>
      </c>
      <c r="Y63" s="95">
        <f ca="1">Calculation!EJ64+Calculation!ES63+'Calculations II'!O63-'Calculations II'!W63</f>
        <v>50.438103123405455</v>
      </c>
      <c r="Z63" s="95">
        <f ca="1">Y63-Sheet1!CT66</f>
        <v>34.051103123405454</v>
      </c>
      <c r="AA63" s="95">
        <f ca="1">Y63+Calculation!DJ64+Calculation!AS64</f>
        <v>59.436387962609132</v>
      </c>
      <c r="AC63" s="95">
        <f>Sheet1!AA65+Sheet1!AB65+BC63</f>
        <v>52.835328000000004</v>
      </c>
      <c r="AD63" s="95">
        <f>Sheet1!AA65+Sheet1!BN65+'Calculations II'!BC63-Calculation!AS63-Calculation!DJ63</f>
        <v>38.19497983752418</v>
      </c>
      <c r="AE63" s="95">
        <f>Sheet1!AA65+Sheet1!AB65+'Calculations II'!BC63-Calculation!AS63-Calculation!DJ63</f>
        <v>45.534979837524183</v>
      </c>
      <c r="AF63" s="95">
        <f ca="1">Sheet1!AA65+Sheet1!BN65+P63+'Calculations II'!BC63+Calculation!AS63+Calculation!DJ63</f>
        <v>50.895555285881279</v>
      </c>
      <c r="AG63" s="95">
        <f ca="1">IF(B63=TODAY(),0,Sheet1!AA65+Sheet1!BN65+'Calculations II'!BC63+'Calculations II'!P63-Sheet1!CT65-BP63)</f>
        <v>26.97520712340545</v>
      </c>
      <c r="AH63" s="95">
        <f ca="1">IF(B63=TODAY(),0,Sheet1!AA65+Sheet1!BN65+'Calculations II'!BC63+'Calculations II'!P63-BP63)</f>
        <v>43.595207123405451</v>
      </c>
      <c r="AI63" s="95">
        <f ca="1">IF(B63=TODAY(),0,BC63+Sheet1!AA65+Calculation!ES63+O63+W63+Sheet1!BN65+Calculation!AS63+Calculation!DJ63-BP63)</f>
        <v>50.895555285881279</v>
      </c>
      <c r="AJ63" s="95"/>
      <c r="AM63" s="91">
        <f t="shared" si="9"/>
        <v>41691</v>
      </c>
      <c r="AN63" s="95">
        <f>Sheet1!BU65</f>
        <v>23</v>
      </c>
      <c r="AO63" s="95">
        <f>Sheet1!AA65</f>
        <v>23.94</v>
      </c>
      <c r="AP63" s="95">
        <f t="shared" si="1"/>
        <v>1.9389999999999981</v>
      </c>
      <c r="AQ63" s="1055">
        <f>((Sheet1!BV65-(Sheet1!BU65-AP63))/(Sheet1!BU65-AP63))</f>
        <v>5.8829115426617777E-2</v>
      </c>
      <c r="AR63" s="95">
        <f t="shared" si="2"/>
        <v>22.001000000000005</v>
      </c>
      <c r="AS63" s="95">
        <f t="shared" si="3"/>
        <v>21.061000000000003</v>
      </c>
      <c r="AT63" s="90">
        <f>Sheet1!BB65</f>
        <v>1</v>
      </c>
      <c r="AU63" s="90">
        <f>Sheet1!AS65*GPMtoMGD</f>
        <v>3.4127999999999999E-2</v>
      </c>
      <c r="AV63" s="95">
        <f>Sheet1!AT65</f>
        <v>0</v>
      </c>
      <c r="AW63" s="90">
        <f>Sheet1!AV65*GPMtoMGD</f>
        <v>0.78393599999999997</v>
      </c>
      <c r="AX63" s="90">
        <f>Sheet1!AW65*GPMtoMGD</f>
        <v>0.82656000000000007</v>
      </c>
      <c r="AY63" s="90">
        <f>Sheet1!AX65*GPMtoMGD</f>
        <v>0</v>
      </c>
      <c r="AZ63" s="90">
        <f>Sheet1!AY65*GPMtoMGD</f>
        <v>0</v>
      </c>
      <c r="BA63" s="90">
        <f>Sheet1!AZ65*GPMtoMGD</f>
        <v>0</v>
      </c>
      <c r="BB63" s="90">
        <f>Sheet1!BP65*GPMtoMGD</f>
        <v>4.8960000000000002E-3</v>
      </c>
      <c r="BC63" s="90">
        <f>Sheet1!CS65*GPMtoMGD</f>
        <v>18.455328000000002</v>
      </c>
      <c r="BD63" s="90">
        <f>Sheet1!BO65*GPMtoMGD</f>
        <v>1.6551360000000002</v>
      </c>
      <c r="BE63" s="90">
        <f>Sheet1!BW65*GPMtoMGD</f>
        <v>0.94435199999999997</v>
      </c>
      <c r="BF63" s="90">
        <f>Sheet1!CN65*GPMtoMGD</f>
        <v>0.9172800000000001</v>
      </c>
      <c r="BG63" s="90">
        <f>Sheet1!CO65*GPMtoMGD</f>
        <v>0.43387200000000004</v>
      </c>
      <c r="BH63" s="90">
        <f>Sheet1!CP65*GPMtoMGD</f>
        <v>0.62683200000000006</v>
      </c>
      <c r="BI63" s="90">
        <f t="shared" si="10"/>
        <v>1.6600320000000002</v>
      </c>
      <c r="BK63" s="95">
        <f>SUM(AT63:BA63,BE63,Sheet1!BV65,'Calculations II'!BC63,Calculation!AQ63)</f>
        <v>47.474284657640233</v>
      </c>
      <c r="BM63" s="373">
        <f>0</f>
        <v>0</v>
      </c>
      <c r="BN63" s="373">
        <f>0</f>
        <v>0</v>
      </c>
      <c r="BP63" s="95">
        <f>SUM(BM63:BN63,W63,Sheet1!DX65)</f>
        <v>0</v>
      </c>
    </row>
    <row r="64" spans="1:68" s="90" customFormat="1">
      <c r="A64" s="651" t="s">
        <v>9</v>
      </c>
      <c r="B64" s="92">
        <v>41692</v>
      </c>
      <c r="C64" s="93">
        <v>0</v>
      </c>
      <c r="D64" s="95">
        <f>(Sheet1!BQ66-Sheet1!BQ65)*1.385</f>
        <v>-0.13850000000000198</v>
      </c>
      <c r="E64" s="30">
        <f>(Sheet1!BR66-Sheet1!BR65)*1.385</f>
        <v>-0.13850000000000198</v>
      </c>
      <c r="F64" s="30">
        <f ca="1">IF(B64=TODAY(),0,-(VLOOKUP(Sheet1!CD66,Lookup!$I$4:$J$216,2)-VLOOKUP(Sheet1!CD65,Lookup!$I$4:$J$216,2))/1000000)</f>
        <v>-0.41454775419119744</v>
      </c>
      <c r="G64" s="95">
        <f ca="1">IF(B64=TODAY(),0,-$G$6*(Sheet1!CF66-Sheet1!CF65)*7.48/1000000)</f>
        <v>0.23828100631535634</v>
      </c>
      <c r="H64" s="95">
        <f ca="1">IF(B64=TODAY(),0,-$H$6*(Sheet1!CE66-Sheet1!CE65)*7.48/1000000)</f>
        <v>-0.10527602645885584</v>
      </c>
      <c r="I64" s="95">
        <f ca="1">IF(B64=TODAY(),0,-$I$6*(Sheet1!CG66-Sheet1!CG65)*7.48/1000000)</f>
        <v>-2.6954928000000024E-2</v>
      </c>
      <c r="J64" s="96" t="s">
        <v>186</v>
      </c>
      <c r="K64" s="95">
        <f ca="1">IF(B64=TODAY(),0,-$K$6*(Sheet1!CH66-Sheet1!CH65)*7.48/1000000)</f>
        <v>-5.9969883370126001E-2</v>
      </c>
      <c r="L64" s="96" t="s">
        <v>186</v>
      </c>
      <c r="M64" s="95">
        <f ca="1">IF(B64=TODAY(),0,-$M$6*(Sheet1!CI66-Sheet1!CI65)*7.48/1000000)</f>
        <v>-8.9957542140135238E-2</v>
      </c>
      <c r="N64" s="95">
        <f ca="1">IF(B64=TODAY(),0,-$N$6*(Sheet1!CJ66-Sheet1!CJ65)*7.48/1000000)</f>
        <v>-3.1026172697312393E-2</v>
      </c>
      <c r="O64" s="95">
        <f t="shared" ca="1" si="7"/>
        <v>-0.4894513005422706</v>
      </c>
      <c r="P64" s="95">
        <f ca="1">O64+Calculation!ES64</f>
        <v>-0.21267396551441942</v>
      </c>
      <c r="Q64" s="90" t="str">
        <f>IF(Sheet1!BQ66&gt;25.75,"spill elevation","-")</f>
        <v>-</v>
      </c>
      <c r="R64" s="90" t="str">
        <f>IF(Sheet1!BQ66&gt;25.75,"spill elevation","-")</f>
        <v>-</v>
      </c>
      <c r="S64" s="90" t="str">
        <f>IF(Sheet1!BR66&gt;25.75,"spill elevation","-")</f>
        <v>-</v>
      </c>
      <c r="T64" s="94">
        <f>IF(Sheet1!DU66=1,Sheet1!AA66-(SUM(AT64:BA64)+BE64),Sheet1!AA66-SUM(AT64:BA64))</f>
        <v>18.605007999999998</v>
      </c>
      <c r="U64" s="94">
        <f>Sheet1!BV66</f>
        <v>20.9</v>
      </c>
      <c r="V64" s="94">
        <f t="shared" si="8"/>
        <v>-2.2949920000000006</v>
      </c>
      <c r="W64" s="94">
        <f>0</f>
        <v>0</v>
      </c>
      <c r="X64" s="90">
        <f>0</f>
        <v>0</v>
      </c>
      <c r="Y64" s="95">
        <f ca="1">Calculation!EJ65+Calculation!ES64+'Calculations II'!O64-'Calculations II'!W64</f>
        <v>55.593454034485582</v>
      </c>
      <c r="Z64" s="95">
        <f ca="1">Y64-Sheet1!CT67</f>
        <v>39.312454034485583</v>
      </c>
      <c r="AA64" s="95">
        <f ca="1">Y64+Calculation!DJ65+Calculation!AS65</f>
        <v>64.555460113512936</v>
      </c>
      <c r="AC64" s="95">
        <f>Sheet1!AA66+Sheet1!AB66+BC64</f>
        <v>52.338224000000004</v>
      </c>
      <c r="AD64" s="95">
        <f>Sheet1!AA66+Sheet1!BN66+'Calculations II'!BC64-Calculation!AS64-Calculation!DJ64</f>
        <v>34.379939160796326</v>
      </c>
      <c r="AE64" s="95">
        <f>Sheet1!AA66+Sheet1!AB66+'Calculations II'!BC64-Calculation!AS64-Calculation!DJ64</f>
        <v>43.339939160796327</v>
      </c>
      <c r="AF64" s="95">
        <f ca="1">Sheet1!AA66+Sheet1!BN66+P64+'Calculations II'!BC64+Calculation!AS64+Calculation!DJ64</f>
        <v>52.163834873689254</v>
      </c>
      <c r="AG64" s="95">
        <f ca="1">IF(B64=TODAY(),0,Sheet1!AA66+Sheet1!BN66+'Calculations II'!BC64+'Calculations II'!P64-Sheet1!CT66-BP64)</f>
        <v>26.778550034485583</v>
      </c>
      <c r="AH64" s="95">
        <f ca="1">IF(B64=TODAY(),0,Sheet1!AA66+Sheet1!BN66+'Calculations II'!BC64+'Calculations II'!P64-BP64)</f>
        <v>43.165550034485584</v>
      </c>
      <c r="AI64" s="95">
        <f ca="1">IF(B64=TODAY(),0,BC64+Sheet1!AA66+Calculation!ES64+O64+W64+Sheet1!BN66+Calculation!AS64+Calculation!DJ64-BP64)</f>
        <v>52.163834873689261</v>
      </c>
      <c r="AJ64" s="95"/>
      <c r="AM64" s="91">
        <f t="shared" si="9"/>
        <v>41692</v>
      </c>
      <c r="AN64" s="95">
        <f>Sheet1!BU66</f>
        <v>19.899999999999999</v>
      </c>
      <c r="AO64" s="95">
        <f>Sheet1!AA66</f>
        <v>20.99</v>
      </c>
      <c r="AP64" s="95">
        <f t="shared" si="1"/>
        <v>-0.27700000000000397</v>
      </c>
      <c r="AQ64" s="1055">
        <f>((Sheet1!BV66-(Sheet1!BU66-AP64))/(Sheet1!BU66-AP64))</f>
        <v>3.5832879020666862E-2</v>
      </c>
      <c r="AR64" s="95">
        <f t="shared" si="2"/>
        <v>21.267000000000003</v>
      </c>
      <c r="AS64" s="95">
        <f t="shared" si="3"/>
        <v>20.177000000000003</v>
      </c>
      <c r="AT64" s="90">
        <f>Sheet1!BB66</f>
        <v>1</v>
      </c>
      <c r="AU64" s="90">
        <f>Sheet1!AS66*GPMtoMGD</f>
        <v>1.6416E-2</v>
      </c>
      <c r="AV64" s="95">
        <f>Sheet1!AT66</f>
        <v>0</v>
      </c>
      <c r="AW64" s="90">
        <f>Sheet1!AV66*GPMtoMGD</f>
        <v>0.57052800000000004</v>
      </c>
      <c r="AX64" s="90">
        <f>Sheet1!AW66*GPMtoMGD</f>
        <v>0.79804800000000009</v>
      </c>
      <c r="AY64" s="90">
        <f>Sheet1!AX66*GPMtoMGD</f>
        <v>0</v>
      </c>
      <c r="AZ64" s="90">
        <f>Sheet1!AY66*GPMtoMGD</f>
        <v>0</v>
      </c>
      <c r="BA64" s="90">
        <f>Sheet1!AZ66*GPMtoMGD</f>
        <v>0</v>
      </c>
      <c r="BB64" s="90">
        <f>Sheet1!BP66*GPMtoMGD</f>
        <v>0</v>
      </c>
      <c r="BC64" s="90">
        <f>Sheet1!CS66*GPMtoMGD</f>
        <v>18.388224000000001</v>
      </c>
      <c r="BD64" s="90">
        <f>Sheet1!BO66*GPMtoMGD</f>
        <v>1.6947360000000002</v>
      </c>
      <c r="BE64" s="90">
        <f>Sheet1!BW66*GPMtoMGD</f>
        <v>0.69796800000000003</v>
      </c>
      <c r="BF64" s="90">
        <f>Sheet1!CN66*GPMtoMGD</f>
        <v>1.1052</v>
      </c>
      <c r="BG64" s="90">
        <f>Sheet1!CO66*GPMtoMGD</f>
        <v>0.46915200000000007</v>
      </c>
      <c r="BH64" s="90">
        <f>Sheet1!CP66*GPMtoMGD</f>
        <v>0.59011200000000008</v>
      </c>
      <c r="BI64" s="90">
        <f t="shared" si="10"/>
        <v>1.6947360000000002</v>
      </c>
      <c r="BK64" s="95">
        <f>SUM(AT64:BA64,BE64,Sheet1!BV66,'Calculations II'!BC64,Calculation!AQ64)</f>
        <v>46.340556128637061</v>
      </c>
      <c r="BM64" s="373">
        <f>0</f>
        <v>0</v>
      </c>
      <c r="BN64" s="373">
        <f>0</f>
        <v>0</v>
      </c>
      <c r="BP64" s="95">
        <f>SUM(BM64:BN64,W64,Sheet1!DX66)</f>
        <v>0</v>
      </c>
    </row>
    <row r="65" spans="1:68" s="90" customFormat="1">
      <c r="A65" s="651" t="s">
        <v>3</v>
      </c>
      <c r="B65" s="92">
        <v>41693</v>
      </c>
      <c r="C65" s="93">
        <v>0</v>
      </c>
      <c r="D65" s="95">
        <f>(Sheet1!BQ67-Sheet1!BQ66)*1.385</f>
        <v>1.9390000000000029</v>
      </c>
      <c r="E65" s="30">
        <f>(Sheet1!BR67-Sheet1!BR66)*1.385</f>
        <v>1.8005000000000011</v>
      </c>
      <c r="F65" s="30">
        <f ca="1">IF(B65=TODAY(),0,-(VLOOKUP(Sheet1!CD67,Lookup!$I$4:$J$216,2)-VLOOKUP(Sheet1!CD66,Lookup!$I$4:$J$216,2))/1000000)</f>
        <v>-0.10363693854779936</v>
      </c>
      <c r="G65" s="95">
        <f ca="1">IF(B65=TODAY(),0,-$G$6*(Sheet1!CF67-Sheet1!CF66)*7.48/1000000)</f>
        <v>0.19856750526279648</v>
      </c>
      <c r="H65" s="95">
        <f ca="1">IF(B65=TODAY(),0,-$H$6*(Sheet1!CE67-Sheet1!CE66)*7.48/1000000)</f>
        <v>0</v>
      </c>
      <c r="I65" s="95">
        <f ca="1">IF(B65=TODAY(),0,-$I$6*(Sheet1!CG67-Sheet1!CG66)*7.48/1000000)</f>
        <v>4.4924880000000635E-3</v>
      </c>
      <c r="J65" s="96" t="s">
        <v>186</v>
      </c>
      <c r="K65" s="95">
        <f ca="1">IF(B65=TODAY(),0,-$K$6*(Sheet1!CH67-Sheet1!CH66)*7.48/1000000)</f>
        <v>6.6633203744584186E-3</v>
      </c>
      <c r="L65" s="96" t="s">
        <v>186</v>
      </c>
      <c r="M65" s="95">
        <f ca="1">IF(B65=TODAY(),0,-$M$6*(Sheet1!CI67-Sheet1!CI66)*7.48/1000000)</f>
        <v>1.7991508428026663E-2</v>
      </c>
      <c r="N65" s="95">
        <f ca="1">IF(B65=TODAY(),0,-$N$6*(Sheet1!CJ67-Sheet1!CJ66)*7.48/1000000)</f>
        <v>-0.2482093815784947</v>
      </c>
      <c r="O65" s="95">
        <f t="shared" ca="1" si="7"/>
        <v>-0.12413149806101244</v>
      </c>
      <c r="P65" s="95">
        <f ca="1">O65+Calculation!ES65</f>
        <v>-3.8617082513785213</v>
      </c>
      <c r="Q65" s="90" t="str">
        <f>IF(Sheet1!BQ67&gt;25.75,"spill elevation","-")</f>
        <v>-</v>
      </c>
      <c r="R65" s="90" t="str">
        <f>IF(Sheet1!BQ67&gt;25.75,"spill elevation","-")</f>
        <v>-</v>
      </c>
      <c r="S65" s="90" t="str">
        <f>IF(Sheet1!BR67&gt;25.75,"spill elevation","-")</f>
        <v>-</v>
      </c>
      <c r="T65" s="94">
        <f>IF(Sheet1!DU67=1,Sheet1!AA67-(SUM(AT65:BA65)+BE65),Sheet1!AA67-SUM(AT65:BA65))</f>
        <v>19.287120000000002</v>
      </c>
      <c r="U65" s="94">
        <f>Sheet1!BV67</f>
        <v>17.600000000000001</v>
      </c>
      <c r="V65" s="94">
        <f t="shared" si="8"/>
        <v>1.6871200000000002</v>
      </c>
      <c r="W65" s="94">
        <f>0</f>
        <v>0</v>
      </c>
      <c r="X65" s="90">
        <f>0</f>
        <v>0</v>
      </c>
      <c r="Y65" s="95">
        <f ca="1">Calculation!EJ66+Calculation!ES65+'Calculations II'!O65-'Calculations II'!W65</f>
        <v>51.113123748621483</v>
      </c>
      <c r="Z65" s="95">
        <f ca="1">Y65-Sheet1!CT68</f>
        <v>34.533123748621485</v>
      </c>
      <c r="AA65" s="95">
        <f ca="1">Y65+Calculation!DJ66+Calculation!AS66</f>
        <v>60.025236108172045</v>
      </c>
      <c r="AC65" s="95">
        <f>Sheet1!AA67+Sheet1!AB67+BC65</f>
        <v>55.806128000000001</v>
      </c>
      <c r="AD65" s="95">
        <f>Sheet1!AA67+Sheet1!BN67+'Calculations II'!BC65-Calculation!AS65-Calculation!DJ65</f>
        <v>37.944121920972655</v>
      </c>
      <c r="AE65" s="95">
        <f>Sheet1!AA67+Sheet1!AB67+'Calculations II'!BC65-Calculation!AS65-Calculation!DJ65</f>
        <v>46.844121920972647</v>
      </c>
      <c r="AF65" s="95">
        <f ca="1">Sheet1!AA67+Sheet1!BN67+P65+'Calculations II'!BC65+Calculation!AS65+Calculation!DJ65</f>
        <v>52.00642582764884</v>
      </c>
      <c r="AG65" s="95">
        <f ca="1">IF(B65=TODAY(),0,Sheet1!AA67+Sheet1!BN67+'Calculations II'!BC65+'Calculations II'!P65-Sheet1!CT67-BP65)</f>
        <v>26.763419748621487</v>
      </c>
      <c r="AH65" s="95">
        <f ca="1">IF(B65=TODAY(),0,Sheet1!AA67+Sheet1!BN67+'Calculations II'!BC65+'Calculations II'!P65-BP65)</f>
        <v>43.044419748621486</v>
      </c>
      <c r="AI65" s="95">
        <f ca="1">IF(B65=TODAY(),0,BC65+Sheet1!AA67+Calculation!ES65+O65+W65+Sheet1!BN67+Calculation!AS65+Calculation!DJ65-BP65)</f>
        <v>52.006425827648833</v>
      </c>
      <c r="AJ65" s="95"/>
      <c r="AM65" s="91">
        <f t="shared" si="9"/>
        <v>41693</v>
      </c>
      <c r="AN65" s="95">
        <f>Sheet1!BU67</f>
        <v>20.399999999999999</v>
      </c>
      <c r="AO65" s="95">
        <f>Sheet1!AA67</f>
        <v>21.1</v>
      </c>
      <c r="AP65" s="95">
        <f t="shared" si="1"/>
        <v>3.739500000000004</v>
      </c>
      <c r="AQ65" s="1055">
        <f>((Sheet1!BV67-(Sheet1!BU67-AP65))/(Sheet1!BU67-AP65))</f>
        <v>5.639086461990974E-2</v>
      </c>
      <c r="AR65" s="95">
        <f t="shared" si="2"/>
        <v>17.360499999999998</v>
      </c>
      <c r="AS65" s="95">
        <f t="shared" si="3"/>
        <v>16.660499999999995</v>
      </c>
      <c r="AT65" s="90">
        <f>Sheet1!BB67</f>
        <v>1</v>
      </c>
      <c r="AU65" s="90">
        <f>Sheet1!AS67*GPMtoMGD</f>
        <v>3.1536000000000002E-2</v>
      </c>
      <c r="AV65" s="95">
        <f>Sheet1!AT67</f>
        <v>0</v>
      </c>
      <c r="AW65" s="90">
        <f>Sheet1!AV67*GPMtoMGD</f>
        <v>0.29952000000000001</v>
      </c>
      <c r="AX65" s="90">
        <f>Sheet1!AW67*GPMtoMGD</f>
        <v>0.48182400000000009</v>
      </c>
      <c r="AY65" s="90">
        <f>Sheet1!AX67*GPMtoMGD</f>
        <v>0</v>
      </c>
      <c r="AZ65" s="90">
        <f>Sheet1!AY67*GPMtoMGD</f>
        <v>0</v>
      </c>
      <c r="BA65" s="90">
        <f>Sheet1!AZ67*GPMtoMGD</f>
        <v>0</v>
      </c>
      <c r="BB65" s="90">
        <f>Sheet1!BP67*GPMtoMGD</f>
        <v>0</v>
      </c>
      <c r="BC65" s="90">
        <f>Sheet1!CS67*GPMtoMGD</f>
        <v>21.706128000000003</v>
      </c>
      <c r="BD65" s="90">
        <f>Sheet1!BO67*GPMtoMGD</f>
        <v>1.6047360000000002</v>
      </c>
      <c r="BE65" s="90">
        <f>Sheet1!BW67*GPMtoMGD</f>
        <v>0.97574400000000006</v>
      </c>
      <c r="BF65" s="90">
        <f>Sheet1!CN67*GPMtoMGD</f>
        <v>1.06416</v>
      </c>
      <c r="BG65" s="90">
        <f>Sheet1!CO67*GPMtoMGD</f>
        <v>0.49363200000000007</v>
      </c>
      <c r="BH65" s="90">
        <f>Sheet1!CP67*GPMtoMGD</f>
        <v>0.62092800000000004</v>
      </c>
      <c r="BI65" s="90">
        <f t="shared" si="10"/>
        <v>1.6047360000000002</v>
      </c>
      <c r="BK65" s="95">
        <f>SUM(AT65:BA65,BE65,Sheet1!BV67,'Calculations II'!BC65,Calculation!AQ65)</f>
        <v>46.144903975683889</v>
      </c>
      <c r="BM65" s="373">
        <f>0</f>
        <v>0</v>
      </c>
      <c r="BN65" s="373">
        <f>0</f>
        <v>0</v>
      </c>
      <c r="BP65" s="95">
        <f>SUM(BM65:BN65,W65,Sheet1!DX67)</f>
        <v>0</v>
      </c>
    </row>
    <row r="66" spans="1:68" s="90" customFormat="1">
      <c r="A66" s="651" t="s">
        <v>4</v>
      </c>
      <c r="B66" s="92">
        <v>41694</v>
      </c>
      <c r="C66" s="93">
        <v>0</v>
      </c>
      <c r="D66" s="95">
        <f>(Sheet1!BQ68-Sheet1!BQ67)*1.385</f>
        <v>2.2159999999999971</v>
      </c>
      <c r="E66" s="30">
        <f>(Sheet1!BR68-Sheet1!BR67)*1.385</f>
        <v>2.3544999999999989</v>
      </c>
      <c r="F66" s="30">
        <f ca="1">IF(B66=TODAY(),0,-(VLOOKUP(Sheet1!CD68,Lookup!$I$4:$J$216,2)-VLOOKUP(Sheet1!CD67,Lookup!$I$4:$J$216,2))/1000000)</f>
        <v>-0.10363693854779936</v>
      </c>
      <c r="G66" s="95">
        <f ca="1">IF(B66=TODAY(),0,-$G$6*(Sheet1!CF68-Sheet1!CF67)*7.48/1000000)</f>
        <v>0.11914050315767746</v>
      </c>
      <c r="H66" s="95">
        <f ca="1">IF(B66=TODAY(),0,-$H$6*(Sheet1!CE68-Sheet1!CE67)*7.48/1000000)</f>
        <v>-0.10527602645885584</v>
      </c>
      <c r="I66" s="95">
        <f ca="1">IF(B66=TODAY(),0,-$I$6*(Sheet1!CG68-Sheet1!CG67)*7.48/1000000)</f>
        <v>4.4924879999999959E-2</v>
      </c>
      <c r="J66" s="96" t="s">
        <v>186</v>
      </c>
      <c r="K66" s="95">
        <f ca="1">IF(B66=TODAY(),0,-$K$6*(Sheet1!CH68-Sheet1!CH67)*7.48/1000000)</f>
        <v>7.9959844493501367E-2</v>
      </c>
      <c r="L66" s="96" t="s">
        <v>186</v>
      </c>
      <c r="M66" s="95">
        <f ca="1">IF(B66=TODAY(),0,-$M$6*(Sheet1!CI68-Sheet1!CI67)*7.48/1000000)</f>
        <v>0.23388960956435173</v>
      </c>
      <c r="N66" s="95">
        <f ca="1">IF(B66=TODAY(),0,-$N$6*(Sheet1!CJ68-Sheet1!CJ67)*7.48/1000000)</f>
        <v>0.68257579934086265</v>
      </c>
      <c r="O66" s="95">
        <f t="shared" ca="1" si="7"/>
        <v>0.95157767154973805</v>
      </c>
      <c r="P66" s="95">
        <f ca="1">O66+Calculation!ES66</f>
        <v>-3.619740150975395</v>
      </c>
      <c r="Q66" s="90" t="str">
        <f>IF(Sheet1!BQ68&gt;25.75,"spill elevation","-")</f>
        <v>-</v>
      </c>
      <c r="R66" s="90" t="str">
        <f>IF(Sheet1!BQ68&gt;25.75,"spill elevation","-")</f>
        <v>-</v>
      </c>
      <c r="S66" s="90" t="str">
        <f>IF(Sheet1!BR68&gt;25.75,"spill elevation","-")</f>
        <v>-</v>
      </c>
      <c r="T66" s="94">
        <f>IF(Sheet1!DU68=1,Sheet1!AA68-(SUM(AT66:BA66)+BE66),Sheet1!AA68-SUM(AT66:BA66))</f>
        <v>18.961504000000001</v>
      </c>
      <c r="U66" s="94">
        <f>Sheet1!BV68</f>
        <v>16.100000000000001</v>
      </c>
      <c r="V66" s="94">
        <f t="shared" si="8"/>
        <v>2.861504</v>
      </c>
      <c r="W66" s="94">
        <f>0</f>
        <v>0</v>
      </c>
      <c r="X66" s="90">
        <f>0</f>
        <v>0</v>
      </c>
      <c r="Y66" s="95">
        <f ca="1">Calculation!EJ67+Calculation!ES66+'Calculations II'!O66-'Calculations II'!W66</f>
        <v>45.803443849024603</v>
      </c>
      <c r="Z66" s="95">
        <f ca="1">Y66-Sheet1!CT69</f>
        <v>29.304443849024604</v>
      </c>
      <c r="AA66" s="95">
        <f ca="1">Y66+Calculation!DJ67+Calculation!AS67</f>
        <v>54.8080173116117</v>
      </c>
      <c r="AC66" s="95">
        <f>Sheet1!AA68+Sheet1!AB68+BC66</f>
        <v>54.974832000000006</v>
      </c>
      <c r="AD66" s="95">
        <f>Sheet1!AA68+Sheet1!BN68+'Calculations II'!BC66-Calculation!AS66-Calculation!DJ66</f>
        <v>37.162719640449438</v>
      </c>
      <c r="AE66" s="95">
        <f>Sheet1!AA68+Sheet1!AB68+'Calculations II'!BC66-Calculation!AS66-Calculation!DJ66</f>
        <v>46.062719640449444</v>
      </c>
      <c r="AF66" s="95">
        <f ca="1">Sheet1!AA68+Sheet1!BN68+P66+'Calculations II'!BC66+Calculation!AS66+Calculation!DJ66</f>
        <v>51.367204208575174</v>
      </c>
      <c r="AG66" s="95">
        <f ca="1">IF(B66=TODAY(),0,Sheet1!AA68+Sheet1!BN68+'Calculations II'!BC66+'Calculations II'!P66-Sheet1!CT68-BP66)</f>
        <v>25.875091849024606</v>
      </c>
      <c r="AH66" s="95">
        <f ca="1">IF(B66=TODAY(),0,Sheet1!AA68+Sheet1!BN68+'Calculations II'!BC66+'Calculations II'!P66-BP66)</f>
        <v>42.455091849024605</v>
      </c>
      <c r="AI66" s="95">
        <f ca="1">IF(B66=TODAY(),0,BC66+Sheet1!AA68+Calculation!ES66+O66+W66+Sheet1!BN68+Calculation!AS66+Calculation!DJ66-BP66)</f>
        <v>51.36720420857516</v>
      </c>
      <c r="AJ66" s="95"/>
      <c r="AM66" s="91">
        <f t="shared" si="9"/>
        <v>41694</v>
      </c>
      <c r="AN66" s="95">
        <f>Sheet1!BU68</f>
        <v>19.8</v>
      </c>
      <c r="AO66" s="95">
        <f>Sheet1!AA68</f>
        <v>20.8</v>
      </c>
      <c r="AP66" s="95">
        <f t="shared" si="1"/>
        <v>4.5704999999999956</v>
      </c>
      <c r="AQ66" s="1055">
        <f>((Sheet1!BV68-(Sheet1!BU68-AP66))/(Sheet1!BU68-AP66))</f>
        <v>5.7158803637676614E-2</v>
      </c>
      <c r="AR66" s="95">
        <f t="shared" si="2"/>
        <v>16.229500000000005</v>
      </c>
      <c r="AS66" s="95">
        <f t="shared" si="3"/>
        <v>15.229500000000005</v>
      </c>
      <c r="AT66" s="90">
        <f>Sheet1!BB68</f>
        <v>1.002</v>
      </c>
      <c r="AU66" s="90">
        <f>Sheet1!AS68*GPMtoMGD</f>
        <v>1.5696000000000002E-2</v>
      </c>
      <c r="AV66" s="95">
        <f>Sheet1!AT68</f>
        <v>0</v>
      </c>
      <c r="AW66" s="90">
        <f>Sheet1!AV68*GPMtoMGD</f>
        <v>0.51652799999999999</v>
      </c>
      <c r="AX66" s="90">
        <f>Sheet1!AW68*GPMtoMGD</f>
        <v>0.30427200000000004</v>
      </c>
      <c r="AY66" s="90">
        <f>Sheet1!AX68*GPMtoMGD</f>
        <v>0</v>
      </c>
      <c r="AZ66" s="90">
        <f>Sheet1!AY68*GPMtoMGD</f>
        <v>0</v>
      </c>
      <c r="BA66" s="90">
        <f>Sheet1!AZ68*GPMtoMGD</f>
        <v>0</v>
      </c>
      <c r="BB66" s="90">
        <f>Sheet1!BP68*GPMtoMGD</f>
        <v>0</v>
      </c>
      <c r="BC66" s="90">
        <f>Sheet1!CS68*GPMtoMGD</f>
        <v>16.574832000000001</v>
      </c>
      <c r="BD66" s="90">
        <f>Sheet1!BO68*GPMtoMGD</f>
        <v>1.4634720000000001</v>
      </c>
      <c r="BE66" s="90">
        <f>Sheet1!BW68*GPMtoMGD</f>
        <v>0.6783840000000001</v>
      </c>
      <c r="BF66" s="90">
        <f>Sheet1!CN68*GPMtoMGD</f>
        <v>1.2049920000000001</v>
      </c>
      <c r="BG66" s="90">
        <f>Sheet1!CO68*GPMtoMGD</f>
        <v>0.44668800000000003</v>
      </c>
      <c r="BH66" s="90">
        <f>Sheet1!CP68*GPMtoMGD</f>
        <v>0.64540799999999998</v>
      </c>
      <c r="BI66" s="90">
        <f t="shared" si="10"/>
        <v>1.4634720000000001</v>
      </c>
      <c r="BK66" s="95">
        <f>SUM(AT66:BA66,BE66,Sheet1!BV68,'Calculations II'!BC66,Calculation!AQ66)</f>
        <v>43.880850576779025</v>
      </c>
      <c r="BM66" s="373">
        <f>0</f>
        <v>0</v>
      </c>
      <c r="BN66" s="373">
        <f>0</f>
        <v>0</v>
      </c>
      <c r="BP66" s="95">
        <f>SUM(BM66:BN66,W66,Sheet1!DX68)</f>
        <v>0</v>
      </c>
    </row>
    <row r="67" spans="1:68" s="90" customFormat="1">
      <c r="A67" s="651" t="s">
        <v>5</v>
      </c>
      <c r="B67" s="92">
        <v>41695</v>
      </c>
      <c r="C67" s="93">
        <v>0</v>
      </c>
      <c r="D67" s="95">
        <f>(Sheet1!BQ69-Sheet1!BQ68)*1.385</f>
        <v>-1.661999999999999</v>
      </c>
      <c r="E67" s="30">
        <f>(Sheet1!BR69-Sheet1!BR68)*1.385</f>
        <v>-1.8005000000000011</v>
      </c>
      <c r="F67" s="30">
        <f ca="1">IF(B67=TODAY(),0,-(VLOOKUP(Sheet1!CD69,Lookup!$I$4:$J$216,2)-VLOOKUP(Sheet1!CD68,Lookup!$I$4:$J$216,2))/1000000)</f>
        <v>0.10363693854779936</v>
      </c>
      <c r="G67" s="95">
        <f ca="1">IF(B67=TODAY(),0,-$G$6*(Sheet1!CF69-Sheet1!CF68)*7.48/1000000)</f>
        <v>0.19856750526279648</v>
      </c>
      <c r="H67" s="95">
        <f ca="1">IF(B67=TODAY(),0,-$H$6*(Sheet1!CE69-Sheet1!CE68)*7.48/1000000)</f>
        <v>0.13535489116138638</v>
      </c>
      <c r="I67" s="95">
        <f ca="1">IF(B67=TODAY(),0,-$I$6*(Sheet1!CG69-Sheet1!CG68)*7.48/1000000)</f>
        <v>-4.9417368000000024E-2</v>
      </c>
      <c r="J67" s="96" t="s">
        <v>186</v>
      </c>
      <c r="K67" s="95">
        <f ca="1">IF(B67=TODAY(),0,-$K$6*(Sheet1!CH69-Sheet1!CH68)*7.48/1000000)</f>
        <v>-8.6623164867959804E-2</v>
      </c>
      <c r="L67" s="96" t="s">
        <v>186</v>
      </c>
      <c r="M67" s="95">
        <f ca="1">IF(B67=TODAY(),0,-$M$6*(Sheet1!CI69-Sheet1!CI68)*7.48/1000000)</f>
        <v>-0.26987262642040577</v>
      </c>
      <c r="N67" s="95">
        <f ca="1">IF(B67=TODAY(),0,-$N$6*(Sheet1!CJ69-Sheet1!CJ68)*7.48/1000000)</f>
        <v>0.12410469078924735</v>
      </c>
      <c r="O67" s="95">
        <f t="shared" ca="1" si="7"/>
        <v>0.15575086647286401</v>
      </c>
      <c r="P67" s="95">
        <f ca="1">O67+Calculation!ES67</f>
        <v>3.6191904893828162</v>
      </c>
      <c r="Q67" s="90" t="str">
        <f>IF(Sheet1!BQ69&gt;25.75,"spill elevation","-")</f>
        <v>-</v>
      </c>
      <c r="R67" s="90" t="str">
        <f>IF(Sheet1!BQ69&gt;25.75,"spill elevation","-")</f>
        <v>-</v>
      </c>
      <c r="S67" s="90" t="str">
        <f>IF(Sheet1!BR69&gt;25.75,"spill elevation","-")</f>
        <v>-</v>
      </c>
      <c r="T67" s="94">
        <f>IF(Sheet1!DU69=1,Sheet1!AA69-(SUM(AT67:BA67)+BE67),Sheet1!AA69-SUM(AT67:BA67))</f>
        <v>18.875703999999999</v>
      </c>
      <c r="U67" s="94">
        <f>Sheet1!BV69</f>
        <v>24.2</v>
      </c>
      <c r="V67" s="94">
        <f t="shared" si="8"/>
        <v>-5.3242960000000004</v>
      </c>
      <c r="W67" s="94">
        <f>0</f>
        <v>0</v>
      </c>
      <c r="X67" s="90">
        <f>0</f>
        <v>0</v>
      </c>
      <c r="Y67" s="95">
        <f ca="1">Calculation!EJ68+Calculation!ES67+'Calculations II'!O67-'Calculations II'!W67</f>
        <v>56.342950489382815</v>
      </c>
      <c r="Z67" s="95">
        <f ca="1">Y67-Sheet1!CT70</f>
        <v>39.411950489382818</v>
      </c>
      <c r="AA67" s="95">
        <f ca="1">Y67+Calculation!DJ68+Calculation!AS68</f>
        <v>65.313797876230581</v>
      </c>
      <c r="AC67" s="95">
        <f>Sheet1!AA69+Sheet1!AB69+BC67</f>
        <v>49.423183999999999</v>
      </c>
      <c r="AD67" s="95">
        <f>Sheet1!AA69+Sheet1!BN69+'Calculations II'!BC67-Calculation!AS67-Calculation!DJ67</f>
        <v>31.418610537412903</v>
      </c>
      <c r="AE67" s="95">
        <f>Sheet1!AA69+Sheet1!AB69+'Calculations II'!BC67-Calculation!AS67-Calculation!DJ67</f>
        <v>40.418610537412903</v>
      </c>
      <c r="AF67" s="95">
        <f ca="1">Sheet1!AA69+Sheet1!BN69+P67+'Calculations II'!BC67+Calculation!AS67+Calculation!DJ67</f>
        <v>53.046947951969912</v>
      </c>
      <c r="AG67" s="95">
        <f ca="1">IF(B67=TODAY(),0,Sheet1!AA69+Sheet1!BN69+'Calculations II'!BC67+'Calculations II'!P67-Sheet1!CT69-BP67)</f>
        <v>27.543374489382817</v>
      </c>
      <c r="AH67" s="95">
        <f ca="1">IF(B67=TODAY(),0,Sheet1!AA69+Sheet1!BN69+'Calculations II'!BC67+'Calculations II'!P67-BP67)</f>
        <v>44.042374489382816</v>
      </c>
      <c r="AI67" s="95">
        <f ca="1">IF(B67=TODAY(),0,BC67+Sheet1!AA69+Calculation!ES67+O67+W67+Sheet1!BN69+Calculation!AS67+Calculation!DJ67-BP67)</f>
        <v>53.046947951969912</v>
      </c>
      <c r="AJ67" s="95"/>
      <c r="AM67" s="91">
        <f t="shared" si="9"/>
        <v>41695</v>
      </c>
      <c r="AN67" s="95">
        <f>Sheet1!BU69</f>
        <v>20.100000000000001</v>
      </c>
      <c r="AO67" s="95">
        <f>Sheet1!AA69</f>
        <v>20.9</v>
      </c>
      <c r="AP67" s="95">
        <f t="shared" si="1"/>
        <v>-3.4625000000000004</v>
      </c>
      <c r="AQ67" s="1055">
        <f>((Sheet1!BV69-(Sheet1!BU69-AP67))/(Sheet1!BU69-AP67))</f>
        <v>2.7055702917771852E-2</v>
      </c>
      <c r="AR67" s="95">
        <f t="shared" si="2"/>
        <v>24.362499999999997</v>
      </c>
      <c r="AS67" s="95">
        <f t="shared" si="3"/>
        <v>23.5625</v>
      </c>
      <c r="AT67" s="90">
        <f>Sheet1!BB69</f>
        <v>0.997</v>
      </c>
      <c r="AU67" s="90">
        <f>Sheet1!AS69*GPMtoMGD</f>
        <v>3.1248000000000001E-2</v>
      </c>
      <c r="AV67" s="95">
        <f>Sheet1!AT69</f>
        <v>0</v>
      </c>
      <c r="AW67" s="90">
        <f>Sheet1!AV69*GPMtoMGD</f>
        <v>0.45547200000000004</v>
      </c>
      <c r="AX67" s="90">
        <f>Sheet1!AW69*GPMtoMGD</f>
        <v>0.54014400000000007</v>
      </c>
      <c r="AY67" s="90">
        <f>Sheet1!AX69*GPMtoMGD</f>
        <v>4.3200000000000004E-4</v>
      </c>
      <c r="AZ67" s="90">
        <f>Sheet1!AY69*GPMtoMGD</f>
        <v>0</v>
      </c>
      <c r="BA67" s="90">
        <f>Sheet1!AZ69*GPMtoMGD</f>
        <v>0</v>
      </c>
      <c r="BB67" s="90">
        <f>Sheet1!BP69*GPMtoMGD</f>
        <v>0</v>
      </c>
      <c r="BC67" s="90">
        <f>Sheet1!CS69*GPMtoMGD</f>
        <v>5.423184</v>
      </c>
      <c r="BD67" s="90">
        <f>Sheet1!BO69*GPMtoMGD</f>
        <v>1.4859360000000001</v>
      </c>
      <c r="BE67" s="90">
        <f>Sheet1!BW69*GPMtoMGD</f>
        <v>0.68385600000000002</v>
      </c>
      <c r="BF67" s="90">
        <f>Sheet1!CN69*GPMtoMGD</f>
        <v>1.184256</v>
      </c>
      <c r="BG67" s="90">
        <f>Sheet1!CO69*GPMtoMGD</f>
        <v>0.45043200000000005</v>
      </c>
      <c r="BH67" s="90">
        <f>Sheet1!CP69*GPMtoMGD</f>
        <v>0.64425600000000005</v>
      </c>
      <c r="BI67" s="90">
        <f t="shared" si="10"/>
        <v>1.4859360000000001</v>
      </c>
      <c r="BK67" s="95">
        <f>SUM(AT67:BA67,BE67,Sheet1!BV69,'Calculations II'!BC67,Calculation!AQ67)</f>
        <v>46.427064567100878</v>
      </c>
      <c r="BM67" s="373">
        <f>0</f>
        <v>0</v>
      </c>
      <c r="BN67" s="373">
        <f>0</f>
        <v>0</v>
      </c>
      <c r="BP67" s="95">
        <f>SUM(BM67:BN67,W67,Sheet1!DX69)</f>
        <v>0</v>
      </c>
    </row>
    <row r="68" spans="1:68" s="90" customFormat="1">
      <c r="A68" s="651" t="s">
        <v>6</v>
      </c>
      <c r="B68" s="92">
        <v>41696</v>
      </c>
      <c r="C68" s="93">
        <v>0</v>
      </c>
      <c r="D68" s="95">
        <f>(Sheet1!BQ70-Sheet1!BQ69)*1.385</f>
        <v>-1.385</v>
      </c>
      <c r="E68" s="30">
        <f>(Sheet1!BR70-Sheet1!BR69)*1.385</f>
        <v>-1.2464999999999979</v>
      </c>
      <c r="F68" s="30">
        <f ca="1">IF(B68=TODAY(),0,-(VLOOKUP(Sheet1!CD70,Lookup!$I$4:$J$216,2)-VLOOKUP(Sheet1!CD69,Lookup!$I$4:$J$216,2))/1000000)</f>
        <v>0.72545856983460111</v>
      </c>
      <c r="G68" s="95">
        <f ca="1">IF(B68=TODAY(),0,-$G$6*(Sheet1!CF70-Sheet1!CF69)*7.48/1000000)</f>
        <v>-0.31770800842047398</v>
      </c>
      <c r="H68" s="95">
        <f ca="1">IF(B68=TODAY(),0,-$H$6*(Sheet1!CE70-Sheet1!CE69)*7.48/1000000)</f>
        <v>3.0078864702529479E-2</v>
      </c>
      <c r="I68" s="95">
        <f ca="1">IF(B68=TODAY(),0,-$I$6*(Sheet1!CG70-Sheet1!CG69)*7.48/1000000)</f>
        <v>-4.4924879999999837E-3</v>
      </c>
      <c r="J68" s="96" t="s">
        <v>186</v>
      </c>
      <c r="K68" s="95">
        <f ca="1">IF(B68=TODAY(),0,-$K$6*(Sheet1!CH70-Sheet1!CH69)*7.48/1000000)</f>
        <v>6.6633203744584186E-3</v>
      </c>
      <c r="L68" s="96" t="s">
        <v>186</v>
      </c>
      <c r="M68" s="95">
        <f ca="1">IF(B68=TODAY(),0,-$M$6*(Sheet1!CI70-Sheet1!CI69)*7.48/1000000)</f>
        <v>0</v>
      </c>
      <c r="N68" s="95">
        <f ca="1">IF(B68=TODAY(),0,-$N$6*(Sheet1!CJ70-Sheet1!CJ69)*7.48/1000000)</f>
        <v>-0.12410469078924735</v>
      </c>
      <c r="O68" s="95">
        <f t="shared" ca="1" si="7"/>
        <v>0.31589556770186772</v>
      </c>
      <c r="P68" s="95">
        <f ca="1">O68+Calculation!ES68</f>
        <v>2.9467730811078199</v>
      </c>
      <c r="Q68" s="90" t="str">
        <f>IF(Sheet1!BQ70&gt;25.75,"spill elevation","-")</f>
        <v>-</v>
      </c>
      <c r="R68" s="90" t="str">
        <f>IF(Sheet1!BQ70&gt;25.75,"spill elevation","-")</f>
        <v>-</v>
      </c>
      <c r="S68" s="90" t="str">
        <f>IF(Sheet1!BR70&gt;25.75,"spill elevation","-")</f>
        <v>-</v>
      </c>
      <c r="T68" s="94">
        <f>IF(Sheet1!DU70=1,Sheet1!AA70-(SUM(AT68:BA68)+BE68),Sheet1!AA70-SUM(AT68:BA68))</f>
        <v>19.907959999999999</v>
      </c>
      <c r="U68" s="94">
        <f>Sheet1!BV70</f>
        <v>24.6</v>
      </c>
      <c r="V68" s="94">
        <f t="shared" si="8"/>
        <v>-4.6920400000000022</v>
      </c>
      <c r="W68" s="94">
        <f>0</f>
        <v>0</v>
      </c>
      <c r="X68" s="90">
        <f>0</f>
        <v>0</v>
      </c>
      <c r="Y68" s="95">
        <f ca="1">Calculation!EJ69+Calculation!ES68+'Calculations II'!O68-'Calculations II'!W68</f>
        <v>57.574773081107814</v>
      </c>
      <c r="Z68" s="95">
        <f ca="1">Y68-Sheet1!CT71</f>
        <v>40.324773081107814</v>
      </c>
      <c r="AA68" s="95">
        <f ca="1">Y68+Calculation!DJ69+Calculation!AS69</f>
        <v>65.357867549518232</v>
      </c>
      <c r="AC68" s="95">
        <f>Sheet1!AA70+Sheet1!AB70+BC68</f>
        <v>52.723759999999999</v>
      </c>
      <c r="AD68" s="95">
        <f>Sheet1!AA70+Sheet1!BN70+'Calculations II'!BC68-Calculation!AS68-Calculation!DJ68</f>
        <v>34.852912613152228</v>
      </c>
      <c r="AE68" s="95">
        <f>Sheet1!AA70+Sheet1!AB70+'Calculations II'!BC68-Calculation!AS68-Calculation!DJ68</f>
        <v>43.752912613152233</v>
      </c>
      <c r="AF68" s="95">
        <f ca="1">Sheet1!AA70+Sheet1!BN70+P68+'Calculations II'!BC68+Calculation!AS68+Calculation!DJ68</f>
        <v>55.74138046795558</v>
      </c>
      <c r="AG68" s="95">
        <f ca="1">IF(B68=TODAY(),0,Sheet1!AA70+Sheet1!BN70+'Calculations II'!BC68+'Calculations II'!P68-Sheet1!CT70-BP68)</f>
        <v>29.839533081107813</v>
      </c>
      <c r="AH68" s="95">
        <f ca="1">IF(B68=TODAY(),0,Sheet1!AA70+Sheet1!BN70+'Calculations II'!BC68+'Calculations II'!P68-BP68)</f>
        <v>46.770533081107814</v>
      </c>
      <c r="AI68" s="95">
        <f ca="1">IF(B68=TODAY(),0,BC68+Sheet1!AA70+Calculation!ES68+O68+W68+Sheet1!BN70+Calculation!AS68+Calculation!DJ68-BP68)</f>
        <v>55.74138046795558</v>
      </c>
      <c r="AJ68" s="95"/>
      <c r="AM68" s="91">
        <f t="shared" si="9"/>
        <v>41696</v>
      </c>
      <c r="AN68" s="95">
        <f>Sheet1!BU70</f>
        <v>21.1</v>
      </c>
      <c r="AO68" s="95">
        <f>Sheet1!AA70</f>
        <v>21.9</v>
      </c>
      <c r="AP68" s="95">
        <f t="shared" si="1"/>
        <v>-2.6314999999999982</v>
      </c>
      <c r="AQ68" s="1055">
        <f>((Sheet1!BV70-(Sheet1!BU70-AP68))/(Sheet1!BU70-AP68))</f>
        <v>3.6596928133493495E-2</v>
      </c>
      <c r="AR68" s="95">
        <f t="shared" si="2"/>
        <v>24.531499999999998</v>
      </c>
      <c r="AS68" s="95">
        <f t="shared" si="3"/>
        <v>23.7315</v>
      </c>
      <c r="AT68" s="90">
        <f>Sheet1!BB70</f>
        <v>0.997</v>
      </c>
      <c r="AU68" s="90">
        <f>Sheet1!AS70*GPMtoMGD</f>
        <v>1.584E-2</v>
      </c>
      <c r="AV68" s="95">
        <f>Sheet1!AT70</f>
        <v>0</v>
      </c>
      <c r="AW68" s="90">
        <f>Sheet1!AV70*GPMtoMGD</f>
        <v>0.46944000000000002</v>
      </c>
      <c r="AX68" s="90">
        <f>Sheet1!AW70*GPMtoMGD</f>
        <v>0.50975999999999999</v>
      </c>
      <c r="AY68" s="90">
        <f>Sheet1!AX70*GPMtoMGD</f>
        <v>0</v>
      </c>
      <c r="AZ68" s="90">
        <f>Sheet1!AY70*GPMtoMGD</f>
        <v>0</v>
      </c>
      <c r="BA68" s="90">
        <f>Sheet1!AZ70*GPMtoMGD</f>
        <v>0</v>
      </c>
      <c r="BB68" s="90">
        <f>Sheet1!BP70*GPMtoMGD</f>
        <v>0</v>
      </c>
      <c r="BC68" s="90">
        <f>Sheet1!CS70*GPMtoMGD</f>
        <v>7.2237600000000004</v>
      </c>
      <c r="BD68" s="90">
        <f>Sheet1!BO70*GPMtoMGD</f>
        <v>1.460736</v>
      </c>
      <c r="BE68" s="90">
        <f>Sheet1!BW70*GPMtoMGD</f>
        <v>0.96278400000000008</v>
      </c>
      <c r="BF68" s="90">
        <f>Sheet1!CN70*GPMtoMGD</f>
        <v>1.0944</v>
      </c>
      <c r="BG68" s="90">
        <f>Sheet1!CO70*GPMtoMGD</f>
        <v>0.44827200000000006</v>
      </c>
      <c r="BH68" s="90">
        <f>Sheet1!CP70*GPMtoMGD</f>
        <v>0.64670400000000006</v>
      </c>
      <c r="BI68" s="90">
        <f t="shared" si="10"/>
        <v>1.460736</v>
      </c>
      <c r="BK68" s="95">
        <f>SUM(AT68:BA68,BE68,Sheet1!BV70,'Calculations II'!BC68,Calculation!AQ68)</f>
        <v>49.412236507698154</v>
      </c>
      <c r="BM68" s="373">
        <f>0</f>
        <v>0</v>
      </c>
      <c r="BN68" s="373">
        <f>0</f>
        <v>0</v>
      </c>
      <c r="BP68" s="95">
        <f>SUM(BM68:BN68,W68,Sheet1!DX70)</f>
        <v>0</v>
      </c>
    </row>
    <row r="69" spans="1:68" s="90" customFormat="1">
      <c r="A69" s="651" t="s">
        <v>7</v>
      </c>
      <c r="B69" s="92">
        <v>41697</v>
      </c>
      <c r="C69" s="93">
        <v>0</v>
      </c>
      <c r="D69" s="95">
        <f>(Sheet1!BQ71-Sheet1!BQ70)*1.385</f>
        <v>-0.29085000000000116</v>
      </c>
      <c r="E69" s="30">
        <f>(Sheet1!BR71-Sheet1!BR70)*1.385</f>
        <v>-0.33239999999999786</v>
      </c>
      <c r="F69" s="30">
        <f ca="1">IF(B69=TODAY(),0,-(VLOOKUP(Sheet1!CD71,Lookup!$I$4:$J$216,2)-VLOOKUP(Sheet1!CD70,Lookup!$I$4:$J$216,2))/1000000)</f>
        <v>-1.2436432625736054</v>
      </c>
      <c r="G69" s="95">
        <f ca="1">IF(B69=TODAY(),0,-$G$6*(Sheet1!CF71-Sheet1!CF70)*7.48/1000000)</f>
        <v>-0.87369702315630493</v>
      </c>
      <c r="H69" s="95">
        <f ca="1">IF(B69=TODAY(),0,-$H$6*(Sheet1!CE71-Sheet1!CE70)*7.48/1000000)</f>
        <v>0</v>
      </c>
      <c r="I69" s="95">
        <f ca="1">IF(B69=TODAY(),0,-$I$6*(Sheet1!CG71-Sheet1!CG70)*7.48/1000000)</f>
        <v>2.2462440000000004E-2</v>
      </c>
      <c r="J69" s="96" t="s">
        <v>186</v>
      </c>
      <c r="K69" s="95">
        <f ca="1">IF(B69=TODAY(),0,-$K$6*(Sheet1!CH71-Sheet1!CH70)*7.48/1000000)</f>
        <v>3.9979922246750753E-2</v>
      </c>
      <c r="L69" s="96" t="s">
        <v>186</v>
      </c>
      <c r="M69" s="95">
        <f ca="1">IF(B69=TODAY(),0,-$M$6*(Sheet1!CI71-Sheet1!CI70)*7.48/1000000)</f>
        <v>4.4978771070067619E-2</v>
      </c>
      <c r="N69" s="95">
        <f ca="1">IF(B69=TODAY(),0,-$N$6*(Sheet1!CJ71-Sheet1!CJ70)*7.48/1000000)</f>
        <v>-0.18615703618387214</v>
      </c>
      <c r="O69" s="95">
        <f t="shared" ca="1" si="7"/>
        <v>-2.1960761885969644</v>
      </c>
      <c r="P69" s="95">
        <f ca="1">O69+Calculation!ES69</f>
        <v>-1.6423549487655913</v>
      </c>
      <c r="Q69" s="90" t="str">
        <f>IF(Sheet1!BQ71&gt;25.75,"spill elevation","-")</f>
        <v>-</v>
      </c>
      <c r="R69" s="90" t="str">
        <f>IF(Sheet1!BQ71&gt;25.75,"spill elevation","-")</f>
        <v>-</v>
      </c>
      <c r="S69" s="90" t="str">
        <f>IF(Sheet1!BR71&gt;25.75,"spill elevation","-")</f>
        <v>-</v>
      </c>
      <c r="T69" s="94">
        <f>IF(Sheet1!DU71=1,Sheet1!AA71-(SUM(AT69:BA69)+BE69),Sheet1!AA71-SUM(AT69:BA69))</f>
        <v>19.136855999999998</v>
      </c>
      <c r="U69" s="94">
        <f>Sheet1!BV71</f>
        <v>16</v>
      </c>
      <c r="V69" s="94">
        <f t="shared" si="8"/>
        <v>3.1368559999999981</v>
      </c>
      <c r="W69" s="94">
        <f>0</f>
        <v>0</v>
      </c>
      <c r="X69" s="90">
        <f>0</f>
        <v>0</v>
      </c>
      <c r="Y69" s="95">
        <f ca="1">Calculation!EJ70+Calculation!ES69+'Calculations II'!O69-'Calculations II'!W69</f>
        <v>54.044205051234414</v>
      </c>
      <c r="Z69" s="95">
        <f ca="1">Y69-Sheet1!CT72</f>
        <v>36.184205051234414</v>
      </c>
      <c r="AA69" s="95">
        <f ca="1">Y69+Calculation!DJ70+Calculation!AS70</f>
        <v>60.98144869356419</v>
      </c>
      <c r="AC69" s="95">
        <f>Sheet1!AA71+Sheet1!AB71+BC69</f>
        <v>54.628</v>
      </c>
      <c r="AD69" s="95">
        <f>Sheet1!AA71+Sheet1!BN71+'Calculations II'!BC69-Calculation!AS69-Calculation!DJ69</f>
        <v>39.194905531589583</v>
      </c>
      <c r="AE69" s="95">
        <f>Sheet1!AA71+Sheet1!AB71+'Calculations II'!BC69-Calculation!AS69-Calculation!DJ69</f>
        <v>46.844905531589575</v>
      </c>
      <c r="AF69" s="95">
        <f ca="1">Sheet1!AA71+Sheet1!BN71+P69+'Calculations II'!BC69+Calculation!AS69+Calculation!DJ69</f>
        <v>53.118739519644834</v>
      </c>
      <c r="AG69" s="95">
        <f ca="1">IF(B69=TODAY(),0,Sheet1!AA71+Sheet1!BN71+'Calculations II'!BC69+'Calculations II'!P69-Sheet1!CT71-BP69)</f>
        <v>28.085645051234408</v>
      </c>
      <c r="AH69" s="95">
        <f ca="1">IF(B69=TODAY(),0,Sheet1!AA71+Sheet1!BN71+'Calculations II'!BC69+'Calculations II'!P69-BP69)</f>
        <v>45.335645051234408</v>
      </c>
      <c r="AI69" s="95">
        <f ca="1">IF(B69=TODAY(),0,BC69+Sheet1!AA71+Calculation!ES69+O69+W69+Sheet1!BN71+Calculation!AS69+Calculation!DJ69-BP69)</f>
        <v>53.118739519644834</v>
      </c>
      <c r="AJ69" s="95"/>
      <c r="AM69" s="91">
        <f t="shared" si="9"/>
        <v>41697</v>
      </c>
      <c r="AN69" s="95">
        <f>Sheet1!BU71</f>
        <v>18.899999999999999</v>
      </c>
      <c r="AO69" s="95">
        <f>Sheet1!AA71</f>
        <v>22.2</v>
      </c>
      <c r="AP69" s="95">
        <f t="shared" si="1"/>
        <v>-0.62324999999999897</v>
      </c>
      <c r="AQ69" s="1055">
        <f>((Sheet1!BV71-(Sheet1!BU71-AP69))/(Sheet1!BU71-AP69))</f>
        <v>-0.18046431818472836</v>
      </c>
      <c r="AR69" s="95">
        <f t="shared" si="2"/>
        <v>22.823249999999998</v>
      </c>
      <c r="AS69" s="95">
        <f t="shared" si="3"/>
        <v>19.523249999999997</v>
      </c>
      <c r="AT69" s="90">
        <f>Sheet1!BB71</f>
        <v>0.99299999999999999</v>
      </c>
      <c r="AU69" s="90">
        <f>Sheet1!AS71*GPMtoMGD</f>
        <v>3.0816E-2</v>
      </c>
      <c r="AV69" s="95">
        <f>Sheet1!AT71</f>
        <v>0</v>
      </c>
      <c r="AW69" s="90">
        <f>Sheet1!AV71*GPMtoMGD</f>
        <v>1.3528800000000001</v>
      </c>
      <c r="AX69" s="90">
        <f>Sheet1!AW71*GPMtoMGD</f>
        <v>0.68644800000000006</v>
      </c>
      <c r="AY69" s="90">
        <f>Sheet1!AX71*GPMtoMGD</f>
        <v>0</v>
      </c>
      <c r="AZ69" s="90">
        <f>Sheet1!AY71*GPMtoMGD</f>
        <v>0</v>
      </c>
      <c r="BA69" s="90">
        <f>Sheet1!AZ71*GPMtoMGD</f>
        <v>0</v>
      </c>
      <c r="BB69" s="90">
        <f>Sheet1!BP71*GPMtoMGD</f>
        <v>0</v>
      </c>
      <c r="BC69" s="90">
        <f>Sheet1!CS71*GPMtoMGD</f>
        <v>14.328000000000001</v>
      </c>
      <c r="BD69" s="90">
        <f>Sheet1!BO71*GPMtoMGD</f>
        <v>1.3180464000000001</v>
      </c>
      <c r="BE69" s="90">
        <f>Sheet1!BW71*GPMtoMGD</f>
        <v>0.93398400000000004</v>
      </c>
      <c r="BF69" s="90">
        <f>Sheet1!CN71*GPMtoMGD</f>
        <v>0.73238400000000003</v>
      </c>
      <c r="BG69" s="90">
        <f>Sheet1!CO71*GPMtoMGD</f>
        <v>0.47923200000000005</v>
      </c>
      <c r="BH69" s="90">
        <f>Sheet1!CP71*GPMtoMGD</f>
        <v>0.64152000000000009</v>
      </c>
      <c r="BI69" s="90">
        <f t="shared" si="10"/>
        <v>1.3180464000000001</v>
      </c>
      <c r="BK69" s="95">
        <f>SUM(AT69:BA69,BE69,Sheet1!BV71,'Calculations II'!BC69,Calculation!AQ69)</f>
        <v>44.653583195762572</v>
      </c>
      <c r="BM69" s="373">
        <f>0</f>
        <v>0</v>
      </c>
      <c r="BN69" s="373">
        <f>0</f>
        <v>0</v>
      </c>
      <c r="BP69" s="95">
        <f>SUM(BM69:BN69,W69,Sheet1!DX71)</f>
        <v>0</v>
      </c>
    </row>
    <row r="70" spans="1:68" s="90" customFormat="1">
      <c r="A70" s="651" t="s">
        <v>8</v>
      </c>
      <c r="B70" s="92">
        <v>41698</v>
      </c>
      <c r="C70" s="93">
        <v>0</v>
      </c>
      <c r="D70" s="95">
        <f>(Sheet1!BQ72-Sheet1!BQ71)*1.385</f>
        <v>3.0054500000000024</v>
      </c>
      <c r="E70" s="30">
        <f>(Sheet1!BR72-Sheet1!BR71)*1.385</f>
        <v>3.0192999999999994</v>
      </c>
      <c r="F70" s="30">
        <f ca="1">IF(B70=TODAY(),0,-(VLOOKUP(Sheet1!CD72,Lookup!$I$4:$J$216,2)-VLOOKUP(Sheet1!CD71,Lookup!$I$4:$J$216,2))/1000000)</f>
        <v>1.3472802011214047</v>
      </c>
      <c r="G70" s="95">
        <f ca="1">IF(B70=TODAY(),0,-$G$6*(Sheet1!CF72-Sheet1!CF71)*7.48/1000000)</f>
        <v>0.15885400421023735</v>
      </c>
      <c r="H70" s="95">
        <f ca="1">IF(B70=TODAY(),0,-$H$6*(Sheet1!CE72-Sheet1!CE71)*7.48/1000000)</f>
        <v>0</v>
      </c>
      <c r="I70" s="95">
        <f ca="1">IF(B70=TODAY(),0,-$I$6*(Sheet1!CG72-Sheet1!CG71)*7.48/1000000)</f>
        <v>-1.3477463999999953E-2</v>
      </c>
      <c r="J70" s="96" t="s">
        <v>186</v>
      </c>
      <c r="K70" s="95">
        <f ca="1">IF(B70=TODAY(),0,-$K$6*(Sheet1!CH72-Sheet1!CH71)*7.48/1000000)</f>
        <v>-3.3316601872292212E-2</v>
      </c>
      <c r="L70" s="96" t="s">
        <v>186</v>
      </c>
      <c r="M70" s="95">
        <f ca="1">IF(B70=TODAY(),0,-$M$6*(Sheet1!CI72-Sheet1!CI71)*7.48/1000000)</f>
        <v>-8.9957542140136505E-3</v>
      </c>
      <c r="N70" s="95">
        <f ca="1">IF(B70=TODAY(),0,-$N$6*(Sheet1!CJ72-Sheet1!CJ71)*7.48/1000000)</f>
        <v>0.47780305953860375</v>
      </c>
      <c r="O70" s="95">
        <f t="shared" ca="1" si="7"/>
        <v>1.92814744478394</v>
      </c>
      <c r="P70" s="95">
        <f ca="1">O70+Calculation!ES70</f>
        <v>-4.1656057318155106</v>
      </c>
      <c r="Q70" s="90" t="str">
        <f>IF(Sheet1!BQ72&gt;25.75,"spill elevation","-")</f>
        <v>-</v>
      </c>
      <c r="R70" s="90" t="str">
        <f>IF(Sheet1!BQ72&gt;25.75,"spill elevation","-")</f>
        <v>-</v>
      </c>
      <c r="S70" s="90" t="str">
        <f>IF(Sheet1!BR72&gt;25.75,"spill elevation","-")</f>
        <v>-</v>
      </c>
      <c r="T70" s="94">
        <f>IF(Sheet1!DU72=1,Sheet1!AA72-(SUM(AT70:BA70)+BE70),Sheet1!AA72-SUM(AT70:BA70))</f>
        <v>19.284943999999999</v>
      </c>
      <c r="U70" s="94">
        <f>Sheet1!BV72</f>
        <v>15.5</v>
      </c>
      <c r="V70" s="94">
        <f t="shared" si="8"/>
        <v>3.7849439999999994</v>
      </c>
      <c r="W70" s="94">
        <f>0</f>
        <v>0</v>
      </c>
      <c r="X70" s="90">
        <f>0</f>
        <v>0</v>
      </c>
      <c r="Y70" s="95">
        <f ca="1">Calculation!EJ71+Calculation!ES70+'Calculations II'!O70-'Calculations II'!W70</f>
        <v>51.420282268184494</v>
      </c>
      <c r="Z70" s="95">
        <f ca="1">Y70-Sheet1!CT73</f>
        <v>33.480282268184496</v>
      </c>
      <c r="AA70" s="95">
        <f ca="1">Y70+Calculation!DJ71+Calculation!AS71</f>
        <v>58.677660316964982</v>
      </c>
      <c r="AC70" s="95">
        <f>Sheet1!AA72+Sheet1!AB72+BC70</f>
        <v>55.68656</v>
      </c>
      <c r="AD70" s="95">
        <f>Sheet1!AA72+Sheet1!BN72+'Calculations II'!BC70-Calculation!AS70-Calculation!DJ70</f>
        <v>41.64931635767023</v>
      </c>
      <c r="AE70" s="95">
        <f>Sheet1!AA72+Sheet1!AB72+'Calculations II'!BC70-Calculation!AS70-Calculation!DJ70</f>
        <v>48.749316357670224</v>
      </c>
      <c r="AF70" s="95">
        <f ca="1">Sheet1!AA72+Sheet1!BN72+P70+'Calculations II'!BC70+Calculation!AS70+Calculation!DJ70</f>
        <v>51.358197910514278</v>
      </c>
      <c r="AG70" s="95">
        <f ca="1">IF(B70=TODAY(),0,Sheet1!AA72+Sheet1!BN72+'Calculations II'!BC70+'Calculations II'!P70-Sheet1!CT72-BP70)</f>
        <v>26.560954268184496</v>
      </c>
      <c r="AH70" s="95">
        <f ca="1">IF(B70=TODAY(),0,Sheet1!AA72+Sheet1!BN72+'Calculations II'!BC70+'Calculations II'!P70-BP70)</f>
        <v>44.420954268184495</v>
      </c>
      <c r="AI70" s="95">
        <f ca="1">IF(B70=TODAY(),0,BC70+Sheet1!AA72+Calculation!ES70+O70+W70+Sheet1!BN72+Calculation!AS70+Calculation!DJ70-BP70)</f>
        <v>51.358197910514264</v>
      </c>
      <c r="AJ70" s="95"/>
      <c r="AM70" s="91">
        <f t="shared" si="9"/>
        <v>41698</v>
      </c>
      <c r="AN70" s="95">
        <f>Sheet1!BU72</f>
        <v>20.6</v>
      </c>
      <c r="AO70" s="95">
        <f>Sheet1!AA72</f>
        <v>21.3</v>
      </c>
      <c r="AP70" s="95">
        <f t="shared" si="1"/>
        <v>6.0247500000000018</v>
      </c>
      <c r="AQ70" s="1055">
        <f>((Sheet1!BV72-(Sheet1!BU72-AP70))/(Sheet1!BU72-AP70))</f>
        <v>6.3446596113274176E-2</v>
      </c>
      <c r="AR70" s="95">
        <f t="shared" si="2"/>
        <v>15.27525</v>
      </c>
      <c r="AS70" s="95">
        <f t="shared" si="3"/>
        <v>14.57525</v>
      </c>
      <c r="AT70" s="90">
        <f>Sheet1!BB72</f>
        <v>1</v>
      </c>
      <c r="AU70" s="90">
        <f>Sheet1!AS72*GPMtoMGD</f>
        <v>2.6928000000000001E-2</v>
      </c>
      <c r="AV70" s="95">
        <f>Sheet1!AT72</f>
        <v>0</v>
      </c>
      <c r="AW70" s="90">
        <f>Sheet1!AV72*GPMtoMGD</f>
        <v>0.45187200000000005</v>
      </c>
      <c r="AX70" s="90">
        <f>Sheet1!AW72*GPMtoMGD</f>
        <v>0.53625599999999995</v>
      </c>
      <c r="AY70" s="90">
        <f>Sheet1!AX72*GPMtoMGD</f>
        <v>0</v>
      </c>
      <c r="AZ70" s="90">
        <f>Sheet1!AY72*GPMtoMGD</f>
        <v>0</v>
      </c>
      <c r="BA70" s="90">
        <f>Sheet1!AZ72*GPMtoMGD</f>
        <v>0</v>
      </c>
      <c r="BB70" s="90">
        <f>Sheet1!BP72*GPMtoMGD</f>
        <v>0</v>
      </c>
      <c r="BC70" s="90">
        <f>Sheet1!CS72*GPMtoMGD</f>
        <v>21.886560000000003</v>
      </c>
      <c r="BD70" s="90">
        <f>Sheet1!BO72*GPMtoMGD</f>
        <v>1.4790239999999999</v>
      </c>
      <c r="BE70" s="90">
        <f>Sheet1!BW72*GPMtoMGD</f>
        <v>0.94910400000000006</v>
      </c>
      <c r="BF70" s="90">
        <f>Sheet1!CN72*GPMtoMGD</f>
        <v>1.2201120000000001</v>
      </c>
      <c r="BG70" s="90">
        <f>Sheet1!CO72*GPMtoMGD</f>
        <v>0.45273599999999997</v>
      </c>
      <c r="BH70" s="90">
        <f>Sheet1!CP72*GPMtoMGD</f>
        <v>0.63086400000000009</v>
      </c>
      <c r="BI70" s="90">
        <f t="shared" si="10"/>
        <v>1.4790239999999999</v>
      </c>
      <c r="BK70" s="95">
        <f>SUM(AT70:BA70,BE70,Sheet1!BV72,'Calculations II'!BC70,Calculation!AQ70)</f>
        <v>45.888045676784252</v>
      </c>
      <c r="BM70" s="373">
        <f>0</f>
        <v>0</v>
      </c>
      <c r="BN70" s="373">
        <f>0</f>
        <v>0</v>
      </c>
      <c r="BP70" s="95">
        <f>SUM(BM70:BN70,W70,Sheet1!DX72)</f>
        <v>0</v>
      </c>
    </row>
    <row r="71" spans="1:68" s="90" customFormat="1">
      <c r="A71" s="651" t="s">
        <v>9</v>
      </c>
      <c r="B71" s="92">
        <v>41699</v>
      </c>
      <c r="C71" s="93">
        <v>0</v>
      </c>
      <c r="D71" s="95">
        <f>(Sheet1!BQ73-Sheet1!BQ72)*1.385</f>
        <v>2.2714000000000008</v>
      </c>
      <c r="E71" s="30">
        <f>(Sheet1!BR73-Sheet1!BR72)*1.385</f>
        <v>2.2713999999999959</v>
      </c>
      <c r="F71" s="30">
        <f ca="1">IF(B71=TODAY(),0,-(VLOOKUP(Sheet1!CD73,Lookup!$I$4:$J$216,2)-VLOOKUP(Sheet1!CD72,Lookup!$I$4:$J$216,2))/1000000)</f>
        <v>0.72545856983459556</v>
      </c>
      <c r="G71" s="95">
        <f ca="1">IF(B71=TODAY(),0,-$G$6*(Sheet1!CF73-Sheet1!CF72)*7.48/1000000)</f>
        <v>0.19856750526279648</v>
      </c>
      <c r="H71" s="95">
        <f ca="1">IF(B71=TODAY(),0,-$H$6*(Sheet1!CE73-Sheet1!CE72)*7.48/1000000)</f>
        <v>0</v>
      </c>
      <c r="I71" s="95">
        <f ca="1">IF(B71=TODAY(),0,-$I$6*(Sheet1!CG73-Sheet1!CG72)*7.48/1000000)</f>
        <v>1.3477463999999953E-2</v>
      </c>
      <c r="J71" s="96" t="s">
        <v>186</v>
      </c>
      <c r="K71" s="95">
        <f ca="1">IF(B71=TODAY(),0,-$K$6*(Sheet1!CH73-Sheet1!CH72)*7.48/1000000)</f>
        <v>1.9989961123375255E-2</v>
      </c>
      <c r="L71" s="96" t="s">
        <v>186</v>
      </c>
      <c r="M71" s="95">
        <f ca="1">IF(B71=TODAY(),0,-$M$6*(Sheet1!CI73-Sheet1!CI72)*7.48/1000000)</f>
        <v>7.1966033712108565E-2</v>
      </c>
      <c r="N71" s="95">
        <f ca="1">IF(B71=TODAY(),0,-$N$6*(Sheet1!CJ73-Sheet1!CJ72)*7.48/1000000)</f>
        <v>0.14892562894709749</v>
      </c>
      <c r="O71" s="95">
        <f t="shared" ca="1" si="7"/>
        <v>1.1783851628799733</v>
      </c>
      <c r="P71" s="95">
        <f ca="1">O71+Calculation!ES71</f>
        <v>-3.2573324970416726</v>
      </c>
      <c r="Q71" s="90" t="str">
        <f>IF(Sheet1!BQ73&gt;25.75,"spill elevation","-")</f>
        <v>-</v>
      </c>
      <c r="R71" s="90" t="str">
        <f>IF(Sheet1!BQ73&gt;25.75,"spill elevation","-")</f>
        <v>-</v>
      </c>
      <c r="S71" s="90" t="str">
        <f>IF(Sheet1!BR73&gt;25.75,"spill elevation","-")</f>
        <v>-</v>
      </c>
      <c r="T71" s="94">
        <f>IF(Sheet1!DU73=1,Sheet1!AA73-(SUM(AT71:BA71)+BE71),Sheet1!AA73-SUM(AT71:BA71))</f>
        <v>18.486048</v>
      </c>
      <c r="U71" s="94">
        <f>Sheet1!BV73</f>
        <v>16.2</v>
      </c>
      <c r="V71" s="94">
        <f t="shared" si="8"/>
        <v>2.286048000000001</v>
      </c>
      <c r="W71" s="94">
        <f>0</f>
        <v>0</v>
      </c>
      <c r="X71" s="90">
        <f>0</f>
        <v>0</v>
      </c>
      <c r="Y71" s="95">
        <f ca="1">Calculation!EJ72+Calculation!ES71+'Calculations II'!O71-'Calculations II'!W71</f>
        <v>47.777819502958337</v>
      </c>
      <c r="Z71" s="95">
        <f ca="1">Y71-Sheet1!CT74</f>
        <v>31.067819502958336</v>
      </c>
      <c r="AA71" s="95">
        <f ca="1">Y71+Calculation!DJ72+Calculation!AS72</f>
        <v>54.965920574933833</v>
      </c>
      <c r="AC71" s="95">
        <f>Sheet1!AA73+Sheet1!AB73+BC71</f>
        <v>55.585888000000004</v>
      </c>
      <c r="AD71" s="95">
        <f>Sheet1!AA73+Sheet1!BN73+'Calculations II'!BC71-Calculation!AS71-Calculation!DJ71</f>
        <v>41.138509951219511</v>
      </c>
      <c r="AE71" s="95">
        <f>Sheet1!AA73+Sheet1!AB73+'Calculations II'!BC71-Calculation!AS71-Calculation!DJ71</f>
        <v>48.328509951219516</v>
      </c>
      <c r="AF71" s="95">
        <f ca="1">Sheet1!AA73+Sheet1!BN73+P71+'Calculations II'!BC71+Calculation!AS71+Calculation!DJ71</f>
        <v>52.395933551738814</v>
      </c>
      <c r="AG71" s="95">
        <f ca="1">IF(B71=TODAY(),0,Sheet1!AA73+Sheet1!BN73+'Calculations II'!BC71+'Calculations II'!P71-Sheet1!CT73-BP71)</f>
        <v>27.198555502958325</v>
      </c>
      <c r="AH71" s="95">
        <f ca="1">IF(B71=TODAY(),0,Sheet1!AA73+Sheet1!BN73+'Calculations II'!BC71+'Calculations II'!P71-BP71)</f>
        <v>45.138555502958326</v>
      </c>
      <c r="AI71" s="95">
        <f ca="1">IF(B71=TODAY(),0,BC71+Sheet1!AA73+Calculation!ES71+O71+W71+Sheet1!BN73+Calculation!AS71+Calculation!DJ71-BP71)</f>
        <v>52.395933551738821</v>
      </c>
      <c r="AJ71" s="95"/>
      <c r="AM71" s="91">
        <f t="shared" si="9"/>
        <v>41699</v>
      </c>
      <c r="AN71" s="95">
        <f>Sheet1!BU73</f>
        <v>20</v>
      </c>
      <c r="AO71" s="95">
        <f>Sheet1!AA73</f>
        <v>21.1</v>
      </c>
      <c r="AP71" s="95">
        <f t="shared" si="1"/>
        <v>4.5427999999999962</v>
      </c>
      <c r="AQ71" s="1055">
        <f>((Sheet1!BV73-(Sheet1!BU73-AP71))/(Sheet1!BU73-AP71))</f>
        <v>4.805527521155159E-2</v>
      </c>
      <c r="AR71" s="95">
        <f t="shared" si="2"/>
        <v>16.557200000000005</v>
      </c>
      <c r="AS71" s="95">
        <f t="shared" si="3"/>
        <v>15.457200000000004</v>
      </c>
      <c r="AT71" s="90">
        <f>Sheet1!BB73</f>
        <v>1</v>
      </c>
      <c r="AU71" s="90">
        <f>Sheet1!AS73*GPMtoMGD</f>
        <v>2.1312000000000001E-2</v>
      </c>
      <c r="AV71" s="95">
        <f>Sheet1!AT73</f>
        <v>0</v>
      </c>
      <c r="AW71" s="90">
        <f>Sheet1!AV73*GPMtoMGD</f>
        <v>0.73238400000000003</v>
      </c>
      <c r="AX71" s="90">
        <f>Sheet1!AW73*GPMtoMGD</f>
        <v>0.86025600000000002</v>
      </c>
      <c r="AY71" s="90">
        <f>Sheet1!AX73*GPMtoMGD</f>
        <v>0</v>
      </c>
      <c r="AZ71" s="90">
        <f>Sheet1!AY73*GPMtoMGD</f>
        <v>0</v>
      </c>
      <c r="BA71" s="90">
        <f>Sheet1!AZ73*GPMtoMGD</f>
        <v>0</v>
      </c>
      <c r="BB71" s="90">
        <f>Sheet1!BP73*GPMtoMGD</f>
        <v>0</v>
      </c>
      <c r="BC71" s="90">
        <f>Sheet1!CS73*GPMtoMGD</f>
        <v>21.495888000000001</v>
      </c>
      <c r="BD71" s="90">
        <f>Sheet1!BO73*GPMtoMGD</f>
        <v>1.465632</v>
      </c>
      <c r="BE71" s="90">
        <f>Sheet1!BW73*GPMtoMGD</f>
        <v>0.691056</v>
      </c>
      <c r="BF71" s="90">
        <f>Sheet1!CN73*GPMtoMGD</f>
        <v>1.1351519999999999</v>
      </c>
      <c r="BG71" s="90">
        <f>Sheet1!CO73*GPMtoMGD</f>
        <v>0.47577599999999998</v>
      </c>
      <c r="BH71" s="90">
        <f>Sheet1!CP73*GPMtoMGD</f>
        <v>0.60336000000000001</v>
      </c>
      <c r="BI71" s="90">
        <f t="shared" si="10"/>
        <v>1.465632</v>
      </c>
      <c r="BK71" s="95">
        <f>SUM(AT71:BA71,BE71,Sheet1!BV73,'Calculations II'!BC71,Calculation!AQ71)</f>
        <v>46.743426487804875</v>
      </c>
      <c r="BM71" s="373">
        <f>0</f>
        <v>0</v>
      </c>
      <c r="BN71" s="373">
        <f>0</f>
        <v>0</v>
      </c>
      <c r="BP71" s="95">
        <f>SUM(BM71:BN71,W71,Sheet1!DX73)</f>
        <v>0</v>
      </c>
    </row>
    <row r="72" spans="1:68" s="90" customFormat="1">
      <c r="A72" s="651" t="s">
        <v>3</v>
      </c>
      <c r="B72" s="92">
        <v>41700</v>
      </c>
      <c r="C72" s="93">
        <v>0</v>
      </c>
      <c r="D72" s="95">
        <f>(Sheet1!BQ74-Sheet1!BQ73)*1.385</f>
        <v>-0.8448500000000041</v>
      </c>
      <c r="E72" s="30">
        <f>(Sheet1!BR74-Sheet1!BR73)*1.385</f>
        <v>-0.85869999999999647</v>
      </c>
      <c r="F72" s="30">
        <f ca="1">IF(B72=TODAY(),0,-(VLOOKUP(Sheet1!CD74,Lookup!$I$4:$J$216,2)-VLOOKUP(Sheet1!CD73,Lookup!$I$4:$J$216,2))/1000000)</f>
        <v>-0.9327324469301943</v>
      </c>
      <c r="G72" s="95">
        <f ca="1">IF(B72=TODAY(),0,-$G$6*(Sheet1!CF74-Sheet1!CF73)*7.48/1000000)</f>
        <v>0.23828100631535562</v>
      </c>
      <c r="H72" s="95">
        <f ca="1">IF(B72=TODAY(),0,-$H$6*(Sheet1!CE74-Sheet1!CE73)*7.48/1000000)</f>
        <v>-3.0078864702529479E-2</v>
      </c>
      <c r="I72" s="95">
        <f ca="1">IF(B72=TODAY(),0,-$I$6*(Sheet1!CG74-Sheet1!CG73)*7.48/1000000)</f>
        <v>-8.9849759999999675E-3</v>
      </c>
      <c r="J72" s="96" t="s">
        <v>186</v>
      </c>
      <c r="K72" s="95">
        <f ca="1">IF(B72=TODAY(),0,-$K$6*(Sheet1!CH74-Sheet1!CH73)*7.48/1000000)</f>
        <v>-1.3326640748916837E-2</v>
      </c>
      <c r="L72" s="96" t="s">
        <v>186</v>
      </c>
      <c r="M72" s="95">
        <f ca="1">IF(B72=TODAY(),0,-$M$6*(Sheet1!CI74-Sheet1!CI73)*7.48/1000000)</f>
        <v>-3.5983016856054602E-2</v>
      </c>
      <c r="N72" s="95">
        <f ca="1">IF(B72=TODAY(),0,-$N$6*(Sheet1!CJ74-Sheet1!CJ73)*7.48/1000000)</f>
        <v>-0.37231407236774317</v>
      </c>
      <c r="O72" s="95">
        <f t="shared" ca="1" si="7"/>
        <v>-1.1551390112900828</v>
      </c>
      <c r="P72" s="95">
        <f ca="1">O72+Calculation!ES72</f>
        <v>0.50863979470505361</v>
      </c>
      <c r="Q72" s="90" t="str">
        <f>IF(Sheet1!BQ74&gt;25.75,"spill elevation","-")</f>
        <v>-</v>
      </c>
      <c r="R72" s="90" t="str">
        <f>IF(Sheet1!BQ74&gt;25.75,"spill elevation","-")</f>
        <v>-</v>
      </c>
      <c r="S72" s="90" t="str">
        <f>IF(Sheet1!BR74&gt;25.75,"spill elevation","-")</f>
        <v>-</v>
      </c>
      <c r="T72" s="94">
        <f>IF(Sheet1!DU74=1,Sheet1!AA74-(SUM(AT72:BA72)+BE72),Sheet1!AA74-SUM(AT72:BA72))</f>
        <v>18.484351999999998</v>
      </c>
      <c r="U72" s="94">
        <f>Sheet1!BV74</f>
        <v>22.3</v>
      </c>
      <c r="V72" s="94">
        <f t="shared" si="8"/>
        <v>-3.815648000000003</v>
      </c>
      <c r="W72" s="94">
        <f>0</f>
        <v>0</v>
      </c>
      <c r="X72" s="90">
        <f>0</f>
        <v>0</v>
      </c>
      <c r="Y72" s="95">
        <f ca="1">Calculation!EJ73+Calculation!ES72+'Calculations II'!O72-'Calculations II'!W72</f>
        <v>49.914079794705053</v>
      </c>
      <c r="Z72" s="95">
        <f ca="1">Y72-Sheet1!CT75</f>
        <v>32.849079794705048</v>
      </c>
      <c r="AA72" s="95">
        <f ca="1">Y72+Calculation!DJ73+Calculation!AS73</f>
        <v>57.226427355680663</v>
      </c>
      <c r="AC72" s="95">
        <f>Sheet1!AA74+Sheet1!AB74+BC72</f>
        <v>51.035152000000004</v>
      </c>
      <c r="AD72" s="95">
        <f>Sheet1!AA74+Sheet1!BN74+'Calculations II'!BC72-Calculation!AS72-Calculation!DJ72</f>
        <v>36.737050928024502</v>
      </c>
      <c r="AE72" s="95">
        <f>Sheet1!AA74+Sheet1!AB74+'Calculations II'!BC72-Calculation!AS72-Calculation!DJ72</f>
        <v>43.847050928024508</v>
      </c>
      <c r="AF72" s="95">
        <f ca="1">Sheet1!AA74+Sheet1!BN74+P72+'Calculations II'!BC72+Calculation!AS72+Calculation!DJ72</f>
        <v>51.621892866680554</v>
      </c>
      <c r="AG72" s="95">
        <f ca="1">IF(B72=TODAY(),0,Sheet1!AA74+Sheet1!BN74+'Calculations II'!BC72+'Calculations II'!P72-Sheet1!CT74-BP72)</f>
        <v>27.723791794705051</v>
      </c>
      <c r="AH72" s="95">
        <f ca="1">IF(B72=TODAY(),0,Sheet1!AA74+Sheet1!BN74+'Calculations II'!BC72+'Calculations II'!P72-BP72)</f>
        <v>44.433791794705051</v>
      </c>
      <c r="AI72" s="95">
        <f ca="1">IF(B72=TODAY(),0,BC72+Sheet1!AA74+Calculation!ES72+O72+W72+Sheet1!BN74+Calculation!AS72+Calculation!DJ72-BP72)</f>
        <v>51.621892866680547</v>
      </c>
      <c r="AJ72" s="95"/>
      <c r="AM72" s="91">
        <f t="shared" si="9"/>
        <v>41700</v>
      </c>
      <c r="AN72" s="95">
        <f>Sheet1!BU74</f>
        <v>19.8</v>
      </c>
      <c r="AO72" s="95">
        <f>Sheet1!AA74</f>
        <v>21.15</v>
      </c>
      <c r="AP72" s="95">
        <f t="shared" si="1"/>
        <v>-1.7035500000000006</v>
      </c>
      <c r="AQ72" s="1055">
        <f>((Sheet1!BV74-(Sheet1!BU74-AP72))/(Sheet1!BU74-AP72))</f>
        <v>3.7038070458133662E-2</v>
      </c>
      <c r="AR72" s="95">
        <f t="shared" si="2"/>
        <v>22.853549999999998</v>
      </c>
      <c r="AS72" s="95">
        <f t="shared" si="3"/>
        <v>21.503550000000001</v>
      </c>
      <c r="AT72" s="90">
        <f>Sheet1!BB74</f>
        <v>1</v>
      </c>
      <c r="AU72" s="90">
        <f>Sheet1!AS74*GPMtoMGD</f>
        <v>3.1536000000000002E-2</v>
      </c>
      <c r="AV72" s="95">
        <f>Sheet1!AT74</f>
        <v>0</v>
      </c>
      <c r="AW72" s="90">
        <f>Sheet1!AV74*GPMtoMGD</f>
        <v>0.70416000000000001</v>
      </c>
      <c r="AX72" s="90">
        <f>Sheet1!AW74*GPMtoMGD</f>
        <v>0.929952</v>
      </c>
      <c r="AY72" s="90">
        <f>Sheet1!AX74*GPMtoMGD</f>
        <v>0</v>
      </c>
      <c r="AZ72" s="90">
        <f>Sheet1!AY74*GPMtoMGD</f>
        <v>0</v>
      </c>
      <c r="BA72" s="90">
        <f>Sheet1!AZ74*GPMtoMGD</f>
        <v>0</v>
      </c>
      <c r="BB72" s="90">
        <f>Sheet1!BP74*GPMtoMGD</f>
        <v>0</v>
      </c>
      <c r="BC72" s="90">
        <f>Sheet1!CS74*GPMtoMGD</f>
        <v>16.975152000000001</v>
      </c>
      <c r="BD72" s="90">
        <f>Sheet1!BO74*GPMtoMGD</f>
        <v>1.661904</v>
      </c>
      <c r="BE72" s="90">
        <f>Sheet1!BW74*GPMtoMGD</f>
        <v>0.99086400000000008</v>
      </c>
      <c r="BF72" s="90">
        <f>Sheet1!CN74*GPMtoMGD</f>
        <v>1.2549600000000001</v>
      </c>
      <c r="BG72" s="90">
        <f>Sheet1!CO74*GPMtoMGD</f>
        <v>0.50846400000000003</v>
      </c>
      <c r="BH72" s="90">
        <f>Sheet1!CP74*GPMtoMGD</f>
        <v>0.60969600000000002</v>
      </c>
      <c r="BI72" s="90">
        <f t="shared" si="10"/>
        <v>1.661904</v>
      </c>
      <c r="BK72" s="95">
        <f>SUM(AT72:BA72,BE72,Sheet1!BV74,'Calculations II'!BC72,Calculation!AQ72)</f>
        <v>48.665048379785603</v>
      </c>
      <c r="BM72" s="373">
        <f>0</f>
        <v>0</v>
      </c>
      <c r="BN72" s="373">
        <f>0</f>
        <v>0</v>
      </c>
      <c r="BP72" s="95">
        <f>SUM(BM72:BN72,W72,Sheet1!DX74)</f>
        <v>0</v>
      </c>
    </row>
    <row r="73" spans="1:68" s="90" customFormat="1">
      <c r="A73" s="651" t="s">
        <v>4</v>
      </c>
      <c r="B73" s="92">
        <v>41701</v>
      </c>
      <c r="C73" s="93">
        <v>0</v>
      </c>
      <c r="D73" s="95">
        <f>(Sheet1!BQ75-Sheet1!BQ74)*1.385</f>
        <v>-1.0941499999999988</v>
      </c>
      <c r="E73" s="30">
        <f>(Sheet1!BR75-Sheet1!BR74)*1.385</f>
        <v>-1.0526000000000022</v>
      </c>
      <c r="F73" s="30">
        <f ca="1">IF(B73=TODAY(),0,-(VLOOKUP(Sheet1!CD75,Lookup!$I$4:$J$216,2)-VLOOKUP(Sheet1!CD74,Lookup!$I$4:$J$216,2))/1000000)</f>
        <v>0.20727387709559872</v>
      </c>
      <c r="G73" s="95">
        <f ca="1">IF(B73=TODAY(),0,-$G$6*(Sheet1!CF75-Sheet1!CF74)*7.48/1000000)</f>
        <v>0.15885400421023735</v>
      </c>
      <c r="H73" s="95">
        <f ca="1">IF(B73=TODAY(),0,-$H$6*(Sheet1!CE75-Sheet1!CE74)*7.48/1000000)</f>
        <v>4.5118297053794748E-2</v>
      </c>
      <c r="I73" s="95">
        <f ca="1">IF(B73=TODAY(),0,-$I$6*(Sheet1!CG75-Sheet1!CG74)*7.48/1000000)</f>
        <v>-1.3477464000000033E-2</v>
      </c>
      <c r="J73" s="96" t="s">
        <v>186</v>
      </c>
      <c r="K73" s="95">
        <f ca="1">IF(B73=TODAY(),0,-$K$6*(Sheet1!CH75-Sheet1!CH74)*7.48/1000000)</f>
        <v>-1.3326640748916953E-2</v>
      </c>
      <c r="L73" s="96" t="s">
        <v>186</v>
      </c>
      <c r="M73" s="95">
        <f ca="1">IF(B73=TODAY(),0,-$M$6*(Sheet1!CI75-Sheet1!CI74)*7.48/1000000)</f>
        <v>-8.9957542140135238E-2</v>
      </c>
      <c r="N73" s="95">
        <f ca="1">IF(B73=TODAY(),0,-$N$6*(Sheet1!CJ75-Sheet1!CJ74)*7.48/1000000)</f>
        <v>0.13030992532871072</v>
      </c>
      <c r="O73" s="95">
        <f t="shared" ca="1" si="7"/>
        <v>0.42479445679928934</v>
      </c>
      <c r="P73" s="95">
        <f ca="1">O73+Calculation!ES73</f>
        <v>2.6424481111779716</v>
      </c>
      <c r="Q73" s="90" t="str">
        <f>IF(Sheet1!BQ75&gt;25.75,"spill elevation","-")</f>
        <v>-</v>
      </c>
      <c r="R73" s="90" t="str">
        <f>IF(Sheet1!BQ75&gt;25.75,"spill elevation","-")</f>
        <v>-</v>
      </c>
      <c r="S73" s="90" t="str">
        <f>IF(Sheet1!BR75&gt;25.75,"spill elevation","-")</f>
        <v>-</v>
      </c>
      <c r="T73" s="94">
        <f>IF(Sheet1!DU75=1,Sheet1!AA75-(SUM(AT73:BA73)+BE73),Sheet1!AA75-SUM(AT73:BA73))</f>
        <v>18.840031999999997</v>
      </c>
      <c r="U73" s="94">
        <f>Sheet1!BV75</f>
        <v>23.1</v>
      </c>
      <c r="V73" s="94">
        <f t="shared" si="8"/>
        <v>-4.2599680000000042</v>
      </c>
      <c r="W73" s="94">
        <f>0</f>
        <v>0</v>
      </c>
      <c r="X73" s="90">
        <f>0</f>
        <v>0</v>
      </c>
      <c r="Y73" s="95">
        <f ca="1">Calculation!EJ74+Calculation!ES73+'Calculations II'!O73-'Calculations II'!W73</f>
        <v>51.809840111177969</v>
      </c>
      <c r="Z73" s="95">
        <f ca="1">Y73-Sheet1!CT76</f>
        <v>35.134840111177965</v>
      </c>
      <c r="AA73" s="95">
        <f ca="1">Y73+Calculation!DJ74+Calculation!AS74</f>
        <v>59.070401733642868</v>
      </c>
      <c r="AC73" s="95">
        <f>Sheet1!AA75+Sheet1!AB75+BC73</f>
        <v>49.405439999999999</v>
      </c>
      <c r="AD73" s="95">
        <f>Sheet1!AA75+Sheet1!BN75+'Calculations II'!BC73-Calculation!AS73-Calculation!DJ73</f>
        <v>34.893092439024386</v>
      </c>
      <c r="AE73" s="95">
        <f>Sheet1!AA75+Sheet1!AB75+'Calculations II'!BC73-Calculation!AS73-Calculation!DJ73</f>
        <v>42.093092439024389</v>
      </c>
      <c r="AF73" s="95">
        <f ca="1">Sheet1!AA75+Sheet1!BN75+P73+'Calculations II'!BC73+Calculation!AS73+Calculation!DJ73</f>
        <v>52.160235672153583</v>
      </c>
      <c r="AG73" s="95">
        <f ca="1">IF(B73=TODAY(),0,Sheet1!AA75+Sheet1!BN75+'Calculations II'!BC73+'Calculations II'!P73-Sheet1!CT75-BP73)</f>
        <v>27.782888111177964</v>
      </c>
      <c r="AH73" s="95">
        <f ca="1">IF(B73=TODAY(),0,Sheet1!AA75+Sheet1!BN75+'Calculations II'!BC73+'Calculations II'!P73-BP73)</f>
        <v>44.847888111177966</v>
      </c>
      <c r="AI73" s="95">
        <f ca="1">IF(B73=TODAY(),0,BC73+Sheet1!AA75+Calculation!ES73+O73+W73+Sheet1!BN75+Calculation!AS73+Calculation!DJ73-BP73)</f>
        <v>52.160235672153583</v>
      </c>
      <c r="AJ73" s="95"/>
      <c r="AM73" s="91">
        <f t="shared" si="9"/>
        <v>41701</v>
      </c>
      <c r="AN73" s="95">
        <f>Sheet1!BU75</f>
        <v>20.100000000000001</v>
      </c>
      <c r="AO73" s="95">
        <f>Sheet1!AA75</f>
        <v>21.15</v>
      </c>
      <c r="AP73" s="95">
        <f t="shared" si="1"/>
        <v>-2.1467500000000008</v>
      </c>
      <c r="AQ73" s="1055">
        <f>((Sheet1!BV75-(Sheet1!BU75-AP73))/(Sheet1!BU75-AP73))</f>
        <v>3.8353916864261033E-2</v>
      </c>
      <c r="AR73" s="95">
        <f t="shared" si="2"/>
        <v>23.296749999999999</v>
      </c>
      <c r="AS73" s="95">
        <f t="shared" si="3"/>
        <v>22.246750000000002</v>
      </c>
      <c r="AT73" s="90">
        <f>Sheet1!BB75</f>
        <v>1</v>
      </c>
      <c r="AU73" s="90">
        <f>Sheet1!AS75*GPMtoMGD</f>
        <v>3.0240000000000003E-2</v>
      </c>
      <c r="AV73" s="95">
        <f>Sheet1!AT75</f>
        <v>0</v>
      </c>
      <c r="AW73" s="90">
        <f>Sheet1!AV75*GPMtoMGD</f>
        <v>0.46224000000000004</v>
      </c>
      <c r="AX73" s="90">
        <f>Sheet1!AW75*GPMtoMGD</f>
        <v>0.8174880000000001</v>
      </c>
      <c r="AY73" s="90">
        <f>Sheet1!AX75*GPMtoMGD</f>
        <v>0</v>
      </c>
      <c r="AZ73" s="90">
        <f>Sheet1!AY75*GPMtoMGD</f>
        <v>0</v>
      </c>
      <c r="BA73" s="90">
        <f>Sheet1!AZ75*GPMtoMGD</f>
        <v>0</v>
      </c>
      <c r="BB73" s="90">
        <f>Sheet1!BP75*GPMtoMGD</f>
        <v>5.9328000000000006E-2</v>
      </c>
      <c r="BC73" s="90">
        <f>Sheet1!CS75*GPMtoMGD</f>
        <v>15.355440000000002</v>
      </c>
      <c r="BD73" s="90">
        <f>Sheet1!BO75*GPMtoMGD</f>
        <v>1.5140160000000003</v>
      </c>
      <c r="BE73" s="90">
        <f>Sheet1!BW75*GPMtoMGD</f>
        <v>0.6837120000000001</v>
      </c>
      <c r="BF73" s="90">
        <f>Sheet1!CN75*GPMtoMGD</f>
        <v>1.1855519999999999</v>
      </c>
      <c r="BG73" s="90">
        <f>Sheet1!CO75*GPMtoMGD</f>
        <v>0.45</v>
      </c>
      <c r="BH73" s="90">
        <f>Sheet1!CP75*GPMtoMGD</f>
        <v>0.65592000000000006</v>
      </c>
      <c r="BI73" s="90">
        <f t="shared" si="10"/>
        <v>1.5733440000000003</v>
      </c>
      <c r="BK73" s="95">
        <f>SUM(AT73:BA73,BE73,Sheet1!BV75,'Calculations II'!BC73,Calculation!AQ73)</f>
        <v>47.053540731707322</v>
      </c>
      <c r="BM73" s="373">
        <f>0</f>
        <v>0</v>
      </c>
      <c r="BN73" s="373">
        <f>0</f>
        <v>0</v>
      </c>
      <c r="BP73" s="95">
        <f>SUM(BM73:BN73,W73,Sheet1!DX75)</f>
        <v>0</v>
      </c>
    </row>
    <row r="74" spans="1:68" s="90" customFormat="1">
      <c r="A74" s="651" t="s">
        <v>5</v>
      </c>
      <c r="B74" s="92">
        <v>41702</v>
      </c>
      <c r="C74" s="93">
        <v>0</v>
      </c>
      <c r="D74" s="95">
        <f>(Sheet1!BQ76-Sheet1!BQ75)*1.385</f>
        <v>-0.9279499999999975</v>
      </c>
      <c r="E74" s="30">
        <f>(Sheet1!BR76-Sheet1!BR75)*1.385</f>
        <v>-0.98335000000000117</v>
      </c>
      <c r="F74" s="30">
        <f ca="1">IF(B74=TODAY(),0,-(VLOOKUP(Sheet1!CD76,Lookup!$I$4:$J$216,2)-VLOOKUP(Sheet1!CD75,Lookup!$I$4:$J$216,2))/1000000)</f>
        <v>-0.51818469273900236</v>
      </c>
      <c r="G74" s="95">
        <f ca="1">IF(B74=TODAY(),0,-$G$6*(Sheet1!CF76-Sheet1!CF75)*7.48/1000000)</f>
        <v>-0.63541601684094862</v>
      </c>
      <c r="H74" s="95">
        <f ca="1">IF(B74=TODAY(),0,-$H$6*(Sheet1!CE76-Sheet1!CE75)*7.48/1000000)</f>
        <v>-3.0078864702530548E-2</v>
      </c>
      <c r="I74" s="95">
        <f ca="1">IF(B74=TODAY(),0,-$I$6*(Sheet1!CG76-Sheet1!CG75)*7.48/1000000)</f>
        <v>4.4924879999999837E-3</v>
      </c>
      <c r="J74" s="96" t="s">
        <v>186</v>
      </c>
      <c r="K74" s="95">
        <f ca="1">IF(B74=TODAY(),0,-$K$6*(Sheet1!CH76-Sheet1!CH75)*7.48/1000000)</f>
        <v>-6.6633203744584186E-3</v>
      </c>
      <c r="L74" s="96" t="s">
        <v>186</v>
      </c>
      <c r="M74" s="95">
        <f ca="1">IF(B74=TODAY(),0,-$M$6*(Sheet1!CI76-Sheet1!CI75)*7.48/1000000)</f>
        <v>3.5983016856054602E-2</v>
      </c>
      <c r="N74" s="95">
        <f ca="1">IF(B74=TODAY(),0,-$N$6*(Sheet1!CJ76-Sheet1!CJ75)*7.48/1000000)</f>
        <v>-0.41575071414398007</v>
      </c>
      <c r="O74" s="95">
        <f t="shared" ca="1" si="7"/>
        <v>-1.5656181039448653</v>
      </c>
      <c r="P74" s="95">
        <f ca="1">O74+Calculation!ES74</f>
        <v>0.23561970007582644</v>
      </c>
      <c r="Q74" s="90" t="str">
        <f>IF(Sheet1!BQ76&gt;25.75,"spill elevation","-")</f>
        <v>-</v>
      </c>
      <c r="R74" s="90" t="str">
        <f>IF(Sheet1!BQ76&gt;25.75,"spill elevation","-")</f>
        <v>-</v>
      </c>
      <c r="S74" s="90" t="str">
        <f>IF(Sheet1!BR76&gt;25.75,"spill elevation","-")</f>
        <v>-</v>
      </c>
      <c r="T74" s="94">
        <f>IF(Sheet1!DU76=1,Sheet1!AA76-(SUM(AT74:BA74)+BE74),Sheet1!AA76-SUM(AT74:BA74))</f>
        <v>19.617072</v>
      </c>
      <c r="U74" s="94">
        <f>Sheet1!BV76</f>
        <v>23.2</v>
      </c>
      <c r="V74" s="94">
        <f t="shared" si="8"/>
        <v>-3.582927999999999</v>
      </c>
      <c r="W74" s="94">
        <f>0</f>
        <v>0</v>
      </c>
      <c r="X74" s="90">
        <f>0</f>
        <v>0</v>
      </c>
      <c r="Y74" s="95">
        <f ca="1">Calculation!EJ75+Calculation!ES74+'Calculations II'!O74-'Calculations II'!W74</f>
        <v>52.473331700075832</v>
      </c>
      <c r="Z74" s="95">
        <f ca="1">Y74-Sheet1!CT77</f>
        <v>35.247331700075833</v>
      </c>
      <c r="AA74" s="95">
        <f ca="1">Y74+Calculation!DJ75+Calculation!AS75</f>
        <v>60.066648091435425</v>
      </c>
      <c r="AC74" s="95">
        <f>Sheet1!AA76+Sheet1!AB76+BC74</f>
        <v>49.167392</v>
      </c>
      <c r="AD74" s="95">
        <f>Sheet1!AA76+Sheet1!BN76+'Calculations II'!BC74-Calculation!AS74-Calculation!DJ74</f>
        <v>34.706830377535105</v>
      </c>
      <c r="AE74" s="95">
        <f>Sheet1!AA76+Sheet1!AB76+'Calculations II'!BC74-Calculation!AS74-Calculation!DJ74</f>
        <v>41.906830377535101</v>
      </c>
      <c r="AF74" s="95">
        <f ca="1">Sheet1!AA76+Sheet1!BN76+P74+'Calculations II'!BC74+Calculation!AS74+Calculation!DJ74</f>
        <v>49.463573322540725</v>
      </c>
      <c r="AG74" s="95">
        <f ca="1">IF(B74=TODAY(),0,Sheet1!AA76+Sheet1!BN76+'Calculations II'!BC74+'Calculations II'!P74-Sheet1!CT76-BP74)</f>
        <v>25.528011700075833</v>
      </c>
      <c r="AH74" s="95">
        <f ca="1">IF(B74=TODAY(),0,Sheet1!AA76+Sheet1!BN76+'Calculations II'!BC74+'Calculations II'!P74-BP74)</f>
        <v>42.203011700075834</v>
      </c>
      <c r="AI74" s="95">
        <f ca="1">IF(B74=TODAY(),0,BC74+Sheet1!AA76+Calculation!ES74+O74+W74+Sheet1!BN76+Calculation!AS74+Calculation!DJ74-BP74)</f>
        <v>49.463573322540732</v>
      </c>
      <c r="AJ74" s="95"/>
      <c r="AM74" s="91">
        <f t="shared" si="9"/>
        <v>41702</v>
      </c>
      <c r="AN74" s="95">
        <f>Sheet1!BU76</f>
        <v>20.6</v>
      </c>
      <c r="AO74" s="95">
        <f>Sheet1!AA76</f>
        <v>21.1</v>
      </c>
      <c r="AP74" s="95">
        <f t="shared" ref="AP74:AP137" si="11">D74+E74</f>
        <v>-1.9112999999999987</v>
      </c>
      <c r="AQ74" s="1055">
        <f>((Sheet1!BV76-(Sheet1!BU76-AP74))/(Sheet1!BU76-AP74))</f>
        <v>3.0593524141209118E-2</v>
      </c>
      <c r="AR74" s="95">
        <f t="shared" ref="AR74:AR137" si="12">AO74-AP74</f>
        <v>23.011299999999999</v>
      </c>
      <c r="AS74" s="95">
        <f t="shared" ref="AS74:AS137" si="13">AN74-AP74</f>
        <v>22.511299999999999</v>
      </c>
      <c r="AT74" s="90">
        <f>Sheet1!BB76</f>
        <v>0.97</v>
      </c>
      <c r="AU74" s="90">
        <f>Sheet1!AS76*GPMtoMGD</f>
        <v>1.7424000000000002E-2</v>
      </c>
      <c r="AV74" s="95">
        <f>Sheet1!AT76</f>
        <v>0</v>
      </c>
      <c r="AW74" s="90">
        <f>Sheet1!AV76*GPMtoMGD</f>
        <v>0.217584</v>
      </c>
      <c r="AX74" s="90">
        <f>Sheet1!AW76*GPMtoMGD</f>
        <v>0.27792</v>
      </c>
      <c r="AY74" s="90">
        <f>Sheet1!AX76*GPMtoMGD</f>
        <v>0</v>
      </c>
      <c r="AZ74" s="90">
        <f>Sheet1!AY76*GPMtoMGD</f>
        <v>0</v>
      </c>
      <c r="BA74" s="90">
        <f>Sheet1!AZ76*GPMtoMGD</f>
        <v>0</v>
      </c>
      <c r="BB74" s="90">
        <f>Sheet1!BP76*GPMtoMGD</f>
        <v>0</v>
      </c>
      <c r="BC74" s="90">
        <f>Sheet1!CS76*GPMtoMGD</f>
        <v>15.367392000000001</v>
      </c>
      <c r="BD74" s="90">
        <f>Sheet1!BO76*GPMtoMGD</f>
        <v>1.3802400000000001</v>
      </c>
      <c r="BE74" s="90">
        <f>Sheet1!BW76*GPMtoMGD</f>
        <v>0.94910400000000006</v>
      </c>
      <c r="BF74" s="90">
        <f>Sheet1!CN76*GPMtoMGD</f>
        <v>1.203552</v>
      </c>
      <c r="BG74" s="90">
        <f>Sheet1!CO76*GPMtoMGD</f>
        <v>0.44856000000000001</v>
      </c>
      <c r="BH74" s="90">
        <f>Sheet1!CP76*GPMtoMGD</f>
        <v>0.65260800000000008</v>
      </c>
      <c r="BI74" s="90">
        <f t="shared" si="10"/>
        <v>1.3802400000000001</v>
      </c>
      <c r="BK74" s="95">
        <f>SUM(AT74:BA74,BE74,Sheet1!BV76,'Calculations II'!BC74,Calculation!AQ74)</f>
        <v>46.447941940717627</v>
      </c>
      <c r="BM74" s="373">
        <f>0</f>
        <v>0</v>
      </c>
      <c r="BN74" s="373">
        <f>0</f>
        <v>0</v>
      </c>
      <c r="BP74" s="95">
        <f>SUM(BM74:BN74,W74,Sheet1!DX76)</f>
        <v>0</v>
      </c>
    </row>
    <row r="75" spans="1:68" s="90" customFormat="1">
      <c r="A75" s="651" t="s">
        <v>6</v>
      </c>
      <c r="B75" s="92">
        <v>41703</v>
      </c>
      <c r="C75" s="93">
        <v>0</v>
      </c>
      <c r="D75" s="95">
        <f>(Sheet1!BQ77-Sheet1!BQ76)*1.385</f>
        <v>0.33239999999999786</v>
      </c>
      <c r="E75" s="30">
        <f>(Sheet1!BR77-Sheet1!BR76)*1.385</f>
        <v>0.34625</v>
      </c>
      <c r="F75" s="30">
        <f ca="1">IF(B75=TODAY(),0,-(VLOOKUP(Sheet1!CD77,Lookup!$I$4:$J$216,2)-VLOOKUP(Sheet1!CD76,Lookup!$I$4:$J$216,2))/1000000)</f>
        <v>0.51818469273900236</v>
      </c>
      <c r="G75" s="95">
        <f ca="1">IF(B75=TODAY(),0,-$G$6*(Sheet1!CF77-Sheet1!CF76)*7.48/1000000)</f>
        <v>0.91341052420886337</v>
      </c>
      <c r="H75" s="95">
        <f ca="1">IF(B75=TODAY(),0,-$H$6*(Sheet1!CE77-Sheet1!CE76)*7.48/1000000)</f>
        <v>6.0157729405061096E-2</v>
      </c>
      <c r="I75" s="95">
        <f ca="1">IF(B75=TODAY(),0,-$I$6*(Sheet1!CG77-Sheet1!CG76)*7.48/1000000)</f>
        <v>0</v>
      </c>
      <c r="J75" s="96" t="s">
        <v>186</v>
      </c>
      <c r="K75" s="95">
        <f ca="1">IF(B75=TODAY(),0,-$K$6*(Sheet1!CH77-Sheet1!CH76)*7.48/1000000)</f>
        <v>1.2660308711471007E-2</v>
      </c>
      <c r="L75" s="96" t="s">
        <v>186</v>
      </c>
      <c r="M75" s="95">
        <f ca="1">IF(B75=TODAY(),0,-$M$6*(Sheet1!CI77-Sheet1!CI76)*7.48/1000000)</f>
        <v>-3.5983016856054602E-2</v>
      </c>
      <c r="N75" s="95">
        <f ca="1">IF(B75=TODAY(),0,-$N$6*(Sheet1!CJ77-Sheet1!CJ76)*7.48/1000000)</f>
        <v>0.47159782499914149</v>
      </c>
      <c r="O75" s="95">
        <f t="shared" ca="1" si="7"/>
        <v>1.9400280632074844</v>
      </c>
      <c r="P75" s="95">
        <f ca="1">O75+Calculation!ES75</f>
        <v>1.2473093773933237</v>
      </c>
      <c r="Q75" s="90" t="str">
        <f>IF(Sheet1!BQ77&gt;25.75,"spill elevation","-")</f>
        <v>-</v>
      </c>
      <c r="R75" s="90" t="str">
        <f>IF(Sheet1!BQ77&gt;25.75,"spill elevation","-")</f>
        <v>-</v>
      </c>
      <c r="S75" s="90" t="str">
        <f>IF(Sheet1!BR77&gt;25.75,"spill elevation","-")</f>
        <v>-</v>
      </c>
      <c r="T75" s="94">
        <f>IF(Sheet1!DU77=1,Sheet1!AA77-(SUM(AT75:BA75)+BE75),Sheet1!AA77-SUM(AT75:BA75))</f>
        <v>19.442671999999998</v>
      </c>
      <c r="U75" s="94">
        <f>Sheet1!BV77</f>
        <v>20.8</v>
      </c>
      <c r="V75" s="94">
        <f t="shared" si="8"/>
        <v>-1.3573280000000025</v>
      </c>
      <c r="W75" s="94">
        <f>0</f>
        <v>0</v>
      </c>
      <c r="X75" s="90">
        <f>0</f>
        <v>0</v>
      </c>
      <c r="Y75" s="95">
        <f ca="1">Calculation!EJ76+Calculation!ES75+'Calculations II'!O75-'Calculations II'!W75</f>
        <v>54.677101377393321</v>
      </c>
      <c r="Z75" s="95">
        <f ca="1">Y75-Sheet1!CT78</f>
        <v>37.015101377393322</v>
      </c>
      <c r="AA75" s="95">
        <f ca="1">Y75+Calculation!DJ76+Calculation!AS76</f>
        <v>64.10384229181301</v>
      </c>
      <c r="AC75" s="95">
        <f>Sheet1!AA77+Sheet1!AB77+BC75</f>
        <v>52.237712000000002</v>
      </c>
      <c r="AD75" s="95">
        <f>Sheet1!AA77+Sheet1!BN77+'Calculations II'!BC75-Calculation!AS75-Calculation!DJ75</f>
        <v>37.114395608640407</v>
      </c>
      <c r="AE75" s="95">
        <f>Sheet1!AA77+Sheet1!AB77+'Calculations II'!BC75-Calculation!AS75-Calculation!DJ75</f>
        <v>44.644395608640409</v>
      </c>
      <c r="AF75" s="95">
        <f ca="1">Sheet1!AA77+Sheet1!BN77+P75+'Calculations II'!BC75+Calculation!AS75+Calculation!DJ75</f>
        <v>53.548337768752916</v>
      </c>
      <c r="AG75" s="95">
        <f ca="1">IF(B75=TODAY(),0,Sheet1!AA77+Sheet1!BN77+'Calculations II'!BC75+'Calculations II'!P75-Sheet1!CT77-BP75)</f>
        <v>28.729021377393323</v>
      </c>
      <c r="AH75" s="95">
        <f ca="1">IF(B75=TODAY(),0,Sheet1!AA77+Sheet1!BN77+'Calculations II'!BC75+'Calculations II'!P75-BP75)</f>
        <v>45.955021377393322</v>
      </c>
      <c r="AI75" s="95">
        <f ca="1">IF(B75=TODAY(),0,BC75+Sheet1!AA77+Calculation!ES75+O75+W75+Sheet1!BN77+Calculation!AS75+Calculation!DJ75-BP75)</f>
        <v>53.548337768752916</v>
      </c>
      <c r="AJ75" s="95"/>
      <c r="AM75" s="91">
        <f t="shared" si="9"/>
        <v>41703</v>
      </c>
      <c r="AN75" s="95">
        <f>Sheet1!BU77</f>
        <v>20.6</v>
      </c>
      <c r="AO75" s="95">
        <f>Sheet1!AA77</f>
        <v>21.2</v>
      </c>
      <c r="AP75" s="95">
        <f t="shared" si="11"/>
        <v>0.67864999999999787</v>
      </c>
      <c r="AQ75" s="1055">
        <f>((Sheet1!BV77-(Sheet1!BU77-AP75))/(Sheet1!BU77-AP75))</f>
        <v>4.4105946635142529E-2</v>
      </c>
      <c r="AR75" s="95">
        <f t="shared" si="12"/>
        <v>20.521350000000002</v>
      </c>
      <c r="AS75" s="95">
        <f t="shared" si="13"/>
        <v>19.921350000000004</v>
      </c>
      <c r="AT75" s="90">
        <f>Sheet1!BB77</f>
        <v>0.96</v>
      </c>
      <c r="AU75" s="90">
        <f>Sheet1!AS77*GPMtoMGD</f>
        <v>3.2544000000000003E-2</v>
      </c>
      <c r="AV75" s="95">
        <f>Sheet1!AT77</f>
        <v>0</v>
      </c>
      <c r="AW75" s="90">
        <f>Sheet1!AV77*GPMtoMGD</f>
        <v>0.35179200000000005</v>
      </c>
      <c r="AX75" s="90">
        <f>Sheet1!AW77*GPMtoMGD</f>
        <v>0.41299200000000003</v>
      </c>
      <c r="AY75" s="90">
        <f>Sheet1!AX77*GPMtoMGD</f>
        <v>0</v>
      </c>
      <c r="AZ75" s="90">
        <f>Sheet1!AY77*GPMtoMGD</f>
        <v>0</v>
      </c>
      <c r="BA75" s="90">
        <f>Sheet1!AZ77*GPMtoMGD</f>
        <v>0</v>
      </c>
      <c r="BB75" s="90">
        <f>Sheet1!BP77*GPMtoMGD</f>
        <v>0</v>
      </c>
      <c r="BC75" s="90">
        <f>Sheet1!CS77*GPMtoMGD</f>
        <v>15.407712</v>
      </c>
      <c r="BD75" s="90">
        <f>Sheet1!BO77*GPMtoMGD</f>
        <v>1.5078240000000001</v>
      </c>
      <c r="BE75" s="90">
        <f>Sheet1!BW77*GPMtoMGD</f>
        <v>0.6755040000000001</v>
      </c>
      <c r="BF75" s="90">
        <f>Sheet1!CN77*GPMtoMGD</f>
        <v>1.223136</v>
      </c>
      <c r="BG75" s="90">
        <f>Sheet1!CO77*GPMtoMGD</f>
        <v>0.438336</v>
      </c>
      <c r="BH75" s="90">
        <f>Sheet1!CP77*GPMtoMGD</f>
        <v>0.64742400000000011</v>
      </c>
      <c r="BI75" s="90">
        <f t="shared" si="10"/>
        <v>1.5078240000000001</v>
      </c>
      <c r="BK75" s="95">
        <f>SUM(AT75:BA75,BE75,Sheet1!BV77,'Calculations II'!BC75,Calculation!AQ75)</f>
        <v>46.683936630241433</v>
      </c>
      <c r="BM75" s="373">
        <f>0</f>
        <v>0</v>
      </c>
      <c r="BN75" s="373">
        <f>0</f>
        <v>0</v>
      </c>
      <c r="BP75" s="95">
        <f>SUM(BM75:BN75,W75,Sheet1!DX77)</f>
        <v>0</v>
      </c>
    </row>
    <row r="76" spans="1:68" s="90" customFormat="1">
      <c r="A76" s="651" t="s">
        <v>7</v>
      </c>
      <c r="B76" s="92">
        <v>41704</v>
      </c>
      <c r="C76" s="93">
        <v>0</v>
      </c>
      <c r="D76" s="95">
        <f>(Sheet1!BQ78-Sheet1!BQ77)*1.385</f>
        <v>0.91410000000000025</v>
      </c>
      <c r="E76" s="30">
        <f>(Sheet1!BR78-Sheet1!BR77)*1.385</f>
        <v>0.90025000000000299</v>
      </c>
      <c r="F76" s="30">
        <f ca="1">IF(B76=TODAY(),0,-(VLOOKUP(Sheet1!CD78,Lookup!$I$4:$J$216,2)-VLOOKUP(Sheet1!CD77,Lookup!$I$4:$J$216,2))/1000000)</f>
        <v>-0.41454775419120304</v>
      </c>
      <c r="G76" s="95">
        <f ca="1">IF(B76=TODAY(),0,-$G$6*(Sheet1!CF78-Sheet1!CF77)*7.48/1000000)</f>
        <v>0.15885400421023735</v>
      </c>
      <c r="H76" s="95">
        <f ca="1">IF(B76=TODAY(),0,-$H$6*(Sheet1!CE78-Sheet1!CE77)*7.48/1000000)</f>
        <v>0</v>
      </c>
      <c r="I76" s="95">
        <f ca="1">IF(B76=TODAY(),0,-$I$6*(Sheet1!CG78-Sheet1!CG77)*7.48/1000000)</f>
        <v>-4.4924879999999837E-3</v>
      </c>
      <c r="J76" s="96" t="s">
        <v>186</v>
      </c>
      <c r="K76" s="95">
        <f ca="1">IF(B76=TODAY(),0,-$K$6*(Sheet1!CH78-Sheet1!CH77)*7.48/1000000)</f>
        <v>-1.2660308711471007E-2</v>
      </c>
      <c r="L76" s="96" t="s">
        <v>186</v>
      </c>
      <c r="M76" s="95">
        <f ca="1">IF(B76=TODAY(),0,-$M$6*(Sheet1!CI78-Sheet1!CI77)*7.48/1000000)</f>
        <v>1.7991508428027301E-2</v>
      </c>
      <c r="N76" s="95">
        <f ca="1">IF(B76=TODAY(),0,-$N$6*(Sheet1!CJ78-Sheet1!CJ77)*7.48/1000000)</f>
        <v>-0.40954547960451787</v>
      </c>
      <c r="O76" s="95">
        <f t="shared" ca="1" si="7"/>
        <v>-0.66440051786892718</v>
      </c>
      <c r="P76" s="95">
        <f ca="1">O76+Calculation!ES76</f>
        <v>-2.4658498555572876</v>
      </c>
      <c r="Q76" s="90" t="str">
        <f>IF(Sheet1!BQ78&gt;25.75,"spill elevation","-")</f>
        <v>-</v>
      </c>
      <c r="R76" s="90" t="str">
        <f>IF(Sheet1!BQ78&gt;25.75,"spill elevation","-")</f>
        <v>-</v>
      </c>
      <c r="S76" s="90" t="str">
        <f>IF(Sheet1!BR78&gt;25.75,"spill elevation","-")</f>
        <v>-</v>
      </c>
      <c r="T76" s="94">
        <f>IF(Sheet1!DU78=1,Sheet1!AA78-(SUM(AT76:BA76)+BE76),Sheet1!AA78-SUM(AT76:BA76))</f>
        <v>18.708511999999999</v>
      </c>
      <c r="U76" s="94">
        <f>Sheet1!BV78</f>
        <v>19.399999999999999</v>
      </c>
      <c r="V76" s="94">
        <f t="shared" si="8"/>
        <v>-0.69148799999999966</v>
      </c>
      <c r="W76" s="94">
        <f>0</f>
        <v>0</v>
      </c>
      <c r="X76" s="90">
        <f>0</f>
        <v>0</v>
      </c>
      <c r="Y76" s="95">
        <f ca="1">Calculation!EJ77+Calculation!ES76+'Calculations II'!O76-'Calculations II'!W76</f>
        <v>50.045334144442712</v>
      </c>
      <c r="Z76" s="95">
        <f ca="1">Y76-Sheet1!CT79</f>
        <v>32.562334144442715</v>
      </c>
      <c r="AA76" s="95">
        <f ca="1">Y76+Calculation!DJ77+Calculation!AS77</f>
        <v>59.61185251968449</v>
      </c>
      <c r="AC76" s="95">
        <f>Sheet1!AA78+Sheet1!AB78+BC76</f>
        <v>53.429791999999999</v>
      </c>
      <c r="AD76" s="95">
        <f>Sheet1!AA78+Sheet1!BN78+'Calculations II'!BC76-Calculation!AS76-Calculation!DJ76</f>
        <v>34.703051085580313</v>
      </c>
      <c r="AE76" s="95">
        <f>Sheet1!AA78+Sheet1!AB78+'Calculations II'!BC76-Calculation!AS76-Calculation!DJ76</f>
        <v>44.00305108558031</v>
      </c>
      <c r="AF76" s="95">
        <f ca="1">Sheet1!AA78+Sheet1!BN78+P76+'Calculations II'!BC76+Calculation!AS76+Calculation!DJ76</f>
        <v>51.09068305886241</v>
      </c>
      <c r="AG76" s="95">
        <f ca="1">IF(B76=TODAY(),0,Sheet1!AA78+Sheet1!BN78+'Calculations II'!BC76+'Calculations II'!P76-Sheet1!CT78-BP76)</f>
        <v>24.001942144442715</v>
      </c>
      <c r="AH76" s="95">
        <f ca="1">IF(B76=TODAY(),0,Sheet1!AA78+Sheet1!BN78+'Calculations II'!BC76+'Calculations II'!P76-BP76)</f>
        <v>41.663942144442714</v>
      </c>
      <c r="AI76" s="95">
        <f ca="1">IF(B76=TODAY(),0,BC76+Sheet1!AA78+Calculation!ES76+O76+W76+Sheet1!BN78+Calculation!AS76+Calculation!DJ76-BP76)</f>
        <v>51.09068305886241</v>
      </c>
      <c r="AJ76" s="95"/>
      <c r="AM76" s="91">
        <f t="shared" si="9"/>
        <v>41704</v>
      </c>
      <c r="AN76" s="95">
        <f>Sheet1!BU78</f>
        <v>20.3</v>
      </c>
      <c r="AO76" s="95">
        <f>Sheet1!AA78</f>
        <v>21</v>
      </c>
      <c r="AP76" s="95">
        <f t="shared" si="11"/>
        <v>1.8143500000000032</v>
      </c>
      <c r="AQ76" s="1055">
        <f>((Sheet1!BV78-(Sheet1!BU78-AP76))/(Sheet1!BU78-AP76))</f>
        <v>4.9462691330843259E-2</v>
      </c>
      <c r="AR76" s="95">
        <f t="shared" si="12"/>
        <v>19.185649999999995</v>
      </c>
      <c r="AS76" s="95">
        <f t="shared" si="13"/>
        <v>18.485649999999996</v>
      </c>
      <c r="AT76" s="90">
        <f>Sheet1!BB78</f>
        <v>0.97</v>
      </c>
      <c r="AU76" s="90">
        <f>Sheet1!AS78*GPMtoMGD</f>
        <v>1.8720000000000001E-2</v>
      </c>
      <c r="AV76" s="95">
        <f>Sheet1!AT78</f>
        <v>0</v>
      </c>
      <c r="AW76" s="90">
        <f>Sheet1!AV78*GPMtoMGD</f>
        <v>0.62092800000000004</v>
      </c>
      <c r="AX76" s="90">
        <f>Sheet1!AW78*GPMtoMGD</f>
        <v>0.68184</v>
      </c>
      <c r="AY76" s="90">
        <f>Sheet1!AX78*GPMtoMGD</f>
        <v>0</v>
      </c>
      <c r="AZ76" s="90">
        <f>Sheet1!AY78*GPMtoMGD</f>
        <v>0</v>
      </c>
      <c r="BA76" s="90">
        <f>Sheet1!AZ78*GPMtoMGD</f>
        <v>0</v>
      </c>
      <c r="BB76" s="90">
        <f>Sheet1!BP78*GPMtoMGD</f>
        <v>0</v>
      </c>
      <c r="BC76" s="90">
        <f>Sheet1!CS78*GPMtoMGD</f>
        <v>7.0297920000000005</v>
      </c>
      <c r="BD76" s="90">
        <f>Sheet1!BO78*GPMtoMGD</f>
        <v>1.4332320000000001</v>
      </c>
      <c r="BE76" s="90">
        <f>Sheet1!BW78*GPMtoMGD</f>
        <v>0.70099200000000006</v>
      </c>
      <c r="BF76" s="90">
        <f>Sheet1!CN78*GPMtoMGD</f>
        <v>1.2924</v>
      </c>
      <c r="BG76" s="90">
        <f>Sheet1!CO78*GPMtoMGD</f>
        <v>0.44755200000000006</v>
      </c>
      <c r="BH76" s="90">
        <f>Sheet1!CP78*GPMtoMGD</f>
        <v>0.65793599999999997</v>
      </c>
      <c r="BI76" s="90">
        <f t="shared" si="10"/>
        <v>1.4332320000000001</v>
      </c>
      <c r="BK76" s="95">
        <f>SUM(AT76:BA76,BE76,Sheet1!BV78,'Calculations II'!BC76,Calculation!AQ76)</f>
        <v>45.402733117624074</v>
      </c>
      <c r="BM76" s="373">
        <f>0</f>
        <v>0</v>
      </c>
      <c r="BN76" s="373">
        <f>0</f>
        <v>0</v>
      </c>
      <c r="BP76" s="95">
        <f>SUM(BM76:BN76,W76,Sheet1!DX78)</f>
        <v>0</v>
      </c>
    </row>
    <row r="77" spans="1:68" s="90" customFormat="1">
      <c r="A77" s="651" t="s">
        <v>8</v>
      </c>
      <c r="B77" s="92">
        <v>41705</v>
      </c>
      <c r="C77" s="93">
        <v>0</v>
      </c>
      <c r="D77" s="95">
        <f>(Sheet1!BQ79-Sheet1!BQ78)*1.385</f>
        <v>-1.7173999999999978</v>
      </c>
      <c r="E77" s="30">
        <f>(Sheet1!BR79-Sheet1!BR78)*1.385</f>
        <v>-1.7174000000000027</v>
      </c>
      <c r="F77" s="30">
        <f ca="1">IF(B77=TODAY(),0,-(VLOOKUP(Sheet1!CD79,Lookup!$I$4:$J$216,2)-VLOOKUP(Sheet1!CD78,Lookup!$I$4:$J$216,2))/1000000)</f>
        <v>-0.31091081564339806</v>
      </c>
      <c r="G77" s="95">
        <f ca="1">IF(B77=TODAY(),0,-$G$6*(Sheet1!CF79-Sheet1!CF78)*7.48/1000000)</f>
        <v>-1.191405031576779</v>
      </c>
      <c r="H77" s="95">
        <f ca="1">IF(B77=TODAY(),0,-$H$6*(Sheet1!CE79-Sheet1!CE78)*7.48/1000000)</f>
        <v>-4.5118297053795817E-2</v>
      </c>
      <c r="I77" s="95">
        <f ca="1">IF(B77=TODAY(),0,-$I$6*(Sheet1!CG79-Sheet1!CG78)*7.48/1000000)</f>
        <v>4.4924879999999837E-3</v>
      </c>
      <c r="J77" s="96" t="s">
        <v>186</v>
      </c>
      <c r="K77" s="95">
        <f ca="1">IF(B77=TODAY(),0,-$K$6*(Sheet1!CH79-Sheet1!CH78)*7.48/1000000)</f>
        <v>6.6633203744584186E-3</v>
      </c>
      <c r="L77" s="96" t="s">
        <v>186</v>
      </c>
      <c r="M77" s="95">
        <f ca="1">IF(B77=TODAY(),0,-$M$6*(Sheet1!CI79-Sheet1!CI78)*7.48/1000000)</f>
        <v>1.7991508428027301E-2</v>
      </c>
      <c r="N77" s="95">
        <f ca="1">IF(B77=TODAY(),0,-$N$6*(Sheet1!CJ79-Sheet1!CJ78)*7.48/1000000)</f>
        <v>0.15513086348655974</v>
      </c>
      <c r="O77" s="95">
        <f t="shared" ca="1" si="7"/>
        <v>-1.3631559639849273</v>
      </c>
      <c r="P77" s="95">
        <f ca="1">O77+Calculation!ES77</f>
        <v>2.1006874679927581</v>
      </c>
      <c r="Q77" s="90" t="str">
        <f>IF(Sheet1!BQ79&gt;25.75,"spill elevation","-")</f>
        <v>-</v>
      </c>
      <c r="R77" s="90" t="str">
        <f>IF(Sheet1!BQ79&gt;25.75,"spill elevation","-")</f>
        <v>-</v>
      </c>
      <c r="S77" s="90" t="str">
        <f>IF(Sheet1!BR79&gt;25.75,"spill elevation","-")</f>
        <v>-</v>
      </c>
      <c r="T77" s="94">
        <f>IF(Sheet1!DU79=1,Sheet1!AA79-(SUM(AT77:BA77)+BE77),Sheet1!AA79-SUM(AT77:BA77))</f>
        <v>18.555408</v>
      </c>
      <c r="U77" s="94">
        <f>Sheet1!BV79</f>
        <v>24.1</v>
      </c>
      <c r="V77" s="94">
        <f t="shared" si="8"/>
        <v>-5.5445920000000015</v>
      </c>
      <c r="W77" s="94">
        <f>0</f>
        <v>0</v>
      </c>
      <c r="X77" s="90">
        <f>0</f>
        <v>0</v>
      </c>
      <c r="Y77" s="95">
        <f ca="1">Calculation!EJ78+Calculation!ES77+'Calculations II'!O77-'Calculations II'!W77</f>
        <v>56.623983467992751</v>
      </c>
      <c r="Z77" s="95">
        <f ca="1">Y77-Sheet1!CT80</f>
        <v>39.757983467992752</v>
      </c>
      <c r="AA77" s="95">
        <f ca="1">Y77+Calculation!DJ78+Calculation!AS78</f>
        <v>66.150779133627438</v>
      </c>
      <c r="AC77" s="95">
        <f>Sheet1!AA79+Sheet1!AB79+BC77</f>
        <v>52.511184</v>
      </c>
      <c r="AD77" s="95">
        <f>Sheet1!AA79+Sheet1!BN79+'Calculations II'!BC77-Calculation!AS77-Calculation!DJ77</f>
        <v>33.344665624758228</v>
      </c>
      <c r="AE77" s="95">
        <f>Sheet1!AA79+Sheet1!AB79+'Calculations II'!BC77-Calculation!AS77-Calculation!DJ77</f>
        <v>42.944665624758223</v>
      </c>
      <c r="AF77" s="95">
        <f ca="1">Sheet1!AA79+Sheet1!BN79+P77+'Calculations II'!BC77+Calculation!AS77+Calculation!DJ77</f>
        <v>54.57838984323454</v>
      </c>
      <c r="AG77" s="95">
        <f ca="1">IF(B77=TODAY(),0,Sheet1!AA79+Sheet1!BN79+'Calculations II'!BC77+'Calculations II'!P77-Sheet1!CT79-BP77)</f>
        <v>27.528871467992762</v>
      </c>
      <c r="AH77" s="95">
        <f ca="1">IF(B77=TODAY(),0,Sheet1!AA79+Sheet1!BN79+'Calculations II'!BC77+'Calculations II'!P77-BP77)</f>
        <v>45.011871467992762</v>
      </c>
      <c r="AI77" s="95">
        <f ca="1">IF(B77=TODAY(),0,BC77+Sheet1!AA79+Calculation!ES77+O77+W77+Sheet1!BN79+Calculation!AS77+Calculation!DJ77-BP77)</f>
        <v>54.57838984323454</v>
      </c>
      <c r="AJ77" s="95"/>
      <c r="AM77" s="91">
        <f t="shared" si="9"/>
        <v>41705</v>
      </c>
      <c r="AN77" s="95">
        <f>Sheet1!BU79</f>
        <v>19.899999999999999</v>
      </c>
      <c r="AO77" s="95">
        <f>Sheet1!AA79</f>
        <v>20.9</v>
      </c>
      <c r="AP77" s="95">
        <f t="shared" si="11"/>
        <v>-3.4348000000000005</v>
      </c>
      <c r="AQ77" s="1055">
        <f>((Sheet1!BV79-(Sheet1!BU79-AP77))/(Sheet1!BU79-AP77))</f>
        <v>3.279222448874658E-2</v>
      </c>
      <c r="AR77" s="95">
        <f t="shared" si="12"/>
        <v>24.334799999999998</v>
      </c>
      <c r="AS77" s="95">
        <f t="shared" si="13"/>
        <v>23.334799999999998</v>
      </c>
      <c r="AT77" s="90">
        <f>Sheet1!BB79</f>
        <v>1.01</v>
      </c>
      <c r="AU77" s="90">
        <f>Sheet1!AS79*GPMtoMGD</f>
        <v>2.7935999999999999E-2</v>
      </c>
      <c r="AV77" s="95">
        <f>Sheet1!AT79</f>
        <v>0</v>
      </c>
      <c r="AW77" s="90">
        <f>Sheet1!AV79*GPMtoMGD</f>
        <v>0.50572800000000007</v>
      </c>
      <c r="AX77" s="90">
        <f>Sheet1!AW79*GPMtoMGD</f>
        <v>0.80092800000000008</v>
      </c>
      <c r="AY77" s="90">
        <f>Sheet1!AX79*GPMtoMGD</f>
        <v>0</v>
      </c>
      <c r="AZ77" s="90">
        <f>Sheet1!AY79*GPMtoMGD</f>
        <v>0</v>
      </c>
      <c r="BA77" s="90">
        <f>Sheet1!AZ79*GPMtoMGD</f>
        <v>0</v>
      </c>
      <c r="BB77" s="90">
        <f>Sheet1!BP79*GPMtoMGD</f>
        <v>0</v>
      </c>
      <c r="BC77" s="90">
        <f>Sheet1!CS79*GPMtoMGD</f>
        <v>5.7111840000000003</v>
      </c>
      <c r="BD77" s="90">
        <f>Sheet1!BO79*GPMtoMGD</f>
        <v>1.445184</v>
      </c>
      <c r="BE77" s="90">
        <f>Sheet1!BW79*GPMtoMGD</f>
        <v>0.92088000000000003</v>
      </c>
      <c r="BF77" s="90">
        <f>Sheet1!CN79*GPMtoMGD</f>
        <v>1.4279040000000001</v>
      </c>
      <c r="BG77" s="90">
        <f>Sheet1!CO79*GPMtoMGD</f>
        <v>0.45014400000000004</v>
      </c>
      <c r="BH77" s="90">
        <f>Sheet1!CP79*GPMtoMGD</f>
        <v>0.65332800000000002</v>
      </c>
      <c r="BI77" s="90">
        <f t="shared" si="10"/>
        <v>1.445184</v>
      </c>
      <c r="BK77" s="95">
        <f>SUM(AT77:BA77,BE77,Sheet1!BV79,'Calculations II'!BC77,Calculation!AQ77)</f>
        <v>49.408184046421667</v>
      </c>
      <c r="BM77" s="373">
        <f>0</f>
        <v>0</v>
      </c>
      <c r="BN77" s="373">
        <f>0</f>
        <v>0</v>
      </c>
      <c r="BP77" s="95">
        <f>SUM(BM77:BN77,W77,Sheet1!DX79)</f>
        <v>0</v>
      </c>
    </row>
    <row r="78" spans="1:68" s="90" customFormat="1">
      <c r="A78" s="651" t="s">
        <v>9</v>
      </c>
      <c r="B78" s="92">
        <v>41706</v>
      </c>
      <c r="C78" s="93">
        <v>0</v>
      </c>
      <c r="D78" s="95">
        <f>(Sheet1!BQ80-Sheet1!BQ79)*1.385</f>
        <v>0.66480000000000061</v>
      </c>
      <c r="E78" s="30">
        <f>(Sheet1!BR80-Sheet1!BR79)*1.385</f>
        <v>0.67865000000000275</v>
      </c>
      <c r="F78" s="30">
        <f ca="1">IF(B78=TODAY(),0,-(VLOOKUP(Sheet1!CD80,Lookup!$I$4:$J$216,2)-VLOOKUP(Sheet1!CD79,Lookup!$I$4:$J$216,2))/1000000)</f>
        <v>0.10363693854779936</v>
      </c>
      <c r="G78" s="95">
        <f ca="1">IF(B78=TODAY(),0,-$G$6*(Sheet1!CF80-Sheet1!CF79)*7.48/1000000)</f>
        <v>0.23828100631535562</v>
      </c>
      <c r="H78" s="95">
        <f ca="1">IF(B78=TODAY(),0,-$H$6*(Sheet1!CE80-Sheet1!CE79)*7.48/1000000)</f>
        <v>3.0078864702530548E-2</v>
      </c>
      <c r="I78" s="95">
        <f ca="1">IF(B78=TODAY(),0,-$I$6*(Sheet1!CG80-Sheet1!CG79)*7.48/1000000)</f>
        <v>2.2462440000000042E-2</v>
      </c>
      <c r="J78" s="96" t="s">
        <v>186</v>
      </c>
      <c r="K78" s="95">
        <f ca="1">IF(B78=TODAY(),0,-$K$6*(Sheet1!CH80-Sheet1!CH79)*7.48/1000000)</f>
        <v>3.3316601872292212E-2</v>
      </c>
      <c r="L78" s="96" t="s">
        <v>186</v>
      </c>
      <c r="M78" s="95">
        <f ca="1">IF(B78=TODAY(),0,-$M$6*(Sheet1!CI80-Sheet1!CI79)*7.48/1000000)</f>
        <v>0.10794905056816191</v>
      </c>
      <c r="N78" s="95">
        <f ca="1">IF(B78=TODAY(),0,-$N$6*(Sheet1!CJ80-Sheet1!CJ79)*7.48/1000000)</f>
        <v>-4.9641876315699163E-2</v>
      </c>
      <c r="O78" s="95">
        <f t="shared" ca="1" si="7"/>
        <v>0.48608302569044054</v>
      </c>
      <c r="P78" s="95">
        <f ca="1">O78+Calculation!ES78</f>
        <v>-0.89921333886394983</v>
      </c>
      <c r="Q78" s="90" t="str">
        <f>IF(Sheet1!BQ80&gt;25.75,"spill elevation","-")</f>
        <v>-</v>
      </c>
      <c r="R78" s="90" t="str">
        <f>IF(Sheet1!BQ80&gt;25.75,"spill elevation","-")</f>
        <v>-</v>
      </c>
      <c r="S78" s="90" t="str">
        <f>IF(Sheet1!BR80&gt;25.75,"spill elevation","-")</f>
        <v>-</v>
      </c>
      <c r="T78" s="94">
        <f>IF(Sheet1!DU80=1,Sheet1!AA80-(SUM(AT78:BA78)+BE78),Sheet1!AA80-SUM(AT78:BA78))</f>
        <v>18.453807999999999</v>
      </c>
      <c r="U78" s="94">
        <f>Sheet1!BV80</f>
        <v>19.5</v>
      </c>
      <c r="V78" s="94">
        <f t="shared" si="8"/>
        <v>-1.0461920000000013</v>
      </c>
      <c r="W78" s="94">
        <f>0</f>
        <v>0</v>
      </c>
      <c r="X78" s="90">
        <f>0</f>
        <v>0</v>
      </c>
      <c r="Y78" s="95">
        <f ca="1">Calculation!EJ79+Calculation!ES78+'Calculations II'!O78-'Calculations II'!W78</f>
        <v>54.94793866113605</v>
      </c>
      <c r="Z78" s="95">
        <f ca="1">Y78-Sheet1!CT81</f>
        <v>38.862938661136049</v>
      </c>
      <c r="AA78" s="95">
        <f ca="1">Y78+Calculation!DJ79+Calculation!AS79</f>
        <v>64.453916922005618</v>
      </c>
      <c r="AC78" s="95">
        <f>Sheet1!AA80+Sheet1!AB80+BC78</f>
        <v>54.523295999999995</v>
      </c>
      <c r="AD78" s="95">
        <f>Sheet1!AA80+Sheet1!BN80+'Calculations II'!BC78-Calculation!AS78-Calculation!DJ78</f>
        <v>35.496500334365322</v>
      </c>
      <c r="AE78" s="95">
        <f>Sheet1!AA80+Sheet1!AB80+'Calculations II'!BC78-Calculation!AS78-Calculation!DJ78</f>
        <v>44.996500334365322</v>
      </c>
      <c r="AF78" s="95">
        <f ca="1">Sheet1!AA80+Sheet1!BN80+P78+'Calculations II'!BC78+Calculation!AS78+Calculation!DJ78</f>
        <v>53.650878326770716</v>
      </c>
      <c r="AG78" s="95">
        <f ca="1">IF(B78=TODAY(),0,Sheet1!AA80+Sheet1!BN80+'Calculations II'!BC78+'Calculations II'!P78-Sheet1!CT80-BP78)</f>
        <v>27.258082661136044</v>
      </c>
      <c r="AH78" s="95">
        <f ca="1">IF(B78=TODAY(),0,Sheet1!AA80+Sheet1!BN80+'Calculations II'!BC78+'Calculations II'!P78-BP78)</f>
        <v>44.124082661136043</v>
      </c>
      <c r="AI78" s="95">
        <f ca="1">IF(B78=TODAY(),0,BC78+Sheet1!AA80+Calculation!ES78+O78+W78+Sheet1!BN80+Calculation!AS78+Calculation!DJ78-BP78)</f>
        <v>53.65087832677073</v>
      </c>
      <c r="AJ78" s="95"/>
      <c r="AM78" s="91">
        <f t="shared" si="9"/>
        <v>41706</v>
      </c>
      <c r="AN78" s="95">
        <f>Sheet1!BU80</f>
        <v>19.899999999999999</v>
      </c>
      <c r="AO78" s="95">
        <f>Sheet1!AA80</f>
        <v>21</v>
      </c>
      <c r="AP78" s="95">
        <f t="shared" si="11"/>
        <v>1.3434500000000034</v>
      </c>
      <c r="AQ78" s="1055">
        <f>((Sheet1!BV80-(Sheet1!BU80-AP78))/(Sheet1!BU80-AP78))</f>
        <v>5.0841886018683752E-2</v>
      </c>
      <c r="AR78" s="95">
        <f t="shared" si="12"/>
        <v>19.656549999999996</v>
      </c>
      <c r="AS78" s="95">
        <f t="shared" si="13"/>
        <v>18.556549999999994</v>
      </c>
      <c r="AT78" s="90">
        <f>Sheet1!BB80</f>
        <v>1.01</v>
      </c>
      <c r="AU78" s="90">
        <f>Sheet1!AS80*GPMtoMGD</f>
        <v>3.3408E-2</v>
      </c>
      <c r="AV78" s="95">
        <f>Sheet1!AT80</f>
        <v>0</v>
      </c>
      <c r="AW78" s="90">
        <f>Sheet1!AV80*GPMtoMGD</f>
        <v>0.62971200000000005</v>
      </c>
      <c r="AX78" s="90">
        <f>Sheet1!AW80*GPMtoMGD</f>
        <v>0.87307199999999996</v>
      </c>
      <c r="AY78" s="90">
        <f>Sheet1!AX80*GPMtoMGD</f>
        <v>0</v>
      </c>
      <c r="AZ78" s="90">
        <f>Sheet1!AY80*GPMtoMGD</f>
        <v>0</v>
      </c>
      <c r="BA78" s="90">
        <f>Sheet1!AZ80*GPMtoMGD</f>
        <v>0</v>
      </c>
      <c r="BB78" s="90">
        <f>Sheet1!BP80*GPMtoMGD</f>
        <v>0</v>
      </c>
      <c r="BC78" s="90">
        <f>Sheet1!CS80*GPMtoMGD</f>
        <v>7.7232960000000004</v>
      </c>
      <c r="BD78" s="90">
        <f>Sheet1!BO80*GPMtoMGD</f>
        <v>1.4905439999999999</v>
      </c>
      <c r="BE78" s="90">
        <f>Sheet1!BW80*GPMtoMGD</f>
        <v>0.69048000000000009</v>
      </c>
      <c r="BF78" s="90">
        <f>Sheet1!CN80*GPMtoMGD</f>
        <v>1.1808000000000001</v>
      </c>
      <c r="BG78" s="90">
        <f>Sheet1!CO80*GPMtoMGD</f>
        <v>0.489456</v>
      </c>
      <c r="BH78" s="90">
        <f>Sheet1!CP80*GPMtoMGD</f>
        <v>0.63014400000000004</v>
      </c>
      <c r="BI78" s="90">
        <f t="shared" si="10"/>
        <v>1.4905439999999999</v>
      </c>
      <c r="BK78" s="95">
        <f>SUM(AT78:BA78,BE78,Sheet1!BV80,'Calculations II'!BC78,Calculation!AQ78)</f>
        <v>46.734735801857582</v>
      </c>
      <c r="BM78" s="373">
        <f>0</f>
        <v>0</v>
      </c>
      <c r="BN78" s="373">
        <f>0</f>
        <v>0</v>
      </c>
      <c r="BP78" s="95">
        <f>SUM(BM78:BN78,W78,Sheet1!DX80)</f>
        <v>0</v>
      </c>
    </row>
    <row r="79" spans="1:68" s="90" customFormat="1">
      <c r="A79" s="651" t="s">
        <v>3</v>
      </c>
      <c r="B79" s="92">
        <v>41707</v>
      </c>
      <c r="C79" s="93">
        <v>0</v>
      </c>
      <c r="D79" s="95">
        <f>(Sheet1!BQ81-Sheet1!BQ80)*1.385</f>
        <v>0.8725499999999986</v>
      </c>
      <c r="E79" s="30">
        <f>(Sheet1!BR81-Sheet1!BR80)*1.385</f>
        <v>0.8725499999999986</v>
      </c>
      <c r="F79" s="30">
        <f ca="1">IF(B79=TODAY(),0,-(VLOOKUP(Sheet1!CD81,Lookup!$I$4:$J$216,2)-VLOOKUP(Sheet1!CD80,Lookup!$I$4:$J$216,2))/1000000)</f>
        <v>-0.725458569834603</v>
      </c>
      <c r="G79" s="95">
        <f ca="1">IF(B79=TODAY(),0,-$G$6*(Sheet1!CF81-Sheet1!CF80)*7.48/1000000)</f>
        <v>0.27799450736791548</v>
      </c>
      <c r="H79" s="95">
        <f ca="1">IF(B79=TODAY(),0,-$H$6*(Sheet1!CE81-Sheet1!CE80)*7.48/1000000)</f>
        <v>-3.0078864702530548E-2</v>
      </c>
      <c r="I79" s="95">
        <f ca="1">IF(B79=TODAY(),0,-$I$6*(Sheet1!CG81-Sheet1!CG80)*7.48/1000000)</f>
        <v>4.4924879999999837E-3</v>
      </c>
      <c r="J79" s="96" t="s">
        <v>186</v>
      </c>
      <c r="K79" s="95">
        <f ca="1">IF(B79=TODAY(),0,-$K$6*(Sheet1!CH81-Sheet1!CH80)*7.48/1000000)</f>
        <v>6.6633203744585374E-3</v>
      </c>
      <c r="L79" s="96" t="s">
        <v>186</v>
      </c>
      <c r="M79" s="95">
        <f ca="1">IF(B79=TODAY(),0,-$M$6*(Sheet1!CI81-Sheet1!CI80)*7.48/1000000)</f>
        <v>1.7991508428027301E-2</v>
      </c>
      <c r="N79" s="95">
        <f ca="1">IF(B79=TODAY(),0,-$N$6*(Sheet1!CJ81-Sheet1!CJ80)*7.48/1000000)</f>
        <v>6.8257579934085932E-2</v>
      </c>
      <c r="O79" s="95">
        <f t="shared" ca="1" si="7"/>
        <v>-0.38013803043264638</v>
      </c>
      <c r="P79" s="95">
        <f ca="1">O79+Calculation!ES79</f>
        <v>-2.0429167092204588</v>
      </c>
      <c r="Q79" s="90" t="str">
        <f>IF(Sheet1!BQ81&gt;25.75,"spill elevation","-")</f>
        <v>-</v>
      </c>
      <c r="R79" s="90" t="str">
        <f>IF(Sheet1!BQ81&gt;25.75,"spill elevation","-")</f>
        <v>-</v>
      </c>
      <c r="S79" s="90" t="str">
        <f>IF(Sheet1!BR81&gt;25.75,"spill elevation","-")</f>
        <v>-</v>
      </c>
      <c r="T79" s="94">
        <f>IF(Sheet1!DU81=1,Sheet1!AA81-(SUM(AT79:BA79)+BE79),Sheet1!AA81-SUM(AT79:BA79))</f>
        <v>18.592687999999999</v>
      </c>
      <c r="U79" s="94">
        <f>Sheet1!BV81</f>
        <v>19.3</v>
      </c>
      <c r="V79" s="94">
        <f t="shared" si="8"/>
        <v>-0.70731200000000172</v>
      </c>
      <c r="W79" s="94">
        <f>0</f>
        <v>0</v>
      </c>
      <c r="X79" s="90">
        <f>0</f>
        <v>0</v>
      </c>
      <c r="Y79" s="95">
        <f ca="1">Calculation!EJ80+Calculation!ES79+'Calculations II'!O79-'Calculations II'!W79</f>
        <v>50.766971290779544</v>
      </c>
      <c r="Z79" s="95">
        <f ca="1">Y79-Sheet1!CT82</f>
        <v>34.322971290779549</v>
      </c>
      <c r="AA79" s="95">
        <f ca="1">Y79+Calculation!DJ80+Calculation!AS80</f>
        <v>60.320177664662168</v>
      </c>
      <c r="AC79" s="95">
        <f>Sheet1!AA81+Sheet1!AB81+BC79</f>
        <v>55.847152000000001</v>
      </c>
      <c r="AD79" s="95">
        <f>Sheet1!AA81+Sheet1!BN81+'Calculations II'!BC79-Calculation!AS79-Calculation!DJ79</f>
        <v>36.741173739130431</v>
      </c>
      <c r="AE79" s="95">
        <f>Sheet1!AA81+Sheet1!AB81+'Calculations II'!BC79-Calculation!AS79-Calculation!DJ79</f>
        <v>46.34117373913044</v>
      </c>
      <c r="AF79" s="95">
        <f ca="1">Sheet1!AA81+Sheet1!BN81+P79+'Calculations II'!BC79+Calculation!AS79+Calculation!DJ79</f>
        <v>53.710213551649105</v>
      </c>
      <c r="AG79" s="95">
        <f ca="1">IF(B79=TODAY(),0,Sheet1!AA81+Sheet1!BN81+'Calculations II'!BC79+'Calculations II'!P79-Sheet1!CT81-BP79)</f>
        <v>28.119235290779542</v>
      </c>
      <c r="AH79" s="95">
        <f ca="1">IF(B79=TODAY(),0,Sheet1!AA81+Sheet1!BN81+'Calculations II'!BC79+'Calculations II'!P79-BP79)</f>
        <v>44.204235290779543</v>
      </c>
      <c r="AI79" s="95">
        <f ca="1">IF(B79=TODAY(),0,BC79+Sheet1!AA81+Calculation!ES79+O79+W79+Sheet1!BN81+Calculation!AS79+Calculation!DJ79-BP79)</f>
        <v>53.710213551649105</v>
      </c>
      <c r="AJ79" s="95"/>
      <c r="AM79" s="91">
        <f t="shared" si="9"/>
        <v>41707</v>
      </c>
      <c r="AN79" s="95">
        <f>Sheet1!BU81</f>
        <v>20.100000000000001</v>
      </c>
      <c r="AO79" s="95">
        <f>Sheet1!AA81</f>
        <v>21</v>
      </c>
      <c r="AP79" s="95">
        <f t="shared" si="11"/>
        <v>1.7450999999999972</v>
      </c>
      <c r="AQ79" s="1055">
        <f>((Sheet1!BV81-(Sheet1!BU81-AP79))/(Sheet1!BU81-AP79))</f>
        <v>5.1490337729979255E-2</v>
      </c>
      <c r="AR79" s="95">
        <f t="shared" si="12"/>
        <v>19.254900000000003</v>
      </c>
      <c r="AS79" s="95">
        <f t="shared" si="13"/>
        <v>18.354900000000004</v>
      </c>
      <c r="AT79" s="90">
        <f>Sheet1!BB81</f>
        <v>1</v>
      </c>
      <c r="AU79" s="90">
        <f>Sheet1!AS81*GPMtoMGD</f>
        <v>3.4416000000000002E-2</v>
      </c>
      <c r="AV79" s="95">
        <f>Sheet1!AT81</f>
        <v>0</v>
      </c>
      <c r="AW79" s="90">
        <f>Sheet1!AV81*GPMtoMGD</f>
        <v>0.66686400000000012</v>
      </c>
      <c r="AX79" s="90">
        <f>Sheet1!AW81*GPMtoMGD</f>
        <v>0.7060320000000001</v>
      </c>
      <c r="AY79" s="90">
        <f>Sheet1!AX81*GPMtoMGD</f>
        <v>0</v>
      </c>
      <c r="AZ79" s="90">
        <f>Sheet1!AY81*GPMtoMGD</f>
        <v>0</v>
      </c>
      <c r="BA79" s="90">
        <f>Sheet1!AZ81*GPMtoMGD</f>
        <v>0</v>
      </c>
      <c r="BB79" s="90">
        <f>Sheet1!BP81*GPMtoMGD</f>
        <v>0</v>
      </c>
      <c r="BC79" s="90">
        <f>Sheet1!CS81*GPMtoMGD</f>
        <v>8.9471520000000009</v>
      </c>
      <c r="BD79" s="90">
        <f>Sheet1!BO81*GPMtoMGD</f>
        <v>1.6768800000000001</v>
      </c>
      <c r="BE79" s="90">
        <f>Sheet1!BW81*GPMtoMGD</f>
        <v>0.98596800000000018</v>
      </c>
      <c r="BF79" s="90">
        <f>Sheet1!CN81*GPMtoMGD</f>
        <v>1.1808000000000001</v>
      </c>
      <c r="BG79" s="90">
        <f>Sheet1!CO81*GPMtoMGD</f>
        <v>0.52603200000000006</v>
      </c>
      <c r="BH79" s="90">
        <f>Sheet1!CP81*GPMtoMGD</f>
        <v>0.63</v>
      </c>
      <c r="BI79" s="90">
        <f t="shared" si="10"/>
        <v>1.6768800000000001</v>
      </c>
      <c r="BK79" s="95">
        <f>SUM(AT79:BA79,BE79,Sheet1!BV81,'Calculations II'!BC79,Calculation!AQ79)</f>
        <v>48.029018956521739</v>
      </c>
      <c r="BM79" s="373">
        <f>0</f>
        <v>0</v>
      </c>
      <c r="BN79" s="373">
        <f>0</f>
        <v>0</v>
      </c>
      <c r="BP79" s="95">
        <f>SUM(BM79:BN79,W79,Sheet1!DX81)</f>
        <v>0</v>
      </c>
    </row>
    <row r="80" spans="1:68" s="90" customFormat="1">
      <c r="A80" s="651" t="s">
        <v>4</v>
      </c>
      <c r="B80" s="92">
        <v>41708</v>
      </c>
      <c r="C80" s="93">
        <v>0</v>
      </c>
      <c r="D80" s="95">
        <f>(Sheet1!BQ82-Sheet1!BQ81)*1.385</f>
        <v>-0.24929999999999961</v>
      </c>
      <c r="E80" s="30">
        <f>(Sheet1!BR82-Sheet1!BR81)*1.385</f>
        <v>-0.26315000000000177</v>
      </c>
      <c r="F80" s="30">
        <f ca="1">IF(B80=TODAY(),0,-(VLOOKUP(Sheet1!CD82,Lookup!$I$4:$J$216,2)-VLOOKUP(Sheet1!CD81,Lookup!$I$4:$J$216,2))/1000000)</f>
        <v>0.62182163128680368</v>
      </c>
      <c r="G80" s="95">
        <f ca="1">IF(B80=TODAY(),0,-$G$6*(Sheet1!CF82-Sheet1!CF81)*7.48/1000000)</f>
        <v>0.19856750526279648</v>
      </c>
      <c r="H80" s="95">
        <f ca="1">IF(B80=TODAY(),0,-$H$6*(Sheet1!CE82-Sheet1!CE81)*7.48/1000000)</f>
        <v>3.0078864702530548E-2</v>
      </c>
      <c r="I80" s="95">
        <f ca="1">IF(B80=TODAY(),0,-$I$6*(Sheet1!CG82-Sheet1!CG81)*7.48/1000000)</f>
        <v>-8.9849760000000074E-3</v>
      </c>
      <c r="J80" s="96" t="s">
        <v>186</v>
      </c>
      <c r="K80" s="95">
        <f ca="1">IF(B80=TODAY(),0,-$K$6*(Sheet1!CH82-Sheet1!CH81)*7.48/1000000)</f>
        <v>-1.3326640748916953E-2</v>
      </c>
      <c r="L80" s="96" t="s">
        <v>186</v>
      </c>
      <c r="M80" s="95">
        <f ca="1">IF(B80=TODAY(),0,-$M$6*(Sheet1!CI82-Sheet1!CI81)*7.48/1000000)</f>
        <v>-5.3974525284081275E-2</v>
      </c>
      <c r="N80" s="95">
        <f ca="1">IF(B80=TODAY(),0,-$N$6*(Sheet1!CJ82-Sheet1!CJ81)*7.48/1000000)</f>
        <v>-0.26061985065742033</v>
      </c>
      <c r="O80" s="95">
        <f t="shared" ca="1" si="7"/>
        <v>0.51356200856171208</v>
      </c>
      <c r="P80" s="95">
        <f ca="1">O80+Calculation!ES80</f>
        <v>0.92929834442448644</v>
      </c>
      <c r="Q80" s="90" t="str">
        <f>IF(Sheet1!BQ82&gt;25.75,"spill elevation","-")</f>
        <v>-</v>
      </c>
      <c r="R80" s="90" t="str">
        <f>IF(Sheet1!BQ82&gt;25.75,"spill elevation","-")</f>
        <v>-</v>
      </c>
      <c r="S80" s="90" t="str">
        <f>IF(Sheet1!BR82&gt;25.75,"spill elevation","-")</f>
        <v>-</v>
      </c>
      <c r="T80" s="94">
        <f>IF(Sheet1!DU82=1,Sheet1!AA82-(SUM(AT80:BA80)+BE80),Sheet1!AA82-SUM(AT80:BA80))</f>
        <v>18.925664000000001</v>
      </c>
      <c r="U80" s="94">
        <f>Sheet1!BV82</f>
        <v>21.8</v>
      </c>
      <c r="V80" s="94">
        <f t="shared" si="8"/>
        <v>-2.8743359999999996</v>
      </c>
      <c r="W80" s="94">
        <f>0</f>
        <v>0</v>
      </c>
      <c r="X80" s="90">
        <f>0</f>
        <v>0</v>
      </c>
      <c r="Y80" s="95">
        <f ca="1">Calculation!EJ81+Calculation!ES80+'Calculations II'!O80-'Calculations II'!W80</f>
        <v>53.239522344424486</v>
      </c>
      <c r="Z80" s="95">
        <f ca="1">Y80-Sheet1!CT83</f>
        <v>36.750522344424482</v>
      </c>
      <c r="AA80" s="95">
        <f ca="1">Y80+Calculation!DJ81+Calculation!AS81</f>
        <v>62.766147246538821</v>
      </c>
      <c r="AC80" s="95">
        <f>Sheet1!AA82+Sheet1!AB82+BC80</f>
        <v>52.809888000000001</v>
      </c>
      <c r="AD80" s="95">
        <f>Sheet1!AA82+Sheet1!BN82+'Calculations II'!BC80-Calculation!AS80-Calculation!DJ80</f>
        <v>33.656681626117376</v>
      </c>
      <c r="AE80" s="95">
        <f>Sheet1!AA82+Sheet1!AB82+'Calculations II'!BC80-Calculation!AS80-Calculation!DJ80</f>
        <v>43.25668162611737</v>
      </c>
      <c r="AF80" s="95">
        <f ca="1">Sheet1!AA82+Sheet1!BN82+P80+'Calculations II'!BC80+Calculation!AS80+Calculation!DJ80</f>
        <v>53.692392718307119</v>
      </c>
      <c r="AG80" s="95">
        <f ca="1">IF(B80=TODAY(),0,Sheet1!AA82+Sheet1!BN82+'Calculations II'!BC80+'Calculations II'!P80-Sheet1!CT82-BP80)</f>
        <v>27.695186344424489</v>
      </c>
      <c r="AH80" s="95">
        <f ca="1">IF(B80=TODAY(),0,Sheet1!AA82+Sheet1!BN82+'Calculations II'!BC80+'Calculations II'!P80-BP80)</f>
        <v>44.139186344424488</v>
      </c>
      <c r="AI80" s="95">
        <f ca="1">IF(B80=TODAY(),0,BC80+Sheet1!AA82+Calculation!ES80+O80+W80+Sheet1!BN82+Calculation!AS80+Calculation!DJ80-BP80)</f>
        <v>53.692392718307119</v>
      </c>
      <c r="AJ80" s="95"/>
      <c r="AM80" s="91">
        <f t="shared" si="9"/>
        <v>41708</v>
      </c>
      <c r="AN80" s="95">
        <f>Sheet1!BU82</f>
        <v>20.7</v>
      </c>
      <c r="AO80" s="95">
        <f>Sheet1!AA82</f>
        <v>21.3</v>
      </c>
      <c r="AP80" s="95">
        <f t="shared" si="11"/>
        <v>-0.5124500000000014</v>
      </c>
      <c r="AQ80" s="1055">
        <f>((Sheet1!BV82-(Sheet1!BU82-AP80))/(Sheet1!BU82-AP80))</f>
        <v>2.7698356389761685E-2</v>
      </c>
      <c r="AR80" s="95">
        <f t="shared" si="12"/>
        <v>21.812450000000002</v>
      </c>
      <c r="AS80" s="95">
        <f t="shared" si="13"/>
        <v>21.21245</v>
      </c>
      <c r="AT80" s="90">
        <f>Sheet1!BB82</f>
        <v>1</v>
      </c>
      <c r="AU80" s="90">
        <f>Sheet1!AS82*GPMtoMGD</f>
        <v>2.4480000000000002E-2</v>
      </c>
      <c r="AV80" s="95">
        <f>Sheet1!AT82</f>
        <v>0</v>
      </c>
      <c r="AW80" s="90">
        <f>Sheet1!AV82*GPMtoMGD</f>
        <v>0.49204800000000004</v>
      </c>
      <c r="AX80" s="90">
        <f>Sheet1!AW82*GPMtoMGD</f>
        <v>0.85780800000000013</v>
      </c>
      <c r="AY80" s="90">
        <f>Sheet1!AX82*GPMtoMGD</f>
        <v>0</v>
      </c>
      <c r="AZ80" s="90">
        <f>Sheet1!AY82*GPMtoMGD</f>
        <v>0</v>
      </c>
      <c r="BA80" s="90">
        <f>Sheet1!AZ82*GPMtoMGD</f>
        <v>0</v>
      </c>
      <c r="BB80" s="90">
        <f>Sheet1!BP82*GPMtoMGD</f>
        <v>0</v>
      </c>
      <c r="BC80" s="90">
        <f>Sheet1!CS82*GPMtoMGD</f>
        <v>5.7098880000000003</v>
      </c>
      <c r="BD80" s="90">
        <f>Sheet1!BO82*GPMtoMGD</f>
        <v>1.5212160000000001</v>
      </c>
      <c r="BE80" s="90">
        <f>Sheet1!BW82*GPMtoMGD</f>
        <v>0.66441600000000001</v>
      </c>
      <c r="BF80" s="90">
        <f>Sheet1!CN82*GPMtoMGD</f>
        <v>1.1808000000000001</v>
      </c>
      <c r="BG80" s="90">
        <f>Sheet1!CO82*GPMtoMGD</f>
        <v>0.46166400000000007</v>
      </c>
      <c r="BH80" s="90">
        <f>Sheet1!CP82*GPMtoMGD</f>
        <v>0.66067200000000004</v>
      </c>
      <c r="BI80" s="90">
        <f t="shared" si="10"/>
        <v>1.5212160000000001</v>
      </c>
      <c r="BK80" s="95">
        <f>SUM(AT80:BA80,BE80,Sheet1!BV82,'Calculations II'!BC80,Calculation!AQ80)</f>
        <v>46.792713066459385</v>
      </c>
      <c r="BM80" s="373">
        <f>0</f>
        <v>0</v>
      </c>
      <c r="BN80" s="373">
        <f>0</f>
        <v>0</v>
      </c>
      <c r="BP80" s="95">
        <f>SUM(BM80:BN80,W80,Sheet1!DX82)</f>
        <v>0</v>
      </c>
    </row>
    <row r="81" spans="1:68" s="90" customFormat="1">
      <c r="A81" s="651" t="s">
        <v>5</v>
      </c>
      <c r="B81" s="92">
        <v>41709</v>
      </c>
      <c r="C81" s="93">
        <v>0</v>
      </c>
      <c r="D81" s="95">
        <f>(Sheet1!BQ83-Sheet1!BQ82)*1.385</f>
        <v>-0.56785000000000019</v>
      </c>
      <c r="E81" s="30">
        <f>(Sheet1!BR83-Sheet1!BR82)*1.385</f>
        <v>-0.55399999999999805</v>
      </c>
      <c r="F81" s="30">
        <f ca="1">IF(B81=TODAY(),0,-(VLOOKUP(Sheet1!CD83,Lookup!$I$4:$J$216,2)-VLOOKUP(Sheet1!CD82,Lookup!$I$4:$J$216,2))/1000000)</f>
        <v>-0.10363693854779936</v>
      </c>
      <c r="G81" s="95">
        <f ca="1">IF(B81=TODAY(),0,-$G$6*(Sheet1!CF83-Sheet1!CF82)*7.48/1000000)</f>
        <v>0.19856750526279648</v>
      </c>
      <c r="H81" s="95">
        <f ca="1">IF(B81=TODAY(),0,-$H$6*(Sheet1!CE83-Sheet1!CE82)*7.48/1000000)</f>
        <v>1.5039432351265274E-2</v>
      </c>
      <c r="I81" s="95">
        <f ca="1">IF(B81=TODAY(),0,-$I$6*(Sheet1!CG83-Sheet1!CG82)*7.48/1000000)</f>
        <v>-8.9849759999999675E-3</v>
      </c>
      <c r="J81" s="96" t="s">
        <v>186</v>
      </c>
      <c r="K81" s="95">
        <f ca="1">IF(B81=TODAY(),0,-$K$6*(Sheet1!CH83-Sheet1!CH82)*7.48/1000000)</f>
        <v>-1.3326640748916837E-2</v>
      </c>
      <c r="L81" s="96" t="s">
        <v>186</v>
      </c>
      <c r="M81" s="95">
        <f ca="1">IF(B81=TODAY(),0,-$M$6*(Sheet1!CI83-Sheet1!CI82)*7.48/1000000)</f>
        <v>-1.7991508428027301E-2</v>
      </c>
      <c r="N81" s="95">
        <f ca="1">IF(B81=TODAY(),0,-$N$6*(Sheet1!CJ83-Sheet1!CJ82)*7.48/1000000)</f>
        <v>-9.3078518091936069E-2</v>
      </c>
      <c r="O81" s="95">
        <f t="shared" ca="1" si="7"/>
        <v>-2.3411644202617765E-2</v>
      </c>
      <c r="P81" s="95">
        <f ca="1">O81+Calculation!ES81</f>
        <v>1.085081833854953</v>
      </c>
      <c r="Q81" s="90" t="str">
        <f>IF(Sheet1!BQ83&gt;25.75,"spill elevation","-")</f>
        <v>-</v>
      </c>
      <c r="R81" s="90" t="str">
        <f>IF(Sheet1!BQ83&gt;25.75,"spill elevation","-")</f>
        <v>-</v>
      </c>
      <c r="S81" s="90" t="str">
        <f>IF(Sheet1!BR83&gt;25.75,"spill elevation","-")</f>
        <v>-</v>
      </c>
      <c r="T81" s="94">
        <f>IF(Sheet1!DU83=1,Sheet1!AA83-(SUM(AT81:BA81)+BE81),Sheet1!AA83-SUM(AT81:BA81))</f>
        <v>19.464431999999999</v>
      </c>
      <c r="U81" s="94">
        <f>Sheet1!BV83</f>
        <v>22.7</v>
      </c>
      <c r="V81" s="94">
        <f t="shared" si="8"/>
        <v>-3.2355680000000007</v>
      </c>
      <c r="W81" s="94">
        <f>0</f>
        <v>0</v>
      </c>
      <c r="X81" s="90">
        <f>0</f>
        <v>0</v>
      </c>
      <c r="Y81" s="95">
        <f ca="1">Calculation!EJ82+Calculation!ES81+'Calculations II'!O81-'Calculations II'!W81</f>
        <v>53.610473833854947</v>
      </c>
      <c r="Z81" s="95">
        <f ca="1">Y81-Sheet1!CT84</f>
        <v>37.699473833854945</v>
      </c>
      <c r="AA81" s="95">
        <f ca="1">Y81+Calculation!DJ82+Calculation!AS82</f>
        <v>63.163640370211475</v>
      </c>
      <c r="AC81" s="95">
        <f>Sheet1!AA83+Sheet1!AB83+BC81</f>
        <v>52.310223999999998</v>
      </c>
      <c r="AD81" s="95">
        <f>Sheet1!AA83+Sheet1!BN83+'Calculations II'!BC81-Calculation!AS81-Calculation!DJ81</f>
        <v>33.28359909788567</v>
      </c>
      <c r="AE81" s="95">
        <f>Sheet1!AA83+Sheet1!AB83+'Calculations II'!BC81-Calculation!AS81-Calculation!DJ81</f>
        <v>42.78359909788567</v>
      </c>
      <c r="AF81" s="95">
        <f ca="1">Sheet1!AA83+Sheet1!BN83+P81+'Calculations II'!BC81+Calculation!AS81+Calculation!DJ81</f>
        <v>53.421930735969283</v>
      </c>
      <c r="AG81" s="95">
        <f ca="1">IF(B81=TODAY(),0,Sheet1!AA83+Sheet1!BN83+'Calculations II'!BC81+'Calculations II'!P81-Sheet1!CT83-BP81)</f>
        <v>27.406305833854947</v>
      </c>
      <c r="AH81" s="95">
        <f ca="1">IF(B81=TODAY(),0,Sheet1!AA83+Sheet1!BN83+'Calculations II'!BC81+'Calculations II'!P81-BP81)</f>
        <v>43.895305833854948</v>
      </c>
      <c r="AI81" s="95">
        <f ca="1">IF(B81=TODAY(),0,BC81+Sheet1!AA83+Calculation!ES81+O81+W81+Sheet1!BN83+Calculation!AS81+Calculation!DJ81-BP81)</f>
        <v>53.421930735969283</v>
      </c>
      <c r="AJ81" s="95"/>
      <c r="AM81" s="91">
        <f t="shared" si="9"/>
        <v>41709</v>
      </c>
      <c r="AN81" s="95">
        <f>Sheet1!BU83</f>
        <v>20.7</v>
      </c>
      <c r="AO81" s="95">
        <f>Sheet1!AA83</f>
        <v>21.4</v>
      </c>
      <c r="AP81" s="95">
        <f t="shared" si="11"/>
        <v>-1.1218499999999982</v>
      </c>
      <c r="AQ81" s="1055">
        <f>((Sheet1!BV83-(Sheet1!BU83-AP81))/(Sheet1!BU83-AP81))</f>
        <v>4.0241776018073702E-2</v>
      </c>
      <c r="AR81" s="95">
        <f t="shared" si="12"/>
        <v>22.521849999999997</v>
      </c>
      <c r="AS81" s="95">
        <f t="shared" si="13"/>
        <v>21.821849999999998</v>
      </c>
      <c r="AT81" s="90">
        <f>Sheet1!BB83</f>
        <v>1</v>
      </c>
      <c r="AU81" s="90">
        <f>Sheet1!AS83*GPMtoMGD</f>
        <v>2.2176000000000001E-2</v>
      </c>
      <c r="AV81" s="95">
        <f>Sheet1!AT83</f>
        <v>0</v>
      </c>
      <c r="AW81" s="90">
        <f>Sheet1!AV83*GPMtoMGD</f>
        <v>0.35323200000000005</v>
      </c>
      <c r="AX81" s="90">
        <f>Sheet1!AW83*GPMtoMGD</f>
        <v>0.56015999999999999</v>
      </c>
      <c r="AY81" s="90">
        <f>Sheet1!AX83*GPMtoMGD</f>
        <v>0</v>
      </c>
      <c r="AZ81" s="90">
        <f>Sheet1!AY83*GPMtoMGD</f>
        <v>0</v>
      </c>
      <c r="BA81" s="90">
        <f>Sheet1!AZ83*GPMtoMGD</f>
        <v>0</v>
      </c>
      <c r="BB81" s="90">
        <f>Sheet1!BP83*GPMtoMGD</f>
        <v>0</v>
      </c>
      <c r="BC81" s="90">
        <f>Sheet1!CS83*GPMtoMGD</f>
        <v>5.4102240000000004</v>
      </c>
      <c r="BD81" s="90">
        <f>Sheet1!BO83*GPMtoMGD</f>
        <v>1.5314400000000001</v>
      </c>
      <c r="BE81" s="90">
        <f>Sheet1!BW83*GPMtoMGD</f>
        <v>0.69537599999999999</v>
      </c>
      <c r="BF81" s="90">
        <f>Sheet1!CN83*GPMtoMGD</f>
        <v>1.1808000000000001</v>
      </c>
      <c r="BG81" s="90">
        <f>Sheet1!CO83*GPMtoMGD</f>
        <v>0.45489600000000002</v>
      </c>
      <c r="BH81" s="90">
        <f>Sheet1!CP83*GPMtoMGD</f>
        <v>0.65620800000000001</v>
      </c>
      <c r="BI81" s="90">
        <f t="shared" si="10"/>
        <v>1.5314400000000001</v>
      </c>
      <c r="BK81" s="95">
        <f>SUM(AT81:BA81,BE81,Sheet1!BV83,'Calculations II'!BC81,Calculation!AQ81)</f>
        <v>46.716109268598274</v>
      </c>
      <c r="BM81" s="373">
        <f>0</f>
        <v>0</v>
      </c>
      <c r="BN81" s="373">
        <f>0</f>
        <v>0</v>
      </c>
      <c r="BP81" s="95">
        <f>SUM(BM81:BN81,W81,Sheet1!DX83)</f>
        <v>0</v>
      </c>
    </row>
    <row r="82" spans="1:68" s="90" customFormat="1">
      <c r="A82" s="651" t="s">
        <v>6</v>
      </c>
      <c r="B82" s="92">
        <v>41710</v>
      </c>
      <c r="C82" s="93">
        <v>0</v>
      </c>
      <c r="D82" s="95">
        <f>(Sheet1!BQ84-Sheet1!BQ83)*1.385</f>
        <v>-0.20775000000000296</v>
      </c>
      <c r="E82" s="30">
        <f>(Sheet1!BR84-Sheet1!BR83)*1.385</f>
        <v>-0.22160000000000019</v>
      </c>
      <c r="F82" s="30">
        <f ca="1">IF(B82=TODAY(),0,-(VLOOKUP(Sheet1!CD84,Lookup!$I$4:$J$216,2)-VLOOKUP(Sheet1!CD83,Lookup!$I$4:$J$216,2))/1000000)</f>
        <v>0.10363693854779936</v>
      </c>
      <c r="G82" s="95">
        <f ca="1">IF(B82=TODAY(),0,-$G$6*(Sheet1!CF84-Sheet1!CF83)*7.48/1000000)</f>
        <v>0.23828100631535562</v>
      </c>
      <c r="H82" s="95">
        <f ca="1">IF(B82=TODAY(),0,-$H$6*(Sheet1!CE84-Sheet1!CE83)*7.48/1000000)</f>
        <v>-1.5039432351265274E-2</v>
      </c>
      <c r="I82" s="95">
        <f ca="1">IF(B82=TODAY(),0,-$I$6*(Sheet1!CG84-Sheet1!CG83)*7.48/1000000)</f>
        <v>0</v>
      </c>
      <c r="J82" s="96" t="s">
        <v>186</v>
      </c>
      <c r="K82" s="95">
        <f ca="1">IF(B82=TODAY(),0,-$K$6*(Sheet1!CH84-Sheet1!CH83)*7.48/1000000)</f>
        <v>-6.6633203744584186E-3</v>
      </c>
      <c r="L82" s="96" t="s">
        <v>186</v>
      </c>
      <c r="M82" s="95">
        <f ca="1">IF(B82=TODAY(),0,-$M$6*(Sheet1!CI84-Sheet1!CI83)*7.48/1000000)</f>
        <v>-1.7991508428026663E-2</v>
      </c>
      <c r="N82" s="95">
        <f ca="1">IF(B82=TODAY(),0,-$N$6*(Sheet1!CJ84-Sheet1!CJ83)*7.48/1000000)</f>
        <v>3.723140723677465E-2</v>
      </c>
      <c r="O82" s="95">
        <f t="shared" ref="O82:O145" ca="1" si="14">SUM(F82:I82)+K82+SUM(M82:N82)</f>
        <v>0.33945509094617926</v>
      </c>
      <c r="P82" s="95">
        <f ca="1">O82+Calculation!ES82</f>
        <v>0.75508886621309856</v>
      </c>
      <c r="Q82" s="90" t="str">
        <f>IF(Sheet1!BQ84&gt;25.75,"spill elevation","-")</f>
        <v>-</v>
      </c>
      <c r="R82" s="90" t="str">
        <f>IF(Sheet1!BQ84&gt;25.75,"spill elevation","-")</f>
        <v>-</v>
      </c>
      <c r="S82" s="90" t="str">
        <f>IF(Sheet1!BR84&gt;25.75,"spill elevation","-")</f>
        <v>-</v>
      </c>
      <c r="T82" s="94">
        <f>IF(Sheet1!DU84=1,Sheet1!AA84-(SUM(AT82:BA82)+BE82),Sheet1!AA84-SUM(AT82:BA82))</f>
        <v>19.236944000000001</v>
      </c>
      <c r="U82" s="94">
        <f>Sheet1!BV84</f>
        <v>21.9</v>
      </c>
      <c r="V82" s="94">
        <f t="shared" ref="V82:V145" si="15">T82-U82</f>
        <v>-2.6630559999999974</v>
      </c>
      <c r="W82" s="94">
        <f>0</f>
        <v>0</v>
      </c>
      <c r="X82" s="90">
        <f>0</f>
        <v>0</v>
      </c>
      <c r="Y82" s="95">
        <f ca="1">Calculation!EJ83+Calculation!ES82+'Calculations II'!O82-'Calculations II'!W82</f>
        <v>54.546304866213092</v>
      </c>
      <c r="Z82" s="95">
        <f ca="1">Y82-Sheet1!CT85</f>
        <v>36.563304866213088</v>
      </c>
      <c r="AA82" s="95">
        <f ca="1">Y82+Calculation!DJ83+Calculation!AS83</f>
        <v>64.112949371492718</v>
      </c>
      <c r="AC82" s="95">
        <f>Sheet1!AA84+Sheet1!AB84+BC82</f>
        <v>52.525391999999997</v>
      </c>
      <c r="AD82" s="95">
        <f>Sheet1!AA84+Sheet1!BN84+'Calculations II'!BC82-Calculation!AS82-Calculation!DJ82</f>
        <v>33.472225463643468</v>
      </c>
      <c r="AE82" s="95">
        <f>Sheet1!AA84+Sheet1!AB84+'Calculations II'!BC82-Calculation!AS82-Calculation!DJ82</f>
        <v>42.972225463643468</v>
      </c>
      <c r="AF82" s="95">
        <f ca="1">Sheet1!AA84+Sheet1!BN84+P82+'Calculations II'!BC82+Calculation!AS82+Calculation!DJ82</f>
        <v>53.333647402569625</v>
      </c>
      <c r="AG82" s="95">
        <f ca="1">IF(B82=TODAY(),0,Sheet1!AA84+Sheet1!BN84+'Calculations II'!BC82+'Calculations II'!P82-Sheet1!CT84-BP82)</f>
        <v>27.869480866213095</v>
      </c>
      <c r="AH82" s="95">
        <f ca="1">IF(B82=TODAY(),0,Sheet1!AA84+Sheet1!BN84+'Calculations II'!BC82+'Calculations II'!P82-BP82)</f>
        <v>43.780480866213097</v>
      </c>
      <c r="AI82" s="95">
        <f ca="1">IF(B82=TODAY(),0,BC82+Sheet1!AA84+Calculation!ES82+O82+W82+Sheet1!BN84+Calculation!AS82+Calculation!DJ82-BP82)</f>
        <v>53.333647402569625</v>
      </c>
      <c r="AJ82" s="95"/>
      <c r="AM82" s="91">
        <f t="shared" ref="AM82:AM145" si="16">B82</f>
        <v>41710</v>
      </c>
      <c r="AN82" s="95">
        <f>Sheet1!BU84</f>
        <v>20.6</v>
      </c>
      <c r="AO82" s="95">
        <f>Sheet1!AA84</f>
        <v>21.27</v>
      </c>
      <c r="AP82" s="95">
        <f t="shared" si="11"/>
        <v>-0.42935000000000312</v>
      </c>
      <c r="AQ82" s="1055">
        <f>((Sheet1!BV84-(Sheet1!BU84-AP82))/(Sheet1!BU84-AP82))</f>
        <v>4.1401660060819474E-2</v>
      </c>
      <c r="AR82" s="95">
        <f t="shared" si="12"/>
        <v>21.699350000000003</v>
      </c>
      <c r="AS82" s="95">
        <f t="shared" si="13"/>
        <v>21.029350000000004</v>
      </c>
      <c r="AT82" s="90">
        <f>Sheet1!BB84</f>
        <v>1</v>
      </c>
      <c r="AU82" s="90">
        <f>Sheet1!AS84*GPMtoMGD</f>
        <v>3.3120000000000004E-2</v>
      </c>
      <c r="AV82" s="95">
        <f>Sheet1!AT84</f>
        <v>0</v>
      </c>
      <c r="AW82" s="90">
        <f>Sheet1!AV84*GPMtoMGD</f>
        <v>0.45561600000000002</v>
      </c>
      <c r="AX82" s="90">
        <f>Sheet1!AW84*GPMtoMGD</f>
        <v>0.54432000000000003</v>
      </c>
      <c r="AY82" s="90">
        <f>Sheet1!AX84*GPMtoMGD</f>
        <v>0</v>
      </c>
      <c r="AZ82" s="90">
        <f>Sheet1!AY84*GPMtoMGD</f>
        <v>0</v>
      </c>
      <c r="BA82" s="90">
        <f>Sheet1!AZ84*GPMtoMGD</f>
        <v>0</v>
      </c>
      <c r="BB82" s="90">
        <f>Sheet1!BP84*GPMtoMGD</f>
        <v>0</v>
      </c>
      <c r="BC82" s="90">
        <f>Sheet1!CS84*GPMtoMGD</f>
        <v>5.7553920000000005</v>
      </c>
      <c r="BD82" s="90">
        <f>Sheet1!BO84*GPMtoMGD</f>
        <v>1.5199200000000002</v>
      </c>
      <c r="BE82" s="90">
        <f>Sheet1!BW84*GPMtoMGD</f>
        <v>0.6769440000000001</v>
      </c>
      <c r="BF82" s="90">
        <f>Sheet1!CN84*GPMtoMGD</f>
        <v>1.1808000000000001</v>
      </c>
      <c r="BG82" s="90">
        <f>Sheet1!CO84*GPMtoMGD</f>
        <v>0.46310400000000007</v>
      </c>
      <c r="BH82" s="90">
        <f>Sheet1!CP84*GPMtoMGD</f>
        <v>0.65044800000000003</v>
      </c>
      <c r="BI82" s="90">
        <f t="shared" ref="BI82:BI145" si="17">BD82+BB82</f>
        <v>1.5199200000000002</v>
      </c>
      <c r="BK82" s="95">
        <f>SUM(AT82:BA82,BE82,Sheet1!BV84,'Calculations II'!BC82,Calculation!AQ82)</f>
        <v>46.315352906958566</v>
      </c>
      <c r="BM82" s="373">
        <f>0</f>
        <v>0</v>
      </c>
      <c r="BN82" s="373">
        <f>0</f>
        <v>0</v>
      </c>
      <c r="BP82" s="95">
        <f>SUM(BM82:BN82,W82,Sheet1!DX84)</f>
        <v>0</v>
      </c>
    </row>
    <row r="83" spans="1:68" s="90" customFormat="1">
      <c r="A83" s="651" t="s">
        <v>7</v>
      </c>
      <c r="B83" s="92">
        <v>41711</v>
      </c>
      <c r="C83" s="93">
        <v>0</v>
      </c>
      <c r="D83" s="95">
        <f>(Sheet1!BQ85-Sheet1!BQ84)*1.385</f>
        <v>-1.3573000000000006</v>
      </c>
      <c r="E83" s="30">
        <f>(Sheet1!BR85-Sheet1!BR84)*1.385</f>
        <v>-1.4126999999999994</v>
      </c>
      <c r="F83" s="30">
        <f ca="1">IF(B83=TODAY(),0,-(VLOOKUP(Sheet1!CD85,Lookup!$I$4:$J$216,2)-VLOOKUP(Sheet1!CD84,Lookup!$I$4:$J$216,2))/1000000)</f>
        <v>-0.31091081564339806</v>
      </c>
      <c r="G83" s="95">
        <f ca="1">IF(B83=TODAY(),0,-$G$6*(Sheet1!CF85-Sheet1!CF84)*7.48/1000000)</f>
        <v>0.19856750526279648</v>
      </c>
      <c r="H83" s="95">
        <f ca="1">IF(B83=TODAY(),0,-$H$6*(Sheet1!CE85-Sheet1!CE84)*7.48/1000000)</f>
        <v>-3.0078864702530548E-2</v>
      </c>
      <c r="I83" s="95">
        <f ca="1">IF(B83=TODAY(),0,-$I$6*(Sheet1!CG85-Sheet1!CG84)*7.48/1000000)</f>
        <v>-8.9849760000000473E-3</v>
      </c>
      <c r="J83" s="96" t="s">
        <v>186</v>
      </c>
      <c r="K83" s="95">
        <f ca="1">IF(B83=TODAY(),0,-$K$6*(Sheet1!CH85-Sheet1!CH84)*7.48/1000000)</f>
        <v>-6.6633203744585374E-3</v>
      </c>
      <c r="L83" s="96" t="s">
        <v>186</v>
      </c>
      <c r="M83" s="95">
        <f ca="1">IF(B83=TODAY(),0,-$M$6*(Sheet1!CI85-Sheet1!CI84)*7.48/1000000)</f>
        <v>-3.598301685605397E-2</v>
      </c>
      <c r="N83" s="95">
        <f ca="1">IF(B83=TODAY(),0,-$N$6*(Sheet1!CJ85-Sheet1!CJ84)*7.48/1000000)</f>
        <v>-0.29785125789419498</v>
      </c>
      <c r="O83" s="95">
        <f t="shared" ca="1" si="14"/>
        <v>-0.49190474620783969</v>
      </c>
      <c r="P83" s="95">
        <f ca="1">O83+Calculation!ES83</f>
        <v>2.4167113179763748</v>
      </c>
      <c r="Q83" s="90" t="str">
        <f>IF(Sheet1!BQ85&gt;25.75,"spill elevation","-")</f>
        <v>-</v>
      </c>
      <c r="R83" s="90" t="str">
        <f>IF(Sheet1!BQ85&gt;25.75,"spill elevation","-")</f>
        <v>-</v>
      </c>
      <c r="S83" s="90" t="str">
        <f>IF(Sheet1!BR85&gt;25.75,"spill elevation","-")</f>
        <v>-</v>
      </c>
      <c r="T83" s="94">
        <f>IF(Sheet1!DU85=1,Sheet1!AA85-(SUM(AT83:BA83)+BE83),Sheet1!AA85-SUM(AT83:BA83))</f>
        <v>18.998511999999998</v>
      </c>
      <c r="U83" s="94">
        <f>Sheet1!BV85</f>
        <v>24.1</v>
      </c>
      <c r="V83" s="94">
        <f t="shared" si="15"/>
        <v>-5.1014880000000034</v>
      </c>
      <c r="W83" s="94">
        <f>0</f>
        <v>0</v>
      </c>
      <c r="X83" s="90">
        <f>0</f>
        <v>0</v>
      </c>
      <c r="Y83" s="95">
        <f ca="1">Calculation!EJ84+Calculation!ES83+'Calculations II'!O83-'Calculations II'!W83</f>
        <v>56.540839317976378</v>
      </c>
      <c r="Z83" s="95">
        <f ca="1">Y83-Sheet1!CT86</f>
        <v>38.618839317976381</v>
      </c>
      <c r="AA83" s="95">
        <f ca="1">Y83+Calculation!DJ84+Calculation!AS84</f>
        <v>66.067417234969327</v>
      </c>
      <c r="AC83" s="95">
        <f>Sheet1!AA85+Sheet1!AB85+BC83</f>
        <v>53.791215999999991</v>
      </c>
      <c r="AD83" s="95">
        <f>Sheet1!AA85+Sheet1!BN85+'Calculations II'!BC83-Calculation!AS83-Calculation!DJ83</f>
        <v>34.66457149472037</v>
      </c>
      <c r="AE83" s="95">
        <f>Sheet1!AA85+Sheet1!AB85+'Calculations II'!BC83-Calculation!AS83-Calculation!DJ83</f>
        <v>44.224571494720365</v>
      </c>
      <c r="AF83" s="95">
        <f ca="1">Sheet1!AA85+Sheet1!BN85+P83+'Calculations II'!BC83+Calculation!AS83+Calculation!DJ83</f>
        <v>56.214571823255994</v>
      </c>
      <c r="AG83" s="95">
        <f ca="1">IF(B83=TODAY(),0,Sheet1!AA85+Sheet1!BN85+'Calculations II'!BC83+'Calculations II'!P83-Sheet1!CT85-BP83)</f>
        <v>28.664927317976368</v>
      </c>
      <c r="AH83" s="95">
        <f ca="1">IF(B83=TODAY(),0,Sheet1!AA85+Sheet1!BN85+'Calculations II'!BC83+'Calculations II'!P83-BP83)</f>
        <v>46.647927317976368</v>
      </c>
      <c r="AI83" s="95">
        <f ca="1">IF(B83=TODAY(),0,BC83+Sheet1!AA85+Calculation!ES83+O83+W83+Sheet1!BN85+Calculation!AS83+Calculation!DJ83-BP83)</f>
        <v>56.214571823255994</v>
      </c>
      <c r="AJ83" s="95"/>
      <c r="AM83" s="91">
        <f t="shared" si="16"/>
        <v>41711</v>
      </c>
      <c r="AN83" s="95">
        <f>Sheet1!BU85</f>
        <v>20.399999999999999</v>
      </c>
      <c r="AO83" s="95">
        <f>Sheet1!AA85</f>
        <v>21.4</v>
      </c>
      <c r="AP83" s="95">
        <f t="shared" si="11"/>
        <v>-2.77</v>
      </c>
      <c r="AQ83" s="1055">
        <f>((Sheet1!BV85-(Sheet1!BU85-AP83))/(Sheet1!BU85-AP83))</f>
        <v>4.0138109624514605E-2</v>
      </c>
      <c r="AR83" s="95">
        <f t="shared" si="12"/>
        <v>24.169999999999998</v>
      </c>
      <c r="AS83" s="95">
        <f t="shared" si="13"/>
        <v>23.169999999999998</v>
      </c>
      <c r="AT83" s="90">
        <f>Sheet1!BB85</f>
        <v>0.99</v>
      </c>
      <c r="AU83" s="90">
        <f>Sheet1!AS85*GPMtoMGD</f>
        <v>3.3695999999999997E-2</v>
      </c>
      <c r="AV83" s="95">
        <f>Sheet1!AT85</f>
        <v>0</v>
      </c>
      <c r="AW83" s="90">
        <f>Sheet1!AV85*GPMtoMGD</f>
        <v>0.63360000000000005</v>
      </c>
      <c r="AX83" s="90">
        <f>Sheet1!AW85*GPMtoMGD</f>
        <v>0.74419199999999996</v>
      </c>
      <c r="AY83" s="90">
        <f>Sheet1!AX85*GPMtoMGD</f>
        <v>0</v>
      </c>
      <c r="AZ83" s="90">
        <f>Sheet1!AY85*GPMtoMGD</f>
        <v>0</v>
      </c>
      <c r="BA83" s="90">
        <f>Sheet1!AZ85*GPMtoMGD</f>
        <v>0</v>
      </c>
      <c r="BB83" s="90">
        <f>Sheet1!BP85*GPMtoMGD</f>
        <v>0</v>
      </c>
      <c r="BC83" s="90">
        <f>Sheet1!CS85*GPMtoMGD</f>
        <v>6.8312159999999995</v>
      </c>
      <c r="BD83" s="90">
        <f>Sheet1!BO85*GPMtoMGD</f>
        <v>1.513584</v>
      </c>
      <c r="BE83" s="90">
        <f>Sheet1!BW85*GPMtoMGD</f>
        <v>0.94896000000000003</v>
      </c>
      <c r="BF83" s="90">
        <f>Sheet1!CN85*GPMtoMGD</f>
        <v>1.1808000000000001</v>
      </c>
      <c r="BG83" s="90">
        <f>Sheet1!CO85*GPMtoMGD</f>
        <v>0.45676800000000001</v>
      </c>
      <c r="BH83" s="90">
        <f>Sheet1!CP85*GPMtoMGD</f>
        <v>0.65793599999999997</v>
      </c>
      <c r="BI83" s="90">
        <f t="shared" si="17"/>
        <v>1.513584</v>
      </c>
      <c r="BK83" s="95">
        <f>SUM(AT83:BA83,BE83,Sheet1!BV85,'Calculations II'!BC83,Calculation!AQ83)</f>
        <v>50.275406667188108</v>
      </c>
      <c r="BM83" s="373">
        <f>0</f>
        <v>0</v>
      </c>
      <c r="BN83" s="373">
        <f>0</f>
        <v>0</v>
      </c>
      <c r="BP83" s="95">
        <f>SUM(BM83:BN83,W83,Sheet1!DX85)</f>
        <v>0</v>
      </c>
    </row>
    <row r="84" spans="1:68" s="90" customFormat="1">
      <c r="A84" s="651" t="s">
        <v>8</v>
      </c>
      <c r="B84" s="92">
        <v>41712</v>
      </c>
      <c r="C84" s="93">
        <v>0</v>
      </c>
      <c r="D84" s="95">
        <f>(Sheet1!BQ86-Sheet1!BQ85)*1.385</f>
        <v>0.19390000000000079</v>
      </c>
      <c r="E84" s="30">
        <f>(Sheet1!BR86-Sheet1!BR85)*1.385</f>
        <v>0.27699999999999902</v>
      </c>
      <c r="F84" s="30">
        <f ca="1">IF(B84=TODAY(),0,-(VLOOKUP(Sheet1!CD86,Lookup!$I$4:$J$216,2)-VLOOKUP(Sheet1!CD85,Lookup!$I$4:$J$216,2))/1000000)</f>
        <v>1.0363693854779992</v>
      </c>
      <c r="G84" s="95">
        <f ca="1">IF(B84=TODAY(),0,-$G$6*(Sheet1!CF86-Sheet1!CF85)*7.48/1000000)</f>
        <v>-1.1119780294716608</v>
      </c>
      <c r="H84" s="95">
        <f ca="1">IF(B84=TODAY(),0,-$H$6*(Sheet1!CE86-Sheet1!CE85)*7.48/1000000)</f>
        <v>-1.5039432351265274E-2</v>
      </c>
      <c r="I84" s="95">
        <f ca="1">IF(B84=TODAY(),0,-$I$6*(Sheet1!CG86-Sheet1!CG85)*7.48/1000000)</f>
        <v>4.4924880000000635E-3</v>
      </c>
      <c r="J84" s="96" t="s">
        <v>186</v>
      </c>
      <c r="K84" s="95">
        <f ca="1">IF(B84=TODAY(),0,-$K$6*(Sheet1!CH86-Sheet1!CH85)*7.48/1000000)</f>
        <v>6.6633203744585374E-3</v>
      </c>
      <c r="L84" s="96" t="s">
        <v>186</v>
      </c>
      <c r="M84" s="95">
        <f ca="1">IF(B84=TODAY(),0,-$M$6*(Sheet1!CI86-Sheet1!CI85)*7.48/1000000)</f>
        <v>3.598301685605397E-2</v>
      </c>
      <c r="N84" s="95">
        <f ca="1">IF(B84=TODAY(),0,-$N$6*(Sheet1!CJ86-Sheet1!CJ85)*7.48/1000000)</f>
        <v>1.2658678460503281</v>
      </c>
      <c r="O84" s="95">
        <f t="shared" ca="1" si="14"/>
        <v>1.2223585949359137</v>
      </c>
      <c r="P84" s="95">
        <f ca="1">O84+Calculation!ES84</f>
        <v>0.66844512818288537</v>
      </c>
      <c r="Q84" s="90" t="str">
        <f>IF(Sheet1!BQ86&gt;25.75,"spill elevation","-")</f>
        <v>-</v>
      </c>
      <c r="R84" s="90" t="str">
        <f>IF(Sheet1!BQ86&gt;25.75,"spill elevation","-")</f>
        <v>-</v>
      </c>
      <c r="S84" s="90" t="str">
        <f>IF(Sheet1!BR86&gt;25.75,"spill elevation","-")</f>
        <v>-</v>
      </c>
      <c r="T84" s="94">
        <f>IF(Sheet1!DU86=1,Sheet1!AA86-(SUM(AT84:BA84)+BE84),Sheet1!AA86-SUM(AT84:BA84))</f>
        <v>18.831392000000001</v>
      </c>
      <c r="U84" s="94">
        <f>Sheet1!BV86</f>
        <v>21.9</v>
      </c>
      <c r="V84" s="94">
        <f t="shared" si="15"/>
        <v>-3.0686079999999976</v>
      </c>
      <c r="W84" s="94">
        <f>0</f>
        <v>0</v>
      </c>
      <c r="X84" s="90">
        <f>0</f>
        <v>0</v>
      </c>
      <c r="Y84" s="95">
        <f ca="1">Calculation!EJ85+Calculation!ES84+'Calculations II'!O84-'Calculations II'!W84</f>
        <v>54.376557128182881</v>
      </c>
      <c r="Z84" s="95">
        <f ca="1">Y84-Sheet1!CT87</f>
        <v>36.20955712818288</v>
      </c>
      <c r="AA84" s="95">
        <f ca="1">Y84+Calculation!DJ85+Calculation!AS85</f>
        <v>64.15691048507334</v>
      </c>
      <c r="AC84" s="95">
        <f>Sheet1!AA86+Sheet1!AB86+BC84</f>
        <v>54.124127999999999</v>
      </c>
      <c r="AD84" s="95">
        <f>Sheet1!AA86+Sheet1!BN86+'Calculations II'!BC84-Calculation!AS84-Calculation!DJ84</f>
        <v>35.09755008300705</v>
      </c>
      <c r="AE84" s="95">
        <f>Sheet1!AA86+Sheet1!AB86+'Calculations II'!BC84-Calculation!AS84-Calculation!DJ84</f>
        <v>44.59755008300705</v>
      </c>
      <c r="AF84" s="95">
        <f ca="1">Sheet1!AA86+Sheet1!BN86+P84+'Calculations II'!BC84+Calculation!AS84+Calculation!DJ84</f>
        <v>54.819151045175843</v>
      </c>
      <c r="AG84" s="95">
        <f ca="1">IF(B84=TODAY(),0,Sheet1!AA86+Sheet1!BN86+'Calculations II'!BC84+'Calculations II'!P84-Sheet1!CT86-BP84)</f>
        <v>27.370573128182887</v>
      </c>
      <c r="AH84" s="95">
        <f ca="1">IF(B84=TODAY(),0,Sheet1!AA86+Sheet1!BN86+'Calculations II'!BC84+'Calculations II'!P84-BP84)</f>
        <v>45.292573128182887</v>
      </c>
      <c r="AI84" s="95">
        <f ca="1">IF(B84=TODAY(),0,BC84+Sheet1!AA86+Calculation!ES84+O84+W84+Sheet1!BN86+Calculation!AS84+Calculation!DJ84-BP84)</f>
        <v>54.819151045175843</v>
      </c>
      <c r="AJ84" s="95"/>
      <c r="AM84" s="91">
        <f t="shared" si="16"/>
        <v>41712</v>
      </c>
      <c r="AN84" s="95">
        <f>Sheet1!BU86</f>
        <v>20.3</v>
      </c>
      <c r="AO84" s="95">
        <f>Sheet1!AA86</f>
        <v>21.3</v>
      </c>
      <c r="AP84" s="95">
        <f t="shared" si="11"/>
        <v>0.47089999999999982</v>
      </c>
      <c r="AQ84" s="1055">
        <f>((Sheet1!BV86-(Sheet1!BU86-AP84))/(Sheet1!BU86-AP84))</f>
        <v>0.10443741773454157</v>
      </c>
      <c r="AR84" s="95">
        <f t="shared" si="12"/>
        <v>20.8291</v>
      </c>
      <c r="AS84" s="95">
        <f t="shared" si="13"/>
        <v>19.8291</v>
      </c>
      <c r="AT84" s="90">
        <f>Sheet1!BB86</f>
        <v>0.97</v>
      </c>
      <c r="AU84" s="90">
        <f>Sheet1!AS86*GPMtoMGD</f>
        <v>3.2256E-2</v>
      </c>
      <c r="AV84" s="95">
        <f>Sheet1!AT86</f>
        <v>0</v>
      </c>
      <c r="AW84" s="90">
        <f>Sheet1!AV86*GPMtoMGD</f>
        <v>0.65433600000000003</v>
      </c>
      <c r="AX84" s="90">
        <f>Sheet1!AW86*GPMtoMGD</f>
        <v>0.81201600000000007</v>
      </c>
      <c r="AY84" s="90">
        <f>Sheet1!AX86*GPMtoMGD</f>
        <v>0</v>
      </c>
      <c r="AZ84" s="90">
        <f>Sheet1!AY86*GPMtoMGD</f>
        <v>0</v>
      </c>
      <c r="BA84" s="90">
        <f>Sheet1!AZ86*GPMtoMGD</f>
        <v>0</v>
      </c>
      <c r="BB84" s="90">
        <f>Sheet1!BP86*GPMtoMGD</f>
        <v>0</v>
      </c>
      <c r="BC84" s="90">
        <f>Sheet1!CS86*GPMtoMGD</f>
        <v>7.324128</v>
      </c>
      <c r="BD84" s="90">
        <f>Sheet1!BO86*GPMtoMGD</f>
        <v>1.4384160000000001</v>
      </c>
      <c r="BE84" s="90">
        <f>Sheet1!BW86*GPMtoMGD</f>
        <v>0.66542400000000013</v>
      </c>
      <c r="BF84" s="90">
        <f>Sheet1!CN86*GPMtoMGD</f>
        <v>1.1808000000000001</v>
      </c>
      <c r="BG84" s="90">
        <f>Sheet1!CO86*GPMtoMGD</f>
        <v>0.44913599999999998</v>
      </c>
      <c r="BH84" s="90">
        <f>Sheet1!CP86*GPMtoMGD</f>
        <v>0.66326400000000008</v>
      </c>
      <c r="BI84" s="90">
        <f t="shared" si="17"/>
        <v>1.4384160000000001</v>
      </c>
      <c r="BK84" s="95">
        <f>SUM(AT84:BA84,BE84,Sheet1!BV86,'Calculations II'!BC84,Calculation!AQ84)</f>
        <v>48.333101268598277</v>
      </c>
      <c r="BM84" s="373">
        <f>0</f>
        <v>0</v>
      </c>
      <c r="BN84" s="373">
        <f>0</f>
        <v>0</v>
      </c>
      <c r="BP84" s="95">
        <f>SUM(BM84:BN84,W84,Sheet1!DX86)</f>
        <v>0</v>
      </c>
    </row>
    <row r="85" spans="1:68" s="90" customFormat="1">
      <c r="A85" s="651" t="s">
        <v>9</v>
      </c>
      <c r="B85" s="92">
        <v>41713</v>
      </c>
      <c r="C85" s="93">
        <v>0</v>
      </c>
      <c r="D85" s="95">
        <f>(Sheet1!BQ87-Sheet1!BQ86)*1.385</f>
        <v>-1.8835999999999993</v>
      </c>
      <c r="E85" s="30">
        <f>(Sheet1!BR87-Sheet1!BR86)*1.385</f>
        <v>-1.9389999999999981</v>
      </c>
      <c r="F85" s="30">
        <f ca="1">IF(B85=TODAY(),0,-(VLOOKUP(Sheet1!CD87,Lookup!$I$4:$J$216,2)-VLOOKUP(Sheet1!CD86,Lookup!$I$4:$J$216,2))/1000000)</f>
        <v>-0.51818469273900236</v>
      </c>
      <c r="G85" s="95">
        <f ca="1">IF(B85=TODAY(),0,-$G$6*(Sheet1!CF87-Sheet1!CF86)*7.48/1000000)</f>
        <v>0.23828100631535634</v>
      </c>
      <c r="H85" s="95">
        <f ca="1">IF(B85=TODAY(),0,-$H$6*(Sheet1!CE87-Sheet1!CE86)*7.48/1000000)</f>
        <v>7.5197161756325293E-2</v>
      </c>
      <c r="I85" s="95">
        <f ca="1">IF(B85=TODAY(),0,-$I$6*(Sheet1!CG87-Sheet1!CG86)*7.48/1000000)</f>
        <v>4.4924879999999837E-3</v>
      </c>
      <c r="J85" s="96" t="s">
        <v>186</v>
      </c>
      <c r="K85" s="95">
        <f ca="1">IF(B85=TODAY(),0,-$K$6*(Sheet1!CH87-Sheet1!CH86)*7.48/1000000)</f>
        <v>6.6633203744584186E-3</v>
      </c>
      <c r="L85" s="96" t="s">
        <v>186</v>
      </c>
      <c r="M85" s="95">
        <f ca="1">IF(B85=TODAY(),0,-$M$6*(Sheet1!CI87-Sheet1!CI86)*7.48/1000000)</f>
        <v>1.7991508428026663E-2</v>
      </c>
      <c r="N85" s="95">
        <f ca="1">IF(B85=TODAY(),0,-$N$6*(Sheet1!CJ87-Sheet1!CJ86)*7.48/1000000)</f>
        <v>-0.67016533026193814</v>
      </c>
      <c r="O85" s="95">
        <f t="shared" ca="1" si="14"/>
        <v>-0.84572453812677384</v>
      </c>
      <c r="P85" s="95">
        <f ca="1">O85+Calculation!ES85</f>
        <v>3.0305932732814442</v>
      </c>
      <c r="Q85" s="90" t="str">
        <f>IF(Sheet1!BQ87&gt;25.75,"spill elevation","-")</f>
        <v>-</v>
      </c>
      <c r="R85" s="90" t="str">
        <f>IF(Sheet1!BQ87&gt;25.75,"spill elevation","-")</f>
        <v>-</v>
      </c>
      <c r="S85" s="90" t="str">
        <f>IF(Sheet1!BR87&gt;25.75,"spill elevation","-")</f>
        <v>-</v>
      </c>
      <c r="T85" s="94">
        <f>IF(Sheet1!DU87=1,Sheet1!AA87-(SUM(AT85:BA85)+BE85),Sheet1!AA87-SUM(AT85:BA85))</f>
        <v>18.637647999999999</v>
      </c>
      <c r="U85" s="94">
        <f>Sheet1!BV87</f>
        <v>23.7</v>
      </c>
      <c r="V85" s="94">
        <f t="shared" si="15"/>
        <v>-5.0623520000000006</v>
      </c>
      <c r="W85" s="94">
        <f>0</f>
        <v>0</v>
      </c>
      <c r="X85" s="90">
        <f>0</f>
        <v>0</v>
      </c>
      <c r="Y85" s="95">
        <f ca="1">Calculation!EJ86+Calculation!ES85+'Calculations II'!O85-'Calculations II'!W85</f>
        <v>56.081137273281449</v>
      </c>
      <c r="Z85" s="95">
        <f ca="1">Y85-Sheet1!CT88</f>
        <v>38.435137273281448</v>
      </c>
      <c r="AA85" s="95">
        <f ca="1">Y85+Calculation!DJ86+Calculation!AS86</f>
        <v>65.841636493250249</v>
      </c>
      <c r="AC85" s="95">
        <f>Sheet1!AA87+Sheet1!AB87+BC85</f>
        <v>53.708112</v>
      </c>
      <c r="AD85" s="95">
        <f>Sheet1!AA87+Sheet1!BN87+'Calculations II'!BC85-Calculation!AS85-Calculation!DJ85</f>
        <v>34.127758643109544</v>
      </c>
      <c r="AE85" s="95">
        <f>Sheet1!AA87+Sheet1!AB87+'Calculations II'!BC85-Calculation!AS85-Calculation!DJ85</f>
        <v>43.927758643109541</v>
      </c>
      <c r="AF85" s="95">
        <f ca="1">Sheet1!AA87+Sheet1!BN87+P85+'Calculations II'!BC85+Calculation!AS85+Calculation!DJ85</f>
        <v>56.719058630171908</v>
      </c>
      <c r="AG85" s="95">
        <f ca="1">IF(B85=TODAY(),0,Sheet1!AA87+Sheet1!BN87+'Calculations II'!BC85+'Calculations II'!P85-Sheet1!CT87-BP85)</f>
        <v>28.771705273281448</v>
      </c>
      <c r="AH85" s="95">
        <f ca="1">IF(B85=TODAY(),0,Sheet1!AA87+Sheet1!BN87+'Calculations II'!BC85+'Calculations II'!P85-BP85)</f>
        <v>46.93870527328145</v>
      </c>
      <c r="AI85" s="95">
        <f ca="1">IF(B85=TODAY(),0,BC85+Sheet1!AA87+Calculation!ES85+O85+W85+Sheet1!BN87+Calculation!AS85+Calculation!DJ85-BP85)</f>
        <v>56.719058630171901</v>
      </c>
      <c r="AJ85" s="95"/>
      <c r="AM85" s="91">
        <f t="shared" si="16"/>
        <v>41713</v>
      </c>
      <c r="AN85" s="95">
        <f>Sheet1!BU87</f>
        <v>20.100000000000001</v>
      </c>
      <c r="AO85" s="95">
        <f>Sheet1!AA87</f>
        <v>21.3</v>
      </c>
      <c r="AP85" s="95">
        <f t="shared" si="11"/>
        <v>-3.8225999999999973</v>
      </c>
      <c r="AQ85" s="1055">
        <f>((Sheet1!BV87-(Sheet1!BU87-AP85))/(Sheet1!BU87-AP85))</f>
        <v>-9.3050086529056168E-3</v>
      </c>
      <c r="AR85" s="95">
        <f t="shared" si="12"/>
        <v>25.122599999999998</v>
      </c>
      <c r="AS85" s="95">
        <f t="shared" si="13"/>
        <v>23.922599999999999</v>
      </c>
      <c r="AT85" s="90">
        <f>Sheet1!BB87</f>
        <v>0.98</v>
      </c>
      <c r="AU85" s="90">
        <f>Sheet1!AS87*GPMtoMGD</f>
        <v>1.8287999999999999E-2</v>
      </c>
      <c r="AV85" s="95">
        <f>Sheet1!AT87</f>
        <v>0</v>
      </c>
      <c r="AW85" s="90">
        <f>Sheet1!AV87*GPMtoMGD</f>
        <v>0.76248000000000005</v>
      </c>
      <c r="AX85" s="90">
        <f>Sheet1!AW87*GPMtoMGD</f>
        <v>0.90158400000000005</v>
      </c>
      <c r="AY85" s="90">
        <f>Sheet1!AX87*GPMtoMGD</f>
        <v>0</v>
      </c>
      <c r="AZ85" s="90">
        <f>Sheet1!AY87*GPMtoMGD</f>
        <v>0</v>
      </c>
      <c r="BA85" s="90">
        <f>Sheet1!AZ87*GPMtoMGD</f>
        <v>0</v>
      </c>
      <c r="BB85" s="90">
        <f>Sheet1!BP87*GPMtoMGD</f>
        <v>0</v>
      </c>
      <c r="BC85" s="90">
        <f>Sheet1!CS87*GPMtoMGD</f>
        <v>6.9081120000000009</v>
      </c>
      <c r="BD85" s="90">
        <f>Sheet1!BO87*GPMtoMGD</f>
        <v>1.5351839999999999</v>
      </c>
      <c r="BE85" s="90">
        <f>Sheet1!BW87*GPMtoMGD</f>
        <v>0.87667200000000001</v>
      </c>
      <c r="BF85" s="90">
        <f>Sheet1!CN87*GPMtoMGD</f>
        <v>1.1808000000000001</v>
      </c>
      <c r="BG85" s="90">
        <f>Sheet1!CO87*GPMtoMGD</f>
        <v>0.48268800000000001</v>
      </c>
      <c r="BH85" s="90">
        <f>Sheet1!CP87*GPMtoMGD</f>
        <v>0.61588799999999999</v>
      </c>
      <c r="BI85" s="90">
        <f t="shared" si="17"/>
        <v>1.5351839999999999</v>
      </c>
      <c r="BK85" s="95">
        <f>SUM(AT85:BA85,BE85,Sheet1!BV87,'Calculations II'!BC85,Calculation!AQ85)</f>
        <v>49.865628343934041</v>
      </c>
      <c r="BM85" s="373">
        <f>0</f>
        <v>0</v>
      </c>
      <c r="BN85" s="373">
        <f>0</f>
        <v>0</v>
      </c>
      <c r="BP85" s="95">
        <f>SUM(BM85:BN85,W85,Sheet1!DX87)</f>
        <v>0</v>
      </c>
    </row>
    <row r="86" spans="1:68" s="90" customFormat="1">
      <c r="A86" s="651" t="s">
        <v>3</v>
      </c>
      <c r="B86" s="92">
        <v>41714</v>
      </c>
      <c r="C86" s="93">
        <v>0</v>
      </c>
      <c r="D86" s="95">
        <f>(Sheet1!BQ88-Sheet1!BQ87)*1.385</f>
        <v>-1.3296000000000012</v>
      </c>
      <c r="E86" s="30">
        <f>(Sheet1!BR88-Sheet1!BR87)*1.385</f>
        <v>-1.2465000000000031</v>
      </c>
      <c r="F86" s="30">
        <f ca="1">IF(B86=TODAY(),0,-(VLOOKUP(Sheet1!CD88,Lookup!$I$4:$J$216,2)-VLOOKUP(Sheet1!CD87,Lookup!$I$4:$J$216,2))/1000000)</f>
        <v>-0.31091081564339806</v>
      </c>
      <c r="G86" s="95">
        <f ca="1">IF(B86=TODAY(),0,-$G$6*(Sheet1!CF88-Sheet1!CF87)*7.48/1000000)</f>
        <v>0.31770800842047398</v>
      </c>
      <c r="H86" s="95">
        <f ca="1">IF(B86=TODAY(),0,-$H$6*(Sheet1!CE88-Sheet1!CE87)*7.48/1000000)</f>
        <v>-1.5039432351264204E-2</v>
      </c>
      <c r="I86" s="95">
        <f ca="1">IF(B86=TODAY(),0,-$I$6*(Sheet1!CG88-Sheet1!CG87)*7.48/1000000)</f>
        <v>-8.9849760000000473E-3</v>
      </c>
      <c r="J86" s="96" t="s">
        <v>186</v>
      </c>
      <c r="K86" s="95">
        <f ca="1">IF(B86=TODAY(),0,-$K$6*(Sheet1!CH88-Sheet1!CH87)*7.48/1000000)</f>
        <v>-1.3326640748916953E-2</v>
      </c>
      <c r="L86" s="96" t="s">
        <v>186</v>
      </c>
      <c r="M86" s="95">
        <f ca="1">IF(B86=TODAY(),0,-$M$6*(Sheet1!CI88-Sheet1!CI87)*7.48/1000000)</f>
        <v>-5.3974525284080636E-2</v>
      </c>
      <c r="N86" s="95">
        <f ca="1">IF(B86=TODAY(),0,-$N$6*(Sheet1!CJ88-Sheet1!CJ87)*7.48/1000000)</f>
        <v>-0.31026172697311949</v>
      </c>
      <c r="O86" s="95">
        <f t="shared" ca="1" si="14"/>
        <v>-0.39479010858030544</v>
      </c>
      <c r="P86" s="95">
        <f ca="1">O86+Calculation!ES86</f>
        <v>2.2341397750978698</v>
      </c>
      <c r="Q86" s="90" t="str">
        <f>IF(Sheet1!BQ88&gt;25.75,"spill elevation","-")</f>
        <v>-</v>
      </c>
      <c r="R86" s="90" t="str">
        <f>IF(Sheet1!BQ88&gt;25.75,"spill elevation","-")</f>
        <v>-</v>
      </c>
      <c r="S86" s="90" t="str">
        <f>IF(Sheet1!BR88&gt;25.75,"spill elevation","-")</f>
        <v>-</v>
      </c>
      <c r="T86" s="94">
        <f>IF(Sheet1!DU88=1,Sheet1!AA88-(SUM(AT86:BA86)+BE86),Sheet1!AA88-SUM(AT86:BA86))</f>
        <v>18.707871999999998</v>
      </c>
      <c r="U86" s="94">
        <f>Sheet1!BV88</f>
        <v>23.6</v>
      </c>
      <c r="V86" s="94">
        <f t="shared" si="15"/>
        <v>-4.8921280000000031</v>
      </c>
      <c r="W86" s="94">
        <f>0</f>
        <v>0</v>
      </c>
      <c r="X86" s="90">
        <f>0</f>
        <v>0</v>
      </c>
      <c r="Y86" s="95">
        <f ca="1">Calculation!EJ87+Calculation!ES86+'Calculations II'!O86-'Calculations II'!W86</f>
        <v>57.524875775097883</v>
      </c>
      <c r="Z86" s="95">
        <f ca="1">Y86-Sheet1!CT89</f>
        <v>40.175875775097879</v>
      </c>
      <c r="AA86" s="95">
        <f ca="1">Y86+Calculation!DJ87+Calculation!AS87</f>
        <v>67.218214218946102</v>
      </c>
      <c r="AC86" s="95">
        <f>Sheet1!AA88+Sheet1!AB88+BC86</f>
        <v>53.050544000000002</v>
      </c>
      <c r="AD86" s="95">
        <f>Sheet1!AA88+Sheet1!BN88+'Calculations II'!BC86-Calculation!AS86-Calculation!DJ86</f>
        <v>33.490044780031205</v>
      </c>
      <c r="AE86" s="95">
        <f>Sheet1!AA88+Sheet1!AB88+'Calculations II'!BC86-Calculation!AS86-Calculation!DJ86</f>
        <v>43.290044780031209</v>
      </c>
      <c r="AF86" s="95">
        <f ca="1">Sheet1!AA88+Sheet1!BN88+P86+'Calculations II'!BC86+Calculation!AS86+Calculation!DJ86</f>
        <v>55.245182995066664</v>
      </c>
      <c r="AG86" s="95">
        <f ca="1">IF(B86=TODAY(),0,Sheet1!AA88+Sheet1!BN88+'Calculations II'!BC86+'Calculations II'!P86-Sheet1!CT88-BP86)</f>
        <v>27.83868377509787</v>
      </c>
      <c r="AH86" s="95">
        <f ca="1">IF(B86=TODAY(),0,Sheet1!AA88+Sheet1!BN88+'Calculations II'!BC86+'Calculations II'!P86-BP86)</f>
        <v>45.484683775097871</v>
      </c>
      <c r="AI86" s="95">
        <f ca="1">IF(B86=TODAY(),0,BC86+Sheet1!AA88+Calculation!ES86+O86+W86+Sheet1!BN88+Calculation!AS86+Calculation!DJ86-BP86)</f>
        <v>55.245182995066664</v>
      </c>
      <c r="AJ86" s="95"/>
      <c r="AM86" s="91">
        <f t="shared" si="16"/>
        <v>41714</v>
      </c>
      <c r="AN86" s="95">
        <f>Sheet1!BU88</f>
        <v>20.2</v>
      </c>
      <c r="AO86" s="95">
        <f>Sheet1!AA88</f>
        <v>21</v>
      </c>
      <c r="AP86" s="95">
        <f t="shared" si="11"/>
        <v>-2.5761000000000043</v>
      </c>
      <c r="AQ86" s="1055">
        <f>((Sheet1!BV88-(Sheet1!BU88-AP86))/(Sheet1!BU88-AP86))</f>
        <v>3.6173884027555121E-2</v>
      </c>
      <c r="AR86" s="95">
        <f t="shared" si="12"/>
        <v>23.576100000000004</v>
      </c>
      <c r="AS86" s="95">
        <f t="shared" si="13"/>
        <v>22.776100000000003</v>
      </c>
      <c r="AT86" s="90">
        <f>Sheet1!BB88</f>
        <v>0.98</v>
      </c>
      <c r="AU86" s="90">
        <f>Sheet1!AS88*GPMtoMGD</f>
        <v>3.0384000000000005E-2</v>
      </c>
      <c r="AV86" s="95">
        <f>Sheet1!AT88</f>
        <v>0</v>
      </c>
      <c r="AW86" s="90">
        <f>Sheet1!AV88*GPMtoMGD</f>
        <v>0.56750400000000012</v>
      </c>
      <c r="AX86" s="90">
        <f>Sheet1!AW88*GPMtoMGD</f>
        <v>0.7142400000000001</v>
      </c>
      <c r="AY86" s="90">
        <f>Sheet1!AX88*GPMtoMGD</f>
        <v>0</v>
      </c>
      <c r="AZ86" s="90">
        <f>Sheet1!AY88*GPMtoMGD</f>
        <v>0</v>
      </c>
      <c r="BA86" s="90">
        <f>Sheet1!AZ88*GPMtoMGD</f>
        <v>0</v>
      </c>
      <c r="BB86" s="90">
        <f>Sheet1!BP88*GPMtoMGD</f>
        <v>3.9600000000000003E-2</v>
      </c>
      <c r="BC86" s="90">
        <f>Sheet1!CS88*GPMtoMGD</f>
        <v>6.3505440000000011</v>
      </c>
      <c r="BD86" s="90">
        <f>Sheet1!BO88*GPMtoMGD</f>
        <v>1.6642080000000001</v>
      </c>
      <c r="BE86" s="90">
        <f>Sheet1!BW88*GPMtoMGD</f>
        <v>0.81532800000000016</v>
      </c>
      <c r="BF86" s="90">
        <f>Sheet1!CN88*GPMtoMGD</f>
        <v>1.1808000000000001</v>
      </c>
      <c r="BG86" s="90">
        <f>Sheet1!CO88*GPMtoMGD</f>
        <v>0.52171200000000006</v>
      </c>
      <c r="BH86" s="90">
        <f>Sheet1!CP88*GPMtoMGD</f>
        <v>0.62265599999999999</v>
      </c>
      <c r="BI86" s="90">
        <f t="shared" si="17"/>
        <v>1.7038080000000002</v>
      </c>
      <c r="BK86" s="95">
        <f>SUM(AT86:BA86,BE86,Sheet1!BV88,'Calculations II'!BC86,Calculation!AQ86)</f>
        <v>48.995207488299528</v>
      </c>
      <c r="BM86" s="373">
        <f>0</f>
        <v>0</v>
      </c>
      <c r="BN86" s="373">
        <f>0</f>
        <v>0</v>
      </c>
      <c r="BP86" s="95">
        <f>SUM(BM86:BN86,W86,Sheet1!DX88)</f>
        <v>0</v>
      </c>
    </row>
    <row r="87" spans="1:68" s="90" customFormat="1">
      <c r="A87" s="651" t="s">
        <v>4</v>
      </c>
      <c r="B87" s="92">
        <v>41715</v>
      </c>
      <c r="C87" s="93">
        <v>0</v>
      </c>
      <c r="D87" s="95">
        <f>(Sheet1!BQ89-Sheet1!BQ88)*1.385</f>
        <v>0.56785000000000019</v>
      </c>
      <c r="E87" s="30">
        <f>(Sheet1!BR89-Sheet1!BR88)*1.385</f>
        <v>0.55400000000000293</v>
      </c>
      <c r="F87" s="30">
        <f ca="1">IF(B87=TODAY(),0,-(VLOOKUP(Sheet1!CD89,Lookup!$I$4:$J$216,2)-VLOOKUP(Sheet1!CD88,Lookup!$I$4:$J$216,2))/1000000)</f>
        <v>0.82909550838240054</v>
      </c>
      <c r="G87" s="95">
        <f ca="1">IF(B87=TODAY(),0,-$G$6*(Sheet1!CF89-Sheet1!CF88)*7.48/1000000)</f>
        <v>0.23828100631535562</v>
      </c>
      <c r="H87" s="95">
        <f ca="1">IF(B87=TODAY(),0,-$H$6*(Sheet1!CE89-Sheet1!CE88)*7.48/1000000)</f>
        <v>-7.5197161756325293E-2</v>
      </c>
      <c r="I87" s="95">
        <f ca="1">IF(B87=TODAY(),0,-$I$6*(Sheet1!CG89-Sheet1!CG88)*7.48/1000000)</f>
        <v>0</v>
      </c>
      <c r="J87" s="96" t="s">
        <v>186</v>
      </c>
      <c r="K87" s="95">
        <f ca="1">IF(B87=TODAY(),0,-$K$6*(Sheet1!CH89-Sheet1!CH88)*7.48/1000000)</f>
        <v>0</v>
      </c>
      <c r="L87" s="96" t="s">
        <v>186</v>
      </c>
      <c r="M87" s="95">
        <f ca="1">IF(B87=TODAY(),0,-$M$6*(Sheet1!CI89-Sheet1!CI88)*7.48/1000000)</f>
        <v>0</v>
      </c>
      <c r="N87" s="95">
        <f ca="1">IF(B87=TODAY(),0,-$N$6*(Sheet1!CJ89-Sheet1!CJ88)*7.48/1000000)</f>
        <v>-6.2052345394623676E-2</v>
      </c>
      <c r="O87" s="95">
        <f t="shared" ca="1" si="14"/>
        <v>0.93012700754680711</v>
      </c>
      <c r="P87" s="95">
        <f ca="1">O87+Calculation!ES87</f>
        <v>-0.31501228836622608</v>
      </c>
      <c r="Q87" s="90" t="str">
        <f>IF(Sheet1!BQ89&gt;25.75,"spill elevation","-")</f>
        <v>-</v>
      </c>
      <c r="R87" s="90" t="str">
        <f>IF(Sheet1!BQ89&gt;25.75,"spill elevation","-")</f>
        <v>-</v>
      </c>
      <c r="S87" s="90" t="str">
        <f>IF(Sheet1!BR89&gt;25.75,"spill elevation","-")</f>
        <v>-</v>
      </c>
      <c r="T87" s="94">
        <f>IF(Sheet1!DU89=1,Sheet1!AA89-(SUM(AT87:BA87)+BE87),Sheet1!AA89-SUM(AT87:BA87))</f>
        <v>18.998624</v>
      </c>
      <c r="U87" s="94">
        <f>Sheet1!BV89</f>
        <v>20.3</v>
      </c>
      <c r="V87" s="94">
        <f t="shared" si="15"/>
        <v>-1.3013760000000012</v>
      </c>
      <c r="W87" s="94">
        <f>0</f>
        <v>0</v>
      </c>
      <c r="X87" s="90">
        <f>0</f>
        <v>0</v>
      </c>
      <c r="Y87" s="95">
        <f ca="1">Calculation!EJ88+Calculation!ES87+'Calculations II'!O87-'Calculations II'!W87</f>
        <v>57.004683711633774</v>
      </c>
      <c r="Z87" s="95">
        <f ca="1">Y87-Sheet1!CT90</f>
        <v>39.584683711633772</v>
      </c>
      <c r="AA87" s="95">
        <f ca="1">Y87+Calculation!DJ88+Calculation!AS88</f>
        <v>66.57119623571856</v>
      </c>
      <c r="AC87" s="95">
        <f>Sheet1!AA89+Sheet1!AB89+BC87</f>
        <v>55.29073600000001</v>
      </c>
      <c r="AD87" s="95">
        <f>Sheet1!AA89+Sheet1!BN89+'Calculations II'!BC87-Calculation!AS87-Calculation!DJ87</f>
        <v>35.897397556151788</v>
      </c>
      <c r="AE87" s="95">
        <f>Sheet1!AA89+Sheet1!AB89+'Calculations II'!BC87-Calculation!AS87-Calculation!DJ87</f>
        <v>45.59739755615179</v>
      </c>
      <c r="AF87" s="95">
        <f ca="1">Sheet1!AA89+Sheet1!BN89+P87+'Calculations II'!BC87+Calculation!AS87+Calculation!DJ87</f>
        <v>54.969062155481993</v>
      </c>
      <c r="AG87" s="95">
        <f ca="1">IF(B87=TODAY(),0,Sheet1!AA89+Sheet1!BN89+'Calculations II'!BC87+'Calculations II'!P87-Sheet1!CT89-BP87)</f>
        <v>27.92672371163378</v>
      </c>
      <c r="AH87" s="95">
        <f ca="1">IF(B87=TODAY(),0,Sheet1!AA89+Sheet1!BN89+'Calculations II'!BC87+'Calculations II'!P87-BP87)</f>
        <v>45.275723711633781</v>
      </c>
      <c r="AI87" s="95">
        <f ca="1">IF(B87=TODAY(),0,BC87+Sheet1!AA89+Calculation!ES87+O87+W87+Sheet1!BN89+Calculation!AS87+Calculation!DJ87-BP87)</f>
        <v>54.969062155481993</v>
      </c>
      <c r="AJ87" s="95"/>
      <c r="AM87" s="91">
        <f t="shared" si="16"/>
        <v>41715</v>
      </c>
      <c r="AN87" s="95">
        <f>Sheet1!BU89</f>
        <v>20.3</v>
      </c>
      <c r="AO87" s="95">
        <f>Sheet1!AA89</f>
        <v>20.8</v>
      </c>
      <c r="AP87" s="95">
        <f t="shared" si="11"/>
        <v>1.1218500000000031</v>
      </c>
      <c r="AQ87" s="1055">
        <f>((Sheet1!BV89-(Sheet1!BU89-AP87))/(Sheet1!BU89-AP87))</f>
        <v>5.8496257459661236E-2</v>
      </c>
      <c r="AR87" s="95">
        <f t="shared" si="12"/>
        <v>19.678149999999999</v>
      </c>
      <c r="AS87" s="95">
        <f t="shared" si="13"/>
        <v>19.178149999999999</v>
      </c>
      <c r="AT87" s="90">
        <f>Sheet1!BB89</f>
        <v>0.98</v>
      </c>
      <c r="AU87" s="90">
        <f>Sheet1!AS89*GPMtoMGD</f>
        <v>3.0960000000000001E-2</v>
      </c>
      <c r="AV87" s="95">
        <f>Sheet1!AT89</f>
        <v>0</v>
      </c>
      <c r="AW87" s="90">
        <f>Sheet1!AV89*GPMtoMGD</f>
        <v>0.35798400000000002</v>
      </c>
      <c r="AX87" s="90">
        <f>Sheet1!AW89*GPMtoMGD</f>
        <v>0.43243200000000004</v>
      </c>
      <c r="AY87" s="90">
        <f>Sheet1!AX89*GPMtoMGD</f>
        <v>0</v>
      </c>
      <c r="AZ87" s="90">
        <f>Sheet1!AY89*GPMtoMGD</f>
        <v>0</v>
      </c>
      <c r="BA87" s="90">
        <f>Sheet1!AZ89*GPMtoMGD</f>
        <v>0</v>
      </c>
      <c r="BB87" s="90">
        <f>Sheet1!BP89*GPMtoMGD</f>
        <v>4.6080000000000001E-3</v>
      </c>
      <c r="BC87" s="90">
        <f>Sheet1!CS89*GPMtoMGD</f>
        <v>8.3907360000000004</v>
      </c>
      <c r="BD87" s="90">
        <f>Sheet1!BO89*GPMtoMGD</f>
        <v>1.5168960000000002</v>
      </c>
      <c r="BE87" s="90">
        <f>Sheet1!BW89*GPMtoMGD</f>
        <v>0.69062400000000013</v>
      </c>
      <c r="BF87" s="90">
        <f>Sheet1!CN89*GPMtoMGD</f>
        <v>1.1808000000000001</v>
      </c>
      <c r="BG87" s="90">
        <f>Sheet1!CO89*GPMtoMGD</f>
        <v>0.47721599999999997</v>
      </c>
      <c r="BH87" s="90">
        <f>Sheet1!CP89*GPMtoMGD</f>
        <v>0.67708800000000002</v>
      </c>
      <c r="BI87" s="90">
        <f t="shared" si="17"/>
        <v>1.5215040000000002</v>
      </c>
      <c r="BK87" s="95">
        <f>SUM(AT87:BA87,BE87,Sheet1!BV89,'Calculations II'!BC87,Calculation!AQ87)</f>
        <v>47.589021933307784</v>
      </c>
      <c r="BM87" s="373">
        <f>0</f>
        <v>0</v>
      </c>
      <c r="BN87" s="373">
        <f>0</f>
        <v>0</v>
      </c>
      <c r="BP87" s="95">
        <f>SUM(BM87:BN87,W87,Sheet1!DX89)</f>
        <v>0</v>
      </c>
    </row>
    <row r="88" spans="1:68" s="90" customFormat="1">
      <c r="A88" s="651" t="s">
        <v>5</v>
      </c>
      <c r="B88" s="92">
        <v>41716</v>
      </c>
      <c r="C88" s="93">
        <v>0</v>
      </c>
      <c r="D88" s="95">
        <f>(Sheet1!BQ90-Sheet1!BQ89)*1.385</f>
        <v>1.4542500000000009</v>
      </c>
      <c r="E88" s="30">
        <f>(Sheet1!BR90-Sheet1!BR89)*1.385</f>
        <v>1.385</v>
      </c>
      <c r="F88" s="30">
        <f ca="1">IF(B88=TODAY(),0,-(VLOOKUP(Sheet1!CD90,Lookup!$I$4:$J$216,2)-VLOOKUP(Sheet1!CD89,Lookup!$I$4:$J$216,2))/1000000)</f>
        <v>0.31091081564339806</v>
      </c>
      <c r="G88" s="95">
        <f ca="1">IF(B88=TODAY(),0,-$G$6*(Sheet1!CF90-Sheet1!CF89)*7.48/1000000)</f>
        <v>7.9427002105119021E-2</v>
      </c>
      <c r="H88" s="95">
        <f ca="1">IF(B88=TODAY(),0,-$H$6*(Sheet1!CE90-Sheet1!CE89)*7.48/1000000)</f>
        <v>-3.0078864702530548E-2</v>
      </c>
      <c r="I88" s="95">
        <f ca="1">IF(B88=TODAY(),0,-$I$6*(Sheet1!CG90-Sheet1!CG89)*7.48/1000000)</f>
        <v>6.7387320000000056E-2</v>
      </c>
      <c r="J88" s="96" t="s">
        <v>186</v>
      </c>
      <c r="K88" s="95">
        <f ca="1">IF(B88=TODAY(),0,-$K$6*(Sheet1!CH90-Sheet1!CH89)*7.48/1000000)</f>
        <v>0.11327644636579358</v>
      </c>
      <c r="L88" s="96" t="s">
        <v>186</v>
      </c>
      <c r="M88" s="95">
        <f ca="1">IF(B88=TODAY(),0,-$M$6*(Sheet1!CI90-Sheet1!CI89)*7.48/1000000)</f>
        <v>0.30585564327645964</v>
      </c>
      <c r="N88" s="95">
        <f ca="1">IF(B88=TODAY(),0,-$N$6*(Sheet1!CJ90-Sheet1!CJ89)*7.48/1000000)</f>
        <v>0.12410469078924735</v>
      </c>
      <c r="O88" s="95">
        <f t="shared" ca="1" si="14"/>
        <v>0.97088305347748716</v>
      </c>
      <c r="P88" s="95">
        <f ca="1">O88+Calculation!ES88</f>
        <v>-1.797018431774875</v>
      </c>
      <c r="Q88" s="90" t="str">
        <f>IF(Sheet1!BQ90&gt;25.75,"spill elevation","-")</f>
        <v>-</v>
      </c>
      <c r="R88" s="90" t="str">
        <f>IF(Sheet1!BQ90&gt;25.75,"spill elevation","-")</f>
        <v>-</v>
      </c>
      <c r="S88" s="90" t="str">
        <f>IF(Sheet1!BR90&gt;25.75,"spill elevation","-")</f>
        <v>-</v>
      </c>
      <c r="T88" s="94">
        <f>IF(Sheet1!DU90=1,Sheet1!AA90-(SUM(AT88:BA88)+BE88),Sheet1!AA90-SUM(AT88:BA88))</f>
        <v>19.071839999999998</v>
      </c>
      <c r="U88" s="94">
        <f>Sheet1!BV90</f>
        <v>18.399999999999999</v>
      </c>
      <c r="V88" s="94">
        <f t="shared" si="15"/>
        <v>0.67183999999999955</v>
      </c>
      <c r="W88" s="94">
        <f>0</f>
        <v>0</v>
      </c>
      <c r="X88" s="90">
        <f>0</f>
        <v>0</v>
      </c>
      <c r="Y88" s="95">
        <f ca="1">Calculation!EJ89+Calculation!ES88+'Calculations II'!O88-'Calculations II'!W88</f>
        <v>55.309061568225125</v>
      </c>
      <c r="Z88" s="95">
        <f ca="1">Y88-Sheet1!CT91</f>
        <v>38.215061568225124</v>
      </c>
      <c r="AA88" s="95">
        <f ca="1">Y88+Calculation!DJ89+Calculation!AS89</f>
        <v>64.8493071553318</v>
      </c>
      <c r="AC88" s="95">
        <f>Sheet1!AA90+Sheet1!AB90+BC88</f>
        <v>57.319696</v>
      </c>
      <c r="AD88" s="95">
        <f>Sheet1!AA90+Sheet1!BN90+'Calculations II'!BC88-Calculation!AS88-Calculation!DJ88</f>
        <v>38.153183475915228</v>
      </c>
      <c r="AE88" s="95">
        <f>Sheet1!AA90+Sheet1!AB90+'Calculations II'!BC88-Calculation!AS88-Calculation!DJ88</f>
        <v>47.753183475915222</v>
      </c>
      <c r="AF88" s="95">
        <f ca="1">Sheet1!AA90+Sheet1!BN90+P88+'Calculations II'!BC88+Calculation!AS88+Calculation!DJ88</f>
        <v>55.489190092309897</v>
      </c>
      <c r="AG88" s="95">
        <f ca="1">IF(B88=TODAY(),0,Sheet1!AA90+Sheet1!BN90+'Calculations II'!BC88+'Calculations II'!P88-Sheet1!CT90-BP88)</f>
        <v>28.502677568225124</v>
      </c>
      <c r="AH88" s="95">
        <f ca="1">IF(B88=TODAY(),0,Sheet1!AA90+Sheet1!BN90+'Calculations II'!BC88+'Calculations II'!P88-BP88)</f>
        <v>45.922677568225126</v>
      </c>
      <c r="AI88" s="95">
        <f ca="1">IF(B88=TODAY(),0,BC88+Sheet1!AA90+Calculation!ES88+O88+W88+Sheet1!BN90+Calculation!AS88+Calculation!DJ88-BP88)</f>
        <v>55.489190092309897</v>
      </c>
      <c r="AJ88" s="95"/>
      <c r="AM88" s="91">
        <f t="shared" si="16"/>
        <v>41716</v>
      </c>
      <c r="AN88" s="95">
        <f>Sheet1!BU90</f>
        <v>20.399999999999999</v>
      </c>
      <c r="AO88" s="95">
        <f>Sheet1!AA90</f>
        <v>20.9</v>
      </c>
      <c r="AP88" s="95">
        <f t="shared" si="11"/>
        <v>2.8392500000000007</v>
      </c>
      <c r="AQ88" s="1055">
        <f>((Sheet1!BV90-(Sheet1!BU90-AP88))/(Sheet1!BU90-AP88))</f>
        <v>4.7791238984667507E-2</v>
      </c>
      <c r="AR88" s="95">
        <f t="shared" si="12"/>
        <v>18.060749999999999</v>
      </c>
      <c r="AS88" s="95">
        <f t="shared" si="13"/>
        <v>17.560749999999999</v>
      </c>
      <c r="AT88" s="90">
        <f>Sheet1!BB90</f>
        <v>0.98</v>
      </c>
      <c r="AU88" s="90">
        <f>Sheet1!AS90*GPMtoMGD</f>
        <v>1.584E-2</v>
      </c>
      <c r="AV88" s="95">
        <f>Sheet1!AT90</f>
        <v>0</v>
      </c>
      <c r="AW88" s="90">
        <f>Sheet1!AV90*GPMtoMGD</f>
        <v>0.39614400000000005</v>
      </c>
      <c r="AX88" s="90">
        <f>Sheet1!AW90*GPMtoMGD</f>
        <v>0.43617600000000001</v>
      </c>
      <c r="AY88" s="90">
        <f>Sheet1!AX90*GPMtoMGD</f>
        <v>0</v>
      </c>
      <c r="AZ88" s="90">
        <f>Sheet1!AY90*GPMtoMGD</f>
        <v>0</v>
      </c>
      <c r="BA88" s="90">
        <f>Sheet1!AZ90*GPMtoMGD</f>
        <v>0</v>
      </c>
      <c r="BB88" s="90">
        <f>Sheet1!BP90*GPMtoMGD</f>
        <v>0</v>
      </c>
      <c r="BC88" s="90">
        <f>Sheet1!CS90*GPMtoMGD</f>
        <v>10.419696</v>
      </c>
      <c r="BD88" s="90">
        <f>Sheet1!BO90*GPMtoMGD</f>
        <v>1.4902560000000002</v>
      </c>
      <c r="BE88" s="90">
        <f>Sheet1!BW90*GPMtoMGD</f>
        <v>0.97142400000000007</v>
      </c>
      <c r="BF88" s="90">
        <f>Sheet1!CN90*GPMtoMGD</f>
        <v>1.1808000000000001</v>
      </c>
      <c r="BG88" s="90">
        <f>Sheet1!CO90*GPMtoMGD</f>
        <v>0.45748800000000001</v>
      </c>
      <c r="BH88" s="90">
        <f>Sheet1!CP90*GPMtoMGD</f>
        <v>0.6517440000000001</v>
      </c>
      <c r="BI88" s="90">
        <f t="shared" si="17"/>
        <v>1.4902560000000002</v>
      </c>
      <c r="BK88" s="95">
        <f>SUM(AT88:BA88,BE88,Sheet1!BV90,'Calculations II'!BC88,Calculation!AQ88)</f>
        <v>48.050879229287091</v>
      </c>
      <c r="BM88" s="373">
        <f>0</f>
        <v>0</v>
      </c>
      <c r="BN88" s="373">
        <f>0</f>
        <v>0</v>
      </c>
      <c r="BP88" s="95">
        <f>SUM(BM88:BN88,W88,Sheet1!DX90)</f>
        <v>0</v>
      </c>
    </row>
    <row r="89" spans="1:68" s="90" customFormat="1">
      <c r="A89" s="651" t="s">
        <v>6</v>
      </c>
      <c r="B89" s="92">
        <v>41717</v>
      </c>
      <c r="C89" s="93">
        <v>0</v>
      </c>
      <c r="D89" s="95">
        <f>(Sheet1!BQ91-Sheet1!BQ90)*1.385</f>
        <v>0.98335000000000117</v>
      </c>
      <c r="E89" s="30">
        <f>(Sheet1!BR91-Sheet1!BR90)*1.385</f>
        <v>1.0248999999999979</v>
      </c>
      <c r="F89" s="30">
        <f ca="1">IF(B89=TODAY(),0,-(VLOOKUP(Sheet1!CD91,Lookup!$I$4:$J$216,2)-VLOOKUP(Sheet1!CD90,Lookup!$I$4:$J$216,2))/1000000)</f>
        <v>0.20727387709559872</v>
      </c>
      <c r="G89" s="95">
        <f ca="1">IF(B89=TODAY(),0,-$G$6*(Sheet1!CF91-Sheet1!CF90)*7.48/1000000)</f>
        <v>-0.87369702315630493</v>
      </c>
      <c r="H89" s="95">
        <f ca="1">IF(B89=TODAY(),0,-$H$6*(Sheet1!CE91-Sheet1!CE90)*7.48/1000000)</f>
        <v>6.0157729405060027E-2</v>
      </c>
      <c r="I89" s="95">
        <f ca="1">IF(B89=TODAY(),0,-$I$6*(Sheet1!CG91-Sheet1!CG90)*7.48/1000000)</f>
        <v>-6.7387320000000056E-2</v>
      </c>
      <c r="J89" s="96" t="s">
        <v>186</v>
      </c>
      <c r="K89" s="95">
        <f ca="1">IF(B89=TODAY(),0,-$K$6*(Sheet1!CH91-Sheet1!CH90)*7.48/1000000)</f>
        <v>-0.119939766740252</v>
      </c>
      <c r="L89" s="96" t="s">
        <v>186</v>
      </c>
      <c r="M89" s="95">
        <f ca="1">IF(B89=TODAY(),0,-$M$6*(Sheet1!CI91-Sheet1!CI90)*7.48/1000000)</f>
        <v>-0.30585564327645964</v>
      </c>
      <c r="N89" s="95">
        <f ca="1">IF(B89=TODAY(),0,-$N$6*(Sheet1!CJ91-Sheet1!CJ90)*7.48/1000000)</f>
        <v>0.75083337927494975</v>
      </c>
      <c r="O89" s="95">
        <f t="shared" ca="1" si="14"/>
        <v>-0.34861476739740804</v>
      </c>
      <c r="P89" s="95">
        <f ca="1">O89+Calculation!ES89</f>
        <v>-2.4253801731747471</v>
      </c>
      <c r="Q89" s="90" t="str">
        <f>IF(Sheet1!BQ91&gt;25.75,"spill elevation","-")</f>
        <v>-</v>
      </c>
      <c r="R89" s="90" t="str">
        <f>IF(Sheet1!BQ91&gt;25.75,"spill elevation","-")</f>
        <v>-</v>
      </c>
      <c r="S89" s="90" t="str">
        <f>IF(Sheet1!BR91&gt;25.75,"spill elevation","-")</f>
        <v>-</v>
      </c>
      <c r="T89" s="94">
        <f>IF(Sheet1!DU91=1,Sheet1!AA91-(SUM(AT89:BA89)+BE89),Sheet1!AA91-SUM(AT89:BA89))</f>
        <v>18.554672</v>
      </c>
      <c r="U89" s="94">
        <f>Sheet1!BV91</f>
        <v>19</v>
      </c>
      <c r="V89" s="94">
        <f t="shared" si="15"/>
        <v>-0.44532799999999995</v>
      </c>
      <c r="W89" s="94">
        <f>0</f>
        <v>0</v>
      </c>
      <c r="X89" s="90">
        <f>0</f>
        <v>0</v>
      </c>
      <c r="Y89" s="95">
        <f ca="1">Calculation!EJ90+Calculation!ES89+'Calculations II'!O89-'Calculations II'!W89</f>
        <v>54.619931826825251</v>
      </c>
      <c r="Z89" s="95">
        <f ca="1">Y89-Sheet1!CT92</f>
        <v>38.59893182682525</v>
      </c>
      <c r="AA89" s="95">
        <f ca="1">Y89+Calculation!DJ90+Calculation!AS90</f>
        <v>64.199843263097875</v>
      </c>
      <c r="AC89" s="95">
        <f>Sheet1!AA91+Sheet1!AB91+BC89</f>
        <v>57.106079999999999</v>
      </c>
      <c r="AD89" s="95">
        <f>Sheet1!AA91+Sheet1!BN91+'Calculations II'!BC89-Calculation!AS89-Calculation!DJ89</f>
        <v>38.065834412893324</v>
      </c>
      <c r="AE89" s="95">
        <f>Sheet1!AA91+Sheet1!AB91+'Calculations II'!BC89-Calculation!AS89-Calculation!DJ89</f>
        <v>47.565834412893324</v>
      </c>
      <c r="AF89" s="95">
        <f ca="1">Sheet1!AA91+Sheet1!BN91+P89+'Calculations II'!BC89+Calculation!AS89+Calculation!DJ89</f>
        <v>54.720945413931929</v>
      </c>
      <c r="AG89" s="95">
        <f ca="1">IF(B89=TODAY(),0,Sheet1!AA91+Sheet1!BN91+'Calculations II'!BC89+'Calculations II'!P89-Sheet1!CT91-BP89)</f>
        <v>28.086699826825253</v>
      </c>
      <c r="AH89" s="95">
        <f ca="1">IF(B89=TODAY(),0,Sheet1!AA91+Sheet1!BN91+'Calculations II'!BC89+'Calculations II'!P89-BP89)</f>
        <v>45.180699826825254</v>
      </c>
      <c r="AI89" s="95">
        <f ca="1">IF(B89=TODAY(),0,BC89+Sheet1!AA91+Calculation!ES89+O89+W89+Sheet1!BN91+Calculation!AS89+Calculation!DJ89-BP89)</f>
        <v>54.720945413931929</v>
      </c>
      <c r="AJ89" s="95"/>
      <c r="AM89" s="91">
        <f t="shared" si="16"/>
        <v>41717</v>
      </c>
      <c r="AN89" s="95">
        <f>Sheet1!BU91</f>
        <v>20</v>
      </c>
      <c r="AO89" s="95">
        <f>Sheet1!AA91</f>
        <v>20.8</v>
      </c>
      <c r="AP89" s="95">
        <f t="shared" si="11"/>
        <v>2.008249999999999</v>
      </c>
      <c r="AQ89" s="1055">
        <f>((Sheet1!BV91-(Sheet1!BU91-AP89))/(Sheet1!BU91-AP89))</f>
        <v>5.6039573693498428E-2</v>
      </c>
      <c r="AR89" s="95">
        <f t="shared" si="12"/>
        <v>18.79175</v>
      </c>
      <c r="AS89" s="95">
        <f t="shared" si="13"/>
        <v>17.99175</v>
      </c>
      <c r="AT89" s="90">
        <f>Sheet1!BB91</f>
        <v>0.98</v>
      </c>
      <c r="AU89" s="90">
        <f>Sheet1!AS91*GPMtoMGD</f>
        <v>1.4832000000000001E-2</v>
      </c>
      <c r="AV89" s="95">
        <f>Sheet1!AT91</f>
        <v>0</v>
      </c>
      <c r="AW89" s="90">
        <f>Sheet1!AV91*GPMtoMGD</f>
        <v>0.61027200000000004</v>
      </c>
      <c r="AX89" s="90">
        <f>Sheet1!AW91*GPMtoMGD</f>
        <v>0.64022400000000013</v>
      </c>
      <c r="AY89" s="90">
        <f>Sheet1!AX91*GPMtoMGD</f>
        <v>0</v>
      </c>
      <c r="AZ89" s="90">
        <f>Sheet1!AY91*GPMtoMGD</f>
        <v>0</v>
      </c>
      <c r="BA89" s="90">
        <f>Sheet1!AZ91*GPMtoMGD</f>
        <v>0</v>
      </c>
      <c r="BB89" s="90">
        <f>Sheet1!BP91*GPMtoMGD</f>
        <v>0</v>
      </c>
      <c r="BC89" s="90">
        <f>Sheet1!CS91*GPMtoMGD</f>
        <v>10.306080000000001</v>
      </c>
      <c r="BD89" s="90">
        <f>Sheet1!BO91*GPMtoMGD</f>
        <v>1.4315040000000001</v>
      </c>
      <c r="BE89" s="90">
        <f>Sheet1!BW91*GPMtoMGD</f>
        <v>0.68688000000000005</v>
      </c>
      <c r="BF89" s="90">
        <f>Sheet1!CN91*GPMtoMGD</f>
        <v>1.1808000000000001</v>
      </c>
      <c r="BG89" s="90">
        <f>Sheet1!CO91*GPMtoMGD</f>
        <v>0.45648000000000005</v>
      </c>
      <c r="BH89" s="90">
        <f>Sheet1!CP91*GPMtoMGD</f>
        <v>0.65044800000000003</v>
      </c>
      <c r="BI89" s="90">
        <f t="shared" si="17"/>
        <v>1.4315040000000001</v>
      </c>
      <c r="BK89" s="95">
        <f>SUM(AT89:BA89,BE89,Sheet1!BV91,'Calculations II'!BC89,Calculation!AQ89)</f>
        <v>48.700298744435912</v>
      </c>
      <c r="BM89" s="373">
        <f>0</f>
        <v>0</v>
      </c>
      <c r="BN89" s="373">
        <f>0</f>
        <v>0</v>
      </c>
      <c r="BP89" s="95">
        <f>SUM(BM89:BN89,W89,Sheet1!DX91)</f>
        <v>0</v>
      </c>
    </row>
    <row r="90" spans="1:68" s="90" customFormat="1">
      <c r="A90" s="651" t="s">
        <v>7</v>
      </c>
      <c r="B90" s="92">
        <v>41718</v>
      </c>
      <c r="C90" s="93">
        <v>0</v>
      </c>
      <c r="D90" s="95">
        <f>(Sheet1!BQ92-Sheet1!BQ91)*1.385</f>
        <v>1.0664499999999995</v>
      </c>
      <c r="E90" s="30">
        <f>(Sheet1!BR92-Sheet1!BR91)*1.385</f>
        <v>1.0664499999999995</v>
      </c>
      <c r="F90" s="30">
        <f ca="1">IF(B90=TODAY(),0,-(VLOOKUP(Sheet1!CD92,Lookup!$I$4:$J$216,2)-VLOOKUP(Sheet1!CD91,Lookup!$I$4:$J$216,2))/1000000)</f>
        <v>-0.10363693854779936</v>
      </c>
      <c r="G90" s="95">
        <f ca="1">IF(B90=TODAY(),0,-$G$6*(Sheet1!CF92-Sheet1!CF91)*7.48/1000000)</f>
        <v>0.23828100631535634</v>
      </c>
      <c r="H90" s="95">
        <f ca="1">IF(B90=TODAY(),0,-$H$6*(Sheet1!CE92-Sheet1!CE91)*7.48/1000000)</f>
        <v>3.0078864702530548E-2</v>
      </c>
      <c r="I90" s="95">
        <f ca="1">IF(B90=TODAY(),0,-$I$6*(Sheet1!CG92-Sheet1!CG91)*7.48/1000000)</f>
        <v>0</v>
      </c>
      <c r="J90" s="96" t="s">
        <v>186</v>
      </c>
      <c r="K90" s="95">
        <f ca="1">IF(B90=TODAY(),0,-$K$6*(Sheet1!CH92-Sheet1!CH91)*7.48/1000000)</f>
        <v>6.6633203744584186E-3</v>
      </c>
      <c r="L90" s="96" t="s">
        <v>186</v>
      </c>
      <c r="M90" s="95">
        <f ca="1">IF(B90=TODAY(),0,-$M$6*(Sheet1!CI92-Sheet1!CI91)*7.48/1000000)</f>
        <v>1.7991508428026663E-2</v>
      </c>
      <c r="N90" s="95">
        <f ca="1">IF(B90=TODAY(),0,-$N$6*(Sheet1!CJ92-Sheet1!CJ91)*7.48/1000000)</f>
        <v>-0.54606063947269079</v>
      </c>
      <c r="O90" s="95">
        <f t="shared" ca="1" si="14"/>
        <v>-0.35668287820011818</v>
      </c>
      <c r="P90" s="95">
        <f ca="1">O90+Calculation!ES90</f>
        <v>-2.5726956198001472</v>
      </c>
      <c r="Q90" s="90" t="str">
        <f>IF(Sheet1!BQ92&gt;25.75,"spill elevation","-")</f>
        <v>-</v>
      </c>
      <c r="R90" s="90" t="str">
        <f>IF(Sheet1!BQ92&gt;25.75,"spill elevation","-")</f>
        <v>-</v>
      </c>
      <c r="S90" s="90" t="str">
        <f>IF(Sheet1!BR92&gt;25.75,"spill elevation","-")</f>
        <v>-</v>
      </c>
      <c r="T90" s="94">
        <f>IF(Sheet1!DU92=1,Sheet1!AA92-(SUM(AT90:BA90)+BE90),Sheet1!AA92-SUM(AT90:BA90))</f>
        <v>18.360496000000001</v>
      </c>
      <c r="U90" s="94">
        <f>Sheet1!BV92</f>
        <v>18.600000000000001</v>
      </c>
      <c r="V90" s="94">
        <f t="shared" si="15"/>
        <v>-0.23950400000000016</v>
      </c>
      <c r="W90" s="94">
        <f>0</f>
        <v>0</v>
      </c>
      <c r="X90" s="90">
        <f>0</f>
        <v>0</v>
      </c>
      <c r="Y90" s="95">
        <f ca="1">Calculation!EJ91+Calculation!ES90+'Calculations II'!O90-'Calculations II'!W90</f>
        <v>54.472680380199854</v>
      </c>
      <c r="Z90" s="95">
        <f ca="1">Y90-Sheet1!CT93</f>
        <v>38.942680380199853</v>
      </c>
      <c r="AA90" s="95">
        <f ca="1">Y90+Calculation!DJ91+Calculation!AS91</f>
        <v>64.051847046866527</v>
      </c>
      <c r="AC90" s="95">
        <f>Sheet1!AA92+Sheet1!AB92+BC90</f>
        <v>57.045311999999996</v>
      </c>
      <c r="AD90" s="95">
        <f>Sheet1!AA92+Sheet1!BN92+'Calculations II'!BC90-Calculation!AS90-Calculation!DJ90</f>
        <v>37.865400563727377</v>
      </c>
      <c r="AE90" s="95">
        <f>Sheet1!AA92+Sheet1!AB92+'Calculations II'!BC90-Calculation!AS90-Calculation!DJ90</f>
        <v>47.465400563727371</v>
      </c>
      <c r="AF90" s="95">
        <f ca="1">Sheet1!AA92+Sheet1!BN92+P90+'Calculations II'!BC90+Calculation!AS90+Calculation!DJ90</f>
        <v>54.452527816472475</v>
      </c>
      <c r="AG90" s="95">
        <f ca="1">IF(B90=TODAY(),0,Sheet1!AA92+Sheet1!BN92+'Calculations II'!BC90+'Calculations II'!P90-Sheet1!CT92-BP90)</f>
        <v>28.85161638019985</v>
      </c>
      <c r="AH90" s="95">
        <f ca="1">IF(B90=TODAY(),0,Sheet1!AA92+Sheet1!BN92+'Calculations II'!BC90+'Calculations II'!P90-BP90)</f>
        <v>44.872616380199851</v>
      </c>
      <c r="AI90" s="95">
        <f ca="1">IF(B90=TODAY(),0,BC90+Sheet1!AA92+Calculation!ES90+O90+W90+Sheet1!BN92+Calculation!AS90+Calculation!DJ90-BP90)</f>
        <v>54.452527816472482</v>
      </c>
      <c r="AJ90" s="95"/>
      <c r="AM90" s="91">
        <f t="shared" si="16"/>
        <v>41718</v>
      </c>
      <c r="AN90" s="95">
        <f>Sheet1!BU92</f>
        <v>19.899999999999999</v>
      </c>
      <c r="AO90" s="95">
        <f>Sheet1!AA92</f>
        <v>20.8</v>
      </c>
      <c r="AP90" s="95">
        <f t="shared" si="11"/>
        <v>2.1328999999999989</v>
      </c>
      <c r="AQ90" s="1055">
        <f>((Sheet1!BV92-(Sheet1!BU92-AP90))/(Sheet1!BU92-AP90))</f>
        <v>4.6878781568179512E-2</v>
      </c>
      <c r="AR90" s="95">
        <f t="shared" si="12"/>
        <v>18.667100000000001</v>
      </c>
      <c r="AS90" s="95">
        <f t="shared" si="13"/>
        <v>17.767099999999999</v>
      </c>
      <c r="AT90" s="90">
        <f>Sheet1!BB92</f>
        <v>0.99</v>
      </c>
      <c r="AU90" s="90">
        <f>Sheet1!AS92*GPMtoMGD</f>
        <v>1.4976000000000001E-2</v>
      </c>
      <c r="AV90" s="95">
        <f>Sheet1!AT92</f>
        <v>0</v>
      </c>
      <c r="AW90" s="90">
        <f>Sheet1!AV92*GPMtoMGD</f>
        <v>0.60148800000000002</v>
      </c>
      <c r="AX90" s="90">
        <f>Sheet1!AW92*GPMtoMGD</f>
        <v>0.83304</v>
      </c>
      <c r="AY90" s="90">
        <f>Sheet1!AX92*GPMtoMGD</f>
        <v>0</v>
      </c>
      <c r="AZ90" s="90">
        <f>Sheet1!AY92*GPMtoMGD</f>
        <v>0</v>
      </c>
      <c r="BA90" s="90">
        <f>Sheet1!AZ92*GPMtoMGD</f>
        <v>0</v>
      </c>
      <c r="BB90" s="90">
        <f>Sheet1!BP92*GPMtoMGD</f>
        <v>0</v>
      </c>
      <c r="BC90" s="90">
        <f>Sheet1!CS92*GPMtoMGD</f>
        <v>10.245312</v>
      </c>
      <c r="BD90" s="90">
        <f>Sheet1!BO92*GPMtoMGD</f>
        <v>1.4729760000000001</v>
      </c>
      <c r="BE90" s="90">
        <f>Sheet1!BW92*GPMtoMGD</f>
        <v>0.99086400000000008</v>
      </c>
      <c r="BF90" s="90">
        <f>Sheet1!CN92*GPMtoMGD</f>
        <v>1.1808000000000001</v>
      </c>
      <c r="BG90" s="90">
        <f>Sheet1!CO92*GPMtoMGD</f>
        <v>0.46296000000000004</v>
      </c>
      <c r="BH90" s="90">
        <f>Sheet1!CP92*GPMtoMGD</f>
        <v>0.65923200000000004</v>
      </c>
      <c r="BI90" s="90">
        <f t="shared" si="17"/>
        <v>1.4729760000000001</v>
      </c>
      <c r="BK90" s="95">
        <f>SUM(AT90:BA90,BE90,Sheet1!BV92,'Calculations II'!BC90,Calculation!AQ90)</f>
        <v>48.694624936465154</v>
      </c>
      <c r="BM90" s="373">
        <f>0</f>
        <v>0</v>
      </c>
      <c r="BN90" s="373">
        <f>0</f>
        <v>0</v>
      </c>
      <c r="BP90" s="95">
        <f>SUM(BM90:BN90,W90,Sheet1!DX92)</f>
        <v>0</v>
      </c>
    </row>
    <row r="91" spans="1:68" s="90" customFormat="1">
      <c r="A91" s="651" t="s">
        <v>8</v>
      </c>
      <c r="B91" s="92">
        <v>41719</v>
      </c>
      <c r="C91" s="93">
        <v>0</v>
      </c>
      <c r="D91" s="95">
        <f>(Sheet1!BQ93-Sheet1!BQ92)*1.385</f>
        <v>1.0941499999999988</v>
      </c>
      <c r="E91" s="30">
        <f>(Sheet1!BR93-Sheet1!BR92)*1.385</f>
        <v>1.0941500000000037</v>
      </c>
      <c r="F91" s="30">
        <f ca="1">IF(B91=TODAY(),0,-(VLOOKUP(Sheet1!CD93,Lookup!$I$4:$J$216,2)-VLOOKUP(Sheet1!CD92,Lookup!$I$4:$J$216,2))/1000000)</f>
        <v>-1.0363693854779992</v>
      </c>
      <c r="G91" s="95">
        <f ca="1">IF(B91=TODAY(),0,-$G$6*(Sheet1!CF93-Sheet1!CF92)*7.48/1000000)</f>
        <v>0.19856750526279648</v>
      </c>
      <c r="H91" s="95">
        <f ca="1">IF(B91=TODAY(),0,-$H$6*(Sheet1!CE93-Sheet1!CE92)*7.48/1000000)</f>
        <v>-6.0157729405060027E-2</v>
      </c>
      <c r="I91" s="95">
        <f ca="1">IF(B91=TODAY(),0,-$I$6*(Sheet1!CG93-Sheet1!CG92)*7.48/1000000)</f>
        <v>8.9849760000000473E-3</v>
      </c>
      <c r="J91" s="96" t="s">
        <v>186</v>
      </c>
      <c r="K91" s="95">
        <f ca="1">IF(B91=TODAY(),0,-$K$6*(Sheet1!CH93-Sheet1!CH92)*7.48/1000000)</f>
        <v>1.3326640748916953E-2</v>
      </c>
      <c r="L91" s="96" t="s">
        <v>186</v>
      </c>
      <c r="M91" s="95">
        <f ca="1">IF(B91=TODAY(),0,-$M$6*(Sheet1!CI93-Sheet1!CI92)*7.48/1000000)</f>
        <v>3.598301685605397E-2</v>
      </c>
      <c r="N91" s="95">
        <f ca="1">IF(B91=TODAY(),0,-$N$6*(Sheet1!CJ93-Sheet1!CJ92)*7.48/1000000)</f>
        <v>-0.45298212138075472</v>
      </c>
      <c r="O91" s="95">
        <f t="shared" ca="1" si="14"/>
        <v>-1.2926470973960464</v>
      </c>
      <c r="P91" s="95">
        <f ca="1">O91+Calculation!ES91</f>
        <v>-3.3709057146953536</v>
      </c>
      <c r="Q91" s="90" t="str">
        <f>IF(Sheet1!BQ93&gt;25.75,"spill elevation","-")</f>
        <v>-</v>
      </c>
      <c r="R91" s="90" t="str">
        <f>IF(Sheet1!BQ93&gt;25.75,"spill elevation","-")</f>
        <v>-</v>
      </c>
      <c r="S91" s="90" t="str">
        <f>IF(Sheet1!BR93&gt;25.75,"spill elevation","-")</f>
        <v>-</v>
      </c>
      <c r="T91" s="94">
        <f>IF(Sheet1!DU93=1,Sheet1!AA93-(SUM(AT91:BA91)+BE91),Sheet1!AA93-SUM(AT91:BA91))</f>
        <v>18.158976000000003</v>
      </c>
      <c r="U91" s="94">
        <f>Sheet1!BV93</f>
        <v>18.5</v>
      </c>
      <c r="V91" s="94">
        <f t="shared" si="15"/>
        <v>-0.34102399999999733</v>
      </c>
      <c r="W91" s="94">
        <f>0</f>
        <v>0</v>
      </c>
      <c r="X91" s="90">
        <f>0</f>
        <v>0</v>
      </c>
      <c r="Y91" s="95">
        <f ca="1">Calculation!EJ92+Calculation!ES91+'Calculations II'!O91-'Calculations II'!W91</f>
        <v>48.794118285304641</v>
      </c>
      <c r="Z91" s="95">
        <f ca="1">Y91-Sheet1!CT94</f>
        <v>32.796118285304644</v>
      </c>
      <c r="AA91" s="95">
        <f ca="1">Y91+Calculation!DJ92+Calculation!AS92</f>
        <v>58.407582036743079</v>
      </c>
      <c r="AC91" s="95">
        <f>Sheet1!AA93+Sheet1!AB93+BC91</f>
        <v>57.045376000000005</v>
      </c>
      <c r="AD91" s="95">
        <f>Sheet1!AA93+Sheet1!BN93+'Calculations II'!BC91-Calculation!AS91-Calculation!DJ91</f>
        <v>37.766209333333336</v>
      </c>
      <c r="AE91" s="95">
        <f>Sheet1!AA93+Sheet1!AB93+'Calculations II'!BC91-Calculation!AS91-Calculation!DJ91</f>
        <v>47.466209333333339</v>
      </c>
      <c r="AF91" s="95">
        <f ca="1">Sheet1!AA93+Sheet1!BN93+P91+'Calculations II'!BC91+Calculation!AS91+Calculation!DJ91</f>
        <v>53.553636951971313</v>
      </c>
      <c r="AG91" s="95">
        <f ca="1">IF(B91=TODAY(),0,Sheet1!AA93+Sheet1!BN93+'Calculations II'!BC91+'Calculations II'!P91-Sheet1!CT93-BP91)</f>
        <v>28.444470285304646</v>
      </c>
      <c r="AH91" s="95">
        <f ca="1">IF(B91=TODAY(),0,Sheet1!AA93+Sheet1!BN93+'Calculations II'!BC91+'Calculations II'!P91-BP91)</f>
        <v>43.974470285304648</v>
      </c>
      <c r="AI91" s="95">
        <f ca="1">IF(B91=TODAY(),0,BC91+Sheet1!AA93+Calculation!ES91+O91+W91+Sheet1!BN93+Calculation!AS91+Calculation!DJ91-BP91)</f>
        <v>53.553636951971313</v>
      </c>
      <c r="AJ91" s="95"/>
      <c r="AM91" s="91">
        <f t="shared" si="16"/>
        <v>41719</v>
      </c>
      <c r="AN91" s="95">
        <f>Sheet1!BU93</f>
        <v>19.8</v>
      </c>
      <c r="AO91" s="95">
        <f>Sheet1!AA93</f>
        <v>20.8</v>
      </c>
      <c r="AP91" s="95">
        <f t="shared" si="11"/>
        <v>2.1883000000000026</v>
      </c>
      <c r="AQ91" s="1055">
        <f>((Sheet1!BV93-(Sheet1!BU93-AP91))/(Sheet1!BU93-AP91))</f>
        <v>5.0438061061680646E-2</v>
      </c>
      <c r="AR91" s="95">
        <f t="shared" si="12"/>
        <v>18.611699999999999</v>
      </c>
      <c r="AS91" s="95">
        <f t="shared" si="13"/>
        <v>17.611699999999999</v>
      </c>
      <c r="AT91" s="90">
        <f>Sheet1!BB93</f>
        <v>1</v>
      </c>
      <c r="AU91" s="90">
        <f>Sheet1!AS93*GPMtoMGD</f>
        <v>2.9664000000000003E-2</v>
      </c>
      <c r="AV91" s="95">
        <f>Sheet1!AT93</f>
        <v>0</v>
      </c>
      <c r="AW91" s="90">
        <f>Sheet1!AV93*GPMtoMGD</f>
        <v>0.77932800000000013</v>
      </c>
      <c r="AX91" s="90">
        <f>Sheet1!AW93*GPMtoMGD</f>
        <v>0.83203199999999999</v>
      </c>
      <c r="AY91" s="90">
        <f>Sheet1!AX93*GPMtoMGD</f>
        <v>0</v>
      </c>
      <c r="AZ91" s="90">
        <f>Sheet1!AY93*GPMtoMGD</f>
        <v>0</v>
      </c>
      <c r="BA91" s="90">
        <f>Sheet1!AZ93*GPMtoMGD</f>
        <v>0</v>
      </c>
      <c r="BB91" s="90">
        <f>Sheet1!BP93*GPMtoMGD</f>
        <v>0</v>
      </c>
      <c r="BC91" s="90">
        <f>Sheet1!CS93*GPMtoMGD</f>
        <v>10.145376000000001</v>
      </c>
      <c r="BD91" s="90">
        <f>Sheet1!BO93*GPMtoMGD</f>
        <v>1.4163840000000001</v>
      </c>
      <c r="BE91" s="90">
        <f>Sheet1!BW93*GPMtoMGD</f>
        <v>0.67593599999999998</v>
      </c>
      <c r="BF91" s="90">
        <f>Sheet1!CN93*GPMtoMGD</f>
        <v>1.1808000000000001</v>
      </c>
      <c r="BG91" s="90">
        <f>Sheet1!CO93*GPMtoMGD</f>
        <v>0.44352000000000003</v>
      </c>
      <c r="BH91" s="90">
        <f>Sheet1!CP93*GPMtoMGD</f>
        <v>0.66239999999999999</v>
      </c>
      <c r="BI91" s="90">
        <f t="shared" si="17"/>
        <v>1.4163840000000001</v>
      </c>
      <c r="BK91" s="95">
        <f>SUM(AT91:BA91,BE91,Sheet1!BV93,'Calculations II'!BC91,Calculation!AQ91)</f>
        <v>48.476224888888893</v>
      </c>
      <c r="BM91" s="373">
        <f>0</f>
        <v>0</v>
      </c>
      <c r="BN91" s="373">
        <f>0</f>
        <v>0</v>
      </c>
      <c r="BP91" s="95">
        <f>SUM(BM91:BN91,W91,Sheet1!DX93)</f>
        <v>0</v>
      </c>
    </row>
    <row r="92" spans="1:68" s="90" customFormat="1">
      <c r="A92" s="651" t="s">
        <v>9</v>
      </c>
      <c r="B92" s="92">
        <v>41720</v>
      </c>
      <c r="C92" s="93">
        <v>0</v>
      </c>
      <c r="D92" s="95">
        <f>(Sheet1!BQ94-Sheet1!BQ93)*1.385</f>
        <v>-1.2049499999999964</v>
      </c>
      <c r="E92" s="30">
        <f>(Sheet1!BR94-Sheet1!BR93)*1.385</f>
        <v>-1.2188000000000037</v>
      </c>
      <c r="F92" s="30">
        <f ca="1">IF(B92=TODAY(),0,-(VLOOKUP(Sheet1!CD94,Lookup!$I$4:$J$216,2)-VLOOKUP(Sheet1!CD93,Lookup!$I$4:$J$216,2))/1000000)</f>
        <v>-0.31091081564339806</v>
      </c>
      <c r="G92" s="95">
        <f ca="1">IF(B92=TODAY(),0,-$G$6*(Sheet1!CF94-Sheet1!CF93)*7.48/1000000)</f>
        <v>0.23828100631535562</v>
      </c>
      <c r="H92" s="95">
        <f ca="1">IF(B92=TODAY(),0,-$H$6*(Sheet1!CE94-Sheet1!CE93)*7.48/1000000)</f>
        <v>6.0157729405060027E-2</v>
      </c>
      <c r="I92" s="95">
        <f ca="1">IF(B92=TODAY(),0,-$I$6*(Sheet1!CG94-Sheet1!CG93)*7.48/1000000)</f>
        <v>8.9849759999999675E-3</v>
      </c>
      <c r="J92" s="96" t="s">
        <v>186</v>
      </c>
      <c r="K92" s="95">
        <f ca="1">IF(B92=TODAY(),0,-$K$6*(Sheet1!CH94-Sheet1!CH93)*7.48/1000000)</f>
        <v>1.9989961123375255E-2</v>
      </c>
      <c r="L92" s="96" t="s">
        <v>186</v>
      </c>
      <c r="M92" s="95">
        <f ca="1">IF(B92=TODAY(),0,-$M$6*(Sheet1!CI94-Sheet1!CI93)*7.48/1000000)</f>
        <v>3.5983016856054602E-2</v>
      </c>
      <c r="N92" s="95">
        <f ca="1">IF(B92=TODAY(),0,-$N$6*(Sheet1!CJ94-Sheet1!CJ93)*7.48/1000000)</f>
        <v>0.31026172697311949</v>
      </c>
      <c r="O92" s="95">
        <f t="shared" ca="1" si="14"/>
        <v>0.36274760102956688</v>
      </c>
      <c r="P92" s="95">
        <f ca="1">O92+Calculation!ES92</f>
        <v>2.7180526724954723</v>
      </c>
      <c r="Q92" s="90" t="str">
        <f>IF(Sheet1!BQ94&gt;25.75,"spill elevation","-")</f>
        <v>-</v>
      </c>
      <c r="R92" s="90" t="str">
        <f>IF(Sheet1!BQ94&gt;25.75,"spill elevation","-")</f>
        <v>-</v>
      </c>
      <c r="S92" s="90" t="str">
        <f>IF(Sheet1!BR94&gt;25.75,"spill elevation","-")</f>
        <v>-</v>
      </c>
      <c r="T92" s="94">
        <f>IF(Sheet1!DU94=1,Sheet1!AA94-(SUM(AT92:BA92)+BE92),Sheet1!AA94-SUM(AT92:BA92))</f>
        <v>18.336607999999998</v>
      </c>
      <c r="U92" s="94">
        <f>Sheet1!BV94</f>
        <v>23.1</v>
      </c>
      <c r="V92" s="94">
        <f t="shared" si="15"/>
        <v>-4.7633920000000032</v>
      </c>
      <c r="W92" s="94">
        <f>0</f>
        <v>0</v>
      </c>
      <c r="X92" s="90">
        <f>0</f>
        <v>0</v>
      </c>
      <c r="Y92" s="95">
        <f ca="1">Calculation!EJ93+Calculation!ES92+'Calculations II'!O92-'Calculations II'!W92</f>
        <v>56.450180672495478</v>
      </c>
      <c r="Z92" s="95">
        <f ca="1">Y92-Sheet1!CT95</f>
        <v>40.552180672495481</v>
      </c>
      <c r="AA92" s="95">
        <f ca="1">Y92+Calculation!DJ93+Calculation!AS93</f>
        <v>66.036785753326882</v>
      </c>
      <c r="AC92" s="95">
        <f>Sheet1!AA94+Sheet1!AB94+BC92</f>
        <v>52.165023999999995</v>
      </c>
      <c r="AD92" s="95">
        <f>Sheet1!AA94+Sheet1!BN94+'Calculations II'!BC92-Calculation!AS92-Calculation!DJ92</f>
        <v>33.051560248561557</v>
      </c>
      <c r="AE92" s="95">
        <f>Sheet1!AA94+Sheet1!AB94+'Calculations II'!BC92-Calculation!AS92-Calculation!DJ92</f>
        <v>42.551560248561557</v>
      </c>
      <c r="AF92" s="95">
        <f ca="1">Sheet1!AA94+Sheet1!BN94+P92+'Calculations II'!BC92+Calculation!AS92+Calculation!DJ92</f>
        <v>54.996540423933908</v>
      </c>
      <c r="AG92" s="95">
        <f ca="1">IF(B92=TODAY(),0,Sheet1!AA94+Sheet1!BN94+'Calculations II'!BC92+'Calculations II'!P92-Sheet1!CT94-BP92)</f>
        <v>29.385076672495472</v>
      </c>
      <c r="AH92" s="95">
        <f ca="1">IF(B92=TODAY(),0,Sheet1!AA94+Sheet1!BN94+'Calculations II'!BC92+'Calculations II'!P92-BP92)</f>
        <v>45.38307667249547</v>
      </c>
      <c r="AI92" s="95">
        <f ca="1">IF(B92=TODAY(),0,BC92+Sheet1!AA94+Calculation!ES92+O92+W92+Sheet1!BN94+Calculation!AS92+Calculation!DJ92-BP92)</f>
        <v>54.996540423933908</v>
      </c>
      <c r="AJ92" s="95"/>
      <c r="AM92" s="91">
        <f t="shared" si="16"/>
        <v>41720</v>
      </c>
      <c r="AN92" s="95">
        <f>Sheet1!BU94</f>
        <v>19.7</v>
      </c>
      <c r="AO92" s="95">
        <f>Sheet1!AA94</f>
        <v>20.7</v>
      </c>
      <c r="AP92" s="95">
        <f t="shared" si="11"/>
        <v>-2.4237500000000001</v>
      </c>
      <c r="AQ92" s="1055">
        <f>((Sheet1!BV94-(Sheet1!BU94-AP92))/(Sheet1!BU94-AP92))</f>
        <v>4.4126786824114368E-2</v>
      </c>
      <c r="AR92" s="95">
        <f t="shared" si="12"/>
        <v>23.123750000000001</v>
      </c>
      <c r="AS92" s="95">
        <f t="shared" si="13"/>
        <v>22.123750000000001</v>
      </c>
      <c r="AT92" s="90">
        <f>Sheet1!BB94</f>
        <v>1</v>
      </c>
      <c r="AU92" s="90">
        <f>Sheet1!AS94*GPMtoMGD</f>
        <v>1.5552000000000002E-2</v>
      </c>
      <c r="AV92" s="95">
        <f>Sheet1!AT94</f>
        <v>0</v>
      </c>
      <c r="AW92" s="90">
        <f>Sheet1!AV94*GPMtoMGD</f>
        <v>0.48686400000000007</v>
      </c>
      <c r="AX92" s="90">
        <f>Sheet1!AW94*GPMtoMGD</f>
        <v>0.86097600000000007</v>
      </c>
      <c r="AY92" s="90">
        <f>Sheet1!AX94*GPMtoMGD</f>
        <v>0</v>
      </c>
      <c r="AZ92" s="90">
        <f>Sheet1!AY94*GPMtoMGD</f>
        <v>0</v>
      </c>
      <c r="BA92" s="90">
        <f>Sheet1!AZ94*GPMtoMGD</f>
        <v>0</v>
      </c>
      <c r="BB92" s="90">
        <f>Sheet1!BP94*GPMtoMGD</f>
        <v>0</v>
      </c>
      <c r="BC92" s="90">
        <f>Sheet1!CS94*GPMtoMGD</f>
        <v>5.5650240000000002</v>
      </c>
      <c r="BD92" s="90">
        <f>Sheet1!BO94*GPMtoMGD</f>
        <v>1.55088</v>
      </c>
      <c r="BE92" s="90">
        <f>Sheet1!BW94*GPMtoMGD</f>
        <v>0.98323199999999999</v>
      </c>
      <c r="BF92" s="90">
        <f>Sheet1!CN94*GPMtoMGD</f>
        <v>1.1808000000000001</v>
      </c>
      <c r="BG92" s="90">
        <f>Sheet1!CO94*GPMtoMGD</f>
        <v>0.47736000000000001</v>
      </c>
      <c r="BH92" s="90">
        <f>Sheet1!CP94*GPMtoMGD</f>
        <v>0.63475200000000009</v>
      </c>
      <c r="BI92" s="90">
        <f t="shared" si="17"/>
        <v>1.55088</v>
      </c>
      <c r="BK92" s="95">
        <f>SUM(AT92:BA92,BE92,Sheet1!BV94,'Calculations II'!BC92,Calculation!AQ92)</f>
        <v>48.304705153816641</v>
      </c>
      <c r="BM92" s="373">
        <f>0</f>
        <v>0</v>
      </c>
      <c r="BN92" s="373">
        <f>0</f>
        <v>0</v>
      </c>
      <c r="BP92" s="95">
        <f>SUM(BM92:BN92,W92,Sheet1!DX94)</f>
        <v>0</v>
      </c>
    </row>
    <row r="93" spans="1:68" s="90" customFormat="1">
      <c r="A93" s="651" t="s">
        <v>3</v>
      </c>
      <c r="B93" s="92">
        <v>41721</v>
      </c>
      <c r="C93" s="93">
        <v>0</v>
      </c>
      <c r="D93" s="95">
        <f>(Sheet1!BQ95-Sheet1!BQ94)*1.385</f>
        <v>-1.0526000000000022</v>
      </c>
      <c r="E93" s="30">
        <f>(Sheet1!BR95-Sheet1!BR94)*1.385</f>
        <v>-0.99719999999999842</v>
      </c>
      <c r="F93" s="30">
        <f ca="1">IF(B93=TODAY(),0,-(VLOOKUP(Sheet1!CD95,Lookup!$I$4:$J$216,2)-VLOOKUP(Sheet1!CD94,Lookup!$I$4:$J$216,2))/1000000)</f>
        <v>-0.31091081564339806</v>
      </c>
      <c r="G93" s="95">
        <f ca="1">IF(B93=TODAY(),0,-$G$6*(Sheet1!CF95-Sheet1!CF94)*7.48/1000000)</f>
        <v>0.27799450736791476</v>
      </c>
      <c r="H93" s="95">
        <f ca="1">IF(B93=TODAY(),0,-$H$6*(Sheet1!CE95-Sheet1!CE94)*7.48/1000000)</f>
        <v>-1.5039432351265274E-2</v>
      </c>
      <c r="I93" s="95">
        <f ca="1">IF(B93=TODAY(),0,-$I$6*(Sheet1!CG95-Sheet1!CG94)*7.48/1000000)</f>
        <v>4.4924880000000236E-3</v>
      </c>
      <c r="J93" s="96" t="s">
        <v>186</v>
      </c>
      <c r="K93" s="95">
        <f ca="1">IF(B93=TODAY(),0,-$K$6*(Sheet1!CH95-Sheet1!CH94)*7.48/1000000)</f>
        <v>0</v>
      </c>
      <c r="L93" s="96" t="s">
        <v>186</v>
      </c>
      <c r="M93" s="95">
        <f ca="1">IF(B93=TODAY(),0,-$M$6*(Sheet1!CI95-Sheet1!CI94)*7.48/1000000)</f>
        <v>1.7991508428026663E-2</v>
      </c>
      <c r="N93" s="95">
        <f ca="1">IF(B93=TODAY(),0,-$N$6*(Sheet1!CJ95-Sheet1!CJ94)*7.48/1000000)</f>
        <v>-0.12410469078924735</v>
      </c>
      <c r="O93" s="95">
        <f t="shared" ca="1" si="14"/>
        <v>-0.14957643498796924</v>
      </c>
      <c r="P93" s="95">
        <f ca="1">O93+Calculation!ES93</f>
        <v>2.0663337696641983</v>
      </c>
      <c r="Q93" s="90" t="str">
        <f>IF(Sheet1!BQ95&gt;25.75,"spill elevation","-")</f>
        <v>-</v>
      </c>
      <c r="R93" s="90" t="str">
        <f>IF(Sheet1!BQ95&gt;25.75,"spill elevation","-")</f>
        <v>-</v>
      </c>
      <c r="S93" s="90" t="str">
        <f>IF(Sheet1!BR95&gt;25.75,"spill elevation","-")</f>
        <v>-</v>
      </c>
      <c r="T93" s="94">
        <f>IF(Sheet1!DU95=1,Sheet1!AA95-(SUM(AT93:BA93)+BE93),Sheet1!AA95-SUM(AT93:BA93))</f>
        <v>18.433119999999999</v>
      </c>
      <c r="U93" s="94">
        <f>Sheet1!BV95</f>
        <v>22.8</v>
      </c>
      <c r="V93" s="94">
        <f t="shared" si="15"/>
        <v>-4.3668800000000019</v>
      </c>
      <c r="W93" s="94">
        <f>0</f>
        <v>0</v>
      </c>
      <c r="X93" s="90">
        <f>0</f>
        <v>0</v>
      </c>
      <c r="Y93" s="95">
        <f ca="1">Calculation!EJ94+Calculation!ES93+'Calculations II'!O93-'Calculations II'!W93</f>
        <v>57.187661769664189</v>
      </c>
      <c r="Z93" s="95">
        <f ca="1">Y93-Sheet1!CT96</f>
        <v>40.237661769664186</v>
      </c>
      <c r="AA93" s="95">
        <f ca="1">Y93+Calculation!DJ94+Calculation!AS94</f>
        <v>66.834305394856202</v>
      </c>
      <c r="AC93" s="95">
        <f>Sheet1!AA95+Sheet1!AB95+BC93</f>
        <v>53.732128000000003</v>
      </c>
      <c r="AD93" s="95">
        <f>Sheet1!AA95+Sheet1!BN95+'Calculations II'!BC93-Calculation!AS93-Calculation!DJ93</f>
        <v>34.54552291916859</v>
      </c>
      <c r="AE93" s="95">
        <f>Sheet1!AA95+Sheet1!AB95+'Calculations II'!BC93-Calculation!AS93-Calculation!DJ93</f>
        <v>44.145522919168592</v>
      </c>
      <c r="AF93" s="95">
        <f ca="1">Sheet1!AA95+Sheet1!BN95+P93+'Calculations II'!BC93+Calculation!AS93+Calculation!DJ93</f>
        <v>55.78506685049561</v>
      </c>
      <c r="AG93" s="95">
        <f ca="1">IF(B93=TODAY(),0,Sheet1!AA95+Sheet1!BN95+'Calculations II'!BC93+'Calculations II'!P93-Sheet1!CT95-BP93)</f>
        <v>30.300461769664199</v>
      </c>
      <c r="AH93" s="95">
        <f ca="1">IF(B93=TODAY(),0,Sheet1!AA95+Sheet1!BN95+'Calculations II'!BC93+'Calculations II'!P93-BP93)</f>
        <v>46.198461769664199</v>
      </c>
      <c r="AI93" s="95">
        <f ca="1">IF(B93=TODAY(),0,BC93+Sheet1!AA95+Calculation!ES93+O93+W93+Sheet1!BN95+Calculation!AS93+Calculation!DJ93-BP93)</f>
        <v>55.785066850495603</v>
      </c>
      <c r="AJ93" s="95"/>
      <c r="AM93" s="91">
        <f t="shared" si="16"/>
        <v>41721</v>
      </c>
      <c r="AN93" s="95">
        <f>Sheet1!BU95</f>
        <v>19.899999999999999</v>
      </c>
      <c r="AO93" s="95">
        <f>Sheet1!AA95</f>
        <v>20.75</v>
      </c>
      <c r="AP93" s="95">
        <f t="shared" si="11"/>
        <v>-2.0498000000000007</v>
      </c>
      <c r="AQ93" s="1055">
        <f>((Sheet1!BV95-(Sheet1!BU95-AP93))/(Sheet1!BU95-AP93))</f>
        <v>3.8733838121531902E-2</v>
      </c>
      <c r="AR93" s="95">
        <f t="shared" si="12"/>
        <v>22.799800000000001</v>
      </c>
      <c r="AS93" s="95">
        <f t="shared" si="13"/>
        <v>21.9498</v>
      </c>
      <c r="AT93" s="90">
        <f>Sheet1!BB95</f>
        <v>1</v>
      </c>
      <c r="AU93" s="90">
        <f>Sheet1!AS95*GPMtoMGD</f>
        <v>2.5055999999999998E-2</v>
      </c>
      <c r="AV93" s="95">
        <f>Sheet1!AT95</f>
        <v>0</v>
      </c>
      <c r="AW93" s="90">
        <f>Sheet1!AV95*GPMtoMGD</f>
        <v>0.56678400000000007</v>
      </c>
      <c r="AX93" s="90">
        <f>Sheet1!AW95*GPMtoMGD</f>
        <v>0.72504000000000002</v>
      </c>
      <c r="AY93" s="90">
        <f>Sheet1!AX95*GPMtoMGD</f>
        <v>0</v>
      </c>
      <c r="AZ93" s="90">
        <f>Sheet1!AY95*GPMtoMGD</f>
        <v>0</v>
      </c>
      <c r="BA93" s="90">
        <f>Sheet1!AZ95*GPMtoMGD</f>
        <v>0</v>
      </c>
      <c r="BB93" s="90">
        <f>Sheet1!BP95*GPMtoMGD</f>
        <v>0</v>
      </c>
      <c r="BC93" s="90">
        <f>Sheet1!CS95*GPMtoMGD</f>
        <v>6.9821280000000003</v>
      </c>
      <c r="BD93" s="90">
        <f>Sheet1!BO95*GPMtoMGD</f>
        <v>1.6944480000000002</v>
      </c>
      <c r="BE93" s="90">
        <f>Sheet1!BW95*GPMtoMGD</f>
        <v>0.72403200000000001</v>
      </c>
      <c r="BF93" s="90">
        <f>Sheet1!CN95*GPMtoMGD</f>
        <v>1.1808000000000001</v>
      </c>
      <c r="BG93" s="90">
        <f>Sheet1!CO95*GPMtoMGD</f>
        <v>0.52329599999999998</v>
      </c>
      <c r="BH93" s="90">
        <f>Sheet1!CP95*GPMtoMGD</f>
        <v>0.63216000000000006</v>
      </c>
      <c r="BI93" s="90">
        <f t="shared" si="17"/>
        <v>1.6944480000000002</v>
      </c>
      <c r="BK93" s="95">
        <f>SUM(AT93:BA93,BE93,Sheet1!BV95,'Calculations II'!BC93,Calculation!AQ93)</f>
        <v>49.235665096227862</v>
      </c>
      <c r="BM93" s="373">
        <f>0</f>
        <v>0</v>
      </c>
      <c r="BN93" s="373">
        <f>0</f>
        <v>0</v>
      </c>
      <c r="BP93" s="95">
        <f>SUM(BM93:BN93,W93,Sheet1!DX95)</f>
        <v>0</v>
      </c>
    </row>
    <row r="94" spans="1:68" s="90" customFormat="1">
      <c r="A94" s="651" t="s">
        <v>4</v>
      </c>
      <c r="B94" s="92">
        <v>41722</v>
      </c>
      <c r="C94" s="93">
        <v>0</v>
      </c>
      <c r="D94" s="95">
        <f>(Sheet1!BQ96-Sheet1!BQ95)*1.385</f>
        <v>-0.6925</v>
      </c>
      <c r="E94" s="30">
        <f>(Sheet1!BR96-Sheet1!BR95)*1.385</f>
        <v>-0.6925</v>
      </c>
      <c r="F94" s="30">
        <f ca="1">IF(B94=TODAY(),0,-(VLOOKUP(Sheet1!CD96,Lookup!$I$4:$J$216,2)-VLOOKUP(Sheet1!CD95,Lookup!$I$4:$J$216,2))/1000000)</f>
        <v>0.51818469273899681</v>
      </c>
      <c r="G94" s="95">
        <f ca="1">IF(B94=TODAY(),0,-$G$6*(Sheet1!CF96-Sheet1!CF95)*7.48/1000000)</f>
        <v>-1.1516915305242199</v>
      </c>
      <c r="H94" s="95">
        <f ca="1">IF(B94=TODAY(),0,-$H$6*(Sheet1!CE96-Sheet1!CE95)*7.48/1000000)</f>
        <v>0</v>
      </c>
      <c r="I94" s="95">
        <f ca="1">IF(B94=TODAY(),0,-$I$6*(Sheet1!CG96-Sheet1!CG95)*7.48/1000000)</f>
        <v>-4.4924880000000236E-3</v>
      </c>
      <c r="J94" s="96" t="s">
        <v>186</v>
      </c>
      <c r="K94" s="95">
        <f ca="1">IF(B94=TODAY(),0,-$K$6*(Sheet1!CH96-Sheet1!CH95)*7.48/1000000)</f>
        <v>0</v>
      </c>
      <c r="L94" s="96" t="s">
        <v>186</v>
      </c>
      <c r="M94" s="95">
        <f ca="1">IF(B94=TODAY(),0,-$M$6*(Sheet1!CI96-Sheet1!CI95)*7.48/1000000)</f>
        <v>-1.7991508428026663E-2</v>
      </c>
      <c r="N94" s="95">
        <f ca="1">IF(B94=TODAY(),0,-$N$6*(Sheet1!CJ96-Sheet1!CJ95)*7.48/1000000)</f>
        <v>-6.2052345394623676E-2</v>
      </c>
      <c r="O94" s="95">
        <f t="shared" ca="1" si="14"/>
        <v>-0.71804317960787345</v>
      </c>
      <c r="P94" s="95">
        <f ca="1">O94+Calculation!ES94</f>
        <v>0.66648417557353001</v>
      </c>
      <c r="Q94" s="90" t="str">
        <f>IF(Sheet1!BQ96&gt;25.75,"spill elevation","-")</f>
        <v>-</v>
      </c>
      <c r="R94" s="90" t="str">
        <f>IF(Sheet1!BQ96&gt;25.75,"spill elevation","-")</f>
        <v>-</v>
      </c>
      <c r="S94" s="90" t="str">
        <f>IF(Sheet1!BR96&gt;25.75,"spill elevation","-")</f>
        <v>-</v>
      </c>
      <c r="T94" s="94">
        <f>IF(Sheet1!DU96=1,Sheet1!AA96-(SUM(AT94:BA94)+BE94),Sheet1!AA96-SUM(AT94:BA94))</f>
        <v>18.228928</v>
      </c>
      <c r="U94" s="94">
        <f>Sheet1!BV96</f>
        <v>22</v>
      </c>
      <c r="V94" s="94">
        <f t="shared" si="15"/>
        <v>-3.7710720000000002</v>
      </c>
      <c r="W94" s="94">
        <f>0</f>
        <v>0</v>
      </c>
      <c r="X94" s="90">
        <f>0</f>
        <v>0</v>
      </c>
      <c r="Y94" s="95">
        <f ca="1">Calculation!EJ95+Calculation!ES94+'Calculations II'!O94-'Calculations II'!W94</f>
        <v>56.910212175573527</v>
      </c>
      <c r="Z94" s="95">
        <f ca="1">Y94-Sheet1!CT97</f>
        <v>40.371212175573525</v>
      </c>
      <c r="AA94" s="95">
        <f ca="1">Y94+Calculation!DJ95+Calculation!AS95</f>
        <v>66.570235190533253</v>
      </c>
      <c r="AC94" s="95">
        <f>Sheet1!AA96+Sheet1!AB96+BC94</f>
        <v>55.121327999999991</v>
      </c>
      <c r="AD94" s="95">
        <f>Sheet1!AA96+Sheet1!BN96+'Calculations II'!BC94-Calculation!AS94-Calculation!DJ94</f>
        <v>35.814684374807982</v>
      </c>
      <c r="AE94" s="95">
        <f>Sheet1!AA96+Sheet1!AB96+'Calculations II'!BC94-Calculation!AS94-Calculation!DJ94</f>
        <v>45.474684374807978</v>
      </c>
      <c r="AF94" s="95">
        <f ca="1">Sheet1!AA96+Sheet1!BN96+P94+'Calculations II'!BC94+Calculation!AS94+Calculation!DJ94</f>
        <v>55.774455800765537</v>
      </c>
      <c r="AG94" s="95">
        <f ca="1">IF(B94=TODAY(),0,Sheet1!AA96+Sheet1!BN96+'Calculations II'!BC94+'Calculations II'!P94-Sheet1!CT96-BP94)</f>
        <v>29.177812175573525</v>
      </c>
      <c r="AH94" s="95">
        <f ca="1">IF(B94=TODAY(),0,Sheet1!AA96+Sheet1!BN96+'Calculations II'!BC94+'Calculations II'!P94-BP94)</f>
        <v>46.127812175573524</v>
      </c>
      <c r="AI94" s="95">
        <f ca="1">IF(B94=TODAY(),0,BC94+Sheet1!AA96+Calculation!ES94+O94+W94+Sheet1!BN96+Calculation!AS94+Calculation!DJ94-BP94)</f>
        <v>55.774455800765537</v>
      </c>
      <c r="AJ94" s="95"/>
      <c r="AM94" s="91">
        <f t="shared" si="16"/>
        <v>41722</v>
      </c>
      <c r="AN94" s="95">
        <f>Sheet1!BU96</f>
        <v>19.8</v>
      </c>
      <c r="AO94" s="95">
        <f>Sheet1!AA96</f>
        <v>20.65</v>
      </c>
      <c r="AP94" s="95">
        <f t="shared" si="11"/>
        <v>-1.385</v>
      </c>
      <c r="AQ94" s="1055">
        <f>((Sheet1!BV96-(Sheet1!BU96-AP94))/(Sheet1!BU96-AP94))</f>
        <v>3.8470616001888017E-2</v>
      </c>
      <c r="AR94" s="95">
        <f t="shared" si="12"/>
        <v>22.035</v>
      </c>
      <c r="AS94" s="95">
        <f t="shared" si="13"/>
        <v>21.185000000000002</v>
      </c>
      <c r="AT94" s="90">
        <f>Sheet1!BB96</f>
        <v>0.99</v>
      </c>
      <c r="AU94" s="90">
        <f>Sheet1!AS96*GPMtoMGD</f>
        <v>2.0880000000000003E-2</v>
      </c>
      <c r="AV94" s="95">
        <f>Sheet1!AT96</f>
        <v>0</v>
      </c>
      <c r="AW94" s="90">
        <f>Sheet1!AV96*GPMtoMGD</f>
        <v>0.64108799999999999</v>
      </c>
      <c r="AX94" s="90">
        <f>Sheet1!AW96*GPMtoMGD</f>
        <v>0.76910400000000012</v>
      </c>
      <c r="AY94" s="90">
        <f>Sheet1!AX96*GPMtoMGD</f>
        <v>0</v>
      </c>
      <c r="AZ94" s="90">
        <f>Sheet1!AY96*GPMtoMGD</f>
        <v>0</v>
      </c>
      <c r="BA94" s="90">
        <f>Sheet1!AZ96*GPMtoMGD</f>
        <v>0</v>
      </c>
      <c r="BB94" s="90">
        <f>Sheet1!BP96*GPMtoMGD</f>
        <v>0</v>
      </c>
      <c r="BC94" s="90">
        <f>Sheet1!CS96*GPMtoMGD</f>
        <v>8.411328000000001</v>
      </c>
      <c r="BD94" s="90">
        <f>Sheet1!BO96*GPMtoMGD</f>
        <v>1.545552</v>
      </c>
      <c r="BE94" s="90">
        <f>Sheet1!BW96*GPMtoMGD</f>
        <v>0.98380800000000013</v>
      </c>
      <c r="BF94" s="90">
        <f>Sheet1!CN96*GPMtoMGD</f>
        <v>1.1808000000000001</v>
      </c>
      <c r="BG94" s="90">
        <f>Sheet1!CO96*GPMtoMGD</f>
        <v>0.48369600000000001</v>
      </c>
      <c r="BH94" s="90">
        <f>Sheet1!CP96*GPMtoMGD</f>
        <v>0.66225599999999996</v>
      </c>
      <c r="BI94" s="90">
        <f t="shared" si="17"/>
        <v>1.545552</v>
      </c>
      <c r="BK94" s="95">
        <f>SUM(AT94:BA94,BE94,Sheet1!BV96,'Calculations II'!BC94,Calculation!AQ94)</f>
        <v>50.228804006144394</v>
      </c>
      <c r="BM94" s="373">
        <f>0</f>
        <v>0</v>
      </c>
      <c r="BN94" s="373">
        <f>0</f>
        <v>0</v>
      </c>
      <c r="BP94" s="95">
        <f>SUM(BM94:BN94,W94,Sheet1!DX96)</f>
        <v>0</v>
      </c>
    </row>
    <row r="95" spans="1:68" s="90" customFormat="1">
      <c r="A95" s="651" t="s">
        <v>5</v>
      </c>
      <c r="B95" s="92">
        <v>41723</v>
      </c>
      <c r="C95" s="93">
        <v>0</v>
      </c>
      <c r="D95" s="95">
        <f>(Sheet1!BQ97-Sheet1!BQ96)*1.385</f>
        <v>0.99719999999999842</v>
      </c>
      <c r="E95" s="30">
        <f>(Sheet1!BR97-Sheet1!BR96)*1.385</f>
        <v>0.95565000000000178</v>
      </c>
      <c r="F95" s="30">
        <f ca="1">IF(B95=TODAY(),0,-(VLOOKUP(Sheet1!CD97,Lookup!$I$4:$J$216,2)-VLOOKUP(Sheet1!CD96,Lookup!$I$4:$J$216,2))/1000000)</f>
        <v>0.62182163128680179</v>
      </c>
      <c r="G95" s="95">
        <f ca="1">IF(B95=TODAY(),0,-$G$6*(Sheet1!CF97-Sheet1!CF96)*7.48/1000000)</f>
        <v>0.19856750526279648</v>
      </c>
      <c r="H95" s="95">
        <f ca="1">IF(B95=TODAY(),0,-$H$6*(Sheet1!CE97-Sheet1!CE96)*7.48/1000000)</f>
        <v>0</v>
      </c>
      <c r="I95" s="95">
        <f ca="1">IF(B95=TODAY(),0,-$I$6*(Sheet1!CG97-Sheet1!CG96)*7.48/1000000)</f>
        <v>-4.4924879999999837E-3</v>
      </c>
      <c r="J95" s="96" t="s">
        <v>186</v>
      </c>
      <c r="K95" s="95">
        <f ca="1">IF(B95=TODAY(),0,-$K$6*(Sheet1!CH97-Sheet1!CH96)*7.48/1000000)</f>
        <v>-1.3326640748916837E-2</v>
      </c>
      <c r="L95" s="96" t="s">
        <v>186</v>
      </c>
      <c r="M95" s="95">
        <f ca="1">IF(B95=TODAY(),0,-$M$6*(Sheet1!CI97-Sheet1!CI96)*7.48/1000000)</f>
        <v>-1.7991508428027301E-2</v>
      </c>
      <c r="N95" s="95">
        <f ca="1">IF(B95=TODAY(),0,-$N$6*(Sheet1!CJ97-Sheet1!CJ96)*7.48/1000000)</f>
        <v>0</v>
      </c>
      <c r="O95" s="95">
        <f t="shared" ca="1" si="14"/>
        <v>0.78457849937265411</v>
      </c>
      <c r="P95" s="95">
        <f ca="1">O95+Calculation!ES95</f>
        <v>-1.2923342811711462</v>
      </c>
      <c r="Q95" s="90" t="str">
        <f>IF(Sheet1!BQ97&gt;25.75,"spill elevation","-")</f>
        <v>-</v>
      </c>
      <c r="R95" s="90" t="str">
        <f>IF(Sheet1!BQ97&gt;25.75,"spill elevation","-")</f>
        <v>-</v>
      </c>
      <c r="S95" s="90" t="str">
        <f>IF(Sheet1!BR97&gt;25.75,"spill elevation","-")</f>
        <v>-</v>
      </c>
      <c r="T95" s="94">
        <f>IF(Sheet1!DU97=1,Sheet1!AA97-(SUM(AT95:BA95)+BE95),Sheet1!AA97-SUM(AT95:BA95))</f>
        <v>18.416975999999998</v>
      </c>
      <c r="U95" s="94">
        <f>Sheet1!BV97</f>
        <v>19.100000000000001</v>
      </c>
      <c r="V95" s="94">
        <f t="shared" si="15"/>
        <v>-0.68302400000000318</v>
      </c>
      <c r="W95" s="94">
        <f>0</f>
        <v>0</v>
      </c>
      <c r="X95" s="90">
        <f>0</f>
        <v>0</v>
      </c>
      <c r="Y95" s="95">
        <f ca="1">Calculation!EJ96+Calculation!ES95+'Calculations II'!O95-'Calculations II'!W95</f>
        <v>54.785121718828854</v>
      </c>
      <c r="Z95" s="95">
        <f ca="1">Y95-Sheet1!CT98</f>
        <v>38.146121718828851</v>
      </c>
      <c r="AA95" s="95">
        <f ca="1">Y95+Calculation!DJ96+Calculation!AS96</f>
        <v>64.398284473734591</v>
      </c>
      <c r="AC95" s="95">
        <f>Sheet1!AA97+Sheet1!AB97+BC95</f>
        <v>56.243727999999997</v>
      </c>
      <c r="AD95" s="95">
        <f>Sheet1!AA97+Sheet1!BN97+'Calculations II'!BC95-Calculation!AS95-Calculation!DJ95</f>
        <v>36.94370498504027</v>
      </c>
      <c r="AE95" s="95">
        <f>Sheet1!AA97+Sheet1!AB97+'Calculations II'!BC95-Calculation!AS95-Calculation!DJ95</f>
        <v>46.583704985040271</v>
      </c>
      <c r="AF95" s="95">
        <f ca="1">Sheet1!AA97+Sheet1!BN97+P95+'Calculations II'!BC95+Calculation!AS95+Calculation!DJ95</f>
        <v>54.971416733788573</v>
      </c>
      <c r="AG95" s="95">
        <f ca="1">IF(B95=TODAY(),0,Sheet1!AA97+Sheet1!BN97+'Calculations II'!BC95+'Calculations II'!P95-Sheet1!CT97-BP95)</f>
        <v>28.772393718828852</v>
      </c>
      <c r="AH95" s="95">
        <f ca="1">IF(B95=TODAY(),0,Sheet1!AA97+Sheet1!BN97+'Calculations II'!BC95+'Calculations II'!P95-BP95)</f>
        <v>45.311393718828853</v>
      </c>
      <c r="AI95" s="95">
        <f ca="1">IF(B95=TODAY(),0,BC95+Sheet1!AA97+Calculation!ES95+O95+W95+Sheet1!BN97+Calculation!AS95+Calculation!DJ95-BP95)</f>
        <v>54.971416733788573</v>
      </c>
      <c r="AJ95" s="95"/>
      <c r="AM95" s="91">
        <f t="shared" si="16"/>
        <v>41723</v>
      </c>
      <c r="AN95" s="95">
        <f>Sheet1!BU97</f>
        <v>19.899999999999999</v>
      </c>
      <c r="AO95" s="95">
        <f>Sheet1!AA97</f>
        <v>20.5</v>
      </c>
      <c r="AP95" s="95">
        <f t="shared" si="11"/>
        <v>1.9528500000000002</v>
      </c>
      <c r="AQ95" s="1055">
        <f>((Sheet1!BV97-(Sheet1!BU97-AP95))/(Sheet1!BU97-AP95))</f>
        <v>6.4235825743920602E-2</v>
      </c>
      <c r="AR95" s="95">
        <f t="shared" si="12"/>
        <v>18.547149999999998</v>
      </c>
      <c r="AS95" s="95">
        <f t="shared" si="13"/>
        <v>17.947149999999997</v>
      </c>
      <c r="AT95" s="90">
        <f>Sheet1!BB97</f>
        <v>1</v>
      </c>
      <c r="AU95" s="90">
        <f>Sheet1!AS97*GPMtoMGD</f>
        <v>1.5120000000000001E-2</v>
      </c>
      <c r="AV95" s="95">
        <f>Sheet1!AT97</f>
        <v>0</v>
      </c>
      <c r="AW95" s="90">
        <f>Sheet1!AV97*GPMtoMGD</f>
        <v>0.50760000000000005</v>
      </c>
      <c r="AX95" s="90">
        <f>Sheet1!AW97*GPMtoMGD</f>
        <v>0.56030400000000002</v>
      </c>
      <c r="AY95" s="90">
        <f>Sheet1!AX97*GPMtoMGD</f>
        <v>0</v>
      </c>
      <c r="AZ95" s="90">
        <v>0</v>
      </c>
      <c r="BA95" s="90">
        <f>Sheet1!AZ97*GPMtoMGD</f>
        <v>0</v>
      </c>
      <c r="BB95" s="90">
        <f>Sheet1!BP97*GPMtoMGD</f>
        <v>0</v>
      </c>
      <c r="BC95" s="90">
        <f>Sheet1!CS97*GPMtoMGD</f>
        <v>9.7037279999999999</v>
      </c>
      <c r="BD95" s="90">
        <f>Sheet1!BO97*GPMtoMGD</f>
        <v>1.4791680000000003</v>
      </c>
      <c r="BE95" s="90">
        <f>Sheet1!BW97*GPMtoMGD</f>
        <v>0.67622400000000005</v>
      </c>
      <c r="BF95" s="90">
        <f>Sheet1!CN97*GPMtoMGD</f>
        <v>1.1808000000000001</v>
      </c>
      <c r="BG95" s="90">
        <f>Sheet1!CO97*GPMtoMGD</f>
        <v>0.45907200000000004</v>
      </c>
      <c r="BH95" s="90">
        <f>Sheet1!CP97*GPMtoMGD</f>
        <v>0.65937599999999996</v>
      </c>
      <c r="BI95" s="90">
        <f t="shared" si="17"/>
        <v>1.4791680000000003</v>
      </c>
      <c r="BK95" s="95">
        <f>SUM(AT95:BA95,BE95,Sheet1!BV97,'Calculations II'!BC95,Calculation!AQ95)</f>
        <v>47.944103733026466</v>
      </c>
      <c r="BM95" s="373">
        <f>0</f>
        <v>0</v>
      </c>
      <c r="BN95" s="373">
        <f>0</f>
        <v>0</v>
      </c>
      <c r="BP95" s="95">
        <f>SUM(BM95:BN95,W95,Sheet1!DX97)</f>
        <v>0</v>
      </c>
    </row>
    <row r="96" spans="1:68" s="90" customFormat="1">
      <c r="A96" s="651" t="s">
        <v>6</v>
      </c>
      <c r="B96" s="92">
        <v>41724</v>
      </c>
      <c r="C96" s="93">
        <v>0</v>
      </c>
      <c r="D96" s="95">
        <f>(Sheet1!BQ98-Sheet1!BQ97)*1.385</f>
        <v>0.49859999999999921</v>
      </c>
      <c r="E96" s="30">
        <f>(Sheet1!BR98-Sheet1!BR97)*1.385</f>
        <v>0.49859999999999921</v>
      </c>
      <c r="F96" s="30">
        <f ca="1">IF(B96=TODAY(),0,-(VLOOKUP(Sheet1!CD98,Lookup!$I$4:$J$216,2)-VLOOKUP(Sheet1!CD97,Lookup!$I$4:$J$216,2))/1000000)</f>
        <v>-0.62182163128680179</v>
      </c>
      <c r="G96" s="95">
        <f ca="1">IF(B96=TODAY(),0,-$G$6*(Sheet1!CF98-Sheet1!CF97)*7.48/1000000)</f>
        <v>0.19856750526279648</v>
      </c>
      <c r="H96" s="95">
        <f ca="1">IF(B96=TODAY(),0,-$H$6*(Sheet1!CE98-Sheet1!CE97)*7.48/1000000)</f>
        <v>-1.5039432351265274E-2</v>
      </c>
      <c r="I96" s="95">
        <f ca="1">IF(B96=TODAY(),0,-$I$6*(Sheet1!CG98-Sheet1!CG97)*7.48/1000000)</f>
        <v>0</v>
      </c>
      <c r="J96" s="96" t="s">
        <v>186</v>
      </c>
      <c r="K96" s="95">
        <f ca="1">IF(B96=TODAY(),0,-$K$6*(Sheet1!CH98-Sheet1!CH97)*7.48/1000000)</f>
        <v>0</v>
      </c>
      <c r="L96" s="96" t="s">
        <v>186</v>
      </c>
      <c r="M96" s="95">
        <f ca="1">IF(B96=TODAY(),0,-$M$6*(Sheet1!CI98-Sheet1!CI97)*7.48/1000000)</f>
        <v>0</v>
      </c>
      <c r="N96" s="95">
        <f ca="1">IF(B96=TODAY(),0,-$N$6*(Sheet1!CJ98-Sheet1!CJ97)*7.48/1000000)</f>
        <v>-0.21097797434172119</v>
      </c>
      <c r="O96" s="95">
        <f t="shared" ca="1" si="14"/>
        <v>-0.64927153271699178</v>
      </c>
      <c r="P96" s="95">
        <f ca="1">O96+Calculation!ES96</f>
        <v>-1.6187418578372137</v>
      </c>
      <c r="Q96" s="90" t="str">
        <f>IF(Sheet1!BQ98&gt;25.75,"spill elevation","-")</f>
        <v>-</v>
      </c>
      <c r="R96" s="90" t="str">
        <f>IF(Sheet1!BQ98&gt;25.75,"spill elevation","-")</f>
        <v>-</v>
      </c>
      <c r="S96" s="90" t="str">
        <f>IF(Sheet1!BR98&gt;25.75,"spill elevation","-")</f>
        <v>-</v>
      </c>
      <c r="T96" s="94">
        <f>IF(Sheet1!DU98=1,Sheet1!AA98-(SUM(AT96:BA96)+BE96),Sheet1!AA98-SUM(AT96:BA96))</f>
        <v>18.298592000000003</v>
      </c>
      <c r="U96" s="94">
        <f>Sheet1!BV98</f>
        <v>19.7</v>
      </c>
      <c r="V96" s="94">
        <f t="shared" si="15"/>
        <v>-1.4014079999999964</v>
      </c>
      <c r="W96" s="94">
        <f>0</f>
        <v>0</v>
      </c>
      <c r="X96" s="90">
        <f>0</f>
        <v>0</v>
      </c>
      <c r="Y96" s="95">
        <f ca="1">Calculation!EJ97+Calculation!ES96+'Calculations II'!O96-'Calculations II'!W96</f>
        <v>52.336490142162781</v>
      </c>
      <c r="Z96" s="95">
        <f ca="1">Y96-Sheet1!CT99</f>
        <v>36.036490142162776</v>
      </c>
      <c r="AA96" s="95">
        <f ca="1">Y96+Calculation!DJ97+Calculation!AS97</f>
        <v>61.983126086863244</v>
      </c>
      <c r="AC96" s="95">
        <f>Sheet1!AA98+Sheet1!AB98+BC96</f>
        <v>56.077455999999998</v>
      </c>
      <c r="AD96" s="95">
        <f>Sheet1!AA98+Sheet1!BN98+'Calculations II'!BC96-Calculation!AS96-Calculation!DJ96</f>
        <v>36.804293245094257</v>
      </c>
      <c r="AE96" s="95">
        <f>Sheet1!AA98+Sheet1!AB98+'Calculations II'!BC96-Calculation!AS96-Calculation!DJ96</f>
        <v>46.464293245094261</v>
      </c>
      <c r="AF96" s="95">
        <f ca="1">Sheet1!AA98+Sheet1!BN98+P96+'Calculations II'!BC96+Calculation!AS96+Calculation!DJ96</f>
        <v>54.411876897068517</v>
      </c>
      <c r="AG96" s="95">
        <f ca="1">IF(B96=TODAY(),0,Sheet1!AA98+Sheet1!BN98+'Calculations II'!BC96+'Calculations II'!P96-Sheet1!CT98-BP96)</f>
        <v>28.15971414216278</v>
      </c>
      <c r="AH96" s="95">
        <f ca="1">IF(B96=TODAY(),0,Sheet1!AA98+Sheet1!BN98+'Calculations II'!BC96+'Calculations II'!P96-BP96)</f>
        <v>44.79871414216278</v>
      </c>
      <c r="AI96" s="95">
        <f ca="1">IF(B96=TODAY(),0,BC96+Sheet1!AA98+Calculation!ES96+O96+W96+Sheet1!BN98+Calculation!AS96+Calculation!DJ96-BP96)</f>
        <v>54.411876897068524</v>
      </c>
      <c r="AJ96" s="95"/>
      <c r="AM96" s="91">
        <f t="shared" si="16"/>
        <v>41724</v>
      </c>
      <c r="AN96" s="95">
        <f>Sheet1!BU98</f>
        <v>19.8</v>
      </c>
      <c r="AO96" s="95">
        <f>Sheet1!AA98</f>
        <v>20.51</v>
      </c>
      <c r="AP96" s="95">
        <f t="shared" si="11"/>
        <v>0.99719999999999842</v>
      </c>
      <c r="AQ96" s="1055">
        <f>((Sheet1!BV98-(Sheet1!BU98-AP96))/(Sheet1!BU98-AP96))</f>
        <v>4.7716297572701828E-2</v>
      </c>
      <c r="AR96" s="95">
        <f t="shared" si="12"/>
        <v>19.512800000000002</v>
      </c>
      <c r="AS96" s="95">
        <f t="shared" si="13"/>
        <v>18.802800000000001</v>
      </c>
      <c r="AT96" s="90">
        <f>Sheet1!BB98</f>
        <v>0.99</v>
      </c>
      <c r="AU96" s="90">
        <f>Sheet1!AS98*GPMtoMGD</f>
        <v>1.4976000000000001E-2</v>
      </c>
      <c r="AV96" s="95">
        <f>Sheet1!AT98</f>
        <v>0</v>
      </c>
      <c r="AW96" s="90">
        <f>Sheet1!AV98*GPMtoMGD</f>
        <v>0.56001599999999996</v>
      </c>
      <c r="AX96" s="90">
        <f>Sheet1!AW98*GPMtoMGD</f>
        <v>0.64641599999999999</v>
      </c>
      <c r="AY96" s="90">
        <f>Sheet1!AX98*GPMtoMGD</f>
        <v>0</v>
      </c>
      <c r="AZ96" s="90">
        <f>Sheet1!AY98*GPMtoMGD</f>
        <v>0</v>
      </c>
      <c r="BA96" s="90">
        <f>Sheet1!AZ98*GPMtoMGD</f>
        <v>0</v>
      </c>
      <c r="BB96" s="90">
        <f>Sheet1!BP98*GPMtoMGD</f>
        <v>0</v>
      </c>
      <c r="BC96" s="90">
        <f>Sheet1!CS98*GPMtoMGD</f>
        <v>9.5074559999999995</v>
      </c>
      <c r="BD96" s="90">
        <f>Sheet1!BO98*GPMtoMGD</f>
        <v>1.4726880000000002</v>
      </c>
      <c r="BE96" s="90">
        <f>Sheet1!BW98*GPMtoMGD</f>
        <v>0.96062400000000014</v>
      </c>
      <c r="BF96" s="90">
        <f>Sheet1!CN98*GPMtoMGD</f>
        <v>1.1808000000000001</v>
      </c>
      <c r="BG96" s="90">
        <f>Sheet1!CO98*GPMtoMGD</f>
        <v>0.46022400000000008</v>
      </c>
      <c r="BH96" s="90">
        <f>Sheet1!CP98*GPMtoMGD</f>
        <v>0.66542400000000013</v>
      </c>
      <c r="BI96" s="90">
        <f t="shared" si="17"/>
        <v>1.4726880000000002</v>
      </c>
      <c r="BK96" s="95">
        <f>SUM(AT96:BA96,BE96,Sheet1!BV98,'Calculations II'!BC96,Calculation!AQ96)</f>
        <v>48.823658834936516</v>
      </c>
      <c r="BM96" s="373">
        <f>0</f>
        <v>0</v>
      </c>
      <c r="BN96" s="373">
        <f>0</f>
        <v>0</v>
      </c>
      <c r="BP96" s="95">
        <f>SUM(BM96:BN96,W96,Sheet1!DX98)</f>
        <v>0</v>
      </c>
    </row>
    <row r="97" spans="1:68" s="90" customFormat="1">
      <c r="A97" s="651" t="s">
        <v>7</v>
      </c>
      <c r="B97" s="92">
        <v>41725</v>
      </c>
      <c r="C97" s="93">
        <v>0</v>
      </c>
      <c r="D97" s="95">
        <f>(Sheet1!BQ99-Sheet1!BQ98)*1.385</f>
        <v>0.73405000000000153</v>
      </c>
      <c r="E97" s="30">
        <f>(Sheet1!BR99-Sheet1!BR98)*1.385</f>
        <v>0.7201999999999994</v>
      </c>
      <c r="F97" s="30">
        <f ca="1">IF(B97=TODAY(),0,-(VLOOKUP(Sheet1!CD99,Lookup!$I$4:$J$216,2)-VLOOKUP(Sheet1!CD98,Lookup!$I$4:$J$216,2))/1000000)</f>
        <v>0.20727387709559872</v>
      </c>
      <c r="G97" s="95">
        <f ca="1">IF(B97=TODAY(),0,-$G$6*(Sheet1!CF99-Sheet1!CF98)*7.48/1000000)</f>
        <v>0.19856750526279648</v>
      </c>
      <c r="H97" s="95">
        <f ca="1">IF(B97=TODAY(),0,-$H$6*(Sheet1!CE99-Sheet1!CE98)*7.48/1000000)</f>
        <v>3.0078864702530548E-2</v>
      </c>
      <c r="I97" s="95">
        <f ca="1">IF(B97=TODAY(),0,-$I$6*(Sheet1!CG99-Sheet1!CG98)*7.48/1000000)</f>
        <v>-4.4924879999999837E-3</v>
      </c>
      <c r="J97" s="96" t="s">
        <v>186</v>
      </c>
      <c r="K97" s="95">
        <f ca="1">IF(B97=TODAY(),0,-$K$6*(Sheet1!CH99-Sheet1!CH98)*7.48/1000000)</f>
        <v>-6.6633203744584186E-3</v>
      </c>
      <c r="L97" s="96" t="s">
        <v>186</v>
      </c>
      <c r="M97" s="95">
        <f ca="1">IF(B97=TODAY(),0,-$M$6*(Sheet1!CI99-Sheet1!CI98)*7.48/1000000)</f>
        <v>-1.7991508428027301E-2</v>
      </c>
      <c r="N97" s="95">
        <f ca="1">IF(B97=TODAY(),0,-$N$6*(Sheet1!CJ99-Sheet1!CJ98)*7.48/1000000)</f>
        <v>0.28544078881526935</v>
      </c>
      <c r="O97" s="95">
        <f t="shared" ca="1" si="14"/>
        <v>0.69221371907370943</v>
      </c>
      <c r="P97" s="95">
        <f ca="1">O97+Calculation!ES97</f>
        <v>-0.83156100843698133</v>
      </c>
      <c r="Q97" s="90" t="str">
        <f>IF(Sheet1!BQ99&gt;25.75,"spill elevation","-")</f>
        <v>-</v>
      </c>
      <c r="R97" s="90" t="str">
        <f>IF(Sheet1!BQ99&gt;25.75,"spill elevation","-")</f>
        <v>-</v>
      </c>
      <c r="S97" s="90" t="str">
        <f>IF(Sheet1!BR99&gt;25.75,"spill elevation","-")</f>
        <v>-</v>
      </c>
      <c r="T97" s="94">
        <f>IF(Sheet1!DU99=1,Sheet1!AA99-(SUM(AT97:BA97)+BE97),Sheet1!AA99-SUM(AT97:BA97))</f>
        <v>18.502768</v>
      </c>
      <c r="U97" s="94">
        <f>Sheet1!BV99</f>
        <v>19.5</v>
      </c>
      <c r="V97" s="94">
        <f t="shared" si="15"/>
        <v>-0.99723200000000034</v>
      </c>
      <c r="W97" s="94">
        <f>0</f>
        <v>0</v>
      </c>
      <c r="X97" s="90">
        <f>0</f>
        <v>0</v>
      </c>
      <c r="Y97" s="95">
        <f ca="1">Calculation!EJ98+Calculation!ES97+'Calculations II'!O97-'Calculations II'!W97</f>
        <v>52.130294991563012</v>
      </c>
      <c r="Z97" s="95">
        <f ca="1">Y97-Sheet1!CT100</f>
        <v>35.396294991563011</v>
      </c>
      <c r="AA97" s="95">
        <f ca="1">Y97+Calculation!DJ98+Calculation!AS98</f>
        <v>61.437075309269332</v>
      </c>
      <c r="AC97" s="95">
        <f>Sheet1!AA99+Sheet1!AB99+BC97</f>
        <v>53.955231999999995</v>
      </c>
      <c r="AD97" s="95">
        <f>Sheet1!AA99+Sheet1!BN99+'Calculations II'!BC97-Calculation!AS97-Calculation!DJ97</f>
        <v>34.648596055299535</v>
      </c>
      <c r="AE97" s="95">
        <f>Sheet1!AA99+Sheet1!AB99+'Calculations II'!BC97-Calculation!AS97-Calculation!DJ97</f>
        <v>44.308596055299532</v>
      </c>
      <c r="AF97" s="95">
        <f ca="1">Sheet1!AA99+Sheet1!BN99+P97+'Calculations II'!BC97+Calculation!AS97+Calculation!DJ97</f>
        <v>53.110306936263484</v>
      </c>
      <c r="AG97" s="95">
        <f ca="1">IF(B97=TODAY(),0,Sheet1!AA99+Sheet1!BN99+'Calculations II'!BC97+'Calculations II'!P97-Sheet1!CT99-BP97)</f>
        <v>27.16367099156302</v>
      </c>
      <c r="AH97" s="95">
        <f ca="1">IF(B97=TODAY(),0,Sheet1!AA99+Sheet1!BN99+'Calculations II'!BC97+'Calculations II'!P97-BP97)</f>
        <v>43.463670991563021</v>
      </c>
      <c r="AI97" s="95">
        <f ca="1">IF(B97=TODAY(),0,BC97+Sheet1!AA99+Calculation!ES97+O97+W97+Sheet1!BN99+Calculation!AS97+Calculation!DJ97-BP97)</f>
        <v>53.110306936263484</v>
      </c>
      <c r="AJ97" s="95"/>
      <c r="AM97" s="91">
        <f t="shared" si="16"/>
        <v>41725</v>
      </c>
      <c r="AN97" s="95">
        <f>Sheet1!BU99</f>
        <v>19.899999999999999</v>
      </c>
      <c r="AO97" s="95">
        <f>Sheet1!AA99</f>
        <v>20.54</v>
      </c>
      <c r="AP97" s="95">
        <f t="shared" si="11"/>
        <v>1.4542500000000009</v>
      </c>
      <c r="AQ97" s="1055">
        <f>((Sheet1!BV99-(Sheet1!BU99-AP97))/(Sheet1!BU99-AP97))</f>
        <v>5.7154086984806986E-2</v>
      </c>
      <c r="AR97" s="95">
        <f t="shared" si="12"/>
        <v>19.085749999999997</v>
      </c>
      <c r="AS97" s="95">
        <f t="shared" si="13"/>
        <v>18.445749999999997</v>
      </c>
      <c r="AT97" s="90">
        <f>Sheet1!BB99</f>
        <v>1</v>
      </c>
      <c r="AU97" s="90">
        <f>Sheet1!AS99*GPMtoMGD</f>
        <v>1.5408E-2</v>
      </c>
      <c r="AV97" s="95">
        <f>Sheet1!AT99</f>
        <v>0</v>
      </c>
      <c r="AW97" s="90">
        <f>Sheet1!AV99*GPMtoMGD</f>
        <v>0.45216000000000001</v>
      </c>
      <c r="AX97" s="90">
        <f>Sheet1!AW99*GPMtoMGD</f>
        <v>0.56966400000000006</v>
      </c>
      <c r="AY97" s="90">
        <f>Sheet1!AX99*GPMtoMGD</f>
        <v>0</v>
      </c>
      <c r="AZ97" s="90">
        <f>Sheet1!AY99*GPMtoMGD</f>
        <v>0</v>
      </c>
      <c r="BA97" s="90">
        <f>Sheet1!AZ99*GPMtoMGD</f>
        <v>0</v>
      </c>
      <c r="BB97" s="90">
        <f>Sheet1!BP99*GPMtoMGD</f>
        <v>0</v>
      </c>
      <c r="BC97" s="90">
        <f>Sheet1!CS99*GPMtoMGD</f>
        <v>7.3552320000000009</v>
      </c>
      <c r="BD97" s="90">
        <f>Sheet1!BO99*GPMtoMGD</f>
        <v>1.5223680000000002</v>
      </c>
      <c r="BE97" s="90">
        <f>Sheet1!BW99*GPMtoMGD</f>
        <v>0.67521600000000004</v>
      </c>
      <c r="BF97" s="90">
        <f>Sheet1!CN99*GPMtoMGD</f>
        <v>1.1808000000000001</v>
      </c>
      <c r="BG97" s="90">
        <f>Sheet1!CO99*GPMtoMGD</f>
        <v>0.45403200000000005</v>
      </c>
      <c r="BH97" s="90">
        <f>Sheet1!CP99*GPMtoMGD</f>
        <v>0.66326400000000008</v>
      </c>
      <c r="BI97" s="90">
        <f t="shared" si="17"/>
        <v>1.5223680000000002</v>
      </c>
      <c r="BK97" s="95">
        <f>SUM(AT97:BA97,BE97,Sheet1!BV99,'Calculations II'!BC97,Calculation!AQ97)</f>
        <v>45.980276006144393</v>
      </c>
      <c r="BM97" s="373">
        <f>0</f>
        <v>0</v>
      </c>
      <c r="BN97" s="373">
        <f>0</f>
        <v>0</v>
      </c>
      <c r="BP97" s="95">
        <f>SUM(BM97:BN97,W97,Sheet1!DX99)</f>
        <v>0</v>
      </c>
    </row>
    <row r="98" spans="1:68" s="90" customFormat="1">
      <c r="A98" s="651" t="s">
        <v>8</v>
      </c>
      <c r="B98" s="92">
        <v>41726</v>
      </c>
      <c r="C98" s="93">
        <v>0</v>
      </c>
      <c r="D98" s="95">
        <f>(Sheet1!BQ100-Sheet1!BQ99)*1.385</f>
        <v>-0.78945000000000043</v>
      </c>
      <c r="E98" s="30">
        <f>(Sheet1!BR100-Sheet1!BR99)*1.385</f>
        <v>-0.78945000000000043</v>
      </c>
      <c r="F98" s="30">
        <f ca="1">IF(B98=TODAY(),0,-(VLOOKUP(Sheet1!CD100,Lookup!$I$4:$J$216,2)-VLOOKUP(Sheet1!CD99,Lookup!$I$4:$J$216,2))/1000000)</f>
        <v>0.10363693854779936</v>
      </c>
      <c r="G98" s="95">
        <f ca="1">IF(B98=TODAY(),0,-$G$6*(Sheet1!CF100-Sheet1!CF99)*7.48/1000000)</f>
        <v>0.15885400421023735</v>
      </c>
      <c r="H98" s="95">
        <f ca="1">IF(B98=TODAY(),0,-$H$6*(Sheet1!CE100-Sheet1!CE99)*7.48/1000000)</f>
        <v>7.5197161756325293E-2</v>
      </c>
      <c r="I98" s="95">
        <f ca="1">IF(B98=TODAY(),0,-$I$6*(Sheet1!CG100-Sheet1!CG99)*7.48/1000000)</f>
        <v>4.4924879999999837E-3</v>
      </c>
      <c r="J98" s="96" t="s">
        <v>186</v>
      </c>
      <c r="K98" s="95">
        <f ca="1">IF(B98=TODAY(),0,-$K$6*(Sheet1!CH100-Sheet1!CH99)*7.48/1000000)</f>
        <v>6.6633203744584186E-3</v>
      </c>
      <c r="L98" s="96" t="s">
        <v>186</v>
      </c>
      <c r="M98" s="95">
        <f ca="1">IF(B98=TODAY(),0,-$M$6*(Sheet1!CI100-Sheet1!CI99)*7.48/1000000)</f>
        <v>1.7991508428027301E-2</v>
      </c>
      <c r="N98" s="95">
        <f ca="1">IF(B98=TODAY(),0,-$N$6*(Sheet1!CJ100-Sheet1!CJ99)*7.48/1000000)</f>
        <v>-0.24200414703903358</v>
      </c>
      <c r="O98" s="95">
        <f t="shared" ca="1" si="14"/>
        <v>0.1248312742778141</v>
      </c>
      <c r="P98" s="95">
        <f ca="1">O98+Calculation!ES98</f>
        <v>1.7871100020855744</v>
      </c>
      <c r="Q98" s="90" t="str">
        <f>IF(Sheet1!BQ100&gt;25.75,"spill elevation","-")</f>
        <v>-</v>
      </c>
      <c r="R98" s="90" t="str">
        <f>IF(Sheet1!BQ100&gt;25.75,"spill elevation","-")</f>
        <v>-</v>
      </c>
      <c r="S98" s="90" t="str">
        <f>IF(Sheet1!BR100&gt;25.75,"spill elevation","-")</f>
        <v>-</v>
      </c>
      <c r="T98" s="94">
        <f>IF(Sheet1!DU100=1,Sheet1!AA100-(SUM(AT98:BA98)+BE98),Sheet1!AA100-SUM(AT98:BA98))</f>
        <v>18.716335999999998</v>
      </c>
      <c r="U98" s="94">
        <f>Sheet1!BV100</f>
        <v>22.6</v>
      </c>
      <c r="V98" s="94">
        <f t="shared" si="15"/>
        <v>-3.8836640000000031</v>
      </c>
      <c r="W98" s="94">
        <f>0</f>
        <v>0</v>
      </c>
      <c r="X98" s="90">
        <f>0</f>
        <v>0</v>
      </c>
      <c r="Y98" s="95">
        <f ca="1">Calculation!EJ99+Calculation!ES98+'Calculations II'!O98-'Calculations II'!W98</f>
        <v>57.552854002085581</v>
      </c>
      <c r="Z98" s="95">
        <f ca="1">Y98-Sheet1!CT101</f>
        <v>40.877854002085584</v>
      </c>
      <c r="AA98" s="95">
        <f ca="1">Y98+Calculation!DJ99+Calculation!AS99</f>
        <v>66.993048857892276</v>
      </c>
      <c r="AC98" s="95">
        <f>Sheet1!AA100+Sheet1!AB100+BC98</f>
        <v>52.961855999999997</v>
      </c>
      <c r="AD98" s="95">
        <f>Sheet1!AA100+Sheet1!BN100+'Calculations II'!BC98-Calculation!AS98-Calculation!DJ98</f>
        <v>34.355075682293688</v>
      </c>
      <c r="AE98" s="95">
        <f>Sheet1!AA100+Sheet1!AB100+'Calculations II'!BC98-Calculation!AS98-Calculation!DJ98</f>
        <v>43.655075682293685</v>
      </c>
      <c r="AF98" s="95">
        <f ca="1">Sheet1!AA100+Sheet1!BN100+P98+'Calculations II'!BC98+Calculation!AS98+Calculation!DJ98</f>
        <v>54.755746319791896</v>
      </c>
      <c r="AG98" s="95">
        <f ca="1">IF(B98=TODAY(),0,Sheet1!AA100+Sheet1!BN100+'Calculations II'!BC98+'Calculations II'!P98-Sheet1!CT100-BP98)</f>
        <v>28.714966002085575</v>
      </c>
      <c r="AH98" s="95">
        <f ca="1">IF(B98=TODAY(),0,Sheet1!AA100+Sheet1!BN100+'Calculations II'!BC98+'Calculations II'!P98-BP98)</f>
        <v>45.448966002085577</v>
      </c>
      <c r="AI98" s="95">
        <f ca="1">IF(B98=TODAY(),0,BC98+Sheet1!AA100+Calculation!ES98+O98+W98+Sheet1!BN100+Calculation!AS98+Calculation!DJ98-BP98)</f>
        <v>54.755746319791882</v>
      </c>
      <c r="AJ98" s="95"/>
      <c r="AM98" s="91">
        <f t="shared" si="16"/>
        <v>41726</v>
      </c>
      <c r="AN98" s="95">
        <f>Sheet1!BU100</f>
        <v>20.100000000000001</v>
      </c>
      <c r="AO98" s="95">
        <f>Sheet1!AA100</f>
        <v>20.7</v>
      </c>
      <c r="AP98" s="95">
        <f t="shared" si="11"/>
        <v>-1.5789000000000009</v>
      </c>
      <c r="AQ98" s="1055">
        <f>((Sheet1!BV100-(Sheet1!BU100-AP98))/(Sheet1!BU100-AP98))</f>
        <v>4.248831813422263E-2</v>
      </c>
      <c r="AR98" s="95">
        <f t="shared" si="12"/>
        <v>22.2789</v>
      </c>
      <c r="AS98" s="95">
        <f t="shared" si="13"/>
        <v>21.678900000000002</v>
      </c>
      <c r="AT98" s="90">
        <f>Sheet1!BB100</f>
        <v>1</v>
      </c>
      <c r="AU98" s="90">
        <f>Sheet1!AS100*GPMtoMGD</f>
        <v>1.5264E-2</v>
      </c>
      <c r="AV98" s="95">
        <f>Sheet1!AT100</f>
        <v>0</v>
      </c>
      <c r="AW98" s="90">
        <f>Sheet1!AV100*GPMtoMGD</f>
        <v>0.47836800000000002</v>
      </c>
      <c r="AX98" s="90">
        <f>Sheet1!AW100*GPMtoMGD</f>
        <v>0.49003200000000002</v>
      </c>
      <c r="AY98" s="90">
        <f>Sheet1!AX100*GPMtoMGD</f>
        <v>0</v>
      </c>
      <c r="AZ98" s="90">
        <f>Sheet1!AY100*GPMtoMGD</f>
        <v>0</v>
      </c>
      <c r="BA98" s="90">
        <f>Sheet1!AZ100*GPMtoMGD</f>
        <v>0</v>
      </c>
      <c r="BB98" s="90">
        <f>Sheet1!BP100*GPMtoMGD</f>
        <v>0</v>
      </c>
      <c r="BC98" s="90">
        <f>Sheet1!CS100*GPMtoMGD</f>
        <v>6.461856</v>
      </c>
      <c r="BD98" s="90">
        <f>Sheet1!BO100*GPMtoMGD</f>
        <v>1.421856</v>
      </c>
      <c r="BE98" s="90">
        <f>Sheet1!BW100*GPMtoMGD</f>
        <v>0.93528000000000011</v>
      </c>
      <c r="BF98" s="90">
        <f>Sheet1!CN100*GPMtoMGD</f>
        <v>1.1808000000000001</v>
      </c>
      <c r="BG98" s="90">
        <f>Sheet1!CO100*GPMtoMGD</f>
        <v>0.43992000000000003</v>
      </c>
      <c r="BH98" s="90">
        <f>Sheet1!CP100*GPMtoMGD</f>
        <v>0.660528</v>
      </c>
      <c r="BI98" s="90">
        <f t="shared" si="17"/>
        <v>1.421856</v>
      </c>
      <c r="BK98" s="95">
        <f>SUM(AT98:BA98,BE98,Sheet1!BV100,'Calculations II'!BC98,Calculation!AQ98)</f>
        <v>48.474407129019767</v>
      </c>
      <c r="BM98" s="373">
        <f>0</f>
        <v>0</v>
      </c>
      <c r="BN98" s="373">
        <f>0</f>
        <v>0</v>
      </c>
      <c r="BP98" s="95">
        <f>SUM(BM98:BN98,W98,Sheet1!DX100)</f>
        <v>0</v>
      </c>
    </row>
    <row r="99" spans="1:68" s="90" customFormat="1">
      <c r="A99" s="651" t="s">
        <v>9</v>
      </c>
      <c r="B99" s="92">
        <v>41727</v>
      </c>
      <c r="C99" s="93">
        <v>0</v>
      </c>
      <c r="D99" s="95">
        <f>(Sheet1!BQ101-Sheet1!BQ100)*1.385</f>
        <v>2.2991000000000001</v>
      </c>
      <c r="E99" s="30">
        <f>(Sheet1!BR101-Sheet1!BR100)*1.385</f>
        <v>2.3129500000000025</v>
      </c>
      <c r="F99" s="30">
        <f ca="1">IF(B99=TODAY(),0,-(VLOOKUP(Sheet1!CD101,Lookup!$I$4:$J$216,2)-VLOOKUP(Sheet1!CD100,Lookup!$I$4:$J$216,2))/1000000)</f>
        <v>0</v>
      </c>
      <c r="G99" s="95">
        <f ca="1">IF(B99=TODAY(),0,-$G$6*(Sheet1!CF101-Sheet1!CF100)*7.48/1000000)</f>
        <v>0.23828100631535562</v>
      </c>
      <c r="H99" s="95">
        <f ca="1">IF(B99=TODAY(),0,-$H$6*(Sheet1!CE101-Sheet1!CE100)*7.48/1000000)</f>
        <v>0.88732650872463825</v>
      </c>
      <c r="I99" s="95">
        <f ca="1">IF(B99=TODAY(),0,-$I$6*(Sheet1!CG101-Sheet1!CG100)*7.48/1000000)</f>
        <v>1.7969952000000015E-2</v>
      </c>
      <c r="J99" s="96" t="s">
        <v>186</v>
      </c>
      <c r="K99" s="95">
        <f ca="1">IF(B99=TODAY(),0,-$K$6*(Sheet1!CH101-Sheet1!CH100)*7.48/1000000)</f>
        <v>3.3316601872292212E-2</v>
      </c>
      <c r="L99" s="96" t="s">
        <v>186</v>
      </c>
      <c r="M99" s="95">
        <f ca="1">IF(B99=TODAY(),0,-$M$6*(Sheet1!CI101-Sheet1!CI100)*7.48/1000000)</f>
        <v>7.1966033712107941E-2</v>
      </c>
      <c r="N99" s="95">
        <f ca="1">IF(B99=TODAY(),0,-$N$6*(Sheet1!CJ101-Sheet1!CJ100)*7.48/1000000)</f>
        <v>0.22959367796010904</v>
      </c>
      <c r="O99" s="95">
        <f t="shared" ca="1" si="14"/>
        <v>1.4784537805845028</v>
      </c>
      <c r="P99" s="95">
        <f ca="1">O99+Calculation!ES99</f>
        <v>-3.0939216186429972</v>
      </c>
      <c r="Q99" s="90" t="str">
        <f>IF(Sheet1!BQ101&gt;25.75,"spill elevation","-")</f>
        <v>-</v>
      </c>
      <c r="R99" s="90" t="str">
        <f>IF(Sheet1!BQ101&gt;25.75,"spill elevation","-")</f>
        <v>-</v>
      </c>
      <c r="S99" s="90" t="str">
        <f>IF(Sheet1!BR101&gt;25.75,"spill elevation","-")</f>
        <v>-</v>
      </c>
      <c r="T99" s="94">
        <f>IF(Sheet1!DU101=1,Sheet1!AA101-(SUM(AT99:BA99)+BE99),Sheet1!AA101-SUM(AT99:BA99))</f>
        <v>18.780528</v>
      </c>
      <c r="U99" s="94">
        <f>Sheet1!BV101</f>
        <v>16.600000000000001</v>
      </c>
      <c r="V99" s="94">
        <f t="shared" si="15"/>
        <v>2.1805279999999989</v>
      </c>
      <c r="W99" s="94">
        <f>0</f>
        <v>0</v>
      </c>
      <c r="X99" s="90">
        <f>0</f>
        <v>0</v>
      </c>
      <c r="Y99" s="95">
        <f ca="1">Calculation!EJ100+Calculation!ES99+'Calculations II'!O99-'Calculations II'!W99</f>
        <v>52.821294381357006</v>
      </c>
      <c r="Z99" s="95">
        <f ca="1">Y99-Sheet1!CT102</f>
        <v>36.559294381357006</v>
      </c>
      <c r="AA99" s="95">
        <f ca="1">Y99+Calculation!DJ100+Calculation!AS100</f>
        <v>62.274435783628846</v>
      </c>
      <c r="AC99" s="95">
        <f>Sheet1!AA101+Sheet1!AB101+BC99</f>
        <v>55.765744000000005</v>
      </c>
      <c r="AD99" s="95">
        <f>Sheet1!AA101+Sheet1!BN101+'Calculations II'!BC99-Calculation!AS99-Calculation!DJ99</f>
        <v>36.925549144193297</v>
      </c>
      <c r="AE99" s="95">
        <f>Sheet1!AA101+Sheet1!AB101+'Calculations II'!BC99-Calculation!AS99-Calculation!DJ99</f>
        <v>46.325549144193296</v>
      </c>
      <c r="AF99" s="95">
        <f ca="1">Sheet1!AA101+Sheet1!BN101+P99+'Calculations II'!BC99+Calculation!AS99+Calculation!DJ99</f>
        <v>52.712017237163721</v>
      </c>
      <c r="AG99" s="95">
        <f ca="1">IF(B99=TODAY(),0,Sheet1!AA101+Sheet1!BN101+'Calculations II'!BC99+'Calculations II'!P99-Sheet1!CT101-BP99)</f>
        <v>26.596822381357011</v>
      </c>
      <c r="AH99" s="95">
        <f ca="1">IF(B99=TODAY(),0,Sheet1!AA101+Sheet1!BN101+'Calculations II'!BC99+'Calculations II'!P99-BP99)</f>
        <v>43.271822381357012</v>
      </c>
      <c r="AI99" s="95">
        <f ca="1">IF(B99=TODAY(),0,BC99+Sheet1!AA101+Calculation!ES99+O99+W99+Sheet1!BN101+Calculation!AS99+Calculation!DJ99-BP99)</f>
        <v>52.712017237163714</v>
      </c>
      <c r="AJ99" s="95"/>
      <c r="AM99" s="91">
        <f t="shared" si="16"/>
        <v>41727</v>
      </c>
      <c r="AN99" s="95">
        <f>Sheet1!BU101</f>
        <v>20.100000000000001</v>
      </c>
      <c r="AO99" s="95">
        <f>Sheet1!AA101</f>
        <v>21</v>
      </c>
      <c r="AP99" s="95">
        <f t="shared" si="11"/>
        <v>4.6120500000000026</v>
      </c>
      <c r="AQ99" s="1055">
        <f>((Sheet1!BV101-(Sheet1!BU101-AP99))/(Sheet1!BU101-AP99))</f>
        <v>7.1800980762463953E-2</v>
      </c>
      <c r="AR99" s="95">
        <f t="shared" si="12"/>
        <v>16.387949999999996</v>
      </c>
      <c r="AS99" s="95">
        <f t="shared" si="13"/>
        <v>15.487949999999998</v>
      </c>
      <c r="AT99" s="90">
        <f>Sheet1!BB101</f>
        <v>0.99</v>
      </c>
      <c r="AU99" s="90">
        <f>Sheet1!AS101*GPMtoMGD</f>
        <v>1.5552000000000002E-2</v>
      </c>
      <c r="AV99" s="95">
        <f>Sheet1!AT101</f>
        <v>0</v>
      </c>
      <c r="AW99" s="90">
        <f>Sheet1!AV101*GPMtoMGD</f>
        <v>0.45561600000000002</v>
      </c>
      <c r="AX99" s="90">
        <f>Sheet1!AW101*GPMtoMGD</f>
        <v>0.75830400000000009</v>
      </c>
      <c r="AY99" s="90">
        <f>Sheet1!AX101*GPMtoMGD</f>
        <v>0</v>
      </c>
      <c r="AZ99" s="90">
        <f>Sheet1!AY101*GPMtoMGD</f>
        <v>0</v>
      </c>
      <c r="BA99" s="90">
        <f>Sheet1!AZ101*GPMtoMGD</f>
        <v>0</v>
      </c>
      <c r="BB99" s="90">
        <f>Sheet1!BP101*GPMtoMGD</f>
        <v>0</v>
      </c>
      <c r="BC99" s="90">
        <f>Sheet1!CS101*GPMtoMGD</f>
        <v>9.1657440000000019</v>
      </c>
      <c r="BD99" s="90">
        <f>Sheet1!BO101*GPMtoMGD</f>
        <v>1.4617440000000002</v>
      </c>
      <c r="BE99" s="90">
        <f>Sheet1!BW101*GPMtoMGD</f>
        <v>0.73065599999999997</v>
      </c>
      <c r="BF99" s="90">
        <f>Sheet1!CN101*GPMtoMGD</f>
        <v>1.1808000000000001</v>
      </c>
      <c r="BG99" s="90">
        <f>Sheet1!CO101*GPMtoMGD</f>
        <v>0.47548800000000002</v>
      </c>
      <c r="BH99" s="90">
        <f>Sheet1!CP101*GPMtoMGD</f>
        <v>0.584928</v>
      </c>
      <c r="BI99" s="90">
        <f t="shared" si="17"/>
        <v>1.4617440000000002</v>
      </c>
      <c r="BK99" s="95">
        <f>SUM(AT99:BA99,BE99,Sheet1!BV101,'Calculations II'!BC99,Calculation!AQ99)</f>
        <v>44.877992031176937</v>
      </c>
      <c r="BM99" s="373">
        <f>0</f>
        <v>0</v>
      </c>
      <c r="BN99" s="373">
        <f>0</f>
        <v>0</v>
      </c>
      <c r="BP99" s="95">
        <f>SUM(BM99:BN99,W99,Sheet1!DX101)</f>
        <v>0</v>
      </c>
    </row>
    <row r="100" spans="1:68" s="90" customFormat="1">
      <c r="A100" s="651" t="s">
        <v>3</v>
      </c>
      <c r="B100" s="92">
        <v>41728</v>
      </c>
      <c r="C100" s="93">
        <v>0</v>
      </c>
      <c r="D100" s="95">
        <f>(Sheet1!BQ102-Sheet1!BQ101)*1.385</f>
        <v>1.8420500000000026</v>
      </c>
      <c r="E100" s="30">
        <f>(Sheet1!BR102-Sheet1!BR101)*1.385</f>
        <v>1.8420499999999977</v>
      </c>
      <c r="F100" s="30">
        <f ca="1">IF(B100=TODAY(),0,-(VLOOKUP(Sheet1!CD102,Lookup!$I$4:$J$216,2)-VLOOKUP(Sheet1!CD101,Lookup!$I$4:$J$216,2))/1000000)</f>
        <v>0.20727387709560433</v>
      </c>
      <c r="G100" s="95">
        <f ca="1">IF(B100=TODAY(),0,-$G$6*(Sheet1!CF102-Sheet1!CF101)*7.48/1000000)</f>
        <v>0.23828100631535634</v>
      </c>
      <c r="H100" s="95">
        <f ca="1">IF(B100=TODAY(),0,-$H$6*(Sheet1!CE102-Sheet1!CE101)*7.48/1000000)</f>
        <v>0.42110410583542179</v>
      </c>
      <c r="I100" s="95">
        <f ca="1">IF(B100=TODAY(),0,-$I$6*(Sheet1!CG102-Sheet1!CG101)*7.48/1000000)</f>
        <v>1.796995199999998E-2</v>
      </c>
      <c r="J100" s="96" t="s">
        <v>186</v>
      </c>
      <c r="K100" s="95">
        <f ca="1">IF(B100=TODAY(),0,-$K$6*(Sheet1!CH102-Sheet1!CH101)*7.48/1000000)</f>
        <v>2.6653281497833796E-2</v>
      </c>
      <c r="L100" s="96" t="s">
        <v>186</v>
      </c>
      <c r="M100" s="95">
        <f ca="1">IF(B100=TODAY(),0,-$M$6*(Sheet1!CI102-Sheet1!CI101)*7.48/1000000)</f>
        <v>7.1966033712108565E-2</v>
      </c>
      <c r="N100" s="95">
        <f ca="1">IF(B100=TODAY(),0,-$N$6*(Sheet1!CJ102-Sheet1!CJ101)*7.48/1000000)</f>
        <v>1.861570361838677E-2</v>
      </c>
      <c r="O100" s="95">
        <f t="shared" ca="1" si="14"/>
        <v>1.0018639600747115</v>
      </c>
      <c r="P100" s="95">
        <f ca="1">O100+Calculation!ES100</f>
        <v>-2.7417698257986309</v>
      </c>
      <c r="Q100" s="90" t="str">
        <f>IF(Sheet1!BQ102&gt;25.75,"spill elevation","-")</f>
        <v>-</v>
      </c>
      <c r="R100" s="90" t="str">
        <f>IF(Sheet1!BQ102&gt;25.75,"spill elevation","-")</f>
        <v>-</v>
      </c>
      <c r="S100" s="90" t="str">
        <f>IF(Sheet1!BR102&gt;25.75,"spill elevation","-")</f>
        <v>-</v>
      </c>
      <c r="T100" s="94">
        <f>IF(Sheet1!DU102=1,Sheet1!AA102-(SUM(AT100:BA100)+BE100),Sheet1!AA102-SUM(AT100:BA100))</f>
        <v>18.298704000000001</v>
      </c>
      <c r="U100" s="94">
        <f>Sheet1!BV102</f>
        <v>17.2</v>
      </c>
      <c r="V100" s="94">
        <f t="shared" si="15"/>
        <v>1.0987040000000015</v>
      </c>
      <c r="W100" s="94">
        <f>0</f>
        <v>0</v>
      </c>
      <c r="X100" s="90">
        <f>0</f>
        <v>0</v>
      </c>
      <c r="Y100" s="95">
        <f ca="1">Calculation!EJ101+Calculation!ES100+'Calculations II'!O100-'Calculations II'!W100</f>
        <v>49.719606174201374</v>
      </c>
      <c r="Z100" s="95">
        <f ca="1">Y100-Sheet1!CT103</f>
        <v>33.667606174201374</v>
      </c>
      <c r="AA100" s="95">
        <f ca="1">Y100+Calculation!DJ101+Calculation!AS101</f>
        <v>59.179511834578733</v>
      </c>
      <c r="AC100" s="95">
        <f>Sheet1!AA102+Sheet1!AB102+BC100</f>
        <v>55.915216000000001</v>
      </c>
      <c r="AD100" s="95">
        <f>Sheet1!AA102+Sheet1!BN102+'Calculations II'!BC100-Calculation!AS100-Calculation!DJ100</f>
        <v>36.962074597728162</v>
      </c>
      <c r="AE100" s="95">
        <f>Sheet1!AA102+Sheet1!AB102+'Calculations II'!BC100-Calculation!AS100-Calculation!DJ100</f>
        <v>46.462074597728162</v>
      </c>
      <c r="AF100" s="95">
        <f ca="1">Sheet1!AA102+Sheet1!BN102+P100+'Calculations II'!BC100+Calculation!AS100+Calculation!DJ100</f>
        <v>53.126587576473206</v>
      </c>
      <c r="AG100" s="95">
        <f ca="1">IF(B100=TODAY(),0,Sheet1!AA102+Sheet1!BN102+'Calculations II'!BC100+'Calculations II'!P100-Sheet1!CT102-BP100)</f>
        <v>27.411446174201373</v>
      </c>
      <c r="AH100" s="95">
        <f ca="1">IF(B100=TODAY(),0,Sheet1!AA102+Sheet1!BN102+'Calculations II'!BC100+'Calculations II'!P100-BP100)</f>
        <v>43.673446174201374</v>
      </c>
      <c r="AI100" s="95">
        <f ca="1">IF(B100=TODAY(),0,BC100+Sheet1!AA102+Calculation!ES100+O100+W100+Sheet1!BN102+Calculation!AS100+Calculation!DJ100-BP100)</f>
        <v>53.126587576473213</v>
      </c>
      <c r="AJ100" s="95"/>
      <c r="AM100" s="91">
        <f t="shared" si="16"/>
        <v>41728</v>
      </c>
      <c r="AN100" s="95">
        <f>Sheet1!BU102</f>
        <v>19.899999999999999</v>
      </c>
      <c r="AO100" s="95">
        <f>Sheet1!AA102</f>
        <v>21</v>
      </c>
      <c r="AP100" s="95">
        <f t="shared" si="11"/>
        <v>3.6841000000000004</v>
      </c>
      <c r="AQ100" s="1055">
        <f>((Sheet1!BV102-(Sheet1!BU102-AP100))/(Sheet1!BU102-AP100))</f>
        <v>6.0687350069993137E-2</v>
      </c>
      <c r="AR100" s="95">
        <f t="shared" si="12"/>
        <v>17.315899999999999</v>
      </c>
      <c r="AS100" s="95">
        <f t="shared" si="13"/>
        <v>16.215899999999998</v>
      </c>
      <c r="AT100" s="90">
        <f>Sheet1!BB102</f>
        <v>0.99</v>
      </c>
      <c r="AU100" s="90">
        <f>Sheet1!AS102*GPMtoMGD</f>
        <v>2.2896000000000003E-2</v>
      </c>
      <c r="AV100" s="95">
        <f>Sheet1!AT102</f>
        <v>0</v>
      </c>
      <c r="AW100" s="90">
        <f>Sheet1!AV102*GPMtoMGD</f>
        <v>0.76276800000000011</v>
      </c>
      <c r="AX100" s="90">
        <f>Sheet1!AW102*GPMtoMGD</f>
        <v>0.92563200000000001</v>
      </c>
      <c r="AY100" s="90">
        <f>Sheet1!AX102*GPMtoMGD</f>
        <v>0</v>
      </c>
      <c r="AZ100" s="90">
        <f>Sheet1!AY102*GPMtoMGD</f>
        <v>0</v>
      </c>
      <c r="BA100" s="90">
        <f>Sheet1!AZ102*GPMtoMGD</f>
        <v>0</v>
      </c>
      <c r="BB100" s="90">
        <f>Sheet1!BP102*GPMtoMGD</f>
        <v>0</v>
      </c>
      <c r="BC100" s="90">
        <f>Sheet1!CS102*GPMtoMGD</f>
        <v>9.3152159999999995</v>
      </c>
      <c r="BD100" s="90">
        <f>Sheet1!BO102*GPMtoMGD</f>
        <v>1.5410880000000002</v>
      </c>
      <c r="BE100" s="90">
        <f>Sheet1!BW102*GPMtoMGD</f>
        <v>0.97200000000000009</v>
      </c>
      <c r="BF100" s="90">
        <f>Sheet1!CN102*GPMtoMGD</f>
        <v>1.1808000000000001</v>
      </c>
      <c r="BG100" s="90">
        <f>Sheet1!CO102*GPMtoMGD</f>
        <v>0.49550400000000006</v>
      </c>
      <c r="BH100" s="90">
        <f>Sheet1!CP102*GPMtoMGD</f>
        <v>0.54561599999999999</v>
      </c>
      <c r="BI100" s="90">
        <f t="shared" si="17"/>
        <v>1.5410880000000002</v>
      </c>
      <c r="BK100" s="95">
        <f>SUM(AT100:BA100,BE100,Sheet1!BV102,'Calculations II'!BC100,Calculation!AQ100)</f>
        <v>46.332656144144146</v>
      </c>
      <c r="BM100" s="373">
        <f>0</f>
        <v>0</v>
      </c>
      <c r="BN100" s="373">
        <f>0</f>
        <v>0</v>
      </c>
      <c r="BP100" s="95">
        <f>SUM(BM100:BN100,W100,Sheet1!DX102)</f>
        <v>0</v>
      </c>
    </row>
    <row r="101" spans="1:68" s="90" customFormat="1">
      <c r="A101" s="651" t="s">
        <v>4</v>
      </c>
      <c r="B101" s="92">
        <v>41729</v>
      </c>
      <c r="C101" s="93">
        <v>0</v>
      </c>
      <c r="D101" s="95">
        <f>(Sheet1!BQ103-Sheet1!BQ102)*1.385</f>
        <v>-1.2326500000000007</v>
      </c>
      <c r="E101" s="30">
        <f>(Sheet1!BR103-Sheet1!BR102)*1.385</f>
        <v>-1.2464999999999979</v>
      </c>
      <c r="F101" s="30">
        <f ca="1">IF(B101=TODAY(),0,-(VLOOKUP(Sheet1!CD103,Lookup!$I$4:$J$216,2)-VLOOKUP(Sheet1!CD102,Lookup!$I$4:$J$216,2))/1000000)</f>
        <v>-1.2436432625736054</v>
      </c>
      <c r="G101" s="95">
        <f ca="1">IF(B101=TODAY(),0,-$G$6*(Sheet1!CF103-Sheet1!CF102)*7.48/1000000)</f>
        <v>-1.0722645284191015</v>
      </c>
      <c r="H101" s="95">
        <f ca="1">IF(B101=TODAY(),0,-$H$6*(Sheet1!CE103-Sheet1!CE102)*7.48/1000000)</f>
        <v>3.5493060348985535</v>
      </c>
      <c r="I101" s="95">
        <f ca="1">IF(B101=TODAY(),0,-$I$6*(Sheet1!CG103-Sheet1!CG102)*7.48/1000000)</f>
        <v>0</v>
      </c>
      <c r="J101" s="96" t="s">
        <v>186</v>
      </c>
      <c r="K101" s="95">
        <f ca="1">IF(B101=TODAY(),0,-$K$6*(Sheet1!CH103-Sheet1!CH102)*7.48/1000000)</f>
        <v>0</v>
      </c>
      <c r="L101" s="96" t="s">
        <v>186</v>
      </c>
      <c r="M101" s="95">
        <f ca="1">IF(B101=TODAY(),0,-$M$6*(Sheet1!CI103-Sheet1!CI102)*7.48/1000000)</f>
        <v>1.7991508428026663E-2</v>
      </c>
      <c r="N101" s="95">
        <f ca="1">IF(B101=TODAY(),0,-$N$6*(Sheet1!CJ103-Sheet1!CJ102)*7.48/1000000)</f>
        <v>-0.13030992532870961</v>
      </c>
      <c r="O101" s="95">
        <f t="shared" ca="1" si="14"/>
        <v>1.1210798270051634</v>
      </c>
      <c r="P101" s="95">
        <f ca="1">O101+Calculation!ES101</f>
        <v>3.6170943030476983</v>
      </c>
      <c r="Q101" s="90" t="str">
        <f>IF(Sheet1!BQ103&gt;25.75,"spill elevation","-")</f>
        <v>-</v>
      </c>
      <c r="R101" s="90" t="str">
        <f>IF(Sheet1!BQ103&gt;25.75,"spill elevation","-")</f>
        <v>-</v>
      </c>
      <c r="S101" s="90" t="str">
        <f>IF(Sheet1!BR103&gt;25.75,"spill elevation","-")</f>
        <v>-</v>
      </c>
      <c r="T101" s="94">
        <f>IF(Sheet1!DU103=1,Sheet1!AA103-(SUM(AT101:BA101)+BE101),Sheet1!AA103-SUM(AT101:BA101))</f>
        <v>19.3242288</v>
      </c>
      <c r="U101" s="94">
        <f>Sheet1!BV103</f>
        <v>24</v>
      </c>
      <c r="V101" s="94">
        <f t="shared" si="15"/>
        <v>-4.6757711999999998</v>
      </c>
      <c r="W101" s="94">
        <f>0</f>
        <v>0</v>
      </c>
      <c r="X101" s="90">
        <f>0</f>
        <v>0</v>
      </c>
      <c r="Y101" s="95">
        <f ca="1">Calculation!EJ102+Calculation!ES101+'Calculations II'!O101-'Calculations II'!W101</f>
        <v>53.574870303047689</v>
      </c>
      <c r="Z101" s="95">
        <f ca="1">Y101-Sheet1!CT104</f>
        <v>37.578870303047687</v>
      </c>
      <c r="AA101" s="95">
        <f ca="1">Y101+Calculation!DJ102+Calculation!AS102</f>
        <v>63.214870303047682</v>
      </c>
      <c r="AC101" s="95">
        <f>Sheet1!AA103+Sheet1!AB103+BC101</f>
        <v>52.461376000000001</v>
      </c>
      <c r="AD101" s="95">
        <f>Sheet1!AA103+Sheet1!BN103+'Calculations II'!BC101-Calculation!AS101-Calculation!DJ101</f>
        <v>33.501470339622642</v>
      </c>
      <c r="AE101" s="95">
        <f>Sheet1!AA103+Sheet1!AB103+'Calculations II'!BC101-Calculation!AS101-Calculation!DJ101</f>
        <v>43.001470339622642</v>
      </c>
      <c r="AF101" s="95">
        <f ca="1">Sheet1!AA103+Sheet1!BN103+P101+'Calculations II'!BC101+Calculation!AS101+Calculation!DJ101</f>
        <v>56.038375963425061</v>
      </c>
      <c r="AG101" s="95">
        <f ca="1">IF(B101=TODAY(),0,Sheet1!AA103+Sheet1!BN103+'Calculations II'!BC101+'Calculations II'!P101-Sheet1!CT103-BP101)</f>
        <v>30.526470303047702</v>
      </c>
      <c r="AH101" s="95">
        <f ca="1">IF(B101=TODAY(),0,Sheet1!AA103+Sheet1!BN103+'Calculations II'!BC101+'Calculations II'!P101-BP101)</f>
        <v>46.578470303047702</v>
      </c>
      <c r="AI101" s="95">
        <f ca="1">IF(B101=TODAY(),0,BC101+Sheet1!AA103+Calculation!ES101+O101+W101+Sheet1!BN103+Calculation!AS101+Calculation!DJ101-BP101)</f>
        <v>56.038375963425061</v>
      </c>
      <c r="AJ101" s="95"/>
      <c r="AM101" s="91">
        <f t="shared" si="16"/>
        <v>41729</v>
      </c>
      <c r="AN101" s="95">
        <f>Sheet1!BU103</f>
        <v>20.5</v>
      </c>
      <c r="AO101" s="95">
        <f>Sheet1!AA103</f>
        <v>21.1</v>
      </c>
      <c r="AP101" s="95">
        <f t="shared" si="11"/>
        <v>-2.4791499999999989</v>
      </c>
      <c r="AQ101" s="1055">
        <f>((Sheet1!BV103-(Sheet1!BU103-AP101))/(Sheet1!BU103-AP101))</f>
        <v>4.4425054886712653E-2</v>
      </c>
      <c r="AR101" s="95">
        <f t="shared" si="12"/>
        <v>23.579149999999998</v>
      </c>
      <c r="AS101" s="95">
        <f t="shared" si="13"/>
        <v>22.979149999999997</v>
      </c>
      <c r="AT101" s="90">
        <f>Sheet1!BB103</f>
        <v>1</v>
      </c>
      <c r="AU101" s="90">
        <f>Sheet1!AS103*GPMtoMGD</f>
        <v>2.3083200000000002E-2</v>
      </c>
      <c r="AV101" s="95">
        <f>Sheet1!AT103</f>
        <v>0</v>
      </c>
      <c r="AW101" s="90">
        <f>Sheet1!AV103*GPMtoMGD</f>
        <v>0.38016</v>
      </c>
      <c r="AX101" s="90">
        <f>Sheet1!AW103*GPMtoMGD</f>
        <v>0.37252800000000003</v>
      </c>
      <c r="AY101" s="90">
        <f>Sheet1!AX103*GPMtoMGD</f>
        <v>0</v>
      </c>
      <c r="AZ101" s="90">
        <f>Sheet1!AY103*GPMtoMGD</f>
        <v>0</v>
      </c>
      <c r="BA101" s="90">
        <f>Sheet1!AZ103*GPMtoMGD</f>
        <v>0</v>
      </c>
      <c r="BB101" s="90">
        <f>Sheet1!BP103*GPMtoMGD</f>
        <v>5.6160000000000002E-2</v>
      </c>
      <c r="BC101" s="90">
        <f>Sheet1!CS103*GPMtoMGD</f>
        <v>5.8613760000000008</v>
      </c>
      <c r="BD101" s="90">
        <f>Sheet1!BO103*GPMtoMGD</f>
        <v>1.4310720000000001</v>
      </c>
      <c r="BE101" s="90">
        <f>Sheet1!BW103*GPMtoMGD</f>
        <v>0.69148799999999999</v>
      </c>
      <c r="BF101" s="90">
        <f>Sheet1!CN103*GPMtoMGD</f>
        <v>1.1808000000000001</v>
      </c>
      <c r="BG101" s="90">
        <f>Sheet1!CO103*GPMtoMGD</f>
        <v>0.46828800000000004</v>
      </c>
      <c r="BH101" s="90">
        <f>Sheet1!CP103*GPMtoMGD</f>
        <v>0.61041599999999996</v>
      </c>
      <c r="BI101" s="90">
        <f t="shared" si="17"/>
        <v>1.4872320000000001</v>
      </c>
      <c r="BK101" s="95">
        <f>SUM(AT101:BA101,BE101,Sheet1!BV103,'Calculations II'!BC101,Calculation!AQ101)</f>
        <v>48.36637104905661</v>
      </c>
      <c r="BM101" s="373">
        <f>0</f>
        <v>0</v>
      </c>
      <c r="BN101" s="373">
        <f>0</f>
        <v>0</v>
      </c>
      <c r="BP101" s="95">
        <f>SUM(BM101:BN101,W101,Sheet1!DX103)</f>
        <v>0</v>
      </c>
    </row>
    <row r="102" spans="1:68" s="90" customFormat="1">
      <c r="A102" s="651" t="s">
        <v>5</v>
      </c>
      <c r="B102" s="92">
        <v>41730</v>
      </c>
      <c r="C102" s="93">
        <v>0</v>
      </c>
      <c r="D102" s="95">
        <f>(Sheet1!BQ104-Sheet1!BQ103)*1.385</f>
        <v>-1.4265500000000015</v>
      </c>
      <c r="E102" s="30">
        <f>(Sheet1!BR104-Sheet1!BR103)*1.385</f>
        <v>-1.4265500000000015</v>
      </c>
      <c r="F102" s="30">
        <f ca="1">IF(B102=TODAY(),0,-(VLOOKUP(Sheet1!CD104,Lookup!$I$4:$J$216,2)-VLOOKUP(Sheet1!CD103,Lookup!$I$4:$J$216,2))/1000000)</f>
        <v>0.20727387709560618</v>
      </c>
      <c r="G102" s="95">
        <f ca="1">IF(B102=TODAY(),0,-$G$6*(Sheet1!CF104-Sheet1!CF103)*7.48/1000000)</f>
        <v>0.19856750526279648</v>
      </c>
      <c r="H102" s="95">
        <f ca="1">IF(B102=TODAY(),0,-$H$6*(Sheet1!CE104-Sheet1!CE103)*7.48/1000000)</f>
        <v>9.0236594107590357E-2</v>
      </c>
      <c r="I102" s="95">
        <f ca="1">IF(B102=TODAY(),0,-$I$6*(Sheet1!CG104-Sheet1!CG103)*7.48/1000000)</f>
        <v>8.9849760000000074E-3</v>
      </c>
      <c r="J102" s="96" t="s">
        <v>186</v>
      </c>
      <c r="K102" s="95">
        <f ca="1">IF(B102=TODAY(),0,-$K$6*(Sheet1!CH104-Sheet1!CH103)*7.48/1000000)</f>
        <v>1.9989961123375255E-2</v>
      </c>
      <c r="L102" s="96" t="s">
        <v>186</v>
      </c>
      <c r="M102" s="95">
        <f ca="1">IF(B102=TODAY(),0,-$M$6*(Sheet1!CI104-Sheet1!CI103)*7.48/1000000)</f>
        <v>5.3974525284081275E-2</v>
      </c>
      <c r="N102" s="95">
        <f ca="1">IF(B102=TODAY(),0,-$N$6*(Sheet1!CJ104-Sheet1!CJ103)*7.48/1000000)</f>
        <v>-8.066804901301157E-2</v>
      </c>
      <c r="O102" s="95">
        <f t="shared" ca="1" si="14"/>
        <v>0.49835938986043804</v>
      </c>
      <c r="P102" s="95">
        <f ca="1">O102+Calculation!ES102</f>
        <v>3.2704905729862208</v>
      </c>
      <c r="Q102" s="90" t="str">
        <f>IF(Sheet1!BQ104&gt;25.75,"spill elevation","-")</f>
        <v>-</v>
      </c>
      <c r="R102" s="90" t="str">
        <f>IF(Sheet1!BQ104&gt;25.75,"spill elevation","-")</f>
        <v>-</v>
      </c>
      <c r="S102" s="90" t="str">
        <f>IF(Sheet1!BR104&gt;25.75,"spill elevation","-")</f>
        <v>-</v>
      </c>
      <c r="T102" s="94">
        <f>IF(Sheet1!DU104=1,Sheet1!AA104-(SUM(AT102:BA102)+BE102),Sheet1!AA104-SUM(AT102:BA102))</f>
        <v>18.425615999999998</v>
      </c>
      <c r="U102" s="94">
        <f>Sheet1!BV104</f>
        <v>24</v>
      </c>
      <c r="V102" s="94">
        <f t="shared" si="15"/>
        <v>-5.574384000000002</v>
      </c>
      <c r="W102" s="94">
        <f>0</f>
        <v>0</v>
      </c>
      <c r="X102" s="90">
        <f>0</f>
        <v>0</v>
      </c>
      <c r="Y102" s="95">
        <f ca="1">Calculation!EJ103+Calculation!ES102+'Calculations II'!O102-'Calculations II'!W102</f>
        <v>55.514650572986227</v>
      </c>
      <c r="Z102" s="95">
        <f ca="1">Y102-Sheet1!CT105</f>
        <v>41.959650572986227</v>
      </c>
      <c r="AA102" s="95">
        <f ca="1">Y102+Calculation!DJ103+Calculation!AS103</f>
        <v>65.54119917589847</v>
      </c>
      <c r="AC102" s="95">
        <f>Sheet1!AA104+Sheet1!AB104+BC102</f>
        <v>49.957775999999996</v>
      </c>
      <c r="AD102" s="95">
        <f>Sheet1!AA104+Sheet1!BN104+'Calculations II'!BC102-Calculation!AS102-Calculation!DJ102</f>
        <v>30.677775999999998</v>
      </c>
      <c r="AE102" s="95">
        <f>Sheet1!AA104+Sheet1!AB104+'Calculations II'!BC102-Calculation!AS102-Calculation!DJ102</f>
        <v>40.317775999999995</v>
      </c>
      <c r="AF102" s="95">
        <f ca="1">Sheet1!AA104+Sheet1!BN104+P102+'Calculations II'!BC102+Calculation!AS102+Calculation!DJ102</f>
        <v>53.228266572986215</v>
      </c>
      <c r="AG102" s="95">
        <f ca="1">IF(B102=TODAY(),0,Sheet1!AA104+Sheet1!BN104+'Calculations II'!BC102+'Calculations II'!P102-Sheet1!CT104-BP102)</f>
        <v>27.592266572986212</v>
      </c>
      <c r="AH102" s="95">
        <f ca="1">IF(B102=TODAY(),0,Sheet1!AA104+Sheet1!BN104+'Calculations II'!BC102+'Calculations II'!P102-BP102)</f>
        <v>43.588266572986214</v>
      </c>
      <c r="AI102" s="95">
        <f ca="1">IF(B102=TODAY(),0,BC102+Sheet1!AA104+Calculation!ES102+O102+W102+Sheet1!BN104+Calculation!AS102+Calculation!DJ102-BP102)</f>
        <v>53.228266572986229</v>
      </c>
      <c r="AJ102" s="95"/>
      <c r="AM102" s="91">
        <f t="shared" si="16"/>
        <v>41730</v>
      </c>
      <c r="AN102" s="95">
        <f>Sheet1!BU104</f>
        <v>20.100000000000001</v>
      </c>
      <c r="AO102" s="95">
        <f>Sheet1!AA104</f>
        <v>21</v>
      </c>
      <c r="AP102" s="95">
        <f t="shared" si="11"/>
        <v>-2.8531000000000031</v>
      </c>
      <c r="AQ102" s="1055">
        <f>((Sheet1!BV104-(Sheet1!BU104-AP102))/(Sheet1!BU104-AP102))</f>
        <v>4.5610396852712419E-2</v>
      </c>
      <c r="AR102" s="95">
        <f t="shared" si="12"/>
        <v>23.853100000000005</v>
      </c>
      <c r="AS102" s="95">
        <f t="shared" si="13"/>
        <v>22.953100000000006</v>
      </c>
      <c r="AT102" s="90">
        <f>Sheet1!BB104</f>
        <v>1.23</v>
      </c>
      <c r="AU102" s="90">
        <f>Sheet1!AS104*GPMtoMGD</f>
        <v>1.5264E-2</v>
      </c>
      <c r="AV102" s="95">
        <f>Sheet1!AT104</f>
        <v>0</v>
      </c>
      <c r="AW102" s="90">
        <f>Sheet1!AV104*GPMtoMGD</f>
        <v>0.59040000000000004</v>
      </c>
      <c r="AX102" s="90">
        <f>Sheet1!AW104*GPMtoMGD</f>
        <v>0.73872000000000004</v>
      </c>
      <c r="AY102" s="90">
        <f>Sheet1!AX104*GPMtoMGD</f>
        <v>0</v>
      </c>
      <c r="AZ102" s="90">
        <f>Sheet1!AY104*GPMtoMGD</f>
        <v>0</v>
      </c>
      <c r="BA102" s="90">
        <f>Sheet1!AZ104*GPMtoMGD</f>
        <v>0</v>
      </c>
      <c r="BB102" s="90">
        <f>Sheet1!BP104*GPMtoMGD</f>
        <v>0</v>
      </c>
      <c r="BC102" s="90">
        <f>Sheet1!CS104*GPMtoMGD</f>
        <v>3.5177760000000005</v>
      </c>
      <c r="BD102" s="90">
        <f>Sheet1!BO104*GPMtoMGD</f>
        <v>1.373904</v>
      </c>
      <c r="BE102" s="90">
        <f>Sheet1!BW104*GPMtoMGD</f>
        <v>0.65548800000000007</v>
      </c>
      <c r="BF102" s="90">
        <f>Sheet1!CN104*GPMtoMGD</f>
        <v>1.1808000000000001</v>
      </c>
      <c r="BG102" s="90">
        <f>Sheet1!CO104*GPMtoMGD</f>
        <v>0.44755200000000006</v>
      </c>
      <c r="BH102" s="90">
        <f>Sheet1!CP104*GPMtoMGD</f>
        <v>0.66225599999999996</v>
      </c>
      <c r="BI102" s="90">
        <f t="shared" si="17"/>
        <v>1.373904</v>
      </c>
      <c r="BK102" s="95">
        <f>SUM(AT102:BA102,BE102,Sheet1!BV104,'Calculations II'!BC102,Calculation!AQ102)</f>
        <v>46.547648000000002</v>
      </c>
      <c r="BM102" s="373">
        <f>0</f>
        <v>0</v>
      </c>
      <c r="BN102" s="373">
        <f>0</f>
        <v>0</v>
      </c>
      <c r="BP102" s="95">
        <f>SUM(BM102:BN102,W102,Sheet1!DX104)</f>
        <v>0</v>
      </c>
    </row>
    <row r="103" spans="1:68" s="90" customFormat="1">
      <c r="A103" s="651" t="s">
        <v>6</v>
      </c>
      <c r="B103" s="92">
        <v>41731</v>
      </c>
      <c r="C103" s="93">
        <v>0</v>
      </c>
      <c r="D103" s="95">
        <f>(Sheet1!BQ105-Sheet1!BQ104)*1.385</f>
        <v>-1.1218499999999982</v>
      </c>
      <c r="E103" s="30">
        <f>(Sheet1!BR105-Sheet1!BR104)*1.385</f>
        <v>-1.1218499999999982</v>
      </c>
      <c r="F103" s="30">
        <f ca="1">IF(B103=TODAY(),0,-(VLOOKUP(Sheet1!CD105,Lookup!$I$4:$J$216,2)-VLOOKUP(Sheet1!CD104,Lookup!$I$4:$J$216,2))/1000000)</f>
        <v>-0.62182163128680368</v>
      </c>
      <c r="G103" s="95">
        <f ca="1">IF(B103=TODAY(),0,-$G$6*(Sheet1!CF105-Sheet1!CF104)*7.48/1000000)</f>
        <v>0.19856750526279648</v>
      </c>
      <c r="H103" s="95">
        <f ca="1">IF(B103=TODAY(),0,-$H$6*(Sheet1!CE105-Sheet1!CE104)*7.48/1000000)</f>
        <v>-2.1205599615283734</v>
      </c>
      <c r="I103" s="95">
        <f ca="1">IF(B103=TODAY(),0,-$I$6*(Sheet1!CG105-Sheet1!CG104)*7.48/1000000)</f>
        <v>4.4924879999999837E-3</v>
      </c>
      <c r="J103" s="96" t="s">
        <v>186</v>
      </c>
      <c r="K103" s="95">
        <f ca="1">IF(B103=TODAY(),0,-$K$6*(Sheet1!CH105-Sheet1!CH104)*7.48/1000000)</f>
        <v>6.6633203744585374E-3</v>
      </c>
      <c r="L103" s="96" t="s">
        <v>186</v>
      </c>
      <c r="M103" s="95">
        <f ca="1">IF(B103=TODAY(),0,-$M$6*(Sheet1!CI105-Sheet1!CI104)*7.48/1000000)</f>
        <v>0</v>
      </c>
      <c r="N103" s="95">
        <f ca="1">IF(B103=TODAY(),0,-$N$6*(Sheet1!CJ105-Sheet1!CJ104)*7.48/1000000)</f>
        <v>-0.19856750526279665</v>
      </c>
      <c r="O103" s="95">
        <f t="shared" ca="1" si="14"/>
        <v>-2.7312257844407188</v>
      </c>
      <c r="P103" s="95">
        <f ca="1">O103+Calculation!ES103</f>
        <v>-0.37592071297481322</v>
      </c>
      <c r="Q103" s="90" t="str">
        <f>IF(Sheet1!BQ105&gt;25.75,"spill elevation","-")</f>
        <v>-</v>
      </c>
      <c r="R103" s="90" t="str">
        <f>IF(Sheet1!BQ105&gt;25.75,"spill elevation","-")</f>
        <v>-</v>
      </c>
      <c r="S103" s="90" t="str">
        <f>IF(Sheet1!BR105&gt;25.75,"spill elevation","-")</f>
        <v>-</v>
      </c>
      <c r="T103" s="94">
        <f>IF(Sheet1!DU105=1,Sheet1!AA105-(SUM(AT103:BA103)+BE103),Sheet1!AA105-SUM(AT103:BA103))</f>
        <v>17.825327999999999</v>
      </c>
      <c r="U103" s="94">
        <f>Sheet1!BV105</f>
        <v>23.3</v>
      </c>
      <c r="V103" s="94">
        <f t="shared" si="15"/>
        <v>-5.4746720000000018</v>
      </c>
      <c r="W103" s="94">
        <f>0</f>
        <v>0</v>
      </c>
      <c r="X103" s="90">
        <f>0</f>
        <v>0</v>
      </c>
      <c r="Y103" s="95">
        <f ca="1">Calculation!EJ104+Calculation!ES103+'Calculations II'!O103-'Calculations II'!W103</f>
        <v>51.958191287025194</v>
      </c>
      <c r="Z103" s="95">
        <f ca="1">Y103-Sheet1!CT106</f>
        <v>37.184191287025193</v>
      </c>
      <c r="AA103" s="95">
        <f ca="1">Y103+Calculation!DJ104+Calculation!AS104</f>
        <v>61.944776844325041</v>
      </c>
      <c r="AC103" s="95">
        <f>Sheet1!AA105+Sheet1!AB105+BC103</f>
        <v>52.244160000000001</v>
      </c>
      <c r="AD103" s="95">
        <f>Sheet1!AA105+Sheet1!BN105+'Calculations II'!BC103-Calculation!AS103-Calculation!DJ103</f>
        <v>32.157611397087756</v>
      </c>
      <c r="AE103" s="95">
        <f>Sheet1!AA105+Sheet1!AB105+'Calculations II'!BC103-Calculation!AS103-Calculation!DJ103</f>
        <v>42.217611397087758</v>
      </c>
      <c r="AF103" s="95">
        <f ca="1">Sheet1!AA105+Sheet1!BN105+P103+'Calculations II'!BC103+Calculation!AS103+Calculation!DJ103</f>
        <v>51.834787889937431</v>
      </c>
      <c r="AG103" s="95">
        <f ca="1">IF(B103=TODAY(),0,Sheet1!AA105+Sheet1!BN105+'Calculations II'!BC103+'Calculations II'!P103-Sheet1!CT105-BP103)</f>
        <v>28.253239287025188</v>
      </c>
      <c r="AH103" s="95">
        <f ca="1">IF(B103=TODAY(),0,Sheet1!AA105+Sheet1!BN105+'Calculations II'!BC103+'Calculations II'!P103-BP103)</f>
        <v>41.808239287025188</v>
      </c>
      <c r="AI103" s="95">
        <f ca="1">IF(B103=TODAY(),0,BC103+Sheet1!AA105+Calculation!ES103+O103+W103+Sheet1!BN105+Calculation!AS103+Calculation!DJ103-BP103)</f>
        <v>51.834787889937431</v>
      </c>
      <c r="AJ103" s="95"/>
      <c r="AM103" s="91">
        <f t="shared" si="16"/>
        <v>41731</v>
      </c>
      <c r="AN103" s="95">
        <f>Sheet1!BU105</f>
        <v>20</v>
      </c>
      <c r="AO103" s="95">
        <f>Sheet1!AA105</f>
        <v>21.04</v>
      </c>
      <c r="AP103" s="95">
        <f t="shared" si="11"/>
        <v>-2.2436999999999965</v>
      </c>
      <c r="AQ103" s="1055">
        <f>((Sheet1!BV105-(Sheet1!BU105-AP103))/(Sheet1!BU105-AP103))</f>
        <v>4.7487603231476952E-2</v>
      </c>
      <c r="AR103" s="95">
        <f t="shared" si="12"/>
        <v>23.283699999999996</v>
      </c>
      <c r="AS103" s="95">
        <f t="shared" si="13"/>
        <v>22.243699999999997</v>
      </c>
      <c r="AT103" s="90">
        <f>Sheet1!BB105</f>
        <v>1.6</v>
      </c>
      <c r="AU103" s="90">
        <f>Sheet1!AS105*GPMtoMGD</f>
        <v>1.5408E-2</v>
      </c>
      <c r="AV103" s="95">
        <f>Sheet1!AT105</f>
        <v>0</v>
      </c>
      <c r="AW103" s="90">
        <f>Sheet1!AV105*GPMtoMGD</f>
        <v>0.72633599999999998</v>
      </c>
      <c r="AX103" s="90">
        <f>Sheet1!AW105*GPMtoMGD</f>
        <v>0.87292800000000015</v>
      </c>
      <c r="AY103" s="90">
        <f>Sheet1!AX105*GPMtoMGD</f>
        <v>0</v>
      </c>
      <c r="AZ103" s="90">
        <f>Sheet1!AY105*GPMtoMGD</f>
        <v>0</v>
      </c>
      <c r="BA103" s="90">
        <f>Sheet1!AZ105*GPMtoMGD</f>
        <v>0</v>
      </c>
      <c r="BB103" s="90">
        <f>Sheet1!BP105*GPMtoMGD</f>
        <v>0</v>
      </c>
      <c r="BC103" s="90">
        <f>Sheet1!CS105*GPMtoMGD</f>
        <v>5.7441599999999999</v>
      </c>
      <c r="BD103" s="90">
        <f>Sheet1!BO105*GPMtoMGD</f>
        <v>1.4339520000000001</v>
      </c>
      <c r="BE103" s="90">
        <f>Sheet1!BW105*GPMtoMGD</f>
        <v>0.96940800000000016</v>
      </c>
      <c r="BF103" s="90">
        <f>Sheet1!CN105*GPMtoMGD</f>
        <v>1.1808000000000001</v>
      </c>
      <c r="BG103" s="90">
        <f>Sheet1!CO105*GPMtoMGD</f>
        <v>0.47174400000000005</v>
      </c>
      <c r="BH103" s="90">
        <f>Sheet1!CP105*GPMtoMGD</f>
        <v>0.54777600000000004</v>
      </c>
      <c r="BI103" s="90">
        <f t="shared" si="17"/>
        <v>1.4339520000000001</v>
      </c>
      <c r="BK103" s="95">
        <f>SUM(AT103:BA103,BE103,Sheet1!BV105,'Calculations II'!BC103,Calculation!AQ103)</f>
        <v>48.658543030303029</v>
      </c>
      <c r="BM103" s="373">
        <f>0</f>
        <v>0</v>
      </c>
      <c r="BN103" s="373">
        <f>0</f>
        <v>0</v>
      </c>
      <c r="BP103" s="95">
        <f>SUM(BM103:BN103,W103,Sheet1!DX105)</f>
        <v>0</v>
      </c>
    </row>
    <row r="104" spans="1:68" s="90" customFormat="1">
      <c r="A104" s="651" t="s">
        <v>7</v>
      </c>
      <c r="B104" s="92">
        <v>41732</v>
      </c>
      <c r="C104" s="93">
        <v>0</v>
      </c>
      <c r="D104" s="95">
        <f>(Sheet1!BQ106-Sheet1!BQ105)*1.385</f>
        <v>-0.33240000000000275</v>
      </c>
      <c r="E104" s="30">
        <f>(Sheet1!BR106-Sheet1!BR105)*1.385</f>
        <v>-0.33240000000000275</v>
      </c>
      <c r="F104" s="30">
        <f ca="1">IF(B104=TODAY(),0,-(VLOOKUP(Sheet1!CD106,Lookup!$I$4:$J$216,2)-VLOOKUP(Sheet1!CD105,Lookup!$I$4:$J$216,2))/1000000)</f>
        <v>1.0363693854780012</v>
      </c>
      <c r="G104" s="95">
        <f ca="1">IF(B104=TODAY(),0,-$G$6*(Sheet1!CF106-Sheet1!CF105)*7.48/1000000)</f>
        <v>0.23828100631535562</v>
      </c>
      <c r="H104" s="95">
        <f ca="1">IF(B104=TODAY(),0,-$H$6*(Sheet1!CE106-Sheet1!CE105)*7.48/1000000)</f>
        <v>-2.8574921467403613</v>
      </c>
      <c r="I104" s="95">
        <f ca="1">IF(B104=TODAY(),0,-$I$6*(Sheet1!CG106-Sheet1!CG105)*7.48/1000000)</f>
        <v>8.9849760000000074E-3</v>
      </c>
      <c r="J104" s="96" t="s">
        <v>186</v>
      </c>
      <c r="K104" s="95">
        <f ca="1">IF(B104=TODAY(),0,-$K$6*(Sheet1!CH106-Sheet1!CH105)*7.48/1000000)</f>
        <v>1.3326640748916837E-2</v>
      </c>
      <c r="L104" s="96" t="s">
        <v>186</v>
      </c>
      <c r="M104" s="95">
        <f ca="1">IF(B104=TODAY(),0,-$M$6*(Sheet1!CI106-Sheet1!CI105)*7.48/1000000)</f>
        <v>5.3974525284081275E-2</v>
      </c>
      <c r="N104" s="95">
        <f ca="1">IF(B104=TODAY(),0,-$N$6*(Sheet1!CJ106-Sheet1!CJ105)*7.48/1000000)</f>
        <v>0.54606063947269079</v>
      </c>
      <c r="O104" s="95">
        <f t="shared" ca="1" si="14"/>
        <v>-0.96049497344131574</v>
      </c>
      <c r="P104" s="95">
        <f ca="1">O104+Calculation!ES104</f>
        <v>-0.40644051927176672</v>
      </c>
      <c r="Q104" s="90" t="str">
        <f>IF(Sheet1!BQ106&gt;25.75,"spill elevation","-")</f>
        <v>-</v>
      </c>
      <c r="R104" s="90" t="str">
        <f>IF(Sheet1!BQ106&gt;25.75,"spill elevation","-")</f>
        <v>-</v>
      </c>
      <c r="S104" s="90" t="str">
        <f>IF(Sheet1!BR106&gt;25.75,"spill elevation","-")</f>
        <v>-</v>
      </c>
      <c r="T104" s="94">
        <f>IF(Sheet1!DU106=1,Sheet1!AA106-(SUM(AT104:BA104)+BE104),Sheet1!AA106-SUM(AT104:BA104))</f>
        <v>18.120287999999999</v>
      </c>
      <c r="U104" s="94">
        <f>Sheet1!BV106</f>
        <v>21.7</v>
      </c>
      <c r="V104" s="94">
        <f t="shared" si="15"/>
        <v>-3.5797120000000007</v>
      </c>
      <c r="W104" s="94">
        <f>0</f>
        <v>0</v>
      </c>
      <c r="X104" s="90">
        <f>0</f>
        <v>0</v>
      </c>
      <c r="Y104" s="95">
        <f ca="1">Calculation!EJ105+Calculation!ES104+'Calculations II'!O104-'Calculations II'!W104</f>
        <v>51.762199480728235</v>
      </c>
      <c r="Z104" s="95">
        <f ca="1">Y104-Sheet1!CT107</f>
        <v>35.423199480728236</v>
      </c>
      <c r="AA104" s="95">
        <f ca="1">Y104+Calculation!DJ105+Calculation!AS105</f>
        <v>61.79527034686997</v>
      </c>
      <c r="AC104" s="95">
        <f>Sheet1!AA106+Sheet1!AB106+BC104</f>
        <v>52.334112000000005</v>
      </c>
      <c r="AD104" s="95">
        <f>Sheet1!AA106+Sheet1!BN106+'Calculations II'!BC104-Calculation!AS104-Calculation!DJ104</f>
        <v>32.347526442700158</v>
      </c>
      <c r="AE104" s="95">
        <f>Sheet1!AA106+Sheet1!AB106+'Calculations II'!BC104-Calculation!AS104-Calculation!DJ104</f>
        <v>42.347526442700158</v>
      </c>
      <c r="AF104" s="95">
        <f ca="1">Sheet1!AA106+Sheet1!BN106+P104+'Calculations II'!BC104+Calculation!AS104+Calculation!DJ104</f>
        <v>51.914257038028083</v>
      </c>
      <c r="AG104" s="95">
        <f ca="1">IF(B104=TODAY(),0,Sheet1!AA106+Sheet1!BN106+'Calculations II'!BC104+'Calculations II'!P104-Sheet1!CT106-BP104)</f>
        <v>27.153671480728235</v>
      </c>
      <c r="AH104" s="95">
        <f ca="1">IF(B104=TODAY(),0,Sheet1!AA106+Sheet1!BN106+'Calculations II'!BC104+'Calculations II'!P104-BP104)</f>
        <v>41.927671480728236</v>
      </c>
      <c r="AI104" s="95">
        <f ca="1">IF(B104=TODAY(),0,BC104+Sheet1!AA106+Calculation!ES104+O104+W104+Sheet1!BN106+Calculation!AS104+Calculation!DJ104-BP104)</f>
        <v>51.914257038028076</v>
      </c>
      <c r="AJ104" s="95"/>
      <c r="AM104" s="91">
        <f t="shared" si="16"/>
        <v>41732</v>
      </c>
      <c r="AN104" s="95">
        <f>Sheet1!BU106</f>
        <v>20</v>
      </c>
      <c r="AO104" s="95">
        <f>Sheet1!AA106</f>
        <v>21.06</v>
      </c>
      <c r="AP104" s="95">
        <f t="shared" si="11"/>
        <v>-0.6648000000000055</v>
      </c>
      <c r="AQ104" s="1055">
        <f>((Sheet1!BV106-(Sheet1!BU106-AP104))/(Sheet1!BU106-AP104))</f>
        <v>5.0094847276527826E-2</v>
      </c>
      <c r="AR104" s="95">
        <f t="shared" si="12"/>
        <v>21.724800000000005</v>
      </c>
      <c r="AS104" s="95">
        <f t="shared" si="13"/>
        <v>20.664800000000007</v>
      </c>
      <c r="AT104" s="90">
        <f>Sheet1!BB106</f>
        <v>1.59</v>
      </c>
      <c r="AU104" s="90">
        <f>Sheet1!AS106*GPMtoMGD</f>
        <v>2.9664000000000003E-2</v>
      </c>
      <c r="AV104" s="95">
        <f>Sheet1!AT106</f>
        <v>0</v>
      </c>
      <c r="AW104" s="90">
        <f>Sheet1!AV106*GPMtoMGD</f>
        <v>0.51134400000000002</v>
      </c>
      <c r="AX104" s="90">
        <f>Sheet1!AW106*GPMtoMGD</f>
        <v>0.80870400000000009</v>
      </c>
      <c r="AY104" s="90">
        <f>Sheet1!AX106*GPMtoMGD</f>
        <v>0</v>
      </c>
      <c r="AZ104" s="90">
        <f>Sheet1!AY106*GPMtoMGD</f>
        <v>0</v>
      </c>
      <c r="BA104" s="90">
        <f>Sheet1!AZ106*GPMtoMGD</f>
        <v>0</v>
      </c>
      <c r="BB104" s="90">
        <f>Sheet1!BP106*GPMtoMGD</f>
        <v>0</v>
      </c>
      <c r="BC104" s="90">
        <f>Sheet1!CS106*GPMtoMGD</f>
        <v>5.7741120000000006</v>
      </c>
      <c r="BD104" s="90">
        <f>Sheet1!BO106*GPMtoMGD</f>
        <v>1.3888800000000001</v>
      </c>
      <c r="BE104" s="90">
        <f>Sheet1!BW106*GPMtoMGD</f>
        <v>0.66988800000000004</v>
      </c>
      <c r="BF104" s="90">
        <f>Sheet1!CN106*GPMtoMGD</f>
        <v>1.1808000000000001</v>
      </c>
      <c r="BG104" s="90">
        <f>Sheet1!CO106*GPMtoMGD</f>
        <v>0.46454400000000007</v>
      </c>
      <c r="BH104" s="90">
        <f>Sheet1!CP106*GPMtoMGD</f>
        <v>0.64656000000000002</v>
      </c>
      <c r="BI104" s="90">
        <f t="shared" si="17"/>
        <v>1.3888800000000001</v>
      </c>
      <c r="BK104" s="95">
        <f>SUM(AT104:BA104,BE104,Sheet1!BV106,'Calculations II'!BC104,Calculation!AQ104)</f>
        <v>46.595878405023548</v>
      </c>
      <c r="BM104" s="373">
        <f>0</f>
        <v>0</v>
      </c>
      <c r="BN104" s="373">
        <f>0</f>
        <v>0</v>
      </c>
      <c r="BP104" s="95">
        <f>SUM(BM104:BN104,W104,Sheet1!DX106)</f>
        <v>0</v>
      </c>
    </row>
    <row r="105" spans="1:68" s="90" customFormat="1">
      <c r="A105" s="651" t="s">
        <v>8</v>
      </c>
      <c r="B105" s="92">
        <v>41733</v>
      </c>
      <c r="C105" s="93">
        <v>0</v>
      </c>
      <c r="D105" s="95">
        <f>(Sheet1!BQ107-Sheet1!BQ106)*1.385</f>
        <v>-0.23544999999999744</v>
      </c>
      <c r="E105" s="30">
        <f>(Sheet1!BR107-Sheet1!BR106)*1.385</f>
        <v>-0.24929999999999961</v>
      </c>
      <c r="F105" s="30">
        <f ca="1">IF(B105=TODAY(),0,-(VLOOKUP(Sheet1!CD107,Lookup!$I$4:$J$216,2)-VLOOKUP(Sheet1!CD106,Lookup!$I$4:$J$216,2))/1000000)</f>
        <v>0.51818469273899681</v>
      </c>
      <c r="G105" s="95">
        <f ca="1">IF(B105=TODAY(),0,-$G$6*(Sheet1!CF107-Sheet1!CF106)*7.48/1000000)</f>
        <v>0.15885400421023735</v>
      </c>
      <c r="H105" s="95">
        <f ca="1">IF(B105=TODAY(),0,-$H$6*(Sheet1!CE107-Sheet1!CE106)*7.48/1000000)</f>
        <v>-0.54141956464554231</v>
      </c>
      <c r="I105" s="95">
        <f ca="1">IF(B105=TODAY(),0,-$I$6*(Sheet1!CG107-Sheet1!CG106)*7.48/1000000)</f>
        <v>4.4924880000000236E-3</v>
      </c>
      <c r="J105" s="96" t="s">
        <v>186</v>
      </c>
      <c r="K105" s="95">
        <f ca="1">IF(B105=TODAY(),0,-$K$6*(Sheet1!CH107-Sheet1!CH106)*7.48/1000000)</f>
        <v>6.6633203744584186E-3</v>
      </c>
      <c r="L105" s="96" t="s">
        <v>186</v>
      </c>
      <c r="M105" s="95">
        <f ca="1">IF(B105=TODAY(),0,-$M$6*(Sheet1!CI107-Sheet1!CI106)*7.48/1000000)</f>
        <v>0</v>
      </c>
      <c r="N105" s="95">
        <f ca="1">IF(B105=TODAY(),0,-$N$6*(Sheet1!CJ107-Sheet1!CJ106)*7.48/1000000)</f>
        <v>0.34128789967043083</v>
      </c>
      <c r="O105" s="95">
        <f t="shared" ca="1" si="14"/>
        <v>0.48806284034858105</v>
      </c>
      <c r="P105" s="95">
        <f ca="1">O105+Calculation!ES105</f>
        <v>1.0420660242705813</v>
      </c>
      <c r="Q105" s="90" t="str">
        <f>IF(Sheet1!BQ107&gt;25.75,"spill elevation","-")</f>
        <v>-</v>
      </c>
      <c r="R105" s="90" t="str">
        <f>IF(Sheet1!BQ107&gt;25.75,"spill elevation","-")</f>
        <v>-</v>
      </c>
      <c r="S105" s="90" t="str">
        <f>IF(Sheet1!BR107&gt;25.75,"spill elevation","-")</f>
        <v>-</v>
      </c>
      <c r="T105" s="94">
        <f>IF(Sheet1!DU107=1,Sheet1!AA107-(SUM(AT105:BA105)+BE105),Sheet1!AA107-SUM(AT105:BA105))</f>
        <v>19.090047999999999</v>
      </c>
      <c r="U105" s="94">
        <f>Sheet1!BV107</f>
        <v>22.4</v>
      </c>
      <c r="V105" s="94">
        <f t="shared" si="15"/>
        <v>-3.3099519999999991</v>
      </c>
      <c r="W105" s="94">
        <f>0</f>
        <v>0</v>
      </c>
      <c r="X105" s="90">
        <f>0</f>
        <v>0</v>
      </c>
      <c r="Y105" s="95">
        <f ca="1">Calculation!EJ106+Calculation!ES105+'Calculations II'!O105-'Calculations II'!W105</f>
        <v>53.108162024270584</v>
      </c>
      <c r="Z105" s="95">
        <f ca="1">Y105-Sheet1!CT108</f>
        <v>36.583162024270585</v>
      </c>
      <c r="AA105" s="95">
        <f ca="1">Y105+Calculation!DJ106+Calculation!AS106</f>
        <v>63.114852303688139</v>
      </c>
      <c r="AC105" s="95">
        <f>Sheet1!AA107+Sheet1!AB107+BC105</f>
        <v>52.168639999999996</v>
      </c>
      <c r="AD105" s="95">
        <f>Sheet1!AA107+Sheet1!BN107+'Calculations II'!BC105-Calculation!AS105-Calculation!DJ105</f>
        <v>32.03556913385826</v>
      </c>
      <c r="AE105" s="95">
        <f>Sheet1!AA107+Sheet1!AB107+'Calculations II'!BC105-Calculation!AS105-Calculation!DJ105</f>
        <v>42.135569133858262</v>
      </c>
      <c r="AF105" s="95">
        <f ca="1">Sheet1!AA107+Sheet1!BN107+P105+'Calculations II'!BC105+Calculation!AS105+Calculation!DJ105</f>
        <v>53.143776890412312</v>
      </c>
      <c r="AG105" s="95">
        <f ca="1">IF(B105=TODAY(),0,Sheet1!AA107+Sheet1!BN107+'Calculations II'!BC105+'Calculations II'!P105-Sheet1!CT107-BP105)</f>
        <v>26.771706024270578</v>
      </c>
      <c r="AH105" s="95">
        <f ca="1">IF(B105=TODAY(),0,Sheet1!AA107+Sheet1!BN107+'Calculations II'!BC105+'Calculations II'!P105-BP105)</f>
        <v>43.110706024270577</v>
      </c>
      <c r="AI105" s="95">
        <f ca="1">IF(B105=TODAY(),0,BC105+Sheet1!AA107+Calculation!ES105+O105+W105+Sheet1!BN107+Calculation!AS105+Calculation!DJ105-BP105)</f>
        <v>53.143776890412312</v>
      </c>
      <c r="AJ105" s="95"/>
      <c r="AM105" s="91">
        <f t="shared" si="16"/>
        <v>41733</v>
      </c>
      <c r="AN105" s="95">
        <f>Sheet1!BU107</f>
        <v>20.8</v>
      </c>
      <c r="AO105" s="95">
        <f>Sheet1!AA107</f>
        <v>21.08</v>
      </c>
      <c r="AP105" s="95">
        <f t="shared" si="11"/>
        <v>-0.48474999999999702</v>
      </c>
      <c r="AQ105" s="1055">
        <f>((Sheet1!BV107-(Sheet1!BU107-AP105))/(Sheet1!BU107-AP105))</f>
        <v>5.2396668976614699E-2</v>
      </c>
      <c r="AR105" s="95">
        <f t="shared" si="12"/>
        <v>21.564749999999997</v>
      </c>
      <c r="AS105" s="95">
        <f t="shared" si="13"/>
        <v>21.284749999999999</v>
      </c>
      <c r="AT105" s="90">
        <f>Sheet1!BB107</f>
        <v>1.6</v>
      </c>
      <c r="AU105" s="90">
        <f>Sheet1!AS107*GPMtoMGD</f>
        <v>1.5120000000000001E-2</v>
      </c>
      <c r="AV105" s="95">
        <f>Sheet1!AT107</f>
        <v>0</v>
      </c>
      <c r="AW105" s="90">
        <f>Sheet1!AV107*GPMtoMGD</f>
        <v>0.13723199999999999</v>
      </c>
      <c r="AX105" s="90">
        <f>Sheet1!AW107*GPMtoMGD</f>
        <v>0.23760000000000001</v>
      </c>
      <c r="AY105" s="90">
        <f>Sheet1!AX107*GPMtoMGD</f>
        <v>0</v>
      </c>
      <c r="AZ105" s="90">
        <f>Sheet1!AY107*GPMtoMGD</f>
        <v>0</v>
      </c>
      <c r="BA105" s="90">
        <f>Sheet1!AZ107*GPMtoMGD</f>
        <v>0</v>
      </c>
      <c r="BB105" s="90">
        <f>Sheet1!BP107*GPMtoMGD</f>
        <v>0</v>
      </c>
      <c r="BC105" s="90">
        <f>Sheet1!CS107*GPMtoMGD</f>
        <v>5.5886400000000007</v>
      </c>
      <c r="BD105" s="90">
        <f>Sheet1!BO107*GPMtoMGD</f>
        <v>1.4431680000000002</v>
      </c>
      <c r="BE105" s="90">
        <f>Sheet1!BW107*GPMtoMGD</f>
        <v>0.93585600000000002</v>
      </c>
      <c r="BF105" s="90">
        <f>Sheet1!CN107*GPMtoMGD</f>
        <v>1.1808000000000001</v>
      </c>
      <c r="BG105" s="90">
        <f>Sheet1!CO107*GPMtoMGD</f>
        <v>0.47347200000000006</v>
      </c>
      <c r="BH105" s="90">
        <f>Sheet1!CP107*GPMtoMGD</f>
        <v>0.67320000000000002</v>
      </c>
      <c r="BI105" s="90">
        <f t="shared" si="17"/>
        <v>1.4431680000000002</v>
      </c>
      <c r="BK105" s="95">
        <f>SUM(AT105:BA105,BE105,Sheet1!BV107,'Calculations II'!BC105,Calculation!AQ105)</f>
        <v>46.375077921259845</v>
      </c>
      <c r="BM105" s="373">
        <f>0</f>
        <v>0</v>
      </c>
      <c r="BN105" s="373">
        <f>0</f>
        <v>0</v>
      </c>
      <c r="BP105" s="95">
        <f>SUM(BM105:BN105,W105,Sheet1!DX107)</f>
        <v>0</v>
      </c>
    </row>
    <row r="106" spans="1:68" s="90" customFormat="1">
      <c r="A106" s="651" t="s">
        <v>9</v>
      </c>
      <c r="B106" s="92">
        <v>41734</v>
      </c>
      <c r="C106" s="93">
        <v>0</v>
      </c>
      <c r="D106" s="95">
        <f>(Sheet1!BQ108-Sheet1!BQ107)*1.385</f>
        <v>-0.52629999999999866</v>
      </c>
      <c r="E106" s="30">
        <f>(Sheet1!BR108-Sheet1!BR107)*1.385</f>
        <v>-0.49859999999999921</v>
      </c>
      <c r="F106" s="30">
        <f ca="1">IF(B106=TODAY(),0,-(VLOOKUP(Sheet1!CD108,Lookup!$I$4:$J$216,2)-VLOOKUP(Sheet1!CD107,Lookup!$I$4:$J$216,2))/1000000)</f>
        <v>0</v>
      </c>
      <c r="G106" s="95">
        <f ca="1">IF(B106=TODAY(),0,-$G$6*(Sheet1!CF108-Sheet1!CF107)*7.48/1000000)</f>
        <v>0.19856750526279648</v>
      </c>
      <c r="H106" s="95">
        <f ca="1">IF(B106=TODAY(),0,-$H$6*(Sheet1!CE108-Sheet1!CE107)*7.48/1000000)</f>
        <v>0.10527602645885584</v>
      </c>
      <c r="I106" s="95">
        <f ca="1">IF(B106=TODAY(),0,-$I$6*(Sheet1!CG108-Sheet1!CG107)*7.48/1000000)</f>
        <v>-1.7969952000000015E-2</v>
      </c>
      <c r="J106" s="96" t="s">
        <v>186</v>
      </c>
      <c r="K106" s="95">
        <f ca="1">IF(B106=TODAY(),0,-$K$6*(Sheet1!CH108-Sheet1!CH107)*7.48/1000000)</f>
        <v>-2.6653281497833796E-2</v>
      </c>
      <c r="L106" s="96" t="s">
        <v>186</v>
      </c>
      <c r="M106" s="95">
        <f ca="1">IF(B106=TODAY(),0,-$M$6*(Sheet1!CI108-Sheet1!CI107)*7.48/1000000)</f>
        <v>-5.3974525284081275E-2</v>
      </c>
      <c r="N106" s="95">
        <f ca="1">IF(B106=TODAY(),0,-$N$6*(Sheet1!CJ108-Sheet1!CJ107)*7.48/1000000)</f>
        <v>0</v>
      </c>
      <c r="O106" s="95">
        <f t="shared" ca="1" si="14"/>
        <v>0.20524577293973725</v>
      </c>
      <c r="P106" s="95">
        <f ca="1">O106+Calculation!ES106</f>
        <v>1.1746263808909871</v>
      </c>
      <c r="Q106" s="90" t="str">
        <f>IF(Sheet1!BQ108&gt;25.75,"spill elevation","-")</f>
        <v>-</v>
      </c>
      <c r="R106" s="90" t="str">
        <f>IF(Sheet1!BQ108&gt;25.75,"spill elevation","-")</f>
        <v>-</v>
      </c>
      <c r="S106" s="90" t="str">
        <f>IF(Sheet1!BR108&gt;25.75,"spill elevation","-")</f>
        <v>-</v>
      </c>
      <c r="T106" s="94">
        <f>IF(Sheet1!DU108=1,Sheet1!AA108-(SUM(AT106:BA106)+BE106),Sheet1!AA108-SUM(AT106:BA106))</f>
        <v>17.613375999999999</v>
      </c>
      <c r="U106" s="94">
        <f>Sheet1!BV108</f>
        <v>22</v>
      </c>
      <c r="V106" s="94">
        <f t="shared" si="15"/>
        <v>-4.3866240000000012</v>
      </c>
      <c r="W106" s="94">
        <f>0</f>
        <v>0</v>
      </c>
      <c r="X106" s="90">
        <f>0</f>
        <v>0</v>
      </c>
      <c r="Y106" s="95">
        <f ca="1">Calculation!EJ107+Calculation!ES106+'Calculations II'!O106-'Calculations II'!W106</f>
        <v>55.652594380890989</v>
      </c>
      <c r="Z106" s="95">
        <f ca="1">Y106-Sheet1!CT109</f>
        <v>39.129594380890993</v>
      </c>
      <c r="AA106" s="95">
        <f ca="1">Y106+Calculation!DJ107+Calculation!AS107</f>
        <v>65.715549910210143</v>
      </c>
      <c r="AC106" s="95">
        <f>Sheet1!AA108+Sheet1!AB108+BC106</f>
        <v>52.066096000000002</v>
      </c>
      <c r="AD106" s="95">
        <f>Sheet1!AA108+Sheet1!BN108+'Calculations II'!BC106-Calculation!AS106-Calculation!DJ106</f>
        <v>32.059405720582447</v>
      </c>
      <c r="AE106" s="95">
        <f>Sheet1!AA108+Sheet1!AB108+'Calculations II'!BC106-Calculation!AS106-Calculation!DJ106</f>
        <v>42.059405720582447</v>
      </c>
      <c r="AF106" s="95">
        <f ca="1">Sheet1!AA108+Sheet1!BN108+P106+'Calculations II'!BC106+Calculation!AS106+Calculation!DJ106</f>
        <v>53.247412660308541</v>
      </c>
      <c r="AG106" s="95">
        <f ca="1">IF(B106=TODAY(),0,Sheet1!AA108+Sheet1!BN108+'Calculations II'!BC106+'Calculations II'!P106-Sheet1!CT108-BP106)</f>
        <v>26.715722380890988</v>
      </c>
      <c r="AH106" s="95">
        <f ca="1">IF(B106=TODAY(),0,Sheet1!AA108+Sheet1!BN108+'Calculations II'!BC106+'Calculations II'!P106-BP106)</f>
        <v>43.240722380890986</v>
      </c>
      <c r="AI106" s="95">
        <f ca="1">IF(B106=TODAY(),0,BC106+Sheet1!AA108+Calculation!ES106+O106+W106+Sheet1!BN108+Calculation!AS106+Calculation!DJ106-BP106)</f>
        <v>53.247412660308541</v>
      </c>
      <c r="AJ106" s="95"/>
      <c r="AM106" s="91">
        <f t="shared" si="16"/>
        <v>41734</v>
      </c>
      <c r="AN106" s="95">
        <f>Sheet1!BU108</f>
        <v>19.899999999999999</v>
      </c>
      <c r="AO106" s="95">
        <f>Sheet1!AA108</f>
        <v>21.02</v>
      </c>
      <c r="AP106" s="95">
        <f t="shared" si="11"/>
        <v>-1.0248999999999979</v>
      </c>
      <c r="AQ106" s="1055">
        <f>((Sheet1!BV108-(Sheet1!BU108-AP106))/(Sheet1!BU108-AP106))</f>
        <v>5.1378979111011414E-2</v>
      </c>
      <c r="AR106" s="95">
        <f t="shared" si="12"/>
        <v>22.044899999999998</v>
      </c>
      <c r="AS106" s="95">
        <f t="shared" si="13"/>
        <v>20.924899999999997</v>
      </c>
      <c r="AT106" s="90">
        <f>Sheet1!BB108</f>
        <v>1.6</v>
      </c>
      <c r="AU106" s="90">
        <f>Sheet1!AS108*GPMtoMGD</f>
        <v>1.584E-2</v>
      </c>
      <c r="AV106" s="95">
        <f>Sheet1!AT108</f>
        <v>0</v>
      </c>
      <c r="AW106" s="90">
        <f>Sheet1!AV108*GPMtoMGD</f>
        <v>0.85680000000000001</v>
      </c>
      <c r="AX106" s="90">
        <f>Sheet1!AW108*GPMtoMGD</f>
        <v>0.93398400000000004</v>
      </c>
      <c r="AY106" s="90">
        <f>Sheet1!AX108*GPMtoMGD</f>
        <v>0</v>
      </c>
      <c r="AZ106" s="90">
        <f>Sheet1!AY108*GPMtoMGD</f>
        <v>0</v>
      </c>
      <c r="BA106" s="90">
        <f>Sheet1!AZ108*GPMtoMGD</f>
        <v>0</v>
      </c>
      <c r="BB106" s="90">
        <f>Sheet1!BP108*GPMtoMGD</f>
        <v>0</v>
      </c>
      <c r="BC106" s="90">
        <f>Sheet1!CS108*GPMtoMGD</f>
        <v>5.6460960000000009</v>
      </c>
      <c r="BD106" s="90">
        <f>Sheet1!BO108*GPMtoMGD</f>
        <v>1.6565760000000003</v>
      </c>
      <c r="BE106" s="90">
        <f>Sheet1!BW108*GPMtoMGD</f>
        <v>0.71582400000000013</v>
      </c>
      <c r="BF106" s="90">
        <f>Sheet1!CN108*GPMtoMGD</f>
        <v>1.1808000000000001</v>
      </c>
      <c r="BG106" s="90">
        <f>Sheet1!CO108*GPMtoMGD</f>
        <v>0.46454400000000007</v>
      </c>
      <c r="BH106" s="90">
        <f>Sheet1!CP108*GPMtoMGD</f>
        <v>0.65764800000000001</v>
      </c>
      <c r="BI106" s="90">
        <f t="shared" si="17"/>
        <v>1.6565760000000003</v>
      </c>
      <c r="BK106" s="95">
        <f>SUM(AT106:BA106,BE106,Sheet1!BV108,'Calculations II'!BC106,Calculation!AQ106)</f>
        <v>47.162483393939389</v>
      </c>
      <c r="BM106" s="373">
        <f>0</f>
        <v>0</v>
      </c>
      <c r="BN106" s="373">
        <f>0</f>
        <v>0</v>
      </c>
      <c r="BP106" s="95">
        <f>SUM(BM106:BN106,W106,Sheet1!DX108)</f>
        <v>0</v>
      </c>
    </row>
    <row r="107" spans="1:68" s="90" customFormat="1">
      <c r="A107" s="651" t="s">
        <v>3</v>
      </c>
      <c r="B107" s="92">
        <v>41735</v>
      </c>
      <c r="C107" s="93">
        <v>0</v>
      </c>
      <c r="D107" s="95">
        <f>(Sheet1!BQ109-Sheet1!BQ108)*1.385</f>
        <v>-0.74790000000000378</v>
      </c>
      <c r="E107" s="30">
        <f>(Sheet1!BR109-Sheet1!BR108)*1.385</f>
        <v>-0.76175000000000104</v>
      </c>
      <c r="F107" s="30">
        <f ca="1">IF(B107=TODAY(),0,-(VLOOKUP(Sheet1!CD109,Lookup!$I$4:$J$216,2)-VLOOKUP(Sheet1!CD108,Lookup!$I$4:$J$216,2))/1000000)</f>
        <v>-0.31091081564339806</v>
      </c>
      <c r="G107" s="95">
        <f ca="1">IF(B107=TODAY(),0,-$G$6*(Sheet1!CF109-Sheet1!CF108)*7.48/1000000)</f>
        <v>-1.1516915305242199</v>
      </c>
      <c r="H107" s="95">
        <f ca="1">IF(B107=TODAY(),0,-$H$6*(Sheet1!CE109-Sheet1!CE108)*7.48/1000000)</f>
        <v>9.0236594107590579E-2</v>
      </c>
      <c r="I107" s="95">
        <f ca="1">IF(B107=TODAY(),0,-$I$6*(Sheet1!CG109-Sheet1!CG108)*7.48/1000000)</f>
        <v>2.2462440000000004E-2</v>
      </c>
      <c r="J107" s="96" t="s">
        <v>186</v>
      </c>
      <c r="K107" s="95">
        <f ca="1">IF(B107=TODAY(),0,-$K$6*(Sheet1!CH109-Sheet1!CH108)*7.48/1000000)</f>
        <v>4.6643242621209169E-2</v>
      </c>
      <c r="L107" s="96" t="s">
        <v>186</v>
      </c>
      <c r="M107" s="95">
        <f ca="1">IF(B107=TODAY(),0,-$M$6*(Sheet1!CI109-Sheet1!CI108)*7.48/1000000)</f>
        <v>1.7991508428027301E-2</v>
      </c>
      <c r="N107" s="95">
        <f ca="1">IF(B107=TODAY(),0,-$N$6*(Sheet1!CJ109-Sheet1!CJ108)*7.48/1000000)</f>
        <v>-0.322672196052044</v>
      </c>
      <c r="O107" s="95">
        <f t="shared" ca="1" si="14"/>
        <v>-1.607940757062835</v>
      </c>
      <c r="P107" s="95">
        <f ca="1">O107+Calculation!ES107</f>
        <v>-8.4941443272062989E-2</v>
      </c>
      <c r="Q107" s="90" t="str">
        <f>IF(Sheet1!BQ109&gt;25.75,"spill elevation","-")</f>
        <v>-</v>
      </c>
      <c r="R107" s="90" t="str">
        <f>IF(Sheet1!BQ109&gt;25.75,"spill elevation","-")</f>
        <v>-</v>
      </c>
      <c r="S107" s="90" t="str">
        <f>IF(Sheet1!BR109&gt;25.75,"spill elevation","-")</f>
        <v>-</v>
      </c>
      <c r="T107" s="94">
        <f>IF(Sheet1!DU109=1,Sheet1!AA109-(SUM(AT107:BA107)+BE107),Sheet1!AA109-SUM(AT107:BA107))</f>
        <v>17.815632000000001</v>
      </c>
      <c r="U107" s="94">
        <f>Sheet1!BV109</f>
        <v>22.5</v>
      </c>
      <c r="V107" s="94">
        <f t="shared" si="15"/>
        <v>-4.6843679999999992</v>
      </c>
      <c r="W107" s="94">
        <f>0</f>
        <v>0</v>
      </c>
      <c r="X107" s="90">
        <f>0</f>
        <v>0</v>
      </c>
      <c r="Y107" s="95">
        <f ca="1">Calculation!EJ108+Calculation!ES107+'Calculations II'!O107-'Calculations II'!W107</f>
        <v>56.26609855672794</v>
      </c>
      <c r="Z107" s="95">
        <f ca="1">Y107-Sheet1!CT110</f>
        <v>39.590098556727938</v>
      </c>
      <c r="AA107" s="95">
        <f ca="1">Y107+Calculation!DJ108+Calculation!AS108</f>
        <v>66.196098556727932</v>
      </c>
      <c r="AC107" s="95">
        <f>Sheet1!AA109+Sheet1!AB109+BC107</f>
        <v>54.477967999999997</v>
      </c>
      <c r="AD107" s="95">
        <f>Sheet1!AA109+Sheet1!BN109+'Calculations II'!BC107-Calculation!AS107-Calculation!DJ107</f>
        <v>34.245012470680834</v>
      </c>
      <c r="AE107" s="95">
        <f>Sheet1!AA109+Sheet1!AB109+'Calculations II'!BC107-Calculation!AS107-Calculation!DJ107</f>
        <v>44.415012470680828</v>
      </c>
      <c r="AF107" s="95">
        <f ca="1">Sheet1!AA109+Sheet1!BN109+P107+'Calculations II'!BC107+Calculation!AS107+Calculation!DJ107</f>
        <v>54.285982086047106</v>
      </c>
      <c r="AG107" s="95">
        <f ca="1">IF(B107=TODAY(),0,Sheet1!AA109+Sheet1!BN109+'Calculations II'!BC107+'Calculations II'!P107-Sheet1!CT109-BP107)</f>
        <v>27.700026556727938</v>
      </c>
      <c r="AH107" s="95">
        <f ca="1">IF(B107=TODAY(),0,Sheet1!AA109+Sheet1!BN109+'Calculations II'!BC107+'Calculations II'!P107-BP107)</f>
        <v>44.223026556727937</v>
      </c>
      <c r="AI107" s="95">
        <f ca="1">IF(B107=TODAY(),0,BC107+Sheet1!AA109+Calculation!ES107+O107+W107+Sheet1!BN109+Calculation!AS107+Calculation!DJ107-BP107)</f>
        <v>54.285982086047113</v>
      </c>
      <c r="AJ107" s="95"/>
      <c r="AM107" s="91">
        <f t="shared" si="16"/>
        <v>41735</v>
      </c>
      <c r="AN107" s="95">
        <f>Sheet1!BU109</f>
        <v>20</v>
      </c>
      <c r="AO107" s="95">
        <f>Sheet1!AA109</f>
        <v>21.01</v>
      </c>
      <c r="AP107" s="95">
        <f t="shared" si="11"/>
        <v>-1.5096500000000048</v>
      </c>
      <c r="AQ107" s="1055">
        <f>((Sheet1!BV109-(Sheet1!BU109-AP107))/(Sheet1!BU109-AP107))</f>
        <v>4.6042125278653798E-2</v>
      </c>
      <c r="AR107" s="95">
        <f t="shared" si="12"/>
        <v>22.519650000000006</v>
      </c>
      <c r="AS107" s="95">
        <f t="shared" si="13"/>
        <v>21.509650000000004</v>
      </c>
      <c r="AT107" s="90">
        <f>Sheet1!BB109</f>
        <v>1.6</v>
      </c>
      <c r="AU107" s="90">
        <f>Sheet1!AS109*GPMtoMGD</f>
        <v>2.1600000000000001E-2</v>
      </c>
      <c r="AV107" s="95">
        <f>Sheet1!AT109</f>
        <v>0</v>
      </c>
      <c r="AW107" s="90">
        <f>Sheet1!AV109*GPMtoMGD</f>
        <v>0.64540799999999998</v>
      </c>
      <c r="AX107" s="90">
        <f>Sheet1!AW109*GPMtoMGD</f>
        <v>0.92736000000000007</v>
      </c>
      <c r="AY107" s="90">
        <f>Sheet1!AX109*GPMtoMGD</f>
        <v>0</v>
      </c>
      <c r="AZ107" s="90">
        <f>Sheet1!AY109*GPMtoMGD</f>
        <v>0</v>
      </c>
      <c r="BA107" s="90">
        <f>Sheet1!AZ109*GPMtoMGD</f>
        <v>0</v>
      </c>
      <c r="BB107" s="90">
        <f>Sheet1!BP109*GPMtoMGD</f>
        <v>0</v>
      </c>
      <c r="BC107" s="90">
        <f>Sheet1!CS109*GPMtoMGD</f>
        <v>7.8979680000000005</v>
      </c>
      <c r="BD107" s="90">
        <f>Sheet1!BO109*GPMtoMGD</f>
        <v>1.5806880000000001</v>
      </c>
      <c r="BE107" s="90">
        <f>Sheet1!BW109*GPMtoMGD</f>
        <v>0.86342400000000008</v>
      </c>
      <c r="BF107" s="90">
        <f>Sheet1!CN109*GPMtoMGD</f>
        <v>1.1808000000000001</v>
      </c>
      <c r="BG107" s="90">
        <f>Sheet1!CO109*GPMtoMGD</f>
        <v>0.51163200000000009</v>
      </c>
      <c r="BH107" s="90">
        <f>Sheet1!CP109*GPMtoMGD</f>
        <v>0.65980800000000006</v>
      </c>
      <c r="BI107" s="90">
        <f t="shared" si="17"/>
        <v>1.5806880000000001</v>
      </c>
      <c r="BK107" s="95">
        <f>SUM(AT107:BA107,BE107,Sheet1!BV109,'Calculations II'!BC107,Calculation!AQ107)</f>
        <v>49.952729696969698</v>
      </c>
      <c r="BM107" s="373">
        <f>0</f>
        <v>0</v>
      </c>
      <c r="BN107" s="373">
        <f>0</f>
        <v>0</v>
      </c>
      <c r="BP107" s="95">
        <f>SUM(BM107:BN107,W107,Sheet1!DX109)</f>
        <v>0</v>
      </c>
    </row>
    <row r="108" spans="1:68" s="90" customFormat="1">
      <c r="A108" s="651" t="s">
        <v>4</v>
      </c>
      <c r="B108" s="92">
        <v>41736</v>
      </c>
      <c r="C108" s="93">
        <v>0</v>
      </c>
      <c r="D108" s="95">
        <f>(Sheet1!BQ110-Sheet1!BQ109)*1.385</f>
        <v>1.8420500000000026</v>
      </c>
      <c r="E108" s="30">
        <f>(Sheet1!BR110-Sheet1!BR109)*1.385</f>
        <v>1.8974500000000014</v>
      </c>
      <c r="F108" s="30">
        <f ca="1">IF(B108=TODAY(),0,-(VLOOKUP(Sheet1!CD110,Lookup!$I$4:$J$216,2)-VLOOKUP(Sheet1!CD109,Lookup!$I$4:$J$216,2))/1000000)</f>
        <v>0.31091081564339806</v>
      </c>
      <c r="G108" s="95">
        <f ca="1">IF(B108=TODAY(),0,-$G$6*(Sheet1!CF110-Sheet1!CF109)*7.48/1000000)</f>
        <v>0.23828100631535634</v>
      </c>
      <c r="H108" s="95">
        <f ca="1">IF(B108=TODAY(),0,-$H$6*(Sheet1!CE110-Sheet1!CE109)*7.48/1000000)</f>
        <v>0.30078864702530117</v>
      </c>
      <c r="I108" s="95">
        <f ca="1">IF(B108=TODAY(),0,-$I$6*(Sheet1!CG110-Sheet1!CG109)*7.48/1000000)</f>
        <v>0.12129717600000001</v>
      </c>
      <c r="J108" s="96" t="s">
        <v>186</v>
      </c>
      <c r="K108" s="95">
        <f ca="1">IF(B108=TODAY(),0,-$K$6*(Sheet1!CH110-Sheet1!CH109)*7.48/1000000)</f>
        <v>0.19989961123375327</v>
      </c>
      <c r="L108" s="96" t="s">
        <v>186</v>
      </c>
      <c r="M108" s="95">
        <f ca="1">IF(B108=TODAY(),0,-$M$6*(Sheet1!CI110-Sheet1!CI109)*7.48/1000000)</f>
        <v>0.62970279498094661</v>
      </c>
      <c r="N108" s="95">
        <f ca="1">IF(B108=TODAY(),0,-$N$6*(Sheet1!CJ110-Sheet1!CJ109)*7.48/1000000)</f>
        <v>0.322672196052044</v>
      </c>
      <c r="O108" s="95">
        <f t="shared" ca="1" si="14"/>
        <v>2.1235522472507995</v>
      </c>
      <c r="P108" s="95">
        <f ca="1">O108+Calculation!ES108</f>
        <v>-1.4768853125827719</v>
      </c>
      <c r="Q108" s="90" t="str">
        <f>IF(Sheet1!BQ110&gt;25.75,"spill elevation","-")</f>
        <v>-</v>
      </c>
      <c r="R108" s="90" t="str">
        <f>IF(Sheet1!BQ110&gt;25.75,"spill elevation","-")</f>
        <v>-</v>
      </c>
      <c r="S108" s="90" t="str">
        <f>IF(Sheet1!BR110&gt;25.75,"spill elevation","-")</f>
        <v>-</v>
      </c>
      <c r="T108" s="94">
        <f>IF(Sheet1!DU110=1,Sheet1!AA110-(SUM(AT108:BA108)+BE108),Sheet1!AA110-SUM(AT108:BA108))</f>
        <v>18.327007999999999</v>
      </c>
      <c r="U108" s="94">
        <f>Sheet1!BV110</f>
        <v>17.7</v>
      </c>
      <c r="V108" s="94">
        <f t="shared" si="15"/>
        <v>0.62700800000000001</v>
      </c>
      <c r="W108" s="94">
        <f>0</f>
        <v>0</v>
      </c>
      <c r="X108" s="90">
        <f>0</f>
        <v>0</v>
      </c>
      <c r="Y108" s="95">
        <f ca="1">Calculation!EJ109+Calculation!ES108+'Calculations II'!O108-'Calculations II'!W108</f>
        <v>54.987978687417225</v>
      </c>
      <c r="Z108" s="95">
        <f ca="1">Y108-Sheet1!CT111</f>
        <v>38.140978687417224</v>
      </c>
      <c r="AA108" s="95">
        <f ca="1">Y108+Calculation!DJ109+Calculation!AS109</f>
        <v>64.934162794419578</v>
      </c>
      <c r="AC108" s="95">
        <f>Sheet1!AA110+Sheet1!AB110+BC108</f>
        <v>56.351040000000005</v>
      </c>
      <c r="AD108" s="95">
        <f>Sheet1!AA110+Sheet1!BN110+'Calculations II'!BC108-Calculation!AS108-Calculation!DJ108</f>
        <v>36.491039999999998</v>
      </c>
      <c r="AE108" s="95">
        <f>Sheet1!AA110+Sheet1!AB110+'Calculations II'!BC108-Calculation!AS108-Calculation!DJ108</f>
        <v>46.421040000000005</v>
      </c>
      <c r="AF108" s="95">
        <f ca="1">Sheet1!AA110+Sheet1!BN110+P108+'Calculations II'!BC108+Calculation!AS108+Calculation!DJ108</f>
        <v>54.874154687417224</v>
      </c>
      <c r="AG108" s="95">
        <f ca="1">IF(B108=TODAY(),0,Sheet1!AA110+Sheet1!BN110+'Calculations II'!BC108+'Calculations II'!P108-Sheet1!CT110-BP108)</f>
        <v>28.268154687417226</v>
      </c>
      <c r="AH108" s="95">
        <f ca="1">IF(B108=TODAY(),0,Sheet1!AA110+Sheet1!BN110+'Calculations II'!BC108+'Calculations II'!P108-BP108)</f>
        <v>44.944154687417225</v>
      </c>
      <c r="AI108" s="95">
        <f ca="1">IF(B108=TODAY(),0,BC108+Sheet1!AA110+Calculation!ES108+O108+W108+Sheet1!BN110+Calculation!AS108+Calculation!DJ108-BP108)</f>
        <v>54.874154687417224</v>
      </c>
      <c r="AJ108" s="95"/>
      <c r="AM108" s="91">
        <f t="shared" si="16"/>
        <v>41736</v>
      </c>
      <c r="AN108" s="95">
        <f>Sheet1!BU110</f>
        <v>20.3</v>
      </c>
      <c r="AO108" s="95">
        <f>Sheet1!AA110</f>
        <v>21.06</v>
      </c>
      <c r="AP108" s="95">
        <f t="shared" si="11"/>
        <v>3.739500000000004</v>
      </c>
      <c r="AQ108" s="1055">
        <f>((Sheet1!BV110-(Sheet1!BU110-AP108))/(Sheet1!BU110-AP108))</f>
        <v>6.8808308927870654E-2</v>
      </c>
      <c r="AR108" s="95">
        <f t="shared" si="12"/>
        <v>17.320499999999996</v>
      </c>
      <c r="AS108" s="95">
        <f t="shared" si="13"/>
        <v>16.560499999999998</v>
      </c>
      <c r="AT108" s="90">
        <f>Sheet1!BB110</f>
        <v>1.6</v>
      </c>
      <c r="AU108" s="90">
        <f>Sheet1!AS110*GPMtoMGD</f>
        <v>2.7072000000000002E-2</v>
      </c>
      <c r="AV108" s="95">
        <f>Sheet1!AT110</f>
        <v>0</v>
      </c>
      <c r="AW108" s="90">
        <f>Sheet1!AV110*GPMtoMGD</f>
        <v>0.52286400000000011</v>
      </c>
      <c r="AX108" s="90">
        <f>Sheet1!AW110*GPMtoMGD</f>
        <v>0.58305600000000002</v>
      </c>
      <c r="AY108" s="90">
        <f>Sheet1!AX110*GPMtoMGD</f>
        <v>0</v>
      </c>
      <c r="AZ108" s="90">
        <f>Sheet1!AY110*GPMtoMGD</f>
        <v>0</v>
      </c>
      <c r="BA108" s="90">
        <f>Sheet1!AZ110*GPMtoMGD</f>
        <v>0</v>
      </c>
      <c r="BB108" s="90">
        <f>Sheet1!BP110*GPMtoMGD</f>
        <v>0</v>
      </c>
      <c r="BC108" s="90">
        <f>Sheet1!CS110*GPMtoMGD</f>
        <v>9.7610400000000013</v>
      </c>
      <c r="BD108" s="90">
        <f>Sheet1!BO110*GPMtoMGD</f>
        <v>0.80409600000000003</v>
      </c>
      <c r="BE108" s="90">
        <f>Sheet1!BW110*GPMtoMGD</f>
        <v>0.80020800000000014</v>
      </c>
      <c r="BF108" s="90">
        <f>Sheet1!CN110*GPMtoMGD</f>
        <v>1.1808000000000001</v>
      </c>
      <c r="BG108" s="90">
        <f>Sheet1!CO110*GPMtoMGD</f>
        <v>0.50112000000000001</v>
      </c>
      <c r="BH108" s="90">
        <f>Sheet1!CP110*GPMtoMGD</f>
        <v>0.68054400000000004</v>
      </c>
      <c r="BI108" s="90">
        <f t="shared" si="17"/>
        <v>0.80409600000000003</v>
      </c>
      <c r="BK108" s="95">
        <f>SUM(AT108:BA108,BE108,Sheet1!BV110,'Calculations II'!BC108,Calculation!AQ108)</f>
        <v>46.594239999999999</v>
      </c>
      <c r="BM108" s="373">
        <f>0</f>
        <v>0</v>
      </c>
      <c r="BN108" s="373">
        <f>0</f>
        <v>0</v>
      </c>
      <c r="BP108" s="95">
        <f>SUM(BM108:BN108,W108,Sheet1!DX110)</f>
        <v>0</v>
      </c>
    </row>
    <row r="109" spans="1:68" s="90" customFormat="1">
      <c r="A109" s="651" t="s">
        <v>5</v>
      </c>
      <c r="B109" s="92">
        <v>41737</v>
      </c>
      <c r="C109" s="93">
        <v>0</v>
      </c>
      <c r="D109" s="95">
        <f>(Sheet1!BQ111-Sheet1!BQ110)*1.385</f>
        <v>2.4930000000000012</v>
      </c>
      <c r="E109" s="30">
        <f>(Sheet1!BR111-Sheet1!BR110)*1.385</f>
        <v>2.4930000000000012</v>
      </c>
      <c r="F109" s="30">
        <f ca="1">IF(B109=TODAY(),0,-(VLOOKUP(Sheet1!CD111,Lookup!$I$4:$J$216,2)-VLOOKUP(Sheet1!CD110,Lookup!$I$4:$J$216,2))/1000000)</f>
        <v>-0.20727387709559872</v>
      </c>
      <c r="G109" s="95">
        <f ca="1">IF(B109=TODAY(),0,-$G$6*(Sheet1!CF111-Sheet1!CF110)*7.48/1000000)</f>
        <v>0.19856750526279648</v>
      </c>
      <c r="H109" s="95">
        <f ca="1">IF(B109=TODAY(),0,-$H$6*(Sheet1!CE111-Sheet1!CE110)*7.48/1000000)</f>
        <v>0.30078864702530117</v>
      </c>
      <c r="I109" s="95">
        <f ca="1">IF(B109=TODAY(),0,-$I$6*(Sheet1!CG111-Sheet1!CG110)*7.48/1000000)</f>
        <v>-4.0432392000000018E-2</v>
      </c>
      <c r="J109" s="96" t="s">
        <v>186</v>
      </c>
      <c r="K109" s="95">
        <f ca="1">IF(B109=TODAY(),0,-$K$6*(Sheet1!CH111-Sheet1!CH110)*7.48/1000000)</f>
        <v>-0.1732463297359195</v>
      </c>
      <c r="L109" s="96" t="s">
        <v>186</v>
      </c>
      <c r="M109" s="95">
        <f ca="1">IF(B109=TODAY(),0,-$M$6*(Sheet1!CI111-Sheet1!CI110)*7.48/1000000)</f>
        <v>1.6732102838065153</v>
      </c>
      <c r="N109" s="95">
        <f ca="1">IF(B109=TODAY(),0,-$N$6*(Sheet1!CJ111-Sheet1!CJ110)*7.48/1000000)</f>
        <v>-0.12410469078924735</v>
      </c>
      <c r="O109" s="95">
        <f t="shared" ca="1" si="14"/>
        <v>1.6275091464738474</v>
      </c>
      <c r="P109" s="95">
        <f ca="1">O109+Calculation!ES109</f>
        <v>-3.3612884923829958</v>
      </c>
      <c r="Q109" s="90" t="str">
        <f>IF(Sheet1!BQ111&gt;25.75,"spill elevation","-")</f>
        <v>-</v>
      </c>
      <c r="R109" s="90" t="str">
        <f>IF(Sheet1!BQ111&gt;25.75,"spill elevation","-")</f>
        <v>-</v>
      </c>
      <c r="S109" s="90" t="str">
        <f>IF(Sheet1!BR111&gt;25.75,"spill elevation","-")</f>
        <v>-</v>
      </c>
      <c r="T109" s="94">
        <f>IF(Sheet1!DU111=1,Sheet1!AA111-(SUM(AT109:BA109)+BE109),Sheet1!AA111-SUM(AT109:BA109))</f>
        <v>18.412367999999997</v>
      </c>
      <c r="U109" s="94">
        <f>Sheet1!BV111</f>
        <v>16.5</v>
      </c>
      <c r="V109" s="94">
        <f t="shared" si="15"/>
        <v>1.9123679999999972</v>
      </c>
      <c r="W109" s="94">
        <f>0</f>
        <v>0</v>
      </c>
      <c r="X109" s="90">
        <f>0</f>
        <v>0</v>
      </c>
      <c r="Y109" s="95">
        <f ca="1">Calculation!EJ110+Calculation!ES109+'Calculations II'!O109-'Calculations II'!W109</f>
        <v>49.013143507617002</v>
      </c>
      <c r="Z109" s="95">
        <f ca="1">Y109-Sheet1!CT112</f>
        <v>32.387143507616997</v>
      </c>
      <c r="AA109" s="95">
        <f ca="1">Y109+Calculation!DJ110+Calculation!AS110</f>
        <v>59.093119987428842</v>
      </c>
      <c r="AC109" s="95">
        <f>Sheet1!AA111+Sheet1!AB111+BC109</f>
        <v>56.464863999999999</v>
      </c>
      <c r="AD109" s="95">
        <f>Sheet1!AA111+Sheet1!BN111+'Calculations II'!BC109-Calculation!AS109-Calculation!DJ109</f>
        <v>36.518679892997639</v>
      </c>
      <c r="AE109" s="95">
        <f>Sheet1!AA111+Sheet1!AB111+'Calculations II'!BC109-Calculation!AS109-Calculation!DJ109</f>
        <v>46.518679892997639</v>
      </c>
      <c r="AF109" s="95">
        <f ca="1">Sheet1!AA111+Sheet1!BN111+P109+'Calculations II'!BC109+Calculation!AS109+Calculation!DJ109</f>
        <v>53.049759614619362</v>
      </c>
      <c r="AG109" s="95">
        <f ca="1">IF(B109=TODAY(),0,Sheet1!AA111+Sheet1!BN111+'Calculations II'!BC109+'Calculations II'!P109-Sheet1!CT111-BP109)</f>
        <v>26.256575507617001</v>
      </c>
      <c r="AH109" s="95">
        <f ca="1">IF(B109=TODAY(),0,Sheet1!AA111+Sheet1!BN111+'Calculations II'!BC109+'Calculations II'!P109-BP109)</f>
        <v>43.103575507617002</v>
      </c>
      <c r="AI109" s="95">
        <f ca="1">IF(B109=TODAY(),0,BC109+Sheet1!AA111+Calculation!ES109+O109+W109+Sheet1!BN111+Calculation!AS109+Calculation!DJ109-BP109)</f>
        <v>53.049759614619362</v>
      </c>
      <c r="AJ109" s="95"/>
      <c r="AM109" s="91">
        <f t="shared" si="16"/>
        <v>41737</v>
      </c>
      <c r="AN109" s="95">
        <f>Sheet1!BU111</f>
        <v>20.3</v>
      </c>
      <c r="AO109" s="95">
        <f>Sheet1!AA111</f>
        <v>20.83</v>
      </c>
      <c r="AP109" s="95">
        <f t="shared" si="11"/>
        <v>4.9860000000000024</v>
      </c>
      <c r="AQ109" s="1055">
        <f>((Sheet1!BV111-(Sheet1!BU111-AP109))/(Sheet1!BU111-AP109))</f>
        <v>7.7445474729006258E-2</v>
      </c>
      <c r="AR109" s="95">
        <f t="shared" si="12"/>
        <v>15.843999999999996</v>
      </c>
      <c r="AS109" s="95">
        <f t="shared" si="13"/>
        <v>15.313999999999998</v>
      </c>
      <c r="AT109" s="90">
        <f>Sheet1!BB111</f>
        <v>1.6</v>
      </c>
      <c r="AU109" s="90">
        <f>Sheet1!AS111*GPMtoMGD</f>
        <v>1.4976000000000001E-2</v>
      </c>
      <c r="AV109" s="95">
        <f>Sheet1!AT111</f>
        <v>0</v>
      </c>
      <c r="AW109" s="90">
        <f>Sheet1!AV111*GPMtoMGD</f>
        <v>0.34718399999999999</v>
      </c>
      <c r="AX109" s="90">
        <f>Sheet1!AW111*GPMtoMGD</f>
        <v>0.45547200000000004</v>
      </c>
      <c r="AY109" s="90">
        <f>Sheet1!AX111*GPMtoMGD</f>
        <v>0</v>
      </c>
      <c r="AZ109" s="90">
        <f>Sheet1!AY111*GPMtoMGD</f>
        <v>0</v>
      </c>
      <c r="BA109" s="90">
        <f>Sheet1!AZ111*GPMtoMGD</f>
        <v>0</v>
      </c>
      <c r="BB109" s="90">
        <f>Sheet1!BP111*GPMtoMGD</f>
        <v>0</v>
      </c>
      <c r="BC109" s="90">
        <f>Sheet1!CS111*GPMtoMGD</f>
        <v>10.134864</v>
      </c>
      <c r="BD109" s="90">
        <f>Sheet1!BO111*GPMtoMGD</f>
        <v>0.29289600000000005</v>
      </c>
      <c r="BE109" s="90">
        <f>Sheet1!BW111*GPMtoMGD</f>
        <v>0.67665600000000004</v>
      </c>
      <c r="BF109" s="90">
        <f>Sheet1!CN111*GPMtoMGD</f>
        <v>1.1808000000000001</v>
      </c>
      <c r="BG109" s="90">
        <f>Sheet1!CO111*GPMtoMGD</f>
        <v>0.46310400000000007</v>
      </c>
      <c r="BH109" s="90">
        <f>Sheet1!CP111*GPMtoMGD</f>
        <v>0.63892800000000005</v>
      </c>
      <c r="BI109" s="90">
        <f t="shared" si="17"/>
        <v>0.29289600000000005</v>
      </c>
      <c r="BK109" s="95">
        <f>SUM(AT109:BA109,BE109,Sheet1!BV111,'Calculations II'!BC109,Calculation!AQ109)</f>
        <v>45.277932487804875</v>
      </c>
      <c r="BM109" s="373">
        <f>0</f>
        <v>0</v>
      </c>
      <c r="BN109" s="373">
        <f>0</f>
        <v>0</v>
      </c>
      <c r="BP109" s="95">
        <f>SUM(BM109:BN109,W109,Sheet1!DX111)</f>
        <v>0</v>
      </c>
    </row>
    <row r="110" spans="1:68" s="90" customFormat="1">
      <c r="A110" s="651" t="s">
        <v>6</v>
      </c>
      <c r="B110" s="92">
        <v>41738</v>
      </c>
      <c r="C110" s="93">
        <v>0</v>
      </c>
      <c r="D110" s="95">
        <f>(Sheet1!BQ112-Sheet1!BQ111)*1.385</f>
        <v>-1.6620000000000039</v>
      </c>
      <c r="E110" s="30">
        <f>(Sheet1!BR112-Sheet1!BR111)*1.385</f>
        <v>-1.8005000000000011</v>
      </c>
      <c r="F110" s="30">
        <f ca="1">IF(B110=TODAY(),0,-(VLOOKUP(Sheet1!CD112,Lookup!$I$4:$J$216,2)-VLOOKUP(Sheet1!CD111,Lookup!$I$4:$J$216,2))/1000000)</f>
        <v>-0.20727387709559872</v>
      </c>
      <c r="G110" s="95">
        <f ca="1">IF(B110=TODAY(),0,-$G$6*(Sheet1!CF112-Sheet1!CF111)*7.48/1000000)</f>
        <v>0.19856750526279648</v>
      </c>
      <c r="H110" s="95">
        <f ca="1">IF(B110=TODAY(),0,-$H$6*(Sheet1!CE112-Sheet1!CE111)*7.48/1000000)</f>
        <v>-0.55645899699680768</v>
      </c>
      <c r="I110" s="95">
        <f ca="1">IF(B110=TODAY(),0,-$I$6*(Sheet1!CG112-Sheet1!CG111)*7.48/1000000)</f>
        <v>-0.15274459200000001</v>
      </c>
      <c r="J110" s="96" t="s">
        <v>186</v>
      </c>
      <c r="K110" s="95">
        <f ca="1">IF(B110=TODAY(),0,-$K$6*(Sheet1!CH112-Sheet1!CH111)*7.48/1000000)</f>
        <v>-0.14659304823808578</v>
      </c>
      <c r="L110" s="96" t="s">
        <v>186</v>
      </c>
      <c r="M110" s="95">
        <f ca="1">IF(B110=TODAY(),0,-$M$6*(Sheet1!CI112-Sheet1!CI111)*7.48/1000000)</f>
        <v>0.59371977812489263</v>
      </c>
      <c r="N110" s="95">
        <f ca="1">IF(B110=TODAY(),0,-$N$6*(Sheet1!CJ112-Sheet1!CJ111)*7.48/1000000)</f>
        <v>-0.49641876315699163</v>
      </c>
      <c r="O110" s="95">
        <f t="shared" ca="1" si="14"/>
        <v>-0.76720199409979473</v>
      </c>
      <c r="P110" s="95">
        <f ca="1">O110+Calculation!ES110</f>
        <v>2.697679911798244</v>
      </c>
      <c r="Q110" s="90" t="str">
        <f>IF(Sheet1!BQ112&gt;25.75,"spill elevation","-")</f>
        <v>-</v>
      </c>
      <c r="R110" s="90" t="str">
        <f>IF(Sheet1!BQ112&gt;25.75,"spill elevation","-")</f>
        <v>-</v>
      </c>
      <c r="S110" s="90" t="str">
        <f>IF(Sheet1!BR112&gt;25.75,"spill elevation","-")</f>
        <v>-</v>
      </c>
      <c r="T110" s="94">
        <f>IF(Sheet1!DU112=1,Sheet1!AA112-(SUM(AT110:BA110)+BE110),Sheet1!AA112-SUM(AT110:BA110))</f>
        <v>18.309376</v>
      </c>
      <c r="U110" s="94">
        <f>Sheet1!BV112</f>
        <v>24.8</v>
      </c>
      <c r="V110" s="94">
        <f t="shared" si="15"/>
        <v>-6.4906240000000004</v>
      </c>
      <c r="W110" s="94">
        <f>0</f>
        <v>0</v>
      </c>
      <c r="X110" s="90">
        <f>0</f>
        <v>0</v>
      </c>
      <c r="Y110" s="95">
        <f ca="1">Calculation!EJ111+Calculation!ES110+'Calculations II'!O110-'Calculations II'!W110</f>
        <v>55.57351991179825</v>
      </c>
      <c r="Z110" s="95">
        <f ca="1">Y110-Sheet1!CT113</f>
        <v>39.56751991179825</v>
      </c>
      <c r="AA110" s="95">
        <f ca="1">Y110+Calculation!DJ111+Calculation!AS111</f>
        <v>65.586409151057211</v>
      </c>
      <c r="AC110" s="95">
        <f>Sheet1!AA112+Sheet1!AB112+BC110</f>
        <v>52.374431999999999</v>
      </c>
      <c r="AD110" s="95">
        <f>Sheet1!AA112+Sheet1!BN112+'Calculations II'!BC110-Calculation!AS110-Calculation!DJ110</f>
        <v>32.274455520188162</v>
      </c>
      <c r="AE110" s="95">
        <f>Sheet1!AA112+Sheet1!AB112+'Calculations II'!BC110-Calculation!AS110-Calculation!DJ110</f>
        <v>42.294455520188158</v>
      </c>
      <c r="AF110" s="95">
        <f ca="1">Sheet1!AA112+Sheet1!BN112+P110+'Calculations II'!BC110+Calculation!AS110+Calculation!DJ110</f>
        <v>55.13208839161009</v>
      </c>
      <c r="AG110" s="95">
        <f ca="1">IF(B110=TODAY(),0,Sheet1!AA112+Sheet1!BN112+'Calculations II'!BC110+'Calculations II'!P110-Sheet1!CT112-BP110)</f>
        <v>28.426111911798248</v>
      </c>
      <c r="AH110" s="95">
        <f ca="1">IF(B110=TODAY(),0,Sheet1!AA112+Sheet1!BN112+'Calculations II'!BC110+'Calculations II'!P110-BP110)</f>
        <v>45.052111911798249</v>
      </c>
      <c r="AI110" s="95">
        <f ca="1">IF(B110=TODAY(),0,BC110+Sheet1!AA112+Calculation!ES110+O110+W110+Sheet1!BN112+Calculation!AS110+Calculation!DJ110-BP110)</f>
        <v>55.132088391610083</v>
      </c>
      <c r="AJ110" s="95"/>
      <c r="AM110" s="91">
        <f t="shared" si="16"/>
        <v>41738</v>
      </c>
      <c r="AN110" s="95">
        <f>Sheet1!BU112</f>
        <v>20.3</v>
      </c>
      <c r="AO110" s="95">
        <f>Sheet1!AA112</f>
        <v>20.69</v>
      </c>
      <c r="AP110" s="95">
        <f t="shared" si="11"/>
        <v>-3.4625000000000048</v>
      </c>
      <c r="AQ110" s="1055">
        <f>((Sheet1!BV112-(Sheet1!BU112-AP110))/(Sheet1!BU112-AP110))</f>
        <v>4.3661230931088653E-2</v>
      </c>
      <c r="AR110" s="95">
        <f t="shared" si="12"/>
        <v>24.152500000000007</v>
      </c>
      <c r="AS110" s="95">
        <f t="shared" si="13"/>
        <v>23.762500000000006</v>
      </c>
      <c r="AT110" s="90">
        <f>Sheet1!BB112</f>
        <v>1.6</v>
      </c>
      <c r="AU110" s="90">
        <f>Sheet1!AS112*GPMtoMGD</f>
        <v>1.4832000000000001E-2</v>
      </c>
      <c r="AV110" s="95">
        <f>Sheet1!AT112</f>
        <v>0</v>
      </c>
      <c r="AW110" s="90">
        <f>Sheet1!AV112*GPMtoMGD</f>
        <v>0.33048</v>
      </c>
      <c r="AX110" s="90">
        <f>Sheet1!AW112*GPMtoMGD</f>
        <v>0.43531200000000003</v>
      </c>
      <c r="AY110" s="90">
        <f>Sheet1!AX112*GPMtoMGD</f>
        <v>0</v>
      </c>
      <c r="AZ110" s="90">
        <f>Sheet1!AY112*GPMtoMGD</f>
        <v>0</v>
      </c>
      <c r="BA110" s="90">
        <f>Sheet1!AZ112*GPMtoMGD</f>
        <v>0</v>
      </c>
      <c r="BB110" s="90">
        <f>Sheet1!BP112*GPMtoMGD</f>
        <v>0</v>
      </c>
      <c r="BC110" s="90">
        <f>Sheet1!CS112*GPMtoMGD</f>
        <v>6.2644320000000002</v>
      </c>
      <c r="BD110" s="90">
        <f>Sheet1!BO112*GPMtoMGD</f>
        <v>1.6087680000000002</v>
      </c>
      <c r="BE110" s="90">
        <f>Sheet1!BW112*GPMtoMGD</f>
        <v>0.97171200000000002</v>
      </c>
      <c r="BF110" s="90">
        <f>Sheet1!CN112*GPMtoMGD</f>
        <v>1.1808000000000001</v>
      </c>
      <c r="BG110" s="90">
        <f>Sheet1!CO112*GPMtoMGD</f>
        <v>0.48254400000000008</v>
      </c>
      <c r="BH110" s="90">
        <f>Sheet1!CP112*GPMtoMGD</f>
        <v>0.63057600000000003</v>
      </c>
      <c r="BI110" s="90">
        <f t="shared" si="17"/>
        <v>1.6087680000000002</v>
      </c>
      <c r="BK110" s="95">
        <f>SUM(AT110:BA110,BE110,Sheet1!BV112,'Calculations II'!BC110,Calculation!AQ110)</f>
        <v>49.762436365346929</v>
      </c>
      <c r="BM110" s="373">
        <f>0</f>
        <v>0</v>
      </c>
      <c r="BN110" s="373">
        <f>0</f>
        <v>0</v>
      </c>
      <c r="BP110" s="95">
        <f>SUM(BM110:BN110,W110,Sheet1!DX112)</f>
        <v>0</v>
      </c>
    </row>
    <row r="111" spans="1:68" s="90" customFormat="1">
      <c r="A111" s="651" t="s">
        <v>7</v>
      </c>
      <c r="B111" s="92">
        <v>41739</v>
      </c>
      <c r="C111" s="93">
        <v>0</v>
      </c>
      <c r="D111" s="95">
        <f>(Sheet1!BQ113-Sheet1!BQ112)*1.385</f>
        <v>-0.96949999999999903</v>
      </c>
      <c r="E111" s="30">
        <f>(Sheet1!BR113-Sheet1!BR112)*1.385</f>
        <v>-0.83100000000000196</v>
      </c>
      <c r="F111" s="30">
        <f ca="1">IF(B111=TODAY(),0,-(VLOOKUP(Sheet1!CD113,Lookup!$I$4:$J$216,2)-VLOOKUP(Sheet1!CD112,Lookup!$I$4:$J$216,2))/1000000)</f>
        <v>-0.31091081564339806</v>
      </c>
      <c r="G111" s="95">
        <f ca="1">IF(B111=TODAY(),0,-$G$6*(Sheet1!CF113-Sheet1!CF112)*7.48/1000000)</f>
        <v>0.27799450736791476</v>
      </c>
      <c r="H111" s="95">
        <f ca="1">IF(B111=TODAY(),0,-$H$6*(Sheet1!CE113-Sheet1!CE112)*7.48/1000000)</f>
        <v>1.5039432351265274E-2</v>
      </c>
      <c r="I111" s="95">
        <f ca="1">IF(B111=TODAY(),0,-$I$6*(Sheet1!CG113-Sheet1!CG112)*7.48/1000000)</f>
        <v>0.13028215199999998</v>
      </c>
      <c r="J111" s="96" t="s">
        <v>186</v>
      </c>
      <c r="K111" s="95">
        <f ca="1">IF(B111=TODAY(),0,-$K$6*(Sheet1!CH113-Sheet1!CH112)*7.48/1000000)</f>
        <v>0.21322625198267023</v>
      </c>
      <c r="L111" s="96" t="s">
        <v>186</v>
      </c>
      <c r="M111" s="95">
        <f ca="1">IF(B111=TODAY(),0,-$M$6*(Sheet1!CI113-Sheet1!CI112)*7.48/1000000)</f>
        <v>0</v>
      </c>
      <c r="N111" s="95">
        <f ca="1">IF(B111=TODAY(),0,-$N$6*(Sheet1!CJ113-Sheet1!CJ112)*7.48/1000000)</f>
        <v>-6.2052345394623676E-2</v>
      </c>
      <c r="O111" s="95">
        <f t="shared" ca="1" si="14"/>
        <v>0.26357918266382852</v>
      </c>
      <c r="P111" s="95">
        <f ca="1">O111+Calculation!ES111</f>
        <v>2.064528551636156</v>
      </c>
      <c r="Q111" s="90" t="str">
        <f>IF(Sheet1!BQ113&gt;25.75,"spill elevation","-")</f>
        <v>-</v>
      </c>
      <c r="R111" s="90" t="str">
        <f>IF(Sheet1!BQ113&gt;25.75,"spill elevation","-")</f>
        <v>-</v>
      </c>
      <c r="S111" s="90" t="str">
        <f>IF(Sheet1!BR113&gt;25.75,"spill elevation","-")</f>
        <v>-</v>
      </c>
      <c r="T111" s="94">
        <f>IF(Sheet1!DU113=1,Sheet1!AA113-(SUM(AT111:BA111)+BE111),Sheet1!AA113-SUM(AT111:BA111))</f>
        <v>17.874703999999998</v>
      </c>
      <c r="U111" s="94">
        <f>Sheet1!BV113</f>
        <v>23</v>
      </c>
      <c r="V111" s="94">
        <f t="shared" si="15"/>
        <v>-5.1252960000000023</v>
      </c>
      <c r="W111" s="94">
        <f>0</f>
        <v>0</v>
      </c>
      <c r="X111" s="90">
        <f>0</f>
        <v>0</v>
      </c>
      <c r="Y111" s="95">
        <f ca="1">Calculation!EJ112+Calculation!ES111+'Calculations II'!O111-'Calculations II'!W111</f>
        <v>54.937456551636153</v>
      </c>
      <c r="Z111" s="95">
        <f ca="1">Y111-Sheet1!CT114</f>
        <v>38.907456551636152</v>
      </c>
      <c r="AA111" s="95">
        <f ca="1">Y111+Calculation!DJ112+Calculation!AS112</f>
        <v>64.984359551246584</v>
      </c>
      <c r="AC111" s="95">
        <f>Sheet1!AA113+Sheet1!AB113+BC111</f>
        <v>52.875840000000004</v>
      </c>
      <c r="AD111" s="95">
        <f>Sheet1!AA113+Sheet1!BN113+'Calculations II'!BC111-Calculation!AS111-Calculation!DJ111</f>
        <v>32.762950760741035</v>
      </c>
      <c r="AE111" s="95">
        <f>Sheet1!AA113+Sheet1!AB113+'Calculations II'!BC111-Calculation!AS111-Calculation!DJ111</f>
        <v>42.862950760741036</v>
      </c>
      <c r="AF111" s="95">
        <f ca="1">Sheet1!AA113+Sheet1!BN113+P111+'Calculations II'!BC111+Calculation!AS111+Calculation!DJ111</f>
        <v>54.853257790895128</v>
      </c>
      <c r="AG111" s="95">
        <f ca="1">IF(B111=TODAY(),0,Sheet1!AA113+Sheet1!BN113+'Calculations II'!BC111+'Calculations II'!P111-Sheet1!CT113-BP111)</f>
        <v>28.83436855163616</v>
      </c>
      <c r="AH111" s="95">
        <f ca="1">IF(B111=TODAY(),0,Sheet1!AA113+Sheet1!BN113+'Calculations II'!BC111+'Calculations II'!P111-BP111)</f>
        <v>44.840368551636161</v>
      </c>
      <c r="AI111" s="95">
        <f ca="1">IF(B111=TODAY(),0,BC111+Sheet1!AA113+Calculation!ES111+O111+W111+Sheet1!BN113+Calculation!AS111+Calculation!DJ111-BP111)</f>
        <v>54.853257790895128</v>
      </c>
      <c r="AJ111" s="95"/>
      <c r="AM111" s="91">
        <f t="shared" si="16"/>
        <v>41739</v>
      </c>
      <c r="AN111" s="95">
        <f>Sheet1!BU113</f>
        <v>20</v>
      </c>
      <c r="AO111" s="95">
        <f>Sheet1!AA113</f>
        <v>21.06</v>
      </c>
      <c r="AP111" s="95">
        <f t="shared" si="11"/>
        <v>-1.8005000000000009</v>
      </c>
      <c r="AQ111" s="1055">
        <f>((Sheet1!BV113-(Sheet1!BU113-AP111))/(Sheet1!BU113-AP111))</f>
        <v>5.502167381482078E-2</v>
      </c>
      <c r="AR111" s="95">
        <f t="shared" si="12"/>
        <v>22.860499999999998</v>
      </c>
      <c r="AS111" s="95">
        <f t="shared" si="13"/>
        <v>21.8005</v>
      </c>
      <c r="AT111" s="90">
        <f>Sheet1!BB113</f>
        <v>1.6</v>
      </c>
      <c r="AU111" s="90">
        <f>Sheet1!AS113*GPMtoMGD</f>
        <v>3.0096000000000001E-2</v>
      </c>
      <c r="AV111" s="95">
        <f>Sheet1!AT113</f>
        <v>0</v>
      </c>
      <c r="AW111" s="90">
        <f>Sheet1!AV113*GPMtoMGD</f>
        <v>0.73540800000000006</v>
      </c>
      <c r="AX111" s="90">
        <f>Sheet1!AW113*GPMtoMGD</f>
        <v>0.81979199999999997</v>
      </c>
      <c r="AY111" s="90">
        <f>Sheet1!AX113*GPMtoMGD</f>
        <v>0</v>
      </c>
      <c r="AZ111" s="90">
        <f>Sheet1!AY113*GPMtoMGD</f>
        <v>0</v>
      </c>
      <c r="BA111" s="90">
        <f>Sheet1!AZ113*GPMtoMGD</f>
        <v>0</v>
      </c>
      <c r="BB111" s="90">
        <f>Sheet1!BP113*GPMtoMGD</f>
        <v>0</v>
      </c>
      <c r="BC111" s="90">
        <f>Sheet1!CS113*GPMtoMGD</f>
        <v>6.3158400000000006</v>
      </c>
      <c r="BD111" s="90">
        <f>Sheet1!BO113*GPMtoMGD</f>
        <v>1.3098240000000001</v>
      </c>
      <c r="BE111" s="90">
        <f>Sheet1!BW113*GPMtoMGD</f>
        <v>0.6808320000000001</v>
      </c>
      <c r="BF111" s="90">
        <f>Sheet1!CN113*GPMtoMGD</f>
        <v>1.1808000000000001</v>
      </c>
      <c r="BG111" s="90">
        <f>Sheet1!CO113*GPMtoMGD</f>
        <v>0.51134400000000002</v>
      </c>
      <c r="BH111" s="90">
        <f>Sheet1!CP113*GPMtoMGD</f>
        <v>0.67636800000000008</v>
      </c>
      <c r="BI111" s="90">
        <f t="shared" si="17"/>
        <v>1.3098240000000001</v>
      </c>
      <c r="BK111" s="95">
        <f>SUM(AT111:BA111,BE111,Sheet1!BV113,'Calculations II'!BC111,Calculation!AQ111)</f>
        <v>48.660880100906581</v>
      </c>
      <c r="BM111" s="373">
        <f>0</f>
        <v>0</v>
      </c>
      <c r="BN111" s="373">
        <f>0</f>
        <v>0</v>
      </c>
      <c r="BP111" s="95">
        <f>SUM(BM111:BN111,W111,Sheet1!DX113)</f>
        <v>0</v>
      </c>
    </row>
    <row r="112" spans="1:68" s="90" customFormat="1">
      <c r="A112" s="651" t="s">
        <v>8</v>
      </c>
      <c r="B112" s="92">
        <v>41740</v>
      </c>
      <c r="C112" s="93">
        <v>0</v>
      </c>
      <c r="D112" s="95">
        <f>(Sheet1!BQ114-Sheet1!BQ113)*1.385</f>
        <v>-1.9389999999999981</v>
      </c>
      <c r="E112" s="30">
        <f>(Sheet1!BR114-Sheet1!BR113)*1.385</f>
        <v>-1.9943999999999968</v>
      </c>
      <c r="F112" s="30">
        <f ca="1">IF(B112=TODAY(),0,-(VLOOKUP(Sheet1!CD114,Lookup!$I$4:$J$216,2)-VLOOKUP(Sheet1!CD113,Lookup!$I$4:$J$216,2))/1000000)</f>
        <v>-0.51818469273900425</v>
      </c>
      <c r="G112" s="95">
        <f ca="1">IF(B112=TODAY(),0,-$G$6*(Sheet1!CF114-Sheet1!CF113)*7.48/1000000)</f>
        <v>0.19856750526279648</v>
      </c>
      <c r="H112" s="95">
        <f ca="1">IF(B112=TODAY(),0,-$H$6*(Sheet1!CE114-Sheet1!CE113)*7.48/1000000)</f>
        <v>4.5118297053794748E-2</v>
      </c>
      <c r="I112" s="95">
        <f ca="1">IF(B112=TODAY(),0,-$I$6*(Sheet1!CG114-Sheet1!CG113)*7.48/1000000)</f>
        <v>-0.12489116640000002</v>
      </c>
      <c r="J112" s="96" t="s">
        <v>186</v>
      </c>
      <c r="K112" s="95">
        <f ca="1">IF(B112=TODAY(),0,-$K$6*(Sheet1!CH114-Sheet1!CH113)*7.48/1000000)</f>
        <v>-0.19989961123375327</v>
      </c>
      <c r="L112" s="96" t="s">
        <v>186</v>
      </c>
      <c r="M112" s="95">
        <f ca="1">IF(B112=TODAY(),0,-$M$6*(Sheet1!CI114-Sheet1!CI113)*7.48/1000000)</f>
        <v>-1.1334650309657039</v>
      </c>
      <c r="N112" s="95">
        <f ca="1">IF(B112=TODAY(),0,-$N$6*(Sheet1!CJ114-Sheet1!CJ113)*7.48/1000000)</f>
        <v>-0.21718320888118345</v>
      </c>
      <c r="O112" s="95">
        <f t="shared" ca="1" si="14"/>
        <v>-1.9499379079030537</v>
      </c>
      <c r="P112" s="95">
        <f ca="1">O112+Calculation!ES112</f>
        <v>1.927187255748368</v>
      </c>
      <c r="Q112" s="90" t="str">
        <f>IF(Sheet1!BQ114&gt;25.75,"spill elevation","-")</f>
        <v>-</v>
      </c>
      <c r="R112" s="90" t="str">
        <f>IF(Sheet1!BQ114&gt;25.75,"spill elevation","-")</f>
        <v>-</v>
      </c>
      <c r="S112" s="90" t="str">
        <f>IF(Sheet1!BR114&gt;25.75,"spill elevation","-")</f>
        <v>-</v>
      </c>
      <c r="T112" s="94">
        <f>IF(Sheet1!DU114=1,Sheet1!AA114-(SUM(AT112:BA112)+BE112),Sheet1!AA114-SUM(AT112:BA112))</f>
        <v>17.907295999999999</v>
      </c>
      <c r="U112" s="94">
        <f>Sheet1!BV114</f>
        <v>25</v>
      </c>
      <c r="V112" s="94">
        <f t="shared" si="15"/>
        <v>-7.0927040000000012</v>
      </c>
      <c r="W112" s="94">
        <f>0</f>
        <v>0</v>
      </c>
      <c r="X112" s="90">
        <f>0</f>
        <v>0</v>
      </c>
      <c r="Y112" s="95">
        <f ca="1">Calculation!EJ113+Calculation!ES112+'Calculations II'!O112-'Calculations II'!W112</f>
        <v>54.347635255748358</v>
      </c>
      <c r="Z112" s="95">
        <f ca="1">Y112-Sheet1!CT115</f>
        <v>38.317635255748357</v>
      </c>
      <c r="AA112" s="95">
        <f ca="1">Y112+Calculation!DJ113+Calculation!AS113</f>
        <v>64.180304578457523</v>
      </c>
      <c r="AC112" s="95">
        <f>Sheet1!AA114+Sheet1!AB114+BC112</f>
        <v>52.872928000000002</v>
      </c>
      <c r="AD112" s="95">
        <f>Sheet1!AA114+Sheet1!BN114+'Calculations II'!BC112-Calculation!AS112-Calculation!DJ112</f>
        <v>32.826025000389564</v>
      </c>
      <c r="AE112" s="95">
        <f>Sheet1!AA114+Sheet1!AB114+'Calculations II'!BC112-Calculation!AS112-Calculation!DJ112</f>
        <v>42.826025000389564</v>
      </c>
      <c r="AF112" s="95">
        <f ca="1">Sheet1!AA114+Sheet1!BN114+P112+'Calculations II'!BC112+Calculation!AS112+Calculation!DJ112</f>
        <v>54.847018255358805</v>
      </c>
      <c r="AG112" s="95">
        <f ca="1">IF(B112=TODAY(),0,Sheet1!AA114+Sheet1!BN114+'Calculations II'!BC112+'Calculations II'!P112-Sheet1!CT114-BP112)</f>
        <v>28.770115255748365</v>
      </c>
      <c r="AH112" s="95">
        <f ca="1">IF(B112=TODAY(),0,Sheet1!AA114+Sheet1!BN114+'Calculations II'!BC112+'Calculations II'!P112-BP112)</f>
        <v>44.800115255748366</v>
      </c>
      <c r="AI112" s="95">
        <f ca="1">IF(B112=TODAY(),0,BC112+Sheet1!AA114+Calculation!ES112+O112+W112+Sheet1!BN114+Calculation!AS112+Calculation!DJ112-BP112)</f>
        <v>54.847018255358805</v>
      </c>
      <c r="AJ112" s="95"/>
      <c r="AM112" s="91">
        <f t="shared" si="16"/>
        <v>41740</v>
      </c>
      <c r="AN112" s="95">
        <f>Sheet1!BU114</f>
        <v>19.899999999999999</v>
      </c>
      <c r="AO112" s="95">
        <f>Sheet1!AA114</f>
        <v>21</v>
      </c>
      <c r="AP112" s="95">
        <f t="shared" si="11"/>
        <v>-3.9333999999999949</v>
      </c>
      <c r="AQ112" s="1055">
        <f>((Sheet1!BV114-(Sheet1!BU114-AP112))/(Sheet1!BU114-AP112))</f>
        <v>4.8948114830448294E-2</v>
      </c>
      <c r="AR112" s="95">
        <f t="shared" si="12"/>
        <v>24.933399999999995</v>
      </c>
      <c r="AS112" s="95">
        <f t="shared" si="13"/>
        <v>23.833399999999994</v>
      </c>
      <c r="AT112" s="90">
        <f>Sheet1!BB114</f>
        <v>1.6</v>
      </c>
      <c r="AU112" s="90">
        <f>Sheet1!AS114*GPMtoMGD</f>
        <v>1.6272000000000002E-2</v>
      </c>
      <c r="AV112" s="95">
        <f>Sheet1!AT114</f>
        <v>0</v>
      </c>
      <c r="AW112" s="90">
        <f>Sheet1!AV114*GPMtoMGD</f>
        <v>0.60768</v>
      </c>
      <c r="AX112" s="90">
        <f>Sheet1!AW114*GPMtoMGD</f>
        <v>0.86875199999999997</v>
      </c>
      <c r="AY112" s="90">
        <f>Sheet1!AX114*GPMtoMGD</f>
        <v>0</v>
      </c>
      <c r="AZ112" s="90">
        <f>Sheet1!AY114*GPMtoMGD</f>
        <v>0</v>
      </c>
      <c r="BA112" s="90">
        <f>Sheet1!AZ114*GPMtoMGD</f>
        <v>0</v>
      </c>
      <c r="BB112" s="90">
        <f>Sheet1!BP114*GPMtoMGD</f>
        <v>0</v>
      </c>
      <c r="BC112" s="90">
        <f>Sheet1!CS114*GPMtoMGD</f>
        <v>6.2729280000000003</v>
      </c>
      <c r="BD112" s="90">
        <f>Sheet1!BO114*GPMtoMGD</f>
        <v>2.7496800000000001</v>
      </c>
      <c r="BE112" s="90">
        <f>Sheet1!BW114*GPMtoMGD</f>
        <v>0.97200000000000009</v>
      </c>
      <c r="BF112" s="90">
        <f>Sheet1!CN114*GPMtoMGD</f>
        <v>1.1808000000000001</v>
      </c>
      <c r="BG112" s="90">
        <f>Sheet1!CO114*GPMtoMGD</f>
        <v>0.49737599999999998</v>
      </c>
      <c r="BH112" s="90">
        <f>Sheet1!CP114*GPMtoMGD</f>
        <v>0.67464000000000002</v>
      </c>
      <c r="BI112" s="90">
        <f t="shared" si="17"/>
        <v>2.7496800000000001</v>
      </c>
      <c r="BK112" s="95">
        <f>SUM(AT112:BA112,BE112,Sheet1!BV114,'Calculations II'!BC112,Calculation!AQ112)</f>
        <v>50.895092070120768</v>
      </c>
      <c r="BM112" s="373">
        <f>0</f>
        <v>0</v>
      </c>
      <c r="BN112" s="373">
        <f>0</f>
        <v>0</v>
      </c>
      <c r="BP112" s="95">
        <f>SUM(BM112:BN112,W112,Sheet1!DX114)</f>
        <v>0</v>
      </c>
    </row>
    <row r="113" spans="1:68" s="90" customFormat="1">
      <c r="A113" s="651" t="s">
        <v>9</v>
      </c>
      <c r="B113" s="92">
        <v>41741</v>
      </c>
      <c r="C113" s="93">
        <v>0</v>
      </c>
      <c r="D113" s="95">
        <f>(Sheet1!BQ115-Sheet1!BQ114)*1.385</f>
        <v>-0.27699999999999902</v>
      </c>
      <c r="E113" s="30">
        <f>(Sheet1!BR115-Sheet1!BR114)*1.385</f>
        <v>-8.3100000000003144E-2</v>
      </c>
      <c r="F113" s="30">
        <f ca="1">IF(B113=TODAY(),0,-(VLOOKUP(Sheet1!CD115,Lookup!$I$4:$J$216,2)-VLOOKUP(Sheet1!CD114,Lookup!$I$4:$J$216,2))/1000000)</f>
        <v>0.725458569834603</v>
      </c>
      <c r="G113" s="95">
        <f ca="1">IF(B113=TODAY(),0,-$G$6*(Sheet1!CF115-Sheet1!CF114)*7.48/1000000)</f>
        <v>7.9427002105118313E-2</v>
      </c>
      <c r="H113" s="95">
        <f ca="1">IF(B113=TODAY(),0,-$H$6*(Sheet1!CE115-Sheet1!CE114)*7.48/1000000)</f>
        <v>0</v>
      </c>
      <c r="I113" s="95">
        <f ca="1">IF(B113=TODAY(),0,-$I$6*(Sheet1!CG115-Sheet1!CG114)*7.48/1000000)</f>
        <v>3.5939904000000032E-3</v>
      </c>
      <c r="J113" s="96" t="s">
        <v>186</v>
      </c>
      <c r="K113" s="95">
        <f ca="1">IF(B113=TODAY(),0,-$K$6*(Sheet1!CH115-Sheet1!CH114)*7.48/1000000)</f>
        <v>6.6633203744584186E-3</v>
      </c>
      <c r="L113" s="96" t="s">
        <v>186</v>
      </c>
      <c r="M113" s="95">
        <f ca="1">IF(B113=TODAY(),0,-$M$6*(Sheet1!CI115-Sheet1!CI114)*7.48/1000000)</f>
        <v>-0.80062212504720354</v>
      </c>
      <c r="N113" s="95">
        <f ca="1">IF(B113=TODAY(),0,-$N$6*(Sheet1!CJ115-Sheet1!CJ114)*7.48/1000000)</f>
        <v>0.50262399769645394</v>
      </c>
      <c r="O113" s="95">
        <f t="shared" ca="1" si="14"/>
        <v>0.51714475536343008</v>
      </c>
      <c r="P113" s="95">
        <f ca="1">O113+Calculation!ES113</f>
        <v>0.93240044743559802</v>
      </c>
      <c r="Q113" s="90" t="str">
        <f>IF(Sheet1!BQ115&gt;25.75,"spill elevation","-")</f>
        <v>-</v>
      </c>
      <c r="R113" s="90" t="str">
        <f>IF(Sheet1!BQ115&gt;25.75,"spill elevation","-")</f>
        <v>-</v>
      </c>
      <c r="S113" s="90" t="str">
        <f>IF(Sheet1!BR115&gt;25.75,"spill elevation","-")</f>
        <v>-</v>
      </c>
      <c r="T113" s="94">
        <f>IF(Sheet1!DU115=1,Sheet1!AA115-(SUM(AT113:BA113)+BE113),Sheet1!AA115-SUM(AT113:BA113))</f>
        <v>17.547808</v>
      </c>
      <c r="U113" s="94">
        <f>Sheet1!BV115</f>
        <v>21.5</v>
      </c>
      <c r="V113" s="94">
        <f t="shared" si="15"/>
        <v>-3.9521920000000001</v>
      </c>
      <c r="W113" s="94">
        <f>0</f>
        <v>0</v>
      </c>
      <c r="X113" s="90">
        <f>0</f>
        <v>0</v>
      </c>
      <c r="Y113" s="95">
        <f ca="1">Calculation!EJ114+Calculation!ES113+'Calculations II'!O113-'Calculations II'!W113</f>
        <v>54.706592447435597</v>
      </c>
      <c r="Z113" s="95">
        <f ca="1">Y113-Sheet1!CT116</f>
        <v>38.706592447435597</v>
      </c>
      <c r="AA113" s="95">
        <f ca="1">Y113+Calculation!DJ114+Calculation!AS114</f>
        <v>64.666262258756348</v>
      </c>
      <c r="AC113" s="95">
        <f>Sheet1!AA115+Sheet1!AB115+BC113</f>
        <v>52.420447999999993</v>
      </c>
      <c r="AD113" s="95">
        <f>Sheet1!AA115+Sheet1!BN115+'Calculations II'!BC113-Calculation!AS113-Calculation!DJ113</f>
        <v>32.687778677290837</v>
      </c>
      <c r="AE113" s="95">
        <f>Sheet1!AA115+Sheet1!AB115+'Calculations II'!BC113-Calculation!AS113-Calculation!DJ113</f>
        <v>42.587778677290828</v>
      </c>
      <c r="AF113" s="95">
        <f ca="1">Sheet1!AA115+Sheet1!BN115+P113+'Calculations II'!BC113+Calculation!AS113+Calculation!DJ113</f>
        <v>53.285517770144764</v>
      </c>
      <c r="AG113" s="95">
        <f ca="1">IF(B113=TODAY(),0,Sheet1!AA115+Sheet1!BN115+'Calculations II'!BC113+'Calculations II'!P113-Sheet1!CT115-BP113)</f>
        <v>27.422848447435598</v>
      </c>
      <c r="AH113" s="95">
        <f ca="1">IF(B113=TODAY(),0,Sheet1!AA115+Sheet1!BN115+'Calculations II'!BC113+'Calculations II'!P113-BP113)</f>
        <v>43.452848447435599</v>
      </c>
      <c r="AI113" s="95">
        <f ca="1">IF(B113=TODAY(),0,BC113+Sheet1!AA115+Calculation!ES113+O113+W113+Sheet1!BN115+Calculation!AS113+Calculation!DJ113-BP113)</f>
        <v>53.285517770144764</v>
      </c>
      <c r="AJ113" s="95"/>
      <c r="AM113" s="91">
        <f t="shared" si="16"/>
        <v>41741</v>
      </c>
      <c r="AN113" s="95">
        <f>Sheet1!BU115</f>
        <v>19.899999999999999</v>
      </c>
      <c r="AO113" s="95">
        <f>Sheet1!AA115</f>
        <v>20.9</v>
      </c>
      <c r="AP113" s="95">
        <f t="shared" si="11"/>
        <v>-0.3601000000000022</v>
      </c>
      <c r="AQ113" s="1055">
        <f>((Sheet1!BV115-(Sheet1!BU115-AP113))/(Sheet1!BU115-AP113))</f>
        <v>6.1199105631265321E-2</v>
      </c>
      <c r="AR113" s="95">
        <f t="shared" si="12"/>
        <v>21.260100000000001</v>
      </c>
      <c r="AS113" s="95">
        <f t="shared" si="13"/>
        <v>20.260100000000001</v>
      </c>
      <c r="AT113" s="90">
        <f>Sheet1!BB115</f>
        <v>1.6</v>
      </c>
      <c r="AU113" s="90">
        <f>Sheet1!AS115*GPMtoMGD</f>
        <v>5.7600000000000001E-4</v>
      </c>
      <c r="AV113" s="95">
        <f>Sheet1!AT115</f>
        <v>0</v>
      </c>
      <c r="AW113" s="90">
        <f>Sheet1!AV115*GPMtoMGD</f>
        <v>0.84283200000000003</v>
      </c>
      <c r="AX113" s="90">
        <f>Sheet1!AW115*GPMtoMGD</f>
        <v>0.90878400000000004</v>
      </c>
      <c r="AY113" s="90">
        <f>Sheet1!AX115*GPMtoMGD</f>
        <v>0</v>
      </c>
      <c r="AZ113" s="90">
        <f>Sheet1!AY115*GPMtoMGD</f>
        <v>0</v>
      </c>
      <c r="BA113" s="90">
        <f>Sheet1!AZ115*GPMtoMGD</f>
        <v>0</v>
      </c>
      <c r="BB113" s="90">
        <f>Sheet1!BP115*GPMtoMGD</f>
        <v>0</v>
      </c>
      <c r="BC113" s="90">
        <f>Sheet1!CS115*GPMtoMGD</f>
        <v>6.3204479999999998</v>
      </c>
      <c r="BD113" s="90">
        <f>Sheet1!BO115*GPMtoMGD</f>
        <v>2.5594560000000004</v>
      </c>
      <c r="BE113" s="90">
        <f>Sheet1!BW115*GPMtoMGD</f>
        <v>0.71078400000000008</v>
      </c>
      <c r="BF113" s="90">
        <f>Sheet1!CN115*GPMtoMGD</f>
        <v>1.1808000000000001</v>
      </c>
      <c r="BG113" s="90">
        <f>Sheet1!CO115*GPMtoMGD</f>
        <v>0.53639999999999999</v>
      </c>
      <c r="BH113" s="90">
        <f>Sheet1!CP115*GPMtoMGD</f>
        <v>0.65361599999999997</v>
      </c>
      <c r="BI113" s="90">
        <f t="shared" si="17"/>
        <v>2.5594560000000004</v>
      </c>
      <c r="BK113" s="95">
        <f>SUM(AT113:BA113,BE113,Sheet1!BV115,'Calculations II'!BC113,Calculation!AQ113)</f>
        <v>47.244380175298801</v>
      </c>
      <c r="BM113" s="373">
        <f>0</f>
        <v>0</v>
      </c>
      <c r="BN113" s="373">
        <f>0</f>
        <v>0</v>
      </c>
      <c r="BP113" s="95">
        <f>SUM(BM113:BN113,W113,Sheet1!DX115)</f>
        <v>0</v>
      </c>
    </row>
    <row r="114" spans="1:68" s="90" customFormat="1">
      <c r="A114" s="651" t="s">
        <v>3</v>
      </c>
      <c r="B114" s="92">
        <v>41742</v>
      </c>
      <c r="C114" s="93">
        <v>0</v>
      </c>
      <c r="D114" s="95">
        <f>(Sheet1!BQ116-Sheet1!BQ115)*1.385</f>
        <v>-6.9250000000000991E-2</v>
      </c>
      <c r="E114" s="30">
        <f>(Sheet1!BR116-Sheet1!BR115)*1.385</f>
        <v>-0.34625</v>
      </c>
      <c r="F114" s="30">
        <f ca="1">IF(B114=TODAY(),0,-(VLOOKUP(Sheet1!CD116,Lookup!$I$4:$J$216,2)-VLOOKUP(Sheet1!CD115,Lookup!$I$4:$J$216,2))/1000000)</f>
        <v>0.72545856983460111</v>
      </c>
      <c r="G114" s="95">
        <f ca="1">IF(B114=TODAY(),0,-$G$6*(Sheet1!CF116-Sheet1!CF115)*7.48/1000000)</f>
        <v>0.19856750526279648</v>
      </c>
      <c r="H114" s="95">
        <f ca="1">IF(B114=TODAY(),0,-$H$6*(Sheet1!CE116-Sheet1!CE115)*7.48/1000000)</f>
        <v>0</v>
      </c>
      <c r="I114" s="95">
        <f ca="1">IF(B114=TODAY(),0,-$I$6*(Sheet1!CG116-Sheet1!CG115)*7.48/1000000)</f>
        <v>0.10332722400000005</v>
      </c>
      <c r="J114" s="96" t="s">
        <v>186</v>
      </c>
      <c r="K114" s="95">
        <f ca="1">IF(B114=TODAY(),0,-$K$6*(Sheet1!CH116-Sheet1!CH115)*7.48/1000000)</f>
        <v>0.15991968898700265</v>
      </c>
      <c r="L114" s="96" t="s">
        <v>186</v>
      </c>
      <c r="M114" s="95">
        <f ca="1">IF(B114=TODAY(),0,-$M$6*(Sheet1!CI116-Sheet1!CI115)*7.48/1000000)</f>
        <v>-0.51275799019877077</v>
      </c>
      <c r="N114" s="95">
        <f ca="1">IF(B114=TODAY(),0,-$N$6*(Sheet1!CJ116-Sheet1!CJ115)*7.48/1000000)</f>
        <v>0.45918735592021698</v>
      </c>
      <c r="O114" s="95">
        <f t="shared" ca="1" si="14"/>
        <v>1.1337023538058466</v>
      </c>
      <c r="P114" s="95">
        <f ca="1">O114+Calculation!ES114</f>
        <v>1.4105245330076805</v>
      </c>
      <c r="Q114" s="90" t="str">
        <f>IF(Sheet1!BQ116&gt;25.75,"spill elevation","-")</f>
        <v>-</v>
      </c>
      <c r="R114" s="90" t="str">
        <f>IF(Sheet1!BQ116&gt;25.75,"spill elevation","-")</f>
        <v>-</v>
      </c>
      <c r="S114" s="90" t="str">
        <f>IF(Sheet1!BR116&gt;25.75,"spill elevation","-")</f>
        <v>-</v>
      </c>
      <c r="T114" s="94">
        <f>IF(Sheet1!DU116=1,Sheet1!AA116-(SUM(AT114:BA114)+BE114),Sheet1!AA116-SUM(AT114:BA114))</f>
        <v>17.801632000000001</v>
      </c>
      <c r="U114" s="94">
        <f>Sheet1!BV116</f>
        <v>24.9</v>
      </c>
      <c r="V114" s="94">
        <f t="shared" si="15"/>
        <v>-7.0983679999999971</v>
      </c>
      <c r="W114" s="94">
        <f>0</f>
        <v>0</v>
      </c>
      <c r="X114" s="90">
        <f>0</f>
        <v>0</v>
      </c>
      <c r="Y114" s="95">
        <f ca="1">Calculation!EJ115+Calculation!ES114+'Calculations II'!O114-'Calculations II'!W114</f>
        <v>57.479260533007682</v>
      </c>
      <c r="Z114" s="95">
        <f ca="1">Y114-Sheet1!CT117</f>
        <v>40.429260533007678</v>
      </c>
      <c r="AA114" s="95">
        <f ca="1">Y114+Calculation!DJ115+Calculation!AS115</f>
        <v>67.330447241868441</v>
      </c>
      <c r="AC114" s="95">
        <f>Sheet1!AA116+Sheet1!AB116+BC114</f>
        <v>53.774191999999999</v>
      </c>
      <c r="AD114" s="95">
        <f>Sheet1!AA116+Sheet1!BN116+'Calculations II'!BC114-Calculation!AS114-Calculation!DJ114</f>
        <v>33.814522188679241</v>
      </c>
      <c r="AE114" s="95">
        <f>Sheet1!AA116+Sheet1!AB116+'Calculations II'!BC114-Calculation!AS114-Calculation!DJ114</f>
        <v>43.814522188679241</v>
      </c>
      <c r="AF114" s="95">
        <f ca="1">Sheet1!AA116+Sheet1!BN116+P114+'Calculations II'!BC114+Calculation!AS114+Calculation!DJ114</f>
        <v>55.144386344328439</v>
      </c>
      <c r="AG114" s="95">
        <f ca="1">IF(B114=TODAY(),0,Sheet1!AA116+Sheet1!BN116+'Calculations II'!BC114+'Calculations II'!P114-Sheet1!CT116-BP114)</f>
        <v>29.184716533007681</v>
      </c>
      <c r="AH114" s="95">
        <f ca="1">IF(B114=TODAY(),0,Sheet1!AA116+Sheet1!BN116+'Calculations II'!BC114+'Calculations II'!P114-BP114)</f>
        <v>45.184716533007681</v>
      </c>
      <c r="AI114" s="95">
        <f ca="1">IF(B114=TODAY(),0,BC114+Sheet1!AA116+Calculation!ES114+O114+W114+Sheet1!BN116+Calculation!AS114+Calculation!DJ114-BP114)</f>
        <v>55.144386344328446</v>
      </c>
      <c r="AJ114" s="95"/>
      <c r="AM114" s="91">
        <f t="shared" si="16"/>
        <v>41742</v>
      </c>
      <c r="AN114" s="95">
        <f>Sheet1!BU116</f>
        <v>19.7</v>
      </c>
      <c r="AO114" s="95">
        <f>Sheet1!AA116</f>
        <v>20.78</v>
      </c>
      <c r="AP114" s="95">
        <f t="shared" si="11"/>
        <v>-0.41550000000000098</v>
      </c>
      <c r="AQ114" s="1055">
        <f>((Sheet1!BV116-(Sheet1!BU116-AP114))/(Sheet1!BU116-AP114))</f>
        <v>0.23785140811811775</v>
      </c>
      <c r="AR114" s="95">
        <f t="shared" si="12"/>
        <v>21.195500000000003</v>
      </c>
      <c r="AS114" s="95">
        <f t="shared" si="13"/>
        <v>20.115500000000001</v>
      </c>
      <c r="AT114" s="90">
        <f>Sheet1!BB116</f>
        <v>1.6</v>
      </c>
      <c r="AU114" s="90">
        <f>Sheet1!AS116*GPMtoMGD</f>
        <v>1.6416E-2</v>
      </c>
      <c r="AV114" s="95">
        <f>Sheet1!AT116</f>
        <v>0</v>
      </c>
      <c r="AW114" s="90">
        <f>Sheet1!AV116*GPMtoMGD</f>
        <v>0.53726400000000007</v>
      </c>
      <c r="AX114" s="90">
        <f>Sheet1!AW116*GPMtoMGD</f>
        <v>0.82468800000000009</v>
      </c>
      <c r="AY114" s="90">
        <f>Sheet1!AX116*GPMtoMGD</f>
        <v>0</v>
      </c>
      <c r="AZ114" s="90">
        <f>Sheet1!AY116*GPMtoMGD</f>
        <v>0</v>
      </c>
      <c r="BA114" s="90">
        <f>Sheet1!AZ116*GPMtoMGD</f>
        <v>0</v>
      </c>
      <c r="BB114" s="90">
        <f>Sheet1!BP116*GPMtoMGD</f>
        <v>0</v>
      </c>
      <c r="BC114" s="90">
        <f>Sheet1!CS116*GPMtoMGD</f>
        <v>7.4941920000000009</v>
      </c>
      <c r="BD114" s="90">
        <f>Sheet1!BO116*GPMtoMGD</f>
        <v>2.5656480000000004</v>
      </c>
      <c r="BE114" s="90">
        <f>Sheet1!BW116*GPMtoMGD</f>
        <v>1.043712</v>
      </c>
      <c r="BF114" s="90">
        <f>Sheet1!CN116*GPMtoMGD</f>
        <v>1.1808000000000001</v>
      </c>
      <c r="BG114" s="90">
        <f>Sheet1!CO116*GPMtoMGD</f>
        <v>0.60163200000000006</v>
      </c>
      <c r="BH114" s="90">
        <f>Sheet1!CP116*GPMtoMGD</f>
        <v>0.67392000000000007</v>
      </c>
      <c r="BI114" s="90">
        <f t="shared" si="17"/>
        <v>2.5656480000000004</v>
      </c>
      <c r="BK114" s="95">
        <f>SUM(AT114:BA114,BE114,Sheet1!BV116,'Calculations II'!BC114,Calculation!AQ114)</f>
        <v>51.952828603773582</v>
      </c>
      <c r="BM114" s="373">
        <f>0</f>
        <v>0</v>
      </c>
      <c r="BN114" s="373">
        <f>0</f>
        <v>0</v>
      </c>
      <c r="BP114" s="95">
        <f>SUM(BM114:BN114,W114,Sheet1!DX116)</f>
        <v>0</v>
      </c>
    </row>
    <row r="115" spans="1:68" s="90" customFormat="1">
      <c r="A115" s="651" t="s">
        <v>4</v>
      </c>
      <c r="B115" s="92">
        <v>41743</v>
      </c>
      <c r="C115" s="93">
        <v>0</v>
      </c>
      <c r="D115" s="95">
        <f>(Sheet1!BQ117-Sheet1!BQ116)*1.385</f>
        <v>-1.8974500000000014</v>
      </c>
      <c r="E115" s="30">
        <f>(Sheet1!BR117-Sheet1!BR116)*1.385</f>
        <v>-1.8143499999999981</v>
      </c>
      <c r="F115" s="30">
        <f ca="1">IF(B115=TODAY(),0,-(VLOOKUP(Sheet1!CD117,Lookup!$I$4:$J$216,2)-VLOOKUP(Sheet1!CD116,Lookup!$I$4:$J$216,2))/1000000)</f>
        <v>0.20727387709559872</v>
      </c>
      <c r="G115" s="95">
        <f ca="1">IF(B115=TODAY(),0,-$G$6*(Sheet1!CF117-Sheet1!CF116)*7.48/1000000)</f>
        <v>-0.79427002105118594</v>
      </c>
      <c r="H115" s="95">
        <f ca="1">IF(B115=TODAY(),0,-$H$6*(Sheet1!CE117-Sheet1!CE116)*7.48/1000000)</f>
        <v>1.5039432351265274E-2</v>
      </c>
      <c r="I115" s="95">
        <f ca="1">IF(B115=TODAY(),0,-$I$6*(Sheet1!CG117-Sheet1!CG116)*7.48/1000000)</f>
        <v>-7.0532061600000015E-2</v>
      </c>
      <c r="J115" s="96" t="s">
        <v>186</v>
      </c>
      <c r="K115" s="95">
        <f ca="1">IF(B115=TODAY(),0,-$K$6*(Sheet1!CH117-Sheet1!CH116)*7.48/1000000)</f>
        <v>-0.11127745025345599</v>
      </c>
      <c r="L115" s="96" t="s">
        <v>186</v>
      </c>
      <c r="M115" s="95">
        <f ca="1">IF(B115=TODAY(),0,-$M$6*(Sheet1!CI117-Sheet1!CI116)*7.48/1000000)</f>
        <v>-0.5649333646400494</v>
      </c>
      <c r="N115" s="95">
        <f ca="1">IF(B115=TODAY(),0,-$N$6*(Sheet1!CJ117-Sheet1!CJ116)*7.48/1000000)</f>
        <v>0.15513086348655974</v>
      </c>
      <c r="O115" s="95">
        <f t="shared" ca="1" si="14"/>
        <v>-1.1635687246112676</v>
      </c>
      <c r="P115" s="95">
        <f ca="1">O115+Calculation!ES115</f>
        <v>2.5722783458610623</v>
      </c>
      <c r="Q115" s="90" t="str">
        <f>IF(Sheet1!BQ117&gt;25.75,"spill elevation","-")</f>
        <v>-</v>
      </c>
      <c r="R115" s="90" t="str">
        <f>IF(Sheet1!BQ117&gt;25.75,"spill elevation","-")</f>
        <v>-</v>
      </c>
      <c r="S115" s="90" t="str">
        <f>IF(Sheet1!BR117&gt;25.75,"spill elevation","-")</f>
        <v>-</v>
      </c>
      <c r="T115" s="94">
        <f>IF(Sheet1!DU117=1,Sheet1!AA117-(SUM(AT115:BA115)+BE115),Sheet1!AA117-SUM(AT115:BA115))</f>
        <v>18.240159999999999</v>
      </c>
      <c r="U115" s="94">
        <f>Sheet1!BV117</f>
        <v>21.1</v>
      </c>
      <c r="V115" s="94">
        <f t="shared" si="15"/>
        <v>-2.8598400000000019</v>
      </c>
      <c r="W115" s="94">
        <f>0</f>
        <v>0</v>
      </c>
      <c r="X115" s="90">
        <f>0</f>
        <v>0</v>
      </c>
      <c r="Y115" s="95">
        <f ca="1">Calculation!EJ116+Calculation!ES115+'Calculations II'!O115-'Calculations II'!W115</f>
        <v>61.442918345861067</v>
      </c>
      <c r="Z115" s="95">
        <f ca="1">Y115-Sheet1!CT118</f>
        <v>44.392918345861062</v>
      </c>
      <c r="AA115" s="95">
        <f ca="1">Y115+Calculation!DJ116+Calculation!AS116</f>
        <v>71.483059190931485</v>
      </c>
      <c r="AC115" s="95">
        <f>Sheet1!AA117+Sheet1!AB117+BC115</f>
        <v>56.068736000000001</v>
      </c>
      <c r="AD115" s="95">
        <f>Sheet1!AA117+Sheet1!BN117+'Calculations II'!BC115-Calculation!AS115-Calculation!DJ115</f>
        <v>36.217549291139242</v>
      </c>
      <c r="AE115" s="95">
        <f>Sheet1!AA117+Sheet1!AB117+'Calculations II'!BC115-Calculation!AS115-Calculation!DJ115</f>
        <v>46.217549291139242</v>
      </c>
      <c r="AF115" s="95">
        <f ca="1">Sheet1!AA117+Sheet1!BN117+P115+'Calculations II'!BC115+Calculation!AS115+Calculation!DJ115</f>
        <v>58.492201054721825</v>
      </c>
      <c r="AG115" s="95">
        <f ca="1">IF(B115=TODAY(),0,Sheet1!AA117+Sheet1!BN117+'Calculations II'!BC115+'Calculations II'!P115-Sheet1!CT117-BP115)</f>
        <v>31.591014345861065</v>
      </c>
      <c r="AH115" s="95">
        <f ca="1">IF(B115=TODAY(),0,Sheet1!AA117+Sheet1!BN117+'Calculations II'!BC115+'Calculations II'!P115-BP115)</f>
        <v>48.641014345861066</v>
      </c>
      <c r="AI115" s="95">
        <f ca="1">IF(B115=TODAY(),0,BC115+Sheet1!AA117+Calculation!ES115+O115+W115+Sheet1!BN117+Calculation!AS115+Calculation!DJ115-BP115)</f>
        <v>58.492201054721825</v>
      </c>
      <c r="AJ115" s="95"/>
      <c r="AM115" s="91">
        <f t="shared" si="16"/>
        <v>41743</v>
      </c>
      <c r="AN115" s="95">
        <f>Sheet1!BU117</f>
        <v>20.100000000000001</v>
      </c>
      <c r="AO115" s="95">
        <f>Sheet1!AA117</f>
        <v>20.72</v>
      </c>
      <c r="AP115" s="95">
        <f t="shared" si="11"/>
        <v>-3.7117999999999993</v>
      </c>
      <c r="AQ115" s="1055">
        <f>((Sheet1!BV117-(Sheet1!BU117-AP115))/(Sheet1!BU117-AP115))</f>
        <v>-0.11388471262147339</v>
      </c>
      <c r="AR115" s="95">
        <f t="shared" si="12"/>
        <v>24.431799999999999</v>
      </c>
      <c r="AS115" s="95">
        <f t="shared" si="13"/>
        <v>23.811800000000002</v>
      </c>
      <c r="AT115" s="90">
        <f>Sheet1!BB117</f>
        <v>1.6</v>
      </c>
      <c r="AU115" s="90">
        <f>Sheet1!AS117*GPMtoMGD</f>
        <v>2.0303999999999999E-2</v>
      </c>
      <c r="AV115" s="95">
        <f>Sheet1!AT117</f>
        <v>0</v>
      </c>
      <c r="AW115" s="90">
        <f>Sheet1!AV117*GPMtoMGD</f>
        <v>0.33235200000000004</v>
      </c>
      <c r="AX115" s="90">
        <f>Sheet1!AW117*GPMtoMGD</f>
        <v>0.5271840000000001</v>
      </c>
      <c r="AY115" s="90">
        <f>Sheet1!AX117*GPMtoMGD</f>
        <v>0</v>
      </c>
      <c r="AZ115" s="90">
        <f>Sheet1!AY117*GPMtoMGD</f>
        <v>0</v>
      </c>
      <c r="BA115" s="90">
        <f>Sheet1!AZ117*GPMtoMGD</f>
        <v>0</v>
      </c>
      <c r="BB115" s="90">
        <f>Sheet1!BP117*GPMtoMGD</f>
        <v>8.6400000000000008E-4</v>
      </c>
      <c r="BC115" s="90">
        <f>Sheet1!CS117*GPMtoMGD</f>
        <v>9.8487360000000006</v>
      </c>
      <c r="BD115" s="90">
        <f>Sheet1!BO117*GPMtoMGD</f>
        <v>2.5656480000000004</v>
      </c>
      <c r="BE115" s="90">
        <f>Sheet1!BW117*GPMtoMGD</f>
        <v>1.0584</v>
      </c>
      <c r="BF115" s="90">
        <f>Sheet1!CN117*GPMtoMGD</f>
        <v>1.1808000000000001</v>
      </c>
      <c r="BG115" s="90">
        <f>Sheet1!CO117*GPMtoMGD</f>
        <v>0.53639999999999999</v>
      </c>
      <c r="BH115" s="90">
        <f>Sheet1!CP117*GPMtoMGD</f>
        <v>0.69969599999999998</v>
      </c>
      <c r="BI115" s="90">
        <f t="shared" si="17"/>
        <v>2.5665120000000003</v>
      </c>
      <c r="BK115" s="95">
        <f>SUM(AT115:BA115,BE115,Sheet1!BV117,'Calculations II'!BC115,Calculation!AQ115)</f>
        <v>50.121865240506338</v>
      </c>
      <c r="BM115" s="373">
        <f>0</f>
        <v>0</v>
      </c>
      <c r="BN115" s="373">
        <f>0</f>
        <v>0</v>
      </c>
      <c r="BP115" s="95">
        <f>SUM(BM115:BN115,W115,Sheet1!DX117)</f>
        <v>0</v>
      </c>
    </row>
    <row r="116" spans="1:68" s="90" customFormat="1">
      <c r="A116" s="651" t="s">
        <v>5</v>
      </c>
      <c r="B116" s="92">
        <v>41744</v>
      </c>
      <c r="C116" s="93">
        <v>0</v>
      </c>
      <c r="D116" s="95">
        <f>(Sheet1!BQ118-Sheet1!BQ117)*1.385</f>
        <v>0.11080000000000256</v>
      </c>
      <c r="E116" s="30">
        <f>(Sheet1!BR118-Sheet1!BR117)*1.385</f>
        <v>0.11079999999999764</v>
      </c>
      <c r="F116" s="30">
        <f ca="1">IF(B116=TODAY(),0,-(VLOOKUP(Sheet1!CD118,Lookup!$I$4:$J$216,2)-VLOOKUP(Sheet1!CD117,Lookup!$I$4:$J$216,2))/1000000)</f>
        <v>-0.62182163128680179</v>
      </c>
      <c r="G116" s="95">
        <f ca="1">IF(B116=TODAY(),0,-$G$6*(Sheet1!CF118-Sheet1!CF117)*7.48/1000000)</f>
        <v>0.11914050315767817</v>
      </c>
      <c r="H116" s="95">
        <f ca="1">IF(B116=TODAY(),0,-$H$6*(Sheet1!CE118-Sheet1!CE117)*7.48/1000000)</f>
        <v>1.5039432351265274E-2</v>
      </c>
      <c r="I116" s="95">
        <f ca="1">IF(B116=TODAY(),0,-$I$6*(Sheet1!CG118-Sheet1!CG117)*7.48/1000000)</f>
        <v>5.2562109599999997E-2</v>
      </c>
      <c r="J116" s="96" t="s">
        <v>186</v>
      </c>
      <c r="K116" s="95">
        <f ca="1">IF(B116=TODAY(),0,-$K$6*(Sheet1!CH118-Sheet1!CH117)*7.48/1000000)</f>
        <v>4.4644246508871555E-2</v>
      </c>
      <c r="L116" s="96" t="s">
        <v>186</v>
      </c>
      <c r="M116" s="95">
        <f ca="1">IF(B116=TODAY(),0,-$M$6*(Sheet1!CI118-Sheet1!CI117)*7.48/1000000)</f>
        <v>0.29506073821964374</v>
      </c>
      <c r="N116" s="95">
        <f ca="1">IF(B116=TODAY(),0,-$N$6*(Sheet1!CJ118-Sheet1!CJ117)*7.48/1000000)</f>
        <v>-0.55226587401215299</v>
      </c>
      <c r="O116" s="95">
        <f t="shared" ca="1" si="14"/>
        <v>-0.64764047546149595</v>
      </c>
      <c r="P116" s="95">
        <f ca="1">O116+Calculation!ES116</f>
        <v>-0.92428970433649971</v>
      </c>
      <c r="Q116" s="90" t="str">
        <f>IF(Sheet1!BQ118&gt;25.75,"spill elevation","-")</f>
        <v>-</v>
      </c>
      <c r="R116" s="90" t="str">
        <f>IF(Sheet1!BQ118&gt;25.75,"spill elevation","-")</f>
        <v>-</v>
      </c>
      <c r="S116" s="90" t="str">
        <f>IF(Sheet1!BR118&gt;25.75,"spill elevation","-")</f>
        <v>-</v>
      </c>
      <c r="T116" s="94">
        <f>IF(Sheet1!DU118=1,Sheet1!AA118-(SUM(AT116:BA116)+BE116),Sheet1!AA118-SUM(AT116:BA116))</f>
        <v>17.854768</v>
      </c>
      <c r="U116" s="94">
        <f>Sheet1!BV118</f>
        <v>18.5</v>
      </c>
      <c r="V116" s="94">
        <f t="shared" si="15"/>
        <v>-0.64523200000000003</v>
      </c>
      <c r="W116" s="94">
        <f>0</f>
        <v>0</v>
      </c>
      <c r="X116" s="90">
        <f>0</f>
        <v>0</v>
      </c>
      <c r="Y116" s="95">
        <f ca="1">Calculation!EJ117+Calculation!ES116+'Calculations II'!O116-'Calculations II'!W116</f>
        <v>59.182398295663504</v>
      </c>
      <c r="Z116" s="95">
        <f ca="1">Y116-Sheet1!CT119</f>
        <v>42.432398295663504</v>
      </c>
      <c r="AA116" s="95">
        <f ca="1">Y116+Calculation!DJ117+Calculation!AS117</f>
        <v>69.255689733212591</v>
      </c>
      <c r="AC116" s="95">
        <f>Sheet1!AA118+Sheet1!AB118+BC116</f>
        <v>58.870640000000002</v>
      </c>
      <c r="AD116" s="95">
        <f>Sheet1!AA118+Sheet1!BN118+'Calculations II'!BC116-Calculation!AS116-Calculation!DJ116</f>
        <v>38.830499154929576</v>
      </c>
      <c r="AE116" s="95">
        <f>Sheet1!AA118+Sheet1!AB118+'Calculations II'!BC116-Calculation!AS116-Calculation!DJ116</f>
        <v>48.830499154929576</v>
      </c>
      <c r="AF116" s="95">
        <f ca="1">Sheet1!AA118+Sheet1!BN118+P116+'Calculations II'!BC116+Calculation!AS116+Calculation!DJ116</f>
        <v>57.986491140733925</v>
      </c>
      <c r="AG116" s="95">
        <f ca="1">IF(B116=TODAY(),0,Sheet1!AA118+Sheet1!BN118+'Calculations II'!BC116+'Calculations II'!P116-Sheet1!CT118-BP116)</f>
        <v>30.896350295663499</v>
      </c>
      <c r="AH116" s="95">
        <f ca="1">IF(B116=TODAY(),0,Sheet1!AA118+Sheet1!BN118+'Calculations II'!BC116+'Calculations II'!P116-BP116)</f>
        <v>47.9463502956635</v>
      </c>
      <c r="AI116" s="95">
        <f ca="1">IF(B116=TODAY(),0,BC116+Sheet1!AA118+Calculation!ES116+O116+W116+Sheet1!BN118+Calculation!AS116+Calculation!DJ116-BP116)</f>
        <v>57.986491140733932</v>
      </c>
      <c r="AJ116" s="95"/>
      <c r="AM116" s="91">
        <f t="shared" si="16"/>
        <v>41744</v>
      </c>
      <c r="AN116" s="95">
        <f>Sheet1!BU118</f>
        <v>19.8</v>
      </c>
      <c r="AO116" s="95">
        <f>Sheet1!AA118</f>
        <v>20.6</v>
      </c>
      <c r="AP116" s="95">
        <f t="shared" si="11"/>
        <v>0.22160000000000019</v>
      </c>
      <c r="AQ116" s="1055">
        <f>((Sheet1!BV118-(Sheet1!BU118-AP116))/(Sheet1!BU118-AP116))</f>
        <v>-5.5081109794467467E-2</v>
      </c>
      <c r="AR116" s="95">
        <f t="shared" si="12"/>
        <v>20.378400000000003</v>
      </c>
      <c r="AS116" s="95">
        <f t="shared" si="13"/>
        <v>19.578400000000002</v>
      </c>
      <c r="AT116" s="90">
        <f>Sheet1!BB118</f>
        <v>1.6</v>
      </c>
      <c r="AU116" s="90">
        <f>Sheet1!AS118*GPMtoMGD</f>
        <v>7.1568000000000007E-2</v>
      </c>
      <c r="AV116" s="95">
        <f>Sheet1!AT118</f>
        <v>0</v>
      </c>
      <c r="AW116" s="90">
        <f>Sheet1!AV118*GPMtoMGD</f>
        <v>0.42969599999999997</v>
      </c>
      <c r="AX116" s="90">
        <f>Sheet1!AW118*GPMtoMGD</f>
        <v>0.64396799999999998</v>
      </c>
      <c r="AY116" s="90">
        <f>Sheet1!AX118*GPMtoMGD</f>
        <v>0</v>
      </c>
      <c r="AZ116" s="90">
        <f>Sheet1!AY118*GPMtoMGD</f>
        <v>0</v>
      </c>
      <c r="BA116" s="90">
        <f>Sheet1!AZ118*GPMtoMGD</f>
        <v>0</v>
      </c>
      <c r="BB116" s="90">
        <f>Sheet1!BP118*GPMtoMGD</f>
        <v>0</v>
      </c>
      <c r="BC116" s="90">
        <f>Sheet1!CS118*GPMtoMGD</f>
        <v>12.77064</v>
      </c>
      <c r="BD116" s="90">
        <f>Sheet1!BO118*GPMtoMGD</f>
        <v>1.9052640000000001</v>
      </c>
      <c r="BE116" s="90">
        <f>Sheet1!BW118*GPMtoMGD</f>
        <v>0.69321600000000005</v>
      </c>
      <c r="BF116" s="90">
        <f>Sheet1!CN118*GPMtoMGD</f>
        <v>1.1808000000000001</v>
      </c>
      <c r="BG116" s="90">
        <f>Sheet1!CO118*GPMtoMGD</f>
        <v>0.52848000000000006</v>
      </c>
      <c r="BH116" s="90">
        <f>Sheet1!CP118*GPMtoMGD</f>
        <v>0.691056</v>
      </c>
      <c r="BI116" s="90">
        <f t="shared" si="17"/>
        <v>1.9052640000000001</v>
      </c>
      <c r="BK116" s="95">
        <f>SUM(AT116:BA116,BE116,Sheet1!BV118,'Calculations II'!BC116,Calculation!AQ116)</f>
        <v>50.172703023474178</v>
      </c>
      <c r="BM116" s="373">
        <f>0</f>
        <v>0</v>
      </c>
      <c r="BN116" s="373">
        <f>0</f>
        <v>0</v>
      </c>
      <c r="BP116" s="95">
        <f>SUM(BM116:BN116,W116,Sheet1!DX118)</f>
        <v>0</v>
      </c>
    </row>
    <row r="117" spans="1:68" s="90" customFormat="1">
      <c r="A117" s="651" t="s">
        <v>6</v>
      </c>
      <c r="B117" s="92">
        <v>41745</v>
      </c>
      <c r="C117" s="93">
        <v>0</v>
      </c>
      <c r="D117" s="95">
        <f>(Sheet1!BQ119-Sheet1!BQ118)*1.385</f>
        <v>1.2326499999999958</v>
      </c>
      <c r="E117" s="30">
        <f>(Sheet1!BR119-Sheet1!BR118)*1.385</f>
        <v>1.2465000000000031</v>
      </c>
      <c r="F117" s="30">
        <f ca="1">IF(B117=TODAY(),0,-(VLOOKUP(Sheet1!CD119,Lookup!$I$4:$J$216,2)-VLOOKUP(Sheet1!CD118,Lookup!$I$4:$J$216,2))/1000000)</f>
        <v>0</v>
      </c>
      <c r="G117" s="95">
        <f ca="1">IF(B117=TODAY(),0,-$G$6*(Sheet1!CF119-Sheet1!CF118)*7.48/1000000)</f>
        <v>0.15885400421023735</v>
      </c>
      <c r="H117" s="95">
        <f ca="1">IF(B117=TODAY(),0,-$H$6*(Sheet1!CE119-Sheet1!CE118)*7.48/1000000)</f>
        <v>-1.5039432351265274E-2</v>
      </c>
      <c r="I117" s="95">
        <f ca="1">IF(B117=TODAY(),0,-$I$6*(Sheet1!CG119-Sheet1!CG118)*7.48/1000000)</f>
        <v>-0.10557346799999999</v>
      </c>
      <c r="J117" s="96" t="s">
        <v>186</v>
      </c>
      <c r="K117" s="95">
        <f ca="1">IF(B117=TODAY(),0,-$K$6*(Sheet1!CH119-Sheet1!CH118)*7.48/1000000)</f>
        <v>-0.14659304823808578</v>
      </c>
      <c r="L117" s="96" t="s">
        <v>186</v>
      </c>
      <c r="M117" s="95">
        <f ca="1">IF(B117=TODAY(),0,-$M$6*(Sheet1!CI119-Sheet1!CI118)*7.48/1000000)</f>
        <v>-0.50376223598475744</v>
      </c>
      <c r="N117" s="95">
        <f ca="1">IF(B117=TODAY(),0,-$N$6*(Sheet1!CJ119-Sheet1!CJ118)*7.48/1000000)</f>
        <v>0.33508266513096857</v>
      </c>
      <c r="O117" s="95">
        <f t="shared" ca="1" si="14"/>
        <v>-0.27703151523290259</v>
      </c>
      <c r="P117" s="95">
        <f ca="1">O117+Calculation!ES117</f>
        <v>-2.7674510284088671</v>
      </c>
      <c r="Q117" s="90" t="str">
        <f>IF(Sheet1!BQ119&gt;25.75,"spill elevation","-")</f>
        <v>-</v>
      </c>
      <c r="R117" s="90" t="str">
        <f>IF(Sheet1!BQ119&gt;25.75,"spill elevation","-")</f>
        <v>-</v>
      </c>
      <c r="S117" s="90" t="str">
        <f>IF(Sheet1!BR119&gt;25.75,"spill elevation","-")</f>
        <v>-</v>
      </c>
      <c r="T117" s="94">
        <f>IF(Sheet1!DU119=1,Sheet1!AA119-(SUM(AT117:BA117)+BE117),Sheet1!AA119-SUM(AT117:BA117))</f>
        <v>18.081807999999999</v>
      </c>
      <c r="U117" s="94">
        <f>Sheet1!BV119</f>
        <v>15.7</v>
      </c>
      <c r="V117" s="94">
        <f t="shared" si="15"/>
        <v>2.3818079999999995</v>
      </c>
      <c r="W117" s="94">
        <f>0</f>
        <v>0</v>
      </c>
      <c r="X117" s="90">
        <f>0</f>
        <v>0</v>
      </c>
      <c r="Y117" s="95">
        <f ca="1">Calculation!EJ118+Calculation!ES117+'Calculations II'!O117-'Calculations II'!W117</f>
        <v>55.437220971591131</v>
      </c>
      <c r="Z117" s="95">
        <f ca="1">Y117-Sheet1!CT120</f>
        <v>38.72722097159113</v>
      </c>
      <c r="AA117" s="95">
        <f ca="1">Y117+Calculation!DJ118+Calculation!AS118</f>
        <v>65.577127074877509</v>
      </c>
      <c r="AC117" s="95">
        <f>Sheet1!AA119+Sheet1!AB119+BC117</f>
        <v>60.106687999999998</v>
      </c>
      <c r="AD117" s="95">
        <f>Sheet1!AA119+Sheet1!BN119+'Calculations II'!BC117-Calculation!AS117-Calculation!DJ117</f>
        <v>39.933396562450909</v>
      </c>
      <c r="AE117" s="95">
        <f>Sheet1!AA119+Sheet1!AB119+'Calculations II'!BC117-Calculation!AS117-Calculation!DJ117</f>
        <v>50.033396562450903</v>
      </c>
      <c r="AF117" s="95">
        <f ca="1">Sheet1!AA119+Sheet1!BN119+P117+'Calculations II'!BC117+Calculation!AS117+Calculation!DJ117</f>
        <v>57.312528409140242</v>
      </c>
      <c r="AG117" s="95">
        <f ca="1">IF(B117=TODAY(),0,Sheet1!AA119+Sheet1!BN119+'Calculations II'!BC117+'Calculations II'!P117-Sheet1!CT119-BP117)</f>
        <v>30.48923697159114</v>
      </c>
      <c r="AH117" s="95">
        <f ca="1">IF(B117=TODAY(),0,Sheet1!AA119+Sheet1!BN119+'Calculations II'!BC117+'Calculations II'!P117-BP117)</f>
        <v>47.23923697159114</v>
      </c>
      <c r="AI117" s="95">
        <f ca="1">IF(B117=TODAY(),0,BC117+Sheet1!AA119+Calculation!ES117+O117+W117+Sheet1!BN119+Calculation!AS117+Calculation!DJ117-BP117)</f>
        <v>57.312528409140242</v>
      </c>
      <c r="AJ117" s="95"/>
      <c r="AM117" s="91">
        <f t="shared" si="16"/>
        <v>41745</v>
      </c>
      <c r="AN117" s="95">
        <f>Sheet1!BU119</f>
        <v>20</v>
      </c>
      <c r="AO117" s="95">
        <f>Sheet1!AA119</f>
        <v>20.66</v>
      </c>
      <c r="AP117" s="95">
        <f t="shared" si="11"/>
        <v>2.4791499999999989</v>
      </c>
      <c r="AQ117" s="1055">
        <f>((Sheet1!BV119-(Sheet1!BU119-AP117))/(Sheet1!BU119-AP117))</f>
        <v>-0.10392475250915358</v>
      </c>
      <c r="AR117" s="95">
        <f t="shared" si="12"/>
        <v>18.18085</v>
      </c>
      <c r="AS117" s="95">
        <f t="shared" si="13"/>
        <v>17.520850000000003</v>
      </c>
      <c r="AT117" s="90">
        <f>Sheet1!BB119</f>
        <v>1.6</v>
      </c>
      <c r="AU117" s="90">
        <f>Sheet1!AS119*GPMtoMGD</f>
        <v>1.1232000000000001E-2</v>
      </c>
      <c r="AV117" s="95">
        <f>Sheet1!AT119</f>
        <v>0</v>
      </c>
      <c r="AW117" s="90">
        <f>Sheet1!AV119*GPMtoMGD</f>
        <v>0.40939200000000003</v>
      </c>
      <c r="AX117" s="90">
        <f>Sheet1!AW119*GPMtoMGD</f>
        <v>0.55756800000000006</v>
      </c>
      <c r="AY117" s="90">
        <f>Sheet1!AX119*GPMtoMGD</f>
        <v>0</v>
      </c>
      <c r="AZ117" s="90">
        <f>Sheet1!AY119*GPMtoMGD</f>
        <v>0</v>
      </c>
      <c r="BA117" s="90">
        <f>Sheet1!AZ119*GPMtoMGD</f>
        <v>0</v>
      </c>
      <c r="BB117" s="90">
        <f>Sheet1!BP119*GPMtoMGD</f>
        <v>0</v>
      </c>
      <c r="BC117" s="90">
        <f>Sheet1!CS119*GPMtoMGD</f>
        <v>13.946688000000002</v>
      </c>
      <c r="BD117" s="90">
        <f>Sheet1!BO119*GPMtoMGD</f>
        <v>1.4688000000000001</v>
      </c>
      <c r="BE117" s="90">
        <f>Sheet1!BW119*GPMtoMGD</f>
        <v>0.9967680000000001</v>
      </c>
      <c r="BF117" s="90">
        <f>Sheet1!CN119*GPMtoMGD</f>
        <v>1.1808000000000001</v>
      </c>
      <c r="BG117" s="90">
        <f>Sheet1!CO119*GPMtoMGD</f>
        <v>0.49651200000000006</v>
      </c>
      <c r="BH117" s="90">
        <f>Sheet1!CP119*GPMtoMGD</f>
        <v>0.688608</v>
      </c>
      <c r="BI117" s="90">
        <f t="shared" si="17"/>
        <v>1.4688000000000001</v>
      </c>
      <c r="BK117" s="95">
        <f>SUM(AT117:BA117,BE117,Sheet1!BV119,'Calculations II'!BC117,Calculation!AQ117)</f>
        <v>48.645842815396705</v>
      </c>
      <c r="BM117" s="373">
        <f>0</f>
        <v>0</v>
      </c>
      <c r="BN117" s="373">
        <f>0</f>
        <v>0</v>
      </c>
      <c r="BP117" s="95">
        <f>SUM(BM117:BN117,W117,Sheet1!DX119)</f>
        <v>0</v>
      </c>
    </row>
    <row r="118" spans="1:68" s="90" customFormat="1">
      <c r="A118" s="651" t="s">
        <v>7</v>
      </c>
      <c r="B118" s="92">
        <v>41746</v>
      </c>
      <c r="C118" s="93">
        <v>0</v>
      </c>
      <c r="D118" s="95">
        <f>(Sheet1!BQ120-Sheet1!BQ119)*1.385</f>
        <v>2.7977000000000043</v>
      </c>
      <c r="E118" s="30">
        <f>(Sheet1!BR120-Sheet1!BR119)*1.385</f>
        <v>2.783849999999997</v>
      </c>
      <c r="F118" s="30">
        <f ca="1">IF(B118=TODAY(),0,-(VLOOKUP(Sheet1!CD120,Lookup!$I$4:$J$216,2)-VLOOKUP(Sheet1!CD119,Lookup!$I$4:$J$216,2))/1000000)</f>
        <v>-0.41454775419119744</v>
      </c>
      <c r="G118" s="95">
        <f ca="1">IF(B118=TODAY(),0,-$G$6*(Sheet1!CF120-Sheet1!CF119)*7.48/1000000)</f>
        <v>0.23828100631535562</v>
      </c>
      <c r="H118" s="95">
        <f ca="1">IF(B118=TODAY(),0,-$H$6*(Sheet1!CE120-Sheet1!CE119)*7.48/1000000)</f>
        <v>0</v>
      </c>
      <c r="I118" s="95">
        <f ca="1">IF(B118=TODAY(),0,-$I$6*(Sheet1!CG120-Sheet1!CG119)*7.48/1000000)</f>
        <v>6.7387320000000164E-3</v>
      </c>
      <c r="J118" s="96" t="s">
        <v>186</v>
      </c>
      <c r="K118" s="95">
        <f ca="1">IF(B118=TODAY(),0,-$K$6*(Sheet1!CH120-Sheet1!CH119)*7.48/1000000)</f>
        <v>6.6633203744584186E-3</v>
      </c>
      <c r="L118" s="96" t="s">
        <v>186</v>
      </c>
      <c r="M118" s="95">
        <f ca="1">IF(B118=TODAY(),0,-$M$6*(Sheet1!CI120-Sheet1!CI119)*7.48/1000000)</f>
        <v>3.598301685605397E-2</v>
      </c>
      <c r="N118" s="95">
        <f ca="1">IF(B118=TODAY(),0,-$N$6*(Sheet1!CJ120-Sheet1!CJ119)*7.48/1000000)</f>
        <v>-6.2052345394623676E-2</v>
      </c>
      <c r="O118" s="95">
        <f t="shared" ca="1" si="14"/>
        <v>-0.18893402403995307</v>
      </c>
      <c r="P118" s="95">
        <f ca="1">O118+Calculation!ES118</f>
        <v>-5.7269153873867378</v>
      </c>
      <c r="Q118" s="90" t="str">
        <f>IF(Sheet1!BQ120&gt;25.75,"spill elevation","-")</f>
        <v>-</v>
      </c>
      <c r="R118" s="90" t="str">
        <f>IF(Sheet1!BQ120&gt;25.75,"spill elevation","-")</f>
        <v>-</v>
      </c>
      <c r="S118" s="90" t="str">
        <f>IF(Sheet1!BR120&gt;25.75,"spill elevation","-")</f>
        <v>-</v>
      </c>
      <c r="T118" s="94">
        <f>IF(Sheet1!DU120=1,Sheet1!AA120-(SUM(AT118:BA118)+BE118),Sheet1!AA120-SUM(AT118:BA118))</f>
        <v>18.204863999999997</v>
      </c>
      <c r="U118" s="94">
        <f>Sheet1!BV120</f>
        <v>18</v>
      </c>
      <c r="V118" s="94">
        <f t="shared" si="15"/>
        <v>0.20486399999999705</v>
      </c>
      <c r="W118" s="94">
        <f>0</f>
        <v>0</v>
      </c>
      <c r="X118" s="90">
        <f>0</f>
        <v>0</v>
      </c>
      <c r="Y118" s="95">
        <f ca="1">Calculation!EJ119+Calculation!ES118+'Calculations II'!O118-'Calculations II'!W118</f>
        <v>49.46940461261326</v>
      </c>
      <c r="Z118" s="95">
        <f ca="1">Y118-Sheet1!CT121</f>
        <v>32.44840461261326</v>
      </c>
      <c r="AA118" s="95">
        <f ca="1">Y118+Calculation!DJ119+Calculation!AS119</f>
        <v>59.689303168992502</v>
      </c>
      <c r="AC118" s="95">
        <f>Sheet1!AA120+Sheet1!AB120+BC118</f>
        <v>58.204671999999995</v>
      </c>
      <c r="AD118" s="95">
        <f>Sheet1!AA120+Sheet1!BN120+'Calculations II'!BC118-Calculation!AS118-Calculation!DJ118</f>
        <v>37.964765896713615</v>
      </c>
      <c r="AE118" s="95">
        <f>Sheet1!AA120+Sheet1!AB120+'Calculations II'!BC118-Calculation!AS118-Calculation!DJ118</f>
        <v>48.06476589671361</v>
      </c>
      <c r="AF118" s="95">
        <f ca="1">Sheet1!AA120+Sheet1!BN120+P118+'Calculations II'!BC118+Calculation!AS118+Calculation!DJ118</f>
        <v>52.517662715899647</v>
      </c>
      <c r="AG118" s="95">
        <f ca="1">IF(B118=TODAY(),0,Sheet1!AA120+Sheet1!BN120+'Calculations II'!BC118+'Calculations II'!P118-Sheet1!CT120-BP118)</f>
        <v>25.66775661261326</v>
      </c>
      <c r="AH118" s="95">
        <f ca="1">IF(B118=TODAY(),0,Sheet1!AA120+Sheet1!BN120+'Calculations II'!BC118+'Calculations II'!P118-BP118)</f>
        <v>42.377756612613261</v>
      </c>
      <c r="AI118" s="95">
        <f ca="1">IF(B118=TODAY(),0,BC118+Sheet1!AA120+Calculation!ES118+O118+W118+Sheet1!BN120+Calculation!AS118+Calculation!DJ118-BP118)</f>
        <v>52.517662715899654</v>
      </c>
      <c r="AJ118" s="95"/>
      <c r="AM118" s="91">
        <f t="shared" si="16"/>
        <v>41746</v>
      </c>
      <c r="AN118" s="95">
        <f>Sheet1!BU120</f>
        <v>20.100000000000001</v>
      </c>
      <c r="AO118" s="95">
        <f>Sheet1!AA120</f>
        <v>20.74</v>
      </c>
      <c r="AP118" s="95">
        <f t="shared" si="11"/>
        <v>5.5815500000000018</v>
      </c>
      <c r="AQ118" s="1055">
        <f>((Sheet1!BV120-(Sheet1!BU120-AP118))/(Sheet1!BU120-AP118))</f>
        <v>0.23980176947263657</v>
      </c>
      <c r="AR118" s="95">
        <f t="shared" si="12"/>
        <v>15.158449999999997</v>
      </c>
      <c r="AS118" s="95">
        <f t="shared" si="13"/>
        <v>14.51845</v>
      </c>
      <c r="AT118" s="90">
        <f>Sheet1!BB120</f>
        <v>1.6</v>
      </c>
      <c r="AU118" s="90">
        <f>Sheet1!AS120*GPMtoMGD</f>
        <v>4.3200000000000004E-4</v>
      </c>
      <c r="AV118" s="95">
        <f>Sheet1!AT120</f>
        <v>0</v>
      </c>
      <c r="AW118" s="90">
        <f>Sheet1!AV120*GPMtoMGD</f>
        <v>0.40622400000000009</v>
      </c>
      <c r="AX118" s="90">
        <f>Sheet1!AW120*GPMtoMGD</f>
        <v>0.52848000000000006</v>
      </c>
      <c r="AY118" s="90">
        <f>Sheet1!AX120*GPMtoMGD</f>
        <v>0</v>
      </c>
      <c r="AZ118" s="90">
        <f>Sheet1!AY120*GPMtoMGD</f>
        <v>0</v>
      </c>
      <c r="BA118" s="90">
        <f>Sheet1!AZ120*GPMtoMGD</f>
        <v>0</v>
      </c>
      <c r="BB118" s="90">
        <f>Sheet1!BP120*GPMtoMGD</f>
        <v>0</v>
      </c>
      <c r="BC118" s="90">
        <f>Sheet1!CS120*GPMtoMGD</f>
        <v>11.964672</v>
      </c>
      <c r="BD118" s="90">
        <f>Sheet1!BO120*GPMtoMGD</f>
        <v>1.4772960000000002</v>
      </c>
      <c r="BE118" s="90">
        <f>Sheet1!BW120*GPMtoMGD</f>
        <v>0.67147200000000007</v>
      </c>
      <c r="BF118" s="90">
        <f>Sheet1!CN120*GPMtoMGD</f>
        <v>1.1808000000000001</v>
      </c>
      <c r="BG118" s="90">
        <f>Sheet1!CO120*GPMtoMGD</f>
        <v>0.51119999999999999</v>
      </c>
      <c r="BH118" s="90">
        <f>Sheet1!CP120*GPMtoMGD</f>
        <v>0.69552000000000003</v>
      </c>
      <c r="BI118" s="90">
        <f t="shared" si="17"/>
        <v>1.4772960000000002</v>
      </c>
      <c r="BK118" s="95">
        <f>SUM(AT118:BA118,BE118,Sheet1!BV120,'Calculations II'!BC118,Calculation!AQ118)</f>
        <v>48.535129765258212</v>
      </c>
      <c r="BM118" s="373">
        <f>0</f>
        <v>0</v>
      </c>
      <c r="BN118" s="373">
        <f>0</f>
        <v>0</v>
      </c>
      <c r="BP118" s="95">
        <f>SUM(BM118:BN118,W118,Sheet1!DX120)</f>
        <v>0</v>
      </c>
    </row>
    <row r="119" spans="1:68" s="90" customFormat="1">
      <c r="A119" s="651" t="s">
        <v>8</v>
      </c>
      <c r="B119" s="92">
        <v>41747</v>
      </c>
      <c r="C119" s="93">
        <v>0</v>
      </c>
      <c r="D119" s="95">
        <f>(Sheet1!BQ121-Sheet1!BQ120)*1.385</f>
        <v>0.85869999999999647</v>
      </c>
      <c r="E119" s="30">
        <f>(Sheet1!BR121-Sheet1!BR120)*1.385</f>
        <v>0.84484999999999921</v>
      </c>
      <c r="F119" s="30">
        <f ca="1">IF(B119=TODAY(),0,-(VLOOKUP(Sheet1!CD121,Lookup!$I$4:$J$216,2)-VLOOKUP(Sheet1!CD120,Lookup!$I$4:$J$216,2))/1000000)</f>
        <v>-0.31091081564339806</v>
      </c>
      <c r="G119" s="95">
        <f ca="1">IF(B119=TODAY(),0,-$G$6*(Sheet1!CF121-Sheet1!CF120)*7.48/1000000)</f>
        <v>-0.87369702315630426</v>
      </c>
      <c r="H119" s="95">
        <f ca="1">IF(B119=TODAY(),0,-$H$6*(Sheet1!CE121-Sheet1!CE120)*7.48/1000000)</f>
        <v>0</v>
      </c>
      <c r="I119" s="95">
        <f ca="1">IF(B119=TODAY(),0,-$I$6*(Sheet1!CG121-Sheet1!CG120)*7.48/1000000)</f>
        <v>2.2462439999999959E-2</v>
      </c>
      <c r="J119" s="96" t="s">
        <v>186</v>
      </c>
      <c r="K119" s="95">
        <f ca="1">IF(B119=TODAY(),0,-$K$6*(Sheet1!CH121-Sheet1!CH120)*7.48/1000000)</f>
        <v>4.6643242621209169E-2</v>
      </c>
      <c r="L119" s="96" t="s">
        <v>186</v>
      </c>
      <c r="M119" s="95">
        <f ca="1">IF(B119=TODAY(),0,-$M$6*(Sheet1!CI121-Sheet1!CI120)*7.48/1000000)</f>
        <v>0.12054310646778153</v>
      </c>
      <c r="N119" s="95">
        <f ca="1">IF(B119=TODAY(),0,-$N$6*(Sheet1!CJ121-Sheet1!CJ120)*7.48/1000000)</f>
        <v>-0.98042705723505774</v>
      </c>
      <c r="O119" s="95">
        <f t="shared" ca="1" si="14"/>
        <v>-1.9753861069457694</v>
      </c>
      <c r="P119" s="95">
        <f ca="1">O119+Calculation!ES119</f>
        <v>-3.6377802012350946</v>
      </c>
      <c r="Q119" s="90" t="str">
        <f>IF(Sheet1!BQ121&gt;25.75,"spill elevation","-")</f>
        <v>-</v>
      </c>
      <c r="R119" s="90" t="str">
        <f>IF(Sheet1!BQ121&gt;25.75,"spill elevation","-")</f>
        <v>-</v>
      </c>
      <c r="S119" s="90" t="str">
        <f>IF(Sheet1!BR121&gt;25.75,"spill elevation","-")</f>
        <v>-</v>
      </c>
      <c r="T119" s="94">
        <f>IF(Sheet1!DU121=1,Sheet1!AA121-(SUM(AT119:BA119)+BE119),Sheet1!AA121-SUM(AT119:BA119))</f>
        <v>17.818255999999998</v>
      </c>
      <c r="U119" s="94">
        <f>Sheet1!BV121</f>
        <v>22.7</v>
      </c>
      <c r="V119" s="94">
        <f t="shared" si="15"/>
        <v>-4.8817440000000012</v>
      </c>
      <c r="W119" s="94">
        <f>0</f>
        <v>0</v>
      </c>
      <c r="X119" s="90">
        <f>0</f>
        <v>0</v>
      </c>
      <c r="Y119" s="95">
        <f ca="1">Calculation!EJ120+Calculation!ES119+'Calculations II'!O119-'Calculations II'!W119</f>
        <v>48.86581979876491</v>
      </c>
      <c r="Z119" s="95">
        <f ca="1">Y119-Sheet1!CT122</f>
        <v>32.272819798764914</v>
      </c>
      <c r="AA119" s="95">
        <f ca="1">Y119+Calculation!DJ120+Calculation!AS120</f>
        <v>59.032265111264905</v>
      </c>
      <c r="AC119" s="95">
        <f>Sheet1!AA121+Sheet1!AB121+BC119</f>
        <v>55.19632</v>
      </c>
      <c r="AD119" s="95">
        <f>Sheet1!AA121+Sheet1!BN121+'Calculations II'!BC119-Calculation!AS119-Calculation!DJ119</f>
        <v>34.776421443620762</v>
      </c>
      <c r="AE119" s="95">
        <f>Sheet1!AA121+Sheet1!AB121+'Calculations II'!BC119-Calculation!AS119-Calculation!DJ119</f>
        <v>44.976421443620751</v>
      </c>
      <c r="AF119" s="95">
        <f ca="1">Sheet1!AA121+Sheet1!BN121+P119+'Calculations II'!BC119+Calculation!AS119+Calculation!DJ119</f>
        <v>51.578438355144158</v>
      </c>
      <c r="AG119" s="95">
        <f ca="1">IF(B119=TODAY(),0,Sheet1!AA121+Sheet1!BN121+'Calculations II'!BC119+'Calculations II'!P119-Sheet1!CT121-BP119)</f>
        <v>24.337539798764908</v>
      </c>
      <c r="AH119" s="95">
        <f ca="1">IF(B119=TODAY(),0,Sheet1!AA121+Sheet1!BN121+'Calculations II'!BC119+'Calculations II'!P119-BP119)</f>
        <v>41.358539798764909</v>
      </c>
      <c r="AI119" s="95">
        <f ca="1">IF(B119=TODAY(),0,BC119+Sheet1!AA121+Calculation!ES119+O119+W119+Sheet1!BN121+Calculation!AS119+Calculation!DJ119-BP119)</f>
        <v>51.578438355144144</v>
      </c>
      <c r="AJ119" s="95"/>
      <c r="AM119" s="91">
        <f t="shared" si="16"/>
        <v>41747</v>
      </c>
      <c r="AN119" s="95">
        <f>Sheet1!BU121</f>
        <v>19.899999999999999</v>
      </c>
      <c r="AO119" s="95">
        <f>Sheet1!AA121</f>
        <v>20.7</v>
      </c>
      <c r="AP119" s="95">
        <f t="shared" si="11"/>
        <v>1.7035499999999957</v>
      </c>
      <c r="AQ119" s="1055">
        <f>((Sheet1!BV121-(Sheet1!BU121-AP119))/(Sheet1!BU121-AP119))</f>
        <v>0.24749607753160624</v>
      </c>
      <c r="AR119" s="95">
        <f t="shared" si="12"/>
        <v>18.996450000000003</v>
      </c>
      <c r="AS119" s="95">
        <f t="shared" si="13"/>
        <v>18.196450000000002</v>
      </c>
      <c r="AT119" s="90">
        <f>Sheet1!BB121</f>
        <v>1.6</v>
      </c>
      <c r="AU119" s="90">
        <f>Sheet1!AS121*GPMtoMGD</f>
        <v>5.6160000000000003E-3</v>
      </c>
      <c r="AV119" s="95">
        <f>Sheet1!AT121</f>
        <v>0</v>
      </c>
      <c r="AW119" s="90">
        <f>Sheet1!AV121*GPMtoMGD</f>
        <v>0.534528</v>
      </c>
      <c r="AX119" s="90">
        <f>Sheet1!AW121*GPMtoMGD</f>
        <v>0.74160000000000004</v>
      </c>
      <c r="AY119" s="90">
        <f>Sheet1!AX121*GPMtoMGD</f>
        <v>0</v>
      </c>
      <c r="AZ119" s="90">
        <f>Sheet1!AY121*GPMtoMGD</f>
        <v>0</v>
      </c>
      <c r="BA119" s="90">
        <f>Sheet1!AZ121*GPMtoMGD</f>
        <v>0</v>
      </c>
      <c r="BB119" s="90">
        <f>Sheet1!BP121*GPMtoMGD</f>
        <v>0</v>
      </c>
      <c r="BC119" s="90">
        <f>Sheet1!CS121*GPMtoMGD</f>
        <v>8.8963200000000011</v>
      </c>
      <c r="BD119" s="90">
        <f>Sheet1!BO121*GPMtoMGD</f>
        <v>1.44936</v>
      </c>
      <c r="BE119" s="90">
        <f>Sheet1!BW121*GPMtoMGD</f>
        <v>0.96192000000000011</v>
      </c>
      <c r="BF119" s="90">
        <f>Sheet1!CN121*GPMtoMGD</f>
        <v>1.1808000000000001</v>
      </c>
      <c r="BG119" s="90">
        <f>Sheet1!CO121*GPMtoMGD</f>
        <v>0.49363200000000007</v>
      </c>
      <c r="BH119" s="90">
        <f>Sheet1!CP121*GPMtoMGD</f>
        <v>0.69163200000000002</v>
      </c>
      <c r="BI119" s="90">
        <f t="shared" si="17"/>
        <v>1.44936</v>
      </c>
      <c r="BK119" s="95">
        <f>SUM(AT119:BA119,BE119,Sheet1!BV121,'Calculations II'!BC119,Calculation!AQ119)</f>
        <v>50.821958248927046</v>
      </c>
      <c r="BM119" s="373">
        <f>0</f>
        <v>0</v>
      </c>
      <c r="BN119" s="373">
        <f>0</f>
        <v>0</v>
      </c>
      <c r="BP119" s="95">
        <f>SUM(BM119:BN119,W119,Sheet1!DX121)</f>
        <v>0</v>
      </c>
    </row>
    <row r="120" spans="1:68" s="90" customFormat="1">
      <c r="A120" s="651" t="s">
        <v>9</v>
      </c>
      <c r="B120" s="92">
        <v>41748</v>
      </c>
      <c r="C120" s="93">
        <v>0</v>
      </c>
      <c r="D120" s="95">
        <f>(Sheet1!BQ122-Sheet1!BQ121)*1.385</f>
        <v>-0.91410000000000025</v>
      </c>
      <c r="E120" s="30">
        <f>(Sheet1!BR122-Sheet1!BR121)*1.385</f>
        <v>-0.900249999999998</v>
      </c>
      <c r="F120" s="30">
        <f ca="1">IF(B120=TODAY(),0,-(VLOOKUP(Sheet1!CD122,Lookup!$I$4:$J$216,2)-VLOOKUP(Sheet1!CD121,Lookup!$I$4:$J$216,2))/1000000)</f>
        <v>-0.20727387709560618</v>
      </c>
      <c r="G120" s="95">
        <f ca="1">IF(B120=TODAY(),0,-$G$6*(Sheet1!CF122-Sheet1!CF121)*7.48/1000000)</f>
        <v>0.23828100631535562</v>
      </c>
      <c r="H120" s="95">
        <f ca="1">IF(B120=TODAY(),0,-$H$6*(Sheet1!CE122-Sheet1!CE121)*7.48/1000000)</f>
        <v>0</v>
      </c>
      <c r="I120" s="95">
        <f ca="1">IF(B120=TODAY(),0,-$I$6*(Sheet1!CG122-Sheet1!CG121)*7.48/1000000)</f>
        <v>1.3477463999999995E-2</v>
      </c>
      <c r="J120" s="96" t="s">
        <v>186</v>
      </c>
      <c r="K120" s="95">
        <f ca="1">IF(B120=TODAY(),0,-$K$6*(Sheet1!CH122-Sheet1!CH121)*7.48/1000000)</f>
        <v>1.9989961123375255E-2</v>
      </c>
      <c r="L120" s="96" t="s">
        <v>186</v>
      </c>
      <c r="M120" s="95">
        <f ca="1">IF(B120=TODAY(),0,-$M$6*(Sheet1!CI122-Sheet1!CI121)*7.48/1000000)</f>
        <v>5.9371977812488951E-2</v>
      </c>
      <c r="N120" s="95">
        <f ca="1">IF(B120=TODAY(),0,-$N$6*(Sheet1!CJ122-Sheet1!CJ121)*7.48/1000000)</f>
        <v>0.25007095194033463</v>
      </c>
      <c r="O120" s="95">
        <f t="shared" ca="1" si="14"/>
        <v>0.37391748409594827</v>
      </c>
      <c r="P120" s="95">
        <f ca="1">O120+Calculation!ES120</f>
        <v>2.1748219874632868</v>
      </c>
      <c r="Q120" s="90" t="str">
        <f>IF(Sheet1!BQ122&gt;25.75,"spill elevation","-")</f>
        <v>-</v>
      </c>
      <c r="R120" s="90" t="str">
        <f>IF(Sheet1!BQ122&gt;25.75,"spill elevation","-")</f>
        <v>-</v>
      </c>
      <c r="S120" s="90" t="str">
        <f>IF(Sheet1!BR122&gt;25.75,"spill elevation","-")</f>
        <v>-</v>
      </c>
      <c r="T120" s="94">
        <f>IF(Sheet1!DU122=1,Sheet1!AA122-(SUM(AT120:BA120)+BE120),Sheet1!AA122-SUM(AT120:BA120))</f>
        <v>17.286543999999999</v>
      </c>
      <c r="U120" s="94">
        <f>Sheet1!BV122</f>
        <v>22.6</v>
      </c>
      <c r="V120" s="94">
        <f t="shared" si="15"/>
        <v>-5.3134560000000022</v>
      </c>
      <c r="W120" s="94">
        <f>0</f>
        <v>0</v>
      </c>
      <c r="X120" s="90">
        <f>0</f>
        <v>0</v>
      </c>
      <c r="Y120" s="95">
        <f ca="1">Calculation!EJ121+Calculation!ES120+'Calculations II'!O120-'Calculations II'!W120</f>
        <v>54.765605987463289</v>
      </c>
      <c r="Z120" s="95">
        <f ca="1">Y120-Sheet1!CT123</f>
        <v>38.485605987463288</v>
      </c>
      <c r="AA120" s="95">
        <f ca="1">Y120+Calculation!DJ121+Calculation!AS121</f>
        <v>65.045778064115609</v>
      </c>
      <c r="AC120" s="95">
        <f>Sheet1!AA122+Sheet1!AB122+BC120</f>
        <v>52.503600000000006</v>
      </c>
      <c r="AD120" s="95">
        <f>Sheet1!AA122+Sheet1!BN122+'Calculations II'!BC120-Calculation!AS120-Calculation!DJ120</f>
        <v>32.237154687500009</v>
      </c>
      <c r="AE120" s="95">
        <f>Sheet1!AA122+Sheet1!AB122+'Calculations II'!BC120-Calculation!AS120-Calculation!DJ120</f>
        <v>42.337154687500004</v>
      </c>
      <c r="AF120" s="95">
        <f ca="1">Sheet1!AA122+Sheet1!BN122+P120+'Calculations II'!BC120+Calculation!AS120+Calculation!DJ120</f>
        <v>54.744867299963289</v>
      </c>
      <c r="AG120" s="95">
        <f ca="1">IF(B120=TODAY(),0,Sheet1!AA122+Sheet1!BN122+'Calculations II'!BC120+'Calculations II'!P120-Sheet1!CT122-BP120)</f>
        <v>27.985421987463294</v>
      </c>
      <c r="AH120" s="95">
        <f ca="1">IF(B120=TODAY(),0,Sheet1!AA122+Sheet1!BN122+'Calculations II'!BC120+'Calculations II'!P120-BP120)</f>
        <v>44.578421987463294</v>
      </c>
      <c r="AI120" s="95">
        <f ca="1">IF(B120=TODAY(),0,BC120+Sheet1!AA122+Calculation!ES120+O120+W120+Sheet1!BN122+Calculation!AS120+Calculation!DJ120-BP120)</f>
        <v>54.744867299963289</v>
      </c>
      <c r="AJ120" s="95"/>
      <c r="AM120" s="91">
        <f t="shared" si="16"/>
        <v>41748</v>
      </c>
      <c r="AN120" s="95">
        <f>Sheet1!BU122</f>
        <v>19.600000000000001</v>
      </c>
      <c r="AO120" s="95">
        <f>Sheet1!AA122</f>
        <v>20.7</v>
      </c>
      <c r="AP120" s="95">
        <f t="shared" si="11"/>
        <v>-1.8143499999999984</v>
      </c>
      <c r="AQ120" s="1055">
        <f>((Sheet1!BV122-(Sheet1!BU122-AP120))/(Sheet1!BU122-AP120))</f>
        <v>5.5367078617842833E-2</v>
      </c>
      <c r="AR120" s="95">
        <f t="shared" si="12"/>
        <v>22.514349999999997</v>
      </c>
      <c r="AS120" s="95">
        <f t="shared" si="13"/>
        <v>21.414349999999999</v>
      </c>
      <c r="AT120" s="90">
        <f>Sheet1!BB122</f>
        <v>1.61</v>
      </c>
      <c r="AU120" s="90">
        <f>Sheet1!AS122*GPMtoMGD</f>
        <v>1.8287999999999999E-2</v>
      </c>
      <c r="AV120" s="95">
        <f>Sheet1!AT122</f>
        <v>0</v>
      </c>
      <c r="AW120" s="90">
        <f>Sheet1!AV122*GPMtoMGD</f>
        <v>0.85766400000000009</v>
      </c>
      <c r="AX120" s="90">
        <f>Sheet1!AW122*GPMtoMGD</f>
        <v>0.92750400000000011</v>
      </c>
      <c r="AY120" s="90">
        <f>Sheet1!AX122*GPMtoMGD</f>
        <v>0</v>
      </c>
      <c r="AZ120" s="90">
        <f>Sheet1!AY122*GPMtoMGD</f>
        <v>0</v>
      </c>
      <c r="BA120" s="90">
        <f>Sheet1!AZ122*GPMtoMGD</f>
        <v>0</v>
      </c>
      <c r="BB120" s="90">
        <f>Sheet1!BP122*GPMtoMGD</f>
        <v>0</v>
      </c>
      <c r="BC120" s="90">
        <f>Sheet1!CS122*GPMtoMGD</f>
        <v>6.3036000000000003</v>
      </c>
      <c r="BD120" s="90">
        <f>Sheet1!BO122*GPMtoMGD</f>
        <v>1.5881760000000003</v>
      </c>
      <c r="BE120" s="90">
        <f>Sheet1!BW122*GPMtoMGD</f>
        <v>0.70243200000000006</v>
      </c>
      <c r="BF120" s="90">
        <f>Sheet1!CN122*GPMtoMGD</f>
        <v>1.1808000000000001</v>
      </c>
      <c r="BG120" s="90">
        <f>Sheet1!CO122*GPMtoMGD</f>
        <v>0.5073120000000001</v>
      </c>
      <c r="BH120" s="90">
        <f>Sheet1!CP122*GPMtoMGD</f>
        <v>0.67968000000000006</v>
      </c>
      <c r="BI120" s="90">
        <f t="shared" si="17"/>
        <v>1.5881760000000003</v>
      </c>
      <c r="BK120" s="95">
        <f>SUM(AT120:BA120,BE120,Sheet1!BV122,'Calculations II'!BC120,Calculation!AQ120)</f>
        <v>48.359331750000003</v>
      </c>
      <c r="BM120" s="373">
        <f>0</f>
        <v>0</v>
      </c>
      <c r="BN120" s="373">
        <f>0</f>
        <v>0</v>
      </c>
      <c r="BP120" s="95">
        <f>SUM(BM120:BN120,W120,Sheet1!DX122)</f>
        <v>0</v>
      </c>
    </row>
    <row r="121" spans="1:68" s="90" customFormat="1">
      <c r="A121" s="651" t="s">
        <v>3</v>
      </c>
      <c r="B121" s="92">
        <v>41749</v>
      </c>
      <c r="C121" s="93">
        <v>0</v>
      </c>
      <c r="D121" s="95">
        <f>(Sheet1!BQ123-Sheet1!BQ122)*1.385</f>
        <v>-0.5401500000000008</v>
      </c>
      <c r="E121" s="30">
        <f>(Sheet1!BR123-Sheet1!BR122)*1.385</f>
        <v>-0.52629999999999866</v>
      </c>
      <c r="F121" s="30">
        <f ca="1">IF(B121=TODAY(),0,-(VLOOKUP(Sheet1!CD123,Lookup!$I$4:$J$216,2)-VLOOKUP(Sheet1!CD122,Lookup!$I$4:$J$216,2))/1000000)</f>
        <v>0.51818469273900425</v>
      </c>
      <c r="G121" s="95">
        <f ca="1">IF(B121=TODAY(),0,-$G$6*(Sheet1!CF123-Sheet1!CF122)*7.48/1000000)</f>
        <v>0.27799450736791476</v>
      </c>
      <c r="H121" s="95">
        <f ca="1">IF(B121=TODAY(),0,-$H$6*(Sheet1!CE123-Sheet1!CE122)*7.48/1000000)</f>
        <v>0</v>
      </c>
      <c r="I121" s="95">
        <f ca="1">IF(B121=TODAY(),0,-$I$6*(Sheet1!CG123-Sheet1!CG122)*7.48/1000000)</f>
        <v>1.3477464000000033E-2</v>
      </c>
      <c r="J121" s="96" t="s">
        <v>186</v>
      </c>
      <c r="K121" s="95">
        <f ca="1">IF(B121=TODAY(),0,-$K$6*(Sheet1!CH123-Sheet1!CH122)*7.48/1000000)</f>
        <v>2.6653281497833796E-2</v>
      </c>
      <c r="L121" s="96" t="s">
        <v>186</v>
      </c>
      <c r="M121" s="95">
        <f ca="1">IF(B121=TODAY(),0,-$M$6*(Sheet1!CI123-Sheet1!CI122)*7.48/1000000)</f>
        <v>5.3974525284081275E-2</v>
      </c>
      <c r="N121" s="95">
        <f ca="1">IF(B121=TODAY(),0,-$N$6*(Sheet1!CJ123-Sheet1!CJ122)*7.48/1000000)</f>
        <v>0.26496351483504382</v>
      </c>
      <c r="O121" s="95">
        <f t="shared" ca="1" si="14"/>
        <v>1.1552479857238778</v>
      </c>
      <c r="P121" s="95">
        <f ca="1">O121+Calculation!ES121</f>
        <v>2.1247439450810686</v>
      </c>
      <c r="Q121" s="90" t="str">
        <f>IF(Sheet1!BQ123&gt;25.75,"spill elevation","-")</f>
        <v>-</v>
      </c>
      <c r="R121" s="90" t="str">
        <f>IF(Sheet1!BQ123&gt;25.75,"spill elevation","-")</f>
        <v>-</v>
      </c>
      <c r="S121" s="90" t="str">
        <f>IF(Sheet1!BR123&gt;25.75,"spill elevation","-")</f>
        <v>-</v>
      </c>
      <c r="T121" s="94">
        <f>IF(Sheet1!DU123=1,Sheet1!AA123-(SUM(AT121:BA121)+BE121),Sheet1!AA123-SUM(AT121:BA121))</f>
        <v>17.434591999999999</v>
      </c>
      <c r="U121" s="94">
        <f>Sheet1!BV123</f>
        <v>21.9</v>
      </c>
      <c r="V121" s="94">
        <f t="shared" si="15"/>
        <v>-4.465408</v>
      </c>
      <c r="W121" s="94">
        <f>0</f>
        <v>0</v>
      </c>
      <c r="X121" s="90">
        <f>0</f>
        <v>0</v>
      </c>
      <c r="Y121" s="95">
        <f ca="1">Calculation!EJ122+Calculation!ES121+'Calculations II'!O121-'Calculations II'!W121</f>
        <v>54.626327945081066</v>
      </c>
      <c r="Z121" s="95">
        <f ca="1">Y121-Sheet1!CT124</f>
        <v>40.294327945081065</v>
      </c>
      <c r="AA121" s="95">
        <f ca="1">Y121+Calculation!DJ122+Calculation!AS122</f>
        <v>64.772866857869488</v>
      </c>
      <c r="AC121" s="95">
        <f>Sheet1!AA123+Sheet1!AB123+BC121</f>
        <v>52.590783999999999</v>
      </c>
      <c r="AD121" s="95">
        <f>Sheet1!AA123+Sheet1!BN123+'Calculations II'!BC121-Calculation!AS121-Calculation!DJ121</f>
        <v>32.010611923347675</v>
      </c>
      <c r="AE121" s="95">
        <f>Sheet1!AA123+Sheet1!AB123+'Calculations II'!BC121-Calculation!AS121-Calculation!DJ121</f>
        <v>42.310611923347672</v>
      </c>
      <c r="AF121" s="95">
        <f ca="1">Sheet1!AA123+Sheet1!BN123+P121+'Calculations II'!BC121+Calculation!AS121+Calculation!DJ121</f>
        <v>54.695700021733401</v>
      </c>
      <c r="AG121" s="95">
        <f ca="1">IF(B121=TODAY(),0,Sheet1!AA123+Sheet1!BN123+'Calculations II'!BC121+'Calculations II'!P121-Sheet1!CT123-BP121)</f>
        <v>28.135527945081073</v>
      </c>
      <c r="AH121" s="95">
        <f ca="1">IF(B121=TODAY(),0,Sheet1!AA123+Sheet1!BN123+'Calculations II'!BC121+'Calculations II'!P121-BP121)</f>
        <v>44.415527945081074</v>
      </c>
      <c r="AI121" s="95">
        <f ca="1">IF(B121=TODAY(),0,BC121+Sheet1!AA123+Calculation!ES121+O121+W121+Sheet1!BN123+Calculation!AS121+Calculation!DJ121-BP121)</f>
        <v>54.695700021733394</v>
      </c>
      <c r="AJ121" s="95"/>
      <c r="AM121" s="91">
        <f t="shared" si="16"/>
        <v>41749</v>
      </c>
      <c r="AN121" s="95">
        <f>Sheet1!BU123</f>
        <v>19.5</v>
      </c>
      <c r="AO121" s="95">
        <f>Sheet1!AA123</f>
        <v>20.7</v>
      </c>
      <c r="AP121" s="95">
        <f t="shared" si="11"/>
        <v>-1.0664499999999995</v>
      </c>
      <c r="AQ121" s="1055">
        <f>((Sheet1!BV123-(Sheet1!BU123-AP121))/(Sheet1!BU123-AP121))</f>
        <v>6.4841039654388533E-2</v>
      </c>
      <c r="AR121" s="95">
        <f t="shared" si="12"/>
        <v>21.766449999999999</v>
      </c>
      <c r="AS121" s="95">
        <f t="shared" si="13"/>
        <v>20.56645</v>
      </c>
      <c r="AT121" s="90">
        <f>Sheet1!BB123</f>
        <v>1.6</v>
      </c>
      <c r="AU121" s="90">
        <f>Sheet1!AS123*GPMtoMGD</f>
        <v>3.4992000000000002E-2</v>
      </c>
      <c r="AV121" s="95">
        <f>Sheet1!AT123</f>
        <v>0.03</v>
      </c>
      <c r="AW121" s="90">
        <f>Sheet1!AV123*GPMtoMGD</f>
        <v>0.65995200000000009</v>
      </c>
      <c r="AX121" s="90">
        <f>Sheet1!AW123*GPMtoMGD</f>
        <v>0.94046400000000008</v>
      </c>
      <c r="AY121" s="90">
        <f>Sheet1!AX123*GPMtoMGD</f>
        <v>0</v>
      </c>
      <c r="AZ121" s="90">
        <f>Sheet1!AY123*GPMtoMGD</f>
        <v>0</v>
      </c>
      <c r="BA121" s="90">
        <f>Sheet1!AZ123*GPMtoMGD</f>
        <v>0</v>
      </c>
      <c r="BB121" s="90">
        <f>Sheet1!BP123*GPMtoMGD</f>
        <v>0</v>
      </c>
      <c r="BC121" s="90">
        <f>Sheet1!CS123*GPMtoMGD</f>
        <v>6.2907840000000013</v>
      </c>
      <c r="BD121" s="90">
        <f>Sheet1!BO123*GPMtoMGD</f>
        <v>1.6803360000000003</v>
      </c>
      <c r="BE121" s="90">
        <f>Sheet1!BW123*GPMtoMGD</f>
        <v>1.0056959999999999</v>
      </c>
      <c r="BF121" s="90">
        <f>Sheet1!CN123*GPMtoMGD</f>
        <v>1.1808000000000001</v>
      </c>
      <c r="BG121" s="90">
        <f>Sheet1!CO123*GPMtoMGD</f>
        <v>0.5544</v>
      </c>
      <c r="BH121" s="90">
        <f>Sheet1!CP123*GPMtoMGD</f>
        <v>0.67320000000000002</v>
      </c>
      <c r="BI121" s="90">
        <f t="shared" si="17"/>
        <v>1.6803360000000003</v>
      </c>
      <c r="BK121" s="95">
        <f>SUM(AT121:BA121,BE121,Sheet1!BV123,'Calculations II'!BC121,Calculation!AQ121)</f>
        <v>47.779838723504113</v>
      </c>
      <c r="BM121" s="373">
        <f>0</f>
        <v>0</v>
      </c>
      <c r="BN121" s="373">
        <f>0</f>
        <v>0</v>
      </c>
      <c r="BP121" s="95">
        <f>SUM(BM121:BN121,W121,Sheet1!DX123)</f>
        <v>0</v>
      </c>
    </row>
    <row r="122" spans="1:68" s="90" customFormat="1">
      <c r="A122" s="651" t="s">
        <v>4</v>
      </c>
      <c r="B122" s="92">
        <v>41750</v>
      </c>
      <c r="C122" s="93">
        <v>0</v>
      </c>
      <c r="D122" s="95">
        <f>(Sheet1!BQ124-Sheet1!BQ123)*1.385</f>
        <v>0.34625</v>
      </c>
      <c r="E122" s="30">
        <f>(Sheet1!BR124-Sheet1!BR123)*1.385</f>
        <v>0.33239999999999786</v>
      </c>
      <c r="F122" s="30">
        <f ca="1">IF(B122=TODAY(),0,-(VLOOKUP(Sheet1!CD124,Lookup!$I$4:$J$216,2)-VLOOKUP(Sheet1!CD123,Lookup!$I$4:$J$216,2))/1000000)</f>
        <v>-0.20727387709559872</v>
      </c>
      <c r="G122" s="95">
        <f ca="1">IF(B122=TODAY(),0,-$G$6*(Sheet1!CF124-Sheet1!CF123)*7.48/1000000)</f>
        <v>0.11516915305242233</v>
      </c>
      <c r="H122" s="95">
        <f ca="1">IF(B122=TODAY(),0,-$H$6*(Sheet1!CE124-Sheet1!CE123)*7.48/1000000)</f>
        <v>1.5039432351265274E-2</v>
      </c>
      <c r="I122" s="95">
        <f ca="1">IF(B122=TODAY(),0,-$I$6*(Sheet1!CG124-Sheet1!CG123)*7.48/1000000)</f>
        <v>1.7071454399999995E-2</v>
      </c>
      <c r="J122" s="96" t="s">
        <v>186</v>
      </c>
      <c r="K122" s="95">
        <f ca="1">IF(B122=TODAY(),0,-$K$6*(Sheet1!CH124-Sheet1!CH123)*7.48/1000000)</f>
        <v>2.9984941685063063E-2</v>
      </c>
      <c r="L122" s="96" t="s">
        <v>186</v>
      </c>
      <c r="M122" s="95">
        <f ca="1">IF(B122=TODAY(),0,-$M$6*(Sheet1!CI124-Sheet1!CI123)*7.48/1000000)</f>
        <v>7.7363486240516255E-2</v>
      </c>
      <c r="N122" s="95">
        <f ca="1">IF(B122=TODAY(),0,-$N$6*(Sheet1!CJ124-Sheet1!CJ123)*7.48/1000000)</f>
        <v>-7.4462814473548189E-2</v>
      </c>
      <c r="O122" s="95">
        <f t="shared" ca="1" si="14"/>
        <v>-2.710822383988E-2</v>
      </c>
      <c r="P122" s="95">
        <f ca="1">O122+Calculation!ES122</f>
        <v>-0.58108577352491864</v>
      </c>
      <c r="Q122" s="90" t="str">
        <f>IF(Sheet1!BQ124&gt;25.75,"spill elevation","-")</f>
        <v>-</v>
      </c>
      <c r="R122" s="90" t="str">
        <f>IF(Sheet1!BQ124&gt;25.75,"spill elevation","-")</f>
        <v>-</v>
      </c>
      <c r="S122" s="90" t="str">
        <f>IF(Sheet1!BR124&gt;25.75,"spill elevation","-")</f>
        <v>-</v>
      </c>
      <c r="T122" s="94">
        <f>IF(Sheet1!DU124=1,Sheet1!AA124-(SUM(AT122:BA122)+BE122),Sheet1!AA124-SUM(AT122:BA122))</f>
        <v>17.703775999999998</v>
      </c>
      <c r="U122" s="94">
        <f>Sheet1!BV124</f>
        <v>20.2</v>
      </c>
      <c r="V122" s="94">
        <f t="shared" si="15"/>
        <v>-2.4962240000000016</v>
      </c>
      <c r="W122" s="94">
        <f>0</f>
        <v>0</v>
      </c>
      <c r="X122" s="90">
        <f>0</f>
        <v>0</v>
      </c>
      <c r="Y122" s="95">
        <f ca="1">Calculation!EJ123+Calculation!ES122+'Calculations II'!O122-'Calculations II'!W122</f>
        <v>53.983586226475083</v>
      </c>
      <c r="Z122" s="95">
        <f ca="1">Y122-Sheet1!CT125</f>
        <v>38.984586226475081</v>
      </c>
      <c r="AA122" s="95">
        <f ca="1">Y122+Calculation!DJ123+Calculation!AS123</f>
        <v>64.143375206545414</v>
      </c>
      <c r="AC122" s="95">
        <f>Sheet1!AA124+Sheet1!AB124+BC122</f>
        <v>52.501584000000001</v>
      </c>
      <c r="AD122" s="95">
        <f>Sheet1!AA124+Sheet1!BN124+'Calculations II'!BC122-Calculation!AS122-Calculation!DJ122</f>
        <v>32.25504508721157</v>
      </c>
      <c r="AE122" s="95">
        <f>Sheet1!AA124+Sheet1!AB124+'Calculations II'!BC122-Calculation!AS122-Calculation!DJ122</f>
        <v>42.355045087211579</v>
      </c>
      <c r="AF122" s="95">
        <f ca="1">Sheet1!AA124+Sheet1!BN124+P122+'Calculations II'!BC122+Calculation!AS122+Calculation!DJ122</f>
        <v>51.96703713926351</v>
      </c>
      <c r="AG122" s="95">
        <f ca="1">IF(B122=TODAY(),0,Sheet1!AA124+Sheet1!BN124+'Calculations II'!BC122+'Calculations II'!P122-Sheet1!CT124-BP122)</f>
        <v>27.48849822647508</v>
      </c>
      <c r="AH122" s="95">
        <f ca="1">IF(B122=TODAY(),0,Sheet1!AA124+Sheet1!BN124+'Calculations II'!BC122+'Calculations II'!P122-BP122)</f>
        <v>41.820498226475081</v>
      </c>
      <c r="AI122" s="95">
        <f ca="1">IF(B122=TODAY(),0,BC122+Sheet1!AA124+Calculation!ES122+O122+W122+Sheet1!BN124+Calculation!AS122+Calculation!DJ122-BP122)</f>
        <v>51.96703713926351</v>
      </c>
      <c r="AJ122" s="95"/>
      <c r="AM122" s="91">
        <f t="shared" si="16"/>
        <v>41750</v>
      </c>
      <c r="AN122" s="95">
        <f>Sheet1!BU124</f>
        <v>19.600000000000001</v>
      </c>
      <c r="AO122" s="95">
        <f>Sheet1!AA124</f>
        <v>20.7</v>
      </c>
      <c r="AP122" s="95">
        <f t="shared" si="11"/>
        <v>0.67864999999999787</v>
      </c>
      <c r="AQ122" s="1055">
        <f>((Sheet1!BV124-(Sheet1!BU124-AP122))/(Sheet1!BU124-AP122))</f>
        <v>6.7577102056671182E-2</v>
      </c>
      <c r="AR122" s="95">
        <f t="shared" si="12"/>
        <v>20.021350000000002</v>
      </c>
      <c r="AS122" s="95">
        <f t="shared" si="13"/>
        <v>18.921350000000004</v>
      </c>
      <c r="AT122" s="90">
        <f>Sheet1!BB124</f>
        <v>1.6</v>
      </c>
      <c r="AU122" s="90">
        <f>Sheet1!AS124*GPMtoMGD</f>
        <v>1.4256000000000001E-2</v>
      </c>
      <c r="AV122" s="95">
        <f>Sheet1!AT124</f>
        <v>0</v>
      </c>
      <c r="AW122" s="90">
        <f>Sheet1!AV124*GPMtoMGD</f>
        <v>0.53092800000000007</v>
      </c>
      <c r="AX122" s="90">
        <f>Sheet1!AW124*GPMtoMGD</f>
        <v>0.85104000000000002</v>
      </c>
      <c r="AY122" s="90">
        <f>Sheet1!AX124*GPMtoMGD</f>
        <v>0</v>
      </c>
      <c r="AZ122" s="90">
        <f>Sheet1!AY124*GPMtoMGD</f>
        <v>0</v>
      </c>
      <c r="BA122" s="90">
        <f>Sheet1!AZ124*GPMtoMGD</f>
        <v>0</v>
      </c>
      <c r="BB122" s="90">
        <f>Sheet1!BP124*GPMtoMGD</f>
        <v>0</v>
      </c>
      <c r="BC122" s="90">
        <f>Sheet1!CS124*GPMtoMGD</f>
        <v>6.301584000000001</v>
      </c>
      <c r="BD122" s="90">
        <f>Sheet1!BO124*GPMtoMGD</f>
        <v>1.4235840000000002</v>
      </c>
      <c r="BE122" s="90">
        <f>Sheet1!BW124*GPMtoMGD</f>
        <v>0.69163200000000002</v>
      </c>
      <c r="BF122" s="90">
        <f>Sheet1!CN124*GPMtoMGD</f>
        <v>1.1808000000000001</v>
      </c>
      <c r="BG122" s="90">
        <f>Sheet1!CO124*GPMtoMGD</f>
        <v>0.51148800000000005</v>
      </c>
      <c r="BH122" s="90">
        <f>Sheet1!CP124*GPMtoMGD</f>
        <v>0.70646400000000009</v>
      </c>
      <c r="BI122" s="90">
        <f t="shared" si="17"/>
        <v>1.4235840000000002</v>
      </c>
      <c r="BK122" s="95">
        <f>SUM(AT122:BA122,BE122,Sheet1!BV124,'Calculations II'!BC122,Calculation!AQ122)</f>
        <v>45.547281220179897</v>
      </c>
      <c r="BM122" s="373">
        <f>0</f>
        <v>0</v>
      </c>
      <c r="BN122" s="373">
        <f>0</f>
        <v>0</v>
      </c>
      <c r="BP122" s="95">
        <f>SUM(BM122:BN122,W122,Sheet1!DX124)</f>
        <v>0</v>
      </c>
    </row>
    <row r="123" spans="1:68" s="90" customFormat="1">
      <c r="A123" s="651" t="s">
        <v>5</v>
      </c>
      <c r="B123" s="92">
        <v>41751</v>
      </c>
      <c r="C123" s="93">
        <v>0</v>
      </c>
      <c r="D123" s="95">
        <f>(Sheet1!BQ125-Sheet1!BQ124)*1.385</f>
        <v>0.5124500000000014</v>
      </c>
      <c r="E123" s="30">
        <f>(Sheet1!BR125-Sheet1!BR124)*1.385</f>
        <v>0.49859999999999921</v>
      </c>
      <c r="F123" s="30">
        <f ca="1">IF(B123=TODAY(),0,-(VLOOKUP(Sheet1!CD125,Lookup!$I$4:$J$216,2)-VLOOKUP(Sheet1!CD124,Lookup!$I$4:$J$216,2))/1000000)</f>
        <v>0.20727387709559872</v>
      </c>
      <c r="G123" s="95">
        <f ca="1">IF(B123=TODAY(),0,-$G$6*(Sheet1!CF125-Sheet1!CF124)*7.48/1000000)</f>
        <v>-0.59173116568313366</v>
      </c>
      <c r="H123" s="95">
        <f ca="1">IF(B123=TODAY(),0,-$H$6*(Sheet1!CE125-Sheet1!CE124)*7.48/1000000)</f>
        <v>-1.5039432351265274E-2</v>
      </c>
      <c r="I123" s="95">
        <f ca="1">IF(B123=TODAY(),0,-$I$6*(Sheet1!CG125-Sheet1!CG124)*7.48/1000000)</f>
        <v>3.2345913599999991E-2</v>
      </c>
      <c r="J123" s="96" t="s">
        <v>186</v>
      </c>
      <c r="K123" s="95">
        <f ca="1">IF(B123=TODAY(),0,-$K$6*(Sheet1!CH125-Sheet1!CH124)*7.48/1000000)</f>
        <v>4.9974902808438318E-2</v>
      </c>
      <c r="L123" s="96" t="s">
        <v>186</v>
      </c>
      <c r="M123" s="95">
        <f ca="1">IF(B123=TODAY(),0,-$M$6*(Sheet1!CI125-Sheet1!CI124)*7.48/1000000)</f>
        <v>0.1565261233238355</v>
      </c>
      <c r="N123" s="95">
        <f ca="1">IF(B123=TODAY(),0,-$N$6*(Sheet1!CJ125-Sheet1!CJ124)*7.48/1000000)</f>
        <v>8.0668049013010459E-2</v>
      </c>
      <c r="O123" s="95">
        <f t="shared" ca="1" si="14"/>
        <v>-7.9981732193515898E-2</v>
      </c>
      <c r="P123" s="95">
        <f ca="1">O123+Calculation!ES123</f>
        <v>-1.1880906411238026</v>
      </c>
      <c r="Q123" s="90" t="str">
        <f>IF(Sheet1!BQ125&gt;25.75,"spill elevation","-")</f>
        <v>-</v>
      </c>
      <c r="R123" s="90" t="str">
        <f>IF(Sheet1!BQ125&gt;25.75,"spill elevation","-")</f>
        <v>-</v>
      </c>
      <c r="S123" s="90" t="str">
        <f>IF(Sheet1!BR125&gt;25.75,"spill elevation","-")</f>
        <v>-</v>
      </c>
      <c r="T123" s="94">
        <f>IF(Sheet1!DU125=1,Sheet1!AA125-(SUM(AT123:BA123)+BE123),Sheet1!AA125-SUM(AT123:BA123))</f>
        <v>18.234416</v>
      </c>
      <c r="U123" s="94">
        <f>Sheet1!BV125</f>
        <v>20.5</v>
      </c>
      <c r="V123" s="94">
        <f t="shared" si="15"/>
        <v>-2.2655840000000005</v>
      </c>
      <c r="W123" s="94">
        <f>0</f>
        <v>0</v>
      </c>
      <c r="X123" s="90">
        <f>0</f>
        <v>0</v>
      </c>
      <c r="Y123" s="95">
        <f ca="1">Calculation!EJ124+Calculation!ES123+'Calculations II'!O123-'Calculations II'!W123</f>
        <v>51.277925358876203</v>
      </c>
      <c r="Z123" s="95">
        <f ca="1">Y123-Sheet1!CT126</f>
        <v>35.785925358876199</v>
      </c>
      <c r="AA123" s="95">
        <f ca="1">Y123+Calculation!DJ124+Calculation!AS124</f>
        <v>61.284628612502232</v>
      </c>
      <c r="AC123" s="95">
        <f>Sheet1!AA125+Sheet1!AB125+BC123</f>
        <v>54.564672000000002</v>
      </c>
      <c r="AD123" s="95">
        <f>Sheet1!AA125+Sheet1!BN125+'Calculations II'!BC123-Calculation!AS123-Calculation!DJ123</f>
        <v>34.304883019929662</v>
      </c>
      <c r="AE123" s="95">
        <f>Sheet1!AA125+Sheet1!AB125+'Calculations II'!BC123-Calculation!AS123-Calculation!DJ123</f>
        <v>44.404883019929656</v>
      </c>
      <c r="AF123" s="95">
        <f ca="1">Sheet1!AA125+Sheet1!BN125+P123+'Calculations II'!BC123+Calculation!AS123+Calculation!DJ123</f>
        <v>53.436370338946546</v>
      </c>
      <c r="AG123" s="95">
        <f ca="1">IF(B123=TODAY(),0,Sheet1!AA125+Sheet1!BN125+'Calculations II'!BC123+'Calculations II'!P123-Sheet1!CT125-BP123)</f>
        <v>28.277581358876198</v>
      </c>
      <c r="AH123" s="95">
        <f ca="1">IF(B123=TODAY(),0,Sheet1!AA125+Sheet1!BN125+'Calculations II'!BC123+'Calculations II'!P123-BP123)</f>
        <v>43.2765813588762</v>
      </c>
      <c r="AI123" s="95">
        <f ca="1">IF(B123=TODAY(),0,BC123+Sheet1!AA125+Calculation!ES123+O123+W123+Sheet1!BN125+Calculation!AS123+Calculation!DJ123-BP123)</f>
        <v>53.436370338946546</v>
      </c>
      <c r="AJ123" s="95"/>
      <c r="AM123" s="91">
        <f t="shared" si="16"/>
        <v>41751</v>
      </c>
      <c r="AN123" s="95">
        <f>Sheet1!BU125</f>
        <v>20.100000000000001</v>
      </c>
      <c r="AO123" s="95">
        <f>Sheet1!AA125</f>
        <v>20.7</v>
      </c>
      <c r="AP123" s="95">
        <f t="shared" si="11"/>
        <v>1.0110500000000007</v>
      </c>
      <c r="AQ123" s="1055">
        <f>((Sheet1!BV125-(Sheet1!BU125-AP123))/(Sheet1!BU125-AP123))</f>
        <v>7.3919728429274495E-2</v>
      </c>
      <c r="AR123" s="95">
        <f t="shared" si="12"/>
        <v>19.688949999999998</v>
      </c>
      <c r="AS123" s="95">
        <f t="shared" si="13"/>
        <v>19.088950000000001</v>
      </c>
      <c r="AT123" s="90">
        <f>Sheet1!BB125</f>
        <v>1.6</v>
      </c>
      <c r="AU123" s="90">
        <f>Sheet1!AS125*GPMtoMGD</f>
        <v>2.5055999999999998E-2</v>
      </c>
      <c r="AV123" s="95">
        <f>Sheet1!AT125</f>
        <v>0</v>
      </c>
      <c r="AW123" s="90">
        <f>Sheet1!AV125*GPMtoMGD</f>
        <v>0.34128000000000003</v>
      </c>
      <c r="AX123" s="90">
        <f>Sheet1!AW125*GPMtoMGD</f>
        <v>0.49924800000000003</v>
      </c>
      <c r="AY123" s="90">
        <f>Sheet1!AX125*GPMtoMGD</f>
        <v>0</v>
      </c>
      <c r="AZ123" s="90">
        <f>Sheet1!AY125*GPMtoMGD</f>
        <v>0</v>
      </c>
      <c r="BA123" s="90">
        <f>Sheet1!AZ125*GPMtoMGD</f>
        <v>0</v>
      </c>
      <c r="BB123" s="90">
        <f>Sheet1!BP125*GPMtoMGD</f>
        <v>0</v>
      </c>
      <c r="BC123" s="90">
        <f>Sheet1!CS125*GPMtoMGD</f>
        <v>8.3646720000000006</v>
      </c>
      <c r="BD123" s="90">
        <f>Sheet1!BO125*GPMtoMGD</f>
        <v>1.3904640000000001</v>
      </c>
      <c r="BE123" s="90">
        <f>Sheet1!BW125*GPMtoMGD</f>
        <v>0.95428800000000014</v>
      </c>
      <c r="BF123" s="90">
        <f>Sheet1!CN125*GPMtoMGD</f>
        <v>1.1808000000000001</v>
      </c>
      <c r="BG123" s="90">
        <f>Sheet1!CO125*GPMtoMGD</f>
        <v>0.47764800000000002</v>
      </c>
      <c r="BH123" s="90">
        <f>Sheet1!CP125*GPMtoMGD</f>
        <v>0.68947200000000008</v>
      </c>
      <c r="BI123" s="90">
        <f t="shared" si="17"/>
        <v>1.3904640000000001</v>
      </c>
      <c r="BK123" s="95">
        <f>SUM(AT123:BA123,BE123,Sheet1!BV125,'Calculations II'!BC123,Calculation!AQ123)</f>
        <v>47.630382218053931</v>
      </c>
      <c r="BM123" s="373">
        <f>0</f>
        <v>0</v>
      </c>
      <c r="BN123" s="373">
        <f>0</f>
        <v>0</v>
      </c>
      <c r="BP123" s="95">
        <f>SUM(BM123:BN123,W123,Sheet1!DX125)</f>
        <v>0</v>
      </c>
    </row>
    <row r="124" spans="1:68" s="90" customFormat="1">
      <c r="A124" s="651" t="s">
        <v>6</v>
      </c>
      <c r="B124" s="92">
        <v>41752</v>
      </c>
      <c r="C124" s="93">
        <v>0</v>
      </c>
      <c r="D124" s="95">
        <f>(Sheet1!BQ126-Sheet1!BQ125)*1.385</f>
        <v>-0.26314999999999683</v>
      </c>
      <c r="E124" s="30">
        <f>(Sheet1!BR126-Sheet1!BR125)*1.385</f>
        <v>-0.24929999999999961</v>
      </c>
      <c r="F124" s="30">
        <f ca="1">IF(B124=TODAY(),0,-(VLOOKUP(Sheet1!CD126,Lookup!$I$4:$J$216,2)-VLOOKUP(Sheet1!CD125,Lookup!$I$4:$J$216,2))/1000000)</f>
        <v>0</v>
      </c>
      <c r="G124" s="95">
        <f ca="1">IF(B124=TODAY(),0,-$G$6*(Sheet1!CF126-Sheet1!CF125)*7.48/1000000)</f>
        <v>-0.11914050315767817</v>
      </c>
      <c r="H124" s="95">
        <f ca="1">IF(B124=TODAY(),0,-$H$6*(Sheet1!CE126-Sheet1!CE125)*7.48/1000000)</f>
        <v>0</v>
      </c>
      <c r="I124" s="95">
        <f ca="1">IF(B124=TODAY(),0,-$I$6*(Sheet1!CG126-Sheet1!CG125)*7.48/1000000)</f>
        <v>8.9849760000000074E-3</v>
      </c>
      <c r="J124" s="96" t="s">
        <v>186</v>
      </c>
      <c r="K124" s="95">
        <f ca="1">IF(B124=TODAY(),0,-$K$6*(Sheet1!CH126-Sheet1!CH125)*7.48/1000000)</f>
        <v>1.3326640748916837E-2</v>
      </c>
      <c r="L124" s="96" t="s">
        <v>186</v>
      </c>
      <c r="M124" s="95">
        <f ca="1">IF(B124=TODAY(),0,-$M$6*(Sheet1!CI126-Sheet1!CI125)*7.48/1000000)</f>
        <v>3.598301685605397E-2</v>
      </c>
      <c r="N124" s="95">
        <f ca="1">IF(B124=TODAY(),0,-$N$6*(Sheet1!CJ126-Sheet1!CJ125)*7.48/1000000)</f>
        <v>-0.16754133256548429</v>
      </c>
      <c r="O124" s="95">
        <f t="shared" ca="1" si="14"/>
        <v>-0.22838720211819166</v>
      </c>
      <c r="P124" s="95">
        <f ca="1">O124+Calculation!ES124</f>
        <v>0.32569288806192975</v>
      </c>
      <c r="Q124" s="90" t="str">
        <f>IF(Sheet1!BQ126&gt;25.75,"spill elevation","-")</f>
        <v>-</v>
      </c>
      <c r="R124" s="90" t="str">
        <f>IF(Sheet1!BQ126&gt;25.75,"spill elevation","-")</f>
        <v>-</v>
      </c>
      <c r="S124" s="90" t="str">
        <f>IF(Sheet1!BR126&gt;25.75,"spill elevation","-")</f>
        <v>-</v>
      </c>
      <c r="T124" s="94">
        <f>IF(Sheet1!DU126=1,Sheet1!AA126-(SUM(AT124:BA124)+BE124),Sheet1!AA126-SUM(AT124:BA124))</f>
        <v>17.919488000000001</v>
      </c>
      <c r="U124" s="94">
        <f>Sheet1!BV126</f>
        <v>21.6</v>
      </c>
      <c r="V124" s="94">
        <f t="shared" si="15"/>
        <v>-3.6805120000000002</v>
      </c>
      <c r="W124" s="94">
        <f>0</f>
        <v>0</v>
      </c>
      <c r="X124" s="90">
        <f>0</f>
        <v>0</v>
      </c>
      <c r="Y124" s="95">
        <f ca="1">Calculation!EJ125+Calculation!ES124+'Calculations II'!O124-'Calculations II'!W124</f>
        <v>52.881644888061935</v>
      </c>
      <c r="Z124" s="95">
        <f ca="1">Y124-Sheet1!CT127</f>
        <v>36.276644888061938</v>
      </c>
      <c r="AA124" s="95">
        <f ca="1">Y124+Calculation!DJ125+Calculation!AS125</f>
        <v>62.795124511886385</v>
      </c>
      <c r="AC124" s="95">
        <f>Sheet1!AA126+Sheet1!AB126+BC124</f>
        <v>52.466016000000003</v>
      </c>
      <c r="AD124" s="95">
        <f>Sheet1!AA126+Sheet1!BN126+'Calculations II'!BC124-Calculation!AS124-Calculation!DJ124</f>
        <v>32.459312746373975</v>
      </c>
      <c r="AE124" s="95">
        <f>Sheet1!AA126+Sheet1!AB126+'Calculations II'!BC124-Calculation!AS124-Calculation!DJ124</f>
        <v>42.459312746373975</v>
      </c>
      <c r="AF124" s="95">
        <f ca="1">Sheet1!AA126+Sheet1!BN126+P124+'Calculations II'!BC124+Calculation!AS124+Calculation!DJ124</f>
        <v>52.798412141687962</v>
      </c>
      <c r="AG124" s="95">
        <f ca="1">IF(B124=TODAY(),0,Sheet1!AA126+Sheet1!BN126+'Calculations II'!BC124+'Calculations II'!P124-Sheet1!CT126-BP124)</f>
        <v>27.299708888061932</v>
      </c>
      <c r="AH124" s="95">
        <f ca="1">IF(B124=TODAY(),0,Sheet1!AA126+Sheet1!BN126+'Calculations II'!BC124+'Calculations II'!P124-BP124)</f>
        <v>42.791708888061933</v>
      </c>
      <c r="AI124" s="95">
        <f ca="1">IF(B124=TODAY(),0,BC124+Sheet1!AA126+Calculation!ES124+O124+W124+Sheet1!BN126+Calculation!AS124+Calculation!DJ124-BP124)</f>
        <v>52.798412141687962</v>
      </c>
      <c r="AJ124" s="95"/>
      <c r="AM124" s="91">
        <f t="shared" si="16"/>
        <v>41752</v>
      </c>
      <c r="AN124" s="95">
        <f>Sheet1!BU126</f>
        <v>19.899999999999999</v>
      </c>
      <c r="AO124" s="95">
        <f>Sheet1!AA126</f>
        <v>20.7</v>
      </c>
      <c r="AP124" s="95">
        <f t="shared" si="11"/>
        <v>-0.51244999999999641</v>
      </c>
      <c r="AQ124" s="1055">
        <f>((Sheet1!BV126-(Sheet1!BU126-AP124))/(Sheet1!BU126-AP124))</f>
        <v>5.8177729767862528E-2</v>
      </c>
      <c r="AR124" s="95">
        <f t="shared" si="12"/>
        <v>21.212449999999997</v>
      </c>
      <c r="AS124" s="95">
        <f t="shared" si="13"/>
        <v>20.412449999999996</v>
      </c>
      <c r="AT124" s="90">
        <f>Sheet1!BB126</f>
        <v>1.6</v>
      </c>
      <c r="AU124" s="90">
        <f>Sheet1!AS126*GPMtoMGD</f>
        <v>2.1024000000000001E-2</v>
      </c>
      <c r="AV124" s="95">
        <f>Sheet1!AT126</f>
        <v>0</v>
      </c>
      <c r="AW124" s="90">
        <f>Sheet1!AV126*GPMtoMGD</f>
        <v>0.49622400000000005</v>
      </c>
      <c r="AX124" s="90">
        <f>Sheet1!AW126*GPMtoMGD</f>
        <v>0.66326400000000008</v>
      </c>
      <c r="AY124" s="90">
        <f>Sheet1!AX126*GPMtoMGD</f>
        <v>0</v>
      </c>
      <c r="AZ124" s="90">
        <f>Sheet1!AY126*GPMtoMGD</f>
        <v>0</v>
      </c>
      <c r="BA124" s="90">
        <f>Sheet1!AZ126*GPMtoMGD</f>
        <v>0</v>
      </c>
      <c r="BB124" s="90">
        <f>Sheet1!BP126*GPMtoMGD</f>
        <v>0</v>
      </c>
      <c r="BC124" s="90">
        <f>Sheet1!CS126*GPMtoMGD</f>
        <v>6.2660159999999996</v>
      </c>
      <c r="BD124" s="90">
        <f>Sheet1!BO126*GPMtoMGD</f>
        <v>1.4548320000000001</v>
      </c>
      <c r="BE124" s="90">
        <f>Sheet1!BW126*GPMtoMGD</f>
        <v>0.67118400000000011</v>
      </c>
      <c r="BF124" s="90">
        <f>Sheet1!CN126*GPMtoMGD</f>
        <v>1.1808000000000001</v>
      </c>
      <c r="BG124" s="90">
        <f>Sheet1!CO126*GPMtoMGD</f>
        <v>0.46886400000000006</v>
      </c>
      <c r="BH124" s="90">
        <f>Sheet1!CP126*GPMtoMGD</f>
        <v>0.685728</v>
      </c>
      <c r="BI124" s="90">
        <f t="shared" si="17"/>
        <v>1.4548320000000001</v>
      </c>
      <c r="BK124" s="95">
        <f>SUM(AT124:BA124,BE124,Sheet1!BV126,'Calculations II'!BC124,Calculation!AQ124)</f>
        <v>46.811635951391608</v>
      </c>
      <c r="BM124" s="373">
        <f>0</f>
        <v>0</v>
      </c>
      <c r="BN124" s="373">
        <f>0</f>
        <v>0</v>
      </c>
      <c r="BP124" s="95">
        <f>SUM(BM124:BN124,W124,Sheet1!DX126)</f>
        <v>0</v>
      </c>
    </row>
    <row r="125" spans="1:68" s="90" customFormat="1">
      <c r="A125" s="651" t="s">
        <v>7</v>
      </c>
      <c r="B125" s="92">
        <v>41753</v>
      </c>
      <c r="C125" s="93">
        <v>0</v>
      </c>
      <c r="D125" s="95">
        <f>(Sheet1!BQ127-Sheet1!BQ126)*1.385</f>
        <v>-0.12465000000000473</v>
      </c>
      <c r="E125" s="30">
        <f>(Sheet1!BR127-Sheet1!BR126)*1.385</f>
        <v>-0.13849999999999704</v>
      </c>
      <c r="F125" s="30">
        <f ca="1">IF(B125=TODAY(),0,-(VLOOKUP(Sheet1!CD127,Lookup!$I$4:$J$216,2)-VLOOKUP(Sheet1!CD126,Lookup!$I$4:$J$216,2))/1000000)</f>
        <v>0.41454775419119744</v>
      </c>
      <c r="G125" s="95">
        <f ca="1">IF(B125=TODAY(),0,-$G$6*(Sheet1!CF127-Sheet1!CF126)*7.48/1000000)</f>
        <v>0.19856750526279648</v>
      </c>
      <c r="H125" s="95">
        <f ca="1">IF(B125=TODAY(),0,-$H$6*(Sheet1!CE127-Sheet1!CE126)*7.48/1000000)</f>
        <v>0</v>
      </c>
      <c r="I125" s="95">
        <f ca="1">IF(B125=TODAY(),0,-$I$6*(Sheet1!CG127-Sheet1!CG126)*7.48/1000000)</f>
        <v>0</v>
      </c>
      <c r="J125" s="96" t="s">
        <v>186</v>
      </c>
      <c r="K125" s="95">
        <f ca="1">IF(B125=TODAY(),0,-$K$6*(Sheet1!CH127-Sheet1!CH126)*7.48/1000000)</f>
        <v>0</v>
      </c>
      <c r="L125" s="96" t="s">
        <v>186</v>
      </c>
      <c r="M125" s="95">
        <f ca="1">IF(B125=TODAY(),0,-$M$6*(Sheet1!CI127-Sheet1!CI126)*7.48/1000000)</f>
        <v>0</v>
      </c>
      <c r="N125" s="95">
        <f ca="1">IF(B125=TODAY(),0,-$N$6*(Sheet1!CJ127-Sheet1!CJ126)*7.48/1000000)</f>
        <v>0.49021352861752937</v>
      </c>
      <c r="O125" s="95">
        <f t="shared" ca="1" si="14"/>
        <v>1.1033287880715232</v>
      </c>
      <c r="P125" s="95">
        <f ca="1">O125+Calculation!ES125</f>
        <v>1.3803496062275495</v>
      </c>
      <c r="Q125" s="90" t="str">
        <f>IF(Sheet1!BQ127&gt;25.75,"spill elevation","-")</f>
        <v>-</v>
      </c>
      <c r="R125" s="90" t="str">
        <f>IF(Sheet1!BQ127&gt;25.75,"spill elevation","-")</f>
        <v>-</v>
      </c>
      <c r="S125" s="90" t="str">
        <f>IF(Sheet1!BR127&gt;25.75,"spill elevation","-")</f>
        <v>-</v>
      </c>
      <c r="T125" s="94">
        <f>IF(Sheet1!DU127=1,Sheet1!AA127-(SUM(AT125:BA125)+BE125),Sheet1!AA127-SUM(AT125:BA125))</f>
        <v>18.550432000000001</v>
      </c>
      <c r="U125" s="94">
        <f>Sheet1!BV127</f>
        <v>21.8</v>
      </c>
      <c r="V125" s="94">
        <f t="shared" si="15"/>
        <v>-3.249568</v>
      </c>
      <c r="W125" s="94">
        <f>0</f>
        <v>0</v>
      </c>
      <c r="X125" s="90">
        <f>0</f>
        <v>0</v>
      </c>
      <c r="Y125" s="95">
        <f ca="1">Calculation!EJ126+Calculation!ES125+'Calculations II'!O125-'Calculations II'!W125</f>
        <v>53.949533606227547</v>
      </c>
      <c r="Z125" s="95">
        <f ca="1">Y125-Sheet1!CT128</f>
        <v>36.828533606227552</v>
      </c>
      <c r="AA125" s="95">
        <f ca="1">Y125+Calculation!DJ126+Calculation!AS126</f>
        <v>63.956236859853576</v>
      </c>
      <c r="AC125" s="95">
        <f>Sheet1!AA127+Sheet1!AB127+BC125</f>
        <v>52.555952000000005</v>
      </c>
      <c r="AD125" s="95">
        <f>Sheet1!AA127+Sheet1!BN127+'Calculations II'!BC125-Calculation!AS125-Calculation!DJ125</f>
        <v>32.742472376175556</v>
      </c>
      <c r="AE125" s="95">
        <f>Sheet1!AA127+Sheet1!AB127+'Calculations II'!BC125-Calculation!AS125-Calculation!DJ125</f>
        <v>42.642472376175554</v>
      </c>
      <c r="AF125" s="95">
        <f ca="1">Sheet1!AA127+Sheet1!BN127+P125+'Calculations II'!BC125+Calculation!AS125+Calculation!DJ125</f>
        <v>53.949781230052004</v>
      </c>
      <c r="AG125" s="95">
        <f ca="1">IF(B125=TODAY(),0,Sheet1!AA127+Sheet1!BN127+'Calculations II'!BC125+'Calculations II'!P125-Sheet1!CT127-BP125)</f>
        <v>27.431301606227553</v>
      </c>
      <c r="AH125" s="95">
        <f ca="1">IF(B125=TODAY(),0,Sheet1!AA127+Sheet1!BN127+'Calculations II'!BC125+'Calculations II'!P125-BP125)</f>
        <v>44.036301606227553</v>
      </c>
      <c r="AI125" s="95">
        <f ca="1">IF(B125=TODAY(),0,BC125+Sheet1!AA127+Calculation!ES125+O125+W125+Sheet1!BN127+Calculation!AS125+Calculation!DJ125-BP125)</f>
        <v>53.949781230051997</v>
      </c>
      <c r="AJ125" s="95"/>
      <c r="AM125" s="91">
        <f t="shared" si="16"/>
        <v>41753</v>
      </c>
      <c r="AN125" s="95">
        <f>Sheet1!BU127</f>
        <v>20.3</v>
      </c>
      <c r="AO125" s="95">
        <f>Sheet1!AA127</f>
        <v>20.78</v>
      </c>
      <c r="AP125" s="95">
        <f t="shared" si="11"/>
        <v>-0.26315000000000177</v>
      </c>
      <c r="AQ125" s="1055">
        <f>((Sheet1!BV127-(Sheet1!BU127-AP125))/(Sheet1!BU127-AP125))</f>
        <v>6.014885851632637E-2</v>
      </c>
      <c r="AR125" s="95">
        <f t="shared" si="12"/>
        <v>21.043150000000004</v>
      </c>
      <c r="AS125" s="95">
        <f t="shared" si="13"/>
        <v>20.563150000000004</v>
      </c>
      <c r="AT125" s="90">
        <f>Sheet1!BB127</f>
        <v>1.6</v>
      </c>
      <c r="AU125" s="90">
        <f>Sheet1!AS127*GPMtoMGD</f>
        <v>1.9296000000000001E-2</v>
      </c>
      <c r="AV125" s="95">
        <f>Sheet1!AT127</f>
        <v>0</v>
      </c>
      <c r="AW125" s="90">
        <f>Sheet1!AV127*GPMtoMGD</f>
        <v>0.29635200000000006</v>
      </c>
      <c r="AX125" s="90">
        <f>Sheet1!AW127*GPMtoMGD</f>
        <v>0.31392000000000003</v>
      </c>
      <c r="AY125" s="90">
        <f>Sheet1!AX127*GPMtoMGD</f>
        <v>0</v>
      </c>
      <c r="AZ125" s="90">
        <f>Sheet1!AY127*GPMtoMGD</f>
        <v>0</v>
      </c>
      <c r="BA125" s="90">
        <f>Sheet1!AZ127*GPMtoMGD</f>
        <v>0</v>
      </c>
      <c r="BB125" s="90">
        <f>Sheet1!BP127*GPMtoMGD</f>
        <v>0</v>
      </c>
      <c r="BC125" s="90">
        <f>Sheet1!CS127*GPMtoMGD</f>
        <v>6.2759520000000011</v>
      </c>
      <c r="BD125" s="90">
        <f>Sheet1!BO127*GPMtoMGD</f>
        <v>1.4820480000000003</v>
      </c>
      <c r="BE125" s="90">
        <f>Sheet1!BW127*GPMtoMGD</f>
        <v>0.96192000000000011</v>
      </c>
      <c r="BF125" s="90">
        <f>Sheet1!CN127*GPMtoMGD</f>
        <v>1.1808000000000001</v>
      </c>
      <c r="BG125" s="90">
        <f>Sheet1!CO127*GPMtoMGD</f>
        <v>0.48240000000000005</v>
      </c>
      <c r="BH125" s="90">
        <f>Sheet1!CP127*GPMtoMGD</f>
        <v>0.69076800000000005</v>
      </c>
      <c r="BI125" s="90">
        <f t="shared" si="17"/>
        <v>1.4820480000000003</v>
      </c>
      <c r="BK125" s="95">
        <f>SUM(AT125:BA125,BE125,Sheet1!BV127,'Calculations II'!BC125,Calculation!AQ125)</f>
        <v>46.855214294670844</v>
      </c>
      <c r="BM125" s="373">
        <f>0</f>
        <v>0</v>
      </c>
      <c r="BN125" s="373">
        <f>0</f>
        <v>0</v>
      </c>
      <c r="BP125" s="95">
        <f>SUM(BM125:BN125,W125,Sheet1!DX127)</f>
        <v>0</v>
      </c>
    </row>
    <row r="126" spans="1:68" s="90" customFormat="1">
      <c r="A126" s="651" t="s">
        <v>8</v>
      </c>
      <c r="B126" s="92">
        <v>41754</v>
      </c>
      <c r="C126" s="93">
        <v>0</v>
      </c>
      <c r="D126" s="95">
        <f>(Sheet1!BQ128-Sheet1!BQ127)*1.385</f>
        <v>-0.9279499999999975</v>
      </c>
      <c r="E126" s="30">
        <f>(Sheet1!BR128-Sheet1!BR127)*1.385</f>
        <v>-0.91410000000000025</v>
      </c>
      <c r="F126" s="30">
        <f ca="1">IF(B126=TODAY(),0,-(VLOOKUP(Sheet1!CD128,Lookup!$I$4:$J$216,2)-VLOOKUP(Sheet1!CD127,Lookup!$I$4:$J$216,2))/1000000)</f>
        <v>-0.10363693854779936</v>
      </c>
      <c r="G126" s="95">
        <f ca="1">IF(B126=TODAY(),0,-$G$6*(Sheet1!CF128-Sheet1!CF127)*7.48/1000000)</f>
        <v>0.19856750526279648</v>
      </c>
      <c r="H126" s="95">
        <f ca="1">IF(B126=TODAY(),0,-$H$6*(Sheet1!CE128-Sheet1!CE127)*7.48/1000000)</f>
        <v>1.5039432351265274E-2</v>
      </c>
      <c r="I126" s="95">
        <f ca="1">IF(B126=TODAY(),0,-$I$6*(Sheet1!CG128-Sheet1!CG127)*7.48/1000000)</f>
        <v>-8.9849760000000074E-3</v>
      </c>
      <c r="J126" s="96" t="s">
        <v>186</v>
      </c>
      <c r="K126" s="95">
        <f ca="1">IF(B126=TODAY(),0,-$K$6*(Sheet1!CH128-Sheet1!CH127)*7.48/1000000)</f>
        <v>-1.3326640748916837E-2</v>
      </c>
      <c r="L126" s="96" t="s">
        <v>186</v>
      </c>
      <c r="M126" s="95">
        <f ca="1">IF(B126=TODAY(),0,-$M$6*(Sheet1!CI128-Sheet1!CI127)*7.48/1000000)</f>
        <v>-5.3974525284081275E-2</v>
      </c>
      <c r="N126" s="95">
        <f ca="1">IF(B126=TODAY(),0,-$N$6*(Sheet1!CJ128-Sheet1!CJ127)*7.48/1000000)</f>
        <v>5.5847110855161426E-2</v>
      </c>
      <c r="O126" s="95">
        <f t="shared" ca="1" si="14"/>
        <v>8.9530967888425711E-2</v>
      </c>
      <c r="P126" s="95">
        <f ca="1">O126+Calculation!ES126</f>
        <v>1.8898522690862674</v>
      </c>
      <c r="Q126" s="90" t="str">
        <f>IF(Sheet1!BQ128&gt;25.75,"spill elevation","-")</f>
        <v>-</v>
      </c>
      <c r="R126" s="90" t="str">
        <f>IF(Sheet1!BQ128&gt;25.75,"spill elevation","-")</f>
        <v>-</v>
      </c>
      <c r="S126" s="90" t="str">
        <f>IF(Sheet1!BR128&gt;25.75,"spill elevation","-")</f>
        <v>-</v>
      </c>
      <c r="T126" s="94">
        <f>IF(Sheet1!DU128=1,Sheet1!AA128-(SUM(AT126:BA126)+BE126),Sheet1!AA128-SUM(AT126:BA126))</f>
        <v>17.91048</v>
      </c>
      <c r="U126" s="94">
        <f>Sheet1!BV128</f>
        <v>23.1</v>
      </c>
      <c r="V126" s="94">
        <f t="shared" si="15"/>
        <v>-5.1895200000000017</v>
      </c>
      <c r="W126" s="94">
        <f>0</f>
        <v>0</v>
      </c>
      <c r="X126" s="90">
        <f>0</f>
        <v>0</v>
      </c>
      <c r="Y126" s="95">
        <f ca="1">Calculation!EJ127+Calculation!ES126+'Calculations II'!O126-'Calculations II'!W126</f>
        <v>54.459036269086269</v>
      </c>
      <c r="Z126" s="95">
        <f ca="1">Y126-Sheet1!CT129</f>
        <v>38.229036269086265</v>
      </c>
      <c r="AA126" s="95">
        <f ca="1">Y126+Calculation!DJ127+Calculation!AS127</f>
        <v>64.465739522712298</v>
      </c>
      <c r="AC126" s="95">
        <f>Sheet1!AA128+Sheet1!AB128+BC126</f>
        <v>52.569184</v>
      </c>
      <c r="AD126" s="95">
        <f>Sheet1!AA128+Sheet1!BN128+'Calculations II'!BC126-Calculation!AS126-Calculation!DJ126</f>
        <v>32.562480746373971</v>
      </c>
      <c r="AE126" s="95">
        <f>Sheet1!AA128+Sheet1!AB128+'Calculations II'!BC126-Calculation!AS126-Calculation!DJ126</f>
        <v>42.562480746373971</v>
      </c>
      <c r="AF126" s="95">
        <f ca="1">Sheet1!AA128+Sheet1!BN128+P126+'Calculations II'!BC126+Calculation!AS126+Calculation!DJ126</f>
        <v>54.465739522712298</v>
      </c>
      <c r="AG126" s="95">
        <f ca="1">IF(B126=TODAY(),0,Sheet1!AA128+Sheet1!BN128+'Calculations II'!BC126+'Calculations II'!P126-Sheet1!CT128-BP126)</f>
        <v>27.33803626908627</v>
      </c>
      <c r="AH126" s="95">
        <f ca="1">IF(B126=TODAY(),0,Sheet1!AA128+Sheet1!BN128+'Calculations II'!BC126+'Calculations II'!P126-BP126)</f>
        <v>44.459036269086269</v>
      </c>
      <c r="AI126" s="95">
        <f ca="1">IF(B126=TODAY(),0,BC126+Sheet1!AA128+Calculation!ES126+O126+W126+Sheet1!BN128+Calculation!AS126+Calculation!DJ126-BP126)</f>
        <v>54.465739522712298</v>
      </c>
      <c r="AJ126" s="95"/>
      <c r="AM126" s="91">
        <f t="shared" si="16"/>
        <v>41754</v>
      </c>
      <c r="AN126" s="95">
        <f>Sheet1!BU128</f>
        <v>19.899999999999999</v>
      </c>
      <c r="AO126" s="95">
        <f>Sheet1!AA128</f>
        <v>20.8</v>
      </c>
      <c r="AP126" s="95">
        <f t="shared" si="11"/>
        <v>-1.8420499999999977</v>
      </c>
      <c r="AQ126" s="1055">
        <f>((Sheet1!BV128-(Sheet1!BU128-AP126))/(Sheet1!BU128-AP126))</f>
        <v>6.2457311983000974E-2</v>
      </c>
      <c r="AR126" s="95">
        <f t="shared" si="12"/>
        <v>22.642049999999998</v>
      </c>
      <c r="AS126" s="95">
        <f t="shared" si="13"/>
        <v>21.742049999999995</v>
      </c>
      <c r="AT126" s="90">
        <f>Sheet1!BB128</f>
        <v>1.6</v>
      </c>
      <c r="AU126" s="90">
        <f>Sheet1!AS128*GPMtoMGD</f>
        <v>1.5120000000000001E-2</v>
      </c>
      <c r="AV126" s="95">
        <f>Sheet1!AT128</f>
        <v>0</v>
      </c>
      <c r="AW126" s="90">
        <f>Sheet1!AV128*GPMtoMGD</f>
        <v>0.54115200000000008</v>
      </c>
      <c r="AX126" s="90">
        <f>Sheet1!AW128*GPMtoMGD</f>
        <v>0.73324800000000001</v>
      </c>
      <c r="AY126" s="90">
        <f>Sheet1!AX128*GPMtoMGD</f>
        <v>0</v>
      </c>
      <c r="AZ126" s="90">
        <f>Sheet1!AY128*GPMtoMGD</f>
        <v>0</v>
      </c>
      <c r="BA126" s="90">
        <f>Sheet1!AZ128*GPMtoMGD</f>
        <v>0</v>
      </c>
      <c r="BB126" s="90">
        <f>Sheet1!BP128*GPMtoMGD</f>
        <v>0</v>
      </c>
      <c r="BC126" s="90">
        <f>Sheet1!CS128*GPMtoMGD</f>
        <v>6.269184000000001</v>
      </c>
      <c r="BD126" s="90">
        <f>Sheet1!BO128*GPMtoMGD</f>
        <v>1.527984</v>
      </c>
      <c r="BE126" s="90">
        <f>Sheet1!BW128*GPMtoMGD</f>
        <v>0.67320000000000002</v>
      </c>
      <c r="BF126" s="90">
        <f>Sheet1!CN128*GPMtoMGD</f>
        <v>1.1808000000000001</v>
      </c>
      <c r="BG126" s="90">
        <f>Sheet1!CO128*GPMtoMGD</f>
        <v>0.47304000000000002</v>
      </c>
      <c r="BH126" s="90">
        <f>Sheet1!CP128*GPMtoMGD</f>
        <v>0.67982400000000009</v>
      </c>
      <c r="BI126" s="90">
        <f t="shared" si="17"/>
        <v>1.527984</v>
      </c>
      <c r="BK126" s="95">
        <f>SUM(AT126:BA126,BE126,Sheet1!BV128,'Calculations II'!BC126,Calculation!AQ126)</f>
        <v>48.425827951391611</v>
      </c>
      <c r="BM126" s="373">
        <f>0</f>
        <v>0</v>
      </c>
      <c r="BN126" s="373">
        <f>0</f>
        <v>0</v>
      </c>
      <c r="BP126" s="95">
        <f>SUM(BM126:BN126,W126,Sheet1!DX128)</f>
        <v>0</v>
      </c>
    </row>
    <row r="127" spans="1:68" s="90" customFormat="1">
      <c r="A127" s="651" t="s">
        <v>9</v>
      </c>
      <c r="B127" s="92">
        <v>41755</v>
      </c>
      <c r="C127" s="93">
        <v>0</v>
      </c>
      <c r="D127" s="95">
        <f>(Sheet1!BQ129-Sheet1!BQ128)*1.385</f>
        <v>-1.1633999999999998</v>
      </c>
      <c r="E127" s="30">
        <f>(Sheet1!BR129-Sheet1!BR128)*1.385</f>
        <v>-1.1633999999999998</v>
      </c>
      <c r="F127" s="30">
        <f ca="1">IF(B127=TODAY(),0,-(VLOOKUP(Sheet1!CD129,Lookup!$I$4:$J$216,2)-VLOOKUP(Sheet1!CD128,Lookup!$I$4:$J$216,2))/1000000)</f>
        <v>-0.31091081564339806</v>
      </c>
      <c r="G127" s="95">
        <f ca="1">IF(B127=TODAY(),0,-$G$6*(Sheet1!CF129-Sheet1!CF128)*7.48/1000000)</f>
        <v>0.27799450736791548</v>
      </c>
      <c r="H127" s="95">
        <f ca="1">IF(B127=TODAY(),0,-$H$6*(Sheet1!CE129-Sheet1!CE128)*7.48/1000000)</f>
        <v>0</v>
      </c>
      <c r="I127" s="95">
        <f ca="1">IF(B127=TODAY(),0,-$I$6*(Sheet1!CG129-Sheet1!CG128)*7.48/1000000)</f>
        <v>-3.5939903999999995E-2</v>
      </c>
      <c r="J127" s="96" t="s">
        <v>186</v>
      </c>
      <c r="K127" s="95">
        <f ca="1">IF(B127=TODAY(),0,-$K$6*(Sheet1!CH129-Sheet1!CH128)*7.48/1000000)</f>
        <v>-6.0636215407571838E-2</v>
      </c>
      <c r="L127" s="96" t="s">
        <v>186</v>
      </c>
      <c r="M127" s="95">
        <f ca="1">IF(B127=TODAY(),0,-$M$6*(Sheet1!CI129-Sheet1!CI128)*7.48/1000000)</f>
        <v>-0.14393206742421652</v>
      </c>
      <c r="N127" s="95">
        <f ca="1">IF(B127=TODAY(),0,-$N$6*(Sheet1!CJ129-Sheet1!CJ128)*7.48/1000000)</f>
        <v>-0.24820938157849581</v>
      </c>
      <c r="O127" s="95">
        <f t="shared" ca="1" si="14"/>
        <v>-0.52163387668576666</v>
      </c>
      <c r="P127" s="95">
        <f ca="1">O127+Calculation!ES127</f>
        <v>1.8318191525668444</v>
      </c>
      <c r="Q127" s="90" t="str">
        <f>IF(Sheet1!BQ129&gt;25.75,"spill elevation","-")</f>
        <v>-</v>
      </c>
      <c r="R127" s="90" t="str">
        <f>IF(Sheet1!BQ129&gt;25.75,"spill elevation","-")</f>
        <v>-</v>
      </c>
      <c r="S127" s="90" t="str">
        <f>IF(Sheet1!BR129&gt;25.75,"spill elevation","-")</f>
        <v>-</v>
      </c>
      <c r="T127" s="94">
        <f>IF(Sheet1!DU129=1,Sheet1!AA129-(SUM(AT127:BA127)+BE127),Sheet1!AA129-SUM(AT127:BA127))</f>
        <v>17.758848</v>
      </c>
      <c r="U127" s="94">
        <f>Sheet1!BV129</f>
        <v>23.2</v>
      </c>
      <c r="V127" s="94">
        <f t="shared" si="15"/>
        <v>-5.4411519999999989</v>
      </c>
      <c r="W127" s="94">
        <f>0</f>
        <v>0</v>
      </c>
      <c r="X127" s="90">
        <f>0</f>
        <v>0</v>
      </c>
      <c r="Y127" s="95">
        <f ca="1">Calculation!EJ128+Calculation!ES127+'Calculations II'!O127-'Calculations II'!W127</f>
        <v>54.500859152566839</v>
      </c>
      <c r="Z127" s="95">
        <f ca="1">Y127-Sheet1!CT130</f>
        <v>38.257859152566837</v>
      </c>
      <c r="AA127" s="95">
        <f ca="1">Y127+Calculation!DJ128+Calculation!AS128</f>
        <v>64.514268243475939</v>
      </c>
      <c r="AC127" s="95">
        <f>Sheet1!AA129+Sheet1!AB129+BC127</f>
        <v>52.569184</v>
      </c>
      <c r="AD127" s="95">
        <f>Sheet1!AA129+Sheet1!BN129+'Calculations II'!BC127-Calculation!AS127-Calculation!DJ127</f>
        <v>32.562480746373971</v>
      </c>
      <c r="AE127" s="95">
        <f>Sheet1!AA129+Sheet1!AB129+'Calculations II'!BC127-Calculation!AS127-Calculation!DJ127</f>
        <v>42.562480746373971</v>
      </c>
      <c r="AF127" s="95">
        <f ca="1">Sheet1!AA129+Sheet1!BN129+P127+'Calculations II'!BC127+Calculation!AS127+Calculation!DJ127</f>
        <v>54.407706406192872</v>
      </c>
      <c r="AG127" s="95">
        <f ca="1">IF(B127=TODAY(),0,Sheet1!AA129+Sheet1!BN129+'Calculations II'!BC127+'Calculations II'!P127-Sheet1!CT129-BP127)</f>
        <v>28.171003152566843</v>
      </c>
      <c r="AH127" s="95">
        <f ca="1">IF(B127=TODAY(),0,Sheet1!AA129+Sheet1!BN129+'Calculations II'!BC127+'Calculations II'!P127-BP127)</f>
        <v>44.401003152566844</v>
      </c>
      <c r="AI127" s="95">
        <f ca="1">IF(B127=TODAY(),0,BC127+Sheet1!AA129+Calculation!ES127+O127+W127+Sheet1!BN129+Calculation!AS127+Calculation!DJ127-BP127)</f>
        <v>54.407706406192872</v>
      </c>
      <c r="AJ127" s="95"/>
      <c r="AM127" s="91">
        <f t="shared" si="16"/>
        <v>41755</v>
      </c>
      <c r="AN127" s="95">
        <f>Sheet1!BU129</f>
        <v>19.600000000000001</v>
      </c>
      <c r="AO127" s="95">
        <f>Sheet1!AA129</f>
        <v>20.8</v>
      </c>
      <c r="AP127" s="95">
        <f t="shared" si="11"/>
        <v>-2.3267999999999995</v>
      </c>
      <c r="AQ127" s="1055">
        <f>((Sheet1!BV129-(Sheet1!BU129-AP127))/(Sheet1!BU129-AP127))</f>
        <v>5.8065928452852182E-2</v>
      </c>
      <c r="AR127" s="95">
        <f t="shared" si="12"/>
        <v>23.126799999999999</v>
      </c>
      <c r="AS127" s="95">
        <f t="shared" si="13"/>
        <v>21.9268</v>
      </c>
      <c r="AT127" s="90">
        <f>Sheet1!BB129</f>
        <v>1.6</v>
      </c>
      <c r="AU127" s="90">
        <f>Sheet1!AS129*GPMtoMGD</f>
        <v>1.5984000000000002E-2</v>
      </c>
      <c r="AV127" s="95">
        <f>Sheet1!AT129</f>
        <v>0</v>
      </c>
      <c r="AW127" s="90">
        <f>Sheet1!AV129*GPMtoMGD</f>
        <v>0.53467200000000004</v>
      </c>
      <c r="AX127" s="90">
        <f>Sheet1!AW129*GPMtoMGD</f>
        <v>0.89049600000000007</v>
      </c>
      <c r="AY127" s="90">
        <f>Sheet1!AX129*GPMtoMGD</f>
        <v>0</v>
      </c>
      <c r="AZ127" s="90">
        <f>Sheet1!AY129*GPMtoMGD</f>
        <v>0</v>
      </c>
      <c r="BA127" s="90">
        <f>Sheet1!AZ129*GPMtoMGD</f>
        <v>0</v>
      </c>
      <c r="BB127" s="90">
        <f>Sheet1!BP129*GPMtoMGD</f>
        <v>0</v>
      </c>
      <c r="BC127" s="90">
        <f>Sheet1!CS129*GPMtoMGD</f>
        <v>6.269184000000001</v>
      </c>
      <c r="BD127" s="90">
        <f>Sheet1!BO129*GPMtoMGD</f>
        <v>1.8306720000000001</v>
      </c>
      <c r="BE127" s="90">
        <f>Sheet1!BW129*GPMtoMGD</f>
        <v>0.97473600000000005</v>
      </c>
      <c r="BF127" s="90">
        <f>Sheet1!CN129*GPMtoMGD</f>
        <v>1.1808000000000001</v>
      </c>
      <c r="BG127" s="90">
        <f>Sheet1!CO129*GPMtoMGD</f>
        <v>0.50846400000000003</v>
      </c>
      <c r="BH127" s="90">
        <f>Sheet1!CP129*GPMtoMGD</f>
        <v>0.67003200000000007</v>
      </c>
      <c r="BI127" s="90">
        <f t="shared" si="17"/>
        <v>1.8306720000000001</v>
      </c>
      <c r="BK127" s="95">
        <f>SUM(AT127:BA127,BE127,Sheet1!BV129,'Calculations II'!BC127,Calculation!AQ127)</f>
        <v>48.97899595139161</v>
      </c>
      <c r="BM127" s="373">
        <f>0</f>
        <v>0</v>
      </c>
      <c r="BN127" s="373">
        <f>0</f>
        <v>0</v>
      </c>
      <c r="BP127" s="95">
        <f>SUM(BM127:BN127,W127,Sheet1!DX129)</f>
        <v>0</v>
      </c>
    </row>
    <row r="128" spans="1:68" s="90" customFormat="1">
      <c r="A128" s="651" t="s">
        <v>3</v>
      </c>
      <c r="B128" s="92">
        <v>41756</v>
      </c>
      <c r="C128" s="93">
        <v>0</v>
      </c>
      <c r="D128" s="95">
        <f>(Sheet1!BQ130-Sheet1!BQ129)*1.385</f>
        <v>-0.44320000000000037</v>
      </c>
      <c r="E128" s="30">
        <f>(Sheet1!BR130-Sheet1!BR129)*1.385</f>
        <v>-0.44320000000000037</v>
      </c>
      <c r="F128" s="30">
        <f ca="1">IF(B128=TODAY(),0,-(VLOOKUP(Sheet1!CD130,Lookup!$I$4:$J$216,2)-VLOOKUP(Sheet1!CD129,Lookup!$I$4:$J$216,2))/1000000)</f>
        <v>0.31091081564339806</v>
      </c>
      <c r="G128" s="95">
        <f ca="1">IF(B128=TODAY(),0,-$G$6*(Sheet1!CF130-Sheet1!CF129)*7.48/1000000)</f>
        <v>0.23828100631535562</v>
      </c>
      <c r="H128" s="95">
        <f ca="1">IF(B128=TODAY(),0,-$H$6*(Sheet1!CE130-Sheet1!CE129)*7.48/1000000)</f>
        <v>-1.5039432351265274E-2</v>
      </c>
      <c r="I128" s="95">
        <f ca="1">IF(B128=TODAY(),0,-$I$6*(Sheet1!CG130-Sheet1!CG129)*7.48/1000000)</f>
        <v>-8.9849760000000074E-3</v>
      </c>
      <c r="J128" s="96" t="s">
        <v>186</v>
      </c>
      <c r="K128" s="95">
        <f ca="1">IF(B128=TODAY(),0,-$K$6*(Sheet1!CH130-Sheet1!CH129)*7.48/1000000)</f>
        <v>-1.2660308711471127E-2</v>
      </c>
      <c r="L128" s="96" t="s">
        <v>186</v>
      </c>
      <c r="M128" s="95">
        <f ca="1">IF(B128=TODAY(),0,-$M$6*(Sheet1!CI130-Sheet1!CI129)*7.48/1000000)</f>
        <v>-5.3974525284080636E-2</v>
      </c>
      <c r="N128" s="95">
        <f ca="1">IF(B128=TODAY(),0,-$N$6*(Sheet1!CJ130-Sheet1!CJ129)*7.48/1000000)</f>
        <v>3.723140723677465E-2</v>
      </c>
      <c r="O128" s="95">
        <f t="shared" ca="1" si="14"/>
        <v>0.49576398684871126</v>
      </c>
      <c r="P128" s="95">
        <f ca="1">O128+Calculation!ES128</f>
        <v>1.3261728665611663</v>
      </c>
      <c r="Q128" s="90" t="str">
        <f>IF(Sheet1!BQ130&gt;25.75,"spill elevation","-")</f>
        <v>-</v>
      </c>
      <c r="R128" s="90" t="str">
        <f>IF(Sheet1!BQ130&gt;25.75,"spill elevation","-")</f>
        <v>-</v>
      </c>
      <c r="S128" s="90" t="str">
        <f>IF(Sheet1!BR130&gt;25.75,"spill elevation","-")</f>
        <v>-</v>
      </c>
      <c r="T128" s="94">
        <f>IF(Sheet1!DU130=1,Sheet1!AA130-(SUM(AT128:BA128)+BE128),Sheet1!AA130-SUM(AT128:BA128))</f>
        <v>17.624927999999997</v>
      </c>
      <c r="U128" s="94">
        <f>Sheet1!BV130</f>
        <v>21.8</v>
      </c>
      <c r="V128" s="94">
        <f t="shared" si="15"/>
        <v>-4.1750720000000037</v>
      </c>
      <c r="W128" s="94">
        <f>0</f>
        <v>0</v>
      </c>
      <c r="X128" s="90">
        <f>0</f>
        <v>0</v>
      </c>
      <c r="Y128" s="95">
        <f ca="1">Calculation!EJ129+Calculation!ES128+'Calculations II'!O128-'Calculations II'!W128</f>
        <v>55.096236866561171</v>
      </c>
      <c r="Z128" s="95">
        <f ca="1">Y128-Sheet1!CT131</f>
        <v>39.600236866561168</v>
      </c>
      <c r="AA128" s="95">
        <f ca="1">Y128+Calculation!DJ129+Calculation!AS129</f>
        <v>62.766547523265849</v>
      </c>
      <c r="AC128" s="95">
        <f>Sheet1!AA130+Sheet1!AB130+BC128</f>
        <v>52.669039999999995</v>
      </c>
      <c r="AD128" s="95">
        <f>Sheet1!AA130+Sheet1!BN130+'Calculations II'!BC128-Calculation!AS128-Calculation!DJ128</f>
        <v>32.655630909090902</v>
      </c>
      <c r="AE128" s="95">
        <f>Sheet1!AA130+Sheet1!AB130+'Calculations II'!BC128-Calculation!AS128-Calculation!DJ128</f>
        <v>42.655630909090902</v>
      </c>
      <c r="AF128" s="95">
        <f ca="1">Sheet1!AA130+Sheet1!BN130+P128+'Calculations II'!BC128+Calculation!AS128+Calculation!DJ128</f>
        <v>54.008621957470254</v>
      </c>
      <c r="AG128" s="95">
        <f ca="1">IF(B128=TODAY(),0,Sheet1!AA130+Sheet1!BN130+'Calculations II'!BC128+'Calculations II'!P128-Sheet1!CT130-BP128)</f>
        <v>27.752212866561162</v>
      </c>
      <c r="AH128" s="95">
        <f ca="1">IF(B128=TODAY(),0,Sheet1!AA130+Sheet1!BN130+'Calculations II'!BC128+'Calculations II'!P128-BP128)</f>
        <v>43.995212866561161</v>
      </c>
      <c r="AI128" s="95">
        <f ca="1">IF(B128=TODAY(),0,BC128+Sheet1!AA130+Calculation!ES128+O128+W128+Sheet1!BN130+Calculation!AS128+Calculation!DJ128-BP128)</f>
        <v>54.008621957470254</v>
      </c>
      <c r="AJ128" s="95"/>
      <c r="AM128" s="91">
        <f t="shared" si="16"/>
        <v>41756</v>
      </c>
      <c r="AN128" s="95">
        <f>Sheet1!BU130</f>
        <v>19.7</v>
      </c>
      <c r="AO128" s="95">
        <f>Sheet1!AA130</f>
        <v>20.9</v>
      </c>
      <c r="AP128" s="95">
        <f t="shared" si="11"/>
        <v>-0.88640000000000074</v>
      </c>
      <c r="AQ128" s="1055">
        <f>((Sheet1!BV130-(Sheet1!BU130-AP128))/(Sheet1!BU130-AP128))</f>
        <v>5.8951540823067632E-2</v>
      </c>
      <c r="AR128" s="95">
        <f t="shared" si="12"/>
        <v>21.7864</v>
      </c>
      <c r="AS128" s="95">
        <f t="shared" si="13"/>
        <v>20.586400000000001</v>
      </c>
      <c r="AT128" s="90">
        <f>Sheet1!BB130</f>
        <v>1.61</v>
      </c>
      <c r="AU128" s="90">
        <f>Sheet1!AS130*GPMtoMGD</f>
        <v>3.0240000000000003E-2</v>
      </c>
      <c r="AV128" s="95">
        <f>Sheet1!AT130</f>
        <v>0</v>
      </c>
      <c r="AW128" s="90">
        <f>Sheet1!AV130*GPMtoMGD</f>
        <v>0.67636800000000008</v>
      </c>
      <c r="AX128" s="90">
        <f>Sheet1!AW130*GPMtoMGD</f>
        <v>0.95846400000000009</v>
      </c>
      <c r="AY128" s="90">
        <f>Sheet1!AX130*GPMtoMGD</f>
        <v>0</v>
      </c>
      <c r="AZ128" s="90">
        <f>Sheet1!AY130*GPMtoMGD</f>
        <v>0</v>
      </c>
      <c r="BA128" s="90">
        <f>Sheet1!AZ130*GPMtoMGD</f>
        <v>0</v>
      </c>
      <c r="BB128" s="90">
        <f>Sheet1!BP130*GPMtoMGD</f>
        <v>0</v>
      </c>
      <c r="BC128" s="90">
        <f>Sheet1!CS130*GPMtoMGD</f>
        <v>6.2690400000000004</v>
      </c>
      <c r="BD128" s="90">
        <f>Sheet1!BO130*GPMtoMGD</f>
        <v>1.7589600000000001</v>
      </c>
      <c r="BE128" s="90">
        <f>Sheet1!BW130*GPMtoMGD</f>
        <v>0.72504000000000002</v>
      </c>
      <c r="BF128" s="90">
        <f>Sheet1!CN130*GPMtoMGD</f>
        <v>1.1808000000000001</v>
      </c>
      <c r="BG128" s="90">
        <f>Sheet1!CO130*GPMtoMGD</f>
        <v>0.51710400000000012</v>
      </c>
      <c r="BH128" s="90">
        <f>Sheet1!CP130*GPMtoMGD</f>
        <v>0.67723200000000006</v>
      </c>
      <c r="BI128" s="90">
        <f t="shared" si="17"/>
        <v>1.7589600000000001</v>
      </c>
      <c r="BK128" s="95">
        <f>SUM(AT128:BA128,BE128,Sheet1!BV130,'Calculations II'!BC128,Calculation!AQ128)</f>
        <v>47.557004664576809</v>
      </c>
      <c r="BM128" s="373">
        <f>0</f>
        <v>0</v>
      </c>
      <c r="BN128" s="373">
        <f>0</f>
        <v>0</v>
      </c>
      <c r="BP128" s="95">
        <f>SUM(BM128:BN128,W128,Sheet1!DX130)</f>
        <v>0</v>
      </c>
    </row>
    <row r="129" spans="1:68" s="90" customFormat="1">
      <c r="A129" s="651" t="s">
        <v>4</v>
      </c>
      <c r="B129" s="92">
        <v>41757</v>
      </c>
      <c r="C129" s="93">
        <v>0</v>
      </c>
      <c r="D129" s="95">
        <f>(Sheet1!BQ131-Sheet1!BQ130)*1.385</f>
        <v>0.8725499999999986</v>
      </c>
      <c r="E129" s="30">
        <f>(Sheet1!BR131-Sheet1!BR130)*1.385</f>
        <v>0.88640000000000074</v>
      </c>
      <c r="F129" s="30">
        <f ca="1">IF(B129=TODAY(),0,-(VLOOKUP(Sheet1!CD131,Lookup!$I$4:$J$216,2)-VLOOKUP(Sheet1!CD130,Lookup!$I$4:$J$216,2))/1000000)</f>
        <v>0.20727387709559872</v>
      </c>
      <c r="G129" s="95">
        <f ca="1">IF(B129=TODAY(),0,-$G$6*(Sheet1!CF131-Sheet1!CF130)*7.48/1000000)</f>
        <v>0.23828100631535562</v>
      </c>
      <c r="H129" s="95">
        <f ca="1">IF(B129=TODAY(),0,-$H$6*(Sheet1!CE131-Sheet1!CE130)*7.48/1000000)</f>
        <v>1.5039432351265274E-2</v>
      </c>
      <c r="I129" s="95">
        <f ca="1">IF(B129=TODAY(),0,-$I$6*(Sheet1!CG131-Sheet1!CG130)*7.48/1000000)</f>
        <v>1.8868449599999997E-2</v>
      </c>
      <c r="J129" s="96" t="s">
        <v>186</v>
      </c>
      <c r="K129" s="95">
        <f ca="1">IF(B129=TODAY(),0,-$K$6*(Sheet1!CH131-Sheet1!CH130)*7.48/1000000)</f>
        <v>3.3316601872292212E-2</v>
      </c>
      <c r="L129" s="96" t="s">
        <v>186</v>
      </c>
      <c r="M129" s="95">
        <f ca="1">IF(B129=TODAY(),0,-$M$6*(Sheet1!CI131-Sheet1!CI130)*7.48/1000000)</f>
        <v>8.9957542140134933E-2</v>
      </c>
      <c r="N129" s="95">
        <f ca="1">IF(B129=TODAY(),0,-$N$6*(Sheet1!CJ131-Sheet1!CJ130)*7.48/1000000)</f>
        <v>-0.25441461611795807</v>
      </c>
      <c r="O129" s="95">
        <f t="shared" ca="1" si="14"/>
        <v>0.34832229325668862</v>
      </c>
      <c r="P129" s="95">
        <f ca="1">O129+Calculation!ES129</f>
        <v>-1.3126107843191739</v>
      </c>
      <c r="Q129" s="90" t="str">
        <f>IF(Sheet1!BQ131&gt;25.75,"spill elevation","-")</f>
        <v>-</v>
      </c>
      <c r="R129" s="90" t="str">
        <f>IF(Sheet1!BQ131&gt;25.75,"spill elevation","-")</f>
        <v>-</v>
      </c>
      <c r="S129" s="90" t="str">
        <f>IF(Sheet1!BR131&gt;25.75,"spill elevation","-")</f>
        <v>-</v>
      </c>
      <c r="T129" s="94">
        <f>IF(Sheet1!DU131=1,Sheet1!AA131-(SUM(AT129:BA129)+BE129),Sheet1!AA131-SUM(AT129:BA129))</f>
        <v>18.230448000000003</v>
      </c>
      <c r="U129" s="94">
        <f>Sheet1!BV131</f>
        <v>19.7</v>
      </c>
      <c r="V129" s="94">
        <f t="shared" si="15"/>
        <v>-1.4695519999999966</v>
      </c>
      <c r="W129" s="94">
        <f>0</f>
        <v>0</v>
      </c>
      <c r="X129" s="90">
        <f>0</f>
        <v>0</v>
      </c>
      <c r="Y129" s="95">
        <f ca="1">Calculation!EJ130+Calculation!ES129+'Calculations II'!O129-'Calculations II'!W129</f>
        <v>54.757149215680826</v>
      </c>
      <c r="Z129" s="95">
        <f ca="1">Y129-Sheet1!CT132</f>
        <v>39.140149215680822</v>
      </c>
      <c r="AA129" s="95">
        <f ca="1">Y129+Calculation!DJ130+Calculation!AS130</f>
        <v>63.437731739952675</v>
      </c>
      <c r="AC129" s="95">
        <f>Sheet1!AA131+Sheet1!AB131+BC129</f>
        <v>53.770064000000005</v>
      </c>
      <c r="AD129" s="95">
        <f>Sheet1!AA131+Sheet1!BN131+'Calculations II'!BC129-Calculation!AS129-Calculation!DJ129</f>
        <v>38.299753343295322</v>
      </c>
      <c r="AE129" s="95">
        <f>Sheet1!AA131+Sheet1!AB131+'Calculations II'!BC129-Calculation!AS129-Calculation!DJ129</f>
        <v>46.099753343295326</v>
      </c>
      <c r="AF129" s="95">
        <f ca="1">Sheet1!AA131+Sheet1!BN131+P129+'Calculations II'!BC129+Calculation!AS129+Calculation!DJ129</f>
        <v>52.327763872385503</v>
      </c>
      <c r="AG129" s="95">
        <f ca="1">IF(B129=TODAY(),0,Sheet1!AA131+Sheet1!BN131+'Calculations II'!BC129+'Calculations II'!P129-Sheet1!CT131-BP129)</f>
        <v>29.161453215680822</v>
      </c>
      <c r="AH129" s="95">
        <f ca="1">IF(B129=TODAY(),0,Sheet1!AA131+Sheet1!BN131+'Calculations II'!BC129+'Calculations II'!P129-BP129)</f>
        <v>44.657453215680825</v>
      </c>
      <c r="AI129" s="95">
        <f ca="1">IF(B129=TODAY(),0,BC129+Sheet1!AA131+Calculation!ES129+O129+W129+Sheet1!BN131+Calculation!AS129+Calculation!DJ129-BP129)</f>
        <v>52.327763872385511</v>
      </c>
      <c r="AJ129" s="95"/>
      <c r="AM129" s="91">
        <f t="shared" si="16"/>
        <v>41757</v>
      </c>
      <c r="AN129" s="95">
        <f>Sheet1!BU131</f>
        <v>20.2</v>
      </c>
      <c r="AO129" s="95">
        <f>Sheet1!AA131</f>
        <v>20.8</v>
      </c>
      <c r="AP129" s="95">
        <f t="shared" si="11"/>
        <v>1.7589499999999993</v>
      </c>
      <c r="AQ129" s="1055">
        <f>((Sheet1!BV131-(Sheet1!BU131-AP129))/(Sheet1!BU131-AP129))</f>
        <v>6.8268889244375922E-2</v>
      </c>
      <c r="AR129" s="95">
        <f t="shared" si="12"/>
        <v>19.041050000000002</v>
      </c>
      <c r="AS129" s="95">
        <f t="shared" si="13"/>
        <v>18.441050000000001</v>
      </c>
      <c r="AT129" s="90">
        <f>Sheet1!BB131</f>
        <v>1.6</v>
      </c>
      <c r="AU129" s="90">
        <f>Sheet1!AS131*GPMtoMGD</f>
        <v>1.6128E-2</v>
      </c>
      <c r="AV129" s="95">
        <f>Sheet1!AT131</f>
        <v>0</v>
      </c>
      <c r="AW129" s="90">
        <f>Sheet1!AV131*GPMtoMGD</f>
        <v>0.44654400000000005</v>
      </c>
      <c r="AX129" s="90">
        <f>Sheet1!AW131*GPMtoMGD</f>
        <v>0.50688</v>
      </c>
      <c r="AY129" s="90">
        <f>Sheet1!AX131*GPMtoMGD</f>
        <v>0</v>
      </c>
      <c r="AZ129" s="90">
        <f>Sheet1!AY131*GPMtoMGD</f>
        <v>0</v>
      </c>
      <c r="BA129" s="90">
        <f>Sheet1!AZ131*GPMtoMGD</f>
        <v>0</v>
      </c>
      <c r="BB129" s="90">
        <f>Sheet1!BP131*GPMtoMGD</f>
        <v>4.9248000000000007E-2</v>
      </c>
      <c r="BC129" s="90">
        <f>Sheet1!CS131*GPMtoMGD</f>
        <v>7.3700640000000011</v>
      </c>
      <c r="BD129" s="90">
        <f>Sheet1!BO131*GPMtoMGD</f>
        <v>1.431792</v>
      </c>
      <c r="BE129" s="90">
        <f>Sheet1!BW131*GPMtoMGD</f>
        <v>1.0052640000000002</v>
      </c>
      <c r="BF129" s="90">
        <f>Sheet1!CN131*GPMtoMGD</f>
        <v>1.1808000000000001</v>
      </c>
      <c r="BG129" s="90">
        <f>Sheet1!CO131*GPMtoMGD</f>
        <v>0.50659200000000004</v>
      </c>
      <c r="BH129" s="90">
        <f>Sheet1!CP131*GPMtoMGD</f>
        <v>0.69696000000000002</v>
      </c>
      <c r="BI129" s="90">
        <f t="shared" si="17"/>
        <v>1.4810399999999999</v>
      </c>
      <c r="BK129" s="95">
        <f>SUM(AT129:BA129,BE129,Sheet1!BV131,'Calculations II'!BC129,Calculation!AQ129)</f>
        <v>48.563873314982303</v>
      </c>
      <c r="BM129" s="373">
        <f>0</f>
        <v>0</v>
      </c>
      <c r="BN129" s="373">
        <f>0</f>
        <v>0</v>
      </c>
      <c r="BP129" s="95">
        <f>SUM(BM129:BN129,W129,Sheet1!DX131)</f>
        <v>0</v>
      </c>
    </row>
    <row r="130" spans="1:68" s="90" customFormat="1">
      <c r="A130" s="651" t="s">
        <v>5</v>
      </c>
      <c r="B130" s="92">
        <v>41758</v>
      </c>
      <c r="C130" s="93">
        <v>0</v>
      </c>
      <c r="D130" s="95">
        <f>(Sheet1!BQ132-Sheet1!BQ131)*1.385</f>
        <v>0.62324999999999897</v>
      </c>
      <c r="E130" s="30">
        <f>(Sheet1!BR132-Sheet1!BR131)*1.385</f>
        <v>0.62324999999999897</v>
      </c>
      <c r="F130" s="30">
        <f ca="1">IF(B130=TODAY(),0,-(VLOOKUP(Sheet1!CD132,Lookup!$I$4:$J$216,2)-VLOOKUP(Sheet1!CD131,Lookup!$I$4:$J$216,2))/1000000)</f>
        <v>0</v>
      </c>
      <c r="G130" s="95">
        <f ca="1">IF(B130=TODAY(),0,-$G$6*(Sheet1!CF132-Sheet1!CF131)*7.48/1000000)</f>
        <v>-1.0722645284191008</v>
      </c>
      <c r="H130" s="95">
        <f ca="1">IF(B130=TODAY(),0,-$H$6*(Sheet1!CE132-Sheet1!CE131)*7.48/1000000)</f>
        <v>3.0078864702530548E-2</v>
      </c>
      <c r="I130" s="95">
        <f ca="1">IF(B130=TODAY(),0,-$I$6*(Sheet1!CG132-Sheet1!CG131)*7.48/1000000)</f>
        <v>3.0548918399999989E-2</v>
      </c>
      <c r="J130" s="96" t="s">
        <v>186</v>
      </c>
      <c r="K130" s="95">
        <f ca="1">IF(B130=TODAY(),0,-$K$6*(Sheet1!CH132-Sheet1!CH131)*7.48/1000000)</f>
        <v>5.3306562995667592E-2</v>
      </c>
      <c r="L130" s="96" t="s">
        <v>186</v>
      </c>
      <c r="M130" s="95">
        <f ca="1">IF(B130=TODAY(),0,-$M$6*(Sheet1!CI132-Sheet1!CI131)*7.48/1000000)</f>
        <v>0.14393206742421652</v>
      </c>
      <c r="N130" s="95">
        <f ca="1">IF(B130=TODAY(),0,-$N$6*(Sheet1!CJ132-Sheet1!CJ131)*7.48/1000000)</f>
        <v>-0.1737465671049476</v>
      </c>
      <c r="O130" s="95">
        <f t="shared" ca="1" si="14"/>
        <v>-0.98814468200163375</v>
      </c>
      <c r="P130" s="95">
        <f ca="1">O130+Calculation!ES130</f>
        <v>-2.2341488197067285</v>
      </c>
      <c r="Q130" s="90" t="str">
        <f>IF(Sheet1!BQ132&gt;25.75,"spill elevation","-")</f>
        <v>-</v>
      </c>
      <c r="R130" s="90" t="str">
        <f>IF(Sheet1!BQ132&gt;25.75,"spill elevation","-")</f>
        <v>-</v>
      </c>
      <c r="S130" s="90" t="str">
        <f>IF(Sheet1!BR132&gt;25.75,"spill elevation","-")</f>
        <v>-</v>
      </c>
      <c r="T130" s="94">
        <f>IF(Sheet1!DU132=1,Sheet1!AA132-(SUM(AT130:BA130)+BE130),Sheet1!AA132-SUM(AT130:BA130))</f>
        <v>17.814223999999999</v>
      </c>
      <c r="U130" s="94">
        <f>Sheet1!BV132</f>
        <v>19.899999999999999</v>
      </c>
      <c r="V130" s="94">
        <f t="shared" si="15"/>
        <v>-2.0857759999999992</v>
      </c>
      <c r="W130" s="94">
        <f>0</f>
        <v>0</v>
      </c>
      <c r="X130" s="90">
        <f>0</f>
        <v>0</v>
      </c>
      <c r="Y130" s="95">
        <f ca="1">Calculation!EJ131+Calculation!ES130+'Calculations II'!O130-'Calculations II'!W130</f>
        <v>54.452235180293272</v>
      </c>
      <c r="Z130" s="95">
        <f ca="1">Y130-Sheet1!CT133</f>
        <v>39.048235180293275</v>
      </c>
      <c r="AA130" s="95">
        <f ca="1">Y130+Calculation!DJ131+Calculation!AS131</f>
        <v>64.469102838868054</v>
      </c>
      <c r="AC130" s="95">
        <f>Sheet1!AA132+Sheet1!AB132+BC130</f>
        <v>56.069760000000002</v>
      </c>
      <c r="AD130" s="95">
        <f>Sheet1!AA132+Sheet1!BN132+'Calculations II'!BC130-Calculation!AS130-Calculation!DJ130</f>
        <v>38.889177475728154</v>
      </c>
      <c r="AE130" s="95">
        <f>Sheet1!AA132+Sheet1!AB132+'Calculations II'!BC130-Calculation!AS130-Calculation!DJ130</f>
        <v>47.389177475728154</v>
      </c>
      <c r="AF130" s="95">
        <f ca="1">Sheet1!AA132+Sheet1!BN132+P130+'Calculations II'!BC130+Calculation!AS130+Calculation!DJ130</f>
        <v>54.016193704565119</v>
      </c>
      <c r="AG130" s="95">
        <f ca="1">IF(B130=TODAY(),0,Sheet1!AA132+Sheet1!BN132+'Calculations II'!BC130+'Calculations II'!P130-Sheet1!CT132-BP130)</f>
        <v>29.718611180293269</v>
      </c>
      <c r="AH130" s="95">
        <f ca="1">IF(B130=TODAY(),0,Sheet1!AA132+Sheet1!BN132+'Calculations II'!BC130+'Calculations II'!P130-BP130)</f>
        <v>45.33561118029327</v>
      </c>
      <c r="AI130" s="95">
        <f ca="1">IF(B130=TODAY(),0,BC130+Sheet1!AA132+Calculation!ES130+O130+W130+Sheet1!BN132+Calculation!AS130+Calculation!DJ130-BP130)</f>
        <v>54.016193704565119</v>
      </c>
      <c r="AJ130" s="95"/>
      <c r="AM130" s="91">
        <f t="shared" si="16"/>
        <v>41758</v>
      </c>
      <c r="AN130" s="95">
        <f>Sheet1!BU132</f>
        <v>19.8</v>
      </c>
      <c r="AO130" s="95">
        <f>Sheet1!AA132</f>
        <v>20.7</v>
      </c>
      <c r="AP130" s="95">
        <f t="shared" si="11"/>
        <v>1.2464999999999979</v>
      </c>
      <c r="AQ130" s="1055">
        <f>((Sheet1!BV132-(Sheet1!BU132-AP130))/(Sheet1!BU132-AP130))</f>
        <v>7.2573907887999306E-2</v>
      </c>
      <c r="AR130" s="95">
        <f t="shared" si="12"/>
        <v>19.453500000000002</v>
      </c>
      <c r="AS130" s="95">
        <f t="shared" si="13"/>
        <v>18.553500000000003</v>
      </c>
      <c r="AT130" s="90">
        <f>Sheet1!BB132</f>
        <v>1.6</v>
      </c>
      <c r="AU130" s="90">
        <f>Sheet1!AS132*GPMtoMGD</f>
        <v>1.584E-2</v>
      </c>
      <c r="AV130" s="95">
        <f>Sheet1!AT132</f>
        <v>0</v>
      </c>
      <c r="AW130" s="90">
        <f>Sheet1!AV132*GPMtoMGD</f>
        <v>0.56491200000000008</v>
      </c>
      <c r="AX130" s="90">
        <f>Sheet1!AW132*GPMtoMGD</f>
        <v>0.7050240000000001</v>
      </c>
      <c r="AY130" s="90">
        <f>Sheet1!AX132*GPMtoMGD</f>
        <v>0</v>
      </c>
      <c r="AZ130" s="90">
        <f>Sheet1!AY132*GPMtoMGD</f>
        <v>0</v>
      </c>
      <c r="BA130" s="90">
        <f>Sheet1!AZ132*GPMtoMGD</f>
        <v>0</v>
      </c>
      <c r="BB130" s="90">
        <f>Sheet1!BP132*GPMtoMGD</f>
        <v>0</v>
      </c>
      <c r="BC130" s="90">
        <f>Sheet1!CS132*GPMtoMGD</f>
        <v>9.8697600000000012</v>
      </c>
      <c r="BD130" s="90">
        <f>Sheet1!BO132*GPMtoMGD</f>
        <v>1.4683680000000001</v>
      </c>
      <c r="BE130" s="90">
        <f>Sheet1!BW132*GPMtoMGD</f>
        <v>0.7074720000000001</v>
      </c>
      <c r="BF130" s="90">
        <f>Sheet1!CN132*GPMtoMGD</f>
        <v>1.1808000000000001</v>
      </c>
      <c r="BG130" s="90">
        <f>Sheet1!CO132*GPMtoMGD</f>
        <v>0.55555200000000005</v>
      </c>
      <c r="BH130" s="90">
        <f>Sheet1!CP132*GPMtoMGD</f>
        <v>0.68515200000000009</v>
      </c>
      <c r="BI130" s="90">
        <f t="shared" si="17"/>
        <v>1.4683680000000001</v>
      </c>
      <c r="BK130" s="95">
        <f>SUM(AT130:BA130,BE130,Sheet1!BV132,'Calculations II'!BC130,Calculation!AQ130)</f>
        <v>50.197959456310684</v>
      </c>
      <c r="BM130" s="373">
        <f>0</f>
        <v>0</v>
      </c>
      <c r="BN130" s="373">
        <f>0</f>
        <v>0</v>
      </c>
      <c r="BP130" s="95">
        <f>SUM(BM130:BN130,W130,Sheet1!DX132)</f>
        <v>0</v>
      </c>
    </row>
    <row r="131" spans="1:68" s="90" customFormat="1">
      <c r="A131" s="651" t="s">
        <v>6</v>
      </c>
      <c r="B131" s="92">
        <v>41759</v>
      </c>
      <c r="C131" s="93">
        <v>0</v>
      </c>
      <c r="D131" s="95">
        <f>(Sheet1!BQ133-Sheet1!BQ132)*1.385</f>
        <v>-0.34625</v>
      </c>
      <c r="E131" s="30">
        <f>(Sheet1!BR133-Sheet1!BR132)*1.385</f>
        <v>-0.34625</v>
      </c>
      <c r="F131" s="30">
        <f ca="1">IF(B131=TODAY(),0,-(VLOOKUP(Sheet1!CD133,Lookup!$I$4:$J$216,2)-VLOOKUP(Sheet1!CD132,Lookup!$I$4:$J$216,2))/1000000)</f>
        <v>-0.10363693854779936</v>
      </c>
      <c r="G131" s="95">
        <f ca="1">IF(B131=TODAY(),0,-$G$6*(Sheet1!CF133-Sheet1!CF132)*7.48/1000000)</f>
        <v>0.35742150947303314</v>
      </c>
      <c r="H131" s="95">
        <f ca="1">IF(B131=TODAY(),0,-$H$6*(Sheet1!CE133-Sheet1!CE132)*7.48/1000000)</f>
        <v>3.0078864702529479E-2</v>
      </c>
      <c r="I131" s="95">
        <f ca="1">IF(B131=TODAY(),0,-$I$6*(Sheet1!CG133-Sheet1!CG132)*7.48/1000000)</f>
        <v>-8.535727199999997E-2</v>
      </c>
      <c r="J131" s="96" t="s">
        <v>186</v>
      </c>
      <c r="K131" s="95">
        <f ca="1">IF(B131=TODAY(),0,-$K$6*(Sheet1!CH133-Sheet1!CH132)*7.48/1000000)</f>
        <v>-0.15325636861254421</v>
      </c>
      <c r="L131" s="96" t="s">
        <v>186</v>
      </c>
      <c r="M131" s="95">
        <f ca="1">IF(B131=TODAY(),0,-$M$6*(Sheet1!CI133-Sheet1!CI132)*7.48/1000000)</f>
        <v>-0.40480893963060882</v>
      </c>
      <c r="N131" s="95">
        <f ca="1">IF(B131=TODAY(),0,-$N$6*(Sheet1!CJ133-Sheet1!CJ132)*7.48/1000000)</f>
        <v>-0.14272039440763412</v>
      </c>
      <c r="O131" s="95">
        <f t="shared" ca="1" si="14"/>
        <v>-0.50227953902302391</v>
      </c>
      <c r="P131" s="95">
        <f ca="1">O131+Calculation!ES131</f>
        <v>0.18997773052572753</v>
      </c>
      <c r="Q131" s="90" t="str">
        <f>IF(Sheet1!BQ133&gt;25.75,"spill elevation","-")</f>
        <v>-</v>
      </c>
      <c r="R131" s="90" t="str">
        <f>IF(Sheet1!BQ133&gt;25.75,"spill elevation","-")</f>
        <v>-</v>
      </c>
      <c r="S131" s="90" t="str">
        <f>IF(Sheet1!BR133&gt;25.75,"spill elevation","-")</f>
        <v>-</v>
      </c>
      <c r="T131" s="94">
        <f>IF(Sheet1!DU133=1,Sheet1!AA133-(SUM(AT131:BA131)+BE131),Sheet1!AA133-SUM(AT131:BA131))</f>
        <v>17.816016000000001</v>
      </c>
      <c r="U131" s="94">
        <f>Sheet1!BV133</f>
        <v>21.7</v>
      </c>
      <c r="V131" s="94">
        <f t="shared" si="15"/>
        <v>-3.8839839999999981</v>
      </c>
      <c r="W131" s="94">
        <f>0</f>
        <v>0</v>
      </c>
      <c r="X131" s="90">
        <f>0</f>
        <v>0</v>
      </c>
      <c r="Y131" s="95">
        <f ca="1">Calculation!EJ132+Calculation!ES131+'Calculations II'!O131-'Calculations II'!W131</f>
        <v>57.098009730525739</v>
      </c>
      <c r="Z131" s="95">
        <f ca="1">Y131-Sheet1!CT134</f>
        <v>40.266009730525738</v>
      </c>
      <c r="AA131" s="95">
        <f ca="1">Y131+Calculation!DJ132+Calculation!AS132</f>
        <v>67.115149247283341</v>
      </c>
      <c r="AC131" s="95">
        <f>Sheet1!AA133+Sheet1!AB133+BC131</f>
        <v>56.686383999999997</v>
      </c>
      <c r="AD131" s="95">
        <f>Sheet1!AA133+Sheet1!BN133+'Calculations II'!BC131-Calculation!AS131-Calculation!DJ131</f>
        <v>36.699516341425209</v>
      </c>
      <c r="AE131" s="95">
        <f>Sheet1!AA133+Sheet1!AB133+'Calculations II'!BC131-Calculation!AS131-Calculation!DJ131</f>
        <v>46.669516341425208</v>
      </c>
      <c r="AF131" s="95">
        <f ca="1">Sheet1!AA133+Sheet1!BN133+P131+'Calculations II'!BC131+Calculation!AS131+Calculation!DJ131</f>
        <v>56.923229389100513</v>
      </c>
      <c r="AG131" s="95">
        <f ca="1">IF(B131=TODAY(),0,Sheet1!AA133+Sheet1!BN133+'Calculations II'!BC131+'Calculations II'!P131-Sheet1!CT133-BP131)</f>
        <v>31.502361730525724</v>
      </c>
      <c r="AH131" s="95">
        <f ca="1">IF(B131=TODAY(),0,Sheet1!AA133+Sheet1!BN133+'Calculations II'!BC131+'Calculations II'!P131-BP131)</f>
        <v>46.906361730525724</v>
      </c>
      <c r="AI131" s="95">
        <f ca="1">IF(B131=TODAY(),0,BC131+Sheet1!AA133+Calculation!ES131+O131+W131+Sheet1!BN133+Calculation!AS131+Calculation!DJ131-BP131)</f>
        <v>56.923229389100513</v>
      </c>
      <c r="AJ131" s="95"/>
      <c r="AM131" s="91">
        <f t="shared" si="16"/>
        <v>41759</v>
      </c>
      <c r="AN131" s="95">
        <f>Sheet1!BU133</f>
        <v>19.7</v>
      </c>
      <c r="AO131" s="95">
        <f>Sheet1!AA133</f>
        <v>20.8</v>
      </c>
      <c r="AP131" s="95">
        <f t="shared" si="11"/>
        <v>-0.6925</v>
      </c>
      <c r="AQ131" s="1055">
        <f>((Sheet1!BV133-(Sheet1!BU133-AP131))/(Sheet1!BU133-AP131))</f>
        <v>6.4116709574598557E-2</v>
      </c>
      <c r="AR131" s="95">
        <f t="shared" si="12"/>
        <v>21.4925</v>
      </c>
      <c r="AS131" s="95">
        <f t="shared" si="13"/>
        <v>20.392499999999998</v>
      </c>
      <c r="AT131" s="90">
        <f>Sheet1!BB133</f>
        <v>1.6</v>
      </c>
      <c r="AU131" s="90">
        <f>Sheet1!AS133*GPMtoMGD</f>
        <v>3.168E-2</v>
      </c>
      <c r="AV131" s="95">
        <f>Sheet1!AT133</f>
        <v>0</v>
      </c>
      <c r="AW131" s="90">
        <f>Sheet1!AV133*GPMtoMGD</f>
        <v>0.53481599999999996</v>
      </c>
      <c r="AX131" s="90">
        <f>Sheet1!AW133*GPMtoMGD</f>
        <v>0.8174880000000001</v>
      </c>
      <c r="AY131" s="90">
        <f>Sheet1!AX133*GPMtoMGD</f>
        <v>0</v>
      </c>
      <c r="AZ131" s="90">
        <f>Sheet1!AY133*GPMtoMGD</f>
        <v>0</v>
      </c>
      <c r="BA131" s="90">
        <f>Sheet1!AZ133*GPMtoMGD</f>
        <v>0</v>
      </c>
      <c r="BB131" s="90">
        <f>Sheet1!BP133*GPMtoMGD</f>
        <v>0</v>
      </c>
      <c r="BC131" s="90">
        <f>Sheet1!CS133*GPMtoMGD</f>
        <v>10.416384000000001</v>
      </c>
      <c r="BD131" s="90">
        <f>Sheet1!BO133*GPMtoMGD</f>
        <v>2.286432</v>
      </c>
      <c r="BE131" s="90">
        <f>Sheet1!BW133*GPMtoMGD</f>
        <v>1.032192</v>
      </c>
      <c r="BF131" s="90">
        <f>Sheet1!CN133*GPMtoMGD</f>
        <v>1.1808000000000001</v>
      </c>
      <c r="BG131" s="90">
        <f>Sheet1!CO133*GPMtoMGD</f>
        <v>0.59572800000000004</v>
      </c>
      <c r="BH131" s="90">
        <f>Sheet1!CP133*GPMtoMGD</f>
        <v>0.70848</v>
      </c>
      <c r="BI131" s="90">
        <f t="shared" si="17"/>
        <v>2.286432</v>
      </c>
      <c r="BK131" s="95">
        <f>SUM(AT131:BA131,BE131,Sheet1!BV133,'Calculations II'!BC131,Calculation!AQ131)</f>
        <v>51.590077619420512</v>
      </c>
      <c r="BM131" s="373">
        <f>0</f>
        <v>0</v>
      </c>
      <c r="BN131" s="373">
        <f>0</f>
        <v>0</v>
      </c>
      <c r="BP131" s="95">
        <f>SUM(BM131:BN131,W131,Sheet1!DX133)</f>
        <v>0</v>
      </c>
    </row>
    <row r="132" spans="1:68" s="90" customFormat="1">
      <c r="A132" s="651" t="s">
        <v>7</v>
      </c>
      <c r="B132" s="92">
        <v>41760</v>
      </c>
      <c r="C132" s="93">
        <v>0</v>
      </c>
      <c r="D132" s="95">
        <f>(Sheet1!BQ134-Sheet1!BQ133)*1.385</f>
        <v>-0.65094999999999847</v>
      </c>
      <c r="E132" s="30">
        <f>(Sheet1!BR134-Sheet1!BR133)*1.385</f>
        <v>-0.65095000000000336</v>
      </c>
      <c r="F132" s="30">
        <f ca="1">IF(B132=TODAY(),0,-(VLOOKUP(Sheet1!CD134,Lookup!$I$4:$J$216,2)-VLOOKUP(Sheet1!CD133,Lookup!$I$4:$J$216,2))/1000000)</f>
        <v>0.20727387709559872</v>
      </c>
      <c r="G132" s="95">
        <f ca="1">IF(B132=TODAY(),0,-$G$6*(Sheet1!CF134-Sheet1!CF133)*7.48/1000000)</f>
        <v>0.3177080084204747</v>
      </c>
      <c r="H132" s="95">
        <f ca="1">IF(B132=TODAY(),0,-$H$6*(Sheet1!CE134-Sheet1!CE133)*7.48/1000000)</f>
        <v>3.0078864702530548E-2</v>
      </c>
      <c r="I132" s="95">
        <f ca="1">IF(B132=TODAY(),0,-$I$6*(Sheet1!CG134-Sheet1!CG133)*7.48/1000000)</f>
        <v>3.5939903999999995E-2</v>
      </c>
      <c r="J132" s="96" t="s">
        <v>186</v>
      </c>
      <c r="K132" s="95">
        <f ca="1">IF(B132=TODAY(),0,-$K$6*(Sheet1!CH134-Sheet1!CH133)*7.48/1000000)</f>
        <v>6.6633203744584424E-2</v>
      </c>
      <c r="L132" s="96" t="s">
        <v>186</v>
      </c>
      <c r="M132" s="95">
        <f ca="1">IF(B132=TODAY(),0,-$M$6*(Sheet1!CI134-Sheet1!CI133)*7.48/1000000)</f>
        <v>0.18351338596587644</v>
      </c>
      <c r="N132" s="95">
        <f ca="1">IF(B132=TODAY(),0,-$N$6*(Sheet1!CJ134-Sheet1!CJ133)*7.48/1000000)</f>
        <v>0.1178994562497851</v>
      </c>
      <c r="O132" s="95">
        <f t="shared" ca="1" si="14"/>
        <v>0.95904670017884996</v>
      </c>
      <c r="P132" s="95">
        <f ca="1">O132+Calculation!ES132</f>
        <v>2.2049034733157113</v>
      </c>
      <c r="Q132" s="90" t="str">
        <f>IF(Sheet1!BQ134&gt;25.75,"spill elevation","-")</f>
        <v>-</v>
      </c>
      <c r="R132" s="90" t="str">
        <f>IF(Sheet1!BQ134&gt;25.75,"spill elevation","-")</f>
        <v>-</v>
      </c>
      <c r="S132" s="90" t="str">
        <f>IF(Sheet1!BR134&gt;25.75,"spill elevation","-")</f>
        <v>-</v>
      </c>
      <c r="T132" s="94">
        <f>IF(Sheet1!DU134=1,Sheet1!AA134-(SUM(AT132:BA132)+BE132),Sheet1!AA134-SUM(AT132:BA132))</f>
        <v>17.640991999999997</v>
      </c>
      <c r="U132" s="94">
        <f>Sheet1!BV134</f>
        <v>22.3</v>
      </c>
      <c r="V132" s="94">
        <f t="shared" si="15"/>
        <v>-4.6590080000000036</v>
      </c>
      <c r="W132" s="94">
        <f>0</f>
        <v>0</v>
      </c>
      <c r="X132" s="90">
        <f>0</f>
        <v>0</v>
      </c>
      <c r="Y132" s="95">
        <f ca="1">Calculation!EJ133+Calculation!ES132+'Calculations II'!O132-'Calculations II'!W132</f>
        <v>56.729383473315714</v>
      </c>
      <c r="Z132" s="95">
        <f ca="1">Y132-Sheet1!CT135</f>
        <v>40.443383473315713</v>
      </c>
      <c r="AA132" s="95">
        <f ca="1">Y132+Calculation!DJ133+Calculation!AS133</f>
        <v>66.862651575076967</v>
      </c>
      <c r="AC132" s="95">
        <f>Sheet1!AA134+Sheet1!AB134+BC132</f>
        <v>56.908032000000006</v>
      </c>
      <c r="AD132" s="95">
        <f>Sheet1!AA134+Sheet1!BN134+'Calculations II'!BC132-Calculation!AS132-Calculation!DJ132</f>
        <v>36.960892483242397</v>
      </c>
      <c r="AE132" s="95">
        <f>Sheet1!AA134+Sheet1!AB134+'Calculations II'!BC132-Calculation!AS132-Calculation!DJ132</f>
        <v>46.890892483242403</v>
      </c>
      <c r="AF132" s="95">
        <f ca="1">Sheet1!AA134+Sheet1!BN134+P132+'Calculations II'!BC132+Calculation!AS132+Calculation!DJ132</f>
        <v>59.200074990073311</v>
      </c>
      <c r="AG132" s="95">
        <f ca="1">IF(B132=TODAY(),0,Sheet1!AA134+Sheet1!BN134+'Calculations II'!BC132+'Calculations II'!P132-Sheet1!CT134-BP132)</f>
        <v>32.350935473315708</v>
      </c>
      <c r="AH132" s="95">
        <f ca="1">IF(B132=TODAY(),0,Sheet1!AA134+Sheet1!BN134+'Calculations II'!BC132+'Calculations II'!P132-BP132)</f>
        <v>49.182935473315709</v>
      </c>
      <c r="AI132" s="95">
        <f ca="1">IF(B132=TODAY(),0,BC132+Sheet1!AA134+Calculation!ES132+O132+W132+Sheet1!BN134+Calculation!AS132+Calculation!DJ132-BP132)</f>
        <v>59.200074990073318</v>
      </c>
      <c r="AJ132" s="95"/>
      <c r="AM132" s="91">
        <f t="shared" si="16"/>
        <v>41760</v>
      </c>
      <c r="AN132" s="95">
        <f>Sheet1!BU134</f>
        <v>19.600000000000001</v>
      </c>
      <c r="AO132" s="95">
        <f>Sheet1!AA134</f>
        <v>20.7</v>
      </c>
      <c r="AP132" s="95">
        <f t="shared" si="11"/>
        <v>-1.3019000000000018</v>
      </c>
      <c r="AQ132" s="1055">
        <f>((Sheet1!BV134-(Sheet1!BU134-AP132))/(Sheet1!BU134-AP132))</f>
        <v>6.688865605519094E-2</v>
      </c>
      <c r="AR132" s="95">
        <f t="shared" si="12"/>
        <v>22.001900000000003</v>
      </c>
      <c r="AS132" s="95">
        <f t="shared" si="13"/>
        <v>20.901900000000005</v>
      </c>
      <c r="AT132" s="90">
        <f>Sheet1!BB134</f>
        <v>1.6</v>
      </c>
      <c r="AU132" s="90">
        <f>Sheet1!AS134*GPMtoMGD</f>
        <v>1.5984000000000002E-2</v>
      </c>
      <c r="AV132" s="95">
        <f>Sheet1!AT134</f>
        <v>0</v>
      </c>
      <c r="AW132" s="90">
        <f>Sheet1!AV134*GPMtoMGD</f>
        <v>0.57369599999999998</v>
      </c>
      <c r="AX132" s="90">
        <f>Sheet1!AW134*GPMtoMGD</f>
        <v>0.8693280000000001</v>
      </c>
      <c r="AY132" s="90">
        <f>Sheet1!AX134*GPMtoMGD</f>
        <v>0</v>
      </c>
      <c r="AZ132" s="90">
        <f>Sheet1!AY134*GPMtoMGD</f>
        <v>0</v>
      </c>
      <c r="BA132" s="90">
        <f>Sheet1!AZ134*GPMtoMGD</f>
        <v>0</v>
      </c>
      <c r="BB132" s="90">
        <f>Sheet1!BP134*GPMtoMGD</f>
        <v>0</v>
      </c>
      <c r="BC132" s="90">
        <f>Sheet1!CS134*GPMtoMGD</f>
        <v>10.678032000000002</v>
      </c>
      <c r="BD132" s="90">
        <f>Sheet1!BO134*GPMtoMGD</f>
        <v>1.6608960000000002</v>
      </c>
      <c r="BE132" s="90">
        <f>Sheet1!BW134*GPMtoMGD</f>
        <v>1.0765440000000002</v>
      </c>
      <c r="BF132" s="90">
        <f>Sheet1!CN134*GPMtoMGD</f>
        <v>1.1808000000000001</v>
      </c>
      <c r="BG132" s="90">
        <f>Sheet1!CO134*GPMtoMGD</f>
        <v>0.593136</v>
      </c>
      <c r="BH132" s="90">
        <f>Sheet1!CP134*GPMtoMGD</f>
        <v>0.7074720000000001</v>
      </c>
      <c r="BI132" s="90">
        <f t="shared" si="17"/>
        <v>1.6608960000000002</v>
      </c>
      <c r="BK132" s="95">
        <f>SUM(AT132:BA132,BE132,Sheet1!BV134,'Calculations II'!BC132,Calculation!AQ132)</f>
        <v>52.634550484801252</v>
      </c>
      <c r="BM132" s="373">
        <f>0</f>
        <v>0</v>
      </c>
      <c r="BN132" s="373">
        <f>0</f>
        <v>0</v>
      </c>
      <c r="BP132" s="95">
        <f>SUM(BM132:BN132,W132,Sheet1!DX134)</f>
        <v>0</v>
      </c>
    </row>
    <row r="133" spans="1:68" s="90" customFormat="1">
      <c r="A133" s="651" t="s">
        <v>8</v>
      </c>
      <c r="B133" s="92">
        <v>41761</v>
      </c>
      <c r="C133" s="93">
        <v>0</v>
      </c>
      <c r="D133" s="95">
        <f>(Sheet1!BQ135-Sheet1!BQ134)*1.385</f>
        <v>-1.3849999999997245E-2</v>
      </c>
      <c r="E133" s="30">
        <f>(Sheet1!BR135-Sheet1!BR134)*1.385</f>
        <v>-0.11079999999999764</v>
      </c>
      <c r="F133" s="30">
        <f ca="1">IF(B133=TODAY(),0,-(VLOOKUP(Sheet1!CD135,Lookup!$I$4:$J$216,2)-VLOOKUP(Sheet1!CD134,Lookup!$I$4:$J$216,2))/1000000)</f>
        <v>0.31091081564340367</v>
      </c>
      <c r="G133" s="95">
        <f ca="1">IF(B133=TODAY(),0,-$G$6*(Sheet1!CF135-Sheet1!CF134)*7.48/1000000)</f>
        <v>0.27799450736791476</v>
      </c>
      <c r="H133" s="95">
        <f ca="1">IF(B133=TODAY(),0,-$H$6*(Sheet1!CE135-Sheet1!CE134)*7.48/1000000)</f>
        <v>-1.5039432351265274E-2</v>
      </c>
      <c r="I133" s="95">
        <f ca="1">IF(B133=TODAY(),0,-$I$6*(Sheet1!CG135-Sheet1!CG134)*7.48/1000000)</f>
        <v>3.5939903999999995E-2</v>
      </c>
      <c r="J133" s="96" t="s">
        <v>186</v>
      </c>
      <c r="K133" s="95">
        <f ca="1">IF(B133=TODAY(),0,-$K$6*(Sheet1!CH135-Sheet1!CH134)*7.48/1000000)</f>
        <v>5.9969883370126001E-2</v>
      </c>
      <c r="L133" s="96" t="s">
        <v>186</v>
      </c>
      <c r="M133" s="95">
        <f ca="1">IF(B133=TODAY(),0,-$M$6*(Sheet1!CI135-Sheet1!CI134)*7.48/1000000)</f>
        <v>0.16732102838065116</v>
      </c>
      <c r="N133" s="95">
        <f ca="1">IF(B133=TODAY(),0,-$N$6*(Sheet1!CJ135-Sheet1!CJ134)*7.48/1000000)</f>
        <v>0.87493807006419722</v>
      </c>
      <c r="O133" s="95">
        <f t="shared" ca="1" si="14"/>
        <v>1.7120347764750274</v>
      </c>
      <c r="P133" s="95">
        <f ca="1">O133+Calculation!ES133</f>
        <v>1.9888569556768614</v>
      </c>
      <c r="Q133" s="90" t="str">
        <f>IF(Sheet1!BQ135&gt;25.75,"spill elevation","-")</f>
        <v>-</v>
      </c>
      <c r="R133" s="90" t="str">
        <f>IF(Sheet1!BQ135&gt;25.75,"spill elevation","-")</f>
        <v>-</v>
      </c>
      <c r="S133" s="90" t="str">
        <f>IF(Sheet1!BR135&gt;25.75,"spill elevation","-")</f>
        <v>-</v>
      </c>
      <c r="T133" s="94">
        <f>IF(Sheet1!DU135=1,Sheet1!AA135-(SUM(AT133:BA133)+BE133),Sheet1!AA135-SUM(AT133:BA133))</f>
        <v>18.428799999999999</v>
      </c>
      <c r="U133" s="94">
        <f>Sheet1!BV135</f>
        <v>21.4</v>
      </c>
      <c r="V133" s="94">
        <f t="shared" si="15"/>
        <v>-2.9711999999999996</v>
      </c>
      <c r="W133" s="94">
        <f>0</f>
        <v>0</v>
      </c>
      <c r="X133" s="90">
        <f>0</f>
        <v>0</v>
      </c>
      <c r="Y133" s="95">
        <f ca="1">Calculation!EJ134+Calculation!ES133+'Calculations II'!O133-'Calculations II'!W133</f>
        <v>62.152568955676863</v>
      </c>
      <c r="Z133" s="95">
        <f ca="1">Y133-Sheet1!CT136</f>
        <v>45.829568955676862</v>
      </c>
      <c r="AA133" s="95">
        <f ca="1">Y133+Calculation!DJ134+Calculation!AS134</f>
        <v>72.249290267152261</v>
      </c>
      <c r="AC133" s="95">
        <f>Sheet1!AA135+Sheet1!AB135+BC133</f>
        <v>54.524479999999997</v>
      </c>
      <c r="AD133" s="95">
        <f>Sheet1!AA135+Sheet1!BN135+'Calculations II'!BC133-Calculation!AS133-Calculation!DJ133</f>
        <v>34.291211898238743</v>
      </c>
      <c r="AE133" s="95">
        <f>Sheet1!AA135+Sheet1!AB135+'Calculations II'!BC133-Calculation!AS133-Calculation!DJ133</f>
        <v>44.391211898238744</v>
      </c>
      <c r="AF133" s="95">
        <f ca="1">Sheet1!AA135+Sheet1!BN135+P133+'Calculations II'!BC133+Calculation!AS133+Calculation!DJ133</f>
        <v>56.546605057438107</v>
      </c>
      <c r="AG133" s="95">
        <f ca="1">IF(B133=TODAY(),0,Sheet1!AA135+Sheet1!BN135+'Calculations II'!BC133+'Calculations II'!P133-Sheet1!CT135-BP133)</f>
        <v>30.127336955676853</v>
      </c>
      <c r="AH133" s="95">
        <f ca="1">IF(B133=TODAY(),0,Sheet1!AA135+Sheet1!BN135+'Calculations II'!BC133+'Calculations II'!P133-BP133)</f>
        <v>46.413336955676854</v>
      </c>
      <c r="AI133" s="95">
        <f ca="1">IF(B133=TODAY(),0,BC133+Sheet1!AA135+Calculation!ES133+O133+W133+Sheet1!BN135+Calculation!AS133+Calculation!DJ133-BP133)</f>
        <v>56.546605057438107</v>
      </c>
      <c r="AJ133" s="95"/>
      <c r="AM133" s="91">
        <f t="shared" si="16"/>
        <v>41761</v>
      </c>
      <c r="AN133" s="95">
        <f>Sheet1!BU135</f>
        <v>20</v>
      </c>
      <c r="AO133" s="95">
        <f>Sheet1!AA135</f>
        <v>20.9</v>
      </c>
      <c r="AP133" s="95">
        <f t="shared" si="11"/>
        <v>-0.12464999999999488</v>
      </c>
      <c r="AQ133" s="1055">
        <f>((Sheet1!BV135-(Sheet1!BU135-AP133))/(Sheet1!BU135-AP133))</f>
        <v>6.337253070239747E-2</v>
      </c>
      <c r="AR133" s="95">
        <f t="shared" si="12"/>
        <v>21.024649999999994</v>
      </c>
      <c r="AS133" s="95">
        <f t="shared" si="13"/>
        <v>20.124649999999995</v>
      </c>
      <c r="AT133" s="90">
        <f>Sheet1!BB135</f>
        <v>1.6</v>
      </c>
      <c r="AU133" s="90">
        <f>Sheet1!AS135*GPMtoMGD</f>
        <v>3.1104000000000003E-2</v>
      </c>
      <c r="AV133" s="95">
        <f>Sheet1!AT135</f>
        <v>0</v>
      </c>
      <c r="AW133" s="90">
        <f>Sheet1!AV135*GPMtoMGD</f>
        <v>0.34905600000000003</v>
      </c>
      <c r="AX133" s="90">
        <f>Sheet1!AW135*GPMtoMGD</f>
        <v>0.49104000000000003</v>
      </c>
      <c r="AY133" s="90">
        <f>Sheet1!AX135*GPMtoMGD</f>
        <v>0</v>
      </c>
      <c r="AZ133" s="90">
        <f>Sheet1!AY135*GPMtoMGD</f>
        <v>0</v>
      </c>
      <c r="BA133" s="90">
        <f>Sheet1!AZ135*GPMtoMGD</f>
        <v>0</v>
      </c>
      <c r="BB133" s="90">
        <f>Sheet1!BP135*GPMtoMGD</f>
        <v>0</v>
      </c>
      <c r="BC133" s="90">
        <f>Sheet1!CS135*GPMtoMGD</f>
        <v>8.1244800000000001</v>
      </c>
      <c r="BD133" s="90">
        <f>Sheet1!BO135*GPMtoMGD</f>
        <v>1.5359039999999999</v>
      </c>
      <c r="BE133" s="90">
        <f>Sheet1!BW135*GPMtoMGD</f>
        <v>0.72187200000000007</v>
      </c>
      <c r="BF133" s="90">
        <f>Sheet1!CN135*GPMtoMGD</f>
        <v>1.1808000000000001</v>
      </c>
      <c r="BG133" s="90">
        <f>Sheet1!CO135*GPMtoMGD</f>
        <v>0.53553600000000001</v>
      </c>
      <c r="BH133" s="90">
        <f>Sheet1!CP135*GPMtoMGD</f>
        <v>0.72403200000000001</v>
      </c>
      <c r="BI133" s="90">
        <f t="shared" si="17"/>
        <v>1.5359039999999999</v>
      </c>
      <c r="BK133" s="95">
        <f>SUM(AT133:BA133,BE133,Sheet1!BV135,'Calculations II'!BC133,Calculation!AQ133)</f>
        <v>48.087415013698632</v>
      </c>
      <c r="BM133" s="373">
        <f>0</f>
        <v>0</v>
      </c>
      <c r="BN133" s="373">
        <f>0</f>
        <v>0</v>
      </c>
      <c r="BP133" s="95">
        <f>SUM(BM133:BN133,W133,Sheet1!DX135)</f>
        <v>0</v>
      </c>
    </row>
    <row r="134" spans="1:68" s="90" customFormat="1">
      <c r="A134" s="651" t="s">
        <v>9</v>
      </c>
      <c r="B134" s="92">
        <v>41762</v>
      </c>
      <c r="C134" s="93">
        <v>0</v>
      </c>
      <c r="D134" s="95">
        <f>(Sheet1!BQ136-Sheet1!BQ135)*1.385</f>
        <v>1.661999999999999</v>
      </c>
      <c r="E134" s="30">
        <f>(Sheet1!BR136-Sheet1!BR135)*1.385</f>
        <v>1.8005000000000011</v>
      </c>
      <c r="F134" s="30">
        <f ca="1">IF(B134=TODAY(),0,-(VLOOKUP(Sheet1!CD136,Lookup!$I$4:$J$216,2)-VLOOKUP(Sheet1!CD135,Lookup!$I$4:$J$216,2))/1000000)</f>
        <v>-0.51818469273900236</v>
      </c>
      <c r="G134" s="95">
        <f ca="1">IF(B134=TODAY(),0,-$G$6*(Sheet1!CF136-Sheet1!CF135)*7.48/1000000)</f>
        <v>-0.95312402526142248</v>
      </c>
      <c r="H134" s="95">
        <f ca="1">IF(B134=TODAY(),0,-$H$6*(Sheet1!CE136-Sheet1!CE135)*7.48/1000000)</f>
        <v>-6.0157729405060027E-2</v>
      </c>
      <c r="I134" s="95">
        <f ca="1">IF(B134=TODAY(),0,-$I$6*(Sheet1!CG136-Sheet1!CG135)*7.48/1000000)</f>
        <v>0</v>
      </c>
      <c r="J134" s="96" t="s">
        <v>186</v>
      </c>
      <c r="K134" s="95">
        <f ca="1">IF(B134=TODAY(),0,-$K$6*(Sheet1!CH136-Sheet1!CH135)*7.48/1000000)</f>
        <v>0</v>
      </c>
      <c r="L134" s="96" t="s">
        <v>186</v>
      </c>
      <c r="M134" s="95">
        <f ca="1">IF(B134=TODAY(),0,-$M$6*(Sheet1!CI136-Sheet1!CI135)*7.48/1000000)</f>
        <v>0</v>
      </c>
      <c r="N134" s="95">
        <f ca="1">IF(B134=TODAY(),0,-$N$6*(Sheet1!CJ136-Sheet1!CJ135)*7.48/1000000)</f>
        <v>-0.41575071414398007</v>
      </c>
      <c r="O134" s="95">
        <f t="shared" ca="1" si="14"/>
        <v>-1.9472171615494649</v>
      </c>
      <c r="P134" s="95">
        <f ca="1">O134+Calculation!ES134</f>
        <v>-5.4084138280396843</v>
      </c>
      <c r="Q134" s="90" t="str">
        <f>IF(Sheet1!BQ136&gt;25.75,"spill elevation","-")</f>
        <v>-</v>
      </c>
      <c r="R134" s="90" t="str">
        <f>IF(Sheet1!BQ136&gt;25.75,"spill elevation","-")</f>
        <v>-</v>
      </c>
      <c r="S134" s="90" t="str">
        <f>IF(Sheet1!BR136&gt;25.75,"spill elevation","-")</f>
        <v>-</v>
      </c>
      <c r="T134" s="94">
        <f>IF(Sheet1!DU136=1,Sheet1!AA136-(SUM(AT134:BA134)+BE134),Sheet1!AA136-SUM(AT134:BA134))</f>
        <v>18.421616</v>
      </c>
      <c r="U134" s="94">
        <f>Sheet1!BV136</f>
        <v>18.3</v>
      </c>
      <c r="V134" s="94">
        <f t="shared" si="15"/>
        <v>0.1216159999999995</v>
      </c>
      <c r="W134" s="94">
        <f>0</f>
        <v>0</v>
      </c>
      <c r="X134" s="90">
        <f>0</f>
        <v>0</v>
      </c>
      <c r="Y134" s="95">
        <f ca="1">Calculation!EJ135+Calculation!ES134+'Calculations II'!O134-'Calculations II'!W134</f>
        <v>53.413970171960315</v>
      </c>
      <c r="Z134" s="95">
        <f ca="1">Y134-Sheet1!CT137</f>
        <v>38.015970171960319</v>
      </c>
      <c r="AA134" s="95">
        <f ca="1">Y134+Calculation!DJ135+Calculation!AS135</f>
        <v>63.627345318961495</v>
      </c>
      <c r="AC134" s="95">
        <f>Sheet1!AA136+Sheet1!AB136+BC134</f>
        <v>60.163711999999997</v>
      </c>
      <c r="AD134" s="95">
        <f>Sheet1!AA136+Sheet1!BN136+'Calculations II'!BC134-Calculation!AS134-Calculation!DJ134</f>
        <v>40.016990688524587</v>
      </c>
      <c r="AE134" s="95">
        <f>Sheet1!AA136+Sheet1!AB136+'Calculations II'!BC134-Calculation!AS134-Calculation!DJ134</f>
        <v>50.066990688524584</v>
      </c>
      <c r="AF134" s="95">
        <f ca="1">Sheet1!AA136+Sheet1!BN136+P134+'Calculations II'!BC134+Calculation!AS134+Calculation!DJ134</f>
        <v>54.802019483435728</v>
      </c>
      <c r="AG134" s="95">
        <f ca="1">IF(B134=TODAY(),0,Sheet1!AA136+Sheet1!BN136+'Calculations II'!BC134+'Calculations II'!P134-Sheet1!CT136-BP134)</f>
        <v>28.382298171960315</v>
      </c>
      <c r="AH134" s="95">
        <f ca="1">IF(B134=TODAY(),0,Sheet1!AA136+Sheet1!BN136+'Calculations II'!BC134+'Calculations II'!P134-BP134)</f>
        <v>44.705298171960315</v>
      </c>
      <c r="AI134" s="95">
        <f ca="1">IF(B134=TODAY(),0,BC134+Sheet1!AA136+Calculation!ES134+O134+W134+Sheet1!BN136+Calculation!AS134+Calculation!DJ134-BP134)</f>
        <v>54.802019483435728</v>
      </c>
      <c r="AJ134" s="95"/>
      <c r="AM134" s="91">
        <f t="shared" si="16"/>
        <v>41762</v>
      </c>
      <c r="AN134" s="95">
        <f>Sheet1!BU136</f>
        <v>20.2</v>
      </c>
      <c r="AO134" s="95">
        <f>Sheet1!AA136</f>
        <v>21.06</v>
      </c>
      <c r="AP134" s="95">
        <f t="shared" si="11"/>
        <v>3.4625000000000004</v>
      </c>
      <c r="AQ134" s="1055">
        <f>((Sheet1!BV136-(Sheet1!BU136-AP134))/(Sheet1!BU136-AP134))</f>
        <v>9.3353248693054752E-2</v>
      </c>
      <c r="AR134" s="95">
        <f t="shared" si="12"/>
        <v>17.597499999999997</v>
      </c>
      <c r="AS134" s="95">
        <f t="shared" si="13"/>
        <v>16.737499999999997</v>
      </c>
      <c r="AT134" s="90">
        <f>Sheet1!BB136</f>
        <v>1.6</v>
      </c>
      <c r="AU134" s="90">
        <f>Sheet1!AS136*GPMtoMGD</f>
        <v>1.5696000000000002E-2</v>
      </c>
      <c r="AV134" s="95">
        <f>Sheet1!AT136</f>
        <v>0</v>
      </c>
      <c r="AW134" s="90">
        <f>Sheet1!AV136*GPMtoMGD</f>
        <v>0.45417599999999997</v>
      </c>
      <c r="AX134" s="90">
        <f>Sheet1!AW136*GPMtoMGD</f>
        <v>0.56851200000000002</v>
      </c>
      <c r="AY134" s="90">
        <f>Sheet1!AX136*GPMtoMGD</f>
        <v>0</v>
      </c>
      <c r="AZ134" s="90">
        <f>Sheet1!AY136*GPMtoMGD</f>
        <v>0</v>
      </c>
      <c r="BA134" s="90">
        <f>Sheet1!AZ136*GPMtoMGD</f>
        <v>0</v>
      </c>
      <c r="BB134" s="90">
        <f>Sheet1!BP136*GPMtoMGD</f>
        <v>0</v>
      </c>
      <c r="BC134" s="90">
        <f>Sheet1!CS136*GPMtoMGD</f>
        <v>13.553711999999999</v>
      </c>
      <c r="BD134" s="90">
        <f>Sheet1!BO136*GPMtoMGD</f>
        <v>1.7393760000000003</v>
      </c>
      <c r="BE134" s="90">
        <f>Sheet1!BW136*GPMtoMGD</f>
        <v>1.005552</v>
      </c>
      <c r="BF134" s="90">
        <f>Sheet1!CN136*GPMtoMGD</f>
        <v>1.1808000000000001</v>
      </c>
      <c r="BG134" s="90">
        <f>Sheet1!CO136*GPMtoMGD</f>
        <v>0.51278400000000002</v>
      </c>
      <c r="BH134" s="90">
        <f>Sheet1!CP136*GPMtoMGD</f>
        <v>0.69321600000000005</v>
      </c>
      <c r="BI134" s="90">
        <f t="shared" si="17"/>
        <v>1.7393760000000003</v>
      </c>
      <c r="BK134" s="95">
        <f>SUM(AT134:BA134,BE134,Sheet1!BV136,'Calculations II'!BC134,Calculation!AQ134)</f>
        <v>50.955298273224045</v>
      </c>
      <c r="BM134" s="373">
        <f>0</f>
        <v>0</v>
      </c>
      <c r="BN134" s="373">
        <f>0</f>
        <v>0</v>
      </c>
      <c r="BP134" s="95">
        <f>SUM(BM134:BN134,W134,Sheet1!DX136)</f>
        <v>0</v>
      </c>
    </row>
    <row r="135" spans="1:68" s="90" customFormat="1">
      <c r="A135" s="651" t="s">
        <v>3</v>
      </c>
      <c r="B135" s="92">
        <v>41763</v>
      </c>
      <c r="C135" s="93">
        <v>0</v>
      </c>
      <c r="D135" s="95">
        <f>(Sheet1!BQ137-Sheet1!BQ136)*1.385</f>
        <v>2.3544999999999989</v>
      </c>
      <c r="E135" s="30">
        <f>(Sheet1!BR137-Sheet1!BR136)*1.385</f>
        <v>2.3544999999999989</v>
      </c>
      <c r="F135" s="30">
        <f ca="1">IF(B135=TODAY(),0,-(VLOOKUP(Sheet1!CD137,Lookup!$I$4:$J$216,2)-VLOOKUP(Sheet1!CD136,Lookup!$I$4:$J$216,2))/1000000)</f>
        <v>-0.62182163128679613</v>
      </c>
      <c r="G135" s="95">
        <f ca="1">IF(B135=TODAY(),0,-$G$6*(Sheet1!CF137-Sheet1!CF136)*7.48/1000000)</f>
        <v>0.27799450736791476</v>
      </c>
      <c r="H135" s="95">
        <f ca="1">IF(B135=TODAY(),0,-$H$6*(Sheet1!CE137-Sheet1!CE136)*7.48/1000000)</f>
        <v>1.5039432351265274E-2</v>
      </c>
      <c r="I135" s="95">
        <f ca="1">IF(B135=TODAY(),0,-$I$6*(Sheet1!CG137-Sheet1!CG136)*7.48/1000000)</f>
        <v>1.3477463999999995E-2</v>
      </c>
      <c r="J135" s="96" t="s">
        <v>186</v>
      </c>
      <c r="K135" s="95">
        <f ca="1">IF(B135=TODAY(),0,-$K$6*(Sheet1!CH137-Sheet1!CH136)*7.48/1000000)</f>
        <v>1.9989961123375376E-2</v>
      </c>
      <c r="L135" s="96" t="s">
        <v>186</v>
      </c>
      <c r="M135" s="95">
        <f ca="1">IF(B135=TODAY(),0,-$M$6*(Sheet1!CI137-Sheet1!CI136)*7.48/1000000)</f>
        <v>5.3974525284081275E-2</v>
      </c>
      <c r="N135" s="95">
        <f ca="1">IF(B135=TODAY(),0,-$N$6*(Sheet1!CJ137-Sheet1!CJ136)*7.48/1000000)</f>
        <v>-0.26682508519688258</v>
      </c>
      <c r="O135" s="95">
        <f t="shared" ca="1" si="14"/>
        <v>-0.50817082635704203</v>
      </c>
      <c r="P135" s="95">
        <f ca="1">O135+Calculation!ES135</f>
        <v>-5.2186143634499809</v>
      </c>
      <c r="Q135" s="90" t="str">
        <f>IF(Sheet1!BQ137&gt;25.75,"spill elevation","-")</f>
        <v>-</v>
      </c>
      <c r="R135" s="90" t="str">
        <f>IF(Sheet1!BQ137&gt;25.75,"spill elevation","-")</f>
        <v>-</v>
      </c>
      <c r="S135" s="90" t="str">
        <f>IF(Sheet1!BR137&gt;25.75,"spill elevation","-")</f>
        <v>-</v>
      </c>
      <c r="T135" s="94">
        <f>IF(Sheet1!DU137=1,Sheet1!AA137-(SUM(AT135:BA135)+BE135),Sheet1!AA137-SUM(AT135:BA135))</f>
        <v>18.040096000000002</v>
      </c>
      <c r="U135" s="94">
        <f>Sheet1!BV137</f>
        <v>16.8</v>
      </c>
      <c r="V135" s="94">
        <f t="shared" si="15"/>
        <v>1.2400960000000012</v>
      </c>
      <c r="W135" s="94">
        <f>0</f>
        <v>0</v>
      </c>
      <c r="X135" s="90">
        <f>0</f>
        <v>0</v>
      </c>
      <c r="Y135" s="95">
        <f ca="1">Calculation!EJ136+Calculation!ES135+'Calculations II'!O135-'Calculations II'!W135</f>
        <v>47.730537636550025</v>
      </c>
      <c r="Z135" s="95">
        <f ca="1">Y135-Sheet1!CT138</f>
        <v>32.089537636550027</v>
      </c>
      <c r="AA135" s="95">
        <f ca="1">Y135+Calculation!DJ136+Calculation!AS136</f>
        <v>57.827256325586312</v>
      </c>
      <c r="AC135" s="95">
        <f>Sheet1!AA137+Sheet1!AB137+BC135</f>
        <v>58.822384</v>
      </c>
      <c r="AD135" s="95">
        <f>Sheet1!AA137+Sheet1!BN137+'Calculations II'!BC135-Calculation!AS135-Calculation!DJ135</f>
        <v>38.389008852998828</v>
      </c>
      <c r="AE135" s="95">
        <f>Sheet1!AA137+Sheet1!AB137+'Calculations II'!BC135-Calculation!AS135-Calculation!DJ135</f>
        <v>48.609008852998826</v>
      </c>
      <c r="AF135" s="95">
        <f ca="1">Sheet1!AA137+Sheet1!BN137+P135+'Calculations II'!BC135+Calculation!AS135+Calculation!DJ135</f>
        <v>53.597144783551201</v>
      </c>
      <c r="AG135" s="95">
        <f ca="1">IF(B135=TODAY(),0,Sheet1!AA137+Sheet1!BN137+'Calculations II'!BC135+'Calculations II'!P135-Sheet1!CT137-BP135)</f>
        <v>27.985769636550021</v>
      </c>
      <c r="AH135" s="95">
        <f ca="1">IF(B135=TODAY(),0,Sheet1!AA137+Sheet1!BN137+'Calculations II'!BC135+'Calculations II'!P135-BP135)</f>
        <v>43.383769636550021</v>
      </c>
      <c r="AI135" s="95">
        <f ca="1">IF(B135=TODAY(),0,BC135+Sheet1!AA137+Calculation!ES135+O135+W135+Sheet1!BN137+Calculation!AS135+Calculation!DJ135-BP135)</f>
        <v>53.597144783551201</v>
      </c>
      <c r="AJ135" s="95"/>
      <c r="AM135" s="91">
        <f t="shared" si="16"/>
        <v>41763</v>
      </c>
      <c r="AN135" s="95">
        <f>Sheet1!BU137</f>
        <v>20.100000000000001</v>
      </c>
      <c r="AO135" s="95">
        <f>Sheet1!AA137</f>
        <v>21.14</v>
      </c>
      <c r="AP135" s="95">
        <f t="shared" si="11"/>
        <v>4.7089999999999979</v>
      </c>
      <c r="AQ135" s="1055">
        <f>((Sheet1!BV137-(Sheet1!BU137-AP135))/(Sheet1!BU137-AP135))</f>
        <v>9.1547007991683249E-2</v>
      </c>
      <c r="AR135" s="95">
        <f t="shared" si="12"/>
        <v>16.431000000000004</v>
      </c>
      <c r="AS135" s="95">
        <f t="shared" si="13"/>
        <v>15.391000000000004</v>
      </c>
      <c r="AT135" s="90">
        <f>Sheet1!BB137</f>
        <v>1.6</v>
      </c>
      <c r="AU135" s="90">
        <f>Sheet1!AS137*GPMtoMGD</f>
        <v>1.6128E-2</v>
      </c>
      <c r="AV135" s="95">
        <f>Sheet1!AT137</f>
        <v>0</v>
      </c>
      <c r="AW135" s="90">
        <f>Sheet1!AV137*GPMtoMGD</f>
        <v>0.68414400000000009</v>
      </c>
      <c r="AX135" s="90">
        <f>Sheet1!AW137*GPMtoMGD</f>
        <v>0.79963200000000001</v>
      </c>
      <c r="AY135" s="90">
        <f>Sheet1!AX137*GPMtoMGD</f>
        <v>0</v>
      </c>
      <c r="AZ135" s="90">
        <f>Sheet1!AY137*GPMtoMGD</f>
        <v>0</v>
      </c>
      <c r="BA135" s="90">
        <f>Sheet1!AZ137*GPMtoMGD</f>
        <v>0</v>
      </c>
      <c r="BB135" s="90">
        <f>Sheet1!BP137*GPMtoMGD</f>
        <v>0</v>
      </c>
      <c r="BC135" s="90">
        <f>Sheet1!CS137*GPMtoMGD</f>
        <v>12.162384000000001</v>
      </c>
      <c r="BD135" s="90">
        <f>Sheet1!BO137*GPMtoMGD</f>
        <v>1.7130239999999999</v>
      </c>
      <c r="BE135" s="90">
        <f>Sheet1!BW137*GPMtoMGD</f>
        <v>0.9953280000000001</v>
      </c>
      <c r="BF135" s="90">
        <f>Sheet1!CN137*GPMtoMGD</f>
        <v>1.1808000000000001</v>
      </c>
      <c r="BG135" s="90">
        <f>Sheet1!CO137*GPMtoMGD</f>
        <v>0.5509440000000001</v>
      </c>
      <c r="BH135" s="90">
        <f>Sheet1!CP137*GPMtoMGD</f>
        <v>0.69652800000000004</v>
      </c>
      <c r="BI135" s="90">
        <f t="shared" si="17"/>
        <v>1.7130239999999999</v>
      </c>
      <c r="BK135" s="95">
        <f>SUM(AT135:BA135,BE135,Sheet1!BV137,'Calculations II'!BC135,Calculation!AQ135)</f>
        <v>48.363613647981182</v>
      </c>
      <c r="BM135" s="373">
        <f>0</f>
        <v>0</v>
      </c>
      <c r="BN135" s="373">
        <f>0</f>
        <v>0</v>
      </c>
      <c r="BP135" s="95">
        <f>SUM(BM135:BN135,W135,Sheet1!DX137)</f>
        <v>0</v>
      </c>
    </row>
    <row r="136" spans="1:68" s="90" customFormat="1">
      <c r="A136" s="651" t="s">
        <v>4</v>
      </c>
      <c r="B136" s="92">
        <v>41764</v>
      </c>
      <c r="C136" s="93">
        <v>0</v>
      </c>
      <c r="D136" s="95">
        <f>(Sheet1!BQ138-Sheet1!BQ137)*1.385</f>
        <v>0</v>
      </c>
      <c r="E136" s="30">
        <f>(Sheet1!BR138-Sheet1!BR137)*1.385</f>
        <v>0</v>
      </c>
      <c r="F136" s="30">
        <f ca="1">IF(B136=TODAY(),0,-(VLOOKUP(Sheet1!CD138,Lookup!$I$4:$J$216,2)-VLOOKUP(Sheet1!CD137,Lookup!$I$4:$J$216,2))/1000000)</f>
        <v>0.10363693854779936</v>
      </c>
      <c r="G136" s="95">
        <f ca="1">IF(B136=TODAY(),0,-$G$6*(Sheet1!CF138-Sheet1!CF137)*7.48/1000000)</f>
        <v>0.23828100631535562</v>
      </c>
      <c r="H136" s="95">
        <f ca="1">IF(B136=TODAY(),0,-$H$6*(Sheet1!CE138-Sheet1!CE137)*7.48/1000000)</f>
        <v>1.5039432351264204E-2</v>
      </c>
      <c r="I136" s="95">
        <f ca="1">IF(B136=TODAY(),0,-$I$6*(Sheet1!CG138-Sheet1!CG137)*7.48/1000000)</f>
        <v>2.2462440000000004E-2</v>
      </c>
      <c r="J136" s="96" t="s">
        <v>186</v>
      </c>
      <c r="K136" s="95">
        <f ca="1">IF(B136=TODAY(),0,-$K$6*(Sheet1!CH138-Sheet1!CH137)*7.48/1000000)</f>
        <v>3.9979922246750635E-2</v>
      </c>
      <c r="L136" s="96" t="s">
        <v>186</v>
      </c>
      <c r="M136" s="95">
        <f ca="1">IF(B136=TODAY(),0,-$M$6*(Sheet1!CI138-Sheet1!CI137)*7.48/1000000)</f>
        <v>0.10794905056816222</v>
      </c>
      <c r="N136" s="95">
        <f ca="1">IF(B136=TODAY(),0,-$N$6*(Sheet1!CJ138-Sheet1!CJ137)*7.48/1000000)</f>
        <v>-6.8257579934087043E-2</v>
      </c>
      <c r="O136" s="95">
        <f t="shared" ca="1" si="14"/>
        <v>0.45909121009524501</v>
      </c>
      <c r="P136" s="95">
        <f ca="1">O136+Calculation!ES136</f>
        <v>0.45909121009524501</v>
      </c>
      <c r="Q136" s="90" t="str">
        <f>IF(Sheet1!BQ138&gt;25.75,"spill elevation","-")</f>
        <v>-</v>
      </c>
      <c r="R136" s="90" t="str">
        <f>IF(Sheet1!BQ138&gt;25.75,"spill elevation","-")</f>
        <v>-</v>
      </c>
      <c r="S136" s="90" t="str">
        <f>IF(Sheet1!BR138&gt;25.75,"spill elevation","-")</f>
        <v>-</v>
      </c>
      <c r="T136" s="94">
        <f>IF(Sheet1!DU138=1,Sheet1!AA138-(SUM(AT136:BA136)+BE136),Sheet1!AA138-SUM(AT136:BA136))</f>
        <v>18.410784</v>
      </c>
      <c r="U136" s="94">
        <f>Sheet1!BV138</f>
        <v>21.8</v>
      </c>
      <c r="V136" s="94">
        <f t="shared" si="15"/>
        <v>-3.3892160000000011</v>
      </c>
      <c r="W136" s="94">
        <f>0</f>
        <v>0</v>
      </c>
      <c r="X136" s="90">
        <f>0</f>
        <v>0</v>
      </c>
      <c r="Y136" s="95">
        <f ca="1">Calculation!EJ137+Calculation!ES136+'Calculations II'!O136-'Calculations II'!W136</f>
        <v>53.204227210095247</v>
      </c>
      <c r="Z136" s="95">
        <f ca="1">Y136-Sheet1!CT139</f>
        <v>37.51722721009525</v>
      </c>
      <c r="AA136" s="95">
        <f ca="1">Y136+Calculation!DJ137+Calculation!AS137</f>
        <v>63.264367890048355</v>
      </c>
      <c r="AC136" s="95">
        <f>Sheet1!AA138+Sheet1!AB138+BC136</f>
        <v>52.949152000000005</v>
      </c>
      <c r="AD136" s="95">
        <f>Sheet1!AA138+Sheet1!BN138+'Calculations II'!BC136-Calculation!AS136-Calculation!DJ136</f>
        <v>32.822433310963717</v>
      </c>
      <c r="AE136" s="95">
        <f>Sheet1!AA138+Sheet1!AB138+'Calculations II'!BC136-Calculation!AS136-Calculation!DJ136</f>
        <v>42.852433310963718</v>
      </c>
      <c r="AF136" s="95">
        <f ca="1">Sheet1!AA138+Sheet1!BN138+P136+'Calculations II'!BC136+Calculation!AS136+Calculation!DJ136</f>
        <v>53.474961899131536</v>
      </c>
      <c r="AG136" s="95">
        <f ca="1">IF(B136=TODAY(),0,Sheet1!AA138+Sheet1!BN138+'Calculations II'!BC136+'Calculations II'!P136-Sheet1!CT138-BP136)</f>
        <v>27.737243210095251</v>
      </c>
      <c r="AH136" s="95">
        <f ca="1">IF(B136=TODAY(),0,Sheet1!AA138+Sheet1!BN138+'Calculations II'!BC136+'Calculations II'!P136-BP136)</f>
        <v>43.378243210095249</v>
      </c>
      <c r="AI136" s="95">
        <f ca="1">IF(B136=TODAY(),0,BC136+Sheet1!AA138+Calculation!ES136+O136+W136+Sheet1!BN138+Calculation!AS136+Calculation!DJ136-BP136)</f>
        <v>53.474961899131536</v>
      </c>
      <c r="AJ136" s="95"/>
      <c r="AM136" s="91">
        <f t="shared" si="16"/>
        <v>41764</v>
      </c>
      <c r="AN136" s="95">
        <f>Sheet1!BU138</f>
        <v>20.3</v>
      </c>
      <c r="AO136" s="95">
        <f>Sheet1!AA138</f>
        <v>21.1</v>
      </c>
      <c r="AP136" s="95">
        <f t="shared" si="11"/>
        <v>0</v>
      </c>
      <c r="AQ136" s="1055">
        <f>((Sheet1!BV138-(Sheet1!BU138-AP136))/(Sheet1!BU138-AP136))</f>
        <v>7.389162561576354E-2</v>
      </c>
      <c r="AR136" s="95">
        <f t="shared" si="12"/>
        <v>21.1</v>
      </c>
      <c r="AS136" s="95">
        <f t="shared" si="13"/>
        <v>20.3</v>
      </c>
      <c r="AT136" s="90">
        <f>Sheet1!BB138</f>
        <v>1.6</v>
      </c>
      <c r="AU136" s="90">
        <f>Sheet1!AS138*GPMtoMGD</f>
        <v>3.0528E-2</v>
      </c>
      <c r="AV136" s="95">
        <f>Sheet1!AT138</f>
        <v>0</v>
      </c>
      <c r="AW136" s="90">
        <f>Sheet1!AV138*GPMtoMGD</f>
        <v>0.434448</v>
      </c>
      <c r="AX136" s="90">
        <f>Sheet1!AW138*GPMtoMGD</f>
        <v>0.62424000000000002</v>
      </c>
      <c r="AY136" s="90">
        <f>Sheet1!AX138*GPMtoMGD</f>
        <v>0</v>
      </c>
      <c r="AZ136" s="90">
        <f>Sheet1!AY138*GPMtoMGD</f>
        <v>0</v>
      </c>
      <c r="BA136" s="90">
        <f>Sheet1!AZ138*GPMtoMGD</f>
        <v>0</v>
      </c>
      <c r="BB136" s="90">
        <f>Sheet1!BP138*GPMtoMGD</f>
        <v>0</v>
      </c>
      <c r="BC136" s="90">
        <f>Sheet1!CS138*GPMtoMGD</f>
        <v>6.3191520000000008</v>
      </c>
      <c r="BD136" s="90">
        <f>Sheet1!BO138*GPMtoMGD</f>
        <v>1.512</v>
      </c>
      <c r="BE136" s="90">
        <f>Sheet1!BW138*GPMtoMGD</f>
        <v>0.68414400000000009</v>
      </c>
      <c r="BF136" s="90">
        <f>Sheet1!CN138*GPMtoMGD</f>
        <v>1.1808000000000001</v>
      </c>
      <c r="BG136" s="90">
        <f>Sheet1!CO138*GPMtoMGD</f>
        <v>0.49435200000000007</v>
      </c>
      <c r="BH136" s="90">
        <f>Sheet1!CP138*GPMtoMGD</f>
        <v>0.72000000000000008</v>
      </c>
      <c r="BI136" s="90">
        <f t="shared" si="17"/>
        <v>1.512</v>
      </c>
      <c r="BK136" s="95">
        <f>SUM(AT136:BA136,BE136,Sheet1!BV138,'Calculations II'!BC136,Calculation!AQ136)</f>
        <v>46.932035995317989</v>
      </c>
      <c r="BM136" s="373">
        <f>0</f>
        <v>0</v>
      </c>
      <c r="BN136" s="373">
        <f>0</f>
        <v>0</v>
      </c>
      <c r="BP136" s="95">
        <f>SUM(BM136:BN136,W136,Sheet1!DX138)</f>
        <v>0</v>
      </c>
    </row>
    <row r="137" spans="1:68" s="90" customFormat="1">
      <c r="A137" s="651" t="s">
        <v>5</v>
      </c>
      <c r="B137" s="92">
        <v>41765</v>
      </c>
      <c r="C137" s="93">
        <v>0</v>
      </c>
      <c r="D137" s="95">
        <f>(Sheet1!BQ139-Sheet1!BQ138)*1.385</f>
        <v>-0.27699999999999902</v>
      </c>
      <c r="E137" s="30">
        <f>(Sheet1!BR139-Sheet1!BR138)*1.385</f>
        <v>-0.27699999999999902</v>
      </c>
      <c r="F137" s="30">
        <f ca="1">IF(B137=TODAY(),0,-(VLOOKUP(Sheet1!CD139,Lookup!$I$4:$J$216,2)-VLOOKUP(Sheet1!CD138,Lookup!$I$4:$J$216,2))/1000000)</f>
        <v>0.82909550838240054</v>
      </c>
      <c r="G137" s="95">
        <f ca="1">IF(B137=TODAY(),0,-$G$6*(Sheet1!CF139-Sheet1!CF138)*7.48/1000000)</f>
        <v>0.23828100631535562</v>
      </c>
      <c r="H137" s="95">
        <f ca="1">IF(B137=TODAY(),0,-$H$6*(Sheet1!CE139-Sheet1!CE138)*7.48/1000000)</f>
        <v>0</v>
      </c>
      <c r="I137" s="95">
        <f ca="1">IF(B137=TODAY(),0,-$I$6*(Sheet1!CG139-Sheet1!CG138)*7.48/1000000)</f>
        <v>-1.796995199999998E-2</v>
      </c>
      <c r="J137" s="96" t="s">
        <v>186</v>
      </c>
      <c r="K137" s="95">
        <f ca="1">IF(B137=TODAY(),0,-$K$6*(Sheet1!CH139-Sheet1!CH138)*7.48/1000000)</f>
        <v>-1.9989961123375376E-2</v>
      </c>
      <c r="L137" s="96" t="s">
        <v>186</v>
      </c>
      <c r="M137" s="95">
        <f ca="1">IF(B137=TODAY(),0,-$M$6*(Sheet1!CI139-Sheet1!CI138)*7.48/1000000)</f>
        <v>-0.13853461489580818</v>
      </c>
      <c r="N137" s="95">
        <f ca="1">IF(B137=TODAY(),0,-$N$6*(Sheet1!CJ139-Sheet1!CJ138)*7.48/1000000)</f>
        <v>0.43436641776236795</v>
      </c>
      <c r="O137" s="95">
        <f t="shared" ca="1" si="14"/>
        <v>1.3252484044409405</v>
      </c>
      <c r="P137" s="95">
        <f ca="1">O137+Calculation!ES137</f>
        <v>1.8796105297564725</v>
      </c>
      <c r="Q137" s="90" t="str">
        <f>IF(Sheet1!BQ139&gt;25.75,"spill elevation","-")</f>
        <v>-</v>
      </c>
      <c r="R137" s="90" t="str">
        <f>IF(Sheet1!BQ139&gt;25.75,"spill elevation","-")</f>
        <v>-</v>
      </c>
      <c r="S137" s="90" t="str">
        <f>IF(Sheet1!BR139&gt;25.75,"spill elevation","-")</f>
        <v>-</v>
      </c>
      <c r="T137" s="94">
        <f>IF(Sheet1!DU139=1,Sheet1!AA139-(SUM(AT137:BA137)+BE137),Sheet1!AA139-SUM(AT137:BA137))</f>
        <v>18.355712</v>
      </c>
      <c r="U137" s="94">
        <f>Sheet1!BV139</f>
        <v>22.1</v>
      </c>
      <c r="V137" s="94">
        <f t="shared" si="15"/>
        <v>-3.7442880000000009</v>
      </c>
      <c r="W137" s="94">
        <f>0</f>
        <v>0</v>
      </c>
      <c r="X137" s="90">
        <f>0</f>
        <v>0</v>
      </c>
      <c r="Y137" s="95">
        <f ca="1">Calculation!EJ138+Calculation!ES137+'Calculations II'!O137-'Calculations II'!W137</f>
        <v>54.750810529756478</v>
      </c>
      <c r="Z137" s="95">
        <f ca="1">Y137-Sheet1!CT140</f>
        <v>38.869810529756478</v>
      </c>
      <c r="AA137" s="95">
        <f ca="1">Y137+Calculation!DJ138+Calculation!AS138</f>
        <v>64.810951209709586</v>
      </c>
      <c r="AC137" s="95">
        <f>Sheet1!AA139+Sheet1!AB139+BC137</f>
        <v>52.745136000000002</v>
      </c>
      <c r="AD137" s="95">
        <f>Sheet1!AA139+Sheet1!BN139+'Calculations II'!BC137-Calculation!AS137-Calculation!DJ137</f>
        <v>32.684995320046895</v>
      </c>
      <c r="AE137" s="95">
        <f>Sheet1!AA139+Sheet1!AB139+'Calculations II'!BC137-Calculation!AS137-Calculation!DJ137</f>
        <v>42.684995320046895</v>
      </c>
      <c r="AF137" s="95">
        <f ca="1">Sheet1!AA139+Sheet1!BN139+P137+'Calculations II'!BC137+Calculation!AS137+Calculation!DJ137</f>
        <v>54.684887209709579</v>
      </c>
      <c r="AG137" s="95">
        <f ca="1">IF(B137=TODAY(),0,Sheet1!AA139+Sheet1!BN139+'Calculations II'!BC137+'Calculations II'!P137-Sheet1!CT139-BP137)</f>
        <v>28.937746529756474</v>
      </c>
      <c r="AH137" s="95">
        <f ca="1">IF(B137=TODAY(),0,Sheet1!AA139+Sheet1!BN139+'Calculations II'!BC137+'Calculations II'!P137-BP137)</f>
        <v>44.624746529756472</v>
      </c>
      <c r="AI137" s="95">
        <f ca="1">IF(B137=TODAY(),0,BC137+Sheet1!AA139+Calculation!ES137+O137+W137+Sheet1!BN139+Calculation!AS137+Calculation!DJ137-BP137)</f>
        <v>54.684887209709579</v>
      </c>
      <c r="AJ137" s="95"/>
      <c r="AM137" s="91">
        <f t="shared" si="16"/>
        <v>41765</v>
      </c>
      <c r="AN137" s="95">
        <f>Sheet1!BU139</f>
        <v>20.2</v>
      </c>
      <c r="AO137" s="95">
        <f>Sheet1!AA139</f>
        <v>21</v>
      </c>
      <c r="AP137" s="95">
        <f t="shared" si="11"/>
        <v>-0.55399999999999805</v>
      </c>
      <c r="AQ137" s="1055">
        <f>((Sheet1!BV139-(Sheet1!BU139-AP137))/(Sheet1!BU139-AP137))</f>
        <v>6.4854967717066767E-2</v>
      </c>
      <c r="AR137" s="95">
        <f t="shared" si="12"/>
        <v>21.553999999999998</v>
      </c>
      <c r="AS137" s="95">
        <f t="shared" si="13"/>
        <v>20.753999999999998</v>
      </c>
      <c r="AT137" s="90">
        <f>Sheet1!BB139</f>
        <v>1.6</v>
      </c>
      <c r="AU137" s="90">
        <f>Sheet1!AS139*GPMtoMGD</f>
        <v>1.584E-2</v>
      </c>
      <c r="AV137" s="95">
        <f>Sheet1!AT139</f>
        <v>0</v>
      </c>
      <c r="AW137" s="90">
        <f>Sheet1!AV139*GPMtoMGD</f>
        <v>0.38980799999999999</v>
      </c>
      <c r="AX137" s="90">
        <f>Sheet1!AW139*GPMtoMGD</f>
        <v>0.63863999999999999</v>
      </c>
      <c r="AY137" s="90">
        <f>Sheet1!AX139*GPMtoMGD</f>
        <v>0</v>
      </c>
      <c r="AZ137" s="90">
        <f>Sheet1!AY139*GPMtoMGD</f>
        <v>0</v>
      </c>
      <c r="BA137" s="90">
        <f>Sheet1!AZ139*GPMtoMGD</f>
        <v>0</v>
      </c>
      <c r="BB137" s="90">
        <f>Sheet1!BP139*GPMtoMGD</f>
        <v>0</v>
      </c>
      <c r="BC137" s="90">
        <f>Sheet1!CS139*GPMtoMGD</f>
        <v>6.2451359999999996</v>
      </c>
      <c r="BD137" s="90">
        <f>Sheet1!BO139*GPMtoMGD</f>
        <v>1.7736480000000001</v>
      </c>
      <c r="BE137" s="90">
        <f>Sheet1!BW139*GPMtoMGD</f>
        <v>0.97488000000000008</v>
      </c>
      <c r="BF137" s="90">
        <f>Sheet1!CN139*GPMtoMGD</f>
        <v>1.1808000000000001</v>
      </c>
      <c r="BG137" s="90">
        <f>Sheet1!CO139*GPMtoMGD</f>
        <v>0.512208</v>
      </c>
      <c r="BH137" s="90">
        <f>Sheet1!CP139*GPMtoMGD</f>
        <v>0.27806400000000003</v>
      </c>
      <c r="BI137" s="90">
        <f t="shared" si="17"/>
        <v>1.7736480000000001</v>
      </c>
      <c r="BK137" s="95">
        <f>SUM(AT137:BA137,BE137,Sheet1!BV139,'Calculations II'!BC137,Calculation!AQ137)</f>
        <v>47.409790518171164</v>
      </c>
      <c r="BM137" s="373">
        <f>0</f>
        <v>0</v>
      </c>
      <c r="BN137" s="373">
        <f>0</f>
        <v>0</v>
      </c>
      <c r="BP137" s="95">
        <f>SUM(BM137:BN137,W137,Sheet1!DX139)</f>
        <v>0</v>
      </c>
    </row>
    <row r="138" spans="1:68" s="90" customFormat="1">
      <c r="A138" s="651" t="s">
        <v>6</v>
      </c>
      <c r="B138" s="92">
        <v>41766</v>
      </c>
      <c r="C138" s="93">
        <v>0</v>
      </c>
      <c r="D138" s="95">
        <f>(Sheet1!BQ140-Sheet1!BQ139)*1.385</f>
        <v>-1.8005000000000011</v>
      </c>
      <c r="E138" s="30">
        <f>(Sheet1!BR140-Sheet1!BR139)*1.385</f>
        <v>-1.8005000000000011</v>
      </c>
      <c r="F138" s="30">
        <f ca="1">IF(B138=TODAY(),0,-(VLOOKUP(Sheet1!CD140,Lookup!$I$4:$J$216,2)-VLOOKUP(Sheet1!CD139,Lookup!$I$4:$J$216,2))/1000000)</f>
        <v>0.10363693854779936</v>
      </c>
      <c r="G138" s="95">
        <f ca="1">IF(B138=TODAY(),0,-$G$6*(Sheet1!CF140-Sheet1!CF139)*7.48/1000000)</f>
        <v>0.27799450736791548</v>
      </c>
      <c r="H138" s="95">
        <f ca="1">IF(B138=TODAY(),0,-$H$6*(Sheet1!CE140-Sheet1!CE139)*7.48/1000000)</f>
        <v>3.0078864702530548E-2</v>
      </c>
      <c r="I138" s="95">
        <f ca="1">IF(B138=TODAY(),0,-$I$6*(Sheet1!CG140-Sheet1!CG139)*7.48/1000000)</f>
        <v>-0.11680468800000003</v>
      </c>
      <c r="J138" s="96" t="s">
        <v>186</v>
      </c>
      <c r="K138" s="95">
        <f ca="1">IF(B138=TODAY(),0,-$K$6*(Sheet1!CH140-Sheet1!CH139)*7.48/1000000)</f>
        <v>-0.19989961123375327</v>
      </c>
      <c r="L138" s="96" t="s">
        <v>186</v>
      </c>
      <c r="M138" s="95">
        <f ca="1">IF(B138=TODAY(),0,-$M$6*(Sheet1!CI140-Sheet1!CI139)*7.48/1000000)</f>
        <v>-0.50915968851316584</v>
      </c>
      <c r="N138" s="95">
        <f ca="1">IF(B138=TODAY(),0,-$N$6*(Sheet1!CJ140-Sheet1!CJ139)*7.48/1000000)</f>
        <v>6.2052345394623676E-2</v>
      </c>
      <c r="O138" s="95">
        <f t="shared" ca="1" si="14"/>
        <v>-0.35210133173405006</v>
      </c>
      <c r="P138" s="95">
        <f ca="1">O138+Calculation!ES138</f>
        <v>3.250002530358318</v>
      </c>
      <c r="Q138" s="90" t="str">
        <f>IF(Sheet1!BQ140&gt;25.75,"spill elevation","-")</f>
        <v>-</v>
      </c>
      <c r="R138" s="90" t="str">
        <f>IF(Sheet1!BQ140&gt;25.75,"spill elevation","-")</f>
        <v>-</v>
      </c>
      <c r="S138" s="90" t="str">
        <f>IF(Sheet1!BR140&gt;25.75,"spill elevation","-")</f>
        <v>-</v>
      </c>
      <c r="T138" s="94">
        <f>IF(Sheet1!DU140=1,Sheet1!AA140-(SUM(AT138:BA138)+BE138),Sheet1!AA140-SUM(AT138:BA138))</f>
        <v>17.945232000000001</v>
      </c>
      <c r="U138" s="94">
        <f>Sheet1!BV140</f>
        <v>25</v>
      </c>
      <c r="V138" s="94">
        <f t="shared" si="15"/>
        <v>-7.0547679999999993</v>
      </c>
      <c r="W138" s="94">
        <f>0</f>
        <v>0</v>
      </c>
      <c r="X138" s="90">
        <f>0</f>
        <v>0</v>
      </c>
      <c r="Y138" s="95">
        <f ca="1">Calculation!EJ139+Calculation!ES138+'Calculations II'!O138-'Calculations II'!W138</f>
        <v>56.038626530358322</v>
      </c>
      <c r="Z138" s="95">
        <f ca="1">Y138-Sheet1!CT141</f>
        <v>40.593626530358321</v>
      </c>
      <c r="AA138" s="95">
        <f ca="1">Y138+Calculation!DJ139+Calculation!AS139</f>
        <v>66.158603028595678</v>
      </c>
      <c r="AC138" s="95">
        <f>Sheet1!AA140+Sheet1!AB140+BC138</f>
        <v>52.871200000000002</v>
      </c>
      <c r="AD138" s="95">
        <f>Sheet1!AA140+Sheet1!BN140+'Calculations II'!BC138-Calculation!AS138-Calculation!DJ138</f>
        <v>32.811059320046894</v>
      </c>
      <c r="AE138" s="95">
        <f>Sheet1!AA140+Sheet1!AB140+'Calculations II'!BC138-Calculation!AS138-Calculation!DJ138</f>
        <v>42.811059320046894</v>
      </c>
      <c r="AF138" s="95">
        <f ca="1">Sheet1!AA140+Sheet1!BN140+P138+'Calculations II'!BC138+Calculation!AS138+Calculation!DJ138</f>
        <v>56.181343210311425</v>
      </c>
      <c r="AG138" s="95">
        <f ca="1">IF(B138=TODAY(),0,Sheet1!AA140+Sheet1!BN140+'Calculations II'!BC138+'Calculations II'!P138-Sheet1!CT140-BP138)</f>
        <v>30.240202530358317</v>
      </c>
      <c r="AH138" s="95">
        <f ca="1">IF(B138=TODAY(),0,Sheet1!AA140+Sheet1!BN140+'Calculations II'!BC138+'Calculations II'!P138-BP138)</f>
        <v>46.121202530358318</v>
      </c>
      <c r="AI138" s="95">
        <f ca="1">IF(B138=TODAY(),0,BC138+Sheet1!AA140+Calculation!ES138+O138+W138+Sheet1!BN140+Calculation!AS138+Calculation!DJ138-BP138)</f>
        <v>56.181343210311425</v>
      </c>
      <c r="AJ138" s="95"/>
      <c r="AM138" s="91">
        <f t="shared" si="16"/>
        <v>41766</v>
      </c>
      <c r="AN138" s="95">
        <f>Sheet1!BU140</f>
        <v>19.899999999999999</v>
      </c>
      <c r="AO138" s="95">
        <f>Sheet1!AA140</f>
        <v>21.1</v>
      </c>
      <c r="AP138" s="95">
        <f t="shared" ref="AP138:AP201" si="18">D138+E138</f>
        <v>-3.6010000000000022</v>
      </c>
      <c r="AQ138" s="1055">
        <f>((Sheet1!BV140-(Sheet1!BU140-AP138))/(Sheet1!BU140-AP138))</f>
        <v>6.3784519807667708E-2</v>
      </c>
      <c r="AR138" s="95">
        <f t="shared" ref="AR138:AR201" si="19">AO138-AP138</f>
        <v>24.701000000000004</v>
      </c>
      <c r="AS138" s="95">
        <f t="shared" ref="AS138:AS201" si="20">AN138-AP138</f>
        <v>23.501000000000001</v>
      </c>
      <c r="AT138" s="90">
        <f>Sheet1!BB140</f>
        <v>1.6</v>
      </c>
      <c r="AU138" s="90">
        <f>Sheet1!AS140*GPMtoMGD</f>
        <v>1.5696000000000002E-2</v>
      </c>
      <c r="AV138" s="95">
        <f>Sheet1!AT140</f>
        <v>0.27</v>
      </c>
      <c r="AW138" s="90">
        <f>Sheet1!AV140*GPMtoMGD</f>
        <v>0.57196800000000003</v>
      </c>
      <c r="AX138" s="90">
        <f>Sheet1!AW140*GPMtoMGD</f>
        <v>0.69710400000000006</v>
      </c>
      <c r="AY138" s="90">
        <f>Sheet1!AX140*GPMtoMGD</f>
        <v>0</v>
      </c>
      <c r="AZ138" s="90">
        <f>Sheet1!AY140*GPMtoMGD</f>
        <v>0</v>
      </c>
      <c r="BA138" s="90">
        <f>Sheet1!AZ140*GPMtoMGD</f>
        <v>0</v>
      </c>
      <c r="BB138" s="90">
        <f>Sheet1!BP140*GPMtoMGD</f>
        <v>0</v>
      </c>
      <c r="BC138" s="90">
        <f>Sheet1!CS140*GPMtoMGD</f>
        <v>6.2712000000000003</v>
      </c>
      <c r="BD138" s="90">
        <f>Sheet1!BO140*GPMtoMGD</f>
        <v>2.3559839999999999</v>
      </c>
      <c r="BE138" s="90">
        <f>Sheet1!BW140*GPMtoMGD</f>
        <v>0.69912000000000007</v>
      </c>
      <c r="BF138" s="90">
        <f>Sheet1!CN140*GPMtoMGD</f>
        <v>1.1808000000000001</v>
      </c>
      <c r="BG138" s="90">
        <f>Sheet1!CO140*GPMtoMGD</f>
        <v>0.53870400000000007</v>
      </c>
      <c r="BH138" s="90">
        <f>Sheet1!CP140*GPMtoMGD</f>
        <v>0.71611200000000008</v>
      </c>
      <c r="BI138" s="90">
        <f t="shared" si="17"/>
        <v>2.3559839999999999</v>
      </c>
      <c r="BK138" s="95">
        <f>SUM(AT138:BA138,BE138,Sheet1!BV140,'Calculations II'!BC138,Calculation!AQ138)</f>
        <v>50.570574518171163</v>
      </c>
      <c r="BM138" s="373">
        <f>0</f>
        <v>0</v>
      </c>
      <c r="BN138" s="373">
        <f>0</f>
        <v>0</v>
      </c>
      <c r="BP138" s="95">
        <f>SUM(BM138:BN138,W138,Sheet1!DX140)</f>
        <v>0</v>
      </c>
    </row>
    <row r="139" spans="1:68" s="90" customFormat="1">
      <c r="A139" s="651" t="s">
        <v>7</v>
      </c>
      <c r="B139" s="92">
        <v>41767</v>
      </c>
      <c r="C139" s="93">
        <v>0</v>
      </c>
      <c r="D139" s="95">
        <f>(Sheet1!BQ141-Sheet1!BQ140)*1.385</f>
        <v>-1.5235000000000021</v>
      </c>
      <c r="E139" s="30">
        <f>(Sheet1!BR141-Sheet1!BR140)*1.385</f>
        <v>-1.661999999999999</v>
      </c>
      <c r="F139" s="30">
        <f ca="1">IF(B139=TODAY(),0,-(VLOOKUP(Sheet1!CD141,Lookup!$I$4:$J$216,2)-VLOOKUP(Sheet1!CD140,Lookup!$I$4:$J$216,2))/1000000)</f>
        <v>-0.41454775419120304</v>
      </c>
      <c r="G139" s="95">
        <f ca="1">IF(B139=TODAY(),0,-$G$6*(Sheet1!CF141-Sheet1!CF140)*7.48/1000000)</f>
        <v>-1.1119780294716608</v>
      </c>
      <c r="H139" s="95">
        <f ca="1">IF(B139=TODAY(),0,-$H$6*(Sheet1!CE141-Sheet1!CE140)*7.48/1000000)</f>
        <v>-3.0078864702530548E-2</v>
      </c>
      <c r="I139" s="95">
        <f ca="1">IF(B139=TODAY(),0,-$I$6*(Sheet1!CG141-Sheet1!CG140)*7.48/1000000)</f>
        <v>8.9849760000000473E-3</v>
      </c>
      <c r="J139" s="96" t="s">
        <v>186</v>
      </c>
      <c r="K139" s="95">
        <f ca="1">IF(B139=TODAY(),0,-$K$6*(Sheet1!CH141-Sheet1!CH140)*7.48/1000000)</f>
        <v>6.6633203744585374E-3</v>
      </c>
      <c r="L139" s="96" t="s">
        <v>186</v>
      </c>
      <c r="M139" s="95">
        <f ca="1">IF(B139=TODAY(),0,-$M$6*(Sheet1!CI141-Sheet1!CI140)*7.48/1000000)</f>
        <v>7.1966033712108565E-2</v>
      </c>
      <c r="N139" s="95">
        <f ca="1">IF(B139=TODAY(),0,-$N$6*(Sheet1!CJ141-Sheet1!CJ140)*7.48/1000000)</f>
        <v>-0.24820938157849581</v>
      </c>
      <c r="O139" s="95">
        <f t="shared" ca="1" si="14"/>
        <v>-1.7171996998573229</v>
      </c>
      <c r="P139" s="95">
        <f ca="1">O139+Calculation!ES139</f>
        <v>1.4674695385897583</v>
      </c>
      <c r="Q139" s="90" t="str">
        <f>IF(Sheet1!BQ141&gt;25.75,"spill elevation","-")</f>
        <v>-</v>
      </c>
      <c r="R139" s="90" t="str">
        <f>IF(Sheet1!BQ141&gt;25.75,"spill elevation","-")</f>
        <v>-</v>
      </c>
      <c r="S139" s="90" t="str">
        <f>IF(Sheet1!BR141&gt;25.75,"spill elevation","-")</f>
        <v>-</v>
      </c>
      <c r="T139" s="94">
        <f>IF(Sheet1!DU141=1,Sheet1!AA141-(SUM(AT139:BA139)+BE139),Sheet1!AA141-SUM(AT139:BA139))</f>
        <v>18.254624</v>
      </c>
      <c r="U139" s="94">
        <f>Sheet1!BV141</f>
        <v>24.8</v>
      </c>
      <c r="V139" s="94">
        <f t="shared" si="15"/>
        <v>-6.545376000000001</v>
      </c>
      <c r="W139" s="94">
        <f>0</f>
        <v>0</v>
      </c>
      <c r="X139" s="90">
        <f>0</f>
        <v>0</v>
      </c>
      <c r="Y139" s="95">
        <f ca="1">Calculation!EJ140+Calculation!ES139+'Calculations II'!O139-'Calculations II'!W139</f>
        <v>54.943565538589759</v>
      </c>
      <c r="Z139" s="95">
        <f ca="1">Y139-Sheet1!CT142</f>
        <v>39.423565538589756</v>
      </c>
      <c r="AA139" s="95">
        <f ca="1">Y139+Calculation!DJ140+Calculation!AS140</f>
        <v>64.586011356600864</v>
      </c>
      <c r="AC139" s="95">
        <f>Sheet1!AA141+Sheet1!AB141+BC139</f>
        <v>52.788623999999999</v>
      </c>
      <c r="AD139" s="95">
        <f>Sheet1!AA141+Sheet1!BN141+'Calculations II'!BC139-Calculation!AS139-Calculation!DJ139</f>
        <v>32.568647501762626</v>
      </c>
      <c r="AE139" s="95">
        <f>Sheet1!AA141+Sheet1!AB141+'Calculations II'!BC139-Calculation!AS139-Calculation!DJ139</f>
        <v>42.668647501762635</v>
      </c>
      <c r="AF139" s="95">
        <f ca="1">Sheet1!AA141+Sheet1!BN141+P139+'Calculations II'!BC139+Calculation!AS139+Calculation!DJ139</f>
        <v>54.276070036827122</v>
      </c>
      <c r="AG139" s="95">
        <f ca="1">IF(B139=TODAY(),0,Sheet1!AA141+Sheet1!BN141+'Calculations II'!BC139+'Calculations II'!P139-Sheet1!CT141-BP139)</f>
        <v>28.711093538589758</v>
      </c>
      <c r="AH139" s="95">
        <f ca="1">IF(B139=TODAY(),0,Sheet1!AA141+Sheet1!BN141+'Calculations II'!BC139+'Calculations II'!P139-BP139)</f>
        <v>44.156093538589758</v>
      </c>
      <c r="AI139" s="95">
        <f ca="1">IF(B139=TODAY(),0,BC139+Sheet1!AA141+Calculation!ES139+O139+W139+Sheet1!BN141+Calculation!AS139+Calculation!DJ139-BP139)</f>
        <v>54.276070036827136</v>
      </c>
      <c r="AJ139" s="95"/>
      <c r="AM139" s="91">
        <f t="shared" si="16"/>
        <v>41767</v>
      </c>
      <c r="AN139" s="95">
        <f>Sheet1!BU141</f>
        <v>20.2</v>
      </c>
      <c r="AO139" s="95">
        <f>Sheet1!AA141</f>
        <v>21</v>
      </c>
      <c r="AP139" s="95">
        <f t="shared" si="18"/>
        <v>-3.1855000000000011</v>
      </c>
      <c r="AQ139" s="1055">
        <f>((Sheet1!BV141-(Sheet1!BU141-AP139))/(Sheet1!BU141-AP139))</f>
        <v>6.0486198712877651E-2</v>
      </c>
      <c r="AR139" s="95">
        <f t="shared" si="19"/>
        <v>24.185500000000001</v>
      </c>
      <c r="AS139" s="95">
        <f t="shared" si="20"/>
        <v>23.3855</v>
      </c>
      <c r="AT139" s="90">
        <f>Sheet1!BB141</f>
        <v>1.6</v>
      </c>
      <c r="AU139" s="90">
        <f>Sheet1!AS141*GPMtoMGD</f>
        <v>1.5696000000000002E-2</v>
      </c>
      <c r="AV139" s="95">
        <f>Sheet1!AT141</f>
        <v>0</v>
      </c>
      <c r="AW139" s="90">
        <f>Sheet1!AV141*GPMtoMGD</f>
        <v>0.51897599999999999</v>
      </c>
      <c r="AX139" s="90">
        <f>Sheet1!AW141*GPMtoMGD</f>
        <v>0.61070400000000002</v>
      </c>
      <c r="AY139" s="90">
        <f>Sheet1!AX141*GPMtoMGD</f>
        <v>0</v>
      </c>
      <c r="AZ139" s="90">
        <f>Sheet1!AY141*GPMtoMGD</f>
        <v>0</v>
      </c>
      <c r="BA139" s="90">
        <f>Sheet1!AZ141*GPMtoMGD</f>
        <v>0</v>
      </c>
      <c r="BB139" s="90">
        <f>Sheet1!BP141*GPMtoMGD</f>
        <v>0</v>
      </c>
      <c r="BC139" s="90">
        <f>Sheet1!CS141*GPMtoMGD</f>
        <v>6.2886240000000013</v>
      </c>
      <c r="BD139" s="90">
        <f>Sheet1!BO141*GPMtoMGD</f>
        <v>1.491552</v>
      </c>
      <c r="BE139" s="90">
        <f>Sheet1!BW141*GPMtoMGD</f>
        <v>0.969696</v>
      </c>
      <c r="BF139" s="90">
        <f>Sheet1!CN141*GPMtoMGD</f>
        <v>1.1808000000000001</v>
      </c>
      <c r="BG139" s="90">
        <f>Sheet1!CO141*GPMtoMGD</f>
        <v>0.45086400000000004</v>
      </c>
      <c r="BH139" s="90">
        <f>Sheet1!CP141*GPMtoMGD</f>
        <v>0.71481600000000001</v>
      </c>
      <c r="BI139" s="90">
        <f t="shared" si="17"/>
        <v>1.491552</v>
      </c>
      <c r="BK139" s="95">
        <f>SUM(AT139:BA139,BE139,Sheet1!BV141,'Calculations II'!BC139,Calculation!AQ139)</f>
        <v>50.185599642773212</v>
      </c>
      <c r="BM139" s="373">
        <f>0</f>
        <v>0</v>
      </c>
      <c r="BN139" s="373">
        <f>0</f>
        <v>0</v>
      </c>
      <c r="BP139" s="95">
        <f>SUM(BM139:BN139,W139,Sheet1!DX141)</f>
        <v>0</v>
      </c>
    </row>
    <row r="140" spans="1:68" s="90" customFormat="1">
      <c r="A140" s="651" t="s">
        <v>8</v>
      </c>
      <c r="B140" s="92">
        <v>41768</v>
      </c>
      <c r="C140" s="93">
        <v>0</v>
      </c>
      <c r="D140" s="95">
        <f>(Sheet1!BQ142-Sheet1!BQ141)*1.385</f>
        <v>0.13850000000000198</v>
      </c>
      <c r="E140" s="30">
        <f>(Sheet1!BR142-Sheet1!BR141)*1.385</f>
        <v>0.33239999999999786</v>
      </c>
      <c r="F140" s="30">
        <f ca="1">IF(B140=TODAY(),0,-(VLOOKUP(Sheet1!CD142,Lookup!$I$4:$J$216,2)-VLOOKUP(Sheet1!CD141,Lookup!$I$4:$J$216,2))/1000000)</f>
        <v>-0.41454775419119744</v>
      </c>
      <c r="G140" s="95">
        <f ca="1">IF(B140=TODAY(),0,-$G$6*(Sheet1!CF142-Sheet1!CF141)*7.48/1000000)</f>
        <v>0.15885400421023735</v>
      </c>
      <c r="H140" s="95">
        <f ca="1">IF(B140=TODAY(),0,-$H$6*(Sheet1!CE142-Sheet1!CE141)*7.48/1000000)</f>
        <v>-1.5039432351264204E-2</v>
      </c>
      <c r="I140" s="95">
        <f ca="1">IF(B140=TODAY(),0,-$I$6*(Sheet1!CG142-Sheet1!CG141)*7.48/1000000)</f>
        <v>2.2462439999999959E-2</v>
      </c>
      <c r="J140" s="96" t="s">
        <v>186</v>
      </c>
      <c r="K140" s="95">
        <f ca="1">IF(B140=TODAY(),0,-$K$6*(Sheet1!CH142-Sheet1!CH141)*7.48/1000000)</f>
        <v>3.9979922246750635E-2</v>
      </c>
      <c r="L140" s="96" t="s">
        <v>186</v>
      </c>
      <c r="M140" s="95">
        <f ca="1">IF(B140=TODAY(),0,-$M$6*(Sheet1!CI142-Sheet1!CI141)*7.48/1000000)</f>
        <v>8.9957542140135238E-2</v>
      </c>
      <c r="N140" s="95">
        <f ca="1">IF(B140=TODAY(),0,-$N$6*(Sheet1!CJ142-Sheet1!CJ141)*7.48/1000000)</f>
        <v>-0.2233884434206457</v>
      </c>
      <c r="O140" s="95">
        <f t="shared" ca="1" si="14"/>
        <v>-0.34172172136598411</v>
      </c>
      <c r="P140" s="95">
        <f ca="1">O140+Calculation!ES140</f>
        <v>-0.89545577535984255</v>
      </c>
      <c r="Q140" s="90" t="str">
        <f>IF(Sheet1!BQ142&gt;25.75,"spill elevation","-")</f>
        <v>-</v>
      </c>
      <c r="R140" s="90" t="str">
        <f>IF(Sheet1!BQ142&gt;25.75,"spill elevation","-")</f>
        <v>-</v>
      </c>
      <c r="S140" s="90" t="str">
        <f>IF(Sheet1!BR142&gt;25.75,"spill elevation","-")</f>
        <v>-</v>
      </c>
      <c r="T140" s="94">
        <f>IF(Sheet1!DU142=1,Sheet1!AA142-(SUM(AT140:BA140)+BE140),Sheet1!AA142-SUM(AT140:BA140))</f>
        <v>19.004303999999998</v>
      </c>
      <c r="U140" s="94">
        <f>Sheet1!BV142</f>
        <v>22.1</v>
      </c>
      <c r="V140" s="94">
        <f t="shared" si="15"/>
        <v>-3.0956960000000038</v>
      </c>
      <c r="W140" s="94">
        <f>0</f>
        <v>0</v>
      </c>
      <c r="X140" s="90">
        <f>0</f>
        <v>0</v>
      </c>
      <c r="Y140" s="95">
        <f ca="1">Calculation!EJ141+Calculation!ES140+'Calculations II'!O140-'Calculations II'!W140</f>
        <v>53.110320224640162</v>
      </c>
      <c r="Z140" s="95">
        <f ca="1">Y140-Sheet1!CT143</f>
        <v>38.070320224640163</v>
      </c>
      <c r="AA140" s="95">
        <f ca="1">Y140+Calculation!DJ141+Calculation!AS141</f>
        <v>60.278053187088005</v>
      </c>
      <c r="AC140" s="95">
        <f>Sheet1!AA142+Sheet1!AB142+BC140</f>
        <v>53.476096000000005</v>
      </c>
      <c r="AD140" s="95">
        <f>Sheet1!AA142+Sheet1!BN142+'Calculations II'!BC140-Calculation!AS140-Calculation!DJ140</f>
        <v>34.233650181988892</v>
      </c>
      <c r="AE140" s="95">
        <f>Sheet1!AA142+Sheet1!AB142+'Calculations II'!BC140-Calculation!AS140-Calculation!DJ140</f>
        <v>43.833650181988894</v>
      </c>
      <c r="AF140" s="95">
        <f ca="1">Sheet1!AA142+Sheet1!BN142+P140+'Calculations II'!BC140+Calculation!AS140+Calculation!DJ140</f>
        <v>52.623086042651273</v>
      </c>
      <c r="AG140" s="95">
        <f ca="1">IF(B140=TODAY(),0,Sheet1!AA142+Sheet1!BN142+'Calculations II'!BC140+'Calculations II'!P140-Sheet1!CT142-BP140)</f>
        <v>27.460640224640162</v>
      </c>
      <c r="AH140" s="95">
        <f ca="1">IF(B140=TODAY(),0,Sheet1!AA142+Sheet1!BN142+'Calculations II'!BC140+'Calculations II'!P140-BP140)</f>
        <v>42.980640224640162</v>
      </c>
      <c r="AI140" s="95">
        <f ca="1">IF(B140=TODAY(),0,BC140+Sheet1!AA142+Calculation!ES140+O140+W140+Sheet1!BN142+Calculation!AS140+Calculation!DJ140-BP140)</f>
        <v>52.623086042651266</v>
      </c>
      <c r="AJ140" s="95"/>
      <c r="AM140" s="91">
        <f t="shared" si="16"/>
        <v>41768</v>
      </c>
      <c r="AN140" s="95">
        <f>Sheet1!BU142</f>
        <v>20.7</v>
      </c>
      <c r="AO140" s="95">
        <f>Sheet1!AA142</f>
        <v>21.7</v>
      </c>
      <c r="AP140" s="95">
        <f t="shared" si="18"/>
        <v>0.47089999999999987</v>
      </c>
      <c r="AQ140" s="1055">
        <f>((Sheet1!BV142-(Sheet1!BU142-AP140))/(Sheet1!BU142-AP140))</f>
        <v>9.2485577707362293E-2</v>
      </c>
      <c r="AR140" s="95">
        <f t="shared" si="19"/>
        <v>21.229099999999999</v>
      </c>
      <c r="AS140" s="95">
        <f t="shared" si="20"/>
        <v>20.229099999999999</v>
      </c>
      <c r="AT140" s="90">
        <f>Sheet1!BB142</f>
        <v>1.6</v>
      </c>
      <c r="AU140" s="90">
        <f>Sheet1!AS142*GPMtoMGD</f>
        <v>2.9808000000000001E-2</v>
      </c>
      <c r="AV140" s="95">
        <f>Sheet1!AT142</f>
        <v>0</v>
      </c>
      <c r="AW140" s="90">
        <f>Sheet1!AV142*GPMtoMGD</f>
        <v>0.47764800000000002</v>
      </c>
      <c r="AX140" s="90">
        <f>Sheet1!AW142*GPMtoMGD</f>
        <v>0.58823999999999999</v>
      </c>
      <c r="AY140" s="90">
        <f>Sheet1!AX142*GPMtoMGD</f>
        <v>0</v>
      </c>
      <c r="AZ140" s="90">
        <f>Sheet1!AY142*GPMtoMGD</f>
        <v>0</v>
      </c>
      <c r="BA140" s="90">
        <f>Sheet1!AZ142*GPMtoMGD</f>
        <v>0</v>
      </c>
      <c r="BB140" s="90">
        <f>Sheet1!BP142*GPMtoMGD</f>
        <v>0</v>
      </c>
      <c r="BC140" s="90">
        <f>Sheet1!CS142*GPMtoMGD</f>
        <v>6.2760959999999999</v>
      </c>
      <c r="BD140" s="90">
        <f>Sheet1!BO142*GPMtoMGD</f>
        <v>1.4271840000000002</v>
      </c>
      <c r="BE140" s="90">
        <f>Sheet1!BW142*GPMtoMGD</f>
        <v>0.69436799999999999</v>
      </c>
      <c r="BF140" s="90">
        <f>Sheet1!CN142*GPMtoMGD</f>
        <v>1.1808000000000001</v>
      </c>
      <c r="BG140" s="90">
        <f>Sheet1!CO142*GPMtoMGD</f>
        <v>4.4928000000000008E-3</v>
      </c>
      <c r="BH140" s="90">
        <f>Sheet1!CP142*GPMtoMGD</f>
        <v>0.7074720000000001</v>
      </c>
      <c r="BI140" s="90">
        <f t="shared" si="17"/>
        <v>1.4271840000000002</v>
      </c>
      <c r="BK140" s="95">
        <f>SUM(AT140:BA140,BE140,Sheet1!BV142,'Calculations II'!BC140,Calculation!AQ140)</f>
        <v>47.627594942492763</v>
      </c>
      <c r="BM140" s="373">
        <f>0</f>
        <v>0</v>
      </c>
      <c r="BN140" s="373">
        <f>0</f>
        <v>0</v>
      </c>
      <c r="BP140" s="95">
        <f>SUM(BM140:BN140,W140,Sheet1!DX142)</f>
        <v>0</v>
      </c>
    </row>
    <row r="141" spans="1:68" s="90" customFormat="1">
      <c r="A141" s="651" t="s">
        <v>9</v>
      </c>
      <c r="B141" s="92">
        <v>41769</v>
      </c>
      <c r="C141" s="93">
        <v>0</v>
      </c>
      <c r="D141" s="95">
        <f>(Sheet1!BQ143-Sheet1!BQ142)*1.385</f>
        <v>1.4542500000000009</v>
      </c>
      <c r="E141" s="30">
        <f>(Sheet1!BR143-Sheet1!BR142)*1.385</f>
        <v>1.3573000000000006</v>
      </c>
      <c r="F141" s="30">
        <f ca="1">IF(B141=TODAY(),0,-(VLOOKUP(Sheet1!CD143,Lookup!$I$4:$J$216,2)-VLOOKUP(Sheet1!CD142,Lookup!$I$4:$J$216,2))/1000000)</f>
        <v>-0.10363693854779936</v>
      </c>
      <c r="G141" s="95">
        <f ca="1">IF(B141=TODAY(),0,-$G$6*(Sheet1!CF143-Sheet1!CF142)*7.48/1000000)</f>
        <v>0.23828100631535562</v>
      </c>
      <c r="H141" s="95">
        <f ca="1">IF(B141=TODAY(),0,-$H$6*(Sheet1!CE143-Sheet1!CE142)*7.48/1000000)</f>
        <v>4.5118297053794748E-2</v>
      </c>
      <c r="I141" s="95">
        <f ca="1">IF(B141=TODAY(),0,-$I$6*(Sheet1!CG143-Sheet1!CG142)*7.48/1000000)</f>
        <v>3.369366E-2</v>
      </c>
      <c r="J141" s="96" t="s">
        <v>186</v>
      </c>
      <c r="K141" s="95">
        <f ca="1">IF(B141=TODAY(),0,-$K$6*(Sheet1!CH143-Sheet1!CH142)*7.48/1000000)</f>
        <v>5.3306562995667467E-2</v>
      </c>
      <c r="L141" s="96" t="s">
        <v>186</v>
      </c>
      <c r="M141" s="95">
        <f ca="1">IF(B141=TODAY(),0,-$M$6*(Sheet1!CI143-Sheet1!CI142)*7.48/1000000)</f>
        <v>0.16192357585224318</v>
      </c>
      <c r="N141" s="95">
        <f ca="1">IF(B141=TODAY(),0,-$N$6*(Sheet1!CJ143-Sheet1!CJ142)*7.48/1000000)</f>
        <v>2.4820938157849033E-2</v>
      </c>
      <c r="O141" s="95">
        <f t="shared" ca="1" si="14"/>
        <v>0.45350710182711063</v>
      </c>
      <c r="P141" s="95">
        <f ca="1">O141+Calculation!ES141</f>
        <v>-2.4544360832202514</v>
      </c>
      <c r="Q141" s="90" t="str">
        <f>IF(Sheet1!BQ143&gt;25.75,"spill elevation","-")</f>
        <v>-</v>
      </c>
      <c r="R141" s="90" t="str">
        <f>IF(Sheet1!BQ143&gt;25.75,"spill elevation","-")</f>
        <v>-</v>
      </c>
      <c r="S141" s="90" t="str">
        <f>IF(Sheet1!BR143&gt;25.75,"spill elevation","-")</f>
        <v>-</v>
      </c>
      <c r="T141" s="94">
        <f>IF(Sheet1!DU143=1,Sheet1!AA143-(SUM(AT141:BA141)+BE141),Sheet1!AA143-SUM(AT141:BA141))</f>
        <v>19.485072000000002</v>
      </c>
      <c r="U141" s="94">
        <f>Sheet1!BV143</f>
        <v>19.7</v>
      </c>
      <c r="V141" s="94">
        <f t="shared" si="15"/>
        <v>-0.2149279999999969</v>
      </c>
      <c r="W141" s="94">
        <f>0</f>
        <v>0</v>
      </c>
      <c r="X141" s="90">
        <f>0</f>
        <v>0</v>
      </c>
      <c r="Y141" s="95">
        <f ca="1">Calculation!EJ142+Calculation!ES141+'Calculations II'!O141-'Calculations II'!W141</f>
        <v>53.545563916779756</v>
      </c>
      <c r="Z141" s="95">
        <f ca="1">Y141-Sheet1!CT144</f>
        <v>38.205563916779752</v>
      </c>
      <c r="AA141" s="95">
        <f ca="1">Y141+Calculation!DJ142+Calculation!AS142</f>
        <v>60.695339992206982</v>
      </c>
      <c r="AC141" s="95">
        <f>Sheet1!AA143+Sheet1!AB143+BC141</f>
        <v>54.005776000000004</v>
      </c>
      <c r="AD141" s="95">
        <f>Sheet1!AA143+Sheet1!BN143+'Calculations II'!BC141-Calculation!AS141-Calculation!DJ141</f>
        <v>39.638043037552166</v>
      </c>
      <c r="AE141" s="95">
        <f>Sheet1!AA143+Sheet1!AB143+'Calculations II'!BC141-Calculation!AS141-Calculation!DJ141</f>
        <v>46.838043037552161</v>
      </c>
      <c r="AF141" s="95">
        <f ca="1">Sheet1!AA143+Sheet1!BN143+P141+'Calculations II'!BC141+Calculation!AS141+Calculation!DJ141</f>
        <v>51.5190728792276</v>
      </c>
      <c r="AG141" s="95">
        <f ca="1">IF(B141=TODAY(),0,Sheet1!AA143+Sheet1!BN143+'Calculations II'!BC141+'Calculations II'!P141-Sheet1!CT143-BP141)</f>
        <v>29.311339916779758</v>
      </c>
      <c r="AH141" s="95">
        <f ca="1">IF(B141=TODAY(),0,Sheet1!AA143+Sheet1!BN143+'Calculations II'!BC141+'Calculations II'!P141-BP141)</f>
        <v>44.351339916779757</v>
      </c>
      <c r="AI141" s="95">
        <f ca="1">IF(B141=TODAY(),0,BC141+Sheet1!AA143+Calculation!ES141+O141+W141+Sheet1!BN143+Calculation!AS141+Calculation!DJ141-BP141)</f>
        <v>51.519072879227593</v>
      </c>
      <c r="AJ141" s="95"/>
      <c r="AM141" s="91">
        <f t="shared" si="16"/>
        <v>41769</v>
      </c>
      <c r="AN141" s="95">
        <f>Sheet1!BU143</f>
        <v>21.3</v>
      </c>
      <c r="AO141" s="95">
        <f>Sheet1!AA143</f>
        <v>22.3</v>
      </c>
      <c r="AP141" s="95">
        <f t="shared" si="18"/>
        <v>2.8115500000000013</v>
      </c>
      <c r="AQ141" s="1055">
        <f>((Sheet1!BV143-(Sheet1!BU143-AP141))/(Sheet1!BU143-AP141))</f>
        <v>6.5530101225359558E-2</v>
      </c>
      <c r="AR141" s="95">
        <f t="shared" si="19"/>
        <v>19.48845</v>
      </c>
      <c r="AS141" s="95">
        <f t="shared" si="20"/>
        <v>18.48845</v>
      </c>
      <c r="AT141" s="90">
        <f>Sheet1!BB143</f>
        <v>1.6</v>
      </c>
      <c r="AU141" s="90">
        <f>Sheet1!AS143*GPMtoMGD</f>
        <v>1.5984000000000002E-2</v>
      </c>
      <c r="AV141" s="95">
        <f>Sheet1!AT143</f>
        <v>0</v>
      </c>
      <c r="AW141" s="90">
        <f>Sheet1!AV143*GPMtoMGD</f>
        <v>0.42350400000000005</v>
      </c>
      <c r="AX141" s="90">
        <f>Sheet1!AW143*GPMtoMGD</f>
        <v>0.77544000000000002</v>
      </c>
      <c r="AY141" s="90">
        <f>Sheet1!AX143*GPMtoMGD</f>
        <v>0</v>
      </c>
      <c r="AZ141" s="90">
        <f>Sheet1!AY143*GPMtoMGD</f>
        <v>0</v>
      </c>
      <c r="BA141" s="90">
        <f>Sheet1!AZ143*GPMtoMGD</f>
        <v>0</v>
      </c>
      <c r="BB141" s="90">
        <f>Sheet1!BP143*GPMtoMGD</f>
        <v>0</v>
      </c>
      <c r="BC141" s="90">
        <f>Sheet1!CS143*GPMtoMGD</f>
        <v>2.9057760000000004</v>
      </c>
      <c r="BD141" s="90">
        <f>Sheet1!BO143*GPMtoMGD</f>
        <v>1.5346080000000002</v>
      </c>
      <c r="BE141" s="90">
        <f>Sheet1!BW143*GPMtoMGD</f>
        <v>1.0180800000000001</v>
      </c>
      <c r="BF141" s="90">
        <f>Sheet1!CN143*GPMtoMGD</f>
        <v>1.1808000000000001</v>
      </c>
      <c r="BG141" s="90">
        <f>Sheet1!CO143*GPMtoMGD</f>
        <v>0.49939200000000006</v>
      </c>
      <c r="BH141" s="90">
        <f>Sheet1!CP143*GPMtoMGD</f>
        <v>0.70401599999999998</v>
      </c>
      <c r="BI141" s="90">
        <f t="shared" si="17"/>
        <v>1.5346080000000002</v>
      </c>
      <c r="BK141" s="95">
        <f>SUM(AT141:BA141,BE141,Sheet1!BV143,'Calculations II'!BC141,Calculation!AQ141)</f>
        <v>48.068825724617525</v>
      </c>
      <c r="BM141" s="373">
        <f>0</f>
        <v>0</v>
      </c>
      <c r="BN141" s="373">
        <f>0</f>
        <v>0</v>
      </c>
      <c r="BP141" s="95">
        <f>SUM(BM141:BN141,W141,Sheet1!DX143)</f>
        <v>0</v>
      </c>
    </row>
    <row r="142" spans="1:68" s="90" customFormat="1">
      <c r="A142" s="651" t="s">
        <v>3</v>
      </c>
      <c r="B142" s="92">
        <v>41770</v>
      </c>
      <c r="C142" s="93">
        <v>0</v>
      </c>
      <c r="D142" s="95">
        <f>(Sheet1!BQ144-Sheet1!BQ143)*1.385</f>
        <v>2.0913499999999972</v>
      </c>
      <c r="E142" s="30">
        <f>(Sheet1!BR144-Sheet1!BR143)*1.385</f>
        <v>2.091350000000002</v>
      </c>
      <c r="F142" s="30">
        <f ca="1">IF(B142=TODAY(),0,-(VLOOKUP(Sheet1!CD144,Lookup!$I$4:$J$216,2)-VLOOKUP(Sheet1!CD143,Lookup!$I$4:$J$216,2))/1000000)</f>
        <v>0.41454775419119744</v>
      </c>
      <c r="G142" s="95">
        <f ca="1">IF(B142=TODAY(),0,-$G$6*(Sheet1!CF144-Sheet1!CF143)*7.48/1000000)</f>
        <v>0.3177080084204747</v>
      </c>
      <c r="H142" s="95">
        <f ca="1">IF(B142=TODAY(),0,-$H$6*(Sheet1!CE144-Sheet1!CE143)*7.48/1000000)</f>
        <v>9.0236594107590579E-2</v>
      </c>
      <c r="I142" s="95">
        <f ca="1">IF(B142=TODAY(),0,-$I$6*(Sheet1!CG144-Sheet1!CG143)*7.48/1000000)</f>
        <v>4.7171123999999995E-2</v>
      </c>
      <c r="J142" s="96" t="s">
        <v>186</v>
      </c>
      <c r="K142" s="95">
        <f ca="1">IF(B142=TODAY(),0,-$K$6*(Sheet1!CH144-Sheet1!CH143)*7.48/1000000)</f>
        <v>7.9959844493501367E-2</v>
      </c>
      <c r="L142" s="96" t="s">
        <v>186</v>
      </c>
      <c r="M142" s="95">
        <f ca="1">IF(B142=TODAY(),0,-$M$6*(Sheet1!CI144-Sheet1!CI143)*7.48/1000000)</f>
        <v>0.21589810113632477</v>
      </c>
      <c r="N142" s="95">
        <f ca="1">IF(B142=TODAY(),0,-$N$6*(Sheet1!CJ144-Sheet1!CJ143)*7.48/1000000)</f>
        <v>0.32887743059150737</v>
      </c>
      <c r="O142" s="95">
        <f t="shared" ca="1" si="14"/>
        <v>1.4943988569405962</v>
      </c>
      <c r="P142" s="95">
        <f ca="1">O142+Calculation!ES142</f>
        <v>-2.6622594249335609</v>
      </c>
      <c r="Q142" s="90" t="str">
        <f>IF(Sheet1!BQ144&gt;25.75,"spill elevation","-")</f>
        <v>-</v>
      </c>
      <c r="R142" s="90" t="str">
        <f>IF(Sheet1!BQ144&gt;25.75,"spill elevation","-")</f>
        <v>-</v>
      </c>
      <c r="S142" s="90" t="str">
        <f>IF(Sheet1!BR144&gt;25.75,"spill elevation","-")</f>
        <v>-</v>
      </c>
      <c r="T142" s="94">
        <f>IF(Sheet1!DU144=1,Sheet1!AA144-(SUM(AT142:BA142)+BE142),Sheet1!AA144-SUM(AT142:BA142))</f>
        <v>18.689360000000001</v>
      </c>
      <c r="U142" s="94">
        <f>Sheet1!BV144</f>
        <v>18.5</v>
      </c>
      <c r="V142" s="94">
        <f t="shared" si="15"/>
        <v>0.18936000000000064</v>
      </c>
      <c r="W142" s="94">
        <f>0</f>
        <v>0</v>
      </c>
      <c r="X142" s="90">
        <f>0</f>
        <v>0</v>
      </c>
      <c r="Y142" s="95">
        <f ca="1">Calculation!EJ143+Calculation!ES142+'Calculations II'!O142-'Calculations II'!W142</f>
        <v>53.44774057506644</v>
      </c>
      <c r="Z142" s="95">
        <f ca="1">Y142-Sheet1!CT145</f>
        <v>36.497740575066445</v>
      </c>
      <c r="AA142" s="95">
        <f ca="1">Y142+Calculation!DJ143+Calculation!AS143</f>
        <v>62.957740575066445</v>
      </c>
      <c r="AC142" s="95">
        <f>Sheet1!AA144+Sheet1!AB144+BC142</f>
        <v>56</v>
      </c>
      <c r="AD142" s="95">
        <f>Sheet1!AA144+Sheet1!BN144+'Calculations II'!BC142-Calculation!AS142-Calculation!DJ142</f>
        <v>41.650223924572771</v>
      </c>
      <c r="AE142" s="95">
        <f>Sheet1!AA144+Sheet1!AB144+'Calculations II'!BC142-Calculation!AS142-Calculation!DJ142</f>
        <v>48.850223924572774</v>
      </c>
      <c r="AF142" s="95">
        <f ca="1">Sheet1!AA144+Sheet1!BN144+P142+'Calculations II'!BC142+Calculation!AS142+Calculation!DJ142</f>
        <v>53.287516650493664</v>
      </c>
      <c r="AG142" s="95">
        <f ca="1">IF(B142=TODAY(),0,Sheet1!AA144+Sheet1!BN144+'Calculations II'!BC142+'Calculations II'!P142-Sheet1!CT144-BP142)</f>
        <v>30.797740575066438</v>
      </c>
      <c r="AH142" s="95">
        <f ca="1">IF(B142=TODAY(),0,Sheet1!AA144+Sheet1!BN144+'Calculations II'!BC142+'Calculations II'!P142-BP142)</f>
        <v>46.137740575066438</v>
      </c>
      <c r="AI142" s="95">
        <f ca="1">IF(B142=TODAY(),0,BC142+Sheet1!AA144+Calculation!ES142+O142+W142+Sheet1!BN144+Calculation!AS142+Calculation!DJ142-BP142)</f>
        <v>53.287516650493664</v>
      </c>
      <c r="AJ142" s="95"/>
      <c r="AM142" s="91">
        <f t="shared" si="16"/>
        <v>41770</v>
      </c>
      <c r="AN142" s="95">
        <f>Sheet1!BU144</f>
        <v>20.9</v>
      </c>
      <c r="AO142" s="95">
        <f>Sheet1!AA144</f>
        <v>22</v>
      </c>
      <c r="AP142" s="95">
        <f t="shared" si="18"/>
        <v>4.1826999999999988</v>
      </c>
      <c r="AQ142" s="1055">
        <f>((Sheet1!BV144-(Sheet1!BU144-AP142))/(Sheet1!BU144-AP142))</f>
        <v>0.10663803365375978</v>
      </c>
      <c r="AR142" s="95">
        <f t="shared" si="19"/>
        <v>17.817300000000003</v>
      </c>
      <c r="AS142" s="95">
        <f t="shared" si="20"/>
        <v>16.717300000000002</v>
      </c>
      <c r="AT142" s="90">
        <f>Sheet1!BB144</f>
        <v>1.61</v>
      </c>
      <c r="AU142" s="90">
        <f>Sheet1!AS144*GPMtoMGD</f>
        <v>1.6992000000000004E-2</v>
      </c>
      <c r="AV142" s="95">
        <f>Sheet1!AT144</f>
        <v>0</v>
      </c>
      <c r="AW142" s="90">
        <f>Sheet1!AV144*GPMtoMGD</f>
        <v>0.74707199999999996</v>
      </c>
      <c r="AX142" s="90">
        <f>Sheet1!AW144*GPMtoMGD</f>
        <v>0.93657600000000008</v>
      </c>
      <c r="AY142" s="90">
        <f>Sheet1!AX144*GPMtoMGD</f>
        <v>0</v>
      </c>
      <c r="AZ142" s="90">
        <f>Sheet1!AY144*GPMtoMGD</f>
        <v>0</v>
      </c>
      <c r="BA142" s="90">
        <f>Sheet1!AZ144*GPMtoMGD</f>
        <v>0</v>
      </c>
      <c r="BB142" s="90">
        <f>Sheet1!BP144*GPMtoMGD</f>
        <v>0</v>
      </c>
      <c r="BC142" s="90">
        <f>Sheet1!CS144*GPMtoMGD</f>
        <v>0</v>
      </c>
      <c r="BD142" s="90">
        <f>Sheet1!BO144*GPMtoMGD</f>
        <v>1.5583680000000002</v>
      </c>
      <c r="BE142" s="90">
        <f>Sheet1!BW144*GPMtoMGD</f>
        <v>1.05192</v>
      </c>
      <c r="BF142" s="90">
        <f>Sheet1!CN144*GPMtoMGD</f>
        <v>1.1808000000000001</v>
      </c>
      <c r="BG142" s="90">
        <f>Sheet1!CO144*GPMtoMGD</f>
        <v>0.56995200000000001</v>
      </c>
      <c r="BH142" s="90">
        <f>Sheet1!CP144*GPMtoMGD</f>
        <v>0.67003200000000007</v>
      </c>
      <c r="BI142" s="90">
        <f t="shared" si="17"/>
        <v>1.5583680000000002</v>
      </c>
      <c r="BK142" s="95">
        <f>SUM(AT142:BA142,BE142,Sheet1!BV144,'Calculations II'!BC142,Calculation!AQ142)</f>
        <v>49.709937725397765</v>
      </c>
      <c r="BM142" s="373">
        <f>0</f>
        <v>0</v>
      </c>
      <c r="BN142" s="373">
        <f>0</f>
        <v>0</v>
      </c>
      <c r="BP142" s="95">
        <f>SUM(BM142:BN142,W142,Sheet1!DX144)</f>
        <v>0</v>
      </c>
    </row>
    <row r="143" spans="1:68" s="90" customFormat="1">
      <c r="A143" s="651" t="s">
        <v>4</v>
      </c>
      <c r="B143" s="92">
        <v>41771</v>
      </c>
      <c r="C143" s="93">
        <v>0</v>
      </c>
      <c r="D143" s="95">
        <f>(Sheet1!BQ145-Sheet1!BQ144)*1.385</f>
        <v>-0.84484999999999921</v>
      </c>
      <c r="E143" s="30">
        <f>(Sheet1!BR145-Sheet1!BR144)*1.385</f>
        <v>-0.88640000000000074</v>
      </c>
      <c r="F143" s="30">
        <f ca="1">IF(B143=TODAY(),0,-(VLOOKUP(Sheet1!CD145,Lookup!$I$4:$J$216,2)-VLOOKUP(Sheet1!CD144,Lookup!$I$4:$J$216,2))/1000000)</f>
        <v>0.82909550838240054</v>
      </c>
      <c r="G143" s="95">
        <f ca="1">IF(B143=TODAY(),0,-$G$6*(Sheet1!CF145-Sheet1!CF144)*7.48/1000000)</f>
        <v>0.31770800842047398</v>
      </c>
      <c r="H143" s="95">
        <f ca="1">IF(B143=TODAY(),0,-$H$6*(Sheet1!CE145-Sheet1!CE144)*7.48/1000000)</f>
        <v>6.0157729405060027E-2</v>
      </c>
      <c r="I143" s="95">
        <f ca="1">IF(B143=TODAY(),0,-$I$6*(Sheet1!CG145-Sheet1!CG144)*7.48/1000000)</f>
        <v>1.1231220000000002E-2</v>
      </c>
      <c r="J143" s="96" t="s">
        <v>186</v>
      </c>
      <c r="K143" s="95">
        <f ca="1">IF(B143=TODAY(),0,-$K$6*(Sheet1!CH145-Sheet1!CH144)*7.48/1000000)</f>
        <v>2.9984941685062941E-2</v>
      </c>
      <c r="L143" s="96" t="s">
        <v>186</v>
      </c>
      <c r="M143" s="95">
        <f ca="1">IF(B143=TODAY(),0,-$M$6*(Sheet1!CI145-Sheet1!CI144)*7.48/1000000)</f>
        <v>0</v>
      </c>
      <c r="N143" s="95">
        <f ca="1">IF(B143=TODAY(),0,-$N$6*(Sheet1!CJ145-Sheet1!CJ144)*7.48/1000000)</f>
        <v>0.1178994562497851</v>
      </c>
      <c r="O143" s="95">
        <f t="shared" ca="1" si="14"/>
        <v>1.3660768641427825</v>
      </c>
      <c r="P143" s="95">
        <f ca="1">O143+Calculation!ES143</f>
        <v>3.1676479995592342</v>
      </c>
      <c r="Q143" s="90" t="str">
        <f>IF(Sheet1!BQ145&gt;25.75,"spill elevation","-")</f>
        <v>-</v>
      </c>
      <c r="R143" s="90" t="str">
        <f>IF(Sheet1!BQ145&gt;25.75,"spill elevation","-")</f>
        <v>-</v>
      </c>
      <c r="S143" s="90" t="str">
        <f>IF(Sheet1!BR145&gt;25.75,"spill elevation","-")</f>
        <v>-</v>
      </c>
      <c r="T143" s="94">
        <f>IF(Sheet1!DU145=1,Sheet1!AA145-(SUM(AT143:BA143)+BE143),Sheet1!AA145-SUM(AT143:BA143))</f>
        <v>18.827008000000003</v>
      </c>
      <c r="U143" s="94">
        <f>Sheet1!BV145</f>
        <v>24.6</v>
      </c>
      <c r="V143" s="94">
        <f t="shared" si="15"/>
        <v>-5.7729919999999986</v>
      </c>
      <c r="W143" s="94">
        <f>0</f>
        <v>0</v>
      </c>
      <c r="X143" s="90">
        <f>0</f>
        <v>0</v>
      </c>
      <c r="Y143" s="95">
        <f ca="1">Calculation!EJ144+Calculation!ES143+'Calculations II'!O143-'Calculations II'!W143</f>
        <v>59.247647999559234</v>
      </c>
      <c r="Z143" s="95">
        <f ca="1">Y143-Sheet1!CT146</f>
        <v>42.687647999559232</v>
      </c>
      <c r="AA143" s="95">
        <f ca="1">Y143+Calculation!DJ144+Calculation!AS144</f>
        <v>69.697115455180537</v>
      </c>
      <c r="AC143" s="95">
        <f>Sheet1!AA145+Sheet1!AB145+BC143</f>
        <v>56.11</v>
      </c>
      <c r="AD143" s="95">
        <f>Sheet1!AA145+Sheet1!BN145+'Calculations II'!BC143-Calculation!AS143-Calculation!DJ143</f>
        <v>37.090000000000003</v>
      </c>
      <c r="AE143" s="95">
        <f>Sheet1!AA145+Sheet1!AB145+'Calculations II'!BC143-Calculation!AS143-Calculation!DJ143</f>
        <v>46.599999999999994</v>
      </c>
      <c r="AF143" s="95">
        <f ca="1">Sheet1!AA145+Sheet1!BN145+P143+'Calculations II'!BC143+Calculation!AS143+Calculation!DJ143</f>
        <v>59.277647999559235</v>
      </c>
      <c r="AG143" s="95">
        <f ca="1">IF(B143=TODAY(),0,Sheet1!AA145+Sheet1!BN145+'Calculations II'!BC143+'Calculations II'!P143-Sheet1!CT145-BP143)</f>
        <v>32.817647999559242</v>
      </c>
      <c r="AH143" s="95">
        <f ca="1">IF(B143=TODAY(),0,Sheet1!AA145+Sheet1!BN145+'Calculations II'!BC143+'Calculations II'!P143-BP143)</f>
        <v>49.767647999559237</v>
      </c>
      <c r="AI143" s="95">
        <f ca="1">IF(B143=TODAY(),0,BC143+Sheet1!AA145+Calculation!ES143+O143+W143+Sheet1!BN145+Calculation!AS143+Calculation!DJ143-BP143)</f>
        <v>59.277647999559235</v>
      </c>
      <c r="AJ143" s="95"/>
      <c r="AM143" s="91">
        <f t="shared" si="16"/>
        <v>41771</v>
      </c>
      <c r="AN143" s="95">
        <f>Sheet1!BU145</f>
        <v>20.9</v>
      </c>
      <c r="AO143" s="95">
        <f>Sheet1!AA145</f>
        <v>22.1</v>
      </c>
      <c r="AP143" s="95">
        <f t="shared" si="18"/>
        <v>-1.73125</v>
      </c>
      <c r="AQ143" s="1055">
        <f>((Sheet1!BV145-(Sheet1!BU145-AP143))/(Sheet1!BU145-AP143))</f>
        <v>8.6992543496271918E-2</v>
      </c>
      <c r="AR143" s="95">
        <f t="shared" si="19"/>
        <v>23.831250000000001</v>
      </c>
      <c r="AS143" s="95">
        <f t="shared" si="20"/>
        <v>22.631249999999998</v>
      </c>
      <c r="AT143" s="90">
        <f>Sheet1!BB145</f>
        <v>1.6</v>
      </c>
      <c r="AU143" s="90">
        <f>Sheet1!AS145*GPMtoMGD</f>
        <v>3.3695999999999997E-2</v>
      </c>
      <c r="AV143" s="95">
        <f>Sheet1!AT145</f>
        <v>0</v>
      </c>
      <c r="AW143" s="90">
        <f>Sheet1!AV145*GPMtoMGD</f>
        <v>0.77428800000000009</v>
      </c>
      <c r="AX143" s="90">
        <f>Sheet1!AW145*GPMtoMGD</f>
        <v>0.86500800000000011</v>
      </c>
      <c r="AY143" s="90">
        <f>Sheet1!AX145*GPMtoMGD</f>
        <v>0</v>
      </c>
      <c r="AZ143" s="90">
        <f>Sheet1!AY145*GPMtoMGD</f>
        <v>0</v>
      </c>
      <c r="BA143" s="90">
        <f>Sheet1!AZ145*GPMtoMGD</f>
        <v>0</v>
      </c>
      <c r="BB143" s="90">
        <f>Sheet1!BP145*GPMtoMGD</f>
        <v>4.0032000000000005E-2</v>
      </c>
      <c r="BC143" s="90">
        <f>Sheet1!CS145*GPMtoMGD</f>
        <v>0</v>
      </c>
      <c r="BD143" s="90">
        <f>Sheet1!BO145*GPMtoMGD</f>
        <v>1.7779680000000002</v>
      </c>
      <c r="BE143" s="90">
        <f>Sheet1!BW145*GPMtoMGD</f>
        <v>0.74102400000000013</v>
      </c>
      <c r="BF143" s="90">
        <f>Sheet1!CN145*GPMtoMGD</f>
        <v>1.1808000000000001</v>
      </c>
      <c r="BG143" s="90">
        <f>Sheet1!CO145*GPMtoMGD</f>
        <v>0.57816000000000001</v>
      </c>
      <c r="BH143" s="90">
        <f>Sheet1!CP145*GPMtoMGD</f>
        <v>0.72086400000000006</v>
      </c>
      <c r="BI143" s="90">
        <f t="shared" si="17"/>
        <v>1.8180000000000003</v>
      </c>
      <c r="BK143" s="95">
        <f>SUM(AT143:BA143,BE143,Sheet1!BV145,'Calculations II'!BC143,Calculation!AQ143)</f>
        <v>53.114015999999999</v>
      </c>
      <c r="BM143" s="373">
        <f>0</f>
        <v>0</v>
      </c>
      <c r="BN143" s="373">
        <f>0</f>
        <v>0</v>
      </c>
      <c r="BP143" s="95">
        <f>SUM(BM143:BN143,W143,Sheet1!DX145)</f>
        <v>0</v>
      </c>
    </row>
    <row r="144" spans="1:68" s="90" customFormat="1">
      <c r="A144" s="651" t="s">
        <v>5</v>
      </c>
      <c r="B144" s="92">
        <v>41772</v>
      </c>
      <c r="C144" s="93">
        <v>0</v>
      </c>
      <c r="D144" s="95">
        <f>(Sheet1!BQ146-Sheet1!BQ145)*1.385</f>
        <v>-3.5594500000000004</v>
      </c>
      <c r="E144" s="30">
        <f>(Sheet1!BR146-Sheet1!BR145)*1.385</f>
        <v>-3.545600000000003</v>
      </c>
      <c r="F144" s="30">
        <f ca="1">IF(B144=TODAY(),0,-(VLOOKUP(Sheet1!CD146,Lookup!$I$4:$J$216,2)-VLOOKUP(Sheet1!CD145,Lookup!$I$4:$J$216,2))/1000000)</f>
        <v>-0.10363693854779936</v>
      </c>
      <c r="G144" s="95">
        <f ca="1">IF(B144=TODAY(),0,-$G$6*(Sheet1!CF146-Sheet1!CF145)*7.48/1000000)</f>
        <v>-0.83398352210374516</v>
      </c>
      <c r="H144" s="95">
        <f ca="1">IF(B144=TODAY(),0,-$H$6*(Sheet1!CE146-Sheet1!CE145)*7.48/1000000)</f>
        <v>0.15039432351265059</v>
      </c>
      <c r="I144" s="95">
        <f ca="1">IF(B144=TODAY(),0,-$I$6*(Sheet1!CG146-Sheet1!CG145)*7.48/1000000)</f>
        <v>-6.9184315199999999E-2</v>
      </c>
      <c r="J144" s="96" t="s">
        <v>186</v>
      </c>
      <c r="K144" s="95">
        <f ca="1">IF(B144=TODAY(),0,-$K$6*(Sheet1!CH146-Sheet1!CH145)*7.48/1000000)</f>
        <v>-0.11660810655302274</v>
      </c>
      <c r="L144" s="96" t="s">
        <v>186</v>
      </c>
      <c r="M144" s="95">
        <f ca="1">IF(B144=TODAY(),0,-$M$6*(Sheet1!CI146-Sheet1!CI145)*7.48/1000000)</f>
        <v>-0.32384715170448669</v>
      </c>
      <c r="N144" s="95">
        <f ca="1">IF(B144=TODAY(),0,-$N$6*(Sheet1!CJ146-Sheet1!CJ145)*7.48/1000000)</f>
        <v>4.3436641776236899E-2</v>
      </c>
      <c r="O144" s="95">
        <f t="shared" ca="1" si="14"/>
        <v>-1.2534290688201666</v>
      </c>
      <c r="P144" s="95">
        <f ca="1">O144+Calculation!ES144</f>
        <v>5.8090511405315102</v>
      </c>
      <c r="Q144" s="90" t="str">
        <f>IF(Sheet1!BQ146&gt;25.75,"spill elevation","-")</f>
        <v>-</v>
      </c>
      <c r="R144" s="90" t="str">
        <f>IF(Sheet1!BQ146&gt;25.75,"spill elevation","-")</f>
        <v>-</v>
      </c>
      <c r="S144" s="90" t="str">
        <f>IF(Sheet1!BR146&gt;25.75,"spill elevation","-")</f>
        <v>-</v>
      </c>
      <c r="T144" s="94">
        <f>IF(Sheet1!DU146=1,Sheet1!AA146-(SUM(AT144:BA144)+BE144),Sheet1!AA146-SUM(AT144:BA144))</f>
        <v>18.644928</v>
      </c>
      <c r="U144" s="94">
        <f>Sheet1!BV146</f>
        <v>29.7</v>
      </c>
      <c r="V144" s="94">
        <f t="shared" si="15"/>
        <v>-11.055071999999999</v>
      </c>
      <c r="W144" s="94">
        <f>0</f>
        <v>0</v>
      </c>
      <c r="X144" s="90">
        <f>0</f>
        <v>0</v>
      </c>
      <c r="Y144" s="95">
        <f ca="1">Calculation!EJ145+Calculation!ES144+'Calculations II'!O144-'Calculations II'!W144</f>
        <v>66.209339140531512</v>
      </c>
      <c r="Z144" s="95">
        <f ca="1">Y144-Sheet1!CT147</f>
        <v>50.599339140531512</v>
      </c>
      <c r="AA144" s="95">
        <f ca="1">Y144+Calculation!DJ145+Calculation!AS145</f>
        <v>76.759509189900683</v>
      </c>
      <c r="AC144" s="95">
        <f>Sheet1!AA146+Sheet1!AB146+BC144</f>
        <v>56.08</v>
      </c>
      <c r="AD144" s="95">
        <f>Sheet1!AA146+Sheet1!BN146+'Calculations II'!BC144-Calculation!AS144-Calculation!DJ144</f>
        <v>35.040532544378692</v>
      </c>
      <c r="AE144" s="95">
        <f>Sheet1!AA146+Sheet1!AB146+'Calculations II'!BC144-Calculation!AS144-Calculation!DJ144</f>
        <v>45.630532544378696</v>
      </c>
      <c r="AF144" s="95">
        <f ca="1">Sheet1!AA146+Sheet1!BN146+P144+'Calculations II'!BC144+Calculation!AS144+Calculation!DJ144</f>
        <v>61.748518596152806</v>
      </c>
      <c r="AG144" s="95">
        <f ca="1">IF(B144=TODAY(),0,Sheet1!AA146+Sheet1!BN146+'Calculations II'!BC144+'Calculations II'!P144-Sheet1!CT146-BP144)</f>
        <v>34.739051140531501</v>
      </c>
      <c r="AH144" s="95">
        <f ca="1">IF(B144=TODAY(),0,Sheet1!AA146+Sheet1!BN146+'Calculations II'!BC144+'Calculations II'!P144-BP144)</f>
        <v>51.299051140531503</v>
      </c>
      <c r="AI144" s="95">
        <f ca="1">IF(B144=TODAY(),0,BC144+Sheet1!AA146+Calculation!ES144+O144+W144+Sheet1!BN146+Calculation!AS144+Calculation!DJ144-BP144)</f>
        <v>61.748518596152806</v>
      </c>
      <c r="AJ144" s="95"/>
      <c r="AM144" s="91">
        <f t="shared" si="16"/>
        <v>41772</v>
      </c>
      <c r="AN144" s="95">
        <f>Sheet1!BU146</f>
        <v>20.6</v>
      </c>
      <c r="AO144" s="95">
        <f>Sheet1!AA146</f>
        <v>22.09</v>
      </c>
      <c r="AP144" s="95">
        <f t="shared" si="18"/>
        <v>-7.1050500000000039</v>
      </c>
      <c r="AQ144" s="1055">
        <f>((Sheet1!BV146-(Sheet1!BU146-AP144))/(Sheet1!BU146-AP144))</f>
        <v>7.2006728015289331E-2</v>
      </c>
      <c r="AR144" s="95">
        <f t="shared" si="19"/>
        <v>29.195050000000002</v>
      </c>
      <c r="AS144" s="95">
        <f t="shared" si="20"/>
        <v>27.705050000000007</v>
      </c>
      <c r="AT144" s="90">
        <f>Sheet1!BB146</f>
        <v>1.6</v>
      </c>
      <c r="AU144" s="90">
        <f>Sheet1!AS146*GPMtoMGD</f>
        <v>1.8000000000000002E-2</v>
      </c>
      <c r="AV144" s="95">
        <f>Sheet1!AT146</f>
        <v>0</v>
      </c>
      <c r="AW144" s="90">
        <f>Sheet1!AV146*GPMtoMGD</f>
        <v>0.65620800000000001</v>
      </c>
      <c r="AX144" s="90">
        <f>Sheet1!AW146*GPMtoMGD</f>
        <v>1.1704319999999999</v>
      </c>
      <c r="AY144" s="90">
        <f>Sheet1!AX146*GPMtoMGD</f>
        <v>4.3200000000000004E-4</v>
      </c>
      <c r="AZ144" s="90">
        <f>Sheet1!AY146*GPMtoMGD</f>
        <v>0</v>
      </c>
      <c r="BA144" s="90">
        <f>Sheet1!AZ146*GPMtoMGD</f>
        <v>0</v>
      </c>
      <c r="BB144" s="90">
        <f>Sheet1!BP146*GPMtoMGD</f>
        <v>0</v>
      </c>
      <c r="BC144" s="90">
        <f>Sheet1!CS146*GPMtoMGD</f>
        <v>0</v>
      </c>
      <c r="BD144" s="90">
        <f>Sheet1!BO146*GPMtoMGD</f>
        <v>2.2501440000000001</v>
      </c>
      <c r="BE144" s="90">
        <f>Sheet1!BW146*GPMtoMGD</f>
        <v>1.0576800000000002</v>
      </c>
      <c r="BF144" s="90">
        <f>Sheet1!CN146*GPMtoMGD</f>
        <v>1.1808000000000001</v>
      </c>
      <c r="BG144" s="90">
        <f>Sheet1!CO146*GPMtoMGD</f>
        <v>0.64339200000000007</v>
      </c>
      <c r="BH144" s="90">
        <f>Sheet1!CP146*GPMtoMGD</f>
        <v>0.71294400000000002</v>
      </c>
      <c r="BI144" s="90">
        <f t="shared" si="17"/>
        <v>2.2501440000000001</v>
      </c>
      <c r="BK144" s="95">
        <f>SUM(AT144:BA144,BE144,Sheet1!BV146,'Calculations II'!BC144,Calculation!AQ144)</f>
        <v>57.734290461538464</v>
      </c>
      <c r="BM144" s="373">
        <f>0</f>
        <v>0</v>
      </c>
      <c r="BN144" s="373">
        <f>0</f>
        <v>0</v>
      </c>
      <c r="BP144" s="95">
        <f>SUM(BM144:BN144,W144,Sheet1!DX146)</f>
        <v>0</v>
      </c>
    </row>
    <row r="145" spans="1:68" s="90" customFormat="1">
      <c r="A145" s="651" t="s">
        <v>6</v>
      </c>
      <c r="B145" s="92">
        <v>41773</v>
      </c>
      <c r="C145" s="93">
        <v>0</v>
      </c>
      <c r="D145" s="95">
        <f>(Sheet1!BQ147-Sheet1!BQ146)*1.385</f>
        <v>-1.4126999999999994</v>
      </c>
      <c r="E145" s="30">
        <f>(Sheet1!BR147-Sheet1!BR146)*1.385</f>
        <v>-1.4126999999999994</v>
      </c>
      <c r="F145" s="30">
        <f ca="1">IF(B145=TODAY(),0,-(VLOOKUP(Sheet1!CD147,Lookup!$I$4:$J$216,2)-VLOOKUP(Sheet1!CD146,Lookup!$I$4:$J$216,2))/1000000)</f>
        <v>-0.20727387709559872</v>
      </c>
      <c r="G145" s="95">
        <f ca="1">IF(B145=TODAY(),0,-$G$6*(Sheet1!CF147-Sheet1!CF146)*7.48/1000000)</f>
        <v>0.51627551368327118</v>
      </c>
      <c r="H145" s="95">
        <f ca="1">IF(B145=TODAY(),0,-$H$6*(Sheet1!CE147-Sheet1!CE146)*7.48/1000000)</f>
        <v>-0.57149842934807182</v>
      </c>
      <c r="I145" s="95">
        <f ca="1">IF(B145=TODAY(),0,-$I$6*(Sheet1!CG147-Sheet1!CG146)*7.48/1000000)</f>
        <v>-4.9417367999999738E-3</v>
      </c>
      <c r="J145" s="96" t="s">
        <v>186</v>
      </c>
      <c r="K145" s="95">
        <f ca="1">IF(B145=TODAY(),0,-$K$6*(Sheet1!CH147-Sheet1!CH146)*7.48/1000000)</f>
        <v>-6.6633203744584186E-3</v>
      </c>
      <c r="L145" s="96" t="s">
        <v>186</v>
      </c>
      <c r="M145" s="95">
        <f ca="1">IF(B145=TODAY(),0,-$M$6*(Sheet1!CI147-Sheet1!CI146)*7.48/1000000)</f>
        <v>-3.5983016856054602E-2</v>
      </c>
      <c r="N145" s="95">
        <f ca="1">IF(B145=TODAY(),0,-$N$6*(Sheet1!CJ147-Sheet1!CJ146)*7.48/1000000)</f>
        <v>-0.33508266513096968</v>
      </c>
      <c r="O145" s="95">
        <f t="shared" ca="1" si="14"/>
        <v>-0.64516753192188214</v>
      </c>
      <c r="P145" s="95">
        <f ca="1">O145+Calculation!ES145</f>
        <v>2.1221574253907614</v>
      </c>
      <c r="Q145" s="90" t="str">
        <f>IF(Sheet1!BQ147&gt;25.75,"spill elevation","-")</f>
        <v>-</v>
      </c>
      <c r="R145" s="90" t="str">
        <f>IF(Sheet1!BQ147&gt;25.75,"spill elevation","-")</f>
        <v>-</v>
      </c>
      <c r="S145" s="90" t="str">
        <f>IF(Sheet1!BR147&gt;25.75,"spill elevation","-")</f>
        <v>-</v>
      </c>
      <c r="T145" s="94">
        <f>IF(Sheet1!DU147=1,Sheet1!AA147-(SUM(AT145:BA145)+BE145),Sheet1!AA147-SUM(AT145:BA145))</f>
        <v>18.869855999999999</v>
      </c>
      <c r="U145" s="94">
        <f>Sheet1!BV147</f>
        <v>26</v>
      </c>
      <c r="V145" s="94">
        <f t="shared" si="15"/>
        <v>-7.1301440000000014</v>
      </c>
      <c r="W145" s="94">
        <f>0</f>
        <v>0</v>
      </c>
      <c r="X145" s="90">
        <f>0</f>
        <v>0</v>
      </c>
      <c r="Y145" s="95">
        <f ca="1">Calculation!EJ146+Calculation!ES145+'Calculations II'!O145-'Calculations II'!W145</f>
        <v>63.002157425390756</v>
      </c>
      <c r="Z145" s="95">
        <f ca="1">Y145-Sheet1!CT148</f>
        <v>47.404157425390757</v>
      </c>
      <c r="AA145" s="95">
        <f ca="1">Y145+Calculation!DJ146+Calculation!AS146</f>
        <v>73.520691886062039</v>
      </c>
      <c r="AC145" s="95">
        <f>Sheet1!AA147+Sheet1!AB147+BC145</f>
        <v>60.400287999999996</v>
      </c>
      <c r="AD145" s="95">
        <f>Sheet1!AA147+Sheet1!BN147+'Calculations II'!BC145-Calculation!AS145-Calculation!DJ145</f>
        <v>39.330117950630829</v>
      </c>
      <c r="AE145" s="95">
        <f>Sheet1!AA147+Sheet1!AB147+'Calculations II'!BC145-Calculation!AS145-Calculation!DJ145</f>
        <v>49.850117950630825</v>
      </c>
      <c r="AF145" s="95">
        <f ca="1">Sheet1!AA147+Sheet1!BN147+P145+'Calculations II'!BC145+Calculation!AS145+Calculation!DJ145</f>
        <v>62.552615474759932</v>
      </c>
      <c r="AG145" s="95">
        <f ca="1">IF(B145=TODAY(),0,Sheet1!AA147+Sheet1!BN147+'Calculations II'!BC145+'Calculations II'!P145-Sheet1!CT147-BP145)</f>
        <v>36.392445425390761</v>
      </c>
      <c r="AH145" s="95">
        <f ca="1">IF(B145=TODAY(),0,Sheet1!AA147+Sheet1!BN147+'Calculations II'!BC145+'Calculations II'!P145-BP145)</f>
        <v>52.002445425390761</v>
      </c>
      <c r="AI145" s="95">
        <f ca="1">IF(B145=TODAY(),0,BC145+Sheet1!AA147+Calculation!ES145+O145+W145+Sheet1!BN147+Calculation!AS145+Calculation!DJ145-BP145)</f>
        <v>62.552615474759932</v>
      </c>
      <c r="AJ145" s="95"/>
      <c r="AM145" s="91">
        <f t="shared" si="16"/>
        <v>41773</v>
      </c>
      <c r="AN145" s="95">
        <f>Sheet1!BU147</f>
        <v>20.9</v>
      </c>
      <c r="AO145" s="95">
        <f>Sheet1!AA147</f>
        <v>21.91</v>
      </c>
      <c r="AP145" s="95">
        <f t="shared" si="18"/>
        <v>-2.8253999999999988</v>
      </c>
      <c r="AQ145" s="1055">
        <f>((Sheet1!BV147-(Sheet1!BU147-AP145))/(Sheet1!BU147-AP145))</f>
        <v>9.5871934719751972E-2</v>
      </c>
      <c r="AR145" s="95">
        <f t="shared" si="19"/>
        <v>24.735399999999998</v>
      </c>
      <c r="AS145" s="95">
        <f t="shared" si="20"/>
        <v>23.725399999999997</v>
      </c>
      <c r="AT145" s="90">
        <f>Sheet1!BB147</f>
        <v>1.6</v>
      </c>
      <c r="AU145" s="90">
        <f>Sheet1!AS147*GPMtoMGD</f>
        <v>3.2688000000000002E-2</v>
      </c>
      <c r="AV145" s="95">
        <f>Sheet1!AT147</f>
        <v>0</v>
      </c>
      <c r="AW145" s="90">
        <f>Sheet1!AV147*GPMtoMGD</f>
        <v>0.63849599999999995</v>
      </c>
      <c r="AX145" s="90">
        <f>Sheet1!AW147*GPMtoMGD</f>
        <v>0.76737600000000006</v>
      </c>
      <c r="AY145" s="90">
        <f>Sheet1!AX147*GPMtoMGD</f>
        <v>1.5840000000000001E-3</v>
      </c>
      <c r="AZ145" s="90">
        <f>Sheet1!AY147*GPMtoMGD</f>
        <v>0</v>
      </c>
      <c r="BA145" s="90">
        <f>Sheet1!AZ147*GPMtoMGD</f>
        <v>0</v>
      </c>
      <c r="BB145" s="90">
        <f>Sheet1!BP147*GPMtoMGD</f>
        <v>0</v>
      </c>
      <c r="BC145" s="90">
        <f>Sheet1!CS147*GPMtoMGD</f>
        <v>2.0702880000000001</v>
      </c>
      <c r="BD145" s="90">
        <f>Sheet1!BO147*GPMtoMGD</f>
        <v>2.054592</v>
      </c>
      <c r="BE145" s="90">
        <f>Sheet1!BW147*GPMtoMGD</f>
        <v>1.1937600000000002</v>
      </c>
      <c r="BF145" s="90">
        <f>Sheet1!CN147*GPMtoMGD</f>
        <v>1.1808000000000001</v>
      </c>
      <c r="BG145" s="90">
        <f>Sheet1!CO147*GPMtoMGD</f>
        <v>0.73972800000000016</v>
      </c>
      <c r="BH145" s="90">
        <f>Sheet1!CP147*GPMtoMGD</f>
        <v>0.77155200000000002</v>
      </c>
      <c r="BI145" s="90">
        <f t="shared" si="17"/>
        <v>2.054592</v>
      </c>
      <c r="BK145" s="95">
        <f>SUM(AT145:BA145,BE145,Sheet1!BV147,'Calculations II'!BC145,Calculation!AQ145)</f>
        <v>58.175777298957762</v>
      </c>
      <c r="BM145" s="373">
        <f>0</f>
        <v>0</v>
      </c>
      <c r="BN145" s="373">
        <f>0</f>
        <v>0</v>
      </c>
      <c r="BP145" s="95">
        <f>SUM(BM145:BN145,W145,Sheet1!DX147)</f>
        <v>0</v>
      </c>
    </row>
    <row r="146" spans="1:68" s="90" customFormat="1">
      <c r="A146" s="651" t="s">
        <v>7</v>
      </c>
      <c r="B146" s="92">
        <v>41774</v>
      </c>
      <c r="C146" s="93">
        <v>0</v>
      </c>
      <c r="D146" s="95">
        <f>(Sheet1!BQ148-Sheet1!BQ147)*1.385</f>
        <v>-0.56785000000000019</v>
      </c>
      <c r="E146" s="30">
        <f>(Sheet1!BR148-Sheet1!BR147)*1.385</f>
        <v>-0.56785000000000019</v>
      </c>
      <c r="F146" s="30">
        <f ca="1">IF(B146=TODAY(),0,-(VLOOKUP(Sheet1!CD148,Lookup!$I$4:$J$216,2)-VLOOKUP(Sheet1!CD147,Lookup!$I$4:$J$216,2))/1000000)</f>
        <v>-0.41454775419120304</v>
      </c>
      <c r="G146" s="95">
        <f ca="1">IF(B146=TODAY(),0,-$G$6*(Sheet1!CF148-Sheet1!CF147)*7.48/1000000)</f>
        <v>0.41699176105187225</v>
      </c>
      <c r="H146" s="95">
        <f ca="1">IF(B146=TODAY(),0,-$H$6*(Sheet1!CE148-Sheet1!CE147)*7.48/1000000)</f>
        <v>9.0236594107589496E-2</v>
      </c>
      <c r="I146" s="95">
        <f ca="1">IF(B146=TODAY(),0,-$I$6*(Sheet1!CG148-Sheet1!CG147)*7.48/1000000)</f>
        <v>2.6954927999999989E-2</v>
      </c>
      <c r="J146" s="96" t="s">
        <v>186</v>
      </c>
      <c r="K146" s="95">
        <f ca="1">IF(B146=TODAY(),0,-$K$6*(Sheet1!CH148-Sheet1!CH147)*7.48/1000000)</f>
        <v>3.9979922246750635E-2</v>
      </c>
      <c r="L146" s="96" t="s">
        <v>186</v>
      </c>
      <c r="M146" s="95">
        <f ca="1">IF(B146=TODAY(),0,-$M$6*(Sheet1!CI148-Sheet1!CI147)*7.48/1000000)</f>
        <v>0.19790659270829777</v>
      </c>
      <c r="N146" s="95">
        <f ca="1">IF(B146=TODAY(),0,-$N$6*(Sheet1!CJ148-Sheet1!CJ147)*7.48/1000000)</f>
        <v>-0.23579891249957019</v>
      </c>
      <c r="O146" s="95">
        <f t="shared" ref="O146:O209" ca="1" si="21">SUM(F146:I146)+K146+SUM(M146:N146)</f>
        <v>0.12172313142373689</v>
      </c>
      <c r="P146" s="95">
        <f ca="1">O146+Calculation!ES146</f>
        <v>1.3665998309327689</v>
      </c>
      <c r="Q146" s="90" t="str">
        <f>IF(Sheet1!BQ148&gt;25.75,"spill elevation","-")</f>
        <v>-</v>
      </c>
      <c r="R146" s="90" t="str">
        <f>IF(Sheet1!BQ148&gt;25.75,"spill elevation","-")</f>
        <v>-</v>
      </c>
      <c r="S146" s="90" t="str">
        <f>IF(Sheet1!BR148&gt;25.75,"spill elevation","-")</f>
        <v>-</v>
      </c>
      <c r="T146" s="94">
        <f>IF(Sheet1!DU148=1,Sheet1!AA148-(SUM(AT146:BA146)+BE146),Sheet1!AA148-SUM(AT146:BA146))</f>
        <v>18.955311999999999</v>
      </c>
      <c r="U146" s="94">
        <f>Sheet1!BV148</f>
        <v>24.3</v>
      </c>
      <c r="V146" s="94">
        <f t="shared" ref="V146:V209" si="22">T146-U146</f>
        <v>-5.3446880000000014</v>
      </c>
      <c r="W146" s="94">
        <f>0</f>
        <v>0</v>
      </c>
      <c r="X146" s="90">
        <f>0</f>
        <v>0</v>
      </c>
      <c r="Y146" s="95">
        <f ca="1">Calculation!EJ147+Calculation!ES146+'Calculations II'!O146-'Calculations II'!W146</f>
        <v>62.266599830932769</v>
      </c>
      <c r="Z146" s="95">
        <f ca="1">Y146-Sheet1!CT149</f>
        <v>45.869599830932771</v>
      </c>
      <c r="AA146" s="95">
        <f ca="1">Y146+Calculation!DJ147+Calculation!AS147</f>
        <v>72.897440231857971</v>
      </c>
      <c r="AC146" s="95">
        <f>Sheet1!AA148+Sheet1!AB148+BC146</f>
        <v>60.879999999999995</v>
      </c>
      <c r="AD146" s="95">
        <f>Sheet1!AA148+Sheet1!BN148+'Calculations II'!BC146-Calculation!AS146-Calculation!DJ146</f>
        <v>39.881465539328723</v>
      </c>
      <c r="AE146" s="95">
        <f>Sheet1!AA148+Sheet1!AB148+'Calculations II'!BC146-Calculation!AS146-Calculation!DJ146</f>
        <v>50.361465539328719</v>
      </c>
      <c r="AF146" s="95">
        <f ca="1">Sheet1!AA148+Sheet1!BN148+P146+'Calculations II'!BC146+Calculation!AS146+Calculation!DJ146</f>
        <v>62.285134291604045</v>
      </c>
      <c r="AG146" s="95">
        <f ca="1">IF(B146=TODAY(),0,Sheet1!AA148+Sheet1!BN148+'Calculations II'!BC146+'Calculations II'!P146-Sheet1!CT148-BP146)</f>
        <v>36.16859983093277</v>
      </c>
      <c r="AH146" s="95">
        <f ca="1">IF(B146=TODAY(),0,Sheet1!AA148+Sheet1!BN148+'Calculations II'!BC146+'Calculations II'!P146-BP146)</f>
        <v>51.766599830932769</v>
      </c>
      <c r="AI146" s="95">
        <f ca="1">IF(B146=TODAY(),0,BC146+Sheet1!AA148+Calculation!ES146+O146+W146+Sheet1!BN148+Calculation!AS146+Calculation!DJ146-BP146)</f>
        <v>62.285134291604038</v>
      </c>
      <c r="AJ146" s="95"/>
      <c r="AM146" s="91">
        <f t="shared" ref="AM146:AM209" si="23">B146</f>
        <v>41774</v>
      </c>
      <c r="AN146" s="95">
        <f>Sheet1!BU148</f>
        <v>20.8</v>
      </c>
      <c r="AO146" s="95">
        <f>Sheet1!AA148</f>
        <v>21.9</v>
      </c>
      <c r="AP146" s="95">
        <f t="shared" si="18"/>
        <v>-1.1357000000000004</v>
      </c>
      <c r="AQ146" s="1055">
        <f>((Sheet1!BV148-(Sheet1!BU148-AP146))/(Sheet1!BU148-AP146))</f>
        <v>0.10778320272432609</v>
      </c>
      <c r="AR146" s="95">
        <f t="shared" si="19"/>
        <v>23.035699999999999</v>
      </c>
      <c r="AS146" s="95">
        <f t="shared" si="20"/>
        <v>21.935700000000001</v>
      </c>
      <c r="AT146" s="90">
        <f>Sheet1!BB148</f>
        <v>1.58</v>
      </c>
      <c r="AU146" s="90">
        <f>Sheet1!AS148*GPMtoMGD</f>
        <v>3.3840000000000002E-2</v>
      </c>
      <c r="AV146" s="95">
        <f>Sheet1!AT148</f>
        <v>0</v>
      </c>
      <c r="AW146" s="90">
        <f>Sheet1!AV148*GPMtoMGD</f>
        <v>0.61185599999999996</v>
      </c>
      <c r="AX146" s="90">
        <f>Sheet1!AW148*GPMtoMGD</f>
        <v>0.69595200000000002</v>
      </c>
      <c r="AY146" s="90">
        <f>Sheet1!AX148*GPMtoMGD</f>
        <v>2.3040000000000001E-2</v>
      </c>
      <c r="AZ146" s="90">
        <f>Sheet1!AY148*GPMtoMGD</f>
        <v>0</v>
      </c>
      <c r="BA146" s="90">
        <f>Sheet1!AZ148*GPMtoMGD</f>
        <v>0</v>
      </c>
      <c r="BB146" s="90">
        <f>Sheet1!BP148*GPMtoMGD</f>
        <v>0</v>
      </c>
      <c r="BC146" s="90">
        <f>Sheet1!CS148*GPMtoMGD</f>
        <v>0</v>
      </c>
      <c r="BD146" s="90">
        <f>Sheet1!BO148*GPMtoMGD</f>
        <v>1.775952</v>
      </c>
      <c r="BE146" s="90">
        <f>Sheet1!BW148*GPMtoMGD</f>
        <v>0.84355199999999997</v>
      </c>
      <c r="BF146" s="90">
        <f>Sheet1!CN148*GPMtoMGD</f>
        <v>1.1808000000000001</v>
      </c>
      <c r="BG146" s="90">
        <f>Sheet1!CO148*GPMtoMGD</f>
        <v>0.717696</v>
      </c>
      <c r="BH146" s="90">
        <f>Sheet1!CP148*GPMtoMGD</f>
        <v>0.80107200000000001</v>
      </c>
      <c r="BI146" s="90">
        <f t="shared" ref="BI146:BI209" si="24">BD146+BB146</f>
        <v>1.775952</v>
      </c>
      <c r="BK146" s="95">
        <f>SUM(AT146:BA146,BE146,Sheet1!BV148,'Calculations II'!BC146,Calculation!AQ146)</f>
        <v>56.55172962336664</v>
      </c>
      <c r="BM146" s="373">
        <f>0</f>
        <v>0</v>
      </c>
      <c r="BN146" s="373">
        <f>0</f>
        <v>0</v>
      </c>
      <c r="BP146" s="95">
        <f>SUM(BM146:BN146,W146,Sheet1!DX148)</f>
        <v>0</v>
      </c>
    </row>
    <row r="147" spans="1:68" s="90" customFormat="1">
      <c r="A147" s="651" t="s">
        <v>8</v>
      </c>
      <c r="B147" s="92">
        <v>41775</v>
      </c>
      <c r="C147" s="93">
        <v>0</v>
      </c>
      <c r="D147" s="95">
        <f>(Sheet1!BQ149-Sheet1!BQ148)*1.385</f>
        <v>-0.15234999999999921</v>
      </c>
      <c r="E147" s="30">
        <f>(Sheet1!BR149-Sheet1!BR148)*1.385</f>
        <v>-0.1246499999999998</v>
      </c>
      <c r="F147" s="30">
        <f ca="1">IF(B147=TODAY(),0,-(VLOOKUP(Sheet1!CD149,Lookup!$I$4:$J$216,2)-VLOOKUP(Sheet1!CD148,Lookup!$I$4:$J$216,2))/1000000)</f>
        <v>0.10363693854779936</v>
      </c>
      <c r="G147" s="95">
        <f ca="1">IF(B147=TODAY(),0,-$G$6*(Sheet1!CF149-Sheet1!CF148)*7.48/1000000)</f>
        <v>-0.97298077578770248</v>
      </c>
      <c r="H147" s="95">
        <f ca="1">IF(B147=TODAY(),0,-$H$6*(Sheet1!CE149-Sheet1!CE148)*7.48/1000000)</f>
        <v>-7.5197161756325293E-2</v>
      </c>
      <c r="I147" s="95">
        <f ca="1">IF(B147=TODAY(),0,-$I$6*(Sheet1!CG149-Sheet1!CG148)*7.48/1000000)</f>
        <v>6.2894832000000012E-2</v>
      </c>
      <c r="J147" s="96" t="s">
        <v>186</v>
      </c>
      <c r="K147" s="95">
        <f ca="1">IF(B147=TODAY(),0,-$K$6*(Sheet1!CH149-Sheet1!CH148)*7.48/1000000)</f>
        <v>0.10661312599133504</v>
      </c>
      <c r="L147" s="96" t="s">
        <v>186</v>
      </c>
      <c r="M147" s="95">
        <f ca="1">IF(B147=TODAY(),0,-$M$6*(Sheet1!CI149-Sheet1!CI148)*7.48/1000000)</f>
        <v>0.30585564327645964</v>
      </c>
      <c r="N147" s="95">
        <f ca="1">IF(B147=TODAY(),0,-$N$6*(Sheet1!CJ149-Sheet1!CJ148)*7.48/1000000)</f>
        <v>5.5847110855161426E-2</v>
      </c>
      <c r="O147" s="95">
        <f t="shared" ca="1" si="21"/>
        <v>-0.41333028687327228</v>
      </c>
      <c r="P147" s="95">
        <f ca="1">O147+Calculation!ES147</f>
        <v>-0.275024885476573</v>
      </c>
      <c r="Q147" s="90" t="str">
        <f>IF(Sheet1!BQ149&gt;25.75,"spill elevation","-")</f>
        <v>-</v>
      </c>
      <c r="R147" s="90" t="str">
        <f>IF(Sheet1!BQ149&gt;25.75,"spill elevation","-")</f>
        <v>-</v>
      </c>
      <c r="S147" s="90" t="str">
        <f>IF(Sheet1!BR149&gt;25.75,"spill elevation","-")</f>
        <v>-</v>
      </c>
      <c r="T147" s="94">
        <f>IF(Sheet1!DU149=1,Sheet1!AA149-(SUM(AT147:BA147)+BE147),Sheet1!AA149-SUM(AT147:BA147))</f>
        <v>18.922351999999997</v>
      </c>
      <c r="U147" s="94">
        <f>Sheet1!BV149</f>
        <v>23.6</v>
      </c>
      <c r="V147" s="94">
        <f t="shared" si="22"/>
        <v>-4.6776480000000049</v>
      </c>
      <c r="W147" s="94">
        <f>0</f>
        <v>0</v>
      </c>
      <c r="X147" s="90">
        <f>0</f>
        <v>0</v>
      </c>
      <c r="Y147" s="95">
        <f ca="1">Calculation!EJ148+Calculation!ES147+'Calculations II'!O147-'Calculations II'!W147</f>
        <v>60.624975114523423</v>
      </c>
      <c r="Z147" s="95">
        <f ca="1">Y147-Sheet1!CT150</f>
        <v>44.959975114523424</v>
      </c>
      <c r="AA147" s="95">
        <f ca="1">Y147+Calculation!DJ148+Calculation!AS148</f>
        <v>71.271211949868913</v>
      </c>
      <c r="AC147" s="95">
        <f>Sheet1!AA149+Sheet1!AB149+BC147</f>
        <v>60.9</v>
      </c>
      <c r="AD147" s="95">
        <f>Sheet1!AA149+Sheet1!BN149+'Calculations II'!BC147-Calculation!AS147-Calculation!DJ147</f>
        <v>39.569159599074794</v>
      </c>
      <c r="AE147" s="95">
        <f>Sheet1!AA149+Sheet1!AB149+'Calculations II'!BC147-Calculation!AS147-Calculation!DJ147</f>
        <v>50.269159599074783</v>
      </c>
      <c r="AF147" s="95">
        <f ca="1">Sheet1!AA149+Sheet1!BN149+P147+'Calculations II'!BC147+Calculation!AS147+Calculation!DJ147</f>
        <v>60.555815515448643</v>
      </c>
      <c r="AG147" s="95">
        <f ca="1">IF(B147=TODAY(),0,Sheet1!AA149+Sheet1!BN149+'Calculations II'!BC147+'Calculations II'!P147-Sheet1!CT149-BP147)</f>
        <v>33.527975114523429</v>
      </c>
      <c r="AH147" s="95">
        <f ca="1">IF(B147=TODAY(),0,Sheet1!AA149+Sheet1!BN149+'Calculations II'!BC147+'Calculations II'!P147-BP147)</f>
        <v>49.924975114523427</v>
      </c>
      <c r="AI147" s="95">
        <f ca="1">IF(B147=TODAY(),0,BC147+Sheet1!AA149+Calculation!ES147+O147+W147+Sheet1!BN149+Calculation!AS147+Calculation!DJ147-BP147)</f>
        <v>60.555815515448643</v>
      </c>
      <c r="AJ147" s="95"/>
      <c r="AM147" s="91">
        <f t="shared" si="23"/>
        <v>41775</v>
      </c>
      <c r="AN147" s="95">
        <f>Sheet1!BU149</f>
        <v>20.6</v>
      </c>
      <c r="AO147" s="95">
        <f>Sheet1!AA149</f>
        <v>21.9</v>
      </c>
      <c r="AP147" s="95">
        <f t="shared" si="18"/>
        <v>-0.27699999999999902</v>
      </c>
      <c r="AQ147" s="1055">
        <f>((Sheet1!BV149-(Sheet1!BU149-AP147))/(Sheet1!BU149-AP147))</f>
        <v>0.1304306174258755</v>
      </c>
      <c r="AR147" s="95">
        <f t="shared" si="19"/>
        <v>22.176999999999996</v>
      </c>
      <c r="AS147" s="95">
        <f t="shared" si="20"/>
        <v>20.876999999999999</v>
      </c>
      <c r="AT147" s="90">
        <f>Sheet1!BB149</f>
        <v>1.6</v>
      </c>
      <c r="AU147" s="90">
        <f>Sheet1!AS149*GPMtoMGD</f>
        <v>1.8576000000000002E-2</v>
      </c>
      <c r="AV147" s="95">
        <f>Sheet1!AT149</f>
        <v>0</v>
      </c>
      <c r="AW147" s="90">
        <f>Sheet1!AV149*GPMtoMGD</f>
        <v>0.56851200000000002</v>
      </c>
      <c r="AX147" s="90">
        <f>Sheet1!AW149*GPMtoMGD</f>
        <v>0.79041600000000001</v>
      </c>
      <c r="AY147" s="90">
        <f>Sheet1!AX149*GPMtoMGD</f>
        <v>1.44E-4</v>
      </c>
      <c r="AZ147" s="90">
        <f>Sheet1!AY149*GPMtoMGD</f>
        <v>0</v>
      </c>
      <c r="BA147" s="90">
        <f>Sheet1!AZ149*GPMtoMGD</f>
        <v>0</v>
      </c>
      <c r="BB147" s="90">
        <f>Sheet1!BP149*GPMtoMGD</f>
        <v>0</v>
      </c>
      <c r="BC147" s="90">
        <f>Sheet1!CS149*GPMtoMGD</f>
        <v>0</v>
      </c>
      <c r="BD147" s="90">
        <f>Sheet1!BO149*GPMtoMGD</f>
        <v>1.5131520000000001</v>
      </c>
      <c r="BE147" s="90">
        <f>Sheet1!BW149*GPMtoMGD</f>
        <v>1.0329120000000001</v>
      </c>
      <c r="BF147" s="90">
        <f>Sheet1!CN149*GPMtoMGD</f>
        <v>1.1808000000000001</v>
      </c>
      <c r="BG147" s="90">
        <f>Sheet1!CO149*GPMtoMGD</f>
        <v>0.68832000000000004</v>
      </c>
      <c r="BH147" s="90">
        <f>Sheet1!CP149*GPMtoMGD</f>
        <v>0.78249599999999997</v>
      </c>
      <c r="BI147" s="90">
        <f t="shared" si="24"/>
        <v>1.5131520000000001</v>
      </c>
      <c r="BK147" s="95">
        <f>SUM(AT147:BA147,BE147,Sheet1!BV149,'Calculations II'!BC147,Calculation!AQ147)</f>
        <v>55.97601875096376</v>
      </c>
      <c r="BM147" s="373">
        <f>0</f>
        <v>0</v>
      </c>
      <c r="BN147" s="373">
        <f>0</f>
        <v>0</v>
      </c>
      <c r="BP147" s="95">
        <f>SUM(BM147:BN147,W147,Sheet1!DX149)</f>
        <v>0</v>
      </c>
    </row>
    <row r="148" spans="1:68" s="90" customFormat="1">
      <c r="A148" s="651" t="s">
        <v>9</v>
      </c>
      <c r="B148" s="92">
        <v>41776</v>
      </c>
      <c r="C148" s="93">
        <v>0</v>
      </c>
      <c r="D148" s="95">
        <f>(Sheet1!BQ150-Sheet1!BQ149)*1.385</f>
        <v>1.3850000000002164E-2</v>
      </c>
      <c r="E148" s="30">
        <f>(Sheet1!BR150-Sheet1!BR149)*1.385</f>
        <v>1.3850000000002164E-2</v>
      </c>
      <c r="F148" s="30">
        <f ca="1">IF(B148=TODAY(),0,-(VLOOKUP(Sheet1!CD150,Lookup!$I$4:$J$216,2)-VLOOKUP(Sheet1!CD149,Lookup!$I$4:$J$216,2))/1000000)</f>
        <v>-0.72545856983459556</v>
      </c>
      <c r="G148" s="95">
        <f ca="1">IF(B148=TODAY(),0,-$G$6*(Sheet1!CF150-Sheet1!CF149)*7.48/1000000)</f>
        <v>0.51627551368327118</v>
      </c>
      <c r="H148" s="95">
        <f ca="1">IF(B148=TODAY(),0,-$H$6*(Sheet1!CE150-Sheet1!CE149)*7.48/1000000)</f>
        <v>4.5118297053795817E-2</v>
      </c>
      <c r="I148" s="95">
        <f ca="1">IF(B148=TODAY(),0,-$I$6*(Sheet1!CG150-Sheet1!CG149)*7.48/1000000)</f>
        <v>-0.12129717600000001</v>
      </c>
      <c r="J148" s="96" t="s">
        <v>186</v>
      </c>
      <c r="K148" s="95">
        <f ca="1">IF(B148=TODAY(),0,-$K$6*(Sheet1!CH150-Sheet1!CH149)*7.48/1000000)</f>
        <v>-0.20656293160821168</v>
      </c>
      <c r="L148" s="96" t="s">
        <v>186</v>
      </c>
      <c r="M148" s="95">
        <f ca="1">IF(B148=TODAY(),0,-$M$6*(Sheet1!CI150-Sheet1!CI149)*7.48/1000000)</f>
        <v>-0.55773676126883809</v>
      </c>
      <c r="N148" s="95">
        <f ca="1">IF(B148=TODAY(),0,-$N$6*(Sheet1!CJ150-Sheet1!CJ149)*7.48/1000000)</f>
        <v>-0.26061985065742033</v>
      </c>
      <c r="O148" s="95">
        <f t="shared" ca="1" si="21"/>
        <v>-1.3102814786319987</v>
      </c>
      <c r="P148" s="95">
        <f ca="1">O148+Calculation!ES148</f>
        <v>-1.3102814786319987</v>
      </c>
      <c r="Q148" s="90" t="str">
        <f>IF(Sheet1!BQ150&gt;25.75,"spill elevation","-")</f>
        <v>-</v>
      </c>
      <c r="R148" s="90" t="str">
        <f>IF(Sheet1!BQ150&gt;25.75,"spill elevation","-")</f>
        <v>-</v>
      </c>
      <c r="S148" s="90" t="str">
        <f>IF(Sheet1!BR150&gt;25.75,"spill elevation","-")</f>
        <v>-</v>
      </c>
      <c r="T148" s="94">
        <f>IF(Sheet1!DU150=1,Sheet1!AA150-(SUM(AT148:BA148)+BE148),Sheet1!AA150-SUM(AT148:BA148))</f>
        <v>19.005727999999998</v>
      </c>
      <c r="U148" s="94">
        <f>Sheet1!BV150</f>
        <v>23.6</v>
      </c>
      <c r="V148" s="94">
        <f t="shared" si="22"/>
        <v>-4.5942720000000037</v>
      </c>
      <c r="W148" s="94">
        <f>0</f>
        <v>0</v>
      </c>
      <c r="X148" s="90">
        <f>0</f>
        <v>0</v>
      </c>
      <c r="Y148" s="95">
        <f ca="1">Calculation!EJ149+Calculation!ES148+'Calculations II'!O148-'Calculations II'!W148</f>
        <v>59.589718521367999</v>
      </c>
      <c r="Z148" s="95">
        <f ca="1">Y148-Sheet1!CT151</f>
        <v>43.957718521368001</v>
      </c>
      <c r="AA148" s="95">
        <f ca="1">Y148+Calculation!DJ149+Calculation!AS149</f>
        <v>70.197408857179326</v>
      </c>
      <c r="AC148" s="95">
        <f>Sheet1!AA150+Sheet1!AB150+BC148</f>
        <v>60.9</v>
      </c>
      <c r="AD148" s="95">
        <f>Sheet1!AA150+Sheet1!BN150+'Calculations II'!BC148-Calculation!AS148-Calculation!DJ148</f>
        <v>39.553763164654512</v>
      </c>
      <c r="AE148" s="95">
        <f>Sheet1!AA150+Sheet1!AB150+'Calculations II'!BC148-Calculation!AS148-Calculation!DJ148</f>
        <v>50.253763164654508</v>
      </c>
      <c r="AF148" s="95">
        <f ca="1">Sheet1!AA150+Sheet1!BN150+P148+'Calculations II'!BC148+Calculation!AS148+Calculation!DJ148</f>
        <v>59.535955356713494</v>
      </c>
      <c r="AG148" s="95">
        <f ca="1">IF(B148=TODAY(),0,Sheet1!AA150+Sheet1!BN150+'Calculations II'!BC148+'Calculations II'!P148-Sheet1!CT150-BP148)</f>
        <v>33.224718521368004</v>
      </c>
      <c r="AH148" s="95">
        <f ca="1">IF(B148=TODAY(),0,Sheet1!AA150+Sheet1!BN150+'Calculations II'!BC148+'Calculations II'!P148-BP148)</f>
        <v>48.889718521368003</v>
      </c>
      <c r="AI148" s="95">
        <f ca="1">IF(B148=TODAY(),0,BC148+Sheet1!AA150+Calculation!ES148+O148+W148+Sheet1!BN150+Calculation!AS148+Calculation!DJ148-BP148)</f>
        <v>59.535955356713487</v>
      </c>
      <c r="AJ148" s="95"/>
      <c r="AM148" s="91">
        <f t="shared" si="23"/>
        <v>41776</v>
      </c>
      <c r="AN148" s="95">
        <f>Sheet1!BU150</f>
        <v>20.7</v>
      </c>
      <c r="AO148" s="95">
        <f>Sheet1!AA150</f>
        <v>21.9</v>
      </c>
      <c r="AP148" s="95">
        <f t="shared" si="18"/>
        <v>2.7700000000004329E-2</v>
      </c>
      <c r="AQ148" s="1055">
        <f>((Sheet1!BV150-(Sheet1!BU150-AP148))/(Sheet1!BU150-AP148))</f>
        <v>0.1416242991829649</v>
      </c>
      <c r="AR148" s="95">
        <f t="shared" si="19"/>
        <v>21.872299999999996</v>
      </c>
      <c r="AS148" s="95">
        <f t="shared" si="20"/>
        <v>20.672299999999996</v>
      </c>
      <c r="AT148" s="90">
        <f>Sheet1!BB150</f>
        <v>1.6</v>
      </c>
      <c r="AU148" s="90">
        <f>Sheet1!AS150*GPMtoMGD</f>
        <v>1.584E-2</v>
      </c>
      <c r="AV148" s="95">
        <f>Sheet1!AT150</f>
        <v>0</v>
      </c>
      <c r="AW148" s="90">
        <f>Sheet1!AV150*GPMtoMGD</f>
        <v>0.635328</v>
      </c>
      <c r="AX148" s="90">
        <f>Sheet1!AW150*GPMtoMGD</f>
        <v>0.64310400000000012</v>
      </c>
      <c r="AY148" s="90">
        <f>Sheet1!AX150*GPMtoMGD</f>
        <v>0</v>
      </c>
      <c r="AZ148" s="90">
        <f>Sheet1!AY150*GPMtoMGD</f>
        <v>0</v>
      </c>
      <c r="BA148" s="90">
        <f>Sheet1!AZ150*GPMtoMGD</f>
        <v>0</v>
      </c>
      <c r="BB148" s="90">
        <f>Sheet1!BP150*GPMtoMGD</f>
        <v>0</v>
      </c>
      <c r="BC148" s="90">
        <f>Sheet1!CS150*GPMtoMGD</f>
        <v>0</v>
      </c>
      <c r="BD148" s="90">
        <f>Sheet1!BO150*GPMtoMGD</f>
        <v>2.8427039999999999</v>
      </c>
      <c r="BE148" s="90">
        <f>Sheet1!BW150*GPMtoMGD</f>
        <v>1.1148480000000001</v>
      </c>
      <c r="BF148" s="90">
        <f>Sheet1!CN150*GPMtoMGD</f>
        <v>1.1808000000000001</v>
      </c>
      <c r="BG148" s="90">
        <f>Sheet1!CO150*GPMtoMGD</f>
        <v>0.72201599999999999</v>
      </c>
      <c r="BH148" s="90">
        <f>Sheet1!CP150*GPMtoMGD</f>
        <v>0.74102400000000013</v>
      </c>
      <c r="BI148" s="90">
        <f t="shared" si="24"/>
        <v>2.8427039999999999</v>
      </c>
      <c r="BK148" s="95">
        <f>SUM(AT148:BA148,BE148,Sheet1!BV150,'Calculations II'!BC148,Calculation!AQ148)</f>
        <v>55.960006206010789</v>
      </c>
      <c r="BM148" s="373">
        <f>0</f>
        <v>0</v>
      </c>
      <c r="BN148" s="373">
        <f>0</f>
        <v>0</v>
      </c>
      <c r="BP148" s="95">
        <f>SUM(BM148:BN148,W148,Sheet1!DX150)</f>
        <v>0</v>
      </c>
    </row>
    <row r="149" spans="1:68" s="90" customFormat="1">
      <c r="A149" s="651" t="s">
        <v>3</v>
      </c>
      <c r="B149" s="92">
        <v>41777</v>
      </c>
      <c r="C149" s="93">
        <v>0</v>
      </c>
      <c r="D149" s="95">
        <f>(Sheet1!BQ151-Sheet1!BQ150)*1.385</f>
        <v>0.900249999999998</v>
      </c>
      <c r="E149" s="30">
        <f>(Sheet1!BR151-Sheet1!BR150)*1.385</f>
        <v>0.900249999999998</v>
      </c>
      <c r="F149" s="30">
        <f ca="1">IF(B149=TODAY(),0,-(VLOOKUP(Sheet1!CD151,Lookup!$I$4:$J$216,2)-VLOOKUP(Sheet1!CD150,Lookup!$I$4:$J$216,2))/1000000)</f>
        <v>0.31091081564339806</v>
      </c>
      <c r="G149" s="95">
        <f ca="1">IF(B149=TODAY(),0,-$G$6*(Sheet1!CF151-Sheet1!CF150)*7.48/1000000)</f>
        <v>-0.87369702315630493</v>
      </c>
      <c r="H149" s="95">
        <f ca="1">IF(B149=TODAY(),0,-$H$6*(Sheet1!CE151-Sheet1!CE150)*7.48/1000000)</f>
        <v>1.5039432351265274E-2</v>
      </c>
      <c r="I149" s="95">
        <f ca="1">IF(B149=TODAY(),0,-$I$6*(Sheet1!CG151-Sheet1!CG150)*7.48/1000000)</f>
        <v>7.637229600000002E-2</v>
      </c>
      <c r="J149" s="96" t="s">
        <v>186</v>
      </c>
      <c r="K149" s="95">
        <f ca="1">IF(B149=TODAY(),0,-$K$6*(Sheet1!CH151-Sheet1!CH150)*7.48/1000000)</f>
        <v>0.12660308711471041</v>
      </c>
      <c r="L149" s="96" t="s">
        <v>186</v>
      </c>
      <c r="M149" s="95">
        <f ca="1">IF(B149=TODAY(),0,-$M$6*(Sheet1!CI151-Sheet1!CI150)*7.48/1000000)</f>
        <v>0.32384715170448669</v>
      </c>
      <c r="N149" s="95">
        <f ca="1">IF(B149=TODAY(),0,-$N$6*(Sheet1!CJ151-Sheet1!CJ150)*7.48/1000000)</f>
        <v>0.35990360328881865</v>
      </c>
      <c r="O149" s="95">
        <f t="shared" ca="1" si="21"/>
        <v>0.3389793629463741</v>
      </c>
      <c r="P149" s="95">
        <f ca="1">O149+Calculation!ES149</f>
        <v>-1.3208775857001491</v>
      </c>
      <c r="Q149" s="90" t="str">
        <f>IF(Sheet1!BQ151&gt;25.75,"spill elevation","-")</f>
        <v>-</v>
      </c>
      <c r="R149" s="90" t="str">
        <f>IF(Sheet1!BQ151&gt;25.75,"spill elevation","-")</f>
        <v>-</v>
      </c>
      <c r="S149" s="90" t="str">
        <f>IF(Sheet1!BR151&gt;25.75,"spill elevation","-")</f>
        <v>-</v>
      </c>
      <c r="T149" s="94">
        <f>IF(Sheet1!DU151=1,Sheet1!AA151-(SUM(AT149:BA149)+BE149),Sheet1!AA151-SUM(AT149:BA149))</f>
        <v>18.802399999999999</v>
      </c>
      <c r="U149" s="94">
        <f>Sheet1!BV151</f>
        <v>21.7</v>
      </c>
      <c r="V149" s="94">
        <f t="shared" si="22"/>
        <v>-2.8976000000000006</v>
      </c>
      <c r="W149" s="94">
        <f>0</f>
        <v>0</v>
      </c>
      <c r="X149" s="90">
        <f>0</f>
        <v>0</v>
      </c>
      <c r="Y149" s="95">
        <f ca="1">Calculation!EJ150+Calculation!ES149+'Calculations II'!O149-'Calculations II'!W149</f>
        <v>59.579122414299853</v>
      </c>
      <c r="Z149" s="95">
        <f ca="1">Y149-Sheet1!CT152</f>
        <v>43.705122414299851</v>
      </c>
      <c r="AA149" s="95">
        <f ca="1">Y149+Calculation!DJ150+Calculation!AS150</f>
        <v>70.194499144181961</v>
      </c>
      <c r="AC149" s="95">
        <f>Sheet1!AA151+Sheet1!AB151+BC149</f>
        <v>60.9</v>
      </c>
      <c r="AD149" s="95">
        <f>Sheet1!AA151+Sheet1!BN151+'Calculations II'!BC149-Calculation!AS149-Calculation!DJ149</f>
        <v>39.692309664188663</v>
      </c>
      <c r="AE149" s="95">
        <f>Sheet1!AA151+Sheet1!AB151+'Calculations II'!BC149-Calculation!AS149-Calculation!DJ149</f>
        <v>50.292309664188664</v>
      </c>
      <c r="AF149" s="95">
        <f ca="1">Sheet1!AA151+Sheet1!BN151+P149+'Calculations II'!BC149+Calculation!AS149+Calculation!DJ149</f>
        <v>59.586812750111186</v>
      </c>
      <c r="AG149" s="95">
        <f ca="1">IF(B149=TODAY(),0,Sheet1!AA151+Sheet1!BN151+'Calculations II'!BC149+'Calculations II'!P149-Sheet1!CT151-BP149)</f>
        <v>33.347122414299854</v>
      </c>
      <c r="AH149" s="95">
        <f ca="1">IF(B149=TODAY(),0,Sheet1!AA151+Sheet1!BN151+'Calculations II'!BC149+'Calculations II'!P149-BP149)</f>
        <v>48.979122414299852</v>
      </c>
      <c r="AI149" s="95">
        <f ca="1">IF(B149=TODAY(),0,BC149+Sheet1!AA151+Calculation!ES149+O149+W149+Sheet1!BN151+Calculation!AS149+Calculation!DJ149-BP149)</f>
        <v>59.586812750111186</v>
      </c>
      <c r="AJ149" s="95"/>
      <c r="AM149" s="91">
        <f t="shared" si="23"/>
        <v>41777</v>
      </c>
      <c r="AN149" s="95">
        <f>Sheet1!BU151</f>
        <v>20.399999999999999</v>
      </c>
      <c r="AO149" s="95">
        <f>Sheet1!AA151</f>
        <v>21.9</v>
      </c>
      <c r="AP149" s="95">
        <f t="shared" si="18"/>
        <v>1.800499999999996</v>
      </c>
      <c r="AQ149" s="1055">
        <f>((Sheet1!BV151-(Sheet1!BU151-AP149))/(Sheet1!BU151-AP149))</f>
        <v>0.16669802951692231</v>
      </c>
      <c r="AR149" s="95">
        <f t="shared" si="19"/>
        <v>20.099500000000003</v>
      </c>
      <c r="AS149" s="95">
        <f t="shared" si="20"/>
        <v>18.599500000000003</v>
      </c>
      <c r="AT149" s="90">
        <f>Sheet1!BB151</f>
        <v>1.6</v>
      </c>
      <c r="AU149" s="90">
        <f>Sheet1!AS151*GPMtoMGD</f>
        <v>3.168E-2</v>
      </c>
      <c r="AV149" s="95">
        <f>Sheet1!AT151</f>
        <v>0</v>
      </c>
      <c r="AW149" s="90">
        <f>Sheet1!AV151*GPMtoMGD</f>
        <v>0.69508800000000004</v>
      </c>
      <c r="AX149" s="90">
        <f>Sheet1!AW151*GPMtoMGD</f>
        <v>0.77083199999999996</v>
      </c>
      <c r="AY149" s="90">
        <f>Sheet1!AX151*GPMtoMGD</f>
        <v>0</v>
      </c>
      <c r="AZ149" s="90">
        <f>Sheet1!AY151*GPMtoMGD</f>
        <v>0</v>
      </c>
      <c r="BA149" s="90">
        <f>Sheet1!AZ151*GPMtoMGD</f>
        <v>0</v>
      </c>
      <c r="BB149" s="90">
        <f>Sheet1!BP151*GPMtoMGD</f>
        <v>0</v>
      </c>
      <c r="BC149" s="90">
        <f>Sheet1!CS151*GPMtoMGD</f>
        <v>0</v>
      </c>
      <c r="BD149" s="90">
        <f>Sheet1!BO151*GPMtoMGD</f>
        <v>1.65744</v>
      </c>
      <c r="BE149" s="90">
        <f>Sheet1!BW151*GPMtoMGD</f>
        <v>1.1083680000000002</v>
      </c>
      <c r="BF149" s="90">
        <f>Sheet1!CN151*GPMtoMGD</f>
        <v>1.1808000000000001</v>
      </c>
      <c r="BG149" s="90">
        <f>Sheet1!CO151*GPMtoMGD</f>
        <v>0.76636800000000016</v>
      </c>
      <c r="BH149" s="90">
        <f>Sheet1!CP151*GPMtoMGD</f>
        <v>0.73785600000000007</v>
      </c>
      <c r="BI149" s="90">
        <f t="shared" si="24"/>
        <v>1.65744</v>
      </c>
      <c r="BK149" s="95">
        <f>SUM(AT149:BA149,BE149,Sheet1!BV151,'Calculations II'!BC149,Calculation!AQ149)</f>
        <v>54.298687815431947</v>
      </c>
      <c r="BM149" s="373">
        <f>0</f>
        <v>0</v>
      </c>
      <c r="BN149" s="373">
        <f>0</f>
        <v>0</v>
      </c>
      <c r="BP149" s="95">
        <f>SUM(BM149:BN149,W149,Sheet1!DX151)</f>
        <v>0</v>
      </c>
    </row>
    <row r="150" spans="1:68" s="90" customFormat="1">
      <c r="A150" s="651" t="s">
        <v>4</v>
      </c>
      <c r="B150" s="92">
        <v>41778</v>
      </c>
      <c r="C150" s="93">
        <v>0</v>
      </c>
      <c r="D150" s="95">
        <f>(Sheet1!BQ152-Sheet1!BQ151)*1.385</f>
        <v>1.385</v>
      </c>
      <c r="E150" s="30">
        <f>(Sheet1!BR152-Sheet1!BR151)*1.385</f>
        <v>1.3573000000000006</v>
      </c>
      <c r="F150" s="30">
        <f ca="1">IF(B150=TODAY(),0,-(VLOOKUP(Sheet1!CD152,Lookup!$I$4:$J$216,2)-VLOOKUP(Sheet1!CD151,Lookup!$I$4:$J$216,2))/1000000)</f>
        <v>0.62182163128680179</v>
      </c>
      <c r="G150" s="95">
        <f ca="1">IF(B150=TODAY(),0,-$G$6*(Sheet1!CF152-Sheet1!CF151)*7.48/1000000)</f>
        <v>0.51627551368327118</v>
      </c>
      <c r="H150" s="95">
        <f ca="1">IF(B150=TODAY(),0,-$H$6*(Sheet1!CE152-Sheet1!CE151)*7.48/1000000)</f>
        <v>3.0078864702529479E-2</v>
      </c>
      <c r="I150" s="95">
        <f ca="1">IF(B150=TODAY(),0,-$I$6*(Sheet1!CG152-Sheet1!CG151)*7.48/1000000)</f>
        <v>4.4924880000000007E-2</v>
      </c>
      <c r="J150" s="96" t="s">
        <v>186</v>
      </c>
      <c r="K150" s="95">
        <f ca="1">IF(B150=TODAY(),0,-$K$6*(Sheet1!CH152-Sheet1!CH151)*7.48/1000000)</f>
        <v>7.995984449350127E-2</v>
      </c>
      <c r="L150" s="96" t="s">
        <v>186</v>
      </c>
      <c r="M150" s="95">
        <f ca="1">IF(B150=TODAY(),0,-$M$6*(Sheet1!CI152-Sheet1!CI151)*7.48/1000000)</f>
        <v>0.17991508428027048</v>
      </c>
      <c r="N150" s="95">
        <f ca="1">IF(B150=TODAY(),0,-$N$6*(Sheet1!CJ152-Sheet1!CJ151)*7.48/1000000)</f>
        <v>0.13651515986817186</v>
      </c>
      <c r="O150" s="95">
        <f t="shared" ca="1" si="21"/>
        <v>1.6094909783145459</v>
      </c>
      <c r="P150" s="95">
        <f ca="1">O150+Calculation!ES150</f>
        <v>-1.1579620910629362</v>
      </c>
      <c r="Q150" s="90" t="str">
        <f>IF(Sheet1!BQ152&gt;25.75,"spill elevation","-")</f>
        <v>-</v>
      </c>
      <c r="R150" s="90" t="str">
        <f>IF(Sheet1!BQ152&gt;25.75,"spill elevation","-")</f>
        <v>-</v>
      </c>
      <c r="S150" s="90" t="str">
        <f>IF(Sheet1!BR152&gt;25.75,"spill elevation","-")</f>
        <v>-</v>
      </c>
      <c r="T150" s="94">
        <f>IF(Sheet1!DU152=1,Sheet1!AA152-(SUM(AT150:BA150)+BE150),Sheet1!AA152-SUM(AT150:BA150))</f>
        <v>18.994783999999999</v>
      </c>
      <c r="U150" s="94">
        <f>Sheet1!BV152</f>
        <v>20.8</v>
      </c>
      <c r="V150" s="94">
        <f t="shared" si="22"/>
        <v>-1.8052160000000015</v>
      </c>
      <c r="W150" s="94">
        <f>0</f>
        <v>0</v>
      </c>
      <c r="X150" s="90">
        <f>0</f>
        <v>0</v>
      </c>
      <c r="Y150" s="95">
        <f ca="1">Calculation!EJ151+Calculation!ES150+'Calculations II'!O150-'Calculations II'!W150</f>
        <v>59.742037908937071</v>
      </c>
      <c r="Z150" s="95">
        <f ca="1">Y150-Sheet1!CT153</f>
        <v>44.14503790893707</v>
      </c>
      <c r="AA150" s="95">
        <f ca="1">Y150+Calculation!DJ151+Calculation!AS151</f>
        <v>70.356652110423866</v>
      </c>
      <c r="AC150" s="95">
        <f>Sheet1!AA152+Sheet1!AB152+BC150</f>
        <v>60.9</v>
      </c>
      <c r="AD150" s="95">
        <f>Sheet1!AA152+Sheet1!BN152+'Calculations II'!BC150-Calculation!AS150-Calculation!DJ150</f>
        <v>39.684623270117882</v>
      </c>
      <c r="AE150" s="95">
        <f>Sheet1!AA152+Sheet1!AB152+'Calculations II'!BC150-Calculation!AS150-Calculation!DJ150</f>
        <v>50.284623270117883</v>
      </c>
      <c r="AF150" s="95">
        <f ca="1">Sheet1!AA152+Sheet1!BN152+P150+'Calculations II'!BC150+Calculation!AS150+Calculation!DJ150</f>
        <v>59.757414638819178</v>
      </c>
      <c r="AG150" s="95">
        <f ca="1">IF(B150=TODAY(),0,Sheet1!AA152+Sheet1!BN152+'Calculations II'!BC150+'Calculations II'!P150-Sheet1!CT152-BP150)</f>
        <v>33.26803790893706</v>
      </c>
      <c r="AH150" s="95">
        <f ca="1">IF(B150=TODAY(),0,Sheet1!AA152+Sheet1!BN152+'Calculations II'!BC150+'Calculations II'!P150-BP150)</f>
        <v>49.142037908937063</v>
      </c>
      <c r="AI150" s="95">
        <f ca="1">IF(B150=TODAY(),0,BC150+Sheet1!AA152+Calculation!ES150+O150+W150+Sheet1!BN152+Calculation!AS150+Calculation!DJ150-BP150)</f>
        <v>59.757414638819178</v>
      </c>
      <c r="AJ150" s="95"/>
      <c r="AM150" s="91">
        <f t="shared" si="23"/>
        <v>41778</v>
      </c>
      <c r="AN150" s="95">
        <f>Sheet1!BU152</f>
        <v>20.2</v>
      </c>
      <c r="AO150" s="95">
        <f>Sheet1!AA152</f>
        <v>21.9</v>
      </c>
      <c r="AP150" s="95">
        <f t="shared" si="18"/>
        <v>2.7423000000000006</v>
      </c>
      <c r="AQ150" s="1055">
        <f>((Sheet1!BV152-(Sheet1!BU152-AP150))/(Sheet1!BU152-AP150))</f>
        <v>0.19145133665946842</v>
      </c>
      <c r="AR150" s="95">
        <f t="shared" si="19"/>
        <v>19.157699999999998</v>
      </c>
      <c r="AS150" s="95">
        <f t="shared" si="20"/>
        <v>17.457699999999999</v>
      </c>
      <c r="AT150" s="90">
        <f>Sheet1!BB152</f>
        <v>1.6</v>
      </c>
      <c r="AU150" s="90">
        <f>Sheet1!AS152*GPMtoMGD</f>
        <v>1.5984000000000002E-2</v>
      </c>
      <c r="AV150" s="95">
        <f>Sheet1!AT152</f>
        <v>0</v>
      </c>
      <c r="AW150" s="90">
        <f>Sheet1!AV152*GPMtoMGD</f>
        <v>0.54936000000000007</v>
      </c>
      <c r="AX150" s="90">
        <f>Sheet1!AW152*GPMtoMGD</f>
        <v>0.7394400000000001</v>
      </c>
      <c r="AY150" s="90">
        <f>Sheet1!AX152*GPMtoMGD</f>
        <v>4.3200000000000004E-4</v>
      </c>
      <c r="AZ150" s="90">
        <f>Sheet1!AY152*GPMtoMGD</f>
        <v>0</v>
      </c>
      <c r="BA150" s="90">
        <f>Sheet1!AZ152*GPMtoMGD</f>
        <v>0</v>
      </c>
      <c r="BB150" s="90">
        <f>Sheet1!BP152*GPMtoMGD</f>
        <v>0</v>
      </c>
      <c r="BC150" s="90">
        <f>Sheet1!CS152*GPMtoMGD</f>
        <v>0</v>
      </c>
      <c r="BD150" s="90">
        <f>Sheet1!BO152*GPMtoMGD</f>
        <v>1.6299360000000003</v>
      </c>
      <c r="BE150" s="90">
        <f>Sheet1!BW152*GPMtoMGD</f>
        <v>0.79156800000000016</v>
      </c>
      <c r="BF150" s="90">
        <f>Sheet1!CN152*GPMtoMGD</f>
        <v>1.1808000000000001</v>
      </c>
      <c r="BG150" s="90">
        <f>Sheet1!CO152*GPMtoMGD</f>
        <v>0.74851199999999996</v>
      </c>
      <c r="BH150" s="90">
        <f>Sheet1!CP152*GPMtoMGD</f>
        <v>0.76651199999999997</v>
      </c>
      <c r="BI150" s="90">
        <f t="shared" si="24"/>
        <v>1.6299360000000003</v>
      </c>
      <c r="BK150" s="95">
        <f>SUM(AT150:BA150,BE150,Sheet1!BV152,'Calculations II'!BC150,Calculation!AQ150)</f>
        <v>52.882227362378273</v>
      </c>
      <c r="BM150" s="373">
        <f>0</f>
        <v>0</v>
      </c>
      <c r="BN150" s="373">
        <f>0</f>
        <v>0</v>
      </c>
      <c r="BP150" s="95">
        <f>SUM(BM150:BN150,W150,Sheet1!DX152)</f>
        <v>0</v>
      </c>
    </row>
    <row r="151" spans="1:68" s="90" customFormat="1">
      <c r="A151" s="651" t="s">
        <v>5</v>
      </c>
      <c r="B151" s="92">
        <v>41779</v>
      </c>
      <c r="C151" s="93">
        <v>0</v>
      </c>
      <c r="D151" s="95">
        <f>(Sheet1!BQ153-Sheet1!BQ152)*1.385</f>
        <v>-0.45704999999999762</v>
      </c>
      <c r="E151" s="30">
        <f>(Sheet1!BR153-Sheet1!BR152)*1.385</f>
        <v>-0.44320000000000037</v>
      </c>
      <c r="F151" s="30">
        <f ca="1">IF(B151=TODAY(),0,-(VLOOKUP(Sheet1!CD153,Lookup!$I$4:$J$216,2)-VLOOKUP(Sheet1!CD152,Lookup!$I$4:$J$216,2))/1000000)</f>
        <v>-0.41454775419120304</v>
      </c>
      <c r="G151" s="95">
        <f ca="1">IF(B151=TODAY(),0,-$G$6*(Sheet1!CF153-Sheet1!CF152)*7.48/1000000)</f>
        <v>0.5559890147358304</v>
      </c>
      <c r="H151" s="95">
        <f ca="1">IF(B151=TODAY(),0,-$H$6*(Sheet1!CE153-Sheet1!CE152)*7.48/1000000)</f>
        <v>0</v>
      </c>
      <c r="I151" s="95">
        <f ca="1">IF(B151=TODAY(),0,-$I$6*(Sheet1!CG153-Sheet1!CG152)*7.48/1000000)</f>
        <v>-0.103327224</v>
      </c>
      <c r="J151" s="96" t="s">
        <v>186</v>
      </c>
      <c r="K151" s="95">
        <f ca="1">IF(B151=TODAY(),0,-$K$6*(Sheet1!CH153-Sheet1!CH152)*7.48/1000000)</f>
        <v>-0.17990965011037791</v>
      </c>
      <c r="L151" s="96" t="s">
        <v>186</v>
      </c>
      <c r="M151" s="95">
        <f ca="1">IF(B151=TODAY(),0,-$M$6*(Sheet1!CI153-Sheet1!CI152)*7.48/1000000)</f>
        <v>-0.4317962022726492</v>
      </c>
      <c r="N151" s="95">
        <f ca="1">IF(B151=TODAY(),0,-$N$6*(Sheet1!CJ153-Sheet1!CJ152)*7.48/1000000)</f>
        <v>0.29164602335473272</v>
      </c>
      <c r="O151" s="95">
        <f t="shared" ca="1" si="21"/>
        <v>-0.28194579248366702</v>
      </c>
      <c r="P151" s="95">
        <f ca="1">O151+Calculation!ES151</f>
        <v>0.54842464961875037</v>
      </c>
      <c r="Q151" s="90" t="str">
        <f>IF(Sheet1!BQ153&gt;25.75,"spill elevation","-")</f>
        <v>-</v>
      </c>
      <c r="R151" s="90" t="str">
        <f>IF(Sheet1!BQ153&gt;25.75,"spill elevation","-")</f>
        <v>-</v>
      </c>
      <c r="S151" s="90" t="str">
        <f>IF(Sheet1!BR153&gt;25.75,"spill elevation","-")</f>
        <v>-</v>
      </c>
      <c r="T151" s="94">
        <f>IF(Sheet1!DU153=1,Sheet1!AA153-(SUM(AT151:BA151)+BE151),Sheet1!AA153-SUM(AT151:BA151))</f>
        <v>18.532864</v>
      </c>
      <c r="U151" s="94">
        <f>Sheet1!BV153</f>
        <v>24.2</v>
      </c>
      <c r="V151" s="94">
        <f t="shared" si="22"/>
        <v>-5.6671359999999993</v>
      </c>
      <c r="W151" s="94">
        <f>0</f>
        <v>0</v>
      </c>
      <c r="X151" s="90">
        <f>0</f>
        <v>0</v>
      </c>
      <c r="Y151" s="95">
        <f ca="1">Calculation!EJ152+Calculation!ES151+'Calculations II'!O151-'Calculations II'!W151</f>
        <v>61.368424649618753</v>
      </c>
      <c r="Z151" s="95">
        <f ca="1">Y151-Sheet1!CT154</f>
        <v>46.461424649618749</v>
      </c>
      <c r="AA151" s="95">
        <f ca="1">Y151+Calculation!DJ152+Calculation!AS152</f>
        <v>71.99684678076629</v>
      </c>
      <c r="AC151" s="95">
        <f>Sheet1!AA153+Sheet1!AB153+BC151</f>
        <v>60.900000000000006</v>
      </c>
      <c r="AD151" s="95">
        <f>Sheet1!AA153+Sheet1!BN153+'Calculations II'!BC151-Calculation!AS151-Calculation!DJ151</f>
        <v>39.655385798513194</v>
      </c>
      <c r="AE151" s="95">
        <f>Sheet1!AA153+Sheet1!AB153+'Calculations II'!BC151-Calculation!AS151-Calculation!DJ151</f>
        <v>50.285385798513204</v>
      </c>
      <c r="AF151" s="95">
        <f ca="1">Sheet1!AA153+Sheet1!BN153+P151+'Calculations II'!BC151+Calculation!AS151+Calculation!DJ151</f>
        <v>61.43303885110555</v>
      </c>
      <c r="AG151" s="95">
        <f ca="1">IF(B151=TODAY(),0,Sheet1!AA153+Sheet1!BN153+'Calculations II'!BC151+'Calculations II'!P151-Sheet1!CT153-BP151)</f>
        <v>35.221424649618747</v>
      </c>
      <c r="AH151" s="95">
        <f ca="1">IF(B151=TODAY(),0,Sheet1!AA153+Sheet1!BN153+'Calculations II'!BC151+'Calculations II'!P151-BP151)</f>
        <v>50.818424649618748</v>
      </c>
      <c r="AI151" s="95">
        <f ca="1">IF(B151=TODAY(),0,BC151+Sheet1!AA153+Calculation!ES151+O151+W151+Sheet1!BN153+Calculation!AS151+Calculation!DJ151-BP151)</f>
        <v>61.43303885110555</v>
      </c>
      <c r="AJ151" s="95"/>
      <c r="AM151" s="91">
        <f t="shared" si="23"/>
        <v>41779</v>
      </c>
      <c r="AN151" s="95">
        <f>Sheet1!BU153</f>
        <v>19.600000000000001</v>
      </c>
      <c r="AO151" s="95">
        <f>Sheet1!AA153</f>
        <v>21.87</v>
      </c>
      <c r="AP151" s="95">
        <f t="shared" si="18"/>
        <v>-0.900249999999998</v>
      </c>
      <c r="AQ151" s="1055">
        <f>((Sheet1!BV153-(Sheet1!BU153-AP151))/(Sheet1!BU153-AP151))</f>
        <v>0.18047340886086743</v>
      </c>
      <c r="AR151" s="95">
        <f t="shared" si="19"/>
        <v>22.770249999999997</v>
      </c>
      <c r="AS151" s="95">
        <f t="shared" si="20"/>
        <v>20.500250000000001</v>
      </c>
      <c r="AT151" s="90">
        <f>Sheet1!BB153</f>
        <v>1.61</v>
      </c>
      <c r="AU151" s="90">
        <f>Sheet1!AS153*GPMtoMGD</f>
        <v>3.1968000000000003E-2</v>
      </c>
      <c r="AV151" s="95">
        <f>Sheet1!AT153</f>
        <v>0</v>
      </c>
      <c r="AW151" s="90">
        <f>Sheet1!AV153*GPMtoMGD</f>
        <v>0.72115200000000002</v>
      </c>
      <c r="AX151" s="90">
        <f>Sheet1!AW153*GPMtoMGD</f>
        <v>0.96940800000000016</v>
      </c>
      <c r="AY151" s="90">
        <f>Sheet1!AX153*GPMtoMGD</f>
        <v>4.6080000000000001E-3</v>
      </c>
      <c r="AZ151" s="90">
        <f>Sheet1!AY153*GPMtoMGD</f>
        <v>0</v>
      </c>
      <c r="BA151" s="90">
        <f>Sheet1!AZ153*GPMtoMGD</f>
        <v>0</v>
      </c>
      <c r="BB151" s="90">
        <f>Sheet1!BP153*GPMtoMGD</f>
        <v>0</v>
      </c>
      <c r="BC151" s="90">
        <f>Sheet1!CS153*GPMtoMGD</f>
        <v>0</v>
      </c>
      <c r="BD151" s="90">
        <f>Sheet1!BO153*GPMtoMGD</f>
        <v>2.5784639999999999</v>
      </c>
      <c r="BE151" s="90">
        <f>Sheet1!BW153*GPMtoMGD</f>
        <v>1.078848</v>
      </c>
      <c r="BF151" s="90">
        <f>Sheet1!CN153*GPMtoMGD</f>
        <v>1.1808000000000001</v>
      </c>
      <c r="BG151" s="90">
        <f>Sheet1!CO153*GPMtoMGD</f>
        <v>0.76564800000000011</v>
      </c>
      <c r="BH151" s="90">
        <f>Sheet1!CP153*GPMtoMGD</f>
        <v>0.77788800000000013</v>
      </c>
      <c r="BI151" s="90">
        <f t="shared" si="24"/>
        <v>2.5784639999999999</v>
      </c>
      <c r="BK151" s="95">
        <f>SUM(AT151:BA151,BE151,Sheet1!BV153,'Calculations II'!BC151,Calculation!AQ151)</f>
        <v>57.030544369136123</v>
      </c>
      <c r="BM151" s="373">
        <f>0</f>
        <v>0</v>
      </c>
      <c r="BN151" s="373">
        <f>0</f>
        <v>0</v>
      </c>
      <c r="BP151" s="95">
        <f>SUM(BM151:BN151,W151,Sheet1!DX153)</f>
        <v>0</v>
      </c>
    </row>
    <row r="152" spans="1:68" s="90" customFormat="1">
      <c r="A152" s="651" t="s">
        <v>6</v>
      </c>
      <c r="B152" s="92">
        <v>41780</v>
      </c>
      <c r="C152" s="93">
        <v>0</v>
      </c>
      <c r="D152" s="95">
        <f>(Sheet1!BQ154-Sheet1!BQ153)*1.385</f>
        <v>0.88639999999999586</v>
      </c>
      <c r="E152" s="30">
        <f>(Sheet1!BR154-Sheet1!BR153)*1.385</f>
        <v>0.8725500000000036</v>
      </c>
      <c r="F152" s="30">
        <f ca="1">IF(B152=TODAY(),0,-(VLOOKUP(Sheet1!CD154,Lookup!$I$4:$J$216,2)-VLOOKUP(Sheet1!CD153,Lookup!$I$4:$J$216,2))/1000000)</f>
        <v>0.41454775419120304</v>
      </c>
      <c r="G152" s="95">
        <f ca="1">IF(B152=TODAY(),0,-$G$6*(Sheet1!CF154-Sheet1!CF153)*7.48/1000000)</f>
        <v>-0.99283752631398237</v>
      </c>
      <c r="H152" s="95">
        <f ca="1">IF(B152=TODAY(),0,-$H$6*(Sheet1!CE154-Sheet1!CE153)*7.48/1000000)</f>
        <v>0.1353548911613853</v>
      </c>
      <c r="I152" s="95">
        <f ca="1">IF(B152=TODAY(),0,-$I$6*(Sheet1!CG154-Sheet1!CG153)*7.48/1000000)</f>
        <v>0.10781971199999997</v>
      </c>
      <c r="J152" s="96" t="s">
        <v>186</v>
      </c>
      <c r="K152" s="95">
        <f ca="1">IF(B152=TODAY(),0,-$K$6*(Sheet1!CH154-Sheet1!CH153)*7.48/1000000)</f>
        <v>0.17990965011037791</v>
      </c>
      <c r="L152" s="96" t="s">
        <v>186</v>
      </c>
      <c r="M152" s="95">
        <f ca="1">IF(B152=TODAY(),0,-$M$6*(Sheet1!CI154-Sheet1!CI153)*7.48/1000000)</f>
        <v>0.48577072755673018</v>
      </c>
      <c r="N152" s="95">
        <f ca="1">IF(B152=TODAY(),0,-$N$6*(Sheet1!CJ154-Sheet1!CJ153)*7.48/1000000)</f>
        <v>0.35990360328881865</v>
      </c>
      <c r="O152" s="95">
        <f t="shared" ca="1" si="21"/>
        <v>0.69046881199453258</v>
      </c>
      <c r="P152" s="95">
        <f ca="1">O152+Calculation!ES152</f>
        <v>-1.108814494155006</v>
      </c>
      <c r="Q152" s="90" t="str">
        <f>IF(Sheet1!BQ154&gt;25.75,"spill elevation","-")</f>
        <v>-</v>
      </c>
      <c r="R152" s="90" t="str">
        <f>IF(Sheet1!BQ154&gt;25.75,"spill elevation","-")</f>
        <v>-</v>
      </c>
      <c r="S152" s="90" t="str">
        <f>IF(Sheet1!BR154&gt;25.75,"spill elevation","-")</f>
        <v>-</v>
      </c>
      <c r="T152" s="94">
        <f>IF(Sheet1!DU154=1,Sheet1!AA154-(SUM(AT152:BA152)+BE152),Sheet1!AA154-SUM(AT152:BA152))</f>
        <v>18.567807999999999</v>
      </c>
      <c r="U152" s="94">
        <f>Sheet1!BV154</f>
        <v>21.7</v>
      </c>
      <c r="V152" s="94">
        <f t="shared" si="22"/>
        <v>-3.1321919999999999</v>
      </c>
      <c r="W152" s="94">
        <f>0</f>
        <v>0</v>
      </c>
      <c r="X152" s="90">
        <f>0</f>
        <v>0</v>
      </c>
      <c r="Y152" s="95">
        <f ca="1">Calculation!EJ153+Calculation!ES152+'Calculations II'!O152-'Calculations II'!W152</f>
        <v>59.77118550584499</v>
      </c>
      <c r="Z152" s="95">
        <f ca="1">Y152-Sheet1!CT155</f>
        <v>44.14918550584499</v>
      </c>
      <c r="AA152" s="95">
        <f ca="1">Y152+Calculation!DJ153+Calculation!AS153</f>
        <v>70.343500106820088</v>
      </c>
      <c r="AC152" s="95">
        <f>Sheet1!AA154+Sheet1!AB154+BC152</f>
        <v>60.82</v>
      </c>
      <c r="AD152" s="95">
        <f>Sheet1!AA154+Sheet1!BN154+'Calculations II'!BC152-Calculation!AS152-Calculation!DJ152</f>
        <v>39.601577868852452</v>
      </c>
      <c r="AE152" s="95">
        <f>Sheet1!AA154+Sheet1!AB154+'Calculations II'!BC152-Calculation!AS152-Calculation!DJ152</f>
        <v>50.191577868852455</v>
      </c>
      <c r="AF152" s="95">
        <f ca="1">Sheet1!AA154+Sheet1!BN154+P152+'Calculations II'!BC152+Calculation!AS152+Calculation!DJ152</f>
        <v>59.749607636992536</v>
      </c>
      <c r="AG152" s="95">
        <f ca="1">IF(B152=TODAY(),0,Sheet1!AA154+Sheet1!BN154+'Calculations II'!BC152+'Calculations II'!P152-Sheet1!CT154-BP152)</f>
        <v>34.214185505844995</v>
      </c>
      <c r="AH152" s="95">
        <f ca="1">IF(B152=TODAY(),0,Sheet1!AA154+Sheet1!BN154+'Calculations II'!BC152+'Calculations II'!P152-BP152)</f>
        <v>49.121185505844991</v>
      </c>
      <c r="AI152" s="95">
        <f ca="1">IF(B152=TODAY(),0,BC152+Sheet1!AA154+Calculation!ES152+O152+W152+Sheet1!BN154+Calculation!AS152+Calculation!DJ152-BP152)</f>
        <v>59.749607636992536</v>
      </c>
      <c r="AJ152" s="95"/>
      <c r="AM152" s="91">
        <f t="shared" si="23"/>
        <v>41780</v>
      </c>
      <c r="AN152" s="95">
        <f>Sheet1!BU154</f>
        <v>19.3</v>
      </c>
      <c r="AO152" s="95">
        <f>Sheet1!AA154</f>
        <v>21.83</v>
      </c>
      <c r="AP152" s="95">
        <f t="shared" si="18"/>
        <v>1.7589499999999996</v>
      </c>
      <c r="AQ152" s="1055">
        <f>((Sheet1!BV154-(Sheet1!BU154-AP152))/(Sheet1!BU154-AP152))</f>
        <v>0.23709812126412028</v>
      </c>
      <c r="AR152" s="95">
        <f t="shared" si="19"/>
        <v>20.07105</v>
      </c>
      <c r="AS152" s="95">
        <f t="shared" si="20"/>
        <v>17.541050000000002</v>
      </c>
      <c r="AT152" s="90">
        <f>Sheet1!BB154</f>
        <v>1.6</v>
      </c>
      <c r="AU152" s="90">
        <f>Sheet1!AS154*GPMtoMGD</f>
        <v>1.6560000000000002E-2</v>
      </c>
      <c r="AV152" s="95">
        <f>Sheet1!AT154</f>
        <v>0</v>
      </c>
      <c r="AW152" s="90">
        <f>Sheet1!AV154*GPMtoMGD</f>
        <v>0.71971200000000002</v>
      </c>
      <c r="AX152" s="90">
        <f>Sheet1!AW154*GPMtoMGD</f>
        <v>0.92131200000000002</v>
      </c>
      <c r="AY152" s="90">
        <f>Sheet1!AX154*GPMtoMGD</f>
        <v>4.6080000000000001E-3</v>
      </c>
      <c r="AZ152" s="90">
        <f>Sheet1!AY154*GPMtoMGD</f>
        <v>0</v>
      </c>
      <c r="BA152" s="90">
        <f>Sheet1!AZ154*GPMtoMGD</f>
        <v>0</v>
      </c>
      <c r="BB152" s="90">
        <f>Sheet1!BP154*GPMtoMGD</f>
        <v>0</v>
      </c>
      <c r="BC152" s="90">
        <f>Sheet1!CS154*GPMtoMGD</f>
        <v>0</v>
      </c>
      <c r="BD152" s="90">
        <f>Sheet1!BO154*GPMtoMGD</f>
        <v>1.37592</v>
      </c>
      <c r="BE152" s="90">
        <f>Sheet1!BW154*GPMtoMGD</f>
        <v>1.0774080000000001</v>
      </c>
      <c r="BF152" s="90">
        <f>Sheet1!CN154*GPMtoMGD</f>
        <v>1.1808000000000001</v>
      </c>
      <c r="BG152" s="90">
        <f>Sheet1!CO154*GPMtoMGD</f>
        <v>0.794736</v>
      </c>
      <c r="BH152" s="90">
        <f>Sheet1!CP154*GPMtoMGD</f>
        <v>0.81316800000000011</v>
      </c>
      <c r="BI152" s="90">
        <f t="shared" si="24"/>
        <v>1.37592</v>
      </c>
      <c r="BK152" s="95">
        <f>SUM(AT152:BA152,BE152,Sheet1!BV154,'Calculations II'!BC152,Calculation!AQ152)</f>
        <v>54.40322704918033</v>
      </c>
      <c r="BM152" s="373">
        <f>0</f>
        <v>0</v>
      </c>
      <c r="BN152" s="373">
        <f>0</f>
        <v>0</v>
      </c>
      <c r="BP152" s="95">
        <f>SUM(BM152:BN152,W152,Sheet1!DX154)</f>
        <v>0</v>
      </c>
    </row>
    <row r="153" spans="1:68" s="90" customFormat="1">
      <c r="A153" s="651" t="s">
        <v>7</v>
      </c>
      <c r="B153" s="92">
        <v>41781</v>
      </c>
      <c r="C153" s="93">
        <v>0</v>
      </c>
      <c r="D153" s="95">
        <f>(Sheet1!BQ155-Sheet1!BQ154)*1.385</f>
        <v>-1.0248999999999979</v>
      </c>
      <c r="E153" s="30">
        <f>(Sheet1!BR155-Sheet1!BR154)*1.385</f>
        <v>-1.0387500000000001</v>
      </c>
      <c r="F153" s="30">
        <f ca="1">IF(B153=TODAY(),0,-(VLOOKUP(Sheet1!CD155,Lookup!$I$4:$J$216,2)-VLOOKUP(Sheet1!CD154,Lookup!$I$4:$J$216,2))/1000000)</f>
        <v>0.62182163128679613</v>
      </c>
      <c r="G153" s="95">
        <f ca="1">IF(B153=TODAY(),0,-$G$6*(Sheet1!CF155-Sheet1!CF154)*7.48/1000000)</f>
        <v>0.59570251578838951</v>
      </c>
      <c r="H153" s="95">
        <f ca="1">IF(B153=TODAY(),0,-$H$6*(Sheet1!CE155-Sheet1!CE154)*7.48/1000000)</f>
        <v>0</v>
      </c>
      <c r="I153" s="95">
        <f ca="1">IF(B153=TODAY(),0,-$I$6*(Sheet1!CG155-Sheet1!CG154)*7.48/1000000)</f>
        <v>-0.13028215199999998</v>
      </c>
      <c r="J153" s="96" t="s">
        <v>186</v>
      </c>
      <c r="K153" s="95">
        <f ca="1">IF(B153=TODAY(),0,-$K$6*(Sheet1!CH155-Sheet1!CH154)*7.48/1000000)</f>
        <v>-0.20656293160821168</v>
      </c>
      <c r="L153" s="96" t="s">
        <v>186</v>
      </c>
      <c r="M153" s="95">
        <f ca="1">IF(B153=TODAY(),0,-$M$6*(Sheet1!CI155-Sheet1!CI154)*7.48/1000000)</f>
        <v>-0.66568581183700071</v>
      </c>
      <c r="N153" s="95">
        <f ca="1">IF(B153=TODAY(),0,-$N$6*(Sheet1!CJ155-Sheet1!CJ154)*7.48/1000000)</f>
        <v>-0.12410469078924848</v>
      </c>
      <c r="O153" s="95">
        <f t="shared" ca="1" si="21"/>
        <v>9.088856084072483E-2</v>
      </c>
      <c r="P153" s="95">
        <f ca="1">O153+Calculation!ES153</f>
        <v>2.1669363900726388</v>
      </c>
      <c r="Q153" s="90" t="str">
        <f>IF(Sheet1!BQ155&gt;25.75,"spill elevation","-")</f>
        <v>-</v>
      </c>
      <c r="R153" s="90" t="str">
        <f>IF(Sheet1!BQ155&gt;25.75,"spill elevation","-")</f>
        <v>-</v>
      </c>
      <c r="S153" s="90" t="str">
        <f>IF(Sheet1!BR155&gt;25.75,"spill elevation","-")</f>
        <v>-</v>
      </c>
      <c r="T153" s="94">
        <f>IF(Sheet1!DU155=1,Sheet1!AA155-(SUM(AT153:BA153)+BE153),Sheet1!AA155-SUM(AT153:BA153))</f>
        <v>18.152991999999998</v>
      </c>
      <c r="U153" s="94">
        <f>Sheet1!BV155</f>
        <v>24.9</v>
      </c>
      <c r="V153" s="94">
        <f t="shared" si="22"/>
        <v>-6.747008000000001</v>
      </c>
      <c r="W153" s="94">
        <f>0</f>
        <v>0</v>
      </c>
      <c r="X153" s="90">
        <f>0</f>
        <v>0</v>
      </c>
      <c r="Y153" s="95">
        <f ca="1">Calculation!EJ154+Calculation!ES153+'Calculations II'!O153-'Calculations II'!W153</f>
        <v>62.986936390072643</v>
      </c>
      <c r="Z153" s="95">
        <f ca="1">Y153-Sheet1!CT156</f>
        <v>46.956936390072642</v>
      </c>
      <c r="AA153" s="95">
        <f ca="1">Y153+Calculation!DJ154+Calculation!AS154</f>
        <v>73.707867585106271</v>
      </c>
      <c r="AC153" s="95">
        <f>Sheet1!AA155+Sheet1!AB155+BC153</f>
        <v>60.879999999999995</v>
      </c>
      <c r="AD153" s="95">
        <f>Sheet1!AA155+Sheet1!BN155+'Calculations II'!BC153-Calculation!AS153-Calculation!DJ153</f>
        <v>39.727685399024892</v>
      </c>
      <c r="AE153" s="95">
        <f>Sheet1!AA155+Sheet1!AB155+'Calculations II'!BC153-Calculation!AS153-Calculation!DJ153</f>
        <v>50.307685399024891</v>
      </c>
      <c r="AF153" s="95">
        <f ca="1">Sheet1!AA155+Sheet1!BN155+P153+'Calculations II'!BC153+Calculation!AS153+Calculation!DJ153</f>
        <v>63.039250991047737</v>
      </c>
      <c r="AG153" s="95">
        <f ca="1">IF(B153=TODAY(),0,Sheet1!AA155+Sheet1!BN155+'Calculations II'!BC153+'Calculations II'!P153-Sheet1!CT155-BP153)</f>
        <v>36.844936390072633</v>
      </c>
      <c r="AH153" s="95">
        <f ca="1">IF(B153=TODAY(),0,Sheet1!AA155+Sheet1!BN155+'Calculations II'!BC153+'Calculations II'!P153-BP153)</f>
        <v>52.466936390072632</v>
      </c>
      <c r="AI153" s="95">
        <f ca="1">IF(B153=TODAY(),0,BC153+Sheet1!AA155+Calculation!ES153+O153+W153+Sheet1!BN155+Calculation!AS153+Calculation!DJ153-BP153)</f>
        <v>63.039250991047737</v>
      </c>
      <c r="AJ153" s="95"/>
      <c r="AM153" s="91">
        <f t="shared" si="23"/>
        <v>41781</v>
      </c>
      <c r="AN153" s="95">
        <f>Sheet1!BU155</f>
        <v>19.2</v>
      </c>
      <c r="AO153" s="95">
        <f>Sheet1!AA155</f>
        <v>21.9</v>
      </c>
      <c r="AP153" s="95">
        <f t="shared" si="18"/>
        <v>-2.0636499999999982</v>
      </c>
      <c r="AQ153" s="1055">
        <f>((Sheet1!BV155-(Sheet1!BU155-AP153))/(Sheet1!BU155-AP153))</f>
        <v>0.17101250255718095</v>
      </c>
      <c r="AR153" s="95">
        <f t="shared" si="19"/>
        <v>23.963649999999998</v>
      </c>
      <c r="AS153" s="95">
        <f t="shared" si="20"/>
        <v>21.263649999999998</v>
      </c>
      <c r="AT153" s="90">
        <f>Sheet1!BB155</f>
        <v>1.55</v>
      </c>
      <c r="AU153" s="90">
        <f>Sheet1!AS155*GPMtoMGD</f>
        <v>3.4127999999999999E-2</v>
      </c>
      <c r="AV153" s="95">
        <f>Sheet1!AT155</f>
        <v>0</v>
      </c>
      <c r="AW153" s="90">
        <f>Sheet1!AV155*GPMtoMGD</f>
        <v>0.86832000000000009</v>
      </c>
      <c r="AX153" s="90">
        <f>Sheet1!AW155*GPMtoMGD</f>
        <v>1.2941280000000002</v>
      </c>
      <c r="AY153" s="90">
        <f>Sheet1!AX155*GPMtoMGD</f>
        <v>4.3200000000000004E-4</v>
      </c>
      <c r="AZ153" s="90">
        <f>Sheet1!AY155*GPMtoMGD</f>
        <v>0</v>
      </c>
      <c r="BA153" s="90">
        <f>Sheet1!AZ155*GPMtoMGD</f>
        <v>0</v>
      </c>
      <c r="BB153" s="90">
        <f>Sheet1!BP155*GPMtoMGD</f>
        <v>0</v>
      </c>
      <c r="BC153" s="90">
        <f>Sheet1!CS155*GPMtoMGD</f>
        <v>0</v>
      </c>
      <c r="BD153" s="90">
        <f>Sheet1!BO155*GPMtoMGD</f>
        <v>2.8395360000000003</v>
      </c>
      <c r="BE153" s="90">
        <f>Sheet1!BW155*GPMtoMGD</f>
        <v>1.110384</v>
      </c>
      <c r="BF153" s="90">
        <f>Sheet1!CN155*GPMtoMGD</f>
        <v>1.1808000000000001</v>
      </c>
      <c r="BG153" s="90">
        <f>Sheet1!CO155*GPMtoMGD</f>
        <v>0.83217600000000003</v>
      </c>
      <c r="BH153" s="90">
        <f>Sheet1!CP155*GPMtoMGD</f>
        <v>0.76075199999999998</v>
      </c>
      <c r="BI153" s="90">
        <f t="shared" si="24"/>
        <v>2.8395360000000003</v>
      </c>
      <c r="BK153" s="95">
        <f>SUM(AT153:BA153,BE153,Sheet1!BV155,'Calculations II'!BC153,Calculation!AQ153)</f>
        <v>58.164679657172179</v>
      </c>
      <c r="BM153" s="373">
        <f>0</f>
        <v>0</v>
      </c>
      <c r="BN153" s="373">
        <f>0</f>
        <v>0</v>
      </c>
      <c r="BP153" s="95">
        <f>SUM(BM153:BN153,W153,Sheet1!DX155)</f>
        <v>0</v>
      </c>
    </row>
    <row r="154" spans="1:68" s="90" customFormat="1">
      <c r="A154" s="651" t="s">
        <v>8</v>
      </c>
      <c r="B154" s="92">
        <v>41782</v>
      </c>
      <c r="C154" s="93">
        <v>0</v>
      </c>
      <c r="D154" s="95">
        <f>(Sheet1!BQ156-Sheet1!BQ155)*1.385</f>
        <v>5.5399999999998818E-2</v>
      </c>
      <c r="E154" s="30">
        <f>(Sheet1!BR156-Sheet1!BR155)*1.385</f>
        <v>8.3099999999998231E-2</v>
      </c>
      <c r="F154" s="30">
        <f ca="1">IF(B154=TODAY(),0,-(VLOOKUP(Sheet1!CD156,Lookup!$I$4:$J$216,2)-VLOOKUP(Sheet1!CD155,Lookup!$I$4:$J$216,2))/1000000)</f>
        <v>-1.8654648938604015</v>
      </c>
      <c r="G154" s="95">
        <f ca="1">IF(B154=TODAY(),0,-$G$6*(Sheet1!CF156-Sheet1!CF155)*7.48/1000000)</f>
        <v>0.47656201263071124</v>
      </c>
      <c r="H154" s="95">
        <f ca="1">IF(B154=TODAY(),0,-$H$6*(Sheet1!CE156-Sheet1!CE155)*7.48/1000000)</f>
        <v>-4.5118297053794748E-2</v>
      </c>
      <c r="I154" s="95">
        <f ca="1">IF(B154=TODAY(),0,-$I$6*(Sheet1!CG156-Sheet1!CG155)*7.48/1000000)</f>
        <v>6.289483199999997E-2</v>
      </c>
      <c r="J154" s="96" t="s">
        <v>186</v>
      </c>
      <c r="K154" s="95">
        <f ca="1">IF(B154=TODAY(),0,-$K$6*(Sheet1!CH156-Sheet1!CH155)*7.48/1000000)</f>
        <v>9.9949805616876636E-2</v>
      </c>
      <c r="L154" s="96" t="s">
        <v>186</v>
      </c>
      <c r="M154" s="95">
        <f ca="1">IF(B154=TODAY(),0,-$M$6*(Sheet1!CI156-Sheet1!CI155)*7.48/1000000)</f>
        <v>0.35983016856054095</v>
      </c>
      <c r="N154" s="95">
        <f ca="1">IF(B154=TODAY(),0,-$N$6*(Sheet1!CJ156-Sheet1!CJ155)*7.48/1000000)</f>
        <v>-0.13651515986817186</v>
      </c>
      <c r="O154" s="95">
        <f t="shared" ca="1" si="21"/>
        <v>-1.047861531974239</v>
      </c>
      <c r="P154" s="95">
        <f ca="1">O154+Calculation!ES154</f>
        <v>-1.1862437935154269</v>
      </c>
      <c r="Q154" s="90" t="str">
        <f>IF(Sheet1!BQ156&gt;25.75,"spill elevation","-")</f>
        <v>-</v>
      </c>
      <c r="R154" s="90" t="str">
        <f>IF(Sheet1!BQ156&gt;25.75,"spill elevation","-")</f>
        <v>-</v>
      </c>
      <c r="S154" s="90" t="str">
        <f>IF(Sheet1!BR156&gt;25.75,"spill elevation","-")</f>
        <v>-</v>
      </c>
      <c r="T154" s="94">
        <f>IF(Sheet1!DU156=1,Sheet1!AA156-(SUM(AT154:BA154)+BE154),Sheet1!AA156-SUM(AT154:BA154))</f>
        <v>19.534495999999997</v>
      </c>
      <c r="U154" s="94">
        <f>Sheet1!BV156</f>
        <v>24.1</v>
      </c>
      <c r="V154" s="94">
        <f t="shared" si="22"/>
        <v>-4.5655040000000042</v>
      </c>
      <c r="W154" s="94">
        <f>0</f>
        <v>0</v>
      </c>
      <c r="X154" s="90">
        <f>0</f>
        <v>0</v>
      </c>
      <c r="Y154" s="95">
        <f ca="1">Calculation!EJ155+Calculation!ES154+'Calculations II'!O154-'Calculations II'!W154</f>
        <v>59.52375620648457</v>
      </c>
      <c r="Z154" s="95">
        <f ca="1">Y154-Sheet1!CT157</f>
        <v>43.76175620648457</v>
      </c>
      <c r="AA154" s="95">
        <f ca="1">Y154+Calculation!DJ155+Calculation!AS155</f>
        <v>70.641516288683377</v>
      </c>
      <c r="AC154" s="95">
        <f>Sheet1!AA156+Sheet1!AB156+BC154</f>
        <v>60.82</v>
      </c>
      <c r="AD154" s="95">
        <f>Sheet1!AA156+Sheet1!BN156+'Calculations II'!BC154-Calculation!AS154-Calculation!DJ154</f>
        <v>39.17906880496637</v>
      </c>
      <c r="AE154" s="95">
        <f>Sheet1!AA156+Sheet1!AB156+'Calculations II'!BC154-Calculation!AS154-Calculation!DJ154</f>
        <v>50.099068804966372</v>
      </c>
      <c r="AF154" s="95">
        <f ca="1">Sheet1!AA156+Sheet1!BN156+P154+'Calculations II'!BC154+Calculation!AS154+Calculation!DJ154</f>
        <v>59.434687401518204</v>
      </c>
      <c r="AG154" s="95">
        <f ca="1">IF(B154=TODAY(),0,Sheet1!AA156+Sheet1!BN156+'Calculations II'!BC154+'Calculations II'!P154-Sheet1!CT156-BP154)</f>
        <v>32.683756206484574</v>
      </c>
      <c r="AH154" s="95">
        <f ca="1">IF(B154=TODAY(),0,Sheet1!AA156+Sheet1!BN156+'Calculations II'!BC154+'Calculations II'!P154-BP154)</f>
        <v>48.713756206484575</v>
      </c>
      <c r="AI154" s="95">
        <f ca="1">IF(B154=TODAY(),0,BC154+Sheet1!AA156+Calculation!ES154+O154+W154+Sheet1!BN156+Calculation!AS154+Calculation!DJ154-BP154)</f>
        <v>59.434687401518204</v>
      </c>
      <c r="AJ154" s="95"/>
      <c r="AM154" s="91">
        <f t="shared" si="23"/>
        <v>41782</v>
      </c>
      <c r="AN154" s="95">
        <f>Sheet1!BU156</f>
        <v>20</v>
      </c>
      <c r="AO154" s="95">
        <f>Sheet1!AA156</f>
        <v>21.9</v>
      </c>
      <c r="AP154" s="95">
        <f t="shared" si="18"/>
        <v>0.13849999999999704</v>
      </c>
      <c r="AQ154" s="1055">
        <f>((Sheet1!BV156-(Sheet1!BU156-AP154))/(Sheet1!BU156-AP154))</f>
        <v>0.21340281449034554</v>
      </c>
      <c r="AR154" s="95">
        <f t="shared" si="19"/>
        <v>21.761500000000002</v>
      </c>
      <c r="AS154" s="95">
        <f t="shared" si="20"/>
        <v>19.861500000000003</v>
      </c>
      <c r="AT154" s="90">
        <f>Sheet1!BB156</f>
        <v>1.6</v>
      </c>
      <c r="AU154" s="90">
        <f>Sheet1!AS156*GPMtoMGD</f>
        <v>1.6416E-2</v>
      </c>
      <c r="AV154" s="95">
        <f>Sheet1!AT156</f>
        <v>0</v>
      </c>
      <c r="AW154" s="90">
        <f>Sheet1!AV156*GPMtoMGD</f>
        <v>0.34617600000000004</v>
      </c>
      <c r="AX154" s="90">
        <f>Sheet1!AW156*GPMtoMGD</f>
        <v>0.39528000000000002</v>
      </c>
      <c r="AY154" s="90">
        <f>Sheet1!AX156*GPMtoMGD</f>
        <v>7.6319999999999999E-3</v>
      </c>
      <c r="AZ154" s="90">
        <f>Sheet1!AY156*GPMtoMGD</f>
        <v>0</v>
      </c>
      <c r="BA154" s="90">
        <f>Sheet1!AZ156*GPMtoMGD</f>
        <v>0</v>
      </c>
      <c r="BB154" s="90">
        <f>Sheet1!BP156*GPMtoMGD</f>
        <v>0</v>
      </c>
      <c r="BC154" s="90">
        <f>Sheet1!CS156*GPMtoMGD</f>
        <v>0</v>
      </c>
      <c r="BD154" s="90">
        <f>Sheet1!BO156*GPMtoMGD</f>
        <v>1.370736</v>
      </c>
      <c r="BE154" s="90">
        <f>Sheet1!BW156*GPMtoMGD</f>
        <v>1.0363680000000002</v>
      </c>
      <c r="BF154" s="90">
        <f>Sheet1!CN156*GPMtoMGD</f>
        <v>1.1808000000000001</v>
      </c>
      <c r="BG154" s="90">
        <f>Sheet1!CO156*GPMtoMGD</f>
        <v>0.69624000000000008</v>
      </c>
      <c r="BH154" s="90">
        <f>Sheet1!CP156*GPMtoMGD</f>
        <v>0.74592000000000003</v>
      </c>
      <c r="BI154" s="90">
        <f t="shared" si="24"/>
        <v>1.370736</v>
      </c>
      <c r="BK154" s="95">
        <f>SUM(AT154:BA154,BE154,Sheet1!BV156,'Calculations II'!BC154,Calculation!AQ154)</f>
        <v>55.690180329022247</v>
      </c>
      <c r="BM154" s="373">
        <f>0</f>
        <v>0</v>
      </c>
      <c r="BN154" s="373">
        <f>0</f>
        <v>0</v>
      </c>
      <c r="BP154" s="95">
        <f>SUM(BM154:BN154,W154,Sheet1!DX156)</f>
        <v>0</v>
      </c>
    </row>
    <row r="155" spans="1:68" s="90" customFormat="1">
      <c r="A155" s="651" t="s">
        <v>9</v>
      </c>
      <c r="B155" s="92">
        <v>41783</v>
      </c>
      <c r="C155" s="93">
        <v>0</v>
      </c>
      <c r="D155" s="95">
        <f>(Sheet1!BQ157-Sheet1!BQ156)*1.385</f>
        <v>0.92795000000000238</v>
      </c>
      <c r="E155" s="30">
        <f>(Sheet1!BR157-Sheet1!BR156)*1.385</f>
        <v>0.91410000000000025</v>
      </c>
      <c r="F155" s="30">
        <f ca="1">IF(B155=TODAY(),0,-(VLOOKUP(Sheet1!CD157,Lookup!$I$4:$J$216,2)-VLOOKUP(Sheet1!CD156,Lookup!$I$4:$J$216,2))/1000000)</f>
        <v>0.41454775419120493</v>
      </c>
      <c r="G155" s="95">
        <f ca="1">IF(B155=TODAY(),0,-$G$6*(Sheet1!CF157-Sheet1!CF156)*7.48/1000000)</f>
        <v>0.21842425578907643</v>
      </c>
      <c r="H155" s="95">
        <f ca="1">IF(B155=TODAY(),0,-$H$6*(Sheet1!CE157-Sheet1!CE156)*7.48/1000000)</f>
        <v>-3.0078864702530548E-2</v>
      </c>
      <c r="I155" s="95">
        <f ca="1">IF(B155=TODAY(),0,-$I$6*(Sheet1!CG157-Sheet1!CG156)*7.48/1000000)</f>
        <v>5.3909856000000006E-2</v>
      </c>
      <c r="J155" s="96" t="s">
        <v>186</v>
      </c>
      <c r="K155" s="95">
        <f ca="1">IF(B155=TODAY(),0,-$K$6*(Sheet1!CH157-Sheet1!CH156)*7.48/1000000)</f>
        <v>9.3286485242418213E-2</v>
      </c>
      <c r="L155" s="96" t="s">
        <v>186</v>
      </c>
      <c r="M155" s="95">
        <f ca="1">IF(B155=TODAY(),0,-$M$6*(Sheet1!CI157-Sheet1!CI156)*7.48/1000000)</f>
        <v>0.26987262642040577</v>
      </c>
      <c r="N155" s="95">
        <f ca="1">IF(B155=TODAY(),0,-$N$6*(Sheet1!CJ157-Sheet1!CJ156)*7.48/1000000)</f>
        <v>-0.36610883782828091</v>
      </c>
      <c r="O155" s="95">
        <f t="shared" ca="1" si="21"/>
        <v>0.65385327511229385</v>
      </c>
      <c r="P155" s="95">
        <f ca="1">O155+Calculation!ES155</f>
        <v>-1.1453851861242577</v>
      </c>
      <c r="Q155" s="90" t="str">
        <f>IF(Sheet1!BQ157&gt;25.75,"spill elevation","-")</f>
        <v>-</v>
      </c>
      <c r="R155" s="90" t="str">
        <f>IF(Sheet1!BQ157&gt;25.75,"spill elevation","-")</f>
        <v>-</v>
      </c>
      <c r="S155" s="90" t="str">
        <f>IF(Sheet1!BR157&gt;25.75,"spill elevation","-")</f>
        <v>-</v>
      </c>
      <c r="T155" s="94">
        <f>IF(Sheet1!DU157=1,Sheet1!AA157-(SUM(AT155:BA155)+BE155),Sheet1!AA157-SUM(AT155:BA155))</f>
        <v>18.617775999999999</v>
      </c>
      <c r="U155" s="94">
        <f>Sheet1!BV157</f>
        <v>21.8</v>
      </c>
      <c r="V155" s="94">
        <f t="shared" si="22"/>
        <v>-3.1822240000000015</v>
      </c>
      <c r="W155" s="94">
        <f>0</f>
        <v>0</v>
      </c>
      <c r="X155" s="90">
        <f>0</f>
        <v>0</v>
      </c>
      <c r="Y155" s="95">
        <f ca="1">Calculation!EJ156+Calculation!ES155+'Calculations II'!O155-'Calculations II'!W155</f>
        <v>59.724614813875753</v>
      </c>
      <c r="Z155" s="95">
        <f ca="1">Y155-Sheet1!CT158</f>
        <v>42.952614813875755</v>
      </c>
      <c r="AA155" s="95">
        <f ca="1">Y155+Calculation!DJ156+Calculation!AS156</f>
        <v>70.869945075012467</v>
      </c>
      <c r="AC155" s="95">
        <f>Sheet1!AA157+Sheet1!AB157+BC155</f>
        <v>60.71</v>
      </c>
      <c r="AD155" s="95">
        <f>Sheet1!AA157+Sheet1!BN157+'Calculations II'!BC155-Calculation!AS155-Calculation!DJ155</f>
        <v>38.512239917801175</v>
      </c>
      <c r="AE155" s="95">
        <f>Sheet1!AA157+Sheet1!AB157+'Calculations II'!BC155-Calculation!AS155-Calculation!DJ155</f>
        <v>49.59223991780118</v>
      </c>
      <c r="AF155" s="95">
        <f ca="1">Sheet1!AA157+Sheet1!BN157+P155+'Calculations II'!BC155+Calculation!AS155+Calculation!DJ155</f>
        <v>59.602374896074558</v>
      </c>
      <c r="AG155" s="95">
        <f ca="1">IF(B155=TODAY(),0,Sheet1!AA157+Sheet1!BN157+'Calculations II'!BC155+'Calculations II'!P155-Sheet1!CT157-BP155)</f>
        <v>32.722614813875737</v>
      </c>
      <c r="AH155" s="95">
        <f ca="1">IF(B155=TODAY(),0,Sheet1!AA157+Sheet1!BN157+'Calculations II'!BC155+'Calculations II'!P155-BP155)</f>
        <v>48.484614813875737</v>
      </c>
      <c r="AI155" s="95">
        <f ca="1">IF(B155=TODAY(),0,BC155+Sheet1!AA157+Calculation!ES155+O155+W155+Sheet1!BN157+Calculation!AS155+Calculation!DJ155-BP155)</f>
        <v>59.602374896074558</v>
      </c>
      <c r="AJ155" s="95"/>
      <c r="AM155" s="91">
        <f t="shared" si="23"/>
        <v>41783</v>
      </c>
      <c r="AN155" s="95">
        <f>Sheet1!BU157</f>
        <v>19.2</v>
      </c>
      <c r="AO155" s="95">
        <f>Sheet1!AA157</f>
        <v>21.83</v>
      </c>
      <c r="AP155" s="95">
        <f t="shared" si="18"/>
        <v>1.8420500000000026</v>
      </c>
      <c r="AQ155" s="1055">
        <f>((Sheet1!BV157-(Sheet1!BU157-AP155))/(Sheet1!BU157-AP155))</f>
        <v>0.25590867585169946</v>
      </c>
      <c r="AR155" s="95">
        <f t="shared" si="19"/>
        <v>19.987949999999994</v>
      </c>
      <c r="AS155" s="95">
        <f t="shared" si="20"/>
        <v>17.357949999999995</v>
      </c>
      <c r="AT155" s="90">
        <f>Sheet1!BB157</f>
        <v>1.6</v>
      </c>
      <c r="AU155" s="90">
        <f>Sheet1!AS157*GPMtoMGD</f>
        <v>3.168E-2</v>
      </c>
      <c r="AV155" s="95">
        <f>Sheet1!AT157</f>
        <v>0</v>
      </c>
      <c r="AW155" s="90">
        <f>Sheet1!AV157*GPMtoMGD</f>
        <v>0.70272000000000001</v>
      </c>
      <c r="AX155" s="90">
        <f>Sheet1!AW157*GPMtoMGD</f>
        <v>0.87782400000000005</v>
      </c>
      <c r="AY155" s="90">
        <f>Sheet1!AX157*GPMtoMGD</f>
        <v>0</v>
      </c>
      <c r="AZ155" s="90">
        <f>Sheet1!AY157*GPMtoMGD</f>
        <v>0</v>
      </c>
      <c r="BA155" s="90">
        <f>Sheet1!AZ157*GPMtoMGD</f>
        <v>0</v>
      </c>
      <c r="BB155" s="90">
        <f>Sheet1!BP157*GPMtoMGD</f>
        <v>0</v>
      </c>
      <c r="BC155" s="90">
        <f>Sheet1!CS157*GPMtoMGD</f>
        <v>0</v>
      </c>
      <c r="BD155" s="90">
        <f>Sheet1!BO157*GPMtoMGD</f>
        <v>1.5739200000000002</v>
      </c>
      <c r="BE155" s="90">
        <f>Sheet1!BW157*GPMtoMGD</f>
        <v>1.0990080000000002</v>
      </c>
      <c r="BF155" s="90">
        <f>Sheet1!CN157*GPMtoMGD</f>
        <v>1.1808000000000001</v>
      </c>
      <c r="BG155" s="90">
        <f>Sheet1!CO157*GPMtoMGD</f>
        <v>0.73742400000000008</v>
      </c>
      <c r="BH155" s="90">
        <f>Sheet1!CP157*GPMtoMGD</f>
        <v>0.69681599999999999</v>
      </c>
      <c r="BI155" s="90">
        <f t="shared" si="24"/>
        <v>1.5739200000000002</v>
      </c>
      <c r="BK155" s="95">
        <f>SUM(AT155:BA155,BE155,Sheet1!BV157,'Calculations II'!BC155,Calculation!AQ155)</f>
        <v>53.875526888260978</v>
      </c>
      <c r="BM155" s="373">
        <f>0</f>
        <v>0</v>
      </c>
      <c r="BN155" s="373">
        <f>0</f>
        <v>0</v>
      </c>
      <c r="BP155" s="95">
        <f>SUM(BM155:BN155,W155,Sheet1!DX157)</f>
        <v>0</v>
      </c>
    </row>
    <row r="156" spans="1:68" s="90" customFormat="1">
      <c r="A156" s="651" t="s">
        <v>3</v>
      </c>
      <c r="B156" s="92">
        <v>41784</v>
      </c>
      <c r="C156" s="93">
        <v>0</v>
      </c>
      <c r="D156" s="95">
        <f>(Sheet1!BQ158-Sheet1!BQ157)*1.385</f>
        <v>-5.5400000000003738E-2</v>
      </c>
      <c r="E156" s="30">
        <f>(Sheet1!BR158-Sheet1!BR157)*1.385</f>
        <v>-5.5399999999998818E-2</v>
      </c>
      <c r="F156" s="30">
        <f ca="1">IF(B156=TODAY(),0,-(VLOOKUP(Sheet1!CD158,Lookup!$I$4:$J$216,2)-VLOOKUP(Sheet1!CD157,Lookup!$I$4:$J$216,2))/1000000)</f>
        <v>0.10363693854779936</v>
      </c>
      <c r="G156" s="95">
        <f ca="1">IF(B156=TODAY(),0,-$G$6*(Sheet1!CF158-Sheet1!CF157)*7.48/1000000)</f>
        <v>-1.0126942768402625</v>
      </c>
      <c r="H156" s="95">
        <f ca="1">IF(B156=TODAY(),0,-$H$6*(Sheet1!CE158-Sheet1!CE157)*7.48/1000000)</f>
        <v>0</v>
      </c>
      <c r="I156" s="95">
        <f ca="1">IF(B156=TODAY(),0,-$I$6*(Sheet1!CG158-Sheet1!CG157)*7.48/1000000)</f>
        <v>-0.12578966400000002</v>
      </c>
      <c r="J156" s="96" t="s">
        <v>186</v>
      </c>
      <c r="K156" s="95">
        <f ca="1">IF(B156=TODAY(),0,-$K$6*(Sheet1!CH158-Sheet1!CH157)*7.48/1000000)</f>
        <v>-0.21988957235712864</v>
      </c>
      <c r="L156" s="96" t="s">
        <v>186</v>
      </c>
      <c r="M156" s="95">
        <f ca="1">IF(B156=TODAY(),0,-$M$6*(Sheet1!CI158-Sheet1!CI157)*7.48/1000000)</f>
        <v>-0.61171128655291929</v>
      </c>
      <c r="N156" s="95">
        <f ca="1">IF(B156=TODAY(),0,-$N$6*(Sheet1!CJ158-Sheet1!CJ157)*7.48/1000000)</f>
        <v>6.2052345394623676E-2</v>
      </c>
      <c r="O156" s="95">
        <f t="shared" ca="1" si="21"/>
        <v>-1.8043955158078875</v>
      </c>
      <c r="P156" s="95">
        <f ca="1">O156+Calculation!ES156</f>
        <v>-1.6659748162132482</v>
      </c>
      <c r="Q156" s="90" t="str">
        <f>IF(Sheet1!BQ158&gt;25.75,"spill elevation","-")</f>
        <v>-</v>
      </c>
      <c r="R156" s="90" t="str">
        <f>IF(Sheet1!BQ158&gt;25.75,"spill elevation","-")</f>
        <v>-</v>
      </c>
      <c r="S156" s="90" t="str">
        <f>IF(Sheet1!BR158&gt;25.75,"spill elevation","-")</f>
        <v>-</v>
      </c>
      <c r="T156" s="94">
        <f>IF(Sheet1!DU158=1,Sheet1!AA158-(SUM(AT156:BA156)+BE156),Sheet1!AA158-SUM(AT156:BA156))</f>
        <v>18.927136000000001</v>
      </c>
      <c r="U156" s="94">
        <f>Sheet1!BV158</f>
        <v>23.9</v>
      </c>
      <c r="V156" s="94">
        <f t="shared" si="22"/>
        <v>-4.9728639999999977</v>
      </c>
      <c r="W156" s="94">
        <f>0</f>
        <v>0</v>
      </c>
      <c r="X156" s="90">
        <f>0</f>
        <v>0</v>
      </c>
      <c r="Y156" s="95">
        <f ca="1">Calculation!EJ157+Calculation!ES156+'Calculations II'!O156-'Calculations II'!W156</f>
        <v>59.204025183786747</v>
      </c>
      <c r="Z156" s="95">
        <f ca="1">Y156-Sheet1!CT159</f>
        <v>43.522025183786745</v>
      </c>
      <c r="AA156" s="95">
        <f ca="1">Y156+Calculation!DJ157+Calculation!AS157</f>
        <v>70.319374914762918</v>
      </c>
      <c r="AC156" s="95">
        <f>Sheet1!AA158+Sheet1!AB158+BC156</f>
        <v>60.870000000000005</v>
      </c>
      <c r="AD156" s="95">
        <f>Sheet1!AA158+Sheet1!BN158+'Calculations II'!BC156-Calculation!AS156-Calculation!DJ156</f>
        <v>38.62466973886329</v>
      </c>
      <c r="AE156" s="95">
        <f>Sheet1!AA158+Sheet1!AB158+'Calculations II'!BC156-Calculation!AS156-Calculation!DJ156</f>
        <v>49.724669738863298</v>
      </c>
      <c r="AF156" s="95">
        <f ca="1">Sheet1!AA158+Sheet1!BN158+P156+'Calculations II'!BC156+Calculation!AS156+Calculation!DJ156</f>
        <v>59.249355444923452</v>
      </c>
      <c r="AG156" s="95">
        <f ca="1">IF(B156=TODAY(),0,Sheet1!AA158+Sheet1!BN158+'Calculations II'!BC156+'Calculations II'!P156-Sheet1!CT158-BP156)</f>
        <v>31.332025183786747</v>
      </c>
      <c r="AH156" s="95">
        <f ca="1">IF(B156=TODAY(),0,Sheet1!AA158+Sheet1!BN158+'Calculations II'!BC156+'Calculations II'!P156-BP156)</f>
        <v>48.104025183786746</v>
      </c>
      <c r="AI156" s="95">
        <f ca="1">IF(B156=TODAY(),0,BC156+Sheet1!AA158+Calculation!ES156+O156+W156+Sheet1!BN158+Calculation!AS156+Calculation!DJ156-BP156)</f>
        <v>59.249355444923467</v>
      </c>
      <c r="AJ156" s="95"/>
      <c r="AM156" s="91">
        <f t="shared" si="23"/>
        <v>41784</v>
      </c>
      <c r="AN156" s="95">
        <f>Sheet1!BU158</f>
        <v>19</v>
      </c>
      <c r="AO156" s="95">
        <f>Sheet1!AA158</f>
        <v>21.87</v>
      </c>
      <c r="AP156" s="95">
        <f t="shared" si="18"/>
        <v>-0.11080000000000256</v>
      </c>
      <c r="AQ156" s="1055">
        <f>((Sheet1!BV158-(Sheet1!BU158-AP156))/(Sheet1!BU158-AP156))</f>
        <v>0.25060175398204143</v>
      </c>
      <c r="AR156" s="95">
        <f t="shared" si="19"/>
        <v>21.980800000000002</v>
      </c>
      <c r="AS156" s="95">
        <f t="shared" si="20"/>
        <v>19.110800000000001</v>
      </c>
      <c r="AT156" s="90">
        <f>Sheet1!BB158</f>
        <v>1.61</v>
      </c>
      <c r="AU156" s="90">
        <f>Sheet1!AS158*GPMtoMGD</f>
        <v>1.6847999999999998E-2</v>
      </c>
      <c r="AV156" s="95">
        <f>Sheet1!AT158</f>
        <v>0</v>
      </c>
      <c r="AW156" s="90">
        <f>Sheet1!AV158*GPMtoMGD</f>
        <v>0.54561599999999999</v>
      </c>
      <c r="AX156" s="90">
        <f>Sheet1!AW158*GPMtoMGD</f>
        <v>0.77040000000000008</v>
      </c>
      <c r="AY156" s="90">
        <f>Sheet1!AX158*GPMtoMGD</f>
        <v>0</v>
      </c>
      <c r="AZ156" s="90">
        <f>Sheet1!AY158*GPMtoMGD</f>
        <v>0</v>
      </c>
      <c r="BA156" s="90">
        <f>Sheet1!AZ158*GPMtoMGD</f>
        <v>0</v>
      </c>
      <c r="BB156" s="90">
        <f>Sheet1!BP158*GPMtoMGD</f>
        <v>0</v>
      </c>
      <c r="BC156" s="90">
        <f>Sheet1!CS158*GPMtoMGD</f>
        <v>0</v>
      </c>
      <c r="BD156" s="90">
        <f>Sheet1!BO158*GPMtoMGD</f>
        <v>2.6436960000000003</v>
      </c>
      <c r="BE156" s="90">
        <f>Sheet1!BW158*GPMtoMGD</f>
        <v>1.0552319999999999</v>
      </c>
      <c r="BF156" s="90">
        <f>Sheet1!CN158*GPMtoMGD</f>
        <v>1.1808000000000001</v>
      </c>
      <c r="BG156" s="90">
        <f>Sheet1!CO158*GPMtoMGD</f>
        <v>0.68659200000000009</v>
      </c>
      <c r="BH156" s="90">
        <f>Sheet1!CP158*GPMtoMGD</f>
        <v>0.69364800000000004</v>
      </c>
      <c r="BI156" s="90">
        <f t="shared" si="24"/>
        <v>2.6436960000000003</v>
      </c>
      <c r="BK156" s="95">
        <f>SUM(AT156:BA156,BE156,Sheet1!BV158,'Calculations II'!BC156,Calculation!AQ156)</f>
        <v>55.755238857142857</v>
      </c>
      <c r="BM156" s="373">
        <f>0</f>
        <v>0</v>
      </c>
      <c r="BN156" s="373">
        <f>0</f>
        <v>0</v>
      </c>
      <c r="BP156" s="95">
        <f>SUM(BM156:BN156,W156,Sheet1!DX158)</f>
        <v>0</v>
      </c>
    </row>
    <row r="157" spans="1:68" s="90" customFormat="1">
      <c r="A157" s="651" t="s">
        <v>4</v>
      </c>
      <c r="B157" s="92">
        <v>41785</v>
      </c>
      <c r="C157" s="93">
        <v>0</v>
      </c>
      <c r="D157" s="95">
        <f>(Sheet1!BQ159-Sheet1!BQ158)*1.385</f>
        <v>1.0110500000000007</v>
      </c>
      <c r="E157" s="30">
        <f>(Sheet1!BR159-Sheet1!BR158)*1.385</f>
        <v>1.0110500000000007</v>
      </c>
      <c r="F157" s="30">
        <f ca="1">IF(B157=TODAY(),0,-(VLOOKUP(Sheet1!CD159,Lookup!$I$4:$J$216,2)-VLOOKUP(Sheet1!CD158,Lookup!$I$4:$J$216,2))/1000000)</f>
        <v>0</v>
      </c>
      <c r="G157" s="95">
        <f ca="1">IF(B157=TODAY(),0,-$G$6*(Sheet1!CF159-Sheet1!CF158)*7.48/1000000)</f>
        <v>0.5559890147358304</v>
      </c>
      <c r="H157" s="95">
        <f ca="1">IF(B157=TODAY(),0,-$H$6*(Sheet1!CE159-Sheet1!CE158)*7.48/1000000)</f>
        <v>3.0078864702530548E-2</v>
      </c>
      <c r="I157" s="95">
        <f ca="1">IF(B157=TODAY(),0,-$I$6*(Sheet1!CG159-Sheet1!CG158)*7.48/1000000)</f>
        <v>5.8402344000000037E-2</v>
      </c>
      <c r="J157" s="96" t="s">
        <v>186</v>
      </c>
      <c r="K157" s="95">
        <f ca="1">IF(B157=TODAY(),0,-$K$6*(Sheet1!CH159-Sheet1!CH158)*7.48/1000000)</f>
        <v>9.9949805616876636E-2</v>
      </c>
      <c r="L157" s="96" t="s">
        <v>186</v>
      </c>
      <c r="M157" s="95">
        <f ca="1">IF(B157=TODAY(),0,-$M$6*(Sheet1!CI159-Sheet1!CI158)*7.48/1000000)</f>
        <v>0.28786413484843237</v>
      </c>
      <c r="N157" s="95">
        <f ca="1">IF(B157=TODAY(),0,-$N$6*(Sheet1!CJ159-Sheet1!CJ158)*7.48/1000000)</f>
        <v>-6.2052345394623676E-2</v>
      </c>
      <c r="O157" s="95">
        <f t="shared" ca="1" si="21"/>
        <v>0.97023181850904616</v>
      </c>
      <c r="P157" s="95">
        <f ca="1">O157+Calculation!ES157</f>
        <v>-1.1064374760983695</v>
      </c>
      <c r="Q157" s="90" t="str">
        <f>IF(Sheet1!BQ159&gt;25.75,"spill elevation","-")</f>
        <v>-</v>
      </c>
      <c r="R157" s="90" t="str">
        <f>IF(Sheet1!BQ159&gt;25.75,"spill elevation","-")</f>
        <v>-</v>
      </c>
      <c r="S157" s="90" t="str">
        <f>IF(Sheet1!BR159&gt;25.75,"spill elevation","-")</f>
        <v>-</v>
      </c>
      <c r="T157" s="94">
        <f>IF(Sheet1!DU159=1,Sheet1!AA159-(SUM(AT157:BA157)+BE157),Sheet1!AA159-SUM(AT157:BA157))</f>
        <v>18.605840000000001</v>
      </c>
      <c r="U157" s="94">
        <f>Sheet1!BV159</f>
        <v>21.7</v>
      </c>
      <c r="V157" s="94">
        <f t="shared" si="22"/>
        <v>-3.0941599999999987</v>
      </c>
      <c r="W157" s="94">
        <f>0</f>
        <v>0</v>
      </c>
      <c r="X157" s="90">
        <f>0</f>
        <v>0</v>
      </c>
      <c r="Y157" s="95">
        <f ca="1">Calculation!EJ158+Calculation!ES157+'Calculations II'!O157-'Calculations II'!W157</f>
        <v>59.743562523901637</v>
      </c>
      <c r="Z157" s="95">
        <f ca="1">Y157-Sheet1!CT160</f>
        <v>42.838562523901636</v>
      </c>
      <c r="AA157" s="95">
        <f ca="1">Y157+Calculation!DJ158+Calculation!AS158</f>
        <v>70.869106698037356</v>
      </c>
      <c r="AC157" s="95">
        <f>Sheet1!AA159+Sheet1!AB159+BC157</f>
        <v>60.87</v>
      </c>
      <c r="AD157" s="95">
        <f>Sheet1!AA159+Sheet1!BN159+'Calculations II'!BC157-Calculation!AS157-Calculation!DJ157</f>
        <v>38.68465026902382</v>
      </c>
      <c r="AE157" s="95">
        <f>Sheet1!AA159+Sheet1!AB159+'Calculations II'!BC157-Calculation!AS157-Calculation!DJ157</f>
        <v>49.754650269023827</v>
      </c>
      <c r="AF157" s="95">
        <f ca="1">Sheet1!AA159+Sheet1!BN159+P157+'Calculations II'!BC157+Calculation!AS157+Calculation!DJ157</f>
        <v>59.808912254877796</v>
      </c>
      <c r="AG157" s="95">
        <f ca="1">IF(B157=TODAY(),0,Sheet1!AA159+Sheet1!BN159+'Calculations II'!BC157+'Calculations II'!P157-Sheet1!CT159-BP157)</f>
        <v>33.011562523901624</v>
      </c>
      <c r="AH157" s="95">
        <f ca="1">IF(B157=TODAY(),0,Sheet1!AA159+Sheet1!BN159+'Calculations II'!BC157+'Calculations II'!P157-BP157)</f>
        <v>48.693562523901626</v>
      </c>
      <c r="AI157" s="95">
        <f ca="1">IF(B157=TODAY(),0,BC157+Sheet1!AA159+Calculation!ES157+O157+W157+Sheet1!BN159+Calculation!AS157+Calculation!DJ157-BP157)</f>
        <v>59.808912254877796</v>
      </c>
      <c r="AJ157" s="95"/>
      <c r="AM157" s="91">
        <f t="shared" si="23"/>
        <v>41785</v>
      </c>
      <c r="AN157" s="95">
        <f>Sheet1!BU159</f>
        <v>19</v>
      </c>
      <c r="AO157" s="95">
        <f>Sheet1!AA159</f>
        <v>21.9</v>
      </c>
      <c r="AP157" s="95">
        <f t="shared" si="18"/>
        <v>2.0221000000000013</v>
      </c>
      <c r="AQ157" s="1055">
        <f>((Sheet1!BV159-(Sheet1!BU159-AP157))/(Sheet1!BU159-AP157))</f>
        <v>0.27813216004335056</v>
      </c>
      <c r="AR157" s="95">
        <f t="shared" si="19"/>
        <v>19.877899999999997</v>
      </c>
      <c r="AS157" s="95">
        <f t="shared" si="20"/>
        <v>16.977899999999998</v>
      </c>
      <c r="AT157" s="90">
        <f>Sheet1!BB159</f>
        <v>1.6</v>
      </c>
      <c r="AU157" s="90">
        <f>Sheet1!AS159*GPMtoMGD</f>
        <v>2.4768000000000002E-2</v>
      </c>
      <c r="AV157" s="95">
        <f>Sheet1!AT159</f>
        <v>0</v>
      </c>
      <c r="AW157" s="90">
        <f>Sheet1!AV159*GPMtoMGD</f>
        <v>0.72374400000000005</v>
      </c>
      <c r="AX157" s="90">
        <f>Sheet1!AW159*GPMtoMGD</f>
        <v>0.94521600000000006</v>
      </c>
      <c r="AY157" s="90">
        <f>Sheet1!AX159*GPMtoMGD</f>
        <v>4.3200000000000004E-4</v>
      </c>
      <c r="AZ157" s="90">
        <f>Sheet1!AY159*GPMtoMGD</f>
        <v>0</v>
      </c>
      <c r="BA157" s="90">
        <f>Sheet1!AZ159*GPMtoMGD</f>
        <v>0</v>
      </c>
      <c r="BB157" s="90">
        <f>Sheet1!BP159*GPMtoMGD</f>
        <v>0.11520000000000001</v>
      </c>
      <c r="BC157" s="90">
        <f>Sheet1!CS159*GPMtoMGD</f>
        <v>0</v>
      </c>
      <c r="BD157" s="90">
        <f>Sheet1!BO159*GPMtoMGD</f>
        <v>1.5353280000000002</v>
      </c>
      <c r="BE157" s="90">
        <f>Sheet1!BW159*GPMtoMGD</f>
        <v>0.80193599999999998</v>
      </c>
      <c r="BF157" s="90">
        <f>Sheet1!CN159*GPMtoMGD</f>
        <v>1.1808000000000001</v>
      </c>
      <c r="BG157" s="90">
        <f>Sheet1!CO159*GPMtoMGD</f>
        <v>0.76536000000000004</v>
      </c>
      <c r="BH157" s="90">
        <f>Sheet1!CP159*GPMtoMGD</f>
        <v>0.72633599999999998</v>
      </c>
      <c r="BI157" s="90">
        <f t="shared" si="24"/>
        <v>1.6505280000000002</v>
      </c>
      <c r="BK157" s="95">
        <f>SUM(AT157:BA157,BE157,Sheet1!BV159,'Calculations II'!BC157,Calculation!AQ157)</f>
        <v>53.653205915449647</v>
      </c>
      <c r="BM157" s="373">
        <f>0</f>
        <v>0</v>
      </c>
      <c r="BN157" s="373">
        <f>0</f>
        <v>0</v>
      </c>
      <c r="BP157" s="95">
        <f>SUM(BM157:BN157,W157,Sheet1!DX159)</f>
        <v>0</v>
      </c>
    </row>
    <row r="158" spans="1:68" s="90" customFormat="1">
      <c r="A158" s="651" t="s">
        <v>5</v>
      </c>
      <c r="B158" s="92">
        <v>41786</v>
      </c>
      <c r="C158" s="93">
        <v>0</v>
      </c>
      <c r="D158" s="95">
        <f>(Sheet1!BQ160-Sheet1!BQ159)*1.385</f>
        <v>-4.1549999999996652E-2</v>
      </c>
      <c r="E158" s="30">
        <f>(Sheet1!BR160-Sheet1!BR159)*1.385</f>
        <v>-4.1550000000001572E-2</v>
      </c>
      <c r="F158" s="30">
        <f ca="1">IF(B158=TODAY(),0,-(VLOOKUP(Sheet1!CD160,Lookup!$I$4:$J$216,2)-VLOOKUP(Sheet1!CD159,Lookup!$I$4:$J$216,2))/1000000)</f>
        <v>-0.20727387709559872</v>
      </c>
      <c r="G158" s="95">
        <f ca="1">IF(B158=TODAY(),0,-$G$6*(Sheet1!CF160-Sheet1!CF159)*7.48/1000000)</f>
        <v>-7.9427002105119021E-2</v>
      </c>
      <c r="H158" s="95">
        <f ca="1">IF(B158=TODAY(),0,-$H$6*(Sheet1!CE160-Sheet1!CE159)*7.48/1000000)</f>
        <v>4.5118297053794748E-2</v>
      </c>
      <c r="I158" s="95">
        <f ca="1">IF(B158=TODAY(),0,-$I$6*(Sheet1!CG160-Sheet1!CG159)*7.48/1000000)</f>
        <v>8.0864783999999995E-2</v>
      </c>
      <c r="J158" s="96" t="s">
        <v>186</v>
      </c>
      <c r="K158" s="95">
        <f ca="1">IF(B158=TODAY(),0,-$K$6*(Sheet1!CH160-Sheet1!CH159)*7.48/1000000)</f>
        <v>0.13992972786362737</v>
      </c>
      <c r="L158" s="96" t="s">
        <v>186</v>
      </c>
      <c r="M158" s="95">
        <f ca="1">IF(B158=TODAY(),0,-$M$6*(Sheet1!CI160-Sheet1!CI159)*7.48/1000000)</f>
        <v>0.37782167698856822</v>
      </c>
      <c r="N158" s="95">
        <f ca="1">IF(B158=TODAY(),0,-$N$6*(Sheet1!CJ160-Sheet1!CJ159)*7.48/1000000)</f>
        <v>0.14272039440763412</v>
      </c>
      <c r="O158" s="95">
        <f t="shared" ca="1" si="21"/>
        <v>0.49975400111290669</v>
      </c>
      <c r="P158" s="95">
        <f ca="1">O158+Calculation!ES158</f>
        <v>0.63821955182812962</v>
      </c>
      <c r="Q158" s="90" t="str">
        <f>IF(Sheet1!BQ160&gt;25.75,"spill elevation","-")</f>
        <v>-</v>
      </c>
      <c r="R158" s="90" t="str">
        <f>IF(Sheet1!BQ160&gt;25.75,"spill elevation","-")</f>
        <v>-</v>
      </c>
      <c r="S158" s="90" t="str">
        <f>IF(Sheet1!BR160&gt;25.75,"spill elevation","-")</f>
        <v>-</v>
      </c>
      <c r="T158" s="94">
        <f>IF(Sheet1!DU160=1,Sheet1!AA160-(SUM(AT158:BA158)+BE158),Sheet1!AA160-SUM(AT158:BA158))</f>
        <v>19.061456</v>
      </c>
      <c r="U158" s="94">
        <f>Sheet1!BV160</f>
        <v>24</v>
      </c>
      <c r="V158" s="94">
        <f t="shared" si="22"/>
        <v>-4.9385440000000003</v>
      </c>
      <c r="W158" s="94">
        <f>0</f>
        <v>0</v>
      </c>
      <c r="X158" s="90">
        <f>0</f>
        <v>0</v>
      </c>
      <c r="Y158" s="95">
        <f ca="1">Calculation!EJ159+Calculation!ES158+'Calculations II'!O158-'Calculations II'!W158</f>
        <v>61.458219551828122</v>
      </c>
      <c r="Z158" s="95">
        <f ca="1">Y158-Sheet1!CT161</f>
        <v>44.455219551828122</v>
      </c>
      <c r="AA158" s="95">
        <f ca="1">Y158+Calculation!DJ159+Calculation!AS159</f>
        <v>72.576023804966738</v>
      </c>
      <c r="AC158" s="95">
        <f>Sheet1!AA160+Sheet1!AB160+BC158</f>
        <v>60.85</v>
      </c>
      <c r="AD158" s="95">
        <f>Sheet1!AA160+Sheet1!BN160+'Calculations II'!BC158-Calculation!AS158-Calculation!DJ158</f>
        <v>38.674455825864271</v>
      </c>
      <c r="AE158" s="95">
        <f>Sheet1!AA160+Sheet1!AB160+'Calculations II'!BC158-Calculation!AS158-Calculation!DJ158</f>
        <v>49.724455825864275</v>
      </c>
      <c r="AF158" s="95">
        <f ca="1">Sheet1!AA160+Sheet1!BN160+P158+'Calculations II'!BC158+Calculation!AS158+Calculation!DJ158</f>
        <v>61.563763725963852</v>
      </c>
      <c r="AG158" s="95">
        <f ca="1">IF(B158=TODAY(),0,Sheet1!AA160+Sheet1!BN160+'Calculations II'!BC158+'Calculations II'!P158-Sheet1!CT160-BP158)</f>
        <v>33.533219551828125</v>
      </c>
      <c r="AH158" s="95">
        <f ca="1">IF(B158=TODAY(),0,Sheet1!AA160+Sheet1!BN160+'Calculations II'!BC158+'Calculations II'!P158-BP158)</f>
        <v>50.438219551828126</v>
      </c>
      <c r="AI158" s="95">
        <f ca="1">IF(B158=TODAY(),0,BC158+Sheet1!AA160+Calculation!ES158+O158+W158+Sheet1!BN160+Calculation!AS158+Calculation!DJ158-BP158)</f>
        <v>61.563763725963852</v>
      </c>
      <c r="AJ158" s="95"/>
      <c r="AM158" s="91">
        <f t="shared" si="23"/>
        <v>41786</v>
      </c>
      <c r="AN158" s="95">
        <f>Sheet1!BU160</f>
        <v>19.2</v>
      </c>
      <c r="AO158" s="95">
        <f>Sheet1!AA160</f>
        <v>21.9</v>
      </c>
      <c r="AP158" s="95">
        <f t="shared" si="18"/>
        <v>-8.3099999999998231E-2</v>
      </c>
      <c r="AQ158" s="1055">
        <f>((Sheet1!BV160-(Sheet1!BU160-AP158))/(Sheet1!BU160-AP158))</f>
        <v>0.24461315867262023</v>
      </c>
      <c r="AR158" s="95">
        <f t="shared" si="19"/>
        <v>21.983099999999997</v>
      </c>
      <c r="AS158" s="95">
        <f t="shared" si="20"/>
        <v>19.283099999999997</v>
      </c>
      <c r="AT158" s="90">
        <f>Sheet1!BB160</f>
        <v>1.6</v>
      </c>
      <c r="AU158" s="90">
        <f>Sheet1!AS160*GPMtoMGD</f>
        <v>2.5344000000000002E-2</v>
      </c>
      <c r="AV158" s="95">
        <f>Sheet1!AT160</f>
        <v>0</v>
      </c>
      <c r="AW158" s="90">
        <f>Sheet1!AV160*GPMtoMGD</f>
        <v>0.51537599999999995</v>
      </c>
      <c r="AX158" s="90">
        <f>Sheet1!AW160*GPMtoMGD</f>
        <v>0.69364800000000004</v>
      </c>
      <c r="AY158" s="90">
        <f>Sheet1!AX160*GPMtoMGD</f>
        <v>4.176E-3</v>
      </c>
      <c r="AZ158" s="90">
        <f>Sheet1!AY160*GPMtoMGD</f>
        <v>0</v>
      </c>
      <c r="BA158" s="90">
        <f>Sheet1!AZ160*GPMtoMGD</f>
        <v>0</v>
      </c>
      <c r="BB158" s="90">
        <f>Sheet1!BP160*GPMtoMGD</f>
        <v>0</v>
      </c>
      <c r="BC158" s="90">
        <f>Sheet1!CS160*GPMtoMGD</f>
        <v>0</v>
      </c>
      <c r="BD158" s="90">
        <f>Sheet1!BO160*GPMtoMGD</f>
        <v>1.3929119999999999</v>
      </c>
      <c r="BE158" s="90">
        <f>Sheet1!BW160*GPMtoMGD</f>
        <v>1.0471680000000001</v>
      </c>
      <c r="BF158" s="90">
        <f>Sheet1!CN160*GPMtoMGD</f>
        <v>1.1808000000000001</v>
      </c>
      <c r="BG158" s="90">
        <f>Sheet1!CO160*GPMtoMGD</f>
        <v>0.71640000000000004</v>
      </c>
      <c r="BH158" s="90">
        <f>Sheet1!CP160*GPMtoMGD</f>
        <v>0.778752</v>
      </c>
      <c r="BI158" s="90">
        <f t="shared" si="24"/>
        <v>1.3929119999999999</v>
      </c>
      <c r="BK158" s="95">
        <f>SUM(AT158:BA158,BE158,Sheet1!BV160,'Calculations II'!BC158,Calculation!AQ158)</f>
        <v>55.714265137003849</v>
      </c>
      <c r="BM158" s="373">
        <f>0</f>
        <v>0</v>
      </c>
      <c r="BN158" s="373">
        <f>0</f>
        <v>0</v>
      </c>
      <c r="BP158" s="95">
        <f>SUM(BM158:BN158,W158,Sheet1!DX160)</f>
        <v>0</v>
      </c>
    </row>
    <row r="159" spans="1:68" s="90" customFormat="1">
      <c r="A159" s="651" t="s">
        <v>6</v>
      </c>
      <c r="B159" s="92">
        <v>41787</v>
      </c>
      <c r="C159" s="93">
        <v>0</v>
      </c>
      <c r="D159" s="95">
        <f>(Sheet1!BQ161-Sheet1!BQ160)*1.385</f>
        <v>-1.4958000000000025</v>
      </c>
      <c r="E159" s="30">
        <f>(Sheet1!BR161-Sheet1!BR160)*1.385</f>
        <v>-1.5096499999999997</v>
      </c>
      <c r="F159" s="30">
        <f ca="1">IF(B159=TODAY(),0,-(VLOOKUP(Sheet1!CD161,Lookup!$I$4:$J$216,2)-VLOOKUP(Sheet1!CD160,Lookup!$I$4:$J$216,2))/1000000)</f>
        <v>-0.31091081564340556</v>
      </c>
      <c r="G159" s="95">
        <f ca="1">IF(B159=TODAY(),0,-$G$6*(Sheet1!CF161-Sheet1!CF160)*7.48/1000000)</f>
        <v>-0.35742150947303314</v>
      </c>
      <c r="H159" s="95">
        <f ca="1">IF(B159=TODAY(),0,-$H$6*(Sheet1!CE161-Sheet1!CE160)*7.48/1000000)</f>
        <v>3.0078864702530548E-2</v>
      </c>
      <c r="I159" s="95">
        <f ca="1">IF(B159=TODAY(),0,-$I$6*(Sheet1!CG161-Sheet1!CG160)*7.48/1000000)</f>
        <v>-0.12668816159999996</v>
      </c>
      <c r="J159" s="96" t="s">
        <v>186</v>
      </c>
      <c r="K159" s="95">
        <f ca="1">IF(B159=TODAY(),0,-$K$6*(Sheet1!CH161-Sheet1!CH160)*7.48/1000000)</f>
        <v>-0.21322625198267023</v>
      </c>
      <c r="L159" s="96" t="s">
        <v>186</v>
      </c>
      <c r="M159" s="95">
        <f ca="1">IF(B159=TODAY(),0,-$M$6*(Sheet1!CI161-Sheet1!CI160)*7.48/1000000)</f>
        <v>-0.66568581183700071</v>
      </c>
      <c r="N159" s="95">
        <f ca="1">IF(B159=TODAY(),0,-$N$6*(Sheet1!CJ161-Sheet1!CJ160)*7.48/1000000)</f>
        <v>-0.11169422171032285</v>
      </c>
      <c r="O159" s="95">
        <f t="shared" ca="1" si="21"/>
        <v>-1.7555479075439018</v>
      </c>
      <c r="P159" s="95">
        <f ca="1">O159+Calculation!ES159</f>
        <v>1.2899189277866965</v>
      </c>
      <c r="Q159" s="90" t="str">
        <f>IF(Sheet1!BQ161&gt;25.75,"spill elevation","-")</f>
        <v>-</v>
      </c>
      <c r="R159" s="90" t="str">
        <f>IF(Sheet1!BQ161&gt;25.75,"spill elevation","-")</f>
        <v>-</v>
      </c>
      <c r="S159" s="90" t="str">
        <f>IF(Sheet1!BR161&gt;25.75,"spill elevation","-")</f>
        <v>-</v>
      </c>
      <c r="T159" s="94">
        <f>IF(Sheet1!DU161=1,Sheet1!AA161-(SUM(AT159:BA159)+BE159),Sheet1!AA161-SUM(AT159:BA159))</f>
        <v>18.92032</v>
      </c>
      <c r="U159" s="94">
        <f>Sheet1!BV161</f>
        <v>26.9</v>
      </c>
      <c r="V159" s="94">
        <f t="shared" si="22"/>
        <v>-7.9796799999999983</v>
      </c>
      <c r="W159" s="94">
        <f>0</f>
        <v>0</v>
      </c>
      <c r="X159" s="90">
        <f>0</f>
        <v>0</v>
      </c>
      <c r="Y159" s="95">
        <f ca="1">Calculation!EJ160+Calculation!ES159+'Calculations II'!O159-'Calculations II'!W159</f>
        <v>61.949918927786698</v>
      </c>
      <c r="Z159" s="95">
        <f ca="1">Y159-Sheet1!CT162</f>
        <v>45.309918927786697</v>
      </c>
      <c r="AA159" s="95">
        <f ca="1">Y159+Calculation!DJ160+Calculation!AS160</f>
        <v>73.080094005026652</v>
      </c>
      <c r="AC159" s="95">
        <f>Sheet1!AA161+Sheet1!AB161+BC159</f>
        <v>60.819999999999993</v>
      </c>
      <c r="AD159" s="95">
        <f>Sheet1!AA161+Sheet1!BN161+'Calculations II'!BC159-Calculation!AS159-Calculation!DJ159</f>
        <v>38.622195746861387</v>
      </c>
      <c r="AE159" s="95">
        <f>Sheet1!AA161+Sheet1!AB161+'Calculations II'!BC159-Calculation!AS159-Calculation!DJ159</f>
        <v>49.702195746861385</v>
      </c>
      <c r="AF159" s="95">
        <f ca="1">Sheet1!AA161+Sheet1!BN161+P159+'Calculations II'!BC159+Calculation!AS159+Calculation!DJ159</f>
        <v>62.147723180925297</v>
      </c>
      <c r="AG159" s="95">
        <f ca="1">IF(B159=TODAY(),0,Sheet1!AA161+Sheet1!BN161+'Calculations II'!BC159+'Calculations II'!P159-Sheet1!CT161-BP159)</f>
        <v>34.026918927786689</v>
      </c>
      <c r="AH159" s="95">
        <f ca="1">IF(B159=TODAY(),0,Sheet1!AA161+Sheet1!BN161+'Calculations II'!BC159+'Calculations II'!P159-BP159)</f>
        <v>51.029918927786689</v>
      </c>
      <c r="AI159" s="95">
        <f ca="1">IF(B159=TODAY(),0,BC159+Sheet1!AA161+Calculation!ES159+O159+W159+Sheet1!BN161+Calculation!AS159+Calculation!DJ159-BP159)</f>
        <v>62.147723180925304</v>
      </c>
      <c r="AJ159" s="95"/>
      <c r="AM159" s="91">
        <f t="shared" si="23"/>
        <v>41787</v>
      </c>
      <c r="AN159" s="95">
        <f>Sheet1!BU161</f>
        <v>19</v>
      </c>
      <c r="AO159" s="95">
        <f>Sheet1!AA161</f>
        <v>21.84</v>
      </c>
      <c r="AP159" s="95">
        <f t="shared" si="18"/>
        <v>-3.0054500000000024</v>
      </c>
      <c r="AQ159" s="1055">
        <f>((Sheet1!BV161-(Sheet1!BU161-AP159))/(Sheet1!BU161-AP159))</f>
        <v>0.22242444485343379</v>
      </c>
      <c r="AR159" s="95">
        <f t="shared" si="19"/>
        <v>24.845450000000003</v>
      </c>
      <c r="AS159" s="95">
        <f t="shared" si="20"/>
        <v>22.005450000000003</v>
      </c>
      <c r="AT159" s="90">
        <f>Sheet1!BB161</f>
        <v>1.61</v>
      </c>
      <c r="AU159" s="90">
        <f>Sheet1!AS161*GPMtoMGD</f>
        <v>1.584E-2</v>
      </c>
      <c r="AV159" s="95">
        <f>Sheet1!AT161</f>
        <v>0</v>
      </c>
      <c r="AW159" s="90">
        <f>Sheet1!AV161*GPMtoMGD</f>
        <v>0.55944000000000005</v>
      </c>
      <c r="AX159" s="90">
        <f>Sheet1!AW161*GPMtoMGD</f>
        <v>0.73051200000000005</v>
      </c>
      <c r="AY159" s="90">
        <f>Sheet1!AX161*GPMtoMGD</f>
        <v>3.8880000000000004E-3</v>
      </c>
      <c r="AZ159" s="90">
        <f>Sheet1!AY161*GPMtoMGD</f>
        <v>0</v>
      </c>
      <c r="BA159" s="90">
        <f>Sheet1!AZ161*GPMtoMGD</f>
        <v>0</v>
      </c>
      <c r="BB159" s="90">
        <f>Sheet1!BP161*GPMtoMGD</f>
        <v>0</v>
      </c>
      <c r="BC159" s="90">
        <f>Sheet1!CS161*GPMtoMGD</f>
        <v>0</v>
      </c>
      <c r="BD159" s="90">
        <f>Sheet1!BO161*GPMtoMGD</f>
        <v>2.8160639999999999</v>
      </c>
      <c r="BE159" s="90">
        <f>Sheet1!BW161*GPMtoMGD</f>
        <v>1.0234080000000001</v>
      </c>
      <c r="BF159" s="90">
        <f>Sheet1!CN161*GPMtoMGD</f>
        <v>1.1808000000000001</v>
      </c>
      <c r="BG159" s="90">
        <f>Sheet1!CO161*GPMtoMGD</f>
        <v>0.78883199999999998</v>
      </c>
      <c r="BH159" s="90">
        <f>Sheet1!CP161*GPMtoMGD</f>
        <v>0.76406400000000008</v>
      </c>
      <c r="BI159" s="90">
        <f t="shared" si="24"/>
        <v>2.8160639999999999</v>
      </c>
      <c r="BK159" s="95">
        <f>SUM(AT159:BA159,BE159,Sheet1!BV161,'Calculations II'!BC159,Calculation!AQ159)</f>
        <v>58.707346262874708</v>
      </c>
      <c r="BM159" s="373">
        <f>0</f>
        <v>0</v>
      </c>
      <c r="BN159" s="373">
        <f>0</f>
        <v>0</v>
      </c>
      <c r="BP159" s="95">
        <f>SUM(BM159:BN159,W159,Sheet1!DX161)</f>
        <v>0</v>
      </c>
    </row>
    <row r="160" spans="1:68" s="90" customFormat="1">
      <c r="A160" s="651" t="s">
        <v>7</v>
      </c>
      <c r="B160" s="92">
        <v>41788</v>
      </c>
      <c r="C160" s="93">
        <v>0</v>
      </c>
      <c r="D160" s="95">
        <f>(Sheet1!BQ162-Sheet1!BQ161)*1.385</f>
        <v>-0.22160000000000019</v>
      </c>
      <c r="E160" s="30">
        <f>(Sheet1!BR162-Sheet1!BR161)*1.385</f>
        <v>-0.20775000000000296</v>
      </c>
      <c r="F160" s="30">
        <f ca="1">IF(B160=TODAY(),0,-(VLOOKUP(Sheet1!CD162,Lookup!$I$4:$J$216,2)-VLOOKUP(Sheet1!CD161,Lookup!$I$4:$J$216,2))/1000000)</f>
        <v>0</v>
      </c>
      <c r="G160" s="95">
        <f ca="1">IF(B160=TODAY(),0,-$G$6*(Sheet1!CF162-Sheet1!CF161)*7.48/1000000)</f>
        <v>0.59570251578838951</v>
      </c>
      <c r="H160" s="95">
        <f ca="1">IF(B160=TODAY(),0,-$H$6*(Sheet1!CE162-Sheet1!CE161)*7.48/1000000)</f>
        <v>-1.5039432351265274E-2</v>
      </c>
      <c r="I160" s="95">
        <f ca="1">IF(B160=TODAY(),0,-$I$6*(Sheet1!CG162-Sheet1!CG161)*7.48/1000000)</f>
        <v>8.1763281599999973E-2</v>
      </c>
      <c r="J160" s="96" t="s">
        <v>186</v>
      </c>
      <c r="K160" s="95">
        <f ca="1">IF(B160=TODAY(),0,-$K$6*(Sheet1!CH162-Sheet1!CH161)*7.48/1000000)</f>
        <v>0.13992972786362726</v>
      </c>
      <c r="L160" s="96" t="s">
        <v>186</v>
      </c>
      <c r="M160" s="95">
        <f ca="1">IF(B160=TODAY(),0,-$M$6*(Sheet1!CI162-Sheet1!CI161)*7.48/1000000)</f>
        <v>0.46777921912870291</v>
      </c>
      <c r="N160" s="95">
        <f ca="1">IF(B160=TODAY(),0,-$N$6*(Sheet1!CJ162-Sheet1!CJ161)*7.48/1000000)</f>
        <v>5.5847110855161426E-2</v>
      </c>
      <c r="O160" s="95">
        <f t="shared" ca="1" si="21"/>
        <v>1.325982422884616</v>
      </c>
      <c r="P160" s="95">
        <f ca="1">O160+Calculation!ES160</f>
        <v>1.7411548315469352</v>
      </c>
      <c r="Q160" s="90" t="str">
        <f>IF(Sheet1!BQ162&gt;25.75,"spill elevation","-")</f>
        <v>-</v>
      </c>
      <c r="R160" s="90" t="str">
        <f>IF(Sheet1!BQ162&gt;25.75,"spill elevation","-")</f>
        <v>-</v>
      </c>
      <c r="S160" s="90" t="str">
        <f>IF(Sheet1!BR162&gt;25.75,"spill elevation","-")</f>
        <v>-</v>
      </c>
      <c r="T160" s="94">
        <f>IF(Sheet1!DU162=1,Sheet1!AA162-(SUM(AT160:BA160)+BE160),Sheet1!AA162-SUM(AT160:BA160))</f>
        <v>18.853407999999998</v>
      </c>
      <c r="U160" s="94">
        <f>Sheet1!BV162</f>
        <v>24.3</v>
      </c>
      <c r="V160" s="94">
        <f t="shared" si="22"/>
        <v>-5.4465920000000025</v>
      </c>
      <c r="W160" s="94">
        <f>0</f>
        <v>0</v>
      </c>
      <c r="X160" s="90">
        <f>0</f>
        <v>0</v>
      </c>
      <c r="Y160" s="95">
        <f ca="1">Calculation!EJ161+Calculation!ES160+'Calculations II'!O160-'Calculations II'!W160</f>
        <v>64.641154831546942</v>
      </c>
      <c r="Z160" s="95">
        <f ca="1">Y160-Sheet1!CT163</f>
        <v>48.741154831546943</v>
      </c>
      <c r="AA160" s="95">
        <f ca="1">Y160+Calculation!DJ161+Calculation!AS161</f>
        <v>75.449007714250712</v>
      </c>
      <c r="AC160" s="95">
        <f>Sheet1!AA162+Sheet1!AB162+BC160</f>
        <v>60.66</v>
      </c>
      <c r="AD160" s="95">
        <f>Sheet1!AA162+Sheet1!BN162+'Calculations II'!BC160-Calculation!AS160-Calculation!DJ160</f>
        <v>38.429824922760041</v>
      </c>
      <c r="AE160" s="95">
        <f>Sheet1!AA162+Sheet1!AB162+'Calculations II'!BC160-Calculation!AS160-Calculation!DJ160</f>
        <v>49.529824922760035</v>
      </c>
      <c r="AF160" s="95">
        <f ca="1">Sheet1!AA162+Sheet1!BN162+P160+'Calculations II'!BC160+Calculation!AS160+Calculation!DJ160</f>
        <v>62.4313299087869</v>
      </c>
      <c r="AG160" s="95">
        <f ca="1">IF(B160=TODAY(),0,Sheet1!AA162+Sheet1!BN162+'Calculations II'!BC160+'Calculations II'!P160-Sheet1!CT162-BP160)</f>
        <v>34.661154831546938</v>
      </c>
      <c r="AH160" s="95">
        <f ca="1">IF(B160=TODAY(),0,Sheet1!AA162+Sheet1!BN162+'Calculations II'!BC160+'Calculations II'!P160-BP160)</f>
        <v>51.301154831546938</v>
      </c>
      <c r="AI160" s="95">
        <f ca="1">IF(B160=TODAY(),0,BC160+Sheet1!AA162+Calculation!ES160+O160+W160+Sheet1!BN162+Calculation!AS160+Calculation!DJ160-BP160)</f>
        <v>62.4313299087869</v>
      </c>
      <c r="AJ160" s="95"/>
      <c r="AM160" s="91">
        <f t="shared" si="23"/>
        <v>41788</v>
      </c>
      <c r="AN160" s="95">
        <f>Sheet1!BU162</f>
        <v>18.899999999999999</v>
      </c>
      <c r="AO160" s="95">
        <f>Sheet1!AA162</f>
        <v>21.86</v>
      </c>
      <c r="AP160" s="95">
        <f t="shared" si="18"/>
        <v>-0.42935000000000312</v>
      </c>
      <c r="AQ160" s="1055">
        <f>((Sheet1!BV162-(Sheet1!BU162-AP160))/(Sheet1!BU162-AP160))</f>
        <v>0.25715556912156895</v>
      </c>
      <c r="AR160" s="95">
        <f t="shared" si="19"/>
        <v>22.289350000000002</v>
      </c>
      <c r="AS160" s="95">
        <f t="shared" si="20"/>
        <v>19.329350000000002</v>
      </c>
      <c r="AT160" s="90">
        <f>Sheet1!BB162</f>
        <v>1.6</v>
      </c>
      <c r="AU160" s="90">
        <f>Sheet1!AS162*GPMtoMGD</f>
        <v>3.2256E-2</v>
      </c>
      <c r="AV160" s="95">
        <f>Sheet1!AT162</f>
        <v>0</v>
      </c>
      <c r="AW160" s="90">
        <f>Sheet1!AV162*GPMtoMGD</f>
        <v>0.62582400000000005</v>
      </c>
      <c r="AX160" s="90">
        <f>Sheet1!AW162*GPMtoMGD</f>
        <v>0.74851199999999996</v>
      </c>
      <c r="AY160" s="90">
        <f>Sheet1!AX162*GPMtoMGD</f>
        <v>0</v>
      </c>
      <c r="AZ160" s="90">
        <f>Sheet1!AY162*GPMtoMGD</f>
        <v>0</v>
      </c>
      <c r="BA160" s="90">
        <f>Sheet1!AZ162*GPMtoMGD</f>
        <v>0</v>
      </c>
      <c r="BB160" s="90">
        <f>Sheet1!BP162*GPMtoMGD</f>
        <v>0</v>
      </c>
      <c r="BC160" s="90">
        <f>Sheet1!CS162*GPMtoMGD</f>
        <v>0</v>
      </c>
      <c r="BD160" s="90">
        <f>Sheet1!BO162*GPMtoMGD</f>
        <v>1.44432</v>
      </c>
      <c r="BE160" s="90">
        <f>Sheet1!BW162*GPMtoMGD</f>
        <v>0.79171199999999997</v>
      </c>
      <c r="BF160" s="90">
        <f>Sheet1!CN162*GPMtoMGD</f>
        <v>1.1808000000000001</v>
      </c>
      <c r="BG160" s="90">
        <f>Sheet1!CO162*GPMtoMGD</f>
        <v>0.85752000000000006</v>
      </c>
      <c r="BH160" s="90">
        <f>Sheet1!CP162*GPMtoMGD</f>
        <v>0.75873599999999997</v>
      </c>
      <c r="BI160" s="90">
        <f t="shared" si="24"/>
        <v>1.44432</v>
      </c>
      <c r="BK160" s="95">
        <f>SUM(AT160:BA160,BE160,Sheet1!BV162,'Calculations II'!BC160,Calculation!AQ160)</f>
        <v>55.76977670854788</v>
      </c>
      <c r="BM160" s="373">
        <f>0</f>
        <v>0</v>
      </c>
      <c r="BN160" s="373">
        <f>0</f>
        <v>0</v>
      </c>
      <c r="BP160" s="95">
        <f>SUM(BM160:BN160,W160,Sheet1!DX162)</f>
        <v>0</v>
      </c>
    </row>
    <row r="161" spans="1:68" s="90" customFormat="1">
      <c r="A161" s="651" t="s">
        <v>8</v>
      </c>
      <c r="B161" s="92">
        <v>41789</v>
      </c>
      <c r="C161" s="93">
        <v>0</v>
      </c>
      <c r="D161" s="95">
        <f>(Sheet1!BQ163-Sheet1!BQ162)*1.385</f>
        <v>-1.2049500000000013</v>
      </c>
      <c r="E161" s="30">
        <f>(Sheet1!BR163-Sheet1!BR162)*1.385</f>
        <v>-1.2049499999999964</v>
      </c>
      <c r="F161" s="30">
        <f ca="1">IF(B161=TODAY(),0,-(VLOOKUP(Sheet1!CD163,Lookup!$I$4:$J$216,2)-VLOOKUP(Sheet1!CD162,Lookup!$I$4:$J$216,2))/1000000)</f>
        <v>0.51818469273900425</v>
      </c>
      <c r="G161" s="95">
        <f ca="1">IF(B161=TODAY(),0,-$G$6*(Sheet1!CF163-Sheet1!CF162)*7.48/1000000)</f>
        <v>-0.39713501052559297</v>
      </c>
      <c r="H161" s="95">
        <f ca="1">IF(B161=TODAY(),0,-$H$6*(Sheet1!CE163-Sheet1!CE162)*7.48/1000000)</f>
        <v>1.5039432351265274E-2</v>
      </c>
      <c r="I161" s="95">
        <f ca="1">IF(B161=TODAY(),0,-$I$6*(Sheet1!CG163-Sheet1!CG162)*7.48/1000000)</f>
        <v>0</v>
      </c>
      <c r="J161" s="96" t="s">
        <v>186</v>
      </c>
      <c r="K161" s="95">
        <f ca="1">IF(B161=TODAY(),0,-$K$6*(Sheet1!CH163-Sheet1!CH162)*7.48/1000000)</f>
        <v>0</v>
      </c>
      <c r="L161" s="96" t="s">
        <v>186</v>
      </c>
      <c r="M161" s="95">
        <f ca="1">IF(B161=TODAY(),0,-$M$6*(Sheet1!CI163-Sheet1!CI162)*7.48/1000000)</f>
        <v>-8.9957542140135238E-2</v>
      </c>
      <c r="N161" s="95">
        <f ca="1">IF(B161=TODAY(),0,-$N$6*(Sheet1!CJ163-Sheet1!CJ162)*7.48/1000000)</f>
        <v>0.11789945624978621</v>
      </c>
      <c r="O161" s="95">
        <f t="shared" ca="1" si="21"/>
        <v>0.16403102867432753</v>
      </c>
      <c r="P161" s="95">
        <f ca="1">O161+Calculation!ES161</f>
        <v>2.5161195227702375</v>
      </c>
      <c r="Q161" s="90" t="str">
        <f>IF(Sheet1!BQ163&gt;25.75,"spill elevation","-")</f>
        <v>-</v>
      </c>
      <c r="R161" s="90" t="str">
        <f>IF(Sheet1!BQ163&gt;25.75,"spill elevation","-")</f>
        <v>-</v>
      </c>
      <c r="S161" s="90" t="str">
        <f>IF(Sheet1!BR163&gt;25.75,"spill elevation","-")</f>
        <v>-</v>
      </c>
      <c r="T161" s="94">
        <f>IF(Sheet1!DU163=1,Sheet1!AA163-(SUM(AT161:BA161)+BE161),Sheet1!AA163-SUM(AT161:BA161))</f>
        <v>19.393808</v>
      </c>
      <c r="U161" s="94">
        <f>Sheet1!BV163</f>
        <v>26.6</v>
      </c>
      <c r="V161" s="94">
        <f t="shared" si="22"/>
        <v>-7.2061920000000015</v>
      </c>
      <c r="W161" s="94">
        <f>0</f>
        <v>0</v>
      </c>
      <c r="X161" s="90">
        <f>0</f>
        <v>0</v>
      </c>
      <c r="Y161" s="95">
        <f ca="1">Calculation!EJ162+Calculation!ES161+'Calculations II'!O161-'Calculations II'!W161</f>
        <v>68.196119522770246</v>
      </c>
      <c r="Z161" s="95">
        <f ca="1">Y161-Sheet1!CT164</f>
        <v>52.770119522770244</v>
      </c>
      <c r="AA161" s="95">
        <f ca="1">Y161+Calculation!DJ162+Calculation!AS162</f>
        <v>78.868270340887392</v>
      </c>
      <c r="AC161" s="95">
        <f>Sheet1!AA163+Sheet1!AB163+BC161</f>
        <v>62.900000000000006</v>
      </c>
      <c r="AD161" s="95">
        <f>Sheet1!AA163+Sheet1!BN163+'Calculations II'!BC161-Calculation!AS161-Calculation!DJ161</f>
        <v>41.392147117296226</v>
      </c>
      <c r="AE161" s="95">
        <f>Sheet1!AA163+Sheet1!AB163+'Calculations II'!BC161-Calculation!AS161-Calculation!DJ161</f>
        <v>52.092147117296228</v>
      </c>
      <c r="AF161" s="95">
        <f ca="1">Sheet1!AA163+Sheet1!BN163+P161+'Calculations II'!BC161+Calculation!AS161+Calculation!DJ161</f>
        <v>65.523972405474026</v>
      </c>
      <c r="AG161" s="95">
        <f ca="1">IF(B161=TODAY(),0,Sheet1!AA163+Sheet1!BN163+'Calculations II'!BC161+'Calculations II'!P161-Sheet1!CT163-BP161)</f>
        <v>38.816119522770244</v>
      </c>
      <c r="AH161" s="95">
        <f ca="1">IF(B161=TODAY(),0,Sheet1!AA163+Sheet1!BN163+'Calculations II'!BC161+'Calculations II'!P161-BP161)</f>
        <v>54.716119522770242</v>
      </c>
      <c r="AI161" s="95">
        <f ca="1">IF(B161=TODAY(),0,BC161+Sheet1!AA163+Calculation!ES161+O161+W161+Sheet1!BN163+Calculation!AS161+Calculation!DJ161-BP161)</f>
        <v>65.523972405474012</v>
      </c>
      <c r="AJ161" s="95"/>
      <c r="AM161" s="91">
        <f t="shared" si="23"/>
        <v>41789</v>
      </c>
      <c r="AN161" s="95">
        <f>Sheet1!BU163</f>
        <v>18.899999999999999</v>
      </c>
      <c r="AO161" s="95">
        <f>Sheet1!AA163</f>
        <v>22.8</v>
      </c>
      <c r="AP161" s="95">
        <f t="shared" si="18"/>
        <v>-2.4098999999999977</v>
      </c>
      <c r="AQ161" s="1055">
        <f>((Sheet1!BV163-(Sheet1!BU163-AP161))/(Sheet1!BU163-AP161))</f>
        <v>0.2482461203478199</v>
      </c>
      <c r="AR161" s="95">
        <f t="shared" si="19"/>
        <v>25.209899999999998</v>
      </c>
      <c r="AS161" s="95">
        <f t="shared" si="20"/>
        <v>21.309899999999995</v>
      </c>
      <c r="AT161" s="90">
        <f>Sheet1!BB163</f>
        <v>1.6</v>
      </c>
      <c r="AU161" s="90">
        <f>Sheet1!AS163*GPMtoMGD</f>
        <v>1.7712000000000002E-2</v>
      </c>
      <c r="AV161" s="95">
        <f>Sheet1!AT163</f>
        <v>0</v>
      </c>
      <c r="AW161" s="90">
        <f>Sheet1!AV163*GPMtoMGD</f>
        <v>0.73382400000000003</v>
      </c>
      <c r="AX161" s="90">
        <f>Sheet1!AW163*GPMtoMGD</f>
        <v>1.05192</v>
      </c>
      <c r="AY161" s="90">
        <f>Sheet1!AX163*GPMtoMGD</f>
        <v>2.7360000000000002E-3</v>
      </c>
      <c r="AZ161" s="90">
        <f>Sheet1!AY163*GPMtoMGD</f>
        <v>0</v>
      </c>
      <c r="BA161" s="90">
        <f>Sheet1!AZ163*GPMtoMGD</f>
        <v>0</v>
      </c>
      <c r="BB161" s="90">
        <f>Sheet1!BP163*GPMtoMGD</f>
        <v>0</v>
      </c>
      <c r="BC161" s="90">
        <f>Sheet1!CS163*GPMtoMGD</f>
        <v>0</v>
      </c>
      <c r="BD161" s="90">
        <f>Sheet1!BO163*GPMtoMGD</f>
        <v>2.4094080000000004</v>
      </c>
      <c r="BE161" s="90">
        <f>Sheet1!BW163*GPMtoMGD</f>
        <v>1.1170080000000002</v>
      </c>
      <c r="BF161" s="90">
        <f>Sheet1!CN163*GPMtoMGD</f>
        <v>1.1808000000000001</v>
      </c>
      <c r="BG161" s="90">
        <f>Sheet1!CO163*GPMtoMGD</f>
        <v>0.94176000000000004</v>
      </c>
      <c r="BH161" s="90">
        <f>Sheet1!CP163*GPMtoMGD</f>
        <v>1.2084480000000002</v>
      </c>
      <c r="BI161" s="90">
        <f t="shared" si="24"/>
        <v>2.4094080000000004</v>
      </c>
      <c r="BK161" s="95">
        <f>SUM(AT161:BA161,BE161,Sheet1!BV163,'Calculations II'!BC161,Calculation!AQ161)</f>
        <v>60.420913717693836</v>
      </c>
      <c r="BM161" s="373">
        <f>0</f>
        <v>0</v>
      </c>
      <c r="BN161" s="373">
        <f>0</f>
        <v>0</v>
      </c>
      <c r="BP161" s="95">
        <f>SUM(BM161:BN161,W161,Sheet1!DX163)</f>
        <v>0</v>
      </c>
    </row>
    <row r="162" spans="1:68" s="90" customFormat="1">
      <c r="A162" s="651" t="s">
        <v>9</v>
      </c>
      <c r="B162" s="92">
        <v>41790</v>
      </c>
      <c r="C162" s="93">
        <v>0</v>
      </c>
      <c r="D162" s="95">
        <f>(Sheet1!BQ164-Sheet1!BQ163)*1.385</f>
        <v>-0.66479999999999573</v>
      </c>
      <c r="E162" s="30">
        <f>(Sheet1!BR164-Sheet1!BR163)*1.385</f>
        <v>-0.66480000000000061</v>
      </c>
      <c r="F162" s="30">
        <f ca="1">IF(B162=TODAY(),0,-(VLOOKUP(Sheet1!CD164,Lookup!$I$4:$J$216,2)-VLOOKUP(Sheet1!CD163,Lookup!$I$4:$J$216,2))/1000000)</f>
        <v>-0.10363693854779936</v>
      </c>
      <c r="G162" s="95">
        <f ca="1">IF(B162=TODAY(),0,-$G$6*(Sheet1!CF164-Sheet1!CF163)*7.48/1000000)</f>
        <v>0.67512951789350772</v>
      </c>
      <c r="H162" s="95">
        <f ca="1">IF(B162=TODAY(),0,-$H$6*(Sheet1!CE164-Sheet1!CE163)*7.48/1000000)</f>
        <v>4.5118297053794748E-2</v>
      </c>
      <c r="I162" s="95">
        <f ca="1">IF(B162=TODAY(),0,-$I$6*(Sheet1!CG164-Sheet1!CG163)*7.48/1000000)</f>
        <v>-8.9849760000000074E-3</v>
      </c>
      <c r="J162" s="96" t="s">
        <v>186</v>
      </c>
      <c r="K162" s="95">
        <f ca="1">IF(B162=TODAY(),0,-$K$6*(Sheet1!CH164-Sheet1!CH163)*7.48/1000000)</f>
        <v>-1.9989961123375255E-2</v>
      </c>
      <c r="L162" s="96" t="s">
        <v>186</v>
      </c>
      <c r="M162" s="95">
        <f ca="1">IF(B162=TODAY(),0,-$M$6*(Sheet1!CI164-Sheet1!CI163)*7.48/1000000)</f>
        <v>3.5983016856054283E-2</v>
      </c>
      <c r="N162" s="95">
        <f ca="1">IF(B162=TODAY(),0,-$N$6*(Sheet1!CJ164-Sheet1!CJ163)*7.48/1000000)</f>
        <v>-3.1026172697312393E-2</v>
      </c>
      <c r="O162" s="95">
        <f t="shared" ca="1" si="21"/>
        <v>0.59259278343486976</v>
      </c>
      <c r="P162" s="95">
        <f ca="1">O162+Calculation!ES162</f>
        <v>1.9757428626058977</v>
      </c>
      <c r="Q162" s="90" t="str">
        <f>IF(Sheet1!BQ164&gt;25.75,"spill elevation","-")</f>
        <v>-</v>
      </c>
      <c r="R162" s="90" t="str">
        <f>IF(Sheet1!BQ164&gt;25.75,"spill elevation","-")</f>
        <v>-</v>
      </c>
      <c r="S162" s="90" t="str">
        <f>IF(Sheet1!BR164&gt;25.75,"spill elevation","-")</f>
        <v>-</v>
      </c>
      <c r="T162" s="94">
        <f>IF(Sheet1!DU164=1,Sheet1!AA164-(SUM(AT162:BA162)+BE162),Sheet1!AA164-SUM(AT162:BA162))</f>
        <v>19.724160000000001</v>
      </c>
      <c r="U162" s="94">
        <f>Sheet1!BV164</f>
        <v>26.3</v>
      </c>
      <c r="V162" s="94">
        <f t="shared" si="22"/>
        <v>-6.5758399999999995</v>
      </c>
      <c r="W162" s="94">
        <f>0</f>
        <v>0</v>
      </c>
      <c r="X162" s="90">
        <f>0</f>
        <v>0</v>
      </c>
      <c r="Y162" s="95">
        <f ca="1">Calculation!EJ163+Calculation!ES162+'Calculations II'!O162-'Calculations II'!W162</f>
        <v>70.205742862605902</v>
      </c>
      <c r="Z162" s="95">
        <f ca="1">Y162-Sheet1!CT165</f>
        <v>54.775742862605902</v>
      </c>
      <c r="AA162" s="95">
        <f ca="1">Y162+Calculation!DJ163+Calculation!AS163</f>
        <v>80.789742862605891</v>
      </c>
      <c r="AC162" s="95">
        <f>Sheet1!AA164+Sheet1!AB164+BC162</f>
        <v>65.680000000000007</v>
      </c>
      <c r="AD162" s="95">
        <f>Sheet1!AA164+Sheet1!BN164+'Calculations II'!BC162-Calculation!AS162-Calculation!DJ162</f>
        <v>44.327849181882854</v>
      </c>
      <c r="AE162" s="95">
        <f>Sheet1!AA164+Sheet1!AB164+'Calculations II'!BC162-Calculation!AS162-Calculation!DJ162</f>
        <v>55.007849181882868</v>
      </c>
      <c r="AF162" s="95">
        <f ca="1">Sheet1!AA164+Sheet1!BN164+P162+'Calculations II'!BC162+Calculation!AS162+Calculation!DJ162</f>
        <v>67.647893680723044</v>
      </c>
      <c r="AG162" s="95">
        <f ca="1">IF(B162=TODAY(),0,Sheet1!AA164+Sheet1!BN164+'Calculations II'!BC162+'Calculations II'!P162-Sheet1!CT164-BP162)</f>
        <v>41.549742862605896</v>
      </c>
      <c r="AH162" s="95">
        <f ca="1">IF(B162=TODAY(),0,Sheet1!AA164+Sheet1!BN164+'Calculations II'!BC162+'Calculations II'!P162-BP162)</f>
        <v>56.975742862605898</v>
      </c>
      <c r="AI162" s="95">
        <f ca="1">IF(B162=TODAY(),0,BC162+Sheet1!AA164+Calculation!ES162+O162+W162+Sheet1!BN164+Calculation!AS162+Calculation!DJ162-BP162)</f>
        <v>67.647893680723044</v>
      </c>
      <c r="AJ162" s="95"/>
      <c r="AM162" s="91">
        <f t="shared" si="23"/>
        <v>41790</v>
      </c>
      <c r="AN162" s="95">
        <f>Sheet1!BU164</f>
        <v>19.3</v>
      </c>
      <c r="AO162" s="95">
        <f>Sheet1!AA164</f>
        <v>23.5</v>
      </c>
      <c r="AP162" s="95">
        <f t="shared" si="18"/>
        <v>-1.3295999999999963</v>
      </c>
      <c r="AQ162" s="1055">
        <f>((Sheet1!BV164-(Sheet1!BU164-AP162))/(Sheet1!BU164-AP162))</f>
        <v>0.27486718113778286</v>
      </c>
      <c r="AR162" s="95">
        <f t="shared" si="19"/>
        <v>24.829599999999996</v>
      </c>
      <c r="AS162" s="95">
        <f t="shared" si="20"/>
        <v>20.629599999999996</v>
      </c>
      <c r="AT162" s="90">
        <f>Sheet1!BB164</f>
        <v>1.6</v>
      </c>
      <c r="AU162" s="90">
        <f>Sheet1!AS164*GPMtoMGD</f>
        <v>3.8016000000000001E-2</v>
      </c>
      <c r="AV162" s="95">
        <f>Sheet1!AT164</f>
        <v>0</v>
      </c>
      <c r="AW162" s="90">
        <f>Sheet1!AV164*GPMtoMGD</f>
        <v>0.94262400000000013</v>
      </c>
      <c r="AX162" s="90">
        <f>Sheet1!AW164*GPMtoMGD</f>
        <v>1.1913119999999999</v>
      </c>
      <c r="AY162" s="90">
        <f>Sheet1!AX164*GPMtoMGD</f>
        <v>3.8880000000000004E-3</v>
      </c>
      <c r="AZ162" s="90">
        <f>Sheet1!AY164*GPMtoMGD</f>
        <v>0</v>
      </c>
      <c r="BA162" s="90">
        <f>Sheet1!AZ164*GPMtoMGD</f>
        <v>0</v>
      </c>
      <c r="BB162" s="90">
        <f>Sheet1!BP164*GPMtoMGD</f>
        <v>0</v>
      </c>
      <c r="BC162" s="90">
        <f>Sheet1!CS164*GPMtoMGD</f>
        <v>0</v>
      </c>
      <c r="BD162" s="90">
        <f>Sheet1!BO164*GPMtoMGD</f>
        <v>2.665584</v>
      </c>
      <c r="BE162" s="90">
        <f>Sheet1!BW164*GPMtoMGD</f>
        <v>1.6371360000000001</v>
      </c>
      <c r="BF162" s="90">
        <f>Sheet1!CN164*GPMtoMGD</f>
        <v>1.1808000000000001</v>
      </c>
      <c r="BG162" s="90">
        <f>Sheet1!CO164*GPMtoMGD</f>
        <v>1.012176</v>
      </c>
      <c r="BH162" s="90">
        <f>Sheet1!CP164*GPMtoMGD</f>
        <v>0.77112000000000003</v>
      </c>
      <c r="BI162" s="90">
        <f t="shared" si="24"/>
        <v>2.665584</v>
      </c>
      <c r="BK162" s="95">
        <f>SUM(AT162:BA162,BE162,Sheet1!BV164,'Calculations II'!BC162,Calculation!AQ162)</f>
        <v>63.220445765235951</v>
      </c>
      <c r="BM162" s="373">
        <f>0</f>
        <v>0</v>
      </c>
      <c r="BN162" s="373">
        <f>0</f>
        <v>0</v>
      </c>
      <c r="BP162" s="95">
        <f>SUM(BM162:BN162,W162,Sheet1!DX164)</f>
        <v>0</v>
      </c>
    </row>
    <row r="163" spans="1:68" s="90" customFormat="1">
      <c r="A163" s="651" t="s">
        <v>3</v>
      </c>
      <c r="B163" s="92">
        <v>41791</v>
      </c>
      <c r="C163" s="93">
        <v>0</v>
      </c>
      <c r="D163" s="95">
        <f>(Sheet1!BQ165-Sheet1!BQ164)*1.385</f>
        <v>-0.58170000000000233</v>
      </c>
      <c r="E163" s="30">
        <f>(Sheet1!BR165-Sheet1!BR164)*1.385</f>
        <v>-0.56785000000000019</v>
      </c>
      <c r="F163" s="30">
        <f ca="1">IF(B163=TODAY(),0,-(VLOOKUP(Sheet1!CD165,Lookup!$I$4:$J$216,2)-VLOOKUP(Sheet1!CD164,Lookup!$I$4:$J$216,2))/1000000)</f>
        <v>-0.62182163128680368</v>
      </c>
      <c r="G163" s="95">
        <f ca="1">IF(B163=TODAY(),0,-$G$6*(Sheet1!CF165-Sheet1!CF164)*7.48/1000000)</f>
        <v>-0.5559890147358304</v>
      </c>
      <c r="H163" s="95">
        <f ca="1">IF(B163=TODAY(),0,-$H$6*(Sheet1!CE165-Sheet1!CE164)*7.48/1000000)</f>
        <v>6.0157729405061096E-2</v>
      </c>
      <c r="I163" s="95">
        <f ca="1">IF(B163=TODAY(),0,-$I$6*(Sheet1!CG165-Sheet1!CG164)*7.48/1000000)</f>
        <v>-4.4924880000000007E-2</v>
      </c>
      <c r="J163" s="96" t="s">
        <v>186</v>
      </c>
      <c r="K163" s="95">
        <f ca="1">IF(B163=TODAY(),0,-$K$6*(Sheet1!CH165-Sheet1!CH164)*7.48/1000000)</f>
        <v>-6.6633203744584424E-2</v>
      </c>
      <c r="L163" s="96" t="s">
        <v>186</v>
      </c>
      <c r="M163" s="95">
        <f ca="1">IF(B163=TODAY(),0,-$M$6*(Sheet1!CI165-Sheet1!CI164)*7.48/1000000)</f>
        <v>-0.26987262642040605</v>
      </c>
      <c r="N163" s="95">
        <f ca="1">IF(B163=TODAY(),0,-$N$6*(Sheet1!CJ165-Sheet1!CJ164)*7.48/1000000)</f>
        <v>-0.45298212138075472</v>
      </c>
      <c r="O163" s="95">
        <f t="shared" ca="1" si="21"/>
        <v>-1.9520657481633181</v>
      </c>
      <c r="P163" s="95">
        <f ca="1">O163+Calculation!ES163</f>
        <v>-0.84577622978800338</v>
      </c>
      <c r="Q163" s="90" t="str">
        <f>IF(Sheet1!BQ165&gt;25.75,"spill elevation","-")</f>
        <v>-</v>
      </c>
      <c r="R163" s="90" t="str">
        <f>IF(Sheet1!BQ165&gt;25.75,"spill elevation","-")</f>
        <v>-</v>
      </c>
      <c r="S163" s="90" t="str">
        <f>IF(Sheet1!BR165&gt;25.75,"spill elevation","-")</f>
        <v>-</v>
      </c>
      <c r="T163" s="94">
        <f>IF(Sheet1!DU165=1,Sheet1!AA165-(SUM(AT163:BA163)+BE163),Sheet1!AA165-SUM(AT163:BA163))</f>
        <v>19.705231999999999</v>
      </c>
      <c r="U163" s="94">
        <f>Sheet1!BV165</f>
        <v>25.8</v>
      </c>
      <c r="V163" s="94">
        <f t="shared" si="22"/>
        <v>-6.094768000000002</v>
      </c>
      <c r="W163" s="94">
        <f>0</f>
        <v>0</v>
      </c>
      <c r="X163" s="90">
        <f>0</f>
        <v>0</v>
      </c>
      <c r="Y163" s="95">
        <f ca="1">Calculation!EJ164+Calculation!ES163+'Calculations II'!O163-'Calculations II'!W163</f>
        <v>67.444223770211991</v>
      </c>
      <c r="Z163" s="95">
        <f ca="1">Y163-Sheet1!CT166</f>
        <v>50.822223770211991</v>
      </c>
      <c r="AA163" s="95">
        <f ca="1">Y163+Calculation!DJ164+Calculation!AS164</f>
        <v>78.08796822451545</v>
      </c>
      <c r="AC163" s="95">
        <f>Sheet1!AA165+Sheet1!AB165+BC163</f>
        <v>68.23</v>
      </c>
      <c r="AD163" s="95">
        <f>Sheet1!AA165+Sheet1!BN165+'Calculations II'!BC163-Calculation!AS163-Calculation!DJ163</f>
        <v>47.125999999999991</v>
      </c>
      <c r="AE163" s="95">
        <f>Sheet1!AA165+Sheet1!AB165+'Calculations II'!BC163-Calculation!AS163-Calculation!DJ163</f>
        <v>57.646000000000008</v>
      </c>
      <c r="AF163" s="95">
        <f ca="1">Sheet1!AA165+Sheet1!BN165+P163+'Calculations II'!BC163+Calculation!AS163+Calculation!DJ163</f>
        <v>67.448223770211996</v>
      </c>
      <c r="AG163" s="95">
        <f ca="1">IF(B163=TODAY(),0,Sheet1!AA165+Sheet1!BN165+'Calculations II'!BC163+'Calculations II'!P163-Sheet1!CT165-BP163)</f>
        <v>41.434223770211993</v>
      </c>
      <c r="AH163" s="95">
        <f ca="1">IF(B163=TODAY(),0,Sheet1!AA165+Sheet1!BN165+'Calculations II'!BC163+'Calculations II'!P163-BP163)</f>
        <v>56.864223770211993</v>
      </c>
      <c r="AI163" s="95">
        <f ca="1">IF(B163=TODAY(),0,BC163+Sheet1!AA165+Calculation!ES163+O163+W163+Sheet1!BN165+Calculation!AS163+Calculation!DJ163-BP163)</f>
        <v>67.448223770211996</v>
      </c>
      <c r="AJ163" s="95"/>
      <c r="AM163" s="91">
        <f t="shared" si="23"/>
        <v>41791</v>
      </c>
      <c r="AN163" s="95">
        <f>Sheet1!BU165</f>
        <v>19</v>
      </c>
      <c r="AO163" s="95">
        <f>Sheet1!AA165</f>
        <v>23.31</v>
      </c>
      <c r="AP163" s="95">
        <f t="shared" si="18"/>
        <v>-1.1495500000000025</v>
      </c>
      <c r="AQ163" s="1055">
        <f>((Sheet1!BV165-(Sheet1!BU165-AP163))/(Sheet1!BU165-AP163))</f>
        <v>0.28042561744555083</v>
      </c>
      <c r="AR163" s="95">
        <f t="shared" si="19"/>
        <v>24.45955</v>
      </c>
      <c r="AS163" s="95">
        <f t="shared" si="20"/>
        <v>20.149550000000001</v>
      </c>
      <c r="AT163" s="90">
        <f>Sheet1!BB165</f>
        <v>1.6</v>
      </c>
      <c r="AU163" s="90">
        <f>Sheet1!AS165*GPMtoMGD</f>
        <v>1.8720000000000001E-2</v>
      </c>
      <c r="AV163" s="95">
        <f>Sheet1!AT165</f>
        <v>0</v>
      </c>
      <c r="AW163" s="90">
        <f>Sheet1!AV165*GPMtoMGD</f>
        <v>0.70876800000000006</v>
      </c>
      <c r="AX163" s="90">
        <f>Sheet1!AW165*GPMtoMGD</f>
        <v>1.2415680000000002</v>
      </c>
      <c r="AY163" s="90">
        <f>Sheet1!AX165*GPMtoMGD</f>
        <v>3.5712000000000001E-2</v>
      </c>
      <c r="AZ163" s="90">
        <f>Sheet1!AY165*GPMtoMGD</f>
        <v>0</v>
      </c>
      <c r="BA163" s="90">
        <f>Sheet1!AZ165*GPMtoMGD</f>
        <v>0</v>
      </c>
      <c r="BB163" s="90">
        <f>Sheet1!BP165*GPMtoMGD</f>
        <v>0</v>
      </c>
      <c r="BC163" s="90">
        <f>Sheet1!CS165*GPMtoMGD</f>
        <v>0</v>
      </c>
      <c r="BD163" s="90">
        <f>Sheet1!BO165*GPMtoMGD</f>
        <v>3.2004000000000001</v>
      </c>
      <c r="BE163" s="90">
        <f>Sheet1!BW165*GPMtoMGD</f>
        <v>1.33992</v>
      </c>
      <c r="BF163" s="90">
        <f>Sheet1!CN165*GPMtoMGD</f>
        <v>1.1808000000000001</v>
      </c>
      <c r="BG163" s="90">
        <f>Sheet1!CO165*GPMtoMGD</f>
        <v>1.1070720000000001</v>
      </c>
      <c r="BH163" s="90">
        <f>Sheet1!CP165*GPMtoMGD</f>
        <v>0.77702400000000005</v>
      </c>
      <c r="BI163" s="90">
        <f t="shared" si="24"/>
        <v>3.2004000000000001</v>
      </c>
      <c r="BK163" s="95">
        <f>SUM(AT163:BA163,BE163,Sheet1!BV165,'Calculations II'!BC163,Calculation!AQ163)</f>
        <v>65.083532444444444</v>
      </c>
      <c r="BM163" s="373">
        <f>0</f>
        <v>0</v>
      </c>
      <c r="BN163" s="373">
        <f>0</f>
        <v>0</v>
      </c>
      <c r="BP163" s="95">
        <f>SUM(BM163:BN163,W163,Sheet1!DX165)</f>
        <v>0</v>
      </c>
    </row>
    <row r="164" spans="1:68" s="90" customFormat="1">
      <c r="A164" s="651" t="s">
        <v>4</v>
      </c>
      <c r="B164" s="92">
        <v>41792</v>
      </c>
      <c r="C164" s="93">
        <v>0</v>
      </c>
      <c r="D164" s="95">
        <f>(Sheet1!BQ166-Sheet1!BQ165)*1.385</f>
        <v>0.45705000000000257</v>
      </c>
      <c r="E164" s="30">
        <f>(Sheet1!BR166-Sheet1!BR165)*1.385</f>
        <v>0.44320000000000037</v>
      </c>
      <c r="F164" s="30">
        <f ca="1">IF(B164=TODAY(),0,-(VLOOKUP(Sheet1!CD166,Lookup!$I$4:$J$216,2)-VLOOKUP(Sheet1!CD165,Lookup!$I$4:$J$216,2))/1000000)</f>
        <v>1.2436432625735998</v>
      </c>
      <c r="G164" s="95">
        <f ca="1">IF(B164=TODAY(),0,-$G$6*(Sheet1!CF166-Sheet1!CF165)*7.48/1000000)</f>
        <v>-0.79427002105118594</v>
      </c>
      <c r="H164" s="95">
        <f ca="1">IF(B164=TODAY(),0,-$H$6*(Sheet1!CE166-Sheet1!CE165)*7.48/1000000)</f>
        <v>1.5039432351264204E-2</v>
      </c>
      <c r="I164" s="95">
        <f ca="1">IF(B164=TODAY(),0,-$I$6*(Sheet1!CG166-Sheet1!CG165)*7.48/1000000)</f>
        <v>4.0432392000000018E-2</v>
      </c>
      <c r="J164" s="96" t="s">
        <v>186</v>
      </c>
      <c r="K164" s="95">
        <f ca="1">IF(B164=TODAY(),0,-$K$6*(Sheet1!CH166-Sheet1!CH165)*7.48/1000000)</f>
        <v>6.6633203744584424E-2</v>
      </c>
      <c r="L164" s="96" t="s">
        <v>186</v>
      </c>
      <c r="M164" s="95">
        <f ca="1">IF(B164=TODAY(),0,-$M$6*(Sheet1!CI166-Sheet1!CI165)*7.48/1000000)</f>
        <v>0.17991508428027048</v>
      </c>
      <c r="N164" s="95">
        <f ca="1">IF(B164=TODAY(),0,-$N$6*(Sheet1!CJ166-Sheet1!CJ165)*7.48/1000000)</f>
        <v>0.67637056480140045</v>
      </c>
      <c r="O164" s="95">
        <f t="shared" ca="1" si="21"/>
        <v>1.4277639186999336</v>
      </c>
      <c r="P164" s="95">
        <f ca="1">O164+Calculation!ES164</f>
        <v>0.4597733976699695</v>
      </c>
      <c r="Q164" s="90" t="str">
        <f>IF(Sheet1!BQ166&gt;25.75,"spill elevation","-")</f>
        <v>-</v>
      </c>
      <c r="R164" s="90" t="str">
        <f>IF(Sheet1!BQ166&gt;25.75,"spill elevation","-")</f>
        <v>-</v>
      </c>
      <c r="S164" s="90" t="str">
        <f>IF(Sheet1!BR166&gt;25.75,"spill elevation","-")</f>
        <v>-</v>
      </c>
      <c r="T164" s="94">
        <f>IF(Sheet1!DU166=1,Sheet1!AA166-(SUM(AT164:BA164)+BE164),Sheet1!AA166-SUM(AT164:BA164))</f>
        <v>19.474336000000001</v>
      </c>
      <c r="U164" s="94">
        <f>Sheet1!BV166</f>
        <v>24</v>
      </c>
      <c r="V164" s="94">
        <f t="shared" si="22"/>
        <v>-4.525663999999999</v>
      </c>
      <c r="W164" s="94">
        <f>0</f>
        <v>0</v>
      </c>
      <c r="X164" s="90">
        <f>0</f>
        <v>0</v>
      </c>
      <c r="Y164" s="95">
        <f ca="1">Calculation!EJ165+Calculation!ES164+'Calculations II'!O164-'Calculations II'!W164</f>
        <v>70.059773397669971</v>
      </c>
      <c r="Z164" s="95">
        <f ca="1">Y164-Sheet1!CT167</f>
        <v>52.500773397669974</v>
      </c>
      <c r="AA164" s="95">
        <f ca="1">Y164+Calculation!DJ165+Calculation!AS165</f>
        <v>80.943779447799614</v>
      </c>
      <c r="AC164" s="95">
        <f>Sheet1!AA166+Sheet1!AB166+BC164</f>
        <v>68.289999999999992</v>
      </c>
      <c r="AD164" s="95">
        <f>Sheet1!AA166+Sheet1!BN166+'Calculations II'!BC164-Calculation!AS164-Calculation!DJ164</f>
        <v>47.146255545696533</v>
      </c>
      <c r="AE164" s="95">
        <f>Sheet1!AA166+Sheet1!AB166+'Calculations II'!BC164-Calculation!AS164-Calculation!DJ164</f>
        <v>57.646255545696533</v>
      </c>
      <c r="AF164" s="95">
        <f ca="1">Sheet1!AA166+Sheet1!BN166+P164+'Calculations II'!BC164+Calculation!AS164+Calculation!DJ164</f>
        <v>68.893517851973428</v>
      </c>
      <c r="AG164" s="95">
        <f ca="1">IF(B164=TODAY(),0,Sheet1!AA166+Sheet1!BN166+'Calculations II'!BC164+'Calculations II'!P164-Sheet1!CT166-BP164)</f>
        <v>41.627773397669969</v>
      </c>
      <c r="AH164" s="95">
        <f ca="1">IF(B164=TODAY(),0,Sheet1!AA166+Sheet1!BN166+'Calculations II'!BC164+'Calculations II'!P164-BP164)</f>
        <v>58.249773397669969</v>
      </c>
      <c r="AI164" s="95">
        <f ca="1">IF(B164=TODAY(),0,BC164+Sheet1!AA166+Calculation!ES164+O164+W164+Sheet1!BN166+Calculation!AS164+Calculation!DJ164-BP164)</f>
        <v>68.893517851973428</v>
      </c>
      <c r="AJ164" s="95"/>
      <c r="AM164" s="91">
        <f t="shared" si="23"/>
        <v>41792</v>
      </c>
      <c r="AN164" s="95">
        <f>Sheet1!BU166</f>
        <v>19</v>
      </c>
      <c r="AO164" s="95">
        <f>Sheet1!AA166</f>
        <v>23.39</v>
      </c>
      <c r="AP164" s="95">
        <f t="shared" si="18"/>
        <v>0.90025000000000288</v>
      </c>
      <c r="AQ164" s="1055">
        <f>((Sheet1!BV166-(Sheet1!BU166-AP164))/(Sheet1!BU166-AP164))</f>
        <v>0.32598516554096074</v>
      </c>
      <c r="AR164" s="95">
        <f t="shared" si="19"/>
        <v>22.489749999999997</v>
      </c>
      <c r="AS164" s="95">
        <f t="shared" si="20"/>
        <v>18.099749999999997</v>
      </c>
      <c r="AT164" s="90">
        <f>Sheet1!BB166</f>
        <v>1.6</v>
      </c>
      <c r="AU164" s="90">
        <f>Sheet1!AS166*GPMtoMGD</f>
        <v>3.5568000000000002E-2</v>
      </c>
      <c r="AV164" s="95">
        <f>Sheet1!AT166</f>
        <v>0</v>
      </c>
      <c r="AW164" s="90">
        <f>Sheet1!AV166*GPMtoMGD</f>
        <v>0.94435199999999997</v>
      </c>
      <c r="AX164" s="90">
        <f>Sheet1!AW166*GPMtoMGD</f>
        <v>1.2941280000000002</v>
      </c>
      <c r="AY164" s="90">
        <f>Sheet1!AX166*GPMtoMGD</f>
        <v>4.1616E-2</v>
      </c>
      <c r="AZ164" s="90">
        <f>Sheet1!AY166*GPMtoMGD</f>
        <v>0</v>
      </c>
      <c r="BA164" s="90">
        <f>Sheet1!AZ166*GPMtoMGD</f>
        <v>0</v>
      </c>
      <c r="BB164" s="90">
        <f>Sheet1!BP166*GPMtoMGD</f>
        <v>0</v>
      </c>
      <c r="BC164" s="90">
        <f>Sheet1!CS166*GPMtoMGD</f>
        <v>0</v>
      </c>
      <c r="BD164" s="90">
        <f>Sheet1!BO166*GPMtoMGD</f>
        <v>2.5630560000000004</v>
      </c>
      <c r="BE164" s="90">
        <f>Sheet1!BW166*GPMtoMGD</f>
        <v>1.467792</v>
      </c>
      <c r="BF164" s="90">
        <f>Sheet1!CN166*GPMtoMGD</f>
        <v>1.1808000000000001</v>
      </c>
      <c r="BG164" s="90">
        <f>Sheet1!CO166*GPMtoMGD</f>
        <v>1.041696</v>
      </c>
      <c r="BH164" s="90">
        <f>Sheet1!CP166*GPMtoMGD</f>
        <v>0.82512000000000008</v>
      </c>
      <c r="BI164" s="90">
        <f t="shared" si="24"/>
        <v>2.5630560000000004</v>
      </c>
      <c r="BK164" s="95">
        <f>SUM(AT164:BA164,BE164,Sheet1!BV166,'Calculations II'!BC164,Calculation!AQ164)</f>
        <v>63.646100188110026</v>
      </c>
      <c r="BM164" s="373">
        <f>0</f>
        <v>0</v>
      </c>
      <c r="BN164" s="373">
        <f>0</f>
        <v>0</v>
      </c>
      <c r="BP164" s="95">
        <f>SUM(BM164:BN164,W164,Sheet1!DX166)</f>
        <v>0</v>
      </c>
    </row>
    <row r="165" spans="1:68" s="90" customFormat="1">
      <c r="A165" s="651" t="s">
        <v>5</v>
      </c>
      <c r="B165" s="92">
        <v>41793</v>
      </c>
      <c r="C165" s="93">
        <v>0</v>
      </c>
      <c r="D165" s="95">
        <f>(Sheet1!BQ167-Sheet1!BQ166)*1.385</f>
        <v>0.52629999999999866</v>
      </c>
      <c r="E165" s="30">
        <f>(Sheet1!BR167-Sheet1!BR166)*1.385</f>
        <v>0.55399999999999805</v>
      </c>
      <c r="F165" s="30">
        <f ca="1">IF(B165=TODAY(),0,-(VLOOKUP(Sheet1!CD167,Lookup!$I$4:$J$216,2)-VLOOKUP(Sheet1!CD166,Lookup!$I$4:$J$216,2))/1000000)</f>
        <v>-0.93273244693020174</v>
      </c>
      <c r="G165" s="95">
        <f ca="1">IF(B165=TODAY(),0,-$G$6*(Sheet1!CF167-Sheet1!CF166)*7.48/1000000)</f>
        <v>0.91341052420886415</v>
      </c>
      <c r="H165" s="95">
        <f ca="1">IF(B165=TODAY(),0,-$H$6*(Sheet1!CE167-Sheet1!CE166)*7.48/1000000)</f>
        <v>-6.0157729405060027E-2</v>
      </c>
      <c r="I165" s="95">
        <f ca="1">IF(B165=TODAY(),0,-$I$6*(Sheet1!CG167-Sheet1!CG166)*7.48/1000000)</f>
        <v>6.2894832000000012E-2</v>
      </c>
      <c r="J165" s="96" t="s">
        <v>186</v>
      </c>
      <c r="K165" s="95">
        <f ca="1">IF(B165=TODAY(),0,-$K$6*(Sheet1!CH167-Sheet1!CH166)*7.48/1000000)</f>
        <v>9.9949805616876636E-2</v>
      </c>
      <c r="L165" s="96" t="s">
        <v>186</v>
      </c>
      <c r="M165" s="95">
        <f ca="1">IF(B165=TODAY(),0,-$M$6*(Sheet1!CI167-Sheet1!CI166)*7.48/1000000)</f>
        <v>0.36162931940334397</v>
      </c>
      <c r="N165" s="95">
        <f ca="1">IF(B165=TODAY(),0,-$N$6*(Sheet1!CJ167-Sheet1!CJ166)*7.48/1000000)</f>
        <v>-0.29164602335473161</v>
      </c>
      <c r="O165" s="95">
        <f t="shared" ca="1" si="21"/>
        <v>0.15334828153909139</v>
      </c>
      <c r="P165" s="95">
        <f ca="1">O165+Calculation!ES165</f>
        <v>-0.95312054702222948</v>
      </c>
      <c r="Q165" s="90" t="str">
        <f>IF(Sheet1!BQ167&gt;25.75,"spill elevation","-")</f>
        <v>-</v>
      </c>
      <c r="R165" s="90" t="str">
        <f>IF(Sheet1!BQ167&gt;25.75,"spill elevation","-")</f>
        <v>-</v>
      </c>
      <c r="S165" s="90" t="str">
        <f>IF(Sheet1!BR167&gt;25.75,"spill elevation","-")</f>
        <v>-</v>
      </c>
      <c r="T165" s="94">
        <f>IF(Sheet1!DU167=1,Sheet1!AA167-(SUM(AT165:BA165)+BE165),Sheet1!AA167-SUM(AT165:BA165))</f>
        <v>19.553471999999999</v>
      </c>
      <c r="U165" s="94">
        <f>Sheet1!BV167</f>
        <v>23.7</v>
      </c>
      <c r="V165" s="94">
        <f t="shared" si="22"/>
        <v>-4.146528</v>
      </c>
      <c r="W165" s="94">
        <f>0</f>
        <v>0</v>
      </c>
      <c r="X165" s="90">
        <f>0</f>
        <v>0</v>
      </c>
      <c r="Y165" s="95">
        <f ca="1">Calculation!EJ166+Calculation!ES165+'Calculations II'!O165-'Calculations II'!W165</f>
        <v>70.24687945297778</v>
      </c>
      <c r="Z165" s="95">
        <f ca="1">Y165-Sheet1!CT168</f>
        <v>52.464879452977783</v>
      </c>
      <c r="AA165" s="95">
        <f ca="1">Y165+Calculation!DJ166+Calculation!AS166</f>
        <v>81.370914431116447</v>
      </c>
      <c r="AC165" s="95">
        <f>Sheet1!AA167+Sheet1!AB167+BC165</f>
        <v>69.599999999999994</v>
      </c>
      <c r="AD165" s="95">
        <f>Sheet1!AA167+Sheet1!BN167+'Calculations II'!BC165-Calculation!AS165-Calculation!DJ165</f>
        <v>47.815993949870361</v>
      </c>
      <c r="AE165" s="95">
        <f>Sheet1!AA167+Sheet1!AB167+'Calculations II'!BC165-Calculation!AS165-Calculation!DJ165</f>
        <v>58.715993949870352</v>
      </c>
      <c r="AF165" s="95">
        <f ca="1">Sheet1!AA167+Sheet1!BN167+P165+'Calculations II'!BC165+Calculation!AS165+Calculation!DJ165</f>
        <v>68.630885503107422</v>
      </c>
      <c r="AG165" s="95">
        <f ca="1">IF(B165=TODAY(),0,Sheet1!AA167+Sheet1!BN167+'Calculations II'!BC165+'Calculations II'!P165-Sheet1!CT167-BP165)</f>
        <v>40.187879452977768</v>
      </c>
      <c r="AH165" s="95">
        <f ca="1">IF(B165=TODAY(),0,Sheet1!AA167+Sheet1!BN167+'Calculations II'!BC165+'Calculations II'!P165-BP165)</f>
        <v>57.746879452977772</v>
      </c>
      <c r="AI165" s="95">
        <f ca="1">IF(B165=TODAY(),0,BC165+Sheet1!AA167+Calculation!ES165+O165+W165+Sheet1!BN167+Calculation!AS165+Calculation!DJ165-BP165)</f>
        <v>68.630885503107407</v>
      </c>
      <c r="AJ165" s="95"/>
      <c r="AM165" s="91">
        <f t="shared" si="23"/>
        <v>41793</v>
      </c>
      <c r="AN165" s="95">
        <f>Sheet1!BU167</f>
        <v>18.8</v>
      </c>
      <c r="AO165" s="95">
        <f>Sheet1!AA167</f>
        <v>23.3</v>
      </c>
      <c r="AP165" s="95">
        <f t="shared" si="18"/>
        <v>1.0802999999999967</v>
      </c>
      <c r="AQ165" s="1055">
        <f>((Sheet1!BV167-(Sheet1!BU167-AP165))/(Sheet1!BU167-AP165))</f>
        <v>0.33749442710655347</v>
      </c>
      <c r="AR165" s="95">
        <f t="shared" si="19"/>
        <v>22.219700000000003</v>
      </c>
      <c r="AS165" s="95">
        <f t="shared" si="20"/>
        <v>17.719700000000003</v>
      </c>
      <c r="AT165" s="90">
        <f>Sheet1!BB167</f>
        <v>1.61</v>
      </c>
      <c r="AU165" s="90">
        <f>Sheet1!AS167*GPMtoMGD</f>
        <v>1.7568E-2</v>
      </c>
      <c r="AV165" s="95">
        <f>Sheet1!AT167</f>
        <v>0</v>
      </c>
      <c r="AW165" s="90">
        <f>Sheet1!AV167*GPMtoMGD</f>
        <v>0.89222400000000013</v>
      </c>
      <c r="AX165" s="90">
        <f>Sheet1!AW167*GPMtoMGD</f>
        <v>1.1921760000000001</v>
      </c>
      <c r="AY165" s="90">
        <f>Sheet1!AX167*GPMtoMGD</f>
        <v>3.456E-2</v>
      </c>
      <c r="AZ165" s="90">
        <f>Sheet1!AY167*GPMtoMGD</f>
        <v>0</v>
      </c>
      <c r="BA165" s="90">
        <f>Sheet1!AZ167*GPMtoMGD</f>
        <v>0</v>
      </c>
      <c r="BB165" s="90">
        <f>Sheet1!BP167*GPMtoMGD</f>
        <v>0</v>
      </c>
      <c r="BC165" s="90">
        <f>Sheet1!CS167*GPMtoMGD</f>
        <v>0</v>
      </c>
      <c r="BD165" s="90">
        <f>Sheet1!BO167*GPMtoMGD</f>
        <v>2.0753280000000003</v>
      </c>
      <c r="BE165" s="90">
        <f>Sheet1!BW167*GPMtoMGD</f>
        <v>1.423872</v>
      </c>
      <c r="BF165" s="90">
        <f>Sheet1!CN167*GPMtoMGD</f>
        <v>1.1808000000000001</v>
      </c>
      <c r="BG165" s="90">
        <f>Sheet1!CO167*GPMtoMGD</f>
        <v>1.071936</v>
      </c>
      <c r="BH165" s="90">
        <f>Sheet1!CP167*GPMtoMGD</f>
        <v>0.84067199999999997</v>
      </c>
      <c r="BI165" s="90">
        <f t="shared" si="24"/>
        <v>2.0753280000000003</v>
      </c>
      <c r="BK165" s="95">
        <f>SUM(AT165:BA165,BE165,Sheet1!BV167,'Calculations II'!BC165,Calculation!AQ165)</f>
        <v>64.285698184961106</v>
      </c>
      <c r="BM165" s="373">
        <f>0</f>
        <v>0</v>
      </c>
      <c r="BN165" s="373">
        <f>0</f>
        <v>0</v>
      </c>
      <c r="BP165" s="95">
        <f>SUM(BM165:BN165,W165,Sheet1!DX167)</f>
        <v>0</v>
      </c>
    </row>
    <row r="166" spans="1:68" s="90" customFormat="1">
      <c r="A166" s="651" t="s">
        <v>6</v>
      </c>
      <c r="B166" s="92">
        <v>41794</v>
      </c>
      <c r="C166" s="93">
        <v>0</v>
      </c>
      <c r="D166" s="95">
        <f>(Sheet1!BQ168-Sheet1!BQ167)*1.385</f>
        <v>-1.1772500000000019</v>
      </c>
      <c r="E166" s="30">
        <f>(Sheet1!BR168-Sheet1!BR167)*1.385</f>
        <v>-1.1910999999999992</v>
      </c>
      <c r="F166" s="30">
        <f ca="1">IF(B166=TODAY(),0,-(VLOOKUP(Sheet1!CD168,Lookup!$I$4:$J$216,2)-VLOOKUP(Sheet1!CD167,Lookup!$I$4:$J$216,2))/1000000)</f>
        <v>-1.0363693854779992</v>
      </c>
      <c r="G166" s="95">
        <f ca="1">IF(B166=TODAY(),0,-$G$6*(Sheet1!CF168-Sheet1!CF167)*7.48/1000000)</f>
        <v>-0.43684851157815213</v>
      </c>
      <c r="H166" s="95">
        <f ca="1">IF(B166=TODAY(),0,-$H$6*(Sheet1!CE168-Sheet1!CE167)*7.48/1000000)</f>
        <v>6.0157729405060027E-2</v>
      </c>
      <c r="I166" s="95">
        <f ca="1">IF(B166=TODAY(),0,-$I$6*(Sheet1!CG168-Sheet1!CG167)*7.48/1000000)</f>
        <v>-0.13028215200000001</v>
      </c>
      <c r="J166" s="96" t="s">
        <v>186</v>
      </c>
      <c r="K166" s="95">
        <f ca="1">IF(B166=TODAY(),0,-$K$6*(Sheet1!CH168-Sheet1!CH167)*7.48/1000000)</f>
        <v>-0.21988957235712864</v>
      </c>
      <c r="L166" s="96" t="s">
        <v>186</v>
      </c>
      <c r="M166" s="95">
        <f ca="1">IF(B166=TODAY(),0,-$M$6*(Sheet1!CI168-Sheet1!CI167)*7.48/1000000)</f>
        <v>-0.59551892896769498</v>
      </c>
      <c r="N166" s="95">
        <f ca="1">IF(B166=TODAY(),0,-$N$6*(Sheet1!CJ168-Sheet1!CJ167)*7.48/1000000)</f>
        <v>-1.8615703618387873E-2</v>
      </c>
      <c r="O166" s="95">
        <f t="shared" ca="1" si="21"/>
        <v>-2.3773665245943025</v>
      </c>
      <c r="P166" s="95">
        <f ca="1">O166+Calculation!ES166</f>
        <v>0.11190016622625754</v>
      </c>
      <c r="Q166" s="90" t="str">
        <f>IF(Sheet1!BQ168&gt;25.75,"spill elevation","-")</f>
        <v>-</v>
      </c>
      <c r="R166" s="90" t="str">
        <f>IF(Sheet1!BQ168&gt;25.75,"spill elevation","-")</f>
        <v>-</v>
      </c>
      <c r="S166" s="90" t="str">
        <f>IF(Sheet1!BR168&gt;25.75,"spill elevation","-")</f>
        <v>-</v>
      </c>
      <c r="T166" s="94">
        <f>IF(Sheet1!DU168=1,Sheet1!AA168-(SUM(AT166:BA166)+BE166),Sheet1!AA168-SUM(AT166:BA166))</f>
        <v>19.655407999999998</v>
      </c>
      <c r="U166" s="94">
        <f>Sheet1!BV168</f>
        <v>27</v>
      </c>
      <c r="V166" s="94">
        <f t="shared" si="22"/>
        <v>-7.3445920000000022</v>
      </c>
      <c r="W166" s="94">
        <f>0</f>
        <v>0</v>
      </c>
      <c r="X166" s="90">
        <f>0</f>
        <v>0</v>
      </c>
      <c r="Y166" s="95">
        <f ca="1">Calculation!EJ167+Calculation!ES166+'Calculations II'!O166-'Calculations II'!W166</f>
        <v>73.411900166226246</v>
      </c>
      <c r="Z166" s="95">
        <f ca="1">Y166-Sheet1!CT169</f>
        <v>56.794900166226242</v>
      </c>
      <c r="AA166" s="95">
        <f ca="1">Y166+Calculation!DJ167+Calculation!AS167</f>
        <v>84.495704907086022</v>
      </c>
      <c r="AC166" s="95">
        <f>Sheet1!AA168+Sheet1!AB168+BC166</f>
        <v>71.2</v>
      </c>
      <c r="AD166" s="95">
        <f>Sheet1!AA168+Sheet1!BN168+'Calculations II'!BC166-Calculation!AS166-Calculation!DJ166</f>
        <v>48.975965021861334</v>
      </c>
      <c r="AE166" s="95">
        <f>Sheet1!AA168+Sheet1!AB168+'Calculations II'!BC166-Calculation!AS166-Calculation!DJ166</f>
        <v>60.075965021861343</v>
      </c>
      <c r="AF166" s="95">
        <f ca="1">Sheet1!AA168+Sheet1!BN168+P166+'Calculations II'!BC166+Calculation!AS166+Calculation!DJ166</f>
        <v>71.33593514436491</v>
      </c>
      <c r="AG166" s="95">
        <f ca="1">IF(B166=TODAY(),0,Sheet1!AA168+Sheet1!BN168+'Calculations II'!BC166+'Calculations II'!P166-Sheet1!CT168-BP166)</f>
        <v>42.429900166226247</v>
      </c>
      <c r="AH166" s="95">
        <f ca="1">IF(B166=TODAY(),0,Sheet1!AA168+Sheet1!BN168+'Calculations II'!BC166+'Calculations II'!P166-BP166)</f>
        <v>60.211900166226251</v>
      </c>
      <c r="AI166" s="95">
        <f ca="1">IF(B166=TODAY(),0,BC166+Sheet1!AA168+Calculation!ES166+O166+W166+Sheet1!BN168+Calculation!AS166+Calculation!DJ166-BP166)</f>
        <v>71.335935144364925</v>
      </c>
      <c r="AJ166" s="95"/>
      <c r="AM166" s="91">
        <f t="shared" si="23"/>
        <v>41794</v>
      </c>
      <c r="AN166" s="95">
        <f>Sheet1!BU168</f>
        <v>18.7</v>
      </c>
      <c r="AO166" s="95">
        <f>Sheet1!AA168</f>
        <v>23.2</v>
      </c>
      <c r="AP166" s="95">
        <f t="shared" si="18"/>
        <v>-2.3683500000000013</v>
      </c>
      <c r="AQ166" s="1055">
        <f>((Sheet1!BV168-(Sheet1!BU168-AP166))/(Sheet1!BU168-AP166))</f>
        <v>0.28154316783231703</v>
      </c>
      <c r="AR166" s="95">
        <f t="shared" si="19"/>
        <v>25.568350000000002</v>
      </c>
      <c r="AS166" s="95">
        <f t="shared" si="20"/>
        <v>21.068350000000002</v>
      </c>
      <c r="AT166" s="90">
        <f>Sheet1!BB168</f>
        <v>1.58</v>
      </c>
      <c r="AU166" s="90">
        <f>Sheet1!AS168*GPMtoMGD</f>
        <v>3.2256E-2</v>
      </c>
      <c r="AV166" s="95">
        <f>Sheet1!AT168</f>
        <v>0</v>
      </c>
      <c r="AW166" s="90">
        <f>Sheet1!AV168*GPMtoMGD</f>
        <v>0.65145600000000004</v>
      </c>
      <c r="AX166" s="90">
        <f>Sheet1!AW168*GPMtoMGD</f>
        <v>1.1638080000000002</v>
      </c>
      <c r="AY166" s="90">
        <f>Sheet1!AX168*GPMtoMGD</f>
        <v>0.11707200000000001</v>
      </c>
      <c r="AZ166" s="90">
        <f>Sheet1!AY168*GPMtoMGD</f>
        <v>0</v>
      </c>
      <c r="BA166" s="90">
        <f>Sheet1!AZ168*GPMtoMGD</f>
        <v>0</v>
      </c>
      <c r="BB166" s="90">
        <f>Sheet1!BP168*GPMtoMGD</f>
        <v>0</v>
      </c>
      <c r="BC166" s="90">
        <f>Sheet1!CS168*GPMtoMGD</f>
        <v>0</v>
      </c>
      <c r="BD166" s="90">
        <f>Sheet1!BO168*GPMtoMGD</f>
        <v>3.4522560000000002</v>
      </c>
      <c r="BE166" s="90">
        <f>Sheet1!BW168*GPMtoMGD</f>
        <v>1.2106080000000001</v>
      </c>
      <c r="BF166" s="90">
        <f>Sheet1!CN168*GPMtoMGD</f>
        <v>1.1808000000000001</v>
      </c>
      <c r="BG166" s="90">
        <f>Sheet1!CO168*GPMtoMGD</f>
        <v>1.04976</v>
      </c>
      <c r="BH166" s="90">
        <f>Sheet1!CP168*GPMtoMGD</f>
        <v>0.86529600000000007</v>
      </c>
      <c r="BI166" s="90">
        <f t="shared" si="24"/>
        <v>3.4522560000000002</v>
      </c>
      <c r="BK166" s="95">
        <f>SUM(AT166:BA166,BE166,Sheet1!BV168,'Calculations II'!BC166,Calculation!AQ166)</f>
        <v>68.632151905059345</v>
      </c>
      <c r="BM166" s="373">
        <f>0</f>
        <v>0</v>
      </c>
      <c r="BN166" s="373">
        <f>0</f>
        <v>0</v>
      </c>
      <c r="BP166" s="95">
        <f>SUM(BM166:BN166,W166,Sheet1!DX168)</f>
        <v>0</v>
      </c>
    </row>
    <row r="167" spans="1:68" s="90" customFormat="1">
      <c r="A167" s="651" t="s">
        <v>7</v>
      </c>
      <c r="B167" s="92">
        <v>41795</v>
      </c>
      <c r="C167" s="93">
        <v>0</v>
      </c>
      <c r="D167" s="95">
        <f>(Sheet1!BQ169-Sheet1!BQ168)*1.385</f>
        <v>1.0110500000000007</v>
      </c>
      <c r="E167" s="30">
        <f>(Sheet1!BR169-Sheet1!BR168)*1.385</f>
        <v>0.98335000000000117</v>
      </c>
      <c r="F167" s="30">
        <f ca="1">IF(B167=TODAY(),0,-(VLOOKUP(Sheet1!CD169,Lookup!$I$4:$J$216,2)-VLOOKUP(Sheet1!CD168,Lookup!$I$4:$J$216,2))/1000000)</f>
        <v>0</v>
      </c>
      <c r="G167" s="95">
        <f ca="1">IF(B167=TODAY(),0,-$G$6*(Sheet1!CF169-Sheet1!CF168)*7.48/1000000)</f>
        <v>7.9427002105118313E-2</v>
      </c>
      <c r="H167" s="95">
        <f ca="1">IF(B167=TODAY(),0,-$H$6*(Sheet1!CE169-Sheet1!CE168)*7.48/1000000)</f>
        <v>0</v>
      </c>
      <c r="I167" s="95">
        <f ca="1">IF(B167=TODAY(),0,-$I$6*(Sheet1!CG169-Sheet1!CG168)*7.48/1000000)</f>
        <v>5.3909856000000006E-2</v>
      </c>
      <c r="J167" s="96" t="s">
        <v>186</v>
      </c>
      <c r="K167" s="95">
        <f ca="1">IF(B167=TODAY(),0,-$K$6*(Sheet1!CH169-Sheet1!CH168)*7.48/1000000)</f>
        <v>9.3286485242418213E-2</v>
      </c>
      <c r="L167" s="96" t="s">
        <v>186</v>
      </c>
      <c r="M167" s="95">
        <f ca="1">IF(B167=TODAY(),0,-$M$6*(Sheet1!CI169-Sheet1!CI168)*7.48/1000000)</f>
        <v>0.16192357585224318</v>
      </c>
      <c r="N167" s="95">
        <f ca="1">IF(B167=TODAY(),0,-$N$6*(Sheet1!CJ169-Sheet1!CJ168)*7.48/1000000)</f>
        <v>-0.62052345394623898</v>
      </c>
      <c r="O167" s="95">
        <f t="shared" ca="1" si="21"/>
        <v>-0.2319765347464593</v>
      </c>
      <c r="P167" s="95">
        <f ca="1">O167+Calculation!ES167</f>
        <v>-2.3062950000856279</v>
      </c>
      <c r="Q167" s="90" t="str">
        <f>IF(Sheet1!BQ169&gt;25.75,"spill elevation","-")</f>
        <v>-</v>
      </c>
      <c r="R167" s="90" t="str">
        <f>IF(Sheet1!BQ169&gt;25.75,"spill elevation","-")</f>
        <v>-</v>
      </c>
      <c r="S167" s="90" t="str">
        <f>IF(Sheet1!BR169&gt;25.75,"spill elevation","-")</f>
        <v>-</v>
      </c>
      <c r="T167" s="94">
        <f>IF(Sheet1!DU169=1,Sheet1!AA169-(SUM(AT167:BA167)+BE167),Sheet1!AA169-SUM(AT167:BA167))</f>
        <v>19.455392</v>
      </c>
      <c r="U167" s="94">
        <f>Sheet1!BV169</f>
        <v>23</v>
      </c>
      <c r="V167" s="94">
        <f t="shared" si="22"/>
        <v>-3.5446080000000002</v>
      </c>
      <c r="W167" s="94">
        <f>0</f>
        <v>0</v>
      </c>
      <c r="X167" s="90">
        <f>0</f>
        <v>0</v>
      </c>
      <c r="Y167" s="95">
        <f ca="1">Calculation!EJ168+Calculation!ES167+'Calculations II'!O167-'Calculations II'!W167</f>
        <v>74.093704999914365</v>
      </c>
      <c r="Z167" s="95">
        <f ca="1">Y167-Sheet1!CT170</f>
        <v>57.991704999914361</v>
      </c>
      <c r="AA167" s="95">
        <f ca="1">Y167+Calculation!DJ168+Calculation!AS168</f>
        <v>86.305514235342059</v>
      </c>
      <c r="AC167" s="95">
        <f>Sheet1!AA169+Sheet1!AB169+BC167</f>
        <v>73.3</v>
      </c>
      <c r="AD167" s="95">
        <f>Sheet1!AA169+Sheet1!BN169+'Calculations II'!BC167-Calculation!AS167-Calculation!DJ167</f>
        <v>51.11619525914022</v>
      </c>
      <c r="AE167" s="95">
        <f>Sheet1!AA169+Sheet1!AB169+'Calculations II'!BC167-Calculation!AS167-Calculation!DJ167</f>
        <v>62.216195259140214</v>
      </c>
      <c r="AF167" s="95">
        <f ca="1">Sheet1!AA169+Sheet1!BN169+P167+'Calculations II'!BC167+Calculation!AS167+Calculation!DJ167</f>
        <v>70.977509740774153</v>
      </c>
      <c r="AG167" s="95">
        <f ca="1">IF(B167=TODAY(),0,Sheet1!AA169+Sheet1!BN169+'Calculations II'!BC167+'Calculations II'!P167-Sheet1!CT169-BP167)</f>
        <v>43.276704999914372</v>
      </c>
      <c r="AH167" s="95">
        <f ca="1">IF(B167=TODAY(),0,Sheet1!AA169+Sheet1!BN169+'Calculations II'!BC167+'Calculations II'!P167-BP167)</f>
        <v>59.893704999914377</v>
      </c>
      <c r="AI167" s="95">
        <f ca="1">IF(B167=TODAY(),0,BC167+Sheet1!AA169+Calculation!ES167+O167+W167+Sheet1!BN169+Calculation!AS167+Calculation!DJ167-BP167)</f>
        <v>70.977509740774153</v>
      </c>
      <c r="AJ167" s="95"/>
      <c r="AM167" s="91">
        <f t="shared" si="23"/>
        <v>41795</v>
      </c>
      <c r="AN167" s="95">
        <f>Sheet1!BU169</f>
        <v>18.899999999999999</v>
      </c>
      <c r="AO167" s="95">
        <f>Sheet1!AA169</f>
        <v>23.5</v>
      </c>
      <c r="AP167" s="95">
        <f t="shared" si="18"/>
        <v>1.9944000000000019</v>
      </c>
      <c r="AQ167" s="1055">
        <f>((Sheet1!BV169-(Sheet1!BU169-AP167))/(Sheet1!BU169-AP167))</f>
        <v>0.36049593034260868</v>
      </c>
      <c r="AR167" s="95">
        <f t="shared" si="19"/>
        <v>21.505599999999998</v>
      </c>
      <c r="AS167" s="95">
        <f t="shared" si="20"/>
        <v>16.905599999999996</v>
      </c>
      <c r="AT167" s="90">
        <f>Sheet1!BB169</f>
        <v>1.61</v>
      </c>
      <c r="AU167" s="90">
        <f>Sheet1!AS169*GPMtoMGD</f>
        <v>3.4272000000000004E-2</v>
      </c>
      <c r="AV167" s="95">
        <f>Sheet1!AT169</f>
        <v>0</v>
      </c>
      <c r="AW167" s="90">
        <f>Sheet1!AV169*GPMtoMGD</f>
        <v>1.1142719999999999</v>
      </c>
      <c r="AX167" s="90">
        <f>Sheet1!AW169*GPMtoMGD</f>
        <v>1.245312</v>
      </c>
      <c r="AY167" s="90">
        <f>Sheet1!AX169*GPMtoMGD</f>
        <v>4.0752000000000003E-2</v>
      </c>
      <c r="AZ167" s="90">
        <f>Sheet1!AY169*GPMtoMGD</f>
        <v>0</v>
      </c>
      <c r="BA167" s="90">
        <f>Sheet1!AZ169*GPMtoMGD</f>
        <v>0</v>
      </c>
      <c r="BB167" s="90">
        <f>Sheet1!BP169*GPMtoMGD</f>
        <v>0</v>
      </c>
      <c r="BC167" s="90">
        <f>Sheet1!CS169*GPMtoMGD</f>
        <v>0</v>
      </c>
      <c r="BD167" s="90">
        <f>Sheet1!BO169*GPMtoMGD</f>
        <v>2.5469280000000003</v>
      </c>
      <c r="BE167" s="90">
        <f>Sheet1!BW169*GPMtoMGD</f>
        <v>1.211616</v>
      </c>
      <c r="BF167" s="90">
        <f>Sheet1!CN169*GPMtoMGD</f>
        <v>1.1808000000000001</v>
      </c>
      <c r="BG167" s="90">
        <f>Sheet1!CO169*GPMtoMGD</f>
        <v>1.1459520000000001</v>
      </c>
      <c r="BH167" s="90">
        <f>Sheet1!CP169*GPMtoMGD</f>
        <v>0.85982400000000003</v>
      </c>
      <c r="BI167" s="90">
        <f t="shared" si="24"/>
        <v>2.5469280000000003</v>
      </c>
      <c r="BK167" s="95">
        <f>SUM(AT167:BA167,BE167,Sheet1!BV169,'Calculations II'!BC167,Calculation!AQ167)</f>
        <v>66.971772413017277</v>
      </c>
      <c r="BM167" s="373">
        <f>0</f>
        <v>0</v>
      </c>
      <c r="BN167" s="373">
        <f>0</f>
        <v>0</v>
      </c>
      <c r="BP167" s="95">
        <f>SUM(BM167:BN167,W167,Sheet1!DX169)</f>
        <v>0</v>
      </c>
    </row>
    <row r="168" spans="1:68" s="90" customFormat="1">
      <c r="A168" s="651" t="s">
        <v>8</v>
      </c>
      <c r="B168" s="92">
        <v>41796</v>
      </c>
      <c r="C168" s="93">
        <v>0</v>
      </c>
      <c r="D168" s="95">
        <f>(Sheet1!BQ170-Sheet1!BQ169)*1.385</f>
        <v>1.73125</v>
      </c>
      <c r="E168" s="30">
        <f>(Sheet1!BR170-Sheet1!BR169)*1.385</f>
        <v>1.7589499999999993</v>
      </c>
      <c r="F168" s="30">
        <f ca="1">IF(B168=TODAY(),0,-(VLOOKUP(Sheet1!CD170,Lookup!$I$4:$J$216,2)-VLOOKUP(Sheet1!CD169,Lookup!$I$4:$J$216,2))/1000000)</f>
        <v>0.51818469273900236</v>
      </c>
      <c r="G168" s="95">
        <f ca="1">IF(B168=TODAY(),0,-$G$6*(Sheet1!CF170-Sheet1!CF169)*7.48/1000000)</f>
        <v>0.49641876315699118</v>
      </c>
      <c r="H168" s="95">
        <f ca="1">IF(B168=TODAY(),0,-$H$6*(Sheet1!CE170-Sheet1!CE169)*7.48/1000000)</f>
        <v>-1.5039432351264204E-2</v>
      </c>
      <c r="I168" s="95">
        <f ca="1">IF(B168=TODAY(),0,-$I$6*(Sheet1!CG170-Sheet1!CG169)*7.48/1000000)</f>
        <v>1.1231220000000002E-2</v>
      </c>
      <c r="J168" s="96" t="s">
        <v>186</v>
      </c>
      <c r="K168" s="95">
        <f ca="1">IF(B168=TODAY(),0,-$K$6*(Sheet1!CH170-Sheet1!CH169)*7.48/1000000)</f>
        <v>2.3321621310604522E-2</v>
      </c>
      <c r="L168" s="96" t="s">
        <v>186</v>
      </c>
      <c r="M168" s="95">
        <f ca="1">IF(B168=TODAY(),0,-$M$6*(Sheet1!CI170-Sheet1!CI169)*7.48/1000000)</f>
        <v>6.6568581183700251E-2</v>
      </c>
      <c r="N168" s="95">
        <f ca="1">IF(B168=TODAY(),0,-$N$6*(Sheet1!CJ170-Sheet1!CJ169)*7.48/1000000)</f>
        <v>4.9641876315699163E-2</v>
      </c>
      <c r="O168" s="95">
        <f t="shared" ca="1" si="21"/>
        <v>1.1503273223547332</v>
      </c>
      <c r="P168" s="95">
        <f ca="1">O168+Calculation!ES168</f>
        <v>-2.3084669802054769</v>
      </c>
      <c r="Q168" s="90" t="str">
        <f>IF(Sheet1!BQ170&gt;25.75,"spill elevation","-")</f>
        <v>-</v>
      </c>
      <c r="R168" s="90" t="str">
        <f>IF(Sheet1!BQ170&gt;25.75,"spill elevation","-")</f>
        <v>-</v>
      </c>
      <c r="S168" s="90" t="str">
        <f>IF(Sheet1!BR170&gt;25.75,"spill elevation","-")</f>
        <v>-</v>
      </c>
      <c r="T168" s="94">
        <f>IF(Sheet1!DU170=1,Sheet1!AA170-(SUM(AT168:BA168)+BE168),Sheet1!AA170-SUM(AT168:BA168))</f>
        <v>19.815007999999999</v>
      </c>
      <c r="U168" s="94">
        <f>Sheet1!BV170</f>
        <v>21.5</v>
      </c>
      <c r="V168" s="94">
        <f t="shared" si="22"/>
        <v>-1.6849920000000012</v>
      </c>
      <c r="W168" s="94">
        <f>0</f>
        <v>0</v>
      </c>
      <c r="X168" s="90">
        <f>0</f>
        <v>0</v>
      </c>
      <c r="Y168" s="95">
        <f ca="1">Calculation!EJ169+Calculation!ES168+'Calculations II'!O168-'Calculations II'!W168</f>
        <v>75.19153301979452</v>
      </c>
      <c r="Z168" s="95">
        <f ca="1">Y168-Sheet1!CT171</f>
        <v>59.051533019794519</v>
      </c>
      <c r="AA168" s="95">
        <f ca="1">Y168+Calculation!DJ169+Calculation!AS169</f>
        <v>87.823346145489737</v>
      </c>
      <c r="AC168" s="95">
        <f>Sheet1!AA170+Sheet1!AB170+BC168</f>
        <v>76.400000000000006</v>
      </c>
      <c r="AD168" s="95">
        <f>Sheet1!AA170+Sheet1!BN170+'Calculations II'!BC168-Calculation!AS168-Calculation!DJ168</f>
        <v>52.088190764572289</v>
      </c>
      <c r="AE168" s="95">
        <f>Sheet1!AA170+Sheet1!AB170+'Calculations II'!BC168-Calculation!AS168-Calculation!DJ168</f>
        <v>64.188190764572312</v>
      </c>
      <c r="AF168" s="95">
        <f ca="1">Sheet1!AA170+Sheet1!BN170+P168+'Calculations II'!BC168+Calculation!AS168+Calculation!DJ168</f>
        <v>74.203342255222225</v>
      </c>
      <c r="AG168" s="95">
        <f ca="1">IF(B168=TODAY(),0,Sheet1!AA170+Sheet1!BN170+'Calculations II'!BC168+'Calculations II'!P168-Sheet1!CT170-BP168)</f>
        <v>45.889533019794513</v>
      </c>
      <c r="AH168" s="95">
        <f ca="1">IF(B168=TODAY(),0,Sheet1!AA170+Sheet1!BN170+'Calculations II'!BC168+'Calculations II'!P168-BP168)</f>
        <v>61.991533019794517</v>
      </c>
      <c r="AI168" s="95">
        <f ca="1">IF(B168=TODAY(),0,BC168+Sheet1!AA170+Calculation!ES168+O168+W168+Sheet1!BN170+Calculation!AS168+Calculation!DJ168-BP168)</f>
        <v>74.203342255222225</v>
      </c>
      <c r="AJ168" s="95"/>
      <c r="AM168" s="91">
        <f t="shared" si="23"/>
        <v>41796</v>
      </c>
      <c r="AN168" s="95">
        <f>Sheet1!BU170</f>
        <v>18.8</v>
      </c>
      <c r="AO168" s="95">
        <f>Sheet1!AA170</f>
        <v>23.7</v>
      </c>
      <c r="AP168" s="95">
        <f t="shared" si="18"/>
        <v>3.4901999999999993</v>
      </c>
      <c r="AQ168" s="1055">
        <f>((Sheet1!BV170-(Sheet1!BU170-AP168))/(Sheet1!BU170-AP168))</f>
        <v>0.4043292531581078</v>
      </c>
      <c r="AR168" s="95">
        <f t="shared" si="19"/>
        <v>20.209800000000001</v>
      </c>
      <c r="AS168" s="95">
        <f t="shared" si="20"/>
        <v>15.309800000000001</v>
      </c>
      <c r="AT168" s="90">
        <f>Sheet1!BB170</f>
        <v>1.6</v>
      </c>
      <c r="AU168" s="90">
        <f>Sheet1!AS170*GPMtoMGD</f>
        <v>1.9296000000000001E-2</v>
      </c>
      <c r="AV168" s="95">
        <f>Sheet1!AT170</f>
        <v>0</v>
      </c>
      <c r="AW168" s="90">
        <f>Sheet1!AV170*GPMtoMGD</f>
        <v>0.78825600000000007</v>
      </c>
      <c r="AX168" s="90">
        <f>Sheet1!AW170*GPMtoMGD</f>
        <v>1.4240159999999999</v>
      </c>
      <c r="AY168" s="90">
        <f>Sheet1!AX170*GPMtoMGD</f>
        <v>5.3424000000000006E-2</v>
      </c>
      <c r="AZ168" s="90">
        <f>Sheet1!AY170*GPMtoMGD</f>
        <v>0</v>
      </c>
      <c r="BA168" s="90">
        <f>Sheet1!AZ170*GPMtoMGD</f>
        <v>0</v>
      </c>
      <c r="BB168" s="90">
        <f>Sheet1!BP170*GPMtoMGD</f>
        <v>0</v>
      </c>
      <c r="BC168" s="90">
        <f>Sheet1!CS170*GPMtoMGD</f>
        <v>0</v>
      </c>
      <c r="BD168" s="90">
        <f>Sheet1!BO170*GPMtoMGD</f>
        <v>2.9851200000000002</v>
      </c>
      <c r="BE168" s="90">
        <f>Sheet1!BW170*GPMtoMGD</f>
        <v>1.3367519999999999</v>
      </c>
      <c r="BF168" s="90">
        <f>Sheet1!CN170*GPMtoMGD</f>
        <v>1.1808000000000001</v>
      </c>
      <c r="BG168" s="90">
        <f>Sheet1!CO170*GPMtoMGD</f>
        <v>1.2921119999999999</v>
      </c>
      <c r="BH168" s="90">
        <f>Sheet1!CP170*GPMtoMGD</f>
        <v>0.88171199999999994</v>
      </c>
      <c r="BI168" s="90">
        <f t="shared" si="24"/>
        <v>2.9851200000000002</v>
      </c>
      <c r="BK168" s="95">
        <f>SUM(AT168:BA168,BE168,Sheet1!BV170,'Calculations II'!BC168,Calculation!AQ168)</f>
        <v>67.214173977289931</v>
      </c>
      <c r="BM168" s="373">
        <f>0</f>
        <v>0</v>
      </c>
      <c r="BN168" s="373">
        <f>0</f>
        <v>0</v>
      </c>
      <c r="BP168" s="95">
        <f>SUM(BM168:BN168,W168,Sheet1!DX170)</f>
        <v>0</v>
      </c>
    </row>
    <row r="169" spans="1:68" s="90" customFormat="1">
      <c r="A169" s="651" t="s">
        <v>9</v>
      </c>
      <c r="B169" s="92">
        <v>41797</v>
      </c>
      <c r="C169" s="93">
        <v>0</v>
      </c>
      <c r="D169" s="95">
        <f>(Sheet1!BQ171-Sheet1!BQ170)*1.385</f>
        <v>2.1328999999999989</v>
      </c>
      <c r="E169" s="30">
        <f>(Sheet1!BR171-Sheet1!BR170)*1.385</f>
        <v>2.1051999999999995</v>
      </c>
      <c r="F169" s="30">
        <f ca="1">IF(B169=TODAY(),0,-(VLOOKUP(Sheet1!CD171,Lookup!$I$4:$J$216,2)-VLOOKUP(Sheet1!CD170,Lookup!$I$4:$J$216,2))/1000000)</f>
        <v>0.93273244693020174</v>
      </c>
      <c r="G169" s="95">
        <f ca="1">IF(B169=TODAY(),0,-$G$6*(Sheet1!CF171-Sheet1!CF170)*7.48/1000000)</f>
        <v>-0.63541601684094862</v>
      </c>
      <c r="H169" s="95">
        <f ca="1">IF(B169=TODAY(),0,-$H$6*(Sheet1!CE171-Sheet1!CE170)*7.48/1000000)</f>
        <v>1.5039432351264204E-2</v>
      </c>
      <c r="I169" s="95">
        <f ca="1">IF(B169=TODAY(),0,-$I$6*(Sheet1!CG171-Sheet1!CG170)*7.48/1000000)</f>
        <v>4.5823377599999979E-2</v>
      </c>
      <c r="J169" s="96" t="s">
        <v>186</v>
      </c>
      <c r="K169" s="95">
        <f ca="1">IF(B169=TODAY(),0,-$K$6*(Sheet1!CH171-Sheet1!CH170)*7.48/1000000)</f>
        <v>7.9959844493501367E-2</v>
      </c>
      <c r="L169" s="96" t="s">
        <v>186</v>
      </c>
      <c r="M169" s="95">
        <f ca="1">IF(B169=TODAY(),0,-$M$6*(Sheet1!CI171-Sheet1!CI170)*7.48/1000000)</f>
        <v>0.2302913078787461</v>
      </c>
      <c r="N169" s="95">
        <f ca="1">IF(B169=TODAY(),0,-$N$6*(Sheet1!CJ171-Sheet1!CJ170)*7.48/1000000)</f>
        <v>0.44677688684129252</v>
      </c>
      <c r="O169" s="95">
        <f t="shared" ca="1" si="21"/>
        <v>1.1152072792540573</v>
      </c>
      <c r="P169" s="95">
        <f ca="1">O169+Calculation!ES169</f>
        <v>-3.1764815638082622</v>
      </c>
      <c r="Q169" s="90" t="str">
        <f>IF(Sheet1!BQ171&gt;25.75,"spill elevation","-")</f>
        <v>-</v>
      </c>
      <c r="R169" s="90" t="str">
        <f>IF(Sheet1!BQ171&gt;25.75,"spill elevation","-")</f>
        <v>-</v>
      </c>
      <c r="S169" s="90" t="str">
        <f>IF(Sheet1!BR171&gt;25.75,"spill elevation","-")</f>
        <v>-</v>
      </c>
      <c r="T169" s="94">
        <f>IF(Sheet1!DU171=1,Sheet1!AA171-(SUM(AT169:BA169)+BE169),Sheet1!AA171-SUM(AT169:BA169))</f>
        <v>19.564095999999999</v>
      </c>
      <c r="U169" s="94">
        <f>Sheet1!BV171</f>
        <v>20.8</v>
      </c>
      <c r="V169" s="94">
        <f t="shared" si="22"/>
        <v>-1.2359040000000014</v>
      </c>
      <c r="W169" s="94">
        <f>0</f>
        <v>0</v>
      </c>
      <c r="X169" s="90">
        <f>0</f>
        <v>0</v>
      </c>
      <c r="Y169" s="95">
        <f ca="1">Calculation!EJ170+Calculation!ES169+'Calculations II'!O169-'Calculations II'!W169</f>
        <v>74.363518436191725</v>
      </c>
      <c r="Z169" s="95">
        <f ca="1">Y169-Sheet1!CT172</f>
        <v>58.553518436191723</v>
      </c>
      <c r="AA169" s="95">
        <f ca="1">Y169+Calculation!DJ170+Calculation!AS170</f>
        <v>86.952946425825189</v>
      </c>
      <c r="AC169" s="95">
        <f>Sheet1!AA171+Sheet1!AB171+BC169</f>
        <v>77.5</v>
      </c>
      <c r="AD169" s="95">
        <f>Sheet1!AA171+Sheet1!BN171+'Calculations II'!BC169-Calculation!AS169-Calculation!DJ169</f>
        <v>52.268186874304789</v>
      </c>
      <c r="AE169" s="95">
        <f>Sheet1!AA171+Sheet1!AB171+'Calculations II'!BC169-Calculation!AS169-Calculation!DJ169</f>
        <v>64.868186874304783</v>
      </c>
      <c r="AF169" s="95">
        <f ca="1">Sheet1!AA171+Sheet1!BN171+P169+'Calculations II'!BC169+Calculation!AS169+Calculation!DJ169</f>
        <v>74.35533156188697</v>
      </c>
      <c r="AG169" s="95">
        <f ca="1">IF(B169=TODAY(),0,Sheet1!AA171+Sheet1!BN171+'Calculations II'!BC169+'Calculations II'!P169-Sheet1!CT171-BP169)</f>
        <v>45.583518436191746</v>
      </c>
      <c r="AH169" s="95">
        <f ca="1">IF(B169=TODAY(),0,Sheet1!AA171+Sheet1!BN171+'Calculations II'!BC169+'Calculations II'!P169-BP169)</f>
        <v>61.723518436191746</v>
      </c>
      <c r="AI169" s="95">
        <f ca="1">IF(B169=TODAY(),0,BC169+Sheet1!AA171+Calculation!ES169+O169+W169+Sheet1!BN171+Calculation!AS169+Calculation!DJ169-BP169)</f>
        <v>74.355331561886956</v>
      </c>
      <c r="AJ169" s="95"/>
      <c r="AM169" s="91">
        <f t="shared" si="23"/>
        <v>41797</v>
      </c>
      <c r="AN169" s="95">
        <f>Sheet1!BU171</f>
        <v>18.7</v>
      </c>
      <c r="AO169" s="95">
        <f>Sheet1!AA171</f>
        <v>23.6</v>
      </c>
      <c r="AP169" s="95">
        <f t="shared" si="18"/>
        <v>4.2380999999999984</v>
      </c>
      <c r="AQ169" s="1055">
        <f>((Sheet1!BV171-(Sheet1!BU171-AP169))/(Sheet1!BU171-AP169))</f>
        <v>0.43826191579253077</v>
      </c>
      <c r="AR169" s="95">
        <f t="shared" si="19"/>
        <v>19.361900000000002</v>
      </c>
      <c r="AS169" s="95">
        <f t="shared" si="20"/>
        <v>14.4619</v>
      </c>
      <c r="AT169" s="90">
        <f>Sheet1!BB171</f>
        <v>1.6</v>
      </c>
      <c r="AU169" s="90">
        <f>Sheet1!AS171*GPMtoMGD</f>
        <v>3.7007999999999999E-2</v>
      </c>
      <c r="AV169" s="95">
        <f>Sheet1!AT171</f>
        <v>0</v>
      </c>
      <c r="AW169" s="90">
        <f>Sheet1!AV171*GPMtoMGD</f>
        <v>1.0224</v>
      </c>
      <c r="AX169" s="90">
        <f>Sheet1!AW171*GPMtoMGD</f>
        <v>1.3429440000000001</v>
      </c>
      <c r="AY169" s="90">
        <f>Sheet1!AX171*GPMtoMGD</f>
        <v>3.3552000000000005E-2</v>
      </c>
      <c r="AZ169" s="90">
        <f>Sheet1!AY171*GPMtoMGD</f>
        <v>0</v>
      </c>
      <c r="BA169" s="90">
        <f>Sheet1!AZ171*GPMtoMGD</f>
        <v>0</v>
      </c>
      <c r="BB169" s="90">
        <f>Sheet1!BP171*GPMtoMGD</f>
        <v>0</v>
      </c>
      <c r="BC169" s="90">
        <f>Sheet1!CS171*GPMtoMGD</f>
        <v>0</v>
      </c>
      <c r="BD169" s="90">
        <f>Sheet1!BO171*GPMtoMGD</f>
        <v>3.0025439999999999</v>
      </c>
      <c r="BE169" s="90">
        <f>Sheet1!BW171*GPMtoMGD</f>
        <v>1.5883200000000002</v>
      </c>
      <c r="BF169" s="90">
        <f>Sheet1!CN171*GPMtoMGD</f>
        <v>1.1808000000000001</v>
      </c>
      <c r="BG169" s="90">
        <f>Sheet1!CO171*GPMtoMGD</f>
        <v>1.2634560000000001</v>
      </c>
      <c r="BH169" s="90">
        <f>Sheet1!CP171*GPMtoMGD</f>
        <v>0.82569599999999999</v>
      </c>
      <c r="BI169" s="90">
        <f t="shared" si="24"/>
        <v>3.0025439999999999</v>
      </c>
      <c r="BK169" s="95">
        <f>SUM(AT169:BA169,BE169,Sheet1!BV171,'Calculations II'!BC169,Calculation!AQ169)</f>
        <v>67.693597377827217</v>
      </c>
      <c r="BM169" s="373">
        <f>0</f>
        <v>0</v>
      </c>
      <c r="BN169" s="373">
        <f>0</f>
        <v>0</v>
      </c>
      <c r="BP169" s="95">
        <f>SUM(BM169:BN169,W169,Sheet1!DX171)</f>
        <v>0</v>
      </c>
    </row>
    <row r="170" spans="1:68" s="90" customFormat="1">
      <c r="A170" s="651" t="s">
        <v>3</v>
      </c>
      <c r="B170" s="92">
        <v>41798</v>
      </c>
      <c r="C170" s="93">
        <v>0</v>
      </c>
      <c r="D170" s="95">
        <f>(Sheet1!BQ172-Sheet1!BQ171)*1.385</f>
        <v>0.7201999999999994</v>
      </c>
      <c r="E170" s="30">
        <f>(Sheet1!BR172-Sheet1!BR171)*1.385</f>
        <v>0.74789999999999879</v>
      </c>
      <c r="F170" s="30">
        <f ca="1">IF(B170=TODAY(),0,-(VLOOKUP(Sheet1!CD172,Lookup!$I$4:$J$216,2)-VLOOKUP(Sheet1!CD171,Lookup!$I$4:$J$216,2))/1000000)</f>
        <v>0.20727387709559872</v>
      </c>
      <c r="G170" s="95">
        <f ca="1">IF(B170=TODAY(),0,-$G$6*(Sheet1!CF172-Sheet1!CF171)*7.48/1000000)</f>
        <v>-1.5488265410498128</v>
      </c>
      <c r="H170" s="95">
        <f ca="1">IF(B170=TODAY(),0,-$H$6*(Sheet1!CE172-Sheet1!CE171)*7.48/1000000)</f>
        <v>-1.5039432351264204E-2</v>
      </c>
      <c r="I170" s="95">
        <f ca="1">IF(B170=TODAY(),0,-$I$6*(Sheet1!CG172-Sheet1!CG171)*7.48/1000000)</f>
        <v>-3.0099669599999997E-2</v>
      </c>
      <c r="J170" s="96" t="s">
        <v>186</v>
      </c>
      <c r="K170" s="95">
        <f ca="1">IF(B170=TODAY(),0,-$K$6*(Sheet1!CH172-Sheet1!CH171)*7.48/1000000)</f>
        <v>-6.3301543557355261E-2</v>
      </c>
      <c r="L170" s="96" t="s">
        <v>186</v>
      </c>
      <c r="M170" s="95">
        <f ca="1">IF(B170=TODAY(),0,-$M$6*(Sheet1!CI172-Sheet1!CI171)*7.48/1000000)</f>
        <v>-8.9957542140135238E-2</v>
      </c>
      <c r="N170" s="95">
        <f ca="1">IF(B170=TODAY(),0,-$N$6*(Sheet1!CJ172-Sheet1!CJ171)*7.48/1000000)</f>
        <v>0.2357989124995713</v>
      </c>
      <c r="O170" s="95">
        <f t="shared" ca="1" si="21"/>
        <v>-1.3041519391033973</v>
      </c>
      <c r="P170" s="95">
        <f ca="1">O170+Calculation!ES170</f>
        <v>-2.6892239874568347</v>
      </c>
      <c r="Q170" s="90" t="str">
        <f>IF(Sheet1!BQ172&gt;25.75,"spill elevation","-")</f>
        <v>-</v>
      </c>
      <c r="R170" s="90" t="str">
        <f>IF(Sheet1!BQ172&gt;25.75,"spill elevation","-")</f>
        <v>-</v>
      </c>
      <c r="S170" s="90" t="str">
        <f>IF(Sheet1!BR172&gt;25.75,"spill elevation","-")</f>
        <v>-</v>
      </c>
      <c r="T170" s="94">
        <f>IF(Sheet1!DU172=1,Sheet1!AA172-(SUM(AT170:BA170)+BE170),Sheet1!AA172-SUM(AT170:BA170))</f>
        <v>19.289008000000003</v>
      </c>
      <c r="U170" s="94">
        <f>Sheet1!BV172</f>
        <v>23.5</v>
      </c>
      <c r="V170" s="94">
        <f t="shared" si="22"/>
        <v>-4.2109919999999974</v>
      </c>
      <c r="W170" s="94">
        <f>0</f>
        <v>0</v>
      </c>
      <c r="X170" s="90">
        <f>0</f>
        <v>0</v>
      </c>
      <c r="Y170" s="95">
        <f ca="1">Calculation!EJ171+Calculation!ES170+'Calculations II'!O170-'Calculations II'!W170</f>
        <v>73.740776012543165</v>
      </c>
      <c r="Z170" s="95">
        <f ca="1">Y170-Sheet1!CT173</f>
        <v>57.800776012543167</v>
      </c>
      <c r="AA170" s="95">
        <f ca="1">Y170+Calculation!DJ171+Calculation!AS171</f>
        <v>85.638580149950641</v>
      </c>
      <c r="AC170" s="95">
        <f>Sheet1!AA172+Sheet1!AB172+BC170</f>
        <v>77.539999999999992</v>
      </c>
      <c r="AD170" s="95">
        <f>Sheet1!AA172+Sheet1!BN172+'Calculations II'!BC170-Calculation!AS170-Calculation!DJ170</f>
        <v>52.480572010366529</v>
      </c>
      <c r="AE170" s="95">
        <f>Sheet1!AA172+Sheet1!AB172+'Calculations II'!BC170-Calculation!AS170-Calculation!DJ170</f>
        <v>64.950572010366528</v>
      </c>
      <c r="AF170" s="95">
        <f ca="1">Sheet1!AA172+Sheet1!BN172+P170+'Calculations II'!BC170+Calculation!AS170+Calculation!DJ170</f>
        <v>74.970204002176629</v>
      </c>
      <c r="AG170" s="95">
        <f ca="1">IF(B170=TODAY(),0,Sheet1!AA172+Sheet1!BN172+'Calculations II'!BC170+'Calculations II'!P170-Sheet1!CT172-BP170)</f>
        <v>46.570776012543156</v>
      </c>
      <c r="AH170" s="95">
        <f ca="1">IF(B170=TODAY(),0,Sheet1!AA172+Sheet1!BN172+'Calculations II'!BC170+'Calculations II'!P170-BP170)</f>
        <v>62.380776012543159</v>
      </c>
      <c r="AI170" s="95">
        <f ca="1">IF(B170=TODAY(),0,BC170+Sheet1!AA172+Calculation!ES170+O170+W170+Sheet1!BN172+Calculation!AS170+Calculation!DJ170-BP170)</f>
        <v>74.970204002176629</v>
      </c>
      <c r="AJ170" s="95"/>
      <c r="AM170" s="91">
        <f t="shared" si="23"/>
        <v>41798</v>
      </c>
      <c r="AN170" s="95">
        <f>Sheet1!BU172</f>
        <v>18.600000000000001</v>
      </c>
      <c r="AO170" s="95">
        <f>Sheet1!AA172</f>
        <v>23.67</v>
      </c>
      <c r="AP170" s="95">
        <f t="shared" si="18"/>
        <v>1.4680999999999982</v>
      </c>
      <c r="AQ170" s="1055">
        <f>((Sheet1!BV172-(Sheet1!BU172-AP170))/(Sheet1!BU172-AP170))</f>
        <v>0.37171008469580125</v>
      </c>
      <c r="AR170" s="95">
        <f t="shared" si="19"/>
        <v>22.201900000000002</v>
      </c>
      <c r="AS170" s="95">
        <f t="shared" si="20"/>
        <v>17.131900000000002</v>
      </c>
      <c r="AT170" s="90">
        <f>Sheet1!BB172</f>
        <v>1.61</v>
      </c>
      <c r="AU170" s="90">
        <f>Sheet1!AS172*GPMtoMGD</f>
        <v>3.4992000000000002E-2</v>
      </c>
      <c r="AV170" s="95">
        <f>Sheet1!AT172</f>
        <v>0</v>
      </c>
      <c r="AW170" s="90">
        <f>Sheet1!AV172*GPMtoMGD</f>
        <v>1.1962080000000002</v>
      </c>
      <c r="AX170" s="90">
        <f>Sheet1!AW172*GPMtoMGD</f>
        <v>1.4937119999999999</v>
      </c>
      <c r="AY170" s="90">
        <f>Sheet1!AX172*GPMtoMGD</f>
        <v>4.6080000000000003E-2</v>
      </c>
      <c r="AZ170" s="90">
        <f>Sheet1!AY172*GPMtoMGD</f>
        <v>0</v>
      </c>
      <c r="BA170" s="90">
        <f>Sheet1!AZ172*GPMtoMGD</f>
        <v>0</v>
      </c>
      <c r="BB170" s="90">
        <f>Sheet1!BP172*GPMtoMGD</f>
        <v>0</v>
      </c>
      <c r="BC170" s="90">
        <f>Sheet1!CS172*GPMtoMGD</f>
        <v>0</v>
      </c>
      <c r="BD170" s="90">
        <f>Sheet1!BO172*GPMtoMGD</f>
        <v>3.5768160000000004</v>
      </c>
      <c r="BE170" s="90">
        <f>Sheet1!BW172*GPMtoMGD</f>
        <v>1.6037280000000003</v>
      </c>
      <c r="BF170" s="90">
        <f>Sheet1!CN172*GPMtoMGD</f>
        <v>1.1808000000000001</v>
      </c>
      <c r="BG170" s="90">
        <f>Sheet1!CO172*GPMtoMGD</f>
        <v>1.2991680000000001</v>
      </c>
      <c r="BH170" s="90">
        <f>Sheet1!CP172*GPMtoMGD</f>
        <v>0.8640000000000001</v>
      </c>
      <c r="BI170" s="90">
        <f t="shared" si="24"/>
        <v>3.5768160000000004</v>
      </c>
      <c r="BK170" s="95">
        <f>SUM(AT170:BA170,BE170,Sheet1!BV172,'Calculations II'!BC170,Calculation!AQ170)</f>
        <v>70.769762576823396</v>
      </c>
      <c r="BM170" s="373">
        <f>0</f>
        <v>0</v>
      </c>
      <c r="BN170" s="373">
        <f>0</f>
        <v>0</v>
      </c>
      <c r="BP170" s="95">
        <f>SUM(BM170:BN170,W170,Sheet1!DX172)</f>
        <v>0</v>
      </c>
    </row>
    <row r="171" spans="1:68" s="90" customFormat="1">
      <c r="A171" s="651" t="s">
        <v>4</v>
      </c>
      <c r="B171" s="92">
        <v>41799</v>
      </c>
      <c r="C171" s="93">
        <v>0</v>
      </c>
      <c r="D171" s="95">
        <f>(Sheet1!BQ173-Sheet1!BQ172)*1.385</f>
        <v>2.2298500000000043</v>
      </c>
      <c r="E171" s="30">
        <f>(Sheet1!BR173-Sheet1!BR172)*1.385</f>
        <v>2.216000000000002</v>
      </c>
      <c r="F171" s="30">
        <f ca="1">IF(B171=TODAY(),0,-(VLOOKUP(Sheet1!CD173,Lookup!$I$4:$J$216,2)-VLOOKUP(Sheet1!CD172,Lookup!$I$4:$J$216,2))/1000000)</f>
        <v>-0.51818469273899681</v>
      </c>
      <c r="G171" s="95">
        <f ca="1">IF(B171=TODAY(),0,-$G$6*(Sheet1!CF173-Sheet1!CF172)*7.48/1000000)</f>
        <v>0.97298077578770248</v>
      </c>
      <c r="H171" s="95">
        <f ca="1">IF(B171=TODAY(),0,-$H$6*(Sheet1!CE173-Sheet1!CE172)*7.48/1000000)</f>
        <v>9.0236594107589496E-2</v>
      </c>
      <c r="I171" s="95">
        <f ca="1">IF(B171=TODAY(),0,-$I$6*(Sheet1!CG173-Sheet1!CG172)*7.48/1000000)</f>
        <v>-1.2129717599999982E-2</v>
      </c>
      <c r="J171" s="96" t="s">
        <v>186</v>
      </c>
      <c r="K171" s="95">
        <f ca="1">IF(B171=TODAY(),0,-$K$6*(Sheet1!CH173-Sheet1!CH172)*7.48/1000000)</f>
        <v>-6.6633203744584186E-3</v>
      </c>
      <c r="L171" s="96" t="s">
        <v>186</v>
      </c>
      <c r="M171" s="95">
        <f ca="1">IF(B171=TODAY(),0,-$M$6*(Sheet1!CI173-Sheet1!CI172)*7.48/1000000)</f>
        <v>-0.14393206742421619</v>
      </c>
      <c r="N171" s="95">
        <f ca="1">IF(B171=TODAY(),0,-$N$6*(Sheet1!CJ173-Sheet1!CJ172)*7.48/1000000)</f>
        <v>-0.21718320888118456</v>
      </c>
      <c r="O171" s="95">
        <f t="shared" ca="1" si="21"/>
        <v>0.16512436287643606</v>
      </c>
      <c r="P171" s="95">
        <f ca="1">O171+Calculation!ES171</f>
        <v>-4.2692598484925233</v>
      </c>
      <c r="Q171" s="90" t="str">
        <f>IF(Sheet1!BQ173&gt;25.75,"spill elevation","-")</f>
        <v>-</v>
      </c>
      <c r="R171" s="90" t="str">
        <f>IF(Sheet1!BQ173&gt;25.75,"spill elevation","-")</f>
        <v>-</v>
      </c>
      <c r="S171" s="90" t="str">
        <f>IF(Sheet1!BR173&gt;25.75,"spill elevation","-")</f>
        <v>-</v>
      </c>
      <c r="T171" s="94">
        <f>IF(Sheet1!DU173=1,Sheet1!AA173-(SUM(AT171:BA171)+BE171),Sheet1!AA173-SUM(AT171:BA171))</f>
        <v>19.267311999999997</v>
      </c>
      <c r="U171" s="94">
        <f>Sheet1!BV173</f>
        <v>20.399999999999999</v>
      </c>
      <c r="V171" s="94">
        <f t="shared" si="22"/>
        <v>-1.1326880000000017</v>
      </c>
      <c r="W171" s="94">
        <f>0</f>
        <v>0</v>
      </c>
      <c r="X171" s="90">
        <f>0</f>
        <v>0</v>
      </c>
      <c r="Y171" s="95">
        <f ca="1">Calculation!EJ172+Calculation!ES171+'Calculations II'!O171-'Calculations II'!W171</f>
        <v>69.060740151507474</v>
      </c>
      <c r="Z171" s="95">
        <f ca="1">Y171-Sheet1!CT174</f>
        <v>53.300740151507476</v>
      </c>
      <c r="AA171" s="95">
        <f ca="1">Y171+Calculation!DJ172+Calculation!AS172</f>
        <v>80.663787947907224</v>
      </c>
      <c r="AC171" s="95">
        <f>Sheet1!AA173+Sheet1!AB173+BC171</f>
        <v>76.429999999999993</v>
      </c>
      <c r="AD171" s="95">
        <f>Sheet1!AA173+Sheet1!BN173+'Calculations II'!BC171-Calculation!AS171-Calculation!DJ171</f>
        <v>52.602195862592524</v>
      </c>
      <c r="AE171" s="95">
        <f>Sheet1!AA173+Sheet1!AB173+'Calculations II'!BC171-Calculation!AS171-Calculation!DJ171</f>
        <v>64.532195862592516</v>
      </c>
      <c r="AF171" s="95">
        <f ca="1">Sheet1!AA173+Sheet1!BN173+P171+'Calculations II'!BC171+Calculation!AS171+Calculation!DJ171</f>
        <v>72.128544288914952</v>
      </c>
      <c r="AG171" s="95">
        <f ca="1">IF(B171=TODAY(),0,Sheet1!AA173+Sheet1!BN173+'Calculations II'!BC171+'Calculations II'!P171-Sheet1!CT173-BP171)</f>
        <v>44.290740151507478</v>
      </c>
      <c r="AH171" s="95">
        <f ca="1">IF(B171=TODAY(),0,Sheet1!AA173+Sheet1!BN173+'Calculations II'!BC171+'Calculations II'!P171-BP171)</f>
        <v>60.230740151507476</v>
      </c>
      <c r="AI171" s="95">
        <f ca="1">IF(B171=TODAY(),0,BC171+Sheet1!AA173+Calculation!ES171+O171+W171+Sheet1!BN173+Calculation!AS171+Calculation!DJ171-BP171)</f>
        <v>72.128544288914952</v>
      </c>
      <c r="AJ171" s="95"/>
      <c r="AM171" s="91">
        <f t="shared" si="23"/>
        <v>41799</v>
      </c>
      <c r="AN171" s="95">
        <f>Sheet1!BU173</f>
        <v>20.5</v>
      </c>
      <c r="AO171" s="95">
        <f>Sheet1!AA173</f>
        <v>23.7</v>
      </c>
      <c r="AP171" s="95">
        <f t="shared" si="18"/>
        <v>4.4458500000000063</v>
      </c>
      <c r="AQ171" s="1055">
        <f>((Sheet1!BV173-(Sheet1!BU173-AP171))/(Sheet1!BU173-AP171))</f>
        <v>0.27069947645935832</v>
      </c>
      <c r="AR171" s="95">
        <f t="shared" si="19"/>
        <v>19.254149999999992</v>
      </c>
      <c r="AS171" s="95">
        <f t="shared" si="20"/>
        <v>16.054149999999993</v>
      </c>
      <c r="AT171" s="90">
        <f>Sheet1!BB173</f>
        <v>1.61</v>
      </c>
      <c r="AU171" s="90">
        <f>Sheet1!AS173*GPMtoMGD</f>
        <v>3.5712000000000001E-2</v>
      </c>
      <c r="AV171" s="95">
        <f>Sheet1!AT173</f>
        <v>0</v>
      </c>
      <c r="AW171" s="90">
        <f>Sheet1!AV173*GPMtoMGD</f>
        <v>1.151856</v>
      </c>
      <c r="AX171" s="90">
        <f>Sheet1!AW173*GPMtoMGD</f>
        <v>1.4523840000000001</v>
      </c>
      <c r="AY171" s="90">
        <f>Sheet1!AX173*GPMtoMGD</f>
        <v>0.18273600000000001</v>
      </c>
      <c r="AZ171" s="90">
        <f>Sheet1!AY173*GPMtoMGD</f>
        <v>0</v>
      </c>
      <c r="BA171" s="90">
        <f>Sheet1!AZ173*GPMtoMGD</f>
        <v>0</v>
      </c>
      <c r="BB171" s="90">
        <f>Sheet1!BP173*GPMtoMGD</f>
        <v>0.26812799999999998</v>
      </c>
      <c r="BC171" s="90">
        <f>Sheet1!CS173*GPMtoMGD</f>
        <v>0</v>
      </c>
      <c r="BD171" s="90">
        <f>Sheet1!BO173*GPMtoMGD</f>
        <v>2.876112</v>
      </c>
      <c r="BE171" s="90">
        <f>Sheet1!BW173*GPMtoMGD</f>
        <v>1.456272</v>
      </c>
      <c r="BF171" s="90">
        <f>Sheet1!CN173*GPMtoMGD</f>
        <v>1.1808000000000001</v>
      </c>
      <c r="BG171" s="90">
        <f>Sheet1!CO173*GPMtoMGD</f>
        <v>1.1433600000000002</v>
      </c>
      <c r="BH171" s="90">
        <f>Sheet1!CP173*GPMtoMGD</f>
        <v>0.87940800000000008</v>
      </c>
      <c r="BI171" s="90">
        <f t="shared" si="24"/>
        <v>3.1442399999999999</v>
      </c>
      <c r="BK171" s="95">
        <f>SUM(AT171:BA171,BE171,Sheet1!BV173,'Calculations II'!BC171,Calculation!AQ171)</f>
        <v>67.119933619282591</v>
      </c>
      <c r="BM171" s="373">
        <f>0</f>
        <v>0</v>
      </c>
      <c r="BN171" s="373">
        <f>0</f>
        <v>0</v>
      </c>
      <c r="BP171" s="95">
        <f>SUM(BM171:BN171,W171,Sheet1!DX173)</f>
        <v>0</v>
      </c>
    </row>
    <row r="172" spans="1:68" s="90" customFormat="1">
      <c r="A172" s="651" t="s">
        <v>5</v>
      </c>
      <c r="B172" s="92">
        <v>41800</v>
      </c>
      <c r="C172" s="93">
        <v>0</v>
      </c>
      <c r="D172" s="95">
        <f>(Sheet1!BQ174-Sheet1!BQ173)*1.385</f>
        <v>1.0525999999999973</v>
      </c>
      <c r="E172" s="30">
        <f>(Sheet1!BR174-Sheet1!BR173)*1.385</f>
        <v>1.0110500000000007</v>
      </c>
      <c r="F172" s="30">
        <f ca="1">IF(B172=TODAY(),0,-(VLOOKUP(Sheet1!CD174,Lookup!$I$4:$J$216,2)-VLOOKUP(Sheet1!CD173,Lookup!$I$4:$J$216,2))/1000000)</f>
        <v>0.10363693854779936</v>
      </c>
      <c r="G172" s="95">
        <f ca="1">IF(B172=TODAY(),0,-$G$6*(Sheet1!CF174-Sheet1!CF173)*7.48/1000000)</f>
        <v>-0.53613226420954962</v>
      </c>
      <c r="H172" s="95">
        <f ca="1">IF(B172=TODAY(),0,-$H$6*(Sheet1!CE174-Sheet1!CE173)*7.48/1000000)</f>
        <v>-0.12031545881012005</v>
      </c>
      <c r="I172" s="95">
        <f ca="1">IF(B172=TODAY(),0,-$I$6*(Sheet1!CG174-Sheet1!CG173)*7.48/1000000)</f>
        <v>1.6622205600000006E-2</v>
      </c>
      <c r="J172" s="96" t="s">
        <v>186</v>
      </c>
      <c r="K172" s="95">
        <f ca="1">IF(B172=TODAY(),0,-$K$6*(Sheet1!CH174-Sheet1!CH173)*7.48/1000000)</f>
        <v>2.3321621310604522E-2</v>
      </c>
      <c r="L172" s="96" t="s">
        <v>186</v>
      </c>
      <c r="M172" s="95">
        <f ca="1">IF(B172=TODAY(),0,-$M$6*(Sheet1!CI174-Sheet1!CI173)*7.48/1000000)</f>
        <v>8.9957542140134933E-2</v>
      </c>
      <c r="N172" s="95">
        <f ca="1">IF(B172=TODAY(),0,-$N$6*(Sheet1!CJ174-Sheet1!CJ173)*7.48/1000000)</f>
        <v>3.723140723677465E-2</v>
      </c>
      <c r="O172" s="95">
        <f t="shared" ca="1" si="21"/>
        <v>-0.38567800818435605</v>
      </c>
      <c r="P172" s="95">
        <f ca="1">O172+Calculation!ES172</f>
        <v>-2.4654239598613508</v>
      </c>
      <c r="Q172" s="90" t="str">
        <f>IF(Sheet1!BQ174&gt;25.75,"spill elevation","-")</f>
        <v>-</v>
      </c>
      <c r="R172" s="90" t="str">
        <f>IF(Sheet1!BQ174&gt;25.75,"spill elevation","-")</f>
        <v>-</v>
      </c>
      <c r="S172" s="90" t="str">
        <f>IF(Sheet1!BR174&gt;25.75,"spill elevation","-")</f>
        <v>-</v>
      </c>
      <c r="T172" s="94">
        <f>IF(Sheet1!DU174=1,Sheet1!AA174-(SUM(AT172:BA172)+BE172),Sheet1!AA174-SUM(AT172:BA172))</f>
        <v>21.120671999999999</v>
      </c>
      <c r="U172" s="94">
        <f>Sheet1!BV174</f>
        <v>24.3</v>
      </c>
      <c r="V172" s="94">
        <f t="shared" si="22"/>
        <v>-3.1793280000000017</v>
      </c>
      <c r="W172" s="94">
        <f>0</f>
        <v>0</v>
      </c>
      <c r="X172" s="90">
        <f>0</f>
        <v>0</v>
      </c>
      <c r="Y172" s="95">
        <f ca="1">Calculation!EJ173+Calculation!ES172+'Calculations II'!O172-'Calculations II'!W172</f>
        <v>69.624576040138649</v>
      </c>
      <c r="Z172" s="95">
        <f ca="1">Y172-Sheet1!CT175</f>
        <v>53.724576040138651</v>
      </c>
      <c r="AA172" s="95">
        <f ca="1">Y172+Calculation!DJ173+Calculation!AS173</f>
        <v>81.25472805914103</v>
      </c>
      <c r="AC172" s="95">
        <f>Sheet1!AA174+Sheet1!AB174+BC172</f>
        <v>73.33</v>
      </c>
      <c r="AD172" s="95">
        <f>Sheet1!AA174+Sheet1!BN174+'Calculations II'!BC172-Calculation!AS172-Calculation!DJ172</f>
        <v>50.226952203600248</v>
      </c>
      <c r="AE172" s="95">
        <f>Sheet1!AA174+Sheet1!AB174+'Calculations II'!BC172-Calculation!AS172-Calculation!DJ172</f>
        <v>61.726952203600248</v>
      </c>
      <c r="AF172" s="95">
        <f ca="1">Sheet1!AA174+Sheet1!BN174+P172+'Calculations II'!BC172+Calculation!AS172+Calculation!DJ172</f>
        <v>70.967623836538394</v>
      </c>
      <c r="AG172" s="95">
        <f ca="1">IF(B172=TODAY(),0,Sheet1!AA174+Sheet1!BN174+'Calculations II'!BC172+'Calculations II'!P172-Sheet1!CT174-BP172)</f>
        <v>43.604576040138646</v>
      </c>
      <c r="AH172" s="95">
        <f ca="1">IF(B172=TODAY(),0,Sheet1!AA174+Sheet1!BN174+'Calculations II'!BC172+'Calculations II'!P172-BP172)</f>
        <v>59.364576040138644</v>
      </c>
      <c r="AI172" s="95">
        <f ca="1">IF(B172=TODAY(),0,BC172+Sheet1!AA174+Calculation!ES172+O172+W172+Sheet1!BN174+Calculation!AS172+Calculation!DJ172-BP172)</f>
        <v>70.967623836538408</v>
      </c>
      <c r="AJ172" s="95"/>
      <c r="AM172" s="91">
        <f t="shared" si="23"/>
        <v>41800</v>
      </c>
      <c r="AN172" s="95">
        <f>Sheet1!BU174</f>
        <v>23.4</v>
      </c>
      <c r="AO172" s="95">
        <f>Sheet1!AA174</f>
        <v>25.13</v>
      </c>
      <c r="AP172" s="95">
        <f t="shared" si="18"/>
        <v>2.0636499999999982</v>
      </c>
      <c r="AQ172" s="1055">
        <f>((Sheet1!BV174-(Sheet1!BU174-AP172))/(Sheet1!BU174-AP172))</f>
        <v>0.13890145221652256</v>
      </c>
      <c r="AR172" s="95">
        <f t="shared" si="19"/>
        <v>23.06635</v>
      </c>
      <c r="AS172" s="95">
        <f t="shared" si="20"/>
        <v>21.336349999999999</v>
      </c>
      <c r="AT172" s="90">
        <f>Sheet1!BB174</f>
        <v>1.61</v>
      </c>
      <c r="AU172" s="90">
        <f>Sheet1!AS174*GPMtoMGD</f>
        <v>2.1167999999999999E-2</v>
      </c>
      <c r="AV172" s="95">
        <f>Sheet1!AT174</f>
        <v>0</v>
      </c>
      <c r="AW172" s="90">
        <f>Sheet1!AV174*GPMtoMGD</f>
        <v>1.075968</v>
      </c>
      <c r="AX172" s="90">
        <f>Sheet1!AW174*GPMtoMGD</f>
        <v>1.2594240000000001</v>
      </c>
      <c r="AY172" s="90">
        <f>Sheet1!AX174*GPMtoMGD</f>
        <v>4.2768E-2</v>
      </c>
      <c r="AZ172" s="90">
        <f>Sheet1!AY174*GPMtoMGD</f>
        <v>0</v>
      </c>
      <c r="BA172" s="90">
        <f>Sheet1!AZ174*GPMtoMGD</f>
        <v>0</v>
      </c>
      <c r="BB172" s="90">
        <f>Sheet1!BP174*GPMtoMGD</f>
        <v>0</v>
      </c>
      <c r="BC172" s="90">
        <f>Sheet1!CS174*GPMtoMGD</f>
        <v>0</v>
      </c>
      <c r="BD172" s="90">
        <f>Sheet1!BO174*GPMtoMGD</f>
        <v>2.7430560000000002</v>
      </c>
      <c r="BE172" s="90">
        <f>Sheet1!BW174*GPMtoMGD</f>
        <v>1.2294720000000001</v>
      </c>
      <c r="BF172" s="90">
        <f>Sheet1!CN174*GPMtoMGD</f>
        <v>1.1808000000000001</v>
      </c>
      <c r="BG172" s="90">
        <f>Sheet1!CO174*GPMtoMGD</f>
        <v>1.1162880000000002</v>
      </c>
      <c r="BH172" s="90">
        <f>Sheet1!CP174*GPMtoMGD</f>
        <v>0.86731199999999997</v>
      </c>
      <c r="BI172" s="90">
        <f t="shared" si="24"/>
        <v>2.7430560000000002</v>
      </c>
      <c r="BK172" s="95">
        <f>SUM(AT172:BA172,BE172,Sheet1!BV174,'Calculations II'!BC172,Calculation!AQ172)</f>
        <v>66.140082847092913</v>
      </c>
      <c r="BM172" s="373">
        <f>0</f>
        <v>0</v>
      </c>
      <c r="BN172" s="373">
        <f>0</f>
        <v>0</v>
      </c>
      <c r="BP172" s="95">
        <f>SUM(BM172:BN172,W172,Sheet1!DX174)</f>
        <v>0</v>
      </c>
    </row>
    <row r="173" spans="1:68" s="90" customFormat="1">
      <c r="A173" s="651" t="s">
        <v>6</v>
      </c>
      <c r="B173" s="92">
        <v>41801</v>
      </c>
      <c r="C173" s="93">
        <v>0</v>
      </c>
      <c r="D173" s="95">
        <f>(Sheet1!BQ175-Sheet1!BQ174)*1.385</f>
        <v>-1.8697499999999971</v>
      </c>
      <c r="E173" s="30">
        <f>(Sheet1!BR175-Sheet1!BR174)*1.385</f>
        <v>-1.8835999999999993</v>
      </c>
      <c r="F173" s="30">
        <f ca="1">IF(B173=TODAY(),0,-(VLOOKUP(Sheet1!CD175,Lookup!$I$4:$J$216,2)-VLOOKUP(Sheet1!CD174,Lookup!$I$4:$J$216,2))/1000000)</f>
        <v>0</v>
      </c>
      <c r="G173" s="95">
        <f ca="1">IF(B173=TODAY(),0,-$G$6*(Sheet1!CF175-Sheet1!CF174)*7.48/1000000)</f>
        <v>-0.13502590357870153</v>
      </c>
      <c r="H173" s="95">
        <f ca="1">IF(B173=TODAY(),0,-$H$6*(Sheet1!CE175-Sheet1!CE174)*7.48/1000000)</f>
        <v>0.10527602645885584</v>
      </c>
      <c r="I173" s="95">
        <f ca="1">IF(B173=TODAY(),0,-$I$6*(Sheet1!CG175-Sheet1!CG174)*7.48/1000000)</f>
        <v>-2.2462440000000318E-3</v>
      </c>
      <c r="J173" s="96" t="s">
        <v>186</v>
      </c>
      <c r="K173" s="95">
        <f ca="1">IF(B173=TODAY(),0,-$K$6*(Sheet1!CH175-Sheet1!CH174)*7.48/1000000)</f>
        <v>-6.6633203744584186E-3</v>
      </c>
      <c r="L173" s="96" t="s">
        <v>186</v>
      </c>
      <c r="M173" s="95">
        <f ca="1">IF(B173=TODAY(),0,-$M$6*(Sheet1!CI175-Sheet1!CI174)*7.48/1000000)</f>
        <v>0</v>
      </c>
      <c r="N173" s="95">
        <f ca="1">IF(B173=TODAY(),0,-$N$6*(Sheet1!CJ175-Sheet1!CJ174)*7.48/1000000)</f>
        <v>-0.27303031973634484</v>
      </c>
      <c r="O173" s="95">
        <f t="shared" ca="1" si="21"/>
        <v>-0.31168976123064895</v>
      </c>
      <c r="P173" s="95">
        <f ca="1">O173+Calculation!ES173</f>
        <v>3.4313348955922076</v>
      </c>
      <c r="Q173" s="90" t="str">
        <f>IF(Sheet1!BQ175&gt;25.75,"spill elevation","-")</f>
        <v>-</v>
      </c>
      <c r="R173" s="90" t="str">
        <f>IF(Sheet1!BQ175&gt;25.75,"spill elevation","-")</f>
        <v>-</v>
      </c>
      <c r="S173" s="90" t="str">
        <f>IF(Sheet1!BR175&gt;25.75,"spill elevation","-")</f>
        <v>-</v>
      </c>
      <c r="T173" s="94">
        <f>IF(Sheet1!DU175=1,Sheet1!AA175-(SUM(AT173:BA173)+BE173),Sheet1!AA175-SUM(AT173:BA173))</f>
        <v>26.046352000000002</v>
      </c>
      <c r="U173" s="94">
        <f>Sheet1!BV175</f>
        <v>34.6</v>
      </c>
      <c r="V173" s="94">
        <f t="shared" si="22"/>
        <v>-8.553647999999999</v>
      </c>
      <c r="W173" s="94">
        <f>0</f>
        <v>0</v>
      </c>
      <c r="X173" s="90">
        <f>0</f>
        <v>0</v>
      </c>
      <c r="Y173" s="95">
        <f ca="1">Calculation!EJ174+Calculation!ES173+'Calculations II'!O173-'Calculations II'!W173</f>
        <v>75.751334895592194</v>
      </c>
      <c r="Z173" s="95">
        <f ca="1">Y173-Sheet1!CT176</f>
        <v>58.961334895592195</v>
      </c>
      <c r="AA173" s="95">
        <f ca="1">Y173+Calculation!DJ174+Calculation!AS174</f>
        <v>87.459101885883456</v>
      </c>
      <c r="AC173" s="95">
        <f>Sheet1!AA175+Sheet1!AB175+BC173</f>
        <v>72.09</v>
      </c>
      <c r="AD173" s="95">
        <f>Sheet1!AA175+Sheet1!BN175+'Calculations II'!BC173-Calculation!AS173-Calculation!DJ173</f>
        <v>49.049847980997619</v>
      </c>
      <c r="AE173" s="95">
        <f>Sheet1!AA175+Sheet1!AB175+'Calculations II'!BC173-Calculation!AS173-Calculation!DJ173</f>
        <v>60.459847980997623</v>
      </c>
      <c r="AF173" s="95">
        <f ca="1">Sheet1!AA175+Sheet1!BN175+P173+'Calculations II'!BC173+Calculation!AS173+Calculation!DJ173</f>
        <v>75.741486914594589</v>
      </c>
      <c r="AG173" s="95">
        <f ca="1">IF(B173=TODAY(),0,Sheet1!AA175+Sheet1!BN175+'Calculations II'!BC173+'Calculations II'!P173-Sheet1!CT175-BP173)</f>
        <v>48.211334895592209</v>
      </c>
      <c r="AH173" s="95">
        <f ca="1">IF(B173=TODAY(),0,Sheet1!AA175+Sheet1!BN175+'Calculations II'!BC173+'Calculations II'!P173-BP173)</f>
        <v>64.111334895592208</v>
      </c>
      <c r="AI173" s="95">
        <f ca="1">IF(B173=TODAY(),0,BC173+Sheet1!AA175+Calculation!ES173+O173+W173+Sheet1!BN175+Calculation!AS173+Calculation!DJ173-BP173)</f>
        <v>75.741486914594589</v>
      </c>
      <c r="AJ173" s="95"/>
      <c r="AM173" s="91">
        <f t="shared" si="23"/>
        <v>41801</v>
      </c>
      <c r="AN173" s="95">
        <f>Sheet1!BU175</f>
        <v>28</v>
      </c>
      <c r="AO173" s="95">
        <f>Sheet1!AA175</f>
        <v>30.28</v>
      </c>
      <c r="AP173" s="95">
        <f t="shared" si="18"/>
        <v>-3.7533499999999966</v>
      </c>
      <c r="AQ173" s="1055">
        <f>((Sheet1!BV175-(Sheet1!BU175-AP173))/(Sheet1!BU175-AP173))</f>
        <v>8.9648808708372635E-2</v>
      </c>
      <c r="AR173" s="95">
        <f t="shared" si="19"/>
        <v>34.033349999999999</v>
      </c>
      <c r="AS173" s="95">
        <f t="shared" si="20"/>
        <v>31.753349999999998</v>
      </c>
      <c r="AT173" s="90">
        <f>Sheet1!BB175</f>
        <v>1.56</v>
      </c>
      <c r="AU173" s="90">
        <f>Sheet1!AS175*GPMtoMGD</f>
        <v>3.2544000000000003E-2</v>
      </c>
      <c r="AV173" s="95">
        <f>Sheet1!AT175</f>
        <v>0</v>
      </c>
      <c r="AW173" s="90">
        <f>Sheet1!AV175*GPMtoMGD</f>
        <v>1.1268</v>
      </c>
      <c r="AX173" s="90">
        <f>Sheet1!AW175*GPMtoMGD</f>
        <v>1.4421600000000001</v>
      </c>
      <c r="AY173" s="90">
        <f>Sheet1!AX175*GPMtoMGD</f>
        <v>7.2144E-2</v>
      </c>
      <c r="AZ173" s="90">
        <f>Sheet1!AY175*GPMtoMGD</f>
        <v>0</v>
      </c>
      <c r="BA173" s="90">
        <f>Sheet1!AZ175*GPMtoMGD</f>
        <v>0</v>
      </c>
      <c r="BB173" s="90">
        <f>Sheet1!BP175*GPMtoMGD</f>
        <v>0</v>
      </c>
      <c r="BC173" s="90">
        <f>Sheet1!CS175*GPMtoMGD</f>
        <v>0</v>
      </c>
      <c r="BD173" s="90">
        <f>Sheet1!BO175*GPMtoMGD</f>
        <v>3.1419360000000003</v>
      </c>
      <c r="BE173" s="90">
        <f>Sheet1!BW175*GPMtoMGD</f>
        <v>1.6066080000000003</v>
      </c>
      <c r="BF173" s="90">
        <f>Sheet1!CN175*GPMtoMGD</f>
        <v>1.1808000000000001</v>
      </c>
      <c r="BG173" s="90">
        <f>Sheet1!CO175*GPMtoMGD</f>
        <v>1.3033440000000001</v>
      </c>
      <c r="BH173" s="90">
        <f>Sheet1!CP175*GPMtoMGD</f>
        <v>0.92174400000000012</v>
      </c>
      <c r="BI173" s="90">
        <f t="shared" si="24"/>
        <v>3.1419360000000003</v>
      </c>
      <c r="BK173" s="95">
        <f>SUM(AT173:BA173,BE173,Sheet1!BV175,'Calculations II'!BC173,Calculation!AQ173)</f>
        <v>70.630849824228036</v>
      </c>
      <c r="BM173" s="373">
        <f>0</f>
        <v>0</v>
      </c>
      <c r="BN173" s="373">
        <f>0</f>
        <v>0</v>
      </c>
      <c r="BP173" s="95">
        <f>SUM(BM173:BN173,W173,Sheet1!DX175)</f>
        <v>0</v>
      </c>
    </row>
    <row r="174" spans="1:68" s="90" customFormat="1">
      <c r="A174" s="651" t="s">
        <v>7</v>
      </c>
      <c r="B174" s="92">
        <v>41802</v>
      </c>
      <c r="C174" s="93">
        <v>0</v>
      </c>
      <c r="D174" s="95">
        <f>(Sheet1!BQ176-Sheet1!BQ175)*1.385</f>
        <v>1.7866499999999987</v>
      </c>
      <c r="E174" s="30">
        <f>(Sheet1!BR176-Sheet1!BR175)*1.385</f>
        <v>1.7589499999999993</v>
      </c>
      <c r="F174" s="30">
        <f ca="1">IF(B174=TODAY(),0,-(VLOOKUP(Sheet1!CD176,Lookup!$I$4:$J$216,2)-VLOOKUP(Sheet1!CD175,Lookup!$I$4:$J$216,2))/1000000)</f>
        <v>0.51818469273899681</v>
      </c>
      <c r="G174" s="95">
        <f ca="1">IF(B174=TODAY(),0,-$G$6*(Sheet1!CF176-Sheet1!CF175)*7.48/1000000)</f>
        <v>3.5742150947303306E-2</v>
      </c>
      <c r="H174" s="95">
        <f ca="1">IF(B174=TODAY(),0,-$H$6*(Sheet1!CE176-Sheet1!CE175)*7.48/1000000)</f>
        <v>-1.5039432351265274E-2</v>
      </c>
      <c r="I174" s="95">
        <f ca="1">IF(B174=TODAY(),0,-$I$6*(Sheet1!CG176-Sheet1!CG175)*7.48/1000000)</f>
        <v>2.2462440000000318E-3</v>
      </c>
      <c r="J174" s="96" t="s">
        <v>186</v>
      </c>
      <c r="K174" s="95">
        <f ca="1">IF(B174=TODAY(),0,-$K$6*(Sheet1!CH176-Sheet1!CH175)*7.48/1000000)</f>
        <v>3.3316601872292687E-3</v>
      </c>
      <c r="L174" s="96" t="s">
        <v>186</v>
      </c>
      <c r="M174" s="95">
        <f ca="1">IF(B174=TODAY(),0,-$M$6*(Sheet1!CI176-Sheet1!CI175)*7.48/1000000)</f>
        <v>8.0961787926121909E-2</v>
      </c>
      <c r="N174" s="95">
        <f ca="1">IF(B174=TODAY(),0,-$N$6*(Sheet1!CJ176-Sheet1!CJ175)*7.48/1000000)</f>
        <v>0.33508266513096857</v>
      </c>
      <c r="O174" s="95">
        <f t="shared" ca="1" si="21"/>
        <v>0.96050976857935466</v>
      </c>
      <c r="P174" s="95">
        <f ca="1">O174+Calculation!ES174</f>
        <v>-2.6438442116069512</v>
      </c>
      <c r="Q174" s="90" t="str">
        <f>IF(Sheet1!BQ176&gt;25.75,"spill elevation","-")</f>
        <v>-</v>
      </c>
      <c r="R174" s="90" t="str">
        <f>IF(Sheet1!BQ176&gt;25.75,"spill elevation","-")</f>
        <v>-</v>
      </c>
      <c r="S174" s="90" t="str">
        <f>IF(Sheet1!BR176&gt;25.75,"spill elevation","-")</f>
        <v>-</v>
      </c>
      <c r="T174" s="94">
        <f>IF(Sheet1!DU176=1,Sheet1!AA176-(SUM(AT174:BA174)+BE174),Sheet1!AA176-SUM(AT174:BA174))</f>
        <v>33.722000000000001</v>
      </c>
      <c r="U174" s="94">
        <f>Sheet1!BV176</f>
        <v>35.700000000000003</v>
      </c>
      <c r="V174" s="94">
        <f t="shared" si="22"/>
        <v>-1.9780000000000015</v>
      </c>
      <c r="W174" s="94">
        <f>0</f>
        <v>0</v>
      </c>
      <c r="X174" s="90">
        <f>0</f>
        <v>0</v>
      </c>
      <c r="Y174" s="95">
        <f ca="1">Calculation!EJ175+Calculation!ES174+'Calculations II'!O174-'Calculations II'!W174</f>
        <v>69.476155788393058</v>
      </c>
      <c r="Z174" s="95">
        <f ca="1">Y174-Sheet1!CT177</f>
        <v>52.541155788393056</v>
      </c>
      <c r="AA174" s="95">
        <f ca="1">Y174+Calculation!DJ175+Calculation!AS175</f>
        <v>81.901573848593728</v>
      </c>
      <c r="AC174" s="95">
        <f>Sheet1!AA176+Sheet1!AB176+BC174</f>
        <v>72.319999999999993</v>
      </c>
      <c r="AD174" s="95">
        <f>Sheet1!AA176+Sheet1!BN176+'Calculations II'!BC174-Calculation!AS174-Calculation!DJ174</f>
        <v>49.012233009708737</v>
      </c>
      <c r="AE174" s="95">
        <f>Sheet1!AA176+Sheet1!AB176+'Calculations II'!BC174-Calculation!AS174-Calculation!DJ174</f>
        <v>60.612233009708739</v>
      </c>
      <c r="AF174" s="95">
        <f ca="1">Sheet1!AA176+Sheet1!BN176+P174+'Calculations II'!BC174+Calculation!AS174+Calculation!DJ174</f>
        <v>69.783922778684314</v>
      </c>
      <c r="AG174" s="95">
        <f ca="1">IF(B174=TODAY(),0,Sheet1!AA176+Sheet1!BN176+'Calculations II'!BC174+'Calculations II'!P174-Sheet1!CT176-BP174)</f>
        <v>41.286155788393046</v>
      </c>
      <c r="AH174" s="95">
        <f ca="1">IF(B174=TODAY(),0,Sheet1!AA176+Sheet1!BN176+'Calculations II'!BC174+'Calculations II'!P174-BP174)</f>
        <v>58.076155788393045</v>
      </c>
      <c r="AI174" s="95">
        <f ca="1">IF(B174=TODAY(),0,BC174+Sheet1!AA176+Calculation!ES174+O174+W174+Sheet1!BN176+Calculation!AS174+Calculation!DJ174-BP174)</f>
        <v>69.783922778684314</v>
      </c>
      <c r="AJ174" s="95"/>
      <c r="AM174" s="91">
        <f t="shared" si="23"/>
        <v>41802</v>
      </c>
      <c r="AN174" s="95">
        <f>Sheet1!BU176</f>
        <v>36.200000000000003</v>
      </c>
      <c r="AO174" s="95">
        <f>Sheet1!AA176</f>
        <v>36.42</v>
      </c>
      <c r="AP174" s="95">
        <f t="shared" si="18"/>
        <v>3.5455999999999981</v>
      </c>
      <c r="AQ174" s="1055">
        <f>((Sheet1!BV176-(Sheet1!BU176-AP174))/(Sheet1!BU176-AP174))</f>
        <v>9.3267676025282964E-2</v>
      </c>
      <c r="AR174" s="95">
        <f t="shared" si="19"/>
        <v>32.874400000000001</v>
      </c>
      <c r="AS174" s="95">
        <f t="shared" si="20"/>
        <v>32.654400000000003</v>
      </c>
      <c r="AT174" s="90">
        <f>Sheet1!BB176</f>
        <v>1.6</v>
      </c>
      <c r="AU174" s="90">
        <f>Sheet1!AS176*GPMtoMGD</f>
        <v>2.8944000000000004E-2</v>
      </c>
      <c r="AV174" s="95">
        <f>Sheet1!AT176</f>
        <v>0</v>
      </c>
      <c r="AW174" s="90">
        <f>Sheet1!AV176*GPMtoMGD</f>
        <v>0.47577599999999998</v>
      </c>
      <c r="AX174" s="90">
        <f>Sheet1!AW176*GPMtoMGD</f>
        <v>0.56750400000000012</v>
      </c>
      <c r="AY174" s="90">
        <f>Sheet1!AX176*GPMtoMGD</f>
        <v>2.5776E-2</v>
      </c>
      <c r="AZ174" s="90">
        <f>Sheet1!AY176*GPMtoMGD</f>
        <v>0</v>
      </c>
      <c r="BA174" s="90">
        <f>Sheet1!AZ176*GPMtoMGD</f>
        <v>0</v>
      </c>
      <c r="BB174" s="90">
        <f>Sheet1!BP176*GPMtoMGD</f>
        <v>0</v>
      </c>
      <c r="BC174" s="90">
        <f>Sheet1!CS176*GPMtoMGD</f>
        <v>0</v>
      </c>
      <c r="BD174" s="90">
        <f>Sheet1!BO176*GPMtoMGD</f>
        <v>2.4946560000000004</v>
      </c>
      <c r="BE174" s="90">
        <f>Sheet1!BW176*GPMtoMGD</f>
        <v>1.3950720000000001</v>
      </c>
      <c r="BF174" s="90">
        <f>Sheet1!CN176*GPMtoMGD</f>
        <v>1.1808000000000001</v>
      </c>
      <c r="BG174" s="90">
        <f>Sheet1!CO176*GPMtoMGD</f>
        <v>1.1298240000000002</v>
      </c>
      <c r="BH174" s="90">
        <f>Sheet1!CP176*GPMtoMGD</f>
        <v>0.84614400000000012</v>
      </c>
      <c r="BI174" s="90">
        <f t="shared" si="24"/>
        <v>2.4946560000000004</v>
      </c>
      <c r="BK174" s="95">
        <f>SUM(AT174:BA174,BE174,Sheet1!BV176,'Calculations II'!BC174,Calculation!AQ174)</f>
        <v>63.991962429958392</v>
      </c>
      <c r="BM174" s="373">
        <f>0</f>
        <v>0</v>
      </c>
      <c r="BN174" s="373">
        <f>0</f>
        <v>0</v>
      </c>
      <c r="BP174" s="95">
        <f>SUM(BM174:BN174,W174,Sheet1!DX176)</f>
        <v>0</v>
      </c>
    </row>
    <row r="175" spans="1:68" s="90" customFormat="1">
      <c r="A175" s="651" t="s">
        <v>8</v>
      </c>
      <c r="B175" s="92">
        <v>41803</v>
      </c>
      <c r="C175" s="93">
        <v>0</v>
      </c>
      <c r="D175" s="95">
        <f>(Sheet1!BQ177-Sheet1!BQ176)*1.385</f>
        <v>1.4957999999999976</v>
      </c>
      <c r="E175" s="30">
        <f>(Sheet1!BR177-Sheet1!BR176)*1.385</f>
        <v>1.5096499999999997</v>
      </c>
      <c r="F175" s="30">
        <f ca="1">IF(B175=TODAY(),0,-(VLOOKUP(Sheet1!CD177,Lookup!$I$4:$J$216,2)-VLOOKUP(Sheet1!CD176,Lookup!$I$4:$J$216,2))/1000000)</f>
        <v>-0.725458569834603</v>
      </c>
      <c r="G175" s="95">
        <f ca="1">IF(B175=TODAY(),0,-$G$6*(Sheet1!CF177-Sheet1!CF176)*7.48/1000000)</f>
        <v>-0.7545565199986275</v>
      </c>
      <c r="H175" s="95">
        <f ca="1">IF(B175=TODAY(),0,-$H$6*(Sheet1!CE177-Sheet1!CE176)*7.48/1000000)</f>
        <v>-4.5118297053795817E-2</v>
      </c>
      <c r="I175" s="95">
        <f ca="1">IF(B175=TODAY(),0,-$I$6*(Sheet1!CG177-Sheet1!CG176)*7.48/1000000)</f>
        <v>4.4924880000000007E-2</v>
      </c>
      <c r="J175" s="96" t="s">
        <v>186</v>
      </c>
      <c r="K175" s="95">
        <f ca="1">IF(B175=TODAY(),0,-$K$6*(Sheet1!CH177-Sheet1!CH176)*7.48/1000000)</f>
        <v>7.3296524119042847E-2</v>
      </c>
      <c r="L175" s="96" t="s">
        <v>186</v>
      </c>
      <c r="M175" s="95">
        <f ca="1">IF(B175=TODAY(),0,-$M$6*(Sheet1!CI177-Sheet1!CI176)*7.48/1000000)</f>
        <v>0.19790659270829747</v>
      </c>
      <c r="N175" s="95">
        <f ca="1">IF(B175=TODAY(),0,-$N$6*(Sheet1!CJ177-Sheet1!CJ176)*7.48/1000000)</f>
        <v>-0.55226587401215199</v>
      </c>
      <c r="O175" s="95">
        <f t="shared" ca="1" si="21"/>
        <v>-1.761271264071838</v>
      </c>
      <c r="P175" s="95">
        <f ca="1">O175+Calculation!ES175</f>
        <v>-4.8128021344518483</v>
      </c>
      <c r="Q175" s="90" t="str">
        <f>IF(Sheet1!BQ177&gt;25.75,"spill elevation","-")</f>
        <v>-</v>
      </c>
      <c r="R175" s="90" t="str">
        <f>IF(Sheet1!BQ177&gt;25.75,"spill elevation","-")</f>
        <v>-</v>
      </c>
      <c r="S175" s="90" t="str">
        <f>IF(Sheet1!BR177&gt;25.75,"spill elevation","-")</f>
        <v>-</v>
      </c>
      <c r="T175" s="94">
        <f>IF(Sheet1!DU177=1,Sheet1!AA177-(SUM(AT175:BA175)+BE175),Sheet1!AA177-SUM(AT175:BA175))</f>
        <v>32.994224000000003</v>
      </c>
      <c r="U175" s="94">
        <f>Sheet1!BV177</f>
        <v>35.799999999999997</v>
      </c>
      <c r="V175" s="94">
        <f t="shared" si="22"/>
        <v>-2.8057759999999945</v>
      </c>
      <c r="W175" s="94">
        <f>0</f>
        <v>0</v>
      </c>
      <c r="X175" s="90">
        <f>0</f>
        <v>0</v>
      </c>
      <c r="Y175" s="95">
        <f ca="1">Calculation!EJ176+Calculation!ES175+'Calculations II'!O175-'Calculations II'!W175</f>
        <v>63.157197865548156</v>
      </c>
      <c r="Z175" s="95">
        <f ca="1">Y175-Sheet1!CT178</f>
        <v>46.473197865548158</v>
      </c>
      <c r="AA175" s="95">
        <f ca="1">Y175+Calculation!DJ176+Calculation!AS176</f>
        <v>76.133443076276123</v>
      </c>
      <c r="AC175" s="95">
        <f>Sheet1!AA177+Sheet1!AB177+BC175</f>
        <v>72.12</v>
      </c>
      <c r="AD175" s="95">
        <f>Sheet1!AA177+Sheet1!BN177+'Calculations II'!BC175-Calculation!AS175-Calculation!DJ175</f>
        <v>47.394581939799323</v>
      </c>
      <c r="AE175" s="95">
        <f>Sheet1!AA177+Sheet1!AB177+'Calculations II'!BC175-Calculation!AS175-Calculation!DJ175</f>
        <v>59.694581939799335</v>
      </c>
      <c r="AF175" s="95">
        <f ca="1">Sheet1!AA177+Sheet1!BN177+P175+'Calculations II'!BC175+Calculation!AS175+Calculation!DJ175</f>
        <v>67.43261592574882</v>
      </c>
      <c r="AG175" s="95">
        <f ca="1">IF(B175=TODAY(),0,Sheet1!AA177+Sheet1!BN177+'Calculations II'!BC175+'Calculations II'!P175-Sheet1!CT177-BP175)</f>
        <v>38.072197865548148</v>
      </c>
      <c r="AH175" s="95">
        <f ca="1">IF(B175=TODAY(),0,Sheet1!AA177+Sheet1!BN177+'Calculations II'!BC175+'Calculations II'!P175-BP175)</f>
        <v>55.00719786554815</v>
      </c>
      <c r="AI175" s="95">
        <f ca="1">IF(B175=TODAY(),0,BC175+Sheet1!AA177+Calculation!ES175+O175+W175+Sheet1!BN177+Calculation!AS175+Calculation!DJ175-BP175)</f>
        <v>67.43261592574882</v>
      </c>
      <c r="AJ175" s="95"/>
      <c r="AM175" s="91">
        <f t="shared" si="23"/>
        <v>41803</v>
      </c>
      <c r="AN175" s="95">
        <f>Sheet1!BU177</f>
        <v>35.700000000000003</v>
      </c>
      <c r="AO175" s="95">
        <f>Sheet1!AA177</f>
        <v>36.42</v>
      </c>
      <c r="AP175" s="95">
        <f t="shared" si="18"/>
        <v>3.0054499999999971</v>
      </c>
      <c r="AQ175" s="1055">
        <f>((Sheet1!BV177-(Sheet1!BU177-AP175))/(Sheet1!BU177-AP175))</f>
        <v>9.4983720528344626E-2</v>
      </c>
      <c r="AR175" s="95">
        <f t="shared" si="19"/>
        <v>33.414550000000006</v>
      </c>
      <c r="AS175" s="95">
        <f t="shared" si="20"/>
        <v>32.694550000000007</v>
      </c>
      <c r="AT175" s="90">
        <f>Sheet1!BB177</f>
        <v>1.6</v>
      </c>
      <c r="AU175" s="90">
        <f>Sheet1!AS177*GPMtoMGD</f>
        <v>1.5984000000000002E-2</v>
      </c>
      <c r="AV175" s="95">
        <f>Sheet1!AT177</f>
        <v>0</v>
      </c>
      <c r="AW175" s="90">
        <f>Sheet1!AV177*GPMtoMGD</f>
        <v>0.79531200000000002</v>
      </c>
      <c r="AX175" s="90">
        <f>Sheet1!AW177*GPMtoMGD</f>
        <v>0.99331199999999997</v>
      </c>
      <c r="AY175" s="90">
        <f>Sheet1!AX177*GPMtoMGD</f>
        <v>2.1167999999999999E-2</v>
      </c>
      <c r="AZ175" s="90">
        <f>Sheet1!AY177*GPMtoMGD</f>
        <v>0</v>
      </c>
      <c r="BA175" s="90">
        <f>Sheet1!AZ177*GPMtoMGD</f>
        <v>0</v>
      </c>
      <c r="BB175" s="90">
        <f>Sheet1!BP177*GPMtoMGD</f>
        <v>0</v>
      </c>
      <c r="BC175" s="90">
        <f>Sheet1!CS177*GPMtoMGD</f>
        <v>0</v>
      </c>
      <c r="BD175" s="90">
        <f>Sheet1!BO177*GPMtoMGD</f>
        <v>2.0763360000000004</v>
      </c>
      <c r="BE175" s="90">
        <f>Sheet1!BW177*GPMtoMGD</f>
        <v>1.0584</v>
      </c>
      <c r="BF175" s="90">
        <f>Sheet1!CN177*GPMtoMGD</f>
        <v>1.1808000000000001</v>
      </c>
      <c r="BG175" s="90">
        <f>Sheet1!CO177*GPMtoMGD</f>
        <v>0.95328000000000002</v>
      </c>
      <c r="BH175" s="90">
        <f>Sheet1!CP177*GPMtoMGD</f>
        <v>0.82713599999999998</v>
      </c>
      <c r="BI175" s="90">
        <f t="shared" si="24"/>
        <v>2.0763360000000004</v>
      </c>
      <c r="BK175" s="95">
        <f>SUM(AT175:BA175,BE175,Sheet1!BV177,'Calculations II'!BC175,Calculation!AQ175)</f>
        <v>63.566784695652174</v>
      </c>
      <c r="BM175" s="373">
        <f>0</f>
        <v>0</v>
      </c>
      <c r="BN175" s="373">
        <f>0</f>
        <v>0</v>
      </c>
      <c r="BP175" s="95">
        <f>SUM(BM175:BN175,W175,Sheet1!DX177)</f>
        <v>0</v>
      </c>
    </row>
    <row r="176" spans="1:68" s="90" customFormat="1">
      <c r="A176" s="651" t="s">
        <v>9</v>
      </c>
      <c r="B176" s="92">
        <v>41804</v>
      </c>
      <c r="C176" s="93">
        <v>0</v>
      </c>
      <c r="D176" s="95">
        <f>(Sheet1!BQ178-Sheet1!BQ177)*1.385</f>
        <v>0.45705000000000257</v>
      </c>
      <c r="E176" s="30">
        <f>(Sheet1!BR178-Sheet1!BR177)*1.385</f>
        <v>0.44320000000000037</v>
      </c>
      <c r="F176" s="30">
        <f ca="1">IF(B176=TODAY(),0,-(VLOOKUP(Sheet1!CD178,Lookup!$I$4:$J$216,2)-VLOOKUP(Sheet1!CD177,Lookup!$I$4:$J$216,2))/1000000)</f>
        <v>0.31091081564340556</v>
      </c>
      <c r="G176" s="95">
        <f ca="1">IF(B176=TODAY(),0,-$G$6*(Sheet1!CF178-Sheet1!CF177)*7.48/1000000)</f>
        <v>0.47656201263071124</v>
      </c>
      <c r="H176" s="95">
        <f ca="1">IF(B176=TODAY(),0,-$H$6*(Sheet1!CE178-Sheet1!CE177)*7.48/1000000)</f>
        <v>0</v>
      </c>
      <c r="I176" s="95">
        <f ca="1">IF(B176=TODAY(),0,-$I$6*(Sheet1!CG178-Sheet1!CG177)*7.48/1000000)</f>
        <v>-0.13926712799999999</v>
      </c>
      <c r="J176" s="96" t="s">
        <v>186</v>
      </c>
      <c r="K176" s="95">
        <f ca="1">IF(B176=TODAY(),0,-$K$6*(Sheet1!CH178-Sheet1!CH177)*7.48/1000000)</f>
        <v>-0.23321621310604548</v>
      </c>
      <c r="L176" s="96" t="s">
        <v>186</v>
      </c>
      <c r="M176" s="95">
        <f ca="1">IF(B176=TODAY(),0,-$M$6*(Sheet1!CI178-Sheet1!CI177)*7.48/1000000)</f>
        <v>-0.70166882869305491</v>
      </c>
      <c r="N176" s="95">
        <f ca="1">IF(B176=TODAY(),0,-$N$6*(Sheet1!CJ178-Sheet1!CJ177)*7.48/1000000)</f>
        <v>0.13651515986817186</v>
      </c>
      <c r="O176" s="95">
        <f t="shared" ca="1" si="21"/>
        <v>-0.15016418165681167</v>
      </c>
      <c r="P176" s="95">
        <f ca="1">O176+Calculation!ES176</f>
        <v>-0.98266925240198544</v>
      </c>
      <c r="Q176" s="90" t="str">
        <f>IF(Sheet1!BQ178&gt;25.75,"spill elevation","-")</f>
        <v>-</v>
      </c>
      <c r="R176" s="90" t="str">
        <f>IF(Sheet1!BQ178&gt;25.75,"spill elevation","-")</f>
        <v>-</v>
      </c>
      <c r="S176" s="90" t="str">
        <f>IF(Sheet1!BR178&gt;25.75,"spill elevation","-")</f>
        <v>-</v>
      </c>
      <c r="T176" s="94">
        <f>IF(Sheet1!DU178=1,Sheet1!AA178-(SUM(AT176:BA176)+BE176),Sheet1!AA178-SUM(AT176:BA176))</f>
        <v>33.334576000000006</v>
      </c>
      <c r="U176" s="94">
        <f>Sheet1!BV178</f>
        <v>38.200000000000003</v>
      </c>
      <c r="V176" s="94">
        <f t="shared" si="22"/>
        <v>-4.8654239999999973</v>
      </c>
      <c r="W176" s="94">
        <f>0</f>
        <v>0</v>
      </c>
      <c r="X176" s="90">
        <f>0</f>
        <v>0</v>
      </c>
      <c r="Y176" s="95">
        <f ca="1">Calculation!EJ177+Calculation!ES176+'Calculations II'!O176-'Calculations II'!W176</f>
        <v>63.317330747598014</v>
      </c>
      <c r="Z176" s="95">
        <f ca="1">Y176-Sheet1!CT179</f>
        <v>47.324330747598012</v>
      </c>
      <c r="AA176" s="95">
        <f ca="1">Y176+Calculation!DJ177+Calculation!AS177</f>
        <v>75.727779508482129</v>
      </c>
      <c r="AC176" s="95">
        <f>Sheet1!AA178+Sheet1!AB178+BC176</f>
        <v>67.97</v>
      </c>
      <c r="AD176" s="95">
        <f>Sheet1!AA178+Sheet1!BN178+'Calculations II'!BC176-Calculation!AS176-Calculation!DJ176</f>
        <v>42.09375478927204</v>
      </c>
      <c r="AE176" s="95">
        <f>Sheet1!AA178+Sheet1!AB178+'Calculations II'!BC176-Calculation!AS176-Calculation!DJ176</f>
        <v>54.993754789272032</v>
      </c>
      <c r="AF176" s="95">
        <f ca="1">Sheet1!AA178+Sheet1!BN178+P176+'Calculations II'!BC176+Calculation!AS176+Calculation!DJ176</f>
        <v>67.063575958325998</v>
      </c>
      <c r="AG176" s="95">
        <f ca="1">IF(B176=TODAY(),0,Sheet1!AA178+Sheet1!BN178+'Calculations II'!BC176+'Calculations II'!P176-Sheet1!CT178-BP176)</f>
        <v>37.403330747598019</v>
      </c>
      <c r="AH176" s="95">
        <f ca="1">IF(B176=TODAY(),0,Sheet1!AA178+Sheet1!BN178+'Calculations II'!BC176+'Calculations II'!P176-BP176)</f>
        <v>54.087330747598024</v>
      </c>
      <c r="AI176" s="95">
        <f ca="1">IF(B176=TODAY(),0,BC176+Sheet1!AA178+Calculation!ES176+O176+W176+Sheet1!BN178+Calculation!AS176+Calculation!DJ176-BP176)</f>
        <v>67.063575958325984</v>
      </c>
      <c r="AJ176" s="95"/>
      <c r="AM176" s="91">
        <f t="shared" si="23"/>
        <v>41804</v>
      </c>
      <c r="AN176" s="95">
        <f>Sheet1!BU178</f>
        <v>36.1</v>
      </c>
      <c r="AO176" s="95">
        <f>Sheet1!AA178</f>
        <v>36.770000000000003</v>
      </c>
      <c r="AP176" s="95">
        <f t="shared" si="18"/>
        <v>0.90025000000000288</v>
      </c>
      <c r="AQ176" s="1055">
        <f>((Sheet1!BV178-(Sheet1!BU178-AP176))/(Sheet1!BU178-AP176))</f>
        <v>8.5234980362076468E-2</v>
      </c>
      <c r="AR176" s="95">
        <f t="shared" si="19"/>
        <v>35.869750000000003</v>
      </c>
      <c r="AS176" s="95">
        <f t="shared" si="20"/>
        <v>35.199750000000002</v>
      </c>
      <c r="AT176" s="90">
        <f>Sheet1!BB178</f>
        <v>1.6</v>
      </c>
      <c r="AU176" s="90">
        <f>Sheet1!AS178*GPMtoMGD</f>
        <v>3.2688000000000002E-2</v>
      </c>
      <c r="AV176" s="95">
        <f>Sheet1!AT178</f>
        <v>0</v>
      </c>
      <c r="AW176" s="90">
        <f>Sheet1!AV178*GPMtoMGD</f>
        <v>0.81777600000000006</v>
      </c>
      <c r="AX176" s="90">
        <f>Sheet1!AW178*GPMtoMGD</f>
        <v>0.97992000000000001</v>
      </c>
      <c r="AY176" s="90">
        <f>Sheet1!AX178*GPMtoMGD</f>
        <v>5.0400000000000002E-3</v>
      </c>
      <c r="AZ176" s="90">
        <f>Sheet1!AY178*GPMtoMGD</f>
        <v>0</v>
      </c>
      <c r="BA176" s="90">
        <f>Sheet1!AZ178*GPMtoMGD</f>
        <v>0</v>
      </c>
      <c r="BB176" s="90">
        <f>Sheet1!BP178*GPMtoMGD</f>
        <v>0</v>
      </c>
      <c r="BC176" s="90">
        <f>Sheet1!CS178*GPMtoMGD</f>
        <v>0</v>
      </c>
      <c r="BD176" s="90">
        <f>Sheet1!BO178*GPMtoMGD</f>
        <v>3.2397120000000004</v>
      </c>
      <c r="BE176" s="90">
        <f>Sheet1!BW178*GPMtoMGD</f>
        <v>1.26864</v>
      </c>
      <c r="BF176" s="90">
        <f>Sheet1!CN178*GPMtoMGD</f>
        <v>1.1808000000000001</v>
      </c>
      <c r="BG176" s="90">
        <f>Sheet1!CO178*GPMtoMGD</f>
        <v>0.92563200000000001</v>
      </c>
      <c r="BH176" s="90">
        <f>Sheet1!CP178*GPMtoMGD</f>
        <v>0.7791840000000001</v>
      </c>
      <c r="BI176" s="90">
        <f t="shared" si="24"/>
        <v>3.2397120000000004</v>
      </c>
      <c r="BK176" s="95">
        <f>SUM(AT176:BA176,BE176,Sheet1!BV178,'Calculations II'!BC176,Calculation!AQ176)</f>
        <v>61.13394905747127</v>
      </c>
      <c r="BM176" s="373">
        <f>0</f>
        <v>0</v>
      </c>
      <c r="BN176" s="373">
        <f>0</f>
        <v>0</v>
      </c>
      <c r="BP176" s="95">
        <f>SUM(BM176:BN176,W176,Sheet1!DX178)</f>
        <v>0</v>
      </c>
    </row>
    <row r="177" spans="1:68" s="90" customFormat="1">
      <c r="A177" s="651" t="s">
        <v>3</v>
      </c>
      <c r="B177" s="92">
        <v>41805</v>
      </c>
      <c r="C177" s="93">
        <v>0</v>
      </c>
      <c r="D177" s="95">
        <f>(Sheet1!BQ179-Sheet1!BQ178)*1.385</f>
        <v>-0.40164999999999884</v>
      </c>
      <c r="E177" s="30">
        <f>(Sheet1!BR179-Sheet1!BR178)*1.385</f>
        <v>-0.36010000000000214</v>
      </c>
      <c r="F177" s="30">
        <f ca="1">IF(B177=TODAY(),0,-(VLOOKUP(Sheet1!CD179,Lookup!$I$4:$J$216,2)-VLOOKUP(Sheet1!CD178,Lookup!$I$4:$J$216,2))/1000000)</f>
        <v>-0.62182163128680368</v>
      </c>
      <c r="G177" s="95">
        <f ca="1">IF(B177=TODAY(),0,-$G$6*(Sheet1!CF179-Sheet1!CF178)*7.48/1000000)</f>
        <v>0.91341052420886415</v>
      </c>
      <c r="H177" s="95">
        <f ca="1">IF(B177=TODAY(),0,-$H$6*(Sheet1!CE179-Sheet1!CE178)*7.48/1000000)</f>
        <v>3.0078864702530548E-2</v>
      </c>
      <c r="I177" s="95">
        <f ca="1">IF(B177=TODAY(),0,-$I$6*(Sheet1!CG179-Sheet1!CG178)*7.48/1000000)</f>
        <v>9.434224799999999E-2</v>
      </c>
      <c r="J177" s="96" t="s">
        <v>186</v>
      </c>
      <c r="K177" s="95">
        <f ca="1">IF(B177=TODAY(),0,-$K$6*(Sheet1!CH179-Sheet1!CH178)*7.48/1000000)</f>
        <v>0.15991968898700265</v>
      </c>
      <c r="L177" s="96" t="s">
        <v>186</v>
      </c>
      <c r="M177" s="95">
        <f ca="1">IF(B177=TODAY(),0,-$M$6*(Sheet1!CI179-Sheet1!CI178)*7.48/1000000)</f>
        <v>0.50376223598475744</v>
      </c>
      <c r="N177" s="95">
        <f ca="1">IF(B177=TODAY(),0,-$N$6*(Sheet1!CJ179-Sheet1!CJ178)*7.48/1000000)</f>
        <v>-0.1054889871708606</v>
      </c>
      <c r="O177" s="95">
        <f t="shared" ca="1" si="21"/>
        <v>0.97420294342549063</v>
      </c>
      <c r="P177" s="95">
        <f ca="1">O177+Calculation!ES177</f>
        <v>1.8067080141706644</v>
      </c>
      <c r="Q177" s="90" t="str">
        <f>IF(Sheet1!BQ179&gt;25.75,"spill elevation","-")</f>
        <v>-</v>
      </c>
      <c r="R177" s="90" t="str">
        <f>IF(Sheet1!BQ179&gt;25.75,"spill elevation","-")</f>
        <v>-</v>
      </c>
      <c r="S177" s="90" t="str">
        <f>IF(Sheet1!BR179&gt;25.75,"spill elevation","-")</f>
        <v>-</v>
      </c>
      <c r="T177" s="94">
        <f>IF(Sheet1!DU179=1,Sheet1!AA179-(SUM(AT177:BA177)+BE177),Sheet1!AA179-SUM(AT177:BA177))</f>
        <v>30.747647999999998</v>
      </c>
      <c r="U177" s="94">
        <f>Sheet1!BV179</f>
        <v>37.4</v>
      </c>
      <c r="V177" s="94">
        <f t="shared" si="22"/>
        <v>-6.6523520000000005</v>
      </c>
      <c r="W177" s="94">
        <f>0</f>
        <v>0</v>
      </c>
      <c r="X177" s="90">
        <f>0</f>
        <v>0</v>
      </c>
      <c r="Y177" s="95">
        <f ca="1">Calculation!EJ178+Calculation!ES177+'Calculations II'!O177-'Calculations II'!W177</f>
        <v>65.016708014170675</v>
      </c>
      <c r="Z177" s="95">
        <f ca="1">Y177-Sheet1!CT180</f>
        <v>48.75670801417067</v>
      </c>
      <c r="AA177" s="95">
        <f ca="1">Y177+Calculation!DJ178+Calculation!AS178</f>
        <v>77.544812589334072</v>
      </c>
      <c r="AC177" s="95">
        <f>Sheet1!AA179+Sheet1!AB179+BC177</f>
        <v>64.3</v>
      </c>
      <c r="AD177" s="95">
        <f>Sheet1!AA179+Sheet1!BN179+'Calculations II'!BC177-Calculation!AS177-Calculation!DJ177</f>
        <v>39.389551239115868</v>
      </c>
      <c r="AE177" s="95">
        <f>Sheet1!AA179+Sheet1!AB179+'Calculations II'!BC177-Calculation!AS177-Calculation!DJ177</f>
        <v>51.889551239115868</v>
      </c>
      <c r="AF177" s="95">
        <f ca="1">Sheet1!AA179+Sheet1!BN179+P177+'Calculations II'!BC177+Calculation!AS177+Calculation!DJ177</f>
        <v>66.017156775054787</v>
      </c>
      <c r="AG177" s="95">
        <f ca="1">IF(B177=TODAY(),0,Sheet1!AA179+Sheet1!BN179+'Calculations II'!BC177+'Calculations II'!P177-Sheet1!CT179-BP177)</f>
        <v>37.613708014170662</v>
      </c>
      <c r="AH177" s="95">
        <f ca="1">IF(B177=TODAY(),0,Sheet1!AA179+Sheet1!BN179+'Calculations II'!BC177+'Calculations II'!P177-BP177)</f>
        <v>53.606708014170664</v>
      </c>
      <c r="AI177" s="95">
        <f ca="1">IF(B177=TODAY(),0,BC177+Sheet1!AA179+Calculation!ES177+O177+W177+Sheet1!BN179+Calculation!AS177+Calculation!DJ177-BP177)</f>
        <v>66.017156775054787</v>
      </c>
      <c r="AJ177" s="95"/>
      <c r="AM177" s="91">
        <f t="shared" si="23"/>
        <v>41805</v>
      </c>
      <c r="AN177" s="95">
        <f>Sheet1!BU179</f>
        <v>33.700000000000003</v>
      </c>
      <c r="AO177" s="95">
        <f>Sheet1!AA179</f>
        <v>34.299999999999997</v>
      </c>
      <c r="AP177" s="95">
        <f t="shared" si="18"/>
        <v>-0.76175000000000104</v>
      </c>
      <c r="AQ177" s="1055">
        <f>((Sheet1!BV179-(Sheet1!BU179-AP177))/(Sheet1!BU179-AP177))</f>
        <v>8.5261195383287164E-2</v>
      </c>
      <c r="AR177" s="95">
        <f t="shared" si="19"/>
        <v>35.061749999999996</v>
      </c>
      <c r="AS177" s="95">
        <f t="shared" si="20"/>
        <v>34.461750000000002</v>
      </c>
      <c r="AT177" s="90">
        <f>Sheet1!BB179</f>
        <v>1.6</v>
      </c>
      <c r="AU177" s="90">
        <f>Sheet1!AS179*GPMtoMGD</f>
        <v>1.7424000000000002E-2</v>
      </c>
      <c r="AV177" s="95">
        <f>Sheet1!AT179</f>
        <v>0</v>
      </c>
      <c r="AW177" s="90">
        <f>Sheet1!AV179*GPMtoMGD</f>
        <v>0.76521600000000001</v>
      </c>
      <c r="AX177" s="90">
        <f>Sheet1!AW179*GPMtoMGD</f>
        <v>1.1581920000000001</v>
      </c>
      <c r="AY177" s="90">
        <f>Sheet1!AX179*GPMtoMGD</f>
        <v>1.1520000000000001E-2</v>
      </c>
      <c r="AZ177" s="90">
        <f>Sheet1!AY179*GPMtoMGD</f>
        <v>0</v>
      </c>
      <c r="BA177" s="90">
        <f>Sheet1!AZ179*GPMtoMGD</f>
        <v>0</v>
      </c>
      <c r="BB177" s="90">
        <f>Sheet1!BP179*GPMtoMGD</f>
        <v>0</v>
      </c>
      <c r="BC177" s="90">
        <f>Sheet1!CS179*GPMtoMGD</f>
        <v>0</v>
      </c>
      <c r="BD177" s="90">
        <f>Sheet1!BO179*GPMtoMGD</f>
        <v>1.8718560000000002</v>
      </c>
      <c r="BE177" s="90">
        <f>Sheet1!BW179*GPMtoMGD</f>
        <v>0.99907199999999996</v>
      </c>
      <c r="BF177" s="90">
        <f>Sheet1!CN179*GPMtoMGD</f>
        <v>1.1808000000000001</v>
      </c>
      <c r="BG177" s="90">
        <f>Sheet1!CO179*GPMtoMGD</f>
        <v>1.0667519999999999</v>
      </c>
      <c r="BH177" s="90">
        <f>Sheet1!CP179*GPMtoMGD</f>
        <v>0.77515199999999995</v>
      </c>
      <c r="BI177" s="90">
        <f t="shared" si="24"/>
        <v>1.8718560000000002</v>
      </c>
      <c r="BK177" s="95">
        <f>SUM(AT177:BA177,BE177,Sheet1!BV179,'Calculations II'!BC177,Calculation!AQ177)</f>
        <v>59.533473564634967</v>
      </c>
      <c r="BM177" s="373">
        <f>0</f>
        <v>0</v>
      </c>
      <c r="BN177" s="373">
        <f>0</f>
        <v>0</v>
      </c>
      <c r="BP177" s="95">
        <f>SUM(BM177:BN177,W177,Sheet1!DX179)</f>
        <v>0</v>
      </c>
    </row>
    <row r="178" spans="1:68" s="90" customFormat="1">
      <c r="A178" s="651" t="s">
        <v>4</v>
      </c>
      <c r="B178" s="92">
        <v>41806</v>
      </c>
      <c r="C178" s="93">
        <v>0</v>
      </c>
      <c r="D178" s="95">
        <f>(Sheet1!BQ180-Sheet1!BQ179)*1.385</f>
        <v>-3.11625</v>
      </c>
      <c r="E178" s="30">
        <f>(Sheet1!BR180-Sheet1!BR179)*1.385</f>
        <v>-3.11625</v>
      </c>
      <c r="F178" s="30">
        <f ca="1">IF(B178=TODAY(),0,-(VLOOKUP(Sheet1!CD180,Lookup!$I$4:$J$216,2)-VLOOKUP(Sheet1!CD179,Lookup!$I$4:$J$216,2))/1000000)</f>
        <v>0.31091081564339806</v>
      </c>
      <c r="G178" s="95">
        <f ca="1">IF(B178=TODAY(),0,-$G$6*(Sheet1!CF180-Sheet1!CF179)*7.48/1000000)</f>
        <v>-1.310545534734457</v>
      </c>
      <c r="H178" s="95">
        <f ca="1">IF(B178=TODAY(),0,-$H$6*(Sheet1!CE180-Sheet1!CE179)*7.48/1000000)</f>
        <v>4.5118297053794748E-2</v>
      </c>
      <c r="I178" s="95">
        <f ca="1">IF(B178=TODAY(),0,-$I$6*(Sheet1!CG180-Sheet1!CG179)*7.48/1000000)</f>
        <v>4.0432391999999977E-2</v>
      </c>
      <c r="J178" s="96" t="s">
        <v>186</v>
      </c>
      <c r="K178" s="95">
        <f ca="1">IF(B178=TODAY(),0,-$K$6*(Sheet1!CH180-Sheet1!CH179)*7.48/1000000)</f>
        <v>7.3296524119042847E-2</v>
      </c>
      <c r="L178" s="96" t="s">
        <v>186</v>
      </c>
      <c r="M178" s="95">
        <f ca="1">IF(B178=TODAY(),0,-$M$6*(Sheet1!CI180-Sheet1!CI179)*7.48/1000000)</f>
        <v>0.16192357585224318</v>
      </c>
      <c r="N178" s="95">
        <f ca="1">IF(B178=TODAY(),0,-$N$6*(Sheet1!CJ180-Sheet1!CJ179)*7.48/1000000)</f>
        <v>0.13030992532871072</v>
      </c>
      <c r="O178" s="95">
        <f t="shared" ca="1" si="21"/>
        <v>-0.54855400473726745</v>
      </c>
      <c r="P178" s="95">
        <f ca="1">O178+Calculation!ES178</f>
        <v>5.5529558989610353</v>
      </c>
      <c r="Q178" s="90" t="str">
        <f>IF(Sheet1!BQ180&gt;25.75,"spill elevation","-")</f>
        <v>-</v>
      </c>
      <c r="R178" s="90" t="str">
        <f>IF(Sheet1!BQ180&gt;25.75,"spill elevation","-")</f>
        <v>-</v>
      </c>
      <c r="S178" s="90" t="str">
        <f>IF(Sheet1!BR180&gt;25.75,"spill elevation","-")</f>
        <v>-</v>
      </c>
      <c r="T178" s="94">
        <f>IF(Sheet1!DU180=1,Sheet1!AA180-(SUM(AT178:BA178)+BE178),Sheet1!AA180-SUM(AT178:BA178))</f>
        <v>29.428432000000001</v>
      </c>
      <c r="U178" s="94">
        <f>Sheet1!BV180</f>
        <v>41.5</v>
      </c>
      <c r="V178" s="94">
        <f t="shared" si="22"/>
        <v>-12.071567999999999</v>
      </c>
      <c r="W178" s="94">
        <f>0</f>
        <v>0</v>
      </c>
      <c r="X178" s="90">
        <f>0</f>
        <v>0</v>
      </c>
      <c r="Y178" s="95">
        <f ca="1">Calculation!EJ179+Calculation!ES178+'Calculations II'!O178-'Calculations II'!W178</f>
        <v>71.352955898961028</v>
      </c>
      <c r="Z178" s="95">
        <f ca="1">Y178-Sheet1!CT181</f>
        <v>54.447955898961027</v>
      </c>
      <c r="AA178" s="95">
        <f ca="1">Y178+Calculation!DJ179+Calculation!AS179</f>
        <v>83.879699240365397</v>
      </c>
      <c r="AC178" s="95">
        <f>Sheet1!AA180+Sheet1!AB180+BC178</f>
        <v>63.21</v>
      </c>
      <c r="AD178" s="95">
        <f>Sheet1!AA180+Sheet1!BN180+'Calculations II'!BC178-Calculation!AS178-Calculation!DJ178</f>
        <v>38.281895424836605</v>
      </c>
      <c r="AE178" s="95">
        <f>Sheet1!AA180+Sheet1!AB180+'Calculations II'!BC178-Calculation!AS178-Calculation!DJ178</f>
        <v>50.681895424836597</v>
      </c>
      <c r="AF178" s="95">
        <f ca="1">Sheet1!AA180+Sheet1!BN180+P178+'Calculations II'!BC178+Calculation!AS178+Calculation!DJ178</f>
        <v>68.891060474124444</v>
      </c>
      <c r="AG178" s="95">
        <f ca="1">IF(B178=TODAY(),0,Sheet1!AA180+Sheet1!BN180+'Calculations II'!BC178+'Calculations II'!P178-Sheet1!CT180-BP178)</f>
        <v>40.102955898961042</v>
      </c>
      <c r="AH178" s="95">
        <f ca="1">IF(B178=TODAY(),0,Sheet1!AA180+Sheet1!BN180+'Calculations II'!BC178+'Calculations II'!P178-BP178)</f>
        <v>56.36295589896104</v>
      </c>
      <c r="AI178" s="95">
        <f ca="1">IF(B178=TODAY(),0,BC178+Sheet1!AA180+Calculation!ES178+O178+W178+Sheet1!BN180+Calculation!AS178+Calculation!DJ178-BP178)</f>
        <v>68.89106047412443</v>
      </c>
      <c r="AJ178" s="95"/>
      <c r="AM178" s="91">
        <f t="shared" si="23"/>
        <v>41806</v>
      </c>
      <c r="AN178" s="95">
        <f>Sheet1!BU180</f>
        <v>32.200000000000003</v>
      </c>
      <c r="AO178" s="95">
        <f>Sheet1!AA180</f>
        <v>32.81</v>
      </c>
      <c r="AP178" s="95">
        <f t="shared" si="18"/>
        <v>-6.2324999999999999</v>
      </c>
      <c r="AQ178" s="1055">
        <f>((Sheet1!BV180-(Sheet1!BU180-AP178))/(Sheet1!BU180-AP178))</f>
        <v>7.9815260521693757E-2</v>
      </c>
      <c r="AR178" s="95">
        <f t="shared" si="19"/>
        <v>39.042500000000004</v>
      </c>
      <c r="AS178" s="95">
        <f t="shared" si="20"/>
        <v>38.432500000000005</v>
      </c>
      <c r="AT178" s="90">
        <f>Sheet1!BB180</f>
        <v>1.6</v>
      </c>
      <c r="AU178" s="90">
        <f>Sheet1!AS180*GPMtoMGD</f>
        <v>3.3408E-2</v>
      </c>
      <c r="AV178" s="95">
        <f>Sheet1!AT180</f>
        <v>0</v>
      </c>
      <c r="AW178" s="90">
        <f>Sheet1!AV180*GPMtoMGD</f>
        <v>0.84744000000000008</v>
      </c>
      <c r="AX178" s="90">
        <f>Sheet1!AW180*GPMtoMGD</f>
        <v>0.87566400000000011</v>
      </c>
      <c r="AY178" s="90">
        <f>Sheet1!AX180*GPMtoMGD</f>
        <v>2.5055999999999998E-2</v>
      </c>
      <c r="AZ178" s="90">
        <f>Sheet1!AY180*GPMtoMGD</f>
        <v>0</v>
      </c>
      <c r="BA178" s="90">
        <f>Sheet1!AZ180*GPMtoMGD</f>
        <v>0</v>
      </c>
      <c r="BB178" s="90">
        <f>Sheet1!BP180*GPMtoMGD</f>
        <v>0</v>
      </c>
      <c r="BC178" s="90">
        <f>Sheet1!CS180*GPMtoMGD</f>
        <v>0</v>
      </c>
      <c r="BD178" s="90">
        <f>Sheet1!BO180*GPMtoMGD</f>
        <v>2.51064</v>
      </c>
      <c r="BE178" s="90">
        <f>Sheet1!BW180*GPMtoMGD</f>
        <v>1.2520800000000001</v>
      </c>
      <c r="BF178" s="90">
        <f>Sheet1!CN180*GPMtoMGD</f>
        <v>1.1808000000000001</v>
      </c>
      <c r="BG178" s="90">
        <f>Sheet1!CO180*GPMtoMGD</f>
        <v>1.1658240000000002</v>
      </c>
      <c r="BH178" s="90">
        <f>Sheet1!CP180*GPMtoMGD</f>
        <v>0.86918400000000007</v>
      </c>
      <c r="BI178" s="90">
        <f t="shared" si="24"/>
        <v>2.51064</v>
      </c>
      <c r="BK178" s="95">
        <f>SUM(AT178:BA178,BE178,Sheet1!BV180,'Calculations II'!BC178,Calculation!AQ178)</f>
        <v>64.016000941176472</v>
      </c>
      <c r="BM178" s="373">
        <f>0</f>
        <v>0</v>
      </c>
      <c r="BN178" s="373">
        <f>0</f>
        <v>0</v>
      </c>
      <c r="BP178" s="95">
        <f>SUM(BM178:BN178,W178,Sheet1!DX180)</f>
        <v>0</v>
      </c>
    </row>
    <row r="179" spans="1:68" s="90" customFormat="1">
      <c r="A179" s="651" t="s">
        <v>5</v>
      </c>
      <c r="B179" s="92">
        <v>41807</v>
      </c>
      <c r="C179" s="93">
        <v>0</v>
      </c>
      <c r="D179" s="95">
        <f>(Sheet1!BQ181-Sheet1!BQ180)*1.385</f>
        <v>-0.59555000000000458</v>
      </c>
      <c r="E179" s="30">
        <f>(Sheet1!BR181-Sheet1!BR180)*1.385</f>
        <v>-0.62324999999999897</v>
      </c>
      <c r="F179" s="30">
        <f ca="1">IF(B179=TODAY(),0,-(VLOOKUP(Sheet1!CD181,Lookup!$I$4:$J$216,2)-VLOOKUP(Sheet1!CD180,Lookup!$I$4:$J$216,2))/1000000)</f>
        <v>0</v>
      </c>
      <c r="G179" s="95">
        <f ca="1">IF(B179=TODAY(),0,-$G$6*(Sheet1!CF181-Sheet1!CF180)*7.48/1000000)</f>
        <v>0.91341052420886415</v>
      </c>
      <c r="H179" s="95">
        <f ca="1">IF(B179=TODAY(),0,-$H$6*(Sheet1!CE181-Sheet1!CE180)*7.48/1000000)</f>
        <v>-4.5118297053794748E-2</v>
      </c>
      <c r="I179" s="95">
        <f ca="1">IF(B179=TODAY(),0,-$I$6*(Sheet1!CG181-Sheet1!CG180)*7.48/1000000)</f>
        <v>-6.289483199999997E-2</v>
      </c>
      <c r="J179" s="96" t="s">
        <v>186</v>
      </c>
      <c r="K179" s="95">
        <f ca="1">IF(B179=TODAY(),0,-$K$6*(Sheet1!CH181-Sheet1!CH180)*7.48/1000000)</f>
        <v>-0.11327644636579358</v>
      </c>
      <c r="L179" s="96" t="s">
        <v>186</v>
      </c>
      <c r="M179" s="95">
        <f ca="1">IF(B179=TODAY(),0,-$M$6*(Sheet1!CI181-Sheet1!CI180)*7.48/1000000)</f>
        <v>-0.32384715170448697</v>
      </c>
      <c r="N179" s="95">
        <f ca="1">IF(B179=TODAY(),0,-$N$6*(Sheet1!CJ181-Sheet1!CJ180)*7.48/1000000)</f>
        <v>0.2233884434206457</v>
      </c>
      <c r="O179" s="95">
        <f t="shared" ca="1" si="21"/>
        <v>0.59166224050543448</v>
      </c>
      <c r="P179" s="95">
        <f ca="1">O179+Calculation!ES179</f>
        <v>1.9775034489878527</v>
      </c>
      <c r="Q179" s="90" t="str">
        <f>IF(Sheet1!BQ181&gt;25.75,"spill elevation","-")</f>
        <v>-</v>
      </c>
      <c r="R179" s="90" t="str">
        <f>IF(Sheet1!BQ181&gt;25.75,"spill elevation","-")</f>
        <v>-</v>
      </c>
      <c r="S179" s="90" t="str">
        <f>IF(Sheet1!BR181&gt;25.75,"spill elevation","-")</f>
        <v>-</v>
      </c>
      <c r="T179" s="94">
        <f>IF(Sheet1!DU181=1,Sheet1!AA181-(SUM(AT179:BA179)+BE179),Sheet1!AA181-SUM(AT179:BA179))</f>
        <v>29.754735999999998</v>
      </c>
      <c r="U179" s="94">
        <f>Sheet1!BV181</f>
        <v>36.5</v>
      </c>
      <c r="V179" s="94">
        <f t="shared" si="22"/>
        <v>-6.7452640000000024</v>
      </c>
      <c r="W179" s="94">
        <f>0</f>
        <v>0</v>
      </c>
      <c r="X179" s="90">
        <f>0</f>
        <v>0</v>
      </c>
      <c r="Y179" s="95">
        <f ca="1">Calculation!EJ180+Calculation!ES179+'Calculations II'!O179-'Calculations II'!W179</f>
        <v>69.577503448987841</v>
      </c>
      <c r="Z179" s="95">
        <f ca="1">Y179-Sheet1!CT182</f>
        <v>55.154503448987839</v>
      </c>
      <c r="AA179" s="95">
        <f ca="1">Y179+Calculation!DJ180+Calculation!AS180</f>
        <v>81.925504592825405</v>
      </c>
      <c r="AC179" s="95">
        <f>Sheet1!AA181+Sheet1!AB181+BC179</f>
        <v>65.8</v>
      </c>
      <c r="AD179" s="95">
        <f>Sheet1!AA181+Sheet1!BN181+'Calculations II'!BC179-Calculation!AS179-Calculation!DJ179</f>
        <v>40.773256658595635</v>
      </c>
      <c r="AE179" s="95">
        <f>Sheet1!AA181+Sheet1!AB181+'Calculations II'!BC179-Calculation!AS179-Calculation!DJ179</f>
        <v>53.273256658595635</v>
      </c>
      <c r="AF179" s="95">
        <f ca="1">Sheet1!AA181+Sheet1!BN181+P179+'Calculations II'!BC179+Calculation!AS179+Calculation!DJ179</f>
        <v>67.804246790392213</v>
      </c>
      <c r="AG179" s="95">
        <f ca="1">IF(B179=TODAY(),0,Sheet1!AA181+Sheet1!BN181+'Calculations II'!BC179+'Calculations II'!P179-Sheet1!CT181-BP179)</f>
        <v>38.37250344898785</v>
      </c>
      <c r="AH179" s="95">
        <f ca="1">IF(B179=TODAY(),0,Sheet1!AA181+Sheet1!BN181+'Calculations II'!BC179+'Calculations II'!P179-BP179)</f>
        <v>55.277503448987851</v>
      </c>
      <c r="AI179" s="95">
        <f ca="1">IF(B179=TODAY(),0,BC179+Sheet1!AA181+Calculation!ES179+O179+W179+Sheet1!BN181+Calculation!AS179+Calculation!DJ179-BP179)</f>
        <v>67.804246790392213</v>
      </c>
      <c r="AJ179" s="95"/>
      <c r="AM179" s="91">
        <f t="shared" si="23"/>
        <v>41807</v>
      </c>
      <c r="AN179" s="95">
        <f>Sheet1!BU181</f>
        <v>32.299999999999997</v>
      </c>
      <c r="AO179" s="95">
        <f>Sheet1!AA181</f>
        <v>32.799999999999997</v>
      </c>
      <c r="AP179" s="95">
        <f t="shared" si="18"/>
        <v>-1.2188000000000034</v>
      </c>
      <c r="AQ179" s="1055">
        <f>((Sheet1!BV181-(Sheet1!BU181-AP179))/(Sheet1!BU181-AP179))</f>
        <v>8.8941131544088725E-2</v>
      </c>
      <c r="AR179" s="95">
        <f t="shared" si="19"/>
        <v>34.018799999999999</v>
      </c>
      <c r="AS179" s="95">
        <f t="shared" si="20"/>
        <v>33.518799999999999</v>
      </c>
      <c r="AT179" s="90">
        <f>Sheet1!BB181</f>
        <v>1.59</v>
      </c>
      <c r="AU179" s="90">
        <f>Sheet1!AS181*GPMtoMGD</f>
        <v>1.6272000000000002E-2</v>
      </c>
      <c r="AV179" s="95">
        <f>Sheet1!AT181</f>
        <v>0</v>
      </c>
      <c r="AW179" s="90">
        <f>Sheet1!AV181*GPMtoMGD</f>
        <v>0.60940800000000006</v>
      </c>
      <c r="AX179" s="90">
        <f>Sheet1!AW181*GPMtoMGD</f>
        <v>0.81475200000000003</v>
      </c>
      <c r="AY179" s="90">
        <f>Sheet1!AX181*GPMtoMGD</f>
        <v>1.4832000000000001E-2</v>
      </c>
      <c r="AZ179" s="90">
        <f>Sheet1!AY181*GPMtoMGD</f>
        <v>0</v>
      </c>
      <c r="BA179" s="90">
        <f>Sheet1!AZ181*GPMtoMGD</f>
        <v>0</v>
      </c>
      <c r="BB179" s="90">
        <f>Sheet1!BP181*GPMtoMGD</f>
        <v>0</v>
      </c>
      <c r="BC179" s="90">
        <f>Sheet1!CS181*GPMtoMGD</f>
        <v>0</v>
      </c>
      <c r="BD179" s="90">
        <f>Sheet1!BO181*GPMtoMGD</f>
        <v>2.858832</v>
      </c>
      <c r="BE179" s="90">
        <f>Sheet1!BW181*GPMtoMGD</f>
        <v>0.94377600000000006</v>
      </c>
      <c r="BF179" s="90">
        <f>Sheet1!CN181*GPMtoMGD</f>
        <v>1.1808000000000001</v>
      </c>
      <c r="BG179" s="90">
        <f>Sheet1!CO181*GPMtoMGD</f>
        <v>1.070208</v>
      </c>
      <c r="BH179" s="90">
        <f>Sheet1!CP181*GPMtoMGD</f>
        <v>0.84067199999999997</v>
      </c>
      <c r="BI179" s="90">
        <f t="shared" si="24"/>
        <v>2.858832</v>
      </c>
      <c r="BK179" s="95">
        <f>SUM(AT179:BA179,BE179,Sheet1!BV181,'Calculations II'!BC179,Calculation!AQ179)</f>
        <v>60.964221598062956</v>
      </c>
      <c r="BM179" s="373">
        <f>0</f>
        <v>0</v>
      </c>
      <c r="BN179" s="373">
        <f>0</f>
        <v>0</v>
      </c>
      <c r="BP179" s="95">
        <f>SUM(BM179:BN179,W179,Sheet1!DX181)</f>
        <v>0</v>
      </c>
    </row>
    <row r="180" spans="1:68" s="90" customFormat="1">
      <c r="A180" s="651" t="s">
        <v>6</v>
      </c>
      <c r="B180" s="92">
        <v>41808</v>
      </c>
      <c r="C180" s="93">
        <v>0</v>
      </c>
      <c r="D180" s="95">
        <f>(Sheet1!BQ182-Sheet1!BQ181)*1.385</f>
        <v>-2.3821999999999983</v>
      </c>
      <c r="E180" s="30">
        <f>(Sheet1!BR182-Sheet1!BR181)*1.385</f>
        <v>-2.3821999999999983</v>
      </c>
      <c r="F180" s="30">
        <f ca="1">IF(B180=TODAY(),0,-(VLOOKUP(Sheet1!CD182,Lookup!$I$4:$J$216,2)-VLOOKUP(Sheet1!CD181,Lookup!$I$4:$J$216,2))/1000000)</f>
        <v>-0.31091081564339806</v>
      </c>
      <c r="G180" s="95">
        <f ca="1">IF(B180=TODAY(),0,-$G$6*(Sheet1!CF182-Sheet1!CF181)*7.48/1000000)</f>
        <v>-0.67512951789350772</v>
      </c>
      <c r="H180" s="95">
        <f ca="1">IF(B180=TODAY(),0,-$H$6*(Sheet1!CE182-Sheet1!CE181)*7.48/1000000)</f>
        <v>3.0078864702530548E-2</v>
      </c>
      <c r="I180" s="95">
        <f ca="1">IF(B180=TODAY(),0,-$I$6*(Sheet1!CG182-Sheet1!CG181)*7.48/1000000)</f>
        <v>6.289483199999997E-2</v>
      </c>
      <c r="J180" s="96" t="s">
        <v>186</v>
      </c>
      <c r="K180" s="95">
        <f ca="1">IF(B180=TODAY(),0,-$K$6*(Sheet1!CH182-Sheet1!CH181)*7.48/1000000)</f>
        <v>0.10661312599133518</v>
      </c>
      <c r="L180" s="96" t="s">
        <v>186</v>
      </c>
      <c r="M180" s="95">
        <f ca="1">IF(B180=TODAY(),0,-$M$6*(Sheet1!CI182-Sheet1!CI181)*7.48/1000000)</f>
        <v>0.35983016856054129</v>
      </c>
      <c r="N180" s="95">
        <f ca="1">IF(B180=TODAY(),0,-$N$6*(Sheet1!CJ182-Sheet1!CJ181)*7.48/1000000)</f>
        <v>3.1026172697312393E-2</v>
      </c>
      <c r="O180" s="95">
        <f t="shared" ca="1" si="21"/>
        <v>-0.39559716958518637</v>
      </c>
      <c r="P180" s="95">
        <f ca="1">O180+Calculation!ES180</f>
        <v>4.3138657511583052</v>
      </c>
      <c r="Q180" s="90" t="str">
        <f>IF(Sheet1!BQ182&gt;25.75,"spill elevation","-")</f>
        <v>-</v>
      </c>
      <c r="R180" s="90" t="str">
        <f>IF(Sheet1!BQ182&gt;25.75,"spill elevation","-")</f>
        <v>-</v>
      </c>
      <c r="S180" s="90" t="str">
        <f>IF(Sheet1!BR182&gt;25.75,"spill elevation","-")</f>
        <v>-</v>
      </c>
      <c r="T180" s="94">
        <f>IF(Sheet1!DU182=1,Sheet1!AA182-(SUM(AT180:BA180)+BE180),Sheet1!AA182-SUM(AT180:BA180))</f>
        <v>29.897712000000002</v>
      </c>
      <c r="U180" s="94">
        <f>Sheet1!BV182</f>
        <v>39.799999999999997</v>
      </c>
      <c r="V180" s="94">
        <f t="shared" si="22"/>
        <v>-9.9022879999999951</v>
      </c>
      <c r="W180" s="94">
        <f>0</f>
        <v>0</v>
      </c>
      <c r="X180" s="90">
        <f>0</f>
        <v>0</v>
      </c>
      <c r="Y180" s="95">
        <f ca="1">Calculation!EJ181+Calculation!ES180+'Calculations II'!O180-'Calculations II'!W180</f>
        <v>75.113865751158301</v>
      </c>
      <c r="Z180" s="95">
        <f ca="1">Y180-Sheet1!CT183</f>
        <v>61.782865751158297</v>
      </c>
      <c r="AA180" s="95">
        <f ca="1">Y180+Calculation!DJ181+Calculation!AS181</f>
        <v>87.663982301274842</v>
      </c>
      <c r="AC180" s="95">
        <f>Sheet1!AA182+Sheet1!AB182+BC180</f>
        <v>67.599999999999994</v>
      </c>
      <c r="AD180" s="95">
        <f>Sheet1!AA182+Sheet1!BN182+'Calculations II'!BC180-Calculation!AS180-Calculation!DJ180</f>
        <v>42.951998856162426</v>
      </c>
      <c r="AE180" s="95">
        <f>Sheet1!AA182+Sheet1!AB182+'Calculations II'!BC180-Calculation!AS180-Calculation!DJ180</f>
        <v>55.251998856162423</v>
      </c>
      <c r="AF180" s="95">
        <f ca="1">Sheet1!AA182+Sheet1!BN182+P180+'Calculations II'!BC180+Calculation!AS180+Calculation!DJ180</f>
        <v>71.961866894995893</v>
      </c>
      <c r="AG180" s="95">
        <f ca="1">IF(B180=TODAY(),0,Sheet1!AA182+Sheet1!BN182+'Calculations II'!BC180+'Calculations II'!P180-Sheet1!CT182-BP180)</f>
        <v>45.190865751158306</v>
      </c>
      <c r="AH180" s="95">
        <f ca="1">IF(B180=TODAY(),0,Sheet1!AA182+Sheet1!BN182+'Calculations II'!BC180+'Calculations II'!P180-BP180)</f>
        <v>59.613865751158308</v>
      </c>
      <c r="AI180" s="95">
        <f ca="1">IF(B180=TODAY(),0,BC180+Sheet1!AA182+Calculation!ES180+O180+W180+Sheet1!BN182+Calculation!AS180+Calculation!DJ180-BP180)</f>
        <v>71.961866894995893</v>
      </c>
      <c r="AJ180" s="95"/>
      <c r="AM180" s="91">
        <f t="shared" si="23"/>
        <v>41808</v>
      </c>
      <c r="AN180" s="95">
        <f>Sheet1!BU182</f>
        <v>32.1</v>
      </c>
      <c r="AO180" s="95">
        <f>Sheet1!AA182</f>
        <v>32.700000000000003</v>
      </c>
      <c r="AP180" s="95">
        <f t="shared" si="18"/>
        <v>-4.7643999999999966</v>
      </c>
      <c r="AQ180" s="1055">
        <f>((Sheet1!BV182-(Sheet1!BU182-AP180))/(Sheet1!BU182-AP180))</f>
        <v>7.9632382461127846E-2</v>
      </c>
      <c r="AR180" s="95">
        <f t="shared" si="19"/>
        <v>37.464399999999998</v>
      </c>
      <c r="AS180" s="95">
        <f t="shared" si="20"/>
        <v>36.864399999999996</v>
      </c>
      <c r="AT180" s="90">
        <f>Sheet1!BB182</f>
        <v>1.38</v>
      </c>
      <c r="AU180" s="90">
        <f>Sheet1!AS182*GPMtoMGD</f>
        <v>3.2975999999999998E-2</v>
      </c>
      <c r="AV180" s="95">
        <f>Sheet1!AT182</f>
        <v>0</v>
      </c>
      <c r="AW180" s="90">
        <f>Sheet1!AV182*GPMtoMGD</f>
        <v>0.54432000000000003</v>
      </c>
      <c r="AX180" s="90">
        <f>Sheet1!AW182*GPMtoMGD</f>
        <v>0.81921600000000006</v>
      </c>
      <c r="AY180" s="90">
        <f>Sheet1!AX182*GPMtoMGD</f>
        <v>2.5776E-2</v>
      </c>
      <c r="AZ180" s="90">
        <f>Sheet1!AY182*GPMtoMGD</f>
        <v>0</v>
      </c>
      <c r="BA180" s="90">
        <f>Sheet1!AZ182*GPMtoMGD</f>
        <v>0</v>
      </c>
      <c r="BB180" s="90">
        <f>Sheet1!BP182*GPMtoMGD</f>
        <v>0</v>
      </c>
      <c r="BC180" s="90">
        <f>Sheet1!CS182*GPMtoMGD</f>
        <v>0</v>
      </c>
      <c r="BD180" s="90">
        <f>Sheet1!BO182*GPMtoMGD</f>
        <v>2.4408000000000003</v>
      </c>
      <c r="BE180" s="90">
        <f>Sheet1!BW182*GPMtoMGD</f>
        <v>1.0323360000000001</v>
      </c>
      <c r="BF180" s="90">
        <f>Sheet1!CN182*GPMtoMGD</f>
        <v>1.7280000000000002</v>
      </c>
      <c r="BG180" s="90">
        <f>Sheet1!CO182*GPMtoMGD</f>
        <v>1.1982240000000002</v>
      </c>
      <c r="BH180" s="90">
        <f>Sheet1!CP182*GPMtoMGD</f>
        <v>0.89337600000000006</v>
      </c>
      <c r="BI180" s="90">
        <f t="shared" si="24"/>
        <v>2.4408000000000003</v>
      </c>
      <c r="BK180" s="95">
        <f>SUM(AT180:BA180,BE180,Sheet1!BV182,'Calculations II'!BC180,Calculation!AQ180)</f>
        <v>66.1893852239062</v>
      </c>
      <c r="BM180" s="373">
        <f>0</f>
        <v>0</v>
      </c>
      <c r="BN180" s="373">
        <f>0</f>
        <v>0</v>
      </c>
      <c r="BP180" s="95">
        <f>SUM(BM180:BN180,W180,Sheet1!DX182)</f>
        <v>0</v>
      </c>
    </row>
    <row r="181" spans="1:68" s="90" customFormat="1">
      <c r="A181" s="651" t="s">
        <v>7</v>
      </c>
      <c r="B181" s="92">
        <v>41809</v>
      </c>
      <c r="C181" s="93">
        <v>0</v>
      </c>
      <c r="D181" s="95">
        <f>(Sheet1!BQ183-Sheet1!BQ182)*1.385</f>
        <v>-0.23544999999999744</v>
      </c>
      <c r="E181" s="30">
        <f>(Sheet1!BR183-Sheet1!BR182)*1.385</f>
        <v>-0.18005000000000354</v>
      </c>
      <c r="F181" s="30">
        <f ca="1">IF(B181=TODAY(),0,-(VLOOKUP(Sheet1!CD183,Lookup!$I$4:$J$216,2)-VLOOKUP(Sheet1!CD182,Lookup!$I$4:$J$216,2))/1000000)</f>
        <v>0.31091081564339806</v>
      </c>
      <c r="G181" s="95">
        <f ca="1">IF(B181=TODAY(),0,-$G$6*(Sheet1!CF183-Sheet1!CF182)*7.48/1000000)</f>
        <v>0.43684851157815285</v>
      </c>
      <c r="H181" s="95">
        <f ca="1">IF(B181=TODAY(),0,-$H$6*(Sheet1!CE183-Sheet1!CE182)*7.48/1000000)</f>
        <v>0</v>
      </c>
      <c r="I181" s="95">
        <f ca="1">IF(B181=TODAY(),0,-$I$6*(Sheet1!CG183-Sheet1!CG182)*7.48/1000000)</f>
        <v>-8.9849760000000015E-2</v>
      </c>
      <c r="J181" s="96" t="s">
        <v>186</v>
      </c>
      <c r="K181" s="95">
        <f ca="1">IF(B181=TODAY(),0,-$K$6*(Sheet1!CH183-Sheet1!CH182)*7.48/1000000)</f>
        <v>-0.14659304823808578</v>
      </c>
      <c r="L181" s="96" t="s">
        <v>186</v>
      </c>
      <c r="M181" s="95">
        <f ca="1">IF(B181=TODAY(),0,-$M$6*(Sheet1!CI183-Sheet1!CI182)*7.48/1000000)</f>
        <v>-0.50376223598475722</v>
      </c>
      <c r="N181" s="95">
        <f ca="1">IF(B181=TODAY(),0,-$N$6*(Sheet1!CJ183-Sheet1!CJ182)*7.48/1000000)</f>
        <v>-0.44677688684129252</v>
      </c>
      <c r="O181" s="95">
        <f t="shared" ca="1" si="21"/>
        <v>-0.4392226038425846</v>
      </c>
      <c r="P181" s="95">
        <f ca="1">O181+Calculation!ES181</f>
        <v>-2.3857990133023088E-2</v>
      </c>
      <c r="Q181" s="90" t="str">
        <f>IF(Sheet1!BQ183&gt;25.75,"spill elevation","-")</f>
        <v>-</v>
      </c>
      <c r="R181" s="90" t="str">
        <f>IF(Sheet1!BQ183&gt;25.75,"spill elevation","-")</f>
        <v>-</v>
      </c>
      <c r="S181" s="90" t="str">
        <f>IF(Sheet1!BR183&gt;25.75,"spill elevation","-")</f>
        <v>-</v>
      </c>
      <c r="T181" s="94">
        <f>IF(Sheet1!DU183=1,Sheet1!AA183-(SUM(AT181:BA181)+BE181),Sheet1!AA183-SUM(AT181:BA181))</f>
        <v>28.1252</v>
      </c>
      <c r="U181" s="94">
        <f>Sheet1!BV183</f>
        <v>34.700000000000003</v>
      </c>
      <c r="V181" s="94">
        <f t="shared" si="22"/>
        <v>-6.5748000000000033</v>
      </c>
      <c r="W181" s="94">
        <f>0</f>
        <v>0</v>
      </c>
      <c r="X181" s="90">
        <f>0</f>
        <v>0</v>
      </c>
      <c r="Y181" s="95">
        <f ca="1">Calculation!EJ182+Calculation!ES181+'Calculations II'!O181-'Calculations II'!W181</f>
        <v>73.176142009866965</v>
      </c>
      <c r="Z181" s="95">
        <f ca="1">Y181-Sheet1!CT184</f>
        <v>56.116142009866962</v>
      </c>
      <c r="AA181" s="95">
        <f ca="1">Y181+Calculation!DJ182+Calculation!AS182</f>
        <v>86.113474694218382</v>
      </c>
      <c r="AC181" s="95">
        <f>Sheet1!AA183+Sheet1!AB183+BC181</f>
        <v>70.8</v>
      </c>
      <c r="AD181" s="95">
        <f>Sheet1!AA183+Sheet1!BN183+'Calculations II'!BC181-Calculation!AS181-Calculation!DJ181</f>
        <v>45.84988344988345</v>
      </c>
      <c r="AE181" s="95">
        <f>Sheet1!AA183+Sheet1!AB183+'Calculations II'!BC181-Calculation!AS181-Calculation!DJ181</f>
        <v>58.249883449883455</v>
      </c>
      <c r="AF181" s="95">
        <f ca="1">Sheet1!AA183+Sheet1!BN183+P181+'Calculations II'!BC181+Calculation!AS181+Calculation!DJ181</f>
        <v>70.926258559983523</v>
      </c>
      <c r="AG181" s="95">
        <f ca="1">IF(B181=TODAY(),0,Sheet1!AA183+Sheet1!BN183+'Calculations II'!BC181+'Calculations II'!P181-Sheet1!CT183-BP181)</f>
        <v>45.045142009866979</v>
      </c>
      <c r="AH181" s="95">
        <f ca="1">IF(B181=TODAY(),0,Sheet1!AA183+Sheet1!BN183+'Calculations II'!BC181+'Calculations II'!P181-BP181)</f>
        <v>58.376142009866975</v>
      </c>
      <c r="AI181" s="95">
        <f ca="1">IF(B181=TODAY(),0,BC181+Sheet1!AA183+Calculation!ES181+O181+W181+Sheet1!BN183+Calculation!AS181+Calculation!DJ181-BP181)</f>
        <v>70.926258559983523</v>
      </c>
      <c r="AJ181" s="95"/>
      <c r="AM181" s="91">
        <f t="shared" si="23"/>
        <v>41809</v>
      </c>
      <c r="AN181" s="95">
        <f>Sheet1!BU183</f>
        <v>31.1</v>
      </c>
      <c r="AO181" s="95">
        <f>Sheet1!AA183</f>
        <v>32.4</v>
      </c>
      <c r="AP181" s="95">
        <f t="shared" si="18"/>
        <v>-0.41550000000000098</v>
      </c>
      <c r="AQ181" s="1055">
        <f>((Sheet1!BV183-(Sheet1!BU183-AP181))/(Sheet1!BU183-AP181))</f>
        <v>0.10104551728514539</v>
      </c>
      <c r="AR181" s="95">
        <f t="shared" si="19"/>
        <v>32.8155</v>
      </c>
      <c r="AS181" s="95">
        <f t="shared" si="20"/>
        <v>31.515500000000003</v>
      </c>
      <c r="AT181" s="90">
        <f>Sheet1!BB183</f>
        <v>1.6</v>
      </c>
      <c r="AU181" s="90">
        <f>Sheet1!AS183*GPMtoMGD</f>
        <v>1.8144E-2</v>
      </c>
      <c r="AV181" s="95">
        <f>Sheet1!AT183</f>
        <v>0</v>
      </c>
      <c r="AW181" s="90">
        <f>Sheet1!AV183*GPMtoMGD</f>
        <v>1.15344</v>
      </c>
      <c r="AX181" s="90">
        <f>Sheet1!AW183*GPMtoMGD</f>
        <v>1.4850719999999999</v>
      </c>
      <c r="AY181" s="90">
        <f>Sheet1!AX183*GPMtoMGD</f>
        <v>1.8144E-2</v>
      </c>
      <c r="AZ181" s="90">
        <f>Sheet1!AY183*GPMtoMGD</f>
        <v>0</v>
      </c>
      <c r="BA181" s="90">
        <f>Sheet1!AZ183*GPMtoMGD</f>
        <v>0</v>
      </c>
      <c r="BB181" s="90">
        <f>Sheet1!BP183*GPMtoMGD</f>
        <v>0</v>
      </c>
      <c r="BC181" s="90">
        <f>Sheet1!CS183*GPMtoMGD</f>
        <v>0</v>
      </c>
      <c r="BD181" s="90">
        <f>Sheet1!BO183*GPMtoMGD</f>
        <v>3.5625600000000004</v>
      </c>
      <c r="BE181" s="90">
        <f>Sheet1!BW183*GPMtoMGD</f>
        <v>1.2486240000000002</v>
      </c>
      <c r="BF181" s="90">
        <f>Sheet1!CN183*GPMtoMGD</f>
        <v>1.7280000000000002</v>
      </c>
      <c r="BG181" s="90">
        <f>Sheet1!CO183*GPMtoMGD</f>
        <v>1.2637440000000002</v>
      </c>
      <c r="BH181" s="90">
        <f>Sheet1!CP183*GPMtoMGD</f>
        <v>0.85838400000000004</v>
      </c>
      <c r="BI181" s="90">
        <f t="shared" si="24"/>
        <v>3.5625600000000004</v>
      </c>
      <c r="BK181" s="95">
        <f>SUM(AT181:BA181,BE181,Sheet1!BV183,'Calculations II'!BC181,Calculation!AQ181)</f>
        <v>66.082009858585863</v>
      </c>
      <c r="BM181" s="373">
        <f>0</f>
        <v>0</v>
      </c>
      <c r="BN181" s="373">
        <f>0</f>
        <v>0</v>
      </c>
      <c r="BP181" s="95">
        <f>SUM(BM181:BN181,W181,Sheet1!DX183)</f>
        <v>0</v>
      </c>
    </row>
    <row r="182" spans="1:68" s="90" customFormat="1">
      <c r="A182" s="651" t="s">
        <v>8</v>
      </c>
      <c r="B182" s="92">
        <v>41810</v>
      </c>
      <c r="C182" s="93">
        <v>0</v>
      </c>
      <c r="D182" s="95">
        <f>(Sheet1!BQ184-Sheet1!BQ183)*1.385</f>
        <v>-8.3100000000003144E-2</v>
      </c>
      <c r="E182" s="30">
        <f>(Sheet1!BR184-Sheet1!BR183)*1.385</f>
        <v>-0.1246499999999998</v>
      </c>
      <c r="F182" s="30">
        <f ca="1">IF(B182=TODAY(),0,-(VLOOKUP(Sheet1!CD184,Lookup!$I$4:$J$216,2)-VLOOKUP(Sheet1!CD183,Lookup!$I$4:$J$216,2))/1000000)</f>
        <v>-0.31091081564339806</v>
      </c>
      <c r="G182" s="95">
        <f ca="1">IF(B182=TODAY(),0,-$G$6*(Sheet1!CF184-Sheet1!CF183)*7.48/1000000)</f>
        <v>0.11914050315767677</v>
      </c>
      <c r="H182" s="95">
        <f ca="1">IF(B182=TODAY(),0,-$H$6*(Sheet1!CE184-Sheet1!CE183)*7.48/1000000)</f>
        <v>1.5039432351264204E-2</v>
      </c>
      <c r="I182" s="95">
        <f ca="1">IF(B182=TODAY(),0,-$I$6*(Sheet1!CG184-Sheet1!CG183)*7.48/1000000)</f>
        <v>7.1879808000000031E-2</v>
      </c>
      <c r="J182" s="96" t="s">
        <v>186</v>
      </c>
      <c r="K182" s="95">
        <f ca="1">IF(B182=TODAY(),0,-$K$6*(Sheet1!CH184-Sheet1!CH183)*7.48/1000000)</f>
        <v>0.119939766740252</v>
      </c>
      <c r="L182" s="96" t="s">
        <v>186</v>
      </c>
      <c r="M182" s="95">
        <f ca="1">IF(B182=TODAY(),0,-$M$6*(Sheet1!CI184-Sheet1!CI183)*7.48/1000000)</f>
        <v>0.35983016856054062</v>
      </c>
      <c r="N182" s="95">
        <f ca="1">IF(B182=TODAY(),0,-$N$6*(Sheet1!CJ184-Sheet1!CJ183)*7.48/1000000)</f>
        <v>0.30405649243365723</v>
      </c>
      <c r="O182" s="95">
        <f t="shared" ca="1" si="21"/>
        <v>0.67897535559999278</v>
      </c>
      <c r="P182" s="95">
        <f ca="1">O182+Calculation!ES182</f>
        <v>0.81742168351958777</v>
      </c>
      <c r="Q182" s="90" t="str">
        <f>IF(Sheet1!BQ184&gt;25.75,"spill elevation","-")</f>
        <v>-</v>
      </c>
      <c r="R182" s="90" t="str">
        <f>IF(Sheet1!BQ184&gt;25.75,"spill elevation","-")</f>
        <v>-</v>
      </c>
      <c r="S182" s="90" t="str">
        <f>IF(Sheet1!BR184&gt;25.75,"spill elevation","-")</f>
        <v>-</v>
      </c>
      <c r="T182" s="94">
        <f>IF(Sheet1!DU184=1,Sheet1!AA184-(SUM(AT182:BA182)+BE182),Sheet1!AA184-SUM(AT182:BA182))</f>
        <v>28.870047999999997</v>
      </c>
      <c r="U182" s="94">
        <f>Sheet1!BV184</f>
        <v>34.9</v>
      </c>
      <c r="V182" s="94">
        <f t="shared" si="22"/>
        <v>-6.0299520000000015</v>
      </c>
      <c r="W182" s="94">
        <f>0</f>
        <v>0</v>
      </c>
      <c r="X182" s="90">
        <f>0</f>
        <v>0</v>
      </c>
      <c r="Y182" s="95">
        <f ca="1">Calculation!EJ183+Calculation!ES182+'Calculations II'!O182-'Calculations II'!W182</f>
        <v>74.017421683519586</v>
      </c>
      <c r="Z182" s="95">
        <f ca="1">Y182-Sheet1!CT185</f>
        <v>56.49142168351959</v>
      </c>
      <c r="AA182" s="95">
        <f ca="1">Y182+Calculation!DJ183+Calculation!AS183</f>
        <v>87.118150900826336</v>
      </c>
      <c r="AC182" s="95">
        <f>Sheet1!AA184+Sheet1!AB184+BC182</f>
        <v>73.199999999999989</v>
      </c>
      <c r="AD182" s="95">
        <f>Sheet1!AA184+Sheet1!BN184+'Calculations II'!BC182-Calculation!AS182-Calculation!DJ182</f>
        <v>47.462667315648574</v>
      </c>
      <c r="AE182" s="95">
        <f>Sheet1!AA184+Sheet1!AB184+'Calculations II'!BC182-Calculation!AS182-Calculation!DJ182</f>
        <v>60.262667315648571</v>
      </c>
      <c r="AF182" s="95">
        <f ca="1">Sheet1!AA184+Sheet1!BN184+P182+'Calculations II'!BC182+Calculation!AS182+Calculation!DJ182</f>
        <v>74.154754367871007</v>
      </c>
      <c r="AG182" s="95">
        <f ca="1">IF(B182=TODAY(),0,Sheet1!AA184+Sheet1!BN184+'Calculations II'!BC182+'Calculations II'!P182-Sheet1!CT184-BP182)</f>
        <v>44.157421683519587</v>
      </c>
      <c r="AH182" s="95">
        <f ca="1">IF(B182=TODAY(),0,Sheet1!AA184+Sheet1!BN184+'Calculations II'!BC182+'Calculations II'!P182-BP182)</f>
        <v>61.217421683519589</v>
      </c>
      <c r="AI182" s="95">
        <f ca="1">IF(B182=TODAY(),0,BC182+Sheet1!AA184+Calculation!ES182+O182+W182+Sheet1!BN184+Calculation!AS182+Calculation!DJ182-BP182)</f>
        <v>74.154754367871007</v>
      </c>
      <c r="AJ182" s="95"/>
      <c r="AM182" s="91">
        <f t="shared" si="23"/>
        <v>41810</v>
      </c>
      <c r="AN182" s="95">
        <f>Sheet1!BU184</f>
        <v>31.5</v>
      </c>
      <c r="AO182" s="95">
        <f>Sheet1!AA184</f>
        <v>32.299999999999997</v>
      </c>
      <c r="AP182" s="95">
        <f t="shared" si="18"/>
        <v>-0.20775000000000293</v>
      </c>
      <c r="AQ182" s="1055">
        <f>((Sheet1!BV184-(Sheet1!BU184-AP182))/(Sheet1!BU184-AP182))</f>
        <v>0.10067727921407207</v>
      </c>
      <c r="AR182" s="95">
        <f t="shared" si="19"/>
        <v>32.507750000000001</v>
      </c>
      <c r="AS182" s="95">
        <f t="shared" si="20"/>
        <v>31.707750000000004</v>
      </c>
      <c r="AT182" s="90">
        <f>Sheet1!BB184</f>
        <v>1.6</v>
      </c>
      <c r="AU182" s="90">
        <f>Sheet1!AS184*GPMtoMGD</f>
        <v>2.8368000000000001E-2</v>
      </c>
      <c r="AV182" s="95">
        <f>Sheet1!AT184</f>
        <v>0</v>
      </c>
      <c r="AW182" s="90">
        <f>Sheet1!AV184*GPMtoMGD</f>
        <v>0.7869600000000001</v>
      </c>
      <c r="AX182" s="90">
        <f>Sheet1!AW184*GPMtoMGD</f>
        <v>0.97142400000000007</v>
      </c>
      <c r="AY182" s="90">
        <f>Sheet1!AX184*GPMtoMGD</f>
        <v>4.3200000000000002E-2</v>
      </c>
      <c r="AZ182" s="90">
        <f>Sheet1!AY184*GPMtoMGD</f>
        <v>0</v>
      </c>
      <c r="BA182" s="90">
        <f>Sheet1!AZ184*GPMtoMGD</f>
        <v>0</v>
      </c>
      <c r="BB182" s="90">
        <f>Sheet1!BP184*GPMtoMGD</f>
        <v>0</v>
      </c>
      <c r="BC182" s="90">
        <f>Sheet1!CS184*GPMtoMGD</f>
        <v>0</v>
      </c>
      <c r="BD182" s="90">
        <f>Sheet1!BO184*GPMtoMGD</f>
        <v>2.5238880000000004</v>
      </c>
      <c r="BE182" s="90">
        <f>Sheet1!BW184*GPMtoMGD</f>
        <v>1.3160160000000001</v>
      </c>
      <c r="BF182" s="90">
        <f>Sheet1!CN184*GPMtoMGD</f>
        <v>1.7280000000000002</v>
      </c>
      <c r="BG182" s="90">
        <f>Sheet1!CO184*GPMtoMGD</f>
        <v>1.246176</v>
      </c>
      <c r="BH182" s="90">
        <f>Sheet1!CP184*GPMtoMGD</f>
        <v>0.88833600000000001</v>
      </c>
      <c r="BI182" s="90">
        <f t="shared" si="24"/>
        <v>2.5238880000000004</v>
      </c>
      <c r="BK182" s="95">
        <f>SUM(AT182:BA182,BE182,Sheet1!BV184,'Calculations II'!BC182,Calculation!AQ182)</f>
        <v>67.616033709418346</v>
      </c>
      <c r="BM182" s="373">
        <f>0</f>
        <v>0</v>
      </c>
      <c r="BN182" s="373">
        <f>0</f>
        <v>0</v>
      </c>
      <c r="BP182" s="95">
        <f>SUM(BM182:BN182,W182,Sheet1!DX184)</f>
        <v>0</v>
      </c>
    </row>
    <row r="183" spans="1:68" s="90" customFormat="1">
      <c r="A183" s="651" t="s">
        <v>9</v>
      </c>
      <c r="B183" s="92">
        <v>41811</v>
      </c>
      <c r="C183" s="93">
        <v>0</v>
      </c>
      <c r="D183" s="95">
        <f>(Sheet1!BQ185-Sheet1!BQ184)*1.385</f>
        <v>-2.2575499999999988</v>
      </c>
      <c r="E183" s="30">
        <f>(Sheet1!BR185-Sheet1!BR184)*1.385</f>
        <v>-2.2159999999999971</v>
      </c>
      <c r="F183" s="30">
        <f ca="1">IF(B183=TODAY(),0,-(VLOOKUP(Sheet1!CD185,Lookup!$I$4:$J$216,2)-VLOOKUP(Sheet1!CD184,Lookup!$I$4:$J$216,2))/1000000)</f>
        <v>0.10363693854779936</v>
      </c>
      <c r="G183" s="95">
        <f ca="1">IF(B183=TODAY(),0,-$G$6*(Sheet1!CF185-Sheet1!CF184)*7.48/1000000)</f>
        <v>-0.15885400421023663</v>
      </c>
      <c r="H183" s="95">
        <f ca="1">IF(B183=TODAY(),0,-$H$6*(Sheet1!CE185-Sheet1!CE184)*7.48/1000000)</f>
        <v>3.0078864702530548E-2</v>
      </c>
      <c r="I183" s="95">
        <f ca="1">IF(B183=TODAY(),0,-$I$6*(Sheet1!CG185-Sheet1!CG184)*7.48/1000000)</f>
        <v>-0.10332722400000005</v>
      </c>
      <c r="J183" s="96" t="s">
        <v>186</v>
      </c>
      <c r="K183" s="95">
        <f ca="1">IF(B183=TODAY(),0,-$K$6*(Sheet1!CH185-Sheet1!CH184)*7.48/1000000)</f>
        <v>-0.17990965011037802</v>
      </c>
      <c r="L183" s="96" t="s">
        <v>186</v>
      </c>
      <c r="M183" s="95">
        <f ca="1">IF(B183=TODAY(),0,-$M$6*(Sheet1!CI185-Sheet1!CI184)*7.48/1000000)</f>
        <v>-0.41920214637303022</v>
      </c>
      <c r="N183" s="95">
        <f ca="1">IF(B183=TODAY(),0,-$N$6*(Sheet1!CJ185-Sheet1!CJ184)*7.48/1000000)</f>
        <v>0.15513086348655974</v>
      </c>
      <c r="O183" s="95">
        <f t="shared" ca="1" si="21"/>
        <v>-0.57244635795675525</v>
      </c>
      <c r="P183" s="95">
        <f ca="1">O183+Calculation!ES183</f>
        <v>3.994539877997962</v>
      </c>
      <c r="Q183" s="90" t="str">
        <f>IF(Sheet1!BQ185&gt;25.75,"spill elevation","-")</f>
        <v>-</v>
      </c>
      <c r="R183" s="90" t="str">
        <f>IF(Sheet1!BQ185&gt;25.75,"spill elevation","-")</f>
        <v>-</v>
      </c>
      <c r="S183" s="90" t="str">
        <f>IF(Sheet1!BR185&gt;25.75,"spill elevation","-")</f>
        <v>-</v>
      </c>
      <c r="T183" s="94">
        <f>IF(Sheet1!DU185=1,Sheet1!AA185-(SUM(AT183:BA183)+BE183),Sheet1!AA185-SUM(AT183:BA183))</f>
        <v>28.234944000000002</v>
      </c>
      <c r="U183" s="94">
        <f>Sheet1!BV185</f>
        <v>38.799999999999997</v>
      </c>
      <c r="V183" s="94">
        <f t="shared" si="22"/>
        <v>-10.565055999999995</v>
      </c>
      <c r="W183" s="94">
        <f>0</f>
        <v>0</v>
      </c>
      <c r="X183" s="90">
        <f>0</f>
        <v>0</v>
      </c>
      <c r="Y183" s="95">
        <f ca="1">Calculation!EJ184+Calculation!ES183+'Calculations II'!O183-'Calculations II'!W183</f>
        <v>77.294539877997963</v>
      </c>
      <c r="Z183" s="95">
        <f ca="1">Y183-Sheet1!CT186</f>
        <v>60.089539877997964</v>
      </c>
      <c r="AA183" s="95">
        <f ca="1">Y183+Calculation!DJ184+Calculation!AS184</f>
        <v>90.42392307372404</v>
      </c>
      <c r="AC183" s="95">
        <f>Sheet1!AA185+Sheet1!AB185+BC183</f>
        <v>73.2</v>
      </c>
      <c r="AD183" s="95">
        <f>Sheet1!AA185+Sheet1!BN185+'Calculations II'!BC183-Calculation!AS183-Calculation!DJ183</f>
        <v>47.099270782693246</v>
      </c>
      <c r="AE183" s="95">
        <f>Sheet1!AA185+Sheet1!AB185+'Calculations II'!BC183-Calculation!AS183-Calculation!DJ183</f>
        <v>60.099270782693253</v>
      </c>
      <c r="AF183" s="95">
        <f ca="1">Sheet1!AA185+Sheet1!BN185+P183+'Calculations II'!BC183+Calculation!AS183+Calculation!DJ183</f>
        <v>77.295269095304718</v>
      </c>
      <c r="AG183" s="95">
        <f ca="1">IF(B183=TODAY(),0,Sheet1!AA185+Sheet1!BN185+'Calculations II'!BC183+'Calculations II'!P183-Sheet1!CT185-BP183)</f>
        <v>46.668539877997972</v>
      </c>
      <c r="AH183" s="95">
        <f ca="1">IF(B183=TODAY(),0,Sheet1!AA185+Sheet1!BN185+'Calculations II'!BC183+'Calculations II'!P183-BP183)</f>
        <v>64.194539877997968</v>
      </c>
      <c r="AI183" s="95">
        <f ca="1">IF(B183=TODAY(),0,BC183+Sheet1!AA185+Calculation!ES183+O183+W183+Sheet1!BN185+Calculation!AS183+Calculation!DJ183-BP183)</f>
        <v>77.295269095304704</v>
      </c>
      <c r="AJ183" s="95"/>
      <c r="AM183" s="91">
        <f t="shared" si="23"/>
        <v>41811</v>
      </c>
      <c r="AN183" s="95">
        <f>Sheet1!BU185</f>
        <v>31.1</v>
      </c>
      <c r="AO183" s="95">
        <f>Sheet1!AA185</f>
        <v>32.200000000000003</v>
      </c>
      <c r="AP183" s="95">
        <f t="shared" si="18"/>
        <v>-4.4735499999999959</v>
      </c>
      <c r="AQ183" s="1055">
        <f>((Sheet1!BV185-(Sheet1!BU185-AP183))/(Sheet1!BU185-AP183))</f>
        <v>9.0698004556756362E-2</v>
      </c>
      <c r="AR183" s="95">
        <f t="shared" si="19"/>
        <v>36.673549999999999</v>
      </c>
      <c r="AS183" s="95">
        <f t="shared" si="20"/>
        <v>35.573549999999997</v>
      </c>
      <c r="AT183" s="90">
        <f>Sheet1!BB185</f>
        <v>1.6</v>
      </c>
      <c r="AU183" s="90">
        <f>Sheet1!AS185*GPMtoMGD</f>
        <v>2.2320000000000003E-2</v>
      </c>
      <c r="AV183" s="95">
        <f>Sheet1!AT185</f>
        <v>0</v>
      </c>
      <c r="AW183" s="90">
        <f>Sheet1!AV185*GPMtoMGD</f>
        <v>1.0434240000000001</v>
      </c>
      <c r="AX183" s="90">
        <f>Sheet1!AW185*GPMtoMGD</f>
        <v>1.2470400000000001</v>
      </c>
      <c r="AY183" s="90">
        <f>Sheet1!AX185*GPMtoMGD</f>
        <v>5.2271999999999999E-2</v>
      </c>
      <c r="AZ183" s="90">
        <f>Sheet1!AY185*GPMtoMGD</f>
        <v>0</v>
      </c>
      <c r="BA183" s="90">
        <f>Sheet1!AZ185*GPMtoMGD</f>
        <v>0</v>
      </c>
      <c r="BB183" s="90">
        <f>Sheet1!BP185*GPMtoMGD</f>
        <v>0</v>
      </c>
      <c r="BC183" s="90">
        <f>Sheet1!CS185*GPMtoMGD</f>
        <v>0</v>
      </c>
      <c r="BD183" s="90">
        <f>Sheet1!BO185*GPMtoMGD</f>
        <v>3.8822400000000004</v>
      </c>
      <c r="BE183" s="90">
        <f>Sheet1!BW185*GPMtoMGD</f>
        <v>1.4299200000000001</v>
      </c>
      <c r="BF183" s="90">
        <f>Sheet1!CN185*GPMtoMGD</f>
        <v>1.7280000000000002</v>
      </c>
      <c r="BG183" s="90">
        <f>Sheet1!CO185*GPMtoMGD</f>
        <v>1.3115520000000001</v>
      </c>
      <c r="BH183" s="90">
        <f>Sheet1!CP185*GPMtoMGD</f>
        <v>0.84038400000000013</v>
      </c>
      <c r="BI183" s="90">
        <f t="shared" si="24"/>
        <v>3.8822400000000004</v>
      </c>
      <c r="BK183" s="95">
        <f>SUM(AT183:BA183,BE183,Sheet1!BV185,'Calculations II'!BC183,Calculation!AQ183)</f>
        <v>72.099691605250356</v>
      </c>
      <c r="BM183" s="373">
        <f>0</f>
        <v>0</v>
      </c>
      <c r="BN183" s="373">
        <f>0</f>
        <v>0</v>
      </c>
      <c r="BP183" s="95">
        <f>SUM(BM183:BN183,W183,Sheet1!DX185)</f>
        <v>0</v>
      </c>
    </row>
    <row r="184" spans="1:68" s="90" customFormat="1">
      <c r="A184" s="651" t="s">
        <v>3</v>
      </c>
      <c r="B184" s="92">
        <v>41812</v>
      </c>
      <c r="C184" s="93">
        <v>0</v>
      </c>
      <c r="D184" s="95">
        <f>(Sheet1!BQ186-Sheet1!BQ185)*1.385</f>
        <v>-3.0469999999999988</v>
      </c>
      <c r="E184" s="30">
        <f>(Sheet1!BR186-Sheet1!BR185)*1.385</f>
        <v>-2.9639000000000006</v>
      </c>
      <c r="F184" s="30">
        <f ca="1">IF(B184=TODAY(),0,-(VLOOKUP(Sheet1!CD186,Lookup!$I$4:$J$216,2)-VLOOKUP(Sheet1!CD185,Lookup!$I$4:$J$216,2))/1000000)</f>
        <v>0</v>
      </c>
      <c r="G184" s="95">
        <f ca="1">IF(B184=TODAY(),0,-$G$6*(Sheet1!CF186-Sheet1!CF185)*7.48/1000000)</f>
        <v>0</v>
      </c>
      <c r="H184" s="95">
        <f ca="1">IF(B184=TODAY(),0,-$H$6*(Sheet1!CE186-Sheet1!CE185)*7.48/1000000)</f>
        <v>0</v>
      </c>
      <c r="I184" s="95">
        <f ca="1">IF(B184=TODAY(),0,-$I$6*(Sheet1!CG186-Sheet1!CG185)*7.48/1000000)</f>
        <v>0</v>
      </c>
      <c r="J184" s="96" t="s">
        <v>186</v>
      </c>
      <c r="K184" s="95">
        <f ca="1">IF(B184=TODAY(),0,-$K$6*(Sheet1!CH186-Sheet1!CH185)*7.48/1000000)</f>
        <v>0</v>
      </c>
      <c r="L184" s="96" t="s">
        <v>186</v>
      </c>
      <c r="M184" s="95">
        <f ca="1">IF(B184=TODAY(),0,-$M$6*(Sheet1!CI186-Sheet1!CI185)*7.48/1000000)</f>
        <v>0</v>
      </c>
      <c r="N184" s="95">
        <f ca="1">IF(B184=TODAY(),0,-$N$6*(Sheet1!CJ186-Sheet1!CJ185)*7.48/1000000)</f>
        <v>0</v>
      </c>
      <c r="O184" s="95">
        <f t="shared" ca="1" si="21"/>
        <v>0</v>
      </c>
      <c r="P184" s="95">
        <f ca="1">O184+Calculation!ES184</f>
        <v>6.0838880923837868</v>
      </c>
      <c r="Q184" s="90" t="str">
        <f>IF(Sheet1!BQ186&gt;25.75,"spill elevation","-")</f>
        <v>-</v>
      </c>
      <c r="R184" s="90" t="str">
        <f>IF(Sheet1!BQ186&gt;25.75,"spill elevation","-")</f>
        <v>-</v>
      </c>
      <c r="S184" s="90" t="str">
        <f>IF(Sheet1!BR186&gt;25.75,"spill elevation","-")</f>
        <v>-</v>
      </c>
      <c r="T184" s="94">
        <f>IF(Sheet1!DU186=1,Sheet1!AA186-(SUM(AT184:BA184)+BE184),Sheet1!AA186-SUM(AT184:BA184))</f>
        <v>27.630207999999996</v>
      </c>
      <c r="U184" s="94">
        <f>Sheet1!BV186</f>
        <v>39.799999999999997</v>
      </c>
      <c r="V184" s="94">
        <f t="shared" si="22"/>
        <v>-12.169792000000001</v>
      </c>
      <c r="W184" s="94">
        <f>0</f>
        <v>0</v>
      </c>
      <c r="X184" s="90">
        <f>0</f>
        <v>0</v>
      </c>
      <c r="Y184" s="95">
        <f ca="1">Calculation!EJ185+Calculation!ES184+'Calculations II'!O184-'Calculations II'!W184</f>
        <v>85.023888092383785</v>
      </c>
      <c r="Z184" s="95">
        <f ca="1">Y184-Sheet1!CT187</f>
        <v>67.964888092383788</v>
      </c>
      <c r="AA184" s="95">
        <f ca="1">Y184+Calculation!DJ185+Calculation!AS185</f>
        <v>98.41384997294287</v>
      </c>
      <c r="AC184" s="95">
        <f>Sheet1!AA186+Sheet1!AB186+BC184</f>
        <v>73.3</v>
      </c>
      <c r="AD184" s="95">
        <f>Sheet1!AA186+Sheet1!BN186+'Calculations II'!BC184-Calculation!AS184-Calculation!DJ184</f>
        <v>47.170616804273912</v>
      </c>
      <c r="AE184" s="95">
        <f>Sheet1!AA186+Sheet1!AB186+'Calculations II'!BC184-Calculation!AS184-Calculation!DJ184</f>
        <v>60.170616804273919</v>
      </c>
      <c r="AF184" s="95">
        <f ca="1">Sheet1!AA186+Sheet1!BN186+P184+'Calculations II'!BC184+Calculation!AS184+Calculation!DJ184</f>
        <v>79.513271288109863</v>
      </c>
      <c r="AG184" s="95">
        <f ca="1">IF(B184=TODAY(),0,Sheet1!AA186+Sheet1!BN186+'Calculations II'!BC184+'Calculations II'!P184-Sheet1!CT186-BP184)</f>
        <v>49.178888092383787</v>
      </c>
      <c r="AH184" s="95">
        <f ca="1">IF(B184=TODAY(),0,Sheet1!AA186+Sheet1!BN186+'Calculations II'!BC184+'Calculations II'!P184-BP184)</f>
        <v>66.383888092383785</v>
      </c>
      <c r="AI184" s="95">
        <f ca="1">IF(B184=TODAY(),0,BC184+Sheet1!AA186+Calculation!ES184+O184+W184+Sheet1!BN186+Calculation!AS184+Calculation!DJ184-BP184)</f>
        <v>79.513271288109863</v>
      </c>
      <c r="AJ184" s="95"/>
      <c r="AM184" s="91">
        <f t="shared" si="23"/>
        <v>41812</v>
      </c>
      <c r="AN184" s="95">
        <f>Sheet1!BU186</f>
        <v>30.4</v>
      </c>
      <c r="AO184" s="95">
        <f>Sheet1!AA186</f>
        <v>32.299999999999997</v>
      </c>
      <c r="AP184" s="95">
        <f t="shared" si="18"/>
        <v>-6.0108999999999995</v>
      </c>
      <c r="AQ184" s="1055">
        <f>((Sheet1!BV186-(Sheet1!BU186-AP184))/(Sheet1!BU186-AP184))</f>
        <v>9.3079270218533447E-2</v>
      </c>
      <c r="AR184" s="95">
        <f t="shared" si="19"/>
        <v>38.310899999999997</v>
      </c>
      <c r="AS184" s="95">
        <f t="shared" si="20"/>
        <v>36.410899999999998</v>
      </c>
      <c r="AT184" s="90">
        <f>Sheet1!BB186</f>
        <v>1.6</v>
      </c>
      <c r="AU184" s="90">
        <f>Sheet1!AS186*GPMtoMGD</f>
        <v>3.4704000000000006E-2</v>
      </c>
      <c r="AV184" s="95">
        <f>Sheet1!AT186</f>
        <v>0</v>
      </c>
      <c r="AW184" s="90">
        <f>Sheet1!AV186*GPMtoMGD</f>
        <v>1.3129919999999999</v>
      </c>
      <c r="AX184" s="90">
        <f>Sheet1!AW186*GPMtoMGD</f>
        <v>1.648512</v>
      </c>
      <c r="AY184" s="90">
        <f>Sheet1!AX186*GPMtoMGD</f>
        <v>7.3584000000000011E-2</v>
      </c>
      <c r="AZ184" s="90">
        <f>Sheet1!AY186*GPMtoMGD</f>
        <v>0</v>
      </c>
      <c r="BA184" s="90">
        <f>Sheet1!AZ186*GPMtoMGD</f>
        <v>0</v>
      </c>
      <c r="BB184" s="90">
        <f>Sheet1!BP186*GPMtoMGD</f>
        <v>0</v>
      </c>
      <c r="BC184" s="90">
        <f>Sheet1!CS186*GPMtoMGD</f>
        <v>0</v>
      </c>
      <c r="BD184" s="90">
        <f>Sheet1!BO186*GPMtoMGD</f>
        <v>3.3834240000000002</v>
      </c>
      <c r="BE184" s="90">
        <f>Sheet1!BW186*GPMtoMGD</f>
        <v>1.569312</v>
      </c>
      <c r="BF184" s="90">
        <f>Sheet1!CN186*GPMtoMGD</f>
        <v>1.7280000000000002</v>
      </c>
      <c r="BG184" s="90">
        <f>Sheet1!CO186*GPMtoMGD</f>
        <v>1.3986719999999999</v>
      </c>
      <c r="BH184" s="90">
        <f>Sheet1!CP186*GPMtoMGD</f>
        <v>0.86284800000000017</v>
      </c>
      <c r="BI184" s="90">
        <f t="shared" si="24"/>
        <v>3.3834240000000002</v>
      </c>
      <c r="BK184" s="95">
        <f>SUM(AT184:BA184,BE184,Sheet1!BV186,'Calculations II'!BC184,Calculation!AQ184)</f>
        <v>73.916714490529387</v>
      </c>
      <c r="BM184" s="373">
        <f>0</f>
        <v>0</v>
      </c>
      <c r="BN184" s="373">
        <f>0</f>
        <v>0</v>
      </c>
      <c r="BP184" s="95">
        <f>SUM(BM184:BN184,W184,Sheet1!DX186)</f>
        <v>0</v>
      </c>
    </row>
    <row r="185" spans="1:68" s="90" customFormat="1">
      <c r="A185" s="651" t="s">
        <v>4</v>
      </c>
      <c r="B185" s="92">
        <v>41813</v>
      </c>
      <c r="C185" s="93">
        <v>0</v>
      </c>
      <c r="D185" s="95">
        <f>(Sheet1!BQ187-Sheet1!BQ186)*1.385</f>
        <v>0.36009999999999726</v>
      </c>
      <c r="E185" s="30">
        <f>(Sheet1!BR187-Sheet1!BR186)*1.385</f>
        <v>0.27699999999999902</v>
      </c>
      <c r="F185" s="30">
        <f ca="1">IF(B185=TODAY(),0,-(VLOOKUP(Sheet1!CD187,Lookup!$I$4:$J$216,2)-VLOOKUP(Sheet1!CD186,Lookup!$I$4:$J$216,2))/1000000)</f>
        <v>0</v>
      </c>
      <c r="G185" s="95">
        <f ca="1">IF(B185=TODAY(),0,-$G$6*(Sheet1!CF187-Sheet1!CF186)*7.48/1000000)</f>
        <v>0.27799450736791476</v>
      </c>
      <c r="H185" s="95">
        <f ca="1">IF(B185=TODAY(),0,-$H$6*(Sheet1!CE187-Sheet1!CE186)*7.48/1000000)</f>
        <v>4.5118297053794748E-2</v>
      </c>
      <c r="I185" s="95">
        <f ca="1">IF(B185=TODAY(),0,-$I$6*(Sheet1!CG187-Sheet1!CG186)*7.48/1000000)</f>
        <v>8.9849760000000015E-2</v>
      </c>
      <c r="J185" s="96" t="s">
        <v>186</v>
      </c>
      <c r="K185" s="95">
        <f ca="1">IF(B185=TODAY(),0,-$K$6*(Sheet1!CH187-Sheet1!CH186)*7.48/1000000)</f>
        <v>0.15991968898700265</v>
      </c>
      <c r="L185" s="96" t="s">
        <v>186</v>
      </c>
      <c r="M185" s="95">
        <f ca="1">IF(B185=TODAY(),0,-$M$6*(Sheet1!CI187-Sheet1!CI186)*7.48/1000000)</f>
        <v>0.32924460423289498</v>
      </c>
      <c r="N185" s="95">
        <f ca="1">IF(B185=TODAY(),0,-$N$6*(Sheet1!CJ187-Sheet1!CJ186)*7.48/1000000)</f>
        <v>-0.1178994562497851</v>
      </c>
      <c r="O185" s="95">
        <f t="shared" ca="1" si="21"/>
        <v>0.78422740139182201</v>
      </c>
      <c r="P185" s="95">
        <f ca="1">O185+Calculation!ES185</f>
        <v>9.3187022350519122E-2</v>
      </c>
      <c r="Q185" s="90" t="str">
        <f>IF(Sheet1!BQ187&gt;25.75,"spill elevation","-")</f>
        <v>-</v>
      </c>
      <c r="R185" s="90" t="str">
        <f>IF(Sheet1!BQ187&gt;25.75,"spill elevation","-")</f>
        <v>-</v>
      </c>
      <c r="S185" s="90" t="str">
        <f>IF(Sheet1!BR187&gt;25.75,"spill elevation","-")</f>
        <v>-</v>
      </c>
      <c r="T185" s="94">
        <f>IF(Sheet1!DU187=1,Sheet1!AA187-(SUM(AT185:BA185)+BE185),Sheet1!AA187-SUM(AT185:BA185))</f>
        <v>27.840384</v>
      </c>
      <c r="U185" s="94">
        <f>Sheet1!BV187</f>
        <v>33</v>
      </c>
      <c r="V185" s="94">
        <f t="shared" si="22"/>
        <v>-5.1596159999999998</v>
      </c>
      <c r="W185" s="94">
        <f>0</f>
        <v>0</v>
      </c>
      <c r="X185" s="90">
        <f>0</f>
        <v>0</v>
      </c>
      <c r="Y185" s="95">
        <f ca="1">Calculation!EJ186+Calculation!ES185+'Calculations II'!O185-'Calculations II'!W185</f>
        <v>82.693187022350514</v>
      </c>
      <c r="Z185" s="95">
        <f ca="1">Y185-Sheet1!CT188</f>
        <v>65.699187022350515</v>
      </c>
      <c r="AA185" s="95">
        <f ca="1">Y185+Calculation!DJ186+Calculation!AS186</f>
        <v>96.177847673586285</v>
      </c>
      <c r="AC185" s="95">
        <f>Sheet1!AA187+Sheet1!AB187+BC185</f>
        <v>78.94</v>
      </c>
      <c r="AD185" s="95">
        <f>Sheet1!AA187+Sheet1!BN187+'Calculations II'!BC185-Calculation!AS185-Calculation!DJ185</f>
        <v>52.250038119440923</v>
      </c>
      <c r="AE185" s="95">
        <f>Sheet1!AA187+Sheet1!AB187+'Calculations II'!BC185-Calculation!AS185-Calculation!DJ185</f>
        <v>65.550038119440913</v>
      </c>
      <c r="AF185" s="95">
        <f ca="1">Sheet1!AA187+Sheet1!BN187+P185+'Calculations II'!BC185+Calculation!AS185+Calculation!DJ185</f>
        <v>79.123148902909605</v>
      </c>
      <c r="AG185" s="95">
        <f ca="1">IF(B185=TODAY(),0,Sheet1!AA187+Sheet1!BN187+'Calculations II'!BC185+'Calculations II'!P185-Sheet1!CT187-BP185)</f>
        <v>48.674187022350523</v>
      </c>
      <c r="AH185" s="95">
        <f ca="1">IF(B185=TODAY(),0,Sheet1!AA187+Sheet1!BN187+'Calculations II'!BC185+'Calculations II'!P185-BP185)</f>
        <v>65.733187022350521</v>
      </c>
      <c r="AI185" s="95">
        <f ca="1">IF(B185=TODAY(),0,BC185+Sheet1!AA187+Calculation!ES185+O185+W185+Sheet1!BN187+Calculation!AS185+Calculation!DJ185-BP185)</f>
        <v>79.123148902909591</v>
      </c>
      <c r="AJ185" s="95"/>
      <c r="AM185" s="91">
        <f t="shared" si="23"/>
        <v>41813</v>
      </c>
      <c r="AN185" s="95">
        <f>Sheet1!BU187</f>
        <v>31.1</v>
      </c>
      <c r="AO185" s="95">
        <f>Sheet1!AA187</f>
        <v>31.84</v>
      </c>
      <c r="AP185" s="95">
        <f t="shared" si="18"/>
        <v>0.63709999999999622</v>
      </c>
      <c r="AQ185" s="1055">
        <f>((Sheet1!BV187-(Sheet1!BU187-AP185))/(Sheet1!BU187-AP185))</f>
        <v>8.3284913780368744E-2</v>
      </c>
      <c r="AR185" s="95">
        <f t="shared" si="19"/>
        <v>31.202900000000003</v>
      </c>
      <c r="AS185" s="95">
        <f t="shared" si="20"/>
        <v>30.462900000000005</v>
      </c>
      <c r="AT185" s="90">
        <f>Sheet1!BB187</f>
        <v>1.6</v>
      </c>
      <c r="AU185" s="90">
        <f>Sheet1!AS187*GPMtoMGD</f>
        <v>3.456E-2</v>
      </c>
      <c r="AV185" s="95">
        <f>Sheet1!AT187</f>
        <v>0</v>
      </c>
      <c r="AW185" s="90">
        <f>Sheet1!AV187*GPMtoMGD</f>
        <v>0.81979199999999997</v>
      </c>
      <c r="AX185" s="90">
        <f>Sheet1!AW187*GPMtoMGD</f>
        <v>1.473552</v>
      </c>
      <c r="AY185" s="90">
        <f>Sheet1!AX187*GPMtoMGD</f>
        <v>7.1711999999999998E-2</v>
      </c>
      <c r="AZ185" s="90">
        <f>Sheet1!AY187*GPMtoMGD</f>
        <v>0</v>
      </c>
      <c r="BA185" s="90">
        <f>Sheet1!AZ187*GPMtoMGD</f>
        <v>0</v>
      </c>
      <c r="BB185" s="90">
        <f>Sheet1!BP187*GPMtoMGD</f>
        <v>5.1840000000000004E-2</v>
      </c>
      <c r="BC185" s="90">
        <f>Sheet1!CS187*GPMtoMGD</f>
        <v>0</v>
      </c>
      <c r="BD185" s="90">
        <f>Sheet1!BO187*GPMtoMGD</f>
        <v>2.9053439999999999</v>
      </c>
      <c r="BE185" s="90">
        <f>Sheet1!BW187*GPMtoMGD</f>
        <v>1.5536160000000003</v>
      </c>
      <c r="BF185" s="90">
        <f>Sheet1!CN187*GPMtoMGD</f>
        <v>1.7280000000000002</v>
      </c>
      <c r="BG185" s="90">
        <f>Sheet1!CO187*GPMtoMGD</f>
        <v>1.285056</v>
      </c>
      <c r="BH185" s="90">
        <f>Sheet1!CP187*GPMtoMGD</f>
        <v>0.90720000000000001</v>
      </c>
      <c r="BI185" s="90">
        <f t="shared" si="24"/>
        <v>2.9571839999999998</v>
      </c>
      <c r="BK185" s="95">
        <f>SUM(AT185:BA185,BE185,Sheet1!BV187,'Calculations II'!BC185,Calculation!AQ185)</f>
        <v>72.267336193138505</v>
      </c>
      <c r="BM185" s="373">
        <f>0</f>
        <v>0</v>
      </c>
      <c r="BN185" s="373">
        <f>0</f>
        <v>0</v>
      </c>
      <c r="BP185" s="95">
        <f>SUM(BM185:BN185,W185,Sheet1!DX187)</f>
        <v>0</v>
      </c>
    </row>
    <row r="186" spans="1:68" s="90" customFormat="1">
      <c r="A186" s="651" t="s">
        <v>5</v>
      </c>
      <c r="B186" s="92">
        <v>41814</v>
      </c>
      <c r="C186" s="93">
        <v>0</v>
      </c>
      <c r="D186" s="95">
        <f>(Sheet1!BQ188-Sheet1!BQ187)*1.385</f>
        <v>3.2686000000000042</v>
      </c>
      <c r="E186" s="30">
        <f>(Sheet1!BR188-Sheet1!BR187)*1.385</f>
        <v>3.2547500000000018</v>
      </c>
      <c r="F186" s="30">
        <f ca="1">IF(B186=TODAY(),0,-(VLOOKUP(Sheet1!CD188,Lookup!$I$4:$J$216,2)-VLOOKUP(Sheet1!CD187,Lookup!$I$4:$J$216,2))/1000000)</f>
        <v>0.41454775419120493</v>
      </c>
      <c r="G186" s="95">
        <f ca="1">IF(B186=TODAY(),0,-$G$6*(Sheet1!CF188-Sheet1!CF187)*7.48/1000000)</f>
        <v>0.23828100631535634</v>
      </c>
      <c r="H186" s="95">
        <f ca="1">IF(B186=TODAY(),0,-$H$6*(Sheet1!CE188-Sheet1!CE187)*7.48/1000000)</f>
        <v>0.12031545881012112</v>
      </c>
      <c r="I186" s="95">
        <f ca="1">IF(B186=TODAY(),0,-$I$6*(Sheet1!CG188-Sheet1!CG187)*7.48/1000000)</f>
        <v>-1.3477463999999995E-2</v>
      </c>
      <c r="J186" s="96" t="s">
        <v>186</v>
      </c>
      <c r="K186" s="95">
        <f ca="1">IF(B186=TODAY(),0,-$K$6*(Sheet1!CH188-Sheet1!CH187)*7.48/1000000)</f>
        <v>-2.6653281497833796E-2</v>
      </c>
      <c r="L186" s="96" t="s">
        <v>186</v>
      </c>
      <c r="M186" s="95">
        <f ca="1">IF(B186=TODAY(),0,-$M$6*(Sheet1!CI188-Sheet1!CI187)*7.48/1000000)</f>
        <v>-7.196603371210826E-2</v>
      </c>
      <c r="N186" s="95">
        <f ca="1">IF(B186=TODAY(),0,-$N$6*(Sheet1!CJ188-Sheet1!CJ187)*7.48/1000000)</f>
        <v>0.31026172697311949</v>
      </c>
      <c r="O186" s="95">
        <f t="shared" ca="1" si="21"/>
        <v>0.97130916707985993</v>
      </c>
      <c r="P186" s="95">
        <f ca="1">O186+Calculation!ES186</f>
        <v>-5.66673548898373</v>
      </c>
      <c r="Q186" s="90" t="str">
        <f>IF(Sheet1!BQ188&gt;25.75,"spill elevation","-")</f>
        <v>-</v>
      </c>
      <c r="R186" s="90" t="str">
        <f>IF(Sheet1!BQ188&gt;25.75,"spill elevation","-")</f>
        <v>-</v>
      </c>
      <c r="S186" s="90" t="str">
        <f>IF(Sheet1!BR188&gt;25.75,"spill elevation","-")</f>
        <v>-</v>
      </c>
      <c r="T186" s="94">
        <f>IF(Sheet1!DU188=1,Sheet1!AA188-(SUM(AT186:BA186)+BE186),Sheet1!AA188-SUM(AT186:BA186))</f>
        <v>27.159456000000002</v>
      </c>
      <c r="U186" s="94">
        <f>Sheet1!BV188</f>
        <v>27.1</v>
      </c>
      <c r="V186" s="94">
        <f t="shared" si="22"/>
        <v>5.9456000000000842E-2</v>
      </c>
      <c r="W186" s="94">
        <f>0</f>
        <v>0</v>
      </c>
      <c r="X186" s="90">
        <f>0</f>
        <v>0</v>
      </c>
      <c r="Y186" s="95">
        <f ca="1">Calculation!EJ187+Calculation!ES186+'Calculations II'!O186-'Calculations II'!W186</f>
        <v>77.893264511016284</v>
      </c>
      <c r="Z186" s="95">
        <f ca="1">Y186-Sheet1!CT189</f>
        <v>60.304264511016285</v>
      </c>
      <c r="AA186" s="95">
        <f ca="1">Y186+Calculation!DJ187+Calculation!AS187</f>
        <v>91.376257708295185</v>
      </c>
      <c r="AC186" s="95">
        <f>Sheet1!AA188+Sheet1!AB188+BC186</f>
        <v>82.6</v>
      </c>
      <c r="AD186" s="95">
        <f>Sheet1!AA188+Sheet1!BN188+'Calculations II'!BC186-Calculation!AS186-Calculation!DJ186</f>
        <v>55.615339348764223</v>
      </c>
      <c r="AE186" s="95">
        <f>Sheet1!AA188+Sheet1!AB188+'Calculations II'!BC186-Calculation!AS186-Calculation!DJ186</f>
        <v>69.115339348764223</v>
      </c>
      <c r="AF186" s="95">
        <f ca="1">Sheet1!AA188+Sheet1!BN188+P186+'Calculations II'!BC186+Calculation!AS186+Calculation!DJ186</f>
        <v>76.917925162252033</v>
      </c>
      <c r="AG186" s="95">
        <f ca="1">IF(B186=TODAY(),0,Sheet1!AA188+Sheet1!BN188+'Calculations II'!BC186+'Calculations II'!P186-Sheet1!CT188-BP186)</f>
        <v>46.439264511016262</v>
      </c>
      <c r="AH186" s="95">
        <f ca="1">IF(B186=TODAY(),0,Sheet1!AA188+Sheet1!BN188+'Calculations II'!BC186+'Calculations II'!P186-BP186)</f>
        <v>63.433264511016262</v>
      </c>
      <c r="AI186" s="95">
        <f ca="1">IF(B186=TODAY(),0,BC186+Sheet1!AA188+Calculation!ES186+O186+W186+Sheet1!BN188+Calculation!AS186+Calculation!DJ186-BP186)</f>
        <v>76.917925162252047</v>
      </c>
      <c r="AJ186" s="95"/>
      <c r="AM186" s="91">
        <f t="shared" si="23"/>
        <v>41814</v>
      </c>
      <c r="AN186" s="95">
        <f>Sheet1!BU188</f>
        <v>30.9</v>
      </c>
      <c r="AO186" s="95">
        <f>Sheet1!AA188</f>
        <v>31.6</v>
      </c>
      <c r="AP186" s="95">
        <f t="shared" si="18"/>
        <v>6.523350000000006</v>
      </c>
      <c r="AQ186" s="1055">
        <f>((Sheet1!BV188-(Sheet1!BU188-AP186))/(Sheet1!BU188-AP186))</f>
        <v>0.11171961692849558</v>
      </c>
      <c r="AR186" s="95">
        <f t="shared" si="19"/>
        <v>25.076649999999994</v>
      </c>
      <c r="AS186" s="95">
        <f t="shared" si="20"/>
        <v>24.376649999999991</v>
      </c>
      <c r="AT186" s="90">
        <f>Sheet1!BB188</f>
        <v>1.6</v>
      </c>
      <c r="AU186" s="90">
        <f>Sheet1!AS188*GPMtoMGD</f>
        <v>1.6992000000000004E-2</v>
      </c>
      <c r="AV186" s="95">
        <f>Sheet1!AT188</f>
        <v>0</v>
      </c>
      <c r="AW186" s="90">
        <f>Sheet1!AV188*GPMtoMGD</f>
        <v>1.330992</v>
      </c>
      <c r="AX186" s="90">
        <f>Sheet1!AW188*GPMtoMGD</f>
        <v>1.4412960000000001</v>
      </c>
      <c r="AY186" s="90">
        <f>Sheet1!AX188*GPMtoMGD</f>
        <v>5.1264000000000004E-2</v>
      </c>
      <c r="AZ186" s="90">
        <f>Sheet1!AY188*GPMtoMGD</f>
        <v>0</v>
      </c>
      <c r="BA186" s="90">
        <f>Sheet1!AZ188*GPMtoMGD</f>
        <v>0</v>
      </c>
      <c r="BB186" s="90">
        <f>Sheet1!BP188*GPMtoMGD</f>
        <v>0</v>
      </c>
      <c r="BC186" s="90">
        <f>Sheet1!CS188*GPMtoMGD</f>
        <v>0</v>
      </c>
      <c r="BD186" s="90">
        <f>Sheet1!BO188*GPMtoMGD</f>
        <v>3.3730560000000005</v>
      </c>
      <c r="BE186" s="90">
        <f>Sheet1!BW188*GPMtoMGD</f>
        <v>1.3811040000000001</v>
      </c>
      <c r="BF186" s="90">
        <f>Sheet1!CN188*GPMtoMGD</f>
        <v>1.7280000000000002</v>
      </c>
      <c r="BG186" s="90">
        <f>Sheet1!CO188*GPMtoMGD</f>
        <v>1.2330719999999999</v>
      </c>
      <c r="BH186" s="90">
        <f>Sheet1!CP188*GPMtoMGD</f>
        <v>0.90633600000000003</v>
      </c>
      <c r="BI186" s="90">
        <f t="shared" si="24"/>
        <v>3.3730560000000005</v>
      </c>
      <c r="BK186" s="95">
        <f>SUM(AT186:BA186,BE186,Sheet1!BV188,'Calculations II'!BC186,Calculation!AQ186)</f>
        <v>70.436359651628095</v>
      </c>
      <c r="BM186" s="373">
        <f>0</f>
        <v>0</v>
      </c>
      <c r="BN186" s="373">
        <f>0</f>
        <v>0</v>
      </c>
      <c r="BP186" s="95">
        <f>SUM(BM186:BN186,W186,Sheet1!DX188)</f>
        <v>0</v>
      </c>
    </row>
    <row r="187" spans="1:68" s="90" customFormat="1">
      <c r="A187" s="651" t="s">
        <v>6</v>
      </c>
      <c r="B187" s="92">
        <v>41815</v>
      </c>
      <c r="C187" s="93">
        <v>0</v>
      </c>
      <c r="D187" s="95">
        <f>(Sheet1!BQ189-Sheet1!BQ188)*1.385</f>
        <v>0.42934999999999823</v>
      </c>
      <c r="E187" s="30">
        <f>(Sheet1!BR189-Sheet1!BR188)*1.385</f>
        <v>0.40164999999999884</v>
      </c>
      <c r="F187" s="30">
        <f ca="1">IF(B187=TODAY(),0,-(VLOOKUP(Sheet1!CD189,Lookup!$I$4:$J$216,2)-VLOOKUP(Sheet1!CD188,Lookup!$I$4:$J$216,2))/1000000)</f>
        <v>0</v>
      </c>
      <c r="G187" s="95">
        <f ca="1">IF(B187=TODAY(),0,-$G$6*(Sheet1!CF189-Sheet1!CF188)*7.48/1000000)</f>
        <v>-0.91341052420886415</v>
      </c>
      <c r="H187" s="95">
        <f ca="1">IF(B187=TODAY(),0,-$H$6*(Sheet1!CE189-Sheet1!CE188)*7.48/1000000)</f>
        <v>3.0078864702530014E-2</v>
      </c>
      <c r="I187" s="95">
        <f ca="1">IF(B187=TODAY(),0,-$I$6*(Sheet1!CG189-Sheet1!CG188)*7.48/1000000)</f>
        <v>4.4924880000000236E-3</v>
      </c>
      <c r="J187" s="96" t="s">
        <v>186</v>
      </c>
      <c r="K187" s="95">
        <f ca="1">IF(B187=TODAY(),0,-$K$6*(Sheet1!CH189-Sheet1!CH188)*7.48/1000000)</f>
        <v>9.9949805616876882E-3</v>
      </c>
      <c r="L187" s="96" t="s">
        <v>186</v>
      </c>
      <c r="M187" s="95">
        <f ca="1">IF(B187=TODAY(),0,-$M$6*(Sheet1!CI189-Sheet1!CI188)*7.48/1000000)</f>
        <v>5.3974525284081275E-2</v>
      </c>
      <c r="N187" s="95">
        <f ca="1">IF(B187=TODAY(),0,-$N$6*(Sheet1!CJ189-Sheet1!CJ188)*7.48/1000000)</f>
        <v>0.12410469078924735</v>
      </c>
      <c r="O187" s="95">
        <f ca="1">SUM(F187:I187)+K187+SUM(M187:N187)</f>
        <v>-0.69076497487131783</v>
      </c>
      <c r="P187" s="95">
        <f ca="1">O187+Calculation!ES187</f>
        <v>-1.521039326939202</v>
      </c>
      <c r="Q187" s="90" t="str">
        <f>IF(Sheet1!BQ189&gt;25.75,"spill elevation","-")</f>
        <v>-</v>
      </c>
      <c r="R187" s="90" t="str">
        <f>IF(Sheet1!BQ189&gt;25.75,"spill elevation","-")</f>
        <v>-</v>
      </c>
      <c r="S187" s="90" t="str">
        <f>IF(Sheet1!BR189&gt;25.75,"spill elevation","-")</f>
        <v>-</v>
      </c>
      <c r="T187" s="94">
        <f>IF(Sheet1!DU189=1,Sheet1!AA189-(SUM(AT187:BA187)+BE187),Sheet1!AA189-SUM(AT187:BA187))</f>
        <v>30.757615999999995</v>
      </c>
      <c r="U187" s="94">
        <f>Sheet1!BV189</f>
        <v>35.700000000000003</v>
      </c>
      <c r="V187" s="94">
        <f t="shared" si="22"/>
        <v>-4.9423840000000077</v>
      </c>
      <c r="W187" s="94">
        <f>0</f>
        <v>0</v>
      </c>
      <c r="X187" s="90">
        <f>0</f>
        <v>0</v>
      </c>
      <c r="Y187" s="95">
        <f ca="1">Calculation!EJ188+Calculation!ES187+'Calculations II'!O187-'Calculations II'!W187</f>
        <v>82.098960673060802</v>
      </c>
      <c r="Z187" s="95">
        <f ca="1">Y187-Sheet1!CT190</f>
        <v>64.945960673060796</v>
      </c>
      <c r="AA187" s="95">
        <f ca="1">Y187+Calculation!DJ188+Calculation!AS188</f>
        <v>95.568020502120618</v>
      </c>
      <c r="AC187" s="95">
        <f>Sheet1!AA189+Sheet1!AB189+BC187</f>
        <v>83.56</v>
      </c>
      <c r="AD187" s="95">
        <f>Sheet1!AA189+Sheet1!BN189+'Calculations II'!BC187-Calculation!AS187-Calculation!DJ187</f>
        <v>56.677006802721095</v>
      </c>
      <c r="AE187" s="95">
        <f>Sheet1!AA189+Sheet1!AB189+'Calculations II'!BC187-Calculation!AS187-Calculation!DJ187</f>
        <v>70.077006802721101</v>
      </c>
      <c r="AF187" s="95">
        <f ca="1">Sheet1!AA189+Sheet1!BN189+P187+'Calculations II'!BC187+Calculation!AS187+Calculation!DJ187</f>
        <v>82.121953870339695</v>
      </c>
      <c r="AG187" s="95">
        <f ca="1">IF(B187=TODAY(),0,Sheet1!AA189+Sheet1!BN189+'Calculations II'!BC187+'Calculations II'!P187-Sheet1!CT189-BP187)</f>
        <v>51.049960673060795</v>
      </c>
      <c r="AH187" s="95">
        <f ca="1">IF(B187=TODAY(),0,Sheet1!AA189+Sheet1!BN189+'Calculations II'!BC187+'Calculations II'!P187-BP187)</f>
        <v>68.638960673060794</v>
      </c>
      <c r="AI187" s="95">
        <f ca="1">IF(B187=TODAY(),0,BC187+Sheet1!AA189+Calculation!ES187+O187+W187+Sheet1!BN189+Calculation!AS187+Calculation!DJ187-BP187)</f>
        <v>82.121953870339695</v>
      </c>
      <c r="AJ187" s="95"/>
      <c r="AM187" s="91">
        <f t="shared" si="23"/>
        <v>41815</v>
      </c>
      <c r="AN187" s="95">
        <f>Sheet1!BU189</f>
        <v>33.6</v>
      </c>
      <c r="AO187" s="95">
        <f>Sheet1!AA189</f>
        <v>35.159999999999997</v>
      </c>
      <c r="AP187" s="95">
        <f t="shared" si="18"/>
        <v>0.83099999999999707</v>
      </c>
      <c r="AQ187" s="1055">
        <f>((Sheet1!BV189-(Sheet1!BU189-AP187))/(Sheet1!BU189-AP187))</f>
        <v>8.9444291861210196E-2</v>
      </c>
      <c r="AR187" s="95">
        <f t="shared" si="19"/>
        <v>34.329000000000001</v>
      </c>
      <c r="AS187" s="95">
        <f t="shared" si="20"/>
        <v>32.769000000000005</v>
      </c>
      <c r="AT187" s="90">
        <f>Sheet1!BB189</f>
        <v>1.6</v>
      </c>
      <c r="AU187" s="90">
        <f>Sheet1!AS189*GPMtoMGD</f>
        <v>3.6575999999999997E-2</v>
      </c>
      <c r="AV187" s="95">
        <f>Sheet1!AT189</f>
        <v>0</v>
      </c>
      <c r="AW187" s="90">
        <f>Sheet1!AV189*GPMtoMGD</f>
        <v>1.1191680000000002</v>
      </c>
      <c r="AX187" s="90">
        <f>Sheet1!AW189*GPMtoMGD</f>
        <v>1.55088</v>
      </c>
      <c r="AY187" s="90">
        <f>Sheet1!AX189*GPMtoMGD</f>
        <v>9.5760000000000012E-2</v>
      </c>
      <c r="AZ187" s="90">
        <f>Sheet1!AY189*GPMtoMGD</f>
        <v>0</v>
      </c>
      <c r="BA187" s="90">
        <f>Sheet1!AZ189*GPMtoMGD</f>
        <v>0</v>
      </c>
      <c r="BB187" s="90">
        <f>Sheet1!BP189*GPMtoMGD</f>
        <v>0</v>
      </c>
      <c r="BC187" s="90">
        <f>Sheet1!CS189*GPMtoMGD</f>
        <v>0</v>
      </c>
      <c r="BD187" s="90">
        <f>Sheet1!BO189*GPMtoMGD</f>
        <v>3.4617600000000004</v>
      </c>
      <c r="BE187" s="90">
        <f>Sheet1!BW189*GPMtoMGD</f>
        <v>1.486224</v>
      </c>
      <c r="BF187" s="90">
        <f>Sheet1!CN189*GPMtoMGD</f>
        <v>1.7280000000000002</v>
      </c>
      <c r="BG187" s="90">
        <f>Sheet1!CO189*GPMtoMGD</f>
        <v>1.3495680000000001</v>
      </c>
      <c r="BH187" s="90">
        <f>Sheet1!CP189*GPMtoMGD</f>
        <v>0.95356800000000008</v>
      </c>
      <c r="BI187" s="90">
        <f t="shared" si="24"/>
        <v>3.4617600000000004</v>
      </c>
      <c r="BK187" s="95">
        <f>SUM(AT187:BA187,BE187,Sheet1!BV189,'Calculations II'!BC187,Calculation!AQ187)</f>
        <v>76.509242920634932</v>
      </c>
      <c r="BM187" s="373">
        <f>0</f>
        <v>0</v>
      </c>
      <c r="BN187" s="373">
        <f>0</f>
        <v>0</v>
      </c>
      <c r="BP187" s="95">
        <f>SUM(BM187:BN187,W187,Sheet1!DX189)</f>
        <v>0</v>
      </c>
    </row>
    <row r="188" spans="1:68" s="90" customFormat="1">
      <c r="A188" s="651" t="s">
        <v>7</v>
      </c>
      <c r="B188" s="92">
        <v>41816</v>
      </c>
      <c r="C188" s="93">
        <v>0</v>
      </c>
      <c r="D188" s="95">
        <f>(Sheet1!BQ190-Sheet1!BQ189)*1.385</f>
        <v>4.2657999999999978</v>
      </c>
      <c r="E188" s="30">
        <f>(Sheet1!BR190-Sheet1!BR189)*1.385</f>
        <v>4.2796500000000002</v>
      </c>
      <c r="F188" s="30">
        <f ca="1">IF(B188=TODAY(),0,-(VLOOKUP(Sheet1!CD190,Lookup!$I$4:$J$216,2)-VLOOKUP(Sheet1!CD189,Lookup!$I$4:$J$216,2))/1000000)</f>
        <v>-0.31091081564340556</v>
      </c>
      <c r="G188" s="95">
        <f ca="1">IF(B188=TODAY(),0,-$G$6*(Sheet1!CF190-Sheet1!CF189)*7.48/1000000)</f>
        <v>-0.71484301894606761</v>
      </c>
      <c r="H188" s="95">
        <f ca="1">IF(B188=TODAY(),0,-$H$6*(Sheet1!CE190-Sheet1!CE189)*7.48/1000000)</f>
        <v>-9.0236594107590579E-2</v>
      </c>
      <c r="I188" s="95">
        <f ca="1">IF(B188=TODAY(),0,-$I$6*(Sheet1!CG190-Sheet1!CG189)*7.48/1000000)</f>
        <v>3.1447415999999971E-2</v>
      </c>
      <c r="J188" s="96" t="s">
        <v>186</v>
      </c>
      <c r="K188" s="95">
        <f ca="1">IF(B188=TODAY(),0,-$K$6*(Sheet1!CH190-Sheet1!CH189)*7.48/1000000)</f>
        <v>4.3311582433979902E-2</v>
      </c>
      <c r="L188" s="96" t="s">
        <v>186</v>
      </c>
      <c r="M188" s="95">
        <f ca="1">IF(B188=TODAY(),0,-$M$6*(Sheet1!CI190-Sheet1!CI189)*7.48/1000000)</f>
        <v>0.19790659270829747</v>
      </c>
      <c r="N188" s="95">
        <f ca="1">IF(B188=TODAY(),0,-$N$6*(Sheet1!CJ190-Sheet1!CJ189)*7.48/1000000)</f>
        <v>-0.31026172697311949</v>
      </c>
      <c r="O188" s="95">
        <f t="shared" ca="1" si="21"/>
        <v>-1.153586564527906</v>
      </c>
      <c r="P188" s="95">
        <f ca="1">O188+Calculation!ES188</f>
        <v>-9.7398416296806847</v>
      </c>
      <c r="Q188" s="90" t="str">
        <f>IF(Sheet1!BQ190&gt;25.75,"spill elevation","-")</f>
        <v>-</v>
      </c>
      <c r="R188" s="90" t="str">
        <f>IF(Sheet1!BQ190&gt;25.75,"spill elevation","-")</f>
        <v>-</v>
      </c>
      <c r="S188" s="90" t="str">
        <f>IF(Sheet1!BR190&gt;25.75,"spill elevation","-")</f>
        <v>-</v>
      </c>
      <c r="T188" s="94">
        <f>IF(Sheet1!DU190=1,Sheet1!AA190-(SUM(AT188:BA188)+BE188),Sheet1!AA190-SUM(AT188:BA188))</f>
        <v>38.689391999999998</v>
      </c>
      <c r="U188" s="94">
        <f>Sheet1!BV190</f>
        <v>36.4</v>
      </c>
      <c r="V188" s="94">
        <f t="shared" si="22"/>
        <v>2.2893919999999994</v>
      </c>
      <c r="W188" s="94">
        <f>0</f>
        <v>0</v>
      </c>
      <c r="X188" s="90">
        <f>0</f>
        <v>0</v>
      </c>
      <c r="Y188" s="95">
        <f ca="1">Calculation!EJ189+Calculation!ES188+'Calculations II'!O188-'Calculations II'!W188</f>
        <v>71.540158370319318</v>
      </c>
      <c r="Z188" s="95">
        <f ca="1">Y188-Sheet1!CT191</f>
        <v>53.443158370319317</v>
      </c>
      <c r="AA188" s="95">
        <f ca="1">Y188+Calculation!DJ189+Calculation!AS189</f>
        <v>85.11145391687802</v>
      </c>
      <c r="AC188" s="95">
        <f>Sheet1!AA190+Sheet1!AB190+BC188</f>
        <v>83.62</v>
      </c>
      <c r="AD188" s="95">
        <f>Sheet1!AA190+Sheet1!BN190+'Calculations II'!BC188-Calculation!AS188-Calculation!DJ188</f>
        <v>56.810940170940178</v>
      </c>
      <c r="AE188" s="95">
        <f>Sheet1!AA190+Sheet1!AB190+'Calculations II'!BC188-Calculation!AS188-Calculation!DJ188</f>
        <v>70.150940170940189</v>
      </c>
      <c r="AF188" s="95">
        <f ca="1">Sheet1!AA190+Sheet1!BN190+P188+'Calculations II'!BC188+Calculation!AS188+Calculation!DJ188</f>
        <v>74.009218199379148</v>
      </c>
      <c r="AG188" s="95">
        <f ca="1">IF(B188=TODAY(),0,Sheet1!AA190+Sheet1!BN190+'Calculations II'!BC188+'Calculations II'!P188-Sheet1!CT190-BP188)</f>
        <v>43.38715837031932</v>
      </c>
      <c r="AH188" s="95">
        <f ca="1">IF(B188=TODAY(),0,Sheet1!AA190+Sheet1!BN190+'Calculations II'!BC188+'Calculations II'!P188-BP188)</f>
        <v>60.540158370319318</v>
      </c>
      <c r="AI188" s="95">
        <f ca="1">IF(B188=TODAY(),0,BC188+Sheet1!AA190+Calculation!ES188+O188+W188+Sheet1!BN190+Calculation!AS188+Calculation!DJ188-BP188)</f>
        <v>74.009218199379148</v>
      </c>
      <c r="AJ188" s="95"/>
      <c r="AM188" s="91">
        <f t="shared" si="23"/>
        <v>41816</v>
      </c>
      <c r="AN188" s="95">
        <f>Sheet1!BU190</f>
        <v>41.3</v>
      </c>
      <c r="AO188" s="95">
        <f>Sheet1!AA190</f>
        <v>41.68</v>
      </c>
      <c r="AP188" s="95">
        <f t="shared" si="18"/>
        <v>8.5454499999999989</v>
      </c>
      <c r="AQ188" s="1055">
        <f>((Sheet1!BV190-(Sheet1!BU190-AP188))/(Sheet1!BU190-AP188))</f>
        <v>0.11129598788565266</v>
      </c>
      <c r="AR188" s="95">
        <f t="shared" si="19"/>
        <v>33.134550000000004</v>
      </c>
      <c r="AS188" s="95">
        <f t="shared" si="20"/>
        <v>32.754549999999995</v>
      </c>
      <c r="AT188" s="90">
        <f>Sheet1!BB190</f>
        <v>1.6</v>
      </c>
      <c r="AU188" s="90">
        <f>Sheet1!AS190*GPMtoMGD</f>
        <v>1.6704E-2</v>
      </c>
      <c r="AV188" s="95">
        <f>Sheet1!AT190</f>
        <v>0</v>
      </c>
      <c r="AW188" s="90">
        <f>Sheet1!AV190*GPMtoMGD</f>
        <v>0.55224000000000006</v>
      </c>
      <c r="AX188" s="90">
        <f>Sheet1!AW190*GPMtoMGD</f>
        <v>0.77616000000000007</v>
      </c>
      <c r="AY188" s="90">
        <f>Sheet1!AX190*GPMtoMGD</f>
        <v>4.5504000000000003E-2</v>
      </c>
      <c r="AZ188" s="90">
        <f>Sheet1!AY190*GPMtoMGD</f>
        <v>0</v>
      </c>
      <c r="BA188" s="90">
        <f>Sheet1!AZ190*GPMtoMGD</f>
        <v>0</v>
      </c>
      <c r="BB188" s="90">
        <f>Sheet1!BP190*GPMtoMGD</f>
        <v>0</v>
      </c>
      <c r="BC188" s="90">
        <f>Sheet1!CS190*GPMtoMGD</f>
        <v>0</v>
      </c>
      <c r="BD188" s="90">
        <f>Sheet1!BO190*GPMtoMGD</f>
        <v>2.6170560000000003</v>
      </c>
      <c r="BE188" s="90">
        <f>Sheet1!BW190*GPMtoMGD</f>
        <v>1.386576</v>
      </c>
      <c r="BF188" s="90">
        <f>Sheet1!CN190*GPMtoMGD</f>
        <v>1.7280000000000002</v>
      </c>
      <c r="BG188" s="90">
        <f>Sheet1!CO190*GPMtoMGD</f>
        <v>1.126512</v>
      </c>
      <c r="BH188" s="90">
        <f>Sheet1!CP190*GPMtoMGD</f>
        <v>0.86990400000000012</v>
      </c>
      <c r="BI188" s="90">
        <f t="shared" si="24"/>
        <v>2.6170560000000003</v>
      </c>
      <c r="BK188" s="95">
        <f>SUM(AT188:BA188,BE188,Sheet1!BV190,'Calculations II'!BC188,Calculation!AQ188)</f>
        <v>69.254961777777766</v>
      </c>
      <c r="BM188" s="373">
        <f>0</f>
        <v>0</v>
      </c>
      <c r="BN188" s="373">
        <f>0</f>
        <v>0</v>
      </c>
      <c r="BP188" s="95">
        <f>SUM(BM188:BN188,W188,Sheet1!DX190)</f>
        <v>0</v>
      </c>
    </row>
    <row r="189" spans="1:68" s="90" customFormat="1">
      <c r="A189" s="651" t="s">
        <v>8</v>
      </c>
      <c r="B189" s="92">
        <v>41817</v>
      </c>
      <c r="C189" s="93">
        <v>0</v>
      </c>
      <c r="D189" s="95">
        <f>(Sheet1!BQ191-Sheet1!BQ190)*1.385</f>
        <v>2.7423000000000006</v>
      </c>
      <c r="E189" s="30">
        <f>(Sheet1!BR191-Sheet1!BR190)*1.385</f>
        <v>2.6591999999999976</v>
      </c>
      <c r="F189" s="30">
        <f ca="1">IF(B189=TODAY(),0,-(VLOOKUP(Sheet1!CD191,Lookup!$I$4:$J$216,2)-VLOOKUP(Sheet1!CD190,Lookup!$I$4:$J$216,2))/1000000)</f>
        <v>-0.93273244693019985</v>
      </c>
      <c r="G189" s="95">
        <f ca="1">IF(B189=TODAY(),0,-$G$6*(Sheet1!CF191-Sheet1!CF190)*7.48/1000000)</f>
        <v>-0.55598901473582951</v>
      </c>
      <c r="H189" s="95">
        <f ca="1">IF(B189=TODAY(),0,-$H$6*(Sheet1!CE191-Sheet1!CE190)*7.48/1000000)</f>
        <v>-0.76701104991451763</v>
      </c>
      <c r="I189" s="95">
        <f ca="1">IF(B189=TODAY(),0,-$I$6*(Sheet1!CG191-Sheet1!CG190)*7.48/1000000)</f>
        <v>-2.6954927999999989E-2</v>
      </c>
      <c r="J189" s="96" t="s">
        <v>186</v>
      </c>
      <c r="K189" s="95">
        <f ca="1">IF(B189=TODAY(),0,-$K$6*(Sheet1!CH191-Sheet1!CH190)*7.48/1000000)</f>
        <v>-3.3316601872292212E-2</v>
      </c>
      <c r="L189" s="96" t="s">
        <v>186</v>
      </c>
      <c r="M189" s="95">
        <f ca="1">IF(B189=TODAY(),0,-$M$6*(Sheet1!CI191-Sheet1!CI190)*7.48/1000000)</f>
        <v>-0.17991508428027048</v>
      </c>
      <c r="N189" s="95">
        <f ca="1">IF(B189=TODAY(),0,-$N$6*(Sheet1!CJ191-Sheet1!CJ190)*7.48/1000000)</f>
        <v>-0.62052345394623898</v>
      </c>
      <c r="O189" s="95">
        <f t="shared" ca="1" si="21"/>
        <v>-3.1164425796793482</v>
      </c>
      <c r="P189" s="95">
        <f ca="1">O189+Calculation!ES189</f>
        <v>-8.3850755420880425</v>
      </c>
      <c r="Q189" s="90" t="str">
        <f>IF(Sheet1!BQ191&gt;25.75,"spill elevation","-")</f>
        <v>-</v>
      </c>
      <c r="R189" s="90" t="str">
        <f>IF(Sheet1!BQ191&gt;25.75,"spill elevation","-")</f>
        <v>-</v>
      </c>
      <c r="S189" s="90" t="str">
        <f>IF(Sheet1!BR191&gt;25.75,"spill elevation","-")</f>
        <v>-</v>
      </c>
      <c r="T189" s="94">
        <f>IF(Sheet1!DU191=1,Sheet1!AA191-(SUM(AT189:BA189)+BE189),Sheet1!AA191-SUM(AT189:BA189))</f>
        <v>38.262591999999998</v>
      </c>
      <c r="U189" s="94">
        <f>Sheet1!BV191</f>
        <v>39.4</v>
      </c>
      <c r="V189" s="94">
        <f t="shared" si="22"/>
        <v>-1.1374080000000006</v>
      </c>
      <c r="W189" s="94">
        <f>0</f>
        <v>0</v>
      </c>
      <c r="X189" s="90">
        <f>0</f>
        <v>0</v>
      </c>
      <c r="Y189" s="95">
        <f ca="1">Calculation!EJ190+Calculation!ES189+'Calculations II'!O189-'Calculations II'!W189</f>
        <v>66.354924457911963</v>
      </c>
      <c r="Z189" s="95">
        <f ca="1">Y189-Sheet1!CT192</f>
        <v>49.343924457911967</v>
      </c>
      <c r="AA189" s="95">
        <f ca="1">Y189+Calculation!DJ190+Calculation!AS190</f>
        <v>80.212382533816637</v>
      </c>
      <c r="AC189" s="95">
        <f>Sheet1!AA191+Sheet1!AB191+BC189</f>
        <v>81.28</v>
      </c>
      <c r="AD189" s="95">
        <f>Sheet1!AA191+Sheet1!BN191+'Calculations II'!BC189-Calculation!AS189-Calculation!DJ189</f>
        <v>54.248704453441285</v>
      </c>
      <c r="AE189" s="95">
        <f>Sheet1!AA191+Sheet1!AB191+'Calculations II'!BC189-Calculation!AS189-Calculation!DJ189</f>
        <v>67.7087044534413</v>
      </c>
      <c r="AF189" s="95">
        <f ca="1">Sheet1!AA191+Sheet1!BN191+P189+'Calculations II'!BC189+Calculation!AS189+Calculation!DJ189</f>
        <v>73.006220004470663</v>
      </c>
      <c r="AG189" s="95">
        <f ca="1">IF(B189=TODAY(),0,Sheet1!AA191+Sheet1!BN191+'Calculations II'!BC189+'Calculations II'!P189-Sheet1!CT191-BP189)</f>
        <v>41.337924457911946</v>
      </c>
      <c r="AH189" s="95">
        <f ca="1">IF(B189=TODAY(),0,Sheet1!AA191+Sheet1!BN191+'Calculations II'!BC189+'Calculations II'!P189-BP189)</f>
        <v>59.434924457911947</v>
      </c>
      <c r="AI189" s="95">
        <f ca="1">IF(B189=TODAY(),0,BC189+Sheet1!AA191+Calculation!ES189+O189+W189+Sheet1!BN191+Calculation!AS189+Calculation!DJ189-BP189)</f>
        <v>73.006220004470663</v>
      </c>
      <c r="AJ189" s="95"/>
      <c r="AM189" s="91">
        <f t="shared" si="23"/>
        <v>41817</v>
      </c>
      <c r="AN189" s="95">
        <f>Sheet1!BU191</f>
        <v>41.1</v>
      </c>
      <c r="AO189" s="95">
        <f>Sheet1!AA191</f>
        <v>41.92</v>
      </c>
      <c r="AP189" s="95">
        <f t="shared" si="18"/>
        <v>5.4014999999999986</v>
      </c>
      <c r="AQ189" s="1055">
        <f>((Sheet1!BV191-(Sheet1!BU191-AP189))/(Sheet1!BU191-AP189))</f>
        <v>0.10368783002086909</v>
      </c>
      <c r="AR189" s="95">
        <f t="shared" si="19"/>
        <v>36.518500000000003</v>
      </c>
      <c r="AS189" s="95">
        <f t="shared" si="20"/>
        <v>35.698500000000003</v>
      </c>
      <c r="AT189" s="90">
        <f>Sheet1!BB191</f>
        <v>1.59</v>
      </c>
      <c r="AU189" s="90">
        <f>Sheet1!AS191*GPMtoMGD</f>
        <v>1.6272000000000002E-2</v>
      </c>
      <c r="AV189" s="95">
        <f>Sheet1!AT191</f>
        <v>0</v>
      </c>
      <c r="AW189" s="90">
        <f>Sheet1!AV191*GPMtoMGD</f>
        <v>0.89812800000000015</v>
      </c>
      <c r="AX189" s="90">
        <f>Sheet1!AW191*GPMtoMGD</f>
        <v>1.1196000000000002</v>
      </c>
      <c r="AY189" s="90">
        <f>Sheet1!AX191*GPMtoMGD</f>
        <v>3.3408E-2</v>
      </c>
      <c r="AZ189" s="90">
        <f>Sheet1!AY191*GPMtoMGD</f>
        <v>0</v>
      </c>
      <c r="BA189" s="90">
        <f>Sheet1!AZ191*GPMtoMGD</f>
        <v>0</v>
      </c>
      <c r="BB189" s="90">
        <f>Sheet1!BP191*GPMtoMGD</f>
        <v>0</v>
      </c>
      <c r="BC189" s="90">
        <f>Sheet1!CS191*GPMtoMGD</f>
        <v>0</v>
      </c>
      <c r="BD189" s="90">
        <f>Sheet1!BO191*GPMtoMGD</f>
        <v>2.8628640000000001</v>
      </c>
      <c r="BE189" s="90">
        <f>Sheet1!BW191*GPMtoMGD</f>
        <v>1.258704</v>
      </c>
      <c r="BF189" s="90">
        <f>Sheet1!CN191*GPMtoMGD</f>
        <v>1.7280000000000002</v>
      </c>
      <c r="BG189" s="90">
        <f>Sheet1!CO191*GPMtoMGD</f>
        <v>1.0412640000000002</v>
      </c>
      <c r="BH189" s="90">
        <f>Sheet1!CP191*GPMtoMGD</f>
        <v>0.87580800000000014</v>
      </c>
      <c r="BI189" s="90">
        <f t="shared" si="24"/>
        <v>2.8628640000000001</v>
      </c>
      <c r="BK189" s="95">
        <f>SUM(AT189:BA189,BE189,Sheet1!BV191,'Calculations II'!BC189,Calculation!AQ189)</f>
        <v>70.111253700404859</v>
      </c>
      <c r="BM189" s="373">
        <f>0</f>
        <v>0</v>
      </c>
      <c r="BN189" s="373">
        <f>0</f>
        <v>0</v>
      </c>
      <c r="BP189" s="95">
        <f>SUM(BM189:BN189,W189,Sheet1!DX191)</f>
        <v>0</v>
      </c>
    </row>
    <row r="190" spans="1:68" s="90" customFormat="1">
      <c r="A190" s="651" t="s">
        <v>9</v>
      </c>
      <c r="B190" s="92">
        <v>41818</v>
      </c>
      <c r="C190" s="93">
        <v>0</v>
      </c>
      <c r="D190" s="95">
        <f>(Sheet1!BQ192-Sheet1!BQ191)*1.385</f>
        <v>1.3988500000000021</v>
      </c>
      <c r="E190" s="30">
        <f>(Sheet1!BR192-Sheet1!BR191)*1.385</f>
        <v>1.4542500000000009</v>
      </c>
      <c r="F190" s="30">
        <f ca="1">IF(B190=TODAY(),0,-(VLOOKUP(Sheet1!CD192,Lookup!$I$4:$J$216,2)-VLOOKUP(Sheet1!CD191,Lookup!$I$4:$J$216,2))/1000000)</f>
        <v>-1.5545540782170053</v>
      </c>
      <c r="G190" s="95">
        <f ca="1">IF(B190=TODAY(),0,-$G$6*(Sheet1!CF192-Sheet1!CF191)*7.48/1000000)</f>
        <v>-0.3177080084204747</v>
      </c>
      <c r="H190" s="95">
        <f ca="1">IF(B190=TODAY(),0,-$H$6*(Sheet1!CE192-Sheet1!CE191)*7.48/1000000)</f>
        <v>-6.0157729405060027E-2</v>
      </c>
      <c r="I190" s="95">
        <f ca="1">IF(B190=TODAY(),0,-$I$6*(Sheet1!CG192-Sheet1!CG191)*7.48/1000000)</f>
        <v>-8.0864783999999995E-2</v>
      </c>
      <c r="J190" s="96" t="s">
        <v>186</v>
      </c>
      <c r="K190" s="95">
        <f ca="1">IF(B190=TODAY(),0,-$K$6*(Sheet1!CH192-Sheet1!CH191)*7.48/1000000)</f>
        <v>-0.14659304823808569</v>
      </c>
      <c r="L190" s="96" t="s">
        <v>186</v>
      </c>
      <c r="M190" s="95">
        <f ca="1">IF(B190=TODAY(),0,-$M$6*(Sheet1!CI192-Sheet1!CI191)*7.48/1000000)</f>
        <v>-0.32384715170448669</v>
      </c>
      <c r="N190" s="95">
        <f ca="1">IF(B190=TODAY(),0,-$N$6*(Sheet1!CJ192-Sheet1!CJ191)*7.48/1000000)</f>
        <v>-0.68257579934086265</v>
      </c>
      <c r="O190" s="95">
        <f t="shared" ca="1" si="21"/>
        <v>-3.1663005993259747</v>
      </c>
      <c r="P190" s="95">
        <f ca="1">O190+Calculation!ES190</f>
        <v>-5.941125084423323</v>
      </c>
      <c r="Q190" s="90" t="str">
        <f>IF(Sheet1!BQ192&gt;25.75,"spill elevation","-")</f>
        <v>-</v>
      </c>
      <c r="R190" s="90" t="str">
        <f>IF(Sheet1!BQ192&gt;25.75,"spill elevation","-")</f>
        <v>-</v>
      </c>
      <c r="S190" s="90" t="str">
        <f>IF(Sheet1!BR192&gt;25.75,"spill elevation","-")</f>
        <v>-</v>
      </c>
      <c r="T190" s="94">
        <f>IF(Sheet1!DU192=1,Sheet1!AA192-(SUM(AT190:BA190)+BE190),Sheet1!AA192-SUM(AT190:BA190))</f>
        <v>37.300752000000003</v>
      </c>
      <c r="U190" s="94">
        <f>Sheet1!BV192</f>
        <v>41.1</v>
      </c>
      <c r="V190" s="94">
        <f t="shared" si="22"/>
        <v>-3.7992479999999986</v>
      </c>
      <c r="W190" s="94">
        <f>0</f>
        <v>0</v>
      </c>
      <c r="X190" s="90">
        <f>0</f>
        <v>0</v>
      </c>
      <c r="Y190" s="95">
        <f ca="1">Calculation!EJ191+Calculation!ES190+'Calculations II'!O190-'Calculations II'!W190</f>
        <v>58.618874915576683</v>
      </c>
      <c r="Z190" s="95">
        <f ca="1">Y190-Sheet1!CT193</f>
        <v>41.509874915576681</v>
      </c>
      <c r="AA190" s="95">
        <f ca="1">Y190+Calculation!DJ191+Calculation!AS191</f>
        <v>72.054970153671917</v>
      </c>
      <c r="AC190" s="95">
        <f>Sheet1!AA192+Sheet1!AB192+BC190</f>
        <v>74.740000000000009</v>
      </c>
      <c r="AD190" s="95">
        <f>Sheet1!AA192+Sheet1!BN192+'Calculations II'!BC190-Calculation!AS190-Calculation!DJ190</f>
        <v>47.082541924095324</v>
      </c>
      <c r="AE190" s="95">
        <f>Sheet1!AA192+Sheet1!AB192+'Calculations II'!BC190-Calculation!AS190-Calculation!DJ190</f>
        <v>60.882541924095335</v>
      </c>
      <c r="AF190" s="95">
        <f ca="1">Sheet1!AA192+Sheet1!BN192+P190+'Calculations II'!BC190+Calculation!AS190+Calculation!DJ190</f>
        <v>68.856332991481352</v>
      </c>
      <c r="AG190" s="95">
        <f ca="1">IF(B190=TODAY(),0,Sheet1!AA192+Sheet1!BN192+'Calculations II'!BC190+'Calculations II'!P190-Sheet1!CT192-BP190)</f>
        <v>37.987874915576683</v>
      </c>
      <c r="AH190" s="95">
        <f ca="1">IF(B190=TODAY(),0,Sheet1!AA192+Sheet1!BN192+'Calculations II'!BC190+'Calculations II'!P190-BP190)</f>
        <v>54.998874915576678</v>
      </c>
      <c r="AI190" s="95">
        <f ca="1">IF(B190=TODAY(),0,BC190+Sheet1!AA192+Calculation!ES190+O190+W190+Sheet1!BN192+Calculation!AS190+Calculation!DJ190-BP190)</f>
        <v>68.856332991481366</v>
      </c>
      <c r="AJ190" s="95"/>
      <c r="AM190" s="91">
        <f t="shared" si="23"/>
        <v>41818</v>
      </c>
      <c r="AN190" s="95">
        <f>Sheet1!BU192</f>
        <v>40.200000000000003</v>
      </c>
      <c r="AO190" s="95">
        <f>Sheet1!AA192</f>
        <v>40.840000000000003</v>
      </c>
      <c r="AP190" s="95">
        <f t="shared" si="18"/>
        <v>2.8531000000000031</v>
      </c>
      <c r="AQ190" s="1055">
        <f>((Sheet1!BV192-(Sheet1!BU192-AP190))/(Sheet1!BU192-AP190))</f>
        <v>0.10049294586699307</v>
      </c>
      <c r="AR190" s="95">
        <f t="shared" si="19"/>
        <v>37.986899999999999</v>
      </c>
      <c r="AS190" s="95">
        <f t="shared" si="20"/>
        <v>37.346899999999998</v>
      </c>
      <c r="AT190" s="90">
        <f>Sheet1!BB192</f>
        <v>1.6</v>
      </c>
      <c r="AU190" s="90">
        <f>Sheet1!AS192*GPMtoMGD</f>
        <v>3.1248000000000001E-2</v>
      </c>
      <c r="AV190" s="95">
        <f>Sheet1!AT192</f>
        <v>0</v>
      </c>
      <c r="AW190" s="90">
        <f>Sheet1!AV192*GPMtoMGD</f>
        <v>0.78264</v>
      </c>
      <c r="AX190" s="90">
        <f>Sheet1!AW192*GPMtoMGD</f>
        <v>1.1160000000000001</v>
      </c>
      <c r="AY190" s="90">
        <f>Sheet1!AX192*GPMtoMGD</f>
        <v>9.3600000000000003E-3</v>
      </c>
      <c r="AZ190" s="90">
        <f>Sheet1!AY192*GPMtoMGD</f>
        <v>0</v>
      </c>
      <c r="BA190" s="90">
        <f>Sheet1!AZ192*GPMtoMGD</f>
        <v>0</v>
      </c>
      <c r="BB190" s="90">
        <f>Sheet1!BP192*GPMtoMGD</f>
        <v>0</v>
      </c>
      <c r="BC190" s="90">
        <f>Sheet1!CS192*GPMtoMGD</f>
        <v>0</v>
      </c>
      <c r="BD190" s="90">
        <f>Sheet1!BO192*GPMtoMGD</f>
        <v>2.882304</v>
      </c>
      <c r="BE190" s="90">
        <f>Sheet1!BW192*GPMtoMGD</f>
        <v>0.96321600000000007</v>
      </c>
      <c r="BF190" s="90">
        <f>Sheet1!CN192*GPMtoMGD</f>
        <v>1.7280000000000002</v>
      </c>
      <c r="BG190" s="90">
        <f>Sheet1!CO192*GPMtoMGD</f>
        <v>0.89323200000000003</v>
      </c>
      <c r="BH190" s="90">
        <f>Sheet1!CP192*GPMtoMGD</f>
        <v>0.85824</v>
      </c>
      <c r="BI190" s="90">
        <f t="shared" si="24"/>
        <v>2.882304</v>
      </c>
      <c r="BK190" s="95">
        <f>SUM(AT190:BA190,BE190,Sheet1!BV192,'Calculations II'!BC190,Calculation!AQ190)</f>
        <v>65.649242464254186</v>
      </c>
      <c r="BM190" s="373">
        <f>0</f>
        <v>0</v>
      </c>
      <c r="BN190" s="373">
        <f>0</f>
        <v>0</v>
      </c>
      <c r="BP190" s="95">
        <f>SUM(BM190:BN190,W190,Sheet1!DX192)</f>
        <v>0</v>
      </c>
    </row>
    <row r="191" spans="1:68" s="90" customFormat="1">
      <c r="A191" s="651" t="s">
        <v>3</v>
      </c>
      <c r="B191" s="92">
        <v>41819</v>
      </c>
      <c r="C191" s="93">
        <v>0</v>
      </c>
      <c r="D191" s="95">
        <f>(Sheet1!BQ193-Sheet1!BQ192)*1.385</f>
        <v>-1.9944000000000017</v>
      </c>
      <c r="E191" s="30">
        <f>(Sheet1!BR193-Sheet1!BR192)*1.385</f>
        <v>-2.008249999999999</v>
      </c>
      <c r="F191" s="30">
        <f ca="1">IF(B191=TODAY(),0,-(VLOOKUP(Sheet1!CD193,Lookup!$I$4:$J$216,2)-VLOOKUP(Sheet1!CD192,Lookup!$I$4:$J$216,2))/1000000)</f>
        <v>0.51818469273900614</v>
      </c>
      <c r="G191" s="95">
        <f ca="1">IF(B191=TODAY(),0,-$G$6*(Sheet1!CF193-Sheet1!CF192)*7.48/1000000)</f>
        <v>0.83398352210374582</v>
      </c>
      <c r="H191" s="95">
        <f ca="1">IF(B191=TODAY(),0,-$H$6*(Sheet1!CE193-Sheet1!CE192)*7.48/1000000)</f>
        <v>-1.5039432351265274E-2</v>
      </c>
      <c r="I191" s="95">
        <f ca="1">IF(B191=TODAY(),0,-$I$6*(Sheet1!CG193-Sheet1!CG192)*7.48/1000000)</f>
        <v>7.1879807999999989E-2</v>
      </c>
      <c r="J191" s="96" t="s">
        <v>186</v>
      </c>
      <c r="K191" s="95">
        <f ca="1">IF(B191=TODAY(),0,-$K$6*(Sheet1!CH193-Sheet1!CH192)*7.48/1000000)</f>
        <v>0.12660308711471033</v>
      </c>
      <c r="L191" s="96" t="s">
        <v>186</v>
      </c>
      <c r="M191" s="95">
        <f ca="1">IF(B191=TODAY(),0,-$M$6*(Sheet1!CI193-Sheet1!CI192)*7.48/1000000)</f>
        <v>0.34183866013251368</v>
      </c>
      <c r="N191" s="95">
        <f ca="1">IF(B191=TODAY(),0,-$N$6*(Sheet1!CJ193-Sheet1!CJ192)*7.48/1000000)</f>
        <v>-6.2052345394623676E-2</v>
      </c>
      <c r="O191" s="95">
        <f t="shared" ca="1" si="21"/>
        <v>1.8153979923440871</v>
      </c>
      <c r="P191" s="95">
        <f ca="1">O191+Calculation!ES191</f>
        <v>5.6997931024748398</v>
      </c>
      <c r="Q191" s="90" t="str">
        <f>IF(Sheet1!BQ193&gt;25.75,"spill elevation","-")</f>
        <v>-</v>
      </c>
      <c r="R191" s="90" t="str">
        <f>IF(Sheet1!BQ193&gt;25.75,"spill elevation","-")</f>
        <v>-</v>
      </c>
      <c r="S191" s="90" t="str">
        <f>IF(Sheet1!BR193&gt;25.75,"spill elevation","-")</f>
        <v>-</v>
      </c>
      <c r="T191" s="94">
        <f>IF(Sheet1!DU193=1,Sheet1!AA193-(SUM(AT191:BA191)+BE191),Sheet1!AA193-SUM(AT191:BA191))</f>
        <v>34.799632000000003</v>
      </c>
      <c r="U191" s="94">
        <f>Sheet1!BV193</f>
        <v>45.7</v>
      </c>
      <c r="V191" s="94">
        <f t="shared" si="22"/>
        <v>-10.900368</v>
      </c>
      <c r="W191" s="94">
        <f>0</f>
        <v>0</v>
      </c>
      <c r="X191" s="90">
        <f>0</f>
        <v>0</v>
      </c>
      <c r="Y191" s="95">
        <f ca="1">Calculation!EJ192+Calculation!ES191+'Calculations II'!O191-'Calculations II'!W191</f>
        <v>78.999793102474854</v>
      </c>
      <c r="Z191" s="95">
        <f ca="1">Y191-Sheet1!CT194</f>
        <v>61.78479310247485</v>
      </c>
      <c r="AA191" s="95">
        <f ca="1">Y191+Calculation!DJ192+Calculation!AS192</f>
        <v>93.509799094086588</v>
      </c>
      <c r="AC191" s="95">
        <f>Sheet1!AA193+Sheet1!AB193+BC191</f>
        <v>64.56</v>
      </c>
      <c r="AD191" s="95">
        <f>Sheet1!AA193+Sheet1!BN193+'Calculations II'!BC191-Calculation!AS191-Calculation!DJ191</f>
        <v>37.823904761904764</v>
      </c>
      <c r="AE191" s="95">
        <f>Sheet1!AA193+Sheet1!AB193+'Calculations II'!BC191-Calculation!AS191-Calculation!DJ191</f>
        <v>51.123904761904761</v>
      </c>
      <c r="AF191" s="95">
        <f ca="1">Sheet1!AA193+Sheet1!BN193+P191+'Calculations II'!BC191+Calculation!AS191+Calculation!DJ191</f>
        <v>70.395888340570082</v>
      </c>
      <c r="AG191" s="95">
        <f ca="1">IF(B191=TODAY(),0,Sheet1!AA193+Sheet1!BN193+'Calculations II'!BC191+'Calculations II'!P191-Sheet1!CT193-BP191)</f>
        <v>39.850793102474846</v>
      </c>
      <c r="AH191" s="95">
        <f ca="1">IF(B191=TODAY(),0,Sheet1!AA193+Sheet1!BN193+'Calculations II'!BC191+'Calculations II'!P191-BP191)</f>
        <v>56.959793102474848</v>
      </c>
      <c r="AI191" s="95">
        <f ca="1">IF(B191=TODAY(),0,BC191+Sheet1!AA193+Calculation!ES191+O191+W191+Sheet1!BN193+Calculation!AS191+Calculation!DJ191-BP191)</f>
        <v>70.395888340570082</v>
      </c>
      <c r="AJ191" s="95"/>
      <c r="AM191" s="91">
        <f t="shared" si="23"/>
        <v>41819</v>
      </c>
      <c r="AN191" s="95">
        <f>Sheet1!BU193</f>
        <v>37.700000000000003</v>
      </c>
      <c r="AO191" s="95">
        <f>Sheet1!AA193</f>
        <v>38.56</v>
      </c>
      <c r="AP191" s="95">
        <f t="shared" si="18"/>
        <v>-4.0026500000000009</v>
      </c>
      <c r="AQ191" s="1055">
        <f>((Sheet1!BV193-(Sheet1!BU193-AP191))/(Sheet1!BU193-AP191))</f>
        <v>9.5853620813065754E-2</v>
      </c>
      <c r="AR191" s="95">
        <f t="shared" si="19"/>
        <v>42.562650000000005</v>
      </c>
      <c r="AS191" s="95">
        <f t="shared" si="20"/>
        <v>41.702650000000006</v>
      </c>
      <c r="AT191" s="90">
        <f>Sheet1!BB193</f>
        <v>1.59</v>
      </c>
      <c r="AU191" s="90">
        <f>Sheet1!AS193*GPMtoMGD</f>
        <v>1.6847999999999998E-2</v>
      </c>
      <c r="AV191" s="95">
        <f>Sheet1!AT193</f>
        <v>0</v>
      </c>
      <c r="AW191" s="90">
        <f>Sheet1!AV193*GPMtoMGD</f>
        <v>0.94262400000000013</v>
      </c>
      <c r="AX191" s="90">
        <f>Sheet1!AW193*GPMtoMGD</f>
        <v>1.1950560000000001</v>
      </c>
      <c r="AY191" s="90">
        <f>Sheet1!AX193*GPMtoMGD</f>
        <v>1.584E-2</v>
      </c>
      <c r="AZ191" s="90">
        <f>Sheet1!AY193*GPMtoMGD</f>
        <v>0</v>
      </c>
      <c r="BA191" s="90">
        <f>Sheet1!AZ193*GPMtoMGD</f>
        <v>0</v>
      </c>
      <c r="BB191" s="90">
        <f>Sheet1!BP193*GPMtoMGD</f>
        <v>0</v>
      </c>
      <c r="BC191" s="90">
        <f>Sheet1!CS193*GPMtoMGD</f>
        <v>0</v>
      </c>
      <c r="BD191" s="90">
        <f>Sheet1!BO193*GPMtoMGD</f>
        <v>2.2298400000000003</v>
      </c>
      <c r="BE191" s="90">
        <f>Sheet1!BW193*GPMtoMGD</f>
        <v>1.215792</v>
      </c>
      <c r="BF191" s="90">
        <f>Sheet1!CN193*GPMtoMGD</f>
        <v>1.7280000000000002</v>
      </c>
      <c r="BG191" s="90">
        <f>Sheet1!CO193*GPMtoMGD</f>
        <v>1.0105919999999999</v>
      </c>
      <c r="BH191" s="90">
        <f>Sheet1!CP193*GPMtoMGD</f>
        <v>0.86040000000000005</v>
      </c>
      <c r="BI191" s="90">
        <f t="shared" si="24"/>
        <v>2.2298400000000003</v>
      </c>
      <c r="BK191" s="95">
        <f>SUM(AT191:BA191,BE191,Sheet1!BV193,'Calculations II'!BC191,Calculation!AQ191)</f>
        <v>63.255207619047624</v>
      </c>
      <c r="BM191" s="373">
        <f>0</f>
        <v>0</v>
      </c>
      <c r="BN191" s="373">
        <f>0</f>
        <v>0</v>
      </c>
      <c r="BP191" s="95">
        <f>SUM(BM191:BN191,W191,Sheet1!DX193)</f>
        <v>0</v>
      </c>
    </row>
    <row r="192" spans="1:68" s="90" customFormat="1">
      <c r="A192" s="651" t="s">
        <v>4</v>
      </c>
      <c r="B192" s="92">
        <v>41820</v>
      </c>
      <c r="C192" s="93">
        <v>0</v>
      </c>
      <c r="D192" s="95">
        <f>(Sheet1!BQ194-Sheet1!BQ193)*1.385</f>
        <v>-2.5068499999999982</v>
      </c>
      <c r="E192" s="30">
        <f>(Sheet1!BR194-Sheet1!BR193)*1.385</f>
        <v>-2.4791499999999989</v>
      </c>
      <c r="F192" s="30">
        <f ca="1">IF(B192=TODAY(),0,-(VLOOKUP(Sheet1!CD194,Lookup!$I$4:$J$216,2)-VLOOKUP(Sheet1!CD193,Lookup!$I$4:$J$216,2))/1000000)</f>
        <v>0.82909550838240054</v>
      </c>
      <c r="G192" s="95">
        <f ca="1">IF(B192=TODAY(),0,-$G$6*(Sheet1!CF194-Sheet1!CF193)*7.48/1000000)</f>
        <v>-0.95312402526142392</v>
      </c>
      <c r="H192" s="95">
        <f ca="1">IF(B192=TODAY(),0,-$H$6*(Sheet1!CE194-Sheet1!CE193)*7.48/1000000)</f>
        <v>0.18047318821518007</v>
      </c>
      <c r="I192" s="95">
        <f ca="1">IF(B192=TODAY(),0,-$I$6*(Sheet1!CG194-Sheet1!CG193)*7.48/1000000)</f>
        <v>-8.0864783999999995E-2</v>
      </c>
      <c r="J192" s="96" t="s">
        <v>186</v>
      </c>
      <c r="K192" s="95">
        <f ca="1">IF(B192=TODAY(),0,-$K$6*(Sheet1!CH194-Sheet1!CH193)*7.48/1000000)</f>
        <v>-0.13992972786362726</v>
      </c>
      <c r="L192" s="96" t="s">
        <v>186</v>
      </c>
      <c r="M192" s="95">
        <f ca="1">IF(B192=TODAY(),0,-$M$6*(Sheet1!CI194-Sheet1!CI193)*7.48/1000000)</f>
        <v>-0.35983016856054095</v>
      </c>
      <c r="N192" s="95">
        <f ca="1">IF(B192=TODAY(),0,-$N$6*(Sheet1!CJ194-Sheet1!CJ193)*7.48/1000000)</f>
        <v>0.93078518091935858</v>
      </c>
      <c r="O192" s="95">
        <f t="shared" ca="1" si="21"/>
        <v>0.40660517183134703</v>
      </c>
      <c r="P192" s="95">
        <f ca="1">O192+Calculation!ES192</f>
        <v>5.3971337708210418</v>
      </c>
      <c r="Q192" s="90" t="str">
        <f>IF(Sheet1!BQ194&gt;25.75,"spill elevation","-")</f>
        <v>-</v>
      </c>
      <c r="R192" s="90" t="str">
        <f>IF(Sheet1!BQ194&gt;25.75,"spill elevation","-")</f>
        <v>-</v>
      </c>
      <c r="S192" s="90" t="str">
        <f>IF(Sheet1!BR194&gt;25.75,"spill elevation","-")</f>
        <v>-</v>
      </c>
      <c r="T192" s="94">
        <f>IF(Sheet1!DU194=1,Sheet1!AA194-(SUM(AT192:BA192)+BE192),Sheet1!AA194-SUM(AT192:BA192))</f>
        <v>36.142288000000001</v>
      </c>
      <c r="U192" s="94">
        <f>Sheet1!BV194</f>
        <v>47.8</v>
      </c>
      <c r="V192" s="94">
        <f t="shared" si="22"/>
        <v>-11.657711999999997</v>
      </c>
      <c r="W192" s="94">
        <f>0</f>
        <v>0</v>
      </c>
      <c r="X192" s="90">
        <f>0</f>
        <v>0</v>
      </c>
      <c r="Y192" s="95">
        <f ca="1">Calculation!EJ193+Calculation!ES192+'Calculations II'!O192-'Calculations II'!W192</f>
        <v>85.797133770821048</v>
      </c>
      <c r="Z192" s="95">
        <f ca="1">Y192-Sheet1!CT195</f>
        <v>68.030133770821053</v>
      </c>
      <c r="AA192" s="95">
        <f ca="1">Y192+Calculation!DJ193+Calculation!AS193</f>
        <v>100.82624371846504</v>
      </c>
      <c r="AC192" s="95">
        <f>Sheet1!AA194+Sheet1!AB194+BC192</f>
        <v>73.300000000000011</v>
      </c>
      <c r="AD192" s="95">
        <f>Sheet1!AA194+Sheet1!BN194+'Calculations II'!BC192-Calculation!AS192-Calculation!DJ192</f>
        <v>44.389994008388257</v>
      </c>
      <c r="AE192" s="95">
        <f>Sheet1!AA194+Sheet1!AB194+'Calculations II'!BC192-Calculation!AS192-Calculation!DJ192</f>
        <v>58.789994008388277</v>
      </c>
      <c r="AF192" s="95">
        <f ca="1">Sheet1!AA194+Sheet1!BN194+P192+'Calculations II'!BC192+Calculation!AS192+Calculation!DJ192</f>
        <v>78.807139762432783</v>
      </c>
      <c r="AG192" s="95">
        <f ca="1">IF(B192=TODAY(),0,Sheet1!AA194+Sheet1!BN194+'Calculations II'!BC192+'Calculations II'!P192-Sheet1!CT194-BP192)</f>
        <v>47.082133770821045</v>
      </c>
      <c r="AH192" s="95">
        <f ca="1">IF(B192=TODAY(),0,Sheet1!AA194+Sheet1!BN194+'Calculations II'!BC192+'Calculations II'!P192-BP192)</f>
        <v>64.297133770821048</v>
      </c>
      <c r="AI192" s="95">
        <f ca="1">IF(B192=TODAY(),0,BC192+Sheet1!AA194+Calculation!ES192+O192+W192+Sheet1!BN194+Calculation!AS192+Calculation!DJ192-BP192)</f>
        <v>78.807139762432769</v>
      </c>
      <c r="AJ192" s="95"/>
      <c r="AM192" s="91">
        <f t="shared" si="23"/>
        <v>41820</v>
      </c>
      <c r="AN192" s="95">
        <f>Sheet1!BU194</f>
        <v>38.799999999999997</v>
      </c>
      <c r="AO192" s="95">
        <f>Sheet1!AA194</f>
        <v>40.1</v>
      </c>
      <c r="AP192" s="95">
        <f t="shared" si="18"/>
        <v>-4.9859999999999971</v>
      </c>
      <c r="AQ192" s="1055">
        <f>((Sheet1!BV194-(Sheet1!BU194-AP192))/(Sheet1!BU194-AP192))</f>
        <v>9.1673137532544732E-2</v>
      </c>
      <c r="AR192" s="95">
        <f t="shared" si="19"/>
        <v>45.085999999999999</v>
      </c>
      <c r="AS192" s="95">
        <f t="shared" si="20"/>
        <v>43.785999999999994</v>
      </c>
      <c r="AT192" s="90">
        <f>Sheet1!BB194</f>
        <v>1.6</v>
      </c>
      <c r="AU192" s="90">
        <f>Sheet1!AS194*GPMtoMGD</f>
        <v>3.456E-2</v>
      </c>
      <c r="AV192" s="95">
        <f>Sheet1!AT194</f>
        <v>0</v>
      </c>
      <c r="AW192" s="90">
        <f>Sheet1!AV194*GPMtoMGD</f>
        <v>1.0307519999999999</v>
      </c>
      <c r="AX192" s="90">
        <f>Sheet1!AW194*GPMtoMGD</f>
        <v>1.264896</v>
      </c>
      <c r="AY192" s="90">
        <f>Sheet1!AX194*GPMtoMGD</f>
        <v>2.7504000000000004E-2</v>
      </c>
      <c r="AZ192" s="90">
        <f>Sheet1!AY194*GPMtoMGD</f>
        <v>0</v>
      </c>
      <c r="BA192" s="90">
        <f>Sheet1!AZ194*GPMtoMGD</f>
        <v>0</v>
      </c>
      <c r="BB192" s="90">
        <f>Sheet1!BP194*GPMtoMGD</f>
        <v>0</v>
      </c>
      <c r="BC192" s="90">
        <f>Sheet1!CS194*GPMtoMGD</f>
        <v>0</v>
      </c>
      <c r="BD192" s="90">
        <f>Sheet1!BO194*GPMtoMGD</f>
        <v>3.8013120000000007</v>
      </c>
      <c r="BE192" s="90">
        <f>Sheet1!BW194*GPMtoMGD</f>
        <v>1.2934080000000001</v>
      </c>
      <c r="BF192" s="90">
        <f>Sheet1!CN194*GPMtoMGD</f>
        <v>1.7280000000000002</v>
      </c>
      <c r="BG192" s="90">
        <f>Sheet1!CO194*GPMtoMGD</f>
        <v>1.3049280000000001</v>
      </c>
      <c r="BH192" s="90">
        <f>Sheet1!CP194*GPMtoMGD</f>
        <v>0.99302400000000013</v>
      </c>
      <c r="BI192" s="90">
        <f t="shared" si="24"/>
        <v>3.8013120000000007</v>
      </c>
      <c r="BK192" s="95">
        <f>SUM(AT192:BA192,BE192,Sheet1!BV194,'Calculations II'!BC192,Calculation!AQ192)</f>
        <v>71.749741929298978</v>
      </c>
      <c r="BM192" s="373">
        <f>0</f>
        <v>0</v>
      </c>
      <c r="BN192" s="373">
        <f>0</f>
        <v>0</v>
      </c>
      <c r="BP192" s="95">
        <f>SUM(BM192:BN192,W192,Sheet1!DX194)</f>
        <v>0</v>
      </c>
    </row>
    <row r="193" spans="1:68" s="90" customFormat="1">
      <c r="A193" s="651" t="s">
        <v>5</v>
      </c>
      <c r="B193" s="92">
        <v>41821</v>
      </c>
      <c r="C193" s="93">
        <v>0</v>
      </c>
      <c r="D193" s="95">
        <f>(Sheet1!BQ195-Sheet1!BQ194)*1.385</f>
        <v>-1.3157499999999991</v>
      </c>
      <c r="E193" s="30">
        <f>(Sheet1!BR195-Sheet1!BR194)*1.385</f>
        <v>-1.3573000000000006</v>
      </c>
      <c r="F193" s="30">
        <f ca="1">IF(B193=TODAY(),0,-(VLOOKUP(Sheet1!CD195,Lookup!$I$4:$J$216,2)-VLOOKUP(Sheet1!CD194,Lookup!$I$4:$J$216,2))/1000000)</f>
        <v>1.243643262573598</v>
      </c>
      <c r="G193" s="95">
        <f ca="1">IF(B193=TODAY(),0,-$G$6*(Sheet1!CF195-Sheet1!CF194)*7.48/1000000)</f>
        <v>1.5488265410498134</v>
      </c>
      <c r="H193" s="95">
        <f ca="1">IF(B193=TODAY(),0,-$H$6*(Sheet1!CE195-Sheet1!CE194)*7.48/1000000)</f>
        <v>9.0236594107590579E-2</v>
      </c>
      <c r="I193" s="95">
        <f ca="1">IF(B193=TODAY(),0,-$I$6*(Sheet1!CG195-Sheet1!CG194)*7.48/1000000)</f>
        <v>0.11231220000000001</v>
      </c>
      <c r="J193" s="96" t="s">
        <v>186</v>
      </c>
      <c r="K193" s="95">
        <f ca="1">IF(B193=TODAY(),0,-$K$6*(Sheet1!CH195-Sheet1!CH194)*7.48/1000000)</f>
        <v>0.18657297048483643</v>
      </c>
      <c r="L193" s="96" t="s">
        <v>186</v>
      </c>
      <c r="M193" s="95">
        <f ca="1">IF(B193=TODAY(),0,-$M$6*(Sheet1!CI195-Sheet1!CI194)*7.48/1000000)</f>
        <v>0.44978771070067619</v>
      </c>
      <c r="N193" s="95">
        <f ca="1">IF(B193=TODAY(),0,-$N$6*(Sheet1!CJ195-Sheet1!CJ194)*7.48/1000000)</f>
        <v>0.37231407236774317</v>
      </c>
      <c r="O193" s="95">
        <f t="shared" ca="1" si="21"/>
        <v>4.0036933512842579</v>
      </c>
      <c r="P193" s="95">
        <f ca="1">O193+Calculation!ES193</f>
        <v>6.7744142774428688</v>
      </c>
      <c r="Q193" s="90" t="str">
        <f>IF(Sheet1!BQ195&gt;25.75,"spill elevation","-")</f>
        <v>-</v>
      </c>
      <c r="R193" s="90" t="str">
        <f>IF(Sheet1!BQ195&gt;25.75,"spill elevation","-")</f>
        <v>-</v>
      </c>
      <c r="S193" s="90" t="str">
        <f>IF(Sheet1!BR195&gt;25.75,"spill elevation","-")</f>
        <v>-</v>
      </c>
      <c r="T193" s="94">
        <f>IF(Sheet1!DU195=1,Sheet1!AA195-(SUM(AT193:BA193)+BE193),Sheet1!AA195-SUM(AT193:BA193))</f>
        <v>38.161391999999999</v>
      </c>
      <c r="U193" s="94">
        <f>Sheet1!BV195</f>
        <v>47.6</v>
      </c>
      <c r="V193" s="94">
        <f t="shared" si="22"/>
        <v>-9.4386080000000021</v>
      </c>
      <c r="W193" s="94">
        <f>0</f>
        <v>0</v>
      </c>
      <c r="X193" s="90">
        <f>0</f>
        <v>0</v>
      </c>
      <c r="Y193" s="95">
        <f ca="1">Calculation!EJ194+Calculation!ES193+'Calculations II'!O193-'Calculations II'!W193</f>
        <v>87.054414277442874</v>
      </c>
      <c r="Z193" s="95">
        <f ca="1">Y193-Sheet1!CT196</f>
        <v>70.038414277442882</v>
      </c>
      <c r="AA193" s="95">
        <f ca="1">Y193+Calculation!DJ194+Calculation!AS194</f>
        <v>102.3142435197054</v>
      </c>
      <c r="AC193" s="95">
        <f>Sheet1!AA195+Sheet1!AB195+BC193</f>
        <v>80.400000000000006</v>
      </c>
      <c r="AD193" s="95">
        <f>Sheet1!AA195+Sheet1!BN195+'Calculations II'!BC193-Calculation!AS193-Calculation!DJ193</f>
        <v>50.470890052356019</v>
      </c>
      <c r="AE193" s="95">
        <f>Sheet1!AA195+Sheet1!AB195+'Calculations II'!BC193-Calculation!AS193-Calculation!DJ193</f>
        <v>65.370890052356032</v>
      </c>
      <c r="AF193" s="95">
        <f ca="1">Sheet1!AA195+Sheet1!BN195+P193+'Calculations II'!BC193+Calculation!AS193+Calculation!DJ193</f>
        <v>87.303524225086846</v>
      </c>
      <c r="AG193" s="95">
        <f ca="1">IF(B193=TODAY(),0,Sheet1!AA195+Sheet1!BN195+'Calculations II'!BC193+'Calculations II'!P193-Sheet1!CT195-BP193)</f>
        <v>54.507414277442876</v>
      </c>
      <c r="AH193" s="95">
        <f ca="1">IF(B193=TODAY(),0,Sheet1!AA195+Sheet1!BN195+'Calculations II'!BC193+'Calculations II'!P193-BP193)</f>
        <v>72.274414277442872</v>
      </c>
      <c r="AI193" s="95">
        <f ca="1">IF(B193=TODAY(),0,BC193+Sheet1!AA195+Calculation!ES193+O193+W193+Sheet1!BN195+Calculation!AS193+Calculation!DJ193-BP193)</f>
        <v>87.303524225086846</v>
      </c>
      <c r="AJ193" s="95"/>
      <c r="AM193" s="91">
        <f t="shared" si="23"/>
        <v>41821</v>
      </c>
      <c r="AN193" s="95">
        <f>Sheet1!BU195</f>
        <v>40.1</v>
      </c>
      <c r="AO193" s="95">
        <f>Sheet1!AA195</f>
        <v>42.4</v>
      </c>
      <c r="AP193" s="95">
        <f t="shared" si="18"/>
        <v>-2.6730499999999999</v>
      </c>
      <c r="AQ193" s="1055">
        <f>((Sheet1!BV195-(Sheet1!BU195-AP193))/(Sheet1!BU195-AP193))</f>
        <v>0.11285026436038589</v>
      </c>
      <c r="AR193" s="95">
        <f t="shared" si="19"/>
        <v>45.073049999999995</v>
      </c>
      <c r="AS193" s="95">
        <f t="shared" si="20"/>
        <v>42.773049999999998</v>
      </c>
      <c r="AT193" s="90">
        <f>Sheet1!BB195</f>
        <v>1.56</v>
      </c>
      <c r="AU193" s="90">
        <f>Sheet1!AS195*GPMtoMGD</f>
        <v>3.0384000000000005E-2</v>
      </c>
      <c r="AV193" s="95">
        <f>Sheet1!AT195</f>
        <v>0.01</v>
      </c>
      <c r="AW193" s="90">
        <f>Sheet1!AV195*GPMtoMGD</f>
        <v>0.98208000000000006</v>
      </c>
      <c r="AX193" s="90">
        <f>Sheet1!AW195*GPMtoMGD</f>
        <v>1.6084800000000001</v>
      </c>
      <c r="AY193" s="90">
        <f>Sheet1!AX195*GPMtoMGD</f>
        <v>4.7664000000000005E-2</v>
      </c>
      <c r="AZ193" s="90">
        <f>Sheet1!AY195*GPMtoMGD</f>
        <v>0</v>
      </c>
      <c r="BA193" s="90">
        <f>Sheet1!AZ195*GPMtoMGD</f>
        <v>0</v>
      </c>
      <c r="BB193" s="90">
        <f>Sheet1!BP195*GPMtoMGD</f>
        <v>0</v>
      </c>
      <c r="BC193" s="90">
        <f>Sheet1!CS195*GPMtoMGD</f>
        <v>0</v>
      </c>
      <c r="BD193" s="90">
        <f>Sheet1!BO195*GPMtoMGD</f>
        <v>3.3189120000000005</v>
      </c>
      <c r="BE193" s="90">
        <f>Sheet1!BW195*GPMtoMGD</f>
        <v>1.6142400000000001</v>
      </c>
      <c r="BF193" s="90">
        <f>Sheet1!CN195*GPMtoMGD</f>
        <v>1.7280000000000002</v>
      </c>
      <c r="BG193" s="90">
        <f>Sheet1!CO195*GPMtoMGD</f>
        <v>1.6308</v>
      </c>
      <c r="BH193" s="90">
        <f>Sheet1!CP195*GPMtoMGD</f>
        <v>1.0176480000000001</v>
      </c>
      <c r="BI193" s="90">
        <f t="shared" si="24"/>
        <v>3.3189120000000005</v>
      </c>
      <c r="BK193" s="95">
        <f>SUM(AT193:BA193,BE193,Sheet1!BV195,'Calculations II'!BC193,Calculation!AQ193)</f>
        <v>76.431905591623035</v>
      </c>
      <c r="BM193" s="373">
        <f>0</f>
        <v>0</v>
      </c>
      <c r="BN193" s="373">
        <f>0</f>
        <v>0</v>
      </c>
      <c r="BP193" s="95">
        <f>SUM(BM193:BN193,W193,Sheet1!DX195)</f>
        <v>0</v>
      </c>
    </row>
    <row r="194" spans="1:68" s="90" customFormat="1">
      <c r="A194" s="651" t="s">
        <v>6</v>
      </c>
      <c r="B194" s="92">
        <v>41822</v>
      </c>
      <c r="C194" s="93">
        <v>0</v>
      </c>
      <c r="D194" s="95">
        <f>(Sheet1!BQ196-Sheet1!BQ195)*1.385</f>
        <v>-3.7949000000000028</v>
      </c>
      <c r="E194" s="30">
        <f>(Sheet1!BR196-Sheet1!BR195)*1.385</f>
        <v>-3.7949000000000028</v>
      </c>
      <c r="F194" s="30">
        <f ca="1">IF(B194=TODAY(),0,-(VLOOKUP(Sheet1!CD196,Lookup!$I$4:$J$216,2)-VLOOKUP(Sheet1!CD195,Lookup!$I$4:$J$216,2))/1000000)</f>
        <v>0.10363693854780681</v>
      </c>
      <c r="G194" s="95">
        <f ca="1">IF(B194=TODAY(),0,-$G$6*(Sheet1!CF196-Sheet1!CF195)*7.48/1000000)</f>
        <v>-1.350259035787017</v>
      </c>
      <c r="H194" s="95">
        <f ca="1">IF(B194=TODAY(),0,-$H$6*(Sheet1!CE196-Sheet1!CE195)*7.48/1000000)</f>
        <v>-3.0078864702529479E-2</v>
      </c>
      <c r="I194" s="95">
        <f ca="1">IF(B194=TODAY(),0,-$I$6*(Sheet1!CG196-Sheet1!CG195)*7.48/1000000)</f>
        <v>-8.9849760000000074E-3</v>
      </c>
      <c r="J194" s="96" t="s">
        <v>186</v>
      </c>
      <c r="K194" s="95">
        <f ca="1">IF(B194=TODAY(),0,-$K$6*(Sheet1!CH196-Sheet1!CH195)*7.48/1000000)</f>
        <v>-6.6633203744584186E-3</v>
      </c>
      <c r="L194" s="96" t="s">
        <v>186</v>
      </c>
      <c r="M194" s="95">
        <f ca="1">IF(B194=TODAY(),0,-$M$6*(Sheet1!CI196-Sheet1!CI195)*7.48/1000000)</f>
        <v>-5.3974525284080956E-2</v>
      </c>
      <c r="N194" s="95">
        <f ca="1">IF(B194=TODAY(),0,-$N$6*(Sheet1!CJ196-Sheet1!CJ195)*7.48/1000000)</f>
        <v>0.12410469078924735</v>
      </c>
      <c r="O194" s="95">
        <f t="shared" ca="1" si="21"/>
        <v>-1.2222190928110315</v>
      </c>
      <c r="P194" s="95">
        <f ca="1">O194+Calculation!ES194</f>
        <v>6.2523259461785683</v>
      </c>
      <c r="Q194" s="90" t="str">
        <f>IF(Sheet1!BQ196&gt;25.75,"spill elevation","-")</f>
        <v>-</v>
      </c>
      <c r="R194" s="90" t="str">
        <f>IF(Sheet1!BQ196&gt;25.75,"spill elevation","-")</f>
        <v>-</v>
      </c>
      <c r="S194" s="90" t="str">
        <f>IF(Sheet1!BR196&gt;25.75,"spill elevation","-")</f>
        <v>-</v>
      </c>
      <c r="T194" s="94">
        <f>IF(Sheet1!DU196=1,Sheet1!AA196-(SUM(AT194:BA194)+BE194),Sheet1!AA196-SUM(AT194:BA194))</f>
        <v>38.030383999999998</v>
      </c>
      <c r="U194" s="94">
        <f>Sheet1!BV196</f>
        <v>52.8</v>
      </c>
      <c r="V194" s="94">
        <f t="shared" si="22"/>
        <v>-14.769615999999999</v>
      </c>
      <c r="W194" s="94">
        <f>0</f>
        <v>0</v>
      </c>
      <c r="X194" s="90">
        <f>0</f>
        <v>0</v>
      </c>
      <c r="Y194" s="95">
        <f ca="1">Calculation!EJ195+Calculation!ES194+'Calculations II'!O194-'Calculations II'!W194</f>
        <v>90.742325946178582</v>
      </c>
      <c r="Z194" s="95">
        <f ca="1">Y194-Sheet1!CT197</f>
        <v>73.460325946178585</v>
      </c>
      <c r="AA194" s="95">
        <f ca="1">Y194+Calculation!DJ195+Calculation!AS195</f>
        <v>106.00467579063897</v>
      </c>
      <c r="AC194" s="95">
        <f>Sheet1!AA196+Sheet1!AB196+BC194</f>
        <v>80.28</v>
      </c>
      <c r="AD194" s="95">
        <f>Sheet1!AA196+Sheet1!BN196+'Calculations II'!BC194-Calculation!AS194-Calculation!DJ194</f>
        <v>49.440170757737448</v>
      </c>
      <c r="AE194" s="95">
        <f>Sheet1!AA196+Sheet1!AB196+'Calculations II'!BC194-Calculation!AS194-Calculation!DJ194</f>
        <v>65.020170757737475</v>
      </c>
      <c r="AF194" s="95">
        <f ca="1">Sheet1!AA196+Sheet1!BN196+P194+'Calculations II'!BC194+Calculation!AS194+Calculation!DJ194</f>
        <v>86.212155188441102</v>
      </c>
      <c r="AG194" s="95">
        <f ca="1">IF(B194=TODAY(),0,Sheet1!AA196+Sheet1!BN196+'Calculations II'!BC194+'Calculations II'!P194-Sheet1!CT196-BP194)</f>
        <v>53.936325946178563</v>
      </c>
      <c r="AH194" s="95">
        <f ca="1">IF(B194=TODAY(),0,Sheet1!AA196+Sheet1!BN196+'Calculations II'!BC194+'Calculations II'!P194-BP194)</f>
        <v>70.952325946178561</v>
      </c>
      <c r="AI194" s="95">
        <f ca="1">IF(B194=TODAY(),0,BC194+Sheet1!AA196+Calculation!ES194+O194+W194+Sheet1!BN196+Calculation!AS194+Calculation!DJ194-BP194)</f>
        <v>86.212155188441102</v>
      </c>
      <c r="AJ194" s="95"/>
      <c r="AM194" s="91">
        <f t="shared" si="23"/>
        <v>41822</v>
      </c>
      <c r="AN194" s="95">
        <f>Sheet1!BU196</f>
        <v>40.700000000000003</v>
      </c>
      <c r="AO194" s="95">
        <f>Sheet1!AA196</f>
        <v>42.3</v>
      </c>
      <c r="AP194" s="95">
        <f t="shared" si="18"/>
        <v>-7.5898000000000057</v>
      </c>
      <c r="AQ194" s="1055">
        <f>((Sheet1!BV196-(Sheet1!BU196-AP194))/(Sheet1!BU196-AP194))</f>
        <v>9.3398605916777247E-2</v>
      </c>
      <c r="AR194" s="95">
        <f t="shared" si="19"/>
        <v>49.889800000000001</v>
      </c>
      <c r="AS194" s="95">
        <f t="shared" si="20"/>
        <v>48.289800000000007</v>
      </c>
      <c r="AT194" s="90">
        <f>Sheet1!BB196</f>
        <v>1.6</v>
      </c>
      <c r="AU194" s="90">
        <f>Sheet1!AS196*GPMtoMGD</f>
        <v>2.3184000000000003E-2</v>
      </c>
      <c r="AV194" s="95">
        <f>Sheet1!AT196</f>
        <v>0</v>
      </c>
      <c r="AW194" s="90">
        <f>Sheet1!AV196*GPMtoMGD</f>
        <v>1.3602240000000001</v>
      </c>
      <c r="AX194" s="90">
        <f>Sheet1!AW196*GPMtoMGD</f>
        <v>1.208304</v>
      </c>
      <c r="AY194" s="90">
        <f>Sheet1!AX196*GPMtoMGD</f>
        <v>7.7904000000000001E-2</v>
      </c>
      <c r="AZ194" s="90">
        <f>Sheet1!AY196*GPMtoMGD</f>
        <v>0</v>
      </c>
      <c r="BA194" s="90">
        <f>Sheet1!AZ196*GPMtoMGD</f>
        <v>0</v>
      </c>
      <c r="BB194" s="90">
        <f>Sheet1!BP196*GPMtoMGD</f>
        <v>0</v>
      </c>
      <c r="BC194" s="90">
        <f>Sheet1!CS196*GPMtoMGD</f>
        <v>0</v>
      </c>
      <c r="BD194" s="90">
        <f>Sheet1!BO196*GPMtoMGD</f>
        <v>3.7523520000000006</v>
      </c>
      <c r="BE194" s="90">
        <f>Sheet1!BW196*GPMtoMGD</f>
        <v>1.6807680000000003</v>
      </c>
      <c r="BF194" s="90">
        <f>Sheet1!CN196*GPMtoMGD</f>
        <v>1.7280000000000002</v>
      </c>
      <c r="BG194" s="90">
        <f>Sheet1!CO196*GPMtoMGD</f>
        <v>1.5127200000000001</v>
      </c>
      <c r="BH194" s="90">
        <f>Sheet1!CP196*GPMtoMGD</f>
        <v>1.0487519999999999</v>
      </c>
      <c r="BI194" s="90">
        <f t="shared" si="24"/>
        <v>3.7523520000000006</v>
      </c>
      <c r="BK194" s="95">
        <f>SUM(AT194:BA194,BE194,Sheet1!BV196,'Calculations II'!BC194,Calculation!AQ194)</f>
        <v>81.449210040554959</v>
      </c>
      <c r="BM194" s="373">
        <f>0</f>
        <v>0</v>
      </c>
      <c r="BN194" s="373">
        <f>0</f>
        <v>0</v>
      </c>
      <c r="BP194" s="95">
        <f>SUM(BM194:BN194,W194,Sheet1!DX196)</f>
        <v>0</v>
      </c>
    </row>
    <row r="195" spans="1:68" s="90" customFormat="1">
      <c r="A195" s="651" t="s">
        <v>7</v>
      </c>
      <c r="B195" s="92">
        <v>41823</v>
      </c>
      <c r="C195" s="93">
        <v>0</v>
      </c>
      <c r="D195" s="95">
        <f>(Sheet1!BQ197-Sheet1!BQ196)*1.385</f>
        <v>0.76175000000000104</v>
      </c>
      <c r="E195" s="30">
        <f>(Sheet1!BR197-Sheet1!BR196)*1.385</f>
        <v>0.80330000000000257</v>
      </c>
      <c r="F195" s="30">
        <f ca="1">IF(B195=TODAY(),0,-(VLOOKUP(Sheet1!CD197,Lookup!$I$4:$J$216,2)-VLOOKUP(Sheet1!CD196,Lookup!$I$4:$J$216,2))/1000000)</f>
        <v>-0.31091081564340556</v>
      </c>
      <c r="G195" s="95">
        <f ca="1">IF(B195=TODAY(),0,-$G$6*(Sheet1!CF197-Sheet1!CF196)*7.48/1000000)</f>
        <v>1.3899725368395754</v>
      </c>
      <c r="H195" s="95">
        <f ca="1">IF(B195=TODAY(),0,-$H$6*(Sheet1!CE197-Sheet1!CE196)*7.48/1000000)</f>
        <v>0</v>
      </c>
      <c r="I195" s="95">
        <f ca="1">IF(B195=TODAY(),0,-$I$6*(Sheet1!CG197-Sheet1!CG196)*7.48/1000000)</f>
        <v>-0.148252104</v>
      </c>
      <c r="J195" s="96" t="s">
        <v>186</v>
      </c>
      <c r="K195" s="95">
        <f ca="1">IF(B195=TODAY(),0,-$K$6*(Sheet1!CH197-Sheet1!CH196)*7.48/1000000)</f>
        <v>-0.25986949460387926</v>
      </c>
      <c r="L195" s="96" t="s">
        <v>186</v>
      </c>
      <c r="M195" s="95">
        <f ca="1">IF(B195=TODAY(),0,-$M$6*(Sheet1!CI197-Sheet1!CI196)*7.48/1000000)</f>
        <v>-0.68367732026502759</v>
      </c>
      <c r="N195" s="95">
        <f ca="1">IF(B195=TODAY(),0,-$N$6*(Sheet1!CJ197-Sheet1!CJ196)*7.48/1000000)</f>
        <v>-0.24820938157849581</v>
      </c>
      <c r="O195" s="95">
        <f t="shared" ca="1" si="21"/>
        <v>-0.26094657925123277</v>
      </c>
      <c r="P195" s="95">
        <f ca="1">O195+Calculation!ES195</f>
        <v>-1.9211493887931845</v>
      </c>
      <c r="Q195" s="90" t="str">
        <f>IF(Sheet1!BQ197&gt;25.75,"spill elevation","-")</f>
        <v>-</v>
      </c>
      <c r="R195" s="90" t="str">
        <f>IF(Sheet1!BQ197&gt;25.75,"spill elevation","-")</f>
        <v>-</v>
      </c>
      <c r="S195" s="90" t="str">
        <f>IF(Sheet1!BR197&gt;25.75,"spill elevation","-")</f>
        <v>-</v>
      </c>
      <c r="T195" s="94">
        <f>IF(Sheet1!DU197=1,Sheet1!AA197-(SUM(AT195:BA195)+BE195),Sheet1!AA197-SUM(AT195:BA195))</f>
        <v>37.569872000000004</v>
      </c>
      <c r="U195" s="94">
        <f>Sheet1!BV197</f>
        <v>43.2</v>
      </c>
      <c r="V195" s="94">
        <f t="shared" si="22"/>
        <v>-5.6301279999999991</v>
      </c>
      <c r="W195" s="94">
        <f>0</f>
        <v>0</v>
      </c>
      <c r="X195" s="90">
        <f>0</f>
        <v>0</v>
      </c>
      <c r="Y195" s="95">
        <f ca="1">Calculation!EJ196+Calculation!ES195+'Calculations II'!O195-'Calculations II'!W195</f>
        <v>85.608850611206805</v>
      </c>
      <c r="Z195" s="95">
        <f ca="1">Y195-Sheet1!CT198</f>
        <v>68.828850611206803</v>
      </c>
      <c r="AA195" s="95">
        <f ca="1">Y195+Calculation!DJ196+Calculation!AS196</f>
        <v>101.997389839642</v>
      </c>
      <c r="AC195" s="95">
        <f>Sheet1!AA197+Sheet1!AB197+BC195</f>
        <v>84.490000000000009</v>
      </c>
      <c r="AD195" s="95">
        <f>Sheet1!AA197+Sheet1!BN197+'Calculations II'!BC195-Calculation!AS195-Calculation!DJ195</f>
        <v>53.387650155539617</v>
      </c>
      <c r="AE195" s="95">
        <f>Sheet1!AA197+Sheet1!AB197+'Calculations II'!BC195-Calculation!AS195-Calculation!DJ195</f>
        <v>69.227650155539621</v>
      </c>
      <c r="AF195" s="95">
        <f ca="1">Sheet1!AA197+Sheet1!BN197+P195+'Calculations II'!BC195+Calculation!AS195+Calculation!DJ195</f>
        <v>81.991200455667212</v>
      </c>
      <c r="AG195" s="95">
        <f ca="1">IF(B195=TODAY(),0,Sheet1!AA197+Sheet1!BN197+'Calculations II'!BC195+'Calculations II'!P195-Sheet1!CT197-BP195)</f>
        <v>49.446850611206827</v>
      </c>
      <c r="AH195" s="95">
        <f ca="1">IF(B195=TODAY(),0,Sheet1!AA197+Sheet1!BN197+'Calculations II'!BC195+'Calculations II'!P195-BP195)</f>
        <v>66.728850611206823</v>
      </c>
      <c r="AI195" s="95">
        <f ca="1">IF(B195=TODAY(),0,BC195+Sheet1!AA197+Calculation!ES195+O195+W195+Sheet1!BN197+Calculation!AS195+Calculation!DJ195-BP195)</f>
        <v>81.991200455667212</v>
      </c>
      <c r="AJ195" s="95"/>
      <c r="AM195" s="91">
        <f t="shared" si="23"/>
        <v>41823</v>
      </c>
      <c r="AN195" s="95">
        <f>Sheet1!BU197</f>
        <v>40.4</v>
      </c>
      <c r="AO195" s="95">
        <f>Sheet1!AA197</f>
        <v>41.85</v>
      </c>
      <c r="AP195" s="95">
        <f t="shared" si="18"/>
        <v>1.5650500000000036</v>
      </c>
      <c r="AQ195" s="1055">
        <f>((Sheet1!BV197-(Sheet1!BU197-AP195))/(Sheet1!BU197-AP195))</f>
        <v>0.11240004171500187</v>
      </c>
      <c r="AR195" s="95">
        <f t="shared" si="19"/>
        <v>40.284949999999995</v>
      </c>
      <c r="AS195" s="95">
        <f t="shared" si="20"/>
        <v>38.834949999999992</v>
      </c>
      <c r="AT195" s="90">
        <f>Sheet1!BB197</f>
        <v>1.6</v>
      </c>
      <c r="AU195" s="90">
        <f>Sheet1!AS197*GPMtoMGD</f>
        <v>3.3264000000000002E-2</v>
      </c>
      <c r="AV195" s="95">
        <f>Sheet1!AT197</f>
        <v>0</v>
      </c>
      <c r="AW195" s="90">
        <f>Sheet1!AV197*GPMtoMGD</f>
        <v>1.3006080000000002</v>
      </c>
      <c r="AX195" s="90">
        <f>Sheet1!AW197*GPMtoMGD</f>
        <v>1.2926880000000001</v>
      </c>
      <c r="AY195" s="90">
        <f>Sheet1!AX197*GPMtoMGD</f>
        <v>5.3568000000000005E-2</v>
      </c>
      <c r="AZ195" s="90">
        <f>Sheet1!AY197*GPMtoMGD</f>
        <v>0</v>
      </c>
      <c r="BA195" s="90">
        <f>Sheet1!AZ197*GPMtoMGD</f>
        <v>0</v>
      </c>
      <c r="BB195" s="90">
        <f>Sheet1!BP197*GPMtoMGD</f>
        <v>0</v>
      </c>
      <c r="BC195" s="90">
        <f>Sheet1!CS197*GPMtoMGD</f>
        <v>0</v>
      </c>
      <c r="BD195" s="90">
        <f>Sheet1!BO197*GPMtoMGD</f>
        <v>4.1457600000000001</v>
      </c>
      <c r="BE195" s="90">
        <f>Sheet1!BW197*GPMtoMGD</f>
        <v>1.5785280000000002</v>
      </c>
      <c r="BF195" s="90">
        <f>Sheet1!CN197*GPMtoMGD</f>
        <v>1.7280000000000002</v>
      </c>
      <c r="BG195" s="90">
        <f>Sheet1!CO197*GPMtoMGD</f>
        <v>1.4490719999999999</v>
      </c>
      <c r="BH195" s="90">
        <f>Sheet1!CP197*GPMtoMGD</f>
        <v>0.95788800000000007</v>
      </c>
      <c r="BI195" s="90">
        <f t="shared" si="24"/>
        <v>4.1457600000000001</v>
      </c>
      <c r="BK195" s="95">
        <f>SUM(AT195:BA195,BE195,Sheet1!BV197,'Calculations II'!BC195,Calculation!AQ195)</f>
        <v>76.403762484804986</v>
      </c>
      <c r="BM195" s="373">
        <f>0</f>
        <v>0</v>
      </c>
      <c r="BN195" s="373">
        <f>0</f>
        <v>0</v>
      </c>
      <c r="BP195" s="95">
        <f>SUM(BM195:BN195,W195,Sheet1!DX197)</f>
        <v>0</v>
      </c>
    </row>
    <row r="196" spans="1:68" s="90" customFormat="1">
      <c r="A196" s="651" t="s">
        <v>8</v>
      </c>
      <c r="B196" s="92">
        <v>41824</v>
      </c>
      <c r="C196" s="93">
        <v>0</v>
      </c>
      <c r="D196" s="95">
        <f>(Sheet1!BQ198-Sheet1!BQ197)*1.385</f>
        <v>1.4126999999999994</v>
      </c>
      <c r="E196" s="30">
        <f>(Sheet1!BR198-Sheet1!BR197)*1.385</f>
        <v>1.3988499999999973</v>
      </c>
      <c r="F196" s="30">
        <f ca="1">IF(B196=TODAY(),0,-(VLOOKUP(Sheet1!CD198,Lookup!$I$4:$J$216,2)-VLOOKUP(Sheet1!CD197,Lookup!$I$4:$J$216,2))/1000000)</f>
        <v>-0.20727387709559872</v>
      </c>
      <c r="G196" s="95">
        <f ca="1">IF(B196=TODAY(),0,-$G$6*(Sheet1!CF198-Sheet1!CF197)*7.48/1000000)</f>
        <v>-1.4693995389446937</v>
      </c>
      <c r="H196" s="95">
        <f ca="1">IF(B196=TODAY(),0,-$H$6*(Sheet1!CE198-Sheet1!CE197)*7.48/1000000)</f>
        <v>-3.0078864702530548E-2</v>
      </c>
      <c r="I196" s="95">
        <f ca="1">IF(B196=TODAY(),0,-$I$6*(Sheet1!CG198-Sheet1!CG197)*7.48/1000000)</f>
        <v>3.0548918399999989E-2</v>
      </c>
      <c r="J196" s="96" t="s">
        <v>186</v>
      </c>
      <c r="K196" s="95">
        <f ca="1">IF(B196=TODAY(),0,-$K$6*(Sheet1!CH198-Sheet1!CH197)*7.48/1000000)</f>
        <v>5.6638223182896734E-2</v>
      </c>
      <c r="L196" s="96" t="s">
        <v>186</v>
      </c>
      <c r="M196" s="95">
        <f ca="1">IF(B196=TODAY(),0,-$M$6*(Sheet1!CI198-Sheet1!CI197)*7.48/1000000)</f>
        <v>0.15292782163822954</v>
      </c>
      <c r="N196" s="95">
        <f ca="1">IF(B196=TODAY(),0,-$N$6*(Sheet1!CJ198-Sheet1!CJ197)*7.48/1000000)</f>
        <v>-0.2792355542758071</v>
      </c>
      <c r="O196" s="95">
        <f t="shared" ca="1" si="21"/>
        <v>-1.7458728717975034</v>
      </c>
      <c r="P196" s="95">
        <f ca="1">O196+Calculation!ES196</f>
        <v>-4.5139024824166878</v>
      </c>
      <c r="Q196" s="90" t="str">
        <f>IF(Sheet1!BQ198&gt;25.75,"spill elevation","-")</f>
        <v>-</v>
      </c>
      <c r="R196" s="90" t="str">
        <f>IF(Sheet1!BQ198&gt;25.75,"spill elevation","-")</f>
        <v>-</v>
      </c>
      <c r="S196" s="90" t="str">
        <f>IF(Sheet1!BR198&gt;25.75,"spill elevation","-")</f>
        <v>-</v>
      </c>
      <c r="T196" s="94">
        <f>IF(Sheet1!DU198=1,Sheet1!AA198-(SUM(AT196:BA196)+BE196),Sheet1!AA198-SUM(AT196:BA196))</f>
        <v>37.161439999999999</v>
      </c>
      <c r="U196" s="94">
        <f>Sheet1!BV198</f>
        <v>41.3</v>
      </c>
      <c r="V196" s="94">
        <f t="shared" si="22"/>
        <v>-4.1385599999999982</v>
      </c>
      <c r="W196" s="94">
        <f>0</f>
        <v>0</v>
      </c>
      <c r="X196" s="90">
        <f>0</f>
        <v>0</v>
      </c>
      <c r="Y196" s="95">
        <f ca="1">Calculation!EJ197+Calculation!ES196+'Calculations II'!O196-'Calculations II'!W196</f>
        <v>82.986097517583318</v>
      </c>
      <c r="Z196" s="95">
        <f ca="1">Y196-Sheet1!CT199</f>
        <v>66.786097517583315</v>
      </c>
      <c r="AA196" s="95">
        <f ca="1">Y196+Calculation!DJ197+Calculation!AS197</f>
        <v>99.58718094120195</v>
      </c>
      <c r="AC196" s="95">
        <f>Sheet1!AA198+Sheet1!AB198+BC196</f>
        <v>87.53</v>
      </c>
      <c r="AD196" s="95">
        <f>Sheet1!AA198+Sheet1!BN198+'Calculations II'!BC196-Calculation!AS196-Calculation!DJ196</f>
        <v>54.861460771564808</v>
      </c>
      <c r="AE196" s="95">
        <f>Sheet1!AA198+Sheet1!AB198+'Calculations II'!BC196-Calculation!AS196-Calculation!DJ196</f>
        <v>71.141460771564809</v>
      </c>
      <c r="AF196" s="95">
        <f ca="1">Sheet1!AA198+Sheet1!BN198+P196+'Calculations II'!BC196+Calculation!AS196+Calculation!DJ196</f>
        <v>83.12463674601851</v>
      </c>
      <c r="AG196" s="95">
        <f ca="1">IF(B196=TODAY(),0,Sheet1!AA198+Sheet1!BN198+'Calculations II'!BC196+'Calculations II'!P196-Sheet1!CT198-BP196)</f>
        <v>49.956097517583316</v>
      </c>
      <c r="AH196" s="95">
        <f ca="1">IF(B196=TODAY(),0,Sheet1!AA198+Sheet1!BN198+'Calculations II'!BC196+'Calculations II'!P196-BP196)</f>
        <v>66.736097517583318</v>
      </c>
      <c r="AI196" s="95">
        <f ca="1">IF(B196=TODAY(),0,BC196+Sheet1!AA198+Calculation!ES196+O196+W196+Sheet1!BN198+Calculation!AS196+Calculation!DJ196-BP196)</f>
        <v>83.12463674601851</v>
      </c>
      <c r="AJ196" s="95"/>
      <c r="AM196" s="91">
        <f t="shared" si="23"/>
        <v>41824</v>
      </c>
      <c r="AN196" s="95">
        <f>Sheet1!BU198</f>
        <v>39.799999999999997</v>
      </c>
      <c r="AO196" s="95">
        <f>Sheet1!AA198</f>
        <v>41.55</v>
      </c>
      <c r="AP196" s="95">
        <f t="shared" si="18"/>
        <v>2.8115499999999969</v>
      </c>
      <c r="AQ196" s="1055">
        <f>((Sheet1!BV198-(Sheet1!BU198-AP196))/(Sheet1!BU198-AP196))</f>
        <v>0.11656476548760483</v>
      </c>
      <c r="AR196" s="95">
        <f t="shared" si="19"/>
        <v>38.73845</v>
      </c>
      <c r="AS196" s="95">
        <f t="shared" si="20"/>
        <v>36.98845</v>
      </c>
      <c r="AT196" s="90">
        <f>Sheet1!BB198</f>
        <v>1.6</v>
      </c>
      <c r="AU196" s="90">
        <f>Sheet1!AS198*GPMtoMGD</f>
        <v>3.6288000000000001E-2</v>
      </c>
      <c r="AV196" s="95">
        <f>Sheet1!AT198</f>
        <v>0</v>
      </c>
      <c r="AW196" s="90">
        <f>Sheet1!AV198*GPMtoMGD</f>
        <v>1.49688</v>
      </c>
      <c r="AX196" s="90">
        <f>Sheet1!AW198*GPMtoMGD</f>
        <v>1.1962080000000002</v>
      </c>
      <c r="AY196" s="90">
        <f>Sheet1!AX198*GPMtoMGD</f>
        <v>5.9184000000000007E-2</v>
      </c>
      <c r="AZ196" s="90">
        <f>Sheet1!AY198*GPMtoMGD</f>
        <v>0</v>
      </c>
      <c r="BA196" s="90">
        <f>Sheet1!AZ198*GPMtoMGD</f>
        <v>0</v>
      </c>
      <c r="BB196" s="90">
        <f>Sheet1!BP198*GPMtoMGD</f>
        <v>0</v>
      </c>
      <c r="BC196" s="90">
        <f>Sheet1!CS198*GPMtoMGD</f>
        <v>0</v>
      </c>
      <c r="BD196" s="90">
        <f>Sheet1!BO198*GPMtoMGD</f>
        <v>3.500928</v>
      </c>
      <c r="BE196" s="90">
        <f>Sheet1!BW198*GPMtoMGD</f>
        <v>1.6770240000000001</v>
      </c>
      <c r="BF196" s="90">
        <f>Sheet1!CN198*GPMtoMGD</f>
        <v>1.7280000000000002</v>
      </c>
      <c r="BG196" s="90">
        <f>Sheet1!CO198*GPMtoMGD</f>
        <v>1.4847839999999999</v>
      </c>
      <c r="BH196" s="90">
        <f>Sheet1!CP198*GPMtoMGD</f>
        <v>0.91555200000000003</v>
      </c>
      <c r="BI196" s="90">
        <f t="shared" si="24"/>
        <v>3.500928</v>
      </c>
      <c r="BK196" s="95">
        <f>SUM(AT196:BA196,BE196,Sheet1!BV198,'Calculations II'!BC196,Calculation!AQ196)</f>
        <v>76.962593102730807</v>
      </c>
      <c r="BM196" s="373">
        <f>0</f>
        <v>0</v>
      </c>
      <c r="BN196" s="373">
        <f>0</f>
        <v>0</v>
      </c>
      <c r="BP196" s="95">
        <f>SUM(BM196:BN196,W196,Sheet1!DX198)</f>
        <v>0</v>
      </c>
    </row>
    <row r="197" spans="1:68" s="90" customFormat="1">
      <c r="A197" s="651" t="s">
        <v>9</v>
      </c>
      <c r="B197" s="92">
        <v>41825</v>
      </c>
      <c r="C197" s="93">
        <v>0</v>
      </c>
      <c r="D197" s="95">
        <f>(Sheet1!BQ199-Sheet1!BQ198)*1.385</f>
        <v>3.7256500000000017</v>
      </c>
      <c r="E197" s="30">
        <f>(Sheet1!BR199-Sheet1!BR198)*1.385</f>
        <v>3.7533500000000011</v>
      </c>
      <c r="F197" s="30">
        <f ca="1">IF(B197=TODAY(),0,-(VLOOKUP(Sheet1!CD199,Lookup!$I$4:$J$216,2)-VLOOKUP(Sheet1!CD198,Lookup!$I$4:$J$216,2))/1000000)</f>
        <v>0.20727387709559872</v>
      </c>
      <c r="G197" s="95">
        <f ca="1">IF(B197=TODAY(),0,-$G$6*(Sheet1!CF199-Sheet1!CF198)*7.48/1000000)</f>
        <v>1.191405031576779</v>
      </c>
      <c r="H197" s="95">
        <f ca="1">IF(B197=TODAY(),0,-$H$6*(Sheet1!CE199-Sheet1!CE198)*7.48/1000000)</f>
        <v>6.0157729405060027E-2</v>
      </c>
      <c r="I197" s="95">
        <f ca="1">IF(B197=TODAY(),0,-$I$6*(Sheet1!CG199-Sheet1!CG198)*7.48/1000000)</f>
        <v>-1.2578966399999973E-2</v>
      </c>
      <c r="J197" s="96" t="s">
        <v>186</v>
      </c>
      <c r="K197" s="95">
        <f ca="1">IF(B197=TODAY(),0,-$K$6*(Sheet1!CH199-Sheet1!CH198)*7.48/1000000)</f>
        <v>-2.0656293160821206E-2</v>
      </c>
      <c r="L197" s="96" t="s">
        <v>186</v>
      </c>
      <c r="M197" s="95">
        <f ca="1">IF(B197=TODAY(),0,-$M$6*(Sheet1!CI199-Sheet1!CI198)*7.48/1000000)</f>
        <v>8.9957542140136505E-3</v>
      </c>
      <c r="N197" s="95">
        <f ca="1">IF(B197=TODAY(),0,-$N$6*(Sheet1!CJ199-Sheet1!CJ198)*7.48/1000000)</f>
        <v>0</v>
      </c>
      <c r="O197" s="95">
        <f t="shared" ca="1" si="21"/>
        <v>1.4345971327306299</v>
      </c>
      <c r="P197" s="95">
        <f ca="1">O197+Calculation!ES197</f>
        <v>-6.0454843267971974</v>
      </c>
      <c r="Q197" s="90" t="str">
        <f>IF(Sheet1!BQ199&gt;25.75,"spill elevation","-")</f>
        <v>-</v>
      </c>
      <c r="R197" s="90" t="str">
        <f>IF(Sheet1!BQ199&gt;25.75,"spill elevation","-")</f>
        <v>-</v>
      </c>
      <c r="S197" s="90" t="str">
        <f>IF(Sheet1!BR199&gt;25.75,"spill elevation","-")</f>
        <v>-</v>
      </c>
      <c r="T197" s="94">
        <f>IF(Sheet1!DU199=1,Sheet1!AA199-(SUM(AT197:BA197)+BE197),Sheet1!AA199-SUM(AT197:BA197))</f>
        <v>37.615008000000003</v>
      </c>
      <c r="U197" s="94">
        <f>Sheet1!BV199</f>
        <v>36.9</v>
      </c>
      <c r="V197" s="94">
        <f t="shared" si="22"/>
        <v>0.71500800000000453</v>
      </c>
      <c r="W197" s="94">
        <f>0</f>
        <v>0</v>
      </c>
      <c r="X197" s="90">
        <f>0</f>
        <v>0</v>
      </c>
      <c r="Y197" s="95">
        <f ca="1">Calculation!EJ198+Calculation!ES197+'Calculations II'!O197-'Calculations II'!W197</f>
        <v>80.0545156732028</v>
      </c>
      <c r="Z197" s="95">
        <f ca="1">Y197-Sheet1!CT200</f>
        <v>63.384515673202799</v>
      </c>
      <c r="AA197" s="95">
        <f ca="1">Y197+Calculation!DJ198+Calculation!AS198</f>
        <v>96.673627382489471</v>
      </c>
      <c r="AC197" s="95">
        <f>Sheet1!AA199+Sheet1!AB199+BC197</f>
        <v>87.5</v>
      </c>
      <c r="AD197" s="95">
        <f>Sheet1!AA199+Sheet1!BN199+'Calculations II'!BC197-Calculation!AS197-Calculation!DJ197</f>
        <v>54.398916576381367</v>
      </c>
      <c r="AE197" s="95">
        <f>Sheet1!AA199+Sheet1!AB199+'Calculations II'!BC197-Calculation!AS197-Calculation!DJ197</f>
        <v>70.898916576381367</v>
      </c>
      <c r="AF197" s="95">
        <f ca="1">Sheet1!AA199+Sheet1!BN199+P197+'Calculations II'!BC197+Calculation!AS197+Calculation!DJ197</f>
        <v>81.555599096821439</v>
      </c>
      <c r="AG197" s="95">
        <f ca="1">IF(B197=TODAY(),0,Sheet1!AA199+Sheet1!BN199+'Calculations II'!BC197+'Calculations II'!P197-Sheet1!CT199-BP197)</f>
        <v>48.754515673202803</v>
      </c>
      <c r="AH197" s="95">
        <f ca="1">IF(B197=TODAY(),0,Sheet1!AA199+Sheet1!BN199+'Calculations II'!BC197+'Calculations II'!P197-BP197)</f>
        <v>64.954515673202806</v>
      </c>
      <c r="AI197" s="95">
        <f ca="1">IF(B197=TODAY(),0,BC197+Sheet1!AA199+Calculation!ES197+O197+W197+Sheet1!BN199+Calculation!AS197+Calculation!DJ197-BP197)</f>
        <v>81.555599096821439</v>
      </c>
      <c r="AJ197" s="95"/>
      <c r="AM197" s="91">
        <f t="shared" si="23"/>
        <v>41825</v>
      </c>
      <c r="AN197" s="95">
        <f>Sheet1!BU199</f>
        <v>40.200000000000003</v>
      </c>
      <c r="AO197" s="95">
        <f>Sheet1!AA199</f>
        <v>41.5</v>
      </c>
      <c r="AP197" s="95">
        <f t="shared" si="18"/>
        <v>7.4790000000000028</v>
      </c>
      <c r="AQ197" s="1055">
        <f>((Sheet1!BV199-(Sheet1!BU199-AP197))/(Sheet1!BU199-AP197))</f>
        <v>0.12771614559457212</v>
      </c>
      <c r="AR197" s="95">
        <f t="shared" si="19"/>
        <v>34.021000000000001</v>
      </c>
      <c r="AS197" s="95">
        <f t="shared" si="20"/>
        <v>32.721000000000004</v>
      </c>
      <c r="AT197" s="90">
        <f>Sheet1!BB199</f>
        <v>1.6</v>
      </c>
      <c r="AU197" s="90">
        <f>Sheet1!AS199*GPMtoMGD</f>
        <v>3.8159999999999999E-2</v>
      </c>
      <c r="AV197" s="95">
        <f>Sheet1!AT199</f>
        <v>0</v>
      </c>
      <c r="AW197" s="90">
        <f>Sheet1!AV199*GPMtoMGD</f>
        <v>1.289952</v>
      </c>
      <c r="AX197" s="90">
        <f>Sheet1!AW199*GPMtoMGD</f>
        <v>0.90964800000000012</v>
      </c>
      <c r="AY197" s="90">
        <f>Sheet1!AX199*GPMtoMGD</f>
        <v>4.7231999999999996E-2</v>
      </c>
      <c r="AZ197" s="90">
        <f>Sheet1!AY199*GPMtoMGD</f>
        <v>0</v>
      </c>
      <c r="BA197" s="90">
        <f>Sheet1!AZ199*GPMtoMGD</f>
        <v>0</v>
      </c>
      <c r="BB197" s="90">
        <f>Sheet1!BP199*GPMtoMGD</f>
        <v>0</v>
      </c>
      <c r="BC197" s="90">
        <f>Sheet1!CS199*GPMtoMGD</f>
        <v>0</v>
      </c>
      <c r="BD197" s="90">
        <f>Sheet1!BO199*GPMtoMGD</f>
        <v>3.5265600000000004</v>
      </c>
      <c r="BE197" s="90">
        <f>Sheet1!BW199*GPMtoMGD</f>
        <v>1.7064000000000001</v>
      </c>
      <c r="BF197" s="90">
        <f>Sheet1!CN199*GPMtoMGD</f>
        <v>1.7280000000000002</v>
      </c>
      <c r="BG197" s="90">
        <f>Sheet1!CO199*GPMtoMGD</f>
        <v>1.317312</v>
      </c>
      <c r="BH197" s="90">
        <f>Sheet1!CP199*GPMtoMGD</f>
        <v>0.91252800000000012</v>
      </c>
      <c r="BI197" s="90">
        <f t="shared" si="24"/>
        <v>3.5265600000000004</v>
      </c>
      <c r="BK197" s="95">
        <f>SUM(AT197:BA197,BE197,Sheet1!BV199,'Calculations II'!BC197,Calculation!AQ197)</f>
        <v>71.89550900975081</v>
      </c>
      <c r="BM197" s="373">
        <f>0</f>
        <v>0</v>
      </c>
      <c r="BN197" s="373">
        <f>0</f>
        <v>0</v>
      </c>
      <c r="BP197" s="95">
        <f>SUM(BM197:BN197,W197,Sheet1!DX199)</f>
        <v>0</v>
      </c>
    </row>
    <row r="198" spans="1:68" s="90" customFormat="1">
      <c r="A198" s="651" t="s">
        <v>3</v>
      </c>
      <c r="B198" s="92">
        <v>41826</v>
      </c>
      <c r="C198" s="93">
        <v>0</v>
      </c>
      <c r="D198" s="95">
        <f>(Sheet1!BQ200-Sheet1!BQ199)*1.385</f>
        <v>-1.0803000000000016</v>
      </c>
      <c r="E198" s="30">
        <f>(Sheet1!BR200-Sheet1!BR199)*1.385</f>
        <v>-1.1357000000000004</v>
      </c>
      <c r="F198" s="30">
        <f ca="1">IF(B198=TODAY(),0,-(VLOOKUP(Sheet1!CD200,Lookup!$I$4:$J$216,2)-VLOOKUP(Sheet1!CD199,Lookup!$I$4:$J$216,2))/1000000)</f>
        <v>0.82909550838240231</v>
      </c>
      <c r="G198" s="95">
        <f ca="1">IF(B198=TODAY(),0,-$G$6*(Sheet1!CF200-Sheet1!CF199)*7.48/1000000)</f>
        <v>0.29785125789419475</v>
      </c>
      <c r="H198" s="95">
        <f ca="1">IF(B198=TODAY(),0,-$H$6*(Sheet1!CE200-Sheet1!CE199)*7.48/1000000)</f>
        <v>9.0236594107590579E-2</v>
      </c>
      <c r="I198" s="95">
        <f ca="1">IF(B198=TODAY(),0,-$I$6*(Sheet1!CG200-Sheet1!CG199)*7.48/1000000)</f>
        <v>-2.9201172000000018E-2</v>
      </c>
      <c r="J198" s="96" t="s">
        <v>186</v>
      </c>
      <c r="K198" s="95">
        <f ca="1">IF(B198=TODAY(),0,-$K$6*(Sheet1!CH200-Sheet1!CH199)*7.48/1000000)</f>
        <v>-5.1307566883329978E-2</v>
      </c>
      <c r="L198" s="96" t="s">
        <v>186</v>
      </c>
      <c r="M198" s="95">
        <f ca="1">IF(B198=TODAY(),0,-$M$6*(Sheet1!CI200-Sheet1!CI199)*7.48/1000000)</f>
        <v>-0.19790659270829777</v>
      </c>
      <c r="N198" s="95">
        <f ca="1">IF(B198=TODAY(),0,-$N$6*(Sheet1!CJ200-Sheet1!CJ199)*7.48/1000000)</f>
        <v>0.57708681217000213</v>
      </c>
      <c r="O198" s="95">
        <f t="shared" ca="1" si="21"/>
        <v>1.5158548409625618</v>
      </c>
      <c r="P198" s="95">
        <f ca="1">O198+Calculation!ES198</f>
        <v>3.733149494236502</v>
      </c>
      <c r="Q198" s="90" t="str">
        <f>IF(Sheet1!BQ200&gt;25.75,"spill elevation","-")</f>
        <v>-</v>
      </c>
      <c r="R198" s="90" t="str">
        <f>IF(Sheet1!BQ200&gt;25.75,"spill elevation","-")</f>
        <v>-</v>
      </c>
      <c r="S198" s="90" t="str">
        <f>IF(Sheet1!BR200&gt;25.75,"spill elevation","-")</f>
        <v>-</v>
      </c>
      <c r="T198" s="94">
        <f>IF(Sheet1!DU200=1,Sheet1!AA200-(SUM(AT198:BA198)+BE198),Sheet1!AA200-SUM(AT198:BA198))</f>
        <v>36.898880000000005</v>
      </c>
      <c r="U198" s="94">
        <f>Sheet1!BV200</f>
        <v>46.1</v>
      </c>
      <c r="V198" s="94">
        <f t="shared" si="22"/>
        <v>-9.201119999999996</v>
      </c>
      <c r="W198" s="94">
        <f>0</f>
        <v>0</v>
      </c>
      <c r="X198" s="90">
        <f>0</f>
        <v>0</v>
      </c>
      <c r="Y198" s="95">
        <f ca="1">Calculation!EJ199+Calculation!ES198+'Calculations II'!O198-'Calculations II'!W198</f>
        <v>91.383149494236505</v>
      </c>
      <c r="Z198" s="95">
        <f ca="1">Y198-Sheet1!CT201</f>
        <v>74.573149494236503</v>
      </c>
      <c r="AA198" s="95">
        <f ca="1">Y198+Calculation!DJ199+Calculation!AS199</f>
        <v>108.59853148313961</v>
      </c>
      <c r="AC198" s="95">
        <f>Sheet1!AA200+Sheet1!AB200+BC198</f>
        <v>86.1</v>
      </c>
      <c r="AD198" s="95">
        <f>Sheet1!AA200+Sheet1!BN200+'Calculations II'!BC198-Calculation!AS198-Calculation!DJ198</f>
        <v>52.980888290713324</v>
      </c>
      <c r="AE198" s="95">
        <f>Sheet1!AA200+Sheet1!AB200+'Calculations II'!BC198-Calculation!AS198-Calculation!DJ198</f>
        <v>69.480888290713324</v>
      </c>
      <c r="AF198" s="95">
        <f ca="1">Sheet1!AA200+Sheet1!BN200+P198+'Calculations II'!BC198+Calculation!AS198+Calculation!DJ198</f>
        <v>89.952261203523165</v>
      </c>
      <c r="AG198" s="95">
        <f ca="1">IF(B198=TODAY(),0,Sheet1!AA200+Sheet1!BN200+'Calculations II'!BC198+'Calculations II'!P198-Sheet1!CT200-BP198)</f>
        <v>56.663149494236492</v>
      </c>
      <c r="AH198" s="95">
        <f ca="1">IF(B198=TODAY(),0,Sheet1!AA200+Sheet1!BN200+'Calculations II'!BC198+'Calculations II'!P198-BP198)</f>
        <v>73.333149494236494</v>
      </c>
      <c r="AI198" s="95">
        <f ca="1">IF(B198=TODAY(),0,BC198+Sheet1!AA200+Calculation!ES198+O198+W198+Sheet1!BN200+Calculation!AS198+Calculation!DJ198-BP198)</f>
        <v>89.952261203523165</v>
      </c>
      <c r="AJ198" s="95"/>
      <c r="AM198" s="91">
        <f t="shared" si="23"/>
        <v>41826</v>
      </c>
      <c r="AN198" s="95">
        <f>Sheet1!BU200</f>
        <v>39.5</v>
      </c>
      <c r="AO198" s="95">
        <f>Sheet1!AA200</f>
        <v>41.7</v>
      </c>
      <c r="AP198" s="95">
        <f t="shared" si="18"/>
        <v>-2.216000000000002</v>
      </c>
      <c r="AQ198" s="1055">
        <f>((Sheet1!BV200-(Sheet1!BU200-AP198))/(Sheet1!BU200-AP198))</f>
        <v>0.10509157157925017</v>
      </c>
      <c r="AR198" s="95">
        <f t="shared" si="19"/>
        <v>43.916000000000004</v>
      </c>
      <c r="AS198" s="95">
        <f t="shared" si="20"/>
        <v>41.716000000000001</v>
      </c>
      <c r="AT198" s="90">
        <f>Sheet1!BB200</f>
        <v>1.6</v>
      </c>
      <c r="AU198" s="90">
        <f>Sheet1!AS200*GPMtoMGD</f>
        <v>4.0320000000000002E-2</v>
      </c>
      <c r="AV198" s="95">
        <f>Sheet1!AT200</f>
        <v>0</v>
      </c>
      <c r="AW198" s="90">
        <f>Sheet1!AV200*GPMtoMGD</f>
        <v>1.8675360000000003</v>
      </c>
      <c r="AX198" s="90">
        <f>Sheet1!AW200*GPMtoMGD</f>
        <v>1.2117600000000002</v>
      </c>
      <c r="AY198" s="90">
        <f>Sheet1!AX200*GPMtoMGD</f>
        <v>8.1504000000000007E-2</v>
      </c>
      <c r="AZ198" s="90">
        <f>Sheet1!AY200*GPMtoMGD</f>
        <v>0</v>
      </c>
      <c r="BA198" s="90">
        <f>Sheet1!AZ200*GPMtoMGD</f>
        <v>0</v>
      </c>
      <c r="BB198" s="90">
        <f>Sheet1!BP200*GPMtoMGD</f>
        <v>0</v>
      </c>
      <c r="BC198" s="90">
        <f>Sheet1!CS200*GPMtoMGD</f>
        <v>0</v>
      </c>
      <c r="BD198" s="90">
        <f>Sheet1!BO200*GPMtoMGD</f>
        <v>4.3737120000000003</v>
      </c>
      <c r="BE198" s="90">
        <f>Sheet1!BW200*GPMtoMGD</f>
        <v>1.9550880000000002</v>
      </c>
      <c r="BF198" s="90">
        <f>Sheet1!CN200*GPMtoMGD</f>
        <v>1.7280000000000002</v>
      </c>
      <c r="BG198" s="90">
        <f>Sheet1!CO200*GPMtoMGD</f>
        <v>1.6338239999999999</v>
      </c>
      <c r="BH198" s="90">
        <f>Sheet1!CP200*GPMtoMGD</f>
        <v>0.99216000000000004</v>
      </c>
      <c r="BI198" s="90">
        <f t="shared" si="24"/>
        <v>4.3737120000000003</v>
      </c>
      <c r="BK198" s="95">
        <f>SUM(AT198:BA198,BE198,Sheet1!BV200,'Calculations II'!BC198,Calculation!AQ198)</f>
        <v>80.643556586810234</v>
      </c>
      <c r="BM198" s="373">
        <f>0</f>
        <v>0</v>
      </c>
      <c r="BN198" s="373">
        <f>0</f>
        <v>0</v>
      </c>
      <c r="BP198" s="95">
        <f>SUM(BM198:BN198,W198,Sheet1!DX200)</f>
        <v>0</v>
      </c>
    </row>
    <row r="199" spans="1:68" s="90" customFormat="1">
      <c r="A199" s="651" t="s">
        <v>4</v>
      </c>
      <c r="B199" s="92">
        <v>41827</v>
      </c>
      <c r="C199" s="93">
        <v>0</v>
      </c>
      <c r="D199" s="95">
        <f>(Sheet1!BQ201-Sheet1!BQ200)*1.385</f>
        <v>-2.2021499999999996</v>
      </c>
      <c r="E199" s="30">
        <f>(Sheet1!BR201-Sheet1!BR200)*1.385</f>
        <v>-2.1467499999999959</v>
      </c>
      <c r="F199" s="30">
        <f ca="1">IF(B199=TODAY(),0,-(VLOOKUP(Sheet1!CD201,Lookup!$I$4:$J$216,2)-VLOOKUP(Sheet1!CD200,Lookup!$I$4:$J$216,2))/1000000)</f>
        <v>-0.31091081564339806</v>
      </c>
      <c r="G199" s="95">
        <f ca="1">IF(B199=TODAY(),0,-$G$6*(Sheet1!CF201-Sheet1!CF200)*7.48/1000000)</f>
        <v>-0.69498626841978772</v>
      </c>
      <c r="H199" s="95">
        <f ca="1">IF(B199=TODAY(),0,-$H$6*(Sheet1!CE201-Sheet1!CE200)*7.48/1000000)</f>
        <v>0</v>
      </c>
      <c r="I199" s="95">
        <f ca="1">IF(B199=TODAY(),0,-$I$6*(Sheet1!CG201-Sheet1!CG200)*7.48/1000000)</f>
        <v>2.2462440000000318E-3</v>
      </c>
      <c r="J199" s="96" t="s">
        <v>186</v>
      </c>
      <c r="K199" s="95">
        <f ca="1">IF(B199=TODAY(),0,-$K$6*(Sheet1!CH201-Sheet1!CH200)*7.48/1000000)</f>
        <v>1.9989961123374903E-3</v>
      </c>
      <c r="L199" s="96" t="s">
        <v>186</v>
      </c>
      <c r="M199" s="95">
        <f ca="1">IF(B199=TODAY(),0,-$M$6*(Sheet1!CI201-Sheet1!CI200)*7.48/1000000)</f>
        <v>1.7991508428027301E-2</v>
      </c>
      <c r="N199" s="95">
        <f ca="1">IF(B199=TODAY(),0,-$N$6*(Sheet1!CJ201-Sheet1!CJ200)*7.48/1000000)</f>
        <v>-0.30405649243365723</v>
      </c>
      <c r="O199" s="95">
        <f t="shared" ca="1" si="21"/>
        <v>-1.2877168279564783</v>
      </c>
      <c r="P199" s="95">
        <f ca="1">O199+Calculation!ES199</f>
        <v>3.1444112323930504</v>
      </c>
      <c r="Q199" s="90" t="str">
        <f>IF(Sheet1!BQ201&gt;25.75,"spill elevation","-")</f>
        <v>-</v>
      </c>
      <c r="R199" s="90" t="str">
        <f>IF(Sheet1!BQ201&gt;25.75,"spill elevation","-")</f>
        <v>-</v>
      </c>
      <c r="S199" s="90" t="str">
        <f>IF(Sheet1!BR201&gt;25.75,"spill elevation","-")</f>
        <v>-</v>
      </c>
      <c r="T199" s="94">
        <f>IF(Sheet1!DU201=1,Sheet1!AA201-(SUM(AT199:BA199)+BE199),Sheet1!AA201-SUM(AT199:BA199))</f>
        <v>36.876367999999999</v>
      </c>
      <c r="U199" s="94">
        <f>Sheet1!BV201</f>
        <v>48.6</v>
      </c>
      <c r="V199" s="94">
        <f t="shared" si="22"/>
        <v>-11.723632000000002</v>
      </c>
      <c r="W199" s="94">
        <f>0</f>
        <v>0</v>
      </c>
      <c r="X199" s="90">
        <f>0</f>
        <v>0</v>
      </c>
      <c r="Y199" s="95">
        <f ca="1">Calculation!EJ200+Calculation!ES199+'Calculations II'!O199-'Calculations II'!W199</f>
        <v>93.29441123239306</v>
      </c>
      <c r="Z199" s="95">
        <f ca="1">Y199-Sheet1!CT202</f>
        <v>76.344411232393057</v>
      </c>
      <c r="AA199" s="95">
        <f ca="1">Y199+Calculation!DJ200+Calculation!AS200</f>
        <v>111.35679199147566</v>
      </c>
      <c r="AC199" s="95">
        <f>Sheet1!AA201+Sheet1!AB201+BC199</f>
        <v>87.65</v>
      </c>
      <c r="AD199" s="95">
        <f>Sheet1!AA201+Sheet1!BN201+'Calculations II'!BC199-Calculation!AS199-Calculation!DJ199</f>
        <v>53.504618011096888</v>
      </c>
      <c r="AE199" s="95">
        <f>Sheet1!AA201+Sheet1!AB201+'Calculations II'!BC199-Calculation!AS199-Calculation!DJ199</f>
        <v>70.434618011096902</v>
      </c>
      <c r="AF199" s="95">
        <f ca="1">Sheet1!AA201+Sheet1!BN201+P199+'Calculations II'!BC199+Calculation!AS199+Calculation!DJ199</f>
        <v>91.079793221296157</v>
      </c>
      <c r="AG199" s="95">
        <f ca="1">IF(B199=TODAY(),0,Sheet1!AA201+Sheet1!BN201+'Calculations II'!BC199+'Calculations II'!P199-Sheet1!CT201-BP199)</f>
        <v>57.054411232393051</v>
      </c>
      <c r="AH199" s="95">
        <f ca="1">IF(B199=TODAY(),0,Sheet1!AA201+Sheet1!BN201+'Calculations II'!BC199+'Calculations II'!P199-BP199)</f>
        <v>73.864411232393053</v>
      </c>
      <c r="AI199" s="95">
        <f ca="1">IF(B199=TODAY(),0,BC199+Sheet1!AA201+Calculation!ES199+O199+W199+Sheet1!BN201+Calculation!AS199+Calculation!DJ199-BP199)</f>
        <v>91.079793221296157</v>
      </c>
      <c r="AJ199" s="95"/>
      <c r="AM199" s="91">
        <f t="shared" si="23"/>
        <v>41827</v>
      </c>
      <c r="AN199" s="95">
        <f>Sheet1!BU201</f>
        <v>39.6</v>
      </c>
      <c r="AO199" s="95">
        <f>Sheet1!AA201</f>
        <v>41.22</v>
      </c>
      <c r="AP199" s="95">
        <f t="shared" si="18"/>
        <v>-4.3488999999999951</v>
      </c>
      <c r="AQ199" s="1055">
        <f>((Sheet1!BV201-(Sheet1!BU201-AP199))/(Sheet1!BU201-AP199))</f>
        <v>0.10582972497605189</v>
      </c>
      <c r="AR199" s="95">
        <f t="shared" si="19"/>
        <v>45.568899999999992</v>
      </c>
      <c r="AS199" s="95">
        <f t="shared" si="20"/>
        <v>43.948899999999995</v>
      </c>
      <c r="AT199" s="90">
        <f>Sheet1!BB201</f>
        <v>1.6</v>
      </c>
      <c r="AU199" s="90">
        <f>Sheet1!AS201*GPMtoMGD</f>
        <v>3.9024000000000003E-2</v>
      </c>
      <c r="AV199" s="95">
        <f>Sheet1!AT201</f>
        <v>0</v>
      </c>
      <c r="AW199" s="90">
        <f>Sheet1!AV201*GPMtoMGD</f>
        <v>1.666512</v>
      </c>
      <c r="AX199" s="90">
        <f>Sheet1!AW201*GPMtoMGD</f>
        <v>0.95112000000000008</v>
      </c>
      <c r="AY199" s="90">
        <f>Sheet1!AX201*GPMtoMGD</f>
        <v>8.6975999999999998E-2</v>
      </c>
      <c r="AZ199" s="90">
        <f>Sheet1!AY201*GPMtoMGD</f>
        <v>0</v>
      </c>
      <c r="BA199" s="90">
        <f>Sheet1!AZ201*GPMtoMGD</f>
        <v>0</v>
      </c>
      <c r="BB199" s="90">
        <f>Sheet1!BP201*GPMtoMGD</f>
        <v>3.8304000000000005E-2</v>
      </c>
      <c r="BC199" s="90">
        <f>Sheet1!CS201*GPMtoMGD</f>
        <v>0</v>
      </c>
      <c r="BD199" s="90">
        <f>Sheet1!BO201*GPMtoMGD</f>
        <v>4.0175999999999998</v>
      </c>
      <c r="BE199" s="90">
        <f>Sheet1!BW201*GPMtoMGD</f>
        <v>1.746432</v>
      </c>
      <c r="BF199" s="90">
        <f>Sheet1!CN201*GPMtoMGD</f>
        <v>1.7280000000000002</v>
      </c>
      <c r="BG199" s="90">
        <f>Sheet1!CO201*GPMtoMGD</f>
        <v>1.675152</v>
      </c>
      <c r="BH199" s="90">
        <f>Sheet1!CP201*GPMtoMGD</f>
        <v>1.0520640000000001</v>
      </c>
      <c r="BI199" s="90">
        <f t="shared" si="24"/>
        <v>4.055904</v>
      </c>
      <c r="BK199" s="95">
        <f>SUM(AT199:BA199,BE199,Sheet1!BV201,'Calculations II'!BC199,Calculation!AQ199)</f>
        <v>83.919364042680328</v>
      </c>
      <c r="BM199" s="373">
        <f>0</f>
        <v>0</v>
      </c>
      <c r="BN199" s="373">
        <f>0</f>
        <v>0</v>
      </c>
      <c r="BP199" s="95">
        <f>SUM(BM199:BN199,W199,Sheet1!DX201)</f>
        <v>0</v>
      </c>
    </row>
    <row r="200" spans="1:68" s="90" customFormat="1">
      <c r="A200" s="651" t="s">
        <v>5</v>
      </c>
      <c r="B200" s="92">
        <v>41828</v>
      </c>
      <c r="C200" s="93">
        <v>0</v>
      </c>
      <c r="D200" s="95">
        <f>(Sheet1!BQ202-Sheet1!BQ201)*1.385</f>
        <v>-1.5789000000000009</v>
      </c>
      <c r="E200" s="30">
        <f>(Sheet1!BR202-Sheet1!BR201)*1.385</f>
        <v>-1.6343000000000045</v>
      </c>
      <c r="F200" s="30">
        <f ca="1">IF(B200=TODAY(),0,-(VLOOKUP(Sheet1!CD202,Lookup!$I$4:$J$216,2)-VLOOKUP(Sheet1!CD201,Lookup!$I$4:$J$216,2))/1000000)</f>
        <v>0.72545856983459556</v>
      </c>
      <c r="G200" s="95">
        <f ca="1">IF(B200=TODAY(),0,-$G$6*(Sheet1!CF202-Sheet1!CF201)*7.48/1000000)</f>
        <v>-0.15885400421023663</v>
      </c>
      <c r="H200" s="95">
        <f ca="1">IF(B200=TODAY(),0,-$H$6*(Sheet1!CE202-Sheet1!CE201)*7.48/1000000)</f>
        <v>7.5197161756325293E-2</v>
      </c>
      <c r="I200" s="95">
        <f ca="1">IF(B200=TODAY(),0,-$I$6*(Sheet1!CG202-Sheet1!CG201)*7.48/1000000)</f>
        <v>4.4924880000000007E-2</v>
      </c>
      <c r="J200" s="96" t="s">
        <v>186</v>
      </c>
      <c r="K200" s="95">
        <f ca="1">IF(B200=TODAY(),0,-$K$6*(Sheet1!CH202-Sheet1!CH201)*7.48/1000000)</f>
        <v>7.3296524119042972E-2</v>
      </c>
      <c r="L200" s="96" t="s">
        <v>186</v>
      </c>
      <c r="M200" s="95">
        <f ca="1">IF(B200=TODAY(),0,-$M$6*(Sheet1!CI202-Sheet1!CI201)*7.48/1000000)</f>
        <v>0.17991508428027048</v>
      </c>
      <c r="N200" s="95">
        <f ca="1">IF(B200=TODAY(),0,-$N$6*(Sheet1!CJ202-Sheet1!CJ201)*7.48/1000000)</f>
        <v>0.49641876315699163</v>
      </c>
      <c r="O200" s="95">
        <f t="shared" ca="1" si="21"/>
        <v>1.4363569789369892</v>
      </c>
      <c r="P200" s="95">
        <f ca="1">O200+Calculation!ES200</f>
        <v>4.6199177681640018</v>
      </c>
      <c r="Q200" s="90" t="str">
        <f>IF(Sheet1!BQ202&gt;25.75,"spill elevation","-")</f>
        <v>-</v>
      </c>
      <c r="R200" s="90" t="str">
        <f>IF(Sheet1!BQ202&gt;25.75,"spill elevation","-")</f>
        <v>-</v>
      </c>
      <c r="S200" s="90" t="str">
        <f>IF(Sheet1!BR202&gt;25.75,"spill elevation","-")</f>
        <v>-</v>
      </c>
      <c r="T200" s="94">
        <f>IF(Sheet1!DU202=1,Sheet1!AA202-(SUM(AT200:BA200)+BE200),Sheet1!AA202-SUM(AT200:BA200))</f>
        <v>36.24624</v>
      </c>
      <c r="U200" s="94">
        <f>Sheet1!BV202</f>
        <v>46.9</v>
      </c>
      <c r="V200" s="94">
        <f t="shared" si="22"/>
        <v>-10.653759999999998</v>
      </c>
      <c r="W200" s="94">
        <f>0</f>
        <v>0</v>
      </c>
      <c r="X200" s="90">
        <f>0</f>
        <v>0</v>
      </c>
      <c r="Y200" s="95">
        <f ca="1">Calculation!EJ201+Calculation!ES200+'Calculations II'!O200-'Calculations II'!W200</f>
        <v>95.539917768164003</v>
      </c>
      <c r="Z200" s="95">
        <f ca="1">Y200-Sheet1!CT203</f>
        <v>78.329917768163995</v>
      </c>
      <c r="AA200" s="95">
        <f ca="1">Y200+Calculation!DJ201+Calculation!AS201</f>
        <v>113.59734201058825</v>
      </c>
      <c r="AC200" s="95">
        <f>Sheet1!AA202+Sheet1!AB202+BC200</f>
        <v>90.15</v>
      </c>
      <c r="AD200" s="95">
        <f>Sheet1!AA202+Sheet1!BN202+'Calculations II'!BC200-Calculation!AS200-Calculation!DJ200</f>
        <v>54.237619240917411</v>
      </c>
      <c r="AE200" s="95">
        <f>Sheet1!AA202+Sheet1!AB202+'Calculations II'!BC200-Calculation!AS200-Calculation!DJ200</f>
        <v>72.087619240917405</v>
      </c>
      <c r="AF200" s="95">
        <f ca="1">Sheet1!AA202+Sheet1!BN202+P200+'Calculations II'!BC200+Calculation!AS200+Calculation!DJ200</f>
        <v>94.982298527246613</v>
      </c>
      <c r="AG200" s="95">
        <f ca="1">IF(B200=TODAY(),0,Sheet1!AA202+Sheet1!BN202+'Calculations II'!BC200+'Calculations II'!P200-Sheet1!CT202-BP200)</f>
        <v>59.969917768164009</v>
      </c>
      <c r="AH200" s="95">
        <f ca="1">IF(B200=TODAY(),0,Sheet1!AA202+Sheet1!BN202+'Calculations II'!BC200+'Calculations II'!P200-BP200)</f>
        <v>76.919917768164012</v>
      </c>
      <c r="AI200" s="95">
        <f ca="1">IF(B200=TODAY(),0,BC200+Sheet1!AA202+Calculation!ES200+O200+W200+Sheet1!BN202+Calculation!AS200+Calculation!DJ200-BP200)</f>
        <v>94.982298527246613</v>
      </c>
      <c r="AJ200" s="95"/>
      <c r="AM200" s="91">
        <f t="shared" si="23"/>
        <v>41828</v>
      </c>
      <c r="AN200" s="95">
        <f>Sheet1!BU202</f>
        <v>39.61</v>
      </c>
      <c r="AO200" s="95">
        <f>Sheet1!AA202</f>
        <v>41.2</v>
      </c>
      <c r="AP200" s="95">
        <f t="shared" si="18"/>
        <v>-3.2132000000000054</v>
      </c>
      <c r="AQ200" s="1055">
        <f>((Sheet1!BV202-(Sheet1!BU202-AP200))/(Sheet1!BU202-AP200))</f>
        <v>9.5200732313325279E-2</v>
      </c>
      <c r="AR200" s="95">
        <f t="shared" si="19"/>
        <v>44.41320000000001</v>
      </c>
      <c r="AS200" s="95">
        <f>AN200-AP200</f>
        <v>42.823200000000007</v>
      </c>
      <c r="AT200" s="90">
        <f>Sheet1!BB202</f>
        <v>1.6</v>
      </c>
      <c r="AU200" s="90">
        <f>Sheet1!AS202*GPMtoMGD</f>
        <v>4.0320000000000002E-2</v>
      </c>
      <c r="AV200" s="95">
        <f>Sheet1!AT202</f>
        <v>0</v>
      </c>
      <c r="AW200" s="90">
        <f>Sheet1!AV202*GPMtoMGD</f>
        <v>1.9261440000000001</v>
      </c>
      <c r="AX200" s="90">
        <f>Sheet1!AW202*GPMtoMGD</f>
        <v>1.3141440000000002</v>
      </c>
      <c r="AY200" s="90">
        <f>Sheet1!AX202*GPMtoMGD</f>
        <v>7.3151999999999995E-2</v>
      </c>
      <c r="AZ200" s="90">
        <f>Sheet1!AY202*GPMtoMGD</f>
        <v>0</v>
      </c>
      <c r="BA200" s="90">
        <f>Sheet1!AZ202*GPMtoMGD</f>
        <v>0</v>
      </c>
      <c r="BB200" s="90">
        <f>Sheet1!BP202*GPMtoMGD</f>
        <v>0</v>
      </c>
      <c r="BC200" s="90">
        <f>Sheet1!CS202*GPMtoMGD</f>
        <v>0</v>
      </c>
      <c r="BD200" s="90">
        <f>Sheet1!BO202*GPMtoMGD</f>
        <v>3.8851200000000001</v>
      </c>
      <c r="BE200" s="90">
        <f>Sheet1!BW202*GPMtoMGD</f>
        <v>1.9095839999999999</v>
      </c>
      <c r="BF200" s="90">
        <f>Sheet1!CN202*GPMtoMGD</f>
        <v>1.7280000000000002</v>
      </c>
      <c r="BG200" s="90">
        <f>Sheet1!CO202*GPMtoMGD</f>
        <v>1.5965280000000002</v>
      </c>
      <c r="BH200" s="90">
        <f>Sheet1!CP202*GPMtoMGD</f>
        <v>1.04688</v>
      </c>
      <c r="BI200" s="90">
        <f t="shared" si="24"/>
        <v>3.8851200000000001</v>
      </c>
      <c r="BK200" s="95">
        <f>SUM(AT200:BA200,BE200,Sheet1!BV202,'Calculations II'!BC200,Calculation!AQ200)</f>
        <v>84.66135496001624</v>
      </c>
      <c r="BM200" s="373">
        <f>0</f>
        <v>0</v>
      </c>
      <c r="BN200" s="373">
        <f>0</f>
        <v>0</v>
      </c>
      <c r="BP200" s="95">
        <f>SUM(BM200:BN200,W200,Sheet1!DX202)</f>
        <v>0</v>
      </c>
    </row>
    <row r="201" spans="1:68" s="90" customFormat="1">
      <c r="A201" s="651" t="s">
        <v>6</v>
      </c>
      <c r="B201" s="92">
        <v>41829</v>
      </c>
      <c r="C201" s="93">
        <v>0</v>
      </c>
      <c r="D201" s="95">
        <f>(Sheet1!BQ203-Sheet1!BQ202)*1.385</f>
        <v>-1.3157499999999991</v>
      </c>
      <c r="E201" s="30">
        <f>(Sheet1!BR203-Sheet1!BR202)*1.385</f>
        <v>-1.3157499999999991</v>
      </c>
      <c r="F201" s="30">
        <f ca="1">IF(B201=TODAY(),0,-(VLOOKUP(Sheet1!CD203,Lookup!$I$4:$J$216,2)-VLOOKUP(Sheet1!CD202,Lookup!$I$4:$J$216,2))/1000000)</f>
        <v>0.93273244693019985</v>
      </c>
      <c r="G201" s="95">
        <f ca="1">IF(B201=TODAY(),0,-$G$6*(Sheet1!CF203-Sheet1!CF202)*7.48/1000000)</f>
        <v>0.55598901473582951</v>
      </c>
      <c r="H201" s="95">
        <f ca="1">IF(B201=TODAY(),0,-$H$6*(Sheet1!CE203-Sheet1!CE202)*7.48/1000000)</f>
        <v>-1.5039432351265274E-2</v>
      </c>
      <c r="I201" s="95">
        <f ca="1">IF(B201=TODAY(),0,-$I$6*(Sheet1!CG203-Sheet1!CG202)*7.48/1000000)</f>
        <v>-8.9849760000000473E-3</v>
      </c>
      <c r="J201" s="96" t="s">
        <v>186</v>
      </c>
      <c r="K201" s="95">
        <f ca="1">IF(B201=TODAY(),0,-$K$6*(Sheet1!CH203-Sheet1!CH202)*7.48/1000000)</f>
        <v>-6.6633203744585374E-3</v>
      </c>
      <c r="L201" s="96" t="s">
        <v>186</v>
      </c>
      <c r="M201" s="95">
        <f ca="1">IF(B201=TODAY(),0,-$M$6*(Sheet1!CI203-Sheet1!CI202)*7.48/1000000)</f>
        <v>-1.7991508428027301E-2</v>
      </c>
      <c r="N201" s="95">
        <f ca="1">IF(B201=TODAY(),0,-$N$6*(Sheet1!CJ203-Sheet1!CJ202)*7.48/1000000)</f>
        <v>0.57708681217000213</v>
      </c>
      <c r="O201" s="95">
        <f t="shared" ca="1" si="21"/>
        <v>2.0171290366822801</v>
      </c>
      <c r="P201" s="95">
        <f ca="1">O201+Calculation!ES201</f>
        <v>4.645757871418601</v>
      </c>
      <c r="Q201" s="90" t="str">
        <f>IF(Sheet1!BQ203&gt;25.75,"spill elevation","-")</f>
        <v>-</v>
      </c>
      <c r="R201" s="90" t="str">
        <f>IF(Sheet1!BQ203&gt;25.75,"spill elevation","-")</f>
        <v>-</v>
      </c>
      <c r="S201" s="90" t="str">
        <f>IF(Sheet1!BR203&gt;25.75,"spill elevation","-")</f>
        <v>-</v>
      </c>
      <c r="T201" s="94">
        <f>IF(Sheet1!DU203=1,Sheet1!AA203-(SUM(AT201:BA201)+BE201),Sheet1!AA203-SUM(AT201:BA201))</f>
        <v>38.507583999999994</v>
      </c>
      <c r="U201" s="94">
        <f>Sheet1!BV203</f>
        <v>48.4</v>
      </c>
      <c r="V201" s="94">
        <f t="shared" si="22"/>
        <v>-9.8924160000000043</v>
      </c>
      <c r="W201" s="94">
        <f>0</f>
        <v>0</v>
      </c>
      <c r="X201" s="90">
        <f>0</f>
        <v>0</v>
      </c>
      <c r="Y201" s="95">
        <f ca="1">Calculation!EJ202+Calculation!ES201+'Calculations II'!O201-'Calculations II'!W201</f>
        <v>98.365757871418595</v>
      </c>
      <c r="Z201" s="95">
        <f ca="1">Y201-Sheet1!CT204</f>
        <v>80.585757871418593</v>
      </c>
      <c r="AA201" s="95">
        <f ca="1">Y201+Calculation!DJ202+Calculation!AS202</f>
        <v>116.38703446716326</v>
      </c>
      <c r="AC201" s="95">
        <f>Sheet1!AA203+Sheet1!AB203+BC201</f>
        <v>90.92</v>
      </c>
      <c r="AD201" s="95">
        <f>Sheet1!AA203+Sheet1!BN203+'Calculations II'!BC201-Calculation!AS201-Calculation!DJ201</f>
        <v>54.92257575757575</v>
      </c>
      <c r="AE201" s="95">
        <f>Sheet1!AA203+Sheet1!AB203+'Calculations II'!BC201-Calculation!AS201-Calculation!DJ201</f>
        <v>72.862575757575769</v>
      </c>
      <c r="AF201" s="95">
        <f ca="1">Sheet1!AA203+Sheet1!BN203+P201+'Calculations II'!BC201+Calculation!AS201+Calculation!DJ201</f>
        <v>95.683182113842832</v>
      </c>
      <c r="AG201" s="95">
        <f ca="1">IF(B201=TODAY(),0,Sheet1!AA203+Sheet1!BN203+'Calculations II'!BC201+'Calculations II'!P201-Sheet1!CT203-BP201)</f>
        <v>60.415757871418585</v>
      </c>
      <c r="AH201" s="95">
        <f ca="1">IF(B201=TODAY(),0,Sheet1!AA203+Sheet1!BN203+'Calculations II'!BC201+'Calculations II'!P201-BP201)</f>
        <v>77.625757871418585</v>
      </c>
      <c r="AI201" s="95">
        <f ca="1">IF(B201=TODAY(),0,BC201+Sheet1!AA203+Calculation!ES201+O201+W201+Sheet1!BN203+Calculation!AS201+Calculation!DJ201-BP201)</f>
        <v>95.683182113842832</v>
      </c>
      <c r="AJ201" s="95"/>
      <c r="AM201" s="91">
        <f t="shared" si="23"/>
        <v>41829</v>
      </c>
      <c r="AN201" s="95">
        <f>Sheet1!BU203</f>
        <v>40.9</v>
      </c>
      <c r="AO201" s="95">
        <f>Sheet1!AA203</f>
        <v>43.58</v>
      </c>
      <c r="AP201" s="95">
        <f t="shared" si="18"/>
        <v>-2.6314999999999982</v>
      </c>
      <c r="AQ201" s="1055">
        <f>((Sheet1!BV203-(Sheet1!BU203-AP201))/(Sheet1!BU203-AP201))</f>
        <v>0.11183855369100548</v>
      </c>
      <c r="AR201" s="95">
        <f t="shared" si="19"/>
        <v>46.211499999999994</v>
      </c>
      <c r="AS201" s="95">
        <f t="shared" si="20"/>
        <v>43.531499999999994</v>
      </c>
      <c r="AT201" s="90">
        <f>Sheet1!BB203</f>
        <v>1.6</v>
      </c>
      <c r="AU201" s="90">
        <f>Sheet1!AS203*GPMtoMGD</f>
        <v>3.6432000000000006E-2</v>
      </c>
      <c r="AV201" s="95">
        <f>Sheet1!AT203</f>
        <v>0</v>
      </c>
      <c r="AW201" s="90">
        <f>Sheet1!AV203*GPMtoMGD</f>
        <v>1.945584</v>
      </c>
      <c r="AX201" s="90">
        <f>Sheet1!AW203*GPMtoMGD</f>
        <v>1.3818240000000002</v>
      </c>
      <c r="AY201" s="90">
        <f>Sheet1!AX203*GPMtoMGD</f>
        <v>0.10857600000000002</v>
      </c>
      <c r="AZ201" s="90">
        <f>Sheet1!AY203*GPMtoMGD</f>
        <v>0</v>
      </c>
      <c r="BA201" s="90">
        <f>Sheet1!AZ203*GPMtoMGD</f>
        <v>0</v>
      </c>
      <c r="BB201" s="90">
        <f>Sheet1!BP203*GPMtoMGD</f>
        <v>0</v>
      </c>
      <c r="BC201" s="90">
        <f>Sheet1!CS203*GPMtoMGD</f>
        <v>0</v>
      </c>
      <c r="BD201" s="90">
        <f>Sheet1!BO203*GPMtoMGD</f>
        <v>4.20336</v>
      </c>
      <c r="BE201" s="90">
        <f>Sheet1!BW203*GPMtoMGD</f>
        <v>2.1669119999999999</v>
      </c>
      <c r="BF201" s="90">
        <f>Sheet1!CN203*GPMtoMGD</f>
        <v>1.7280000000000002</v>
      </c>
      <c r="BG201" s="90">
        <f>Sheet1!CO203*GPMtoMGD</f>
        <v>1.639872</v>
      </c>
      <c r="BH201" s="90">
        <f>Sheet1!CP203*GPMtoMGD</f>
        <v>1.0700640000000001</v>
      </c>
      <c r="BI201" s="90">
        <f t="shared" si="24"/>
        <v>4.20336</v>
      </c>
      <c r="BK201" s="95">
        <f>SUM(AT201:BA201,BE201,Sheet1!BV203,'Calculations II'!BC201,Calculation!AQ201)</f>
        <v>84.927964363636363</v>
      </c>
      <c r="BM201" s="373">
        <f>0</f>
        <v>0</v>
      </c>
      <c r="BN201" s="373">
        <f>0</f>
        <v>0</v>
      </c>
      <c r="BP201" s="95">
        <f>SUM(BM201:BN201,W201,Sheet1!DX203)</f>
        <v>0</v>
      </c>
    </row>
    <row r="202" spans="1:68" s="90" customFormat="1">
      <c r="A202" s="651" t="s">
        <v>7</v>
      </c>
      <c r="B202" s="92">
        <v>41830</v>
      </c>
      <c r="C202" s="93">
        <v>0</v>
      </c>
      <c r="D202" s="95">
        <f>(Sheet1!BQ204-Sheet1!BQ203)*1.385</f>
        <v>-0.1246499999999998</v>
      </c>
      <c r="E202" s="30">
        <f>(Sheet1!BR204-Sheet1!BR203)*1.385</f>
        <v>-9.6950000000000397E-2</v>
      </c>
      <c r="F202" s="30">
        <f ca="1">IF(B202=TODAY(),0,-(VLOOKUP(Sheet1!CD204,Lookup!$I$4:$J$216,2)-VLOOKUP(Sheet1!CD203,Lookup!$I$4:$J$216,2))/1000000)</f>
        <v>-0.10363693854779936</v>
      </c>
      <c r="G202" s="95">
        <f ca="1">IF(B202=TODAY(),0,-$G$6*(Sheet1!CF204-Sheet1!CF203)*7.48/1000000)</f>
        <v>1.628253543154931</v>
      </c>
      <c r="H202" s="95">
        <f ca="1">IF(B202=TODAY(),0,-$H$6*(Sheet1!CE204-Sheet1!CE203)*7.48/1000000)</f>
        <v>0</v>
      </c>
      <c r="I202" s="95">
        <f ca="1">IF(B202=TODAY(),0,-$I$6*(Sheet1!CG204-Sheet1!CG203)*7.48/1000000)</f>
        <v>6.7387320000000164E-3</v>
      </c>
      <c r="J202" s="96" t="s">
        <v>186</v>
      </c>
      <c r="K202" s="95">
        <f ca="1">IF(B202=TODAY(),0,-$K$6*(Sheet1!CH204-Sheet1!CH203)*7.48/1000000)</f>
        <v>3.9979922246750985E-3</v>
      </c>
      <c r="L202" s="96" t="s">
        <v>186</v>
      </c>
      <c r="M202" s="95">
        <f ca="1">IF(B202=TODAY(),0,-$M$6*(Sheet1!CI204-Sheet1!CI203)*7.48/1000000)</f>
        <v>8.9957542140136505E-3</v>
      </c>
      <c r="N202" s="95">
        <f ca="1">IF(B202=TODAY(),0,-$N$6*(Sheet1!CJ204-Sheet1!CJ203)*7.48/1000000)</f>
        <v>0</v>
      </c>
      <c r="O202" s="95">
        <f t="shared" ca="1" si="21"/>
        <v>1.5443490830458204</v>
      </c>
      <c r="P202" s="95">
        <f ca="1">O202+Calculation!ES202</f>
        <v>1.820979098584431</v>
      </c>
      <c r="Q202" s="90" t="str">
        <f>IF(Sheet1!BQ204&gt;25.75,"spill elevation","-")</f>
        <v>-</v>
      </c>
      <c r="R202" s="90" t="str">
        <f>IF(Sheet1!BQ204&gt;25.75,"spill elevation","-")</f>
        <v>-</v>
      </c>
      <c r="S202" s="90" t="str">
        <f>IF(Sheet1!BR204&gt;25.75,"spill elevation","-")</f>
        <v>-</v>
      </c>
      <c r="T202" s="94">
        <f>IF(Sheet1!DU204=1,Sheet1!AA204-(SUM(AT202:BA202)+BE202),Sheet1!AA204-SUM(AT202:BA202))</f>
        <v>43.568559999999998</v>
      </c>
      <c r="U202" s="94">
        <f>Sheet1!BV204</f>
        <v>51.4</v>
      </c>
      <c r="V202" s="94">
        <f t="shared" si="22"/>
        <v>-7.8314400000000006</v>
      </c>
      <c r="W202" s="94">
        <f>0</f>
        <v>0</v>
      </c>
      <c r="X202" s="90">
        <f>0</f>
        <v>0</v>
      </c>
      <c r="Y202" s="95">
        <f ca="1">Calculation!EJ203+Calculation!ES202+'Calculations II'!O202-'Calculations II'!W202</f>
        <v>102.12097909858443</v>
      </c>
      <c r="Z202" s="95">
        <f ca="1">Y202-Sheet1!CT205</f>
        <v>84.885979098584428</v>
      </c>
      <c r="AA202" s="95">
        <f ca="1">Y202+Calculation!DJ203+Calculation!AS203</f>
        <v>122.64941601007217</v>
      </c>
      <c r="AC202" s="95">
        <f>Sheet1!AA204+Sheet1!AB204+BC202</f>
        <v>93.72</v>
      </c>
      <c r="AD202" s="95">
        <f>Sheet1!AA204+Sheet1!BN204+'Calculations II'!BC202-Calculation!AS202-Calculation!DJ202</f>
        <v>57.79872340425532</v>
      </c>
      <c r="AE202" s="95">
        <f>Sheet1!AA204+Sheet1!AB204+'Calculations II'!BC202-Calculation!AS202-Calculation!DJ202</f>
        <v>75.698723404255333</v>
      </c>
      <c r="AF202" s="95">
        <f ca="1">Sheet1!AA204+Sheet1!BN204+P202+'Calculations II'!BC202+Calculation!AS202+Calculation!DJ202</f>
        <v>95.662255694329104</v>
      </c>
      <c r="AG202" s="95">
        <f ca="1">IF(B202=TODAY(),0,Sheet1!AA204+Sheet1!BN204+'Calculations II'!BC202+'Calculations II'!P202-Sheet1!CT204-BP202)</f>
        <v>59.860979098584423</v>
      </c>
      <c r="AH202" s="95">
        <f ca="1">IF(B202=TODAY(),0,Sheet1!AA204+Sheet1!BN204+'Calculations II'!BC202+'Calculations II'!P202-BP202)</f>
        <v>77.640979098584424</v>
      </c>
      <c r="AI202" s="95">
        <f ca="1">IF(B202=TODAY(),0,BC202+Sheet1!AA204+Calculation!ES202+O202+W202+Sheet1!BN204+Calculation!AS202+Calculation!DJ202-BP202)</f>
        <v>95.662255694329104</v>
      </c>
      <c r="AJ202" s="95"/>
      <c r="AM202" s="91">
        <f t="shared" si="23"/>
        <v>41830</v>
      </c>
      <c r="AN202" s="95">
        <f>Sheet1!BU204</f>
        <v>46</v>
      </c>
      <c r="AO202" s="95">
        <f>Sheet1!AA204</f>
        <v>48.32</v>
      </c>
      <c r="AP202" s="95">
        <f t="shared" ref="AP202:AP265" si="25">D202+E202</f>
        <v>-0.22160000000000019</v>
      </c>
      <c r="AQ202" s="1055">
        <f>((Sheet1!BV204-(Sheet1!BU204-AP202))/(Sheet1!BU204-AP202))</f>
        <v>0.11203420046039073</v>
      </c>
      <c r="AR202" s="95">
        <f t="shared" ref="AR202:AR265" si="26">AO202-AP202</f>
        <v>48.541600000000003</v>
      </c>
      <c r="AS202" s="95">
        <f t="shared" ref="AS202:AS265" si="27">AN202-AP202</f>
        <v>46.221600000000002</v>
      </c>
      <c r="AT202" s="90">
        <f>Sheet1!BB204</f>
        <v>1.6</v>
      </c>
      <c r="AU202" s="90">
        <f>Sheet1!AS204*GPMtoMGD</f>
        <v>3.456E-2</v>
      </c>
      <c r="AV202" s="95">
        <f>Sheet1!AT204</f>
        <v>0</v>
      </c>
      <c r="AW202" s="90">
        <f>Sheet1!AV204*GPMtoMGD</f>
        <v>1.850112</v>
      </c>
      <c r="AX202" s="90">
        <f>Sheet1!AW204*GPMtoMGD</f>
        <v>1.1681280000000001</v>
      </c>
      <c r="AY202" s="90">
        <f>Sheet1!AX204*GPMtoMGD</f>
        <v>9.8640000000000005E-2</v>
      </c>
      <c r="AZ202" s="90">
        <f>Sheet1!AY204*GPMtoMGD</f>
        <v>0</v>
      </c>
      <c r="BA202" s="90">
        <f>Sheet1!AZ204*GPMtoMGD</f>
        <v>0</v>
      </c>
      <c r="BB202" s="90">
        <f>Sheet1!BP204*GPMtoMGD</f>
        <v>0</v>
      </c>
      <c r="BC202" s="90">
        <f>Sheet1!CS204*GPMtoMGD</f>
        <v>0</v>
      </c>
      <c r="BD202" s="90">
        <f>Sheet1!BO204*GPMtoMGD</f>
        <v>4.0158720000000008</v>
      </c>
      <c r="BE202" s="90">
        <f>Sheet1!BW204*GPMtoMGD</f>
        <v>2.2628160000000004</v>
      </c>
      <c r="BF202" s="90">
        <f>Sheet1!CN204*GPMtoMGD</f>
        <v>1.7280000000000002</v>
      </c>
      <c r="BG202" s="90">
        <f>Sheet1!CO204*GPMtoMGD</f>
        <v>1.6261920000000001</v>
      </c>
      <c r="BH202" s="90">
        <f>Sheet1!CP204*GPMtoMGD</f>
        <v>1.0103040000000001</v>
      </c>
      <c r="BI202" s="90">
        <f t="shared" si="24"/>
        <v>4.0158720000000008</v>
      </c>
      <c r="BK202" s="95">
        <f>SUM(AT202:BA202,BE202,Sheet1!BV204,'Calculations II'!BC202,Calculation!AQ202)</f>
        <v>85.799647533230967</v>
      </c>
      <c r="BM202" s="373">
        <f>0</f>
        <v>0</v>
      </c>
      <c r="BN202" s="373">
        <f>0</f>
        <v>0</v>
      </c>
      <c r="BP202" s="95">
        <f>SUM(BM202:BN202,W202,Sheet1!DX204)</f>
        <v>0</v>
      </c>
    </row>
    <row r="203" spans="1:68" s="90" customFormat="1">
      <c r="A203" s="651" t="s">
        <v>8</v>
      </c>
      <c r="B203" s="92">
        <v>41831</v>
      </c>
      <c r="C203" s="93">
        <v>0</v>
      </c>
      <c r="D203" s="95">
        <f>(Sheet1!BQ205-Sheet1!BQ204)*1.385</f>
        <v>-0.30469999999999842</v>
      </c>
      <c r="E203" s="30">
        <f>(Sheet1!BR205-Sheet1!BR204)*1.385</f>
        <v>-0.30469999999999842</v>
      </c>
      <c r="F203" s="30">
        <f ca="1">IF(B203=TODAY(),0,-(VLOOKUP(Sheet1!CD205,Lookup!$I$4:$J$216,2)-VLOOKUP(Sheet1!CD204,Lookup!$I$4:$J$216,2))/1000000)</f>
        <v>-0.20727387709559872</v>
      </c>
      <c r="G203" s="95">
        <f ca="1">IF(B203=TODAY(),0,-$G$6*(Sheet1!CF205-Sheet1!CF204)*7.48/1000000)</f>
        <v>1.0722645284191015</v>
      </c>
      <c r="H203" s="95">
        <f ca="1">IF(B203=TODAY(),0,-$H$6*(Sheet1!CE205-Sheet1!CE204)*7.48/1000000)</f>
        <v>3.0078864702530548E-2</v>
      </c>
      <c r="I203" s="95">
        <f ca="1">IF(B203=TODAY(),0,-$I$6*(Sheet1!CG205-Sheet1!CG204)*7.48/1000000)</f>
        <v>2.2462440000000318E-3</v>
      </c>
      <c r="J203" s="96" t="s">
        <v>186</v>
      </c>
      <c r="K203" s="95">
        <f ca="1">IF(B203=TODAY(),0,-$K$6*(Sheet1!CH205-Sheet1!CH204)*7.48/1000000)</f>
        <v>2.6653281497834381E-3</v>
      </c>
      <c r="L203" s="96" t="s">
        <v>186</v>
      </c>
      <c r="M203" s="95">
        <f ca="1">IF(B203=TODAY(),0,-$M$6*(Sheet1!CI205-Sheet1!CI204)*7.48/1000000)</f>
        <v>8.9957542140136505E-3</v>
      </c>
      <c r="N203" s="95">
        <f ca="1">IF(B203=TODAY(),0,-$N$6*(Sheet1!CJ205-Sheet1!CJ204)*7.48/1000000)</f>
        <v>-0.6329339230251636</v>
      </c>
      <c r="O203" s="95">
        <f t="shared" ca="1" si="21"/>
        <v>0.27604291936466685</v>
      </c>
      <c r="P203" s="95">
        <f ca="1">O203+Calculation!ES203</f>
        <v>0.8292645250992462</v>
      </c>
      <c r="Q203" s="90" t="str">
        <f>IF(Sheet1!BQ205&gt;25.75,"spill elevation","-")</f>
        <v>-</v>
      </c>
      <c r="R203" s="90" t="str">
        <f>IF(Sheet1!BQ205&gt;25.75,"spill elevation","-")</f>
        <v>-</v>
      </c>
      <c r="S203" s="90" t="str">
        <f>IF(Sheet1!BR205&gt;25.75,"spill elevation","-")</f>
        <v>-</v>
      </c>
      <c r="T203" s="94">
        <f>IF(Sheet1!DU205=1,Sheet1!AA205-(SUM(AT203:BA203)+BE203),Sheet1!AA205-SUM(AT203:BA203))</f>
        <v>42.316207999999996</v>
      </c>
      <c r="U203" s="94">
        <f>Sheet1!BV205</f>
        <v>50.7</v>
      </c>
      <c r="V203" s="94">
        <f t="shared" si="22"/>
        <v>-8.3837920000000068</v>
      </c>
      <c r="W203" s="94">
        <f>0</f>
        <v>0</v>
      </c>
      <c r="X203" s="90">
        <f>0</f>
        <v>0</v>
      </c>
      <c r="Y203" s="95">
        <f ca="1">Calculation!EJ204+Calculation!ES203+'Calculations II'!O203-'Calculations II'!W203</f>
        <v>101.62921652509924</v>
      </c>
      <c r="Z203" s="95">
        <f ca="1">Y203-Sheet1!CT206</f>
        <v>84.692216525099241</v>
      </c>
      <c r="AA203" s="95">
        <f ca="1">Y203+Calculation!DJ204+Calculation!AS204</f>
        <v>123.14882584140277</v>
      </c>
      <c r="AC203" s="95">
        <f>Sheet1!AA205+Sheet1!AB205+BC203</f>
        <v>100.3</v>
      </c>
      <c r="AD203" s="95">
        <f>Sheet1!AA205+Sheet1!BN205+'Calculations II'!BC203-Calculation!AS203-Calculation!DJ203</f>
        <v>59.371563088512254</v>
      </c>
      <c r="AE203" s="95">
        <f>Sheet1!AA205+Sheet1!AB205+'Calculations II'!BC203-Calculation!AS203-Calculation!DJ203</f>
        <v>79.771563088512238</v>
      </c>
      <c r="AF203" s="95">
        <f ca="1">Sheet1!AA205+Sheet1!BN205+P203+'Calculations II'!BC203+Calculation!AS203+Calculation!DJ203</f>
        <v>101.25770143658701</v>
      </c>
      <c r="AG203" s="95">
        <f ca="1">IF(B203=TODAY(),0,Sheet1!AA205+Sheet1!BN205+'Calculations II'!BC203+'Calculations II'!P203-Sheet1!CT205-BP203)</f>
        <v>63.494264525099254</v>
      </c>
      <c r="AH203" s="95">
        <f ca="1">IF(B203=TODAY(),0,Sheet1!AA205+Sheet1!BN205+'Calculations II'!BC203+'Calculations II'!P203-BP203)</f>
        <v>80.729264525099254</v>
      </c>
      <c r="AI203" s="95">
        <f ca="1">IF(B203=TODAY(),0,BC203+Sheet1!AA205+Calculation!ES203+O203+W203+Sheet1!BN205+Calculation!AS203+Calculation!DJ203-BP203)</f>
        <v>101.25770143658698</v>
      </c>
      <c r="AJ203" s="95"/>
      <c r="AM203" s="91">
        <f t="shared" si="23"/>
        <v>41831</v>
      </c>
      <c r="AN203" s="95">
        <f>Sheet1!BU205</f>
        <v>44.8</v>
      </c>
      <c r="AO203" s="95">
        <f>Sheet1!AA205</f>
        <v>47.4</v>
      </c>
      <c r="AP203" s="95">
        <f t="shared" si="25"/>
        <v>-0.60939999999999683</v>
      </c>
      <c r="AQ203" s="1055">
        <f>((Sheet1!BV205-(Sheet1!BU205-AP203))/(Sheet1!BU205-AP203))</f>
        <v>0.11650891665602305</v>
      </c>
      <c r="AR203" s="95">
        <f t="shared" si="26"/>
        <v>48.009399999999992</v>
      </c>
      <c r="AS203" s="95">
        <f t="shared" si="27"/>
        <v>45.409399999999991</v>
      </c>
      <c r="AT203" s="90">
        <f>Sheet1!BB205</f>
        <v>1.6</v>
      </c>
      <c r="AU203" s="90">
        <f>Sheet1!AS205*GPMtoMGD</f>
        <v>3.7872000000000003E-2</v>
      </c>
      <c r="AV203" s="95">
        <f>Sheet1!AT205</f>
        <v>0</v>
      </c>
      <c r="AW203" s="90">
        <f>Sheet1!AV205*GPMtoMGD</f>
        <v>2.0309760000000003</v>
      </c>
      <c r="AX203" s="90">
        <f>Sheet1!AW205*GPMtoMGD</f>
        <v>1.2975840000000001</v>
      </c>
      <c r="AY203" s="90">
        <f>Sheet1!AX205*GPMtoMGD</f>
        <v>0.11736000000000001</v>
      </c>
      <c r="AZ203" s="90">
        <f>Sheet1!AY205*GPMtoMGD</f>
        <v>0</v>
      </c>
      <c r="BA203" s="90">
        <f>Sheet1!AZ205*GPMtoMGD</f>
        <v>0</v>
      </c>
      <c r="BB203" s="90">
        <f>Sheet1!BP205*GPMtoMGD</f>
        <v>0</v>
      </c>
      <c r="BC203" s="90">
        <f>Sheet1!CS205*GPMtoMGD</f>
        <v>0</v>
      </c>
      <c r="BD203" s="90">
        <f>Sheet1!BO205*GPMtoMGD</f>
        <v>4.4285760000000005</v>
      </c>
      <c r="BE203" s="90">
        <f>Sheet1!BW205*GPMtoMGD</f>
        <v>2.0882880000000004</v>
      </c>
      <c r="BF203" s="90">
        <f>Sheet1!CN205*GPMtoMGD</f>
        <v>1.7280000000000002</v>
      </c>
      <c r="BG203" s="90">
        <f>Sheet1!CO205*GPMtoMGD</f>
        <v>1.6986239999999999</v>
      </c>
      <c r="BH203" s="90">
        <f>Sheet1!CP205*GPMtoMGD</f>
        <v>1.0497600000000001E-2</v>
      </c>
      <c r="BI203" s="90">
        <f t="shared" si="24"/>
        <v>4.4285760000000005</v>
      </c>
      <c r="BK203" s="95">
        <f>SUM(AT203:BA203,BE203,Sheet1!BV205,'Calculations II'!BC203,Calculation!AQ203)</f>
        <v>90.249669453860633</v>
      </c>
      <c r="BM203" s="373">
        <f>0</f>
        <v>0</v>
      </c>
      <c r="BN203" s="373">
        <f>0</f>
        <v>0</v>
      </c>
      <c r="BP203" s="95">
        <f>SUM(BM203:BN203,W203,Sheet1!DX205)</f>
        <v>0</v>
      </c>
    </row>
    <row r="204" spans="1:68" s="90" customFormat="1">
      <c r="A204" s="651" t="s">
        <v>9</v>
      </c>
      <c r="B204" s="92">
        <v>41832</v>
      </c>
      <c r="C204" s="93">
        <v>0</v>
      </c>
      <c r="D204" s="95">
        <f>(Sheet1!BQ206-Sheet1!BQ205)*1.385</f>
        <v>-0.65095000000000336</v>
      </c>
      <c r="E204" s="30">
        <f>(Sheet1!BR206-Sheet1!BR205)*1.385</f>
        <v>-0.65094999999999847</v>
      </c>
      <c r="F204" s="30">
        <f ca="1">IF(B204=TODAY(),0,-(VLOOKUP(Sheet1!CD206,Lookup!$I$4:$J$216,2)-VLOOKUP(Sheet1!CD205,Lookup!$I$4:$J$216,2))/1000000)</f>
        <v>0.41454775419119744</v>
      </c>
      <c r="G204" s="95">
        <f ca="1">IF(B204=TODAY(),0,-$G$6*(Sheet1!CF206-Sheet1!CF205)*7.48/1000000)</f>
        <v>-0.23828100631535634</v>
      </c>
      <c r="H204" s="95">
        <f ca="1">IF(B204=TODAY(),0,-$H$6*(Sheet1!CE206-Sheet1!CE205)*7.48/1000000)</f>
        <v>3.0078864702529479E-2</v>
      </c>
      <c r="I204" s="95">
        <f ca="1">IF(B204=TODAY(),0,-$I$6*(Sheet1!CG206-Sheet1!CG205)*7.48/1000000)</f>
        <v>-8.9849760000000473E-3</v>
      </c>
      <c r="J204" s="96" t="s">
        <v>186</v>
      </c>
      <c r="K204" s="95">
        <f ca="1">IF(B204=TODAY(),0,-$K$6*(Sheet1!CH206-Sheet1!CH205)*7.48/1000000)</f>
        <v>-1.3326640748916953E-2</v>
      </c>
      <c r="L204" s="96" t="s">
        <v>186</v>
      </c>
      <c r="M204" s="95">
        <f ca="1">IF(B204=TODAY(),0,-$M$6*(Sheet1!CI206-Sheet1!CI205)*7.48/1000000)</f>
        <v>-3.598301685605397E-2</v>
      </c>
      <c r="N204" s="95">
        <f ca="1">IF(B204=TODAY(),0,-$N$6*(Sheet1!CJ206-Sheet1!CJ205)*7.48/1000000)</f>
        <v>-0.18615703618387214</v>
      </c>
      <c r="O204" s="95">
        <f t="shared" ca="1" si="21"/>
        <v>-3.8106057210472527E-2</v>
      </c>
      <c r="P204" s="95">
        <f ca="1">O204+Calculation!ES204</f>
        <v>1.3447238230884735</v>
      </c>
      <c r="Q204" s="90" t="str">
        <f>IF(Sheet1!BQ206&gt;25.75,"spill elevation","-")</f>
        <v>-</v>
      </c>
      <c r="R204" s="90" t="str">
        <f>IF(Sheet1!BQ206&gt;25.75,"spill elevation","-")</f>
        <v>-</v>
      </c>
      <c r="S204" s="90" t="str">
        <f>IF(Sheet1!BR206&gt;25.75,"spill elevation","-")</f>
        <v>-</v>
      </c>
      <c r="T204" s="94">
        <f>IF(Sheet1!DU206=1,Sheet1!AA206-(SUM(AT204:BA204)+BE204),Sheet1!AA206-SUM(AT204:BA204))</f>
        <v>42.276688</v>
      </c>
      <c r="U204" s="94">
        <f>Sheet1!BV206</f>
        <v>51.6</v>
      </c>
      <c r="V204" s="94">
        <f t="shared" si="22"/>
        <v>-9.3233120000000014</v>
      </c>
      <c r="W204" s="94">
        <f>0</f>
        <v>0</v>
      </c>
      <c r="X204" s="90">
        <f>0</f>
        <v>0</v>
      </c>
      <c r="Y204" s="95">
        <f ca="1">Calculation!EJ205+Calculation!ES204+'Calculations II'!O204-'Calculations II'!W204</f>
        <v>107.20843582308846</v>
      </c>
      <c r="Z204" s="95">
        <f ca="1">Y204-Sheet1!CT207</f>
        <v>89.655435823088467</v>
      </c>
      <c r="AA204" s="95">
        <f ca="1">Y204+Calculation!DJ205+Calculation!AS205</f>
        <v>128.70332270091652</v>
      </c>
      <c r="AC204" s="95">
        <f>Sheet1!AA206+Sheet1!AB206+BC204</f>
        <v>100.79995199999999</v>
      </c>
      <c r="AD204" s="95">
        <f>Sheet1!AA206+Sheet1!BN206+'Calculations II'!BC204-Calculation!AS204-Calculation!DJ204</f>
        <v>57.960342683696467</v>
      </c>
      <c r="AE204" s="95">
        <f>Sheet1!AA206+Sheet1!AB206+'Calculations II'!BC204-Calculation!AS204-Calculation!DJ204</f>
        <v>79.28034268369646</v>
      </c>
      <c r="AF204" s="95">
        <f ca="1">Sheet1!AA206+Sheet1!BN206+P204+'Calculations II'!BC204+Calculation!AS204+Calculation!DJ204</f>
        <v>102.344285139392</v>
      </c>
      <c r="AG204" s="95">
        <f ca="1">IF(B204=TODAY(),0,Sheet1!AA206+Sheet1!BN206+'Calculations II'!BC204+'Calculations II'!P204-Sheet1!CT206-BP204)</f>
        <v>63.887675823088472</v>
      </c>
      <c r="AH204" s="95">
        <f ca="1">IF(B204=TODAY(),0,Sheet1!AA206+Sheet1!BN206+'Calculations II'!BC204+'Calculations II'!P204-BP204)</f>
        <v>80.824675823088469</v>
      </c>
      <c r="AI204" s="95">
        <f ca="1">IF(B204=TODAY(),0,BC204+Sheet1!AA206+Calculation!ES204+O204+W204+Sheet1!BN206+Calculation!AS204+Calculation!DJ204-BP204)</f>
        <v>102.34428513939201</v>
      </c>
      <c r="AJ204" s="95"/>
      <c r="AM204" s="91">
        <f t="shared" si="23"/>
        <v>41832</v>
      </c>
      <c r="AN204" s="95">
        <f>Sheet1!BU206</f>
        <v>44.8</v>
      </c>
      <c r="AO204" s="95">
        <f>Sheet1!AA206</f>
        <v>47.4</v>
      </c>
      <c r="AP204" s="95">
        <f t="shared" si="25"/>
        <v>-1.3019000000000018</v>
      </c>
      <c r="AQ204" s="1055">
        <f>((Sheet1!BV206-(Sheet1!BU206-AP204))/(Sheet1!BU206-AP204))</f>
        <v>0.11925972682253878</v>
      </c>
      <c r="AR204" s="95">
        <f t="shared" si="26"/>
        <v>48.701900000000002</v>
      </c>
      <c r="AS204" s="95">
        <f t="shared" si="27"/>
        <v>46.101900000000001</v>
      </c>
      <c r="AT204" s="90">
        <f>Sheet1!BB206</f>
        <v>1.61</v>
      </c>
      <c r="AU204" s="90">
        <f>Sheet1!AS206*GPMtoMGD</f>
        <v>3.6432000000000006E-2</v>
      </c>
      <c r="AV204" s="95">
        <f>Sheet1!AT206</f>
        <v>0</v>
      </c>
      <c r="AW204" s="90">
        <f>Sheet1!AV206*GPMtoMGD</f>
        <v>2.0170080000000001</v>
      </c>
      <c r="AX204" s="90">
        <f>Sheet1!AW206*GPMtoMGD</f>
        <v>1.3380480000000001</v>
      </c>
      <c r="AY204" s="90">
        <f>Sheet1!AX206*GPMtoMGD</f>
        <v>0.121824</v>
      </c>
      <c r="AZ204" s="90">
        <f>Sheet1!AY206*GPMtoMGD</f>
        <v>0</v>
      </c>
      <c r="BA204" s="90">
        <f>Sheet1!AZ206*GPMtoMGD</f>
        <v>0</v>
      </c>
      <c r="BB204" s="90">
        <f>Sheet1!BP206*GPMtoMGD</f>
        <v>0</v>
      </c>
      <c r="BC204" s="90">
        <f>Sheet1!CS206*GPMtoMGD</f>
        <v>0.47995200000000005</v>
      </c>
      <c r="BD204" s="90">
        <f>Sheet1!BO206*GPMtoMGD</f>
        <v>4.595904</v>
      </c>
      <c r="BE204" s="90">
        <f>Sheet1!BW206*GPMtoMGD</f>
        <v>2.1535200000000003</v>
      </c>
      <c r="BF204" s="90">
        <f>Sheet1!CN206*GPMtoMGD</f>
        <v>1.7280000000000002</v>
      </c>
      <c r="BG204" s="90">
        <f>Sheet1!CO206*GPMtoMGD</f>
        <v>1.6940160000000002</v>
      </c>
      <c r="BH204" s="90">
        <f>Sheet1!CP206*GPMtoMGD</f>
        <v>1.010016</v>
      </c>
      <c r="BI204" s="90">
        <f t="shared" si="24"/>
        <v>4.595904</v>
      </c>
      <c r="BK204" s="95">
        <f>SUM(AT204:BA204,BE204,Sheet1!BV206,'Calculations II'!BC204,Calculation!AQ204)</f>
        <v>90.766851618332083</v>
      </c>
      <c r="BM204" s="373">
        <f>0</f>
        <v>0</v>
      </c>
      <c r="BN204" s="373">
        <f>0</f>
        <v>0</v>
      </c>
      <c r="BP204" s="95">
        <f>SUM(BM204:BN204,W204,Sheet1!DX206)</f>
        <v>0</v>
      </c>
    </row>
    <row r="205" spans="1:68" s="90" customFormat="1">
      <c r="A205" s="651" t="s">
        <v>3</v>
      </c>
      <c r="B205" s="92">
        <v>41833</v>
      </c>
      <c r="C205" s="93">
        <v>0</v>
      </c>
      <c r="D205" s="95">
        <f>(Sheet1!BQ207-Sheet1!BQ206)*1.385</f>
        <v>3.2547500000000018</v>
      </c>
      <c r="E205" s="30">
        <f>(Sheet1!BR207-Sheet1!BR206)*1.385</f>
        <v>3.2962999999999987</v>
      </c>
      <c r="F205" s="30">
        <f ca="1">IF(B205=TODAY(),0,-(VLOOKUP(Sheet1!CD207,Lookup!$I$4:$J$216,2)-VLOOKUP(Sheet1!CD206,Lookup!$I$4:$J$216,2))/1000000)</f>
        <v>-0.9327324469301943</v>
      </c>
      <c r="G205" s="95">
        <f ca="1">IF(B205=TODAY(),0,-$G$6*(Sheet1!CF207-Sheet1!CF206)*7.48/1000000)</f>
        <v>-3.9713501052559157E-2</v>
      </c>
      <c r="H205" s="95">
        <f ca="1">IF(B205=TODAY(),0,-$H$6*(Sheet1!CE207-Sheet1!CE206)*7.48/1000000)</f>
        <v>-7.5197161756325293E-2</v>
      </c>
      <c r="I205" s="95">
        <f ca="1">IF(B205=TODAY(),0,-$I$6*(Sheet1!CG207-Sheet1!CG206)*7.48/1000000)</f>
        <v>-8.9849759999999675E-3</v>
      </c>
      <c r="J205" s="96" t="s">
        <v>186</v>
      </c>
      <c r="K205" s="95">
        <f ca="1">IF(B205=TODAY(),0,-$K$6*(Sheet1!CH207-Sheet1!CH206)*7.48/1000000)</f>
        <v>-1.9989961123375255E-2</v>
      </c>
      <c r="L205" s="96" t="s">
        <v>186</v>
      </c>
      <c r="M205" s="95">
        <f ca="1">IF(B205=TODAY(),0,-$M$6*(Sheet1!CI207-Sheet1!CI206)*7.48/1000000)</f>
        <v>1.7991508428026663E-2</v>
      </c>
      <c r="N205" s="95">
        <f ca="1">IF(B205=TODAY(),0,-$N$6*(Sheet1!CJ207-Sheet1!CJ206)*7.48/1000000)</f>
        <v>0.13030992532871072</v>
      </c>
      <c r="O205" s="95">
        <f t="shared" ca="1" si="21"/>
        <v>-0.92831661310571634</v>
      </c>
      <c r="P205" s="95">
        <f ca="1">O205+Calculation!ES205</f>
        <v>-7.5688205667723247</v>
      </c>
      <c r="Q205" s="90" t="str">
        <f>IF(Sheet1!BQ207&gt;25.75,"spill elevation","-")</f>
        <v>-</v>
      </c>
      <c r="R205" s="90" t="str">
        <f>IF(Sheet1!BQ207&gt;25.75,"spill elevation","-")</f>
        <v>-</v>
      </c>
      <c r="S205" s="90" t="str">
        <f>IF(Sheet1!BR207&gt;25.75,"spill elevation","-")</f>
        <v>-</v>
      </c>
      <c r="T205" s="94">
        <f>IF(Sheet1!DU207=1,Sheet1!AA207-(SUM(AT205:BA205)+BE205),Sheet1!AA207-SUM(AT205:BA205))</f>
        <v>42.51464</v>
      </c>
      <c r="U205" s="94">
        <f>Sheet1!BV207</f>
        <v>43.7</v>
      </c>
      <c r="V205" s="94">
        <f t="shared" si="22"/>
        <v>-1.1853600000000029</v>
      </c>
      <c r="W205" s="94">
        <f>0</f>
        <v>0</v>
      </c>
      <c r="X205" s="90">
        <f>0</f>
        <v>0</v>
      </c>
      <c r="Y205" s="95">
        <f ca="1">Calculation!EJ206+Calculation!ES205+'Calculations II'!O205-'Calculations II'!W205</f>
        <v>94.74737143322767</v>
      </c>
      <c r="Z205" s="95">
        <f ca="1">Y205-Sheet1!CT208</f>
        <v>77.549371433227662</v>
      </c>
      <c r="AA205" s="95">
        <f ca="1">Y205+Calculation!DJ206+Calculation!AS206</f>
        <v>115.68526220535573</v>
      </c>
      <c r="AC205" s="95">
        <f>Sheet1!AA207+Sheet1!AB207+BC205</f>
        <v>105.86371199999999</v>
      </c>
      <c r="AD205" s="95">
        <f>Sheet1!AA207+Sheet1!BN207+'Calculations II'!BC205-Calculation!AS205-Calculation!DJ205</f>
        <v>62.948825122171954</v>
      </c>
      <c r="AE205" s="95">
        <f>Sheet1!AA207+Sheet1!AB207+'Calculations II'!BC205-Calculation!AS205-Calculation!DJ205</f>
        <v>84.368825122171941</v>
      </c>
      <c r="AF205" s="95">
        <f ca="1">Sheet1!AA207+Sheet1!BN207+P205+'Calculations II'!BC205+Calculation!AS205+Calculation!DJ205</f>
        <v>98.369778311055725</v>
      </c>
      <c r="AG205" s="95">
        <f ca="1">IF(B205=TODAY(),0,Sheet1!AA207+Sheet1!BN207+'Calculations II'!BC205+'Calculations II'!P205-Sheet1!CT207-BP205)</f>
        <v>59.321891433227677</v>
      </c>
      <c r="AH205" s="95">
        <f ca="1">IF(B205=TODAY(),0,Sheet1!AA207+Sheet1!BN207+'Calculations II'!BC205+'Calculations II'!P205-BP205)</f>
        <v>76.874891433227674</v>
      </c>
      <c r="AI205" s="95">
        <f ca="1">IF(B205=TODAY(),0,BC205+Sheet1!AA207+Calculation!ES205+O205+W205+Sheet1!BN207+Calculation!AS205+Calculation!DJ205-BP205)</f>
        <v>98.369778311055725</v>
      </c>
      <c r="AJ205" s="95"/>
      <c r="AM205" s="91">
        <f t="shared" si="23"/>
        <v>41833</v>
      </c>
      <c r="AN205" s="95">
        <f>Sheet1!BU207</f>
        <v>45</v>
      </c>
      <c r="AO205" s="95">
        <f>Sheet1!AA207</f>
        <v>47.4</v>
      </c>
      <c r="AP205" s="95">
        <f t="shared" si="25"/>
        <v>6.55105</v>
      </c>
      <c r="AQ205" s="1055">
        <f>((Sheet1!BV207-(Sheet1!BU207-AP205))/(Sheet1!BU207-AP205))</f>
        <v>0.13657200001560529</v>
      </c>
      <c r="AR205" s="95">
        <f t="shared" si="26"/>
        <v>40.848950000000002</v>
      </c>
      <c r="AS205" s="95">
        <f t="shared" si="27"/>
        <v>38.448949999999996</v>
      </c>
      <c r="AT205" s="90">
        <f>Sheet1!BB207</f>
        <v>1.6</v>
      </c>
      <c r="AU205" s="90">
        <f>Sheet1!AS207*GPMtoMGD</f>
        <v>3.7007999999999999E-2</v>
      </c>
      <c r="AV205" s="95">
        <f>Sheet1!AT207</f>
        <v>0</v>
      </c>
      <c r="AW205" s="90">
        <f>Sheet1!AV207*GPMtoMGD</f>
        <v>1.9180800000000002</v>
      </c>
      <c r="AX205" s="90">
        <f>Sheet1!AW207*GPMtoMGD</f>
        <v>1.2248640000000002</v>
      </c>
      <c r="AY205" s="90">
        <f>Sheet1!AX207*GPMtoMGD</f>
        <v>0.10540800000000002</v>
      </c>
      <c r="AZ205" s="90">
        <f>Sheet1!AY207*GPMtoMGD</f>
        <v>0</v>
      </c>
      <c r="BA205" s="90">
        <f>Sheet1!AZ207*GPMtoMGD</f>
        <v>0</v>
      </c>
      <c r="BB205" s="90">
        <f>Sheet1!BP207*GPMtoMGD</f>
        <v>0</v>
      </c>
      <c r="BC205" s="90">
        <f>Sheet1!CS207*GPMtoMGD</f>
        <v>5.5437120000000002</v>
      </c>
      <c r="BD205" s="90">
        <f>Sheet1!BO207*GPMtoMGD</f>
        <v>4.2330240000000003</v>
      </c>
      <c r="BE205" s="90">
        <f>Sheet1!BW207*GPMtoMGD</f>
        <v>2.1388320000000003</v>
      </c>
      <c r="BF205" s="90">
        <f>Sheet1!CN207*GPMtoMGD</f>
        <v>1.7280000000000002</v>
      </c>
      <c r="BG205" s="90">
        <f>Sheet1!CO207*GPMtoMGD</f>
        <v>1.6557120000000001</v>
      </c>
      <c r="BH205" s="90">
        <f>Sheet1!CP207*GPMtoMGD</f>
        <v>0.99057600000000001</v>
      </c>
      <c r="BI205" s="90">
        <f t="shared" si="24"/>
        <v>4.2330240000000003</v>
      </c>
      <c r="BK205" s="95">
        <f>SUM(AT205:BA205,BE205,Sheet1!BV207,'Calculations II'!BC205,Calculation!AQ205)</f>
        <v>87.696637031674214</v>
      </c>
      <c r="BM205" s="373">
        <f>0</f>
        <v>0</v>
      </c>
      <c r="BN205" s="373">
        <f>0</f>
        <v>0</v>
      </c>
      <c r="BP205" s="95">
        <f>SUM(BM205:BN205,W205,Sheet1!DX207)</f>
        <v>0</v>
      </c>
    </row>
    <row r="206" spans="1:68" s="90" customFormat="1">
      <c r="A206" s="651" t="s">
        <v>4</v>
      </c>
      <c r="B206" s="92">
        <v>41834</v>
      </c>
      <c r="C206" s="93">
        <v>0</v>
      </c>
      <c r="D206" s="95">
        <f>(Sheet1!BQ208-Sheet1!BQ207)*1.385</f>
        <v>1.8558999999999999</v>
      </c>
      <c r="E206" s="30">
        <f>(Sheet1!BR208-Sheet1!BR207)*1.385</f>
        <v>1.7728000000000015</v>
      </c>
      <c r="F206" s="30">
        <f ca="1">IF(B206=TODAY(),0,-(VLOOKUP(Sheet1!CD208,Lookup!$I$4:$J$216,2)-VLOOKUP(Sheet1!CD207,Lookup!$I$4:$J$216,2))/1000000)</f>
        <v>0</v>
      </c>
      <c r="G206" s="95">
        <f ca="1">IF(B206=TODAY(),0,-$G$6*(Sheet1!CF208-Sheet1!CF207)*7.48/1000000)</f>
        <v>-2.1048155557856423</v>
      </c>
      <c r="H206" s="95">
        <f ca="1">IF(B206=TODAY(),0,-$H$6*(Sheet1!CE208-Sheet1!CE207)*7.48/1000000)</f>
        <v>9.0236594107590579E-2</v>
      </c>
      <c r="I206" s="95">
        <f ca="1">IF(B206=TODAY(),0,-$I$6*(Sheet1!CG208-Sheet1!CG207)*7.48/1000000)</f>
        <v>-2.6954927999999989E-2</v>
      </c>
      <c r="J206" s="96" t="s">
        <v>186</v>
      </c>
      <c r="K206" s="95">
        <f ca="1">IF(B206=TODAY(),0,-$K$6*(Sheet1!CH208-Sheet1!CH207)*7.48/1000000)</f>
        <v>-3.9979922246750753E-2</v>
      </c>
      <c r="L206" s="96" t="s">
        <v>186</v>
      </c>
      <c r="M206" s="95">
        <f ca="1">IF(B206=TODAY(),0,-$M$6*(Sheet1!CI208-Sheet1!CI207)*7.48/1000000)</f>
        <v>-0.17991508428027048</v>
      </c>
      <c r="N206" s="95">
        <f ca="1">IF(B206=TODAY(),0,-$N$6*(Sheet1!CJ208-Sheet1!CJ207)*7.48/1000000)</f>
        <v>0.4343664177623669</v>
      </c>
      <c r="O206" s="95">
        <f t="shared" ca="1" si="21"/>
        <v>-1.8270624784427059</v>
      </c>
      <c r="P206" s="95">
        <f ca="1">O206+Calculation!ES206</f>
        <v>-5.4270835232356704</v>
      </c>
      <c r="Q206" s="90" t="str">
        <f>IF(Sheet1!BQ208&gt;25.75,"spill elevation","-")</f>
        <v>-</v>
      </c>
      <c r="R206" s="90" t="str">
        <f>IF(Sheet1!BQ208&gt;25.75,"spill elevation","-")</f>
        <v>-</v>
      </c>
      <c r="S206" s="90" t="str">
        <f>IF(Sheet1!BR208&gt;25.75,"spill elevation","-")</f>
        <v>-</v>
      </c>
      <c r="T206" s="94">
        <f>IF(Sheet1!DU208=1,Sheet1!AA208-(SUM(AT206:BA206)+BE206),Sheet1!AA208-SUM(AT206:BA206))</f>
        <v>42.044336000000001</v>
      </c>
      <c r="U206" s="94">
        <f>Sheet1!BV208</f>
        <v>46.4</v>
      </c>
      <c r="V206" s="94">
        <f t="shared" si="22"/>
        <v>-4.3556639999999973</v>
      </c>
      <c r="W206" s="94">
        <f>0</f>
        <v>0</v>
      </c>
      <c r="X206" s="90">
        <f>0</f>
        <v>0</v>
      </c>
      <c r="Y206" s="95">
        <f ca="1">Calculation!EJ207+Calculation!ES206+'Calculations II'!O206-'Calculations II'!W206</f>
        <v>94.902916476764318</v>
      </c>
      <c r="Z206" s="95">
        <f ca="1">Y206-Sheet1!CT209</f>
        <v>78.503916476764317</v>
      </c>
      <c r="AA206" s="95">
        <f ca="1">Y206+Calculation!DJ207+Calculation!AS207</f>
        <v>115.86315123632508</v>
      </c>
      <c r="AC206" s="95">
        <f>Sheet1!AA208+Sheet1!AB208+BC206</f>
        <v>102.316192</v>
      </c>
      <c r="AD206" s="95">
        <f>Sheet1!AA208+Sheet1!BN208+'Calculations II'!BC206-Calculation!AS206-Calculation!DJ206</f>
        <v>60.548301227871946</v>
      </c>
      <c r="AE206" s="95">
        <f>Sheet1!AA208+Sheet1!AB208+'Calculations II'!BC206-Calculation!AS206-Calculation!DJ206</f>
        <v>81.378301227871944</v>
      </c>
      <c r="AF206" s="95">
        <f ca="1">Sheet1!AA208+Sheet1!BN208+P206+'Calculations II'!BC206+Calculation!AS206+Calculation!DJ206</f>
        <v>96.996999248892394</v>
      </c>
      <c r="AG206" s="95">
        <f ca="1">IF(B206=TODAY(),0,Sheet1!AA208+Sheet1!BN208+'Calculations II'!BC206+'Calculations II'!P206-Sheet1!CT208-BP206)</f>
        <v>58.861108476764336</v>
      </c>
      <c r="AH206" s="95">
        <f ca="1">IF(B206=TODAY(),0,Sheet1!AA208+Sheet1!BN208+'Calculations II'!BC206+'Calculations II'!P206-BP206)</f>
        <v>76.059108476764337</v>
      </c>
      <c r="AI206" s="95">
        <f ca="1">IF(B206=TODAY(),0,BC206+Sheet1!AA208+Calculation!ES206+O206+W206+Sheet1!BN208+Calculation!AS206+Calculation!DJ206-BP206)</f>
        <v>96.996999248892379</v>
      </c>
      <c r="AJ206" s="95"/>
      <c r="AM206" s="91">
        <f t="shared" si="23"/>
        <v>41834</v>
      </c>
      <c r="AN206" s="95">
        <f>Sheet1!BU208</f>
        <v>44.8</v>
      </c>
      <c r="AO206" s="95">
        <f>Sheet1!AA208</f>
        <v>47.4</v>
      </c>
      <c r="AP206" s="95">
        <f t="shared" si="25"/>
        <v>3.6287000000000011</v>
      </c>
      <c r="AQ206" s="1055">
        <f>((Sheet1!BV208-(Sheet1!BU208-AP206))/(Sheet1!BU208-AP206))</f>
        <v>0.12699866168908935</v>
      </c>
      <c r="AR206" s="95">
        <f t="shared" si="26"/>
        <v>43.771299999999997</v>
      </c>
      <c r="AS206" s="95">
        <f t="shared" si="27"/>
        <v>41.171299999999995</v>
      </c>
      <c r="AT206" s="90">
        <f>Sheet1!BB208</f>
        <v>1.6</v>
      </c>
      <c r="AU206" s="90">
        <f>Sheet1!AS208*GPMtoMGD</f>
        <v>3.8592000000000001E-2</v>
      </c>
      <c r="AV206" s="95">
        <f>Sheet1!AT208</f>
        <v>0</v>
      </c>
      <c r="AW206" s="90">
        <f>Sheet1!AV208*GPMtoMGD</f>
        <v>2.1312000000000002</v>
      </c>
      <c r="AX206" s="90">
        <f>Sheet1!AW208*GPMtoMGD</f>
        <v>1.4860800000000001</v>
      </c>
      <c r="AY206" s="90">
        <f>Sheet1!AX208*GPMtoMGD</f>
        <v>9.9792000000000006E-2</v>
      </c>
      <c r="AZ206" s="90">
        <f>Sheet1!AY208*GPMtoMGD</f>
        <v>0</v>
      </c>
      <c r="BA206" s="90">
        <f>Sheet1!AZ208*GPMtoMGD</f>
        <v>0</v>
      </c>
      <c r="BB206" s="90">
        <f>Sheet1!BP208*GPMtoMGD</f>
        <v>0</v>
      </c>
      <c r="BC206" s="90">
        <f>Sheet1!CS208*GPMtoMGD</f>
        <v>1.986192</v>
      </c>
      <c r="BD206" s="90">
        <f>Sheet1!BO208*GPMtoMGD</f>
        <v>4.4795520000000009</v>
      </c>
      <c r="BE206" s="90">
        <f>Sheet1!BW208*GPMtoMGD</f>
        <v>2.0021760000000004</v>
      </c>
      <c r="BF206" s="90">
        <f>Sheet1!CN208*GPMtoMGD</f>
        <v>1.7280000000000002</v>
      </c>
      <c r="BG206" s="90">
        <f>Sheet1!CO208*GPMtoMGD</f>
        <v>1.6277760000000003</v>
      </c>
      <c r="BH206" s="90">
        <f>Sheet1!CP208*GPMtoMGD</f>
        <v>1.030896</v>
      </c>
      <c r="BI206" s="90">
        <f t="shared" si="24"/>
        <v>4.4795520000000009</v>
      </c>
      <c r="BK206" s="95">
        <f>SUM(AT206:BA206,BE206,Sheet1!BV208,'Calculations II'!BC206,Calculation!AQ206)</f>
        <v>87.741263638418076</v>
      </c>
      <c r="BM206" s="373">
        <f>0</f>
        <v>0</v>
      </c>
      <c r="BN206" s="373">
        <f>0</f>
        <v>0</v>
      </c>
      <c r="BP206" s="95">
        <f>SUM(BM206:BN206,W206,Sheet1!DX208)</f>
        <v>0</v>
      </c>
    </row>
    <row r="207" spans="1:68" s="90" customFormat="1">
      <c r="A207" s="651" t="s">
        <v>5</v>
      </c>
      <c r="B207" s="92">
        <v>41835</v>
      </c>
      <c r="C207" s="93">
        <v>0</v>
      </c>
      <c r="D207" s="95">
        <f>(Sheet1!BQ209-Sheet1!BQ208)*1.385</f>
        <v>1.3849999999997245E-2</v>
      </c>
      <c r="E207" s="30">
        <f>(Sheet1!BR209-Sheet1!BR208)*1.385</f>
        <v>2.7699999999999409E-2</v>
      </c>
      <c r="F207" s="30">
        <f ca="1">IF(B207=TODAY(),0,-(VLOOKUP(Sheet1!CD209,Lookup!$I$4:$J$216,2)-VLOOKUP(Sheet1!CD208,Lookup!$I$4:$J$216,2))/1000000)</f>
        <v>-0.93273244693019985</v>
      </c>
      <c r="G207" s="95">
        <f ca="1">IF(B207=TODAY(),0,-$G$6*(Sheet1!CF209-Sheet1!CF208)*7.48/1000000)</f>
        <v>-0.91341052420886415</v>
      </c>
      <c r="H207" s="95">
        <f ca="1">IF(B207=TODAY(),0,-$H$6*(Sheet1!CE209-Sheet1!CE208)*7.48/1000000)</f>
        <v>0</v>
      </c>
      <c r="I207" s="95">
        <f ca="1">IF(B207=TODAY(),0,-$I$6*(Sheet1!CG209-Sheet1!CG208)*7.48/1000000)</f>
        <v>7.6372295999999978E-2</v>
      </c>
      <c r="J207" s="96" t="s">
        <v>186</v>
      </c>
      <c r="K207" s="95">
        <f ca="1">IF(B207=TODAY(),0,-$K$6*(Sheet1!CH209-Sheet1!CH208)*7.48/1000000)</f>
        <v>0.13326640748916885</v>
      </c>
      <c r="L207" s="96" t="s">
        <v>186</v>
      </c>
      <c r="M207" s="95">
        <f ca="1">IF(B207=TODAY(),0,-$M$6*(Sheet1!CI209-Sheet1!CI208)*7.48/1000000)</f>
        <v>0.34183866013251429</v>
      </c>
      <c r="N207" s="95">
        <f ca="1">IF(B207=TODAY(),0,-$N$6*(Sheet1!CJ209-Sheet1!CJ208)*7.48/1000000)</f>
        <v>-0.97422182269559543</v>
      </c>
      <c r="O207" s="95">
        <f t="shared" ca="1" si="21"/>
        <v>-2.2688874302129762</v>
      </c>
      <c r="P207" s="95">
        <f ca="1">O207+Calculation!ES207</f>
        <v>-2.2688874302129762</v>
      </c>
      <c r="Q207" s="90" t="str">
        <f>IF(Sheet1!BQ209&gt;25.75,"spill elevation","-")</f>
        <v>-</v>
      </c>
      <c r="R207" s="90" t="str">
        <f>IF(Sheet1!BQ209&gt;25.75,"spill elevation","-")</f>
        <v>-</v>
      </c>
      <c r="S207" s="90" t="str">
        <f>IF(Sheet1!BR209&gt;25.75,"spill elevation","-")</f>
        <v>-</v>
      </c>
      <c r="T207" s="94">
        <f>IF(Sheet1!DU209=1,Sheet1!AA209-(SUM(AT207:BA207)+BE207),Sheet1!AA209-SUM(AT207:BA207))</f>
        <v>42.253568000000001</v>
      </c>
      <c r="U207" s="94">
        <f>Sheet1!BV209</f>
        <v>50.1</v>
      </c>
      <c r="V207" s="94">
        <f t="shared" si="22"/>
        <v>-7.8464320000000001</v>
      </c>
      <c r="W207" s="94">
        <f>0</f>
        <v>0</v>
      </c>
      <c r="X207" s="90">
        <f>0</f>
        <v>0</v>
      </c>
      <c r="Y207" s="95">
        <f ca="1">Calculation!EJ208+Calculation!ES207+'Calculations II'!O207-'Calculations II'!W207</f>
        <v>97.931112569787018</v>
      </c>
      <c r="Z207" s="95">
        <f ca="1">Y207-Sheet1!CT210</f>
        <v>82.252112569787016</v>
      </c>
      <c r="AA207" s="95">
        <f ca="1">Y207+Calculation!DJ208+Calculation!AS208</f>
        <v>119.3810561151389</v>
      </c>
      <c r="AC207" s="95">
        <f>Sheet1!AA209+Sheet1!AB209+BC207</f>
        <v>100.33</v>
      </c>
      <c r="AD207" s="95">
        <f>Sheet1!AA209+Sheet1!BN209+'Calculations II'!BC207-Calculation!AS207-Calculation!DJ207</f>
        <v>58.339765240439235</v>
      </c>
      <c r="AE207" s="95">
        <f>Sheet1!AA209+Sheet1!AB209+'Calculations II'!BC207-Calculation!AS207-Calculation!DJ207</f>
        <v>79.369765240439236</v>
      </c>
      <c r="AF207" s="95">
        <f ca="1">Sheet1!AA209+Sheet1!BN209+P207+'Calculations II'!BC207+Calculation!AS207+Calculation!DJ207</f>
        <v>97.991347329347789</v>
      </c>
      <c r="AG207" s="95">
        <f ca="1">IF(B207=TODAY(),0,Sheet1!AA209+Sheet1!BN209+'Calculations II'!BC207+'Calculations II'!P207-Sheet1!CT209-BP207)</f>
        <v>60.632112569787026</v>
      </c>
      <c r="AH207" s="95">
        <f ca="1">IF(B207=TODAY(),0,Sheet1!AA209+Sheet1!BN209+'Calculations II'!BC207+'Calculations II'!P207-BP207)</f>
        <v>77.031112569787027</v>
      </c>
      <c r="AI207" s="95">
        <f ca="1">IF(B207=TODAY(),0,BC207+Sheet1!AA209+Calculation!ES207+O207+W207+Sheet1!BN209+Calculation!AS207+Calculation!DJ207-BP207)</f>
        <v>97.991347329347775</v>
      </c>
      <c r="AJ207" s="95"/>
      <c r="AM207" s="91">
        <f t="shared" si="23"/>
        <v>41835</v>
      </c>
      <c r="AN207" s="95">
        <f>Sheet1!BU209</f>
        <v>44.7</v>
      </c>
      <c r="AO207" s="95">
        <f>Sheet1!AA209</f>
        <v>47.4</v>
      </c>
      <c r="AP207" s="95">
        <f t="shared" si="25"/>
        <v>4.1549999999996652E-2</v>
      </c>
      <c r="AQ207" s="1055">
        <f>((Sheet1!BV209-(Sheet1!BU209-AP207))/(Sheet1!BU209-AP207))</f>
        <v>0.1218481608743696</v>
      </c>
      <c r="AR207" s="95">
        <f t="shared" si="26"/>
        <v>47.358450000000005</v>
      </c>
      <c r="AS207" s="95">
        <f t="shared" si="27"/>
        <v>44.658450000000009</v>
      </c>
      <c r="AT207" s="90">
        <f>Sheet1!BB209</f>
        <v>1.6</v>
      </c>
      <c r="AU207" s="90">
        <f>Sheet1!AS209*GPMtoMGD</f>
        <v>4.0752000000000003E-2</v>
      </c>
      <c r="AV207" s="95">
        <f>Sheet1!AT209</f>
        <v>0</v>
      </c>
      <c r="AW207" s="90">
        <f>Sheet1!AV209*GPMtoMGD</f>
        <v>2.099952</v>
      </c>
      <c r="AX207" s="90">
        <f>Sheet1!AW209*GPMtoMGD</f>
        <v>1.3213440000000001</v>
      </c>
      <c r="AY207" s="90">
        <f>Sheet1!AX209*GPMtoMGD</f>
        <v>8.4384000000000001E-2</v>
      </c>
      <c r="AZ207" s="90">
        <f>Sheet1!AY209*GPMtoMGD</f>
        <v>0</v>
      </c>
      <c r="BA207" s="90">
        <f>Sheet1!AZ209*GPMtoMGD</f>
        <v>0</v>
      </c>
      <c r="BB207" s="90">
        <f>Sheet1!BP209*GPMtoMGD</f>
        <v>0</v>
      </c>
      <c r="BC207" s="90">
        <f>Sheet1!CS209*GPMtoMGD</f>
        <v>0</v>
      </c>
      <c r="BD207" s="90">
        <f>Sheet1!BO209*GPMtoMGD</f>
        <v>3.6649440000000002</v>
      </c>
      <c r="BE207" s="90">
        <f>Sheet1!BW209*GPMtoMGD</f>
        <v>1.9654560000000003</v>
      </c>
      <c r="BF207" s="90">
        <f>Sheet1!CN209*GPMtoMGD</f>
        <v>1.7280000000000002</v>
      </c>
      <c r="BG207" s="90">
        <f>Sheet1!CO209*GPMtoMGD</f>
        <v>1.5766560000000003</v>
      </c>
      <c r="BH207" s="90">
        <f>Sheet1!CP209*GPMtoMGD</f>
        <v>1.0339200000000002</v>
      </c>
      <c r="BI207" s="90">
        <f t="shared" si="24"/>
        <v>3.6649440000000002</v>
      </c>
      <c r="BK207" s="95">
        <f>SUM(AT207:BA207,BE207,Sheet1!BV209,'Calculations II'!BC207,Calculation!AQ207)</f>
        <v>89.178321169254076</v>
      </c>
      <c r="BM207" s="373">
        <f>0</f>
        <v>0</v>
      </c>
      <c r="BN207" s="373">
        <f>0</f>
        <v>0</v>
      </c>
      <c r="BP207" s="95">
        <f>SUM(BM207:BN207,W207,Sheet1!DX209)</f>
        <v>0</v>
      </c>
    </row>
    <row r="208" spans="1:68" s="90" customFormat="1">
      <c r="A208" s="651" t="s">
        <v>6</v>
      </c>
      <c r="B208" s="92">
        <v>41836</v>
      </c>
      <c r="C208" s="93">
        <v>0</v>
      </c>
      <c r="D208" s="95">
        <f>(Sheet1!BQ210-Sheet1!BQ209)*1.385</f>
        <v>-0.60939999999999683</v>
      </c>
      <c r="E208" s="30">
        <f>(Sheet1!BR210-Sheet1!BR209)*1.385</f>
        <v>-0.62324999999999897</v>
      </c>
      <c r="F208" s="30">
        <f ca="1">IF(B208=TODAY(),0,-(VLOOKUP(Sheet1!CD210,Lookup!$I$4:$J$216,2)-VLOOKUP(Sheet1!CD209,Lookup!$I$4:$J$216,2))/1000000)</f>
        <v>-1.1400063240258005</v>
      </c>
      <c r="G208" s="95">
        <f ca="1">IF(B208=TODAY(),0,-$G$6*(Sheet1!CF210-Sheet1!CF209)*7.48/1000000)</f>
        <v>0.6155592663146694</v>
      </c>
      <c r="H208" s="95">
        <f ca="1">IF(B208=TODAY(),0,-$H$6*(Sheet1!CE210-Sheet1!CE209)*7.48/1000000)</f>
        <v>4.5118297053795817E-2</v>
      </c>
      <c r="I208" s="95">
        <f ca="1">IF(B208=TODAY(),0,-$I$6*(Sheet1!CG210-Sheet1!CG209)*7.48/1000000)</f>
        <v>3.1447416000000006E-2</v>
      </c>
      <c r="J208" s="96" t="s">
        <v>186</v>
      </c>
      <c r="K208" s="95">
        <f ca="1">IF(B208=TODAY(),0,-$K$6*(Sheet1!CH210-Sheet1!CH209)*7.48/1000000)</f>
        <v>5.1973898920775932E-2</v>
      </c>
      <c r="L208" s="96" t="s">
        <v>186</v>
      </c>
      <c r="M208" s="95">
        <f ca="1">IF(B208=TODAY(),0,-$M$6*(Sheet1!CI210-Sheet1!CI209)*7.48/1000000)</f>
        <v>0.14393206742421652</v>
      </c>
      <c r="N208" s="95">
        <f ca="1">IF(B208=TODAY(),0,-$N$6*(Sheet1!CJ210-Sheet1!CJ209)*7.48/1000000)</f>
        <v>-0.3164669615125818</v>
      </c>
      <c r="O208" s="95">
        <f t="shared" ca="1" si="21"/>
        <v>-0.56844233982492465</v>
      </c>
      <c r="P208" s="95">
        <f ca="1">O208+Calculation!ES208</f>
        <v>0.5394871264905795</v>
      </c>
      <c r="Q208" s="90" t="str">
        <f>IF(Sheet1!BQ210&gt;25.75,"spill elevation","-")</f>
        <v>-</v>
      </c>
      <c r="R208" s="90" t="str">
        <f>IF(Sheet1!BQ210&gt;25.75,"spill elevation","-")</f>
        <v>-</v>
      </c>
      <c r="S208" s="90" t="str">
        <f>IF(Sheet1!BR210&gt;25.75,"spill elevation","-")</f>
        <v>-</v>
      </c>
      <c r="T208" s="94">
        <f>IF(Sheet1!DU210=1,Sheet1!AA210-(SUM(AT208:BA208)+BE208),Sheet1!AA210-SUM(AT208:BA208))</f>
        <v>41.570079999999997</v>
      </c>
      <c r="U208" s="94">
        <f>Sheet1!BV210</f>
        <v>51.2</v>
      </c>
      <c r="V208" s="94">
        <f t="shared" si="22"/>
        <v>-9.6299200000000056</v>
      </c>
      <c r="W208" s="94">
        <f>0</f>
        <v>0</v>
      </c>
      <c r="X208" s="90">
        <f>0</f>
        <v>0</v>
      </c>
      <c r="Y208" s="95">
        <f ca="1">Calculation!EJ209+Calculation!ES208+'Calculations II'!O208-'Calculations II'!W208</f>
        <v>99.499487126490592</v>
      </c>
      <c r="Z208" s="95">
        <f ca="1">Y208-Sheet1!CT211</f>
        <v>83.777487126490598</v>
      </c>
      <c r="AA208" s="95">
        <f ca="1">Y208+Calculation!DJ209+Calculation!AS209</f>
        <v>120.72397079153001</v>
      </c>
      <c r="AC208" s="95">
        <f>Sheet1!AA210+Sheet1!AB210+BC208</f>
        <v>100.19999999999999</v>
      </c>
      <c r="AD208" s="95">
        <f>Sheet1!AA210+Sheet1!BN210+'Calculations II'!BC208-Calculation!AS208-Calculation!DJ208</f>
        <v>57.450056454648113</v>
      </c>
      <c r="AE208" s="95">
        <f>Sheet1!AA210+Sheet1!AB210+'Calculations II'!BC208-Calculation!AS208-Calculation!DJ208</f>
        <v>78.750056454648103</v>
      </c>
      <c r="AF208" s="95">
        <f ca="1">Sheet1!AA210+Sheet1!BN210+P208+'Calculations II'!BC208+Calculation!AS208+Calculation!DJ208</f>
        <v>100.88943067184249</v>
      </c>
      <c r="AG208" s="95">
        <f ca="1">IF(B208=TODAY(),0,Sheet1!AA210+Sheet1!BN210+'Calculations II'!BC208+'Calculations II'!P208-Sheet1!CT210-BP208)</f>
        <v>63.760487126490588</v>
      </c>
      <c r="AH208" s="95">
        <f ca="1">IF(B208=TODAY(),0,Sheet1!AA210+Sheet1!BN210+'Calculations II'!BC208+'Calculations II'!P208-BP208)</f>
        <v>79.43948712649059</v>
      </c>
      <c r="AI208" s="95">
        <f ca="1">IF(B208=TODAY(),0,BC208+Sheet1!AA210+Calculation!ES208+O208+W208+Sheet1!BN210+Calculation!AS208+Calculation!DJ208-BP208)</f>
        <v>100.88943067184246</v>
      </c>
      <c r="AJ208" s="95"/>
      <c r="AM208" s="91">
        <f t="shared" si="23"/>
        <v>41836</v>
      </c>
      <c r="AN208" s="95">
        <f>Sheet1!BU210</f>
        <v>44.5</v>
      </c>
      <c r="AO208" s="95">
        <f>Sheet1!AA210</f>
        <v>47.3</v>
      </c>
      <c r="AP208" s="95">
        <f t="shared" si="25"/>
        <v>-1.2326499999999958</v>
      </c>
      <c r="AQ208" s="1055">
        <f>((Sheet1!BV210-(Sheet1!BU210-AP208))/(Sheet1!BU210-AP208))</f>
        <v>0.11955025567073002</v>
      </c>
      <c r="AR208" s="95">
        <f t="shared" si="26"/>
        <v>48.53264999999999</v>
      </c>
      <c r="AS208" s="95">
        <f t="shared" si="27"/>
        <v>45.732649999999992</v>
      </c>
      <c r="AT208" s="90">
        <f>Sheet1!BB210</f>
        <v>1.6</v>
      </c>
      <c r="AU208" s="90">
        <f>Sheet1!AS210*GPMtoMGD</f>
        <v>3.9600000000000003E-2</v>
      </c>
      <c r="AV208" s="95">
        <f>Sheet1!AT210</f>
        <v>0</v>
      </c>
      <c r="AW208" s="90">
        <f>Sheet1!AV210*GPMtoMGD</f>
        <v>2.2354560000000001</v>
      </c>
      <c r="AX208" s="90">
        <f>Sheet1!AW210*GPMtoMGD</f>
        <v>1.708272</v>
      </c>
      <c r="AY208" s="90">
        <f>Sheet1!AX210*GPMtoMGD</f>
        <v>0.146592</v>
      </c>
      <c r="AZ208" s="90">
        <f>Sheet1!AY210*GPMtoMGD</f>
        <v>0</v>
      </c>
      <c r="BA208" s="90">
        <f>Sheet1!AZ210*GPMtoMGD</f>
        <v>0</v>
      </c>
      <c r="BB208" s="90">
        <f>Sheet1!BP210*GPMtoMGD</f>
        <v>0</v>
      </c>
      <c r="BC208" s="90">
        <f>Sheet1!CS210*GPMtoMGD</f>
        <v>0</v>
      </c>
      <c r="BD208" s="90">
        <f>Sheet1!BO210*GPMtoMGD</f>
        <v>4.1951520000000002</v>
      </c>
      <c r="BE208" s="90">
        <f>Sheet1!BW210*GPMtoMGD</f>
        <v>2.2874400000000001</v>
      </c>
      <c r="BF208" s="90">
        <f>Sheet1!CN210*GPMtoMGD</f>
        <v>1.7280000000000002</v>
      </c>
      <c r="BG208" s="90">
        <f>Sheet1!CO210*GPMtoMGD</f>
        <v>1.6473600000000002</v>
      </c>
      <c r="BH208" s="90">
        <f>Sheet1!CP210*GPMtoMGD</f>
        <v>1.06704</v>
      </c>
      <c r="BI208" s="90">
        <f t="shared" si="24"/>
        <v>4.1951520000000002</v>
      </c>
      <c r="BK208" s="95">
        <f>SUM(AT208:BA208,BE208,Sheet1!BV210,'Calculations II'!BC208,Calculation!AQ208)</f>
        <v>90.67464264960482</v>
      </c>
      <c r="BM208" s="373">
        <f>0</f>
        <v>0</v>
      </c>
      <c r="BN208" s="373">
        <f>0</f>
        <v>0</v>
      </c>
      <c r="BP208" s="95">
        <f>SUM(BM208:BN208,W208,Sheet1!DX210)</f>
        <v>0</v>
      </c>
    </row>
    <row r="209" spans="1:68" s="90" customFormat="1">
      <c r="A209" s="651" t="s">
        <v>7</v>
      </c>
      <c r="B209" s="92">
        <v>41837</v>
      </c>
      <c r="C209" s="93">
        <v>0</v>
      </c>
      <c r="D209" s="95">
        <f>(Sheet1!BQ211-Sheet1!BQ210)*1.385</f>
        <v>2.4375999999999971</v>
      </c>
      <c r="E209" s="30">
        <f>(Sheet1!BR211-Sheet1!BR210)*1.385</f>
        <v>2.4652999999999965</v>
      </c>
      <c r="F209" s="30">
        <f ca="1">IF(B209=TODAY(),0,-(VLOOKUP(Sheet1!CD211,Lookup!$I$4:$J$216,2)-VLOOKUP(Sheet1!CD210,Lookup!$I$4:$J$216,2))/1000000)</f>
        <v>1.2436432625735998</v>
      </c>
      <c r="G209" s="95">
        <f ca="1">IF(B209=TODAY(),0,-$G$6*(Sheet1!CF211-Sheet1!CF210)*7.48/1000000)</f>
        <v>-0.69498626841978772</v>
      </c>
      <c r="H209" s="95">
        <f ca="1">IF(B209=TODAY(),0,-$H$6*(Sheet1!CE211-Sheet1!CE210)*7.48/1000000)</f>
        <v>-4.5118297053795817E-2</v>
      </c>
      <c r="I209" s="95">
        <f ca="1">IF(B209=TODAY(),0,-$I$6*(Sheet1!CG211-Sheet1!CG210)*7.48/1000000)</f>
        <v>-8.535727199999997E-2</v>
      </c>
      <c r="J209" s="96" t="s">
        <v>186</v>
      </c>
      <c r="K209" s="95">
        <f ca="1">IF(B209=TODAY(),0,-$K$6*(Sheet1!CH211-Sheet1!CH210)*7.48/1000000)</f>
        <v>-0.14526038416319401</v>
      </c>
      <c r="L209" s="96" t="s">
        <v>186</v>
      </c>
      <c r="M209" s="95">
        <f ca="1">IF(B209=TODAY(),0,-$M$6*(Sheet1!CI211-Sheet1!CI210)*7.48/1000000)</f>
        <v>-0.37782167698856822</v>
      </c>
      <c r="N209" s="95">
        <f ca="1">IF(B209=TODAY(),0,-$N$6*(Sheet1!CJ211-Sheet1!CJ210)*7.48/1000000)</f>
        <v>0.55226587401215299</v>
      </c>
      <c r="O209" s="95">
        <f t="shared" ca="1" si="21"/>
        <v>0.44736523796040711</v>
      </c>
      <c r="P209" s="95">
        <f ca="1">O209+Calculation!ES209</f>
        <v>-4.2627514161281121</v>
      </c>
      <c r="Q209" s="90" t="str">
        <f>IF(Sheet1!BQ211&gt;25.75,"spill elevation","-")</f>
        <v>-</v>
      </c>
      <c r="R209" s="90" t="str">
        <f>IF(Sheet1!BQ211&gt;25.75,"spill elevation","-")</f>
        <v>-</v>
      </c>
      <c r="S209" s="90" t="str">
        <f>IF(Sheet1!BR211&gt;25.75,"spill elevation","-")</f>
        <v>-</v>
      </c>
      <c r="T209" s="94">
        <f>IF(Sheet1!DU211=1,Sheet1!AA211-(SUM(AT209:BA209)+BE209),Sheet1!AA211-SUM(AT209:BA209))</f>
        <v>41.679136</v>
      </c>
      <c r="U209" s="94">
        <f>Sheet1!BV211</f>
        <v>45.4</v>
      </c>
      <c r="V209" s="94">
        <f t="shared" si="22"/>
        <v>-3.7208639999999988</v>
      </c>
      <c r="W209" s="94">
        <f>0</f>
        <v>0</v>
      </c>
      <c r="X209" s="90">
        <f>0</f>
        <v>0</v>
      </c>
      <c r="Y209" s="95">
        <f ca="1">Calculation!EJ210+Calculation!ES209+'Calculations II'!O209-'Calculations II'!W209</f>
        <v>91.917248583871896</v>
      </c>
      <c r="Z209" s="95">
        <f ca="1">Y209-Sheet1!CT212</f>
        <v>75.682248583871896</v>
      </c>
      <c r="AA209" s="95">
        <f ca="1">Y209+Calculation!DJ210+Calculation!AS210</f>
        <v>113.38292784842756</v>
      </c>
      <c r="AC209" s="95">
        <f>Sheet1!AA211+Sheet1!AB211+BC209</f>
        <v>98.960000000000008</v>
      </c>
      <c r="AD209" s="95">
        <f>Sheet1!AA211+Sheet1!BN211+'Calculations II'!BC209-Calculation!AS209-Calculation!DJ209</f>
        <v>57.135516334960577</v>
      </c>
      <c r="AE209" s="95">
        <f>Sheet1!AA211+Sheet1!AB211+'Calculations II'!BC209-Calculation!AS209-Calculation!DJ209</f>
        <v>77.735516334960579</v>
      </c>
      <c r="AF209" s="95">
        <f ca="1">Sheet1!AA211+Sheet1!BN211+P209+'Calculations II'!BC209+Calculation!AS209+Calculation!DJ209</f>
        <v>95.321732248911303</v>
      </c>
      <c r="AG209" s="95">
        <f ca="1">IF(B209=TODAY(),0,Sheet1!AA211+Sheet1!BN211+'Calculations II'!BC209+'Calculations II'!P209-Sheet1!CT211-BP209)</f>
        <v>58.375248583871887</v>
      </c>
      <c r="AH209" s="95">
        <f ca="1">IF(B209=TODAY(),0,Sheet1!AA211+Sheet1!BN211+'Calculations II'!BC209+'Calculations II'!P209-BP209)</f>
        <v>74.097248583871888</v>
      </c>
      <c r="AI209" s="95">
        <f ca="1">IF(B209=TODAY(),0,BC209+Sheet1!AA211+Calculation!ES209+O209+W209+Sheet1!BN211+Calculation!AS209+Calculation!DJ209-BP209)</f>
        <v>95.321732248911303</v>
      </c>
      <c r="AJ209" s="95"/>
      <c r="AM209" s="91">
        <f t="shared" si="23"/>
        <v>41837</v>
      </c>
      <c r="AN209" s="95">
        <f>Sheet1!BU211</f>
        <v>45.1</v>
      </c>
      <c r="AO209" s="95">
        <f>Sheet1!AA211</f>
        <v>46.7</v>
      </c>
      <c r="AP209" s="95">
        <f t="shared" si="25"/>
        <v>4.9028999999999936</v>
      </c>
      <c r="AQ209" s="1055">
        <f>((Sheet1!BV211-(Sheet1!BU211-AP209))/(Sheet1!BU211-AP209))</f>
        <v>0.1294347104641875</v>
      </c>
      <c r="AR209" s="95">
        <f t="shared" si="26"/>
        <v>41.797100000000007</v>
      </c>
      <c r="AS209" s="95">
        <f t="shared" si="27"/>
        <v>40.197100000000006</v>
      </c>
      <c r="AT209" s="90">
        <f>Sheet1!BB211</f>
        <v>1.6</v>
      </c>
      <c r="AU209" s="90">
        <f>Sheet1!AS211*GPMtoMGD</f>
        <v>3.456E-2</v>
      </c>
      <c r="AV209" s="95">
        <f>Sheet1!AT211</f>
        <v>0</v>
      </c>
      <c r="AW209" s="90">
        <f>Sheet1!AV211*GPMtoMGD</f>
        <v>1.904112</v>
      </c>
      <c r="AX209" s="90">
        <f>Sheet1!AW211*GPMtoMGD</f>
        <v>1.3795200000000001</v>
      </c>
      <c r="AY209" s="90">
        <f>Sheet1!AX211*GPMtoMGD</f>
        <v>0.102672</v>
      </c>
      <c r="AZ209" s="90">
        <f>Sheet1!AY211*GPMtoMGD</f>
        <v>0</v>
      </c>
      <c r="BA209" s="90">
        <f>Sheet1!AZ211*GPMtoMGD</f>
        <v>0</v>
      </c>
      <c r="BB209" s="90">
        <f>Sheet1!BP211*GPMtoMGD</f>
        <v>0</v>
      </c>
      <c r="BC209" s="90">
        <f>Sheet1!CS211*GPMtoMGD</f>
        <v>0</v>
      </c>
      <c r="BD209" s="90">
        <f>Sheet1!BO211*GPMtoMGD</f>
        <v>4.5504000000000007</v>
      </c>
      <c r="BE209" s="90">
        <f>Sheet1!BW211*GPMtoMGD</f>
        <v>2.430288</v>
      </c>
      <c r="BF209" s="90">
        <f>Sheet1!CN211*GPMtoMGD</f>
        <v>1.7280000000000002</v>
      </c>
      <c r="BG209" s="90">
        <f>Sheet1!CO211*GPMtoMGD</f>
        <v>1.605024</v>
      </c>
      <c r="BH209" s="90">
        <f>Sheet1!CP211*GPMtoMGD</f>
        <v>1.019952</v>
      </c>
      <c r="BI209" s="90">
        <f t="shared" si="24"/>
        <v>4.5504000000000007</v>
      </c>
      <c r="BK209" s="95">
        <f>SUM(AT209:BA209,BE209,Sheet1!BV211,'Calculations II'!BC209,Calculation!AQ209)</f>
        <v>83.916709641757421</v>
      </c>
      <c r="BM209" s="373">
        <f>0</f>
        <v>0</v>
      </c>
      <c r="BN209" s="373">
        <f>0</f>
        <v>0</v>
      </c>
      <c r="BP209" s="95">
        <f>SUM(BM209:BN209,W209,Sheet1!DX211)</f>
        <v>0</v>
      </c>
    </row>
    <row r="210" spans="1:68" s="90" customFormat="1">
      <c r="A210" s="651" t="s">
        <v>8</v>
      </c>
      <c r="B210" s="92">
        <v>41838</v>
      </c>
      <c r="C210" s="93">
        <v>0</v>
      </c>
      <c r="D210" s="95">
        <f>(Sheet1!BQ212-Sheet1!BQ211)*1.385</f>
        <v>0.8448500000000041</v>
      </c>
      <c r="E210" s="30">
        <f>(Sheet1!BR212-Sheet1!BR211)*1.385</f>
        <v>0.78945000000000043</v>
      </c>
      <c r="F210" s="30">
        <f ca="1">IF(B210=TODAY(),0,-(VLOOKUP(Sheet1!CD212,Lookup!$I$4:$J$216,2)-VLOOKUP(Sheet1!CD211,Lookup!$I$4:$J$216,2))/1000000)</f>
        <v>0.20727387709559872</v>
      </c>
      <c r="G210" s="95">
        <f ca="1">IF(B210=TODAY(),0,-$G$6*(Sheet1!CF212-Sheet1!CF211)*7.48/1000000)</f>
        <v>0.79427002105118594</v>
      </c>
      <c r="H210" s="95">
        <f ca="1">IF(B210=TODAY(),0,-$H$6*(Sheet1!CE212-Sheet1!CE211)*7.48/1000000)</f>
        <v>-3.0078864702529479E-2</v>
      </c>
      <c r="I210" s="95">
        <f ca="1">IF(B210=TODAY(),0,-$I$6*(Sheet1!CG212-Sheet1!CG211)*7.48/1000000)</f>
        <v>6.289483199999997E-2</v>
      </c>
      <c r="J210" s="96" t="s">
        <v>186</v>
      </c>
      <c r="K210" s="95">
        <f ca="1">IF(B210=TODAY(),0,-$K$6*(Sheet1!CH212-Sheet1!CH211)*7.48/1000000)</f>
        <v>0.10661312599133504</v>
      </c>
      <c r="L210" s="96" t="s">
        <v>186</v>
      </c>
      <c r="M210" s="95">
        <f ca="1">IF(B210=TODAY(),0,-$M$6*(Sheet1!CI212-Sheet1!CI211)*7.48/1000000)</f>
        <v>0.29685988906244604</v>
      </c>
      <c r="N210" s="95">
        <f ca="1">IF(B210=TODAY(),0,-$N$6*(Sheet1!CJ212-Sheet1!CJ211)*7.48/1000000)</f>
        <v>-0.1178994562497851</v>
      </c>
      <c r="O210" s="95">
        <f t="shared" ref="O210:O273" ca="1" si="28">SUM(F210:I210)+K210+SUM(M210:N210)</f>
        <v>1.319933424248251</v>
      </c>
      <c r="P210" s="95">
        <f ca="1">O210+Calculation!ES210</f>
        <v>-0.48197748489552472</v>
      </c>
      <c r="Q210" s="90" t="str">
        <f>IF(Sheet1!BQ212&gt;25.75,"spill elevation","-")</f>
        <v>-</v>
      </c>
      <c r="R210" s="90" t="str">
        <f>IF(Sheet1!BQ212&gt;25.75,"spill elevation","-")</f>
        <v>-</v>
      </c>
      <c r="S210" s="90" t="str">
        <f>IF(Sheet1!BR212&gt;25.75,"spill elevation","-")</f>
        <v>-</v>
      </c>
      <c r="T210" s="94">
        <f>IF(Sheet1!DU212=1,Sheet1!AA212-(SUM(AT210:BA210)+BE210),Sheet1!AA212-SUM(AT210:BA210))</f>
        <v>42.830784000000001</v>
      </c>
      <c r="U210" s="94">
        <f>Sheet1!BV212</f>
        <v>49</v>
      </c>
      <c r="V210" s="94">
        <f t="shared" ref="V210:V273" si="29">T210-U210</f>
        <v>-6.1692159999999987</v>
      </c>
      <c r="W210" s="94">
        <f>0</f>
        <v>0</v>
      </c>
      <c r="X210" s="90">
        <f>0</f>
        <v>0</v>
      </c>
      <c r="Y210" s="95">
        <f ca="1">Calculation!EJ211+Calculation!ES210+'Calculations II'!O210-'Calculations II'!W210</f>
        <v>92.238022515104475</v>
      </c>
      <c r="Z210" s="95">
        <f ca="1">Y210-Sheet1!CT213</f>
        <v>76.010022515104481</v>
      </c>
      <c r="AA210" s="95">
        <f ca="1">Y210+Calculation!DJ211+Calculation!AS211</f>
        <v>112.98785771615918</v>
      </c>
      <c r="AC210" s="95">
        <f>Sheet1!AA212+Sheet1!AB212+BC210</f>
        <v>96.18</v>
      </c>
      <c r="AD210" s="95">
        <f>Sheet1!AA212+Sheet1!BN212+'Calculations II'!BC210-Calculation!AS210-Calculation!DJ210</f>
        <v>53.514320735444343</v>
      </c>
      <c r="AE210" s="95">
        <f>Sheet1!AA212+Sheet1!AB212+'Calculations II'!BC210-Calculation!AS210-Calculation!DJ210</f>
        <v>74.714320735444346</v>
      </c>
      <c r="AF210" s="95">
        <f ca="1">Sheet1!AA212+Sheet1!BN212+P210+'Calculations II'!BC210+Calculation!AS210+Calculation!DJ210</f>
        <v>95.963701779660141</v>
      </c>
      <c r="AG210" s="95">
        <f ca="1">IF(B210=TODAY(),0,Sheet1!AA212+Sheet1!BN212+'Calculations II'!BC210+'Calculations II'!P210-Sheet1!CT212-BP210)</f>
        <v>58.263022515104481</v>
      </c>
      <c r="AH210" s="95">
        <f ca="1">IF(B210=TODAY(),0,Sheet1!AA212+Sheet1!BN212+'Calculations II'!BC210+'Calculations II'!P210-BP210)</f>
        <v>74.498022515104481</v>
      </c>
      <c r="AI210" s="95">
        <f ca="1">IF(B210=TODAY(),0,BC210+Sheet1!AA212+Calculation!ES210+O210+W210+Sheet1!BN212+Calculation!AS210+Calculation!DJ210-BP210)</f>
        <v>95.963701779660127</v>
      </c>
      <c r="AJ210" s="95"/>
      <c r="AM210" s="91">
        <f t="shared" ref="AM210:AM273" si="30">B210</f>
        <v>41838</v>
      </c>
      <c r="AN210" s="95">
        <f>Sheet1!BU212</f>
        <v>45.4</v>
      </c>
      <c r="AO210" s="95">
        <f>Sheet1!AA212</f>
        <v>47.68</v>
      </c>
      <c r="AP210" s="95">
        <f t="shared" si="25"/>
        <v>1.6343000000000045</v>
      </c>
      <c r="AQ210" s="1055">
        <f>((Sheet1!BV212-(Sheet1!BU212-AP210))/(Sheet1!BU212-AP210))</f>
        <v>0.11959822418012291</v>
      </c>
      <c r="AR210" s="95">
        <f t="shared" si="26"/>
        <v>46.045699999999997</v>
      </c>
      <c r="AS210" s="95">
        <f t="shared" si="27"/>
        <v>43.765699999999995</v>
      </c>
      <c r="AT210" s="90">
        <f>Sheet1!BB212</f>
        <v>1.6</v>
      </c>
      <c r="AU210" s="90">
        <f>Sheet1!AS212*GPMtoMGD</f>
        <v>3.2112000000000002E-2</v>
      </c>
      <c r="AV210" s="95">
        <f>Sheet1!AT212</f>
        <v>0</v>
      </c>
      <c r="AW210" s="90">
        <f>Sheet1!AV212*GPMtoMGD</f>
        <v>1.5396480000000001</v>
      </c>
      <c r="AX210" s="90">
        <f>Sheet1!AW212*GPMtoMGD</f>
        <v>1.571472</v>
      </c>
      <c r="AY210" s="90">
        <f>Sheet1!AX212*GPMtoMGD</f>
        <v>0.10598399999999999</v>
      </c>
      <c r="AZ210" s="90">
        <f>Sheet1!AY212*GPMtoMGD</f>
        <v>0</v>
      </c>
      <c r="BA210" s="90">
        <f>Sheet1!AZ212*GPMtoMGD</f>
        <v>0</v>
      </c>
      <c r="BB210" s="90">
        <f>Sheet1!BP212*GPMtoMGD</f>
        <v>0</v>
      </c>
      <c r="BC210" s="90">
        <f>Sheet1!CS212*GPMtoMGD</f>
        <v>0</v>
      </c>
      <c r="BD210" s="90">
        <f>Sheet1!BO212*GPMtoMGD</f>
        <v>3.6691200000000004</v>
      </c>
      <c r="BE210" s="90">
        <f>Sheet1!BW212*GPMtoMGD</f>
        <v>2.112768</v>
      </c>
      <c r="BF210" s="90">
        <f>Sheet1!CN212*GPMtoMGD</f>
        <v>1.7280000000000002</v>
      </c>
      <c r="BG210" s="90">
        <f>Sheet1!CO212*GPMtoMGD</f>
        <v>1.526832</v>
      </c>
      <c r="BH210" s="90">
        <f>Sheet1!CP212*GPMtoMGD</f>
        <v>1.0219680000000002</v>
      </c>
      <c r="BI210" s="90">
        <f t="shared" ref="BI210:BI273" si="31">BD210+BB210</f>
        <v>3.6691200000000004</v>
      </c>
      <c r="BK210" s="95">
        <f>SUM(AT210:BA210,BE210,Sheet1!BV212,'Calculations II'!BC210,Calculation!AQ210)</f>
        <v>83.011013622063331</v>
      </c>
      <c r="BM210" s="373">
        <f>0</f>
        <v>0</v>
      </c>
      <c r="BN210" s="373">
        <f>0</f>
        <v>0</v>
      </c>
      <c r="BP210" s="95">
        <f>SUM(BM210:BN210,W210,Sheet1!DX212)</f>
        <v>0</v>
      </c>
    </row>
    <row r="211" spans="1:68" s="90" customFormat="1">
      <c r="A211" s="651" t="s">
        <v>9</v>
      </c>
      <c r="B211" s="92">
        <v>41839</v>
      </c>
      <c r="C211" s="93">
        <v>0</v>
      </c>
      <c r="D211" s="95">
        <f>(Sheet1!BQ213-Sheet1!BQ212)*1.385</f>
        <v>1.0110499999999958</v>
      </c>
      <c r="E211" s="30">
        <f>(Sheet1!BR213-Sheet1!BR212)*1.385</f>
        <v>1.0249000000000028</v>
      </c>
      <c r="F211" s="30">
        <f ca="1">IF(B211=TODAY(),0,-(VLOOKUP(Sheet1!CD213,Lookup!$I$4:$J$216,2)-VLOOKUP(Sheet1!CD212,Lookup!$I$4:$J$216,2))/1000000)</f>
        <v>0.20727387709559872</v>
      </c>
      <c r="G211" s="95">
        <f ca="1">IF(B211=TODAY(),0,-$G$6*(Sheet1!CF213-Sheet1!CF212)*7.48/1000000)</f>
        <v>-0.99283752631398237</v>
      </c>
      <c r="H211" s="95">
        <f ca="1">IF(B211=TODAY(),0,-$H$6*(Sheet1!CE213-Sheet1!CE212)*7.48/1000000)</f>
        <v>-1.5039432351265274E-2</v>
      </c>
      <c r="I211" s="95">
        <f ca="1">IF(B211=TODAY(),0,-$I$6*(Sheet1!CG213-Sheet1!CG212)*7.48/1000000)</f>
        <v>-7.1879808000000031E-2</v>
      </c>
      <c r="J211" s="96" t="s">
        <v>186</v>
      </c>
      <c r="K211" s="95">
        <f ca="1">IF(B211=TODAY(),0,-$K$6*(Sheet1!CH213-Sheet1!CH212)*7.48/1000000)</f>
        <v>-0.12660308711471041</v>
      </c>
      <c r="L211" s="96" t="s">
        <v>186</v>
      </c>
      <c r="M211" s="95">
        <f ca="1">IF(B211=TODAY(),0,-$M$6*(Sheet1!CI213-Sheet1!CI212)*7.48/1000000)</f>
        <v>-0.35083441434652729</v>
      </c>
      <c r="N211" s="95">
        <f ca="1">IF(B211=TODAY(),0,-$N$6*(Sheet1!CJ213-Sheet1!CJ212)*7.48/1000000)</f>
        <v>0.30405649243365612</v>
      </c>
      <c r="O211" s="95">
        <f t="shared" ca="1" si="28"/>
        <v>-1.0458638985972306</v>
      </c>
      <c r="P211" s="95">
        <f ca="1">O211+Calculation!ES211</f>
        <v>-2.986984058900056</v>
      </c>
      <c r="Q211" s="90" t="str">
        <f>IF(Sheet1!BQ213&gt;25.75,"spill elevation","-")</f>
        <v>-</v>
      </c>
      <c r="R211" s="90" t="str">
        <f>IF(Sheet1!BQ213&gt;25.75,"spill elevation","-")</f>
        <v>-</v>
      </c>
      <c r="S211" s="90" t="str">
        <f>IF(Sheet1!BR213&gt;25.75,"spill elevation","-")</f>
        <v>-</v>
      </c>
      <c r="T211" s="94">
        <f>IF(Sheet1!DU213=1,Sheet1!AA213-(SUM(AT211:BA211)+BE211),Sheet1!AA213-SUM(AT211:BA211))</f>
        <v>43.495232000000001</v>
      </c>
      <c r="U211" s="94">
        <f>Sheet1!BV213</f>
        <v>48.7</v>
      </c>
      <c r="V211" s="94">
        <f t="shared" si="29"/>
        <v>-5.2047680000000014</v>
      </c>
      <c r="W211" s="94">
        <f>0</f>
        <v>0</v>
      </c>
      <c r="X211" s="90">
        <f>0</f>
        <v>0</v>
      </c>
      <c r="Y211" s="95">
        <f ca="1">Calculation!EJ212+Calculation!ES211+'Calculations II'!O211-'Calculations II'!W211</f>
        <v>89.863015941099931</v>
      </c>
      <c r="Z211" s="95">
        <f ca="1">Y211-Sheet1!CT214</f>
        <v>73.004015941099937</v>
      </c>
      <c r="AA211" s="95">
        <f ca="1">Y211+Calculation!DJ212+Calculation!AS212</f>
        <v>110.24735315807069</v>
      </c>
      <c r="AC211" s="95">
        <f>Sheet1!AA213+Sheet1!AB213+BC211</f>
        <v>92.72</v>
      </c>
      <c r="AD211" s="95">
        <f>Sheet1!AA213+Sheet1!BN213+'Calculations II'!BC211-Calculation!AS211-Calculation!DJ211</f>
        <v>51.570164798945285</v>
      </c>
      <c r="AE211" s="95">
        <f>Sheet1!AA213+Sheet1!AB213+'Calculations II'!BC211-Calculation!AS211-Calculation!DJ211</f>
        <v>71.970164798945291</v>
      </c>
      <c r="AF211" s="95">
        <f ca="1">Sheet1!AA213+Sheet1!BN213+P211+'Calculations II'!BC211+Calculation!AS211+Calculation!DJ211</f>
        <v>90.082851142154652</v>
      </c>
      <c r="AG211" s="95">
        <f ca="1">IF(B211=TODAY(),0,Sheet1!AA213+Sheet1!BN213+'Calculations II'!BC211+'Calculations II'!P211-Sheet1!CT213-BP211)</f>
        <v>53.105015941099943</v>
      </c>
      <c r="AH211" s="95">
        <f ca="1">IF(B211=TODAY(),0,Sheet1!AA213+Sheet1!BN213+'Calculations II'!BC211+'Calculations II'!P211-BP211)</f>
        <v>69.333015941099944</v>
      </c>
      <c r="AI211" s="95">
        <f ca="1">IF(B211=TODAY(),0,BC211+Sheet1!AA213+Calculation!ES211+O211+W211+Sheet1!BN213+Calculation!AS211+Calculation!DJ211-BP211)</f>
        <v>90.082851142154652</v>
      </c>
      <c r="AJ211" s="95"/>
      <c r="AM211" s="91">
        <f t="shared" si="30"/>
        <v>41839</v>
      </c>
      <c r="AN211" s="95">
        <f>Sheet1!BU213</f>
        <v>45.5</v>
      </c>
      <c r="AO211" s="95">
        <f>Sheet1!AA213</f>
        <v>47.82</v>
      </c>
      <c r="AP211" s="95">
        <f t="shared" si="25"/>
        <v>2.0359499999999988</v>
      </c>
      <c r="AQ211" s="1055">
        <f>((Sheet1!BV213-(Sheet1!BU213-AP211))/(Sheet1!BU213-AP211))</f>
        <v>0.12046622438544044</v>
      </c>
      <c r="AR211" s="95">
        <f t="shared" si="26"/>
        <v>45.784050000000001</v>
      </c>
      <c r="AS211" s="95">
        <f t="shared" si="27"/>
        <v>43.46405</v>
      </c>
      <c r="AT211" s="90">
        <f>Sheet1!BB213</f>
        <v>1.6</v>
      </c>
      <c r="AU211" s="90">
        <f>Sheet1!AS213*GPMtoMGD</f>
        <v>2.0303999999999999E-2</v>
      </c>
      <c r="AV211" s="95">
        <f>Sheet1!AT213</f>
        <v>0</v>
      </c>
      <c r="AW211" s="90">
        <f>Sheet1!AV213*GPMtoMGD</f>
        <v>1.5315840000000001</v>
      </c>
      <c r="AX211" s="90">
        <f>Sheet1!AW213*GPMtoMGD</f>
        <v>1.1017440000000001</v>
      </c>
      <c r="AY211" s="90">
        <f>Sheet1!AX213*GPMtoMGD</f>
        <v>7.1136000000000005E-2</v>
      </c>
      <c r="AZ211" s="90">
        <f>Sheet1!AY213*GPMtoMGD</f>
        <v>0</v>
      </c>
      <c r="BA211" s="90">
        <f>Sheet1!AZ213*GPMtoMGD</f>
        <v>0</v>
      </c>
      <c r="BB211" s="90">
        <f>Sheet1!BP213*GPMtoMGD</f>
        <v>0</v>
      </c>
      <c r="BC211" s="90">
        <f>Sheet1!CS213*GPMtoMGD</f>
        <v>0</v>
      </c>
      <c r="BD211" s="90">
        <f>Sheet1!BO213*GPMtoMGD</f>
        <v>4.1646239999999999</v>
      </c>
      <c r="BE211" s="90">
        <f>Sheet1!BW213*GPMtoMGD</f>
        <v>1.9810080000000001</v>
      </c>
      <c r="BF211" s="90">
        <f>Sheet1!CN213*GPMtoMGD</f>
        <v>1.7280000000000002</v>
      </c>
      <c r="BG211" s="90">
        <f>Sheet1!CO213*GPMtoMGD</f>
        <v>1.296864</v>
      </c>
      <c r="BH211" s="90">
        <f>Sheet1!CP213*GPMtoMGD</f>
        <v>0.95961600000000002</v>
      </c>
      <c r="BI211" s="90">
        <f t="shared" si="31"/>
        <v>4.1646239999999999</v>
      </c>
      <c r="BK211" s="95">
        <f>SUM(AT211:BA211,BE211,Sheet1!BV213,'Calculations II'!BC211,Calculation!AQ211)</f>
        <v>79.177386635025272</v>
      </c>
      <c r="BM211" s="373">
        <f>0</f>
        <v>0</v>
      </c>
      <c r="BN211" s="373">
        <f>0</f>
        <v>0</v>
      </c>
      <c r="BP211" s="95">
        <f>SUM(BM211:BN211,W211,Sheet1!DX213)</f>
        <v>0</v>
      </c>
    </row>
    <row r="212" spans="1:68" s="90" customFormat="1">
      <c r="A212" s="651" t="s">
        <v>3</v>
      </c>
      <c r="B212" s="92">
        <v>41840</v>
      </c>
      <c r="C212" s="93">
        <v>0</v>
      </c>
      <c r="D212" s="95">
        <f>(Sheet1!BQ214-Sheet1!BQ213)*1.385</f>
        <v>1.3988500000000021</v>
      </c>
      <c r="E212" s="30">
        <f>(Sheet1!BR214-Sheet1!BR213)*1.385</f>
        <v>1.4265499999999967</v>
      </c>
      <c r="F212" s="30">
        <f ca="1">IF(B212=TODAY(),0,-(VLOOKUP(Sheet1!CD214,Lookup!$I$4:$J$216,2)-VLOOKUP(Sheet1!CD213,Lookup!$I$4:$J$216,2))/1000000)</f>
        <v>-0.20727387709559872</v>
      </c>
      <c r="G212" s="95">
        <f ca="1">IF(B212=TODAY(),0,-$G$6*(Sheet1!CF214-Sheet1!CF213)*7.48/1000000)</f>
        <v>0.55598901473582951</v>
      </c>
      <c r="H212" s="95">
        <f ca="1">IF(B212=TODAY(),0,-$H$6*(Sheet1!CE214-Sheet1!CE213)*7.48/1000000)</f>
        <v>0</v>
      </c>
      <c r="I212" s="95">
        <f ca="1">IF(B212=TODAY(),0,-$I$6*(Sheet1!CG214-Sheet1!CG213)*7.48/1000000)</f>
        <v>5.8402344000000037E-2</v>
      </c>
      <c r="J212" s="96" t="s">
        <v>186</v>
      </c>
      <c r="K212" s="95">
        <f ca="1">IF(B212=TODAY(),0,-$K$6*(Sheet1!CH214-Sheet1!CH213)*7.48/1000000)</f>
        <v>0.10661312599133504</v>
      </c>
      <c r="L212" s="96" t="s">
        <v>186</v>
      </c>
      <c r="M212" s="95">
        <f ca="1">IF(B212=TODAY(),0,-$M$6*(Sheet1!CI214-Sheet1!CI213)*7.48/1000000)</f>
        <v>0.28786413484843304</v>
      </c>
      <c r="N212" s="95">
        <f ca="1">IF(B212=TODAY(),0,-$N$6*(Sheet1!CJ214-Sheet1!CJ213)*7.48/1000000)</f>
        <v>-0.13651515986817186</v>
      </c>
      <c r="O212" s="95">
        <f t="shared" ca="1" si="28"/>
        <v>0.66507958261182698</v>
      </c>
      <c r="P212" s="95">
        <f ca="1">O212+Calculation!ES212</f>
        <v>-2.247774198507889</v>
      </c>
      <c r="Q212" s="90" t="str">
        <f>IF(Sheet1!BQ214&gt;25.75,"spill elevation","-")</f>
        <v>-</v>
      </c>
      <c r="R212" s="90" t="str">
        <f>IF(Sheet1!BQ214&gt;25.75,"spill elevation","-")</f>
        <v>-</v>
      </c>
      <c r="S212" s="90" t="str">
        <f>IF(Sheet1!BR214&gt;25.75,"spill elevation","-")</f>
        <v>-</v>
      </c>
      <c r="T212" s="94">
        <f>IF(Sheet1!DU214=1,Sheet1!AA214-(SUM(AT212:BA212)+BE212),Sheet1!AA214-SUM(AT212:BA212))</f>
        <v>43.786623999999996</v>
      </c>
      <c r="U212" s="94">
        <f>Sheet1!BV214</f>
        <v>48</v>
      </c>
      <c r="V212" s="94">
        <f t="shared" si="29"/>
        <v>-4.2133760000000038</v>
      </c>
      <c r="W212" s="94">
        <f>0</f>
        <v>0</v>
      </c>
      <c r="X212" s="90">
        <f>0</f>
        <v>0</v>
      </c>
      <c r="Y212" s="95">
        <f ca="1">Calculation!EJ213+Calculation!ES212+'Calculations II'!O212-'Calculations II'!W212</f>
        <v>90.582225801492115</v>
      </c>
      <c r="Z212" s="95">
        <f ca="1">Y212-Sheet1!CT215</f>
        <v>74.284225801492113</v>
      </c>
      <c r="AA212" s="95">
        <f ca="1">Y212+Calculation!DJ213+Calculation!AS213</f>
        <v>110.98934518812956</v>
      </c>
      <c r="AC212" s="95">
        <f>Sheet1!AA214+Sheet1!AB214+BC212</f>
        <v>92.85</v>
      </c>
      <c r="AD212" s="95">
        <f>Sheet1!AA214+Sheet1!BN214+'Calculations II'!BC212-Calculation!AS212-Calculation!DJ212</f>
        <v>52.395662783029238</v>
      </c>
      <c r="AE212" s="95">
        <f>Sheet1!AA214+Sheet1!AB214+'Calculations II'!BC212-Calculation!AS212-Calculation!DJ212</f>
        <v>72.465662783029231</v>
      </c>
      <c r="AF212" s="95">
        <f ca="1">Sheet1!AA214+Sheet1!BN214+P212+'Calculations II'!BC212+Calculation!AS212+Calculation!DJ212</f>
        <v>90.916563018462881</v>
      </c>
      <c r="AG212" s="95">
        <f ca="1">IF(B212=TODAY(),0,Sheet1!AA214+Sheet1!BN214+'Calculations II'!BC212+'Calculations II'!P212-Sheet1!CT214-BP212)</f>
        <v>53.673225801492116</v>
      </c>
      <c r="AH212" s="95">
        <f ca="1">IF(B212=TODAY(),0,Sheet1!AA214+Sheet1!BN214+'Calculations II'!BC212+'Calculations II'!P212-BP212)</f>
        <v>70.532225801492118</v>
      </c>
      <c r="AI212" s="95">
        <f ca="1">IF(B212=TODAY(),0,BC212+Sheet1!AA214+Calculation!ES212+O212+W212+Sheet1!BN214+Calculation!AS212+Calculation!DJ212-BP212)</f>
        <v>90.916563018462867</v>
      </c>
      <c r="AJ212" s="95"/>
      <c r="AM212" s="91">
        <f t="shared" si="30"/>
        <v>41840</v>
      </c>
      <c r="AN212" s="95">
        <f>Sheet1!BU214</f>
        <v>45.7</v>
      </c>
      <c r="AO212" s="95">
        <f>Sheet1!AA214</f>
        <v>47.9</v>
      </c>
      <c r="AP212" s="95">
        <f t="shared" si="25"/>
        <v>2.8253999999999988</v>
      </c>
      <c r="AQ212" s="1055">
        <f>((Sheet1!BV214-(Sheet1!BU214-AP212))/(Sheet1!BU214-AP212))</f>
        <v>0.11954397242190012</v>
      </c>
      <c r="AR212" s="95">
        <f t="shared" si="26"/>
        <v>45.074599999999997</v>
      </c>
      <c r="AS212" s="95">
        <f t="shared" si="27"/>
        <v>42.874600000000001</v>
      </c>
      <c r="AT212" s="90">
        <f>Sheet1!BB214</f>
        <v>1.6</v>
      </c>
      <c r="AU212" s="90">
        <f>Sheet1!AS214*GPMtoMGD</f>
        <v>3.7296000000000003E-2</v>
      </c>
      <c r="AV212" s="95">
        <f>Sheet1!AT214</f>
        <v>0</v>
      </c>
      <c r="AW212" s="90">
        <f>Sheet1!AV214*GPMtoMGD</f>
        <v>1.4196960000000001</v>
      </c>
      <c r="AX212" s="90">
        <f>Sheet1!AW214*GPMtoMGD</f>
        <v>0.97099199999999997</v>
      </c>
      <c r="AY212" s="90">
        <f>Sheet1!AX214*GPMtoMGD</f>
        <v>8.5391999999999996E-2</v>
      </c>
      <c r="AZ212" s="90">
        <f>Sheet1!AY214*GPMtoMGD</f>
        <v>0</v>
      </c>
      <c r="BA212" s="90">
        <f>Sheet1!AZ214*GPMtoMGD</f>
        <v>0</v>
      </c>
      <c r="BB212" s="90">
        <f>Sheet1!BP214*GPMtoMGD</f>
        <v>0</v>
      </c>
      <c r="BC212" s="90">
        <f>Sheet1!CS214*GPMtoMGD</f>
        <v>0</v>
      </c>
      <c r="BD212" s="90">
        <f>Sheet1!BO214*GPMtoMGD</f>
        <v>3.4832160000000005</v>
      </c>
      <c r="BE212" s="90">
        <f>Sheet1!BW214*GPMtoMGD</f>
        <v>1.90368</v>
      </c>
      <c r="BF212" s="90">
        <f>Sheet1!CN214*GPMtoMGD</f>
        <v>1.7280000000000002</v>
      </c>
      <c r="BG212" s="90">
        <f>Sheet1!CO214*GPMtoMGD</f>
        <v>1.4119200000000001</v>
      </c>
      <c r="BH212" s="90">
        <f>Sheet1!CP214*GPMtoMGD</f>
        <v>0.96782400000000013</v>
      </c>
      <c r="BI212" s="90">
        <f t="shared" si="31"/>
        <v>3.4832160000000005</v>
      </c>
      <c r="BK212" s="95">
        <f>SUM(AT212:BA212,BE212,Sheet1!BV214,'Calculations II'!BC212,Calculation!AQ212)</f>
        <v>78.601711968344688</v>
      </c>
      <c r="BM212" s="373">
        <f>0</f>
        <v>0</v>
      </c>
      <c r="BN212" s="373">
        <f>0</f>
        <v>0</v>
      </c>
      <c r="BP212" s="95">
        <f>SUM(BM212:BN212,W212,Sheet1!DX214)</f>
        <v>0</v>
      </c>
    </row>
    <row r="213" spans="1:68" s="90" customFormat="1">
      <c r="A213" s="651" t="s">
        <v>4</v>
      </c>
      <c r="B213" s="92">
        <v>41841</v>
      </c>
      <c r="C213" s="93">
        <v>0</v>
      </c>
      <c r="D213" s="95">
        <f>(Sheet1!BQ215-Sheet1!BQ214)*1.385</f>
        <v>-1.0387500000000001</v>
      </c>
      <c r="E213" s="30">
        <f>(Sheet1!BR215-Sheet1!BR214)*1.385</f>
        <v>-1.0110500000000007</v>
      </c>
      <c r="F213" s="30">
        <f ca="1">IF(B213=TODAY(),0,-(VLOOKUP(Sheet1!CD215,Lookup!$I$4:$J$216,2)-VLOOKUP(Sheet1!CD214,Lookup!$I$4:$J$216,2))/1000000)</f>
        <v>-0.10363693854779936</v>
      </c>
      <c r="G213" s="95">
        <f ca="1">IF(B213=TODAY(),0,-$G$6*(Sheet1!CF215-Sheet1!CF214)*7.48/1000000)</f>
        <v>-0.51627551368327118</v>
      </c>
      <c r="H213" s="95">
        <f ca="1">IF(B213=TODAY(),0,-$H$6*(Sheet1!CE215-Sheet1!CE214)*7.48/1000000)</f>
        <v>4.5118297053794748E-2</v>
      </c>
      <c r="I213" s="95">
        <f ca="1">IF(B213=TODAY(),0,-$I$6*(Sheet1!CG215-Sheet1!CG214)*7.48/1000000)</f>
        <v>1.796995199999998E-2</v>
      </c>
      <c r="J213" s="96" t="s">
        <v>186</v>
      </c>
      <c r="K213" s="95">
        <f ca="1">IF(B213=TODAY(),0,-$K$6*(Sheet1!CH215-Sheet1!CH214)*7.48/1000000)</f>
        <v>2.6653281497833796E-2</v>
      </c>
      <c r="L213" s="96" t="s">
        <v>186</v>
      </c>
      <c r="M213" s="95">
        <f ca="1">IF(B213=TODAY(),0,-$M$6*(Sheet1!CI215-Sheet1!CI214)*7.48/1000000)</f>
        <v>7.1966033712107941E-2</v>
      </c>
      <c r="N213" s="95">
        <f ca="1">IF(B213=TODAY(),0,-$N$6*(Sheet1!CJ215-Sheet1!CJ214)*7.48/1000000)</f>
        <v>0</v>
      </c>
      <c r="O213" s="95">
        <f t="shared" ca="1" si="28"/>
        <v>-0.45820488796733405</v>
      </c>
      <c r="P213" s="95">
        <f ca="1">O213+Calculation!ES213</f>
        <v>1.7612442082406647</v>
      </c>
      <c r="Q213" s="90" t="str">
        <f>IF(Sheet1!BQ215&gt;25.75,"spill elevation","-")</f>
        <v>-</v>
      </c>
      <c r="R213" s="90" t="str">
        <f>IF(Sheet1!BQ215&gt;25.75,"spill elevation","-")</f>
        <v>-</v>
      </c>
      <c r="S213" s="90" t="str">
        <f>IF(Sheet1!BR215&gt;25.75,"spill elevation","-")</f>
        <v>-</v>
      </c>
      <c r="T213" s="94">
        <f>IF(Sheet1!DU215=1,Sheet1!AA215-(SUM(AT213:BA213)+BE213),Sheet1!AA215-SUM(AT213:BA213))</f>
        <v>43.00112</v>
      </c>
      <c r="U213" s="94">
        <f>Sheet1!BV215</f>
        <v>52.4</v>
      </c>
      <c r="V213" s="94">
        <f t="shared" si="29"/>
        <v>-9.3988799999999983</v>
      </c>
      <c r="W213" s="94">
        <f>0</f>
        <v>0</v>
      </c>
      <c r="X213" s="90">
        <f>0</f>
        <v>0</v>
      </c>
      <c r="Y213" s="95">
        <f ca="1">Calculation!EJ214+Calculation!ES213+'Calculations II'!O213-'Calculations II'!W213</f>
        <v>89.721244208240648</v>
      </c>
      <c r="Z213" s="95">
        <f ca="1">Y213-Sheet1!CT216</f>
        <v>72.036244208240646</v>
      </c>
      <c r="AA213" s="95">
        <f ca="1">Y213+Calculation!DJ214+Calculation!AS214</f>
        <v>109.88795967920208</v>
      </c>
      <c r="AC213" s="95">
        <f>Sheet1!AA215+Sheet1!AB215+BC213</f>
        <v>92.830000000000013</v>
      </c>
      <c r="AD213" s="95">
        <f>Sheet1!AA215+Sheet1!BN215+'Calculations II'!BC213-Calculation!AS213-Calculation!DJ213</f>
        <v>52.422880613362544</v>
      </c>
      <c r="AE213" s="95">
        <f>Sheet1!AA215+Sheet1!AB215+'Calculations II'!BC213-Calculation!AS213-Calculation!DJ213</f>
        <v>72.422880613362565</v>
      </c>
      <c r="AF213" s="95">
        <f ca="1">Sheet1!AA215+Sheet1!BN215+P213+'Calculations II'!BC213+Calculation!AS213+Calculation!DJ213</f>
        <v>94.998363594878128</v>
      </c>
      <c r="AG213" s="95">
        <f ca="1">IF(B213=TODAY(),0,Sheet1!AA215+Sheet1!BN215+'Calculations II'!BC213+'Calculations II'!P213-Sheet1!CT215-BP213)</f>
        <v>58.293244208240665</v>
      </c>
      <c r="AH213" s="95">
        <f ca="1">IF(B213=TODAY(),0,Sheet1!AA215+Sheet1!BN215+'Calculations II'!BC213+'Calculations II'!P213-BP213)</f>
        <v>74.591244208240667</v>
      </c>
      <c r="AI213" s="95">
        <f ca="1">IF(B213=TODAY(),0,BC213+Sheet1!AA215+Calculation!ES213+O213+W213+Sheet1!BN215+Calculation!AS213+Calculation!DJ213-BP213)</f>
        <v>94.998363594878128</v>
      </c>
      <c r="AJ213" s="95"/>
      <c r="AM213" s="91">
        <f t="shared" si="30"/>
        <v>41841</v>
      </c>
      <c r="AN213" s="95">
        <f>Sheet1!BU215</f>
        <v>45.4</v>
      </c>
      <c r="AO213" s="95">
        <f>Sheet1!AA215</f>
        <v>47.88</v>
      </c>
      <c r="AP213" s="95">
        <f t="shared" si="25"/>
        <v>-2.0498000000000007</v>
      </c>
      <c r="AQ213" s="1055">
        <f>((Sheet1!BV215-(Sheet1!BU215-AP213))/(Sheet1!BU215-AP213))</f>
        <v>0.10432499188616186</v>
      </c>
      <c r="AR213" s="95">
        <f t="shared" si="26"/>
        <v>49.9298</v>
      </c>
      <c r="AS213" s="95">
        <f t="shared" si="27"/>
        <v>47.449799999999996</v>
      </c>
      <c r="AT213" s="90">
        <f>Sheet1!BB215</f>
        <v>1.6</v>
      </c>
      <c r="AU213" s="90">
        <f>Sheet1!AS215*GPMtoMGD</f>
        <v>2.0303999999999999E-2</v>
      </c>
      <c r="AV213" s="95">
        <f>Sheet1!AT215</f>
        <v>0</v>
      </c>
      <c r="AW213" s="90">
        <f>Sheet1!AV215*GPMtoMGD</f>
        <v>1.785312</v>
      </c>
      <c r="AX213" s="90">
        <f>Sheet1!AW215*GPMtoMGD</f>
        <v>1.3672800000000001</v>
      </c>
      <c r="AY213" s="90">
        <f>Sheet1!AX215*GPMtoMGD</f>
        <v>0.10598399999999999</v>
      </c>
      <c r="AZ213" s="90">
        <f>Sheet1!AY215*GPMtoMGD</f>
        <v>0</v>
      </c>
      <c r="BA213" s="90">
        <f>Sheet1!AZ215*GPMtoMGD</f>
        <v>0</v>
      </c>
      <c r="BB213" s="90">
        <f>Sheet1!BP215*GPMtoMGD</f>
        <v>5.0256000000000002E-2</v>
      </c>
      <c r="BC213" s="90">
        <f>Sheet1!CS215*GPMtoMGD</f>
        <v>0</v>
      </c>
      <c r="BD213" s="90">
        <f>Sheet1!BO215*GPMtoMGD</f>
        <v>3.9607200000000002</v>
      </c>
      <c r="BE213" s="90">
        <f>Sheet1!BW215*GPMtoMGD</f>
        <v>1.868832</v>
      </c>
      <c r="BF213" s="90">
        <f>Sheet1!CN215*GPMtoMGD</f>
        <v>1.7280000000000002</v>
      </c>
      <c r="BG213" s="90">
        <f>Sheet1!CO215*GPMtoMGD</f>
        <v>1.5707519999999999</v>
      </c>
      <c r="BH213" s="90">
        <f>Sheet1!CP215*GPMtoMGD</f>
        <v>1.0234080000000001</v>
      </c>
      <c r="BI213" s="90">
        <f t="shared" si="31"/>
        <v>4.0109760000000003</v>
      </c>
      <c r="BK213" s="95">
        <f>SUM(AT213:BA213,BE213,Sheet1!BV215,'Calculations II'!BC213,Calculation!AQ213)</f>
        <v>83.715127115005473</v>
      </c>
      <c r="BM213" s="373">
        <f>0</f>
        <v>0</v>
      </c>
      <c r="BN213" s="373">
        <f>0</f>
        <v>0</v>
      </c>
      <c r="BP213" s="95">
        <f>SUM(BM213:BN213,W213,Sheet1!DX215)</f>
        <v>0</v>
      </c>
    </row>
    <row r="214" spans="1:68" s="90" customFormat="1">
      <c r="A214" s="651" t="s">
        <v>5</v>
      </c>
      <c r="B214" s="92">
        <v>41842</v>
      </c>
      <c r="C214" s="93">
        <v>0</v>
      </c>
      <c r="D214" s="95">
        <f>(Sheet1!BQ216-Sheet1!BQ215)*1.385</f>
        <v>-0.13850000000000198</v>
      </c>
      <c r="E214" s="30">
        <f>(Sheet1!BR216-Sheet1!BR215)*1.385</f>
        <v>-0.13849999999999704</v>
      </c>
      <c r="F214" s="30">
        <f ca="1">IF(B214=TODAY(),0,-(VLOOKUP(Sheet1!CD216,Lookup!$I$4:$J$216,2)-VLOOKUP(Sheet1!CD215,Lookup!$I$4:$J$216,2))/1000000)</f>
        <v>-0.31091081564339806</v>
      </c>
      <c r="G214" s="95">
        <f ca="1">IF(B214=TODAY(),0,-$G$6*(Sheet1!CF216-Sheet1!CF215)*7.48/1000000)</f>
        <v>1.191405031576779</v>
      </c>
      <c r="H214" s="95">
        <f ca="1">IF(B214=TODAY(),0,-$H$6*(Sheet1!CE216-Sheet1!CE215)*7.48/1000000)</f>
        <v>-4.5118297053794748E-2</v>
      </c>
      <c r="I214" s="95">
        <f ca="1">IF(B214=TODAY(),0,-$I$6*(Sheet1!CG216-Sheet1!CG215)*7.48/1000000)</f>
        <v>0</v>
      </c>
      <c r="J214" s="96" t="s">
        <v>186</v>
      </c>
      <c r="K214" s="95">
        <f ca="1">IF(B214=TODAY(),0,-$K$6*(Sheet1!CH216-Sheet1!CH215)*7.48/1000000)</f>
        <v>0</v>
      </c>
      <c r="L214" s="96" t="s">
        <v>186</v>
      </c>
      <c r="M214" s="95">
        <f ca="1">IF(B214=TODAY(),0,-$M$6*(Sheet1!CI216-Sheet1!CI215)*7.48/1000000)</f>
        <v>0</v>
      </c>
      <c r="N214" s="95">
        <f ca="1">IF(B214=TODAY(),0,-$N$6*(Sheet1!CJ216-Sheet1!CJ215)*7.48/1000000)</f>
        <v>0</v>
      </c>
      <c r="O214" s="95">
        <f t="shared" ca="1" si="28"/>
        <v>0.83537591887958618</v>
      </c>
      <c r="P214" s="95">
        <f ca="1">O214+Calculation!ES214</f>
        <v>1.1127493358626133</v>
      </c>
      <c r="Q214" s="90" t="str">
        <f>IF(Sheet1!BQ216&gt;25.75,"spill elevation","-")</f>
        <v>-</v>
      </c>
      <c r="R214" s="90" t="str">
        <f>IF(Sheet1!BQ216&gt;25.75,"spill elevation","-")</f>
        <v>-</v>
      </c>
      <c r="S214" s="90" t="str">
        <f>IF(Sheet1!BR216&gt;25.75,"spill elevation","-")</f>
        <v>-</v>
      </c>
      <c r="T214" s="94">
        <f>IF(Sheet1!DU216=1,Sheet1!AA216-(SUM(AT214:BA214)+BE214),Sheet1!AA216-SUM(AT214:BA214))</f>
        <v>43.213839999999998</v>
      </c>
      <c r="U214" s="94">
        <f>Sheet1!BV216</f>
        <v>50.8</v>
      </c>
      <c r="V214" s="94">
        <f t="shared" si="29"/>
        <v>-7.5861599999999996</v>
      </c>
      <c r="W214" s="94">
        <f>0</f>
        <v>0</v>
      </c>
      <c r="X214" s="90">
        <f>0</f>
        <v>0</v>
      </c>
      <c r="Y214" s="95">
        <f ca="1">Calculation!EJ215+Calculation!ES214+'Calculations II'!O214-'Calculations II'!W214</f>
        <v>85.93274933586261</v>
      </c>
      <c r="Z214" s="95">
        <f ca="1">Y214-Sheet1!CT217</f>
        <v>71.000749335862608</v>
      </c>
      <c r="AA214" s="95">
        <f ca="1">Y214+Calculation!DJ215+Calculation!AS215</f>
        <v>105.05027324659588</v>
      </c>
      <c r="AC214" s="95">
        <f>Sheet1!AA216+Sheet1!AB216+BC214</f>
        <v>87.96</v>
      </c>
      <c r="AD214" s="95">
        <f>Sheet1!AA216+Sheet1!BN216+'Calculations II'!BC214-Calculation!AS214-Calculation!DJ214</f>
        <v>47.993284529038561</v>
      </c>
      <c r="AE214" s="95">
        <f>Sheet1!AA216+Sheet1!AB216+'Calculations II'!BC214-Calculation!AS214-Calculation!DJ214</f>
        <v>67.793284529038559</v>
      </c>
      <c r="AF214" s="95">
        <f ca="1">Sheet1!AA216+Sheet1!BN216+P214+'Calculations II'!BC214+Calculation!AS214+Calculation!DJ214</f>
        <v>89.439464806824049</v>
      </c>
      <c r="AG214" s="95">
        <f ca="1">IF(B214=TODAY(),0,Sheet1!AA216+Sheet1!BN216+'Calculations II'!BC214+'Calculations II'!P214-Sheet1!CT216-BP214)</f>
        <v>51.587749335862611</v>
      </c>
      <c r="AH214" s="95">
        <f ca="1">IF(B214=TODAY(),0,Sheet1!AA216+Sheet1!BN216+'Calculations II'!BC214+'Calculations II'!P214-BP214)</f>
        <v>69.272749335862613</v>
      </c>
      <c r="AI214" s="95">
        <f ca="1">IF(B214=TODAY(),0,BC214+Sheet1!AA216+Calculation!ES214+O214+W214+Sheet1!BN216+Calculation!AS214+Calculation!DJ214-BP214)</f>
        <v>89.439464806824049</v>
      </c>
      <c r="AJ214" s="95"/>
      <c r="AM214" s="91">
        <f t="shared" si="30"/>
        <v>41842</v>
      </c>
      <c r="AN214" s="95">
        <f>Sheet1!BU216</f>
        <v>45.5</v>
      </c>
      <c r="AO214" s="95">
        <f>Sheet1!AA216</f>
        <v>47.66</v>
      </c>
      <c r="AP214" s="95">
        <f t="shared" si="25"/>
        <v>-0.27699999999999902</v>
      </c>
      <c r="AQ214" s="1055">
        <f>((Sheet1!BV216-(Sheet1!BU216-AP214))/(Sheet1!BU216-AP214))</f>
        <v>0.10972759245909509</v>
      </c>
      <c r="AR214" s="95">
        <f t="shared" si="26"/>
        <v>47.936999999999998</v>
      </c>
      <c r="AS214" s="95">
        <f t="shared" si="27"/>
        <v>45.777000000000001</v>
      </c>
      <c r="AT214" s="90">
        <f>Sheet1!BB216</f>
        <v>1.6</v>
      </c>
      <c r="AU214" s="90">
        <f>Sheet1!AS216*GPMtoMGD</f>
        <v>2.8512000000000003E-2</v>
      </c>
      <c r="AV214" s="95">
        <f>Sheet1!AT216</f>
        <v>0</v>
      </c>
      <c r="AW214" s="90">
        <f>Sheet1!AV216*GPMtoMGD</f>
        <v>1.6803360000000003</v>
      </c>
      <c r="AX214" s="90">
        <f>Sheet1!AW216*GPMtoMGD</f>
        <v>1.0764</v>
      </c>
      <c r="AY214" s="90">
        <f>Sheet1!AX216*GPMtoMGD</f>
        <v>6.0912000000000001E-2</v>
      </c>
      <c r="AZ214" s="90">
        <f>Sheet1!AY216*GPMtoMGD</f>
        <v>0</v>
      </c>
      <c r="BA214" s="90">
        <f>Sheet1!AZ216*GPMtoMGD</f>
        <v>0</v>
      </c>
      <c r="BB214" s="90">
        <f>Sheet1!BP216*GPMtoMGD</f>
        <v>0</v>
      </c>
      <c r="BC214" s="90">
        <f>Sheet1!CS216*GPMtoMGD</f>
        <v>0</v>
      </c>
      <c r="BD214" s="90">
        <f>Sheet1!BO216*GPMtoMGD</f>
        <v>3.2119200000000001</v>
      </c>
      <c r="BE214" s="90">
        <f>Sheet1!BW216*GPMtoMGD</f>
        <v>1.5871680000000001</v>
      </c>
      <c r="BF214" s="90">
        <f>Sheet1!CN216*GPMtoMGD</f>
        <v>1.7280000000000002</v>
      </c>
      <c r="BG214" s="90">
        <f>Sheet1!CO216*GPMtoMGD</f>
        <v>1.296</v>
      </c>
      <c r="BH214" s="90">
        <f>Sheet1!CP216*GPMtoMGD</f>
        <v>0.98006400000000005</v>
      </c>
      <c r="BI214" s="90">
        <f t="shared" si="31"/>
        <v>3.2119200000000001</v>
      </c>
      <c r="BK214" s="95">
        <f>SUM(AT214:BA214,BE214,Sheet1!BV216,'Calculations II'!BC214,Calculation!AQ214)</f>
        <v>76.99316206539774</v>
      </c>
      <c r="BM214" s="373">
        <f>0</f>
        <v>0</v>
      </c>
      <c r="BN214" s="373">
        <f>0</f>
        <v>0</v>
      </c>
      <c r="BP214" s="95">
        <f>SUM(BM214:BN214,W214,Sheet1!DX216)</f>
        <v>0</v>
      </c>
    </row>
    <row r="215" spans="1:68" s="90" customFormat="1">
      <c r="A215" s="651" t="s">
        <v>6</v>
      </c>
      <c r="B215" s="92">
        <v>41843</v>
      </c>
      <c r="C215" s="93">
        <v>0</v>
      </c>
      <c r="D215" s="95">
        <f>(Sheet1!BQ217-Sheet1!BQ216)*1.385</f>
        <v>1.2049500000000013</v>
      </c>
      <c r="E215" s="30">
        <f>(Sheet1!BR217-Sheet1!BR216)*1.385</f>
        <v>1.0802999999999967</v>
      </c>
      <c r="F215" s="30">
        <f ca="1">IF(B215=TODAY(),0,-(VLOOKUP(Sheet1!CD217,Lookup!$I$4:$J$216,2)-VLOOKUP(Sheet1!CD216,Lookup!$I$4:$J$216,2))/1000000)</f>
        <v>-2.59092346369501</v>
      </c>
      <c r="G215" s="95">
        <f ca="1">IF(B215=TODAY(),0,-$G$6*(Sheet1!CF217-Sheet1!CF216)*7.48/1000000)</f>
        <v>-1.4693995389446937</v>
      </c>
      <c r="H215" s="95">
        <f ca="1">IF(B215=TODAY(),0,-$H$6*(Sheet1!CE217-Sheet1!CE216)*7.48/1000000)</f>
        <v>-3.0078864702530548E-2</v>
      </c>
      <c r="I215" s="95">
        <f ca="1">IF(B215=TODAY(),0,-$I$6*(Sheet1!CG217-Sheet1!CG216)*7.48/1000000)</f>
        <v>-2.6954927999999989E-2</v>
      </c>
      <c r="J215" s="96" t="s">
        <v>186</v>
      </c>
      <c r="K215" s="95">
        <f ca="1">IF(B215=TODAY(),0,-$K$6*(Sheet1!CH217-Sheet1!CH216)*7.48/1000000)</f>
        <v>-4.0646254284196458E-2</v>
      </c>
      <c r="L215" s="96" t="s">
        <v>186</v>
      </c>
      <c r="M215" s="95">
        <f ca="1">IF(B215=TODAY(),0,-$M$6*(Sheet1!CI217-Sheet1!CI216)*7.48/1000000)</f>
        <v>-0.11514565393937319</v>
      </c>
      <c r="N215" s="95">
        <f ca="1">IF(B215=TODAY(),0,-$N$6*(Sheet1!CJ217-Sheet1!CJ216)*7.48/1000000)</f>
        <v>-0.98042705723505774</v>
      </c>
      <c r="O215" s="95">
        <f t="shared" ca="1" si="28"/>
        <v>-5.253575760800862</v>
      </c>
      <c r="P215" s="95">
        <f ca="1">O215+Calculation!ES215</f>
        <v>-7.6116634644669192</v>
      </c>
      <c r="Q215" s="90" t="str">
        <f>IF(Sheet1!BQ217&gt;25.75,"spill elevation","-")</f>
        <v>-</v>
      </c>
      <c r="R215" s="90" t="str">
        <f>IF(Sheet1!BQ217&gt;25.75,"spill elevation","-")</f>
        <v>-</v>
      </c>
      <c r="S215" s="90" t="str">
        <f>IF(Sheet1!BR217&gt;25.75,"spill elevation","-")</f>
        <v>-</v>
      </c>
      <c r="T215" s="94">
        <f>IF(Sheet1!DU217=1,Sheet1!AA217-(SUM(AT215:BA215)+BE215),Sheet1!AA217-SUM(AT215:BA215))</f>
        <v>44.286111999999996</v>
      </c>
      <c r="U215" s="94">
        <f>Sheet1!BV217</f>
        <v>49.6</v>
      </c>
      <c r="V215" s="94">
        <f t="shared" si="29"/>
        <v>-5.3138880000000057</v>
      </c>
      <c r="W215" s="94">
        <f>0</f>
        <v>0</v>
      </c>
      <c r="X215" s="90">
        <f>0</f>
        <v>0</v>
      </c>
      <c r="Y215" s="95">
        <f ca="1">Calculation!EJ216+Calculation!ES215+'Calculations II'!O215-'Calculations II'!W215</f>
        <v>70.123248535533079</v>
      </c>
      <c r="Z215" s="95">
        <f ca="1">Y215-Sheet1!CT218</f>
        <v>55.142248535533078</v>
      </c>
      <c r="AA215" s="95">
        <f ca="1">Y215+Calculation!DJ216+Calculation!AS216</f>
        <v>88.336537350224233</v>
      </c>
      <c r="AC215" s="95">
        <f>Sheet1!AA217+Sheet1!AB217+BC215</f>
        <v>84.82</v>
      </c>
      <c r="AD215" s="95">
        <f>Sheet1!AA217+Sheet1!BN217+'Calculations II'!BC215-Calculation!AS215-Calculation!DJ215</f>
        <v>46.942476089266734</v>
      </c>
      <c r="AE215" s="95">
        <f>Sheet1!AA217+Sheet1!AB217+'Calculations II'!BC215-Calculation!AS215-Calculation!DJ215</f>
        <v>65.702476089266725</v>
      </c>
      <c r="AF215" s="95">
        <f ca="1">Sheet1!AA217+Sheet1!BN217+P215+'Calculations II'!BC215+Calculation!AS215+Calculation!DJ215</f>
        <v>77.565860446266356</v>
      </c>
      <c r="AG215" s="95">
        <f ca="1">IF(B215=TODAY(),0,Sheet1!AA217+Sheet1!BN217+'Calculations II'!BC215+'Calculations II'!P215-Sheet1!CT217-BP215)</f>
        <v>43.516336535533078</v>
      </c>
      <c r="AH215" s="95">
        <f ca="1">IF(B215=TODAY(),0,Sheet1!AA217+Sheet1!BN217+'Calculations II'!BC215+'Calculations II'!P215-BP215)</f>
        <v>58.44833653553308</v>
      </c>
      <c r="AI215" s="95">
        <f ca="1">IF(B215=TODAY(),0,BC215+Sheet1!AA217+Calculation!ES215+O215+W215+Sheet1!BN217+Calculation!AS215+Calculation!DJ215-BP215)</f>
        <v>77.565860446266342</v>
      </c>
      <c r="AJ215" s="95"/>
      <c r="AM215" s="91">
        <f t="shared" si="30"/>
        <v>41843</v>
      </c>
      <c r="AN215" s="95">
        <f>Sheet1!BU217</f>
        <v>46.6</v>
      </c>
      <c r="AO215" s="95">
        <f>Sheet1!AA217</f>
        <v>47.86</v>
      </c>
      <c r="AP215" s="95">
        <f t="shared" si="25"/>
        <v>2.2852499999999978</v>
      </c>
      <c r="AQ215" s="1055">
        <f>((Sheet1!BV217-(Sheet1!BU217-AP215))/(Sheet1!BU217-AP215))</f>
        <v>0.11926615855894476</v>
      </c>
      <c r="AR215" s="95">
        <f t="shared" si="26"/>
        <v>45.574750000000002</v>
      </c>
      <c r="AS215" s="95">
        <f t="shared" si="27"/>
        <v>44.314750000000004</v>
      </c>
      <c r="AT215" s="90">
        <f>Sheet1!BB217</f>
        <v>1.59</v>
      </c>
      <c r="AU215" s="90">
        <f>Sheet1!AS217*GPMtoMGD</f>
        <v>1.584E-2</v>
      </c>
      <c r="AV215" s="95">
        <f>Sheet1!AT217</f>
        <v>0</v>
      </c>
      <c r="AW215" s="90">
        <f>Sheet1!AV217*GPMtoMGD</f>
        <v>1.1465280000000002</v>
      </c>
      <c r="AX215" s="90">
        <f>Sheet1!AW217*GPMtoMGD</f>
        <v>0.75772800000000007</v>
      </c>
      <c r="AY215" s="90">
        <f>Sheet1!AX217*GPMtoMGD</f>
        <v>6.3792000000000001E-2</v>
      </c>
      <c r="AZ215" s="90">
        <f>Sheet1!AY217*GPMtoMGD</f>
        <v>0</v>
      </c>
      <c r="BA215" s="90">
        <f>Sheet1!AZ217*GPMtoMGD</f>
        <v>0</v>
      </c>
      <c r="BB215" s="90">
        <f>Sheet1!BP217*GPMtoMGD</f>
        <v>0</v>
      </c>
      <c r="BC215" s="90">
        <f>Sheet1!CS217*GPMtoMGD</f>
        <v>0</v>
      </c>
      <c r="BD215" s="90">
        <f>Sheet1!BO217*GPMtoMGD</f>
        <v>2.7596160000000003</v>
      </c>
      <c r="BE215" s="90">
        <f>Sheet1!BW217*GPMtoMGD</f>
        <v>1.3930560000000001</v>
      </c>
      <c r="BF215" s="90">
        <f>Sheet1!CN217*GPMtoMGD</f>
        <v>1.7280000000000002</v>
      </c>
      <c r="BG215" s="90">
        <f>Sheet1!CO217*GPMtoMGD</f>
        <v>1.021104</v>
      </c>
      <c r="BH215" s="90">
        <f>Sheet1!CP217*GPMtoMGD</f>
        <v>0.96566400000000008</v>
      </c>
      <c r="BI215" s="90">
        <f t="shared" si="31"/>
        <v>2.7596160000000003</v>
      </c>
      <c r="BK215" s="95">
        <f>SUM(AT215:BA215,BE215,Sheet1!BV217,'Calculations II'!BC215,Calculation!AQ215)</f>
        <v>72.438144850159404</v>
      </c>
      <c r="BM215" s="373">
        <f>0</f>
        <v>0</v>
      </c>
      <c r="BN215" s="373">
        <f>0</f>
        <v>0</v>
      </c>
      <c r="BP215" s="95">
        <f>SUM(BM215:BN215,W215,Sheet1!DX217)</f>
        <v>0</v>
      </c>
    </row>
    <row r="216" spans="1:68" s="90" customFormat="1">
      <c r="A216" s="651" t="s">
        <v>7</v>
      </c>
      <c r="B216" s="92">
        <v>41844</v>
      </c>
      <c r="C216" s="93">
        <v>0</v>
      </c>
      <c r="D216" s="95">
        <f>(Sheet1!BQ218-Sheet1!BQ217)*1.385</f>
        <v>1.4542500000000009</v>
      </c>
      <c r="E216" s="30">
        <f>(Sheet1!BR218-Sheet1!BR217)*1.385</f>
        <v>1.592750000000003</v>
      </c>
      <c r="F216" s="30">
        <f ca="1">IF(B216=TODAY(),0,-(VLOOKUP(Sheet1!CD218,Lookup!$I$4:$J$216,2)-VLOOKUP(Sheet1!CD217,Lookup!$I$4:$J$216,2))/1000000)</f>
        <v>-0.62182163128679246</v>
      </c>
      <c r="G216" s="95">
        <f ca="1">IF(B216=TODAY(),0,-$G$6*(Sheet1!CF218-Sheet1!CF217)*7.48/1000000)</f>
        <v>0.27799450736791476</v>
      </c>
      <c r="H216" s="95">
        <f ca="1">IF(B216=TODAY(),0,-$H$6*(Sheet1!CE218-Sheet1!CE217)*7.48/1000000)</f>
        <v>1.5039432351265274E-2</v>
      </c>
      <c r="I216" s="95">
        <f ca="1">IF(B216=TODAY(),0,-$I$6*(Sheet1!CG218-Sheet1!CG217)*7.48/1000000)</f>
        <v>2.6954927999999989E-2</v>
      </c>
      <c r="J216" s="96" t="s">
        <v>186</v>
      </c>
      <c r="K216" s="95">
        <f ca="1">IF(B216=TODAY(),0,-$K$6*(Sheet1!CH218-Sheet1!CH217)*7.48/1000000)</f>
        <v>4.0646254284196458E-2</v>
      </c>
      <c r="L216" s="96" t="s">
        <v>186</v>
      </c>
      <c r="M216" s="95">
        <f ca="1">IF(B216=TODAY(),0,-$M$6*(Sheet1!CI218-Sheet1!CI217)*7.48/1000000)</f>
        <v>0.12414140815338685</v>
      </c>
      <c r="N216" s="95">
        <f ca="1">IF(B216=TODAY(),0,-$N$6*(Sheet1!CJ218-Sheet1!CJ217)*7.48/1000000)</f>
        <v>-0.19236227072333439</v>
      </c>
      <c r="O216" s="95">
        <f t="shared" ca="1" si="28"/>
        <v>-0.32940737185336355</v>
      </c>
      <c r="P216" s="95">
        <f ca="1">O216+Calculation!ES216</f>
        <v>-3.5212252822636856</v>
      </c>
      <c r="Q216" s="90" t="str">
        <f>IF(Sheet1!BQ218&gt;25.75,"spill elevation","-")</f>
        <v>-</v>
      </c>
      <c r="R216" s="90" t="str">
        <f>IF(Sheet1!BQ218&gt;25.75,"spill elevation","-")</f>
        <v>-</v>
      </c>
      <c r="S216" s="90" t="str">
        <f>IF(Sheet1!BR218&gt;25.75,"spill elevation","-")</f>
        <v>-</v>
      </c>
      <c r="T216" s="94">
        <f>IF(Sheet1!DU218=1,Sheet1!AA218-(SUM(AT216:BA216)+BE216),Sheet1!AA218-SUM(AT216:BA216))</f>
        <v>39.037295999999998</v>
      </c>
      <c r="U216" s="94">
        <f>Sheet1!BV218</f>
        <v>43.8</v>
      </c>
      <c r="V216" s="94">
        <f t="shared" si="29"/>
        <v>-4.7627039999999994</v>
      </c>
      <c r="W216" s="94">
        <f>0</f>
        <v>0</v>
      </c>
      <c r="X216" s="90">
        <f>0</f>
        <v>0</v>
      </c>
      <c r="Y216" s="95">
        <f ca="1">Calculation!EJ217+Calculation!ES216+'Calculations II'!O216-'Calculations II'!W216</f>
        <v>72.898774717736316</v>
      </c>
      <c r="Z216" s="95">
        <f ca="1">Y216-Sheet1!CT219</f>
        <v>57.088774717736314</v>
      </c>
      <c r="AA216" s="95">
        <f ca="1">Y216+Calculation!DJ217+Calculation!AS217</f>
        <v>92.142387410982849</v>
      </c>
      <c r="AC216" s="95">
        <f>Sheet1!AA218+Sheet1!AB218+BC216</f>
        <v>77.734911999999994</v>
      </c>
      <c r="AD216" s="95">
        <f>Sheet1!AA218+Sheet1!BN218+'Calculations II'!BC216-Calculation!AS216-Calculation!DJ216</f>
        <v>41.781623185308845</v>
      </c>
      <c r="AE216" s="95">
        <f>Sheet1!AA218+Sheet1!AB218+'Calculations II'!BC216-Calculation!AS216-Calculation!DJ216</f>
        <v>59.521623185308847</v>
      </c>
      <c r="AF216" s="95">
        <f ca="1">Sheet1!AA218+Sheet1!BN218+P216+'Calculations II'!BC216+Calculation!AS216+Calculation!DJ216</f>
        <v>74.686975532427468</v>
      </c>
      <c r="AG216" s="95">
        <f ca="1">IF(B216=TODAY(),0,Sheet1!AA218+Sheet1!BN218+'Calculations II'!BC216+'Calculations II'!P216-Sheet1!CT218-BP216)</f>
        <v>41.492686717736312</v>
      </c>
      <c r="AH216" s="95">
        <f ca="1">IF(B216=TODAY(),0,Sheet1!AA218+Sheet1!BN218+'Calculations II'!BC216+'Calculations II'!P216-BP216)</f>
        <v>56.473686717736314</v>
      </c>
      <c r="AI216" s="95">
        <f ca="1">IF(B216=TODAY(),0,BC216+Sheet1!AA218+Calculation!ES216+O216+W216+Sheet1!BN218+Calculation!AS216+Calculation!DJ216-BP216)</f>
        <v>74.686975532427468</v>
      </c>
      <c r="AJ216" s="95"/>
      <c r="AM216" s="91">
        <f t="shared" si="30"/>
        <v>41844</v>
      </c>
      <c r="AN216" s="95">
        <f>Sheet1!BU218</f>
        <v>42</v>
      </c>
      <c r="AO216" s="95">
        <f>Sheet1!AA218</f>
        <v>42.4</v>
      </c>
      <c r="AP216" s="95">
        <f t="shared" si="25"/>
        <v>3.0470000000000041</v>
      </c>
      <c r="AQ216" s="1055">
        <f>((Sheet1!BV218-(Sheet1!BU218-AP216))/(Sheet1!BU218-AP216))</f>
        <v>0.12443200780427699</v>
      </c>
      <c r="AR216" s="95">
        <f t="shared" si="26"/>
        <v>39.352999999999994</v>
      </c>
      <c r="AS216" s="95">
        <f t="shared" si="27"/>
        <v>38.952999999999996</v>
      </c>
      <c r="AT216" s="90">
        <f>Sheet1!BB218</f>
        <v>1.6</v>
      </c>
      <c r="AU216" s="90">
        <f>Sheet1!AS218*GPMtoMGD</f>
        <v>2.0736000000000001E-2</v>
      </c>
      <c r="AV216" s="95">
        <f>Sheet1!AT218</f>
        <v>0</v>
      </c>
      <c r="AW216" s="90">
        <f>Sheet1!AV218*GPMtoMGD</f>
        <v>0.96062400000000014</v>
      </c>
      <c r="AX216" s="90">
        <f>Sheet1!AW218*GPMtoMGD</f>
        <v>0.74491200000000002</v>
      </c>
      <c r="AY216" s="90">
        <f>Sheet1!AX218*GPMtoMGD</f>
        <v>3.6432000000000006E-2</v>
      </c>
      <c r="AZ216" s="90">
        <f>Sheet1!AY218*GPMtoMGD</f>
        <v>0</v>
      </c>
      <c r="BA216" s="90">
        <f>Sheet1!AZ218*GPMtoMGD</f>
        <v>0</v>
      </c>
      <c r="BB216" s="90">
        <f>Sheet1!BP218*GPMtoMGD</f>
        <v>0</v>
      </c>
      <c r="BC216" s="90">
        <f>Sheet1!CS218*GPMtoMGD</f>
        <v>0.29491200000000001</v>
      </c>
      <c r="BD216" s="90">
        <f>Sheet1!BO218*GPMtoMGD</f>
        <v>2.3349600000000001</v>
      </c>
      <c r="BE216" s="90">
        <f>Sheet1!BW218*GPMtoMGD</f>
        <v>1.3214880000000002</v>
      </c>
      <c r="BF216" s="90">
        <f>Sheet1!CN218*GPMtoMGD</f>
        <v>1.7280000000000002</v>
      </c>
      <c r="BG216" s="90">
        <f>Sheet1!CO218*GPMtoMGD</f>
        <v>1.02312</v>
      </c>
      <c r="BH216" s="90">
        <f>Sheet1!CP218*GPMtoMGD</f>
        <v>0.92822400000000005</v>
      </c>
      <c r="BI216" s="90">
        <f t="shared" si="31"/>
        <v>2.3349600000000001</v>
      </c>
      <c r="BK216" s="95">
        <f>SUM(AT216:BA216,BE216,Sheet1!BV218,'Calculations II'!BC216,Calculation!AQ216)</f>
        <v>65.645881963272117</v>
      </c>
      <c r="BM216" s="373">
        <f>0</f>
        <v>0</v>
      </c>
      <c r="BN216" s="373">
        <f>0</f>
        <v>0</v>
      </c>
      <c r="BP216" s="95">
        <f>SUM(BM216:BN216,W216,Sheet1!DX218)</f>
        <v>0</v>
      </c>
    </row>
    <row r="217" spans="1:68" s="90" customFormat="1">
      <c r="A217" s="651" t="s">
        <v>8</v>
      </c>
      <c r="B217" s="92">
        <v>41845</v>
      </c>
      <c r="C217" s="93">
        <v>0</v>
      </c>
      <c r="D217" s="95">
        <f>(Sheet1!BQ219-Sheet1!BQ218)*1.385</f>
        <v>-1.7035500000000006</v>
      </c>
      <c r="E217" s="30">
        <f>(Sheet1!BR219-Sheet1!BR218)*1.385</f>
        <v>-1.7174000000000027</v>
      </c>
      <c r="F217" s="30">
        <f ca="1">IF(B217=TODAY(),0,-(VLOOKUP(Sheet1!CD219,Lookup!$I$4:$J$216,2)-VLOOKUP(Sheet1!CD218,Lookup!$I$4:$J$216,2))/1000000)</f>
        <v>1.6581910167647973</v>
      </c>
      <c r="G217" s="95">
        <f ca="1">IF(B217=TODAY(),0,-$G$6*(Sheet1!CF219-Sheet1!CF218)*7.48/1000000)</f>
        <v>1.1516915305242204</v>
      </c>
      <c r="H217" s="95">
        <f ca="1">IF(B217=TODAY(),0,-$H$6*(Sheet1!CE219-Sheet1!CE218)*7.48/1000000)</f>
        <v>3.0078864702530548E-2</v>
      </c>
      <c r="I217" s="95">
        <f ca="1">IF(B217=TODAY(),0,-$I$6*(Sheet1!CG219-Sheet1!CG218)*7.48/1000000)</f>
        <v>-8.9849760000000074E-3</v>
      </c>
      <c r="J217" s="96" t="s">
        <v>186</v>
      </c>
      <c r="K217" s="95">
        <f ca="1">IF(B217=TODAY(),0,-$K$6*(Sheet1!CH219-Sheet1!CH218)*7.48/1000000)</f>
        <v>-6.6633203744584186E-3</v>
      </c>
      <c r="L217" s="96" t="s">
        <v>186</v>
      </c>
      <c r="M217" s="95">
        <f ca="1">IF(B217=TODAY(),0,-$M$6*(Sheet1!CI219-Sheet1!CI218)*7.48/1000000)</f>
        <v>-4.4978771070067619E-2</v>
      </c>
      <c r="N217" s="95">
        <f ca="1">IF(B217=TODAY(),0,-$N$6*(Sheet1!CJ219-Sheet1!CJ218)*7.48/1000000)</f>
        <v>0.36610883782828091</v>
      </c>
      <c r="O217" s="95">
        <f t="shared" ca="1" si="28"/>
        <v>3.1454431823753031</v>
      </c>
      <c r="P217" s="95">
        <f ca="1">O217+Calculation!ES217</f>
        <v>6.7534655215083497</v>
      </c>
      <c r="Q217" s="90" t="str">
        <f>IF(Sheet1!BQ219&gt;25.75,"spill elevation","-")</f>
        <v>-</v>
      </c>
      <c r="R217" s="90" t="str">
        <f>IF(Sheet1!BQ219&gt;25.75,"spill elevation","-")</f>
        <v>-</v>
      </c>
      <c r="S217" s="90" t="str">
        <f>IF(Sheet1!BR219&gt;25.75,"spill elevation","-")</f>
        <v>-</v>
      </c>
      <c r="T217" s="94">
        <f>IF(Sheet1!DU219=1,Sheet1!AA219-(SUM(AT217:BA217)+BE217),Sheet1!AA219-SUM(AT217:BA217))</f>
        <v>36.460560000000001</v>
      </c>
      <c r="U217" s="94">
        <f>Sheet1!BV219</f>
        <v>46.7</v>
      </c>
      <c r="V217" s="94">
        <f t="shared" si="29"/>
        <v>-10.239440000000002</v>
      </c>
      <c r="W217" s="94">
        <f>0</f>
        <v>0</v>
      </c>
      <c r="X217" s="90">
        <f>0</f>
        <v>0</v>
      </c>
      <c r="Y217" s="95">
        <f ca="1">Calculation!EJ218+Calculation!ES217+'Calculations II'!O217-'Calculations II'!W217</f>
        <v>91.653465521508352</v>
      </c>
      <c r="Z217" s="95">
        <f ca="1">Y217-Sheet1!CT220</f>
        <v>75.338465521508354</v>
      </c>
      <c r="AA217" s="95">
        <f ca="1">Y217+Calculation!DJ218+Calculation!AS218</f>
        <v>112.04346085188425</v>
      </c>
      <c r="AC217" s="95">
        <f>Sheet1!AA219+Sheet1!AB219+BC217</f>
        <v>76.42</v>
      </c>
      <c r="AD217" s="95">
        <f>Sheet1!AA219+Sheet1!BN219+'Calculations II'!BC217-Calculation!AS217-Calculation!DJ217</f>
        <v>38.376387306753465</v>
      </c>
      <c r="AE217" s="95">
        <f>Sheet1!AA219+Sheet1!AB219+'Calculations II'!BC217-Calculation!AS217-Calculation!DJ217</f>
        <v>57.176387306753469</v>
      </c>
      <c r="AF217" s="95">
        <f ca="1">Sheet1!AA219+Sheet1!BN219+P217+'Calculations II'!BC217+Calculation!AS217+Calculation!DJ217</f>
        <v>83.617078214754883</v>
      </c>
      <c r="AG217" s="95">
        <f ca="1">IF(B217=TODAY(),0,Sheet1!AA219+Sheet1!BN219+'Calculations II'!BC217+'Calculations II'!P217-Sheet1!CT219-BP217)</f>
        <v>48.563465521508348</v>
      </c>
      <c r="AH217" s="95">
        <f ca="1">IF(B217=TODAY(),0,Sheet1!AA219+Sheet1!BN219+'Calculations II'!BC217+'Calculations II'!P217-BP217)</f>
        <v>64.373465521508351</v>
      </c>
      <c r="AI217" s="95">
        <f ca="1">IF(B217=TODAY(),0,BC217+Sheet1!AA219+Calculation!ES217+O217+W217+Sheet1!BN219+Calculation!AS217+Calculation!DJ217-BP217)</f>
        <v>83.617078214754883</v>
      </c>
      <c r="AJ217" s="95"/>
      <c r="AM217" s="91">
        <f t="shared" si="30"/>
        <v>41845</v>
      </c>
      <c r="AN217" s="95">
        <f>Sheet1!BU219</f>
        <v>38.5</v>
      </c>
      <c r="AO217" s="95">
        <f>Sheet1!AA219</f>
        <v>40.42</v>
      </c>
      <c r="AP217" s="95">
        <f t="shared" si="25"/>
        <v>-3.420950000000003</v>
      </c>
      <c r="AQ217" s="1055">
        <f>((Sheet1!BV219-(Sheet1!BU219-AP217))/(Sheet1!BU219-AP217))</f>
        <v>0.11400147181779033</v>
      </c>
      <c r="AR217" s="95">
        <f t="shared" si="26"/>
        <v>43.840950000000007</v>
      </c>
      <c r="AS217" s="95">
        <f t="shared" si="27"/>
        <v>41.920950000000005</v>
      </c>
      <c r="AT217" s="90">
        <f>Sheet1!BB219</f>
        <v>1.6</v>
      </c>
      <c r="AU217" s="90">
        <f>Sheet1!AS219*GPMtoMGD</f>
        <v>2.8656000000000001E-2</v>
      </c>
      <c r="AV217" s="95">
        <f>Sheet1!AT219</f>
        <v>0</v>
      </c>
      <c r="AW217" s="90">
        <f>Sheet1!AV219*GPMtoMGD</f>
        <v>1.0664640000000001</v>
      </c>
      <c r="AX217" s="90">
        <f>Sheet1!AW219*GPMtoMGD</f>
        <v>1.2064319999999999</v>
      </c>
      <c r="AY217" s="90">
        <f>Sheet1!AX219*GPMtoMGD</f>
        <v>5.7888000000000009E-2</v>
      </c>
      <c r="AZ217" s="90">
        <f>Sheet1!AY219*GPMtoMGD</f>
        <v>0</v>
      </c>
      <c r="BA217" s="90">
        <f>Sheet1!AZ219*GPMtoMGD</f>
        <v>0</v>
      </c>
      <c r="BB217" s="90">
        <f>Sheet1!BP219*GPMtoMGD</f>
        <v>0</v>
      </c>
      <c r="BC217" s="90">
        <f>Sheet1!CS219*GPMtoMGD</f>
        <v>0</v>
      </c>
      <c r="BD217" s="90">
        <f>Sheet1!BO219*GPMtoMGD</f>
        <v>3.0132000000000003</v>
      </c>
      <c r="BE217" s="90">
        <f>Sheet1!BW219*GPMtoMGD</f>
        <v>1.4149440000000002</v>
      </c>
      <c r="BF217" s="90">
        <f>Sheet1!CN219*GPMtoMGD</f>
        <v>1.7280000000000002</v>
      </c>
      <c r="BG217" s="90">
        <f>Sheet1!CO219*GPMtoMGD</f>
        <v>1.315296</v>
      </c>
      <c r="BH217" s="90">
        <f>Sheet1!CP219*GPMtoMGD</f>
        <v>0.94420800000000016</v>
      </c>
      <c r="BI217" s="90">
        <f t="shared" si="31"/>
        <v>3.0132000000000003</v>
      </c>
      <c r="BK217" s="95">
        <f>SUM(AT217:BA217,BE217,Sheet1!BV219,'Calculations II'!BC217,Calculation!AQ217)</f>
        <v>68.868525578519126</v>
      </c>
      <c r="BM217" s="373">
        <f>0</f>
        <v>0</v>
      </c>
      <c r="BN217" s="373">
        <f>0</f>
        <v>0</v>
      </c>
      <c r="BP217" s="95">
        <f>SUM(BM217:BN217,W217,Sheet1!DX219)</f>
        <v>0</v>
      </c>
    </row>
    <row r="218" spans="1:68" s="90" customFormat="1">
      <c r="A218" s="651" t="s">
        <v>9</v>
      </c>
      <c r="B218" s="92">
        <v>41846</v>
      </c>
      <c r="C218" s="93">
        <v>0</v>
      </c>
      <c r="D218" s="95">
        <f>(Sheet1!BQ220-Sheet1!BQ219)*1.385</f>
        <v>-1.7728000000000015</v>
      </c>
      <c r="E218" s="30">
        <f>(Sheet1!BR220-Sheet1!BR219)*1.385</f>
        <v>-1.7450999999999972</v>
      </c>
      <c r="F218" s="30">
        <f ca="1">IF(B218=TODAY(),0,-(VLOOKUP(Sheet1!CD220,Lookup!$I$4:$J$216,2)-VLOOKUP(Sheet1!CD219,Lookup!$I$4:$J$216,2))/1000000)</f>
        <v>0.20727387709560058</v>
      </c>
      <c r="G218" s="95">
        <f ca="1">IF(B218=TODAY(),0,-$G$6*(Sheet1!CF220-Sheet1!CF219)*7.48/1000000)</f>
        <v>-1.6679670442074903</v>
      </c>
      <c r="H218" s="95">
        <f ca="1">IF(B218=TODAY(),0,-$H$6*(Sheet1!CE220-Sheet1!CE219)*7.48/1000000)</f>
        <v>0</v>
      </c>
      <c r="I218" s="95">
        <f ca="1">IF(B218=TODAY(),0,-$I$6*(Sheet1!CG220-Sheet1!CG219)*7.48/1000000)</f>
        <v>2.6954928000000024E-2</v>
      </c>
      <c r="J218" s="96" t="s">
        <v>186</v>
      </c>
      <c r="K218" s="95">
        <f ca="1">IF(B218=TODAY(),0,-$K$6*(Sheet1!CH220-Sheet1!CH219)*7.48/1000000)</f>
        <v>3.3316601872292212E-2</v>
      </c>
      <c r="L218" s="96" t="s">
        <v>186</v>
      </c>
      <c r="M218" s="95">
        <f ca="1">IF(B218=TODAY(),0,-$M$6*(Sheet1!CI220-Sheet1!CI219)*7.48/1000000)</f>
        <v>0.16192357585224318</v>
      </c>
      <c r="N218" s="95">
        <f ca="1">IF(B218=TODAY(),0,-$N$6*(Sheet1!CJ220-Sheet1!CJ219)*7.48/1000000)</f>
        <v>0.24820938157849581</v>
      </c>
      <c r="O218" s="95">
        <f t="shared" ca="1" si="28"/>
        <v>-0.99028867980885849</v>
      </c>
      <c r="P218" s="95">
        <f ca="1">O218+Calculation!ES218</f>
        <v>2.3382693005983235</v>
      </c>
      <c r="Q218" s="90" t="str">
        <f>IF(Sheet1!BQ220&gt;25.75,"spill elevation","-")</f>
        <v>-</v>
      </c>
      <c r="R218" s="90" t="str">
        <f>IF(Sheet1!BQ220&gt;25.75,"spill elevation","-")</f>
        <v>-</v>
      </c>
      <c r="S218" s="90" t="str">
        <f>IF(Sheet1!BR220&gt;25.75,"spill elevation","-")</f>
        <v>-</v>
      </c>
      <c r="T218" s="94">
        <f>IF(Sheet1!DU220=1,Sheet1!AA220-(SUM(AT218:BA218)+BE218),Sheet1!AA220-SUM(AT218:BA218))</f>
        <v>38.760079999999995</v>
      </c>
      <c r="U218" s="94">
        <f>Sheet1!BV220</f>
        <v>49.6</v>
      </c>
      <c r="V218" s="94">
        <f t="shared" si="29"/>
        <v>-10.839920000000006</v>
      </c>
      <c r="W218" s="94">
        <f>0</f>
        <v>0</v>
      </c>
      <c r="X218" s="90">
        <f>0</f>
        <v>0</v>
      </c>
      <c r="Y218" s="95">
        <f ca="1">Calculation!EJ219+Calculation!ES218+'Calculations II'!O218-'Calculations II'!W218</f>
        <v>87.308269300598326</v>
      </c>
      <c r="Z218" s="95">
        <f ca="1">Y218-Sheet1!CT221</f>
        <v>70.119269300598319</v>
      </c>
      <c r="AA218" s="95">
        <f ca="1">Y218+Calculation!DJ219+Calculation!AS219</f>
        <v>107.72155511504096</v>
      </c>
      <c r="AC218" s="95">
        <f>Sheet1!AA220+Sheet1!AB220+BC218</f>
        <v>84.9</v>
      </c>
      <c r="AD218" s="95">
        <f>Sheet1!AA220+Sheet1!BN220+'Calculations II'!BC218-Calculation!AS218-Calculation!DJ218</f>
        <v>44.660004669624087</v>
      </c>
      <c r="AE218" s="95">
        <f>Sheet1!AA220+Sheet1!AB220+'Calculations II'!BC218-Calculation!AS218-Calculation!DJ218</f>
        <v>64.510004669624109</v>
      </c>
      <c r="AF218" s="95">
        <f ca="1">Sheet1!AA220+Sheet1!BN220+P218+'Calculations II'!BC218+Calculation!AS218+Calculation!DJ218</f>
        <v>87.77826463097422</v>
      </c>
      <c r="AG218" s="95">
        <f ca="1">IF(B218=TODAY(),0,Sheet1!AA220+Sheet1!BN220+'Calculations II'!BC218+'Calculations II'!P218-Sheet1!CT220-BP218)</f>
        <v>51.073269300598326</v>
      </c>
      <c r="AH218" s="95">
        <f ca="1">IF(B218=TODAY(),0,Sheet1!AA220+Sheet1!BN220+'Calculations II'!BC218+'Calculations II'!P218-BP218)</f>
        <v>67.388269300598324</v>
      </c>
      <c r="AI218" s="95">
        <f ca="1">IF(B218=TODAY(),0,BC218+Sheet1!AA220+Calculation!ES218+O218+W218+Sheet1!BN220+Calculation!AS218+Calculation!DJ218-BP218)</f>
        <v>87.77826463097422</v>
      </c>
      <c r="AJ218" s="95"/>
      <c r="AM218" s="91">
        <f t="shared" si="30"/>
        <v>41846</v>
      </c>
      <c r="AN218" s="95">
        <f>Sheet1!BU220</f>
        <v>41.1</v>
      </c>
      <c r="AO218" s="95">
        <f>Sheet1!AA220</f>
        <v>43.05</v>
      </c>
      <c r="AP218" s="95">
        <f t="shared" si="25"/>
        <v>-3.5178999999999987</v>
      </c>
      <c r="AQ218" s="1055">
        <f>((Sheet1!BV220-(Sheet1!BU220-AP218))/(Sheet1!BU220-AP218))</f>
        <v>0.11166146322440103</v>
      </c>
      <c r="AR218" s="95">
        <f t="shared" si="26"/>
        <v>46.567899999999995</v>
      </c>
      <c r="AS218" s="95">
        <f t="shared" si="27"/>
        <v>44.617899999999999</v>
      </c>
      <c r="AT218" s="90">
        <f>Sheet1!BB220</f>
        <v>1.6</v>
      </c>
      <c r="AU218" s="90">
        <f>Sheet1!AS220*GPMtoMGD</f>
        <v>1.7136000000000002E-2</v>
      </c>
      <c r="AV218" s="95">
        <f>Sheet1!AT220</f>
        <v>0</v>
      </c>
      <c r="AW218" s="90">
        <f>Sheet1!AV220*GPMtoMGD</f>
        <v>1.2372480000000001</v>
      </c>
      <c r="AX218" s="90">
        <f>Sheet1!AW220*GPMtoMGD</f>
        <v>1.3687200000000002</v>
      </c>
      <c r="AY218" s="90">
        <f>Sheet1!AX220*GPMtoMGD</f>
        <v>6.6816E-2</v>
      </c>
      <c r="AZ218" s="90">
        <f>Sheet1!AY220*GPMtoMGD</f>
        <v>0</v>
      </c>
      <c r="BA218" s="90">
        <f>Sheet1!AZ220*GPMtoMGD</f>
        <v>0</v>
      </c>
      <c r="BB218" s="90">
        <f>Sheet1!BP220*GPMtoMGD</f>
        <v>0</v>
      </c>
      <c r="BC218" s="90">
        <f>Sheet1!CS220*GPMtoMGD</f>
        <v>0</v>
      </c>
      <c r="BD218" s="90">
        <f>Sheet1!BO220*GPMtoMGD</f>
        <v>3.2430240000000001</v>
      </c>
      <c r="BE218" s="90">
        <f>Sheet1!BW220*GPMtoMGD</f>
        <v>1.6293600000000001</v>
      </c>
      <c r="BF218" s="90">
        <f>Sheet1!CN220*GPMtoMGD</f>
        <v>1.7280000000000002</v>
      </c>
      <c r="BG218" s="90">
        <f>Sheet1!CO220*GPMtoMGD</f>
        <v>1.3940640000000002</v>
      </c>
      <c r="BH218" s="90">
        <f>Sheet1!CP220*GPMtoMGD</f>
        <v>0.95544000000000007</v>
      </c>
      <c r="BI218" s="90">
        <f t="shared" si="31"/>
        <v>3.2430240000000001</v>
      </c>
      <c r="BK218" s="95">
        <f>SUM(AT218:BA218,BE218,Sheet1!BV220,'Calculations II'!BC218,Calculation!AQ218)</f>
        <v>77.015894522530942</v>
      </c>
      <c r="BM218" s="373">
        <f>0</f>
        <v>0</v>
      </c>
      <c r="BN218" s="373">
        <f>0</f>
        <v>0</v>
      </c>
      <c r="BP218" s="95">
        <f>SUM(BM218:BN218,W218,Sheet1!DX220)</f>
        <v>0</v>
      </c>
    </row>
    <row r="219" spans="1:68" s="90" customFormat="1">
      <c r="A219" s="651" t="s">
        <v>3</v>
      </c>
      <c r="B219" s="92">
        <v>41847</v>
      </c>
      <c r="C219" s="93">
        <v>0</v>
      </c>
      <c r="D219" s="95">
        <f>(Sheet1!BQ221-Sheet1!BQ220)*1.385</f>
        <v>-4.0303500000000003</v>
      </c>
      <c r="E219" s="30">
        <f>(Sheet1!BR221-Sheet1!BR220)*1.385</f>
        <v>-4.0719000000000021</v>
      </c>
      <c r="F219" s="30">
        <f ca="1">IF(B219=TODAY(),0,-(VLOOKUP(Sheet1!CD221,Lookup!$I$4:$J$216,2)-VLOOKUP(Sheet1!CD220,Lookup!$I$4:$J$216,2))/1000000)</f>
        <v>-0.20727387709560058</v>
      </c>
      <c r="G219" s="95">
        <f ca="1">IF(B219=TODAY(),0,-$G$6*(Sheet1!CF221-Sheet1!CF220)*7.48/1000000)</f>
        <v>1.4693995389446937</v>
      </c>
      <c r="H219" s="95">
        <f ca="1">IF(B219=TODAY(),0,-$H$6*(Sheet1!CE221-Sheet1!CE220)*7.48/1000000)</f>
        <v>6.0157729405060027E-2</v>
      </c>
      <c r="I219" s="95">
        <f ca="1">IF(B219=TODAY(),0,-$I$6*(Sheet1!CG221-Sheet1!CG220)*7.48/1000000)</f>
        <v>-2.6954928000000024E-2</v>
      </c>
      <c r="J219" s="96" t="s">
        <v>186</v>
      </c>
      <c r="K219" s="95">
        <f ca="1">IF(B219=TODAY(),0,-$K$6*(Sheet1!CH221-Sheet1!CH220)*7.48/1000000)</f>
        <v>-3.9979922246750635E-2</v>
      </c>
      <c r="L219" s="96" t="s">
        <v>186</v>
      </c>
      <c r="M219" s="95">
        <f ca="1">IF(B219=TODAY(),0,-$M$6*(Sheet1!CI221-Sheet1!CI220)*7.48/1000000)</f>
        <v>-0.16192357585224318</v>
      </c>
      <c r="N219" s="95">
        <f ca="1">IF(B219=TODAY(),0,-$N$6*(Sheet1!CJ221-Sheet1!CJ220)*7.48/1000000)</f>
        <v>0.12410469078924735</v>
      </c>
      <c r="O219" s="95">
        <f t="shared" ca="1" si="28"/>
        <v>1.2175296559444062</v>
      </c>
      <c r="P219" s="95">
        <f ca="1">O219+Calculation!ES219</f>
        <v>9.5308464702137456</v>
      </c>
      <c r="Q219" s="90" t="str">
        <f>IF(Sheet1!BQ221&gt;25.75,"spill elevation","-")</f>
        <v>-</v>
      </c>
      <c r="R219" s="90" t="str">
        <f>IF(Sheet1!BQ221&gt;25.75,"spill elevation","-")</f>
        <v>-</v>
      </c>
      <c r="S219" s="90" t="str">
        <f>IF(Sheet1!BR221&gt;25.75,"spill elevation","-")</f>
        <v>-</v>
      </c>
      <c r="T219" s="94">
        <f>IF(Sheet1!DU221=1,Sheet1!AA221-(SUM(AT219:BA219)+BE219),Sheet1!AA221-SUM(AT219:BA219))</f>
        <v>38.147311999999999</v>
      </c>
      <c r="U219" s="94">
        <f>Sheet1!BV221</f>
        <v>53.6</v>
      </c>
      <c r="V219" s="94">
        <f t="shared" si="29"/>
        <v>-15.452688000000002</v>
      </c>
      <c r="W219" s="94">
        <f>0</f>
        <v>0</v>
      </c>
      <c r="X219" s="90">
        <f>0</f>
        <v>0</v>
      </c>
      <c r="Y219" s="95">
        <f ca="1">Calculation!EJ220+Calculation!ES219+'Calculations II'!O219-'Calculations II'!W219</f>
        <v>103.55143847021374</v>
      </c>
      <c r="Z219" s="95">
        <f ca="1">Y219-Sheet1!CT222</f>
        <v>86.272438470213743</v>
      </c>
      <c r="AA219" s="95">
        <f ca="1">Y219+Calculation!DJ220+Calculation!AS220</f>
        <v>123.96866512053052</v>
      </c>
      <c r="AC219" s="95">
        <f>Sheet1!AA221+Sheet1!AB221+BC219</f>
        <v>84.97</v>
      </c>
      <c r="AD219" s="95">
        <f>Sheet1!AA221+Sheet1!BN221+'Calculations II'!BC219-Calculation!AS219-Calculation!DJ219</f>
        <v>44.606714185557379</v>
      </c>
      <c r="AE219" s="95">
        <f>Sheet1!AA221+Sheet1!AB221+'Calculations II'!BC219-Calculation!AS219-Calculation!DJ219</f>
        <v>64.556714185557382</v>
      </c>
      <c r="AF219" s="95">
        <f ca="1">Sheet1!AA221+Sheet1!BN221+P219+'Calculations II'!BC219+Calculation!AS219+Calculation!DJ219</f>
        <v>94.964132284656387</v>
      </c>
      <c r="AG219" s="95">
        <f ca="1">IF(B219=TODAY(),0,Sheet1!AA221+Sheet1!BN221+'Calculations II'!BC219+'Calculations II'!P219-Sheet1!CT221-BP219)</f>
        <v>57.361846470213756</v>
      </c>
      <c r="AH219" s="95">
        <f ca="1">IF(B219=TODAY(),0,Sheet1!AA221+Sheet1!BN221+'Calculations II'!BC219+'Calculations II'!P219-BP219)</f>
        <v>74.550846470213756</v>
      </c>
      <c r="AI219" s="95">
        <f ca="1">IF(B219=TODAY(),0,BC219+Sheet1!AA221+Calculation!ES219+O219+W219+Sheet1!BN221+Calculation!AS219+Calculation!DJ219-BP219)</f>
        <v>94.964132284656358</v>
      </c>
      <c r="AJ219" s="95"/>
      <c r="AM219" s="91">
        <f t="shared" si="30"/>
        <v>41847</v>
      </c>
      <c r="AN219" s="95">
        <f>Sheet1!BU221</f>
        <v>40.299999999999997</v>
      </c>
      <c r="AO219" s="95">
        <f>Sheet1!AA221</f>
        <v>43.02</v>
      </c>
      <c r="AP219" s="95">
        <f t="shared" si="25"/>
        <v>-8.1022500000000015</v>
      </c>
      <c r="AQ219" s="1055">
        <f>((Sheet1!BV221-(Sheet1!BU221-AP219))/(Sheet1!BU221-AP219))</f>
        <v>0.10738653678289763</v>
      </c>
      <c r="AR219" s="95">
        <f t="shared" si="26"/>
        <v>51.122250000000008</v>
      </c>
      <c r="AS219" s="95">
        <f t="shared" si="27"/>
        <v>48.402249999999995</v>
      </c>
      <c r="AT219" s="90">
        <f>Sheet1!BB221</f>
        <v>1.6</v>
      </c>
      <c r="AU219" s="90">
        <f>Sheet1!AS221*GPMtoMGD</f>
        <v>3.6864000000000001E-2</v>
      </c>
      <c r="AV219" s="95">
        <f>Sheet1!AT221</f>
        <v>0</v>
      </c>
      <c r="AW219" s="90">
        <f>Sheet1!AV221*GPMtoMGD</f>
        <v>1.7647200000000001</v>
      </c>
      <c r="AX219" s="90">
        <f>Sheet1!AW221*GPMtoMGD</f>
        <v>1.3616640000000002</v>
      </c>
      <c r="AY219" s="90">
        <f>Sheet1!AX221*GPMtoMGD</f>
        <v>0.10944000000000001</v>
      </c>
      <c r="AZ219" s="90">
        <f>Sheet1!AY221*GPMtoMGD</f>
        <v>0</v>
      </c>
      <c r="BA219" s="90">
        <f>Sheet1!AZ221*GPMtoMGD</f>
        <v>0</v>
      </c>
      <c r="BB219" s="90">
        <f>Sheet1!BP221*GPMtoMGD</f>
        <v>0</v>
      </c>
      <c r="BC219" s="90">
        <f>Sheet1!CS221*GPMtoMGD</f>
        <v>0</v>
      </c>
      <c r="BD219" s="90">
        <f>Sheet1!BO221*GPMtoMGD</f>
        <v>4.0419360000000006</v>
      </c>
      <c r="BE219" s="90">
        <f>Sheet1!BW221*GPMtoMGD</f>
        <v>2.239344</v>
      </c>
      <c r="BF219" s="90">
        <f>Sheet1!CN221*GPMtoMGD</f>
        <v>1.7280000000000002</v>
      </c>
      <c r="BG219" s="90">
        <f>Sheet1!CO221*GPMtoMGD</f>
        <v>1.568592</v>
      </c>
      <c r="BH219" s="90">
        <f>Sheet1!CP221*GPMtoMGD</f>
        <v>1.00152</v>
      </c>
      <c r="BI219" s="90">
        <f t="shared" si="31"/>
        <v>4.0419360000000006</v>
      </c>
      <c r="BK219" s="95">
        <f>SUM(AT219:BA219,BE219,Sheet1!BV221,'Calculations II'!BC219,Calculation!AQ219)</f>
        <v>82.280155393316193</v>
      </c>
      <c r="BM219" s="373">
        <f>0</f>
        <v>0</v>
      </c>
      <c r="BN219" s="373">
        <f>0</f>
        <v>0</v>
      </c>
      <c r="BP219" s="95">
        <f>SUM(BM219:BN219,W219,Sheet1!DX221)</f>
        <v>0</v>
      </c>
    </row>
    <row r="220" spans="1:68" s="90" customFormat="1">
      <c r="A220" s="651" t="s">
        <v>4</v>
      </c>
      <c r="B220" s="92">
        <v>41848</v>
      </c>
      <c r="C220" s="93">
        <v>0</v>
      </c>
      <c r="D220" s="95">
        <f>(Sheet1!BQ222-Sheet1!BQ221)*1.385</f>
        <v>-3.4901999999999993</v>
      </c>
      <c r="E220" s="30">
        <f>(Sheet1!BR222-Sheet1!BR221)*1.385</f>
        <v>-3.448649999999998</v>
      </c>
      <c r="F220" s="30">
        <f ca="1">IF(B220=TODAY(),0,-(VLOOKUP(Sheet1!CD222,Lookup!$I$4:$J$216,2)-VLOOKUP(Sheet1!CD221,Lookup!$I$4:$J$216,2))/1000000)</f>
        <v>-0.20727387709560247</v>
      </c>
      <c r="G220" s="95">
        <f ca="1">IF(B220=TODAY(),0,-$G$6*(Sheet1!CF222-Sheet1!CF221)*7.48/1000000)</f>
        <v>-1.2708320336818972</v>
      </c>
      <c r="H220" s="95">
        <f ca="1">IF(B220=TODAY(),0,-$H$6*(Sheet1!CE222-Sheet1!CE221)*7.48/1000000)</f>
        <v>-6.0157729405060027E-2</v>
      </c>
      <c r="I220" s="95">
        <f ca="1">IF(B220=TODAY(),0,-$I$6*(Sheet1!CG222-Sheet1!CG221)*7.48/1000000)</f>
        <v>8.9849760000000074E-3</v>
      </c>
      <c r="J220" s="96" t="s">
        <v>186</v>
      </c>
      <c r="K220" s="95">
        <f ca="1">IF(B220=TODAY(),0,-$K$6*(Sheet1!CH222-Sheet1!CH221)*7.48/1000000)</f>
        <v>1.3326640748916837E-2</v>
      </c>
      <c r="L220" s="96" t="s">
        <v>186</v>
      </c>
      <c r="M220" s="95">
        <f ca="1">IF(B220=TODAY(),0,-$M$6*(Sheet1!CI222-Sheet1!CI221)*7.48/1000000)</f>
        <v>3.598301685605397E-2</v>
      </c>
      <c r="N220" s="95">
        <f ca="1">IF(B220=TODAY(),0,-$N$6*(Sheet1!CJ222-Sheet1!CJ221)*7.48/1000000)</f>
        <v>-0.4343664177623669</v>
      </c>
      <c r="O220" s="95">
        <f t="shared" ca="1" si="28"/>
        <v>-1.9143354243399557</v>
      </c>
      <c r="P220" s="95">
        <f ca="1">O220+Calculation!ES220</f>
        <v>5.0046176992357916</v>
      </c>
      <c r="Q220" s="90" t="str">
        <f>IF(Sheet1!BQ222&gt;25.75,"spill elevation","-")</f>
        <v>-</v>
      </c>
      <c r="R220" s="90" t="str">
        <f>IF(Sheet1!BQ222&gt;25.75,"spill elevation","-")</f>
        <v>-</v>
      </c>
      <c r="S220" s="90" t="str">
        <f>IF(Sheet1!BR222&gt;25.75,"spill elevation","-")</f>
        <v>-</v>
      </c>
      <c r="T220" s="94">
        <f>IF(Sheet1!DU222=1,Sheet1!AA222-(SUM(AT220:BA220)+BE220),Sheet1!AA222-SUM(AT220:BA220))</f>
        <v>40.514336</v>
      </c>
      <c r="U220" s="94">
        <f>Sheet1!BV222</f>
        <v>55</v>
      </c>
      <c r="V220" s="94">
        <f t="shared" si="29"/>
        <v>-14.485664</v>
      </c>
      <c r="W220" s="94">
        <f>0</f>
        <v>0</v>
      </c>
      <c r="X220" s="90">
        <f>0</f>
        <v>0</v>
      </c>
      <c r="Y220" s="95">
        <f ca="1">Calculation!EJ221+Calculation!ES220+'Calculations II'!O220-'Calculations II'!W220</f>
        <v>106.60300169923579</v>
      </c>
      <c r="Z220" s="95">
        <f ca="1">Y220-Sheet1!CT223</f>
        <v>89.226001699235795</v>
      </c>
      <c r="AA220" s="95">
        <f ca="1">Y220+Calculation!DJ221+Calculation!AS221</f>
        <v>127.10511461147726</v>
      </c>
      <c r="AC220" s="95">
        <f>Sheet1!AA222+Sheet1!AB222+BC220</f>
        <v>94.020591999999994</v>
      </c>
      <c r="AD220" s="95">
        <f>Sheet1!AA222+Sheet1!BN222+'Calculations II'!BC220-Calculation!AS220-Calculation!DJ220</f>
        <v>53.673365349683209</v>
      </c>
      <c r="AE220" s="95">
        <f>Sheet1!AA222+Sheet1!AB222+'Calculations II'!BC220-Calculation!AS220-Calculation!DJ220</f>
        <v>73.603365349683216</v>
      </c>
      <c r="AF220" s="95">
        <f ca="1">Sheet1!AA222+Sheet1!BN222+P220+'Calculations II'!BC220+Calculation!AS220+Calculation!DJ220</f>
        <v>99.512436349552573</v>
      </c>
      <c r="AG220" s="95">
        <f ca="1">IF(B220=TODAY(),0,Sheet1!AA222+Sheet1!BN222+'Calculations II'!BC220+'Calculations II'!P220-Sheet1!CT222-BP220)</f>
        <v>61.816209699235785</v>
      </c>
      <c r="AH220" s="95">
        <f ca="1">IF(B220=TODAY(),0,Sheet1!AA222+Sheet1!BN222+'Calculations II'!BC220+'Calculations II'!P220-BP220)</f>
        <v>79.095209699235781</v>
      </c>
      <c r="AI220" s="95">
        <f ca="1">IF(B220=TODAY(),0,BC220+Sheet1!AA222+Calculation!ES220+O220+W220+Sheet1!BN222+Calculation!AS220+Calculation!DJ220-BP220)</f>
        <v>99.512436349552573</v>
      </c>
      <c r="AJ220" s="95"/>
      <c r="AM220" s="91">
        <f t="shared" si="30"/>
        <v>41848</v>
      </c>
      <c r="AN220" s="95">
        <f>Sheet1!BU222</f>
        <v>42.3</v>
      </c>
      <c r="AO220" s="95">
        <f>Sheet1!AA222</f>
        <v>45.51</v>
      </c>
      <c r="AP220" s="95">
        <f t="shared" si="25"/>
        <v>-6.9388499999999969</v>
      </c>
      <c r="AQ220" s="1055">
        <f>((Sheet1!BV222-(Sheet1!BU222-AP220))/(Sheet1!BU222-AP220))</f>
        <v>0.11700415423999563</v>
      </c>
      <c r="AR220" s="95">
        <f t="shared" si="26"/>
        <v>52.448849999999993</v>
      </c>
      <c r="AS220" s="95">
        <f t="shared" si="27"/>
        <v>49.238849999999992</v>
      </c>
      <c r="AT220" s="90">
        <f>Sheet1!BB222</f>
        <v>1.6</v>
      </c>
      <c r="AU220" s="90">
        <f>Sheet1!AS222*GPMtoMGD</f>
        <v>3.7007999999999999E-2</v>
      </c>
      <c r="AV220" s="95">
        <f>Sheet1!AT222</f>
        <v>0</v>
      </c>
      <c r="AW220" s="90">
        <f>Sheet1!AV222*GPMtoMGD</f>
        <v>2.0069280000000003</v>
      </c>
      <c r="AX220" s="90">
        <f>Sheet1!AW222*GPMtoMGD</f>
        <v>1.2348000000000001</v>
      </c>
      <c r="AY220" s="90">
        <f>Sheet1!AX222*GPMtoMGD</f>
        <v>0.11692800000000002</v>
      </c>
      <c r="AZ220" s="90">
        <f>Sheet1!AY222*GPMtoMGD</f>
        <v>0</v>
      </c>
      <c r="BA220" s="90">
        <f>Sheet1!AZ222*GPMtoMGD</f>
        <v>0</v>
      </c>
      <c r="BB220" s="90">
        <f>Sheet1!BP222*GPMtoMGD</f>
        <v>0</v>
      </c>
      <c r="BC220" s="90">
        <f>Sheet1!CS222*GPMtoMGD</f>
        <v>0.38059200000000004</v>
      </c>
      <c r="BD220" s="90">
        <f>Sheet1!BO222*GPMtoMGD</f>
        <v>4.1636160000000002</v>
      </c>
      <c r="BE220" s="90">
        <f>Sheet1!BW222*GPMtoMGD</f>
        <v>1.9450080000000003</v>
      </c>
      <c r="BF220" s="90">
        <f>Sheet1!CN222*GPMtoMGD</f>
        <v>1.7280000000000002</v>
      </c>
      <c r="BG220" s="90">
        <f>Sheet1!CO222*GPMtoMGD</f>
        <v>1.6253280000000001</v>
      </c>
      <c r="BH220" s="90">
        <f>Sheet1!CP222*GPMtoMGD</f>
        <v>1.0241280000000001</v>
      </c>
      <c r="BI220" s="90">
        <f t="shared" si="31"/>
        <v>4.1636160000000002</v>
      </c>
      <c r="BK220" s="95">
        <f>SUM(AT220:BA220,BE220,Sheet1!BV222,'Calculations II'!BC220,Calculation!AQ220)</f>
        <v>90.060197169834453</v>
      </c>
      <c r="BM220" s="373">
        <f>0</f>
        <v>0</v>
      </c>
      <c r="BN220" s="373">
        <f>0</f>
        <v>0</v>
      </c>
      <c r="BP220" s="95">
        <f>SUM(BM220:BN220,W220,Sheet1!DX222)</f>
        <v>0</v>
      </c>
    </row>
    <row r="221" spans="1:68" s="90" customFormat="1">
      <c r="A221" s="651" t="s">
        <v>5</v>
      </c>
      <c r="B221" s="92">
        <v>41849</v>
      </c>
      <c r="C221" s="93">
        <v>0</v>
      </c>
      <c r="D221" s="95">
        <f>(Sheet1!BQ223-Sheet1!BQ222)*1.385</f>
        <v>4.1134500000000029</v>
      </c>
      <c r="E221" s="30">
        <f>(Sheet1!BR223-Sheet1!BR222)*1.385</f>
        <v>4.1273000000000009</v>
      </c>
      <c r="F221" s="30">
        <f ca="1">IF(B221=TODAY(),0,-(VLOOKUP(Sheet1!CD223,Lookup!$I$4:$J$216,2)-VLOOKUP(Sheet1!CD222,Lookup!$I$4:$J$216,2))/1000000)</f>
        <v>2.7981973407906069</v>
      </c>
      <c r="G221" s="95">
        <f ca="1">IF(B221=TODAY(),0,-$G$6*(Sheet1!CF223-Sheet1!CF222)*7.48/1000000)</f>
        <v>0.39713501052559297</v>
      </c>
      <c r="H221" s="95">
        <f ca="1">IF(B221=TODAY(),0,-$H$6*(Sheet1!CE223-Sheet1!CE222)*7.48/1000000)</f>
        <v>6.0157729405060027E-2</v>
      </c>
      <c r="I221" s="95">
        <f ca="1">IF(B221=TODAY(),0,-$I$6*(Sheet1!CG223-Sheet1!CG222)*7.48/1000000)</f>
        <v>-5.3909856000000006E-2</v>
      </c>
      <c r="J221" s="96" t="s">
        <v>186</v>
      </c>
      <c r="K221" s="95">
        <f ca="1">IF(B221=TODAY(),0,-$K$6*(Sheet1!CH223-Sheet1!CH222)*7.48/1000000)</f>
        <v>-9.3286485242418213E-2</v>
      </c>
      <c r="L221" s="96" t="s">
        <v>186</v>
      </c>
      <c r="M221" s="95">
        <f ca="1">IF(B221=TODAY(),0,-$M$6*(Sheet1!CI223-Sheet1!CI222)*7.48/1000000)</f>
        <v>-0.25188111799237844</v>
      </c>
      <c r="N221" s="95">
        <f ca="1">IF(B221=TODAY(),0,-$N$6*(Sheet1!CJ223-Sheet1!CJ222)*7.48/1000000)</f>
        <v>1.1789945624978542</v>
      </c>
      <c r="O221" s="95">
        <f t="shared" ca="1" si="28"/>
        <v>4.0354071839843169</v>
      </c>
      <c r="P221" s="95">
        <f ca="1">O221+Calculation!ES221</f>
        <v>-4.2682975673727928</v>
      </c>
      <c r="Q221" s="90" t="str">
        <f>IF(Sheet1!BQ223&gt;25.75,"spill elevation","-")</f>
        <v>-</v>
      </c>
      <c r="R221" s="90" t="str">
        <f>IF(Sheet1!BQ223&gt;25.75,"spill elevation","-")</f>
        <v>-</v>
      </c>
      <c r="S221" s="90" t="str">
        <f>IF(Sheet1!BR223&gt;25.75,"spill elevation","-")</f>
        <v>-</v>
      </c>
      <c r="T221" s="94">
        <f>IF(Sheet1!DU223=1,Sheet1!AA223-(SUM(AT221:BA221)+BE221),Sheet1!AA223-SUM(AT221:BA221))</f>
        <v>43.268143999999999</v>
      </c>
      <c r="U221" s="94">
        <f>Sheet1!BV223</f>
        <v>42.7</v>
      </c>
      <c r="V221" s="94">
        <f t="shared" si="29"/>
        <v>0.56814399999999665</v>
      </c>
      <c r="W221" s="94">
        <f>0</f>
        <v>0</v>
      </c>
      <c r="X221" s="90">
        <f>0</f>
        <v>0</v>
      </c>
      <c r="Y221" s="95">
        <f ca="1">Calculation!EJ222+Calculation!ES221+'Calculations II'!O221-'Calculations II'!W221</f>
        <v>96.531702432627213</v>
      </c>
      <c r="Z221" s="95">
        <f ca="1">Y221-Sheet1!CT224</f>
        <v>79.437702432627219</v>
      </c>
      <c r="AA221" s="95">
        <f ca="1">Y221+Calculation!DJ222+Calculation!AS222</f>
        <v>116.82814015090428</v>
      </c>
      <c r="AC221" s="95">
        <f>Sheet1!AA223+Sheet1!AB223+BC221</f>
        <v>101.598384</v>
      </c>
      <c r="AD221" s="95">
        <f>Sheet1!AA223+Sheet1!BN223+'Calculations II'!BC221-Calculation!AS221-Calculation!DJ221</f>
        <v>61.076271087758528</v>
      </c>
      <c r="AE221" s="95">
        <f>Sheet1!AA223+Sheet1!AB223+'Calculations II'!BC221-Calculation!AS221-Calculation!DJ221</f>
        <v>81.096271087758524</v>
      </c>
      <c r="AF221" s="95">
        <f ca="1">Sheet1!AA223+Sheet1!BN223+P221+'Calculations II'!BC221+Calculation!AS221+Calculation!DJ221</f>
        <v>97.812199344868674</v>
      </c>
      <c r="AG221" s="95">
        <f ca="1">IF(B221=TODAY(),0,Sheet1!AA223+Sheet1!BN223+'Calculations II'!BC221+'Calculations II'!P221-Sheet1!CT223-BP221)</f>
        <v>59.933086432627206</v>
      </c>
      <c r="AH221" s="95">
        <f ca="1">IF(B221=TODAY(),0,Sheet1!AA223+Sheet1!BN223+'Calculations II'!BC221+'Calculations II'!P221-BP221)</f>
        <v>77.310086432627202</v>
      </c>
      <c r="AI221" s="95">
        <f ca="1">IF(B221=TODAY(),0,BC221+Sheet1!AA223+Calculation!ES221+O221+W221+Sheet1!BN223+Calculation!AS221+Calculation!DJ221-BP221)</f>
        <v>97.812199344868674</v>
      </c>
      <c r="AJ221" s="95"/>
      <c r="AM221" s="91">
        <f t="shared" si="30"/>
        <v>41849</v>
      </c>
      <c r="AN221" s="95">
        <f>Sheet1!BU223</f>
        <v>45.4</v>
      </c>
      <c r="AO221" s="95">
        <f>Sheet1!AA223</f>
        <v>47.91</v>
      </c>
      <c r="AP221" s="95">
        <f t="shared" si="25"/>
        <v>8.2407500000000038</v>
      </c>
      <c r="AQ221" s="1055">
        <f>((Sheet1!BV223-(Sheet1!BU223-AP221))/(Sheet1!BU223-AP221))</f>
        <v>0.14910823011766952</v>
      </c>
      <c r="AR221" s="95">
        <f t="shared" si="26"/>
        <v>39.669249999999991</v>
      </c>
      <c r="AS221" s="95">
        <f t="shared" si="27"/>
        <v>37.159249999999993</v>
      </c>
      <c r="AT221" s="90">
        <f>Sheet1!BB223</f>
        <v>1.6</v>
      </c>
      <c r="AU221" s="90">
        <f>Sheet1!AS223*GPMtoMGD</f>
        <v>3.8159999999999999E-2</v>
      </c>
      <c r="AV221" s="95">
        <f>Sheet1!AT223</f>
        <v>0</v>
      </c>
      <c r="AW221" s="90">
        <f>Sheet1!AV223*GPMtoMGD</f>
        <v>1.7310239999999999</v>
      </c>
      <c r="AX221" s="90">
        <f>Sheet1!AW223*GPMtoMGD</f>
        <v>1.169136</v>
      </c>
      <c r="AY221" s="90">
        <f>Sheet1!AX223*GPMtoMGD</f>
        <v>0.10353600000000002</v>
      </c>
      <c r="AZ221" s="90">
        <f>Sheet1!AY223*GPMtoMGD</f>
        <v>0</v>
      </c>
      <c r="BA221" s="90">
        <f>Sheet1!AZ223*GPMtoMGD</f>
        <v>0</v>
      </c>
      <c r="BB221" s="90">
        <f>Sheet1!BP223*GPMtoMGD</f>
        <v>0</v>
      </c>
      <c r="BC221" s="90">
        <f>Sheet1!CS223*GPMtoMGD</f>
        <v>0.76838400000000007</v>
      </c>
      <c r="BD221" s="90">
        <f>Sheet1!BO223*GPMtoMGD</f>
        <v>4.466736</v>
      </c>
      <c r="BE221" s="90">
        <f>Sheet1!BW223*GPMtoMGD</f>
        <v>1.87704</v>
      </c>
      <c r="BF221" s="90">
        <f>Sheet1!CN223*GPMtoMGD</f>
        <v>1.7280000000000002</v>
      </c>
      <c r="BG221" s="90">
        <f>Sheet1!CO223*GPMtoMGD</f>
        <v>1.5768000000000002</v>
      </c>
      <c r="BH221" s="90">
        <f>Sheet1!CP223*GPMtoMGD</f>
        <v>1.015776</v>
      </c>
      <c r="BI221" s="90">
        <f t="shared" si="31"/>
        <v>4.466736</v>
      </c>
      <c r="BK221" s="95">
        <f>SUM(AT221:BA221,BE221,Sheet1!BV223,'Calculations II'!BC221,Calculation!AQ221)</f>
        <v>82.427525947456672</v>
      </c>
      <c r="BM221" s="373">
        <f>0</f>
        <v>0</v>
      </c>
      <c r="BN221" s="373">
        <f>0</f>
        <v>0</v>
      </c>
      <c r="BP221" s="95">
        <f>SUM(BM221:BN221,W221,Sheet1!DX223)</f>
        <v>0</v>
      </c>
    </row>
    <row r="222" spans="1:68" s="90" customFormat="1">
      <c r="A222" s="651" t="s">
        <v>6</v>
      </c>
      <c r="B222" s="92">
        <v>41850</v>
      </c>
      <c r="C222" s="93">
        <v>0</v>
      </c>
      <c r="D222" s="95">
        <f>(Sheet1!BQ224-Sheet1!BQ223)*1.385</f>
        <v>1.8143499999999981</v>
      </c>
      <c r="E222" s="30">
        <f>(Sheet1!BR224-Sheet1!BR223)*1.385</f>
        <v>1.73125</v>
      </c>
      <c r="F222" s="30">
        <f ca="1">IF(B222=TODAY(),0,-(VLOOKUP(Sheet1!CD224,Lookup!$I$4:$J$216,2)-VLOOKUP(Sheet1!CD223,Lookup!$I$4:$J$216,2))/1000000)</f>
        <v>-0.62182163128680179</v>
      </c>
      <c r="G222" s="95">
        <f ca="1">IF(B222=TODAY(),0,-$G$6*(Sheet1!CF224-Sheet1!CF223)*7.48/1000000)</f>
        <v>0.95312402526142248</v>
      </c>
      <c r="H222" s="95">
        <f ca="1">IF(B222=TODAY(),0,-$H$6*(Sheet1!CE224-Sheet1!CE223)*7.48/1000000)</f>
        <v>0.69181388815819245</v>
      </c>
      <c r="I222" s="95">
        <f ca="1">IF(B222=TODAY(),0,-$I$6*(Sheet1!CG224-Sheet1!CG223)*7.48/1000000)</f>
        <v>6.7387320000000001E-2</v>
      </c>
      <c r="J222" s="96" t="s">
        <v>186</v>
      </c>
      <c r="K222" s="95">
        <f ca="1">IF(B222=TODAY(),0,-$K$6*(Sheet1!CH224-Sheet1!CH223)*7.48/1000000)</f>
        <v>0.119939766740252</v>
      </c>
      <c r="L222" s="96" t="s">
        <v>186</v>
      </c>
      <c r="M222" s="95">
        <f ca="1">IF(B222=TODAY(),0,-$M$6*(Sheet1!CI224-Sheet1!CI223)*7.48/1000000)</f>
        <v>0.32384715170448697</v>
      </c>
      <c r="N222" s="95">
        <f ca="1">IF(B222=TODAY(),0,-$N$6*(Sheet1!CJ224-Sheet1!CJ223)*7.48/1000000)</f>
        <v>-0.31026172697311949</v>
      </c>
      <c r="O222" s="95">
        <f t="shared" ca="1" si="28"/>
        <v>1.2240287936044325</v>
      </c>
      <c r="P222" s="95">
        <f ca="1">O222+Calculation!ES222</f>
        <v>-2.377825099131611</v>
      </c>
      <c r="Q222" s="90" t="str">
        <f>IF(Sheet1!BQ224&gt;25.75,"spill elevation","-")</f>
        <v>-</v>
      </c>
      <c r="R222" s="90" t="str">
        <f>IF(Sheet1!BQ224&gt;25.75,"spill elevation","-")</f>
        <v>-</v>
      </c>
      <c r="S222" s="90" t="str">
        <f>IF(Sheet1!BR224&gt;25.75,"spill elevation","-")</f>
        <v>-</v>
      </c>
      <c r="T222" s="94">
        <f>IF(Sheet1!DU224=1,Sheet1!AA224-(SUM(AT222:BA222)+BE222),Sheet1!AA224-SUM(AT222:BA222))</f>
        <v>44.384720000000002</v>
      </c>
      <c r="U222" s="94">
        <f>Sheet1!BV224</f>
        <v>48.6</v>
      </c>
      <c r="V222" s="94">
        <f t="shared" si="29"/>
        <v>-4.2152799999999999</v>
      </c>
      <c r="W222" s="94">
        <f>0</f>
        <v>0</v>
      </c>
      <c r="X222" s="90">
        <f>0</f>
        <v>0</v>
      </c>
      <c r="Y222" s="95">
        <f ca="1">Calculation!EJ223+Calculation!ES222+'Calculations II'!O222-'Calculations II'!W222</f>
        <v>99.364782900868377</v>
      </c>
      <c r="Z222" s="95">
        <f ca="1">Y222-Sheet1!CT225</f>
        <v>82.114782900868377</v>
      </c>
      <c r="AA222" s="95">
        <f ca="1">Y222+Calculation!DJ223+Calculation!AS223</f>
        <v>119.6140242514311</v>
      </c>
      <c r="AC222" s="95">
        <f>Sheet1!AA224+Sheet1!AB224+BC222</f>
        <v>100.8</v>
      </c>
      <c r="AD222" s="95">
        <f>Sheet1!AA224+Sheet1!BN224+'Calculations II'!BC222-Calculation!AS222-Calculation!DJ222</f>
        <v>60.793562281722942</v>
      </c>
      <c r="AE222" s="95">
        <f>Sheet1!AA224+Sheet1!AB224+'Calculations II'!BC222-Calculation!AS222-Calculation!DJ222</f>
        <v>80.503562281722935</v>
      </c>
      <c r="AF222" s="95">
        <f ca="1">Sheet1!AA224+Sheet1!BN224+P222+'Calculations II'!BC222+Calculation!AS222+Calculation!DJ222</f>
        <v>99.008612619145453</v>
      </c>
      <c r="AG222" s="95">
        <f ca="1">IF(B222=TODAY(),0,Sheet1!AA224+Sheet1!BN224+'Calculations II'!BC222+'Calculations II'!P222-Sheet1!CT224-BP222)</f>
        <v>61.618174900868389</v>
      </c>
      <c r="AH222" s="95">
        <f ca="1">IF(B222=TODAY(),0,Sheet1!AA224+Sheet1!BN224+'Calculations II'!BC222+'Calculations II'!P222-BP222)</f>
        <v>78.712174900868391</v>
      </c>
      <c r="AI222" s="95">
        <f ca="1">IF(B222=TODAY(),0,BC222+Sheet1!AA224+Calculation!ES222+O222+W222+Sheet1!BN224+Calculation!AS222+Calculation!DJ222-BP222)</f>
        <v>99.008612619145438</v>
      </c>
      <c r="AJ222" s="95"/>
      <c r="AM222" s="91">
        <f t="shared" si="30"/>
        <v>41850</v>
      </c>
      <c r="AN222" s="95">
        <f>Sheet1!BU224</f>
        <v>46.4</v>
      </c>
      <c r="AO222" s="95">
        <f>Sheet1!AA224</f>
        <v>50.19</v>
      </c>
      <c r="AP222" s="95">
        <f t="shared" si="25"/>
        <v>3.5455999999999981</v>
      </c>
      <c r="AQ222" s="1055">
        <f>((Sheet1!BV224-(Sheet1!BU224-AP222))/(Sheet1!BU224-AP222))</f>
        <v>0.13407258064516137</v>
      </c>
      <c r="AR222" s="95">
        <f t="shared" si="26"/>
        <v>46.644399999999997</v>
      </c>
      <c r="AS222" s="95">
        <f t="shared" si="27"/>
        <v>42.854399999999998</v>
      </c>
      <c r="AT222" s="90">
        <f>Sheet1!BB224</f>
        <v>1.6</v>
      </c>
      <c r="AU222" s="90">
        <f>Sheet1!AS224*GPMtoMGD</f>
        <v>3.9168000000000001E-2</v>
      </c>
      <c r="AV222" s="95">
        <f>Sheet1!AT224</f>
        <v>0.48</v>
      </c>
      <c r="AW222" s="90">
        <f>Sheet1!AV224*GPMtoMGD</f>
        <v>1.9923839999999999</v>
      </c>
      <c r="AX222" s="90">
        <f>Sheet1!AW224*GPMtoMGD</f>
        <v>1.5701760000000002</v>
      </c>
      <c r="AY222" s="90">
        <f>Sheet1!AX224*GPMtoMGD</f>
        <v>0.12355200000000001</v>
      </c>
      <c r="AZ222" s="90">
        <f>Sheet1!AY224*GPMtoMGD</f>
        <v>0</v>
      </c>
      <c r="BA222" s="90">
        <f>Sheet1!AZ224*GPMtoMGD</f>
        <v>0</v>
      </c>
      <c r="BB222" s="90">
        <f>Sheet1!BP224*GPMtoMGD</f>
        <v>0</v>
      </c>
      <c r="BC222" s="90">
        <f>Sheet1!CS224*GPMtoMGD</f>
        <v>0</v>
      </c>
      <c r="BD222" s="90">
        <f>Sheet1!BO224*GPMtoMGD</f>
        <v>3.6764640000000002</v>
      </c>
      <c r="BE222" s="90">
        <f>Sheet1!BW224*GPMtoMGD</f>
        <v>2.2049280000000002</v>
      </c>
      <c r="BF222" s="90">
        <f>Sheet1!CN224*GPMtoMGD</f>
        <v>1.7280000000000002</v>
      </c>
      <c r="BG222" s="90">
        <f>Sheet1!CO224*GPMtoMGD</f>
        <v>1.5811200000000001</v>
      </c>
      <c r="BH222" s="90">
        <f>Sheet1!CP224*GPMtoMGD</f>
        <v>1.0054080000000001</v>
      </c>
      <c r="BI222" s="90">
        <f t="shared" si="31"/>
        <v>3.6764640000000002</v>
      </c>
      <c r="BK222" s="95">
        <f>SUM(AT222:BA222,BE222,Sheet1!BV224,'Calculations II'!BC222,Calculation!AQ222)</f>
        <v>86.952641061699651</v>
      </c>
      <c r="BM222" s="373">
        <f>0</f>
        <v>0</v>
      </c>
      <c r="BN222" s="373">
        <f>0</f>
        <v>0</v>
      </c>
      <c r="BP222" s="95">
        <f>SUM(BM222:BN222,W222,Sheet1!DX224)</f>
        <v>0</v>
      </c>
    </row>
    <row r="223" spans="1:68" s="90" customFormat="1">
      <c r="A223" s="651" t="s">
        <v>7</v>
      </c>
      <c r="B223" s="92">
        <v>41851</v>
      </c>
      <c r="C223" s="93">
        <v>0</v>
      </c>
      <c r="D223" s="95">
        <f>(Sheet1!BQ225-Sheet1!BQ224)*1.385</f>
        <v>0.11079999999999764</v>
      </c>
      <c r="E223" s="30">
        <f>(Sheet1!BR225-Sheet1!BR224)*1.385</f>
        <v>0.18004999999999863</v>
      </c>
      <c r="F223" s="30">
        <f ca="1">IF(B223=TODAY(),0,-(VLOOKUP(Sheet1!CD225,Lookup!$I$4:$J$216,2)-VLOOKUP(Sheet1!CD224,Lookup!$I$4:$J$216,2))/1000000)</f>
        <v>-1.1400063240258005</v>
      </c>
      <c r="G223" s="95">
        <f ca="1">IF(B223=TODAY(),0,-$G$6*(Sheet1!CF225-Sheet1!CF224)*7.48/1000000)</f>
        <v>-1.6282535431549316</v>
      </c>
      <c r="H223" s="95">
        <f ca="1">IF(B223=TODAY(),0,-$H$6*(Sheet1!CE225-Sheet1!CE224)*7.48/1000000)</f>
        <v>-0.70685332050945759</v>
      </c>
      <c r="I223" s="95">
        <f ca="1">IF(B223=TODAY(),0,-$I$6*(Sheet1!CG225-Sheet1!CG224)*7.48/1000000)</f>
        <v>2.2462440000000004E-2</v>
      </c>
      <c r="J223" s="96" t="s">
        <v>186</v>
      </c>
      <c r="K223" s="95">
        <f ca="1">IF(B223=TODAY(),0,-$K$6*(Sheet1!CH225-Sheet1!CH224)*7.48/1000000)</f>
        <v>3.3316601872292212E-2</v>
      </c>
      <c r="L223" s="96" t="s">
        <v>186</v>
      </c>
      <c r="M223" s="95">
        <f ca="1">IF(B223=TODAY(),0,-$M$6*(Sheet1!CI225-Sheet1!CI224)*7.48/1000000)</f>
        <v>8.9957542140134933E-2</v>
      </c>
      <c r="N223" s="95">
        <f ca="1">IF(B223=TODAY(),0,-$N$6*(Sheet1!CJ225-Sheet1!CJ224)*7.48/1000000)</f>
        <v>-0.67016533026193814</v>
      </c>
      <c r="O223" s="95">
        <f t="shared" ca="1" si="28"/>
        <v>-3.9995419339397009</v>
      </c>
      <c r="P223" s="95">
        <f ca="1">O223+Calculation!ES223</f>
        <v>-4.2766973543793014</v>
      </c>
      <c r="Q223" s="90" t="str">
        <f>IF(Sheet1!BQ225&gt;25.75,"spill elevation","-")</f>
        <v>-</v>
      </c>
      <c r="R223" s="90" t="str">
        <f>IF(Sheet1!BQ225&gt;25.75,"spill elevation","-")</f>
        <v>-</v>
      </c>
      <c r="S223" s="90" t="str">
        <f>IF(Sheet1!BR225&gt;25.75,"spill elevation","-")</f>
        <v>-</v>
      </c>
      <c r="T223" s="94">
        <f>IF(Sheet1!DU225=1,Sheet1!AA225-(SUM(AT223:BA223)+BE223),Sheet1!AA225-SUM(AT223:BA223))</f>
        <v>49.0244</v>
      </c>
      <c r="U223" s="94">
        <f>Sheet1!BV225</f>
        <v>57.1</v>
      </c>
      <c r="V223" s="94">
        <f t="shared" si="29"/>
        <v>-8.0756000000000014</v>
      </c>
      <c r="W223" s="94">
        <f>0</f>
        <v>0</v>
      </c>
      <c r="X223" s="90">
        <f>0</f>
        <v>0</v>
      </c>
      <c r="Y223" s="95">
        <f ca="1">Calculation!EJ224+Calculation!ES223+'Calculations II'!O223-'Calculations II'!W223</f>
        <v>94.84330264562071</v>
      </c>
      <c r="Z223" s="95">
        <f ca="1">Y223-Sheet1!CT226</f>
        <v>78.303302645620704</v>
      </c>
      <c r="AA223" s="95">
        <f ca="1">Y223+Calculation!DJ224+Calculation!AS224</f>
        <v>115.34767966305131</v>
      </c>
      <c r="AC223" s="95">
        <f>Sheet1!AA225+Sheet1!AB225+BC223</f>
        <v>101.74260799999999</v>
      </c>
      <c r="AD223" s="95">
        <f>Sheet1!AA225+Sheet1!BN225+'Calculations II'!BC223-Calculation!AS223-Calculation!DJ223</f>
        <v>61.823366649437276</v>
      </c>
      <c r="AE223" s="95">
        <f>Sheet1!AA225+Sheet1!AB225+'Calculations II'!BC223-Calculation!AS223-Calculation!DJ223</f>
        <v>81.493366649437263</v>
      </c>
      <c r="AF223" s="95">
        <f ca="1">Sheet1!AA225+Sheet1!BN225+P223+'Calculations II'!BC223+Calculation!AS223+Calculation!DJ223</f>
        <v>98.045151996183421</v>
      </c>
      <c r="AG223" s="95">
        <f ca="1">IF(B223=TODAY(),0,Sheet1!AA225+Sheet1!BN225+'Calculations II'!BC223+'Calculations II'!P223-Sheet1!CT225-BP223)</f>
        <v>60.545910645620694</v>
      </c>
      <c r="AH223" s="95">
        <f ca="1">IF(B223=TODAY(),0,Sheet1!AA225+Sheet1!BN225+'Calculations II'!BC223+'Calculations II'!P223-BP223)</f>
        <v>77.795910645620694</v>
      </c>
      <c r="AI223" s="95">
        <f ca="1">IF(B223=TODAY(),0,BC223+Sheet1!AA225+Calculation!ES223+O223+W223+Sheet1!BN225+Calculation!AS223+Calculation!DJ223-BP223)</f>
        <v>98.045151996183421</v>
      </c>
      <c r="AJ223" s="95"/>
      <c r="AM223" s="91">
        <f t="shared" si="30"/>
        <v>41851</v>
      </c>
      <c r="AN223" s="95">
        <f>Sheet1!BU225</f>
        <v>51</v>
      </c>
      <c r="AO223" s="95">
        <f>Sheet1!AA225</f>
        <v>53.8</v>
      </c>
      <c r="AP223" s="95">
        <f t="shared" si="25"/>
        <v>0.29084999999999628</v>
      </c>
      <c r="AQ223" s="1055">
        <f>((Sheet1!BV225-(Sheet1!BU225-AP223))/(Sheet1!BU225-AP223))</f>
        <v>0.12602952327144115</v>
      </c>
      <c r="AR223" s="95">
        <f t="shared" si="26"/>
        <v>53.509149999999998</v>
      </c>
      <c r="AS223" s="95">
        <f t="shared" si="27"/>
        <v>50.709150000000001</v>
      </c>
      <c r="AT223" s="90">
        <f>Sheet1!BB225</f>
        <v>1.6</v>
      </c>
      <c r="AU223" s="90">
        <f>Sheet1!AS225*GPMtoMGD</f>
        <v>3.4848000000000004E-2</v>
      </c>
      <c r="AV223" s="95">
        <f>Sheet1!AT225</f>
        <v>0.31</v>
      </c>
      <c r="AW223" s="90">
        <f>Sheet1!AV225*GPMtoMGD</f>
        <v>1.6977600000000002</v>
      </c>
      <c r="AX223" s="90">
        <f>Sheet1!AW225*GPMtoMGD</f>
        <v>1.02816</v>
      </c>
      <c r="AY223" s="90">
        <f>Sheet1!AX225*GPMtoMGD</f>
        <v>0.10483200000000001</v>
      </c>
      <c r="AZ223" s="90">
        <f>Sheet1!AY225*GPMtoMGD</f>
        <v>0</v>
      </c>
      <c r="BA223" s="90">
        <f>Sheet1!AZ225*GPMtoMGD</f>
        <v>0</v>
      </c>
      <c r="BB223" s="90">
        <f>Sheet1!BP225*GPMtoMGD</f>
        <v>0</v>
      </c>
      <c r="BC223" s="90">
        <f>Sheet1!CS225*GPMtoMGD</f>
        <v>0.92260800000000009</v>
      </c>
      <c r="BD223" s="90">
        <f>Sheet1!BO225*GPMtoMGD</f>
        <v>3.8034720000000006</v>
      </c>
      <c r="BE223" s="90">
        <f>Sheet1!BW225*GPMtoMGD</f>
        <v>1.9321920000000001</v>
      </c>
      <c r="BF223" s="90">
        <f>Sheet1!CN225*GPMtoMGD</f>
        <v>1.7280000000000002</v>
      </c>
      <c r="BG223" s="90">
        <f>Sheet1!CO225*GPMtoMGD</f>
        <v>1.5795360000000003</v>
      </c>
      <c r="BH223" s="90">
        <f>Sheet1!CP225*GPMtoMGD</f>
        <v>0.97920000000000007</v>
      </c>
      <c r="BI223" s="90">
        <f t="shared" si="31"/>
        <v>3.8034720000000006</v>
      </c>
      <c r="BK223" s="95">
        <f>SUM(AT223:BA223,BE223,Sheet1!BV225,'Calculations II'!BC223,Calculation!AQ223)</f>
        <v>91.533171988328476</v>
      </c>
      <c r="BM223" s="373">
        <f>0</f>
        <v>0</v>
      </c>
      <c r="BN223" s="373">
        <f>0</f>
        <v>0</v>
      </c>
      <c r="BP223" s="95">
        <f>SUM(BM223:BN223,W223,Sheet1!DX225)</f>
        <v>0</v>
      </c>
    </row>
    <row r="224" spans="1:68" s="90" customFormat="1">
      <c r="A224" s="651" t="s">
        <v>8</v>
      </c>
      <c r="B224" s="92">
        <v>41852</v>
      </c>
      <c r="C224" s="93">
        <v>0</v>
      </c>
      <c r="D224" s="95">
        <f>(Sheet1!BQ226-Sheet1!BQ225)*1.385</f>
        <v>2.8669500000000006</v>
      </c>
      <c r="E224" s="30">
        <f>(Sheet1!BR226-Sheet1!BR225)*1.385</f>
        <v>2.8253999999999988</v>
      </c>
      <c r="F224" s="30">
        <f ca="1">IF(B224=TODAY(),0,-(VLOOKUP(Sheet1!CD226,Lookup!$I$4:$J$216,2)-VLOOKUP(Sheet1!CD225,Lookup!$I$4:$J$216,2))/1000000)</f>
        <v>0.41454775419119744</v>
      </c>
      <c r="G224" s="95">
        <f ca="1">IF(B224=TODAY(),0,-$G$6*(Sheet1!CF226-Sheet1!CF225)*7.48/1000000)</f>
        <v>1.0325510273665424</v>
      </c>
      <c r="H224" s="95">
        <f ca="1">IF(B224=TODAY(),0,-$H$6*(Sheet1!CE226-Sheet1!CE225)*7.48/1000000)</f>
        <v>-1.5039432351265274E-2</v>
      </c>
      <c r="I224" s="95">
        <f ca="1">IF(B224=TODAY(),0,-$I$6*(Sheet1!CG226-Sheet1!CG225)*7.48/1000000)</f>
        <v>-2.9201171999999977E-2</v>
      </c>
      <c r="J224" s="96" t="s">
        <v>186</v>
      </c>
      <c r="K224" s="95">
        <f ca="1">IF(B224=TODAY(),0,-$K$6*(Sheet1!CH226-Sheet1!CH225)*7.48/1000000)</f>
        <v>-4.9974902808438318E-2</v>
      </c>
      <c r="L224" s="96" t="s">
        <v>186</v>
      </c>
      <c r="M224" s="95">
        <f ca="1">IF(B224=TODAY(),0,-$M$6*(Sheet1!CI226-Sheet1!CI225)*7.48/1000000)</f>
        <v>-0.11694480478217587</v>
      </c>
      <c r="N224" s="95">
        <f ca="1">IF(B224=TODAY(),0,-$N$6*(Sheet1!CJ226-Sheet1!CJ225)*7.48/1000000)</f>
        <v>0.11169422171032285</v>
      </c>
      <c r="O224" s="95">
        <f t="shared" ca="1" si="28"/>
        <v>1.3476326913261831</v>
      </c>
      <c r="P224" s="95">
        <f ca="1">O224+Calculation!ES224</f>
        <v>-4.3368840805899458</v>
      </c>
      <c r="Q224" s="90" t="str">
        <f>IF(Sheet1!BQ226&gt;25.75,"spill elevation","-")</f>
        <v>-</v>
      </c>
      <c r="R224" s="90" t="str">
        <f>IF(Sheet1!BQ226&gt;25.75,"spill elevation","-")</f>
        <v>-</v>
      </c>
      <c r="S224" s="90" t="str">
        <f>IF(Sheet1!BR226&gt;25.75,"spill elevation","-")</f>
        <v>-</v>
      </c>
      <c r="T224" s="94">
        <f>IF(Sheet1!DU226=1,Sheet1!AA226-(SUM(AT224:BA224)+BE224),Sheet1!AA226-SUM(AT224:BA224))</f>
        <v>49.376719999999999</v>
      </c>
      <c r="U224" s="94">
        <f>Sheet1!BV226</f>
        <v>51.9</v>
      </c>
      <c r="V224" s="94">
        <f t="shared" si="29"/>
        <v>-2.5232799999999997</v>
      </c>
      <c r="W224" s="94">
        <f>0</f>
        <v>0</v>
      </c>
      <c r="X224" s="90">
        <f>0</f>
        <v>0</v>
      </c>
      <c r="Y224" s="95">
        <f ca="1">Calculation!EJ225+Calculation!ES224+'Calculations II'!O224-'Calculations II'!W224</f>
        <v>93.563115919410066</v>
      </c>
      <c r="Z224" s="95">
        <f ca="1">Y224-Sheet1!CT227</f>
        <v>76.02311591941006</v>
      </c>
      <c r="AA224" s="95">
        <f ca="1">Y224+Calculation!DJ225+Calculation!AS225</f>
        <v>114.25542361171776</v>
      </c>
      <c r="AC224" s="95">
        <f>Sheet1!AA226+Sheet1!AB226+BC224</f>
        <v>99.12</v>
      </c>
      <c r="AD224" s="95">
        <f>Sheet1!AA226+Sheet1!BN226+'Calculations II'!BC224-Calculation!AS224-Calculation!DJ224</f>
        <v>58.895622982569414</v>
      </c>
      <c r="AE224" s="95">
        <f>Sheet1!AA226+Sheet1!AB226+'Calculations II'!BC224-Calculation!AS224-Calculation!DJ224</f>
        <v>78.61562298256942</v>
      </c>
      <c r="AF224" s="95">
        <f ca="1">Sheet1!AA226+Sheet1!BN226+P224+'Calculations II'!BC224+Calculation!AS224+Calculation!DJ224</f>
        <v>95.567492936840665</v>
      </c>
      <c r="AG224" s="95">
        <f ca="1">IF(B224=TODAY(),0,Sheet1!AA226+Sheet1!BN226+'Calculations II'!BC224+'Calculations II'!P224-Sheet1!CT226-BP224)</f>
        <v>58.523115919410067</v>
      </c>
      <c r="AH224" s="95">
        <f ca="1">IF(B224=TODAY(),0,Sheet1!AA226+Sheet1!BN226+'Calculations II'!BC224+'Calculations II'!P224-BP224)</f>
        <v>75.063115919410066</v>
      </c>
      <c r="AI224" s="95">
        <f ca="1">IF(B224=TODAY(),0,BC224+Sheet1!AA226+Calculation!ES224+O224+W224+Sheet1!BN226+Calculation!AS224+Calculation!DJ224-BP224)</f>
        <v>95.567492936840637</v>
      </c>
      <c r="AJ224" s="95"/>
      <c r="AM224" s="91">
        <f t="shared" si="30"/>
        <v>41852</v>
      </c>
      <c r="AN224" s="95">
        <f>Sheet1!BU226</f>
        <v>51.3</v>
      </c>
      <c r="AO224" s="95">
        <f>Sheet1!AA226</f>
        <v>54</v>
      </c>
      <c r="AP224" s="95">
        <f t="shared" si="25"/>
        <v>5.6923499999999994</v>
      </c>
      <c r="AQ224" s="1055">
        <f>((Sheet1!BV226-(Sheet1!BU226-AP224))/(Sheet1!BU226-AP224))</f>
        <v>0.13796698580172403</v>
      </c>
      <c r="AR224" s="95">
        <f t="shared" si="26"/>
        <v>48.307650000000002</v>
      </c>
      <c r="AS224" s="95">
        <f t="shared" si="27"/>
        <v>45.60765</v>
      </c>
      <c r="AT224" s="90">
        <f>Sheet1!BB226</f>
        <v>1.6</v>
      </c>
      <c r="AU224" s="90">
        <f>Sheet1!AS226*GPMtoMGD</f>
        <v>1.7712000000000002E-2</v>
      </c>
      <c r="AV224" s="95">
        <f>Sheet1!AT226</f>
        <v>0</v>
      </c>
      <c r="AW224" s="90">
        <f>Sheet1!AV226*GPMtoMGD</f>
        <v>1.6421760000000003</v>
      </c>
      <c r="AX224" s="90">
        <f>Sheet1!AW226*GPMtoMGD</f>
        <v>1.2582720000000001</v>
      </c>
      <c r="AY224" s="90">
        <f>Sheet1!AX226*GPMtoMGD</f>
        <v>0.10512000000000001</v>
      </c>
      <c r="AZ224" s="90">
        <f>Sheet1!AY226*GPMtoMGD</f>
        <v>0</v>
      </c>
      <c r="BA224" s="90">
        <f>Sheet1!AZ226*GPMtoMGD</f>
        <v>0</v>
      </c>
      <c r="BB224" s="90">
        <f>Sheet1!BP226*GPMtoMGD</f>
        <v>0</v>
      </c>
      <c r="BC224" s="90">
        <f>Sheet1!CS226*GPMtoMGD</f>
        <v>0</v>
      </c>
      <c r="BD224" s="90">
        <f>Sheet1!BO226*GPMtoMGD</f>
        <v>3.9839040000000003</v>
      </c>
      <c r="BE224" s="90">
        <f>Sheet1!BW226*GPMtoMGD</f>
        <v>1.841472</v>
      </c>
      <c r="BF224" s="90">
        <f>Sheet1!CN226*GPMtoMGD</f>
        <v>1.7280000000000002</v>
      </c>
      <c r="BG224" s="90">
        <f>Sheet1!CO226*GPMtoMGD</f>
        <v>1.4872320000000001</v>
      </c>
      <c r="BH224" s="90">
        <f>Sheet1!CP226*GPMtoMGD</f>
        <v>0.96451200000000004</v>
      </c>
      <c r="BI224" s="90">
        <f t="shared" si="31"/>
        <v>3.9839040000000003</v>
      </c>
      <c r="BK224" s="95">
        <f>SUM(AT224:BA224,BE224,Sheet1!BV226,'Calculations II'!BC224,Calculation!AQ224)</f>
        <v>83.026856583602324</v>
      </c>
      <c r="BM224" s="373">
        <f>0</f>
        <v>0</v>
      </c>
      <c r="BN224" s="373">
        <f>0</f>
        <v>0</v>
      </c>
      <c r="BP224" s="95">
        <f>SUM(BM224:BN224,W224,Sheet1!DX226)</f>
        <v>0</v>
      </c>
    </row>
    <row r="225" spans="1:68" s="90" customFormat="1">
      <c r="A225" s="651" t="s">
        <v>9</v>
      </c>
      <c r="B225" s="92">
        <v>41853</v>
      </c>
      <c r="C225" s="93">
        <v>0</v>
      </c>
      <c r="D225" s="95">
        <f>(Sheet1!BQ227-Sheet1!BQ226)*1.385</f>
        <v>1.7035500000000006</v>
      </c>
      <c r="E225" s="30">
        <f>(Sheet1!BR227-Sheet1!BR226)*1.385</f>
        <v>1.7035500000000006</v>
      </c>
      <c r="F225" s="30">
        <f ca="1">IF(B225=TODAY(),0,-(VLOOKUP(Sheet1!CD227,Lookup!$I$4:$J$216,2)-VLOOKUP(Sheet1!CD226,Lookup!$I$4:$J$216,2))/1000000)</f>
        <v>0</v>
      </c>
      <c r="G225" s="95">
        <f ca="1">IF(B225=TODAY(),0,-$G$6*(Sheet1!CF227-Sheet1!CF226)*7.48/1000000)</f>
        <v>3.9713501052559864E-2</v>
      </c>
      <c r="H225" s="95">
        <f ca="1">IF(B225=TODAY(),0,-$H$6*(Sheet1!CE227-Sheet1!CE226)*7.48/1000000)</f>
        <v>0</v>
      </c>
      <c r="I225" s="95">
        <f ca="1">IF(B225=TODAY(),0,-$I$6*(Sheet1!CG227-Sheet1!CG226)*7.48/1000000)</f>
        <v>-1.1231220000000002E-2</v>
      </c>
      <c r="J225" s="96" t="s">
        <v>186</v>
      </c>
      <c r="K225" s="95">
        <f ca="1">IF(B225=TODAY(),0,-$K$6*(Sheet1!CH227-Sheet1!CH226)*7.48/1000000)</f>
        <v>-1.6658300936146106E-2</v>
      </c>
      <c r="L225" s="96" t="s">
        <v>186</v>
      </c>
      <c r="M225" s="95">
        <f ca="1">IF(B225=TODAY(),0,-$M$6*(Sheet1!CI227-Sheet1!CI226)*7.48/1000000)</f>
        <v>-6.2970279498094278E-2</v>
      </c>
      <c r="N225" s="95">
        <f ca="1">IF(B225=TODAY(),0,-$N$6*(Sheet1!CJ227-Sheet1!CJ226)*7.48/1000000)</f>
        <v>0.2792355542758071</v>
      </c>
      <c r="O225" s="95">
        <f t="shared" ca="1" si="28"/>
        <v>0.22808925489412657</v>
      </c>
      <c r="P225" s="95">
        <f ca="1">O225+Calculation!ES225</f>
        <v>-3.240717175847124</v>
      </c>
      <c r="Q225" s="90" t="str">
        <f>IF(Sheet1!BQ227&gt;25.75,"spill elevation","-")</f>
        <v>-</v>
      </c>
      <c r="R225" s="90" t="str">
        <f>IF(Sheet1!BQ227&gt;25.75,"spill elevation","-")</f>
        <v>-</v>
      </c>
      <c r="S225" s="90" t="str">
        <f>IF(Sheet1!BR227&gt;25.75,"spill elevation","-")</f>
        <v>-</v>
      </c>
      <c r="T225" s="94">
        <f>IF(Sheet1!DU227=1,Sheet1!AA227-(SUM(AT225:BA225)+BE225),Sheet1!AA227-SUM(AT225:BA225))</f>
        <v>49.444320000000005</v>
      </c>
      <c r="U225" s="94">
        <f>Sheet1!BV227</f>
        <v>54.5</v>
      </c>
      <c r="V225" s="94">
        <f t="shared" si="29"/>
        <v>-5.0556799999999953</v>
      </c>
      <c r="W225" s="94">
        <f>0</f>
        <v>0</v>
      </c>
      <c r="X225" s="90">
        <f>0</f>
        <v>0</v>
      </c>
      <c r="Y225" s="95">
        <f ca="1">Calculation!EJ226+Calculation!ES225+'Calculations II'!O225-'Calculations II'!W225</f>
        <v>94.999282824152885</v>
      </c>
      <c r="Z225" s="95">
        <f ca="1">Y225-Sheet1!CT228</f>
        <v>76.899282824152891</v>
      </c>
      <c r="AA225" s="95">
        <f ca="1">Y225+Calculation!DJ226+Calculation!AS226</f>
        <v>115.65266927833615</v>
      </c>
      <c r="AC225" s="95">
        <f>Sheet1!AA227+Sheet1!AB227+BC225</f>
        <v>97.9</v>
      </c>
      <c r="AD225" s="95">
        <f>Sheet1!AA227+Sheet1!BN227+'Calculations II'!BC225-Calculation!AS225-Calculation!DJ225</f>
        <v>57.107692307692311</v>
      </c>
      <c r="AE225" s="95">
        <f>Sheet1!AA227+Sheet1!AB227+'Calculations II'!BC225-Calculation!AS225-Calculation!DJ225</f>
        <v>77.207692307692326</v>
      </c>
      <c r="AF225" s="95">
        <f ca="1">Sheet1!AA227+Sheet1!BN227+P225+'Calculations II'!BC225+Calculation!AS225+Calculation!DJ225</f>
        <v>95.251590516460567</v>
      </c>
      <c r="AG225" s="95">
        <f ca="1">IF(B225=TODAY(),0,Sheet1!AA227+Sheet1!BN227+'Calculations II'!BC225+'Calculations II'!P225-Sheet1!CT227-BP225)</f>
        <v>57.019282824152874</v>
      </c>
      <c r="AH225" s="95">
        <f ca="1">IF(B225=TODAY(),0,Sheet1!AA227+Sheet1!BN227+'Calculations II'!BC225+'Calculations II'!P225-BP225)</f>
        <v>74.559282824152874</v>
      </c>
      <c r="AI225" s="95">
        <f ca="1">IF(B225=TODAY(),0,BC225+Sheet1!AA227+Calculation!ES225+O225+W225+Sheet1!BN227+Calculation!AS225+Calculation!DJ225-BP225)</f>
        <v>95.251590516460567</v>
      </c>
      <c r="AJ225" s="95"/>
      <c r="AM225" s="91">
        <f t="shared" si="30"/>
        <v>41853</v>
      </c>
      <c r="AN225" s="95">
        <f>Sheet1!BU227</f>
        <v>51.5</v>
      </c>
      <c r="AO225" s="95">
        <f>Sheet1!AA227</f>
        <v>54.1</v>
      </c>
      <c r="AP225" s="95">
        <f t="shared" si="25"/>
        <v>3.4071000000000011</v>
      </c>
      <c r="AQ225" s="1055">
        <f>((Sheet1!BV227-(Sheet1!BU227-AP225))/(Sheet1!BU227-AP225))</f>
        <v>0.13322340719732018</v>
      </c>
      <c r="AR225" s="95">
        <f t="shared" si="26"/>
        <v>50.692900000000002</v>
      </c>
      <c r="AS225" s="95">
        <f t="shared" si="27"/>
        <v>48.0929</v>
      </c>
      <c r="AT225" s="90">
        <f>Sheet1!BB227</f>
        <v>1.6</v>
      </c>
      <c r="AU225" s="90">
        <f>Sheet1!AS227*GPMtoMGD</f>
        <v>3.2400000000000005E-2</v>
      </c>
      <c r="AV225" s="95">
        <f>Sheet1!AT227</f>
        <v>0</v>
      </c>
      <c r="AW225" s="90">
        <f>Sheet1!AV227*GPMtoMGD</f>
        <v>1.682064</v>
      </c>
      <c r="AX225" s="90">
        <f>Sheet1!AW227*GPMtoMGD</f>
        <v>1.246032</v>
      </c>
      <c r="AY225" s="90">
        <f>Sheet1!AX227*GPMtoMGD</f>
        <v>9.5184000000000005E-2</v>
      </c>
      <c r="AZ225" s="90">
        <f>Sheet1!AY227*GPMtoMGD</f>
        <v>0</v>
      </c>
      <c r="BA225" s="90">
        <f>Sheet1!AZ227*GPMtoMGD</f>
        <v>0</v>
      </c>
      <c r="BB225" s="90">
        <f>Sheet1!BP227*GPMtoMGD</f>
        <v>0</v>
      </c>
      <c r="BC225" s="90">
        <f>Sheet1!CS227*GPMtoMGD</f>
        <v>0</v>
      </c>
      <c r="BD225" s="90">
        <f>Sheet1!BO227*GPMtoMGD</f>
        <v>3.9739680000000002</v>
      </c>
      <c r="BE225" s="90">
        <f>Sheet1!BW227*GPMtoMGD</f>
        <v>1.9896480000000001</v>
      </c>
      <c r="BF225" s="90">
        <f>Sheet1!CN227*GPMtoMGD</f>
        <v>1.7280000000000002</v>
      </c>
      <c r="BG225" s="90">
        <f>Sheet1!CO227*GPMtoMGD</f>
        <v>1.4052960000000001</v>
      </c>
      <c r="BH225" s="90">
        <f>Sheet1!CP227*GPMtoMGD</f>
        <v>0.99561600000000006</v>
      </c>
      <c r="BI225" s="90">
        <f t="shared" si="31"/>
        <v>3.9739680000000002</v>
      </c>
      <c r="BK225" s="95">
        <f>SUM(AT225:BA225,BE225,Sheet1!BV227,'Calculations II'!BC225,Calculation!AQ225)</f>
        <v>84.29047850167224</v>
      </c>
      <c r="BM225" s="373">
        <f>0</f>
        <v>0</v>
      </c>
      <c r="BN225" s="373">
        <f>0</f>
        <v>0</v>
      </c>
      <c r="BP225" s="95">
        <f>SUM(BM225:BN225,W225,Sheet1!DX227)</f>
        <v>0</v>
      </c>
    </row>
    <row r="226" spans="1:68" s="90" customFormat="1">
      <c r="A226" s="651" t="s">
        <v>3</v>
      </c>
      <c r="B226" s="92">
        <v>41854</v>
      </c>
      <c r="C226" s="93">
        <v>0</v>
      </c>
      <c r="D226" s="95">
        <f>(Sheet1!BQ228-Sheet1!BQ227)*1.385</f>
        <v>-0.47089999999999982</v>
      </c>
      <c r="E226" s="30">
        <f>(Sheet1!BR228-Sheet1!BR227)*1.385</f>
        <v>-0.47089999999999982</v>
      </c>
      <c r="F226" s="30">
        <f ca="1">IF(B226=TODAY(),0,-(VLOOKUP(Sheet1!CD228,Lookup!$I$4:$J$216,2)-VLOOKUP(Sheet1!CD227,Lookup!$I$4:$J$216,2))/1000000)</f>
        <v>-0.93273244693019985</v>
      </c>
      <c r="G226" s="95">
        <f ca="1">IF(B226=TODAY(),0,-$G$6*(Sheet1!CF228-Sheet1!CF227)*7.48/1000000)</f>
        <v>0.31770800842047325</v>
      </c>
      <c r="H226" s="95">
        <f ca="1">IF(B226=TODAY(),0,-$H$6*(Sheet1!CE228-Sheet1!CE227)*7.48/1000000)</f>
        <v>6.0157729405060027E-2</v>
      </c>
      <c r="I226" s="95">
        <f ca="1">IF(B226=TODAY(),0,-$I$6*(Sheet1!CG228-Sheet1!CG227)*7.48/1000000)</f>
        <v>8.9849760000000074E-3</v>
      </c>
      <c r="J226" s="96" t="s">
        <v>186</v>
      </c>
      <c r="K226" s="95">
        <f ca="1">IF(B226=TODAY(),0,-$K$6*(Sheet1!CH228-Sheet1!CH227)*7.48/1000000)</f>
        <v>1.3326640748916837E-2</v>
      </c>
      <c r="L226" s="96" t="s">
        <v>186</v>
      </c>
      <c r="M226" s="95">
        <f ca="1">IF(B226=TODAY(),0,-$M$6*(Sheet1!CI228-Sheet1!CI227)*7.48/1000000)</f>
        <v>5.3974525284080636E-2</v>
      </c>
      <c r="N226" s="95">
        <f ca="1">IF(B226=TODAY(),0,-$N$6*(Sheet1!CJ228-Sheet1!CJ227)*7.48/1000000)</f>
        <v>-0.11169422171032285</v>
      </c>
      <c r="O226" s="95">
        <f t="shared" ca="1" si="28"/>
        <v>-0.5902747887819918</v>
      </c>
      <c r="P226" s="95">
        <f ca="1">O226+Calculation!ES226</f>
        <v>0.51996290283256907</v>
      </c>
      <c r="Q226" s="90" t="str">
        <f>IF(Sheet1!BQ228&gt;25.75,"spill elevation","-")</f>
        <v>-</v>
      </c>
      <c r="R226" s="90" t="str">
        <f>IF(Sheet1!BQ228&gt;25.75,"spill elevation","-")</f>
        <v>-</v>
      </c>
      <c r="S226" s="90" t="str">
        <f>IF(Sheet1!BR228&gt;25.75,"spill elevation","-")</f>
        <v>-</v>
      </c>
      <c r="T226" s="94">
        <f>IF(Sheet1!DU228=1,Sheet1!AA228-(SUM(AT226:BA226)+BE226),Sheet1!AA228-SUM(AT226:BA226))</f>
        <v>48.812128000000001</v>
      </c>
      <c r="U226" s="94">
        <f>Sheet1!BV228</f>
        <v>58.6</v>
      </c>
      <c r="V226" s="94">
        <f t="shared" si="29"/>
        <v>-9.7878720000000001</v>
      </c>
      <c r="W226" s="94">
        <f>0</f>
        <v>0</v>
      </c>
      <c r="X226" s="90">
        <f>0</f>
        <v>0</v>
      </c>
      <c r="Y226" s="95">
        <f ca="1">Calculation!EJ227+Calculation!ES226+'Calculations II'!O226-'Calculations II'!W226</f>
        <v>96.779962902832551</v>
      </c>
      <c r="Z226" s="95">
        <f ca="1">Y226-Sheet1!CT229</f>
        <v>80.594962902832549</v>
      </c>
      <c r="AA226" s="95">
        <f ca="1">Y226+Calculation!DJ227+Calculation!AS227</f>
        <v>117.36271679121315</v>
      </c>
      <c r="AC226" s="95">
        <f>Sheet1!AA228+Sheet1!AB228+BC226</f>
        <v>98.240000000000009</v>
      </c>
      <c r="AD226" s="95">
        <f>Sheet1!AA228+Sheet1!BN228+'Calculations II'!BC226-Calculation!AS226-Calculation!DJ226</f>
        <v>57.54661354581674</v>
      </c>
      <c r="AE226" s="95">
        <f>Sheet1!AA228+Sheet1!AB228+'Calculations II'!BC226-Calculation!AS226-Calculation!DJ226</f>
        <v>77.586613545816746</v>
      </c>
      <c r="AF226" s="95">
        <f ca="1">Sheet1!AA228+Sheet1!BN228+P226+'Calculations II'!BC226+Calculation!AS226+Calculation!DJ226</f>
        <v>99.37334935701584</v>
      </c>
      <c r="AG226" s="95">
        <f ca="1">IF(B226=TODAY(),0,Sheet1!AA228+Sheet1!BN228+'Calculations II'!BC226+'Calculations II'!P226-Sheet1!CT228-BP226)</f>
        <v>60.619962902832576</v>
      </c>
      <c r="AH226" s="95">
        <f ca="1">IF(B226=TODAY(),0,Sheet1!AA228+Sheet1!BN228+'Calculations II'!BC226+'Calculations II'!P226-BP226)</f>
        <v>78.719962902832577</v>
      </c>
      <c r="AI226" s="95">
        <f ca="1">IF(B226=TODAY(),0,BC226+Sheet1!AA228+Calculation!ES226+O226+W226+Sheet1!BN228+Calculation!AS226+Calculation!DJ226-BP226)</f>
        <v>99.373349357015826</v>
      </c>
      <c r="AJ226" s="95"/>
      <c r="AM226" s="91">
        <f t="shared" si="30"/>
        <v>41854</v>
      </c>
      <c r="AN226" s="95">
        <f>Sheet1!BU228</f>
        <v>51.2</v>
      </c>
      <c r="AO226" s="95">
        <f>Sheet1!AA228</f>
        <v>54.14</v>
      </c>
      <c r="AP226" s="95">
        <f t="shared" si="25"/>
        <v>-0.94179999999999964</v>
      </c>
      <c r="AQ226" s="1055">
        <f>((Sheet1!BV228-(Sheet1!BU228-AP226))/(Sheet1!BU228-AP226))</f>
        <v>0.12385840151279774</v>
      </c>
      <c r="AR226" s="95">
        <f t="shared" si="26"/>
        <v>55.081800000000001</v>
      </c>
      <c r="AS226" s="95">
        <f t="shared" si="27"/>
        <v>52.141800000000003</v>
      </c>
      <c r="AT226" s="90">
        <f>Sheet1!BB228</f>
        <v>1.6</v>
      </c>
      <c r="AU226" s="90">
        <f>Sheet1!AS228*GPMtoMGD</f>
        <v>3.9744000000000002E-2</v>
      </c>
      <c r="AV226" s="95">
        <f>Sheet1!AT228</f>
        <v>0</v>
      </c>
      <c r="AW226" s="90">
        <f>Sheet1!AV228*GPMtoMGD</f>
        <v>1.862352</v>
      </c>
      <c r="AX226" s="90">
        <f>Sheet1!AW228*GPMtoMGD</f>
        <v>1.7154720000000001</v>
      </c>
      <c r="AY226" s="90">
        <f>Sheet1!AX228*GPMtoMGD</f>
        <v>0.110304</v>
      </c>
      <c r="AZ226" s="90">
        <f>Sheet1!AY228*GPMtoMGD</f>
        <v>0</v>
      </c>
      <c r="BA226" s="90">
        <f>Sheet1!AZ228*GPMtoMGD</f>
        <v>0</v>
      </c>
      <c r="BB226" s="90">
        <f>Sheet1!BP228*GPMtoMGD</f>
        <v>0</v>
      </c>
      <c r="BC226" s="90">
        <f>Sheet1!CS228*GPMtoMGD</f>
        <v>0</v>
      </c>
      <c r="BD226" s="90">
        <f>Sheet1!BO228*GPMtoMGD</f>
        <v>4.1392800000000003</v>
      </c>
      <c r="BE226" s="90">
        <f>Sheet1!BW228*GPMtoMGD</f>
        <v>2.2222080000000002</v>
      </c>
      <c r="BF226" s="90">
        <f>Sheet1!CN228*GPMtoMGD</f>
        <v>1.7280000000000002</v>
      </c>
      <c r="BG226" s="90">
        <f>Sheet1!CO228*GPMtoMGD</f>
        <v>1.577232</v>
      </c>
      <c r="BH226" s="90">
        <f>Sheet1!CP228*GPMtoMGD</f>
        <v>0.96292800000000012</v>
      </c>
      <c r="BI226" s="90">
        <f t="shared" si="31"/>
        <v>4.1392800000000003</v>
      </c>
      <c r="BK226" s="95">
        <f>SUM(AT226:BA226,BE226,Sheet1!BV228,'Calculations II'!BC226,Calculation!AQ226)</f>
        <v>89.634940557768928</v>
      </c>
      <c r="BM226" s="373">
        <f>0</f>
        <v>0</v>
      </c>
      <c r="BN226" s="373">
        <f>0</f>
        <v>0</v>
      </c>
      <c r="BP226" s="95">
        <f>SUM(BM226:BN226,W226,Sheet1!DX228)</f>
        <v>0</v>
      </c>
    </row>
    <row r="227" spans="1:68" s="90" customFormat="1">
      <c r="A227" s="651" t="s">
        <v>4</v>
      </c>
      <c r="B227" s="92">
        <v>41855</v>
      </c>
      <c r="C227" s="93">
        <v>0</v>
      </c>
      <c r="D227" s="95">
        <f>(Sheet1!BQ229-Sheet1!BQ228)*1.385</f>
        <v>-2.3129499999999976</v>
      </c>
      <c r="E227" s="30">
        <f>(Sheet1!BR229-Sheet1!BR228)*1.385</f>
        <v>-2.3406500000000019</v>
      </c>
      <c r="F227" s="30">
        <f ca="1">IF(B227=TODAY(),0,-(VLOOKUP(Sheet1!CD229,Lookup!$I$4:$J$216,2)-VLOOKUP(Sheet1!CD228,Lookup!$I$4:$J$216,2))/1000000)</f>
        <v>-0.93273244693019985</v>
      </c>
      <c r="G227" s="95">
        <f ca="1">IF(B227=TODAY(),0,-$G$6*(Sheet1!CF229-Sheet1!CF228)*7.48/1000000)</f>
        <v>0.40904906084136122</v>
      </c>
      <c r="H227" s="95">
        <f ca="1">IF(B227=TODAY(),0,-$H$6*(Sheet1!CE229-Sheet1!CE228)*7.48/1000000)</f>
        <v>0.28574921467403641</v>
      </c>
      <c r="I227" s="95">
        <f ca="1">IF(B227=TODAY(),0,-$I$6*(Sheet1!CG229-Sheet1!CG228)*7.48/1000000)</f>
        <v>-2.4708684000000033E-2</v>
      </c>
      <c r="J227" s="96" t="s">
        <v>186</v>
      </c>
      <c r="K227" s="95">
        <f ca="1">IF(B227=TODAY(),0,-$K$6*(Sheet1!CH229-Sheet1!CH228)*7.48/1000000)</f>
        <v>-3.6648262059521361E-2</v>
      </c>
      <c r="L227" s="96" t="s">
        <v>186</v>
      </c>
      <c r="M227" s="95">
        <f ca="1">IF(B227=TODAY(),0,-$M$6*(Sheet1!CI229-Sheet1!CI228)*7.48/1000000)</f>
        <v>-0.13493631321020289</v>
      </c>
      <c r="N227" s="95">
        <f ca="1">IF(B227=TODAY(),0,-$N$6*(Sheet1!CJ229-Sheet1!CJ228)*7.48/1000000)</f>
        <v>-0.67637056480140045</v>
      </c>
      <c r="O227" s="95">
        <f t="shared" ca="1" si="28"/>
        <v>-1.1105979954859269</v>
      </c>
      <c r="P227" s="95">
        <f ca="1">O227+Calculation!ES227</f>
        <v>3.4669580865993357</v>
      </c>
      <c r="Q227" s="90" t="str">
        <f>IF(Sheet1!BQ229&gt;25.75,"spill elevation","-")</f>
        <v>-</v>
      </c>
      <c r="R227" s="90" t="str">
        <f>IF(Sheet1!BQ229&gt;25.75,"spill elevation","-")</f>
        <v>-</v>
      </c>
      <c r="S227" s="90" t="str">
        <f>IF(Sheet1!BR229&gt;25.75,"spill elevation","-")</f>
        <v>-</v>
      </c>
      <c r="T227" s="94">
        <f>IF(Sheet1!DU229=1,Sheet1!AA229-(SUM(AT227:BA227)+BE227),Sheet1!AA229-SUM(AT227:BA227))</f>
        <v>48.285808000000003</v>
      </c>
      <c r="U227" s="94">
        <f>Sheet1!BV229</f>
        <v>62.2</v>
      </c>
      <c r="V227" s="94">
        <f t="shared" si="29"/>
        <v>-13.914192</v>
      </c>
      <c r="W227" s="94">
        <f>0</f>
        <v>0</v>
      </c>
      <c r="X227" s="90">
        <f>0</f>
        <v>0</v>
      </c>
      <c r="Y227" s="95">
        <f ca="1">Calculation!EJ228+Calculation!ES227+'Calculations II'!O227-'Calculations II'!W227</f>
        <v>94.266958086599331</v>
      </c>
      <c r="Z227" s="95">
        <f ca="1">Y227-Sheet1!CT230</f>
        <v>77.666958086599323</v>
      </c>
      <c r="AA227" s="95">
        <f ca="1">Y227+Calculation!DJ228+Calculation!AS228</f>
        <v>114.35271267052033</v>
      </c>
      <c r="AC227" s="95">
        <f>Sheet1!AA229+Sheet1!AB229+BC227</f>
        <v>96.259999999999991</v>
      </c>
      <c r="AD227" s="95">
        <f>Sheet1!AA229+Sheet1!BN229+'Calculations II'!BC227-Calculation!AS227-Calculation!DJ227</f>
        <v>55.877246111619414</v>
      </c>
      <c r="AE227" s="95">
        <f>Sheet1!AA229+Sheet1!AB229+'Calculations II'!BC227-Calculation!AS227-Calculation!DJ227</f>
        <v>75.677246111619397</v>
      </c>
      <c r="AF227" s="95">
        <f ca="1">Sheet1!AA229+Sheet1!BN229+P227+'Calculations II'!BC227+Calculation!AS227+Calculation!DJ227</f>
        <v>100.50971197497994</v>
      </c>
      <c r="AG227" s="95">
        <f ca="1">IF(B227=TODAY(),0,Sheet1!AA229+Sheet1!BN229+'Calculations II'!BC227+'Calculations II'!P227-Sheet1!CT229-BP227)</f>
        <v>63.74195808659934</v>
      </c>
      <c r="AH227" s="95">
        <f ca="1">IF(B227=TODAY(),0,Sheet1!AA229+Sheet1!BN229+'Calculations II'!BC227+'Calculations II'!P227-BP227)</f>
        <v>79.926958086599342</v>
      </c>
      <c r="AI227" s="95">
        <f ca="1">IF(B227=TODAY(),0,BC227+Sheet1!AA229+Calculation!ES227+O227+W227+Sheet1!BN229+Calculation!AS227+Calculation!DJ227-BP227)</f>
        <v>100.50971197497994</v>
      </c>
      <c r="AJ227" s="95"/>
      <c r="AM227" s="91">
        <f t="shared" si="30"/>
        <v>41855</v>
      </c>
      <c r="AN227" s="95">
        <f>Sheet1!BU229</f>
        <v>50.8</v>
      </c>
      <c r="AO227" s="95">
        <f>Sheet1!AA229</f>
        <v>53.96</v>
      </c>
      <c r="AP227" s="95">
        <f t="shared" si="25"/>
        <v>-4.6535999999999991</v>
      </c>
      <c r="AQ227" s="1055">
        <f>((Sheet1!BV229-(Sheet1!BU229-AP227))/(Sheet1!BU229-AP227))</f>
        <v>0.12165846761977597</v>
      </c>
      <c r="AR227" s="95">
        <f t="shared" si="26"/>
        <v>58.613599999999998</v>
      </c>
      <c r="AS227" s="95">
        <f t="shared" si="27"/>
        <v>55.453599999999994</v>
      </c>
      <c r="AT227" s="90">
        <f>Sheet1!BB229</f>
        <v>1.6</v>
      </c>
      <c r="AU227" s="90">
        <f>Sheet1!AS229*GPMtoMGD</f>
        <v>4.4784000000000004E-2</v>
      </c>
      <c r="AV227" s="95">
        <f>Sheet1!AT229</f>
        <v>0</v>
      </c>
      <c r="AW227" s="90">
        <f>Sheet1!AV229*GPMtoMGD</f>
        <v>1.9425600000000001</v>
      </c>
      <c r="AX227" s="90">
        <f>Sheet1!AW229*GPMtoMGD</f>
        <v>1.983744</v>
      </c>
      <c r="AY227" s="90">
        <f>Sheet1!AX229*GPMtoMGD</f>
        <v>0.103104</v>
      </c>
      <c r="AZ227" s="90">
        <f>Sheet1!AY229*GPMtoMGD</f>
        <v>0</v>
      </c>
      <c r="BA227" s="90">
        <f>Sheet1!AZ229*GPMtoMGD</f>
        <v>0</v>
      </c>
      <c r="BB227" s="90">
        <f>Sheet1!BP229*GPMtoMGD</f>
        <v>0</v>
      </c>
      <c r="BC227" s="90">
        <f>Sheet1!CS229*GPMtoMGD</f>
        <v>0</v>
      </c>
      <c r="BD227" s="90">
        <f>Sheet1!BO229*GPMtoMGD</f>
        <v>4.4903520000000006</v>
      </c>
      <c r="BE227" s="90">
        <f>Sheet1!BW229*GPMtoMGD</f>
        <v>2.2330080000000003</v>
      </c>
      <c r="BF227" s="90">
        <f>Sheet1!CN229*GPMtoMGD</f>
        <v>1.7280000000000002</v>
      </c>
      <c r="BG227" s="90">
        <f>Sheet1!CO229*GPMtoMGD</f>
        <v>1.6737120000000001</v>
      </c>
      <c r="BH227" s="90">
        <f>Sheet1!CP229*GPMtoMGD</f>
        <v>1.0573920000000001</v>
      </c>
      <c r="BI227" s="90">
        <f t="shared" si="31"/>
        <v>4.4903520000000006</v>
      </c>
      <c r="BK227" s="95">
        <f>SUM(AT227:BA227,BE227,Sheet1!BV229,'Calculations II'!BC227,Calculation!AQ227)</f>
        <v>91.876413174748407</v>
      </c>
      <c r="BM227" s="373">
        <f>0</f>
        <v>0</v>
      </c>
      <c r="BN227" s="373">
        <f>0</f>
        <v>0</v>
      </c>
      <c r="BP227" s="95">
        <f>SUM(BM227:BN227,W227,Sheet1!DX229)</f>
        <v>0</v>
      </c>
    </row>
    <row r="228" spans="1:68" s="90" customFormat="1">
      <c r="A228" s="651" t="s">
        <v>5</v>
      </c>
      <c r="B228" s="92">
        <v>41856</v>
      </c>
      <c r="C228" s="93">
        <v>0</v>
      </c>
      <c r="D228" s="95">
        <f>(Sheet1!BQ230-Sheet1!BQ229)*1.385</f>
        <v>-1.2742000000000024</v>
      </c>
      <c r="E228" s="30">
        <f>(Sheet1!BR230-Sheet1!BR229)*1.385</f>
        <v>-1.3157499999999991</v>
      </c>
      <c r="F228" s="30">
        <f ca="1">IF(B228=TODAY(),0,-(VLOOKUP(Sheet1!CD230,Lookup!$I$4:$J$216,2)-VLOOKUP(Sheet1!CD229,Lookup!$I$4:$J$216,2))/1000000)</f>
        <v>0.5181846927389987</v>
      </c>
      <c r="G228" s="95">
        <f ca="1">IF(B228=TODAY(),0,-$G$6*(Sheet1!CF230-Sheet1!CF229)*7.48/1000000)</f>
        <v>-1.1636055808399874</v>
      </c>
      <c r="H228" s="95">
        <f ca="1">IF(B228=TODAY(),0,-$H$6*(Sheet1!CE230-Sheet1!CE229)*7.48/1000000)</f>
        <v>0.22559148526897588</v>
      </c>
      <c r="I228" s="95">
        <f ca="1">IF(B228=TODAY(),0,-$I$6*(Sheet1!CG230-Sheet1!CG229)*7.48/1000000)</f>
        <v>3.369366E-2</v>
      </c>
      <c r="J228" s="96" t="s">
        <v>186</v>
      </c>
      <c r="K228" s="95">
        <f ca="1">IF(B228=TODAY(),0,-$K$6*(Sheet1!CH230-Sheet1!CH229)*7.48/1000000)</f>
        <v>5.3306562995667467E-2</v>
      </c>
      <c r="L228" s="96" t="s">
        <v>186</v>
      </c>
      <c r="M228" s="95">
        <f ca="1">IF(B228=TODAY(),0,-$M$6*(Sheet1!CI230-Sheet1!CI229)*7.48/1000000)</f>
        <v>0.17091933006625745</v>
      </c>
      <c r="N228" s="95">
        <f ca="1">IF(B228=TODAY(),0,-$N$6*(Sheet1!CJ230-Sheet1!CJ229)*7.48/1000000)</f>
        <v>0.44677688684129252</v>
      </c>
      <c r="O228" s="95">
        <f t="shared" ca="1" si="28"/>
        <v>0.28486703707120453</v>
      </c>
      <c r="P228" s="95">
        <f ca="1">O228+Calculation!ES228</f>
        <v>2.78024671923172</v>
      </c>
      <c r="Q228" s="90" t="str">
        <f>IF(Sheet1!BQ230&gt;25.75,"spill elevation","-")</f>
        <v>-</v>
      </c>
      <c r="R228" s="90" t="str">
        <f>IF(Sheet1!BQ230&gt;25.75,"spill elevation","-")</f>
        <v>-</v>
      </c>
      <c r="S228" s="90" t="str">
        <f>IF(Sheet1!BR230&gt;25.75,"spill elevation","-")</f>
        <v>-</v>
      </c>
      <c r="T228" s="94">
        <f>IF(Sheet1!DU230=1,Sheet1!AA230-(SUM(AT228:BA228)+BE228),Sheet1!AA230-SUM(AT228:BA228))</f>
        <v>51.924464</v>
      </c>
      <c r="U228" s="94">
        <f>Sheet1!BV230</f>
        <v>63.1</v>
      </c>
      <c r="V228" s="94">
        <f t="shared" si="29"/>
        <v>-11.175536000000001</v>
      </c>
      <c r="W228" s="94">
        <f>0</f>
        <v>0</v>
      </c>
      <c r="X228" s="90">
        <f>0</f>
        <v>0</v>
      </c>
      <c r="Y228" s="95">
        <f ca="1">Calculation!EJ229+Calculation!ES228+'Calculations II'!O228-'Calculations II'!W228</f>
        <v>98.045238719231719</v>
      </c>
      <c r="Z228" s="95">
        <f ca="1">Y228-Sheet1!CT231</f>
        <v>80.669238719231714</v>
      </c>
      <c r="AA228" s="95">
        <f ca="1">Y228+Calculation!DJ229+Calculation!AS229</f>
        <v>117.11438359140334</v>
      </c>
      <c r="AC228" s="95">
        <f>Sheet1!AA230+Sheet1!AB230+BC228</f>
        <v>90.8</v>
      </c>
      <c r="AD228" s="95">
        <f>Sheet1!AA230+Sheet1!BN230+'Calculations II'!BC228-Calculation!AS228-Calculation!DJ228</f>
        <v>51.114245416078994</v>
      </c>
      <c r="AE228" s="95">
        <f>Sheet1!AA230+Sheet1!AB230+'Calculations II'!BC228-Calculation!AS228-Calculation!DJ228</f>
        <v>70.714245416078995</v>
      </c>
      <c r="AF228" s="95">
        <f ca="1">Sheet1!AA230+Sheet1!BN230+P228+'Calculations II'!BC228+Calculation!AS228+Calculation!DJ228</f>
        <v>94.066001303152746</v>
      </c>
      <c r="AG228" s="95">
        <f ca="1">IF(B228=TODAY(),0,Sheet1!AA230+Sheet1!BN230+'Calculations II'!BC228+'Calculations II'!P228-Sheet1!CT230-BP228)</f>
        <v>57.380246719231728</v>
      </c>
      <c r="AH228" s="95">
        <f ca="1">IF(B228=TODAY(),0,Sheet1!AA230+Sheet1!BN230+'Calculations II'!BC228+'Calculations II'!P228-BP228)</f>
        <v>73.980246719231729</v>
      </c>
      <c r="AI228" s="95">
        <f ca="1">IF(B228=TODAY(),0,BC228+Sheet1!AA230+Calculation!ES228+O228+W228+Sheet1!BN230+Calculation!AS228+Calculation!DJ228-BP228)</f>
        <v>94.066001303152717</v>
      </c>
      <c r="AJ228" s="95"/>
      <c r="AM228" s="91">
        <f t="shared" si="30"/>
        <v>41856</v>
      </c>
      <c r="AN228" s="95">
        <f>Sheet1!BU230</f>
        <v>53.6</v>
      </c>
      <c r="AO228" s="95">
        <f>Sheet1!AA230</f>
        <v>56.4</v>
      </c>
      <c r="AP228" s="95">
        <f t="shared" si="25"/>
        <v>-2.5899500000000018</v>
      </c>
      <c r="AQ228" s="1055">
        <f>((Sheet1!BV230-(Sheet1!BU230-AP228))/(Sheet1!BU230-AP228))</f>
        <v>0.12297661770476745</v>
      </c>
      <c r="AR228" s="95">
        <f t="shared" si="26"/>
        <v>58.98995</v>
      </c>
      <c r="AS228" s="95">
        <f t="shared" si="27"/>
        <v>56.189950000000003</v>
      </c>
      <c r="AT228" s="90">
        <f>Sheet1!BB230</f>
        <v>1.6</v>
      </c>
      <c r="AU228" s="90">
        <f>Sheet1!AS230*GPMtoMGD</f>
        <v>2.4336E-2</v>
      </c>
      <c r="AV228" s="95">
        <f>Sheet1!AT230</f>
        <v>0</v>
      </c>
      <c r="AW228" s="90">
        <f>Sheet1!AV230*GPMtoMGD</f>
        <v>1.515744</v>
      </c>
      <c r="AX228" s="90">
        <f>Sheet1!AW230*GPMtoMGD</f>
        <v>1.2479040000000001</v>
      </c>
      <c r="AY228" s="90">
        <f>Sheet1!AX230*GPMtoMGD</f>
        <v>8.7552000000000005E-2</v>
      </c>
      <c r="AZ228" s="90">
        <f>Sheet1!AY230*GPMtoMGD</f>
        <v>0</v>
      </c>
      <c r="BA228" s="90">
        <f>Sheet1!AZ230*GPMtoMGD</f>
        <v>0</v>
      </c>
      <c r="BB228" s="90">
        <f>Sheet1!BP230*GPMtoMGD</f>
        <v>0</v>
      </c>
      <c r="BC228" s="90">
        <f>Sheet1!CS230*GPMtoMGD</f>
        <v>0</v>
      </c>
      <c r="BD228" s="90">
        <f>Sheet1!BO230*GPMtoMGD</f>
        <v>3.5432640000000002</v>
      </c>
      <c r="BE228" s="90">
        <f>Sheet1!BW230*GPMtoMGD</f>
        <v>1.8542880000000002</v>
      </c>
      <c r="BF228" s="90">
        <f>Sheet1!CN230*GPMtoMGD</f>
        <v>1.7280000000000002</v>
      </c>
      <c r="BG228" s="90">
        <f>Sheet1!CO230*GPMtoMGD</f>
        <v>1.42344</v>
      </c>
      <c r="BH228" s="90">
        <f>Sheet1!CP230*GPMtoMGD</f>
        <v>0.99792000000000003</v>
      </c>
      <c r="BI228" s="90">
        <f t="shared" si="31"/>
        <v>3.5432640000000002</v>
      </c>
      <c r="BK228" s="95">
        <f>SUM(AT228:BA228,BE228,Sheet1!BV230,'Calculations II'!BC228,Calculation!AQ228)</f>
        <v>83.791460107193231</v>
      </c>
      <c r="BM228" s="373">
        <f>0</f>
        <v>0</v>
      </c>
      <c r="BN228" s="373">
        <f>0</f>
        <v>0</v>
      </c>
      <c r="BP228" s="95">
        <f>SUM(BM228:BN228,W228,Sheet1!DX230)</f>
        <v>0</v>
      </c>
    </row>
    <row r="229" spans="1:68" s="90" customFormat="1">
      <c r="A229" s="651" t="s">
        <v>6</v>
      </c>
      <c r="B229" s="92">
        <v>41857</v>
      </c>
      <c r="C229" s="93">
        <v>0</v>
      </c>
      <c r="D229" s="95">
        <f>(Sheet1!BQ231-Sheet1!BQ230)*1.385</f>
        <v>0.41550000000000098</v>
      </c>
      <c r="E229" s="30">
        <f>(Sheet1!BR231-Sheet1!BR230)*1.385</f>
        <v>0.63710000000000122</v>
      </c>
      <c r="F229" s="30">
        <f ca="1">IF(B229=TODAY(),0,-(VLOOKUP(Sheet1!CD231,Lookup!$I$4:$J$216,2)-VLOOKUP(Sheet1!CD230,Lookup!$I$4:$J$216,2))/1000000)</f>
        <v>-0.72545856983460111</v>
      </c>
      <c r="G229" s="95">
        <f ca="1">IF(B229=TODAY(),0,-$G$6*(Sheet1!CF231-Sheet1!CF230)*7.48/1000000)</f>
        <v>-0.23828100631535634</v>
      </c>
      <c r="H229" s="95">
        <f ca="1">IF(B229=TODAY(),0,-$H$6*(Sheet1!CE231-Sheet1!CE230)*7.48/1000000)</f>
        <v>-0.58653786169933764</v>
      </c>
      <c r="I229" s="95">
        <f ca="1">IF(B229=TODAY(),0,-$I$6*(Sheet1!CG231-Sheet1!CG230)*7.48/1000000)</f>
        <v>-4.2678635999999978E-2</v>
      </c>
      <c r="J229" s="96" t="s">
        <v>186</v>
      </c>
      <c r="K229" s="95">
        <f ca="1">IF(B229=TODAY(),0,-$K$6*(Sheet1!CH231-Sheet1!CH230)*7.48/1000000)</f>
        <v>-7.6628184306272107E-2</v>
      </c>
      <c r="L229" s="96" t="s">
        <v>186</v>
      </c>
      <c r="M229" s="95">
        <f ca="1">IF(B229=TODAY(),0,-$M$6*(Sheet1!CI231-Sheet1!CI230)*7.48/1000000)</f>
        <v>-0.12594055899618983</v>
      </c>
      <c r="N229" s="95">
        <f ca="1">IF(B229=TODAY(),0,-$N$6*(Sheet1!CJ231-Sheet1!CJ230)*7.48/1000000)</f>
        <v>-0.90596424276150833</v>
      </c>
      <c r="O229" s="95">
        <f t="shared" ca="1" si="28"/>
        <v>-2.701489059913265</v>
      </c>
      <c r="P229" s="95">
        <f ca="1">O229+Calculation!ES229</f>
        <v>-3.8104120520717339</v>
      </c>
      <c r="Q229" s="90" t="str">
        <f>IF(Sheet1!BQ231&gt;25.75,"spill elevation","-")</f>
        <v>-</v>
      </c>
      <c r="R229" s="90" t="str">
        <f>IF(Sheet1!BQ231&gt;25.75,"spill elevation","-")</f>
        <v>-</v>
      </c>
      <c r="S229" s="90" t="str">
        <f>IF(Sheet1!BR231&gt;25.75,"spill elevation","-")</f>
        <v>-</v>
      </c>
      <c r="T229" s="94">
        <f>IF(Sheet1!DU231=1,Sheet1!AA231-(SUM(AT229:BA229)+BE229),Sheet1!AA231-SUM(AT229:BA229))</f>
        <v>52.484096000000001</v>
      </c>
      <c r="U229" s="94">
        <f>Sheet1!BV231</f>
        <v>60.7</v>
      </c>
      <c r="V229" s="94">
        <f t="shared" si="29"/>
        <v>-8.2159040000000019</v>
      </c>
      <c r="W229" s="94">
        <f>0</f>
        <v>0</v>
      </c>
      <c r="X229" s="90">
        <f>0</f>
        <v>0</v>
      </c>
      <c r="Y229" s="95">
        <f ca="1">Calculation!EJ230+Calculation!ES229+'Calculations II'!O229-'Calculations II'!W229</f>
        <v>92.031491947928259</v>
      </c>
      <c r="Z229" s="95">
        <f ca="1">Y229-Sheet1!CT232</f>
        <v>73.871491947928263</v>
      </c>
      <c r="AA229" s="95">
        <f ca="1">Y229+Calculation!DJ230+Calculation!AS230</f>
        <v>111.7169055372931</v>
      </c>
      <c r="AC229" s="95">
        <f>Sheet1!AA231+Sheet1!AB231+BC229</f>
        <v>95.264991999999992</v>
      </c>
      <c r="AD229" s="95">
        <f>Sheet1!AA231+Sheet1!BN231+'Calculations II'!BC229-Calculation!AS229-Calculation!DJ229</f>
        <v>57.095847127828385</v>
      </c>
      <c r="AE229" s="95">
        <f>Sheet1!AA231+Sheet1!AB231+'Calculations II'!BC229-Calculation!AS229-Calculation!DJ229</f>
        <v>76.195847127828387</v>
      </c>
      <c r="AF229" s="95">
        <f ca="1">Sheet1!AA231+Sheet1!BN231+P229+'Calculations II'!BC229+Calculation!AS229+Calculation!DJ229</f>
        <v>91.423724820099864</v>
      </c>
      <c r="AG229" s="95">
        <f ca="1">IF(B229=TODAY(),0,Sheet1!AA231+Sheet1!BN231+'Calculations II'!BC229+'Calculations II'!P229-Sheet1!CT231-BP229)</f>
        <v>54.978579947928253</v>
      </c>
      <c r="AH229" s="95">
        <f ca="1">IF(B229=TODAY(),0,Sheet1!AA231+Sheet1!BN231+'Calculations II'!BC229+'Calculations II'!P229-BP229)</f>
        <v>72.354579947928258</v>
      </c>
      <c r="AI229" s="95">
        <f ca="1">IF(B229=TODAY(),0,BC229+Sheet1!AA231+Calculation!ES229+O229+W229+Sheet1!BN231+Calculation!AS229+Calculation!DJ229-BP229)</f>
        <v>91.423724820099892</v>
      </c>
      <c r="AJ229" s="95"/>
      <c r="AM229" s="91">
        <f t="shared" si="30"/>
        <v>41857</v>
      </c>
      <c r="AN229" s="95">
        <f>Sheet1!BU231</f>
        <v>54.4</v>
      </c>
      <c r="AO229" s="95">
        <f>Sheet1!AA231</f>
        <v>56</v>
      </c>
      <c r="AP229" s="95">
        <f t="shared" si="25"/>
        <v>1.0526000000000022</v>
      </c>
      <c r="AQ229" s="1055">
        <f>((Sheet1!BV231-(Sheet1!BU231-AP229))/(Sheet1!BU231-AP229))</f>
        <v>0.13782489868297257</v>
      </c>
      <c r="AR229" s="95">
        <f t="shared" si="26"/>
        <v>54.947399999999995</v>
      </c>
      <c r="AS229" s="95">
        <f t="shared" si="27"/>
        <v>53.347399999999993</v>
      </c>
      <c r="AT229" s="90">
        <f>Sheet1!BB231</f>
        <v>0</v>
      </c>
      <c r="AU229" s="90">
        <f>Sheet1!AS231*GPMtoMGD</f>
        <v>2.6208000000000002E-2</v>
      </c>
      <c r="AV229" s="95">
        <f>Sheet1!AT231</f>
        <v>0</v>
      </c>
      <c r="AW229" s="90">
        <f>Sheet1!AV231*GPMtoMGD</f>
        <v>1.800144</v>
      </c>
      <c r="AX229" s="90">
        <f>Sheet1!AW231*GPMtoMGD</f>
        <v>1.5706080000000002</v>
      </c>
      <c r="AY229" s="90">
        <f>Sheet1!AX231*GPMtoMGD</f>
        <v>0.11894399999999999</v>
      </c>
      <c r="AZ229" s="90">
        <f>Sheet1!AY231*GPMtoMGD</f>
        <v>0</v>
      </c>
      <c r="BA229" s="90">
        <f>Sheet1!AZ231*GPMtoMGD</f>
        <v>0</v>
      </c>
      <c r="BB229" s="90">
        <f>Sheet1!BP231*GPMtoMGD</f>
        <v>0</v>
      </c>
      <c r="BC229" s="90">
        <f>Sheet1!CS231*GPMtoMGD</f>
        <v>5.1649920000000007</v>
      </c>
      <c r="BD229" s="90">
        <f>Sheet1!BO231*GPMtoMGD</f>
        <v>4.032</v>
      </c>
      <c r="BE229" s="90">
        <f>Sheet1!BW231*GPMtoMGD</f>
        <v>1.8432000000000002</v>
      </c>
      <c r="BF229" s="90">
        <f>Sheet1!CN231*GPMtoMGD</f>
        <v>1.7280000000000002</v>
      </c>
      <c r="BG229" s="90">
        <f>Sheet1!CO231*GPMtoMGD</f>
        <v>1.4896800000000001</v>
      </c>
      <c r="BH229" s="90">
        <f>Sheet1!CP231*GPMtoMGD</f>
        <v>1.027296</v>
      </c>
      <c r="BI229" s="90">
        <f t="shared" si="31"/>
        <v>4.032</v>
      </c>
      <c r="BK229" s="95">
        <f>SUM(AT229:BA229,BE229,Sheet1!BV231,'Calculations II'!BC229,Calculation!AQ229)</f>
        <v>86.254951127828392</v>
      </c>
      <c r="BM229" s="373">
        <f>0</f>
        <v>0</v>
      </c>
      <c r="BN229" s="373">
        <f>0</f>
        <v>0</v>
      </c>
      <c r="BP229" s="95">
        <f>SUM(BM229:BN229,W229,Sheet1!DX231)</f>
        <v>0</v>
      </c>
    </row>
    <row r="230" spans="1:68" s="90" customFormat="1">
      <c r="A230" s="651" t="s">
        <v>7</v>
      </c>
      <c r="B230" s="92">
        <v>41858</v>
      </c>
      <c r="C230" s="93">
        <v>0</v>
      </c>
      <c r="D230" s="95">
        <f>(Sheet1!BQ232-Sheet1!BQ231)*1.385</f>
        <v>2.5345499999999976</v>
      </c>
      <c r="E230" s="30">
        <f>(Sheet1!BR232-Sheet1!BR231)*1.385</f>
        <v>2.5345499999999976</v>
      </c>
      <c r="F230" s="30">
        <f ca="1">IF(B230=TODAY(),0,-(VLOOKUP(Sheet1!CD232,Lookup!$I$4:$J$216,2)-VLOOKUP(Sheet1!CD231,Lookup!$I$4:$J$216,2))/1000000)</f>
        <v>0.6218216312867999</v>
      </c>
      <c r="G230" s="95">
        <f ca="1">IF(B230=TODAY(),0,-$G$6*(Sheet1!CF232-Sheet1!CF231)*7.48/1000000)</f>
        <v>0.57584576526211095</v>
      </c>
      <c r="H230" s="95">
        <f ca="1">IF(B230=TODAY(),0,-$H$6*(Sheet1!CE232-Sheet1!CE231)*7.48/1000000)</f>
        <v>0.19551262056644639</v>
      </c>
      <c r="I230" s="95">
        <f ca="1">IF(B230=TODAY(),0,-$I$6*(Sheet1!CG232-Sheet1!CG231)*7.48/1000000)</f>
        <v>-5.6156100000000007E-2</v>
      </c>
      <c r="J230" s="96" t="s">
        <v>186</v>
      </c>
      <c r="K230" s="95">
        <f ca="1">IF(B230=TODAY(),0,-$K$6*(Sheet1!CH232-Sheet1!CH231)*7.48/1000000)</f>
        <v>-9.9949805616876636E-2</v>
      </c>
      <c r="L230" s="96" t="s">
        <v>186</v>
      </c>
      <c r="M230" s="95">
        <f ca="1">IF(B230=TODAY(),0,-$M$6*(Sheet1!CI232-Sheet1!CI231)*7.48/1000000)</f>
        <v>-0.31844969917607868</v>
      </c>
      <c r="N230" s="95">
        <f ca="1">IF(B230=TODAY(),0,-$N$6*(Sheet1!CJ232-Sheet1!CJ231)*7.48/1000000)</f>
        <v>1.0859160444059173</v>
      </c>
      <c r="O230" s="95">
        <f t="shared" ca="1" si="28"/>
        <v>2.0045404567283192</v>
      </c>
      <c r="P230" s="95">
        <f ca="1">O230+Calculation!ES230</f>
        <v>-2.9881811199101036</v>
      </c>
      <c r="Q230" s="90" t="str">
        <f>IF(Sheet1!BQ232&gt;25.75,"spill elevation","-")</f>
        <v>-</v>
      </c>
      <c r="R230" s="90" t="str">
        <f>IF(Sheet1!BQ232&gt;25.75,"spill elevation","-")</f>
        <v>-</v>
      </c>
      <c r="S230" s="90" t="str">
        <f>IF(Sheet1!BR232&gt;25.75,"spill elevation","-")</f>
        <v>-</v>
      </c>
      <c r="T230" s="94">
        <f>IF(Sheet1!DU232=1,Sheet1!AA232-(SUM(AT230:BA230)+BE230),Sheet1!AA232-SUM(AT230:BA230))</f>
        <v>26.677375999999999</v>
      </c>
      <c r="U230" s="94">
        <f>Sheet1!BV232</f>
        <v>29.8</v>
      </c>
      <c r="V230" s="94">
        <f t="shared" si="29"/>
        <v>-3.1226240000000018</v>
      </c>
      <c r="W230" s="94">
        <f>0</f>
        <v>0</v>
      </c>
      <c r="X230" s="90">
        <f>0</f>
        <v>0</v>
      </c>
      <c r="Y230" s="95">
        <f ca="1">Calculation!EJ231+Calculation!ES230+'Calculations II'!O230-'Calculations II'!W230</f>
        <v>91.208042880089906</v>
      </c>
      <c r="Z230" s="95">
        <f ca="1">Y230-Sheet1!CT233</f>
        <v>73.498042880089912</v>
      </c>
      <c r="AA230" s="95">
        <f ca="1">Y230+Calculation!DJ231+Calculation!AS231</f>
        <v>110.60090263173343</v>
      </c>
      <c r="AC230" s="95">
        <f>Sheet1!AA232+Sheet1!AB232+BC230</f>
        <v>95.841904</v>
      </c>
      <c r="AD230" s="95">
        <f>Sheet1!AA232+Sheet1!BN232+'Calculations II'!BC230-Calculation!AS230-Calculation!DJ230</f>
        <v>57.006490410635166</v>
      </c>
      <c r="AE230" s="95">
        <f>Sheet1!AA232+Sheet1!AB232+'Calculations II'!BC230-Calculation!AS230-Calculation!DJ230</f>
        <v>76.156490410635158</v>
      </c>
      <c r="AF230" s="95">
        <f ca="1">Sheet1!AA232+Sheet1!BN232+P230+'Calculations II'!BC230+Calculation!AS230+Calculation!DJ230</f>
        <v>93.389136469454741</v>
      </c>
      <c r="AG230" s="95">
        <f ca="1">IF(B230=TODAY(),0,Sheet1!AA232+Sheet1!BN232+'Calculations II'!BC230+'Calculations II'!P230-Sheet1!CT232-BP230)</f>
        <v>55.543722880089902</v>
      </c>
      <c r="AH230" s="95">
        <f ca="1">IF(B230=TODAY(),0,Sheet1!AA232+Sheet1!BN232+'Calculations II'!BC230+'Calculations II'!P230-BP230)</f>
        <v>73.703722880089899</v>
      </c>
      <c r="AI230" s="95">
        <f ca="1">IF(B230=TODAY(),0,BC230+Sheet1!AA232+Calculation!ES230+O230+W230+Sheet1!BN232+Calculation!AS230+Calculation!DJ230-BP230)</f>
        <v>93.389136469454741</v>
      </c>
      <c r="AJ230" s="95"/>
      <c r="AM230" s="91">
        <f t="shared" si="30"/>
        <v>41858</v>
      </c>
      <c r="AN230" s="95">
        <f>Sheet1!BU232</f>
        <v>29.3</v>
      </c>
      <c r="AO230" s="95">
        <f>Sheet1!AA232</f>
        <v>31.2</v>
      </c>
      <c r="AP230" s="95">
        <f t="shared" si="25"/>
        <v>5.0690999999999953</v>
      </c>
      <c r="AQ230" s="1055">
        <f>((Sheet1!BV232-(Sheet1!BU232-AP230))/(Sheet1!BU232-AP230))</f>
        <v>0.22983463263849027</v>
      </c>
      <c r="AR230" s="95">
        <f t="shared" si="26"/>
        <v>26.130900000000004</v>
      </c>
      <c r="AS230" s="95">
        <f t="shared" si="27"/>
        <v>24.230900000000005</v>
      </c>
      <c r="AT230" s="90">
        <f>Sheet1!BB232</f>
        <v>1.6</v>
      </c>
      <c r="AU230" s="90">
        <f>Sheet1!AS232*GPMtoMGD</f>
        <v>3.6288000000000001E-2</v>
      </c>
      <c r="AV230" s="95">
        <f>Sheet1!AT232</f>
        <v>0</v>
      </c>
      <c r="AW230" s="90">
        <f>Sheet1!AV232*GPMtoMGD</f>
        <v>1.2052800000000001</v>
      </c>
      <c r="AX230" s="90">
        <f>Sheet1!AW232*GPMtoMGD</f>
        <v>1.559232</v>
      </c>
      <c r="AY230" s="90">
        <f>Sheet1!AX232*GPMtoMGD</f>
        <v>0.121824</v>
      </c>
      <c r="AZ230" s="90">
        <f>Sheet1!AY232*GPMtoMGD</f>
        <v>0</v>
      </c>
      <c r="BA230" s="90">
        <f>Sheet1!AZ232*GPMtoMGD</f>
        <v>0</v>
      </c>
      <c r="BB230" s="90">
        <f>Sheet1!BP232*GPMtoMGD</f>
        <v>0</v>
      </c>
      <c r="BC230" s="90">
        <f>Sheet1!CS232*GPMtoMGD</f>
        <v>11.291904000000001</v>
      </c>
      <c r="BD230" s="90">
        <f>Sheet1!BO232*GPMtoMGD</f>
        <v>4.1503680000000003</v>
      </c>
      <c r="BE230" s="90">
        <f>Sheet1!BW232*GPMtoMGD</f>
        <v>1.8240480000000001</v>
      </c>
      <c r="BF230" s="90">
        <f>Sheet1!CN232*GPMtoMGD</f>
        <v>1.7280000000000002</v>
      </c>
      <c r="BG230" s="90">
        <f>Sheet1!CO232*GPMtoMGD</f>
        <v>1.3982400000000001</v>
      </c>
      <c r="BH230" s="90">
        <f>Sheet1!CP232*GPMtoMGD</f>
        <v>1.0009440000000001</v>
      </c>
      <c r="BI230" s="90">
        <f t="shared" si="31"/>
        <v>4.1503680000000003</v>
      </c>
      <c r="BK230" s="95">
        <f>SUM(AT230:BA230,BE230,Sheet1!BV232,'Calculations II'!BC230,Calculation!AQ230)</f>
        <v>81.127091509601186</v>
      </c>
      <c r="BM230" s="373">
        <f>0</f>
        <v>0</v>
      </c>
      <c r="BN230" s="373">
        <f>0</f>
        <v>0</v>
      </c>
      <c r="BP230" s="95">
        <f>SUM(BM230:BN230,W230,Sheet1!DX232)</f>
        <v>0</v>
      </c>
    </row>
    <row r="231" spans="1:68" s="90" customFormat="1">
      <c r="A231" s="651" t="s">
        <v>8</v>
      </c>
      <c r="B231" s="92">
        <v>41859</v>
      </c>
      <c r="C231" s="93">
        <v>0</v>
      </c>
      <c r="D231" s="95">
        <f>(Sheet1!BQ233-Sheet1!BQ232)*1.385</f>
        <v>0.40165000000000373</v>
      </c>
      <c r="E231" s="30">
        <f>(Sheet1!BR233-Sheet1!BR232)*1.385</f>
        <v>0.37395000000000433</v>
      </c>
      <c r="F231" s="30">
        <f ca="1">IF(B231=TODAY(),0,-(VLOOKUP(Sheet1!CD233,Lookup!$I$4:$J$216,2)-VLOOKUP(Sheet1!CD232,Lookup!$I$4:$J$216,2))/1000000)</f>
        <v>0</v>
      </c>
      <c r="G231" s="95">
        <f ca="1">IF(B231=TODAY(),0,-$G$6*(Sheet1!CF233-Sheet1!CF232)*7.48/1000000)</f>
        <v>0.45670526210443135</v>
      </c>
      <c r="H231" s="95">
        <f ca="1">IF(B231=TODAY(),0,-$H$6*(Sheet1!CE233-Sheet1!CE232)*7.48/1000000)</f>
        <v>1.5039432351265274E-2</v>
      </c>
      <c r="I231" s="95">
        <f ca="1">IF(B231=TODAY(),0,-$I$6*(Sheet1!CG233-Sheet1!CG232)*7.48/1000000)</f>
        <v>2.6954927999999989E-2</v>
      </c>
      <c r="J231" s="96" t="s">
        <v>186</v>
      </c>
      <c r="K231" s="95">
        <f ca="1">IF(B231=TODAY(),0,-$K$6*(Sheet1!CH233-Sheet1!CH232)*7.48/1000000)</f>
        <v>5.9969883370126001E-2</v>
      </c>
      <c r="L231" s="96" t="s">
        <v>186</v>
      </c>
      <c r="M231" s="95">
        <f ca="1">IF(B231=TODAY(),0,-$M$6*(Sheet1!CI233-Sheet1!CI232)*7.48/1000000)</f>
        <v>0.10255159803975422</v>
      </c>
      <c r="N231" s="95">
        <f ca="1">IF(B231=TODAY(),0,-$N$6*(Sheet1!CJ233-Sheet1!CJ232)*7.48/1000000)</f>
        <v>5.5847110855161426E-2</v>
      </c>
      <c r="O231" s="95">
        <f t="shared" ca="1" si="28"/>
        <v>0.71706821472073834</v>
      </c>
      <c r="P231" s="95">
        <f ca="1">O231+Calculation!ES231</f>
        <v>-0.11545609921644884</v>
      </c>
      <c r="Q231" s="90" t="str">
        <f>IF(Sheet1!BQ233&gt;25.75,"spill elevation","-")</f>
        <v>-</v>
      </c>
      <c r="R231" s="90" t="str">
        <f>IF(Sheet1!BQ233&gt;25.75,"spill elevation","-")</f>
        <v>-</v>
      </c>
      <c r="S231" s="90" t="str">
        <f>IF(Sheet1!BR233&gt;25.75,"spill elevation","-")</f>
        <v>-</v>
      </c>
      <c r="T231" s="94">
        <f>IF(Sheet1!DU233=1,Sheet1!AA233-(SUM(AT231:BA231)+BE231),Sheet1!AA233-SUM(AT231:BA231))</f>
        <v>26.189935999999999</v>
      </c>
      <c r="U231" s="94">
        <f>Sheet1!BV233</f>
        <v>33.299999999999997</v>
      </c>
      <c r="V231" s="94">
        <f t="shared" si="29"/>
        <v>-7.1100639999999977</v>
      </c>
      <c r="W231" s="94">
        <f>0</f>
        <v>0</v>
      </c>
      <c r="X231" s="90">
        <f>0</f>
        <v>0</v>
      </c>
      <c r="Y231" s="95">
        <f ca="1">Calculation!EJ232+Calculation!ES231+'Calculations II'!O231-'Calculations II'!W231</f>
        <v>88.114543900783545</v>
      </c>
      <c r="Z231" s="95">
        <f ca="1">Y231-Sheet1!CT234</f>
        <v>70.594543900783549</v>
      </c>
      <c r="AA231" s="95">
        <f ca="1">Y231+Calculation!DJ232+Calculation!AS232</f>
        <v>107.34950694196621</v>
      </c>
      <c r="AC231" s="95">
        <f>Sheet1!AA233+Sheet1!AB233+BC231</f>
        <v>94.196224000000001</v>
      </c>
      <c r="AD231" s="95">
        <f>Sheet1!AA233+Sheet1!BN233+'Calculations II'!BC231-Calculation!AS231-Calculation!DJ231</f>
        <v>55.953364248356465</v>
      </c>
      <c r="AE231" s="95">
        <f>Sheet1!AA233+Sheet1!AB233+'Calculations II'!BC231-Calculation!AS231-Calculation!DJ231</f>
        <v>74.803364248356473</v>
      </c>
      <c r="AF231" s="95">
        <f ca="1">Sheet1!AA233+Sheet1!BN233+P231+'Calculations II'!BC231+Calculation!AS231+Calculation!DJ231</f>
        <v>94.623627652427075</v>
      </c>
      <c r="AG231" s="95">
        <f ca="1">IF(B231=TODAY(),0,Sheet1!AA233+Sheet1!BN233+'Calculations II'!BC231+'Calculations II'!P231-Sheet1!CT233-BP231)</f>
        <v>57.520767900783547</v>
      </c>
      <c r="AH231" s="95">
        <f ca="1">IF(B231=TODAY(),0,Sheet1!AA233+Sheet1!BN233+'Calculations II'!BC231+'Calculations II'!P231-BP231)</f>
        <v>75.230767900783547</v>
      </c>
      <c r="AI231" s="95">
        <f ca="1">IF(B231=TODAY(),0,BC231+Sheet1!AA233+Calculation!ES231+O231+W231+Sheet1!BN233+Calculation!AS231+Calculation!DJ231-BP231)</f>
        <v>94.623627652427075</v>
      </c>
      <c r="AJ231" s="95"/>
      <c r="AM231" s="91">
        <f t="shared" si="30"/>
        <v>41859</v>
      </c>
      <c r="AN231" s="95">
        <f>Sheet1!BU233</f>
        <v>28.6</v>
      </c>
      <c r="AO231" s="95">
        <f>Sheet1!AA233</f>
        <v>31.2</v>
      </c>
      <c r="AP231" s="95">
        <f t="shared" si="25"/>
        <v>0.77560000000000806</v>
      </c>
      <c r="AQ231" s="1055">
        <f>((Sheet1!BV233-(Sheet1!BU233-AP231))/(Sheet1!BU233-AP231))</f>
        <v>0.19679130547289447</v>
      </c>
      <c r="AR231" s="95">
        <f t="shared" si="26"/>
        <v>30.424399999999991</v>
      </c>
      <c r="AS231" s="95">
        <f t="shared" si="27"/>
        <v>27.824399999999994</v>
      </c>
      <c r="AT231" s="90">
        <f>Sheet1!BB233</f>
        <v>1.6</v>
      </c>
      <c r="AU231" s="90">
        <f>Sheet1!AS233*GPMtoMGD</f>
        <v>3.4848000000000004E-2</v>
      </c>
      <c r="AV231" s="95">
        <f>Sheet1!AT233</f>
        <v>0</v>
      </c>
      <c r="AW231" s="90">
        <f>Sheet1!AV233*GPMtoMGD</f>
        <v>1.8012960000000002</v>
      </c>
      <c r="AX231" s="90">
        <f>Sheet1!AW233*GPMtoMGD</f>
        <v>1.4784480000000002</v>
      </c>
      <c r="AY231" s="90">
        <f>Sheet1!AX233*GPMtoMGD</f>
        <v>9.5472000000000001E-2</v>
      </c>
      <c r="AZ231" s="90">
        <f>Sheet1!AY233*GPMtoMGD</f>
        <v>0</v>
      </c>
      <c r="BA231" s="90">
        <f>Sheet1!AZ233*GPMtoMGD</f>
        <v>0</v>
      </c>
      <c r="BB231" s="90">
        <f>Sheet1!BP233*GPMtoMGD</f>
        <v>0</v>
      </c>
      <c r="BC231" s="90">
        <f>Sheet1!CS233*GPMtoMGD</f>
        <v>9.0462240000000005</v>
      </c>
      <c r="BD231" s="90">
        <f>Sheet1!BO233*GPMtoMGD</f>
        <v>3.8548800000000001</v>
      </c>
      <c r="BE231" s="90">
        <f>Sheet1!BW233*GPMtoMGD</f>
        <v>1.9087200000000002</v>
      </c>
      <c r="BF231" s="90">
        <f>Sheet1!CN233*GPMtoMGD</f>
        <v>1.7280000000000002</v>
      </c>
      <c r="BG231" s="90">
        <f>Sheet1!CO233*GPMtoMGD</f>
        <v>1.4595840000000002</v>
      </c>
      <c r="BH231" s="90">
        <f>Sheet1!CP233*GPMtoMGD</f>
        <v>1.005984</v>
      </c>
      <c r="BI231" s="90">
        <f t="shared" si="31"/>
        <v>3.8548800000000001</v>
      </c>
      <c r="BK231" s="95">
        <f>SUM(AT231:BA231,BE231,Sheet1!BV233,'Calculations II'!BC231,Calculation!AQ231)</f>
        <v>83.845815158509865</v>
      </c>
      <c r="BM231" s="373">
        <f>0</f>
        <v>0</v>
      </c>
      <c r="BN231" s="373">
        <f>0</f>
        <v>0</v>
      </c>
      <c r="BP231" s="95">
        <f>SUM(BM231:BN231,W231,Sheet1!DX233)</f>
        <v>0</v>
      </c>
    </row>
    <row r="232" spans="1:68" s="90" customFormat="1">
      <c r="A232" s="651" t="s">
        <v>9</v>
      </c>
      <c r="B232" s="92">
        <v>41860</v>
      </c>
      <c r="C232" s="93">
        <v>0</v>
      </c>
      <c r="D232" s="95">
        <f>(Sheet1!BQ234-Sheet1!BQ233)*1.385</f>
        <v>-1.9528500000000002</v>
      </c>
      <c r="E232" s="30">
        <f>(Sheet1!BR234-Sheet1!BR233)*1.385</f>
        <v>-1.9528500000000002</v>
      </c>
      <c r="F232" s="30">
        <f ca="1">IF(B232=TODAY(),0,-(VLOOKUP(Sheet1!CD234,Lookup!$I$4:$J$216,2)-VLOOKUP(Sheet1!CD233,Lookup!$I$4:$J$216,2))/1000000)</f>
        <v>1.1400063240258043</v>
      </c>
      <c r="G232" s="95">
        <f ca="1">IF(B232=TODAY(),0,-$G$6*(Sheet1!CF234-Sheet1!CF233)*7.48/1000000)</f>
        <v>0.59570251578838951</v>
      </c>
      <c r="H232" s="95">
        <f ca="1">IF(B232=TODAY(),0,-$H$6*(Sheet1!CE234-Sheet1!CE233)*7.48/1000000)</f>
        <v>-0.10527602645885584</v>
      </c>
      <c r="I232" s="95">
        <f ca="1">IF(B232=TODAY(),0,-$I$6*(Sheet1!CG234-Sheet1!CG233)*7.48/1000000)</f>
        <v>2.2462440000000318E-3</v>
      </c>
      <c r="J232" s="96" t="s">
        <v>186</v>
      </c>
      <c r="K232" s="95">
        <f ca="1">IF(B232=TODAY(),0,-$K$6*(Sheet1!CH234-Sheet1!CH233)*7.48/1000000)</f>
        <v>-3.3316601872291503E-3</v>
      </c>
      <c r="L232" s="96" t="s">
        <v>186</v>
      </c>
      <c r="M232" s="95">
        <f ca="1">IF(B232=TODAY(),0,-$M$6*(Sheet1!CI234-Sheet1!CI233)*7.48/1000000)</f>
        <v>8.9957542140136505E-3</v>
      </c>
      <c r="N232" s="95">
        <f ca="1">IF(B232=TODAY(),0,-$N$6*(Sheet1!CJ234-Sheet1!CJ233)*7.48/1000000)</f>
        <v>0.14272039440763523</v>
      </c>
      <c r="O232" s="95">
        <f t="shared" ca="1" si="28"/>
        <v>1.7810635457897577</v>
      </c>
      <c r="P232" s="95">
        <f ca="1">O232+Calculation!ES232</f>
        <v>5.8038599537336806</v>
      </c>
      <c r="Q232" s="90" t="str">
        <f>IF(Sheet1!BQ234&gt;25.75,"spill elevation","-")</f>
        <v>-</v>
      </c>
      <c r="R232" s="90" t="str">
        <f>IF(Sheet1!BQ234&gt;25.75,"spill elevation","-")</f>
        <v>-</v>
      </c>
      <c r="S232" s="90" t="str">
        <f>IF(Sheet1!BR234&gt;25.75,"spill elevation","-")</f>
        <v>-</v>
      </c>
      <c r="T232" s="94">
        <f>IF(Sheet1!DU234=1,Sheet1!AA234-(SUM(AT232:BA232)+BE232),Sheet1!AA234-SUM(AT232:BA232))</f>
        <v>27.479968</v>
      </c>
      <c r="U232" s="94">
        <f>Sheet1!BV234</f>
        <v>39</v>
      </c>
      <c r="V232" s="94">
        <f t="shared" si="29"/>
        <v>-11.520032</v>
      </c>
      <c r="W232" s="94">
        <f>0</f>
        <v>0</v>
      </c>
      <c r="X232" s="90">
        <f>0</f>
        <v>0</v>
      </c>
      <c r="Y232" s="95">
        <f ca="1">Calculation!EJ233+Calculation!ES232+'Calculations II'!O232-'Calculations II'!W232</f>
        <v>97.553859953733692</v>
      </c>
      <c r="Z232" s="95">
        <f ca="1">Y232-Sheet1!CT235</f>
        <v>80.363859953733694</v>
      </c>
      <c r="AA232" s="95">
        <f ca="1">Y232+Calculation!DJ233+Calculation!AS233</f>
        <v>116.96218631356632</v>
      </c>
      <c r="AC232" s="95">
        <f>Sheet1!AA234+Sheet1!AB234+BC232</f>
        <v>88.22999999999999</v>
      </c>
      <c r="AD232" s="95">
        <f>Sheet1!AA234+Sheet1!BN234+'Calculations II'!BC232-Calculation!AS232-Calculation!DJ232</f>
        <v>50.165036958817332</v>
      </c>
      <c r="AE232" s="95">
        <f>Sheet1!AA234+Sheet1!AB234+'Calculations II'!BC232-Calculation!AS232-Calculation!DJ232</f>
        <v>68.995036958817309</v>
      </c>
      <c r="AF232" s="95">
        <f ca="1">Sheet1!AA234+Sheet1!BN234+P232+'Calculations II'!BC232+Calculation!AS232+Calculation!DJ232</f>
        <v>94.438822994916364</v>
      </c>
      <c r="AG232" s="95">
        <f ca="1">IF(B232=TODAY(),0,Sheet1!AA234+Sheet1!BN234+'Calculations II'!BC232+'Calculations II'!P232-Sheet1!CT234-BP232)</f>
        <v>57.683859953733688</v>
      </c>
      <c r="AH232" s="95">
        <f ca="1">IF(B232=TODAY(),0,Sheet1!AA234+Sheet1!BN234+'Calculations II'!BC232+'Calculations II'!P232-BP232)</f>
        <v>75.203859953733684</v>
      </c>
      <c r="AI232" s="95">
        <f ca="1">IF(B232=TODAY(),0,BC232+Sheet1!AA234+Calculation!ES232+O232+W232+Sheet1!BN234+Calculation!AS232+Calculation!DJ232-BP232)</f>
        <v>94.438822994916364</v>
      </c>
      <c r="AJ232" s="95"/>
      <c r="AM232" s="91">
        <f t="shared" si="30"/>
        <v>41860</v>
      </c>
      <c r="AN232" s="95">
        <f>Sheet1!BU234</f>
        <v>29.5</v>
      </c>
      <c r="AO232" s="95">
        <f>Sheet1!AA234</f>
        <v>32</v>
      </c>
      <c r="AP232" s="95">
        <f t="shared" si="25"/>
        <v>-3.9057000000000004</v>
      </c>
      <c r="AQ232" s="1055">
        <f>((Sheet1!BV234-(Sheet1!BU234-AP232))/(Sheet1!BU234-AP232))</f>
        <v>0.16746543254594265</v>
      </c>
      <c r="AR232" s="95">
        <f t="shared" si="26"/>
        <v>35.905700000000003</v>
      </c>
      <c r="AS232" s="95">
        <f t="shared" si="27"/>
        <v>33.405700000000003</v>
      </c>
      <c r="AT232" s="90">
        <f>Sheet1!BB234</f>
        <v>1.6</v>
      </c>
      <c r="AU232" s="90">
        <f>Sheet1!AS234*GPMtoMGD</f>
        <v>3.8304000000000005E-2</v>
      </c>
      <c r="AV232" s="95">
        <f>Sheet1!AT234</f>
        <v>0</v>
      </c>
      <c r="AW232" s="90">
        <f>Sheet1!AV234*GPMtoMGD</f>
        <v>1.702944</v>
      </c>
      <c r="AX232" s="90">
        <f>Sheet1!AW234*GPMtoMGD</f>
        <v>1.0903680000000002</v>
      </c>
      <c r="AY232" s="90">
        <f>Sheet1!AX234*GPMtoMGD</f>
        <v>8.8416000000000008E-2</v>
      </c>
      <c r="AZ232" s="90">
        <f>Sheet1!AY234*GPMtoMGD</f>
        <v>0</v>
      </c>
      <c r="BA232" s="90">
        <f>Sheet1!AZ234*GPMtoMGD</f>
        <v>0</v>
      </c>
      <c r="BB232" s="90">
        <f>Sheet1!BP234*GPMtoMGD</f>
        <v>0</v>
      </c>
      <c r="BC232" s="90">
        <f>Sheet1!CS234*GPMtoMGD</f>
        <v>0</v>
      </c>
      <c r="BD232" s="90">
        <f>Sheet1!BO234*GPMtoMGD</f>
        <v>3.9814560000000006</v>
      </c>
      <c r="BE232" s="90">
        <f>Sheet1!BW234*GPMtoMGD</f>
        <v>1.9643040000000001</v>
      </c>
      <c r="BF232" s="90">
        <f>Sheet1!CN234*GPMtoMGD</f>
        <v>1.7280000000000002</v>
      </c>
      <c r="BG232" s="90">
        <f>Sheet1!CO234*GPMtoMGD</f>
        <v>1.4987520000000001</v>
      </c>
      <c r="BH232" s="90">
        <f>Sheet1!CP234*GPMtoMGD</f>
        <v>0.96019200000000005</v>
      </c>
      <c r="BI232" s="90">
        <f t="shared" si="31"/>
        <v>3.9814560000000006</v>
      </c>
      <c r="BK232" s="95">
        <f>SUM(AT232:BA232,BE232,Sheet1!BV234,'Calculations II'!BC232,Calculation!AQ232)</f>
        <v>82.495986827173525</v>
      </c>
      <c r="BM232" s="373">
        <f>0</f>
        <v>0</v>
      </c>
      <c r="BN232" s="373">
        <f>0</f>
        <v>0</v>
      </c>
      <c r="BP232" s="95">
        <f>SUM(BM232:BN232,W232,Sheet1!DX234)</f>
        <v>0</v>
      </c>
    </row>
    <row r="233" spans="1:68" s="90" customFormat="1">
      <c r="A233" s="651" t="s">
        <v>3</v>
      </c>
      <c r="B233" s="92">
        <v>41861</v>
      </c>
      <c r="C233" s="93">
        <v>0</v>
      </c>
      <c r="D233" s="95">
        <f>(Sheet1!BQ235-Sheet1!BQ234)*1.385</f>
        <v>-1.8282000000000005</v>
      </c>
      <c r="E233" s="30">
        <f>(Sheet1!BR235-Sheet1!BR234)*1.385</f>
        <v>-1.8282000000000005</v>
      </c>
      <c r="F233" s="30">
        <f ca="1">IF(B233=TODAY(),0,-(VLOOKUP(Sheet1!CD235,Lookup!$I$4:$J$216,2)-VLOOKUP(Sheet1!CD234,Lookup!$I$4:$J$216,2))/1000000)</f>
        <v>0.51818469273899681</v>
      </c>
      <c r="G233" s="95">
        <f ca="1">IF(B233=TODAY(),0,-$G$6*(Sheet1!CF235-Sheet1!CF234)*7.48/1000000)</f>
        <v>0.71484301894606761</v>
      </c>
      <c r="H233" s="95">
        <f ca="1">IF(B233=TODAY(),0,-$H$6*(Sheet1!CE235-Sheet1!CE234)*7.48/1000000)</f>
        <v>0.42110410583542179</v>
      </c>
      <c r="I233" s="95">
        <f ca="1">IF(B233=TODAY(),0,-$I$6*(Sheet1!CG235-Sheet1!CG234)*7.48/1000000)</f>
        <v>6.7387319999999366E-3</v>
      </c>
      <c r="J233" s="96" t="s">
        <v>186</v>
      </c>
      <c r="K233" s="95">
        <f ca="1">IF(B233=TODAY(),0,-$K$6*(Sheet1!CH235-Sheet1!CH234)*7.48/1000000)</f>
        <v>1.6658300936146106E-2</v>
      </c>
      <c r="L233" s="96" t="s">
        <v>186</v>
      </c>
      <c r="M233" s="95">
        <f ca="1">IF(B233=TODAY(),0,-$M$6*(Sheet1!CI235-Sheet1!CI234)*7.48/1000000)</f>
        <v>0.94275504162861734</v>
      </c>
      <c r="N233" s="95">
        <f ca="1">IF(B233=TODAY(),0,-$N$6*(Sheet1!CJ235-Sheet1!CJ234)*7.48/1000000)</f>
        <v>-5.5847110855161426E-2</v>
      </c>
      <c r="O233" s="95">
        <f t="shared" ca="1" si="28"/>
        <v>2.5644367812300883</v>
      </c>
      <c r="P233" s="95">
        <f ca="1">O233+Calculation!ES233</f>
        <v>6.3073780873941114</v>
      </c>
      <c r="Q233" s="90" t="str">
        <f>IF(Sheet1!BQ235&gt;25.75,"spill elevation","-")</f>
        <v>-</v>
      </c>
      <c r="R233" s="90" t="str">
        <f>IF(Sheet1!BQ235&gt;25.75,"spill elevation","-")</f>
        <v>-</v>
      </c>
      <c r="S233" s="90" t="str">
        <f>IF(Sheet1!BR235&gt;25.75,"spill elevation","-")</f>
        <v>-</v>
      </c>
      <c r="T233" s="94">
        <f>IF(Sheet1!DU235=1,Sheet1!AA235-(SUM(AT233:BA233)+BE233),Sheet1!AA235-SUM(AT233:BA233))</f>
        <v>28.023215999999998</v>
      </c>
      <c r="U233" s="94">
        <f>Sheet1!BV235</f>
        <v>39.6</v>
      </c>
      <c r="V233" s="94">
        <f t="shared" si="29"/>
        <v>-11.576784000000004</v>
      </c>
      <c r="W233" s="94">
        <f>0</f>
        <v>0</v>
      </c>
      <c r="X233" s="90">
        <f>0</f>
        <v>0</v>
      </c>
      <c r="Y233" s="95">
        <f ca="1">Calculation!EJ234+Calculation!ES233+'Calculations II'!O233-'Calculations II'!W233</f>
        <v>98.007378087394116</v>
      </c>
      <c r="Z233" s="95">
        <f ca="1">Y233-Sheet1!CT236</f>
        <v>80.683378087394118</v>
      </c>
      <c r="AA233" s="95">
        <f ca="1">Y233+Calculation!DJ234+Calculation!AS234</f>
        <v>117.19008824206796</v>
      </c>
      <c r="AC233" s="95">
        <f>Sheet1!AA235+Sheet1!AB235+BC233</f>
        <v>91.75</v>
      </c>
      <c r="AD233" s="95">
        <f>Sheet1!AA235+Sheet1!BN235+'Calculations II'!BC233-Calculation!AS233-Calculation!DJ233</f>
        <v>53.491673640167377</v>
      </c>
      <c r="AE233" s="95">
        <f>Sheet1!AA235+Sheet1!AB235+'Calculations II'!BC233-Calculation!AS233-Calculation!DJ233</f>
        <v>72.341673640167372</v>
      </c>
      <c r="AF233" s="95">
        <f ca="1">Sheet1!AA235+Sheet1!BN235+P233+'Calculations II'!BC233+Calculation!AS233+Calculation!DJ233</f>
        <v>98.615704447226747</v>
      </c>
      <c r="AG233" s="95">
        <f ca="1">IF(B233=TODAY(),0,Sheet1!AA235+Sheet1!BN235+'Calculations II'!BC233+'Calculations II'!P233-Sheet1!CT235-BP233)</f>
        <v>62.017378087394121</v>
      </c>
      <c r="AH233" s="95">
        <f ca="1">IF(B233=TODAY(),0,Sheet1!AA235+Sheet1!BN235+'Calculations II'!BC233+'Calculations II'!P233-BP233)</f>
        <v>79.207378087394119</v>
      </c>
      <c r="AI233" s="95">
        <f ca="1">IF(B233=TODAY(),0,BC233+Sheet1!AA235+Calculation!ES233+O233+W233+Sheet1!BN235+Calculation!AS233+Calculation!DJ233-BP233)</f>
        <v>98.615704447226733</v>
      </c>
      <c r="AJ233" s="95"/>
      <c r="AM233" s="91">
        <f t="shared" si="30"/>
        <v>41861</v>
      </c>
      <c r="AN233" s="95">
        <f>Sheet1!BU235</f>
        <v>30.2</v>
      </c>
      <c r="AO233" s="95">
        <f>Sheet1!AA235</f>
        <v>32.799999999999997</v>
      </c>
      <c r="AP233" s="95">
        <f t="shared" si="25"/>
        <v>-3.656400000000001</v>
      </c>
      <c r="AQ233" s="1055">
        <f>((Sheet1!BV235-(Sheet1!BU235-AP233))/(Sheet1!BU235-AP233))</f>
        <v>0.16964591628170747</v>
      </c>
      <c r="AR233" s="95">
        <f t="shared" si="26"/>
        <v>36.456399999999995</v>
      </c>
      <c r="AS233" s="95">
        <f t="shared" si="27"/>
        <v>33.856400000000001</v>
      </c>
      <c r="AT233" s="90">
        <f>Sheet1!BB235</f>
        <v>1.6</v>
      </c>
      <c r="AU233" s="90">
        <f>Sheet1!AS235*GPMtoMGD</f>
        <v>3.9455999999999998E-2</v>
      </c>
      <c r="AV233" s="95">
        <f>Sheet1!AT235</f>
        <v>0</v>
      </c>
      <c r="AW233" s="90">
        <f>Sheet1!AV235*GPMtoMGD</f>
        <v>1.7962560000000003</v>
      </c>
      <c r="AX233" s="90">
        <f>Sheet1!AW235*GPMtoMGD</f>
        <v>1.230192</v>
      </c>
      <c r="AY233" s="90">
        <f>Sheet1!AX235*GPMtoMGD</f>
        <v>0.11088000000000001</v>
      </c>
      <c r="AZ233" s="90">
        <f>Sheet1!AY235*GPMtoMGD</f>
        <v>0</v>
      </c>
      <c r="BA233" s="90">
        <f>Sheet1!AZ235*GPMtoMGD</f>
        <v>0</v>
      </c>
      <c r="BB233" s="90">
        <f>Sheet1!BP235*GPMtoMGD</f>
        <v>0</v>
      </c>
      <c r="BC233" s="90">
        <f>Sheet1!CS235*GPMtoMGD</f>
        <v>0</v>
      </c>
      <c r="BD233" s="90">
        <f>Sheet1!BO235*GPMtoMGD</f>
        <v>4.2232320000000003</v>
      </c>
      <c r="BE233" s="90">
        <f>Sheet1!BW235*GPMtoMGD</f>
        <v>2.3754240000000002</v>
      </c>
      <c r="BF233" s="90">
        <f>Sheet1!CN235*GPMtoMGD</f>
        <v>1.7280000000000002</v>
      </c>
      <c r="BG233" s="90">
        <f>Sheet1!CO235*GPMtoMGD</f>
        <v>1.627632</v>
      </c>
      <c r="BH233" s="90">
        <f>Sheet1!CP235*GPMtoMGD</f>
        <v>2.4357600000000001</v>
      </c>
      <c r="BI233" s="90">
        <f t="shared" si="31"/>
        <v>4.2232320000000003</v>
      </c>
      <c r="BK233" s="95">
        <f>SUM(AT233:BA233,BE233,Sheet1!BV235,'Calculations II'!BC233,Calculation!AQ233)</f>
        <v>86.315304234309622</v>
      </c>
      <c r="BM233" s="373">
        <f>0</f>
        <v>0</v>
      </c>
      <c r="BN233" s="373">
        <f>0</f>
        <v>0</v>
      </c>
      <c r="BP233" s="95">
        <f>SUM(BM233:BN233,W233,Sheet1!DX235)</f>
        <v>0</v>
      </c>
    </row>
    <row r="234" spans="1:68" s="90" customFormat="1">
      <c r="A234" s="651" t="s">
        <v>4</v>
      </c>
      <c r="B234" s="92">
        <v>41862</v>
      </c>
      <c r="C234" s="93">
        <v>0</v>
      </c>
      <c r="D234" s="95">
        <f>(Sheet1!BQ236-Sheet1!BQ235)*1.385</f>
        <v>-2.2714000000000008</v>
      </c>
      <c r="E234" s="30">
        <f>(Sheet1!BR236-Sheet1!BR235)*1.385</f>
        <v>-2.2714000000000008</v>
      </c>
      <c r="F234" s="30">
        <f ca="1">IF(B234=TODAY(),0,-(VLOOKUP(Sheet1!CD236,Lookup!$I$4:$J$216,2)-VLOOKUP(Sheet1!CD235,Lookup!$I$4:$J$216,2))/1000000)</f>
        <v>2.0727387709560001</v>
      </c>
      <c r="G234" s="95">
        <f ca="1">IF(B234=TODAY(),0,-$G$6*(Sheet1!CF236-Sheet1!CF235)*7.48/1000000)</f>
        <v>0.31770800842047398</v>
      </c>
      <c r="H234" s="95">
        <f ca="1">IF(B234=TODAY(),0,-$H$6*(Sheet1!CE236-Sheet1!CE235)*7.48/1000000)</f>
        <v>-7.5197161756325293E-2</v>
      </c>
      <c r="I234" s="95">
        <f ca="1">IF(B234=TODAY(),0,-$I$6*(Sheet1!CG236-Sheet1!CG235)*7.48/1000000)</f>
        <v>1.033272240000002E-2</v>
      </c>
      <c r="J234" s="96" t="s">
        <v>186</v>
      </c>
      <c r="K234" s="95">
        <f ca="1">IF(B234=TODAY(),0,-$K$6*(Sheet1!CH236-Sheet1!CH235)*7.48/1000000)</f>
        <v>1.9989961123375255E-2</v>
      </c>
      <c r="L234" s="96" t="s">
        <v>186</v>
      </c>
      <c r="M234" s="95">
        <f ca="1">IF(B234=TODAY(),0,-$M$6*(Sheet1!CI236-Sheet1!CI235)*7.48/1000000)</f>
        <v>-0.86179325370249571</v>
      </c>
      <c r="N234" s="95">
        <f ca="1">IF(B234=TODAY(),0,-$N$6*(Sheet1!CJ236-Sheet1!CJ235)*7.48/1000000)</f>
        <v>1.2596626115108647</v>
      </c>
      <c r="O234" s="95">
        <f t="shared" ca="1" si="28"/>
        <v>2.7434416589518928</v>
      </c>
      <c r="P234" s="95">
        <f ca="1">O234+Calculation!ES234</f>
        <v>7.1764926204113877</v>
      </c>
      <c r="Q234" s="90" t="str">
        <f>IF(Sheet1!BQ236&gt;25.75,"spill elevation","-")</f>
        <v>-</v>
      </c>
      <c r="R234" s="90" t="str">
        <f>IF(Sheet1!BQ236&gt;25.75,"spill elevation","-")</f>
        <v>-</v>
      </c>
      <c r="S234" s="90" t="str">
        <f>IF(Sheet1!BR236&gt;25.75,"spill elevation","-")</f>
        <v>-</v>
      </c>
      <c r="T234" s="94">
        <f>IF(Sheet1!DU236=1,Sheet1!AA236-(SUM(AT234:BA234)+BE234),Sheet1!AA236-SUM(AT234:BA234))</f>
        <v>27.369552000000002</v>
      </c>
      <c r="U234" s="94">
        <f>Sheet1!BV236</f>
        <v>40.1</v>
      </c>
      <c r="V234" s="94">
        <f t="shared" si="29"/>
        <v>-12.730447999999999</v>
      </c>
      <c r="W234" s="94">
        <f>0</f>
        <v>0</v>
      </c>
      <c r="X234" s="90">
        <f>0</f>
        <v>0</v>
      </c>
      <c r="Y234" s="95">
        <f ca="1">Calculation!EJ235+Calculation!ES234+'Calculations II'!O234-'Calculations II'!W234</f>
        <v>98.776732620411394</v>
      </c>
      <c r="Z234" s="95">
        <f ca="1">Y234-Sheet1!CT237</f>
        <v>81.602732620411388</v>
      </c>
      <c r="AA234" s="95">
        <f ca="1">Y234+Calculation!DJ235+Calculation!AS235</f>
        <v>117.89841703473859</v>
      </c>
      <c r="AC234" s="95">
        <f>Sheet1!AA236+Sheet1!AB236+BC234</f>
        <v>91.7</v>
      </c>
      <c r="AD234" s="95">
        <f>Sheet1!AA236+Sheet1!BN236+'Calculations II'!BC234-Calculation!AS234-Calculation!DJ234</f>
        <v>53.797289845326169</v>
      </c>
      <c r="AE234" s="95">
        <f>Sheet1!AA236+Sheet1!AB236+'Calculations II'!BC234-Calculation!AS234-Calculation!DJ234</f>
        <v>72.517289845326161</v>
      </c>
      <c r="AF234" s="95">
        <f ca="1">Sheet1!AA236+Sheet1!BN236+P234+'Calculations II'!BC234+Calculation!AS234+Calculation!DJ234</f>
        <v>99.339202775085226</v>
      </c>
      <c r="AG234" s="95">
        <f ca="1">IF(B234=TODAY(),0,Sheet1!AA236+Sheet1!BN236+'Calculations II'!BC234+'Calculations II'!P234-Sheet1!CT236-BP234)</f>
        <v>62.832492620411401</v>
      </c>
      <c r="AH234" s="95">
        <f ca="1">IF(B234=TODAY(),0,Sheet1!AA236+Sheet1!BN236+'Calculations II'!BC234+'Calculations II'!P234-BP234)</f>
        <v>80.156492620411399</v>
      </c>
      <c r="AI234" s="95">
        <f ca="1">IF(B234=TODAY(),0,BC234+Sheet1!AA236+Calculation!ES234+O234+W234+Sheet1!BN236+Calculation!AS234+Calculation!DJ234-BP234)</f>
        <v>99.339202775085226</v>
      </c>
      <c r="AJ234" s="95"/>
      <c r="AM234" s="91">
        <f t="shared" si="30"/>
        <v>41862</v>
      </c>
      <c r="AN234" s="95">
        <f>Sheet1!BU236</f>
        <v>29.7</v>
      </c>
      <c r="AO234" s="95">
        <f>Sheet1!AA236</f>
        <v>32.880000000000003</v>
      </c>
      <c r="AP234" s="95">
        <f t="shared" si="25"/>
        <v>-4.5428000000000015</v>
      </c>
      <c r="AQ234" s="1055">
        <f>((Sheet1!BV236-(Sheet1!BU236-AP234))/(Sheet1!BU236-AP234))</f>
        <v>0.17104909645239286</v>
      </c>
      <c r="AR234" s="95">
        <f t="shared" si="26"/>
        <v>37.422800000000002</v>
      </c>
      <c r="AS234" s="95">
        <f t="shared" si="27"/>
        <v>34.242800000000003</v>
      </c>
      <c r="AT234" s="90">
        <f>Sheet1!BB236</f>
        <v>1.6</v>
      </c>
      <c r="AU234" s="90">
        <f>Sheet1!AS236*GPMtoMGD</f>
        <v>3.9600000000000003E-2</v>
      </c>
      <c r="AV234" s="95">
        <f>Sheet1!AT236</f>
        <v>0.2</v>
      </c>
      <c r="AW234" s="90">
        <f>Sheet1!AV236*GPMtoMGD</f>
        <v>2.084832</v>
      </c>
      <c r="AX234" s="90">
        <f>Sheet1!AW236*GPMtoMGD</f>
        <v>1.4791680000000003</v>
      </c>
      <c r="AY234" s="90">
        <f>Sheet1!AX236*GPMtoMGD</f>
        <v>0.10684800000000001</v>
      </c>
      <c r="AZ234" s="90">
        <f>Sheet1!AY236*GPMtoMGD</f>
        <v>0</v>
      </c>
      <c r="BA234" s="90">
        <f>Sheet1!AZ236*GPMtoMGD</f>
        <v>0</v>
      </c>
      <c r="BB234" s="90">
        <f>Sheet1!BP236*GPMtoMGD</f>
        <v>0</v>
      </c>
      <c r="BC234" s="90">
        <f>Sheet1!CS236*GPMtoMGD</f>
        <v>0</v>
      </c>
      <c r="BD234" s="90">
        <f>Sheet1!BO236*GPMtoMGD</f>
        <v>4.309488</v>
      </c>
      <c r="BE234" s="90">
        <f>Sheet1!BW236*GPMtoMGD</f>
        <v>2.4158880000000003</v>
      </c>
      <c r="BF234" s="90">
        <f>Sheet1!CN236*GPMtoMGD</f>
        <v>1.7280000000000002</v>
      </c>
      <c r="BG234" s="90">
        <f>Sheet1!CO236*GPMtoMGD</f>
        <v>1.6450560000000003</v>
      </c>
      <c r="BH234" s="90">
        <f>Sheet1!CP236*GPMtoMGD</f>
        <v>1.051056</v>
      </c>
      <c r="BI234" s="90">
        <f t="shared" si="31"/>
        <v>4.309488</v>
      </c>
      <c r="BK234" s="95">
        <f>SUM(AT234:BA234,BE234,Sheet1!BV236,'Calculations II'!BC234,Calculation!AQ234)</f>
        <v>87.681379712172159</v>
      </c>
      <c r="BM234" s="373">
        <f>0</f>
        <v>0</v>
      </c>
      <c r="BN234" s="373">
        <f>0</f>
        <v>0</v>
      </c>
      <c r="BP234" s="95">
        <f>SUM(BM234:BN234,W234,Sheet1!DX236)</f>
        <v>0</v>
      </c>
    </row>
    <row r="235" spans="1:68" s="90" customFormat="1">
      <c r="A235" s="651" t="s">
        <v>5</v>
      </c>
      <c r="B235" s="92">
        <v>41863</v>
      </c>
      <c r="C235" s="93">
        <v>0</v>
      </c>
      <c r="D235" s="95">
        <f>(Sheet1!BQ237-Sheet1!BQ236)*1.385</f>
        <v>1.6481500000000018</v>
      </c>
      <c r="E235" s="30">
        <f>(Sheet1!BR237-Sheet1!BR236)*1.385</f>
        <v>1.4957999999999976</v>
      </c>
      <c r="F235" s="30">
        <f ca="1">IF(B235=TODAY(),0,-(VLOOKUP(Sheet1!CD237,Lookup!$I$4:$J$216,2)-VLOOKUP(Sheet1!CD236,Lookup!$I$4:$J$216,2))/1000000)</f>
        <v>-0.51818469273899681</v>
      </c>
      <c r="G235" s="95">
        <f ca="1">IF(B235=TODAY(),0,-$G$6*(Sheet1!CF237-Sheet1!CF236)*7.48/1000000)</f>
        <v>0.39713501052559297</v>
      </c>
      <c r="H235" s="95">
        <f ca="1">IF(B235=TODAY(),0,-$H$6*(Sheet1!CE237-Sheet1!CE236)*7.48/1000000)</f>
        <v>-0.3459069440790965</v>
      </c>
      <c r="I235" s="95">
        <f ca="1">IF(B235=TODAY(),0,-$I$6*(Sheet1!CG237-Sheet1!CG236)*7.48/1000000)</f>
        <v>-5.8402343999999556E-3</v>
      </c>
      <c r="J235" s="96" t="s">
        <v>186</v>
      </c>
      <c r="K235" s="95">
        <f ca="1">IF(B235=TODAY(),0,-$K$6*(Sheet1!CH237-Sheet1!CH236)*7.48/1000000)</f>
        <v>-1.9989961123375255E-2</v>
      </c>
      <c r="L235" s="96" t="s">
        <v>186</v>
      </c>
      <c r="M235" s="95">
        <f ca="1">IF(B235=TODAY(),0,-$M$6*(Sheet1!CI237-Sheet1!CI236)*7.48/1000000)</f>
        <v>-1.7991508428026663E-2</v>
      </c>
      <c r="N235" s="95">
        <f ca="1">IF(B235=TODAY(),0,-$N$6*(Sheet1!CJ237-Sheet1!CJ236)*7.48/1000000)</f>
        <v>-0.4033402450650545</v>
      </c>
      <c r="O235" s="95">
        <f t="shared" ca="1" si="28"/>
        <v>-0.91411857530895668</v>
      </c>
      <c r="P235" s="95">
        <f ca="1">O235+Calculation!ES235</f>
        <v>-4.1000438623985769</v>
      </c>
      <c r="Q235" s="90" t="str">
        <f>IF(Sheet1!BQ237&gt;25.75,"spill elevation","-")</f>
        <v>-</v>
      </c>
      <c r="R235" s="90" t="str">
        <f>IF(Sheet1!BQ237&gt;25.75,"spill elevation","-")</f>
        <v>-</v>
      </c>
      <c r="S235" s="90" t="str">
        <f>IF(Sheet1!BR237&gt;25.75,"spill elevation","-")</f>
        <v>-</v>
      </c>
      <c r="T235" s="94">
        <f>IF(Sheet1!DU237=1,Sheet1!AA237-(SUM(AT235:BA235)+BE235),Sheet1!AA237-SUM(AT235:BA235))</f>
        <v>35.817343999999999</v>
      </c>
      <c r="U235" s="94">
        <f>Sheet1!BV237</f>
        <v>39.5</v>
      </c>
      <c r="V235" s="94">
        <f t="shared" si="29"/>
        <v>-3.6826560000000015</v>
      </c>
      <c r="W235" s="94">
        <f>0</f>
        <v>0</v>
      </c>
      <c r="X235" s="90">
        <f>0</f>
        <v>0</v>
      </c>
      <c r="Y235" s="95">
        <f ca="1">Calculation!EJ236+Calculation!ES235+'Calculations II'!O235-'Calculations II'!W235</f>
        <v>87.13995613760143</v>
      </c>
      <c r="Z235" s="95">
        <f ca="1">Y235-Sheet1!CT238</f>
        <v>69.910956137601431</v>
      </c>
      <c r="AA235" s="95">
        <f ca="1">Y235+Calculation!DJ236+Calculation!AS236</f>
        <v>104.95460909389962</v>
      </c>
      <c r="AC235" s="95">
        <f>Sheet1!AA237+Sheet1!AB237+BC235</f>
        <v>91.600239999999999</v>
      </c>
      <c r="AD235" s="95">
        <f>Sheet1!AA237+Sheet1!BN237+'Calculations II'!BC235-Calculation!AS235-Calculation!DJ235</f>
        <v>53.978555585672808</v>
      </c>
      <c r="AE235" s="95">
        <f>Sheet1!AA237+Sheet1!AB237+'Calculations II'!BC235-Calculation!AS235-Calculation!DJ235</f>
        <v>72.478555585672808</v>
      </c>
      <c r="AF235" s="95">
        <f ca="1">Sheet1!AA237+Sheet1!BN237+P235+'Calculations II'!BC235+Calculation!AS235+Calculation!DJ235</f>
        <v>88.121880551928612</v>
      </c>
      <c r="AG235" s="95">
        <f ca="1">IF(B235=TODAY(),0,Sheet1!AA237+Sheet1!BN237+'Calculations II'!BC235+'Calculations II'!P235-Sheet1!CT237-BP235)</f>
        <v>51.826196137601421</v>
      </c>
      <c r="AH235" s="95">
        <f ca="1">IF(B235=TODAY(),0,Sheet1!AA237+Sheet1!BN237+'Calculations II'!BC235+'Calculations II'!P235-BP235)</f>
        <v>69.000196137601421</v>
      </c>
      <c r="AI235" s="95">
        <f ca="1">IF(B235=TODAY(),0,BC235+Sheet1!AA237+Calculation!ES235+O235+W235+Sheet1!BN237+Calculation!AS235+Calculation!DJ235-BP235)</f>
        <v>88.121880551928626</v>
      </c>
      <c r="AJ235" s="95"/>
      <c r="AM235" s="91">
        <f t="shared" si="30"/>
        <v>41863</v>
      </c>
      <c r="AN235" s="95">
        <f>Sheet1!BU237</f>
        <v>36.4</v>
      </c>
      <c r="AO235" s="95">
        <f>Sheet1!AA237</f>
        <v>40.78</v>
      </c>
      <c r="AP235" s="95">
        <f t="shared" si="25"/>
        <v>3.1439499999999994</v>
      </c>
      <c r="AQ235" s="1055">
        <f>((Sheet1!BV237-(Sheet1!BU237-AP235))/(Sheet1!BU237-AP235))</f>
        <v>0.18775380720199777</v>
      </c>
      <c r="AR235" s="95">
        <f t="shared" si="26"/>
        <v>37.636050000000004</v>
      </c>
      <c r="AS235" s="95">
        <f t="shared" si="27"/>
        <v>33.256050000000002</v>
      </c>
      <c r="AT235" s="90">
        <f>Sheet1!BB237</f>
        <v>1.6</v>
      </c>
      <c r="AU235" s="90">
        <f>Sheet1!AS237*GPMtoMGD</f>
        <v>1.6272000000000002E-2</v>
      </c>
      <c r="AV235" s="95">
        <f>Sheet1!AT237</f>
        <v>0.85</v>
      </c>
      <c r="AW235" s="90">
        <f>Sheet1!AV237*GPMtoMGD</f>
        <v>1.4532480000000001</v>
      </c>
      <c r="AX235" s="90">
        <f>Sheet1!AW237*GPMtoMGD</f>
        <v>0.97588800000000009</v>
      </c>
      <c r="AY235" s="90">
        <f>Sheet1!AX237*GPMtoMGD</f>
        <v>6.7248000000000002E-2</v>
      </c>
      <c r="AZ235" s="90">
        <f>Sheet1!AY237*GPMtoMGD</f>
        <v>0</v>
      </c>
      <c r="BA235" s="90">
        <f>Sheet1!AZ237*GPMtoMGD</f>
        <v>0</v>
      </c>
      <c r="BB235" s="90">
        <f>Sheet1!BP237*GPMtoMGD</f>
        <v>0</v>
      </c>
      <c r="BC235" s="90">
        <f>Sheet1!CS237*GPMtoMGD</f>
        <v>0.12024000000000001</v>
      </c>
      <c r="BD235" s="90">
        <f>Sheet1!BO237*GPMtoMGD</f>
        <v>3.1851360000000004</v>
      </c>
      <c r="BE235" s="90">
        <f>Sheet1!BW237*GPMtoMGD</f>
        <v>1.4457600000000002</v>
      </c>
      <c r="BF235" s="90">
        <f>Sheet1!CN237*GPMtoMGD</f>
        <v>1.7280000000000002</v>
      </c>
      <c r="BG235" s="90">
        <f>Sheet1!CO237*GPMtoMGD</f>
        <v>1.1417760000000001</v>
      </c>
      <c r="BH235" s="90">
        <f>Sheet1!CP237*GPMtoMGD</f>
        <v>0.91209600000000002</v>
      </c>
      <c r="BI235" s="90">
        <f t="shared" si="31"/>
        <v>3.1851360000000004</v>
      </c>
      <c r="BK235" s="95">
        <f>SUM(AT235:BA235,BE235,Sheet1!BV237,'Calculations II'!BC235,Calculation!AQ235)</f>
        <v>77.636400433688294</v>
      </c>
      <c r="BM235" s="373">
        <f>0</f>
        <v>0</v>
      </c>
      <c r="BN235" s="373">
        <f>0</f>
        <v>0</v>
      </c>
      <c r="BP235" s="95">
        <f>SUM(BM235:BN235,W235,Sheet1!DX237)</f>
        <v>0</v>
      </c>
    </row>
    <row r="236" spans="1:68" s="90" customFormat="1">
      <c r="A236" s="651" t="s">
        <v>6</v>
      </c>
      <c r="B236" s="92">
        <v>41864</v>
      </c>
      <c r="C236" s="93">
        <v>0</v>
      </c>
      <c r="D236" s="95">
        <f>(Sheet1!BQ238-Sheet1!BQ237)*1.385</f>
        <v>2.1744500000000002</v>
      </c>
      <c r="E236" s="30">
        <f>(Sheet1!BR238-Sheet1!BR237)*1.385</f>
        <v>2.2021499999999996</v>
      </c>
      <c r="F236" s="30">
        <f ca="1">IF(B236=TODAY(),0,-(VLOOKUP(Sheet1!CD238,Lookup!$I$4:$J$216,2)-VLOOKUP(Sheet1!CD237,Lookup!$I$4:$J$216,2))/1000000)</f>
        <v>-3.2127450949818046</v>
      </c>
      <c r="G236" s="95">
        <f ca="1">IF(B236=TODAY(),0,-$G$6*(Sheet1!CF238-Sheet1!CF237)*7.48/1000000)</f>
        <v>-3.4153610905200997</v>
      </c>
      <c r="H236" s="95">
        <f ca="1">IF(B236=TODAY(),0,-$H$6*(Sheet1!CE238-Sheet1!CE237)*7.48/1000000)</f>
        <v>0.3459069440790965</v>
      </c>
      <c r="I236" s="95">
        <f ca="1">IF(B236=TODAY(),0,-$I$6*(Sheet1!CG238-Sheet1!CG237)*7.48/1000000)</f>
        <v>3.593990399999996E-2</v>
      </c>
      <c r="J236" s="96" t="s">
        <v>186</v>
      </c>
      <c r="K236" s="95">
        <f ca="1">IF(B236=TODAY(),0,-$K$6*(Sheet1!CH238-Sheet1!CH237)*7.48/1000000)</f>
        <v>6.6633203744584424E-2</v>
      </c>
      <c r="L236" s="96" t="s">
        <v>186</v>
      </c>
      <c r="M236" s="95">
        <f ca="1">IF(B236=TODAY(),0,-$M$6*(Sheet1!CI238-Sheet1!CI237)*7.48/1000000)</f>
        <v>0.16192357585224318</v>
      </c>
      <c r="N236" s="95">
        <f ca="1">IF(B236=TODAY(),0,-$N$6*(Sheet1!CJ238-Sheet1!CJ237)*7.48/1000000)</f>
        <v>-1.6754133256548462</v>
      </c>
      <c r="O236" s="95">
        <f t="shared" ca="1" si="28"/>
        <v>-7.693115883480826</v>
      </c>
      <c r="P236" s="95">
        <f ca="1">O236+Calculation!ES236</f>
        <v>-12.128525807224463</v>
      </c>
      <c r="Q236" s="90" t="str">
        <f>IF(Sheet1!BQ238&gt;25.75,"spill elevation","-")</f>
        <v>-</v>
      </c>
      <c r="R236" s="90" t="str">
        <f>IF(Sheet1!BQ238&gt;25.75,"spill elevation","-")</f>
        <v>-</v>
      </c>
      <c r="S236" s="90" t="str">
        <f>IF(Sheet1!BR238&gt;25.75,"spill elevation","-")</f>
        <v>-</v>
      </c>
      <c r="T236" s="94">
        <f>IF(Sheet1!DU238=1,Sheet1!AA238-(SUM(AT236:BA236)+BE236),Sheet1!AA238-SUM(AT236:BA236))</f>
        <v>56.429376000000005</v>
      </c>
      <c r="U236" s="94">
        <f>Sheet1!BV238</f>
        <v>61.3</v>
      </c>
      <c r="V236" s="94">
        <f t="shared" si="29"/>
        <v>-4.8706239999999923</v>
      </c>
      <c r="W236" s="94">
        <f>0</f>
        <v>0</v>
      </c>
      <c r="X236" s="90">
        <f>0</f>
        <v>0</v>
      </c>
      <c r="Y236" s="95">
        <f ca="1">Calculation!EJ237+Calculation!ES236+'Calculations II'!O236-'Calculations II'!W236</f>
        <v>74.671474192775534</v>
      </c>
      <c r="Z236" s="95">
        <f ca="1">Y236-Sheet1!CT239</f>
        <v>58.378474192775535</v>
      </c>
      <c r="AA236" s="95">
        <f ca="1">Y236+Calculation!DJ237+Calculation!AS237</f>
        <v>91.370813642316818</v>
      </c>
      <c r="AC236" s="95">
        <f>Sheet1!AA238+Sheet1!AB238+BC236</f>
        <v>91.240000000000009</v>
      </c>
      <c r="AD236" s="95">
        <f>Sheet1!AA238+Sheet1!BN238+'Calculations II'!BC236-Calculation!AS236-Calculation!DJ236</f>
        <v>56.125347043701801</v>
      </c>
      <c r="AE236" s="95">
        <f>Sheet1!AA238+Sheet1!AB238+'Calculations II'!BC236-Calculation!AS236-Calculation!DJ236</f>
        <v>73.425347043701805</v>
      </c>
      <c r="AF236" s="95">
        <f ca="1">Sheet1!AA238+Sheet1!BN238+P236+'Calculations II'!BC236+Calculation!AS236+Calculation!DJ236</f>
        <v>79.626127149073739</v>
      </c>
      <c r="AG236" s="95">
        <f ca="1">IF(B236=TODAY(),0,Sheet1!AA238+Sheet1!BN238+'Calculations II'!BC236+'Calculations II'!P236-Sheet1!CT238-BP236)</f>
        <v>44.582474192775535</v>
      </c>
      <c r="AH236" s="95">
        <f ca="1">IF(B236=TODAY(),0,Sheet1!AA238+Sheet1!BN238+'Calculations II'!BC236+'Calculations II'!P236-BP236)</f>
        <v>61.811474192775535</v>
      </c>
      <c r="AI236" s="95">
        <f ca="1">IF(B236=TODAY(),0,BC236+Sheet1!AA238+Calculation!ES236+O236+W236+Sheet1!BN238+Calculation!AS236+Calculation!DJ236-BP236)</f>
        <v>79.626127149073739</v>
      </c>
      <c r="AJ236" s="95"/>
      <c r="AM236" s="91">
        <f t="shared" si="30"/>
        <v>41864</v>
      </c>
      <c r="AN236" s="95">
        <f>Sheet1!BU238</f>
        <v>58.1</v>
      </c>
      <c r="AO236" s="95">
        <f>Sheet1!AA238</f>
        <v>61.24</v>
      </c>
      <c r="AP236" s="95">
        <f t="shared" si="25"/>
        <v>4.3765999999999998</v>
      </c>
      <c r="AQ236" s="1055">
        <f>((Sheet1!BV238-(Sheet1!BU238-AP236))/(Sheet1!BU238-AP236))</f>
        <v>0.14102979334889451</v>
      </c>
      <c r="AR236" s="95">
        <f t="shared" si="26"/>
        <v>56.863399999999999</v>
      </c>
      <c r="AS236" s="95">
        <f t="shared" si="27"/>
        <v>53.723399999999998</v>
      </c>
      <c r="AT236" s="90">
        <f>Sheet1!BB238</f>
        <v>1.6</v>
      </c>
      <c r="AU236" s="90">
        <f>Sheet1!AS238*GPMtoMGD</f>
        <v>1.6128E-2</v>
      </c>
      <c r="AV236" s="95">
        <f>Sheet1!AT238</f>
        <v>0.99</v>
      </c>
      <c r="AW236" s="90">
        <f>Sheet1!AV238*GPMtoMGD</f>
        <v>1.1926080000000001</v>
      </c>
      <c r="AX236" s="90">
        <f>Sheet1!AW238*GPMtoMGD</f>
        <v>0.96465600000000007</v>
      </c>
      <c r="AY236" s="90">
        <f>Sheet1!AX238*GPMtoMGD</f>
        <v>4.7231999999999996E-2</v>
      </c>
      <c r="AZ236" s="90">
        <f>Sheet1!AY238*GPMtoMGD</f>
        <v>0</v>
      </c>
      <c r="BA236" s="90">
        <f>Sheet1!AZ238*GPMtoMGD</f>
        <v>0</v>
      </c>
      <c r="BB236" s="90">
        <f>Sheet1!BP238*GPMtoMGD</f>
        <v>0</v>
      </c>
      <c r="BC236" s="90">
        <f>Sheet1!CS238*GPMtoMGD</f>
        <v>0</v>
      </c>
      <c r="BD236" s="90">
        <f>Sheet1!BO238*GPMtoMGD</f>
        <v>2.3554080000000002</v>
      </c>
      <c r="BE236" s="90">
        <f>Sheet1!BW238*GPMtoMGD</f>
        <v>1.3455360000000001</v>
      </c>
      <c r="BF236" s="90">
        <f>Sheet1!CN238*GPMtoMGD</f>
        <v>1.7280000000000002</v>
      </c>
      <c r="BG236" s="90">
        <f>Sheet1!CO238*GPMtoMGD</f>
        <v>0.96854400000000007</v>
      </c>
      <c r="BH236" s="90">
        <f>Sheet1!CP238*GPMtoMGD</f>
        <v>0.91843200000000003</v>
      </c>
      <c r="BI236" s="90">
        <f t="shared" si="31"/>
        <v>2.3554080000000002</v>
      </c>
      <c r="BK236" s="95">
        <f>SUM(AT236:BA236,BE236,Sheet1!BV238,'Calculations II'!BC236,Calculation!AQ236)</f>
        <v>79.699090591259633</v>
      </c>
      <c r="BM236" s="373">
        <f>0</f>
        <v>0</v>
      </c>
      <c r="BN236" s="373">
        <f>0</f>
        <v>0</v>
      </c>
      <c r="BP236" s="95">
        <f>SUM(BM236:BN236,W236,Sheet1!DX238)</f>
        <v>0</v>
      </c>
    </row>
    <row r="237" spans="1:68" s="90" customFormat="1">
      <c r="A237" s="651" t="s">
        <v>7</v>
      </c>
      <c r="B237" s="92">
        <v>41865</v>
      </c>
      <c r="C237" s="93">
        <v>0</v>
      </c>
      <c r="D237" s="95">
        <f>(Sheet1!BQ239-Sheet1!BQ238)*1.385</f>
        <v>3.4209499999999986</v>
      </c>
      <c r="E237" s="30">
        <f>(Sheet1!BR239-Sheet1!BR238)*1.385</f>
        <v>3.3378500000000004</v>
      </c>
      <c r="F237" s="30">
        <f ca="1">IF(B237=TODAY(),0,-(VLOOKUP(Sheet1!CD239,Lookup!$I$4:$J$216,2)-VLOOKUP(Sheet1!CD238,Lookup!$I$4:$J$216,2))/1000000)</f>
        <v>-2.2800126480516045</v>
      </c>
      <c r="G237" s="95">
        <f ca="1">IF(B237=TODAY(),0,-$G$6*(Sheet1!CF239-Sheet1!CF238)*7.48/1000000)</f>
        <v>-0.19856750526279648</v>
      </c>
      <c r="H237" s="95">
        <f ca="1">IF(B237=TODAY(),0,-$H$6*(Sheet1!CE239-Sheet1!CE238)*7.48/1000000)</f>
        <v>6.0157729405060027E-2</v>
      </c>
      <c r="I237" s="95">
        <f ca="1">IF(B237=TODAY(),0,-$I$6*(Sheet1!CG239-Sheet1!CG238)*7.48/1000000)</f>
        <v>4.4924880000000236E-3</v>
      </c>
      <c r="J237" s="96" t="s">
        <v>186</v>
      </c>
      <c r="K237" s="95">
        <f ca="1">IF(B237=TODAY(),0,-$K$6*(Sheet1!CH239-Sheet1!CH238)*7.48/1000000)</f>
        <v>6.6633203744584186E-3</v>
      </c>
      <c r="L237" s="96" t="s">
        <v>186</v>
      </c>
      <c r="M237" s="95">
        <f ca="1">IF(B237=TODAY(),0,-$M$6*(Sheet1!CI239-Sheet1!CI238)*7.48/1000000)</f>
        <v>3.598301685605397E-2</v>
      </c>
      <c r="N237" s="95">
        <f ca="1">IF(B237=TODAY(),0,-$N$6*(Sheet1!CJ239-Sheet1!CJ238)*7.48/1000000)</f>
        <v>-0.5646763430910765</v>
      </c>
      <c r="O237" s="95">
        <f t="shared" ca="1" si="28"/>
        <v>-2.9359599417699052</v>
      </c>
      <c r="P237" s="95">
        <f ca="1">O237+Calculation!ES237</f>
        <v>-9.5952309698255327</v>
      </c>
      <c r="Q237" s="90" t="str">
        <f>IF(Sheet1!BQ239&gt;25.75,"spill elevation","-")</f>
        <v>-</v>
      </c>
      <c r="R237" s="90" t="str">
        <f>IF(Sheet1!BQ239&gt;25.75,"spill elevation","-")</f>
        <v>-</v>
      </c>
      <c r="S237" s="90" t="str">
        <f>IF(Sheet1!BR239&gt;25.75,"spill elevation","-")</f>
        <v>-</v>
      </c>
      <c r="T237" s="94">
        <f>IF(Sheet1!DU239=1,Sheet1!AA239-(SUM(AT237:BA237)+BE237),Sheet1!AA239-SUM(AT237:BA237))</f>
        <v>57.004975999999999</v>
      </c>
      <c r="U237" s="94">
        <f>Sheet1!BV239</f>
        <v>59</v>
      </c>
      <c r="V237" s="94">
        <f t="shared" si="29"/>
        <v>-1.9950240000000008</v>
      </c>
      <c r="W237" s="94">
        <f>0</f>
        <v>0</v>
      </c>
      <c r="X237" s="90">
        <f>0</f>
        <v>0</v>
      </c>
      <c r="Y237" s="95">
        <f ca="1">Calculation!EJ238+Calculation!ES237+'Calculations II'!O237-'Calculations II'!W237</f>
        <v>64.634769030174468</v>
      </c>
      <c r="Z237" s="95">
        <f ca="1">Y237-Sheet1!CT240</f>
        <v>48.412769030174466</v>
      </c>
      <c r="AA237" s="95">
        <f ca="1">Y237+Calculation!DJ238+Calculation!AS238</f>
        <v>82.559187634825633</v>
      </c>
      <c r="AC237" s="95">
        <f>Sheet1!AA239+Sheet1!AB239+BC237</f>
        <v>86.8</v>
      </c>
      <c r="AD237" s="95">
        <f>Sheet1!AA239+Sheet1!BN239+'Calculations II'!BC237-Calculation!AS237-Calculation!DJ237</f>
        <v>54.040660550458732</v>
      </c>
      <c r="AE237" s="95">
        <f>Sheet1!AA239+Sheet1!AB239+'Calculations II'!BC237-Calculation!AS237-Calculation!DJ237</f>
        <v>70.100660550458713</v>
      </c>
      <c r="AF237" s="95">
        <f ca="1">Sheet1!AA239+Sheet1!BN239+P237+'Calculations II'!BC237+Calculation!AS237+Calculation!DJ237</f>
        <v>77.844108479715757</v>
      </c>
      <c r="AG237" s="95">
        <f ca="1">IF(B237=TODAY(),0,Sheet1!AA239+Sheet1!BN239+'Calculations II'!BC237+'Calculations II'!P237-Sheet1!CT239-BP237)</f>
        <v>44.851769030174474</v>
      </c>
      <c r="AH237" s="95">
        <f ca="1">IF(B237=TODAY(),0,Sheet1!AA239+Sheet1!BN239+'Calculations II'!BC237+'Calculations II'!P237-BP237)</f>
        <v>61.144769030174473</v>
      </c>
      <c r="AI237" s="95">
        <f ca="1">IF(B237=TODAY(),0,BC237+Sheet1!AA239+Calculation!ES237+O237+W237+Sheet1!BN239+Calculation!AS237+Calculation!DJ237-BP237)</f>
        <v>77.844108479715757</v>
      </c>
      <c r="AJ237" s="95"/>
      <c r="AM237" s="91">
        <f t="shared" si="30"/>
        <v>41865</v>
      </c>
      <c r="AN237" s="95">
        <f>Sheet1!BU239</f>
        <v>57.7</v>
      </c>
      <c r="AO237" s="95">
        <f>Sheet1!AA239</f>
        <v>61.1</v>
      </c>
      <c r="AP237" s="95">
        <f t="shared" si="25"/>
        <v>6.758799999999999</v>
      </c>
      <c r="AQ237" s="1055">
        <f>((Sheet1!BV239-(Sheet1!BU239-AP237))/(Sheet1!BU239-AP237))</f>
        <v>0.15819807935423583</v>
      </c>
      <c r="AR237" s="95">
        <f t="shared" si="26"/>
        <v>54.341200000000001</v>
      </c>
      <c r="AS237" s="95">
        <f t="shared" si="27"/>
        <v>50.941200000000002</v>
      </c>
      <c r="AT237" s="90">
        <f>Sheet1!BB239</f>
        <v>1.6</v>
      </c>
      <c r="AU237" s="90">
        <f>Sheet1!AS239*GPMtoMGD</f>
        <v>3.1968000000000003E-2</v>
      </c>
      <c r="AV237" s="95">
        <f>Sheet1!AT239</f>
        <v>0.53</v>
      </c>
      <c r="AW237" s="90">
        <f>Sheet1!AV239*GPMtoMGD</f>
        <v>1.408752</v>
      </c>
      <c r="AX237" s="90">
        <f>Sheet1!AW239*GPMtoMGD</f>
        <v>0.48456000000000005</v>
      </c>
      <c r="AY237" s="90">
        <f>Sheet1!AX239*GPMtoMGD</f>
        <v>3.9744000000000002E-2</v>
      </c>
      <c r="AZ237" s="90">
        <f>Sheet1!AY239*GPMtoMGD</f>
        <v>0</v>
      </c>
      <c r="BA237" s="90">
        <f>Sheet1!AZ239*GPMtoMGD</f>
        <v>0</v>
      </c>
      <c r="BB237" s="90">
        <f>Sheet1!BP239*GPMtoMGD</f>
        <v>0</v>
      </c>
      <c r="BC237" s="90">
        <f>Sheet1!CS239*GPMtoMGD</f>
        <v>0</v>
      </c>
      <c r="BD237" s="90">
        <f>Sheet1!BO239*GPMtoMGD</f>
        <v>2.5024320000000002</v>
      </c>
      <c r="BE237" s="90">
        <f>Sheet1!BW239*GPMtoMGD</f>
        <v>1.5857280000000002</v>
      </c>
      <c r="BF237" s="90">
        <f>Sheet1!CN239*GPMtoMGD</f>
        <v>1.7280000000000002</v>
      </c>
      <c r="BG237" s="90">
        <f>Sheet1!CO239*GPMtoMGD</f>
        <v>0.97430400000000006</v>
      </c>
      <c r="BH237" s="90">
        <f>Sheet1!CP239*GPMtoMGD</f>
        <v>0.9037440000000001</v>
      </c>
      <c r="BI237" s="90">
        <f t="shared" si="31"/>
        <v>2.5024320000000002</v>
      </c>
      <c r="BK237" s="95">
        <f>SUM(AT237:BA237,BE237,Sheet1!BV239,'Calculations II'!BC237,Calculation!AQ237)</f>
        <v>73.772421724770638</v>
      </c>
      <c r="BM237" s="373">
        <f>0</f>
        <v>0</v>
      </c>
      <c r="BN237" s="373">
        <f>0</f>
        <v>0</v>
      </c>
      <c r="BP237" s="95">
        <f>SUM(BM237:BN237,W237,Sheet1!DX239)</f>
        <v>0</v>
      </c>
    </row>
    <row r="238" spans="1:68" s="90" customFormat="1">
      <c r="A238" s="651" t="s">
        <v>8</v>
      </c>
      <c r="B238" s="92">
        <v>41866</v>
      </c>
      <c r="C238" s="93">
        <v>0</v>
      </c>
      <c r="D238" s="95">
        <f>(Sheet1!BQ240-Sheet1!BQ239)*1.385</f>
        <v>-0.67865000000000275</v>
      </c>
      <c r="E238" s="30">
        <f>(Sheet1!BR240-Sheet1!BR239)*1.385</f>
        <v>-0.67864999999999787</v>
      </c>
      <c r="F238" s="30">
        <f ca="1">IF(B238=TODAY(),0,-(VLOOKUP(Sheet1!CD240,Lookup!$I$4:$J$216,2)-VLOOKUP(Sheet1!CD239,Lookup!$I$4:$J$216,2))/1000000)</f>
        <v>0</v>
      </c>
      <c r="G238" s="95">
        <f ca="1">IF(B238=TODAY(),0,-$G$6*(Sheet1!CF240-Sheet1!CF239)*7.48/1000000)</f>
        <v>0.79427002105118594</v>
      </c>
      <c r="H238" s="95">
        <f ca="1">IF(B238=TODAY(),0,-$H$6*(Sheet1!CE240-Sheet1!CE239)*7.48/1000000)</f>
        <v>7.5197161756325293E-2</v>
      </c>
      <c r="I238" s="95">
        <f ca="1">IF(B238=TODAY(),0,-$I$6*(Sheet1!CG240-Sheet1!CG239)*7.48/1000000)</f>
        <v>-2.5607181600000015E-2</v>
      </c>
      <c r="J238" s="96" t="s">
        <v>186</v>
      </c>
      <c r="K238" s="95">
        <f ca="1">IF(B238=TODAY(),0,-$K$6*(Sheet1!CH240-Sheet1!CH239)*7.48/1000000)</f>
        <v>-4.6643242621209169E-2</v>
      </c>
      <c r="L238" s="96" t="s">
        <v>186</v>
      </c>
      <c r="M238" s="95">
        <f ca="1">IF(B238=TODAY(),0,-$M$6*(Sheet1!CI240-Sheet1!CI239)*7.48/1000000)</f>
        <v>-0.10794905056816191</v>
      </c>
      <c r="N238" s="95">
        <f ca="1">IF(B238=TODAY(),0,-$N$6*(Sheet1!CJ240-Sheet1!CJ239)*7.48/1000000)</f>
        <v>0.50262399769645283</v>
      </c>
      <c r="O238" s="95">
        <f t="shared" ca="1" si="28"/>
        <v>1.191891705714593</v>
      </c>
      <c r="P238" s="95">
        <f ca="1">O238+Calculation!ES238</f>
        <v>2.579849201966828</v>
      </c>
      <c r="Q238" s="90" t="str">
        <f>IF(Sheet1!BQ240&gt;25.75,"spill elevation","-")</f>
        <v>-</v>
      </c>
      <c r="R238" s="90" t="str">
        <f>IF(Sheet1!BQ240&gt;25.75,"spill elevation","-")</f>
        <v>-</v>
      </c>
      <c r="S238" s="90" t="str">
        <f>IF(Sheet1!BR240&gt;25.75,"spill elevation","-")</f>
        <v>-</v>
      </c>
      <c r="T238" s="94">
        <f>IF(Sheet1!DU240=1,Sheet1!AA240-(SUM(AT238:BA238)+BE238),Sheet1!AA240-SUM(AT238:BA238))</f>
        <v>56.469567999999995</v>
      </c>
      <c r="U238" s="94">
        <f>Sheet1!BV240</f>
        <v>67.599999999999994</v>
      </c>
      <c r="V238" s="94">
        <f t="shared" si="29"/>
        <v>-11.130431999999999</v>
      </c>
      <c r="W238" s="94">
        <f>0</f>
        <v>0</v>
      </c>
      <c r="X238" s="90">
        <f>0</f>
        <v>0</v>
      </c>
      <c r="Y238" s="95">
        <f ca="1">Calculation!EJ239+Calculation!ES238+'Calculations II'!O238-'Calculations II'!W238</f>
        <v>75.409849201966836</v>
      </c>
      <c r="Z238" s="95">
        <f ca="1">Y238-Sheet1!CT241</f>
        <v>58.977849201966833</v>
      </c>
      <c r="AA238" s="95">
        <f ca="1">Y238+Calculation!DJ239+Calculation!AS239</f>
        <v>94.17088072059147</v>
      </c>
      <c r="AC238" s="95">
        <f>Sheet1!AA240+Sheet1!AB240+BC238</f>
        <v>74.23</v>
      </c>
      <c r="AD238" s="95">
        <f>Sheet1!AA240+Sheet1!BN240+'Calculations II'!BC238-Calculation!AS238-Calculation!DJ238</f>
        <v>38.405581395348833</v>
      </c>
      <c r="AE238" s="95">
        <f>Sheet1!AA240+Sheet1!AB240+'Calculations II'!BC238-Calculation!AS238-Calculation!DJ238</f>
        <v>56.305581395348845</v>
      </c>
      <c r="AF238" s="95">
        <f ca="1">Sheet1!AA240+Sheet1!BN240+P238+'Calculations II'!BC238+Calculation!AS238+Calculation!DJ238</f>
        <v>76.834267806617987</v>
      </c>
      <c r="AG238" s="95">
        <f ca="1">IF(B238=TODAY(),0,Sheet1!AA240+Sheet1!BN240+'Calculations II'!BC238+'Calculations II'!P238-Sheet1!CT240-BP238)</f>
        <v>42.687849201966827</v>
      </c>
      <c r="AH238" s="95">
        <f ca="1">IF(B238=TODAY(),0,Sheet1!AA240+Sheet1!BN240+'Calculations II'!BC238+'Calculations II'!P238-BP238)</f>
        <v>58.909849201966829</v>
      </c>
      <c r="AI238" s="95">
        <f ca="1">IF(B238=TODAY(),0,BC238+Sheet1!AA240+Calculation!ES238+O238+W238+Sheet1!BN240+Calculation!AS238+Calculation!DJ238-BP238)</f>
        <v>76.834267806617987</v>
      </c>
      <c r="AJ238" s="95"/>
      <c r="AM238" s="91">
        <f t="shared" si="30"/>
        <v>41866</v>
      </c>
      <c r="AN238" s="95">
        <f>Sheet1!BU240</f>
        <v>57.4</v>
      </c>
      <c r="AO238" s="95">
        <f>Sheet1!AA240</f>
        <v>60.33</v>
      </c>
      <c r="AP238" s="95">
        <f t="shared" si="25"/>
        <v>-1.3573000000000006</v>
      </c>
      <c r="AQ238" s="1055">
        <f>((Sheet1!BV240-(Sheet1!BU240-AP238))/(Sheet1!BU240-AP238))</f>
        <v>0.15049534270635298</v>
      </c>
      <c r="AR238" s="95">
        <f t="shared" si="26"/>
        <v>61.6873</v>
      </c>
      <c r="AS238" s="95">
        <f t="shared" si="27"/>
        <v>58.757300000000001</v>
      </c>
      <c r="AT238" s="90">
        <f>Sheet1!BB240</f>
        <v>1.6</v>
      </c>
      <c r="AU238" s="90">
        <f>Sheet1!AS240*GPMtoMGD</f>
        <v>1.6416E-2</v>
      </c>
      <c r="AV238" s="95">
        <f>Sheet1!AT240</f>
        <v>0.37</v>
      </c>
      <c r="AW238" s="90">
        <f>Sheet1!AV240*GPMtoMGD</f>
        <v>1.0478880000000002</v>
      </c>
      <c r="AX238" s="90">
        <f>Sheet1!AW240*GPMtoMGD</f>
        <v>0.78638400000000008</v>
      </c>
      <c r="AY238" s="90">
        <f>Sheet1!AX240*GPMtoMGD</f>
        <v>3.9744000000000002E-2</v>
      </c>
      <c r="AZ238" s="90">
        <f>Sheet1!AY240*GPMtoMGD</f>
        <v>0</v>
      </c>
      <c r="BA238" s="90">
        <f>Sheet1!AZ240*GPMtoMGD</f>
        <v>0</v>
      </c>
      <c r="BB238" s="90">
        <f>Sheet1!BP240*GPMtoMGD</f>
        <v>0</v>
      </c>
      <c r="BC238" s="90">
        <f>Sheet1!CS240*GPMtoMGD</f>
        <v>0</v>
      </c>
      <c r="BD238" s="90">
        <f>Sheet1!BO240*GPMtoMGD</f>
        <v>2.8000800000000003</v>
      </c>
      <c r="BE238" s="90">
        <f>Sheet1!BW240*GPMtoMGD</f>
        <v>1.2558240000000001</v>
      </c>
      <c r="BF238" s="90">
        <f>Sheet1!CN240*GPMtoMGD</f>
        <v>1.7280000000000002</v>
      </c>
      <c r="BG238" s="90">
        <f>Sheet1!CO240*GPMtoMGD</f>
        <v>0.99864000000000008</v>
      </c>
      <c r="BH238" s="90">
        <f>Sheet1!CP240*GPMtoMGD</f>
        <v>0.91814400000000007</v>
      </c>
      <c r="BI238" s="90">
        <f t="shared" si="31"/>
        <v>2.8000800000000003</v>
      </c>
      <c r="BK238" s="95">
        <f>SUM(AT238:BA238,BE238,Sheet1!BV240,'Calculations II'!BC238,Calculation!AQ238)</f>
        <v>68.675558325581378</v>
      </c>
      <c r="BM238" s="373">
        <f>0</f>
        <v>0</v>
      </c>
      <c r="BN238" s="373">
        <f>0</f>
        <v>0</v>
      </c>
      <c r="BP238" s="95">
        <f>SUM(BM238:BN238,W238,Sheet1!DX240)</f>
        <v>0</v>
      </c>
    </row>
    <row r="239" spans="1:68" s="90" customFormat="1">
      <c r="A239" s="651" t="s">
        <v>9</v>
      </c>
      <c r="B239" s="92">
        <v>41867</v>
      </c>
      <c r="C239" s="93">
        <v>0</v>
      </c>
      <c r="D239" s="95">
        <f>(Sheet1!BQ241-Sheet1!BQ240)*1.385</f>
        <v>-2.7145999999999963</v>
      </c>
      <c r="E239" s="30">
        <f>(Sheet1!BR241-Sheet1!BR240)*1.385</f>
        <v>-2.4791499999999989</v>
      </c>
      <c r="F239" s="30">
        <f ca="1">IF(B239=TODAY(),0,-(VLOOKUP(Sheet1!CD241,Lookup!$I$4:$J$216,2)-VLOOKUP(Sheet1!CD240,Lookup!$I$4:$J$216,2))/1000000)</f>
        <v>1.0363693854779974</v>
      </c>
      <c r="G239" s="95">
        <f ca="1">IF(B239=TODAY(),0,-$G$6*(Sheet1!CF241-Sheet1!CF240)*7.48/1000000)</f>
        <v>0.91341052420886415</v>
      </c>
      <c r="H239" s="95">
        <f ca="1">IF(B239=TODAY(),0,-$H$6*(Sheet1!CE241-Sheet1!CE240)*7.48/1000000)</f>
        <v>-7.5197161756325293E-2</v>
      </c>
      <c r="I239" s="95">
        <f ca="1">IF(B239=TODAY(),0,-$I$6*(Sheet1!CG241-Sheet1!CG240)*7.48/1000000)</f>
        <v>-4.1780138400000034E-2</v>
      </c>
      <c r="J239" s="96" t="s">
        <v>186</v>
      </c>
      <c r="K239" s="95">
        <f ca="1">IF(B239=TODAY(),0,-$K$6*(Sheet1!CH241-Sheet1!CH240)*7.48/1000000)</f>
        <v>-7.3296524119042847E-2</v>
      </c>
      <c r="L239" s="96" t="s">
        <v>186</v>
      </c>
      <c r="M239" s="95">
        <f ca="1">IF(B239=TODAY(),0,-$M$6*(Sheet1!CI241-Sheet1!CI240)*7.48/1000000)</f>
        <v>-0.2158981011363251</v>
      </c>
      <c r="N239" s="95">
        <f ca="1">IF(B239=TODAY(),0,-$N$6*(Sheet1!CJ241-Sheet1!CJ240)*7.48/1000000)</f>
        <v>0.49641876315699163</v>
      </c>
      <c r="O239" s="95">
        <f t="shared" ca="1" si="28"/>
        <v>2.0400267474321598</v>
      </c>
      <c r="P239" s="95">
        <f ca="1">O239+Calculation!ES239</f>
        <v>7.1726824274030836</v>
      </c>
      <c r="Q239" s="90" t="str">
        <f>IF(Sheet1!BQ241&gt;25.75,"spill elevation","-")</f>
        <v>-</v>
      </c>
      <c r="R239" s="90" t="str">
        <f>IF(Sheet1!BQ241&gt;25.75,"spill elevation","-")</f>
        <v>-</v>
      </c>
      <c r="S239" s="90" t="str">
        <f>IF(Sheet1!BR241&gt;25.75,"spill elevation","-")</f>
        <v>-</v>
      </c>
      <c r="T239" s="94">
        <f>IF(Sheet1!DU241=1,Sheet1!AA241-(SUM(AT239:BA239)+BE239),Sheet1!AA241-SUM(AT239:BA239))</f>
        <v>55.032831999999999</v>
      </c>
      <c r="U239" s="94">
        <f>Sheet1!BV241</f>
        <v>70.3</v>
      </c>
      <c r="V239" s="94">
        <f t="shared" si="29"/>
        <v>-15.267167999999998</v>
      </c>
      <c r="W239" s="94">
        <f>0</f>
        <v>0</v>
      </c>
      <c r="X239" s="90">
        <f>0</f>
        <v>0</v>
      </c>
      <c r="Y239" s="95">
        <f ca="1">Calculation!EJ240+Calculation!ES239+'Calculations II'!O239-'Calculations II'!W239</f>
        <v>84.552682427403084</v>
      </c>
      <c r="Z239" s="95">
        <f ca="1">Y239-Sheet1!CT242</f>
        <v>68.003682427403078</v>
      </c>
      <c r="AA239" s="95">
        <f ca="1">Y239+Calculation!DJ240+Calculation!AS240</f>
        <v>103.61249169170826</v>
      </c>
      <c r="AC239" s="95">
        <f>Sheet1!AA241+Sheet1!AB241+BC239</f>
        <v>72.83</v>
      </c>
      <c r="AD239" s="95">
        <f>Sheet1!AA241+Sheet1!BN241+'Calculations II'!BC239-Calculation!AS239-Calculation!DJ239</f>
        <v>35.268968481375353</v>
      </c>
      <c r="AE239" s="95">
        <f>Sheet1!AA241+Sheet1!AB241+'Calculations II'!BC239-Calculation!AS239-Calculation!DJ239</f>
        <v>54.068968481375364</v>
      </c>
      <c r="AF239" s="95">
        <f ca="1">Sheet1!AA241+Sheet1!BN241+P239+'Calculations II'!BC239+Calculation!AS239+Calculation!DJ239</f>
        <v>79.963713946027724</v>
      </c>
      <c r="AG239" s="95">
        <f ca="1">IF(B239=TODAY(),0,Sheet1!AA241+Sheet1!BN241+'Calculations II'!BC239+'Calculations II'!P239-Sheet1!CT241-BP239)</f>
        <v>44.770682427403088</v>
      </c>
      <c r="AH239" s="95">
        <f ca="1">IF(B239=TODAY(),0,Sheet1!AA241+Sheet1!BN241+'Calculations II'!BC239+'Calculations II'!P239-BP239)</f>
        <v>61.202682427403083</v>
      </c>
      <c r="AI239" s="95">
        <f ca="1">IF(B239=TODAY(),0,BC239+Sheet1!AA241+Calculation!ES239+O239+W239+Sheet1!BN241+Calculation!AS239+Calculation!DJ239-BP239)</f>
        <v>79.963713946027738</v>
      </c>
      <c r="AJ239" s="95"/>
      <c r="AM239" s="91">
        <f t="shared" si="30"/>
        <v>41867</v>
      </c>
      <c r="AN239" s="95">
        <f>Sheet1!BU241</f>
        <v>56</v>
      </c>
      <c r="AO239" s="95">
        <f>Sheet1!AA241</f>
        <v>59.03</v>
      </c>
      <c r="AP239" s="95">
        <f t="shared" si="25"/>
        <v>-5.1937499999999952</v>
      </c>
      <c r="AQ239" s="1055">
        <f>((Sheet1!BV241-(Sheet1!BU241-AP239))/(Sheet1!BU241-AP239))</f>
        <v>0.14881013175365138</v>
      </c>
      <c r="AR239" s="95">
        <f t="shared" si="26"/>
        <v>64.223749999999995</v>
      </c>
      <c r="AS239" s="95">
        <f t="shared" si="27"/>
        <v>61.193749999999994</v>
      </c>
      <c r="AT239" s="90">
        <f>Sheet1!BB241</f>
        <v>1.6</v>
      </c>
      <c r="AU239" s="90">
        <f>Sheet1!AS241*GPMtoMGD</f>
        <v>1.6847999999999998E-2</v>
      </c>
      <c r="AV239" s="95">
        <f>Sheet1!AT241</f>
        <v>0</v>
      </c>
      <c r="AW239" s="90">
        <f>Sheet1!AV241*GPMtoMGD</f>
        <v>1.110816</v>
      </c>
      <c r="AX239" s="90">
        <f>Sheet1!AW241*GPMtoMGD</f>
        <v>1.2322080000000002</v>
      </c>
      <c r="AY239" s="90">
        <f>Sheet1!AX241*GPMtoMGD</f>
        <v>3.7296000000000003E-2</v>
      </c>
      <c r="AZ239" s="90">
        <f>Sheet1!AY241*GPMtoMGD</f>
        <v>0</v>
      </c>
      <c r="BA239" s="90">
        <f>Sheet1!AZ241*GPMtoMGD</f>
        <v>0</v>
      </c>
      <c r="BB239" s="90">
        <f>Sheet1!BP241*GPMtoMGD</f>
        <v>0</v>
      </c>
      <c r="BC239" s="90">
        <f>Sheet1!CS241*GPMtoMGD</f>
        <v>0</v>
      </c>
      <c r="BD239" s="90">
        <f>Sheet1!BO241*GPMtoMGD</f>
        <v>3.1458240000000002</v>
      </c>
      <c r="BE239" s="90">
        <f>Sheet1!BW241*GPMtoMGD</f>
        <v>1.4343840000000001</v>
      </c>
      <c r="BF239" s="90">
        <f>Sheet1!CN241*GPMtoMGD</f>
        <v>1.7280000000000002</v>
      </c>
      <c r="BG239" s="90">
        <f>Sheet1!CO241*GPMtoMGD</f>
        <v>1.046592</v>
      </c>
      <c r="BH239" s="90">
        <f>Sheet1!CP241*GPMtoMGD</f>
        <v>0.91180800000000017</v>
      </c>
      <c r="BI239" s="90">
        <f t="shared" si="31"/>
        <v>3.1458240000000002</v>
      </c>
      <c r="BK239" s="95">
        <f>SUM(AT239:BA239,BE239,Sheet1!BV241,'Calculations II'!BC239,Calculation!AQ239)</f>
        <v>70.788858590257874</v>
      </c>
      <c r="BM239" s="373">
        <f>0</f>
        <v>0</v>
      </c>
      <c r="BN239" s="373">
        <f>0</f>
        <v>0</v>
      </c>
      <c r="BP239" s="95">
        <f>SUM(BM239:BN239,W239,Sheet1!DX241)</f>
        <v>0</v>
      </c>
    </row>
    <row r="240" spans="1:68" s="90" customFormat="1">
      <c r="A240" s="651" t="s">
        <v>3</v>
      </c>
      <c r="B240" s="92">
        <v>41868</v>
      </c>
      <c r="C240" s="93">
        <v>0</v>
      </c>
      <c r="D240" s="95">
        <f>(Sheet1!BQ242-Sheet1!BQ241)*1.385</f>
        <v>-3.5871499999999998</v>
      </c>
      <c r="E240" s="30">
        <f>(Sheet1!BR242-Sheet1!BR241)*1.385</f>
        <v>-3.7949000000000028</v>
      </c>
      <c r="F240" s="30">
        <f ca="1">IF(B240=TODAY(),0,-(VLOOKUP(Sheet1!CD242,Lookup!$I$4:$J$216,2)-VLOOKUP(Sheet1!CD241,Lookup!$I$4:$J$216,2))/1000000)</f>
        <v>0.72545856983460855</v>
      </c>
      <c r="G240" s="95">
        <f ca="1">IF(B240=TODAY(),0,-$G$6*(Sheet1!CF242-Sheet1!CF241)*7.48/1000000)</f>
        <v>0.23828100631535493</v>
      </c>
      <c r="H240" s="95">
        <f ca="1">IF(B240=TODAY(),0,-$H$6*(Sheet1!CE242-Sheet1!CE241)*7.48/1000000)</f>
        <v>-0.19551262056644589</v>
      </c>
      <c r="I240" s="95">
        <f ca="1">IF(B240=TODAY(),0,-$I$6*(Sheet1!CG242-Sheet1!CG241)*7.48/1000000)</f>
        <v>4.4924880000000635E-3</v>
      </c>
      <c r="J240" s="96" t="s">
        <v>186</v>
      </c>
      <c r="K240" s="95">
        <f ca="1">IF(B240=TODAY(),0,-$K$6*(Sheet1!CH242-Sheet1!CH241)*7.48/1000000)</f>
        <v>6.6633203744584186E-3</v>
      </c>
      <c r="L240" s="96" t="s">
        <v>186</v>
      </c>
      <c r="M240" s="95">
        <f ca="1">IF(B240=TODAY(),0,-$M$6*(Sheet1!CI242-Sheet1!CI241)*7.48/1000000)</f>
        <v>1.7991508428027301E-2</v>
      </c>
      <c r="N240" s="95">
        <f ca="1">IF(B240=TODAY(),0,-$N$6*(Sheet1!CJ242-Sheet1!CJ241)*7.48/1000000)</f>
        <v>0.37231407236774317</v>
      </c>
      <c r="O240" s="95">
        <f t="shared" ca="1" si="28"/>
        <v>1.1696883447537463</v>
      </c>
      <c r="P240" s="95">
        <f ca="1">O240+Calculation!ES240</f>
        <v>8.6527054493998357</v>
      </c>
      <c r="Q240" s="90" t="str">
        <f>IF(Sheet1!BQ242&gt;25.75,"spill elevation","-")</f>
        <v>-</v>
      </c>
      <c r="R240" s="90" t="str">
        <f>IF(Sheet1!BQ242&gt;25.75,"spill elevation","-")</f>
        <v>-</v>
      </c>
      <c r="S240" s="90" t="str">
        <f>IF(Sheet1!BR242&gt;25.75,"spill elevation","-")</f>
        <v>-</v>
      </c>
      <c r="T240" s="94">
        <f>IF(Sheet1!DU242=1,Sheet1!AA242-(SUM(AT240:BA240)+BE240),Sheet1!AA242-SUM(AT240:BA240))</f>
        <v>55.306336000000002</v>
      </c>
      <c r="U240" s="94">
        <f>Sheet1!BV242</f>
        <v>72.8</v>
      </c>
      <c r="V240" s="94">
        <f t="shared" si="29"/>
        <v>-17.493663999999995</v>
      </c>
      <c r="W240" s="94">
        <f>0</f>
        <v>0</v>
      </c>
      <c r="X240" s="90">
        <f>0</f>
        <v>0</v>
      </c>
      <c r="Y240" s="95">
        <f ca="1">Calculation!EJ241+Calculation!ES240+'Calculations II'!O240-'Calculations II'!W240</f>
        <v>92.892705449399855</v>
      </c>
      <c r="Z240" s="95">
        <f ca="1">Y240-Sheet1!CT243</f>
        <v>75.907705449399856</v>
      </c>
      <c r="AA240" s="95">
        <f ca="1">Y240+Calculation!DJ241+Calculation!AS241</f>
        <v>111.6610073361923</v>
      </c>
      <c r="AC240" s="95">
        <f>Sheet1!AA242+Sheet1!AB242+BC240</f>
        <v>77.38</v>
      </c>
      <c r="AD240" s="95">
        <f>Sheet1!AA242+Sheet1!BN242+'Calculations II'!BC240-Calculation!AS240-Calculation!DJ240</f>
        <v>39.270190735694825</v>
      </c>
      <c r="AE240" s="95">
        <f>Sheet1!AA242+Sheet1!AB242+'Calculations II'!BC240-Calculation!AS240-Calculation!DJ240</f>
        <v>58.320190735694823</v>
      </c>
      <c r="AF240" s="95">
        <f ca="1">Sheet1!AA242+Sheet1!BN242+P240+'Calculations II'!BC240+Calculation!AS240+Calculation!DJ240</f>
        <v>86.042514713705003</v>
      </c>
      <c r="AG240" s="95">
        <f ca="1">IF(B240=TODAY(),0,Sheet1!AA242+Sheet1!BN242+'Calculations II'!BC240+'Calculations II'!P240-Sheet1!CT242-BP240)</f>
        <v>50.433705449399831</v>
      </c>
      <c r="AH240" s="95">
        <f ca="1">IF(B240=TODAY(),0,Sheet1!AA242+Sheet1!BN242+'Calculations II'!BC240+'Calculations II'!P240-BP240)</f>
        <v>66.98270544939983</v>
      </c>
      <c r="AI240" s="95">
        <f ca="1">IF(B240=TODAY(),0,BC240+Sheet1!AA242+Calculation!ES240+O240+W240+Sheet1!BN242+Calculation!AS240+Calculation!DJ240-BP240)</f>
        <v>86.042514713705017</v>
      </c>
      <c r="AJ240" s="95"/>
      <c r="AM240" s="91">
        <f t="shared" si="30"/>
        <v>41868</v>
      </c>
      <c r="AN240" s="95">
        <f>Sheet1!BU242</f>
        <v>56.3</v>
      </c>
      <c r="AO240" s="95">
        <f>Sheet1!AA242</f>
        <v>59.33</v>
      </c>
      <c r="AP240" s="95">
        <f t="shared" si="25"/>
        <v>-7.3820500000000031</v>
      </c>
      <c r="AQ240" s="1055">
        <f>((Sheet1!BV242-(Sheet1!BU242-AP240))/(Sheet1!BU242-AP240))</f>
        <v>0.1431792789333885</v>
      </c>
      <c r="AR240" s="95">
        <f t="shared" si="26"/>
        <v>66.712050000000005</v>
      </c>
      <c r="AS240" s="95">
        <f t="shared" si="27"/>
        <v>63.682050000000004</v>
      </c>
      <c r="AT240" s="90">
        <f>Sheet1!BB242</f>
        <v>1.6</v>
      </c>
      <c r="AU240" s="90">
        <f>Sheet1!AS242*GPMtoMGD</f>
        <v>3.3120000000000004E-2</v>
      </c>
      <c r="AV240" s="95">
        <f>Sheet1!AT242</f>
        <v>0</v>
      </c>
      <c r="AW240" s="90">
        <f>Sheet1!AV242*GPMtoMGD</f>
        <v>1.339056</v>
      </c>
      <c r="AX240" s="90">
        <f>Sheet1!AW242*GPMtoMGD</f>
        <v>0.97344000000000008</v>
      </c>
      <c r="AY240" s="90">
        <f>Sheet1!AX242*GPMtoMGD</f>
        <v>7.8048000000000006E-2</v>
      </c>
      <c r="AZ240" s="90">
        <f>Sheet1!AY242*GPMtoMGD</f>
        <v>0</v>
      </c>
      <c r="BA240" s="90">
        <f>Sheet1!AZ242*GPMtoMGD</f>
        <v>0</v>
      </c>
      <c r="BB240" s="90">
        <f>Sheet1!BP242*GPMtoMGD</f>
        <v>0</v>
      </c>
      <c r="BC240" s="90">
        <f>Sheet1!CS242*GPMtoMGD</f>
        <v>0</v>
      </c>
      <c r="BD240" s="90">
        <f>Sheet1!BO242*GPMtoMGD</f>
        <v>3.3730560000000005</v>
      </c>
      <c r="BE240" s="90">
        <f>Sheet1!BW242*GPMtoMGD</f>
        <v>1.7323200000000001</v>
      </c>
      <c r="BF240" s="90">
        <f>Sheet1!CN242*GPMtoMGD</f>
        <v>1.7280000000000002</v>
      </c>
      <c r="BG240" s="90">
        <f>Sheet1!CO242*GPMtoMGD</f>
        <v>1.275984</v>
      </c>
      <c r="BH240" s="90">
        <f>Sheet1!CP242*GPMtoMGD</f>
        <v>0.95644800000000008</v>
      </c>
      <c r="BI240" s="90">
        <f t="shared" si="31"/>
        <v>3.3730560000000005</v>
      </c>
      <c r="BK240" s="95">
        <f>SUM(AT240:BA240,BE240,Sheet1!BV242,'Calculations II'!BC240,Calculation!AQ240)</f>
        <v>77.572332773841964</v>
      </c>
      <c r="BM240" s="373">
        <f>0</f>
        <v>0</v>
      </c>
      <c r="BN240" s="373">
        <f>0</f>
        <v>0</v>
      </c>
      <c r="BP240" s="95">
        <f>SUM(BM240:BN240,W240,Sheet1!DX242)</f>
        <v>0</v>
      </c>
    </row>
    <row r="241" spans="1:68" s="90" customFormat="1">
      <c r="A241" s="651" t="s">
        <v>4</v>
      </c>
      <c r="B241" s="92">
        <v>41869</v>
      </c>
      <c r="C241" s="93">
        <v>0</v>
      </c>
      <c r="D241" s="95">
        <f>(Sheet1!BQ243-Sheet1!BQ242)*1.385</f>
        <v>-2.0082500000000039</v>
      </c>
      <c r="E241" s="30">
        <f>(Sheet1!BR243-Sheet1!BR242)*1.385</f>
        <v>-1.9389999999999981</v>
      </c>
      <c r="F241" s="30">
        <f ca="1">IF(B241=TODAY(),0,-(VLOOKUP(Sheet1!CD243,Lookup!$I$4:$J$216,2)-VLOOKUP(Sheet1!CD242,Lookup!$I$4:$J$216,2))/1000000)</f>
        <v>0.31091081564339623</v>
      </c>
      <c r="G241" s="95">
        <f ca="1">IF(B241=TODAY(),0,-$G$6*(Sheet1!CF243-Sheet1!CF242)*7.48/1000000)</f>
        <v>-7.9427002105118313E-2</v>
      </c>
      <c r="H241" s="95">
        <f ca="1">IF(B241=TODAY(),0,-$H$6*(Sheet1!CE243-Sheet1!CE242)*7.48/1000000)</f>
        <v>0.42110410583542179</v>
      </c>
      <c r="I241" s="95">
        <f ca="1">IF(B241=TODAY(),0,-$I$6*(Sheet1!CG243-Sheet1!CG242)*7.48/1000000)</f>
        <v>2.2462440000000004E-2</v>
      </c>
      <c r="J241" s="96" t="s">
        <v>186</v>
      </c>
      <c r="K241" s="95">
        <f ca="1">IF(B241=TODAY(),0,-$K$6*(Sheet1!CH243-Sheet1!CH242)*7.48/1000000)</f>
        <v>3.9979922246750753E-2</v>
      </c>
      <c r="L241" s="96" t="s">
        <v>186</v>
      </c>
      <c r="M241" s="95">
        <f ca="1">IF(B241=TODAY(),0,-$M$6*(Sheet1!CI243-Sheet1!CI242)*7.48/1000000)</f>
        <v>0.16192357585224318</v>
      </c>
      <c r="N241" s="95">
        <f ca="1">IF(B241=TODAY(),0,-$N$6*(Sheet1!CJ243-Sheet1!CJ242)*7.48/1000000)</f>
        <v>0</v>
      </c>
      <c r="O241" s="95">
        <f t="shared" ca="1" si="28"/>
        <v>0.8769538574726935</v>
      </c>
      <c r="P241" s="95">
        <f ca="1">O241+Calculation!ES241</f>
        <v>4.8917628520594993</v>
      </c>
      <c r="Q241" s="90" t="str">
        <f>IF(Sheet1!BQ243&gt;25.75,"spill elevation","-")</f>
        <v>-</v>
      </c>
      <c r="R241" s="90" t="str">
        <f>IF(Sheet1!BQ243&gt;25.75,"spill elevation","-")</f>
        <v>-</v>
      </c>
      <c r="S241" s="90" t="str">
        <f>IF(Sheet1!BR243&gt;25.75,"spill elevation","-")</f>
        <v>-</v>
      </c>
      <c r="T241" s="94">
        <f>IF(Sheet1!DU243=1,Sheet1!AA243-(SUM(AT241:BA241)+BE241),Sheet1!AA243-SUM(AT241:BA241))</f>
        <v>53.652383999999998</v>
      </c>
      <c r="U241" s="94">
        <f>Sheet1!BV243</f>
        <v>68.099999999999994</v>
      </c>
      <c r="V241" s="94">
        <f t="shared" si="29"/>
        <v>-14.447615999999996</v>
      </c>
      <c r="W241" s="94">
        <f>0</f>
        <v>0</v>
      </c>
      <c r="X241" s="90">
        <f>0</f>
        <v>0</v>
      </c>
      <c r="Y241" s="95">
        <f ca="1">Calculation!EJ242+Calculation!ES241+'Calculations II'!O241-'Calculations II'!W241</f>
        <v>93.374226852059508</v>
      </c>
      <c r="Z241" s="95">
        <f ca="1">Y241-Sheet1!CT244</f>
        <v>76.189226852059505</v>
      </c>
      <c r="AA241" s="95">
        <f ca="1">Y241+Calculation!DJ242+Calculation!AS242</f>
        <v>112.2249623865479</v>
      </c>
      <c r="AC241" s="95">
        <f>Sheet1!AA243+Sheet1!AB243+BC241</f>
        <v>84.240000000000009</v>
      </c>
      <c r="AD241" s="95">
        <f>Sheet1!AA243+Sheet1!BN243+'Calculations II'!BC241-Calculation!AS241-Calculation!DJ241</f>
        <v>46.921698113207555</v>
      </c>
      <c r="AE241" s="95">
        <f>Sheet1!AA243+Sheet1!AB243+'Calculations II'!BC241-Calculation!AS241-Calculation!DJ241</f>
        <v>65.471698113207566</v>
      </c>
      <c r="AF241" s="95">
        <f ca="1">Sheet1!AA243+Sheet1!BN243+P241+'Calculations II'!BC241+Calculation!AS241+Calculation!DJ241</f>
        <v>89.350064738851941</v>
      </c>
      <c r="AG241" s="95">
        <f ca="1">IF(B241=TODAY(),0,Sheet1!AA243+Sheet1!BN243+'Calculations II'!BC241+'Calculations II'!P241-Sheet1!CT243-BP241)</f>
        <v>53.596762852059499</v>
      </c>
      <c r="AH241" s="95">
        <f ca="1">IF(B241=TODAY(),0,Sheet1!AA243+Sheet1!BN243+'Calculations II'!BC241+'Calculations II'!P241-BP241)</f>
        <v>70.581762852059498</v>
      </c>
      <c r="AI241" s="95">
        <f ca="1">IF(B241=TODAY(),0,BC241+Sheet1!AA243+Calculation!ES241+O241+W241+Sheet1!BN243+Calculation!AS241+Calculation!DJ241-BP241)</f>
        <v>89.350064738851941</v>
      </c>
      <c r="AJ241" s="95"/>
      <c r="AM241" s="91">
        <f t="shared" si="30"/>
        <v>41869</v>
      </c>
      <c r="AN241" s="95">
        <f>Sheet1!BU243</f>
        <v>55.2</v>
      </c>
      <c r="AO241" s="95">
        <f>Sheet1!AA243</f>
        <v>58.39</v>
      </c>
      <c r="AP241" s="95">
        <f t="shared" si="25"/>
        <v>-3.9472500000000021</v>
      </c>
      <c r="AQ241" s="1055">
        <f>((Sheet1!BV243-(Sheet1!BU243-AP241))/(Sheet1!BU243-AP241))</f>
        <v>0.1513637574020768</v>
      </c>
      <c r="AR241" s="95">
        <f t="shared" si="26"/>
        <v>62.337250000000004</v>
      </c>
      <c r="AS241" s="95">
        <f t="shared" si="27"/>
        <v>59.147250000000007</v>
      </c>
      <c r="AT241" s="90">
        <f>Sheet1!BB243</f>
        <v>1.6</v>
      </c>
      <c r="AU241" s="90">
        <f>Sheet1!AS243*GPMtoMGD</f>
        <v>3.3552000000000005E-2</v>
      </c>
      <c r="AV241" s="95">
        <f>Sheet1!AT243</f>
        <v>0</v>
      </c>
      <c r="AW241" s="90">
        <f>Sheet1!AV243*GPMtoMGD</f>
        <v>1.7629920000000001</v>
      </c>
      <c r="AX241" s="90">
        <f>Sheet1!AW243*GPMtoMGD</f>
        <v>1.2520800000000001</v>
      </c>
      <c r="AY241" s="90">
        <f>Sheet1!AX243*GPMtoMGD</f>
        <v>8.8992000000000002E-2</v>
      </c>
      <c r="AZ241" s="90">
        <f>Sheet1!AY243*GPMtoMGD</f>
        <v>0</v>
      </c>
      <c r="BA241" s="90">
        <f>Sheet1!AZ243*GPMtoMGD</f>
        <v>0</v>
      </c>
      <c r="BB241" s="90">
        <f>Sheet1!BP243*GPMtoMGD</f>
        <v>4.7664000000000005E-2</v>
      </c>
      <c r="BC241" s="90">
        <f>Sheet1!CS243*GPMtoMGD</f>
        <v>0</v>
      </c>
      <c r="BD241" s="90">
        <f>Sheet1!BO243*GPMtoMGD</f>
        <v>3.2088960000000002</v>
      </c>
      <c r="BE241" s="90">
        <f>Sheet1!BW243*GPMtoMGD</f>
        <v>1.7568000000000001</v>
      </c>
      <c r="BF241" s="90">
        <f>Sheet1!CN243*GPMtoMGD</f>
        <v>1.7280000000000002</v>
      </c>
      <c r="BG241" s="90">
        <f>Sheet1!CO243*GPMtoMGD</f>
        <v>1.3629600000000002</v>
      </c>
      <c r="BH241" s="90">
        <f>Sheet1!CP243*GPMtoMGD</f>
        <v>0.99979200000000001</v>
      </c>
      <c r="BI241" s="90">
        <f t="shared" si="31"/>
        <v>3.2565600000000003</v>
      </c>
      <c r="BK241" s="95">
        <f>SUM(AT241:BA241,BE241,Sheet1!BV243,'Calculations II'!BC241,Calculation!AQ241)</f>
        <v>81.715359396226404</v>
      </c>
      <c r="BM241" s="373">
        <f>0</f>
        <v>0</v>
      </c>
      <c r="BN241" s="373">
        <f>0</f>
        <v>0</v>
      </c>
      <c r="BP241" s="95">
        <f>SUM(BM241:BN241,W241,Sheet1!DX243)</f>
        <v>0</v>
      </c>
    </row>
    <row r="242" spans="1:68" s="90" customFormat="1">
      <c r="A242" s="651" t="s">
        <v>5</v>
      </c>
      <c r="B242" s="92">
        <v>41870</v>
      </c>
      <c r="C242" s="93">
        <v>0</v>
      </c>
      <c r="D242" s="95">
        <f>(Sheet1!BQ244-Sheet1!BQ243)*1.385</f>
        <v>1.869750000000002</v>
      </c>
      <c r="E242" s="30">
        <f>(Sheet1!BR244-Sheet1!BR243)*1.385</f>
        <v>1.8420499999999977</v>
      </c>
      <c r="F242" s="30">
        <f ca="1">IF(B242=TODAY(),0,-(VLOOKUP(Sheet1!CD244,Lookup!$I$4:$J$216,2)-VLOOKUP(Sheet1!CD243,Lookup!$I$4:$J$216,2))/1000000)</f>
        <v>2.4872865251472072</v>
      </c>
      <c r="G242" s="95">
        <f ca="1">IF(B242=TODAY(),0,-$G$6*(Sheet1!CF244-Sheet1!CF243)*7.48/1000000)</f>
        <v>-0.39713501052559297</v>
      </c>
      <c r="H242" s="95">
        <f ca="1">IF(B242=TODAY(),0,-$H$6*(Sheet1!CE244-Sheet1!CE243)*7.48/1000000)</f>
        <v>-0.31582807937656593</v>
      </c>
      <c r="I242" s="95">
        <f ca="1">IF(B242=TODAY(),0,-$I$6*(Sheet1!CG244-Sheet1!CG243)*7.48/1000000)</f>
        <v>3.1447415999999971E-2</v>
      </c>
      <c r="J242" s="96" t="s">
        <v>186</v>
      </c>
      <c r="K242" s="95">
        <f ca="1">IF(B242=TODAY(),0,-$K$6*(Sheet1!CH244-Sheet1!CH243)*7.48/1000000)</f>
        <v>5.9969883370125883E-2</v>
      </c>
      <c r="L242" s="96" t="s">
        <v>186</v>
      </c>
      <c r="M242" s="95">
        <f ca="1">IF(B242=TODAY(),0,-$M$6*(Sheet1!CI244-Sheet1!CI243)*7.48/1000000)</f>
        <v>8.9957542140135238E-2</v>
      </c>
      <c r="N242" s="95">
        <f ca="1">IF(B242=TODAY(),0,-$N$6*(Sheet1!CJ244-Sheet1!CJ243)*7.48/1000000)</f>
        <v>0.68257579934086265</v>
      </c>
      <c r="O242" s="95">
        <f t="shared" ca="1" si="28"/>
        <v>2.638274076096172</v>
      </c>
      <c r="P242" s="95">
        <f ca="1">O242+Calculation!ES242</f>
        <v>-1.2380437353120461</v>
      </c>
      <c r="Q242" s="90" t="str">
        <f>IF(Sheet1!BQ244&gt;25.75,"spill elevation","-")</f>
        <v>-</v>
      </c>
      <c r="R242" s="90" t="str">
        <f>IF(Sheet1!BQ244&gt;25.75,"spill elevation","-")</f>
        <v>-</v>
      </c>
      <c r="S242" s="90" t="str">
        <f>IF(Sheet1!BR244&gt;25.75,"spill elevation","-")</f>
        <v>-</v>
      </c>
      <c r="T242" s="94">
        <f>IF(Sheet1!DU244=1,Sheet1!AA244-(SUM(AT242:BA242)+BE242),Sheet1!AA244-SUM(AT242:BA242))</f>
        <v>53.671840000000003</v>
      </c>
      <c r="U242" s="94">
        <f>Sheet1!BV244</f>
        <v>60.2</v>
      </c>
      <c r="V242" s="94">
        <f t="shared" si="29"/>
        <v>-6.5281599999999997</v>
      </c>
      <c r="W242" s="94">
        <f>0</f>
        <v>0</v>
      </c>
      <c r="X242" s="90">
        <f>0</f>
        <v>0</v>
      </c>
      <c r="Y242" s="95">
        <f ca="1">Calculation!EJ243+Calculation!ES242+'Calculations II'!O242-'Calculations II'!W242</f>
        <v>86.661956264687959</v>
      </c>
      <c r="Z242" s="95">
        <f ca="1">Y242-Sheet1!CT245</f>
        <v>68.507956264687962</v>
      </c>
      <c r="AA242" s="95">
        <f ca="1">Y242+Calculation!DJ243+Calculation!AS243</f>
        <v>105.50852264794499</v>
      </c>
      <c r="AC242" s="95">
        <f>Sheet1!AA244+Sheet1!AB244+BC242</f>
        <v>88.482464000000007</v>
      </c>
      <c r="AD242" s="95">
        <f>Sheet1!AA244+Sheet1!BN244+'Calculations II'!BC242-Calculation!AS242-Calculation!DJ242</f>
        <v>51.03172846551162</v>
      </c>
      <c r="AE242" s="95">
        <f>Sheet1!AA244+Sheet1!AB244+'Calculations II'!BC242-Calculation!AS242-Calculation!DJ242</f>
        <v>69.631728465511614</v>
      </c>
      <c r="AF242" s="95">
        <f ca="1">Sheet1!AA244+Sheet1!BN244+P242+'Calculations II'!BC242+Calculation!AS242+Calculation!DJ242</f>
        <v>87.495155799176359</v>
      </c>
      <c r="AG242" s="95">
        <f ca="1">IF(B242=TODAY(),0,Sheet1!AA244+Sheet1!BN244+'Calculations II'!BC242+'Calculations II'!P242-Sheet1!CT244-BP242)</f>
        <v>51.459420264687964</v>
      </c>
      <c r="AH242" s="95">
        <f ca="1">IF(B242=TODAY(),0,Sheet1!AA244+Sheet1!BN244+'Calculations II'!BC242+'Calculations II'!P242-BP242)</f>
        <v>68.644420264687966</v>
      </c>
      <c r="AI242" s="95">
        <f ca="1">IF(B242=TODAY(),0,BC242+Sheet1!AA244+Calculation!ES242+O242+W242+Sheet1!BN244+Calculation!AS242+Calculation!DJ242-BP242)</f>
        <v>87.495155799176345</v>
      </c>
      <c r="AJ242" s="95"/>
      <c r="AM242" s="91">
        <f t="shared" si="30"/>
        <v>41870</v>
      </c>
      <c r="AN242" s="95">
        <f>Sheet1!BU244</f>
        <v>55.3</v>
      </c>
      <c r="AO242" s="95">
        <f>Sheet1!AA244</f>
        <v>57.92</v>
      </c>
      <c r="AP242" s="95">
        <f t="shared" si="25"/>
        <v>3.7117999999999998</v>
      </c>
      <c r="AQ242" s="1055">
        <f>((Sheet1!BV244-(Sheet1!BU244-AP242))/(Sheet1!BU244-AP242))</f>
        <v>0.16693352355771285</v>
      </c>
      <c r="AR242" s="95">
        <f t="shared" si="26"/>
        <v>54.208200000000005</v>
      </c>
      <c r="AS242" s="95">
        <f t="shared" si="27"/>
        <v>51.588200000000001</v>
      </c>
      <c r="AT242" s="90">
        <f>Sheet1!BB244</f>
        <v>1.6</v>
      </c>
      <c r="AU242" s="90">
        <f>Sheet1!AS244*GPMtoMGD</f>
        <v>1.7136000000000002E-2</v>
      </c>
      <c r="AV242" s="95">
        <f>Sheet1!AT244</f>
        <v>0</v>
      </c>
      <c r="AW242" s="90">
        <f>Sheet1!AV244*GPMtoMGD</f>
        <v>1.6210080000000002</v>
      </c>
      <c r="AX242" s="90">
        <f>Sheet1!AW244*GPMtoMGD</f>
        <v>0.94262400000000013</v>
      </c>
      <c r="AY242" s="90">
        <f>Sheet1!AX244*GPMtoMGD</f>
        <v>6.7391999999999994E-2</v>
      </c>
      <c r="AZ242" s="90">
        <f>Sheet1!AY244*GPMtoMGD</f>
        <v>0</v>
      </c>
      <c r="BA242" s="90">
        <f>Sheet1!AZ244*GPMtoMGD</f>
        <v>0</v>
      </c>
      <c r="BB242" s="90">
        <f>Sheet1!BP244*GPMtoMGD</f>
        <v>0</v>
      </c>
      <c r="BC242" s="90">
        <f>Sheet1!CS244*GPMtoMGD</f>
        <v>0.56246400000000008</v>
      </c>
      <c r="BD242" s="90">
        <f>Sheet1!BO244*GPMtoMGD</f>
        <v>3.1538879999999998</v>
      </c>
      <c r="BE242" s="90">
        <f>Sheet1!BW244*GPMtoMGD</f>
        <v>1.6464960000000002</v>
      </c>
      <c r="BF242" s="90">
        <f>Sheet1!CN244*GPMtoMGD</f>
        <v>1.7280000000000002</v>
      </c>
      <c r="BG242" s="90">
        <f>Sheet1!CO244*GPMtoMGD</f>
        <v>1.2589920000000001</v>
      </c>
      <c r="BH242" s="90">
        <f>Sheet1!CP244*GPMtoMGD</f>
        <v>0.98092800000000013</v>
      </c>
      <c r="BI242" s="90">
        <f t="shared" si="31"/>
        <v>3.1538879999999998</v>
      </c>
      <c r="BK242" s="95">
        <f>SUM(AT242:BA242,BE242,Sheet1!BV244,'Calculations II'!BC242,Calculation!AQ242)</f>
        <v>77.837244223602497</v>
      </c>
      <c r="BM242" s="373">
        <f>0</f>
        <v>0</v>
      </c>
      <c r="BN242" s="373">
        <f>0</f>
        <v>0</v>
      </c>
      <c r="BP242" s="95">
        <f>SUM(BM242:BN242,W242,Sheet1!DX244)</f>
        <v>0</v>
      </c>
    </row>
    <row r="243" spans="1:68" s="90" customFormat="1">
      <c r="A243" s="651" t="s">
        <v>6</v>
      </c>
      <c r="B243" s="92">
        <v>41871</v>
      </c>
      <c r="C243" s="93">
        <v>0</v>
      </c>
      <c r="D243" s="95">
        <f>(Sheet1!BQ245-Sheet1!BQ244)*1.385</f>
        <v>0.96949999999999903</v>
      </c>
      <c r="E243" s="30">
        <f>(Sheet1!BR245-Sheet1!BR244)*1.385</f>
        <v>0.98335000000000117</v>
      </c>
      <c r="F243" s="30">
        <f ca="1">IF(B243=TODAY(),0,-(VLOOKUP(Sheet1!CD245,Lookup!$I$4:$J$216,2)-VLOOKUP(Sheet1!CD244,Lookup!$I$4:$J$216,2))/1000000)</f>
        <v>1.1400063240257985</v>
      </c>
      <c r="G243" s="95">
        <f ca="1">IF(B243=TODAY(),0,-$G$6*(Sheet1!CF245-Sheet1!CF244)*7.48/1000000)</f>
        <v>-0.15885400421023663</v>
      </c>
      <c r="H243" s="95">
        <f ca="1">IF(B243=TODAY(),0,-$H$6*(Sheet1!CE245-Sheet1!CE244)*7.48/1000000)</f>
        <v>-0.16543375586391587</v>
      </c>
      <c r="I243" s="95">
        <f ca="1">IF(B243=TODAY(),0,-$I$6*(Sheet1!CG245-Sheet1!CG244)*7.48/1000000)</f>
        <v>-8.9849760000000074E-3</v>
      </c>
      <c r="J243" s="96" t="s">
        <v>186</v>
      </c>
      <c r="K243" s="95">
        <f ca="1">IF(B243=TODAY(),0,-$K$6*(Sheet1!CH245-Sheet1!CH244)*7.48/1000000)</f>
        <v>-1.9989961123375255E-2</v>
      </c>
      <c r="L243" s="96" t="s">
        <v>186</v>
      </c>
      <c r="M243" s="95">
        <f ca="1">IF(B243=TODAY(),0,-$M$6*(Sheet1!CI245-Sheet1!CI244)*7.48/1000000)</f>
        <v>-3.598301685605397E-2</v>
      </c>
      <c r="N243" s="95">
        <f ca="1">IF(B243=TODAY(),0,-$N$6*(Sheet1!CJ245-Sheet1!CJ244)*7.48/1000000)</f>
        <v>0.2233884434206457</v>
      </c>
      <c r="O243" s="95">
        <f t="shared" ca="1" si="28"/>
        <v>0.97414905339286251</v>
      </c>
      <c r="P243" s="95">
        <f ca="1">O243+Calculation!ES243</f>
        <v>-0.96495181637114125</v>
      </c>
      <c r="Q243" s="90" t="str">
        <f>IF(Sheet1!BQ245&gt;25.75,"spill elevation","-")</f>
        <v>-</v>
      </c>
      <c r="R243" s="90" t="str">
        <f>IF(Sheet1!BQ245&gt;25.75,"spill elevation","-")</f>
        <v>-</v>
      </c>
      <c r="S243" s="90" t="str">
        <f>IF(Sheet1!BR245&gt;25.75,"spill elevation","-")</f>
        <v>-</v>
      </c>
      <c r="T243" s="94">
        <f>IF(Sheet1!DU245=1,Sheet1!AA245-(SUM(AT243:BA243)+BE243),Sheet1!AA245-SUM(AT243:BA243))</f>
        <v>53.973680000000002</v>
      </c>
      <c r="U243" s="94">
        <f>Sheet1!BV245</f>
        <v>62.1</v>
      </c>
      <c r="V243" s="94">
        <f t="shared" si="29"/>
        <v>-8.1263199999999998</v>
      </c>
      <c r="W243" s="94">
        <f>0</f>
        <v>0</v>
      </c>
      <c r="X243" s="90">
        <f>0</f>
        <v>0</v>
      </c>
      <c r="Y243" s="95">
        <f ca="1">Calculation!EJ244+Calculation!ES243+'Calculations II'!O243-'Calculations II'!W243</f>
        <v>86.805048183628855</v>
      </c>
      <c r="Z243" s="95">
        <f ca="1">Y243-Sheet1!CT246</f>
        <v>67.083048183628847</v>
      </c>
      <c r="AA243" s="95">
        <f ca="1">Y243+Calculation!DJ244+Calculation!AS244</f>
        <v>105.57330891078246</v>
      </c>
      <c r="AC243" s="95">
        <f>Sheet1!AA245+Sheet1!AB245+BC243</f>
        <v>87.9</v>
      </c>
      <c r="AD243" s="95">
        <f>Sheet1!AA245+Sheet1!BN245+'Calculations II'!BC243-Calculation!AS243-Calculation!DJ243</f>
        <v>50.45343361674297</v>
      </c>
      <c r="AE243" s="95">
        <f>Sheet1!AA245+Sheet1!AB245+'Calculations II'!BC243-Calculation!AS243-Calculation!DJ243</f>
        <v>69.053433616742979</v>
      </c>
      <c r="AF243" s="95">
        <f ca="1">Sheet1!AA245+Sheet1!BN245+P243+'Calculations II'!BC243+Calculation!AS243+Calculation!DJ243</f>
        <v>87.181614566885884</v>
      </c>
      <c r="AG243" s="95">
        <f ca="1">IF(B243=TODAY(),0,Sheet1!AA245+Sheet1!BN245+'Calculations II'!BC243+'Calculations II'!P243-Sheet1!CT245-BP243)</f>
        <v>50.18104818362886</v>
      </c>
      <c r="AH243" s="95">
        <f ca="1">IF(B243=TODAY(),0,Sheet1!AA245+Sheet1!BN245+'Calculations II'!BC243+'Calculations II'!P243-BP243)</f>
        <v>68.335048183628857</v>
      </c>
      <c r="AI243" s="95">
        <f ca="1">IF(B243=TODAY(),0,BC243+Sheet1!AA245+Calculation!ES243+O243+W243+Sheet1!BN245+Calculation!AS243+Calculation!DJ243-BP243)</f>
        <v>87.181614566885884</v>
      </c>
      <c r="AJ243" s="95"/>
      <c r="AM243" s="91">
        <f t="shared" si="30"/>
        <v>41871</v>
      </c>
      <c r="AN243" s="95">
        <f>Sheet1!BU245</f>
        <v>55.5</v>
      </c>
      <c r="AO243" s="95">
        <f>Sheet1!AA245</f>
        <v>57.9</v>
      </c>
      <c r="AP243" s="95">
        <f t="shared" si="25"/>
        <v>1.9528500000000002</v>
      </c>
      <c r="AQ243" s="1055">
        <f>((Sheet1!BV245-(Sheet1!BU245-AP243))/(Sheet1!BU245-AP243))</f>
        <v>0.15972558763631675</v>
      </c>
      <c r="AR243" s="95">
        <f t="shared" si="26"/>
        <v>55.947150000000001</v>
      </c>
      <c r="AS243" s="95">
        <f t="shared" si="27"/>
        <v>53.547150000000002</v>
      </c>
      <c r="AT243" s="90">
        <f>Sheet1!BB245</f>
        <v>1.6</v>
      </c>
      <c r="AU243" s="90">
        <f>Sheet1!AS245*GPMtoMGD</f>
        <v>3.2975999999999998E-2</v>
      </c>
      <c r="AV243" s="95">
        <f>Sheet1!AT245</f>
        <v>0</v>
      </c>
      <c r="AW243" s="90">
        <f>Sheet1!AV245*GPMtoMGD</f>
        <v>1.3233600000000001</v>
      </c>
      <c r="AX243" s="90">
        <f>Sheet1!AW245*GPMtoMGD</f>
        <v>0.879552</v>
      </c>
      <c r="AY243" s="90">
        <f>Sheet1!AX245*GPMtoMGD</f>
        <v>9.0431999999999998E-2</v>
      </c>
      <c r="AZ243" s="90">
        <f>Sheet1!AY245*GPMtoMGD</f>
        <v>0</v>
      </c>
      <c r="BA243" s="90">
        <f>Sheet1!AZ245*GPMtoMGD</f>
        <v>0</v>
      </c>
      <c r="BB243" s="90">
        <f>Sheet1!BP245*GPMtoMGD</f>
        <v>0</v>
      </c>
      <c r="BC243" s="90">
        <f>Sheet1!CS245*GPMtoMGD</f>
        <v>0</v>
      </c>
      <c r="BD243" s="90">
        <f>Sheet1!BO245*GPMtoMGD</f>
        <v>3.2431679999999998</v>
      </c>
      <c r="BE243" s="90">
        <f>Sheet1!BW245*GPMtoMGD</f>
        <v>1.6953120000000002</v>
      </c>
      <c r="BF243" s="90">
        <f>Sheet1!CN245*GPMtoMGD</f>
        <v>1.7280000000000002</v>
      </c>
      <c r="BG243" s="90">
        <f>Sheet1!CO245*GPMtoMGD</f>
        <v>1.24272</v>
      </c>
      <c r="BH243" s="90">
        <f>Sheet1!CP245*GPMtoMGD</f>
        <v>1.054656</v>
      </c>
      <c r="BI243" s="90">
        <f t="shared" si="31"/>
        <v>3.2431679999999998</v>
      </c>
      <c r="BK243" s="95">
        <f>SUM(AT243:BA243,BE243,Sheet1!BV245,'Calculations II'!BC243,Calculation!AQ243)</f>
        <v>78.905412248528449</v>
      </c>
      <c r="BM243" s="373">
        <f>0</f>
        <v>0</v>
      </c>
      <c r="BN243" s="373">
        <f>0</f>
        <v>0</v>
      </c>
      <c r="BP243" s="95">
        <f>SUM(BM243:BN243,W243,Sheet1!DX245)</f>
        <v>0</v>
      </c>
    </row>
    <row r="244" spans="1:68" s="90" customFormat="1">
      <c r="A244" s="651" t="s">
        <v>7</v>
      </c>
      <c r="B244" s="92">
        <v>41872</v>
      </c>
      <c r="C244" s="93">
        <v>0</v>
      </c>
      <c r="D244" s="95">
        <f>(Sheet1!BQ246-Sheet1!BQ245)*1.385</f>
        <v>-0.6925</v>
      </c>
      <c r="E244" s="30">
        <f>(Sheet1!BR246-Sheet1!BR245)*1.385</f>
        <v>-0.7201999999999994</v>
      </c>
      <c r="F244" s="30">
        <f ca="1">IF(B244=TODAY(),0,-(VLOOKUP(Sheet1!CD246,Lookup!$I$4:$J$216,2)-VLOOKUP(Sheet1!CD245,Lookup!$I$4:$J$216,2))/1000000)</f>
        <v>-0.51818469273899681</v>
      </c>
      <c r="G244" s="95">
        <f ca="1">IF(B244=TODAY(),0,-$G$6*(Sheet1!CF246-Sheet1!CF245)*7.48/1000000)</f>
        <v>0.19856750526279648</v>
      </c>
      <c r="H244" s="95">
        <f ca="1">IF(B244=TODAY(),0,-$H$6*(Sheet1!CE246-Sheet1!CE245)*7.48/1000000)</f>
        <v>-6.0157729405060027E-2</v>
      </c>
      <c r="I244" s="95">
        <f ca="1">IF(B244=TODAY(),0,-$I$6*(Sheet1!CG246-Sheet1!CG245)*7.48/1000000)</f>
        <v>-3.1447415999999728E-3</v>
      </c>
      <c r="J244" s="96" t="s">
        <v>186</v>
      </c>
      <c r="K244" s="95">
        <f ca="1">IF(B244=TODAY(),0,-$K$6*(Sheet1!CH246-Sheet1!CH245)*7.48/1000000)</f>
        <v>0</v>
      </c>
      <c r="L244" s="96" t="s">
        <v>186</v>
      </c>
      <c r="M244" s="95">
        <f ca="1">IF(B244=TODAY(),0,-$M$6*(Sheet1!CI246-Sheet1!CI245)*7.48/1000000)</f>
        <v>-1.7991508428026663E-2</v>
      </c>
      <c r="N244" s="95">
        <f ca="1">IF(B244=TODAY(),0,-$N$6*(Sheet1!CJ246-Sheet1!CJ245)*7.48/1000000)</f>
        <v>-0.53365017039376517</v>
      </c>
      <c r="O244" s="95">
        <f t="shared" ca="1" si="28"/>
        <v>-0.93456133730305213</v>
      </c>
      <c r="P244" s="95">
        <f ca="1">O244+Calculation!ES244</f>
        <v>0.45057479959879965</v>
      </c>
      <c r="Q244" s="90" t="str">
        <f>IF(Sheet1!BQ246&gt;25.75,"spill elevation","-")</f>
        <v>-</v>
      </c>
      <c r="R244" s="90" t="str">
        <f>IF(Sheet1!BQ246&gt;25.75,"spill elevation","-")</f>
        <v>-</v>
      </c>
      <c r="S244" s="90" t="str">
        <f>IF(Sheet1!BR246&gt;25.75,"spill elevation","-")</f>
        <v>-</v>
      </c>
      <c r="T244" s="94">
        <f>IF(Sheet1!DU246=1,Sheet1!AA246-(SUM(AT244:BA244)+BE244),Sheet1!AA246-SUM(AT244:BA244))</f>
        <v>53.481439999999999</v>
      </c>
      <c r="U244" s="94">
        <f>Sheet1!BV246</f>
        <v>65.400000000000006</v>
      </c>
      <c r="V244" s="94">
        <f t="shared" si="29"/>
        <v>-11.918560000000006</v>
      </c>
      <c r="W244" s="94">
        <f>0</f>
        <v>0</v>
      </c>
      <c r="X244" s="90">
        <f>0</f>
        <v>0</v>
      </c>
      <c r="Y244" s="95">
        <f ca="1">Calculation!EJ245+Calculation!ES244+'Calculations II'!O244-'Calculations II'!W244</f>
        <v>88.880574799598804</v>
      </c>
      <c r="Z244" s="95">
        <f ca="1">Y244-Sheet1!CT247</f>
        <v>70.953574799598812</v>
      </c>
      <c r="AA244" s="95">
        <f ca="1">Y244+Calculation!DJ245+Calculation!AS245</f>
        <v>107.72927547332354</v>
      </c>
      <c r="AC244" s="95">
        <f>Sheet1!AA246+Sheet1!AB246+BC244</f>
        <v>87.77</v>
      </c>
      <c r="AD244" s="95">
        <f>Sheet1!AA246+Sheet1!BN246+'Calculations II'!BC244-Calculation!AS244-Calculation!DJ244</f>
        <v>50.501739272846386</v>
      </c>
      <c r="AE244" s="95">
        <f>Sheet1!AA246+Sheet1!AB246+'Calculations II'!BC244-Calculation!AS244-Calculation!DJ244</f>
        <v>69.001739272846379</v>
      </c>
      <c r="AF244" s="95">
        <f ca="1">Sheet1!AA246+Sheet1!BN246+P244+'Calculations II'!BC244+Calculation!AS244+Calculation!DJ244</f>
        <v>88.48883552675241</v>
      </c>
      <c r="AG244" s="95">
        <f ca="1">IF(B244=TODAY(),0,Sheet1!AA246+Sheet1!BN246+'Calculations II'!BC244+'Calculations II'!P244-Sheet1!CT246-BP244)</f>
        <v>49.998574799598792</v>
      </c>
      <c r="AH244" s="95">
        <f ca="1">IF(B244=TODAY(),0,Sheet1!AA246+Sheet1!BN246+'Calculations II'!BC244+'Calculations II'!P244-BP244)</f>
        <v>69.720574799598793</v>
      </c>
      <c r="AI244" s="95">
        <f ca="1">IF(B244=TODAY(),0,BC244+Sheet1!AA246+Calculation!ES244+O244+W244+Sheet1!BN246+Calculation!AS244+Calculation!DJ244-BP244)</f>
        <v>88.48883552675241</v>
      </c>
      <c r="AJ244" s="95"/>
      <c r="AM244" s="91">
        <f t="shared" si="30"/>
        <v>41872</v>
      </c>
      <c r="AN244" s="95">
        <f>Sheet1!BU246</f>
        <v>55.1</v>
      </c>
      <c r="AO244" s="95">
        <f>Sheet1!AA246</f>
        <v>57.87</v>
      </c>
      <c r="AP244" s="95">
        <f t="shared" si="25"/>
        <v>-1.4126999999999994</v>
      </c>
      <c r="AQ244" s="1055">
        <f>((Sheet1!BV246-(Sheet1!BU246-AP244))/(Sheet1!BU246-AP244))</f>
        <v>0.15726199597612578</v>
      </c>
      <c r="AR244" s="95">
        <f t="shared" si="26"/>
        <v>59.282699999999998</v>
      </c>
      <c r="AS244" s="95">
        <f t="shared" si="27"/>
        <v>56.512700000000002</v>
      </c>
      <c r="AT244" s="90">
        <f>Sheet1!BB246</f>
        <v>1.6</v>
      </c>
      <c r="AU244" s="90">
        <f>Sheet1!AS246*GPMtoMGD</f>
        <v>1.7568E-2</v>
      </c>
      <c r="AV244" s="95">
        <f>Sheet1!AT246</f>
        <v>0</v>
      </c>
      <c r="AW244" s="90">
        <f>Sheet1!AV246*GPMtoMGD</f>
        <v>1.7085600000000001</v>
      </c>
      <c r="AX244" s="90">
        <f>Sheet1!AW246*GPMtoMGD</f>
        <v>0.98337600000000003</v>
      </c>
      <c r="AY244" s="90">
        <f>Sheet1!AX246*GPMtoMGD</f>
        <v>7.9056000000000001E-2</v>
      </c>
      <c r="AZ244" s="90">
        <f>Sheet1!AY246*GPMtoMGD</f>
        <v>0</v>
      </c>
      <c r="BA244" s="90">
        <f>Sheet1!AZ246*GPMtoMGD</f>
        <v>0</v>
      </c>
      <c r="BB244" s="90">
        <f>Sheet1!BP246*GPMtoMGD</f>
        <v>0</v>
      </c>
      <c r="BC244" s="90">
        <f>Sheet1!CS246*GPMtoMGD</f>
        <v>0</v>
      </c>
      <c r="BD244" s="90">
        <f>Sheet1!BO246*GPMtoMGD</f>
        <v>3.1659839999999999</v>
      </c>
      <c r="BE244" s="90">
        <f>Sheet1!BW246*GPMtoMGD</f>
        <v>1.5490080000000002</v>
      </c>
      <c r="BF244" s="90">
        <f>Sheet1!CN246*GPMtoMGD</f>
        <v>1.7280000000000002</v>
      </c>
      <c r="BG244" s="90">
        <f>Sheet1!CO246*GPMtoMGD</f>
        <v>1.198512</v>
      </c>
      <c r="BH244" s="90">
        <f>Sheet1!CP246*GPMtoMGD</f>
        <v>1.0258560000000001</v>
      </c>
      <c r="BI244" s="90">
        <f t="shared" si="31"/>
        <v>3.1659839999999999</v>
      </c>
      <c r="BK244" s="95">
        <f>SUM(AT244:BA244,BE244,Sheet1!BV246,'Calculations II'!BC244,Calculation!AQ244)</f>
        <v>82.502323977726832</v>
      </c>
      <c r="BM244" s="373">
        <f>0</f>
        <v>0</v>
      </c>
      <c r="BN244" s="373">
        <f>0</f>
        <v>0</v>
      </c>
      <c r="BP244" s="95">
        <f>SUM(BM244:BN244,W244,Sheet1!DX246)</f>
        <v>0</v>
      </c>
    </row>
    <row r="245" spans="1:68" s="90" customFormat="1">
      <c r="A245" s="651" t="s">
        <v>8</v>
      </c>
      <c r="B245" s="92">
        <v>41873</v>
      </c>
      <c r="C245" s="93">
        <v>0</v>
      </c>
      <c r="D245" s="95">
        <f>(Sheet1!BQ247-Sheet1!BQ246)*1.385</f>
        <v>8.3100000000003144E-2</v>
      </c>
      <c r="E245" s="30">
        <f>(Sheet1!BR247-Sheet1!BR246)*1.385</f>
        <v>0.1246499999999998</v>
      </c>
      <c r="F245" s="30">
        <f ca="1">IF(B245=TODAY(),0,-(VLOOKUP(Sheet1!CD247,Lookup!$I$4:$J$216,2)-VLOOKUP(Sheet1!CD246,Lookup!$I$4:$J$216,2))/1000000)</f>
        <v>-0.62182163128680179</v>
      </c>
      <c r="G245" s="95">
        <f ca="1">IF(B245=TODAY(),0,-$G$6*(Sheet1!CF247-Sheet1!CF246)*7.48/1000000)</f>
        <v>0.3177080084204747</v>
      </c>
      <c r="H245" s="95">
        <f ca="1">IF(B245=TODAY(),0,-$H$6*(Sheet1!CE247-Sheet1!CE246)*7.48/1000000)</f>
        <v>-3.0078864702530548E-2</v>
      </c>
      <c r="I245" s="95">
        <f ca="1">IF(B245=TODAY(),0,-$I$6*(Sheet1!CG247-Sheet1!CG246)*7.48/1000000)</f>
        <v>-1.033272240000002E-2</v>
      </c>
      <c r="J245" s="96" t="s">
        <v>186</v>
      </c>
      <c r="K245" s="95">
        <f ca="1">IF(B245=TODAY(),0,-$K$6*(Sheet1!CH247-Sheet1!CH246)*7.48/1000000)</f>
        <v>-1.9989961123375376E-2</v>
      </c>
      <c r="L245" s="96" t="s">
        <v>186</v>
      </c>
      <c r="M245" s="95">
        <f ca="1">IF(B245=TODAY(),0,-$M$6*(Sheet1!CI247-Sheet1!CI246)*7.48/1000000)</f>
        <v>-5.3974525284081275E-2</v>
      </c>
      <c r="N245" s="95">
        <f ca="1">IF(B245=TODAY(),0,-$N$6*(Sheet1!CJ247-Sheet1!CJ246)*7.48/1000000)</f>
        <v>-0.31026172697311949</v>
      </c>
      <c r="O245" s="95">
        <f t="shared" ca="1" si="28"/>
        <v>-0.72875142334943377</v>
      </c>
      <c r="P245" s="95">
        <f ca="1">O245+Calculation!ES245</f>
        <v>-1.0057530153104339</v>
      </c>
      <c r="Q245" s="90" t="str">
        <f>IF(Sheet1!BQ247&gt;25.75,"spill elevation","-")</f>
        <v>-</v>
      </c>
      <c r="R245" s="90" t="str">
        <f>IF(Sheet1!BQ247&gt;25.75,"spill elevation","-")</f>
        <v>-</v>
      </c>
      <c r="S245" s="90" t="str">
        <f>IF(Sheet1!BR247&gt;25.75,"spill elevation","-")</f>
        <v>-</v>
      </c>
      <c r="T245" s="94">
        <f>IF(Sheet1!DU247=1,Sheet1!AA247-(SUM(AT245:BA245)+BE245),Sheet1!AA247-SUM(AT245:BA245))</f>
        <v>53.918512</v>
      </c>
      <c r="U245" s="94">
        <f>Sheet1!BV247</f>
        <v>63.9</v>
      </c>
      <c r="V245" s="94">
        <f t="shared" si="29"/>
        <v>-9.9814879999999988</v>
      </c>
      <c r="W245" s="94">
        <f>0</f>
        <v>0</v>
      </c>
      <c r="X245" s="90">
        <f>0</f>
        <v>0</v>
      </c>
      <c r="Y245" s="95">
        <f ca="1">Calculation!EJ246+Calculation!ES245+'Calculations II'!O245-'Calculations II'!W245</f>
        <v>88.684246984689565</v>
      </c>
      <c r="Z245" s="95">
        <f ca="1">Y245-Sheet1!CT248</f>
        <v>71.396246984689569</v>
      </c>
      <c r="AA245" s="95">
        <f ca="1">Y245+Calculation!DJ246+Calculation!AS246</f>
        <v>107.5232479069152</v>
      </c>
      <c r="AC245" s="95">
        <f>Sheet1!AA247+Sheet1!AB247+BC245</f>
        <v>88.43</v>
      </c>
      <c r="AD245" s="95">
        <f>Sheet1!AA247+Sheet1!BN247+'Calculations II'!BC245-Calculation!AS245-Calculation!DJ245</f>
        <v>50.981299326275263</v>
      </c>
      <c r="AE245" s="95">
        <f>Sheet1!AA247+Sheet1!AB247+'Calculations II'!BC245-Calculation!AS245-Calculation!DJ245</f>
        <v>69.581299326275271</v>
      </c>
      <c r="AF245" s="95">
        <f ca="1">Sheet1!AA247+Sheet1!BN247+P245+'Calculations II'!BC245+Calculation!AS245+Calculation!DJ245</f>
        <v>87.672947658414301</v>
      </c>
      <c r="AG245" s="95">
        <f ca="1">IF(B245=TODAY(),0,Sheet1!AA247+Sheet1!BN247+'Calculations II'!BC245+'Calculations II'!P245-Sheet1!CT247-BP245)</f>
        <v>50.897246984689566</v>
      </c>
      <c r="AH245" s="95">
        <f ca="1">IF(B245=TODAY(),0,Sheet1!AA247+Sheet1!BN247+'Calculations II'!BC245+'Calculations II'!P245-BP245)</f>
        <v>68.824246984689566</v>
      </c>
      <c r="AI245" s="95">
        <f ca="1">IF(B245=TODAY(),0,BC245+Sheet1!AA247+Calculation!ES245+O245+W245+Sheet1!BN247+Calculation!AS245+Calculation!DJ245-BP245)</f>
        <v>87.672947658414287</v>
      </c>
      <c r="AJ245" s="95"/>
      <c r="AM245" s="91">
        <f t="shared" si="30"/>
        <v>41873</v>
      </c>
      <c r="AN245" s="95">
        <f>Sheet1!BU247</f>
        <v>55.4</v>
      </c>
      <c r="AO245" s="95">
        <f>Sheet1!AA247</f>
        <v>57.83</v>
      </c>
      <c r="AP245" s="95">
        <f t="shared" si="25"/>
        <v>0.20775000000000293</v>
      </c>
      <c r="AQ245" s="1055">
        <f>((Sheet1!BV247-(Sheet1!BU247-AP245))/(Sheet1!BU247-AP245))</f>
        <v>0.15777124505705067</v>
      </c>
      <c r="AR245" s="95">
        <f t="shared" si="26"/>
        <v>57.622249999999994</v>
      </c>
      <c r="AS245" s="95">
        <f t="shared" si="27"/>
        <v>55.192249999999994</v>
      </c>
      <c r="AT245" s="90">
        <f>Sheet1!BB247</f>
        <v>1.6</v>
      </c>
      <c r="AU245" s="90">
        <f>Sheet1!AS247*GPMtoMGD</f>
        <v>1.6847999999999998E-2</v>
      </c>
      <c r="AV245" s="95">
        <f>Sheet1!AT247</f>
        <v>0</v>
      </c>
      <c r="AW245" s="90">
        <f>Sheet1!AV247*GPMtoMGD</f>
        <v>1.2483360000000001</v>
      </c>
      <c r="AX245" s="90">
        <f>Sheet1!AW247*GPMtoMGD</f>
        <v>0.97056000000000009</v>
      </c>
      <c r="AY245" s="90">
        <f>Sheet1!AX247*GPMtoMGD</f>
        <v>7.5744000000000006E-2</v>
      </c>
      <c r="AZ245" s="90">
        <f>Sheet1!AY247*GPMtoMGD</f>
        <v>0</v>
      </c>
      <c r="BA245" s="90">
        <f>Sheet1!AZ247*GPMtoMGD</f>
        <v>0</v>
      </c>
      <c r="BB245" s="90">
        <f>Sheet1!BP247*GPMtoMGD</f>
        <v>0</v>
      </c>
      <c r="BC245" s="90">
        <f>Sheet1!CS247*GPMtoMGD</f>
        <v>0</v>
      </c>
      <c r="BD245" s="90">
        <f>Sheet1!BO247*GPMtoMGD</f>
        <v>3.2685120000000003</v>
      </c>
      <c r="BE245" s="90">
        <f>Sheet1!BW247*GPMtoMGD</f>
        <v>1.7326080000000001</v>
      </c>
      <c r="BF245" s="90">
        <f>Sheet1!CN247*GPMtoMGD</f>
        <v>1.7280000000000002</v>
      </c>
      <c r="BG245" s="90">
        <f>Sheet1!CO247*GPMtoMGD</f>
        <v>1.290672</v>
      </c>
      <c r="BH245" s="90">
        <f>Sheet1!CP247*GPMtoMGD</f>
        <v>1.0376640000000001</v>
      </c>
      <c r="BI245" s="90">
        <f t="shared" si="31"/>
        <v>3.2685120000000003</v>
      </c>
      <c r="BK245" s="95">
        <f>SUM(AT245:BA245,BE245,Sheet1!BV247,'Calculations II'!BC245,Calculation!AQ245)</f>
        <v>81.324654229066411</v>
      </c>
      <c r="BM245" s="373">
        <f>0</f>
        <v>0</v>
      </c>
      <c r="BN245" s="373">
        <f>0</f>
        <v>0</v>
      </c>
      <c r="BP245" s="95">
        <f>SUM(BM245:BN245,W245,Sheet1!DX247)</f>
        <v>0</v>
      </c>
    </row>
    <row r="246" spans="1:68" s="90" customFormat="1">
      <c r="A246" s="651" t="s">
        <v>9</v>
      </c>
      <c r="B246" s="92">
        <v>41874</v>
      </c>
      <c r="C246" s="93">
        <v>0</v>
      </c>
      <c r="D246" s="95">
        <f>(Sheet1!BQ248-Sheet1!BQ247)*1.385</f>
        <v>0.76174999999999604</v>
      </c>
      <c r="E246" s="30">
        <f>(Sheet1!BR248-Sheet1!BR247)*1.385</f>
        <v>0.80329999999999768</v>
      </c>
      <c r="F246" s="30">
        <f ca="1">IF(B246=TODAY(),0,-(VLOOKUP(Sheet1!CD248,Lookup!$I$4:$J$216,2)-VLOOKUP(Sheet1!CD247,Lookup!$I$4:$J$216,2))/1000000)</f>
        <v>-0.41454775419119744</v>
      </c>
      <c r="G246" s="95">
        <f ca="1">IF(B246=TODAY(),0,-$G$6*(Sheet1!CF248-Sheet1!CF247)*7.48/1000000)</f>
        <v>-1.5885400421023719</v>
      </c>
      <c r="H246" s="95">
        <f ca="1">IF(B246=TODAY(),0,-$H$6*(Sheet1!CE248-Sheet1!CE247)*7.48/1000000)</f>
        <v>-3.0078864702529479E-2</v>
      </c>
      <c r="I246" s="95">
        <f ca="1">IF(B246=TODAY(),0,-$I$6*(Sheet1!CG248-Sheet1!CG247)*7.48/1000000)</f>
        <v>4.4924880000000007E-2</v>
      </c>
      <c r="J246" s="96" t="s">
        <v>186</v>
      </c>
      <c r="K246" s="95">
        <f ca="1">IF(B246=TODAY(),0,-$K$6*(Sheet1!CH248-Sheet1!CH247)*7.48/1000000)</f>
        <v>7.9959844493501367E-2</v>
      </c>
      <c r="L246" s="96" t="s">
        <v>186</v>
      </c>
      <c r="M246" s="95">
        <f ca="1">IF(B246=TODAY(),0,-$M$6*(Sheet1!CI248-Sheet1!CI247)*7.48/1000000)</f>
        <v>0.23388960956435173</v>
      </c>
      <c r="N246" s="95">
        <f ca="1">IF(B246=TODAY(),0,-$N$6*(Sheet1!CJ248-Sheet1!CJ247)*7.48/1000000)</f>
        <v>0.12410469078924735</v>
      </c>
      <c r="O246" s="95">
        <f t="shared" ca="1" si="28"/>
        <v>-1.5502876361489983</v>
      </c>
      <c r="P246" s="95">
        <f ca="1">O246+Calculation!ES246</f>
        <v>-2.9354878630772587</v>
      </c>
      <c r="Q246" s="90" t="str">
        <f>IF(Sheet1!BQ248&gt;25.75,"spill elevation","-")</f>
        <v>-</v>
      </c>
      <c r="R246" s="90" t="str">
        <f>IF(Sheet1!BQ248&gt;25.75,"spill elevation","-")</f>
        <v>-</v>
      </c>
      <c r="S246" s="90" t="str">
        <f>IF(Sheet1!BR248&gt;25.75,"spill elevation","-")</f>
        <v>-</v>
      </c>
      <c r="T246" s="94">
        <f>IF(Sheet1!DU248=1,Sheet1!AA248-(SUM(AT246:BA246)+BE246),Sheet1!AA248-SUM(AT246:BA246))</f>
        <v>53.478048000000001</v>
      </c>
      <c r="U246" s="94">
        <f>Sheet1!BV248</f>
        <v>61.9</v>
      </c>
      <c r="V246" s="94">
        <f t="shared" si="29"/>
        <v>-8.4219519999999974</v>
      </c>
      <c r="W246" s="94">
        <f>0</f>
        <v>0</v>
      </c>
      <c r="X246" s="90">
        <f>0</f>
        <v>0</v>
      </c>
      <c r="Y246" s="95">
        <f ca="1">Calculation!EJ247+Calculation!ES246+'Calculations II'!O246-'Calculations II'!W246</f>
        <v>86.674512136922743</v>
      </c>
      <c r="Z246" s="95">
        <f ca="1">Y246-Sheet1!CT249</f>
        <v>69.501512136922742</v>
      </c>
      <c r="AA246" s="95">
        <f ca="1">Y246+Calculation!DJ247+Calculation!AS247</f>
        <v>105.48395931136992</v>
      </c>
      <c r="AC246" s="95">
        <f>Sheet1!AA248+Sheet1!AB248+BC246</f>
        <v>89.69</v>
      </c>
      <c r="AD246" s="95">
        <f>Sheet1!AA248+Sheet1!BN248+'Calculations II'!BC246-Calculation!AS246-Calculation!DJ246</f>
        <v>52.260999077774379</v>
      </c>
      <c r="AE246" s="95">
        <f>Sheet1!AA248+Sheet1!AB248+'Calculations II'!BC246-Calculation!AS246-Calculation!DJ246</f>
        <v>70.850999077774361</v>
      </c>
      <c r="AF246" s="95">
        <f ca="1">Sheet1!AA248+Sheet1!BN248+P246+'Calculations II'!BC246+Calculation!AS246+Calculation!DJ246</f>
        <v>87.003513059148389</v>
      </c>
      <c r="AG246" s="95">
        <f ca="1">IF(B246=TODAY(),0,Sheet1!AA248+Sheet1!BN248+'Calculations II'!BC246+'Calculations II'!P246-Sheet1!CT248-BP246)</f>
        <v>50.876512136922756</v>
      </c>
      <c r="AH246" s="95">
        <f ca="1">IF(B246=TODAY(),0,Sheet1!AA248+Sheet1!BN248+'Calculations II'!BC246+'Calculations II'!P246-BP246)</f>
        <v>68.164512136922752</v>
      </c>
      <c r="AI246" s="95">
        <f ca="1">IF(B246=TODAY(),0,BC246+Sheet1!AA248+Calculation!ES246+O246+W246+Sheet1!BN248+Calculation!AS246+Calculation!DJ246-BP246)</f>
        <v>87.003513059148361</v>
      </c>
      <c r="AJ246" s="95"/>
      <c r="AM246" s="91">
        <f t="shared" si="30"/>
        <v>41874</v>
      </c>
      <c r="AN246" s="95">
        <f>Sheet1!BU248</f>
        <v>55.1</v>
      </c>
      <c r="AO246" s="95">
        <f>Sheet1!AA248</f>
        <v>57.7</v>
      </c>
      <c r="AP246" s="95">
        <f t="shared" si="25"/>
        <v>1.5650499999999936</v>
      </c>
      <c r="AQ246" s="1055">
        <f>((Sheet1!BV248-(Sheet1!BU248-AP246))/(Sheet1!BU248-AP246))</f>
        <v>0.15625399855608324</v>
      </c>
      <c r="AR246" s="95">
        <f t="shared" si="26"/>
        <v>56.134950000000011</v>
      </c>
      <c r="AS246" s="95">
        <f t="shared" si="27"/>
        <v>53.534950000000009</v>
      </c>
      <c r="AT246" s="90">
        <f>Sheet1!BB248</f>
        <v>1.6</v>
      </c>
      <c r="AU246" s="90">
        <f>Sheet1!AS248*GPMtoMGD</f>
        <v>3.3552000000000005E-2</v>
      </c>
      <c r="AV246" s="95">
        <f>Sheet1!AT248</f>
        <v>0</v>
      </c>
      <c r="AW246" s="90">
        <f>Sheet1!AV248*GPMtoMGD</f>
        <v>1.4909760000000003</v>
      </c>
      <c r="AX246" s="90">
        <f>Sheet1!AW248*GPMtoMGD</f>
        <v>1.0298880000000001</v>
      </c>
      <c r="AY246" s="90">
        <f>Sheet1!AX248*GPMtoMGD</f>
        <v>6.7535999999999999E-2</v>
      </c>
      <c r="AZ246" s="90">
        <f>Sheet1!AY248*GPMtoMGD</f>
        <v>0</v>
      </c>
      <c r="BA246" s="90">
        <f>Sheet1!AZ248*GPMtoMGD</f>
        <v>0</v>
      </c>
      <c r="BB246" s="90">
        <f>Sheet1!BP248*GPMtoMGD</f>
        <v>0</v>
      </c>
      <c r="BC246" s="90">
        <f>Sheet1!CS248*GPMtoMGD</f>
        <v>0</v>
      </c>
      <c r="BD246" s="90">
        <f>Sheet1!BO248*GPMtoMGD</f>
        <v>2.9545920000000003</v>
      </c>
      <c r="BE246" s="90">
        <f>Sheet1!BW248*GPMtoMGD</f>
        <v>1.6768800000000001</v>
      </c>
      <c r="BF246" s="90">
        <f>Sheet1!CN248*GPMtoMGD</f>
        <v>1.7280000000000002</v>
      </c>
      <c r="BG246" s="90">
        <f>Sheet1!CO248*GPMtoMGD</f>
        <v>1.2816000000000001</v>
      </c>
      <c r="BH246" s="90">
        <f>Sheet1!CP248*GPMtoMGD</f>
        <v>1.0234080000000001</v>
      </c>
      <c r="BI246" s="90">
        <f t="shared" si="31"/>
        <v>2.9545920000000003</v>
      </c>
      <c r="BK246" s="95">
        <f>SUM(AT246:BA246,BE246,Sheet1!BV248,'Calculations II'!BC246,Calculation!AQ246)</f>
        <v>80.9763911761451</v>
      </c>
      <c r="BM246" s="373">
        <f>0</f>
        <v>0</v>
      </c>
      <c r="BN246" s="373">
        <f>0</f>
        <v>0</v>
      </c>
      <c r="BP246" s="95">
        <f>SUM(BM246:BN246,W246,Sheet1!DX248)</f>
        <v>0</v>
      </c>
    </row>
    <row r="247" spans="1:68" s="90" customFormat="1">
      <c r="A247" s="651" t="s">
        <v>3</v>
      </c>
      <c r="B247" s="92">
        <v>41875</v>
      </c>
      <c r="C247" s="93">
        <v>0</v>
      </c>
      <c r="D247" s="95">
        <f>(Sheet1!BQ249-Sheet1!BQ248)*1.385</f>
        <v>1.6204500000000024</v>
      </c>
      <c r="E247" s="30">
        <f>(Sheet1!BR249-Sheet1!BR248)*1.385</f>
        <v>1.6204500000000024</v>
      </c>
      <c r="F247" s="30">
        <f ca="1">IF(B247=TODAY(),0,-(VLOOKUP(Sheet1!CD249,Lookup!$I$4:$J$216,2)-VLOOKUP(Sheet1!CD248,Lookup!$I$4:$J$216,2))/1000000)</f>
        <v>-0.31091081564340556</v>
      </c>
      <c r="G247" s="95">
        <f ca="1">IF(B247=TODAY(),0,-$G$6*(Sheet1!CF249-Sheet1!CF248)*7.48/1000000)</f>
        <v>1.2311185326293375</v>
      </c>
      <c r="H247" s="95">
        <f ca="1">IF(B247=TODAY(),0,-$H$6*(Sheet1!CE249-Sheet1!CE248)*7.48/1000000)</f>
        <v>0.40606467348415598</v>
      </c>
      <c r="I247" s="95">
        <f ca="1">IF(B247=TODAY(),0,-$I$6*(Sheet1!CG249-Sheet1!CG248)*7.48/1000000)</f>
        <v>-3.5939903999999995E-2</v>
      </c>
      <c r="J247" s="96" t="s">
        <v>186</v>
      </c>
      <c r="K247" s="95">
        <f ca="1">IF(B247=TODAY(),0,-$K$6*(Sheet1!CH249-Sheet1!CH248)*7.48/1000000)</f>
        <v>-6.6633203744584424E-2</v>
      </c>
      <c r="L247" s="96" t="s">
        <v>186</v>
      </c>
      <c r="M247" s="95">
        <f ca="1">IF(B247=TODAY(),0,-$M$6*(Sheet1!CI249-Sheet1!CI248)*7.48/1000000)</f>
        <v>-0.19790659270829777</v>
      </c>
      <c r="N247" s="95">
        <f ca="1">IF(B247=TODAY(),0,-$N$6*(Sheet1!CJ249-Sheet1!CJ248)*7.48/1000000)</f>
        <v>-0.18615703618387103</v>
      </c>
      <c r="O247" s="95">
        <f t="shared" ca="1" si="28"/>
        <v>0.83963565383333472</v>
      </c>
      <c r="P247" s="95">
        <f ca="1">O247+Calculation!ES247</f>
        <v>-2.4861524881397923</v>
      </c>
      <c r="Q247" s="90" t="str">
        <f>IF(Sheet1!BQ249&gt;25.75,"spill elevation","-")</f>
        <v>-</v>
      </c>
      <c r="R247" s="90" t="str">
        <f>IF(Sheet1!BQ249&gt;25.75,"spill elevation","-")</f>
        <v>-</v>
      </c>
      <c r="S247" s="90" t="str">
        <f>IF(Sheet1!BR249&gt;25.75,"spill elevation","-")</f>
        <v>-</v>
      </c>
      <c r="T247" s="94">
        <f>IF(Sheet1!DU249=1,Sheet1!AA249-(SUM(AT247:BA247)+BE247),Sheet1!AA249-SUM(AT247:BA247))</f>
        <v>53.280192</v>
      </c>
      <c r="U247" s="94">
        <f>Sheet1!BV249</f>
        <v>60.1</v>
      </c>
      <c r="V247" s="94">
        <f t="shared" si="29"/>
        <v>-6.8198080000000019</v>
      </c>
      <c r="W247" s="94">
        <f>0</f>
        <v>0</v>
      </c>
      <c r="X247" s="90">
        <f>0</f>
        <v>0</v>
      </c>
      <c r="Y247" s="95">
        <f ca="1">Calculation!EJ248+Calculation!ES247+'Calculations II'!O247-'Calculations II'!W247</f>
        <v>87.713847511860223</v>
      </c>
      <c r="Z247" s="95">
        <f ca="1">Y247-Sheet1!CT250</f>
        <v>70.175847511860226</v>
      </c>
      <c r="AA247" s="95">
        <f ca="1">Y247+Calculation!DJ248+Calculation!AS248</f>
        <v>106.52617096796656</v>
      </c>
      <c r="AC247" s="95">
        <f>Sheet1!AA249+Sheet1!AB249+BC247</f>
        <v>89.61</v>
      </c>
      <c r="AD247" s="95">
        <f>Sheet1!AA249+Sheet1!BN249+'Calculations II'!BC247-Calculation!AS247-Calculation!DJ247</f>
        <v>52.290552825552844</v>
      </c>
      <c r="AE247" s="95">
        <f>Sheet1!AA249+Sheet1!AB249+'Calculations II'!BC247-Calculation!AS247-Calculation!DJ247</f>
        <v>70.800552825552842</v>
      </c>
      <c r="AF247" s="95">
        <f ca="1">Sheet1!AA249+Sheet1!BN249+P247+'Calculations II'!BC247+Calculation!AS247+Calculation!DJ247</f>
        <v>87.423294686307372</v>
      </c>
      <c r="AG247" s="95">
        <f ca="1">IF(B247=TODAY(),0,Sheet1!AA249+Sheet1!BN249+'Calculations II'!BC247+'Calculations II'!P247-Sheet1!CT249-BP247)</f>
        <v>51.440847511860213</v>
      </c>
      <c r="AH247" s="95">
        <f ca="1">IF(B247=TODAY(),0,Sheet1!AA249+Sheet1!BN249+'Calculations II'!BC247+'Calculations II'!P247-BP247)</f>
        <v>68.613847511860214</v>
      </c>
      <c r="AI247" s="95">
        <f ca="1">IF(B247=TODAY(),0,BC247+Sheet1!AA249+Calculation!ES247+O247+W247+Sheet1!BN249+Calculation!AS247+Calculation!DJ247-BP247)</f>
        <v>87.423294686307372</v>
      </c>
      <c r="AJ247" s="95"/>
      <c r="AM247" s="91">
        <f t="shared" si="30"/>
        <v>41875</v>
      </c>
      <c r="AN247" s="95">
        <f>Sheet1!BU249</f>
        <v>54.9</v>
      </c>
      <c r="AO247" s="95">
        <f>Sheet1!AA249</f>
        <v>57.7</v>
      </c>
      <c r="AP247" s="95">
        <f t="shared" si="25"/>
        <v>3.2409000000000048</v>
      </c>
      <c r="AQ247" s="1055">
        <f>((Sheet1!BV249-(Sheet1!BU249-AP247))/(Sheet1!BU249-AP247))</f>
        <v>0.16339618769974712</v>
      </c>
      <c r="AR247" s="95">
        <f t="shared" si="26"/>
        <v>54.459099999999999</v>
      </c>
      <c r="AS247" s="95">
        <f t="shared" si="27"/>
        <v>51.659099999999995</v>
      </c>
      <c r="AT247" s="90">
        <f>Sheet1!BB249</f>
        <v>1.6</v>
      </c>
      <c r="AU247" s="90">
        <f>Sheet1!AS249*GPMtoMGD</f>
        <v>3.6864000000000001E-2</v>
      </c>
      <c r="AV247" s="95">
        <f>Sheet1!AT249</f>
        <v>0</v>
      </c>
      <c r="AW247" s="90">
        <f>Sheet1!AV249*GPMtoMGD</f>
        <v>1.454976</v>
      </c>
      <c r="AX247" s="90">
        <f>Sheet1!AW249*GPMtoMGD</f>
        <v>1.24488</v>
      </c>
      <c r="AY247" s="90">
        <f>Sheet1!AX249*GPMtoMGD</f>
        <v>8.3088000000000009E-2</v>
      </c>
      <c r="AZ247" s="90">
        <f>Sheet1!AY249*GPMtoMGD</f>
        <v>0</v>
      </c>
      <c r="BA247" s="90">
        <f>Sheet1!AZ249*GPMtoMGD</f>
        <v>0</v>
      </c>
      <c r="BB247" s="90">
        <f>Sheet1!BP249*GPMtoMGD</f>
        <v>0</v>
      </c>
      <c r="BC247" s="90">
        <f>Sheet1!CS249*GPMtoMGD</f>
        <v>0</v>
      </c>
      <c r="BD247" s="90">
        <f>Sheet1!BO249*GPMtoMGD</f>
        <v>3.660768</v>
      </c>
      <c r="BE247" s="90">
        <f>Sheet1!BW249*GPMtoMGD</f>
        <v>1.7376480000000001</v>
      </c>
      <c r="BF247" s="90">
        <f>Sheet1!CN249*GPMtoMGD</f>
        <v>1.7280000000000002</v>
      </c>
      <c r="BG247" s="90">
        <f>Sheet1!CO249*GPMtoMGD</f>
        <v>1.3272480000000002</v>
      </c>
      <c r="BH247" s="90">
        <f>Sheet1!CP249*GPMtoMGD</f>
        <v>0.98409600000000008</v>
      </c>
      <c r="BI247" s="90">
        <f t="shared" si="31"/>
        <v>3.660768</v>
      </c>
      <c r="BK247" s="95">
        <f>SUM(AT247:BA247,BE247,Sheet1!BV249,'Calculations II'!BC247,Calculation!AQ247)</f>
        <v>79.38994985749386</v>
      </c>
      <c r="BM247" s="373">
        <f>0</f>
        <v>0</v>
      </c>
      <c r="BN247" s="373">
        <f>0</f>
        <v>0</v>
      </c>
      <c r="BP247" s="95">
        <f>SUM(BM247:BN247,W247,Sheet1!DX249)</f>
        <v>0</v>
      </c>
    </row>
    <row r="248" spans="1:68" s="90" customFormat="1">
      <c r="A248" s="651" t="s">
        <v>4</v>
      </c>
      <c r="B248" s="92">
        <v>41876</v>
      </c>
      <c r="C248" s="93">
        <v>0</v>
      </c>
      <c r="D248" s="95">
        <f>(Sheet1!BQ250-Sheet1!BQ249)*1.385</f>
        <v>-6.9250000000000991E-2</v>
      </c>
      <c r="E248" s="30">
        <f>(Sheet1!BR250-Sheet1!BR249)*1.385</f>
        <v>-5.5399999999998818E-2</v>
      </c>
      <c r="F248" s="30">
        <f ca="1">IF(B248=TODAY(),0,-(VLOOKUP(Sheet1!CD250,Lookup!$I$4:$J$216,2)-VLOOKUP(Sheet1!CD249,Lookup!$I$4:$J$216,2))/1000000)</f>
        <v>0.41454775419120493</v>
      </c>
      <c r="G248" s="95">
        <f ca="1">IF(B248=TODAY(),0,-$G$6*(Sheet1!CF250-Sheet1!CF249)*7.48/1000000)</f>
        <v>-1.0722645284191008</v>
      </c>
      <c r="H248" s="95">
        <f ca="1">IF(B248=TODAY(),0,-$H$6*(Sheet1!CE250-Sheet1!CE249)*7.48/1000000)</f>
        <v>-7.5197161756325293E-2</v>
      </c>
      <c r="I248" s="95">
        <f ca="1">IF(B248=TODAY(),0,-$I$6*(Sheet1!CG250-Sheet1!CG249)*7.48/1000000)</f>
        <v>-2.6954928000000024E-2</v>
      </c>
      <c r="J248" s="96" t="s">
        <v>186</v>
      </c>
      <c r="K248" s="95">
        <f ca="1">IF(B248=TODAY(),0,-$K$6*(Sheet1!CH250-Sheet1!CH249)*7.48/1000000)</f>
        <v>-4.6643242621209169E-2</v>
      </c>
      <c r="L248" s="96" t="s">
        <v>186</v>
      </c>
      <c r="M248" s="95">
        <f ca="1">IF(B248=TODAY(),0,-$M$6*(Sheet1!CI250-Sheet1!CI249)*7.48/1000000)</f>
        <v>-0.12594055899618922</v>
      </c>
      <c r="N248" s="95">
        <f ca="1">IF(B248=TODAY(),0,-$N$6*(Sheet1!CJ250-Sheet1!CJ249)*7.48/1000000)</f>
        <v>0.12410469078924735</v>
      </c>
      <c r="O248" s="95">
        <f t="shared" ca="1" si="28"/>
        <v>-0.80834797481237231</v>
      </c>
      <c r="P248" s="95">
        <f ca="1">O248+Calculation!ES248</f>
        <v>-0.66973500513848538</v>
      </c>
      <c r="Q248" s="90" t="str">
        <f>IF(Sheet1!BQ250&gt;25.75,"spill elevation","-")</f>
        <v>-</v>
      </c>
      <c r="R248" s="90" t="str">
        <f>IF(Sheet1!BQ250&gt;25.75,"spill elevation","-")</f>
        <v>-</v>
      </c>
      <c r="S248" s="90" t="str">
        <f>IF(Sheet1!BR250&gt;25.75,"spill elevation","-")</f>
        <v>-</v>
      </c>
      <c r="T248" s="94">
        <f>IF(Sheet1!DU250=1,Sheet1!AA250-(SUM(AT248:BA248)+BE248),Sheet1!AA250-SUM(AT248:BA248))</f>
        <v>49.587711999999996</v>
      </c>
      <c r="U248" s="94">
        <f>Sheet1!BV250</f>
        <v>60.4</v>
      </c>
      <c r="V248" s="94">
        <f t="shared" si="29"/>
        <v>-10.812288000000002</v>
      </c>
      <c r="W248" s="94">
        <f>0</f>
        <v>0</v>
      </c>
      <c r="X248" s="90">
        <f>0</f>
        <v>0</v>
      </c>
      <c r="Y248" s="95">
        <f ca="1">Calculation!EJ249+Calculation!ES248+'Calculations II'!O248-'Calculations II'!W248</f>
        <v>89.530264994861511</v>
      </c>
      <c r="Z248" s="95">
        <f ca="1">Y248-Sheet1!CT251</f>
        <v>71.186264994861517</v>
      </c>
      <c r="AA248" s="95">
        <f ca="1">Y248+Calculation!DJ249+Calculation!AS249</f>
        <v>108.39221925681576</v>
      </c>
      <c r="AC248" s="95">
        <f>Sheet1!AA250+Sheet1!AB250+BC248</f>
        <v>90.2</v>
      </c>
      <c r="AD248" s="95">
        <f>Sheet1!AA250+Sheet1!BN250+'Calculations II'!BC248-Calculation!AS248-Calculation!DJ248</f>
        <v>52.787676543893653</v>
      </c>
      <c r="AE248" s="95">
        <f>Sheet1!AA250+Sheet1!AB250+'Calculations II'!BC248-Calculation!AS248-Calculation!DJ248</f>
        <v>71.387676543893662</v>
      </c>
      <c r="AF248" s="95">
        <f ca="1">Sheet1!AA250+Sheet1!BN250+P248+'Calculations II'!BC248+Calculation!AS248+Calculation!DJ248</f>
        <v>89.742588450967844</v>
      </c>
      <c r="AG248" s="95">
        <f ca="1">IF(B248=TODAY(),0,Sheet1!AA250+Sheet1!BN250+'Calculations II'!BC248+'Calculations II'!P248-Sheet1!CT250-BP248)</f>
        <v>53.392264994861506</v>
      </c>
      <c r="AH248" s="95">
        <f ca="1">IF(B248=TODAY(),0,Sheet1!AA250+Sheet1!BN250+'Calculations II'!BC248+'Calculations II'!P248-BP248)</f>
        <v>70.930264994861503</v>
      </c>
      <c r="AI248" s="95">
        <f ca="1">IF(B248=TODAY(),0,BC248+Sheet1!AA250+Calculation!ES248+O248+W248+Sheet1!BN250+Calculation!AS248+Calculation!DJ248-BP248)</f>
        <v>89.742588450967858</v>
      </c>
      <c r="AJ248" s="95"/>
      <c r="AM248" s="91">
        <f t="shared" si="30"/>
        <v>41876</v>
      </c>
      <c r="AN248" s="95">
        <f>Sheet1!BU250</f>
        <v>52</v>
      </c>
      <c r="AO248" s="95">
        <f>Sheet1!AA250</f>
        <v>54.5</v>
      </c>
      <c r="AP248" s="95">
        <f t="shared" si="25"/>
        <v>-0.12464999999999982</v>
      </c>
      <c r="AQ248" s="1055">
        <f>((Sheet1!BV250-(Sheet1!BU250-AP248))/(Sheet1!BU250-AP248))</f>
        <v>0.1587607782498299</v>
      </c>
      <c r="AR248" s="95">
        <f t="shared" si="26"/>
        <v>54.624650000000003</v>
      </c>
      <c r="AS248" s="95">
        <f t="shared" si="27"/>
        <v>52.124650000000003</v>
      </c>
      <c r="AT248" s="90">
        <f>Sheet1!BB250</f>
        <v>1.6</v>
      </c>
      <c r="AU248" s="90">
        <f>Sheet1!AS250*GPMtoMGD</f>
        <v>1.6704E-2</v>
      </c>
      <c r="AV248" s="95">
        <f>Sheet1!AT250</f>
        <v>0</v>
      </c>
      <c r="AW248" s="90">
        <f>Sheet1!AV250*GPMtoMGD</f>
        <v>1.4425920000000001</v>
      </c>
      <c r="AX248" s="90">
        <f>Sheet1!AW250*GPMtoMGD</f>
        <v>1.762704</v>
      </c>
      <c r="AY248" s="90">
        <f>Sheet1!AX250*GPMtoMGD</f>
        <v>9.0288000000000007E-2</v>
      </c>
      <c r="AZ248" s="90">
        <f>Sheet1!AY250*GPMtoMGD</f>
        <v>0</v>
      </c>
      <c r="BA248" s="90">
        <f>Sheet1!AZ250*GPMtoMGD</f>
        <v>0</v>
      </c>
      <c r="BB248" s="90">
        <f>Sheet1!BP250*GPMtoMGD</f>
        <v>0</v>
      </c>
      <c r="BC248" s="90">
        <f>Sheet1!CS250*GPMtoMGD</f>
        <v>0</v>
      </c>
      <c r="BD248" s="90">
        <f>Sheet1!BO250*GPMtoMGD</f>
        <v>3.6141120000000004</v>
      </c>
      <c r="BE248" s="90">
        <f>Sheet1!BW250*GPMtoMGD</f>
        <v>1.708272</v>
      </c>
      <c r="BF248" s="90">
        <f>Sheet1!CN250*GPMtoMGD</f>
        <v>1.7280000000000002</v>
      </c>
      <c r="BG248" s="90">
        <f>Sheet1!CO250*GPMtoMGD</f>
        <v>1.3809600000000002</v>
      </c>
      <c r="BH248" s="90">
        <f>Sheet1!CP250*GPMtoMGD</f>
        <v>1.0094400000000001</v>
      </c>
      <c r="BI248" s="90">
        <f t="shared" si="31"/>
        <v>3.6141120000000004</v>
      </c>
      <c r="BK248" s="95">
        <f>SUM(AT248:BA248,BE248,Sheet1!BV250,'Calculations II'!BC248,Calculation!AQ248)</f>
        <v>83.926403256715602</v>
      </c>
      <c r="BM248" s="373">
        <f>0</f>
        <v>0</v>
      </c>
      <c r="BN248" s="373">
        <f>0</f>
        <v>0</v>
      </c>
      <c r="BP248" s="95">
        <f>SUM(BM248:BN248,W248,Sheet1!DX250)</f>
        <v>0</v>
      </c>
    </row>
    <row r="249" spans="1:68" s="90" customFormat="1">
      <c r="A249" s="651" t="s">
        <v>5</v>
      </c>
      <c r="B249" s="92">
        <v>41877</v>
      </c>
      <c r="C249" s="93">
        <v>0</v>
      </c>
      <c r="D249" s="95">
        <f>(Sheet1!BQ251-Sheet1!BQ250)*1.385</f>
        <v>0.44320000000000037</v>
      </c>
      <c r="E249" s="30">
        <f>(Sheet1!BR251-Sheet1!BR250)*1.385</f>
        <v>0.38779999999999665</v>
      </c>
      <c r="F249" s="30">
        <f ca="1">IF(B249=TODAY(),0,-(VLOOKUP(Sheet1!CD251,Lookup!$I$4:$J$216,2)-VLOOKUP(Sheet1!CD250,Lookup!$I$4:$J$216,2))/1000000)</f>
        <v>0.41454775419119744</v>
      </c>
      <c r="G249" s="95">
        <f ca="1">IF(B249=TODAY(),0,-$G$6*(Sheet1!CF251-Sheet1!CF250)*7.48/1000000)</f>
        <v>1.0722645284191008</v>
      </c>
      <c r="H249" s="95">
        <f ca="1">IF(B249=TODAY(),0,-$H$6*(Sheet1!CE251-Sheet1!CE250)*7.48/1000000)</f>
        <v>-0.24063091762024114</v>
      </c>
      <c r="I249" s="95">
        <f ca="1">IF(B249=TODAY(),0,-$I$6*(Sheet1!CG251-Sheet1!CG250)*7.48/1000000)</f>
        <v>8.9849760000000473E-3</v>
      </c>
      <c r="J249" s="96" t="s">
        <v>186</v>
      </c>
      <c r="K249" s="95">
        <f ca="1">IF(B249=TODAY(),0,-$K$6*(Sheet1!CH251-Sheet1!CH250)*7.48/1000000)</f>
        <v>1.9989961123375376E-2</v>
      </c>
      <c r="L249" s="96" t="s">
        <v>186</v>
      </c>
      <c r="M249" s="95">
        <f ca="1">IF(B249=TODAY(),0,-$M$6*(Sheet1!CI251-Sheet1!CI250)*7.48/1000000)</f>
        <v>5.3974525284081275E-2</v>
      </c>
      <c r="N249" s="95">
        <f ca="1">IF(B249=TODAY(),0,-$N$6*(Sheet1!CJ251-Sheet1!CJ250)*7.48/1000000)</f>
        <v>0.31026172697311949</v>
      </c>
      <c r="O249" s="95">
        <f t="shared" ca="1" si="28"/>
        <v>1.6393925543706334</v>
      </c>
      <c r="P249" s="95">
        <f ca="1">O249+Calculation!ES249</f>
        <v>0.94630206067925604</v>
      </c>
      <c r="Q249" s="90" t="str">
        <f>IF(Sheet1!BQ251&gt;25.75,"spill elevation","-")</f>
        <v>-</v>
      </c>
      <c r="R249" s="90" t="str">
        <f>IF(Sheet1!BQ251&gt;25.75,"spill elevation","-")</f>
        <v>-</v>
      </c>
      <c r="S249" s="90" t="str">
        <f>IF(Sheet1!BR251&gt;25.75,"spill elevation","-")</f>
        <v>-</v>
      </c>
      <c r="T249" s="94">
        <f>IF(Sheet1!DU251=1,Sheet1!AA251-(SUM(AT249:BA249)+BE249),Sheet1!AA251-SUM(AT249:BA249))</f>
        <v>47.474336000000001</v>
      </c>
      <c r="U249" s="94">
        <f>Sheet1!BV251</f>
        <v>56.5</v>
      </c>
      <c r="V249" s="94">
        <f t="shared" si="29"/>
        <v>-9.025663999999999</v>
      </c>
      <c r="W249" s="94">
        <f>0</f>
        <v>0</v>
      </c>
      <c r="X249" s="90">
        <f>0</f>
        <v>0</v>
      </c>
      <c r="Y249" s="95">
        <f ca="1">Calculation!EJ250+Calculation!ES249+'Calculations II'!O249-'Calculations II'!W249</f>
        <v>90.946302060679258</v>
      </c>
      <c r="Z249" s="95">
        <f ca="1">Y249-Sheet1!CT252</f>
        <v>72.305302060679253</v>
      </c>
      <c r="AA249" s="95">
        <f ca="1">Y249+Calculation!DJ250+Calculation!AS250</f>
        <v>109.80038766379209</v>
      </c>
      <c r="AC249" s="95">
        <f>Sheet1!AA251+Sheet1!AB251+BC249</f>
        <v>90.2</v>
      </c>
      <c r="AD249" s="95">
        <f>Sheet1!AA251+Sheet1!BN251+'Calculations II'!BC249-Calculation!AS249-Calculation!DJ249</f>
        <v>52.738045738045741</v>
      </c>
      <c r="AE249" s="95">
        <f>Sheet1!AA251+Sheet1!AB251+'Calculations II'!BC249-Calculation!AS249-Calculation!DJ249</f>
        <v>71.33804573804575</v>
      </c>
      <c r="AF249" s="95">
        <f ca="1">Sheet1!AA251+Sheet1!BN251+P249+'Calculations II'!BC249+Calculation!AS249+Calculation!DJ249</f>
        <v>91.408256322633505</v>
      </c>
      <c r="AG249" s="95">
        <f ca="1">IF(B249=TODAY(),0,Sheet1!AA251+Sheet1!BN251+'Calculations II'!BC249+'Calculations II'!P249-Sheet1!CT251-BP249)</f>
        <v>54.202302060679251</v>
      </c>
      <c r="AH249" s="95">
        <f ca="1">IF(B249=TODAY(),0,Sheet1!AA251+Sheet1!BN251+'Calculations II'!BC249+'Calculations II'!P249-BP249)</f>
        <v>72.546302060679253</v>
      </c>
      <c r="AI249" s="95">
        <f ca="1">IF(B249=TODAY(),0,BC249+Sheet1!AA251+Calculation!ES249+O249+W249+Sheet1!BN251+Calculation!AS249+Calculation!DJ249-BP249)</f>
        <v>91.408256322633505</v>
      </c>
      <c r="AJ249" s="95"/>
      <c r="AM249" s="91">
        <f t="shared" si="30"/>
        <v>41877</v>
      </c>
      <c r="AN249" s="95">
        <f>Sheet1!BU251</f>
        <v>49.4</v>
      </c>
      <c r="AO249" s="95">
        <f>Sheet1!AA251</f>
        <v>52.2</v>
      </c>
      <c r="AP249" s="95">
        <f t="shared" si="25"/>
        <v>0.83099999999999707</v>
      </c>
      <c r="AQ249" s="1055">
        <f>((Sheet1!BV251-(Sheet1!BU251-AP249))/(Sheet1!BU251-AP249))</f>
        <v>0.16329345879058652</v>
      </c>
      <c r="AR249" s="95">
        <f t="shared" si="26"/>
        <v>51.369000000000007</v>
      </c>
      <c r="AS249" s="95">
        <f t="shared" si="27"/>
        <v>48.569000000000003</v>
      </c>
      <c r="AT249" s="90">
        <f>Sheet1!BB251</f>
        <v>1.6</v>
      </c>
      <c r="AU249" s="90">
        <f>Sheet1!AS251*GPMtoMGD</f>
        <v>3.5568000000000002E-2</v>
      </c>
      <c r="AV249" s="95">
        <f>Sheet1!AT251</f>
        <v>0</v>
      </c>
      <c r="AW249" s="90">
        <f>Sheet1!AV251*GPMtoMGD</f>
        <v>1.2647520000000001</v>
      </c>
      <c r="AX249" s="90">
        <f>Sheet1!AW251*GPMtoMGD</f>
        <v>1.752624</v>
      </c>
      <c r="AY249" s="90">
        <f>Sheet1!AX251*GPMtoMGD</f>
        <v>7.2720000000000007E-2</v>
      </c>
      <c r="AZ249" s="90">
        <f>Sheet1!AY251*GPMtoMGD</f>
        <v>0</v>
      </c>
      <c r="BA249" s="90">
        <f>Sheet1!AZ251*GPMtoMGD</f>
        <v>0</v>
      </c>
      <c r="BB249" s="90">
        <f>Sheet1!BP251*GPMtoMGD</f>
        <v>0</v>
      </c>
      <c r="BC249" s="90">
        <f>Sheet1!CS251*GPMtoMGD</f>
        <v>0</v>
      </c>
      <c r="BD249" s="90">
        <f>Sheet1!BO251*GPMtoMGD</f>
        <v>3.4243200000000003</v>
      </c>
      <c r="BE249" s="90">
        <f>Sheet1!BW251*GPMtoMGD</f>
        <v>1.7249760000000003</v>
      </c>
      <c r="BF249" s="90">
        <f>Sheet1!CN251*GPMtoMGD</f>
        <v>1.7280000000000002</v>
      </c>
      <c r="BG249" s="90">
        <f>Sheet1!CO251*GPMtoMGD</f>
        <v>1.3766400000000001</v>
      </c>
      <c r="BH249" s="90">
        <f>Sheet1!CP251*GPMtoMGD</f>
        <v>1.0457280000000002</v>
      </c>
      <c r="BI249" s="90">
        <f t="shared" si="31"/>
        <v>3.4243200000000003</v>
      </c>
      <c r="BK249" s="95">
        <f>SUM(AT249:BA249,BE249,Sheet1!BV251,'Calculations II'!BC249,Calculation!AQ249)</f>
        <v>82.108644158004154</v>
      </c>
      <c r="BM249" s="373">
        <f>0</f>
        <v>0</v>
      </c>
      <c r="BN249" s="373">
        <f>0</f>
        <v>0</v>
      </c>
      <c r="BP249" s="95">
        <f>SUM(BM249:BN249,W249,Sheet1!DX251)</f>
        <v>0</v>
      </c>
    </row>
    <row r="250" spans="1:68" s="90" customFormat="1">
      <c r="A250" s="651" t="s">
        <v>6</v>
      </c>
      <c r="B250" s="92">
        <v>41878</v>
      </c>
      <c r="C250" s="93">
        <v>0</v>
      </c>
      <c r="D250" s="95">
        <f>(Sheet1!BQ252-Sheet1!BQ251)*1.385</f>
        <v>-1.108000000000001</v>
      </c>
      <c r="E250" s="30">
        <f>(Sheet1!BR252-Sheet1!BR251)*1.385</f>
        <v>-0.96949999999999903</v>
      </c>
      <c r="F250" s="30">
        <f ca="1">IF(B250=TODAY(),0,-(VLOOKUP(Sheet1!CD252,Lookup!$I$4:$J$216,2)-VLOOKUP(Sheet1!CD251,Lookup!$I$4:$J$216,2))/1000000)</f>
        <v>0.20727387709559872</v>
      </c>
      <c r="G250" s="95">
        <f ca="1">IF(B250=TODAY(),0,-$G$6*(Sheet1!CF252-Sheet1!CF251)*7.48/1000000)</f>
        <v>-1.0722645284191008</v>
      </c>
      <c r="H250" s="95">
        <f ca="1">IF(B250=TODAY(),0,-$H$6*(Sheet1!CE252-Sheet1!CE251)*7.48/1000000)</f>
        <v>0.30078864702530173</v>
      </c>
      <c r="I250" s="95">
        <f ca="1">IF(B250=TODAY(),0,-$I$6*(Sheet1!CG252-Sheet1!CG251)*7.48/1000000)</f>
        <v>-1.3477464000000033E-2</v>
      </c>
      <c r="J250" s="96" t="s">
        <v>186</v>
      </c>
      <c r="K250" s="95">
        <f ca="1">IF(B250=TODAY(),0,-$K$6*(Sheet1!CH252-Sheet1!CH251)*7.48/1000000)</f>
        <v>-1.9989961123375376E-2</v>
      </c>
      <c r="L250" s="96" t="s">
        <v>186</v>
      </c>
      <c r="M250" s="95">
        <f ca="1">IF(B250=TODAY(),0,-$M$6*(Sheet1!CI252-Sheet1!CI251)*7.48/1000000)</f>
        <v>-8.9957542140135238E-2</v>
      </c>
      <c r="N250" s="95">
        <f ca="1">IF(B250=TODAY(),0,-$N$6*(Sheet1!CJ252-Sheet1!CJ251)*7.48/1000000)</f>
        <v>-0.31026172697311949</v>
      </c>
      <c r="O250" s="95">
        <f t="shared" ca="1" si="28"/>
        <v>-0.99788869853483053</v>
      </c>
      <c r="P250" s="95">
        <f ca="1">O250+Calculation!ES250</f>
        <v>1.0811391634350951</v>
      </c>
      <c r="Q250" s="90" t="str">
        <f>IF(Sheet1!BQ252&gt;25.75,"spill elevation","-")</f>
        <v>-</v>
      </c>
      <c r="R250" s="90" t="str">
        <f>IF(Sheet1!BQ252&gt;25.75,"spill elevation","-")</f>
        <v>-</v>
      </c>
      <c r="S250" s="90" t="str">
        <f>IF(Sheet1!BR252&gt;25.75,"spill elevation","-")</f>
        <v>-</v>
      </c>
      <c r="T250" s="94">
        <f>IF(Sheet1!DU252=1,Sheet1!AA252-(SUM(AT250:BA250)+BE250),Sheet1!AA252-SUM(AT250:BA250))</f>
        <v>47.239263999999999</v>
      </c>
      <c r="U250" s="94">
        <f>Sheet1!BV252</f>
        <v>59.8</v>
      </c>
      <c r="V250" s="94">
        <f t="shared" si="29"/>
        <v>-12.560735999999999</v>
      </c>
      <c r="W250" s="94">
        <f>0</f>
        <v>0</v>
      </c>
      <c r="X250" s="90">
        <f>0</f>
        <v>0</v>
      </c>
      <c r="Y250" s="95">
        <f ca="1">Calculation!EJ251+Calculation!ES250+'Calculations II'!O250-'Calculations II'!W250</f>
        <v>91.331139163435083</v>
      </c>
      <c r="Z250" s="95">
        <f ca="1">Y250-Sheet1!CT253</f>
        <v>73.544139163435091</v>
      </c>
      <c r="AA250" s="95">
        <f ca="1">Y250+Calculation!DJ251+Calculation!AS251</f>
        <v>109.66423873516956</v>
      </c>
      <c r="AC250" s="95">
        <f>Sheet1!AA252+Sheet1!AB252+BC250</f>
        <v>90</v>
      </c>
      <c r="AD250" s="95">
        <f>Sheet1!AA252+Sheet1!BN252+'Calculations II'!BC250-Calculation!AS250-Calculation!DJ250</f>
        <v>52.645914396887164</v>
      </c>
      <c r="AE250" s="95">
        <f>Sheet1!AA252+Sheet1!AB252+'Calculations II'!BC250-Calculation!AS250-Calculation!DJ250</f>
        <v>71.145914396887164</v>
      </c>
      <c r="AF250" s="95">
        <f ca="1">Sheet1!AA252+Sheet1!BN252+P250+'Calculations II'!BC250+Calculation!AS250+Calculation!DJ250</f>
        <v>91.435224766547933</v>
      </c>
      <c r="AG250" s="95">
        <f ca="1">IF(B250=TODAY(),0,Sheet1!AA252+Sheet1!BN252+'Calculations II'!BC250+'Calculations II'!P250-Sheet1!CT252-BP250)</f>
        <v>53.940139163435099</v>
      </c>
      <c r="AH250" s="95">
        <f ca="1">IF(B250=TODAY(),0,Sheet1!AA252+Sheet1!BN252+'Calculations II'!BC250+'Calculations II'!P250-BP250)</f>
        <v>72.581139163435097</v>
      </c>
      <c r="AI250" s="95">
        <f ca="1">IF(B250=TODAY(),0,BC250+Sheet1!AA252+Calculation!ES250+O250+W250+Sheet1!BN252+Calculation!AS250+Calculation!DJ250-BP250)</f>
        <v>91.435224766547933</v>
      </c>
      <c r="AJ250" s="95"/>
      <c r="AM250" s="91">
        <f t="shared" si="30"/>
        <v>41878</v>
      </c>
      <c r="AN250" s="95">
        <f>Sheet1!BU252</f>
        <v>49.3</v>
      </c>
      <c r="AO250" s="95">
        <f>Sheet1!AA252</f>
        <v>52.1</v>
      </c>
      <c r="AP250" s="95">
        <f t="shared" si="25"/>
        <v>-2.0775000000000001</v>
      </c>
      <c r="AQ250" s="1055">
        <f>((Sheet1!BV252-(Sheet1!BU252-AP250))/(Sheet1!BU252-AP250))</f>
        <v>0.16393362853389129</v>
      </c>
      <c r="AR250" s="95">
        <f t="shared" si="26"/>
        <v>54.177500000000002</v>
      </c>
      <c r="AS250" s="95">
        <f t="shared" si="27"/>
        <v>51.377499999999998</v>
      </c>
      <c r="AT250" s="90">
        <f>Sheet1!BB252</f>
        <v>1.6</v>
      </c>
      <c r="AU250" s="90">
        <f>Sheet1!AS252*GPMtoMGD</f>
        <v>1.6847999999999998E-2</v>
      </c>
      <c r="AV250" s="95">
        <f>Sheet1!AT252</f>
        <v>0</v>
      </c>
      <c r="AW250" s="90">
        <f>Sheet1!AV252*GPMtoMGD</f>
        <v>1.293984</v>
      </c>
      <c r="AX250" s="90">
        <f>Sheet1!AW252*GPMtoMGD</f>
        <v>1.8228960000000003</v>
      </c>
      <c r="AY250" s="90">
        <f>Sheet1!AX252*GPMtoMGD</f>
        <v>0.12700800000000001</v>
      </c>
      <c r="AZ250" s="90">
        <f>Sheet1!AY252*GPMtoMGD</f>
        <v>0</v>
      </c>
      <c r="BA250" s="90">
        <f>Sheet1!AZ252*GPMtoMGD</f>
        <v>0</v>
      </c>
      <c r="BB250" s="90">
        <f>Sheet1!BP252*GPMtoMGD</f>
        <v>0</v>
      </c>
      <c r="BC250" s="90">
        <f>Sheet1!CS252*GPMtoMGD</f>
        <v>0</v>
      </c>
      <c r="BD250" s="90">
        <f>Sheet1!BO252*GPMtoMGD</f>
        <v>3.6007200000000004</v>
      </c>
      <c r="BE250" s="90">
        <f>Sheet1!BW252*GPMtoMGD</f>
        <v>1.7481600000000002</v>
      </c>
      <c r="BF250" s="90">
        <f>Sheet1!CN252*GPMtoMGD</f>
        <v>1.7280000000000002</v>
      </c>
      <c r="BG250" s="90">
        <f>Sheet1!CO252*GPMtoMGD</f>
        <v>1.330416</v>
      </c>
      <c r="BH250" s="90">
        <f>Sheet1!CP252*GPMtoMGD</f>
        <v>1.06416</v>
      </c>
      <c r="BI250" s="90">
        <f t="shared" si="31"/>
        <v>3.6007200000000004</v>
      </c>
      <c r="BK250" s="95">
        <f>SUM(AT250:BA250,BE250,Sheet1!BV252,'Calculations II'!BC250,Calculation!AQ250)</f>
        <v>85.481788347600514</v>
      </c>
      <c r="BM250" s="373">
        <f>0</f>
        <v>0</v>
      </c>
      <c r="BN250" s="373">
        <f>0</f>
        <v>0</v>
      </c>
      <c r="BP250" s="95">
        <f>SUM(BM250:BN250,W250,Sheet1!DX252)</f>
        <v>0</v>
      </c>
    </row>
    <row r="251" spans="1:68" s="90" customFormat="1">
      <c r="A251" s="651" t="s">
        <v>7</v>
      </c>
      <c r="B251" s="92">
        <v>41879</v>
      </c>
      <c r="C251" s="93">
        <v>0</v>
      </c>
      <c r="D251" s="95">
        <f>(Sheet1!BQ253-Sheet1!BQ252)*1.385</f>
        <v>3.0469999999999988</v>
      </c>
      <c r="E251" s="30">
        <f>(Sheet1!BR253-Sheet1!BR252)*1.385</f>
        <v>2.9085000000000019</v>
      </c>
      <c r="F251" s="30">
        <f ca="1">IF(B251=TODAY(),0,-(VLOOKUP(Sheet1!CD253,Lookup!$I$4:$J$216,2)-VLOOKUP(Sheet1!CD252,Lookup!$I$4:$J$216,2))/1000000)</f>
        <v>-0.93273244693020174</v>
      </c>
      <c r="G251" s="95">
        <f ca="1">IF(B251=TODAY(),0,-$G$6*(Sheet1!CF253-Sheet1!CF252)*7.48/1000000)</f>
        <v>0.79427002105118594</v>
      </c>
      <c r="H251" s="95">
        <f ca="1">IF(B251=TODAY(),0,-$H$6*(Sheet1!CE253-Sheet1!CE252)*7.48/1000000)</f>
        <v>0.1353548911613853</v>
      </c>
      <c r="I251" s="95">
        <f ca="1">IF(B251=TODAY(),0,-$I$6*(Sheet1!CG253-Sheet1!CG252)*7.48/1000000)</f>
        <v>5.3909856000000006E-2</v>
      </c>
      <c r="J251" s="96" t="s">
        <v>186</v>
      </c>
      <c r="K251" s="95">
        <f ca="1">IF(B251=TODAY(),0,-$K$6*(Sheet1!CH253-Sheet1!CH252)*7.48/1000000)</f>
        <v>9.3286485242418213E-2</v>
      </c>
      <c r="L251" s="96" t="s">
        <v>186</v>
      </c>
      <c r="M251" s="95">
        <f ca="1">IF(B251=TODAY(),0,-$M$6*(Sheet1!CI253-Sheet1!CI252)*7.48/1000000)</f>
        <v>0.23388960956435112</v>
      </c>
      <c r="N251" s="95">
        <f ca="1">IF(B251=TODAY(),0,-$N$6*(Sheet1!CJ253-Sheet1!CJ252)*7.48/1000000)</f>
        <v>-0.31026172697311949</v>
      </c>
      <c r="O251" s="95">
        <f t="shared" ca="1" si="28"/>
        <v>6.7716689116019357E-2</v>
      </c>
      <c r="P251" s="95">
        <f ca="1">O251+Calculation!ES251</f>
        <v>-5.8940901528192908</v>
      </c>
      <c r="Q251" s="90" t="str">
        <f>IF(Sheet1!BQ253&gt;25.75,"spill elevation","-")</f>
        <v>-</v>
      </c>
      <c r="R251" s="90" t="str">
        <f>IF(Sheet1!BQ253&gt;25.75,"spill elevation","-")</f>
        <v>-</v>
      </c>
      <c r="S251" s="90" t="str">
        <f>IF(Sheet1!BR253&gt;25.75,"spill elevation","-")</f>
        <v>-</v>
      </c>
      <c r="T251" s="94">
        <f>IF(Sheet1!DU253=1,Sheet1!AA253-(SUM(AT251:BA251)+BE251),Sheet1!AA253-SUM(AT251:BA251))</f>
        <v>48.799696000000004</v>
      </c>
      <c r="U251" s="94">
        <f>Sheet1!BV253</f>
        <v>52.4</v>
      </c>
      <c r="V251" s="94">
        <f t="shared" si="29"/>
        <v>-3.6003039999999942</v>
      </c>
      <c r="W251" s="94">
        <f>0</f>
        <v>0</v>
      </c>
      <c r="X251" s="90">
        <f>0</f>
        <v>0</v>
      </c>
      <c r="Y251" s="95">
        <f ca="1">Calculation!EJ252+Calculation!ES251+'Calculations II'!O251-'Calculations II'!W251</f>
        <v>75.725909847180716</v>
      </c>
      <c r="Z251" s="95">
        <f ca="1">Y251-Sheet1!CT254</f>
        <v>58.70590984718072</v>
      </c>
      <c r="AA251" s="95">
        <f ca="1">Y251+Calculation!DJ252+Calculation!AS252</f>
        <v>92.317277980923464</v>
      </c>
      <c r="AC251" s="95">
        <f>Sheet1!AA253+Sheet1!AB253+BC251</f>
        <v>90.25</v>
      </c>
      <c r="AD251" s="95">
        <f>Sheet1!AA253+Sheet1!BN253+'Calculations II'!BC251-Calculation!AS251-Calculation!DJ251</f>
        <v>53.616900428265524</v>
      </c>
      <c r="AE251" s="95">
        <f>Sheet1!AA253+Sheet1!AB253+'Calculations II'!BC251-Calculation!AS251-Calculation!DJ251</f>
        <v>71.916900428265521</v>
      </c>
      <c r="AF251" s="95">
        <f ca="1">Sheet1!AA253+Sheet1!BN253+P251+'Calculations II'!BC251+Calculation!AS251+Calculation!DJ251</f>
        <v>84.389009418915194</v>
      </c>
      <c r="AG251" s="95">
        <f ca="1">IF(B251=TODAY(),0,Sheet1!AA253+Sheet1!BN253+'Calculations II'!BC251+'Calculations II'!P251-Sheet1!CT253-BP251)</f>
        <v>48.268909847180716</v>
      </c>
      <c r="AH251" s="95">
        <f ca="1">IF(B251=TODAY(),0,Sheet1!AA253+Sheet1!BN253+'Calculations II'!BC251+'Calculations II'!P251-BP251)</f>
        <v>66.055909847180715</v>
      </c>
      <c r="AI251" s="95">
        <f ca="1">IF(B251=TODAY(),0,BC251+Sheet1!AA253+Calculation!ES251+O251+W251+Sheet1!BN253+Calculation!AS251+Calculation!DJ251-BP251)</f>
        <v>84.389009418915194</v>
      </c>
      <c r="AJ251" s="95"/>
      <c r="AM251" s="91">
        <f t="shared" si="30"/>
        <v>41879</v>
      </c>
      <c r="AN251" s="95">
        <f>Sheet1!BU253</f>
        <v>50.4</v>
      </c>
      <c r="AO251" s="95">
        <f>Sheet1!AA253</f>
        <v>52.95</v>
      </c>
      <c r="AP251" s="95">
        <f t="shared" si="25"/>
        <v>5.9555000000000007</v>
      </c>
      <c r="AQ251" s="1055">
        <f>((Sheet1!BV253-(Sheet1!BU253-AP251))/(Sheet1!BU253-AP251))</f>
        <v>0.1789985262518422</v>
      </c>
      <c r="AR251" s="95">
        <f t="shared" si="26"/>
        <v>46.994500000000002</v>
      </c>
      <c r="AS251" s="95">
        <f t="shared" si="27"/>
        <v>44.444499999999998</v>
      </c>
      <c r="AT251" s="90">
        <f>Sheet1!BB253</f>
        <v>1.61</v>
      </c>
      <c r="AU251" s="90">
        <f>Sheet1!AS253*GPMtoMGD</f>
        <v>3.4848000000000004E-2</v>
      </c>
      <c r="AV251" s="95">
        <f>Sheet1!AT253</f>
        <v>0</v>
      </c>
      <c r="AW251" s="90">
        <f>Sheet1!AV253*GPMtoMGD</f>
        <v>0.9793440000000001</v>
      </c>
      <c r="AX251" s="90">
        <f>Sheet1!AW253*GPMtoMGD</f>
        <v>1.406736</v>
      </c>
      <c r="AY251" s="90">
        <f>Sheet1!AX253*GPMtoMGD</f>
        <v>0.11937600000000001</v>
      </c>
      <c r="AZ251" s="90">
        <f>Sheet1!AY253*GPMtoMGD</f>
        <v>0</v>
      </c>
      <c r="BA251" s="90">
        <f>Sheet1!AZ253*GPMtoMGD</f>
        <v>0</v>
      </c>
      <c r="BB251" s="90">
        <f>Sheet1!BP253*GPMtoMGD</f>
        <v>0</v>
      </c>
      <c r="BC251" s="90">
        <f>Sheet1!CS253*GPMtoMGD</f>
        <v>0</v>
      </c>
      <c r="BD251" s="90">
        <f>Sheet1!BO253*GPMtoMGD</f>
        <v>2.6369280000000002</v>
      </c>
      <c r="BE251" s="90">
        <f>Sheet1!BW253*GPMtoMGD</f>
        <v>1.5782400000000001</v>
      </c>
      <c r="BF251" s="90">
        <f>Sheet1!CN253*GPMtoMGD</f>
        <v>1.4400000000000002</v>
      </c>
      <c r="BG251" s="90">
        <f>Sheet1!CO253*GPMtoMGD</f>
        <v>1.186992</v>
      </c>
      <c r="BH251" s="90">
        <f>Sheet1!CP253*GPMtoMGD</f>
        <v>0.95630400000000004</v>
      </c>
      <c r="BI251" s="90">
        <f t="shared" si="31"/>
        <v>2.6369280000000002</v>
      </c>
      <c r="BK251" s="95">
        <f>SUM(AT251:BA251,BE251,Sheet1!BV253,'Calculations II'!BC251,Calculation!AQ251)</f>
        <v>77.098030081370439</v>
      </c>
      <c r="BM251" s="373">
        <f>0</f>
        <v>0</v>
      </c>
      <c r="BN251" s="373">
        <f>0</f>
        <v>0</v>
      </c>
      <c r="BP251" s="95">
        <f>SUM(BM251:BN251,W251,Sheet1!DX253)</f>
        <v>0</v>
      </c>
    </row>
    <row r="252" spans="1:68" s="90" customFormat="1">
      <c r="A252" s="651" t="s">
        <v>8</v>
      </c>
      <c r="B252" s="92">
        <v>41880</v>
      </c>
      <c r="C252" s="93">
        <v>0</v>
      </c>
      <c r="D252" s="95">
        <f>(Sheet1!BQ254-Sheet1!BQ253)*1.385</f>
        <v>1.3296000000000012</v>
      </c>
      <c r="E252" s="30">
        <f>(Sheet1!BR254-Sheet1!BR253)*1.385</f>
        <v>1.4126999999999994</v>
      </c>
      <c r="F252" s="30">
        <f ca="1">IF(B252=TODAY(),0,-(VLOOKUP(Sheet1!CD254,Lookup!$I$4:$J$216,2)-VLOOKUP(Sheet1!CD253,Lookup!$I$4:$J$216,2))/1000000)</f>
        <v>0.51818469273900425</v>
      </c>
      <c r="G252" s="95">
        <f ca="1">IF(B252=TODAY(),0,-$G$6*(Sheet1!CF254-Sheet1!CF253)*7.48/1000000)</f>
        <v>-7.9427002105118313E-2</v>
      </c>
      <c r="H252" s="95">
        <f ca="1">IF(B252=TODAY(),0,-$H$6*(Sheet1!CE254-Sheet1!CE253)*7.48/1000000)</f>
        <v>-0.12031545881012057</v>
      </c>
      <c r="I252" s="95">
        <f ca="1">IF(B252=TODAY(),0,-$I$6*(Sheet1!CG254-Sheet1!CG253)*7.48/1000000)</f>
        <v>1.796995199999998E-2</v>
      </c>
      <c r="J252" s="96" t="s">
        <v>186</v>
      </c>
      <c r="K252" s="95">
        <f ca="1">IF(B252=TODAY(),0,-$K$6*(Sheet1!CH254-Sheet1!CH253)*7.48/1000000)</f>
        <v>1.9989961123375376E-2</v>
      </c>
      <c r="L252" s="96" t="s">
        <v>186</v>
      </c>
      <c r="M252" s="95">
        <f ca="1">IF(B252=TODAY(),0,-$M$6*(Sheet1!CI254-Sheet1!CI253)*7.48/1000000)</f>
        <v>0.17991508428027048</v>
      </c>
      <c r="N252" s="95">
        <f ca="1">IF(B252=TODAY(),0,-$N$6*(Sheet1!CJ254-Sheet1!CJ253)*7.48/1000000)</f>
        <v>0.66396009572247594</v>
      </c>
      <c r="O252" s="95">
        <f t="shared" ca="1" si="28"/>
        <v>1.200277324949887</v>
      </c>
      <c r="P252" s="95">
        <f ca="1">O252+Calculation!ES252</f>
        <v>-1.7134551564792766</v>
      </c>
      <c r="Q252" s="90" t="str">
        <f>IF(Sheet1!BQ254&gt;25.75,"spill elevation","-")</f>
        <v>-</v>
      </c>
      <c r="R252" s="90" t="str">
        <f>IF(Sheet1!BQ254&gt;25.75,"spill elevation","-")</f>
        <v>-</v>
      </c>
      <c r="S252" s="90" t="str">
        <f>IF(Sheet1!BR254&gt;25.75,"spill elevation","-")</f>
        <v>-</v>
      </c>
      <c r="T252" s="94">
        <f>IF(Sheet1!DU254=1,Sheet1!AA254-(SUM(AT252:BA252)+BE252),Sheet1!AA254-SUM(AT252:BA252))</f>
        <v>48.974096000000003</v>
      </c>
      <c r="U252" s="94">
        <f>Sheet1!BV254</f>
        <v>56.5</v>
      </c>
      <c r="V252" s="94">
        <f t="shared" si="29"/>
        <v>-7.525903999999997</v>
      </c>
      <c r="W252" s="94">
        <f>0</f>
        <v>0</v>
      </c>
      <c r="X252" s="90">
        <f>0</f>
        <v>0</v>
      </c>
      <c r="Y252" s="95">
        <f ca="1">Calculation!EJ253+Calculation!ES252+'Calculations II'!O252-'Calculations II'!W252</f>
        <v>72.516544843520705</v>
      </c>
      <c r="Z252" s="95">
        <f ca="1">Y252-Sheet1!CT255</f>
        <v>54.516544843520705</v>
      </c>
      <c r="AA252" s="95">
        <f ca="1">Y252+Calculation!DJ253+Calculation!AS253</f>
        <v>88.446923570353903</v>
      </c>
      <c r="AC252" s="95">
        <f>Sheet1!AA254+Sheet1!AB254+BC252</f>
        <v>81.62</v>
      </c>
      <c r="AD252" s="95">
        <f>Sheet1!AA254+Sheet1!BN254+'Calculations II'!BC252-Calculation!AS252-Calculation!DJ252</f>
        <v>48.72863186625726</v>
      </c>
      <c r="AE252" s="95">
        <f>Sheet1!AA254+Sheet1!AB254+'Calculations II'!BC252-Calculation!AS252-Calculation!DJ252</f>
        <v>65.028631866257257</v>
      </c>
      <c r="AF252" s="95">
        <f ca="1">Sheet1!AA254+Sheet1!BN254+P252+'Calculations II'!BC252+Calculation!AS252+Calculation!DJ252</f>
        <v>80.197912977263485</v>
      </c>
      <c r="AG252" s="95">
        <f ca="1">IF(B252=TODAY(),0,Sheet1!AA254+Sheet1!BN254+'Calculations II'!BC252+'Calculations II'!P252-Sheet1!CT254-BP252)</f>
        <v>46.586544843520727</v>
      </c>
      <c r="AH252" s="95">
        <f ca="1">IF(B252=TODAY(),0,Sheet1!AA254+Sheet1!BN254+'Calculations II'!BC252+'Calculations II'!P252-BP252)</f>
        <v>63.60654484352073</v>
      </c>
      <c r="AI252" s="95">
        <f ca="1">IF(B252=TODAY(),0,BC252+Sheet1!AA254+Calculation!ES252+O252+W252+Sheet1!BN254+Calculation!AS252+Calculation!DJ252-BP252)</f>
        <v>80.197912977263471</v>
      </c>
      <c r="AJ252" s="95"/>
      <c r="AM252" s="91">
        <f t="shared" si="30"/>
        <v>41880</v>
      </c>
      <c r="AN252" s="95">
        <f>Sheet1!BU254</f>
        <v>51</v>
      </c>
      <c r="AO252" s="95">
        <f>Sheet1!AA254</f>
        <v>52.92</v>
      </c>
      <c r="AP252" s="95">
        <f t="shared" si="25"/>
        <v>2.7423000000000006</v>
      </c>
      <c r="AQ252" s="1055">
        <f>((Sheet1!BV254-(Sheet1!BU254-AP252))/(Sheet1!BU254-AP252))</f>
        <v>0.17079761364507634</v>
      </c>
      <c r="AR252" s="95">
        <f t="shared" si="26"/>
        <v>50.177700000000002</v>
      </c>
      <c r="AS252" s="95">
        <f t="shared" si="27"/>
        <v>48.2577</v>
      </c>
      <c r="AT252" s="90">
        <f>Sheet1!BB254</f>
        <v>1.6</v>
      </c>
      <c r="AU252" s="90">
        <f>Sheet1!AS254*GPMtoMGD</f>
        <v>1.6272000000000002E-2</v>
      </c>
      <c r="AV252" s="95">
        <f>Sheet1!AT254</f>
        <v>0</v>
      </c>
      <c r="AW252" s="90">
        <f>Sheet1!AV254*GPMtoMGD</f>
        <v>0.98784000000000005</v>
      </c>
      <c r="AX252" s="90">
        <f>Sheet1!AW254*GPMtoMGD</f>
        <v>1.2700800000000001</v>
      </c>
      <c r="AY252" s="90">
        <f>Sheet1!AX254*GPMtoMGD</f>
        <v>7.1711999999999998E-2</v>
      </c>
      <c r="AZ252" s="90">
        <f>Sheet1!AY254*GPMtoMGD</f>
        <v>0</v>
      </c>
      <c r="BA252" s="90">
        <f>Sheet1!AZ254*GPMtoMGD</f>
        <v>0</v>
      </c>
      <c r="BB252" s="90">
        <f>Sheet1!BP254*GPMtoMGD</f>
        <v>0</v>
      </c>
      <c r="BC252" s="90">
        <f>Sheet1!CS254*GPMtoMGD</f>
        <v>0</v>
      </c>
      <c r="BD252" s="90">
        <f>Sheet1!BO254*GPMtoMGD</f>
        <v>2.8380960000000002</v>
      </c>
      <c r="BE252" s="90">
        <f>Sheet1!BW254*GPMtoMGD</f>
        <v>1.5258240000000001</v>
      </c>
      <c r="BF252" s="90">
        <f>Sheet1!CN254*GPMtoMGD</f>
        <v>1.4400000000000002</v>
      </c>
      <c r="BG252" s="90">
        <f>Sheet1!CO254*GPMtoMGD</f>
        <v>1.1810880000000001</v>
      </c>
      <c r="BH252" s="90">
        <f>Sheet1!CP254*GPMtoMGD</f>
        <v>0.95875200000000005</v>
      </c>
      <c r="BI252" s="90">
        <f t="shared" si="31"/>
        <v>2.8380960000000002</v>
      </c>
      <c r="BK252" s="95">
        <f>SUM(AT252:BA252,BE252,Sheet1!BV254,'Calculations II'!BC252,Calculation!AQ252)</f>
        <v>74.113659081542139</v>
      </c>
      <c r="BM252" s="373">
        <f>0</f>
        <v>0</v>
      </c>
      <c r="BN252" s="373">
        <f>0</f>
        <v>0</v>
      </c>
      <c r="BP252" s="95">
        <f>SUM(BM252:BN252,W252,Sheet1!DX254)</f>
        <v>0</v>
      </c>
    </row>
    <row r="253" spans="1:68" s="90" customFormat="1">
      <c r="A253" s="651" t="s">
        <v>9</v>
      </c>
      <c r="B253" s="92">
        <v>41881</v>
      </c>
      <c r="C253" s="93">
        <v>0</v>
      </c>
      <c r="D253" s="95">
        <f>(Sheet1!BQ255-Sheet1!BQ254)*1.385</f>
        <v>-0.55399999999999805</v>
      </c>
      <c r="E253" s="30">
        <f>(Sheet1!BR255-Sheet1!BR254)*1.385</f>
        <v>-0.49859999999999921</v>
      </c>
      <c r="F253" s="30">
        <f ca="1">IF(B253=TODAY(),0,-(VLOOKUP(Sheet1!CD255,Lookup!$I$4:$J$216,2)-VLOOKUP(Sheet1!CD254,Lookup!$I$4:$J$216,2))/1000000)</f>
        <v>-0.41454775419119744</v>
      </c>
      <c r="G253" s="95">
        <f ca="1">IF(B253=TODAY(),0,-$G$6*(Sheet1!CF255-Sheet1!CF254)*7.48/1000000)</f>
        <v>0.11914050315767817</v>
      </c>
      <c r="H253" s="95">
        <f ca="1">IF(B253=TODAY(),0,-$H$6*(Sheet1!CE255-Sheet1!CE254)*7.48/1000000)</f>
        <v>-0.21055205291771062</v>
      </c>
      <c r="I253" s="95">
        <f ca="1">IF(B253=TODAY(),0,-$I$6*(Sheet1!CG255-Sheet1!CG254)*7.48/1000000)</f>
        <v>-6.0648587999999989E-2</v>
      </c>
      <c r="J253" s="96" t="s">
        <v>186</v>
      </c>
      <c r="K253" s="95">
        <f ca="1">IF(B253=TODAY(),0,-$K$6*(Sheet1!CH255-Sheet1!CH254)*7.48/1000000)</f>
        <v>-0.10261513376666008</v>
      </c>
      <c r="L253" s="96" t="s">
        <v>186</v>
      </c>
      <c r="M253" s="95">
        <f ca="1">IF(B253=TODAY(),0,-$M$6*(Sheet1!CI255-Sheet1!CI254)*7.48/1000000)</f>
        <v>-0.35083441434652729</v>
      </c>
      <c r="N253" s="95">
        <f ca="1">IF(B253=TODAY(),0,-$N$6*(Sheet1!CJ255-Sheet1!CJ254)*7.48/1000000)</f>
        <v>-0.45298212138075472</v>
      </c>
      <c r="O253" s="95">
        <f t="shared" ca="1" si="28"/>
        <v>-1.4730395614451719</v>
      </c>
      <c r="P253" s="95">
        <f ca="1">O253+Calculation!ES253</f>
        <v>-0.36287884939751303</v>
      </c>
      <c r="Q253" s="90" t="str">
        <f>IF(Sheet1!BQ255&gt;25.75,"spill elevation","-")</f>
        <v>-</v>
      </c>
      <c r="R253" s="90" t="str">
        <f>IF(Sheet1!BQ255&gt;25.75,"spill elevation","-")</f>
        <v>-</v>
      </c>
      <c r="S253" s="90" t="str">
        <f>IF(Sheet1!BR255&gt;25.75,"spill elevation","-")</f>
        <v>-</v>
      </c>
      <c r="T253" s="94">
        <f>IF(Sheet1!DU255=1,Sheet1!AA255-(SUM(AT253:BA253)+BE253),Sheet1!AA255-SUM(AT253:BA253))</f>
        <v>46.167167999999997</v>
      </c>
      <c r="U253" s="94">
        <f>Sheet1!BV255</f>
        <v>57.4</v>
      </c>
      <c r="V253" s="94">
        <f t="shared" si="29"/>
        <v>-11.232832000000002</v>
      </c>
      <c r="W253" s="94">
        <f>0</f>
        <v>0</v>
      </c>
      <c r="X253" s="90">
        <f>0</f>
        <v>0</v>
      </c>
      <c r="Y253" s="95">
        <f ca="1">Calculation!EJ254+Calculation!ES253+'Calculations II'!O253-'Calculations II'!W253</f>
        <v>71.337121150602485</v>
      </c>
      <c r="Z253" s="95">
        <f ca="1">Y253-Sheet1!CT256</f>
        <v>53.477121150602485</v>
      </c>
      <c r="AA253" s="95">
        <f ca="1">Y253+Calculation!DJ254+Calculation!AS254</f>
        <v>87.168930295731712</v>
      </c>
      <c r="AC253" s="95">
        <f>Sheet1!AA255+Sheet1!AB255+BC253</f>
        <v>74.22999999999999</v>
      </c>
      <c r="AD253" s="95">
        <f>Sheet1!AA255+Sheet1!BN255+'Calculations II'!BC253-Calculation!AS253-Calculation!DJ253</f>
        <v>42.699621273166798</v>
      </c>
      <c r="AE253" s="95">
        <f>Sheet1!AA255+Sheet1!AB255+'Calculations II'!BC253-Calculation!AS253-Calculation!DJ253</f>
        <v>58.2996212731668</v>
      </c>
      <c r="AF253" s="95">
        <f ca="1">Sheet1!AA255+Sheet1!BN255+P253+'Calculations II'!BC253+Calculation!AS253+Calculation!DJ253</f>
        <v>74.197499877435689</v>
      </c>
      <c r="AG253" s="95">
        <f ca="1">IF(B253=TODAY(),0,Sheet1!AA255+Sheet1!BN255+'Calculations II'!BC253+'Calculations II'!P253-Sheet1!CT255-BP253)</f>
        <v>40.267121150602485</v>
      </c>
      <c r="AH253" s="95">
        <f ca="1">IF(B253=TODAY(),0,Sheet1!AA255+Sheet1!BN255+'Calculations II'!BC253+'Calculations II'!P253-BP253)</f>
        <v>58.267121150602485</v>
      </c>
      <c r="AI253" s="95">
        <f ca="1">IF(B253=TODAY(),0,BC253+Sheet1!AA255+Calculation!ES253+O253+W253+Sheet1!BN255+Calculation!AS253+Calculation!DJ253-BP253)</f>
        <v>74.197499877435689</v>
      </c>
      <c r="AJ253" s="95"/>
      <c r="AM253" s="91">
        <f t="shared" si="30"/>
        <v>41881</v>
      </c>
      <c r="AN253" s="95">
        <f>Sheet1!BU255</f>
        <v>48.4</v>
      </c>
      <c r="AO253" s="95">
        <f>Sheet1!AA255</f>
        <v>50.23</v>
      </c>
      <c r="AP253" s="95">
        <f t="shared" si="25"/>
        <v>-1.0525999999999973</v>
      </c>
      <c r="AQ253" s="1055">
        <f>((Sheet1!BV255-(Sheet1!BU255-AP253))/(Sheet1!BU255-AP253))</f>
        <v>0.16070742488767026</v>
      </c>
      <c r="AR253" s="95">
        <f t="shared" si="26"/>
        <v>51.282599999999995</v>
      </c>
      <c r="AS253" s="95">
        <f t="shared" si="27"/>
        <v>49.452599999999997</v>
      </c>
      <c r="AT253" s="90">
        <f>Sheet1!BB255</f>
        <v>1.6</v>
      </c>
      <c r="AU253" s="90">
        <f>Sheet1!AS255*GPMtoMGD</f>
        <v>1.6704E-2</v>
      </c>
      <c r="AV253" s="95">
        <f>Sheet1!AT255</f>
        <v>0</v>
      </c>
      <c r="AW253" s="90">
        <f>Sheet1!AV255*GPMtoMGD</f>
        <v>0.956592</v>
      </c>
      <c r="AX253" s="90">
        <f>Sheet1!AW255*GPMtoMGD</f>
        <v>1.438992</v>
      </c>
      <c r="AY253" s="90">
        <f>Sheet1!AX255*GPMtoMGD</f>
        <v>5.0544000000000006E-2</v>
      </c>
      <c r="AZ253" s="90">
        <f>Sheet1!AY255*GPMtoMGD</f>
        <v>0</v>
      </c>
      <c r="BA253" s="90">
        <f>Sheet1!AZ255*GPMtoMGD</f>
        <v>0</v>
      </c>
      <c r="BB253" s="90">
        <f>Sheet1!BP255*GPMtoMGD</f>
        <v>0</v>
      </c>
      <c r="BC253" s="90">
        <f>Sheet1!CS255*GPMtoMGD</f>
        <v>0</v>
      </c>
      <c r="BD253" s="90">
        <f>Sheet1!BO255*GPMtoMGD</f>
        <v>2.9301120000000003</v>
      </c>
      <c r="BE253" s="90">
        <f>Sheet1!BW255*GPMtoMGD</f>
        <v>1.3629600000000002</v>
      </c>
      <c r="BF253" s="90">
        <f>Sheet1!CN255*GPMtoMGD</f>
        <v>1.4400000000000002</v>
      </c>
      <c r="BG253" s="90">
        <f>Sheet1!CO255*GPMtoMGD</f>
        <v>0.9982080000000001</v>
      </c>
      <c r="BH253" s="90">
        <f>Sheet1!CP255*GPMtoMGD</f>
        <v>0.92246400000000006</v>
      </c>
      <c r="BI253" s="90">
        <f t="shared" si="31"/>
        <v>2.9301120000000003</v>
      </c>
      <c r="BK253" s="95">
        <f>SUM(AT253:BA253,BE253,Sheet1!BV255,'Calculations II'!BC253,Calculation!AQ253)</f>
        <v>70.94827386946011</v>
      </c>
      <c r="BM253" s="373">
        <f>0</f>
        <v>0</v>
      </c>
      <c r="BN253" s="373">
        <f>0</f>
        <v>0</v>
      </c>
      <c r="BP253" s="95">
        <f>SUM(BM253:BN253,W253,Sheet1!DX255)</f>
        <v>0</v>
      </c>
    </row>
    <row r="254" spans="1:68" s="90" customFormat="1">
      <c r="A254" s="651" t="s">
        <v>3</v>
      </c>
      <c r="B254" s="92">
        <v>41882</v>
      </c>
      <c r="C254" s="93">
        <v>0</v>
      </c>
      <c r="D254" s="95">
        <f>(Sheet1!BQ256-Sheet1!BQ255)*1.385</f>
        <v>0.77559999999999818</v>
      </c>
      <c r="E254" s="30">
        <f>(Sheet1!BR256-Sheet1!BR255)*1.385</f>
        <v>0.77559999999999818</v>
      </c>
      <c r="F254" s="30">
        <f ca="1">IF(B254=TODAY(),0,-(VLOOKUP(Sheet1!CD256,Lookup!$I$4:$J$216,2)-VLOOKUP(Sheet1!CD255,Lookup!$I$4:$J$216,2))/1000000)</f>
        <v>-0.31091081564340556</v>
      </c>
      <c r="G254" s="95">
        <f ca="1">IF(B254=TODAY(),0,-$G$6*(Sheet1!CF256-Sheet1!CF255)*7.48/1000000)</f>
        <v>0.19062480505228341</v>
      </c>
      <c r="H254" s="95">
        <f ca="1">IF(B254=TODAY(),0,-$H$6*(Sheet1!CE256-Sheet1!CE255)*7.48/1000000)</f>
        <v>-0.21055205291771062</v>
      </c>
      <c r="I254" s="95">
        <f ca="1">IF(B254=TODAY(),0,-$I$6*(Sheet1!CG256-Sheet1!CG255)*7.48/1000000)</f>
        <v>6.5141076000000006E-2</v>
      </c>
      <c r="J254" s="96" t="s">
        <v>186</v>
      </c>
      <c r="K254" s="95">
        <f ca="1">IF(B254=TODAY(),0,-$K$6*(Sheet1!CH256-Sheet1!CH255)*7.48/1000000)</f>
        <v>0.11927343470280619</v>
      </c>
      <c r="L254" s="96" t="s">
        <v>186</v>
      </c>
      <c r="M254" s="95">
        <f ca="1">IF(B254=TODAY(),0,-$M$6*(Sheet1!CI256-Sheet1!CI255)*7.48/1000000)</f>
        <v>0.36882592277455456</v>
      </c>
      <c r="N254" s="95">
        <f ca="1">IF(B254=TODAY(),0,-$N$6*(Sheet1!CJ256-Sheet1!CJ255)*7.48/1000000)</f>
        <v>0.161336098026022</v>
      </c>
      <c r="O254" s="95">
        <f t="shared" ca="1" si="28"/>
        <v>0.38373846799455003</v>
      </c>
      <c r="P254" s="95">
        <f ca="1">O254+Calculation!ES254</f>
        <v>-1.281579580530642</v>
      </c>
      <c r="Q254" s="90" t="str">
        <f>IF(Sheet1!BQ256&gt;25.75,"spill elevation","-")</f>
        <v>-</v>
      </c>
      <c r="R254" s="90" t="str">
        <f>IF(Sheet1!BQ256&gt;25.75,"spill elevation","-")</f>
        <v>-</v>
      </c>
      <c r="S254" s="90" t="str">
        <f>IF(Sheet1!BR256&gt;25.75,"spill elevation","-")</f>
        <v>-</v>
      </c>
      <c r="T254" s="94">
        <f>IF(Sheet1!DU256=1,Sheet1!AA256-(SUM(AT254:BA254)+BE254),Sheet1!AA256-SUM(AT254:BA254))</f>
        <v>43.787551999999998</v>
      </c>
      <c r="U254" s="94">
        <f>Sheet1!BV256</f>
        <v>52.8</v>
      </c>
      <c r="V254" s="94">
        <f t="shared" si="29"/>
        <v>-9.0124479999999991</v>
      </c>
      <c r="W254" s="94">
        <f>0</f>
        <v>0</v>
      </c>
      <c r="X254" s="90">
        <f>0</f>
        <v>0</v>
      </c>
      <c r="Y254" s="95">
        <f ca="1">Calculation!EJ255+Calculation!ES254+'Calculations II'!O254-'Calculations II'!W254</f>
        <v>66.068420419469348</v>
      </c>
      <c r="Z254" s="95">
        <f ca="1">Y254-Sheet1!CT257</f>
        <v>48.12842041946935</v>
      </c>
      <c r="AA254" s="95">
        <f ca="1">Y254+Calculation!DJ255+Calculation!AS255</f>
        <v>82.082812998763174</v>
      </c>
      <c r="AC254" s="95">
        <f>Sheet1!AA256+Sheet1!AB256+BC254</f>
        <v>71.7</v>
      </c>
      <c r="AD254" s="95">
        <f>Sheet1!AA256+Sheet1!BN256+'Calculations II'!BC254-Calculation!AS254-Calculation!DJ254</f>
        <v>40.268190854870774</v>
      </c>
      <c r="AE254" s="95">
        <f>Sheet1!AA256+Sheet1!AB256+'Calculations II'!BC254-Calculation!AS254-Calculation!DJ254</f>
        <v>55.868190854870782</v>
      </c>
      <c r="AF254" s="95">
        <f ca="1">Sheet1!AA256+Sheet1!BN256+P254+'Calculations II'!BC254+Calculation!AS254+Calculation!DJ254</f>
        <v>70.65022956459859</v>
      </c>
      <c r="AG254" s="95">
        <f ca="1">IF(B254=TODAY(),0,Sheet1!AA256+Sheet1!BN256+'Calculations II'!BC254+'Calculations II'!P254-Sheet1!CT256-BP254)</f>
        <v>36.958420419469363</v>
      </c>
      <c r="AH254" s="95">
        <f ca="1">IF(B254=TODAY(),0,Sheet1!AA256+Sheet1!BN256+'Calculations II'!BC254+'Calculations II'!P254-BP254)</f>
        <v>54.818420419469362</v>
      </c>
      <c r="AI254" s="95">
        <f ca="1">IF(B254=TODAY(),0,BC254+Sheet1!AA256+Calculation!ES254+O254+W254+Sheet1!BN256+Calculation!AS254+Calculation!DJ254-BP254)</f>
        <v>70.65022956459859</v>
      </c>
      <c r="AJ254" s="95"/>
      <c r="AM254" s="91">
        <f t="shared" si="30"/>
        <v>41882</v>
      </c>
      <c r="AN254" s="95">
        <f>Sheet1!BU256</f>
        <v>46.8</v>
      </c>
      <c r="AO254" s="95">
        <f>Sheet1!AA256</f>
        <v>47.1</v>
      </c>
      <c r="AP254" s="95">
        <f t="shared" si="25"/>
        <v>1.5511999999999964</v>
      </c>
      <c r="AQ254" s="1055">
        <f>((Sheet1!BV256-(Sheet1!BU256-AP254))/(Sheet1!BU256-AP254))</f>
        <v>0.16688177366029583</v>
      </c>
      <c r="AR254" s="95">
        <f t="shared" si="26"/>
        <v>45.548800000000007</v>
      </c>
      <c r="AS254" s="95">
        <f t="shared" si="27"/>
        <v>45.248800000000003</v>
      </c>
      <c r="AT254" s="90">
        <f>Sheet1!BB256</f>
        <v>1.6</v>
      </c>
      <c r="AU254" s="90">
        <f>Sheet1!AS256*GPMtoMGD</f>
        <v>3.2256E-2</v>
      </c>
      <c r="AV254" s="95">
        <f>Sheet1!AT256</f>
        <v>0</v>
      </c>
      <c r="AW254" s="90">
        <f>Sheet1!AV256*GPMtoMGD</f>
        <v>0.72360000000000002</v>
      </c>
      <c r="AX254" s="90">
        <f>Sheet1!AW256*GPMtoMGD</f>
        <v>0.94464000000000004</v>
      </c>
      <c r="AY254" s="90">
        <f>Sheet1!AX256*GPMtoMGD</f>
        <v>1.1952000000000003E-2</v>
      </c>
      <c r="AZ254" s="90">
        <f>Sheet1!AY256*GPMtoMGD</f>
        <v>0</v>
      </c>
      <c r="BA254" s="90">
        <f>Sheet1!AZ256*GPMtoMGD</f>
        <v>0</v>
      </c>
      <c r="BB254" s="90">
        <f>Sheet1!BP256*GPMtoMGD</f>
        <v>0</v>
      </c>
      <c r="BC254" s="90">
        <f>Sheet1!CS256*GPMtoMGD</f>
        <v>0</v>
      </c>
      <c r="BD254" s="90">
        <f>Sheet1!BO256*GPMtoMGD</f>
        <v>2.0207519999999999</v>
      </c>
      <c r="BE254" s="90">
        <f>Sheet1!BW256*GPMtoMGD</f>
        <v>1.1244959999999999</v>
      </c>
      <c r="BF254" s="90">
        <f>Sheet1!CN256*GPMtoMGD</f>
        <v>1.4400000000000002</v>
      </c>
      <c r="BG254" s="90">
        <f>Sheet1!CO256*GPMtoMGD</f>
        <v>0.98870400000000014</v>
      </c>
      <c r="BH254" s="90">
        <f>Sheet1!CP256*GPMtoMGD</f>
        <v>0.895536</v>
      </c>
      <c r="BI254" s="90">
        <f t="shared" si="31"/>
        <v>2.0207519999999999</v>
      </c>
      <c r="BK254" s="95">
        <f>SUM(AT254:BA254,BE254,Sheet1!BV256,'Calculations II'!BC254,Calculation!AQ254)</f>
        <v>66.040124914512916</v>
      </c>
      <c r="BM254" s="373">
        <f>0</f>
        <v>0</v>
      </c>
      <c r="BN254" s="373">
        <f>0</f>
        <v>0</v>
      </c>
      <c r="BP254" s="95">
        <f>SUM(BM254:BN254,W254,Sheet1!DX256)</f>
        <v>0</v>
      </c>
    </row>
    <row r="255" spans="1:68" s="90" customFormat="1">
      <c r="A255" s="651" t="s">
        <v>4</v>
      </c>
      <c r="B255" s="92">
        <v>41883</v>
      </c>
      <c r="C255" s="93">
        <v>0</v>
      </c>
      <c r="D255" s="95">
        <f>(Sheet1!BQ257-Sheet1!BQ256)*1.385</f>
        <v>-4.9028999999999989</v>
      </c>
      <c r="E255" s="30">
        <f>(Sheet1!BR257-Sheet1!BR256)*1.385</f>
        <v>-4.8475000000000001</v>
      </c>
      <c r="F255" s="30">
        <f ca="1">IF(B255=TODAY(),0,-(VLOOKUP(Sheet1!CD257,Lookup!$I$4:$J$216,2)-VLOOKUP(Sheet1!CD256,Lookup!$I$4:$J$216,2))/1000000)</f>
        <v>-0.10363693854779936</v>
      </c>
      <c r="G255" s="95">
        <f ca="1">IF(B255=TODAY(),0,-$G$6*(Sheet1!CF257-Sheet1!CF256)*7.48/1000000)</f>
        <v>4.7656201263071553E-2</v>
      </c>
      <c r="H255" s="95">
        <f ca="1">IF(B255=TODAY(),0,-$H$6*(Sheet1!CE257-Sheet1!CE256)*7.48/1000000)</f>
        <v>0.39102524113289122</v>
      </c>
      <c r="I255" s="95">
        <f ca="1">IF(B255=TODAY(),0,-$I$6*(Sheet1!CG257-Sheet1!CG256)*7.48/1000000)</f>
        <v>-4.9417368000000024E-2</v>
      </c>
      <c r="J255" s="96" t="s">
        <v>186</v>
      </c>
      <c r="K255" s="95">
        <f ca="1">IF(B255=TODAY(),0,-$K$6*(Sheet1!CH257-Sheet1!CH256)*7.48/1000000)</f>
        <v>-8.329150468073053E-2</v>
      </c>
      <c r="L255" s="96" t="s">
        <v>186</v>
      </c>
      <c r="M255" s="95">
        <f ca="1">IF(B255=TODAY(),0,-$M$6*(Sheet1!CI257-Sheet1!CI256)*7.48/1000000)</f>
        <v>-0.2176972519791274</v>
      </c>
      <c r="N255" s="95">
        <f ca="1">IF(B255=TODAY(),0,-$N$6*(Sheet1!CJ257-Sheet1!CJ256)*7.48/1000000)</f>
        <v>-0.15513086348655974</v>
      </c>
      <c r="O255" s="95">
        <f t="shared" ca="1" si="28"/>
        <v>-0.17049248429825431</v>
      </c>
      <c r="P255" s="95">
        <f ca="1">O255+Calculation!ES255</f>
        <v>9.6759212803340944</v>
      </c>
      <c r="Q255" s="90" t="str">
        <f>IF(Sheet1!BQ257&gt;25.75,"spill elevation","-")</f>
        <v>-</v>
      </c>
      <c r="R255" s="90" t="str">
        <f>IF(Sheet1!BQ257&gt;25.75,"spill elevation","-")</f>
        <v>-</v>
      </c>
      <c r="S255" s="90" t="str">
        <f>IF(Sheet1!BR257&gt;25.75,"spill elevation","-")</f>
        <v>-</v>
      </c>
      <c r="T255" s="94">
        <f>IF(Sheet1!DU257=1,Sheet1!AA257-(SUM(AT255:BA255)+BE255),Sheet1!AA257-SUM(AT255:BA255))</f>
        <v>30.839151999999999</v>
      </c>
      <c r="U255" s="94">
        <f>Sheet1!BV257</f>
        <v>49.4</v>
      </c>
      <c r="V255" s="94">
        <f t="shared" si="29"/>
        <v>-18.560848</v>
      </c>
      <c r="W255" s="94">
        <f>0</f>
        <v>0</v>
      </c>
      <c r="X255" s="90">
        <f>0</f>
        <v>0</v>
      </c>
      <c r="Y255" s="95">
        <f ca="1">Calculation!EJ256+Calculation!ES255+'Calculations II'!O255-'Calculations II'!W255</f>
        <v>81.585921280334091</v>
      </c>
      <c r="Z255" s="95">
        <f ca="1">Y255-Sheet1!CT258</f>
        <v>64.935921280334099</v>
      </c>
      <c r="AA255" s="95">
        <f ca="1">Y255+Calculation!DJ256+Calculation!AS256</f>
        <v>97.63937366128647</v>
      </c>
      <c r="AC255" s="95">
        <f>Sheet1!AA257+Sheet1!AB257+BC255</f>
        <v>67.349999999999994</v>
      </c>
      <c r="AD255" s="95">
        <f>Sheet1!AA257+Sheet1!BN257+'Calculations II'!BC255-Calculation!AS255-Calculation!DJ255</f>
        <v>35.585607420706154</v>
      </c>
      <c r="AE255" s="95">
        <f>Sheet1!AA257+Sheet1!AB257+'Calculations II'!BC255-Calculation!AS255-Calculation!DJ255</f>
        <v>51.335607420706168</v>
      </c>
      <c r="AF255" s="95">
        <f ca="1">Sheet1!AA257+Sheet1!BN257+P255+'Calculations II'!BC255+Calculation!AS255+Calculation!DJ255</f>
        <v>77.290313859627929</v>
      </c>
      <c r="AG255" s="95">
        <f ca="1">IF(B255=TODAY(),0,Sheet1!AA257+Sheet1!BN257+'Calculations II'!BC255+'Calculations II'!P255-Sheet1!CT257-BP255)</f>
        <v>43.335921280334091</v>
      </c>
      <c r="AH255" s="95">
        <f ca="1">IF(B255=TODAY(),0,Sheet1!AA257+Sheet1!BN257+'Calculations II'!BC255+'Calculations II'!P255-BP255)</f>
        <v>61.275921280334089</v>
      </c>
      <c r="AI255" s="95">
        <f ca="1">IF(B255=TODAY(),0,BC255+Sheet1!AA257+Calculation!ES255+O255+W255+Sheet1!BN257+Calculation!AS255+Calculation!DJ255-BP255)</f>
        <v>77.290313859627929</v>
      </c>
      <c r="AJ255" s="95"/>
      <c r="AM255" s="91">
        <f t="shared" si="30"/>
        <v>41883</v>
      </c>
      <c r="AN255" s="95">
        <f>Sheet1!BU257</f>
        <v>32.299999999999997</v>
      </c>
      <c r="AO255" s="95">
        <f>Sheet1!AA257</f>
        <v>34.4</v>
      </c>
      <c r="AP255" s="95">
        <f t="shared" si="25"/>
        <v>-9.7503999999999991</v>
      </c>
      <c r="AQ255" s="1055">
        <f>((Sheet1!BV257-(Sheet1!BU257-AP255))/(Sheet1!BU257-AP255))</f>
        <v>0.17478073930331228</v>
      </c>
      <c r="AR255" s="95">
        <f t="shared" si="26"/>
        <v>44.150399999999998</v>
      </c>
      <c r="AS255" s="95">
        <f t="shared" si="27"/>
        <v>42.050399999999996</v>
      </c>
      <c r="AT255" s="90">
        <f>Sheet1!BB257</f>
        <v>1.6</v>
      </c>
      <c r="AU255" s="90">
        <f>Sheet1!AS257*GPMtoMGD</f>
        <v>1.6416E-2</v>
      </c>
      <c r="AV255" s="95">
        <f>Sheet1!AT257</f>
        <v>0</v>
      </c>
      <c r="AW255" s="90">
        <f>Sheet1!AV257*GPMtoMGD</f>
        <v>0.76334400000000013</v>
      </c>
      <c r="AX255" s="90">
        <f>Sheet1!AW257*GPMtoMGD</f>
        <v>1.1597760000000001</v>
      </c>
      <c r="AY255" s="90">
        <f>Sheet1!AX257*GPMtoMGD</f>
        <v>2.1312000000000001E-2</v>
      </c>
      <c r="AZ255" s="90">
        <f>Sheet1!AY257*GPMtoMGD</f>
        <v>0</v>
      </c>
      <c r="BA255" s="90">
        <f>Sheet1!AZ257*GPMtoMGD</f>
        <v>0</v>
      </c>
      <c r="BB255" s="90">
        <f>Sheet1!BP257*GPMtoMGD</f>
        <v>3.2544000000000003E-2</v>
      </c>
      <c r="BC255" s="90">
        <f>Sheet1!CS257*GPMtoMGD</f>
        <v>0</v>
      </c>
      <c r="BD255" s="90">
        <f>Sheet1!BO257*GPMtoMGD</f>
        <v>3.0985920000000005</v>
      </c>
      <c r="BE255" s="90">
        <f>Sheet1!BW257*GPMtoMGD</f>
        <v>1.2297600000000002</v>
      </c>
      <c r="BF255" s="90">
        <f>Sheet1!CN257*GPMtoMGD</f>
        <v>1.4400000000000002</v>
      </c>
      <c r="BG255" s="90">
        <f>Sheet1!CO257*GPMtoMGD</f>
        <v>1.1590560000000001</v>
      </c>
      <c r="BH255" s="90">
        <f>Sheet1!CP257*GPMtoMGD</f>
        <v>0.96292800000000012</v>
      </c>
      <c r="BI255" s="90">
        <f t="shared" si="31"/>
        <v>3.1311360000000006</v>
      </c>
      <c r="BK255" s="95">
        <f>SUM(AT255:BA255,BE255,Sheet1!BV257,'Calculations II'!BC255,Calculation!AQ255)</f>
        <v>71.148716916816284</v>
      </c>
      <c r="BM255" s="373">
        <f>0</f>
        <v>0</v>
      </c>
      <c r="BN255" s="373">
        <f>0</f>
        <v>0</v>
      </c>
      <c r="BP255" s="95">
        <f>SUM(BM255:BN255,W255,Sheet1!DX257)</f>
        <v>0</v>
      </c>
    </row>
    <row r="256" spans="1:68" s="90" customFormat="1">
      <c r="A256" s="651" t="s">
        <v>5</v>
      </c>
      <c r="B256" s="92">
        <v>41884</v>
      </c>
      <c r="C256" s="93">
        <v>0</v>
      </c>
      <c r="D256" s="95">
        <f>(Sheet1!BQ258-Sheet1!BQ257)*1.385</f>
        <v>-1.2465000000000031</v>
      </c>
      <c r="E256" s="30">
        <f>(Sheet1!BR258-Sheet1!BR257)*1.385</f>
        <v>-1.3019000000000018</v>
      </c>
      <c r="F256" s="30">
        <f ca="1">IF(B256=TODAY(),0,-(VLOOKUP(Sheet1!CD258,Lookup!$I$4:$J$216,2)-VLOOKUP(Sheet1!CD257,Lookup!$I$4:$J$216,2))/1000000)</f>
        <v>-0.10363693854779936</v>
      </c>
      <c r="G256" s="95">
        <f ca="1">IF(B256=TODAY(),0,-$G$6*(Sheet1!CF258-Sheet1!CF257)*7.48/1000000)</f>
        <v>-0.19856750526279648</v>
      </c>
      <c r="H256" s="95">
        <f ca="1">IF(B256=TODAY(),0,-$H$6*(Sheet1!CE258-Sheet1!CE257)*7.48/1000000)</f>
        <v>0</v>
      </c>
      <c r="I256" s="95">
        <f ca="1">IF(B256=TODAY(),0,-$I$6*(Sheet1!CG258-Sheet1!CG257)*7.48/1000000)</f>
        <v>-2.6954927999999989E-2</v>
      </c>
      <c r="J256" s="96" t="s">
        <v>186</v>
      </c>
      <c r="K256" s="95">
        <f ca="1">IF(B256=TODAY(),0,-$K$6*(Sheet1!CH258-Sheet1!CH257)*7.48/1000000)</f>
        <v>-5.3306562995667592E-2</v>
      </c>
      <c r="L256" s="96" t="s">
        <v>186</v>
      </c>
      <c r="M256" s="95">
        <f ca="1">IF(B256=TODAY(),0,-$M$6*(Sheet1!CI258-Sheet1!CI257)*7.48/1000000)</f>
        <v>-0.21409895029352147</v>
      </c>
      <c r="N256" s="95">
        <f ca="1">IF(B256=TODAY(),0,-$N$6*(Sheet1!CJ258-Sheet1!CJ257)*7.48/1000000)</f>
        <v>7.4462814473549299E-2</v>
      </c>
      <c r="O256" s="95">
        <f t="shared" ca="1" si="28"/>
        <v>-0.52210207062623559</v>
      </c>
      <c r="P256" s="95">
        <f ca="1">O256+Calculation!ES256</f>
        <v>2.110114855235306</v>
      </c>
      <c r="Q256" s="90" t="str">
        <f>IF(Sheet1!BQ258&gt;25.75,"spill elevation","-")</f>
        <v>-</v>
      </c>
      <c r="R256" s="90" t="str">
        <f>IF(Sheet1!BQ258&gt;25.75,"spill elevation","-")</f>
        <v>-</v>
      </c>
      <c r="S256" s="90" t="str">
        <f>IF(Sheet1!BR258&gt;25.75,"spill elevation","-")</f>
        <v>-</v>
      </c>
      <c r="T256" s="94">
        <f>IF(Sheet1!DU258=1,Sheet1!AA258-(SUM(AT256:BA256)+BE256),Sheet1!AA258-SUM(AT256:BA256))</f>
        <v>29.337807999999999</v>
      </c>
      <c r="U256" s="94">
        <f>Sheet1!BV258</f>
        <v>41</v>
      </c>
      <c r="V256" s="94">
        <f t="shared" si="29"/>
        <v>-11.662192000000001</v>
      </c>
      <c r="W256" s="94">
        <f>0</f>
        <v>0</v>
      </c>
      <c r="X256" s="90">
        <f>0</f>
        <v>0</v>
      </c>
      <c r="Y256" s="95">
        <f ca="1">Calculation!EJ257+Calculation!ES256+'Calculations II'!O256-'Calculations II'!W256</f>
        <v>80.170114855235312</v>
      </c>
      <c r="Z256" s="95">
        <f ca="1">Y256-Sheet1!CT259</f>
        <v>61.390114855235311</v>
      </c>
      <c r="AA256" s="95">
        <f ca="1">Y256+Calculation!DJ257+Calculation!AS257</f>
        <v>96.284459804507463</v>
      </c>
      <c r="AC256" s="95">
        <f>Sheet1!AA258+Sheet1!AB258+BC256</f>
        <v>71.91</v>
      </c>
      <c r="AD256" s="95">
        <f>Sheet1!AA258+Sheet1!BN258+'Calculations II'!BC256-Calculation!AS256-Calculation!DJ256</f>
        <v>39.946547619047621</v>
      </c>
      <c r="AE256" s="95">
        <f>Sheet1!AA258+Sheet1!AB258+'Calculations II'!BC256-Calculation!AS256-Calculation!DJ256</f>
        <v>55.856547619047625</v>
      </c>
      <c r="AF256" s="95">
        <f ca="1">Sheet1!AA258+Sheet1!BN258+P256+'Calculations II'!BC256+Calculation!AS256+Calculation!DJ256</f>
        <v>74.163567236187689</v>
      </c>
      <c r="AG256" s="95">
        <f ca="1">IF(B256=TODAY(),0,Sheet1!AA258+Sheet1!BN258+'Calculations II'!BC256+'Calculations II'!P256-Sheet1!CT258-BP256)</f>
        <v>41.460114855235311</v>
      </c>
      <c r="AH256" s="95">
        <f ca="1">IF(B256=TODAY(),0,Sheet1!AA258+Sheet1!BN258+'Calculations II'!BC256+'Calculations II'!P256-BP256)</f>
        <v>58.11011485523531</v>
      </c>
      <c r="AI256" s="95">
        <f ca="1">IF(B256=TODAY(),0,BC256+Sheet1!AA258+Calculation!ES256+O256+W256+Sheet1!BN258+Calculation!AS256+Calculation!DJ256-BP256)</f>
        <v>74.163567236187689</v>
      </c>
      <c r="AJ256" s="95"/>
      <c r="AM256" s="91">
        <f t="shared" si="30"/>
        <v>41884</v>
      </c>
      <c r="AN256" s="95">
        <f>Sheet1!BU258</f>
        <v>31.2</v>
      </c>
      <c r="AO256" s="95">
        <f>Sheet1!AA258</f>
        <v>33.5</v>
      </c>
      <c r="AP256" s="95">
        <f t="shared" si="25"/>
        <v>-2.5484000000000049</v>
      </c>
      <c r="AQ256" s="1055">
        <f>((Sheet1!BV258-(Sheet1!BU258-AP256))/(Sheet1!BU258-AP256))</f>
        <v>0.21487240876604508</v>
      </c>
      <c r="AR256" s="95">
        <f t="shared" si="26"/>
        <v>36.048400000000008</v>
      </c>
      <c r="AS256" s="95">
        <f t="shared" si="27"/>
        <v>33.748400000000004</v>
      </c>
      <c r="AT256" s="90">
        <f>Sheet1!BB258</f>
        <v>1.6</v>
      </c>
      <c r="AU256" s="90">
        <f>Sheet1!AS258*GPMtoMGD</f>
        <v>3.5136000000000001E-2</v>
      </c>
      <c r="AV256" s="95">
        <f>Sheet1!AT258</f>
        <v>0</v>
      </c>
      <c r="AW256" s="90">
        <f>Sheet1!AV258*GPMtoMGD</f>
        <v>1.222704</v>
      </c>
      <c r="AX256" s="90">
        <f>Sheet1!AW258*GPMtoMGD</f>
        <v>1.2839040000000002</v>
      </c>
      <c r="AY256" s="90">
        <f>Sheet1!AX258*GPMtoMGD</f>
        <v>2.0448000000000001E-2</v>
      </c>
      <c r="AZ256" s="90">
        <f>Sheet1!AY258*GPMtoMGD</f>
        <v>0</v>
      </c>
      <c r="BA256" s="90">
        <f>Sheet1!AZ258*GPMtoMGD</f>
        <v>0</v>
      </c>
      <c r="BB256" s="90">
        <f>Sheet1!BP258*GPMtoMGD</f>
        <v>0</v>
      </c>
      <c r="BC256" s="90">
        <f>Sheet1!CS258*GPMtoMGD</f>
        <v>0</v>
      </c>
      <c r="BD256" s="90">
        <f>Sheet1!BO258*GPMtoMGD</f>
        <v>2.7059039999999999</v>
      </c>
      <c r="BE256" s="90">
        <f>Sheet1!BW258*GPMtoMGD</f>
        <v>1.3093920000000001</v>
      </c>
      <c r="BF256" s="90">
        <f>Sheet1!CN258*GPMtoMGD</f>
        <v>1.4400000000000002</v>
      </c>
      <c r="BG256" s="90">
        <f>Sheet1!CO258*GPMtoMGD</f>
        <v>0.98654400000000009</v>
      </c>
      <c r="BH256" s="90">
        <f>Sheet1!CP258*GPMtoMGD</f>
        <v>0.93902400000000008</v>
      </c>
      <c r="BI256" s="90">
        <f t="shared" si="31"/>
        <v>2.7059039999999999</v>
      </c>
      <c r="BK256" s="95">
        <f>SUM(AT256:BA256,BE256,Sheet1!BV258,'Calculations II'!BC256,Calculation!AQ256)</f>
        <v>68.837655428571423</v>
      </c>
      <c r="BM256" s="373">
        <f>0</f>
        <v>0</v>
      </c>
      <c r="BN256" s="373">
        <f>0</f>
        <v>0</v>
      </c>
      <c r="BP256" s="95">
        <f>SUM(BM256:BN256,W256,Sheet1!DX258)</f>
        <v>0</v>
      </c>
    </row>
    <row r="257" spans="1:68" s="90" customFormat="1">
      <c r="A257" s="651" t="s">
        <v>6</v>
      </c>
      <c r="B257" s="92">
        <v>41885</v>
      </c>
      <c r="C257" s="93">
        <v>0</v>
      </c>
      <c r="D257" s="95">
        <f>(Sheet1!BQ259-Sheet1!BQ258)*1.385</f>
        <v>0.59555000000000458</v>
      </c>
      <c r="E257" s="30">
        <f>(Sheet1!BR259-Sheet1!BR258)*1.385</f>
        <v>0.59555000000000458</v>
      </c>
      <c r="F257" s="30">
        <f ca="1">IF(B257=TODAY(),0,-(VLOOKUP(Sheet1!CD259,Lookup!$I$4:$J$216,2)-VLOOKUP(Sheet1!CD258,Lookup!$I$4:$J$216,2))/1000000)</f>
        <v>0.51818469273900425</v>
      </c>
      <c r="G257" s="95">
        <f ca="1">IF(B257=TODAY(),0,-$G$6*(Sheet1!CF259-Sheet1!CF258)*7.48/1000000)</f>
        <v>-0.11914050315767817</v>
      </c>
      <c r="H257" s="95">
        <f ca="1">IF(B257=TODAY(),0,-$H$6*(Sheet1!CE259-Sheet1!CE258)*7.48/1000000)</f>
        <v>-0.12031545881012057</v>
      </c>
      <c r="I257" s="95">
        <f ca="1">IF(B257=TODAY(),0,-$I$6*(Sheet1!CG259-Sheet1!CG258)*7.48/1000000)</f>
        <v>-4.4924879999999837E-3</v>
      </c>
      <c r="J257" s="96" t="s">
        <v>186</v>
      </c>
      <c r="K257" s="95">
        <f ca="1">IF(B257=TODAY(),0,-$K$6*(Sheet1!CH259-Sheet1!CH258)*7.48/1000000)</f>
        <v>0</v>
      </c>
      <c r="L257" s="96" t="s">
        <v>186</v>
      </c>
      <c r="M257" s="95">
        <f ca="1">IF(B257=TODAY(),0,-$M$6*(Sheet1!CI259-Sheet1!CI258)*7.48/1000000)</f>
        <v>-1.7991508428027301E-2</v>
      </c>
      <c r="N257" s="95">
        <f ca="1">IF(B257=TODAY(),0,-$N$6*(Sheet1!CJ259-Sheet1!CJ258)*7.48/1000000)</f>
        <v>-0.3536983687493564</v>
      </c>
      <c r="O257" s="95">
        <f t="shared" ca="1" si="28"/>
        <v>-9.7453634406178158E-2</v>
      </c>
      <c r="P257" s="95">
        <f ca="1">O257+Calculation!ES257</f>
        <v>-1.4826859067171427</v>
      </c>
      <c r="Q257" s="90" t="str">
        <f>IF(Sheet1!BQ259&gt;25.75,"spill elevation","-")</f>
        <v>-</v>
      </c>
      <c r="R257" s="90" t="str">
        <f>IF(Sheet1!BQ259&gt;25.75,"spill elevation","-")</f>
        <v>-</v>
      </c>
      <c r="S257" s="90" t="str">
        <f>IF(Sheet1!BR259&gt;25.75,"spill elevation","-")</f>
        <v>-</v>
      </c>
      <c r="T257" s="94">
        <f>IF(Sheet1!DU259=1,Sheet1!AA259-(SUM(AT257:BA257)+BE257),Sheet1!AA259-SUM(AT257:BA257))</f>
        <v>29.558399999999995</v>
      </c>
      <c r="U257" s="94">
        <f>Sheet1!BV259</f>
        <v>37.1</v>
      </c>
      <c r="V257" s="94">
        <f t="shared" si="29"/>
        <v>-7.5416000000000061</v>
      </c>
      <c r="W257" s="94">
        <f>0</f>
        <v>0</v>
      </c>
      <c r="X257" s="90">
        <f>0</f>
        <v>0</v>
      </c>
      <c r="Y257" s="95">
        <f ca="1">Calculation!EJ258+Calculation!ES257+'Calculations II'!O257-'Calculations II'!W257</f>
        <v>80.857314093282866</v>
      </c>
      <c r="Z257" s="95">
        <f ca="1">Y257-Sheet1!CT260</f>
        <v>63.627314093282862</v>
      </c>
      <c r="AA257" s="95">
        <f ca="1">Y257+Calculation!DJ258+Calculation!AS258</f>
        <v>97.026546099716313</v>
      </c>
      <c r="AC257" s="95">
        <f>Sheet1!AA259+Sheet1!AB259+BC257</f>
        <v>78.06</v>
      </c>
      <c r="AD257" s="95">
        <f>Sheet1!AA259+Sheet1!BN259+'Calculations II'!BC257-Calculation!AS257-Calculation!DJ257</f>
        <v>45.885655050727834</v>
      </c>
      <c r="AE257" s="95">
        <f>Sheet1!AA259+Sheet1!AB259+'Calculations II'!BC257-Calculation!AS257-Calculation!DJ257</f>
        <v>61.945655050727844</v>
      </c>
      <c r="AF257" s="95">
        <f ca="1">Sheet1!AA259+Sheet1!BN259+P257+'Calculations II'!BC257+Calculation!AS257+Calculation!DJ257</f>
        <v>76.631659042555015</v>
      </c>
      <c r="AG257" s="95">
        <f ca="1">IF(B257=TODAY(),0,Sheet1!AA259+Sheet1!BN259+'Calculations II'!BC257+'Calculations II'!P257-Sheet1!CT259-BP257)</f>
        <v>41.737314093282855</v>
      </c>
      <c r="AH257" s="95">
        <f ca="1">IF(B257=TODAY(),0,Sheet1!AA259+Sheet1!BN259+'Calculations II'!BC257+'Calculations II'!P257-BP257)</f>
        <v>60.517314093282856</v>
      </c>
      <c r="AI257" s="95">
        <f ca="1">IF(B257=TODAY(),0,BC257+Sheet1!AA259+Calculation!ES257+O257+W257+Sheet1!BN259+Calculation!AS257+Calculation!DJ257-BP257)</f>
        <v>76.631659042555015</v>
      </c>
      <c r="AJ257" s="95"/>
      <c r="AM257" s="91">
        <f t="shared" si="30"/>
        <v>41885</v>
      </c>
      <c r="AN257" s="95">
        <f>Sheet1!BU259</f>
        <v>31.1</v>
      </c>
      <c r="AO257" s="95">
        <f>Sheet1!AA259</f>
        <v>32.799999999999997</v>
      </c>
      <c r="AP257" s="95">
        <f t="shared" si="25"/>
        <v>1.1911000000000092</v>
      </c>
      <c r="AQ257" s="1055">
        <f>((Sheet1!BV259-(Sheet1!BU259-AP257))/(Sheet1!BU259-AP257))</f>
        <v>0.24043344957521043</v>
      </c>
      <c r="AR257" s="95">
        <f t="shared" si="26"/>
        <v>31.608899999999988</v>
      </c>
      <c r="AS257" s="95">
        <f t="shared" si="27"/>
        <v>29.908899999999992</v>
      </c>
      <c r="AT257" s="90">
        <f>Sheet1!BB259</f>
        <v>1.6</v>
      </c>
      <c r="AU257" s="90">
        <f>Sheet1!AS259*GPMtoMGD</f>
        <v>1.6416E-2</v>
      </c>
      <c r="AV257" s="95">
        <f>Sheet1!AT259</f>
        <v>0</v>
      </c>
      <c r="AW257" s="90">
        <f>Sheet1!AV259*GPMtoMGD</f>
        <v>0.64944000000000002</v>
      </c>
      <c r="AX257" s="90">
        <f>Sheet1!AW259*GPMtoMGD</f>
        <v>0.955152</v>
      </c>
      <c r="AY257" s="90">
        <f>Sheet1!AX259*GPMtoMGD</f>
        <v>2.0592000000000003E-2</v>
      </c>
      <c r="AZ257" s="90">
        <f>Sheet1!AY259*GPMtoMGD</f>
        <v>0</v>
      </c>
      <c r="BA257" s="90">
        <f>Sheet1!AZ259*GPMtoMGD</f>
        <v>0</v>
      </c>
      <c r="BB257" s="90">
        <f>Sheet1!BP259*GPMtoMGD</f>
        <v>0</v>
      </c>
      <c r="BC257" s="90">
        <f>Sheet1!CS259*GPMtoMGD</f>
        <v>0</v>
      </c>
      <c r="BD257" s="90">
        <f>Sheet1!BO259*GPMtoMGD</f>
        <v>2.6635680000000002</v>
      </c>
      <c r="BE257" s="90">
        <f>Sheet1!BW259*GPMtoMGD</f>
        <v>1.0982880000000002</v>
      </c>
      <c r="BF257" s="90">
        <f>Sheet1!CN259*GPMtoMGD</f>
        <v>1.4400000000000002</v>
      </c>
      <c r="BG257" s="90">
        <f>Sheet1!CO259*GPMtoMGD</f>
        <v>1.030176</v>
      </c>
      <c r="BH257" s="90">
        <f>Sheet1!CP259*GPMtoMGD</f>
        <v>0.95803199999999999</v>
      </c>
      <c r="BI257" s="90">
        <f t="shared" si="31"/>
        <v>2.6635680000000002</v>
      </c>
      <c r="BK257" s="95">
        <f>SUM(AT257:BA257,BE257,Sheet1!BV259,'Calculations II'!BC257,Calculation!AQ257)</f>
        <v>70.588366164975739</v>
      </c>
      <c r="BM257" s="373">
        <f>0</f>
        <v>0</v>
      </c>
      <c r="BN257" s="373">
        <f>0</f>
        <v>0</v>
      </c>
      <c r="BP257" s="95">
        <f>SUM(BM257:BN257,W257,Sheet1!DX259)</f>
        <v>0</v>
      </c>
    </row>
    <row r="258" spans="1:68" s="90" customFormat="1">
      <c r="A258" s="651" t="s">
        <v>7</v>
      </c>
      <c r="B258" s="92">
        <v>41886</v>
      </c>
      <c r="C258" s="93">
        <v>0</v>
      </c>
      <c r="D258" s="95">
        <f>(Sheet1!BQ260-Sheet1!BQ259)*1.385</f>
        <v>3.3378500000000004</v>
      </c>
      <c r="E258" s="30">
        <f>(Sheet1!BR260-Sheet1!BR259)*1.385</f>
        <v>3.3378500000000004</v>
      </c>
      <c r="F258" s="30">
        <f ca="1">IF(B258=TODAY(),0,-(VLOOKUP(Sheet1!CD260,Lookup!$I$4:$J$216,2)-VLOOKUP(Sheet1!CD259,Lookup!$I$4:$J$216,2))/1000000)</f>
        <v>0.51818469273899681</v>
      </c>
      <c r="G258" s="95">
        <f ca="1">IF(B258=TODAY(),0,-$G$6*(Sheet1!CF260-Sheet1!CF259)*7.48/1000000)</f>
        <v>0.55598901473583096</v>
      </c>
      <c r="H258" s="95">
        <f ca="1">IF(B258=TODAY(),0,-$H$6*(Sheet1!CE260-Sheet1!CE259)*7.48/1000000)</f>
        <v>0.21055205291771115</v>
      </c>
      <c r="I258" s="95">
        <f ca="1">IF(B258=TODAY(),0,-$I$6*(Sheet1!CG260-Sheet1!CG259)*7.48/1000000)</f>
        <v>-2.2462440000000004E-2</v>
      </c>
      <c r="J258" s="96" t="s">
        <v>186</v>
      </c>
      <c r="K258" s="95">
        <f ca="1">IF(B258=TODAY(),0,-$K$6*(Sheet1!CH260-Sheet1!CH259)*7.48/1000000)</f>
        <v>-3.9979922246750635E-2</v>
      </c>
      <c r="L258" s="96" t="s">
        <v>186</v>
      </c>
      <c r="M258" s="95">
        <f ca="1">IF(B258=TODAY(),0,-$M$6*(Sheet1!CI260-Sheet1!CI259)*7.48/1000000)</f>
        <v>-0.10794905056816255</v>
      </c>
      <c r="N258" s="95">
        <f ca="1">IF(B258=TODAY(),0,-$N$6*(Sheet1!CJ260-Sheet1!CJ259)*7.48/1000000)</f>
        <v>0.50262399769645394</v>
      </c>
      <c r="O258" s="95">
        <f t="shared" ca="1" si="28"/>
        <v>1.6169583452740794</v>
      </c>
      <c r="P258" s="95">
        <f ca="1">O258+Calculation!ES258</f>
        <v>-5.0366182392004024</v>
      </c>
      <c r="Q258" s="90" t="str">
        <f>IF(Sheet1!BQ260&gt;25.75,"spill elevation","-")</f>
        <v>-</v>
      </c>
      <c r="R258" s="90" t="str">
        <f>IF(Sheet1!BQ260&gt;25.75,"spill elevation","-")</f>
        <v>-</v>
      </c>
      <c r="S258" s="90" t="str">
        <f>IF(Sheet1!BR260&gt;25.75,"spill elevation","-")</f>
        <v>-</v>
      </c>
      <c r="T258" s="94">
        <f>IF(Sheet1!DU260=1,Sheet1!AA260-(SUM(AT258:BA258)+BE258),Sheet1!AA260-SUM(AT258:BA258))</f>
        <v>29.148095999999999</v>
      </c>
      <c r="U258" s="94">
        <f>Sheet1!BV260</f>
        <v>31.3</v>
      </c>
      <c r="V258" s="94">
        <f t="shared" si="29"/>
        <v>-2.1519040000000018</v>
      </c>
      <c r="W258" s="94">
        <f>0</f>
        <v>0</v>
      </c>
      <c r="X258" s="90">
        <f>0</f>
        <v>0</v>
      </c>
      <c r="Y258" s="95">
        <f ca="1">Calculation!EJ259+Calculation!ES258+'Calculations II'!O258-'Calculations II'!W258</f>
        <v>75.643381760799613</v>
      </c>
      <c r="Z258" s="95">
        <f ca="1">Y258-Sheet1!CT261</f>
        <v>58.80938176079961</v>
      </c>
      <c r="AA258" s="95">
        <f ca="1">Y258+Calculation!DJ259+Calculation!AS259</f>
        <v>90.848713979771617</v>
      </c>
      <c r="AC258" s="95">
        <f>Sheet1!AA260+Sheet1!AB260+BC258</f>
        <v>82.34</v>
      </c>
      <c r="AD258" s="95">
        <f>Sheet1!AA260+Sheet1!BN260+'Calculations II'!BC258-Calculation!AS258-Calculation!DJ258</f>
        <v>49.930767993566548</v>
      </c>
      <c r="AE258" s="95">
        <f>Sheet1!AA260+Sheet1!AB260+'Calculations II'!BC258-Calculation!AS258-Calculation!DJ258</f>
        <v>66.170767993566557</v>
      </c>
      <c r="AF258" s="95">
        <f ca="1">Sheet1!AA260+Sheet1!BN260+P258+'Calculations II'!BC258+Calculation!AS258+Calculation!DJ258</f>
        <v>77.232613767233047</v>
      </c>
      <c r="AG258" s="95">
        <f ca="1">IF(B258=TODAY(),0,Sheet1!AA260+Sheet1!BN260+'Calculations II'!BC258+'Calculations II'!P258-Sheet1!CT260-BP258)</f>
        <v>43.833381760799597</v>
      </c>
      <c r="AH258" s="95">
        <f ca="1">IF(B258=TODAY(),0,Sheet1!AA260+Sheet1!BN260+'Calculations II'!BC258+'Calculations II'!P258-BP258)</f>
        <v>61.063381760799594</v>
      </c>
      <c r="AI258" s="95">
        <f ca="1">IF(B258=TODAY(),0,BC258+Sheet1!AA260+Calculation!ES258+O258+W258+Sheet1!BN260+Calculation!AS258+Calculation!DJ258-BP258)</f>
        <v>77.232613767233062</v>
      </c>
      <c r="AJ258" s="95"/>
      <c r="AM258" s="91">
        <f t="shared" si="30"/>
        <v>41886</v>
      </c>
      <c r="AN258" s="95">
        <f>Sheet1!BU260</f>
        <v>30.7</v>
      </c>
      <c r="AO258" s="95">
        <f>Sheet1!AA260</f>
        <v>32.5</v>
      </c>
      <c r="AP258" s="95">
        <f t="shared" si="25"/>
        <v>6.6757000000000009</v>
      </c>
      <c r="AQ258" s="1055">
        <f>((Sheet1!BV260-(Sheet1!BU260-AP258))/(Sheet1!BU260-AP258))</f>
        <v>0.30284753353895866</v>
      </c>
      <c r="AR258" s="95">
        <f t="shared" si="26"/>
        <v>25.824300000000001</v>
      </c>
      <c r="AS258" s="95">
        <f t="shared" si="27"/>
        <v>24.024299999999997</v>
      </c>
      <c r="AT258" s="90">
        <f>Sheet1!BB260</f>
        <v>1.6</v>
      </c>
      <c r="AU258" s="90">
        <f>Sheet1!AS260*GPMtoMGD</f>
        <v>1.6272000000000002E-2</v>
      </c>
      <c r="AV258" s="95">
        <f>Sheet1!AT260</f>
        <v>0</v>
      </c>
      <c r="AW258" s="90">
        <f>Sheet1!AV260*GPMtoMGD</f>
        <v>0.71740800000000005</v>
      </c>
      <c r="AX258" s="90">
        <f>Sheet1!AW260*GPMtoMGD</f>
        <v>0.99590400000000012</v>
      </c>
      <c r="AY258" s="90">
        <f>Sheet1!AX260*GPMtoMGD</f>
        <v>2.2320000000000003E-2</v>
      </c>
      <c r="AZ258" s="90">
        <f>Sheet1!AY260*GPMtoMGD</f>
        <v>0</v>
      </c>
      <c r="BA258" s="90">
        <f>Sheet1!AZ260*GPMtoMGD</f>
        <v>0</v>
      </c>
      <c r="BB258" s="90">
        <f>Sheet1!BP260*GPMtoMGD</f>
        <v>0</v>
      </c>
      <c r="BC258" s="90">
        <f>Sheet1!CS260*GPMtoMGD</f>
        <v>0</v>
      </c>
      <c r="BD258" s="90">
        <f>Sheet1!BO260*GPMtoMGD</f>
        <v>2.8412640000000002</v>
      </c>
      <c r="BE258" s="90">
        <f>Sheet1!BW260*GPMtoMGD</f>
        <v>1.3199040000000002</v>
      </c>
      <c r="BF258" s="90">
        <f>Sheet1!CN260*GPMtoMGD</f>
        <v>1.4400000000000002</v>
      </c>
      <c r="BG258" s="90">
        <f>Sheet1!CO260*GPMtoMGD</f>
        <v>1.0640160000000001</v>
      </c>
      <c r="BH258" s="90">
        <f>Sheet1!CP260*GPMtoMGD</f>
        <v>0.93211199999999994</v>
      </c>
      <c r="BI258" s="90">
        <f t="shared" si="31"/>
        <v>2.8412640000000002</v>
      </c>
      <c r="BK258" s="95">
        <f>SUM(AT258:BA258,BE258,Sheet1!BV260,'Calculations II'!BC258,Calculation!AQ258)</f>
        <v>69.639359266586254</v>
      </c>
      <c r="BM258" s="373">
        <f>0</f>
        <v>0</v>
      </c>
      <c r="BN258" s="373">
        <f>0</f>
        <v>0</v>
      </c>
      <c r="BP258" s="95">
        <f>SUM(BM258:BN258,W258,Sheet1!DX260)</f>
        <v>0</v>
      </c>
    </row>
    <row r="259" spans="1:68" s="90" customFormat="1">
      <c r="A259" s="651" t="s">
        <v>8</v>
      </c>
      <c r="B259" s="92">
        <v>41887</v>
      </c>
      <c r="C259" s="93">
        <v>0</v>
      </c>
      <c r="D259" s="95">
        <f>(Sheet1!BQ261-Sheet1!BQ260)*1.385</f>
        <v>0.52629999999999866</v>
      </c>
      <c r="E259" s="30">
        <f>(Sheet1!BR261-Sheet1!BR260)*1.385</f>
        <v>0.65094999999999847</v>
      </c>
      <c r="F259" s="30">
        <f ca="1">IF(B259=TODAY(),0,-(VLOOKUP(Sheet1!CD261,Lookup!$I$4:$J$216,2)-VLOOKUP(Sheet1!CD260,Lookup!$I$4:$J$216,2))/1000000)</f>
        <v>-0.62182163128680368</v>
      </c>
      <c r="G259" s="95">
        <f ca="1">IF(B259=TODAY(),0,-$G$6*(Sheet1!CF261-Sheet1!CF260)*7.48/1000000)</f>
        <v>-3.9713501052559864E-2</v>
      </c>
      <c r="H259" s="95">
        <f ca="1">IF(B259=TODAY(),0,-$H$6*(Sheet1!CE261-Sheet1!CE260)*7.48/1000000)</f>
        <v>-0.33086751172783119</v>
      </c>
      <c r="I259" s="95">
        <f ca="1">IF(B259=TODAY(),0,-$I$6*(Sheet1!CG261-Sheet1!CG260)*7.48/1000000)</f>
        <v>1.3477463999999953E-2</v>
      </c>
      <c r="J259" s="96" t="s">
        <v>186</v>
      </c>
      <c r="K259" s="95">
        <f ca="1">IF(B259=TODAY(),0,-$K$6*(Sheet1!CH261-Sheet1!CH260)*7.48/1000000)</f>
        <v>1.9989961123375255E-2</v>
      </c>
      <c r="L259" s="96" t="s">
        <v>186</v>
      </c>
      <c r="M259" s="95">
        <f ca="1">IF(B259=TODAY(),0,-$M$6*(Sheet1!CI261-Sheet1!CI260)*7.48/1000000)</f>
        <v>7.1966033712108565E-2</v>
      </c>
      <c r="N259" s="95">
        <f ca="1">IF(B259=TODAY(),0,-$N$6*(Sheet1!CJ261-Sheet1!CJ260)*7.48/1000000)</f>
        <v>-0.35990360328881865</v>
      </c>
      <c r="O259" s="95">
        <f t="shared" ca="1" si="28"/>
        <v>-1.2468727885205295</v>
      </c>
      <c r="P259" s="95">
        <f ca="1">O259+Calculation!ES259</f>
        <v>-2.217804804322276</v>
      </c>
      <c r="Q259" s="90" t="str">
        <f>IF(Sheet1!BQ261&gt;25.75,"spill elevation","-")</f>
        <v>-</v>
      </c>
      <c r="R259" s="90" t="str">
        <f>IF(Sheet1!BQ261&gt;25.75,"spill elevation","-")</f>
        <v>-</v>
      </c>
      <c r="S259" s="90" t="str">
        <f>IF(Sheet1!BR261&gt;25.75,"spill elevation","-")</f>
        <v>-</v>
      </c>
      <c r="T259" s="94">
        <f>IF(Sheet1!DU261=1,Sheet1!AA261-(SUM(AT259:BA259)+BE259),Sheet1!AA261-SUM(AT259:BA259))</f>
        <v>28.923759999999994</v>
      </c>
      <c r="U259" s="94">
        <f>Sheet1!BV261</f>
        <v>36.299999999999997</v>
      </c>
      <c r="V259" s="94">
        <f t="shared" si="29"/>
        <v>-7.3762400000000028</v>
      </c>
      <c r="W259" s="94">
        <f>0</f>
        <v>0</v>
      </c>
      <c r="X259" s="90">
        <f>0</f>
        <v>0</v>
      </c>
      <c r="Y259" s="95">
        <f ca="1">Calculation!EJ260+Calculation!ES259+'Calculations II'!O259-'Calculations II'!W259</f>
        <v>75.042195195677721</v>
      </c>
      <c r="Z259" s="95">
        <f ca="1">Y259-Sheet1!CT262</f>
        <v>58.188195195677721</v>
      </c>
      <c r="AA259" s="95">
        <f ca="1">Y259+Calculation!DJ260+Calculation!AS260</f>
        <v>89.685129489107055</v>
      </c>
      <c r="AC259" s="95">
        <f>Sheet1!AA261+Sheet1!AB261+BC259</f>
        <v>80.680000000000007</v>
      </c>
      <c r="AD259" s="95">
        <f>Sheet1!AA261+Sheet1!BN261+'Calculations II'!BC259-Calculation!AS259-Calculation!DJ259</f>
        <v>50.154667781027996</v>
      </c>
      <c r="AE259" s="95">
        <f>Sheet1!AA261+Sheet1!AB261+'Calculations II'!BC259-Calculation!AS259-Calculation!DJ259</f>
        <v>65.474667781028018</v>
      </c>
      <c r="AF259" s="95">
        <f ca="1">Sheet1!AA261+Sheet1!BN261+P259+'Calculations II'!BC259+Calculation!AS259+Calculation!DJ259</f>
        <v>78.347527414649733</v>
      </c>
      <c r="AG259" s="95">
        <f ca="1">IF(B259=TODAY(),0,Sheet1!AA261+Sheet1!BN261+'Calculations II'!BC259+'Calculations II'!P259-Sheet1!CT261-BP259)</f>
        <v>46.308195195677726</v>
      </c>
      <c r="AH259" s="95">
        <f ca="1">IF(B259=TODAY(),0,Sheet1!AA261+Sheet1!BN261+'Calculations II'!BC259+'Calculations II'!P259-BP259)</f>
        <v>63.142195195677722</v>
      </c>
      <c r="AI259" s="95">
        <f ca="1">IF(B259=TODAY(),0,BC259+Sheet1!AA261+Calculation!ES259+O259+W259+Sheet1!BN261+Calculation!AS259+Calculation!DJ259-BP259)</f>
        <v>78.347527414649733</v>
      </c>
      <c r="AJ259" s="95"/>
      <c r="AM259" s="91">
        <f t="shared" si="30"/>
        <v>41887</v>
      </c>
      <c r="AN259" s="95">
        <f>Sheet1!BU261</f>
        <v>30.5</v>
      </c>
      <c r="AO259" s="95">
        <f>Sheet1!AA261</f>
        <v>32.659999999999997</v>
      </c>
      <c r="AP259" s="95">
        <f t="shared" si="25"/>
        <v>1.1772499999999972</v>
      </c>
      <c r="AQ259" s="1055">
        <f>((Sheet1!BV261-(Sheet1!BU261-AP259))/(Sheet1!BU261-AP259))</f>
        <v>0.23794664552267417</v>
      </c>
      <c r="AR259" s="95">
        <f t="shared" si="26"/>
        <v>31.482749999999999</v>
      </c>
      <c r="AS259" s="95">
        <f t="shared" si="27"/>
        <v>29.322750000000003</v>
      </c>
      <c r="AT259" s="90">
        <f>Sheet1!BB261</f>
        <v>1.6</v>
      </c>
      <c r="AU259" s="90">
        <f>Sheet1!AS261*GPMtoMGD</f>
        <v>1.7424000000000002E-2</v>
      </c>
      <c r="AV259" s="95">
        <f>Sheet1!AT261</f>
        <v>0</v>
      </c>
      <c r="AW259" s="90">
        <f>Sheet1!AV261*GPMtoMGD</f>
        <v>0.88228800000000007</v>
      </c>
      <c r="AX259" s="90">
        <f>Sheet1!AW261*GPMtoMGD</f>
        <v>1.207152</v>
      </c>
      <c r="AY259" s="90">
        <f>Sheet1!AX261*GPMtoMGD</f>
        <v>2.9375999999999999E-2</v>
      </c>
      <c r="AZ259" s="90">
        <f>Sheet1!AY261*GPMtoMGD</f>
        <v>0</v>
      </c>
      <c r="BA259" s="90">
        <f>Sheet1!AZ261*GPMtoMGD</f>
        <v>0</v>
      </c>
      <c r="BB259" s="90">
        <f>Sheet1!BP261*GPMtoMGD</f>
        <v>0</v>
      </c>
      <c r="BC259" s="90">
        <f>Sheet1!CS261*GPMtoMGD</f>
        <v>0</v>
      </c>
      <c r="BD259" s="90">
        <f>Sheet1!BO261*GPMtoMGD</f>
        <v>2.7977760000000003</v>
      </c>
      <c r="BE259" s="90">
        <f>Sheet1!BW261*GPMtoMGD</f>
        <v>1.2801600000000002</v>
      </c>
      <c r="BF259" s="90">
        <f>Sheet1!CN261*GPMtoMGD</f>
        <v>1.4400000000000002</v>
      </c>
      <c r="BG259" s="90">
        <f>Sheet1!CO261*GPMtoMGD</f>
        <v>1.1841120000000001</v>
      </c>
      <c r="BH259" s="90">
        <f>Sheet1!CP261*GPMtoMGD</f>
        <v>0.95457599999999998</v>
      </c>
      <c r="BI259" s="90">
        <f t="shared" si="31"/>
        <v>2.7977760000000003</v>
      </c>
      <c r="BK259" s="95">
        <f>SUM(AT259:BA259,BE259,Sheet1!BV261,'Calculations II'!BC259,Calculation!AQ259)</f>
        <v>74.125718846636033</v>
      </c>
      <c r="BM259" s="373">
        <f>0</f>
        <v>0</v>
      </c>
      <c r="BN259" s="373">
        <f>0</f>
        <v>0</v>
      </c>
      <c r="BP259" s="95">
        <f>SUM(BM259:BN259,W259,Sheet1!DX261)</f>
        <v>0</v>
      </c>
    </row>
    <row r="260" spans="1:68" s="90" customFormat="1">
      <c r="A260" s="651" t="s">
        <v>9</v>
      </c>
      <c r="B260" s="92">
        <v>41888</v>
      </c>
      <c r="C260" s="93">
        <v>0</v>
      </c>
      <c r="D260" s="95">
        <f>(Sheet1!BQ262-Sheet1!BQ261)*1.385</f>
        <v>-1.5512000000000015</v>
      </c>
      <c r="E260" s="30">
        <f>(Sheet1!BR262-Sheet1!BR261)*1.385</f>
        <v>-1.5650499999999987</v>
      </c>
      <c r="F260" s="30">
        <f ca="1">IF(B260=TODAY(),0,-(VLOOKUP(Sheet1!CD262,Lookup!$I$4:$J$216,2)-VLOOKUP(Sheet1!CD261,Lookup!$I$4:$J$216,2))/1000000)</f>
        <v>0.10363693854780681</v>
      </c>
      <c r="G260" s="95">
        <f ca="1">IF(B260=TODAY(),0,-$G$6*(Sheet1!CF262-Sheet1!CF261)*7.48/1000000)</f>
        <v>-1.4296860378921337</v>
      </c>
      <c r="H260" s="95">
        <f ca="1">IF(B260=TODAY(),0,-$H$6*(Sheet1!CE262-Sheet1!CE261)*7.48/1000000)</f>
        <v>-3.0078864702530548E-2</v>
      </c>
      <c r="I260" s="95">
        <f ca="1">IF(B260=TODAY(),0,-$I$6*(Sheet1!CG262-Sheet1!CG261)*7.48/1000000)</f>
        <v>4.4924880000000635E-3</v>
      </c>
      <c r="J260" s="96" t="s">
        <v>186</v>
      </c>
      <c r="K260" s="95">
        <f ca="1">IF(B260=TODAY(),0,-$K$6*(Sheet1!CH262-Sheet1!CH261)*7.48/1000000)</f>
        <v>6.6633203744585374E-3</v>
      </c>
      <c r="L260" s="96" t="s">
        <v>186</v>
      </c>
      <c r="M260" s="95">
        <f ca="1">IF(B260=TODAY(),0,-$M$6*(Sheet1!CI262-Sheet1!CI261)*7.48/1000000)</f>
        <v>1.7991508428026663E-2</v>
      </c>
      <c r="N260" s="95">
        <f ca="1">IF(B260=TODAY(),0,-$N$6*(Sheet1!CJ262-Sheet1!CJ261)*7.48/1000000)</f>
        <v>3.7231407236773539E-2</v>
      </c>
      <c r="O260" s="95">
        <f t="shared" ca="1" si="28"/>
        <v>-1.2897492400075983</v>
      </c>
      <c r="P260" s="95">
        <f ca="1">O260+Calculation!ES260</f>
        <v>1.7612172804639261</v>
      </c>
      <c r="Q260" s="90" t="str">
        <f>IF(Sheet1!BQ262&gt;25.75,"spill elevation","-")</f>
        <v>-</v>
      </c>
      <c r="R260" s="90" t="str">
        <f>IF(Sheet1!BQ262&gt;25.75,"spill elevation","-")</f>
        <v>-</v>
      </c>
      <c r="S260" s="90" t="str">
        <f>IF(Sheet1!BR262&gt;25.75,"spill elevation","-")</f>
        <v>-</v>
      </c>
      <c r="T260" s="94">
        <f>IF(Sheet1!DU262=1,Sheet1!AA262-(SUM(AT260:BA260)+BE260),Sheet1!AA262-SUM(AT260:BA260))</f>
        <v>28.827376000000001</v>
      </c>
      <c r="U260" s="94">
        <f>Sheet1!BV262</f>
        <v>40.6</v>
      </c>
      <c r="V260" s="94">
        <f t="shared" si="29"/>
        <v>-11.772624</v>
      </c>
      <c r="W260" s="94">
        <f>0</f>
        <v>0</v>
      </c>
      <c r="X260" s="90">
        <f>0</f>
        <v>0</v>
      </c>
      <c r="Y260" s="95">
        <f ca="1">Calculation!EJ261+Calculation!ES260+'Calculations II'!O260-'Calculations II'!W260</f>
        <v>78.541217280463925</v>
      </c>
      <c r="Z260" s="95">
        <f ca="1">Y260-Sheet1!CT263</f>
        <v>61.125217280463929</v>
      </c>
      <c r="AA260" s="95">
        <f ca="1">Y260+Calculation!DJ261+Calculation!AS261</f>
        <v>93.184184963668287</v>
      </c>
      <c r="AC260" s="95">
        <f>Sheet1!AA262+Sheet1!AB262+BC260</f>
        <v>77.260000000000005</v>
      </c>
      <c r="AD260" s="95">
        <f>Sheet1!AA262+Sheet1!BN262+'Calculations II'!BC260-Calculation!AS260-Calculation!DJ260</f>
        <v>47.967065706570651</v>
      </c>
      <c r="AE260" s="95">
        <f>Sheet1!AA262+Sheet1!AB262+'Calculations II'!BC260-Calculation!AS260-Calculation!DJ260</f>
        <v>62.617065706570671</v>
      </c>
      <c r="AF260" s="95">
        <f ca="1">Sheet1!AA262+Sheet1!BN262+P260+'Calculations II'!BC260+Calculation!AS260+Calculation!DJ260</f>
        <v>79.014151573893258</v>
      </c>
      <c r="AG260" s="95">
        <f ca="1">IF(B260=TODAY(),0,Sheet1!AA262+Sheet1!BN262+'Calculations II'!BC260+'Calculations II'!P260-Sheet1!CT262-BP260)</f>
        <v>47.517217280463925</v>
      </c>
      <c r="AH260" s="95">
        <f ca="1">IF(B260=TODAY(),0,Sheet1!AA262+Sheet1!BN262+'Calculations II'!BC260+'Calculations II'!P260-BP260)</f>
        <v>64.371217280463924</v>
      </c>
      <c r="AI260" s="95">
        <f ca="1">IF(B260=TODAY(),0,BC260+Sheet1!AA262+Calculation!ES260+O260+W260+Sheet1!BN262+Calculation!AS260+Calculation!DJ260-BP260)</f>
        <v>79.014151573893258</v>
      </c>
      <c r="AJ260" s="95"/>
      <c r="AM260" s="91">
        <f t="shared" si="30"/>
        <v>41888</v>
      </c>
      <c r="AN260" s="95">
        <f>Sheet1!BU262</f>
        <v>30.3</v>
      </c>
      <c r="AO260" s="95">
        <f>Sheet1!AA262</f>
        <v>32.81</v>
      </c>
      <c r="AP260" s="95">
        <f t="shared" si="25"/>
        <v>-3.11625</v>
      </c>
      <c r="AQ260" s="1055">
        <f>((Sheet1!BV262-(Sheet1!BU262-AP260))/(Sheet1!BU262-AP260))</f>
        <v>0.21497774286462437</v>
      </c>
      <c r="AR260" s="95">
        <f t="shared" si="26"/>
        <v>35.926250000000003</v>
      </c>
      <c r="AS260" s="95">
        <f t="shared" si="27"/>
        <v>33.416249999999998</v>
      </c>
      <c r="AT260" s="90">
        <f>Sheet1!BB262</f>
        <v>1.6</v>
      </c>
      <c r="AU260" s="90">
        <f>Sheet1!AS262*GPMtoMGD</f>
        <v>3.1392000000000003E-2</v>
      </c>
      <c r="AV260" s="95">
        <f>Sheet1!AT262</f>
        <v>0</v>
      </c>
      <c r="AW260" s="90">
        <f>Sheet1!AV262*GPMtoMGD</f>
        <v>0.92260800000000009</v>
      </c>
      <c r="AX260" s="90">
        <f>Sheet1!AW262*GPMtoMGD</f>
        <v>1.3998240000000002</v>
      </c>
      <c r="AY260" s="90">
        <f>Sheet1!AX262*GPMtoMGD</f>
        <v>2.8800000000000003E-2</v>
      </c>
      <c r="AZ260" s="90">
        <f>Sheet1!AY262*GPMtoMGD</f>
        <v>0</v>
      </c>
      <c r="BA260" s="90">
        <f>Sheet1!AZ262*GPMtoMGD</f>
        <v>0</v>
      </c>
      <c r="BB260" s="90">
        <f>Sheet1!BP262*GPMtoMGD</f>
        <v>0</v>
      </c>
      <c r="BC260" s="90">
        <f>Sheet1!CS262*GPMtoMGD</f>
        <v>0</v>
      </c>
      <c r="BD260" s="90">
        <f>Sheet1!BO262*GPMtoMGD</f>
        <v>3.0680640000000001</v>
      </c>
      <c r="BE260" s="90">
        <f>Sheet1!BW262*GPMtoMGD</f>
        <v>1.451376</v>
      </c>
      <c r="BF260" s="90">
        <f>Sheet1!CN262*GPMtoMGD</f>
        <v>1.4400000000000002</v>
      </c>
      <c r="BG260" s="90">
        <f>Sheet1!CO262*GPMtoMGD</f>
        <v>1.1688480000000001</v>
      </c>
      <c r="BH260" s="90">
        <f>Sheet1!CP262*GPMtoMGD</f>
        <v>0.98539200000000005</v>
      </c>
      <c r="BI260" s="90">
        <f t="shared" si="31"/>
        <v>3.0680640000000001</v>
      </c>
      <c r="BK260" s="95">
        <f>SUM(AT260:BA260,BE260,Sheet1!BV262,'Calculations II'!BC260,Calculation!AQ260)</f>
        <v>75.840705670567061</v>
      </c>
      <c r="BM260" s="373">
        <f>0</f>
        <v>0</v>
      </c>
      <c r="BN260" s="373">
        <f>0</f>
        <v>0</v>
      </c>
      <c r="BP260" s="95">
        <f>SUM(BM260:BN260,W260,Sheet1!DX262)</f>
        <v>0</v>
      </c>
    </row>
    <row r="261" spans="1:68" s="90" customFormat="1">
      <c r="A261" s="651" t="s">
        <v>3</v>
      </c>
      <c r="B261" s="92">
        <v>41889</v>
      </c>
      <c r="C261" s="93">
        <v>0</v>
      </c>
      <c r="D261" s="95">
        <f>(Sheet1!BQ263-Sheet1!BQ262)*1.385</f>
        <v>-1.3019000000000018</v>
      </c>
      <c r="E261" s="30">
        <f>(Sheet1!BR263-Sheet1!BR262)*1.385</f>
        <v>-1.3019000000000018</v>
      </c>
      <c r="F261" s="30">
        <f ca="1">IF(B261=TODAY(),0,-(VLOOKUP(Sheet1!CD263,Lookup!$I$4:$J$216,2)-VLOOKUP(Sheet1!CD262,Lookup!$I$4:$J$216,2))/1000000)</f>
        <v>0.31091081564339806</v>
      </c>
      <c r="G261" s="95">
        <f ca="1">IF(B261=TODAY(),0,-$G$6*(Sheet1!CF263-Sheet1!CF262)*7.48/1000000)</f>
        <v>1.111978029471659</v>
      </c>
      <c r="H261" s="95">
        <f ca="1">IF(B261=TODAY(),0,-$H$6*(Sheet1!CE263-Sheet1!CE262)*7.48/1000000)</f>
        <v>0.22559148526897588</v>
      </c>
      <c r="I261" s="95">
        <f ca="1">IF(B261=TODAY(),0,-$I$6*(Sheet1!CG263-Sheet1!CG262)*7.48/1000000)</f>
        <v>8.9849759999999675E-3</v>
      </c>
      <c r="J261" s="96" t="s">
        <v>186</v>
      </c>
      <c r="K261" s="95">
        <f ca="1">IF(B261=TODAY(),0,-$K$6*(Sheet1!CH263-Sheet1!CH262)*7.48/1000000)</f>
        <v>1.9989961123375255E-2</v>
      </c>
      <c r="L261" s="96" t="s">
        <v>186</v>
      </c>
      <c r="M261" s="95">
        <f ca="1">IF(B261=TODAY(),0,-$M$6*(Sheet1!CI263-Sheet1!CI262)*7.48/1000000)</f>
        <v>5.3974525284081275E-2</v>
      </c>
      <c r="N261" s="95">
        <f ca="1">IF(B261=TODAY(),0,-$N$6*(Sheet1!CJ263-Sheet1!CJ262)*7.48/1000000)</f>
        <v>0.14892562894709749</v>
      </c>
      <c r="O261" s="95">
        <f t="shared" ca="1" si="28"/>
        <v>1.8803554217385867</v>
      </c>
      <c r="P261" s="95">
        <f ca="1">O261+Calculation!ES261</f>
        <v>4.3754465863783096</v>
      </c>
      <c r="Q261" s="90" t="str">
        <f>IF(Sheet1!BQ263&gt;25.75,"spill elevation","-")</f>
        <v>-</v>
      </c>
      <c r="R261" s="90" t="str">
        <f>IF(Sheet1!BQ263&gt;25.75,"spill elevation","-")</f>
        <v>-</v>
      </c>
      <c r="S261" s="90" t="str">
        <f>IF(Sheet1!BR263&gt;25.75,"spill elevation","-")</f>
        <v>-</v>
      </c>
      <c r="T261" s="94">
        <f>IF(Sheet1!DU263=1,Sheet1!AA263-(SUM(AT261:BA261)+BE261),Sheet1!AA263-SUM(AT261:BA261))</f>
        <v>28.483055999999998</v>
      </c>
      <c r="U261" s="94">
        <f>Sheet1!BV263</f>
        <v>39.9</v>
      </c>
      <c r="V261" s="94">
        <f t="shared" si="29"/>
        <v>-11.416944000000001</v>
      </c>
      <c r="W261" s="94">
        <f>0</f>
        <v>0</v>
      </c>
      <c r="X261" s="90">
        <f>0</f>
        <v>0</v>
      </c>
      <c r="Y261" s="95">
        <f ca="1">Calculation!EJ262+Calculation!ES261+'Calculations II'!O261-'Calculations II'!W261</f>
        <v>78.825446586378305</v>
      </c>
      <c r="Z261" s="95">
        <f ca="1">Y261-Sheet1!CT264</f>
        <v>62.589446586378301</v>
      </c>
      <c r="AA261" s="95">
        <f ca="1">Y261+Calculation!DJ262+Calculation!AS262</f>
        <v>93.517149393956487</v>
      </c>
      <c r="AC261" s="95">
        <f>Sheet1!AA263+Sheet1!AB263+BC261</f>
        <v>76.78</v>
      </c>
      <c r="AD261" s="95">
        <f>Sheet1!AA263+Sheet1!BN263+'Calculations II'!BC261-Calculation!AS261-Calculation!DJ261</f>
        <v>47.48703231679562</v>
      </c>
      <c r="AE261" s="95">
        <f>Sheet1!AA263+Sheet1!AB263+'Calculations II'!BC261-Calculation!AS261-Calculation!DJ261</f>
        <v>62.13703231679564</v>
      </c>
      <c r="AF261" s="95">
        <f ca="1">Sheet1!AA263+Sheet1!BN263+P261+'Calculations II'!BC261+Calculation!AS261+Calculation!DJ261</f>
        <v>81.148414269582659</v>
      </c>
      <c r="AG261" s="95">
        <f ca="1">IF(B261=TODAY(),0,Sheet1!AA263+Sheet1!BN263+'Calculations II'!BC261+'Calculations II'!P261-Sheet1!CT263-BP261)</f>
        <v>49.089446586378301</v>
      </c>
      <c r="AH261" s="95">
        <f ca="1">IF(B261=TODAY(),0,Sheet1!AA263+Sheet1!BN263+'Calculations II'!BC261+'Calculations II'!P261-BP261)</f>
        <v>66.505446586378298</v>
      </c>
      <c r="AI261" s="95">
        <f ca="1">IF(B261=TODAY(),0,BC261+Sheet1!AA263+Calculation!ES261+O261+W261+Sheet1!BN263+Calculation!AS261+Calculation!DJ261-BP261)</f>
        <v>81.148414269582673</v>
      </c>
      <c r="AJ261" s="95"/>
      <c r="AM261" s="91">
        <f t="shared" si="30"/>
        <v>41889</v>
      </c>
      <c r="AN261" s="95">
        <f>Sheet1!BU263</f>
        <v>30.3</v>
      </c>
      <c r="AO261" s="95">
        <f>Sheet1!AA263</f>
        <v>32.83</v>
      </c>
      <c r="AP261" s="95">
        <f t="shared" si="25"/>
        <v>-2.6038000000000037</v>
      </c>
      <c r="AQ261" s="1055">
        <f>((Sheet1!BV263-(Sheet1!BU263-AP261))/(Sheet1!BU263-AP261))</f>
        <v>0.21262589731277221</v>
      </c>
      <c r="AR261" s="95">
        <f t="shared" si="26"/>
        <v>35.433800000000005</v>
      </c>
      <c r="AS261" s="95">
        <f t="shared" si="27"/>
        <v>32.903800000000004</v>
      </c>
      <c r="AT261" s="90">
        <f>Sheet1!BB263</f>
        <v>1.6</v>
      </c>
      <c r="AU261" s="90">
        <f>Sheet1!AS263*GPMtoMGD</f>
        <v>1.8432E-2</v>
      </c>
      <c r="AV261" s="95">
        <f>Sheet1!AT263</f>
        <v>0</v>
      </c>
      <c r="AW261" s="90">
        <f>Sheet1!AV263*GPMtoMGD</f>
        <v>1.1348640000000001</v>
      </c>
      <c r="AX261" s="90">
        <f>Sheet1!AW263*GPMtoMGD</f>
        <v>1.550592</v>
      </c>
      <c r="AY261" s="90">
        <f>Sheet1!AX263*GPMtoMGD</f>
        <v>4.3056000000000004E-2</v>
      </c>
      <c r="AZ261" s="90">
        <f>Sheet1!AY263*GPMtoMGD</f>
        <v>0</v>
      </c>
      <c r="BA261" s="90">
        <f>Sheet1!AZ263*GPMtoMGD</f>
        <v>0</v>
      </c>
      <c r="BB261" s="90">
        <f>Sheet1!BP263*GPMtoMGD</f>
        <v>0</v>
      </c>
      <c r="BC261" s="90">
        <f>Sheet1!CS263*GPMtoMGD</f>
        <v>0</v>
      </c>
      <c r="BD261" s="90">
        <f>Sheet1!BO263*GPMtoMGD</f>
        <v>3.364128</v>
      </c>
      <c r="BE261" s="90">
        <f>Sheet1!BW263*GPMtoMGD</f>
        <v>1.6745760000000003</v>
      </c>
      <c r="BF261" s="90">
        <f>Sheet1!CN263*GPMtoMGD</f>
        <v>1.4400000000000002</v>
      </c>
      <c r="BG261" s="90">
        <f>Sheet1!CO263*GPMtoMGD</f>
        <v>1.24488</v>
      </c>
      <c r="BH261" s="90">
        <f>Sheet1!CP263*GPMtoMGD</f>
        <v>0.98942400000000008</v>
      </c>
      <c r="BI261" s="90">
        <f t="shared" si="31"/>
        <v>3.364128</v>
      </c>
      <c r="BK261" s="95">
        <f>SUM(AT261:BA261,BE261,Sheet1!BV263,'Calculations II'!BC261,Calculation!AQ261)</f>
        <v>75.228188183887127</v>
      </c>
      <c r="BM261" s="373">
        <f>0</f>
        <v>0</v>
      </c>
      <c r="BN261" s="373">
        <f>0</f>
        <v>0</v>
      </c>
      <c r="BP261" s="95">
        <f>SUM(BM261:BN261,W261,Sheet1!DX263)</f>
        <v>0</v>
      </c>
    </row>
    <row r="262" spans="1:68" s="90" customFormat="1">
      <c r="A262" s="651" t="s">
        <v>4</v>
      </c>
      <c r="B262" s="92">
        <v>41890</v>
      </c>
      <c r="C262" s="93">
        <v>0</v>
      </c>
      <c r="D262" s="95">
        <f>(Sheet1!BQ264-Sheet1!BQ263)*1.385</f>
        <v>-0.20774999999999802</v>
      </c>
      <c r="E262" s="30">
        <f>(Sheet1!BR264-Sheet1!BR263)*1.385</f>
        <v>-0.18004999999999863</v>
      </c>
      <c r="F262" s="30">
        <f ca="1">IF(B262=TODAY(),0,-(VLOOKUP(Sheet1!CD264,Lookup!$I$4:$J$216,2)-VLOOKUP(Sheet1!CD263,Lookup!$I$4:$J$216,2))/1000000)</f>
        <v>-0.62182163128680368</v>
      </c>
      <c r="G262" s="95">
        <f ca="1">IF(B262=TODAY(),0,-$G$6*(Sheet1!CF264-Sheet1!CF263)*7.48/1000000)</f>
        <v>0.95312402526142392</v>
      </c>
      <c r="H262" s="95">
        <f ca="1">IF(B262=TODAY(),0,-$H$6*(Sheet1!CE264-Sheet1!CE263)*7.48/1000000)</f>
        <v>-0.1353548911613853</v>
      </c>
      <c r="I262" s="95">
        <f ca="1">IF(B262=TODAY(),0,-$I$6*(Sheet1!CG264-Sheet1!CG263)*7.48/1000000)</f>
        <v>0</v>
      </c>
      <c r="J262" s="96" t="s">
        <v>186</v>
      </c>
      <c r="K262" s="95">
        <f ca="1">IF(B262=TODAY(),0,-$K$6*(Sheet1!CH264-Sheet1!CH263)*7.48/1000000)</f>
        <v>0</v>
      </c>
      <c r="L262" s="96" t="s">
        <v>186</v>
      </c>
      <c r="M262" s="95">
        <f ca="1">IF(B262=TODAY(),0,-$M$6*(Sheet1!CI264-Sheet1!CI263)*7.48/1000000)</f>
        <v>-1.7991508428026663E-2</v>
      </c>
      <c r="N262" s="95">
        <f ca="1">IF(B262=TODAY(),0,-$N$6*(Sheet1!CJ264-Sheet1!CJ263)*7.48/1000000)</f>
        <v>-0.30405649243365723</v>
      </c>
      <c r="O262" s="95">
        <f t="shared" ca="1" si="28"/>
        <v>-0.12610049804844894</v>
      </c>
      <c r="P262" s="95">
        <f ca="1">O262+Calculation!ES262</f>
        <v>0.42822316379204206</v>
      </c>
      <c r="Q262" s="90" t="str">
        <f>IF(Sheet1!BQ264&gt;25.75,"spill elevation","-")</f>
        <v>-</v>
      </c>
      <c r="R262" s="90" t="str">
        <f>IF(Sheet1!BQ264&gt;25.75,"spill elevation","-")</f>
        <v>-</v>
      </c>
      <c r="S262" s="90" t="str">
        <f>IF(Sheet1!BR264&gt;25.75,"spill elevation","-")</f>
        <v>-</v>
      </c>
      <c r="T262" s="94">
        <f>IF(Sheet1!DU264=1,Sheet1!AA264-(SUM(AT262:BA262)+BE262),Sheet1!AA264-SUM(AT262:BA262))</f>
        <v>26.472735999999998</v>
      </c>
      <c r="U262" s="94">
        <f>Sheet1!BV264</f>
        <v>37.6</v>
      </c>
      <c r="V262" s="94">
        <f t="shared" si="29"/>
        <v>-11.127264000000004</v>
      </c>
      <c r="W262" s="94">
        <f>0</f>
        <v>0</v>
      </c>
      <c r="X262" s="90">
        <f>0</f>
        <v>0</v>
      </c>
      <c r="Y262" s="95">
        <f ca="1">Calculation!EJ263+Calculation!ES262+'Calculations II'!O262-'Calculations II'!W262</f>
        <v>75.558223163792036</v>
      </c>
      <c r="Z262" s="95">
        <f ca="1">Y262-Sheet1!CT265</f>
        <v>58.862223163792038</v>
      </c>
      <c r="AA262" s="95">
        <f ca="1">Y262+Calculation!DJ263+Calculation!AS263</f>
        <v>90.217951660255636</v>
      </c>
      <c r="AC262" s="95">
        <f>Sheet1!AA264+Sheet1!AB264+BC262</f>
        <v>74.45</v>
      </c>
      <c r="AD262" s="95">
        <f>Sheet1!AA264+Sheet1!BN264+'Calculations II'!BC262-Calculation!AS262-Calculation!DJ262</f>
        <v>44.968297192421815</v>
      </c>
      <c r="AE262" s="95">
        <f>Sheet1!AA264+Sheet1!AB264+'Calculations II'!BC262-Calculation!AS262-Calculation!DJ262</f>
        <v>59.758297192421828</v>
      </c>
      <c r="AF262" s="95">
        <f ca="1">Sheet1!AA264+Sheet1!BN264+P262+'Calculations II'!BC262+Calculation!AS262+Calculation!DJ262</f>
        <v>74.779925971370218</v>
      </c>
      <c r="AG262" s="95">
        <f ca="1">IF(B262=TODAY(),0,Sheet1!AA264+Sheet1!BN264+'Calculations II'!BC262+'Calculations II'!P262-Sheet1!CT264-BP262)</f>
        <v>43.852223163792033</v>
      </c>
      <c r="AH262" s="95">
        <f ca="1">IF(B262=TODAY(),0,Sheet1!AA264+Sheet1!BN264+'Calculations II'!BC262+'Calculations II'!P262-BP262)</f>
        <v>60.088223163792037</v>
      </c>
      <c r="AI262" s="95">
        <f ca="1">IF(B262=TODAY(),0,BC262+Sheet1!AA264+Calculation!ES262+O262+W262+Sheet1!BN264+Calculation!AS262+Calculation!DJ262-BP262)</f>
        <v>74.779925971370233</v>
      </c>
      <c r="AJ262" s="95"/>
      <c r="AM262" s="91">
        <f t="shared" si="30"/>
        <v>41890</v>
      </c>
      <c r="AN262" s="95">
        <f>Sheet1!BU264</f>
        <v>30.1</v>
      </c>
      <c r="AO262" s="95">
        <f>Sheet1!AA264</f>
        <v>30.5</v>
      </c>
      <c r="AP262" s="95">
        <f t="shared" si="25"/>
        <v>-0.38779999999999665</v>
      </c>
      <c r="AQ262" s="1055">
        <f>((Sheet1!BV264-(Sheet1!BU264-AP262))/(Sheet1!BU264-AP262))</f>
        <v>0.23328019732483177</v>
      </c>
      <c r="AR262" s="95">
        <f t="shared" si="26"/>
        <v>30.887799999999995</v>
      </c>
      <c r="AS262" s="95">
        <f t="shared" si="27"/>
        <v>30.487799999999996</v>
      </c>
      <c r="AT262" s="90">
        <f>Sheet1!BB264</f>
        <v>1.6</v>
      </c>
      <c r="AU262" s="90">
        <f>Sheet1!AS264*GPMtoMGD</f>
        <v>2.8080000000000001E-2</v>
      </c>
      <c r="AV262" s="95">
        <f>Sheet1!AT264</f>
        <v>0</v>
      </c>
      <c r="AW262" s="90">
        <f>Sheet1!AV264*GPMtoMGD</f>
        <v>0.99316800000000016</v>
      </c>
      <c r="AX262" s="90">
        <f>Sheet1!AW264*GPMtoMGD</f>
        <v>1.351872</v>
      </c>
      <c r="AY262" s="90">
        <f>Sheet1!AX264*GPMtoMGD</f>
        <v>5.4144000000000005E-2</v>
      </c>
      <c r="AZ262" s="90">
        <f>Sheet1!AY264*GPMtoMGD</f>
        <v>0</v>
      </c>
      <c r="BA262" s="90">
        <f>Sheet1!AZ264*GPMtoMGD</f>
        <v>0</v>
      </c>
      <c r="BB262" s="90">
        <f>Sheet1!BP264*GPMtoMGD</f>
        <v>0</v>
      </c>
      <c r="BC262" s="90">
        <f>Sheet1!CS264*GPMtoMGD</f>
        <v>0</v>
      </c>
      <c r="BD262" s="90">
        <f>Sheet1!BO264*GPMtoMGD</f>
        <v>2.9638079999999998</v>
      </c>
      <c r="BE262" s="90">
        <f>Sheet1!BW264*GPMtoMGD</f>
        <v>1.3160160000000001</v>
      </c>
      <c r="BF262" s="90">
        <f>Sheet1!CN264*GPMtoMGD</f>
        <v>1.4400000000000002</v>
      </c>
      <c r="BG262" s="90">
        <f>Sheet1!CO264*GPMtoMGD</f>
        <v>1.109232</v>
      </c>
      <c r="BH262" s="90">
        <f>Sheet1!CP264*GPMtoMGD</f>
        <v>0.97473600000000005</v>
      </c>
      <c r="BI262" s="90">
        <f t="shared" si="31"/>
        <v>2.9638079999999998</v>
      </c>
      <c r="BK262" s="95">
        <f>SUM(AT262:BA262,BE262,Sheet1!BV264,'Calculations II'!BC262,Calculation!AQ262)</f>
        <v>72.196464204519515</v>
      </c>
      <c r="BM262" s="373">
        <f>0</f>
        <v>0</v>
      </c>
      <c r="BN262" s="373">
        <f>0</f>
        <v>0</v>
      </c>
      <c r="BP262" s="95">
        <f>SUM(BM262:BN262,W262,Sheet1!DX264)</f>
        <v>0</v>
      </c>
    </row>
    <row r="263" spans="1:68" s="90" customFormat="1">
      <c r="A263" s="651" t="s">
        <v>5</v>
      </c>
      <c r="B263" s="92">
        <v>41891</v>
      </c>
      <c r="C263" s="93">
        <v>0</v>
      </c>
      <c r="D263" s="95">
        <f>(Sheet1!BQ265-Sheet1!BQ264)*1.385</f>
        <v>0</v>
      </c>
      <c r="E263" s="30">
        <f>(Sheet1!BR265-Sheet1!BR264)*1.385</f>
        <v>0</v>
      </c>
      <c r="F263" s="30">
        <f ca="1">IF(B263=TODAY(),0,-(VLOOKUP(Sheet1!CD265,Lookup!$I$4:$J$216,2)-VLOOKUP(Sheet1!CD264,Lookup!$I$4:$J$216,2))/1000000)</f>
        <v>0.62182163128680368</v>
      </c>
      <c r="G263" s="95">
        <f ca="1">IF(B263=TODAY(),0,-$G$6*(Sheet1!CF265-Sheet1!CF264)*7.48/1000000)</f>
        <v>0.87369702315630426</v>
      </c>
      <c r="H263" s="95">
        <f ca="1">IF(B263=TODAY(),0,-$H$6*(Sheet1!CE265-Sheet1!CE264)*7.48/1000000)</f>
        <v>-1.5039432351265274E-2</v>
      </c>
      <c r="I263" s="95">
        <f ca="1">IF(B263=TODAY(),0,-$I$6*(Sheet1!CG265-Sheet1!CG264)*7.48/1000000)</f>
        <v>-1.3477464000000033E-2</v>
      </c>
      <c r="J263" s="96" t="s">
        <v>186</v>
      </c>
      <c r="K263" s="95">
        <f ca="1">IF(B263=TODAY(),0,-$K$6*(Sheet1!CH265-Sheet1!CH264)*7.48/1000000)</f>
        <v>-2.5986949460387845E-2</v>
      </c>
      <c r="L263" s="96" t="s">
        <v>186</v>
      </c>
      <c r="M263" s="95">
        <f ca="1">IF(B263=TODAY(),0,-$M$6*(Sheet1!CI265-Sheet1!CI264)*7.48/1000000)</f>
        <v>0.48577072755673018</v>
      </c>
      <c r="N263" s="95">
        <f ca="1">IF(B263=TODAY(),0,-$N$6*(Sheet1!CJ265-Sheet1!CJ264)*7.48/1000000)</f>
        <v>0.1675413325654854</v>
      </c>
      <c r="O263" s="95">
        <f t="shared" ca="1" si="28"/>
        <v>2.0943268687536705</v>
      </c>
      <c r="P263" s="95">
        <f ca="1">O263+Calculation!ES263</f>
        <v>2.0943268687536705</v>
      </c>
      <c r="Q263" s="90" t="str">
        <f>IF(Sheet1!BQ265&gt;25.75,"spill elevation","-")</f>
        <v>-</v>
      </c>
      <c r="R263" s="90" t="str">
        <f>IF(Sheet1!BQ265&gt;25.75,"spill elevation","-")</f>
        <v>-</v>
      </c>
      <c r="S263" s="90" t="str">
        <f>IF(Sheet1!BR265&gt;25.75,"spill elevation","-")</f>
        <v>-</v>
      </c>
      <c r="T263" s="94">
        <f>IF(Sheet1!DU265=1,Sheet1!AA265-(SUM(AT263:BA263)+BE263),Sheet1!AA265-SUM(AT263:BA263))</f>
        <v>27.238256</v>
      </c>
      <c r="U263" s="94">
        <f>Sheet1!BV265</f>
        <v>35.799999999999997</v>
      </c>
      <c r="V263" s="94">
        <f t="shared" si="29"/>
        <v>-8.5617439999999974</v>
      </c>
      <c r="W263" s="94">
        <f>0</f>
        <v>0</v>
      </c>
      <c r="X263" s="90">
        <f>0</f>
        <v>0</v>
      </c>
      <c r="Y263" s="95">
        <f ca="1">Calculation!EJ264+Calculation!ES263+'Calculations II'!O263-'Calculations II'!W263</f>
        <v>77.794326868753672</v>
      </c>
      <c r="Z263" s="95">
        <f ca="1">Y263-Sheet1!CT266</f>
        <v>59.989326868753672</v>
      </c>
      <c r="AA263" s="95">
        <f ca="1">Y263+Calculation!DJ264+Calculation!AS264</f>
        <v>92.409344854365173</v>
      </c>
      <c r="AC263" s="95">
        <f>Sheet1!AA265+Sheet1!AB265+BC263</f>
        <v>75.13</v>
      </c>
      <c r="AD263" s="95">
        <f>Sheet1!AA265+Sheet1!BN265+'Calculations II'!BC263-Calculation!AS263-Calculation!DJ263</f>
        <v>45.740271503536391</v>
      </c>
      <c r="AE263" s="95">
        <f>Sheet1!AA265+Sheet1!AB265+'Calculations II'!BC263-Calculation!AS263-Calculation!DJ263</f>
        <v>60.470271503536395</v>
      </c>
      <c r="AF263" s="95">
        <f ca="1">Sheet1!AA265+Sheet1!BN265+P263+'Calculations II'!BC263+Calculation!AS263+Calculation!DJ263</f>
        <v>77.154055365217275</v>
      </c>
      <c r="AG263" s="95">
        <f ca="1">IF(B263=TODAY(),0,Sheet1!AA265+Sheet1!BN265+'Calculations II'!BC263+'Calculations II'!P263-Sheet1!CT265-BP263)</f>
        <v>45.798326868753662</v>
      </c>
      <c r="AH263" s="95">
        <f ca="1">IF(B263=TODAY(),0,Sheet1!AA265+Sheet1!BN265+'Calculations II'!BC263+'Calculations II'!P263-BP263)</f>
        <v>62.494326868753667</v>
      </c>
      <c r="AI263" s="95">
        <f ca="1">IF(B263=TODAY(),0,BC263+Sheet1!AA265+Calculation!ES263+O263+W263+Sheet1!BN265+Calculation!AS263+Calculation!DJ263-BP263)</f>
        <v>77.154055365217275</v>
      </c>
      <c r="AJ263" s="95"/>
      <c r="AM263" s="91">
        <f t="shared" si="30"/>
        <v>41891</v>
      </c>
      <c r="AN263" s="95">
        <f>Sheet1!BU265</f>
        <v>28.9</v>
      </c>
      <c r="AO263" s="95">
        <f>Sheet1!AA265</f>
        <v>31.2</v>
      </c>
      <c r="AP263" s="95">
        <f t="shared" si="25"/>
        <v>0</v>
      </c>
      <c r="AQ263" s="1055">
        <f>((Sheet1!BV265-(Sheet1!BU265-AP263))/(Sheet1!BU265-AP263))</f>
        <v>0.23875432525951554</v>
      </c>
      <c r="AR263" s="95">
        <f t="shared" si="26"/>
        <v>31.2</v>
      </c>
      <c r="AS263" s="95">
        <f t="shared" si="27"/>
        <v>28.9</v>
      </c>
      <c r="AT263" s="90">
        <f>Sheet1!BB265</f>
        <v>1.6</v>
      </c>
      <c r="AU263" s="90">
        <f>Sheet1!AS265*GPMtoMGD</f>
        <v>2.0160000000000001E-2</v>
      </c>
      <c r="AV263" s="95">
        <f>Sheet1!AT265</f>
        <v>0</v>
      </c>
      <c r="AW263" s="90">
        <f>Sheet1!AV265*GPMtoMGD</f>
        <v>0.93153600000000003</v>
      </c>
      <c r="AX263" s="90">
        <f>Sheet1!AW265*GPMtoMGD</f>
        <v>1.36944</v>
      </c>
      <c r="AY263" s="90">
        <f>Sheet1!AX265*GPMtoMGD</f>
        <v>4.0607999999999998E-2</v>
      </c>
      <c r="AZ263" s="90">
        <f>Sheet1!AY265*GPMtoMGD</f>
        <v>0</v>
      </c>
      <c r="BA263" s="90">
        <f>Sheet1!AZ265*GPMtoMGD</f>
        <v>0</v>
      </c>
      <c r="BB263" s="90">
        <f>Sheet1!BP265*GPMtoMGD</f>
        <v>0</v>
      </c>
      <c r="BC263" s="90">
        <f>Sheet1!CS265*GPMtoMGD</f>
        <v>0</v>
      </c>
      <c r="BD263" s="90">
        <f>Sheet1!BO265*GPMtoMGD</f>
        <v>2.9216160000000002</v>
      </c>
      <c r="BE263" s="90">
        <f>Sheet1!BW265*GPMtoMGD</f>
        <v>1.348992</v>
      </c>
      <c r="BF263" s="90">
        <f>Sheet1!CN265*GPMtoMGD</f>
        <v>1.4400000000000002</v>
      </c>
      <c r="BG263" s="90">
        <f>Sheet1!CO265*GPMtoMGD</f>
        <v>1.0258560000000001</v>
      </c>
      <c r="BH263" s="90">
        <f>Sheet1!CP265*GPMtoMGD</f>
        <v>0.93945600000000007</v>
      </c>
      <c r="BI263" s="90">
        <f t="shared" si="31"/>
        <v>2.9216160000000002</v>
      </c>
      <c r="BK263" s="95">
        <f>SUM(AT263:BA263,BE263,Sheet1!BV265,'Calculations II'!BC263,Calculation!AQ263)</f>
        <v>70.377357035820211</v>
      </c>
      <c r="BM263" s="373">
        <f>0</f>
        <v>0</v>
      </c>
      <c r="BN263" s="373">
        <f>0</f>
        <v>0</v>
      </c>
      <c r="BP263" s="95">
        <f>SUM(BM263:BN263,W263,Sheet1!DX265)</f>
        <v>0</v>
      </c>
    </row>
    <row r="264" spans="1:68" s="90" customFormat="1">
      <c r="A264" s="651" t="s">
        <v>6</v>
      </c>
      <c r="B264" s="92">
        <v>41892</v>
      </c>
      <c r="C264" s="93">
        <v>0</v>
      </c>
      <c r="D264" s="95">
        <f>(Sheet1!BQ266-Sheet1!BQ265)*1.385</f>
        <v>-1.6342999999999996</v>
      </c>
      <c r="E264" s="30">
        <f>(Sheet1!BR266-Sheet1!BR265)*1.385</f>
        <v>-1.6342999999999996</v>
      </c>
      <c r="F264" s="30">
        <f ca="1">IF(B264=TODAY(),0,-(VLOOKUP(Sheet1!CD266,Lookup!$I$4:$J$216,2)-VLOOKUP(Sheet1!CD265,Lookup!$I$4:$J$216,2))/1000000)</f>
        <v>0</v>
      </c>
      <c r="G264" s="95">
        <f ca="1">IF(B264=TODAY(),0,-$G$6*(Sheet1!CF266-Sheet1!CF265)*7.48/1000000)</f>
        <v>-1.0325510273665424</v>
      </c>
      <c r="H264" s="95">
        <f ca="1">IF(B264=TODAY(),0,-$H$6*(Sheet1!CE266-Sheet1!CE265)*7.48/1000000)</f>
        <v>0.12031545881012057</v>
      </c>
      <c r="I264" s="95">
        <f ca="1">IF(B264=TODAY(),0,-$I$6*(Sheet1!CG266-Sheet1!CG265)*7.48/1000000)</f>
        <v>4.4924880000000635E-3</v>
      </c>
      <c r="J264" s="96" t="s">
        <v>186</v>
      </c>
      <c r="K264" s="95">
        <f ca="1">IF(B264=TODAY(),0,-$K$6*(Sheet1!CH266-Sheet1!CH265)*7.48/1000000)</f>
        <v>1.2660308711471007E-2</v>
      </c>
      <c r="L264" s="96" t="s">
        <v>186</v>
      </c>
      <c r="M264" s="95">
        <f ca="1">IF(B264=TODAY(),0,-$M$6*(Sheet1!CI266-Sheet1!CI265)*7.48/1000000)</f>
        <v>-0.52175374441278477</v>
      </c>
      <c r="N264" s="95">
        <f ca="1">IF(B264=TODAY(),0,-$N$6*(Sheet1!CJ266-Sheet1!CJ265)*7.48/1000000)</f>
        <v>7.4462814473548189E-2</v>
      </c>
      <c r="O264" s="95">
        <f t="shared" ca="1" si="28"/>
        <v>-1.3423737017841875</v>
      </c>
      <c r="P264" s="95">
        <f ca="1">O264+Calculation!ES264</f>
        <v>1.7054898241483372</v>
      </c>
      <c r="Q264" s="90" t="str">
        <f>IF(Sheet1!BQ266&gt;25.75,"spill elevation","-")</f>
        <v>-</v>
      </c>
      <c r="R264" s="90" t="str">
        <f>IF(Sheet1!BQ266&gt;25.75,"spill elevation","-")</f>
        <v>-</v>
      </c>
      <c r="S264" s="90" t="str">
        <f>IF(Sheet1!BR266&gt;25.75,"spill elevation","-")</f>
        <v>-</v>
      </c>
      <c r="T264" s="94">
        <f>IF(Sheet1!DU266=1,Sheet1!AA266-(SUM(AT264:BA264)+BE264),Sheet1!AA266-SUM(AT264:BA264))</f>
        <v>26.925712000000001</v>
      </c>
      <c r="U264" s="94">
        <f>Sheet1!BV266</f>
        <v>39.1</v>
      </c>
      <c r="V264" s="94">
        <f t="shared" si="29"/>
        <v>-12.174288000000001</v>
      </c>
      <c r="W264" s="94">
        <f>0</f>
        <v>0</v>
      </c>
      <c r="X264" s="90">
        <f>0</f>
        <v>0</v>
      </c>
      <c r="Y264" s="95">
        <f ca="1">Calculation!EJ265+Calculation!ES264+'Calculations II'!O264-'Calculations II'!W264</f>
        <v>79.255489824148341</v>
      </c>
      <c r="Z264" s="95">
        <f ca="1">Y264-Sheet1!CT267</f>
        <v>61.587489824148342</v>
      </c>
      <c r="AA264" s="95">
        <f ca="1">Y264+Calculation!DJ265+Calculation!AS265</f>
        <v>93.631252179563688</v>
      </c>
      <c r="AC264" s="95">
        <f>Sheet1!AA266+Sheet1!AB266+BC264</f>
        <v>75.7</v>
      </c>
      <c r="AD264" s="95">
        <f>Sheet1!AA266+Sheet1!BN266+'Calculations II'!BC264-Calculation!AS264-Calculation!DJ264</f>
        <v>46.384982014388484</v>
      </c>
      <c r="AE264" s="95">
        <f>Sheet1!AA266+Sheet1!AB266+'Calculations II'!BC264-Calculation!AS264-Calculation!DJ264</f>
        <v>61.084982014388501</v>
      </c>
      <c r="AF264" s="95">
        <f ca="1">Sheet1!AA266+Sheet1!BN266+P264+'Calculations II'!BC264+Calculation!AS264+Calculation!DJ264</f>
        <v>77.320507809759846</v>
      </c>
      <c r="AG264" s="95">
        <f ca="1">IF(B264=TODAY(),0,Sheet1!AA266+Sheet1!BN266+'Calculations II'!BC264+'Calculations II'!P264-Sheet1!CT266-BP264)</f>
        <v>44.900489824148337</v>
      </c>
      <c r="AH264" s="95">
        <f ca="1">IF(B264=TODAY(),0,Sheet1!AA266+Sheet1!BN266+'Calculations II'!BC264+'Calculations II'!P264-BP264)</f>
        <v>62.705489824148337</v>
      </c>
      <c r="AI264" s="95">
        <f ca="1">IF(B264=TODAY(),0,BC264+Sheet1!AA266+Calculation!ES264+O264+W264+Sheet1!BN266+Calculation!AS264+Calculation!DJ264-BP264)</f>
        <v>77.320507809759846</v>
      </c>
      <c r="AJ264" s="95"/>
      <c r="AM264" s="91">
        <f t="shared" si="30"/>
        <v>41892</v>
      </c>
      <c r="AN264" s="95">
        <f>Sheet1!BU266</f>
        <v>28.9</v>
      </c>
      <c r="AO264" s="95">
        <f>Sheet1!AA266</f>
        <v>31.1</v>
      </c>
      <c r="AP264" s="95">
        <f t="shared" si="25"/>
        <v>-3.2685999999999993</v>
      </c>
      <c r="AQ264" s="1055">
        <f>((Sheet1!BV266-(Sheet1!BU266-AP264))/(Sheet1!BU266-AP264))</f>
        <v>0.21547098723600044</v>
      </c>
      <c r="AR264" s="95">
        <f t="shared" si="26"/>
        <v>34.368600000000001</v>
      </c>
      <c r="AS264" s="95">
        <f t="shared" si="27"/>
        <v>32.168599999999998</v>
      </c>
      <c r="AT264" s="90">
        <f>Sheet1!BB266</f>
        <v>1.6</v>
      </c>
      <c r="AU264" s="90">
        <f>Sheet1!AS266*GPMtoMGD</f>
        <v>1.5696000000000002E-2</v>
      </c>
      <c r="AV264" s="95">
        <f>Sheet1!AT266</f>
        <v>0</v>
      </c>
      <c r="AW264" s="90">
        <f>Sheet1!AV266*GPMtoMGD</f>
        <v>1.0722240000000001</v>
      </c>
      <c r="AX264" s="90">
        <f>Sheet1!AW266*GPMtoMGD</f>
        <v>1.4090400000000001</v>
      </c>
      <c r="AY264" s="90">
        <f>Sheet1!AX266*GPMtoMGD</f>
        <v>7.7328000000000008E-2</v>
      </c>
      <c r="AZ264" s="90">
        <f>Sheet1!AY266*GPMtoMGD</f>
        <v>0</v>
      </c>
      <c r="BA264" s="90">
        <f>Sheet1!AZ266*GPMtoMGD</f>
        <v>0</v>
      </c>
      <c r="BB264" s="90">
        <f>Sheet1!BP266*GPMtoMGD</f>
        <v>0</v>
      </c>
      <c r="BC264" s="90">
        <f>Sheet1!CS266*GPMtoMGD</f>
        <v>0</v>
      </c>
      <c r="BD264" s="90">
        <f>Sheet1!BO266*GPMtoMGD</f>
        <v>2.823264</v>
      </c>
      <c r="BE264" s="90">
        <f>Sheet1!BW266*GPMtoMGD</f>
        <v>1.503504</v>
      </c>
      <c r="BF264" s="90">
        <f>Sheet1!CN266*GPMtoMGD</f>
        <v>1.4400000000000002</v>
      </c>
      <c r="BG264" s="90">
        <f>Sheet1!CO266*GPMtoMGD</f>
        <v>1.0543680000000002</v>
      </c>
      <c r="BH264" s="90">
        <f>Sheet1!CP266*GPMtoMGD</f>
        <v>0.91224000000000005</v>
      </c>
      <c r="BI264" s="90">
        <f t="shared" si="31"/>
        <v>2.823264</v>
      </c>
      <c r="BK264" s="95">
        <f>SUM(AT264:BA264,BE264,Sheet1!BV266,'Calculations II'!BC264,Calculation!AQ264)</f>
        <v>74.758457467625902</v>
      </c>
      <c r="BM264" s="373">
        <f>0</f>
        <v>0</v>
      </c>
      <c r="BN264" s="373">
        <f>0</f>
        <v>0</v>
      </c>
      <c r="BP264" s="95">
        <f>SUM(BM264:BN264,W264,Sheet1!DX266)</f>
        <v>0</v>
      </c>
    </row>
    <row r="265" spans="1:68" s="90" customFormat="1">
      <c r="A265" s="651" t="s">
        <v>7</v>
      </c>
      <c r="B265" s="92">
        <v>41893</v>
      </c>
      <c r="C265" s="93">
        <v>0</v>
      </c>
      <c r="D265" s="95">
        <f>(Sheet1!BQ267-Sheet1!BQ266)*1.385</f>
        <v>0.22160000000000019</v>
      </c>
      <c r="E265" s="30">
        <f>(Sheet1!BR267-Sheet1!BR266)*1.385</f>
        <v>0.24929999999999961</v>
      </c>
      <c r="F265" s="30">
        <f ca="1">IF(B265=TODAY(),0,-(VLOOKUP(Sheet1!CD267,Lookup!$I$4:$J$216,2)-VLOOKUP(Sheet1!CD266,Lookup!$I$4:$J$216,2))/1000000)</f>
        <v>0.41454775419119744</v>
      </c>
      <c r="G265" s="95">
        <f ca="1">IF(B265=TODAY(),0,-$G$6*(Sheet1!CF267-Sheet1!CF266)*7.48/1000000)</f>
        <v>0.99283752631398325</v>
      </c>
      <c r="H265" s="95">
        <f ca="1">IF(B265=TODAY(),0,-$H$6*(Sheet1!CE267-Sheet1!CE266)*7.48/1000000)</f>
        <v>0.12031545881012057</v>
      </c>
      <c r="I265" s="95">
        <f ca="1">IF(B265=TODAY(),0,-$I$6*(Sheet1!CG267-Sheet1!CG266)*7.48/1000000)</f>
        <v>-1.3477464000000033E-2</v>
      </c>
      <c r="J265" s="96" t="s">
        <v>186</v>
      </c>
      <c r="K265" s="95">
        <f ca="1">IF(B265=TODAY(),0,-$K$6*(Sheet1!CH267-Sheet1!CH266)*7.48/1000000)</f>
        <v>-2.6653281497833796E-2</v>
      </c>
      <c r="L265" s="96" t="s">
        <v>186</v>
      </c>
      <c r="M265" s="95">
        <f ca="1">IF(B265=TODAY(),0,-$M$6*(Sheet1!CI267-Sheet1!CI266)*7.48/1000000)</f>
        <v>-7.1966033712107941E-2</v>
      </c>
      <c r="N265" s="95">
        <f ca="1">IF(B265=TODAY(),0,-$N$6*(Sheet1!CJ267-Sheet1!CJ266)*7.48/1000000)</f>
        <v>0.15513086348655974</v>
      </c>
      <c r="O265" s="95">
        <f t="shared" ca="1" si="28"/>
        <v>1.5707348235919194</v>
      </c>
      <c r="P265" s="95">
        <f ca="1">O265+Calculation!ES265</f>
        <v>1.2937204142168368</v>
      </c>
      <c r="Q265" s="90" t="str">
        <f>IF(Sheet1!BQ267&gt;25.75,"spill elevation","-")</f>
        <v>-</v>
      </c>
      <c r="R265" s="90" t="str">
        <f>IF(Sheet1!BQ267&gt;25.75,"spill elevation","-")</f>
        <v>-</v>
      </c>
      <c r="S265" s="90" t="str">
        <f>IF(Sheet1!BR267&gt;25.75,"spill elevation","-")</f>
        <v>-</v>
      </c>
      <c r="T265" s="94">
        <f>IF(Sheet1!DU267=1,Sheet1!AA267-(SUM(AT265:BA265)+BE265),Sheet1!AA267-SUM(AT265:BA265))</f>
        <v>27.027391999999999</v>
      </c>
      <c r="U265" s="94">
        <f>Sheet1!BV267</f>
        <v>35.200000000000003</v>
      </c>
      <c r="V265" s="94">
        <f t="shared" si="29"/>
        <v>-8.1726080000000039</v>
      </c>
      <c r="W265" s="94">
        <f>0</f>
        <v>0</v>
      </c>
      <c r="X265" s="90">
        <f>0</f>
        <v>0</v>
      </c>
      <c r="Y265" s="95">
        <f ca="1">Calculation!EJ266+Calculation!ES265+'Calculations II'!O265-'Calculations II'!W265</f>
        <v>80.043720414216835</v>
      </c>
      <c r="Z265" s="95">
        <f ca="1">Y265-Sheet1!CT268</f>
        <v>62.581720414216832</v>
      </c>
      <c r="AA265" s="95">
        <f ca="1">Y265+Calculation!DJ266+Calculation!AS266</f>
        <v>95.630082143129968</v>
      </c>
      <c r="AC265" s="95">
        <f>Sheet1!AA267+Sheet1!AB267+BC265</f>
        <v>77.55</v>
      </c>
      <c r="AD265" s="95">
        <f>Sheet1!AA267+Sheet1!BN267+'Calculations II'!BC265-Calculation!AS265-Calculation!DJ265</f>
        <v>49.524237644584645</v>
      </c>
      <c r="AE265" s="95">
        <f>Sheet1!AA267+Sheet1!AB267+'Calculations II'!BC265-Calculation!AS265-Calculation!DJ265</f>
        <v>63.174237644584643</v>
      </c>
      <c r="AF265" s="95">
        <f ca="1">Sheet1!AA267+Sheet1!BN267+P265+'Calculations II'!BC265+Calculation!AS265+Calculation!DJ265</f>
        <v>79.569482769632188</v>
      </c>
      <c r="AG265" s="95">
        <f ca="1">IF(B265=TODAY(),0,Sheet1!AA267+Sheet1!BN267+'Calculations II'!BC265+'Calculations II'!P265-Sheet1!CT267-BP265)</f>
        <v>47.525720414216842</v>
      </c>
      <c r="AH265" s="95">
        <f ca="1">IF(B265=TODAY(),0,Sheet1!AA267+Sheet1!BN267+'Calculations II'!BC265+'Calculations II'!P265-BP265)</f>
        <v>65.193720414216841</v>
      </c>
      <c r="AI265" s="95">
        <f ca="1">IF(B265=TODAY(),0,BC265+Sheet1!AA267+Calculation!ES265+O265+W265+Sheet1!BN267+Calculation!AS265+Calculation!DJ265-BP265)</f>
        <v>79.569482769632188</v>
      </c>
      <c r="AJ265" s="95"/>
      <c r="AM265" s="91">
        <f t="shared" si="30"/>
        <v>41893</v>
      </c>
      <c r="AN265" s="95">
        <f>Sheet1!BU267</f>
        <v>28.8</v>
      </c>
      <c r="AO265" s="95">
        <f>Sheet1!AA267</f>
        <v>31</v>
      </c>
      <c r="AP265" s="95">
        <f t="shared" si="25"/>
        <v>0.47089999999999976</v>
      </c>
      <c r="AQ265" s="1055">
        <f>((Sheet1!BV267-(Sheet1!BU267-AP265))/(Sheet1!BU267-AP265))</f>
        <v>0.24253859106007611</v>
      </c>
      <c r="AR265" s="95">
        <f t="shared" si="26"/>
        <v>30.5291</v>
      </c>
      <c r="AS265" s="95">
        <f t="shared" si="27"/>
        <v>28.3291</v>
      </c>
      <c r="AT265" s="90">
        <f>Sheet1!BB267</f>
        <v>1.61</v>
      </c>
      <c r="AU265" s="90">
        <f>Sheet1!AS267*GPMtoMGD</f>
        <v>1.5984000000000002E-2</v>
      </c>
      <c r="AV265" s="95">
        <f>Sheet1!AT267</f>
        <v>0</v>
      </c>
      <c r="AW265" s="90">
        <f>Sheet1!AV267*GPMtoMGD</f>
        <v>0.91843200000000003</v>
      </c>
      <c r="AX265" s="90">
        <f>Sheet1!AW267*GPMtoMGD</f>
        <v>1.3551840000000002</v>
      </c>
      <c r="AY265" s="90">
        <f>Sheet1!AX267*GPMtoMGD</f>
        <v>7.3008000000000003E-2</v>
      </c>
      <c r="AZ265" s="90">
        <f>Sheet1!AY267*GPMtoMGD</f>
        <v>0</v>
      </c>
      <c r="BA265" s="90">
        <f>Sheet1!AZ267*GPMtoMGD</f>
        <v>0</v>
      </c>
      <c r="BB265" s="90">
        <f>Sheet1!BP267*GPMtoMGD</f>
        <v>0</v>
      </c>
      <c r="BC265" s="90">
        <f>Sheet1!CS267*GPMtoMGD</f>
        <v>0</v>
      </c>
      <c r="BD265" s="90">
        <f>Sheet1!BO267*GPMtoMGD</f>
        <v>5.3932320000000002</v>
      </c>
      <c r="BE265" s="90">
        <f>Sheet1!BW267*GPMtoMGD</f>
        <v>1.6653600000000002</v>
      </c>
      <c r="BF265" s="90">
        <f>Sheet1!CN267*GPMtoMGD</f>
        <v>1.4400000000000002</v>
      </c>
      <c r="BG265" s="90">
        <f>Sheet1!CO267*GPMtoMGD</f>
        <v>0.85176000000000007</v>
      </c>
      <c r="BH265" s="90">
        <f>Sheet1!CP267*GPMtoMGD</f>
        <v>0.74347200000000002</v>
      </c>
      <c r="BI265" s="90">
        <f t="shared" si="31"/>
        <v>5.3932320000000002</v>
      </c>
      <c r="BK265" s="95">
        <f>SUM(AT265:BA265,BE265,Sheet1!BV267,'Calculations II'!BC265,Calculation!AQ265)</f>
        <v>73.046064740273408</v>
      </c>
      <c r="BM265" s="373">
        <f>0</f>
        <v>0</v>
      </c>
      <c r="BN265" s="373">
        <f>0</f>
        <v>0</v>
      </c>
      <c r="BP265" s="95">
        <f>SUM(BM265:BN265,W265,Sheet1!DX267)</f>
        <v>0</v>
      </c>
    </row>
    <row r="266" spans="1:68" s="90" customFormat="1">
      <c r="A266" s="651" t="s">
        <v>8</v>
      </c>
      <c r="B266" s="92">
        <v>41894</v>
      </c>
      <c r="C266" s="93">
        <v>0</v>
      </c>
      <c r="D266" s="95">
        <f>(Sheet1!BQ268-Sheet1!BQ267)*1.385</f>
        <v>-1.2049500000000013</v>
      </c>
      <c r="E266" s="30">
        <f>(Sheet1!BR268-Sheet1!BR267)*1.385</f>
        <v>-1.2326500000000007</v>
      </c>
      <c r="F266" s="30">
        <f ca="1">IF(B266=TODAY(),0,-(VLOOKUP(Sheet1!CD268,Lookup!$I$4:$J$216,2)-VLOOKUP(Sheet1!CD267,Lookup!$I$4:$J$216,2))/1000000)</f>
        <v>0.10363693854779936</v>
      </c>
      <c r="G266" s="95">
        <f ca="1">IF(B266=TODAY(),0,-$G$6*(Sheet1!CF268-Sheet1!CF267)*7.48/1000000)</f>
        <v>-0.43684851157815213</v>
      </c>
      <c r="H266" s="95">
        <f ca="1">IF(B266=TODAY(),0,-$H$6*(Sheet1!CE268-Sheet1!CE267)*7.48/1000000)</f>
        <v>-3.0078864702530014E-2</v>
      </c>
      <c r="I266" s="95">
        <f ca="1">IF(B266=TODAY(),0,-$I$6*(Sheet1!CG268-Sheet1!CG267)*7.48/1000000)</f>
        <v>4.4924879999999837E-3</v>
      </c>
      <c r="J266" s="96" t="s">
        <v>186</v>
      </c>
      <c r="K266" s="95">
        <f ca="1">IF(B266=TODAY(),0,-$K$6*(Sheet1!CH268-Sheet1!CH267)*7.48/1000000)</f>
        <v>1.3326640748916837E-2</v>
      </c>
      <c r="L266" s="96" t="s">
        <v>186</v>
      </c>
      <c r="M266" s="95">
        <f ca="1">IF(B266=TODAY(),0,-$M$6*(Sheet1!CI268-Sheet1!CI267)*7.48/1000000)</f>
        <v>3.598301685605397E-2</v>
      </c>
      <c r="N266" s="95">
        <f ca="1">IF(B266=TODAY(),0,-$N$6*(Sheet1!CJ268-Sheet1!CJ267)*7.48/1000000)</f>
        <v>0.322672196052044</v>
      </c>
      <c r="O266" s="95">
        <f t="shared" ca="1" si="28"/>
        <v>1.318390392413199E-2</v>
      </c>
      <c r="P266" s="95">
        <f ca="1">O266+Calculation!ES266</f>
        <v>2.505852186223319</v>
      </c>
      <c r="Q266" s="90" t="str">
        <f>IF(Sheet1!BQ268&gt;25.75,"spill elevation","-")</f>
        <v>-</v>
      </c>
      <c r="R266" s="90" t="str">
        <f>IF(Sheet1!BQ268&gt;25.75,"spill elevation","-")</f>
        <v>-</v>
      </c>
      <c r="S266" s="90" t="str">
        <f>IF(Sheet1!BR268&gt;25.75,"spill elevation","-")</f>
        <v>-</v>
      </c>
      <c r="T266" s="94">
        <f>IF(Sheet1!DU268=1,Sheet1!AA268-(SUM(AT266:BA266)+BE266),Sheet1!AA268-SUM(AT266:BA266))</f>
        <v>26.853935999999997</v>
      </c>
      <c r="U266" s="94">
        <f>Sheet1!BV268</f>
        <v>37.799999999999997</v>
      </c>
      <c r="V266" s="94">
        <f t="shared" si="29"/>
        <v>-10.946064</v>
      </c>
      <c r="W266" s="94">
        <f>0</f>
        <v>0</v>
      </c>
      <c r="X266" s="90">
        <f>0</f>
        <v>0</v>
      </c>
      <c r="Y266" s="95">
        <f ca="1">Calculation!EJ267+Calculation!ES266+'Calculations II'!O266-'Calculations II'!W266</f>
        <v>81.505852186223322</v>
      </c>
      <c r="Z266" s="95">
        <f ca="1">Y266-Sheet1!CT269</f>
        <v>64.543852186223319</v>
      </c>
      <c r="AA266" s="95">
        <f ca="1">Y266+Calculation!DJ267+Calculation!AS267</f>
        <v>97.915962902747239</v>
      </c>
      <c r="AC266" s="95">
        <f>Sheet1!AA268+Sheet1!AB268+BC266</f>
        <v>78.75</v>
      </c>
      <c r="AD266" s="95">
        <f>Sheet1!AA268+Sheet1!BN268+'Calculations II'!BC266-Calculation!AS266-Calculation!DJ266</f>
        <v>47.513638271086862</v>
      </c>
      <c r="AE266" s="95">
        <f>Sheet1!AA268+Sheet1!AB268+'Calculations II'!BC266-Calculation!AS266-Calculation!DJ266</f>
        <v>63.163638271086867</v>
      </c>
      <c r="AF266" s="95">
        <f ca="1">Sheet1!AA268+Sheet1!BN268+P266+'Calculations II'!BC266+Calculation!AS266+Calculation!DJ266</f>
        <v>81.192213915136449</v>
      </c>
      <c r="AG266" s="95">
        <f ca="1">IF(B266=TODAY(),0,Sheet1!AA268+Sheet1!BN268+'Calculations II'!BC266+'Calculations II'!P266-Sheet1!CT268-BP266)</f>
        <v>48.143852186223313</v>
      </c>
      <c r="AH266" s="95">
        <f ca="1">IF(B266=TODAY(),0,Sheet1!AA268+Sheet1!BN268+'Calculations II'!BC266+'Calculations II'!P266-BP266)</f>
        <v>65.605852186223316</v>
      </c>
      <c r="AI266" s="95">
        <f ca="1">IF(B266=TODAY(),0,BC266+Sheet1!AA268+Calculation!ES266+O266+W266+Sheet1!BN268+Calculation!AS266+Calculation!DJ266-BP266)</f>
        <v>81.192213915136449</v>
      </c>
      <c r="AJ266" s="95"/>
      <c r="AM266" s="91">
        <f t="shared" si="30"/>
        <v>41894</v>
      </c>
      <c r="AN266" s="95">
        <f>Sheet1!BU268</f>
        <v>28.6</v>
      </c>
      <c r="AO266" s="95">
        <f>Sheet1!AA268</f>
        <v>31</v>
      </c>
      <c r="AP266" s="95">
        <f t="shared" ref="AP266:AP329" si="32">D266+E266</f>
        <v>-2.437600000000002</v>
      </c>
      <c r="AQ266" s="1055">
        <f>((Sheet1!BV268-(Sheet1!BU268-AP266))/(Sheet1!BU268-AP266))</f>
        <v>0.21787767095393945</v>
      </c>
      <c r="AR266" s="95">
        <f t="shared" ref="AR266:AR329" si="33">AO266-AP266</f>
        <v>33.437600000000003</v>
      </c>
      <c r="AS266" s="95">
        <f t="shared" ref="AS266:AS329" si="34">AN266-AP266</f>
        <v>31.037600000000005</v>
      </c>
      <c r="AT266" s="90">
        <f>Sheet1!BB268</f>
        <v>1.6</v>
      </c>
      <c r="AU266" s="90">
        <f>Sheet1!AS268*GPMtoMGD</f>
        <v>3.3695999999999997E-2</v>
      </c>
      <c r="AV266" s="95">
        <f>Sheet1!AT268</f>
        <v>0</v>
      </c>
      <c r="AW266" s="90">
        <f>Sheet1!AV268*GPMtoMGD</f>
        <v>1.2175200000000002</v>
      </c>
      <c r="AX266" s="90">
        <f>Sheet1!AW268*GPMtoMGD</f>
        <v>1.226016</v>
      </c>
      <c r="AY266" s="90">
        <f>Sheet1!AX268*GPMtoMGD</f>
        <v>6.8832000000000004E-2</v>
      </c>
      <c r="AZ266" s="90">
        <f>Sheet1!AY268*GPMtoMGD</f>
        <v>0</v>
      </c>
      <c r="BA266" s="90">
        <f>Sheet1!AZ268*GPMtoMGD</f>
        <v>0</v>
      </c>
      <c r="BB266" s="90">
        <f>Sheet1!BP268*GPMtoMGD</f>
        <v>0</v>
      </c>
      <c r="BC266" s="90">
        <f>Sheet1!CS268*GPMtoMGD</f>
        <v>0</v>
      </c>
      <c r="BD266" s="90">
        <f>Sheet1!BO268*GPMtoMGD</f>
        <v>2.8447200000000001</v>
      </c>
      <c r="BE266" s="90">
        <f>Sheet1!BW268*GPMtoMGD</f>
        <v>1.7501760000000002</v>
      </c>
      <c r="BF266" s="90">
        <f>Sheet1!CN268*GPMtoMGD</f>
        <v>1.4400000000000002</v>
      </c>
      <c r="BG266" s="90">
        <f>Sheet1!CO268*GPMtoMGD</f>
        <v>1.200672</v>
      </c>
      <c r="BH266" s="90">
        <f>Sheet1!CP268*GPMtoMGD</f>
        <v>0.93384</v>
      </c>
      <c r="BI266" s="90">
        <f t="shared" si="31"/>
        <v>2.8447200000000001</v>
      </c>
      <c r="BK266" s="95">
        <f>SUM(AT266:BA266,BE266,Sheet1!BV268,'Calculations II'!BC266,Calculation!AQ266)</f>
        <v>75.856856869492233</v>
      </c>
      <c r="BM266" s="373">
        <f>0</f>
        <v>0</v>
      </c>
      <c r="BN266" s="373">
        <f>0</f>
        <v>0</v>
      </c>
      <c r="BP266" s="95">
        <f>SUM(BM266:BN266,W266,Sheet1!DX268)</f>
        <v>0</v>
      </c>
    </row>
    <row r="267" spans="1:68" s="90" customFormat="1">
      <c r="A267" s="651" t="s">
        <v>9</v>
      </c>
      <c r="B267" s="92">
        <v>41895</v>
      </c>
      <c r="C267" s="93">
        <v>0</v>
      </c>
      <c r="D267" s="95">
        <f>(Sheet1!BQ269-Sheet1!BQ268)*1.385</f>
        <v>-1.523499999999997</v>
      </c>
      <c r="E267" s="30">
        <f>(Sheet1!BR269-Sheet1!BR268)*1.385</f>
        <v>-1.5235000000000021</v>
      </c>
      <c r="F267" s="30">
        <f ca="1">IF(B267=TODAY(),0,-(VLOOKUP(Sheet1!CD269,Lookup!$I$4:$J$216,2)-VLOOKUP(Sheet1!CD268,Lookup!$I$4:$J$216,2))/1000000)</f>
        <v>-0.72545856983459556</v>
      </c>
      <c r="G267" s="95">
        <f ca="1">IF(B267=TODAY(),0,-$G$6*(Sheet1!CF269-Sheet1!CF268)*7.48/1000000)</f>
        <v>0.55598901473582951</v>
      </c>
      <c r="H267" s="95">
        <f ca="1">IF(B267=TODAY(),0,-$H$6*(Sheet1!CE269-Sheet1!CE268)*7.48/1000000)</f>
        <v>-0.10527602645885531</v>
      </c>
      <c r="I267" s="95">
        <f ca="1">IF(B267=TODAY(),0,-$I$6*(Sheet1!CG269-Sheet1!CG268)*7.48/1000000)</f>
        <v>-4.4924879999999837E-3</v>
      </c>
      <c r="J267" s="96" t="s">
        <v>186</v>
      </c>
      <c r="K267" s="95">
        <f ca="1">IF(B267=TODAY(),0,-$K$6*(Sheet1!CH269-Sheet1!CH268)*7.48/1000000)</f>
        <v>-1.3326640748916837E-2</v>
      </c>
      <c r="L267" s="96" t="s">
        <v>186</v>
      </c>
      <c r="M267" s="95">
        <f ca="1">IF(B267=TODAY(),0,-$M$6*(Sheet1!CI269-Sheet1!CI268)*7.48/1000000)</f>
        <v>-3.598301685605397E-2</v>
      </c>
      <c r="N267" s="95">
        <f ca="1">IF(B267=TODAY(),0,-$N$6*(Sheet1!CJ269-Sheet1!CJ268)*7.48/1000000)</f>
        <v>-0.37231407236774317</v>
      </c>
      <c r="O267" s="95">
        <f t="shared" ca="1" si="28"/>
        <v>-0.70086179953033523</v>
      </c>
      <c r="P267" s="95">
        <f ca="1">O267+Calculation!ES267</f>
        <v>2.3443231339804376</v>
      </c>
      <c r="Q267" s="90" t="str">
        <f>IF(Sheet1!BQ269&gt;25.75,"spill elevation","-")</f>
        <v>-</v>
      </c>
      <c r="R267" s="90" t="str">
        <f>IF(Sheet1!BQ269&gt;25.75,"spill elevation","-")</f>
        <v>-</v>
      </c>
      <c r="S267" s="90" t="str">
        <f>IF(Sheet1!BR269&gt;25.75,"spill elevation","-")</f>
        <v>-</v>
      </c>
      <c r="T267" s="94">
        <f>IF(Sheet1!DU269=1,Sheet1!AA269-(SUM(AT267:BA267)+BE267),Sheet1!AA269-SUM(AT267:BA267))</f>
        <v>26.596176</v>
      </c>
      <c r="U267" s="94">
        <f>Sheet1!BV269</f>
        <v>38.1</v>
      </c>
      <c r="V267" s="94">
        <f t="shared" si="29"/>
        <v>-11.503824000000002</v>
      </c>
      <c r="W267" s="94">
        <f>0</f>
        <v>0</v>
      </c>
      <c r="X267" s="90">
        <f>0</f>
        <v>0</v>
      </c>
      <c r="Y267" s="95">
        <f ca="1">Calculation!EJ268+Calculation!ES267+'Calculations II'!O267-'Calculations II'!W267</f>
        <v>83.074323133980428</v>
      </c>
      <c r="Z267" s="95">
        <f ca="1">Y267-Sheet1!CT270</f>
        <v>66.445323133980423</v>
      </c>
      <c r="AA267" s="95">
        <f ca="1">Y267+Calculation!DJ268+Calculation!AS268</f>
        <v>99.702946987191439</v>
      </c>
      <c r="AC267" s="95">
        <f>Sheet1!AA269+Sheet1!AB269+BC267</f>
        <v>79</v>
      </c>
      <c r="AD267" s="95">
        <f>Sheet1!AA269+Sheet1!BN269+'Calculations II'!BC267-Calculation!AS267-Calculation!DJ267</f>
        <v>46.089889283476083</v>
      </c>
      <c r="AE267" s="95">
        <f>Sheet1!AA269+Sheet1!AB269+'Calculations II'!BC267-Calculation!AS267-Calculation!DJ267</f>
        <v>62.58988928347609</v>
      </c>
      <c r="AF267" s="95">
        <f ca="1">Sheet1!AA269+Sheet1!BN269+P267+'Calculations II'!BC267+Calculation!AS267+Calculation!DJ267</f>
        <v>81.254433850504356</v>
      </c>
      <c r="AG267" s="95">
        <f ca="1">IF(B267=TODAY(),0,Sheet1!AA269+Sheet1!BN269+'Calculations II'!BC267+'Calculations II'!P267-Sheet1!CT269-BP267)</f>
        <v>47.882323133980435</v>
      </c>
      <c r="AH267" s="95">
        <f ca="1">IF(B267=TODAY(),0,Sheet1!AA269+Sheet1!BN269+'Calculations II'!BC267+'Calculations II'!P267-BP267)</f>
        <v>64.844323133980438</v>
      </c>
      <c r="AI267" s="95">
        <f ca="1">IF(B267=TODAY(),0,BC267+Sheet1!AA269+Calculation!ES267+O267+W267+Sheet1!BN269+Calculation!AS267+Calculation!DJ267-BP267)</f>
        <v>81.254433850504356</v>
      </c>
      <c r="AJ267" s="95"/>
      <c r="AM267" s="91">
        <f t="shared" si="30"/>
        <v>41895</v>
      </c>
      <c r="AN267" s="95">
        <f>Sheet1!BU269</f>
        <v>28.5</v>
      </c>
      <c r="AO267" s="95">
        <f>Sheet1!AA269</f>
        <v>31</v>
      </c>
      <c r="AP267" s="95">
        <f t="shared" si="32"/>
        <v>-3.0469999999999988</v>
      </c>
      <c r="AQ267" s="1055">
        <f>((Sheet1!BV269-(Sheet1!BU269-AP267))/(Sheet1!BU269-AP267))</f>
        <v>0.20772181189970537</v>
      </c>
      <c r="AR267" s="95">
        <f t="shared" si="33"/>
        <v>34.046999999999997</v>
      </c>
      <c r="AS267" s="95">
        <f t="shared" si="34"/>
        <v>31.546999999999997</v>
      </c>
      <c r="AT267" s="90">
        <f>Sheet1!BB269</f>
        <v>1.6</v>
      </c>
      <c r="AU267" s="90">
        <f>Sheet1!AS269*GPMtoMGD</f>
        <v>2.1600000000000001E-2</v>
      </c>
      <c r="AV267" s="95">
        <f>Sheet1!AT269</f>
        <v>0</v>
      </c>
      <c r="AW267" s="90">
        <f>Sheet1!AV269*GPMtoMGD</f>
        <v>1.1093760000000001</v>
      </c>
      <c r="AX267" s="90">
        <f>Sheet1!AW269*GPMtoMGD</f>
        <v>1.6005600000000002</v>
      </c>
      <c r="AY267" s="90">
        <f>Sheet1!AX269*GPMtoMGD</f>
        <v>7.2288000000000005E-2</v>
      </c>
      <c r="AZ267" s="90">
        <f>Sheet1!AY269*GPMtoMGD</f>
        <v>0</v>
      </c>
      <c r="BA267" s="90">
        <f>Sheet1!AZ269*GPMtoMGD</f>
        <v>0</v>
      </c>
      <c r="BB267" s="90">
        <f>Sheet1!BP269*GPMtoMGD</f>
        <v>0</v>
      </c>
      <c r="BC267" s="90">
        <f>Sheet1!CS269*GPMtoMGD</f>
        <v>0</v>
      </c>
      <c r="BD267" s="90">
        <f>Sheet1!BO269*GPMtoMGD</f>
        <v>3.0348000000000002</v>
      </c>
      <c r="BE267" s="90">
        <f>Sheet1!BW269*GPMtoMGD</f>
        <v>1.420272</v>
      </c>
      <c r="BF267" s="90">
        <f>Sheet1!CN269*GPMtoMGD</f>
        <v>1.4400000000000002</v>
      </c>
      <c r="BG267" s="90">
        <f>Sheet1!CO269*GPMtoMGD</f>
        <v>1.1619360000000001</v>
      </c>
      <c r="BH267" s="90">
        <f>Sheet1!CP269*GPMtoMGD</f>
        <v>0.9211680000000001</v>
      </c>
      <c r="BI267" s="90">
        <f t="shared" si="31"/>
        <v>3.0348000000000002</v>
      </c>
      <c r="BK267" s="95">
        <f>SUM(AT267:BA267,BE267,Sheet1!BV269,'Calculations II'!BC267,Calculation!AQ267)</f>
        <v>75.509640182160013</v>
      </c>
      <c r="BM267" s="373">
        <f>0</f>
        <v>0</v>
      </c>
      <c r="BN267" s="373">
        <f>0</f>
        <v>0</v>
      </c>
      <c r="BP267" s="95">
        <f>SUM(BM267:BN267,W267,Sheet1!DX269)</f>
        <v>0</v>
      </c>
    </row>
    <row r="268" spans="1:68" s="90" customFormat="1">
      <c r="A268" s="651" t="s">
        <v>3</v>
      </c>
      <c r="B268" s="92">
        <v>41896</v>
      </c>
      <c r="C268" s="93">
        <v>0</v>
      </c>
      <c r="D268" s="95">
        <f>(Sheet1!BQ270-Sheet1!BQ269)*1.385</f>
        <v>-0.24929999999999961</v>
      </c>
      <c r="E268" s="30">
        <f>(Sheet1!BR270-Sheet1!BR269)*1.385</f>
        <v>-0.20774999999999802</v>
      </c>
      <c r="F268" s="30">
        <f ca="1">IF(B268=TODAY(),0,-(VLOOKUP(Sheet1!CD270,Lookup!$I$4:$J$216,2)-VLOOKUP(Sheet1!CD269,Lookup!$I$4:$J$216,2))/1000000)</f>
        <v>-0.20727387709560618</v>
      </c>
      <c r="G268" s="95">
        <f ca="1">IF(B268=TODAY(),0,-$G$6*(Sheet1!CF270-Sheet1!CF269)*7.48/1000000)</f>
        <v>1.0325510273665424</v>
      </c>
      <c r="H268" s="95">
        <f ca="1">IF(B268=TODAY(),0,-$H$6*(Sheet1!CE270-Sheet1!CE269)*7.48/1000000)</f>
        <v>0</v>
      </c>
      <c r="I268" s="95">
        <f ca="1">IF(B268=TODAY(),0,-$I$6*(Sheet1!CG270-Sheet1!CG269)*7.48/1000000)</f>
        <v>8.9849759999999675E-3</v>
      </c>
      <c r="J268" s="96" t="s">
        <v>186</v>
      </c>
      <c r="K268" s="95">
        <f ca="1">IF(B268=TODAY(),0,-$K$6*(Sheet1!CH270-Sheet1!CH269)*7.48/1000000)</f>
        <v>1.9989961123375376E-2</v>
      </c>
      <c r="L268" s="96" t="s">
        <v>186</v>
      </c>
      <c r="M268" s="95">
        <f ca="1">IF(B268=TODAY(),0,-$M$6*(Sheet1!CI270-Sheet1!CI269)*7.48/1000000)</f>
        <v>5.3974525284081275E-2</v>
      </c>
      <c r="N268" s="95">
        <f ca="1">IF(B268=TODAY(),0,-$N$6*(Sheet1!CJ270-Sheet1!CJ269)*7.48/1000000)</f>
        <v>6.2052345394623676E-2</v>
      </c>
      <c r="O268" s="95">
        <f t="shared" ca="1" si="28"/>
        <v>0.97027895807301645</v>
      </c>
      <c r="P268" s="95">
        <f ca="1">O268+Calculation!ES268</f>
        <v>1.2470370753304438</v>
      </c>
      <c r="Q268" s="90" t="str">
        <f>IF(Sheet1!BQ270&gt;25.75,"spill elevation","-")</f>
        <v>-</v>
      </c>
      <c r="R268" s="90" t="str">
        <f>IF(Sheet1!BQ270&gt;25.75,"spill elevation","-")</f>
        <v>-</v>
      </c>
      <c r="S268" s="90" t="str">
        <f>IF(Sheet1!BR270&gt;25.75,"spill elevation","-")</f>
        <v>-</v>
      </c>
      <c r="T268" s="94">
        <f>IF(Sheet1!DU270=1,Sheet1!AA270-(SUM(AT268:BA268)+BE268),Sheet1!AA270-SUM(AT268:BA268))</f>
        <v>28.537711999999999</v>
      </c>
      <c r="U268" s="94">
        <f>Sheet1!BV270</f>
        <v>37.5</v>
      </c>
      <c r="V268" s="94">
        <f t="shared" si="29"/>
        <v>-8.9622880000000009</v>
      </c>
      <c r="W268" s="94">
        <f>0</f>
        <v>0</v>
      </c>
      <c r="X268" s="90">
        <f>0</f>
        <v>0</v>
      </c>
      <c r="Y268" s="95">
        <f ca="1">Calculation!EJ269+Calculation!ES268+'Calculations II'!O268-'Calculations II'!W268</f>
        <v>82.657037075330436</v>
      </c>
      <c r="Z268" s="95">
        <f ca="1">Y268-Sheet1!CT271</f>
        <v>66.567037075330433</v>
      </c>
      <c r="AA268" s="95">
        <f ca="1">Y268+Calculation!DJ269+Calculation!AS269</f>
        <v>99.228907503752581</v>
      </c>
      <c r="AC268" s="95">
        <f>Sheet1!AA270+Sheet1!AB270+BC268</f>
        <v>80.72999999999999</v>
      </c>
      <c r="AD268" s="95">
        <f>Sheet1!AA270+Sheet1!BN270+'Calculations II'!BC268-Calculation!AS268-Calculation!DJ268</f>
        <v>47.321376146788985</v>
      </c>
      <c r="AE268" s="95">
        <f>Sheet1!AA270+Sheet1!AB270+'Calculations II'!BC268-Calculation!AS268-Calculation!DJ268</f>
        <v>64.101376146788994</v>
      </c>
      <c r="AF268" s="95">
        <f ca="1">Sheet1!AA270+Sheet1!BN270+P268+'Calculations II'!BC268+Calculation!AS268+Calculation!DJ268</f>
        <v>81.825660928541453</v>
      </c>
      <c r="AG268" s="95">
        <f ca="1">IF(B268=TODAY(),0,Sheet1!AA270+Sheet1!BN270+'Calculations II'!BC268+'Calculations II'!P268-Sheet1!CT270-BP268)</f>
        <v>48.568037075330437</v>
      </c>
      <c r="AH268" s="95">
        <f ca="1">IF(B268=TODAY(),0,Sheet1!AA270+Sheet1!BN270+'Calculations II'!BC268+'Calculations II'!P268-BP268)</f>
        <v>65.197037075330442</v>
      </c>
      <c r="AI268" s="95">
        <f ca="1">IF(B268=TODAY(),0,BC268+Sheet1!AA270+Calculation!ES268+O268+W268+Sheet1!BN270+Calculation!AS268+Calculation!DJ268-BP268)</f>
        <v>81.825660928541453</v>
      </c>
      <c r="AJ268" s="95"/>
      <c r="AM268" s="91">
        <f t="shared" si="30"/>
        <v>41896</v>
      </c>
      <c r="AN268" s="95">
        <f>Sheet1!BU270</f>
        <v>30</v>
      </c>
      <c r="AO268" s="95">
        <f>Sheet1!AA270</f>
        <v>32.549999999999997</v>
      </c>
      <c r="AP268" s="95">
        <f t="shared" si="32"/>
        <v>-0.45704999999999762</v>
      </c>
      <c r="AQ268" s="1055">
        <f>((Sheet1!BV270-(Sheet1!BU270-AP268))/(Sheet1!BU270-AP268))</f>
        <v>0.23124202770787064</v>
      </c>
      <c r="AR268" s="95">
        <f t="shared" si="33"/>
        <v>33.007049999999992</v>
      </c>
      <c r="AS268" s="95">
        <f t="shared" si="34"/>
        <v>30.457049999999999</v>
      </c>
      <c r="AT268" s="90">
        <f>Sheet1!BB270</f>
        <v>1.6</v>
      </c>
      <c r="AU268" s="90">
        <f>Sheet1!AS270*GPMtoMGD</f>
        <v>3.2544000000000003E-2</v>
      </c>
      <c r="AV268" s="95">
        <f>Sheet1!AT270</f>
        <v>0</v>
      </c>
      <c r="AW268" s="90">
        <f>Sheet1!AV270*GPMtoMGD</f>
        <v>0.96782400000000013</v>
      </c>
      <c r="AX268" s="90">
        <f>Sheet1!AW270*GPMtoMGD</f>
        <v>1.3273920000000001</v>
      </c>
      <c r="AY268" s="90">
        <f>Sheet1!AX270*GPMtoMGD</f>
        <v>8.4528000000000006E-2</v>
      </c>
      <c r="AZ268" s="90">
        <f>Sheet1!AY270*GPMtoMGD</f>
        <v>0</v>
      </c>
      <c r="BA268" s="90">
        <f>Sheet1!AZ270*GPMtoMGD</f>
        <v>0</v>
      </c>
      <c r="BB268" s="90">
        <f>Sheet1!BP270*GPMtoMGD</f>
        <v>0</v>
      </c>
      <c r="BC268" s="90">
        <f>Sheet1!CS270*GPMtoMGD</f>
        <v>0</v>
      </c>
      <c r="BD268" s="90">
        <f>Sheet1!BO270*GPMtoMGD</f>
        <v>3.1502879999999998</v>
      </c>
      <c r="BE268" s="90">
        <f>Sheet1!BW270*GPMtoMGD</f>
        <v>1.8036000000000001</v>
      </c>
      <c r="BF268" s="90">
        <f>Sheet1!CN270*GPMtoMGD</f>
        <v>1.4400000000000002</v>
      </c>
      <c r="BG268" s="90">
        <f>Sheet1!CO270*GPMtoMGD</f>
        <v>1.1865600000000001</v>
      </c>
      <c r="BH268" s="90">
        <f>Sheet1!CP270*GPMtoMGD</f>
        <v>0.93614400000000009</v>
      </c>
      <c r="BI268" s="90">
        <f t="shared" si="31"/>
        <v>3.1502879999999998</v>
      </c>
      <c r="BK268" s="95">
        <f>SUM(AT268:BA268,BE268,Sheet1!BV270,'Calculations II'!BC268,Calculation!AQ268)</f>
        <v>74.859924697247706</v>
      </c>
      <c r="BM268" s="373">
        <f>0</f>
        <v>0</v>
      </c>
      <c r="BN268" s="373">
        <f>0</f>
        <v>0</v>
      </c>
      <c r="BP268" s="95">
        <f>SUM(BM268:BN268,W268,Sheet1!DX270)</f>
        <v>0</v>
      </c>
    </row>
    <row r="269" spans="1:68" s="90" customFormat="1">
      <c r="A269" s="651" t="s">
        <v>4</v>
      </c>
      <c r="B269" s="92">
        <v>41897</v>
      </c>
      <c r="C269" s="93">
        <v>0</v>
      </c>
      <c r="D269" s="95">
        <f>(Sheet1!BQ271-Sheet1!BQ270)*1.385</f>
        <v>0.15234999999999921</v>
      </c>
      <c r="E269" s="30">
        <f>(Sheet1!BR271-Sheet1!BR270)*1.385</f>
        <v>0.16620000000000137</v>
      </c>
      <c r="F269" s="30">
        <f ca="1">IF(B269=TODAY(),0,-(VLOOKUP(Sheet1!CD271,Lookup!$I$4:$J$216,2)-VLOOKUP(Sheet1!CD270,Lookup!$I$4:$J$216,2))/1000000)</f>
        <v>0.82909550838240231</v>
      </c>
      <c r="G269" s="95">
        <f ca="1">IF(B269=TODAY(),0,-$G$6*(Sheet1!CF271-Sheet1!CF270)*7.48/1000000)</f>
        <v>-0.71484301894606761</v>
      </c>
      <c r="H269" s="95">
        <f ca="1">IF(B269=TODAY(),0,-$H$6*(Sheet1!CE271-Sheet1!CE270)*7.48/1000000)</f>
        <v>0.2707097823227706</v>
      </c>
      <c r="I269" s="95">
        <f ca="1">IF(B269=TODAY(),0,-$I$6*(Sheet1!CG271-Sheet1!CG270)*7.48/1000000)</f>
        <v>4.4924880000000635E-3</v>
      </c>
      <c r="J269" s="96" t="s">
        <v>186</v>
      </c>
      <c r="K269" s="95">
        <f ca="1">IF(B269=TODAY(),0,-$K$6*(Sheet1!CH271-Sheet1!CH270)*7.48/1000000)</f>
        <v>6.6633203744584186E-3</v>
      </c>
      <c r="L269" s="96" t="s">
        <v>186</v>
      </c>
      <c r="M269" s="95">
        <f ca="1">IF(B269=TODAY(),0,-$M$6*(Sheet1!CI271-Sheet1!CI270)*7.48/1000000)</f>
        <v>1.7991508428026663E-2</v>
      </c>
      <c r="N269" s="95">
        <f ca="1">IF(B269=TODAY(),0,-$N$6*(Sheet1!CJ271-Sheet1!CJ270)*7.48/1000000)</f>
        <v>0.32887743059150737</v>
      </c>
      <c r="O269" s="95">
        <f t="shared" ca="1" si="28"/>
        <v>0.74298701915309784</v>
      </c>
      <c r="P269" s="95">
        <f ca="1">O269+Calculation!ES269</f>
        <v>0.4662289018956704</v>
      </c>
      <c r="Q269" s="90" t="str">
        <f>IF(Sheet1!BQ271&gt;25.75,"spill elevation","-")</f>
        <v>-</v>
      </c>
      <c r="R269" s="90" t="str">
        <f>IF(Sheet1!BQ271&gt;25.75,"spill elevation","-")</f>
        <v>-</v>
      </c>
      <c r="S269" s="90" t="str">
        <f>IF(Sheet1!BR271&gt;25.75,"spill elevation","-")</f>
        <v>-</v>
      </c>
      <c r="T269" s="94">
        <f>IF(Sheet1!DU271=1,Sheet1!AA271-(SUM(AT269:BA269)+BE269),Sheet1!AA271-SUM(AT269:BA269))</f>
        <v>29.245008000000002</v>
      </c>
      <c r="U269" s="94">
        <f>Sheet1!BV271</f>
        <v>37.5</v>
      </c>
      <c r="V269" s="94">
        <f t="shared" si="29"/>
        <v>-8.2549919999999979</v>
      </c>
      <c r="W269" s="94">
        <f>0</f>
        <v>0</v>
      </c>
      <c r="X269" s="90">
        <f>0</f>
        <v>0</v>
      </c>
      <c r="Y269" s="95">
        <f ca="1">Calculation!EJ270+Calculation!ES269+'Calculations II'!O269-'Calculations II'!W269</f>
        <v>81.726228901895652</v>
      </c>
      <c r="Z269" s="95">
        <f ca="1">Y269-Sheet1!CT272</f>
        <v>65.560228901895655</v>
      </c>
      <c r="AA269" s="95">
        <f ca="1">Y269+Calculation!DJ270+Calculation!AS270</f>
        <v>97.942871848735336</v>
      </c>
      <c r="AC269" s="95">
        <f>Sheet1!AA271+Sheet1!AB271+BC269</f>
        <v>81.41</v>
      </c>
      <c r="AD269" s="95">
        <f>Sheet1!AA271+Sheet1!BN271+'Calculations II'!BC269-Calculation!AS269-Calculation!DJ269</f>
        <v>48.218129571577848</v>
      </c>
      <c r="AE269" s="95">
        <f>Sheet1!AA271+Sheet1!AB271+'Calculations II'!BC269-Calculation!AS269-Calculation!DJ269</f>
        <v>64.838129571577852</v>
      </c>
      <c r="AF269" s="95">
        <f ca="1">Sheet1!AA271+Sheet1!BN271+P269+'Calculations II'!BC269+Calculation!AS269+Calculation!DJ269</f>
        <v>81.828099330317826</v>
      </c>
      <c r="AG269" s="95">
        <f ca="1">IF(B269=TODAY(),0,Sheet1!AA271+Sheet1!BN271+'Calculations II'!BC269+'Calculations II'!P269-Sheet1!CT271-BP269)</f>
        <v>49.166228901895678</v>
      </c>
      <c r="AH269" s="95">
        <f ca="1">IF(B269=TODAY(),0,Sheet1!AA271+Sheet1!BN271+'Calculations II'!BC269+'Calculations II'!P269-BP269)</f>
        <v>65.256228901895682</v>
      </c>
      <c r="AI269" s="95">
        <f ca="1">IF(B269=TODAY(),0,BC269+Sheet1!AA271+Calculation!ES269+O269+W269+Sheet1!BN271+Calculation!AS269+Calculation!DJ269-BP269)</f>
        <v>81.828099330317812</v>
      </c>
      <c r="AJ269" s="95"/>
      <c r="AM269" s="91">
        <f t="shared" si="30"/>
        <v>41897</v>
      </c>
      <c r="AN269" s="95">
        <f>Sheet1!BU271</f>
        <v>30.8</v>
      </c>
      <c r="AO269" s="95">
        <f>Sheet1!AA271</f>
        <v>33.49</v>
      </c>
      <c r="AP269" s="95">
        <f t="shared" si="32"/>
        <v>0.31855000000000055</v>
      </c>
      <c r="AQ269" s="1055">
        <f>((Sheet1!BV271-(Sheet1!BU271-AP269))/(Sheet1!BU271-AP269))</f>
        <v>0.23025643465123874</v>
      </c>
      <c r="AR269" s="95">
        <f t="shared" si="33"/>
        <v>33.17145</v>
      </c>
      <c r="AS269" s="95">
        <f t="shared" si="34"/>
        <v>30.481449999999999</v>
      </c>
      <c r="AT269" s="90">
        <f>Sheet1!BB271</f>
        <v>1.6</v>
      </c>
      <c r="AU269" s="90">
        <f>Sheet1!AS271*GPMtoMGD</f>
        <v>2.1600000000000001E-2</v>
      </c>
      <c r="AV269" s="95">
        <f>Sheet1!AT271</f>
        <v>0</v>
      </c>
      <c r="AW269" s="90">
        <f>Sheet1!AV271*GPMtoMGD</f>
        <v>1.0254240000000001</v>
      </c>
      <c r="AX269" s="90">
        <f>Sheet1!AW271*GPMtoMGD</f>
        <v>1.5284160000000002</v>
      </c>
      <c r="AY269" s="90">
        <f>Sheet1!AX271*GPMtoMGD</f>
        <v>6.9552000000000003E-2</v>
      </c>
      <c r="AZ269" s="90">
        <f>Sheet1!AY271*GPMtoMGD</f>
        <v>0</v>
      </c>
      <c r="BA269" s="90">
        <f>Sheet1!AZ271*GPMtoMGD</f>
        <v>0</v>
      </c>
      <c r="BB269" s="90">
        <f>Sheet1!BP271*GPMtoMGD</f>
        <v>0</v>
      </c>
      <c r="BC269" s="90">
        <f>Sheet1!CS271*GPMtoMGD</f>
        <v>0</v>
      </c>
      <c r="BD269" s="90">
        <f>Sheet1!BO271*GPMtoMGD</f>
        <v>3.0277440000000002</v>
      </c>
      <c r="BE269" s="90">
        <f>Sheet1!BW271*GPMtoMGD</f>
        <v>1.6983360000000003</v>
      </c>
      <c r="BF269" s="90">
        <f>Sheet1!CN271*GPMtoMGD</f>
        <v>1.4400000000000002</v>
      </c>
      <c r="BG269" s="90">
        <f>Sheet1!CO271*GPMtoMGD</f>
        <v>1.1495519999999999</v>
      </c>
      <c r="BH269" s="90">
        <f>Sheet1!CP271*GPMtoMGD</f>
        <v>0.95299199999999995</v>
      </c>
      <c r="BI269" s="90">
        <f t="shared" si="31"/>
        <v>3.0277440000000002</v>
      </c>
      <c r="BK269" s="95">
        <f>SUM(AT269:BA269,BE269,Sheet1!BV271,'Calculations II'!BC269,Calculation!AQ269)</f>
        <v>74.789116923719973</v>
      </c>
      <c r="BM269" s="373">
        <f>0</f>
        <v>0</v>
      </c>
      <c r="BN269" s="373">
        <f>0</f>
        <v>0</v>
      </c>
      <c r="BP269" s="95">
        <f>SUM(BM269:BN269,W269,Sheet1!DX271)</f>
        <v>0</v>
      </c>
    </row>
    <row r="270" spans="1:68" s="90" customFormat="1">
      <c r="A270" s="651" t="s">
        <v>5</v>
      </c>
      <c r="B270" s="92">
        <v>41898</v>
      </c>
      <c r="C270" s="93">
        <v>0</v>
      </c>
      <c r="D270" s="95">
        <f>(Sheet1!BQ272-Sheet1!BQ271)*1.385</f>
        <v>2.1744500000000002</v>
      </c>
      <c r="E270" s="30">
        <f>(Sheet1!BR272-Sheet1!BR271)*1.385</f>
        <v>2.0497999999999958</v>
      </c>
      <c r="F270" s="30">
        <f ca="1">IF(B270=TODAY(),0,-(VLOOKUP(Sheet1!CD272,Lookup!$I$4:$J$216,2)-VLOOKUP(Sheet1!CD271,Lookup!$I$4:$J$216,2))/1000000)</f>
        <v>-0.31091081564339806</v>
      </c>
      <c r="G270" s="95">
        <f ca="1">IF(B270=TODAY(),0,-$G$6*(Sheet1!CF272-Sheet1!CF271)*7.48/1000000)</f>
        <v>0.83398352210374516</v>
      </c>
      <c r="H270" s="95">
        <f ca="1">IF(B270=TODAY(),0,-$H$6*(Sheet1!CE272-Sheet1!CE271)*7.48/1000000)</f>
        <v>-4.5118297053794748E-2</v>
      </c>
      <c r="I270" s="95">
        <f ca="1">IF(B270=TODAY(),0,-$I$6*(Sheet1!CG272-Sheet1!CG271)*7.48/1000000)</f>
        <v>-6.7387320000000164E-3</v>
      </c>
      <c r="J270" s="96" t="s">
        <v>186</v>
      </c>
      <c r="K270" s="95">
        <f ca="1">IF(B270=TODAY(),0,-$K$6*(Sheet1!CH272-Sheet1!CH271)*7.48/1000000)</f>
        <v>-1.3326640748916953E-2</v>
      </c>
      <c r="L270" s="96" t="s">
        <v>186</v>
      </c>
      <c r="M270" s="95">
        <f ca="1">IF(B270=TODAY(),0,-$M$6*(Sheet1!CI272-Sheet1!CI271)*7.48/1000000)</f>
        <v>-3.598301685605397E-2</v>
      </c>
      <c r="N270" s="95">
        <f ca="1">IF(B270=TODAY(),0,-$N$6*(Sheet1!CJ272-Sheet1!CJ271)*7.48/1000000)</f>
        <v>-0.28544078881527046</v>
      </c>
      <c r="O270" s="95">
        <f t="shared" ca="1" si="28"/>
        <v>0.13646523098631091</v>
      </c>
      <c r="P270" s="95">
        <f ca="1">O270+Calculation!ES270</f>
        <v>-4.0164441091330616</v>
      </c>
      <c r="Q270" s="90" t="str">
        <f>IF(Sheet1!BQ272&gt;25.75,"spill elevation","-")</f>
        <v>-</v>
      </c>
      <c r="R270" s="90" t="str">
        <f>IF(Sheet1!BQ272&gt;25.75,"spill elevation","-")</f>
        <v>-</v>
      </c>
      <c r="S270" s="90" t="str">
        <f>IF(Sheet1!BR272&gt;25.75,"spill elevation","-")</f>
        <v>-</v>
      </c>
      <c r="T270" s="94">
        <f>IF(Sheet1!DU272=1,Sheet1!AA272-(SUM(AT270:BA270)+BE270),Sheet1!AA272-SUM(AT270:BA270))</f>
        <v>29.408543999999999</v>
      </c>
      <c r="U270" s="94">
        <f>Sheet1!BV272</f>
        <v>33.9</v>
      </c>
      <c r="V270" s="94">
        <f t="shared" si="29"/>
        <v>-4.4914559999999994</v>
      </c>
      <c r="W270" s="94">
        <f>0</f>
        <v>0</v>
      </c>
      <c r="X270" s="90">
        <f>0</f>
        <v>0</v>
      </c>
      <c r="Y270" s="95">
        <f ca="1">Calculation!EJ271+Calculation!ES270+'Calculations II'!O270-'Calculations II'!W270</f>
        <v>77.283555890866936</v>
      </c>
      <c r="Z270" s="95">
        <f ca="1">Y270-Sheet1!CT273</f>
        <v>61.070555890866935</v>
      </c>
      <c r="AA270" s="95">
        <f ca="1">Y270+Calculation!DJ271+Calculation!AS271</f>
        <v>93.486325508995336</v>
      </c>
      <c r="AC270" s="95">
        <f>Sheet1!AA272+Sheet1!AB272+BC270</f>
        <v>81.259999999999991</v>
      </c>
      <c r="AD270" s="95">
        <f>Sheet1!AA272+Sheet1!BN272+'Calculations II'!BC270-Calculation!AS270-Calculation!DJ270</f>
        <v>48.743357053160324</v>
      </c>
      <c r="AE270" s="95">
        <f>Sheet1!AA272+Sheet1!AB272+'Calculations II'!BC270-Calculation!AS270-Calculation!DJ270</f>
        <v>65.043357053160307</v>
      </c>
      <c r="AF270" s="95">
        <f ca="1">Sheet1!AA272+Sheet1!BN272+P270+'Calculations II'!BC270+Calculation!AS270+Calculation!DJ270</f>
        <v>77.160198837706631</v>
      </c>
      <c r="AG270" s="95">
        <f ca="1">IF(B270=TODAY(),0,Sheet1!AA272+Sheet1!BN272+'Calculations II'!BC270+'Calculations II'!P270-Sheet1!CT272-BP270)</f>
        <v>44.77755589086695</v>
      </c>
      <c r="AH270" s="95">
        <f ca="1">IF(B270=TODAY(),0,Sheet1!AA272+Sheet1!BN272+'Calculations II'!BC270+'Calculations II'!P270-BP270)</f>
        <v>60.943555890866946</v>
      </c>
      <c r="AI270" s="95">
        <f ca="1">IF(B270=TODAY(),0,BC270+Sheet1!AA272+Calculation!ES270+O270+W270+Sheet1!BN272+Calculation!AS270+Calculation!DJ270-BP270)</f>
        <v>77.160198837706616</v>
      </c>
      <c r="AJ270" s="95"/>
      <c r="AM270" s="91">
        <f t="shared" si="30"/>
        <v>41898</v>
      </c>
      <c r="AN270" s="95">
        <f>Sheet1!BU272</f>
        <v>31</v>
      </c>
      <c r="AO270" s="95">
        <f>Sheet1!AA272</f>
        <v>33.36</v>
      </c>
      <c r="AP270" s="95">
        <f t="shared" si="32"/>
        <v>4.2242499999999961</v>
      </c>
      <c r="AQ270" s="1055">
        <f>((Sheet1!BV272-(Sheet1!BU272-AP270))/(Sheet1!BU272-AP270))</f>
        <v>0.2660709784039661</v>
      </c>
      <c r="AR270" s="95">
        <f t="shared" si="33"/>
        <v>29.135750000000002</v>
      </c>
      <c r="AS270" s="95">
        <f t="shared" si="34"/>
        <v>26.775750000000002</v>
      </c>
      <c r="AT270" s="90">
        <f>Sheet1!BB272</f>
        <v>1.59</v>
      </c>
      <c r="AU270" s="90">
        <f>Sheet1!AS272*GPMtoMGD</f>
        <v>2.1600000000000001E-2</v>
      </c>
      <c r="AV270" s="95">
        <f>Sheet1!AT272</f>
        <v>0</v>
      </c>
      <c r="AW270" s="90">
        <f>Sheet1!AV272*GPMtoMGD</f>
        <v>0.96595200000000003</v>
      </c>
      <c r="AX270" s="90">
        <f>Sheet1!AW272*GPMtoMGD</f>
        <v>1.3396319999999999</v>
      </c>
      <c r="AY270" s="90">
        <f>Sheet1!AX272*GPMtoMGD</f>
        <v>3.4272000000000004E-2</v>
      </c>
      <c r="AZ270" s="90">
        <f>Sheet1!AY272*GPMtoMGD</f>
        <v>0</v>
      </c>
      <c r="BA270" s="90">
        <f>Sheet1!AZ272*GPMtoMGD</f>
        <v>0</v>
      </c>
      <c r="BB270" s="90">
        <f>Sheet1!BP272*GPMtoMGD</f>
        <v>0</v>
      </c>
      <c r="BC270" s="90">
        <f>Sheet1!CS272*GPMtoMGD</f>
        <v>0</v>
      </c>
      <c r="BD270" s="90">
        <f>Sheet1!BO272*GPMtoMGD</f>
        <v>2.8836000000000004</v>
      </c>
      <c r="BE270" s="90">
        <f>Sheet1!BW272*GPMtoMGD</f>
        <v>1.471536</v>
      </c>
      <c r="BF270" s="90">
        <f>Sheet1!CN272*GPMtoMGD</f>
        <v>1.4400000000000002</v>
      </c>
      <c r="BG270" s="90">
        <f>Sheet1!CO272*GPMtoMGD</f>
        <v>0.99648000000000003</v>
      </c>
      <c r="BH270" s="90">
        <f>Sheet1!CP272*GPMtoMGD</f>
        <v>0.92304000000000008</v>
      </c>
      <c r="BI270" s="90">
        <f t="shared" si="31"/>
        <v>2.8836000000000004</v>
      </c>
      <c r="BK270" s="95">
        <f>SUM(AT270:BA270,BE270,Sheet1!BV272,'Calculations II'!BC270,Calculation!AQ270)</f>
        <v>71.002355750523236</v>
      </c>
      <c r="BM270" s="373">
        <f>0</f>
        <v>0</v>
      </c>
      <c r="BN270" s="373">
        <f>0</f>
        <v>0</v>
      </c>
      <c r="BP270" s="95">
        <f>SUM(BM270:BN270,W270,Sheet1!DX272)</f>
        <v>0</v>
      </c>
    </row>
    <row r="271" spans="1:68" s="90" customFormat="1">
      <c r="A271" s="651" t="s">
        <v>6</v>
      </c>
      <c r="B271" s="92">
        <v>41899</v>
      </c>
      <c r="C271" s="93">
        <v>0</v>
      </c>
      <c r="D271" s="95">
        <f>(Sheet1!BQ273-Sheet1!BQ272)*1.385</f>
        <v>2.0220999999999965</v>
      </c>
      <c r="E271" s="30">
        <f>(Sheet1!BR273-Sheet1!BR272)*1.385</f>
        <v>2.1329000000000038</v>
      </c>
      <c r="F271" s="30">
        <f ca="1">IF(B271=TODAY(),0,-(VLOOKUP(Sheet1!CD273,Lookup!$I$4:$J$216,2)-VLOOKUP(Sheet1!CD272,Lookup!$I$4:$J$216,2))/1000000)</f>
        <v>0</v>
      </c>
      <c r="G271" s="95">
        <f ca="1">IF(B271=TODAY(),0,-$G$6*(Sheet1!CF273-Sheet1!CF272)*7.48/1000000)</f>
        <v>0</v>
      </c>
      <c r="H271" s="95">
        <f ca="1">IF(B271=TODAY(),0,-$H$6*(Sheet1!CE273-Sheet1!CE272)*7.48/1000000)</f>
        <v>0</v>
      </c>
      <c r="I271" s="95">
        <f ca="1">IF(B271=TODAY(),0,-$I$6*(Sheet1!CG273-Sheet1!CG272)*7.48/1000000)</f>
        <v>0</v>
      </c>
      <c r="J271" s="96" t="s">
        <v>186</v>
      </c>
      <c r="K271" s="95">
        <f ca="1">IF(B271=TODAY(),0,-$K$6*(Sheet1!CH273-Sheet1!CH272)*7.48/1000000)</f>
        <v>0</v>
      </c>
      <c r="L271" s="96" t="s">
        <v>186</v>
      </c>
      <c r="M271" s="95">
        <f ca="1">IF(B271=TODAY(),0,-$M$6*(Sheet1!CI273-Sheet1!CI272)*7.48/1000000)</f>
        <v>0</v>
      </c>
      <c r="N271" s="95">
        <f ca="1">IF(B271=TODAY(),0,-$N$6*(Sheet1!CJ273-Sheet1!CJ272)*7.48/1000000)</f>
        <v>0</v>
      </c>
      <c r="O271" s="95">
        <f t="shared" ca="1" si="28"/>
        <v>0</v>
      </c>
      <c r="P271" s="95">
        <f ca="1">O271+Calculation!ES271</f>
        <v>-4.1557929922480286</v>
      </c>
      <c r="Q271" s="90" t="str">
        <f>IF(Sheet1!BQ273&gt;25.75,"spill elevation","-")</f>
        <v>-</v>
      </c>
      <c r="R271" s="90" t="str">
        <f>IF(Sheet1!BQ273&gt;25.75,"spill elevation","-")</f>
        <v>-</v>
      </c>
      <c r="S271" s="90" t="str">
        <f>IF(Sheet1!BR273&gt;25.75,"spill elevation","-")</f>
        <v>-</v>
      </c>
      <c r="T271" s="94">
        <f>IF(Sheet1!DU273=1,Sheet1!AA273-(SUM(AT271:BA271)+BE271),Sheet1!AA273-SUM(AT271:BA271))</f>
        <v>29.705871999999999</v>
      </c>
      <c r="U271" s="94">
        <f>Sheet1!BV273</f>
        <v>34</v>
      </c>
      <c r="V271" s="94">
        <f t="shared" si="29"/>
        <v>-4.2941280000000006</v>
      </c>
      <c r="W271" s="94">
        <f>0</f>
        <v>0</v>
      </c>
      <c r="X271" s="90">
        <f>0</f>
        <v>0</v>
      </c>
      <c r="Y271" s="95">
        <f ca="1">Calculation!EJ272+Calculation!ES271+'Calculations II'!O271-'Calculations II'!W271</f>
        <v>73.414207007751969</v>
      </c>
      <c r="Z271" s="95">
        <f ca="1">Y271-Sheet1!CT274</f>
        <v>56.864207007751972</v>
      </c>
      <c r="AA271" s="95">
        <f ca="1">Y271+Calculation!DJ272+Calculation!AS272</f>
        <v>89.716470038321575</v>
      </c>
      <c r="AC271" s="95">
        <f>Sheet1!AA273+Sheet1!AB273+BC271</f>
        <v>81.3</v>
      </c>
      <c r="AD271" s="95">
        <f>Sheet1!AA273+Sheet1!BN273+'Calculations II'!BC271-Calculation!AS271-Calculation!DJ271</f>
        <v>48.797230381871593</v>
      </c>
      <c r="AE271" s="95">
        <f>Sheet1!AA273+Sheet1!AB273+'Calculations II'!BC271-Calculation!AS271-Calculation!DJ271</f>
        <v>65.097230381871597</v>
      </c>
      <c r="AF271" s="95">
        <f ca="1">Sheet1!AA273+Sheet1!BN273+P271+'Calculations II'!BC271+Calculation!AS271+Calculation!DJ271</f>
        <v>77.046976625880376</v>
      </c>
      <c r="AG271" s="95">
        <f ca="1">IF(B271=TODAY(),0,Sheet1!AA273+Sheet1!BN273+'Calculations II'!BC271+'Calculations II'!P271-Sheet1!CT273-BP271)</f>
        <v>44.631207007751968</v>
      </c>
      <c r="AH271" s="95">
        <f ca="1">IF(B271=TODAY(),0,Sheet1!AA273+Sheet1!BN273+'Calculations II'!BC271+'Calculations II'!P271-BP271)</f>
        <v>60.844207007751969</v>
      </c>
      <c r="AI271" s="95">
        <f ca="1">IF(B271=TODAY(),0,BC271+Sheet1!AA273+Calculation!ES271+O271+W271+Sheet1!BN273+Calculation!AS271+Calculation!DJ271-BP271)</f>
        <v>77.04697662588039</v>
      </c>
      <c r="AJ271" s="95"/>
      <c r="AM271" s="91">
        <f t="shared" si="30"/>
        <v>41899</v>
      </c>
      <c r="AN271" s="95">
        <f>Sheet1!BU273</f>
        <v>31.2</v>
      </c>
      <c r="AO271" s="95">
        <f>Sheet1!AA273</f>
        <v>33.5</v>
      </c>
      <c r="AP271" s="95">
        <f t="shared" si="32"/>
        <v>4.1550000000000002</v>
      </c>
      <c r="AQ271" s="1055">
        <f>((Sheet1!BV273-(Sheet1!BU273-AP271))/(Sheet1!BU273-AP271))</f>
        <v>0.25716398594934375</v>
      </c>
      <c r="AR271" s="95">
        <f t="shared" si="33"/>
        <v>29.344999999999999</v>
      </c>
      <c r="AS271" s="95">
        <f t="shared" si="34"/>
        <v>27.044999999999998</v>
      </c>
      <c r="AT271" s="90">
        <f>Sheet1!BB273</f>
        <v>1.6</v>
      </c>
      <c r="AU271" s="90">
        <f>Sheet1!AS273*GPMtoMGD</f>
        <v>1.7136000000000002E-2</v>
      </c>
      <c r="AV271" s="95">
        <f>Sheet1!AT273</f>
        <v>0</v>
      </c>
      <c r="AW271" s="90">
        <f>Sheet1!AV273*GPMtoMGD</f>
        <v>0.8799840000000001</v>
      </c>
      <c r="AX271" s="90">
        <f>Sheet1!AW273*GPMtoMGD</f>
        <v>1.248912</v>
      </c>
      <c r="AY271" s="90">
        <f>Sheet1!AX273*GPMtoMGD</f>
        <v>4.8096E-2</v>
      </c>
      <c r="AZ271" s="90">
        <f>Sheet1!AY273*GPMtoMGD</f>
        <v>0</v>
      </c>
      <c r="BA271" s="90">
        <f>Sheet1!AZ273*GPMtoMGD</f>
        <v>0</v>
      </c>
      <c r="BB271" s="90">
        <f>Sheet1!BP273*GPMtoMGD</f>
        <v>0</v>
      </c>
      <c r="BC271" s="90">
        <f>Sheet1!CS273*GPMtoMGD</f>
        <v>0</v>
      </c>
      <c r="BD271" s="90">
        <f>Sheet1!BO273*GPMtoMGD</f>
        <v>2.7351360000000002</v>
      </c>
      <c r="BE271" s="90">
        <f>Sheet1!BW273*GPMtoMGD</f>
        <v>1.57464</v>
      </c>
      <c r="BF271" s="90">
        <f>Sheet1!CN273*GPMtoMGD</f>
        <v>1.4400000000000002</v>
      </c>
      <c r="BG271" s="90">
        <f>Sheet1!CO273*GPMtoMGD</f>
        <v>0.95860800000000013</v>
      </c>
      <c r="BH271" s="90">
        <f>Sheet1!CP273*GPMtoMGD</f>
        <v>0.92505599999999999</v>
      </c>
      <c r="BI271" s="90">
        <f t="shared" si="31"/>
        <v>2.7351360000000002</v>
      </c>
      <c r="BK271" s="95">
        <f>SUM(AT271:BA271,BE271,Sheet1!BV273,'Calculations II'!BC271,Calculation!AQ271)</f>
        <v>70.961298423835501</v>
      </c>
      <c r="BM271" s="373">
        <f>0</f>
        <v>0</v>
      </c>
      <c r="BN271" s="373">
        <f>0</f>
        <v>0</v>
      </c>
      <c r="BP271" s="95">
        <f>SUM(BM271:BN271,W271,Sheet1!DX273)</f>
        <v>0</v>
      </c>
    </row>
    <row r="272" spans="1:68" s="90" customFormat="1">
      <c r="A272" s="651" t="s">
        <v>7</v>
      </c>
      <c r="B272" s="92">
        <v>41900</v>
      </c>
      <c r="C272" s="93">
        <v>0</v>
      </c>
      <c r="D272" s="95">
        <f>(Sheet1!BQ274-Sheet1!BQ273)*1.385</f>
        <v>0.99720000000000331</v>
      </c>
      <c r="E272" s="30">
        <f>(Sheet1!BR274-Sheet1!BR273)*1.385</f>
        <v>1.0248999999999979</v>
      </c>
      <c r="F272" s="30">
        <f ca="1">IF(B272=TODAY(),0,-(VLOOKUP(Sheet1!CD274,Lookup!$I$4:$J$216,2)-VLOOKUP(Sheet1!CD273,Lookup!$I$4:$J$216,2))/1000000)</f>
        <v>0.51818469273899681</v>
      </c>
      <c r="G272" s="95">
        <f ca="1">IF(B272=TODAY(),0,-$G$6*(Sheet1!CF274-Sheet1!CF273)*7.48/1000000)</f>
        <v>-3.9713501052559295</v>
      </c>
      <c r="H272" s="95">
        <f ca="1">IF(B272=TODAY(),0,-$H$6*(Sheet1!CE274-Sheet1!CE273)*7.48/1000000)</f>
        <v>-7.5197161756325293E-2</v>
      </c>
      <c r="I272" s="95">
        <f ca="1">IF(B272=TODAY(),0,-$I$6*(Sheet1!CG274-Sheet1!CG273)*7.48/1000000)</f>
        <v>6.7387320000000164E-3</v>
      </c>
      <c r="J272" s="96" t="s">
        <v>186</v>
      </c>
      <c r="K272" s="95">
        <f ca="1">IF(B272=TODAY(),0,-$K$6*(Sheet1!CH274-Sheet1!CH273)*7.48/1000000)</f>
        <v>1.3326640748916953E-2</v>
      </c>
      <c r="L272" s="96" t="s">
        <v>186</v>
      </c>
      <c r="M272" s="95">
        <f ca="1">IF(B272=TODAY(),0,-$M$6*(Sheet1!CI274-Sheet1!CI273)*7.48/1000000)</f>
        <v>3.598301685605397E-2</v>
      </c>
      <c r="N272" s="95">
        <f ca="1">IF(B272=TODAY(),0,-$N$6*(Sheet1!CJ274-Sheet1!CJ273)*7.48/1000000)</f>
        <v>0.14272039440763523</v>
      </c>
      <c r="O272" s="95">
        <f t="shared" ca="1" si="28"/>
        <v>-3.3295937902606521</v>
      </c>
      <c r="P272" s="95">
        <f ca="1">O272+Calculation!ES272</f>
        <v>-5.4085767762795811</v>
      </c>
      <c r="Q272" s="90" t="str">
        <f>IF(Sheet1!BQ274&gt;25.75,"spill elevation","-")</f>
        <v>-</v>
      </c>
      <c r="R272" s="90" t="str">
        <f>IF(Sheet1!BQ274&gt;25.75,"spill elevation","-")</f>
        <v>-</v>
      </c>
      <c r="S272" s="90" t="str">
        <f>IF(Sheet1!BR274&gt;25.75,"spill elevation","-")</f>
        <v>-</v>
      </c>
      <c r="T272" s="94">
        <f>IF(Sheet1!DU274=1,Sheet1!AA274-(SUM(AT272:BA272)+BE272),Sheet1!AA274-SUM(AT272:BA272))</f>
        <v>28.715199999999999</v>
      </c>
      <c r="U272" s="94">
        <f>Sheet1!BV274</f>
        <v>35.4</v>
      </c>
      <c r="V272" s="94">
        <f t="shared" si="29"/>
        <v>-6.6847999999999992</v>
      </c>
      <c r="W272" s="94">
        <f>0</f>
        <v>0</v>
      </c>
      <c r="X272" s="90">
        <f>0</f>
        <v>0</v>
      </c>
      <c r="Y272" s="95">
        <f ca="1">Calculation!EJ273+Calculation!ES272+'Calculations II'!O272-'Calculations II'!W272</f>
        <v>69.921423223720424</v>
      </c>
      <c r="Z272" s="95">
        <f ca="1">Y272-Sheet1!CT275</f>
        <v>52.214423223720424</v>
      </c>
      <c r="AA272" s="95">
        <f ca="1">Y272+Calculation!DJ273+Calculation!AS273</f>
        <v>86.278285576399981</v>
      </c>
      <c r="AC272" s="95">
        <f>Sheet1!AA274+Sheet1!AB274+BC272</f>
        <v>77.569999999999993</v>
      </c>
      <c r="AD272" s="95">
        <f>Sheet1!AA274+Sheet1!BN274+'Calculations II'!BC272-Calculation!AS272-Calculation!DJ272</f>
        <v>44.897736969430397</v>
      </c>
      <c r="AE272" s="95">
        <f>Sheet1!AA274+Sheet1!AB274+'Calculations II'!BC272-Calculation!AS272-Calculation!DJ272</f>
        <v>61.267736969430388</v>
      </c>
      <c r="AF272" s="95">
        <f ca="1">Sheet1!AA274+Sheet1!BN274+P272+'Calculations II'!BC272+Calculation!AS272+Calculation!DJ272</f>
        <v>72.093686254290034</v>
      </c>
      <c r="AG272" s="95">
        <f ca="1">IF(B272=TODAY(),0,Sheet1!AA274+Sheet1!BN274+'Calculations II'!BC272+'Calculations II'!P272-Sheet1!CT274-BP272)</f>
        <v>39.241423223720417</v>
      </c>
      <c r="AH272" s="95">
        <f ca="1">IF(B272=TODAY(),0,Sheet1!AA274+Sheet1!BN274+'Calculations II'!BC272+'Calculations II'!P272-BP272)</f>
        <v>55.791423223720422</v>
      </c>
      <c r="AI272" s="95">
        <f ca="1">IF(B272=TODAY(),0,BC272+Sheet1!AA274+Calculation!ES272+O272+W272+Sheet1!BN274+Calculation!AS272+Calculation!DJ272-BP272)</f>
        <v>72.09368625429002</v>
      </c>
      <c r="AJ272" s="95"/>
      <c r="AM272" s="91">
        <f t="shared" si="30"/>
        <v>41900</v>
      </c>
      <c r="AN272" s="95">
        <f>Sheet1!BU274</f>
        <v>30.4</v>
      </c>
      <c r="AO272" s="95">
        <f>Sheet1!AA274</f>
        <v>32</v>
      </c>
      <c r="AP272" s="95">
        <f t="shared" si="32"/>
        <v>2.0221000000000013</v>
      </c>
      <c r="AQ272" s="1055">
        <f>((Sheet1!BV274-(Sheet1!BU274-AP272))/(Sheet1!BU274-AP272))</f>
        <v>0.24744959986468351</v>
      </c>
      <c r="AR272" s="95">
        <f t="shared" si="33"/>
        <v>29.977899999999998</v>
      </c>
      <c r="AS272" s="95">
        <f t="shared" si="34"/>
        <v>28.377899999999997</v>
      </c>
      <c r="AT272" s="90">
        <f>Sheet1!BB274</f>
        <v>1.6</v>
      </c>
      <c r="AU272" s="90">
        <f>Sheet1!AS274*GPMtoMGD</f>
        <v>1.6272000000000002E-2</v>
      </c>
      <c r="AV272" s="95">
        <f>Sheet1!AT274</f>
        <v>0</v>
      </c>
      <c r="AW272" s="90">
        <f>Sheet1!AV274*GPMtoMGD</f>
        <v>0.69120000000000004</v>
      </c>
      <c r="AX272" s="90">
        <f>Sheet1!AW274*GPMtoMGD</f>
        <v>0.94075200000000003</v>
      </c>
      <c r="AY272" s="90">
        <f>Sheet1!AX274*GPMtoMGD</f>
        <v>3.6575999999999997E-2</v>
      </c>
      <c r="AZ272" s="90">
        <f>Sheet1!AY274*GPMtoMGD</f>
        <v>0</v>
      </c>
      <c r="BA272" s="90">
        <f>Sheet1!AZ274*GPMtoMGD</f>
        <v>0</v>
      </c>
      <c r="BB272" s="90">
        <f>Sheet1!BP274*GPMtoMGD</f>
        <v>0</v>
      </c>
      <c r="BC272" s="90">
        <f>Sheet1!CS274*GPMtoMGD</f>
        <v>0</v>
      </c>
      <c r="BD272" s="90">
        <f>Sheet1!BO274*GPMtoMGD</f>
        <v>2.378304</v>
      </c>
      <c r="BE272" s="90">
        <f>Sheet1!BW274*GPMtoMGD</f>
        <v>1.2595680000000002</v>
      </c>
      <c r="BF272" s="90">
        <f>Sheet1!CN274*GPMtoMGD</f>
        <v>1.4400000000000002</v>
      </c>
      <c r="BG272" s="90">
        <f>Sheet1!CO274*GPMtoMGD</f>
        <v>0.83073600000000003</v>
      </c>
      <c r="BH272" s="90">
        <f>Sheet1!CP274*GPMtoMGD</f>
        <v>0.90187200000000001</v>
      </c>
      <c r="BI272" s="90">
        <f t="shared" si="31"/>
        <v>2.378304</v>
      </c>
      <c r="BK272" s="95">
        <f>SUM(AT272:BA272,BE272,Sheet1!BV274,'Calculations II'!BC272,Calculation!AQ272)</f>
        <v>69.208586165823618</v>
      </c>
      <c r="BM272" s="373">
        <f>0</f>
        <v>0</v>
      </c>
      <c r="BN272" s="373">
        <f>0</f>
        <v>0</v>
      </c>
      <c r="BP272" s="95">
        <f>SUM(BM272:BN272,W272,Sheet1!DX274)</f>
        <v>0</v>
      </c>
    </row>
    <row r="273" spans="1:68" s="90" customFormat="1">
      <c r="A273" s="651" t="s">
        <v>8</v>
      </c>
      <c r="B273" s="92">
        <v>41901</v>
      </c>
      <c r="C273" s="93">
        <v>0</v>
      </c>
      <c r="D273" s="95">
        <f>(Sheet1!BQ275-Sheet1!BQ274)*1.385</f>
        <v>-1.592750000000003</v>
      </c>
      <c r="E273" s="30">
        <f>(Sheet1!BR275-Sheet1!BR274)*1.385</f>
        <v>-1.6204499999999975</v>
      </c>
      <c r="F273" s="30">
        <f ca="1">IF(B273=TODAY(),0,-(VLOOKUP(Sheet1!CD275,Lookup!$I$4:$J$216,2)-VLOOKUP(Sheet1!CD274,Lookup!$I$4:$J$216,2))/1000000)</f>
        <v>-0.51818469273899681</v>
      </c>
      <c r="G273" s="95">
        <f ca="1">IF(B273=TODAY(),0,-$G$6*(Sheet1!CF275-Sheet1!CF274)*7.48/1000000)</f>
        <v>0.79427002105118594</v>
      </c>
      <c r="H273" s="95">
        <f ca="1">IF(B273=TODAY(),0,-$H$6*(Sheet1!CE275-Sheet1!CE274)*7.48/1000000)</f>
        <v>0.18047318821518063</v>
      </c>
      <c r="I273" s="95">
        <f ca="1">IF(B273=TODAY(),0,-$I$6*(Sheet1!CG275-Sheet1!CG274)*7.48/1000000)</f>
        <v>-4.4924880000000635E-3</v>
      </c>
      <c r="J273" s="96" t="s">
        <v>186</v>
      </c>
      <c r="K273" s="95">
        <f ca="1">IF(B273=TODAY(),0,-$K$6*(Sheet1!CH275-Sheet1!CH274)*7.48/1000000)</f>
        <v>-6.6633203744584186E-3</v>
      </c>
      <c r="L273" s="96" t="s">
        <v>186</v>
      </c>
      <c r="M273" s="95">
        <f ca="1">IF(B273=TODAY(),0,-$M$6*(Sheet1!CI275-Sheet1!CI274)*7.48/1000000)</f>
        <v>-1.7991508428026663E-2</v>
      </c>
      <c r="N273" s="95">
        <f ca="1">IF(B273=TODAY(),0,-$N$6*(Sheet1!CJ275-Sheet1!CJ274)*7.48/1000000)</f>
        <v>-6.2052345394623676E-2</v>
      </c>
      <c r="O273" s="95">
        <f t="shared" ca="1" si="28"/>
        <v>0.36535885433026094</v>
      </c>
      <c r="P273" s="95">
        <f ca="1">O273+Calculation!ES273</f>
        <v>3.5528353184067614</v>
      </c>
      <c r="Q273" s="90" t="str">
        <f>IF(Sheet1!BQ275&gt;25.75,"spill elevation","-")</f>
        <v>-</v>
      </c>
      <c r="R273" s="90" t="str">
        <f>IF(Sheet1!BQ275&gt;25.75,"spill elevation","-")</f>
        <v>-</v>
      </c>
      <c r="S273" s="90" t="str">
        <f>IF(Sheet1!BR275&gt;25.75,"spill elevation","-")</f>
        <v>-</v>
      </c>
      <c r="T273" s="94">
        <f>IF(Sheet1!DU275=1,Sheet1!AA275-(SUM(AT273:BA273)+BE273),Sheet1!AA275-SUM(AT273:BA273))</f>
        <v>26.825759999999999</v>
      </c>
      <c r="U273" s="94">
        <f>Sheet1!BV275</f>
        <v>38.6</v>
      </c>
      <c r="V273" s="94">
        <f t="shared" si="29"/>
        <v>-11.774240000000002</v>
      </c>
      <c r="W273" s="94">
        <f>0</f>
        <v>0</v>
      </c>
      <c r="X273" s="90">
        <f>0</f>
        <v>0</v>
      </c>
      <c r="Y273" s="95">
        <f ca="1">Calculation!EJ274+Calculation!ES273+'Calculations II'!O273-'Calculations II'!W273</f>
        <v>78.95283531840677</v>
      </c>
      <c r="Z273" s="95">
        <f ca="1">Y273-Sheet1!CT276</f>
        <v>61.675835318406769</v>
      </c>
      <c r="AA273" s="95">
        <f ca="1">Y273+Calculation!DJ274+Calculation!AS274</f>
        <v>95.606267323748412</v>
      </c>
      <c r="AC273" s="95">
        <f>Sheet1!AA275+Sheet1!AB275+BC273</f>
        <v>75.33</v>
      </c>
      <c r="AD273" s="95">
        <f>Sheet1!AA275+Sheet1!BN275+'Calculations II'!BC273-Calculation!AS273-Calculation!DJ273</f>
        <v>42.64313764732043</v>
      </c>
      <c r="AE273" s="95">
        <f>Sheet1!AA275+Sheet1!AB275+'Calculations II'!BC273-Calculation!AS273-Calculation!DJ273</f>
        <v>58.973137647320442</v>
      </c>
      <c r="AF273" s="95">
        <f ca="1">Sheet1!AA275+Sheet1!BN275+P273+'Calculations II'!BC273+Calculation!AS273+Calculation!DJ273</f>
        <v>78.90969767108632</v>
      </c>
      <c r="AG273" s="95">
        <f ca="1">IF(B273=TODAY(),0,Sheet1!AA275+Sheet1!BN275+'Calculations II'!BC273+'Calculations II'!P273-Sheet1!CT275-BP273)</f>
        <v>44.845835318406763</v>
      </c>
      <c r="AH273" s="95">
        <f ca="1">IF(B273=TODAY(),0,Sheet1!AA275+Sheet1!BN275+'Calculations II'!BC273+'Calculations II'!P273-BP273)</f>
        <v>62.552835318406764</v>
      </c>
      <c r="AI273" s="95">
        <f ca="1">IF(B273=TODAY(),0,BC273+Sheet1!AA275+Calculation!ES273+O273+W273+Sheet1!BN275+Calculation!AS273+Calculation!DJ273-BP273)</f>
        <v>78.90969767108632</v>
      </c>
      <c r="AJ273" s="95"/>
      <c r="AM273" s="91">
        <f t="shared" si="30"/>
        <v>41901</v>
      </c>
      <c r="AN273" s="95">
        <f>Sheet1!BU275</f>
        <v>28.5</v>
      </c>
      <c r="AO273" s="95">
        <f>Sheet1!AA275</f>
        <v>30.4</v>
      </c>
      <c r="AP273" s="95">
        <f t="shared" si="32"/>
        <v>-3.2132000000000005</v>
      </c>
      <c r="AQ273" s="1055">
        <f>((Sheet1!BV275-(Sheet1!BU275-AP273))/(Sheet1!BU275-AP273))</f>
        <v>0.21715878561608418</v>
      </c>
      <c r="AR273" s="95">
        <f t="shared" si="33"/>
        <v>33.613199999999999</v>
      </c>
      <c r="AS273" s="95">
        <f t="shared" si="34"/>
        <v>31.713200000000001</v>
      </c>
      <c r="AT273" s="90">
        <f>Sheet1!BB275</f>
        <v>1.6</v>
      </c>
      <c r="AU273" s="90">
        <f>Sheet1!AS275*GPMtoMGD</f>
        <v>1.6416E-2</v>
      </c>
      <c r="AV273" s="95">
        <f>Sheet1!AT275</f>
        <v>0</v>
      </c>
      <c r="AW273" s="90">
        <f>Sheet1!AV275*GPMtoMGD</f>
        <v>0.79444800000000015</v>
      </c>
      <c r="AX273" s="90">
        <f>Sheet1!AW275*GPMtoMGD</f>
        <v>1.127664</v>
      </c>
      <c r="AY273" s="90">
        <f>Sheet1!AX275*GPMtoMGD</f>
        <v>3.5712000000000001E-2</v>
      </c>
      <c r="AZ273" s="90">
        <f>Sheet1!AY275*GPMtoMGD</f>
        <v>0</v>
      </c>
      <c r="BA273" s="90">
        <f>Sheet1!AZ275*GPMtoMGD</f>
        <v>0</v>
      </c>
      <c r="BB273" s="90">
        <f>Sheet1!BP275*GPMtoMGD</f>
        <v>0</v>
      </c>
      <c r="BC273" s="90">
        <f>Sheet1!CS275*GPMtoMGD</f>
        <v>0</v>
      </c>
      <c r="BD273" s="90">
        <f>Sheet1!BO275*GPMtoMGD</f>
        <v>2.7093600000000002</v>
      </c>
      <c r="BE273" s="90">
        <f>Sheet1!BW275*GPMtoMGD</f>
        <v>1.5147360000000003</v>
      </c>
      <c r="BF273" s="90">
        <f>Sheet1!CN275*GPMtoMGD</f>
        <v>1.4400000000000002</v>
      </c>
      <c r="BG273" s="90">
        <f>Sheet1!CO275*GPMtoMGD</f>
        <v>0.97430400000000006</v>
      </c>
      <c r="BH273" s="90">
        <f>Sheet1!CP275*GPMtoMGD</f>
        <v>0.8930880000000001</v>
      </c>
      <c r="BI273" s="90">
        <f t="shared" si="31"/>
        <v>2.7093600000000002</v>
      </c>
      <c r="BK273" s="95">
        <f>SUM(AT273:BA273,BE273,Sheet1!BV275,'Calculations II'!BC273,Calculation!AQ273)</f>
        <v>72.263536818323331</v>
      </c>
      <c r="BM273" s="373">
        <f>0</f>
        <v>0</v>
      </c>
      <c r="BN273" s="373">
        <f>0</f>
        <v>0</v>
      </c>
      <c r="BP273" s="95">
        <f>SUM(BM273:BN273,W273,Sheet1!DX275)</f>
        <v>0</v>
      </c>
    </row>
    <row r="274" spans="1:68" s="90" customFormat="1">
      <c r="A274" s="651" t="s">
        <v>9</v>
      </c>
      <c r="B274" s="92">
        <v>41902</v>
      </c>
      <c r="C274" s="93">
        <v>0</v>
      </c>
      <c r="D274" s="95">
        <f>(Sheet1!BQ276-Sheet1!BQ275)*1.385</f>
        <v>-1.0248999999999979</v>
      </c>
      <c r="E274" s="30">
        <f>(Sheet1!BR276-Sheet1!BR275)*1.385</f>
        <v>-1.0110500000000007</v>
      </c>
      <c r="F274" s="30">
        <f ca="1">IF(B274=TODAY(),0,-(VLOOKUP(Sheet1!CD276,Lookup!$I$4:$J$216,2)-VLOOKUP(Sheet1!CD275,Lookup!$I$4:$J$216,2))/1000000)</f>
        <v>-0.93273244693020174</v>
      </c>
      <c r="G274" s="95">
        <f ca="1">IF(B274=TODAY(),0,-$G$6*(Sheet1!CF276-Sheet1!CF275)*7.48/1000000)</f>
        <v>0.79427002105118594</v>
      </c>
      <c r="H274" s="95">
        <f ca="1">IF(B274=TODAY(),0,-$H$6*(Sheet1!CE276-Sheet1!CE275)*7.48/1000000)</f>
        <v>-3.0078864702530014E-2</v>
      </c>
      <c r="I274" s="95">
        <f ca="1">IF(B274=TODAY(),0,-$I$6*(Sheet1!CG276-Sheet1!CG275)*7.48/1000000)</f>
        <v>1.3477464000000033E-2</v>
      </c>
      <c r="J274" s="96" t="s">
        <v>186</v>
      </c>
      <c r="K274" s="95">
        <f ca="1">IF(B274=TODAY(),0,-$K$6*(Sheet1!CH276-Sheet1!CH275)*7.48/1000000)</f>
        <v>1.9989961123375255E-2</v>
      </c>
      <c r="L274" s="96" t="s">
        <v>186</v>
      </c>
      <c r="M274" s="95">
        <f ca="1">IF(B274=TODAY(),0,-$M$6*(Sheet1!CI276-Sheet1!CI275)*7.48/1000000)</f>
        <v>5.3974525284081275E-2</v>
      </c>
      <c r="N274" s="95">
        <f ca="1">IF(B274=TODAY(),0,-$N$6*(Sheet1!CJ276-Sheet1!CJ275)*7.48/1000000)</f>
        <v>-0.12410469078924848</v>
      </c>
      <c r="O274" s="95">
        <f t="shared" ref="O274:O337" ca="1" si="35">SUM(F274:I274)+K274+SUM(M274:N274)</f>
        <v>-0.20520403096333775</v>
      </c>
      <c r="P274" s="95">
        <f ca="1">O274+Calculation!ES274</f>
        <v>1.8726636085755466</v>
      </c>
      <c r="Q274" s="90" t="str">
        <f>IF(Sheet1!BQ276&gt;25.75,"spill elevation","-")</f>
        <v>-</v>
      </c>
      <c r="R274" s="90" t="str">
        <f>IF(Sheet1!BQ276&gt;25.75,"spill elevation","-")</f>
        <v>-</v>
      </c>
      <c r="S274" s="90" t="str">
        <f>IF(Sheet1!BR276&gt;25.75,"spill elevation","-")</f>
        <v>-</v>
      </c>
      <c r="T274" s="94">
        <f>IF(Sheet1!DU276=1,Sheet1!AA276-(SUM(AT274:BA274)+BE274),Sheet1!AA276-SUM(AT274:BA274))</f>
        <v>26.612991999999998</v>
      </c>
      <c r="U274" s="94">
        <f>Sheet1!BV276</f>
        <v>37.200000000000003</v>
      </c>
      <c r="V274" s="94">
        <f t="shared" ref="V274:V337" si="36">T274-U274</f>
        <v>-10.587008000000004</v>
      </c>
      <c r="W274" s="94">
        <f>0</f>
        <v>0</v>
      </c>
      <c r="X274" s="90">
        <f>0</f>
        <v>0</v>
      </c>
      <c r="Y274" s="95">
        <f ca="1">Calculation!EJ275+Calculation!ES274+'Calculations II'!O274-'Calculations II'!W274</f>
        <v>77.172663608575533</v>
      </c>
      <c r="Z274" s="95">
        <f ca="1">Y274-Sheet1!CT277</f>
        <v>59.389663608575532</v>
      </c>
      <c r="AA274" s="95">
        <f ca="1">Y274+Calculation!DJ275+Calculation!AS275</f>
        <v>93.852746069016817</v>
      </c>
      <c r="AC274" s="95">
        <f>Sheet1!AA276+Sheet1!AB276+BC274</f>
        <v>75.400000000000006</v>
      </c>
      <c r="AD274" s="95">
        <f>Sheet1!AA276+Sheet1!BN276+'Calculations II'!BC274-Calculation!AS274-Calculation!DJ274</f>
        <v>42.046567994658361</v>
      </c>
      <c r="AE274" s="95">
        <f>Sheet1!AA276+Sheet1!AB276+'Calculations II'!BC274-Calculation!AS274-Calculation!DJ274</f>
        <v>58.746567994658363</v>
      </c>
      <c r="AF274" s="95">
        <f ca="1">Sheet1!AA276+Sheet1!BN276+P274+'Calculations II'!BC274+Calculation!AS274+Calculation!DJ274</f>
        <v>77.226095613917195</v>
      </c>
      <c r="AG274" s="95">
        <f ca="1">IF(B274=TODAY(),0,Sheet1!AA276+Sheet1!BN276+'Calculations II'!BC274+'Calculations II'!P274-Sheet1!CT276-BP274)</f>
        <v>43.295663608575552</v>
      </c>
      <c r="AH274" s="95">
        <f ca="1">IF(B274=TODAY(),0,Sheet1!AA276+Sheet1!BN276+'Calculations II'!BC274+'Calculations II'!P274-BP274)</f>
        <v>60.572663608575553</v>
      </c>
      <c r="AI274" s="95">
        <f ca="1">IF(B274=TODAY(),0,BC274+Sheet1!AA276+Calculation!ES274+O274+W274+Sheet1!BN276+Calculation!AS274+Calculation!DJ274-BP274)</f>
        <v>77.226095613917195</v>
      </c>
      <c r="AJ274" s="95"/>
      <c r="AM274" s="91">
        <f t="shared" ref="AM274:AM337" si="37">B274</f>
        <v>41902</v>
      </c>
      <c r="AN274" s="95">
        <f>Sheet1!BU276</f>
        <v>28.4</v>
      </c>
      <c r="AO274" s="95">
        <f>Sheet1!AA276</f>
        <v>30.4</v>
      </c>
      <c r="AP274" s="95">
        <f t="shared" si="32"/>
        <v>-2.0359499999999988</v>
      </c>
      <c r="AQ274" s="1055">
        <f>((Sheet1!BV276-(Sheet1!BU276-AP274))/(Sheet1!BU276-AP274))</f>
        <v>0.22223883269620318</v>
      </c>
      <c r="AR274" s="95">
        <f t="shared" si="33"/>
        <v>32.435949999999998</v>
      </c>
      <c r="AS274" s="95">
        <f t="shared" si="34"/>
        <v>30.435949999999998</v>
      </c>
      <c r="AT274" s="90">
        <f>Sheet1!BB276</f>
        <v>1.59</v>
      </c>
      <c r="AU274" s="90">
        <f>Sheet1!AS276*GPMtoMGD</f>
        <v>3.4127999999999999E-2</v>
      </c>
      <c r="AV274" s="95">
        <f>Sheet1!AT276</f>
        <v>0</v>
      </c>
      <c r="AW274" s="90">
        <f>Sheet1!AV276*GPMtoMGD</f>
        <v>0.92318400000000012</v>
      </c>
      <c r="AX274" s="90">
        <f>Sheet1!AW276*GPMtoMGD</f>
        <v>1.2098880000000001</v>
      </c>
      <c r="AY274" s="90">
        <f>Sheet1!AX276*GPMtoMGD</f>
        <v>2.9808000000000001E-2</v>
      </c>
      <c r="AZ274" s="90">
        <f>Sheet1!AY276*GPMtoMGD</f>
        <v>0</v>
      </c>
      <c r="BA274" s="90">
        <f>Sheet1!AZ276*GPMtoMGD</f>
        <v>0</v>
      </c>
      <c r="BB274" s="90">
        <f>Sheet1!BP276*GPMtoMGD</f>
        <v>0</v>
      </c>
      <c r="BC274" s="90">
        <f>Sheet1!CS276*GPMtoMGD</f>
        <v>0</v>
      </c>
      <c r="BD274" s="90">
        <f>Sheet1!BO276*GPMtoMGD</f>
        <v>2.6742240000000002</v>
      </c>
      <c r="BE274" s="90">
        <f>Sheet1!BW276*GPMtoMGD</f>
        <v>1.3901760000000001</v>
      </c>
      <c r="BF274" s="90">
        <f>Sheet1!CN276*GPMtoMGD</f>
        <v>1.4400000000000002</v>
      </c>
      <c r="BG274" s="90">
        <f>Sheet1!CO276*GPMtoMGD</f>
        <v>0.94377600000000006</v>
      </c>
      <c r="BH274" s="90">
        <f>Sheet1!CP276*GPMtoMGD</f>
        <v>0.85406400000000005</v>
      </c>
      <c r="BI274" s="90">
        <f t="shared" ref="BI274:BI337" si="38">BD274+BB274</f>
        <v>2.6742240000000002</v>
      </c>
      <c r="BK274" s="95">
        <f>SUM(AT274:BA274,BE274,Sheet1!BV276,'Calculations II'!BC274,Calculation!AQ274)</f>
        <v>70.721274807923436</v>
      </c>
      <c r="BM274" s="373">
        <f>0</f>
        <v>0</v>
      </c>
      <c r="BN274" s="373">
        <f>0</f>
        <v>0</v>
      </c>
      <c r="BP274" s="95">
        <f>SUM(BM274:BN274,W274,Sheet1!DX276)</f>
        <v>0</v>
      </c>
    </row>
    <row r="275" spans="1:68" s="90" customFormat="1">
      <c r="A275" s="651" t="s">
        <v>3</v>
      </c>
      <c r="B275" s="92">
        <v>41903</v>
      </c>
      <c r="C275" s="93">
        <v>0</v>
      </c>
      <c r="D275" s="95">
        <f>(Sheet1!BQ277-Sheet1!BQ276)*1.385</f>
        <v>-1.0803000000000016</v>
      </c>
      <c r="E275" s="30">
        <f>(Sheet1!BR277-Sheet1!BR276)*1.385</f>
        <v>-1.0803000000000016</v>
      </c>
      <c r="F275" s="30">
        <f ca="1">IF(B275=TODAY(),0,-(VLOOKUP(Sheet1!CD277,Lookup!$I$4:$J$216,2)-VLOOKUP(Sheet1!CD276,Lookup!$I$4:$J$216,2))/1000000)</f>
        <v>1.1400063240258005</v>
      </c>
      <c r="G275" s="95">
        <f ca="1">IF(B275=TODAY(),0,-$G$6*(Sheet1!CF277-Sheet1!CF276)*7.48/1000000)</f>
        <v>0.83398352210374449</v>
      </c>
      <c r="H275" s="95">
        <f ca="1">IF(B275=TODAY(),0,-$H$6*(Sheet1!CE277-Sheet1!CE276)*7.48/1000000)</f>
        <v>4.5118297053794748E-2</v>
      </c>
      <c r="I275" s="95">
        <f ca="1">IF(B275=TODAY(),0,-$I$6*(Sheet1!CG277-Sheet1!CG276)*7.48/1000000)</f>
        <v>0</v>
      </c>
      <c r="J275" s="96" t="s">
        <v>186</v>
      </c>
      <c r="K275" s="95">
        <f ca="1">IF(B275=TODAY(),0,-$K$6*(Sheet1!CH277-Sheet1!CH276)*7.48/1000000)</f>
        <v>0</v>
      </c>
      <c r="L275" s="96" t="s">
        <v>186</v>
      </c>
      <c r="M275" s="95">
        <f ca="1">IF(B275=TODAY(),0,-$M$6*(Sheet1!CI277-Sheet1!CI276)*7.48/1000000)</f>
        <v>0</v>
      </c>
      <c r="N275" s="95">
        <f ca="1">IF(B275=TODAY(),0,-$N$6*(Sheet1!CJ277-Sheet1!CJ276)*7.48/1000000)</f>
        <v>0.18615703618387214</v>
      </c>
      <c r="O275" s="95">
        <f t="shared" ca="1" si="35"/>
        <v>2.205265179367212</v>
      </c>
      <c r="P275" s="95">
        <f ca="1">O275+Calculation!ES275</f>
        <v>4.2824214606273863</v>
      </c>
      <c r="Q275" s="90" t="str">
        <f>IF(Sheet1!BQ277&gt;25.75,"spill elevation","-")</f>
        <v>-</v>
      </c>
      <c r="R275" s="90" t="str">
        <f>IF(Sheet1!BQ277&gt;25.75,"spill elevation","-")</f>
        <v>-</v>
      </c>
      <c r="S275" s="90" t="str">
        <f>IF(Sheet1!BR277&gt;25.75,"spill elevation","-")</f>
        <v>-</v>
      </c>
      <c r="T275" s="94">
        <f>IF(Sheet1!DU277=1,Sheet1!AA277-(SUM(AT275:BA275)+BE275),Sheet1!AA277-SUM(AT275:BA275))</f>
        <v>25.967872</v>
      </c>
      <c r="U275" s="94">
        <f>Sheet1!BV277</f>
        <v>37</v>
      </c>
      <c r="V275" s="94">
        <f t="shared" si="36"/>
        <v>-11.032128</v>
      </c>
      <c r="W275" s="94">
        <f>0</f>
        <v>0</v>
      </c>
      <c r="X275" s="90">
        <f>0</f>
        <v>0</v>
      </c>
      <c r="Y275" s="95">
        <f ca="1">Calculation!EJ276+Calculation!ES275+'Calculations II'!O275-'Calculations II'!W275</f>
        <v>79.682421460627396</v>
      </c>
      <c r="Z275" s="95">
        <f ca="1">Y275-Sheet1!CT278</f>
        <v>63.151421460627397</v>
      </c>
      <c r="AA275" s="95">
        <f ca="1">Y275+Calculation!DJ276+Calculation!AS276</f>
        <v>95.050553573994947</v>
      </c>
      <c r="AC275" s="95">
        <f>Sheet1!AA277+Sheet1!AB277+BC275</f>
        <v>75.3</v>
      </c>
      <c r="AD275" s="95">
        <f>Sheet1!AA277+Sheet1!BN277+'Calculations II'!BC275-Calculation!AS275-Calculation!DJ275</f>
        <v>41.919917539558718</v>
      </c>
      <c r="AE275" s="95">
        <f>Sheet1!AA277+Sheet1!AB277+'Calculations II'!BC275-Calculation!AS275-Calculation!DJ275</f>
        <v>58.61991753955872</v>
      </c>
      <c r="AF275" s="95">
        <f ca="1">Sheet1!AA277+Sheet1!BN277+P275+'Calculations II'!BC275+Calculation!AS275+Calculation!DJ275</f>
        <v>79.562503921068668</v>
      </c>
      <c r="AG275" s="95">
        <f ca="1">IF(B275=TODAY(),0,Sheet1!AA277+Sheet1!BN277+'Calculations II'!BC275+'Calculations II'!P275-Sheet1!CT277-BP275)</f>
        <v>45.099421460627383</v>
      </c>
      <c r="AH275" s="95">
        <f ca="1">IF(B275=TODAY(),0,Sheet1!AA277+Sheet1!BN277+'Calculations II'!BC275+'Calculations II'!P275-BP275)</f>
        <v>62.882421460627384</v>
      </c>
      <c r="AI275" s="95">
        <f ca="1">IF(B275=TODAY(),0,BC275+Sheet1!AA277+Calculation!ES275+O275+W275+Sheet1!BN277+Calculation!AS275+Calculation!DJ275-BP275)</f>
        <v>79.562503921068668</v>
      </c>
      <c r="AJ275" s="95"/>
      <c r="AM275" s="91">
        <f t="shared" si="37"/>
        <v>41903</v>
      </c>
      <c r="AN275" s="95">
        <f>Sheet1!BU277</f>
        <v>28</v>
      </c>
      <c r="AO275" s="95">
        <f>Sheet1!AA277</f>
        <v>30.4</v>
      </c>
      <c r="AP275" s="95">
        <f t="shared" si="32"/>
        <v>-2.1606000000000032</v>
      </c>
      <c r="AQ275" s="1055">
        <f>((Sheet1!BV277-(Sheet1!BU277-AP275))/(Sheet1!BU277-AP275))</f>
        <v>0.22676604576832016</v>
      </c>
      <c r="AR275" s="95">
        <f t="shared" si="33"/>
        <v>32.560600000000001</v>
      </c>
      <c r="AS275" s="95">
        <f t="shared" si="34"/>
        <v>30.160600000000002</v>
      </c>
      <c r="AT275" s="90">
        <f>Sheet1!BB277</f>
        <v>1.59</v>
      </c>
      <c r="AU275" s="90">
        <f>Sheet1!AS277*GPMtoMGD</f>
        <v>1.7856E-2</v>
      </c>
      <c r="AV275" s="95">
        <f>Sheet1!AT277</f>
        <v>0</v>
      </c>
      <c r="AW275" s="90">
        <f>Sheet1!AV277*GPMtoMGD</f>
        <v>1.174752</v>
      </c>
      <c r="AX275" s="90">
        <f>Sheet1!AW277*GPMtoMGD</f>
        <v>1.6053120000000001</v>
      </c>
      <c r="AY275" s="90">
        <f>Sheet1!AX277*GPMtoMGD</f>
        <v>4.4208000000000004E-2</v>
      </c>
      <c r="AZ275" s="90">
        <f>Sheet1!AY277*GPMtoMGD</f>
        <v>0</v>
      </c>
      <c r="BA275" s="90">
        <f>Sheet1!AZ277*GPMtoMGD</f>
        <v>0</v>
      </c>
      <c r="BB275" s="90">
        <f>Sheet1!BP277*GPMtoMGD</f>
        <v>0</v>
      </c>
      <c r="BC275" s="90">
        <f>Sheet1!CS277*GPMtoMGD</f>
        <v>0</v>
      </c>
      <c r="BD275" s="90">
        <f>Sheet1!BO277*GPMtoMGD</f>
        <v>2.9412000000000003</v>
      </c>
      <c r="BE275" s="90">
        <f>Sheet1!BW277*GPMtoMGD</f>
        <v>1.8731520000000002</v>
      </c>
      <c r="BF275" s="90">
        <f>Sheet1!CN277*GPMtoMGD</f>
        <v>1.4400000000000002</v>
      </c>
      <c r="BG275" s="90">
        <f>Sheet1!CO277*GPMtoMGD</f>
        <v>0.99230400000000007</v>
      </c>
      <c r="BH275" s="90">
        <f>Sheet1!CP277*GPMtoMGD</f>
        <v>0.89784000000000008</v>
      </c>
      <c r="BI275" s="90">
        <f t="shared" si="38"/>
        <v>2.9412000000000003</v>
      </c>
      <c r="BK275" s="95">
        <f>SUM(AT275:BA275,BE275,Sheet1!BV277,'Calculations II'!BC275,Calculation!AQ275)</f>
        <v>71.524134468464453</v>
      </c>
      <c r="BM275" s="373">
        <f>0</f>
        <v>0</v>
      </c>
      <c r="BN275" s="373">
        <f>0</f>
        <v>0</v>
      </c>
      <c r="BP275" s="95">
        <f>SUM(BM275:BN275,W275,Sheet1!DX277)</f>
        <v>0</v>
      </c>
    </row>
    <row r="276" spans="1:68" s="90" customFormat="1">
      <c r="A276" s="651" t="s">
        <v>4</v>
      </c>
      <c r="B276" s="92">
        <v>41904</v>
      </c>
      <c r="C276" s="93">
        <v>0</v>
      </c>
      <c r="D276" s="95">
        <f>(Sheet1!BQ278-Sheet1!BQ277)*1.385</f>
        <v>1.1910999999999992</v>
      </c>
      <c r="E276" s="30">
        <f>(Sheet1!BR278-Sheet1!BR277)*1.385</f>
        <v>1.2049500000000013</v>
      </c>
      <c r="F276" s="30">
        <f ca="1">IF(B276=TODAY(),0,-(VLOOKUP(Sheet1!CD278,Lookup!$I$4:$J$216,2)-VLOOKUP(Sheet1!CD277,Lookup!$I$4:$J$216,2))/1000000)</f>
        <v>-0.10363693854779936</v>
      </c>
      <c r="G276" s="95">
        <f ca="1">IF(B276=TODAY(),0,-$G$6*(Sheet1!CF278-Sheet1!CF277)*7.48/1000000)</f>
        <v>0.75455651999862683</v>
      </c>
      <c r="H276" s="95">
        <f ca="1">IF(B276=TODAY(),0,-$H$6*(Sheet1!CE278-Sheet1!CE277)*7.48/1000000)</f>
        <v>-0.10527602645885531</v>
      </c>
      <c r="I276" s="95">
        <f ca="1">IF(B276=TODAY(),0,-$I$6*(Sheet1!CG278-Sheet1!CG277)*7.48/1000000)</f>
        <v>-1.7969952000000015E-2</v>
      </c>
      <c r="J276" s="96" t="s">
        <v>186</v>
      </c>
      <c r="K276" s="95">
        <f ca="1">IF(B276=TODAY(),0,-$K$6*(Sheet1!CH278-Sheet1!CH277)*7.48/1000000)</f>
        <v>-2.6653281497833796E-2</v>
      </c>
      <c r="L276" s="96" t="s">
        <v>186</v>
      </c>
      <c r="M276" s="95">
        <f ca="1">IF(B276=TODAY(),0,-$M$6*(Sheet1!CI278-Sheet1!CI277)*7.48/1000000)</f>
        <v>-7.1966033712108565E-2</v>
      </c>
      <c r="N276" s="95">
        <f ca="1">IF(B276=TODAY(),0,-$N$6*(Sheet1!CJ278-Sheet1!CJ277)*7.48/1000000)</f>
        <v>0</v>
      </c>
      <c r="O276" s="95">
        <f t="shared" ca="1" si="35"/>
        <v>0.42905428778202986</v>
      </c>
      <c r="P276" s="95">
        <f ca="1">O276+Calculation!ES276</f>
        <v>-1.9251099942200878</v>
      </c>
      <c r="Q276" s="90" t="str">
        <f>IF(Sheet1!BQ278&gt;25.75,"spill elevation","-")</f>
        <v>-</v>
      </c>
      <c r="R276" s="90" t="str">
        <f>IF(Sheet1!BQ278&gt;25.75,"spill elevation","-")</f>
        <v>-</v>
      </c>
      <c r="S276" s="90" t="str">
        <f>IF(Sheet1!BR278&gt;25.75,"spill elevation","-")</f>
        <v>-</v>
      </c>
      <c r="T276" s="94">
        <f>IF(Sheet1!DU278=1,Sheet1!AA278-(SUM(AT276:BA276)+BE276),Sheet1!AA278-SUM(AT276:BA276))</f>
        <v>27.030527999999997</v>
      </c>
      <c r="U276" s="94">
        <f>Sheet1!BV278</f>
        <v>33.299999999999997</v>
      </c>
      <c r="V276" s="94">
        <f t="shared" si="36"/>
        <v>-6.2694720000000004</v>
      </c>
      <c r="W276" s="94">
        <f>0</f>
        <v>0</v>
      </c>
      <c r="X276" s="90">
        <f>0</f>
        <v>0</v>
      </c>
      <c r="Y276" s="95">
        <f ca="1">Calculation!EJ277+Calculation!ES276+'Calculations II'!O276-'Calculations II'!W276</f>
        <v>73.444890005779911</v>
      </c>
      <c r="Z276" s="95">
        <f ca="1">Y276-Sheet1!CT279</f>
        <v>56.55189000577991</v>
      </c>
      <c r="AA276" s="95">
        <f ca="1">Y276+Calculation!DJ277+Calculation!AS277</f>
        <v>88.115581507006766</v>
      </c>
      <c r="AC276" s="95">
        <f>Sheet1!AA278+Sheet1!AB278+BC276</f>
        <v>75.400000000000006</v>
      </c>
      <c r="AD276" s="95">
        <f>Sheet1!AA278+Sheet1!BN278+'Calculations II'!BC276-Calculation!AS276-Calculation!DJ276</f>
        <v>44.531867886632448</v>
      </c>
      <c r="AE276" s="95">
        <f>Sheet1!AA278+Sheet1!AB278+'Calculations II'!BC276-Calculation!AS276-Calculation!DJ276</f>
        <v>60.031867886632462</v>
      </c>
      <c r="AF276" s="95">
        <f ca="1">Sheet1!AA278+Sheet1!BN278+P276+'Calculations II'!BC276+Calculation!AS276+Calculation!DJ276</f>
        <v>73.343022119147463</v>
      </c>
      <c r="AG276" s="95">
        <f ca="1">IF(B276=TODAY(),0,Sheet1!AA278+Sheet1!BN278+'Calculations II'!BC276+'Calculations II'!P276-Sheet1!CT278-BP276)</f>
        <v>41.443890005779913</v>
      </c>
      <c r="AH276" s="95">
        <f ca="1">IF(B276=TODAY(),0,Sheet1!AA278+Sheet1!BN278+'Calculations II'!BC276+'Calculations II'!P276-BP276)</f>
        <v>57.974890005779912</v>
      </c>
      <c r="AI276" s="95">
        <f ca="1">IF(B276=TODAY(),0,BC276+Sheet1!AA278+Calculation!ES276+O276+W276+Sheet1!BN278+Calculation!AS276+Calculation!DJ276-BP276)</f>
        <v>73.343022119147463</v>
      </c>
      <c r="AJ276" s="95"/>
      <c r="AM276" s="91">
        <f t="shared" si="37"/>
        <v>41904</v>
      </c>
      <c r="AN276" s="95">
        <f>Sheet1!BU278</f>
        <v>28.7</v>
      </c>
      <c r="AO276" s="95">
        <f>Sheet1!AA278</f>
        <v>30.4</v>
      </c>
      <c r="AP276" s="95">
        <f t="shared" si="32"/>
        <v>2.3960500000000007</v>
      </c>
      <c r="AQ276" s="1055">
        <f>((Sheet1!BV278-(Sheet1!BU278-AP276))/(Sheet1!BU278-AP276))</f>
        <v>0.2659695597049111</v>
      </c>
      <c r="AR276" s="95">
        <f t="shared" si="33"/>
        <v>28.003949999999996</v>
      </c>
      <c r="AS276" s="95">
        <f t="shared" si="34"/>
        <v>26.30395</v>
      </c>
      <c r="AT276" s="90">
        <f>Sheet1!BB278</f>
        <v>1.6</v>
      </c>
      <c r="AU276" s="90">
        <f>Sheet1!AS278*GPMtoMGD</f>
        <v>3.2688000000000002E-2</v>
      </c>
      <c r="AV276" s="95">
        <f>Sheet1!AT278</f>
        <v>0</v>
      </c>
      <c r="AW276" s="90">
        <f>Sheet1!AV278*GPMtoMGD</f>
        <v>0.69523200000000007</v>
      </c>
      <c r="AX276" s="90">
        <f>Sheet1!AW278*GPMtoMGD</f>
        <v>1.0065600000000001</v>
      </c>
      <c r="AY276" s="90">
        <f>Sheet1!AX278*GPMtoMGD</f>
        <v>3.4992000000000002E-2</v>
      </c>
      <c r="AZ276" s="90">
        <f>Sheet1!AY278*GPMtoMGD</f>
        <v>0</v>
      </c>
      <c r="BA276" s="90">
        <f>Sheet1!AZ278*GPMtoMGD</f>
        <v>0</v>
      </c>
      <c r="BB276" s="90">
        <f>Sheet1!BP278*GPMtoMGD</f>
        <v>0</v>
      </c>
      <c r="BC276" s="90">
        <f>Sheet1!CS278*GPMtoMGD</f>
        <v>0</v>
      </c>
      <c r="BD276" s="90">
        <f>Sheet1!BO278*GPMtoMGD</f>
        <v>2.6546400000000001</v>
      </c>
      <c r="BE276" s="90">
        <f>Sheet1!BW278*GPMtoMGD</f>
        <v>1.2458880000000001</v>
      </c>
      <c r="BF276" s="90">
        <f>Sheet1!CN278*GPMtoMGD</f>
        <v>1.4400000000000002</v>
      </c>
      <c r="BG276" s="90">
        <f>Sheet1!CO278*GPMtoMGD</f>
        <v>0.91123200000000004</v>
      </c>
      <c r="BH276" s="90">
        <f>Sheet1!CP278*GPMtoMGD</f>
        <v>0.91785600000000001</v>
      </c>
      <c r="BI276" s="90">
        <f t="shared" si="38"/>
        <v>2.6546400000000001</v>
      </c>
      <c r="BK276" s="95">
        <f>SUM(AT276:BA276,BE276,Sheet1!BV278,'Calculations II'!BC276,Calculation!AQ276)</f>
        <v>67.540443686677079</v>
      </c>
      <c r="BM276" s="373">
        <f>0</f>
        <v>0</v>
      </c>
      <c r="BN276" s="373">
        <f>0</f>
        <v>0</v>
      </c>
      <c r="BP276" s="95">
        <f>SUM(BM276:BN276,W276,Sheet1!DX278)</f>
        <v>0</v>
      </c>
    </row>
    <row r="277" spans="1:68" s="90" customFormat="1">
      <c r="A277" s="651" t="s">
        <v>5</v>
      </c>
      <c r="B277" s="92">
        <v>41905</v>
      </c>
      <c r="C277" s="93">
        <v>0</v>
      </c>
      <c r="D277" s="95">
        <f>(Sheet1!BQ279-Sheet1!BQ278)*1.385</f>
        <v>3.4763500000000023</v>
      </c>
      <c r="E277" s="30">
        <f>(Sheet1!BR279-Sheet1!BR278)*1.385</f>
        <v>3.4901999999999993</v>
      </c>
      <c r="F277" s="30">
        <f ca="1">IF(B277=TODAY(),0,-(VLOOKUP(Sheet1!CD279,Lookup!$I$4:$J$216,2)-VLOOKUP(Sheet1!CD278,Lookup!$I$4:$J$216,2))/1000000)</f>
        <v>0.10363693854779936</v>
      </c>
      <c r="G277" s="95">
        <f ca="1">IF(B277=TODAY(),0,-$G$6*(Sheet1!CF279-Sheet1!CF278)*7.48/1000000)</f>
        <v>0.51627551368327118</v>
      </c>
      <c r="H277" s="95">
        <f ca="1">IF(B277=TODAY(),0,-$H$6*(Sheet1!CE279-Sheet1!CE278)*7.48/1000000)</f>
        <v>-0.15039432351265059</v>
      </c>
      <c r="I277" s="95">
        <f ca="1">IF(B277=TODAY(),0,-$I$6*(Sheet1!CG279-Sheet1!CG278)*7.48/1000000)</f>
        <v>1.7969952000000015E-2</v>
      </c>
      <c r="J277" s="96" t="s">
        <v>186</v>
      </c>
      <c r="K277" s="95">
        <f ca="1">IF(B277=TODAY(),0,-$K$6*(Sheet1!CH279-Sheet1!CH278)*7.48/1000000)</f>
        <v>2.6653281497833796E-2</v>
      </c>
      <c r="L277" s="96" t="s">
        <v>186</v>
      </c>
      <c r="M277" s="95">
        <f ca="1">IF(B277=TODAY(),0,-$M$6*(Sheet1!CI279-Sheet1!CI278)*7.48/1000000)</f>
        <v>5.3974525284081275E-2</v>
      </c>
      <c r="N277" s="95">
        <f ca="1">IF(B277=TODAY(),0,-$N$6*(Sheet1!CJ279-Sheet1!CJ278)*7.48/1000000)</f>
        <v>0</v>
      </c>
      <c r="O277" s="95">
        <f t="shared" ca="1" si="35"/>
        <v>0.56811588750033504</v>
      </c>
      <c r="P277" s="95">
        <f ca="1">O277+Calculation!ES277</f>
        <v>-6.3612506072203514</v>
      </c>
      <c r="Q277" s="90" t="str">
        <f>IF(Sheet1!BQ279&gt;25.75,"spill elevation","-")</f>
        <v>-</v>
      </c>
      <c r="R277" s="90" t="str">
        <f>IF(Sheet1!BQ279&gt;25.75,"spill elevation","-")</f>
        <v>-</v>
      </c>
      <c r="S277" s="90" t="str">
        <f>IF(Sheet1!BR279&gt;25.75,"spill elevation","-")</f>
        <v>-</v>
      </c>
      <c r="T277" s="94">
        <f>IF(Sheet1!DU279=1,Sheet1!AA279-(SUM(AT277:BA277)+BE277),Sheet1!AA279-SUM(AT277:BA277))</f>
        <v>27.593855999999999</v>
      </c>
      <c r="U277" s="94">
        <f>Sheet1!BV279</f>
        <v>29.1</v>
      </c>
      <c r="V277" s="94">
        <f t="shared" si="36"/>
        <v>-1.5061440000000026</v>
      </c>
      <c r="W277" s="94">
        <f>0</f>
        <v>0</v>
      </c>
      <c r="X277" s="90">
        <f>0</f>
        <v>0</v>
      </c>
      <c r="Y277" s="95">
        <f ca="1">Calculation!EJ278+Calculation!ES277+'Calculations II'!O277-'Calculations II'!W277</f>
        <v>65.338749392779661</v>
      </c>
      <c r="Z277" s="95">
        <f ca="1">Y277-Sheet1!CT280</f>
        <v>48.387749392779661</v>
      </c>
      <c r="AA277" s="95">
        <f ca="1">Y277+Calculation!DJ278+Calculation!AS278</f>
        <v>80.011472237397285</v>
      </c>
      <c r="AC277" s="95">
        <f>Sheet1!AA279+Sheet1!AB279+BC277</f>
        <v>75.37</v>
      </c>
      <c r="AD277" s="95">
        <f>Sheet1!AA279+Sheet1!BN279+'Calculations II'!BC277-Calculation!AS277-Calculation!DJ277</f>
        <v>45.929308498773139</v>
      </c>
      <c r="AE277" s="95">
        <f>Sheet1!AA279+Sheet1!AB279+'Calculations II'!BC277-Calculation!AS277-Calculation!DJ277</f>
        <v>60.699308498773149</v>
      </c>
      <c r="AF277" s="95">
        <f ca="1">Sheet1!AA279+Sheet1!BN279+P277+'Calculations II'!BC277+Calculation!AS277+Calculation!DJ277</f>
        <v>68.909440894006508</v>
      </c>
      <c r="AG277" s="95">
        <f ca="1">IF(B277=TODAY(),0,Sheet1!AA279+Sheet1!BN279+'Calculations II'!BC277+'Calculations II'!P277-Sheet1!CT279-BP277)</f>
        <v>37.345749392779645</v>
      </c>
      <c r="AH277" s="95">
        <f ca="1">IF(B277=TODAY(),0,Sheet1!AA279+Sheet1!BN279+'Calculations II'!BC277+'Calculations II'!P277-BP277)</f>
        <v>54.238749392779646</v>
      </c>
      <c r="AI277" s="95">
        <f ca="1">IF(B277=TODAY(),0,BC277+Sheet1!AA279+Calculation!ES277+O277+W277+Sheet1!BN279+Calculation!AS277+Calculation!DJ277-BP277)</f>
        <v>68.909440894006508</v>
      </c>
      <c r="AJ277" s="95"/>
      <c r="AM277" s="91">
        <f t="shared" si="37"/>
        <v>41905</v>
      </c>
      <c r="AN277" s="95">
        <f>Sheet1!BU279</f>
        <v>29.1</v>
      </c>
      <c r="AO277" s="95">
        <f>Sheet1!AA279</f>
        <v>30.4</v>
      </c>
      <c r="AP277" s="95">
        <f t="shared" si="32"/>
        <v>6.9665500000000016</v>
      </c>
      <c r="AQ277" s="1055">
        <f>((Sheet1!BV279-(Sheet1!BU279-AP277))/(Sheet1!BU279-AP277))</f>
        <v>0.31475210597534509</v>
      </c>
      <c r="AR277" s="95">
        <f t="shared" si="33"/>
        <v>23.433449999999997</v>
      </c>
      <c r="AS277" s="95">
        <f t="shared" si="34"/>
        <v>22.13345</v>
      </c>
      <c r="AT277" s="90">
        <f>Sheet1!BB279</f>
        <v>1.6</v>
      </c>
      <c r="AU277" s="90">
        <f>Sheet1!AS279*GPMtoMGD</f>
        <v>2.1024000000000001E-2</v>
      </c>
      <c r="AV277" s="95">
        <f>Sheet1!AT279</f>
        <v>0</v>
      </c>
      <c r="AW277" s="90">
        <f>Sheet1!AV279*GPMtoMGD</f>
        <v>0.49867200000000006</v>
      </c>
      <c r="AX277" s="90">
        <f>Sheet1!AW279*GPMtoMGD</f>
        <v>0.67420800000000003</v>
      </c>
      <c r="AY277" s="90">
        <f>Sheet1!AX279*GPMtoMGD</f>
        <v>1.2240000000000001E-2</v>
      </c>
      <c r="AZ277" s="90">
        <f>Sheet1!AY279*GPMtoMGD</f>
        <v>0</v>
      </c>
      <c r="BA277" s="90">
        <f>Sheet1!AZ279*GPMtoMGD</f>
        <v>0</v>
      </c>
      <c r="BB277" s="90">
        <f>Sheet1!BP279*GPMtoMGD</f>
        <v>0</v>
      </c>
      <c r="BC277" s="90">
        <f>Sheet1!CS279*GPMtoMGD</f>
        <v>0</v>
      </c>
      <c r="BD277" s="90">
        <f>Sheet1!BO279*GPMtoMGD</f>
        <v>2.0136960000000004</v>
      </c>
      <c r="BE277" s="90">
        <f>Sheet1!BW279*GPMtoMGD</f>
        <v>1.102176</v>
      </c>
      <c r="BF277" s="90">
        <f>Sheet1!CN279*GPMtoMGD</f>
        <v>1.4400000000000002</v>
      </c>
      <c r="BG277" s="90">
        <f>Sheet1!CO279*GPMtoMGD</f>
        <v>0.70012799999999997</v>
      </c>
      <c r="BH277" s="90">
        <f>Sheet1!CP279*GPMtoMGD</f>
        <v>0.85939199999999993</v>
      </c>
      <c r="BI277" s="90">
        <f t="shared" si="38"/>
        <v>2.0136960000000004</v>
      </c>
      <c r="BK277" s="95">
        <f>SUM(AT277:BA277,BE277,Sheet1!BV279,'Calculations II'!BC277,Calculation!AQ277)</f>
        <v>63.302631844746827</v>
      </c>
      <c r="BM277" s="373">
        <f>0</f>
        <v>0</v>
      </c>
      <c r="BN277" s="373">
        <f>0</f>
        <v>0</v>
      </c>
      <c r="BP277" s="95">
        <f>SUM(BM277:BN277,W277,Sheet1!DX279)</f>
        <v>0</v>
      </c>
    </row>
    <row r="278" spans="1:68" s="90" customFormat="1">
      <c r="A278" s="651" t="s">
        <v>6</v>
      </c>
      <c r="B278" s="92">
        <v>41906</v>
      </c>
      <c r="C278" s="93">
        <v>0</v>
      </c>
      <c r="D278" s="95">
        <f>(Sheet1!BQ280-Sheet1!BQ279)*1.385</f>
        <v>0.76175000000000104</v>
      </c>
      <c r="E278" s="30">
        <f>(Sheet1!BR280-Sheet1!BR279)*1.385</f>
        <v>0.70634999999999726</v>
      </c>
      <c r="F278" s="30">
        <f ca="1">IF(B278=TODAY(),0,-(VLOOKUP(Sheet1!CD280,Lookup!$I$4:$J$216,2)-VLOOKUP(Sheet1!CD279,Lookup!$I$4:$J$216,2))/1000000)</f>
        <v>-1.8654648938604015</v>
      </c>
      <c r="G278" s="95">
        <f ca="1">IF(B278=TODAY(),0,-$G$6*(Sheet1!CF280-Sheet1!CF279)*7.48/1000000)</f>
        <v>0.23828100631535562</v>
      </c>
      <c r="H278" s="95">
        <f ca="1">IF(B278=TODAY(),0,-$H$6*(Sheet1!CE280-Sheet1!CE279)*7.48/1000000)</f>
        <v>0.13535489116138585</v>
      </c>
      <c r="I278" s="95">
        <f ca="1">IF(B278=TODAY(),0,-$I$6*(Sheet1!CG280-Sheet1!CG279)*7.48/1000000)</f>
        <v>2.6954927999999989E-2</v>
      </c>
      <c r="J278" s="96" t="s">
        <v>186</v>
      </c>
      <c r="K278" s="95">
        <f ca="1">IF(B278=TODAY(),0,-$K$6*(Sheet1!CH280-Sheet1!CH279)*7.48/1000000)</f>
        <v>4.6643242621209169E-2</v>
      </c>
      <c r="L278" s="96" t="s">
        <v>186</v>
      </c>
      <c r="M278" s="95">
        <f ca="1">IF(B278=TODAY(),0,-$M$6*(Sheet1!CI280-Sheet1!CI279)*7.48/1000000)</f>
        <v>0.14393206742421652</v>
      </c>
      <c r="N278" s="95">
        <f ca="1">IF(B278=TODAY(),0,-$N$6*(Sheet1!CJ280-Sheet1!CJ279)*7.48/1000000)</f>
        <v>-0.93699041545882078</v>
      </c>
      <c r="O278" s="95">
        <f t="shared" ca="1" si="35"/>
        <v>-2.2112891737970553</v>
      </c>
      <c r="P278" s="95">
        <f ca="1">O278+Calculation!ES278</f>
        <v>-3.7368205243507915</v>
      </c>
      <c r="Q278" s="90" t="str">
        <f>IF(Sheet1!BQ280&gt;25.75,"spill elevation","-")</f>
        <v>-</v>
      </c>
      <c r="R278" s="90" t="str">
        <f>IF(Sheet1!BQ280&gt;25.75,"spill elevation","-")</f>
        <v>-</v>
      </c>
      <c r="S278" s="90" t="str">
        <f>IF(Sheet1!BR280&gt;25.75,"spill elevation","-")</f>
        <v>-</v>
      </c>
      <c r="T278" s="94">
        <f>IF(Sheet1!DU280=1,Sheet1!AA280-(SUM(AT278:BA278)+BE278),Sheet1!AA280-SUM(AT278:BA278))</f>
        <v>26.806448</v>
      </c>
      <c r="U278" s="94">
        <f>Sheet1!BV280</f>
        <v>34.200000000000003</v>
      </c>
      <c r="V278" s="94">
        <f t="shared" si="36"/>
        <v>-7.3935520000000032</v>
      </c>
      <c r="W278" s="94">
        <f>0</f>
        <v>0</v>
      </c>
      <c r="X278" s="90">
        <f>0</f>
        <v>0</v>
      </c>
      <c r="Y278" s="95">
        <f ca="1">Calculation!EJ279+Calculation!ES278+'Calculations II'!O278-'Calculations II'!W278</f>
        <v>64.033179475649206</v>
      </c>
      <c r="Z278" s="95">
        <f ca="1">Y278-Sheet1!CT281</f>
        <v>47.001179475649209</v>
      </c>
      <c r="AA278" s="95">
        <f ca="1">Y278+Calculation!DJ279+Calculation!AS279</f>
        <v>78.255865035703181</v>
      </c>
      <c r="AC278" s="95">
        <f>Sheet1!AA280+Sheet1!AB280+BC278</f>
        <v>71.7</v>
      </c>
      <c r="AD278" s="95">
        <f>Sheet1!AA280+Sheet1!BN280+'Calculations II'!BC278-Calculation!AS278-Calculation!DJ278</f>
        <v>42.327277155382369</v>
      </c>
      <c r="AE278" s="95">
        <f>Sheet1!AA280+Sheet1!AB280+'Calculations II'!BC278-Calculation!AS278-Calculation!DJ278</f>
        <v>57.027277155382379</v>
      </c>
      <c r="AF278" s="95">
        <f ca="1">Sheet1!AA280+Sheet1!BN280+P278+'Calculations II'!BC278+Calculation!AS278+Calculation!DJ278</f>
        <v>67.935902320266848</v>
      </c>
      <c r="AG278" s="95">
        <f ca="1">IF(B278=TODAY(),0,Sheet1!AA280+Sheet1!BN280+'Calculations II'!BC278+'Calculations II'!P278-Sheet1!CT280-BP278)</f>
        <v>36.312179475649209</v>
      </c>
      <c r="AH278" s="95">
        <f ca="1">IF(B278=TODAY(),0,Sheet1!AA280+Sheet1!BN280+'Calculations II'!BC278+'Calculations II'!P278-BP278)</f>
        <v>53.26317947564921</v>
      </c>
      <c r="AI278" s="95">
        <f ca="1">IF(B278=TODAY(),0,BC278+Sheet1!AA280+Calculation!ES278+O278+W278+Sheet1!BN280+Calculation!AS278+Calculation!DJ278-BP278)</f>
        <v>67.935902320266848</v>
      </c>
      <c r="AJ278" s="95"/>
      <c r="AM278" s="91">
        <f t="shared" si="37"/>
        <v>41906</v>
      </c>
      <c r="AN278" s="95">
        <f>Sheet1!BU280</f>
        <v>28.7</v>
      </c>
      <c r="AO278" s="95">
        <f>Sheet1!AA280</f>
        <v>30.6</v>
      </c>
      <c r="AP278" s="95">
        <f t="shared" si="32"/>
        <v>1.4680999999999984</v>
      </c>
      <c r="AQ278" s="1055">
        <f>((Sheet1!BV280-(Sheet1!BU280-AP278))/(Sheet1!BU280-AP278))</f>
        <v>0.25588005243850054</v>
      </c>
      <c r="AR278" s="95">
        <f t="shared" si="33"/>
        <v>29.131900000000002</v>
      </c>
      <c r="AS278" s="95">
        <f t="shared" si="34"/>
        <v>27.2319</v>
      </c>
      <c r="AT278" s="90">
        <f>Sheet1!BB280</f>
        <v>1.6</v>
      </c>
      <c r="AU278" s="90">
        <f>Sheet1!AS280*GPMtoMGD</f>
        <v>3.0240000000000003E-2</v>
      </c>
      <c r="AV278" s="95">
        <f>Sheet1!AT280</f>
        <v>0</v>
      </c>
      <c r="AW278" s="90">
        <f>Sheet1!AV280*GPMtoMGD</f>
        <v>0.93124800000000008</v>
      </c>
      <c r="AX278" s="90">
        <f>Sheet1!AW280*GPMtoMGD</f>
        <v>1.2219840000000002</v>
      </c>
      <c r="AY278" s="90">
        <f>Sheet1!AX280*GPMtoMGD</f>
        <v>1.008E-2</v>
      </c>
      <c r="AZ278" s="90">
        <f>Sheet1!AY280*GPMtoMGD</f>
        <v>0</v>
      </c>
      <c r="BA278" s="90">
        <f>Sheet1!AZ280*GPMtoMGD</f>
        <v>0</v>
      </c>
      <c r="BB278" s="90">
        <f>Sheet1!BP280*GPMtoMGD</f>
        <v>0</v>
      </c>
      <c r="BC278" s="90">
        <f>Sheet1!CS280*GPMtoMGD</f>
        <v>0</v>
      </c>
      <c r="BD278" s="90">
        <f>Sheet1!BO280*GPMtoMGD</f>
        <v>1.735344</v>
      </c>
      <c r="BE278" s="90">
        <f>Sheet1!BW280*GPMtoMGD</f>
        <v>0.98308800000000007</v>
      </c>
      <c r="BF278" s="90">
        <f>Sheet1!CN280*GPMtoMGD</f>
        <v>1.4400000000000002</v>
      </c>
      <c r="BG278" s="90">
        <f>Sheet1!CO280*GPMtoMGD</f>
        <v>0.64742400000000011</v>
      </c>
      <c r="BH278" s="90">
        <f>Sheet1!CP280*GPMtoMGD</f>
        <v>0.87595199999999995</v>
      </c>
      <c r="BI278" s="90">
        <f t="shared" si="38"/>
        <v>1.735344</v>
      </c>
      <c r="BK278" s="95">
        <f>SUM(AT278:BA278,BE278,Sheet1!BV280,'Calculations II'!BC278,Calculation!AQ278)</f>
        <v>65.402358460789088</v>
      </c>
      <c r="BM278" s="373">
        <f>0</f>
        <v>0</v>
      </c>
      <c r="BN278" s="373">
        <f>0</f>
        <v>0</v>
      </c>
      <c r="BP278" s="95">
        <f>SUM(BM278:BN278,W278,Sheet1!DX280)</f>
        <v>0</v>
      </c>
    </row>
    <row r="279" spans="1:68" s="90" customFormat="1">
      <c r="A279" s="651" t="s">
        <v>7</v>
      </c>
      <c r="B279" s="92">
        <v>41907</v>
      </c>
      <c r="C279" s="93">
        <v>0</v>
      </c>
      <c r="D279" s="95">
        <f>(Sheet1!BQ281-Sheet1!BQ280)*1.385</f>
        <v>0.67864999999999787</v>
      </c>
      <c r="E279" s="30">
        <f>(Sheet1!BR281-Sheet1!BR280)*1.385</f>
        <v>0.74790000000000378</v>
      </c>
      <c r="F279" s="30">
        <f ca="1">IF(B279=TODAY(),0,-(VLOOKUP(Sheet1!CD281,Lookup!$I$4:$J$216,2)-VLOOKUP(Sheet1!CD280,Lookup!$I$4:$J$216,2))/1000000)</f>
        <v>0.51818469273900236</v>
      </c>
      <c r="G279" s="95">
        <f ca="1">IF(B279=TODAY(),0,-$G$6*(Sheet1!CF281-Sheet1!CF280)*7.48/1000000)</f>
        <v>-0.99283752631398237</v>
      </c>
      <c r="H279" s="95">
        <f ca="1">IF(B279=TODAY(),0,-$H$6*(Sheet1!CE281-Sheet1!CE280)*7.48/1000000)</f>
        <v>-9.0236594107590579E-2</v>
      </c>
      <c r="I279" s="95">
        <f ca="1">IF(B279=TODAY(),0,-$I$6*(Sheet1!CG281-Sheet1!CG280)*7.48/1000000)</f>
        <v>-5.8402343999999953E-2</v>
      </c>
      <c r="J279" s="96" t="s">
        <v>186</v>
      </c>
      <c r="K279" s="95">
        <f ca="1">IF(B279=TODAY(),0,-$K$6*(Sheet1!CH281-Sheet1!CH280)*7.48/1000000)</f>
        <v>-0.10661312599133518</v>
      </c>
      <c r="L279" s="96" t="s">
        <v>186</v>
      </c>
      <c r="M279" s="95">
        <f ca="1">IF(B279=TODAY(),0,-$M$6*(Sheet1!CI281-Sheet1!CI280)*7.48/1000000)</f>
        <v>-0.21589810113632443</v>
      </c>
      <c r="N279" s="95">
        <f ca="1">IF(B279=TODAY(),0,-$N$6*(Sheet1!CJ281-Sheet1!CJ280)*7.48/1000000)</f>
        <v>0.37851930690720542</v>
      </c>
      <c r="O279" s="95">
        <f t="shared" ca="1" si="35"/>
        <v>-0.56728369190302474</v>
      </c>
      <c r="P279" s="95">
        <f ca="1">O279+Calculation!ES279</f>
        <v>-1.9544714427382273</v>
      </c>
      <c r="Q279" s="90" t="str">
        <f>IF(Sheet1!BQ281&gt;25.75,"spill elevation","-")</f>
        <v>-</v>
      </c>
      <c r="R279" s="90" t="str">
        <f>IF(Sheet1!BQ281&gt;25.75,"spill elevation","-")</f>
        <v>-</v>
      </c>
      <c r="S279" s="90" t="str">
        <f>IF(Sheet1!BR281&gt;25.75,"spill elevation","-")</f>
        <v>-</v>
      </c>
      <c r="T279" s="94">
        <f>IF(Sheet1!DU281=1,Sheet1!AA281-(SUM(AT279:BA279)+BE279),Sheet1!AA281-SUM(AT279:BA279))</f>
        <v>27.531535999999999</v>
      </c>
      <c r="U279" s="94">
        <f>Sheet1!BV281</f>
        <v>34.6</v>
      </c>
      <c r="V279" s="94">
        <f t="shared" si="36"/>
        <v>-7.0684640000000023</v>
      </c>
      <c r="W279" s="94">
        <f>0</f>
        <v>0</v>
      </c>
      <c r="X279" s="90">
        <f>0</f>
        <v>0</v>
      </c>
      <c r="Y279" s="95">
        <f ca="1">Calculation!EJ280+Calculation!ES279+'Calculations II'!O279-'Calculations II'!W279</f>
        <v>63.39552855726177</v>
      </c>
      <c r="Z279" s="95">
        <f ca="1">Y279-Sheet1!CT282</f>
        <v>46.03552855726177</v>
      </c>
      <c r="AA279" s="95">
        <f ca="1">Y279+Calculation!DJ280+Calculation!AS280</f>
        <v>77.030115023427186</v>
      </c>
      <c r="AC279" s="95">
        <f>Sheet1!AA281+Sheet1!AB281+BC279</f>
        <v>67.77</v>
      </c>
      <c r="AD279" s="95">
        <f>Sheet1!AA281+Sheet1!BN281+'Calculations II'!BC279-Calculation!AS279-Calculation!DJ279</f>
        <v>39.377314439946019</v>
      </c>
      <c r="AE279" s="95">
        <f>Sheet1!AA281+Sheet1!AB281+'Calculations II'!BC279-Calculation!AS279-Calculation!DJ279</f>
        <v>53.547314439946021</v>
      </c>
      <c r="AF279" s="95">
        <f ca="1">Sheet1!AA281+Sheet1!BN281+P279+'Calculations II'!BC279+Calculation!AS279+Calculation!DJ279</f>
        <v>65.868214117315759</v>
      </c>
      <c r="AG279" s="95">
        <f ca="1">IF(B279=TODAY(),0,Sheet1!AA281+Sheet1!BN281+'Calculations II'!BC279+'Calculations II'!P279-Sheet1!CT281-BP279)</f>
        <v>34.613528557261773</v>
      </c>
      <c r="AH279" s="95">
        <f ca="1">IF(B279=TODAY(),0,Sheet1!AA281+Sheet1!BN281+'Calculations II'!BC279+'Calculations II'!P279-BP279)</f>
        <v>51.645528557261777</v>
      </c>
      <c r="AI279" s="95">
        <f ca="1">IF(B279=TODAY(),0,BC279+Sheet1!AA281+Calculation!ES279+O279+W279+Sheet1!BN281+Calculation!AS279+Calculation!DJ279-BP279)</f>
        <v>65.868214117315745</v>
      </c>
      <c r="AJ279" s="95"/>
      <c r="AM279" s="91">
        <f t="shared" si="37"/>
        <v>41907</v>
      </c>
      <c r="AN279" s="95">
        <f>Sheet1!BU281</f>
        <v>29</v>
      </c>
      <c r="AO279" s="95">
        <f>Sheet1!AA281</f>
        <v>30.8</v>
      </c>
      <c r="AP279" s="95">
        <f t="shared" si="32"/>
        <v>1.4265500000000015</v>
      </c>
      <c r="AQ279" s="1055">
        <f>((Sheet1!BV281-(Sheet1!BU281-AP279))/(Sheet1!BU281-AP279))</f>
        <v>0.25483028057787488</v>
      </c>
      <c r="AR279" s="95">
        <f t="shared" si="33"/>
        <v>29.373449999999998</v>
      </c>
      <c r="AS279" s="95">
        <f t="shared" si="34"/>
        <v>27.573449999999998</v>
      </c>
      <c r="AT279" s="90">
        <f>Sheet1!BB281</f>
        <v>1.6</v>
      </c>
      <c r="AU279" s="90">
        <f>Sheet1!AS281*GPMtoMGD</f>
        <v>3.4127999999999999E-2</v>
      </c>
      <c r="AV279" s="95">
        <f>Sheet1!AT281</f>
        <v>0.62</v>
      </c>
      <c r="AW279" s="90">
        <f>Sheet1!AV281*GPMtoMGD</f>
        <v>0.62712000000000001</v>
      </c>
      <c r="AX279" s="90">
        <f>Sheet1!AW281*GPMtoMGD</f>
        <v>0.38462400000000008</v>
      </c>
      <c r="AY279" s="90">
        <f>Sheet1!AX281*GPMtoMGD</f>
        <v>2.5920000000000001E-3</v>
      </c>
      <c r="AZ279" s="90">
        <f>Sheet1!AY281*GPMtoMGD</f>
        <v>0</v>
      </c>
      <c r="BA279" s="90">
        <f>Sheet1!AZ281*GPMtoMGD</f>
        <v>0</v>
      </c>
      <c r="BB279" s="90">
        <f>Sheet1!BP281*GPMtoMGD</f>
        <v>0</v>
      </c>
      <c r="BC279" s="90">
        <f>Sheet1!CS281*GPMtoMGD</f>
        <v>0</v>
      </c>
      <c r="BD279" s="90">
        <f>Sheet1!BO281*GPMtoMGD</f>
        <v>2.0887199999999999</v>
      </c>
      <c r="BE279" s="90">
        <f>Sheet1!BW281*GPMtoMGD</f>
        <v>0.78724800000000017</v>
      </c>
      <c r="BF279" s="90">
        <f>Sheet1!CN281*GPMtoMGD</f>
        <v>1.4400000000000002</v>
      </c>
      <c r="BG279" s="90">
        <f>Sheet1!CO281*GPMtoMGD</f>
        <v>0.58348800000000001</v>
      </c>
      <c r="BH279" s="90">
        <f>Sheet1!CP281*GPMtoMGD</f>
        <v>0.80985600000000002</v>
      </c>
      <c r="BI279" s="90">
        <f t="shared" si="38"/>
        <v>2.0887199999999999</v>
      </c>
      <c r="BK279" s="95">
        <f>SUM(AT279:BA279,BE279,Sheet1!BV281,'Calculations II'!BC279,Calculation!AQ279)</f>
        <v>61.406481230769231</v>
      </c>
      <c r="BM279" s="373">
        <f>0</f>
        <v>0</v>
      </c>
      <c r="BN279" s="373">
        <f>0</f>
        <v>0</v>
      </c>
      <c r="BP279" s="95">
        <f>SUM(BM279:BN279,W279,Sheet1!DX281)</f>
        <v>0</v>
      </c>
    </row>
    <row r="280" spans="1:68" s="90" customFormat="1">
      <c r="A280" s="651" t="s">
        <v>8</v>
      </c>
      <c r="B280" s="92">
        <v>41908</v>
      </c>
      <c r="C280" s="93">
        <v>0</v>
      </c>
      <c r="D280" s="95">
        <f>(Sheet1!BQ282-Sheet1!BQ281)*1.385</f>
        <v>0.98335000000000117</v>
      </c>
      <c r="E280" s="30">
        <f>(Sheet1!BR282-Sheet1!BR281)*1.385</f>
        <v>0.74789999999999879</v>
      </c>
      <c r="F280" s="30">
        <f ca="1">IF(B280=TODAY(),0,-(VLOOKUP(Sheet1!CD282,Lookup!$I$4:$J$216,2)-VLOOKUP(Sheet1!CD281,Lookup!$I$4:$J$216,2))/1000000)</f>
        <v>0.82909550838240231</v>
      </c>
      <c r="G280" s="95">
        <f ca="1">IF(B280=TODAY(),0,-$G$6*(Sheet1!CF282-Sheet1!CF281)*7.48/1000000)</f>
        <v>0.3574215094730338</v>
      </c>
      <c r="H280" s="95">
        <f ca="1">IF(B280=TODAY(),0,-$H$6*(Sheet1!CE282-Sheet1!CE281)*7.48/1000000)</f>
        <v>-0.30078864702530117</v>
      </c>
      <c r="I280" s="95">
        <f ca="1">IF(B280=TODAY(),0,-$I$6*(Sheet1!CG282-Sheet1!CG281)*7.48/1000000)</f>
        <v>9.8834735999999979E-2</v>
      </c>
      <c r="J280" s="96" t="s">
        <v>186</v>
      </c>
      <c r="K280" s="95">
        <f ca="1">IF(B280=TODAY(),0,-$K$6*(Sheet1!CH282-Sheet1!CH281)*7.48/1000000)</f>
        <v>0.17324632973591961</v>
      </c>
      <c r="L280" s="96" t="s">
        <v>186</v>
      </c>
      <c r="M280" s="95">
        <f ca="1">IF(B280=TODAY(),0,-$M$6*(Sheet1!CI282-Sheet1!CI281)*7.48/1000000)</f>
        <v>0.43179620227264887</v>
      </c>
      <c r="N280" s="95">
        <f ca="1">IF(B280=TODAY(),0,-$N$6*(Sheet1!CJ282-Sheet1!CJ281)*7.48/1000000)</f>
        <v>0.25441461611795807</v>
      </c>
      <c r="O280" s="95">
        <f t="shared" ca="1" si="35"/>
        <v>1.8440202549566616</v>
      </c>
      <c r="P280" s="95">
        <f ca="1">O280+Calculation!ES280</f>
        <v>4.0198328512824011E-2</v>
      </c>
      <c r="Q280" s="90" t="str">
        <f>IF(Sheet1!BQ282&gt;25.75,"spill elevation","-")</f>
        <v>-</v>
      </c>
      <c r="R280" s="90" t="str">
        <f>IF(Sheet1!BQ282&gt;25.75,"spill elevation","-")</f>
        <v>-</v>
      </c>
      <c r="S280" s="90" t="str">
        <f>IF(Sheet1!BR282&gt;25.75,"spill elevation","-")</f>
        <v>-</v>
      </c>
      <c r="T280" s="94">
        <f>IF(Sheet1!DU282=1,Sheet1!AA282-(SUM(AT280:BA280)+BE280),Sheet1!AA282-SUM(AT280:BA280))</f>
        <v>27.095151999999999</v>
      </c>
      <c r="U280" s="94">
        <f>Sheet1!BV282</f>
        <v>34.1</v>
      </c>
      <c r="V280" s="94">
        <f t="shared" si="36"/>
        <v>-7.0048480000000026</v>
      </c>
      <c r="W280" s="94">
        <f>0</f>
        <v>0</v>
      </c>
      <c r="X280" s="90">
        <f>0</f>
        <v>0</v>
      </c>
      <c r="Y280" s="95">
        <f ca="1">Calculation!EJ281+Calculation!ES280+'Calculations II'!O280-'Calculations II'!W280</f>
        <v>63.240198328512825</v>
      </c>
      <c r="Z280" s="95">
        <f ca="1">Y280-Sheet1!CT283</f>
        <v>45.54019832851283</v>
      </c>
      <c r="AA280" s="95">
        <f ca="1">Y280+Calculation!DJ281+Calculation!AS281</f>
        <v>76.499674445616051</v>
      </c>
      <c r="AC280" s="95">
        <f>Sheet1!AA282+Sheet1!AB282+BC280</f>
        <v>65.349999999999994</v>
      </c>
      <c r="AD280" s="95">
        <f>Sheet1!AA282+Sheet1!BN282+'Calculations II'!BC280-Calculation!AS280-Calculation!DJ280</f>
        <v>38.165413533834581</v>
      </c>
      <c r="AE280" s="95">
        <f>Sheet1!AA282+Sheet1!AB282+'Calculations II'!BC280-Calculation!AS280-Calculation!DJ280</f>
        <v>51.715413533834578</v>
      </c>
      <c r="AF280" s="95">
        <f ca="1">Sheet1!AA282+Sheet1!BN282+P280+'Calculations II'!BC280+Calculation!AS280+Calculation!DJ280</f>
        <v>65.474784794678243</v>
      </c>
      <c r="AG280" s="95">
        <f ca="1">IF(B280=TODAY(),0,Sheet1!AA282+Sheet1!BN282+'Calculations II'!BC280+'Calculations II'!P280-Sheet1!CT282-BP280)</f>
        <v>34.48019832851282</v>
      </c>
      <c r="AH280" s="95">
        <f ca="1">IF(B280=TODAY(),0,Sheet1!AA282+Sheet1!BN282+'Calculations II'!BC280+'Calculations II'!P280-BP280)</f>
        <v>51.84019832851282</v>
      </c>
      <c r="AI280" s="95">
        <f ca="1">IF(B280=TODAY(),0,BC280+Sheet1!AA282+Calculation!ES280+O280+W280+Sheet1!BN282+Calculation!AS280+Calculation!DJ280-BP280)</f>
        <v>65.474784794678243</v>
      </c>
      <c r="AJ280" s="95"/>
      <c r="AM280" s="91">
        <f t="shared" si="37"/>
        <v>41908</v>
      </c>
      <c r="AN280" s="95">
        <f>Sheet1!BU282</f>
        <v>28.7</v>
      </c>
      <c r="AO280" s="95">
        <f>Sheet1!AA282</f>
        <v>30.9</v>
      </c>
      <c r="AP280" s="95">
        <f t="shared" si="32"/>
        <v>1.73125</v>
      </c>
      <c r="AQ280" s="1055">
        <f>((Sheet1!BV282-(Sheet1!BU282-AP280))/(Sheet1!BU282-AP280))</f>
        <v>0.2644264194669757</v>
      </c>
      <c r="AR280" s="95">
        <f t="shared" si="33"/>
        <v>29.168749999999999</v>
      </c>
      <c r="AS280" s="95">
        <f t="shared" si="34"/>
        <v>26.96875</v>
      </c>
      <c r="AT280" s="90">
        <f>Sheet1!BB282</f>
        <v>1.6</v>
      </c>
      <c r="AU280" s="90">
        <f>Sheet1!AS282*GPMtoMGD</f>
        <v>3.3408E-2</v>
      </c>
      <c r="AV280" s="95">
        <f>Sheet1!AT282</f>
        <v>1</v>
      </c>
      <c r="AW280" s="90">
        <f>Sheet1!AV282*GPMtoMGD</f>
        <v>0.49694400000000005</v>
      </c>
      <c r="AX280" s="90">
        <f>Sheet1!AW282*GPMtoMGD</f>
        <v>0.67377600000000004</v>
      </c>
      <c r="AY280" s="90">
        <f>Sheet1!AX282*GPMtoMGD</f>
        <v>7.2000000000000005E-4</v>
      </c>
      <c r="AZ280" s="90">
        <f>Sheet1!AY282*GPMtoMGD</f>
        <v>0</v>
      </c>
      <c r="BA280" s="90">
        <f>Sheet1!AZ282*GPMtoMGD</f>
        <v>0</v>
      </c>
      <c r="BB280" s="90">
        <f>Sheet1!BP282*GPMtoMGD</f>
        <v>0</v>
      </c>
      <c r="BC280" s="90">
        <f>Sheet1!CS282*GPMtoMGD</f>
        <v>0</v>
      </c>
      <c r="BD280" s="90">
        <f>Sheet1!BO282*GPMtoMGD</f>
        <v>1.1676960000000001</v>
      </c>
      <c r="BE280" s="90">
        <f>Sheet1!BW282*GPMtoMGD</f>
        <v>0.98956800000000011</v>
      </c>
      <c r="BF280" s="90">
        <f>Sheet1!CN282*GPMtoMGD</f>
        <v>1.4400000000000002</v>
      </c>
      <c r="BG280" s="90">
        <f>Sheet1!CO282*GPMtoMGD</f>
        <v>0.55871999999999999</v>
      </c>
      <c r="BH280" s="90">
        <f>Sheet1!CP282*GPMtoMGD</f>
        <v>0.85852800000000007</v>
      </c>
      <c r="BI280" s="90">
        <f t="shared" si="38"/>
        <v>1.1676960000000001</v>
      </c>
      <c r="BK280" s="95">
        <f>SUM(AT280:BA280,BE280,Sheet1!BV282,'Calculations II'!BC280,Calculation!AQ280)</f>
        <v>59.715844571428576</v>
      </c>
      <c r="BM280" s="373">
        <f>0</f>
        <v>0</v>
      </c>
      <c r="BN280" s="373">
        <f>0</f>
        <v>0</v>
      </c>
      <c r="BP280" s="95">
        <f>SUM(BM280:BN280,W280,Sheet1!DX282)</f>
        <v>0</v>
      </c>
    </row>
    <row r="281" spans="1:68" s="90" customFormat="1">
      <c r="A281" s="651" t="s">
        <v>9</v>
      </c>
      <c r="B281" s="92">
        <v>41909</v>
      </c>
      <c r="C281" s="93">
        <v>0</v>
      </c>
      <c r="D281" s="95">
        <f>(Sheet1!BQ283-Sheet1!BQ282)*1.385</f>
        <v>-0.26315000000000177</v>
      </c>
      <c r="E281" s="30">
        <f>(Sheet1!BR283-Sheet1!BR282)*1.385</f>
        <v>-6.9250000000000991E-2</v>
      </c>
      <c r="F281" s="30">
        <f ca="1">IF(B281=TODAY(),0,-(VLOOKUP(Sheet1!CD283,Lookup!$I$4:$J$216,2)-VLOOKUP(Sheet1!CD282,Lookup!$I$4:$J$216,2))/1000000)</f>
        <v>0.41454775419119744</v>
      </c>
      <c r="G281" s="95">
        <f ca="1">IF(B281=TODAY(),0,-$G$6*(Sheet1!CF283-Sheet1!CF282)*7.48/1000000)</f>
        <v>0.3574215094730338</v>
      </c>
      <c r="H281" s="95">
        <f ca="1">IF(B281=TODAY(),0,-$H$6*(Sheet1!CE283-Sheet1!CE282)*7.48/1000000)</f>
        <v>6.0157729405060027E-2</v>
      </c>
      <c r="I281" s="95">
        <f ca="1">IF(B281=TODAY(),0,-$I$6*(Sheet1!CG283-Sheet1!CG282)*7.48/1000000)</f>
        <v>-1.3477463999999995E-2</v>
      </c>
      <c r="J281" s="96" t="s">
        <v>186</v>
      </c>
      <c r="K281" s="95">
        <f ca="1">IF(B281=TODAY(),0,-$K$6*(Sheet1!CH283-Sheet1!CH282)*7.48/1000000)</f>
        <v>-2.6653281497833796E-2</v>
      </c>
      <c r="L281" s="96" t="s">
        <v>186</v>
      </c>
      <c r="M281" s="95">
        <f ca="1">IF(B281=TODAY(),0,-$M$6*(Sheet1!CI283-Sheet1!CI282)*7.48/1000000)</f>
        <v>-1.7991508428027301E-2</v>
      </c>
      <c r="N281" s="95">
        <f ca="1">IF(B281=TODAY(),0,-$N$6*(Sheet1!CJ283-Sheet1!CJ282)*7.48/1000000)</f>
        <v>0.42816118322290458</v>
      </c>
      <c r="O281" s="95">
        <f t="shared" ca="1" si="35"/>
        <v>1.2021659223663348</v>
      </c>
      <c r="P281" s="95">
        <f ca="1">O281+Calculation!ES281</f>
        <v>1.6184793965828668</v>
      </c>
      <c r="Q281" s="90" t="str">
        <f>IF(Sheet1!BQ283&gt;25.75,"spill elevation","-")</f>
        <v>-</v>
      </c>
      <c r="R281" s="90" t="str">
        <f>IF(Sheet1!BQ283&gt;25.75,"spill elevation","-")</f>
        <v>-</v>
      </c>
      <c r="S281" s="90" t="str">
        <f>IF(Sheet1!BR283&gt;25.75,"spill elevation","-")</f>
        <v>-</v>
      </c>
      <c r="T281" s="94">
        <f>IF(Sheet1!DU283=1,Sheet1!AA283-(SUM(AT281:BA281)+BE281),Sheet1!AA283-SUM(AT281:BA281))</f>
        <v>27.774256000000001</v>
      </c>
      <c r="U281" s="94">
        <f>Sheet1!BV283</f>
        <v>36.299999999999997</v>
      </c>
      <c r="V281" s="94">
        <f t="shared" si="36"/>
        <v>-8.525743999999996</v>
      </c>
      <c r="W281" s="94">
        <f>0</f>
        <v>0</v>
      </c>
      <c r="X281" s="90">
        <f>0</f>
        <v>0</v>
      </c>
      <c r="Y281" s="95">
        <f ca="1">Calculation!EJ282+Calculation!ES281+'Calculations II'!O281-'Calculations II'!W281</f>
        <v>62.658479396582862</v>
      </c>
      <c r="Z281" s="95">
        <f ca="1">Y281-Sheet1!CT284</f>
        <v>46.142479396582864</v>
      </c>
      <c r="AA281" s="95">
        <f ca="1">Y281+Calculation!DJ282+Calculation!AS282</f>
        <v>75.620012773978758</v>
      </c>
      <c r="AC281" s="95">
        <f>Sheet1!AA283+Sheet1!AB283+BC281</f>
        <v>63.2</v>
      </c>
      <c r="AD281" s="95">
        <f>Sheet1!AA283+Sheet1!BN283+'Calculations II'!BC281-Calculation!AS281-Calculation!DJ281</f>
        <v>36.840523882896761</v>
      </c>
      <c r="AE281" s="95">
        <f>Sheet1!AA283+Sheet1!AB283+'Calculations II'!BC281-Calculation!AS281-Calculation!DJ281</f>
        <v>49.94052388289677</v>
      </c>
      <c r="AF281" s="95">
        <f ca="1">Sheet1!AA283+Sheet1!BN283+P281+'Calculations II'!BC281+Calculation!AS281+Calculation!DJ281</f>
        <v>64.977955513686098</v>
      </c>
      <c r="AG281" s="95">
        <f ca="1">IF(B281=TODAY(),0,Sheet1!AA283+Sheet1!BN283+'Calculations II'!BC281+'Calculations II'!P281-Sheet1!CT283-BP281)</f>
        <v>34.018479396582862</v>
      </c>
      <c r="AH281" s="95">
        <f ca="1">IF(B281=TODAY(),0,Sheet1!AA283+Sheet1!BN283+'Calculations II'!BC281+'Calculations II'!P281-BP281)</f>
        <v>51.718479396582865</v>
      </c>
      <c r="AI281" s="95">
        <f ca="1">IF(B281=TODAY(),0,BC281+Sheet1!AA283+Calculation!ES281+O281+W281+Sheet1!BN283+Calculation!AS281+Calculation!DJ281-BP281)</f>
        <v>64.977955513686112</v>
      </c>
      <c r="AJ281" s="95"/>
      <c r="AM281" s="91">
        <f t="shared" si="37"/>
        <v>41909</v>
      </c>
      <c r="AN281" s="95">
        <f>Sheet1!BU283</f>
        <v>29.3</v>
      </c>
      <c r="AO281" s="95">
        <f>Sheet1!AA283</f>
        <v>31</v>
      </c>
      <c r="AP281" s="95">
        <f t="shared" si="32"/>
        <v>-0.33240000000000275</v>
      </c>
      <c r="AQ281" s="1055">
        <f>((Sheet1!BV283-(Sheet1!BU283-AP281))/(Sheet1!BU283-AP281))</f>
        <v>0.22501046152184745</v>
      </c>
      <c r="AR281" s="95">
        <f t="shared" si="33"/>
        <v>31.332400000000003</v>
      </c>
      <c r="AS281" s="95">
        <f t="shared" si="34"/>
        <v>29.632400000000004</v>
      </c>
      <c r="AT281" s="90">
        <f>Sheet1!BB283</f>
        <v>1.6</v>
      </c>
      <c r="AU281" s="90">
        <f>Sheet1!AS283*GPMtoMGD</f>
        <v>1.6704E-2</v>
      </c>
      <c r="AV281" s="95">
        <f>Sheet1!AT283</f>
        <v>0.38</v>
      </c>
      <c r="AW281" s="90">
        <f>Sheet1!AV283*GPMtoMGD</f>
        <v>0.53683200000000009</v>
      </c>
      <c r="AX281" s="90">
        <f>Sheet1!AW283*GPMtoMGD</f>
        <v>0.69220800000000005</v>
      </c>
      <c r="AY281" s="90">
        <f>Sheet1!AX283*GPMtoMGD</f>
        <v>0</v>
      </c>
      <c r="AZ281" s="90">
        <f>Sheet1!AY283*GPMtoMGD</f>
        <v>0</v>
      </c>
      <c r="BA281" s="90">
        <f>Sheet1!AZ283*GPMtoMGD</f>
        <v>0</v>
      </c>
      <c r="BB281" s="90">
        <f>Sheet1!BP283*GPMtoMGD</f>
        <v>0</v>
      </c>
      <c r="BC281" s="90">
        <f>Sheet1!CS283*GPMtoMGD</f>
        <v>0</v>
      </c>
      <c r="BD281" s="90">
        <f>Sheet1!BO283*GPMtoMGD</f>
        <v>1.9503360000000003</v>
      </c>
      <c r="BE281" s="90">
        <f>Sheet1!BW283*GPMtoMGD</f>
        <v>0.90763199999999999</v>
      </c>
      <c r="BF281" s="90">
        <f>Sheet1!CN283*GPMtoMGD</f>
        <v>1.4400000000000002</v>
      </c>
      <c r="BG281" s="90">
        <f>Sheet1!CO283*GPMtoMGD</f>
        <v>0.57556799999999997</v>
      </c>
      <c r="BH281" s="90">
        <f>Sheet1!CP283*GPMtoMGD</f>
        <v>0.81734400000000007</v>
      </c>
      <c r="BI281" s="90">
        <f t="shared" si="38"/>
        <v>1.9503360000000003</v>
      </c>
      <c r="BK281" s="95">
        <f>SUM(AT281:BA281,BE281,Sheet1!BV283,'Calculations II'!BC281,Calculation!AQ281)</f>
        <v>59.386226539291215</v>
      </c>
      <c r="BM281" s="373">
        <f>0</f>
        <v>0</v>
      </c>
      <c r="BN281" s="373">
        <f>0</f>
        <v>0</v>
      </c>
      <c r="BP281" s="95">
        <f>SUM(BM281:BN281,W281,Sheet1!DX283)</f>
        <v>0</v>
      </c>
    </row>
    <row r="282" spans="1:68" s="90" customFormat="1">
      <c r="A282" s="651" t="s">
        <v>3</v>
      </c>
      <c r="B282" s="92">
        <v>41910</v>
      </c>
      <c r="C282" s="93">
        <v>0</v>
      </c>
      <c r="D282" s="95">
        <f>(Sheet1!BQ284-Sheet1!BQ283)*1.385</f>
        <v>-2.1190499999999965</v>
      </c>
      <c r="E282" s="30">
        <f>(Sheet1!BR284-Sheet1!BR283)*1.385</f>
        <v>-2.1051999999999995</v>
      </c>
      <c r="F282" s="30">
        <f ca="1">IF(B282=TODAY(),0,-(VLOOKUP(Sheet1!CD284,Lookup!$I$4:$J$216,2)-VLOOKUP(Sheet1!CD283,Lookup!$I$4:$J$216,2))/1000000)</f>
        <v>-0.31091081564339806</v>
      </c>
      <c r="G282" s="95">
        <f ca="1">IF(B282=TODAY(),0,-$G$6*(Sheet1!CF284-Sheet1!CF283)*7.48/1000000)</f>
        <v>-7.9427002105119021E-2</v>
      </c>
      <c r="H282" s="95">
        <f ca="1">IF(B282=TODAY(),0,-$H$6*(Sheet1!CE284-Sheet1!CE283)*7.48/1000000)</f>
        <v>0.15039432351265059</v>
      </c>
      <c r="I282" s="95">
        <f ca="1">IF(B282=TODAY(),0,-$I$6*(Sheet1!CG284-Sheet1!CG283)*7.48/1000000)</f>
        <v>-7.637229600000002E-2</v>
      </c>
      <c r="J282" s="96" t="s">
        <v>186</v>
      </c>
      <c r="K282" s="95">
        <f ca="1">IF(B282=TODAY(),0,-$K$6*(Sheet1!CH284-Sheet1!CH283)*7.48/1000000)</f>
        <v>-0.13326640748916885</v>
      </c>
      <c r="L282" s="96" t="s">
        <v>186</v>
      </c>
      <c r="M282" s="95">
        <f ca="1">IF(B282=TODAY(),0,-$M$6*(Sheet1!CI284-Sheet1!CI283)*7.48/1000000)</f>
        <v>-0.37782167698856756</v>
      </c>
      <c r="N282" s="95">
        <f ca="1">IF(B282=TODAY(),0,-$N$6*(Sheet1!CJ284-Sheet1!CJ283)*7.48/1000000)</f>
        <v>-0.31026172697311949</v>
      </c>
      <c r="O282" s="95">
        <f t="shared" ca="1" si="35"/>
        <v>-1.1376656016867224</v>
      </c>
      <c r="P282" s="95">
        <f ca="1">O282+Calculation!ES282</f>
        <v>3.0238976877688999</v>
      </c>
      <c r="Q282" s="90" t="str">
        <f>IF(Sheet1!BQ284&gt;25.75,"spill elevation","-")</f>
        <v>-</v>
      </c>
      <c r="R282" s="90" t="str">
        <f>IF(Sheet1!BQ284&gt;25.75,"spill elevation","-")</f>
        <v>-</v>
      </c>
      <c r="S282" s="90" t="str">
        <f>IF(Sheet1!BR284&gt;25.75,"spill elevation","-")</f>
        <v>-</v>
      </c>
      <c r="T282" s="94">
        <f>IF(Sheet1!DU284=1,Sheet1!AA284-(SUM(AT282:BA282)+BE282),Sheet1!AA284-SUM(AT282:BA282))</f>
        <v>27.41968</v>
      </c>
      <c r="U282" s="94">
        <f>Sheet1!BV284</f>
        <v>40.4</v>
      </c>
      <c r="V282" s="94">
        <f t="shared" si="36"/>
        <v>-12.980319999999999</v>
      </c>
      <c r="W282" s="94">
        <f>0</f>
        <v>0</v>
      </c>
      <c r="X282" s="90">
        <f>0</f>
        <v>0</v>
      </c>
      <c r="Y282" s="95">
        <f ca="1">Calculation!EJ283+Calculation!ES282+'Calculations II'!O282-'Calculations II'!W282</f>
        <v>64.083897687768911</v>
      </c>
      <c r="Z282" s="95">
        <f ca="1">Y282-Sheet1!CT285</f>
        <v>48.663897687768909</v>
      </c>
      <c r="AA282" s="95">
        <f ca="1">Y282+Calculation!DJ283+Calculation!AS283</f>
        <v>77.298395216599218</v>
      </c>
      <c r="AC282" s="95">
        <f>Sheet1!AA284+Sheet1!AB284+BC282</f>
        <v>61.04</v>
      </c>
      <c r="AD282" s="95">
        <f>Sheet1!AA284+Sheet1!BN284+'Calculations II'!BC282-Calculation!AS282-Calculation!DJ282</f>
        <v>35.278466622604093</v>
      </c>
      <c r="AE282" s="95">
        <f>Sheet1!AA284+Sheet1!AB284+'Calculations II'!BC282-Calculation!AS282-Calculation!DJ282</f>
        <v>48.078466622604097</v>
      </c>
      <c r="AF282" s="95">
        <f ca="1">Sheet1!AA284+Sheet1!BN284+P282+'Calculations II'!BC282+Calculation!AS282+Calculation!DJ282</f>
        <v>64.225431065164798</v>
      </c>
      <c r="AG282" s="95">
        <f ca="1">IF(B282=TODAY(),0,Sheet1!AA284+Sheet1!BN284+'Calculations II'!BC282+'Calculations II'!P282-Sheet1!CT284-BP282)</f>
        <v>34.747897687768898</v>
      </c>
      <c r="AH282" s="95">
        <f ca="1">IF(B282=TODAY(),0,Sheet1!AA284+Sheet1!BN284+'Calculations II'!BC282+'Calculations II'!P282-BP282)</f>
        <v>51.263897687768896</v>
      </c>
      <c r="AI282" s="95">
        <f ca="1">IF(B282=TODAY(),0,BC282+Sheet1!AA284+Calculation!ES282+O282+W282+Sheet1!BN284+Calculation!AS282+Calculation!DJ282-BP282)</f>
        <v>64.225431065164798</v>
      </c>
      <c r="AJ282" s="95"/>
      <c r="AM282" s="91">
        <f t="shared" si="37"/>
        <v>41910</v>
      </c>
      <c r="AN282" s="95">
        <f>Sheet1!BU284</f>
        <v>29.2</v>
      </c>
      <c r="AO282" s="95">
        <f>Sheet1!AA284</f>
        <v>31.04</v>
      </c>
      <c r="AP282" s="95">
        <f t="shared" si="32"/>
        <v>-4.2242499999999961</v>
      </c>
      <c r="AQ282" s="1055">
        <f>((Sheet1!BV284-(Sheet1!BU284-AP282))/(Sheet1!BU284-AP282))</f>
        <v>0.20870326185329532</v>
      </c>
      <c r="AR282" s="95">
        <f t="shared" si="33"/>
        <v>35.264249999999997</v>
      </c>
      <c r="AS282" s="95">
        <f t="shared" si="34"/>
        <v>33.424249999999994</v>
      </c>
      <c r="AT282" s="90">
        <f>Sheet1!BB284</f>
        <v>1.6</v>
      </c>
      <c r="AU282" s="90">
        <f>Sheet1!AS284*GPMtoMGD</f>
        <v>3.3552000000000005E-2</v>
      </c>
      <c r="AV282" s="95">
        <f>Sheet1!AT284</f>
        <v>0</v>
      </c>
      <c r="AW282" s="90">
        <f>Sheet1!AV284*GPMtoMGD</f>
        <v>0.83764800000000017</v>
      </c>
      <c r="AX282" s="90">
        <f>Sheet1!AW284*GPMtoMGD</f>
        <v>1.1482559999999999</v>
      </c>
      <c r="AY282" s="90">
        <f>Sheet1!AX284*GPMtoMGD</f>
        <v>8.6400000000000008E-4</v>
      </c>
      <c r="AZ282" s="90">
        <f>Sheet1!AY284*GPMtoMGD</f>
        <v>0</v>
      </c>
      <c r="BA282" s="90">
        <f>Sheet1!AZ284*GPMtoMGD</f>
        <v>0</v>
      </c>
      <c r="BB282" s="90">
        <f>Sheet1!BP284*GPMtoMGD</f>
        <v>0</v>
      </c>
      <c r="BC282" s="90">
        <f>Sheet1!CS284*GPMtoMGD</f>
        <v>0</v>
      </c>
      <c r="BD282" s="90">
        <f>Sheet1!BO284*GPMtoMGD</f>
        <v>2.4431039999999999</v>
      </c>
      <c r="BE282" s="90">
        <f>Sheet1!BW284*GPMtoMGD</f>
        <v>1.015776</v>
      </c>
      <c r="BF282" s="90">
        <f>Sheet1!CN284*GPMtoMGD</f>
        <v>1.4400000000000002</v>
      </c>
      <c r="BG282" s="90">
        <f>Sheet1!CO284*GPMtoMGD</f>
        <v>0.60364800000000007</v>
      </c>
      <c r="BH282" s="90">
        <f>Sheet1!CP284*GPMtoMGD</f>
        <v>0.82252800000000015</v>
      </c>
      <c r="BI282" s="90">
        <f t="shared" si="38"/>
        <v>2.4431039999999999</v>
      </c>
      <c r="BK282" s="95">
        <f>SUM(AT282:BA282,BE282,Sheet1!BV284,'Calculations II'!BC282,Calculation!AQ282)</f>
        <v>62.088310144084602</v>
      </c>
      <c r="BM282" s="373">
        <f>0</f>
        <v>0</v>
      </c>
      <c r="BN282" s="373">
        <f>0</f>
        <v>0</v>
      </c>
      <c r="BP282" s="95">
        <f>SUM(BM282:BN282,W282,Sheet1!DX284)</f>
        <v>0</v>
      </c>
    </row>
    <row r="283" spans="1:68" s="90" customFormat="1">
      <c r="A283" s="651" t="s">
        <v>4</v>
      </c>
      <c r="B283" s="92">
        <v>41911</v>
      </c>
      <c r="C283" s="93">
        <v>0</v>
      </c>
      <c r="D283" s="95">
        <f>(Sheet1!BQ285-Sheet1!BQ284)*1.385</f>
        <v>-0.33240000000000275</v>
      </c>
      <c r="E283" s="30">
        <f>(Sheet1!BR285-Sheet1!BR284)*1.385</f>
        <v>-0.31855000000000061</v>
      </c>
      <c r="F283" s="30">
        <f ca="1">IF(B283=TODAY(),0,-(VLOOKUP(Sheet1!CD285,Lookup!$I$4:$J$216,2)-VLOOKUP(Sheet1!CD284,Lookup!$I$4:$J$216,2))/1000000)</f>
        <v>0.10363693854779936</v>
      </c>
      <c r="G283" s="95">
        <f ca="1">IF(B283=TODAY(),0,-$G$6*(Sheet1!CF285-Sheet1!CF284)*7.48/1000000)</f>
        <v>-0.47656201263071124</v>
      </c>
      <c r="H283" s="95">
        <f ca="1">IF(B283=TODAY(),0,-$H$6*(Sheet1!CE285-Sheet1!CE284)*7.48/1000000)</f>
        <v>0.15039432351265059</v>
      </c>
      <c r="I283" s="95">
        <f ca="1">IF(B283=TODAY(),0,-$I$6*(Sheet1!CG285-Sheet1!CG284)*7.48/1000000)</f>
        <v>8.0864783999999995E-2</v>
      </c>
      <c r="J283" s="96" t="s">
        <v>186</v>
      </c>
      <c r="K283" s="95">
        <f ca="1">IF(B283=TODAY(),0,-$K$6*(Sheet1!CH285-Sheet1!CH284)*7.48/1000000)</f>
        <v>0.14659304823808569</v>
      </c>
      <c r="L283" s="96" t="s">
        <v>186</v>
      </c>
      <c r="M283" s="95">
        <f ca="1">IF(B283=TODAY(),0,-$M$6*(Sheet1!CI285-Sheet1!CI284)*7.48/1000000)</f>
        <v>0.34183866013251368</v>
      </c>
      <c r="N283" s="95">
        <f ca="1">IF(B283=TODAY(),0,-$N$6*(Sheet1!CJ285-Sheet1!CJ284)*7.48/1000000)</f>
        <v>0.12410469078924848</v>
      </c>
      <c r="O283" s="95">
        <f t="shared" ca="1" si="35"/>
        <v>0.47087043258958655</v>
      </c>
      <c r="P283" s="95">
        <f ca="1">O283+Calculation!ES283</f>
        <v>1.1641789290319826</v>
      </c>
      <c r="Q283" s="90" t="str">
        <f>IF(Sheet1!BQ285&gt;25.75,"spill elevation","-")</f>
        <v>-</v>
      </c>
      <c r="R283" s="90" t="str">
        <f>IF(Sheet1!BQ285&gt;25.75,"spill elevation","-")</f>
        <v>-</v>
      </c>
      <c r="S283" s="90" t="str">
        <f>IF(Sheet1!BR285&gt;25.75,"spill elevation","-")</f>
        <v>-</v>
      </c>
      <c r="T283" s="94">
        <f>IF(Sheet1!DU285=1,Sheet1!AA285-(SUM(AT283:BA283)+BE283),Sheet1!AA285-SUM(AT283:BA283))</f>
        <v>28.161695999999999</v>
      </c>
      <c r="U283" s="94">
        <f>Sheet1!BV285</f>
        <v>37.299999999999997</v>
      </c>
      <c r="V283" s="94">
        <f t="shared" si="36"/>
        <v>-9.138303999999998</v>
      </c>
      <c r="W283" s="94">
        <f>0</f>
        <v>0</v>
      </c>
      <c r="X283" s="90">
        <f>0</f>
        <v>0</v>
      </c>
      <c r="Y283" s="95">
        <f ca="1">Calculation!EJ284+Calculation!ES283+'Calculations II'!O283-'Calculations II'!W283</f>
        <v>62.194178929031985</v>
      </c>
      <c r="Z283" s="95">
        <f ca="1">Y283-Sheet1!CT286</f>
        <v>47.344178929031983</v>
      </c>
      <c r="AA283" s="95">
        <f ca="1">Y283+Calculation!DJ284+Calculation!AS284</f>
        <v>75.730614540070093</v>
      </c>
      <c r="AC283" s="95">
        <f>Sheet1!AA285+Sheet1!AB285+BC283</f>
        <v>61.06</v>
      </c>
      <c r="AD283" s="95">
        <f>Sheet1!AA285+Sheet1!BN285+'Calculations II'!BC283-Calculation!AS283-Calculation!DJ283</f>
        <v>34.845502471169688</v>
      </c>
      <c r="AE283" s="95">
        <f>Sheet1!AA285+Sheet1!AB285+'Calculations II'!BC283-Calculation!AS283-Calculation!DJ283</f>
        <v>47.845502471169688</v>
      </c>
      <c r="AF283" s="95">
        <f ca="1">Sheet1!AA285+Sheet1!BN285+P283+'Calculations II'!BC283+Calculation!AS283+Calculation!DJ283</f>
        <v>62.4386764578623</v>
      </c>
      <c r="AG283" s="95">
        <f ca="1">IF(B283=TODAY(),0,Sheet1!AA285+Sheet1!BN285+'Calculations II'!BC283+'Calculations II'!P283-Sheet1!CT285-BP283)</f>
        <v>33.804178929031984</v>
      </c>
      <c r="AH283" s="95">
        <f ca="1">IF(B283=TODAY(),0,Sheet1!AA285+Sheet1!BN285+'Calculations II'!BC283+'Calculations II'!P283-BP283)</f>
        <v>49.224178929031986</v>
      </c>
      <c r="AI283" s="95">
        <f ca="1">IF(B283=TODAY(),0,BC283+Sheet1!AA285+Calculation!ES283+O283+W283+Sheet1!BN285+Calculation!AS283+Calculation!DJ283-BP283)</f>
        <v>62.438676457862293</v>
      </c>
      <c r="AJ283" s="95"/>
      <c r="AM283" s="91">
        <f t="shared" si="37"/>
        <v>41911</v>
      </c>
      <c r="AN283" s="95">
        <f>Sheet1!BU285</f>
        <v>29.7</v>
      </c>
      <c r="AO283" s="95">
        <f>Sheet1!AA285</f>
        <v>31.06</v>
      </c>
      <c r="AP283" s="95">
        <f t="shared" si="32"/>
        <v>-0.65095000000000336</v>
      </c>
      <c r="AQ283" s="1055">
        <f>((Sheet1!BV285-(Sheet1!BU285-AP283))/(Sheet1!BU285-AP283))</f>
        <v>0.22895658949719846</v>
      </c>
      <c r="AR283" s="95">
        <f t="shared" si="33"/>
        <v>31.71095</v>
      </c>
      <c r="AS283" s="95">
        <f t="shared" si="34"/>
        <v>30.350950000000001</v>
      </c>
      <c r="AT283" s="90">
        <f>Sheet1!BB285</f>
        <v>1.6</v>
      </c>
      <c r="AU283" s="90">
        <f>Sheet1!AS285*GPMtoMGD</f>
        <v>1.5984000000000002E-2</v>
      </c>
      <c r="AV283" s="95">
        <f>Sheet1!AT285</f>
        <v>0</v>
      </c>
      <c r="AW283" s="90">
        <f>Sheet1!AV285*GPMtoMGD</f>
        <v>0.54201600000000005</v>
      </c>
      <c r="AX283" s="90">
        <f>Sheet1!AW285*GPMtoMGD</f>
        <v>0.7394400000000001</v>
      </c>
      <c r="AY283" s="90">
        <f>Sheet1!AX285*GPMtoMGD</f>
        <v>8.6400000000000008E-4</v>
      </c>
      <c r="AZ283" s="90">
        <f>Sheet1!AY285*GPMtoMGD</f>
        <v>0</v>
      </c>
      <c r="BA283" s="90">
        <f>Sheet1!AZ285*GPMtoMGD</f>
        <v>0</v>
      </c>
      <c r="BB283" s="90">
        <f>Sheet1!BP285*GPMtoMGD</f>
        <v>2.9375999999999999E-2</v>
      </c>
      <c r="BC283" s="90">
        <f>Sheet1!CS285*GPMtoMGD</f>
        <v>0</v>
      </c>
      <c r="BD283" s="90">
        <f>Sheet1!BO285*GPMtoMGD</f>
        <v>1.2987360000000001</v>
      </c>
      <c r="BE283" s="90">
        <f>Sheet1!BW285*GPMtoMGD</f>
        <v>0.85075199999999995</v>
      </c>
      <c r="BF283" s="90">
        <f>Sheet1!CN285*GPMtoMGD</f>
        <v>1.08</v>
      </c>
      <c r="BG283" s="90">
        <f>Sheet1!CO285*GPMtoMGD</f>
        <v>0.57931200000000005</v>
      </c>
      <c r="BH283" s="90">
        <f>Sheet1!CP285*GPMtoMGD</f>
        <v>0.84585600000000005</v>
      </c>
      <c r="BI283" s="90">
        <f t="shared" si="38"/>
        <v>1.3281120000000002</v>
      </c>
      <c r="BK283" s="95">
        <f>SUM(AT283:BA283,BE283,Sheet1!BV285,'Calculations II'!BC283,Calculation!AQ283)</f>
        <v>57.853009871499175</v>
      </c>
      <c r="BM283" s="373">
        <f>0</f>
        <v>0</v>
      </c>
      <c r="BN283" s="373">
        <f>0</f>
        <v>0</v>
      </c>
      <c r="BP283" s="95">
        <f>SUM(BM283:BN283,W283,Sheet1!DX285)</f>
        <v>0</v>
      </c>
    </row>
    <row r="284" spans="1:68" s="90" customFormat="1">
      <c r="A284" s="651" t="s">
        <v>5</v>
      </c>
      <c r="B284" s="92">
        <v>41912</v>
      </c>
      <c r="C284" s="93">
        <v>0</v>
      </c>
      <c r="D284" s="95">
        <f>(Sheet1!BQ286-Sheet1!BQ285)*1.385</f>
        <v>8.3099999999998231E-2</v>
      </c>
      <c r="E284" s="30">
        <f>(Sheet1!BR286-Sheet1!BR285)*1.385</f>
        <v>6.9250000000000991E-2</v>
      </c>
      <c r="F284" s="30">
        <f ca="1">IF(B284=TODAY(),0,-(VLOOKUP(Sheet1!CD286,Lookup!$I$4:$J$216,2)-VLOOKUP(Sheet1!CD285,Lookup!$I$4:$J$216,2))/1000000)</f>
        <v>-0.31091081564339806</v>
      </c>
      <c r="G284" s="95">
        <f ca="1">IF(B284=TODAY(),0,-$G$6*(Sheet1!CF286-Sheet1!CF285)*7.48/1000000)</f>
        <v>0.27799450736791476</v>
      </c>
      <c r="H284" s="95">
        <f ca="1">IF(B284=TODAY(),0,-$H$6*(Sheet1!CE286-Sheet1!CE285)*7.48/1000000)</f>
        <v>-1.503943235126474E-2</v>
      </c>
      <c r="I284" s="95">
        <f ca="1">IF(B284=TODAY(),0,-$I$6*(Sheet1!CG286-Sheet1!CG285)*7.48/1000000)</f>
        <v>-6.7387319999999765E-3</v>
      </c>
      <c r="J284" s="96" t="s">
        <v>186</v>
      </c>
      <c r="K284" s="95">
        <f ca="1">IF(B284=TODAY(),0,-$K$6*(Sheet1!CH286-Sheet1!CH285)*7.48/1000000)</f>
        <v>-2.5320617422942015E-2</v>
      </c>
      <c r="L284" s="96" t="s">
        <v>186</v>
      </c>
      <c r="M284" s="95">
        <f ca="1">IF(B284=TODAY(),0,-$M$6*(Sheet1!CI286-Sheet1!CI285)*7.48/1000000)</f>
        <v>0</v>
      </c>
      <c r="N284" s="95">
        <f ca="1">IF(B284=TODAY(),0,-$N$6*(Sheet1!CJ286-Sheet1!CJ285)*7.48/1000000)</f>
        <v>-0.13651515986817297</v>
      </c>
      <c r="O284" s="95">
        <f t="shared" ca="1" si="35"/>
        <v>-0.21653024991786302</v>
      </c>
      <c r="P284" s="95">
        <f ca="1">O284+Calculation!ES284</f>
        <v>-0.35518168956999674</v>
      </c>
      <c r="Q284" s="90" t="str">
        <f>IF(Sheet1!BQ286&gt;25.75,"spill elevation","-")</f>
        <v>-</v>
      </c>
      <c r="R284" s="90" t="str">
        <f>IF(Sheet1!BQ286&gt;25.75,"spill elevation","-")</f>
        <v>-</v>
      </c>
      <c r="S284" s="90" t="str">
        <f>IF(Sheet1!BR286&gt;25.75,"spill elevation","-")</f>
        <v>-</v>
      </c>
      <c r="T284" s="94">
        <f>IF(Sheet1!DU286=1,Sheet1!AA286-(SUM(AT284:BA284)+BE284),Sheet1!AA286-SUM(AT284:BA284))</f>
        <v>28.090448000000002</v>
      </c>
      <c r="U284" s="94">
        <f>Sheet1!BV286</f>
        <v>36.299999999999997</v>
      </c>
      <c r="V284" s="94">
        <f t="shared" si="36"/>
        <v>-8.2095519999999951</v>
      </c>
      <c r="W284" s="94">
        <f>0</f>
        <v>0</v>
      </c>
      <c r="X284" s="90">
        <f>0</f>
        <v>0</v>
      </c>
      <c r="Y284" s="95">
        <f ca="1">Calculation!EJ285+Calculation!ES284+'Calculations II'!O284-'Calculations II'!W284</f>
        <v>60.77481831043</v>
      </c>
      <c r="Z284" s="95">
        <f ca="1">Y284-Sheet1!CT287</f>
        <v>47.034818310429998</v>
      </c>
      <c r="AA284" s="95">
        <f ca="1">Y284+Calculation!DJ285+Calculation!AS285</f>
        <v>74.151212072613234</v>
      </c>
      <c r="AC284" s="95">
        <f>Sheet1!AA286+Sheet1!AB286+BC284</f>
        <v>61.03</v>
      </c>
      <c r="AD284" s="95">
        <f>Sheet1!AA286+Sheet1!BN286+'Calculations II'!BC284-Calculation!AS284-Calculation!DJ284</f>
        <v>34.263564388961882</v>
      </c>
      <c r="AE284" s="95">
        <f>Sheet1!AA286+Sheet1!AB286+'Calculations II'!BC284-Calculation!AS284-Calculation!DJ284</f>
        <v>47.493564388961886</v>
      </c>
      <c r="AF284" s="95">
        <f ca="1">Sheet1!AA286+Sheet1!BN286+P284+'Calculations II'!BC284+Calculation!AS284+Calculation!DJ284</f>
        <v>60.98125392146811</v>
      </c>
      <c r="AG284" s="95">
        <f ca="1">IF(B284=TODAY(),0,Sheet1!AA286+Sheet1!BN286+'Calculations II'!BC284+'Calculations II'!P284-Sheet1!CT286-BP284)</f>
        <v>32.59481831043</v>
      </c>
      <c r="AH284" s="95">
        <f ca="1">IF(B284=TODAY(),0,Sheet1!AA286+Sheet1!BN286+'Calculations II'!BC284+'Calculations II'!P284-BP284)</f>
        <v>47.444818310430001</v>
      </c>
      <c r="AI284" s="95">
        <f ca="1">IF(B284=TODAY(),0,BC284+Sheet1!AA286+Calculation!ES284+O284+W284+Sheet1!BN286+Calculation!AS284+Calculation!DJ284-BP284)</f>
        <v>60.981253921468124</v>
      </c>
      <c r="AJ284" s="95"/>
      <c r="AM284" s="91">
        <f t="shared" si="37"/>
        <v>41912</v>
      </c>
      <c r="AN284" s="95">
        <f>Sheet1!BU286</f>
        <v>29.5</v>
      </c>
      <c r="AO284" s="95">
        <f>Sheet1!AA286</f>
        <v>31.1</v>
      </c>
      <c r="AP284" s="95">
        <f t="shared" si="32"/>
        <v>0.15234999999999921</v>
      </c>
      <c r="AQ284" s="1055">
        <f>((Sheet1!BV286-(Sheet1!BU286-AP284))/(Sheet1!BU286-AP284))</f>
        <v>0.23689631026675032</v>
      </c>
      <c r="AR284" s="95">
        <f t="shared" si="33"/>
        <v>30.947650000000003</v>
      </c>
      <c r="AS284" s="95">
        <f t="shared" si="34"/>
        <v>29.347650000000002</v>
      </c>
      <c r="AT284" s="90">
        <f>Sheet1!BB286</f>
        <v>1.59</v>
      </c>
      <c r="AU284" s="90">
        <f>Sheet1!AS286*GPMtoMGD</f>
        <v>1.584E-2</v>
      </c>
      <c r="AV284" s="95">
        <f>Sheet1!AT286</f>
        <v>0</v>
      </c>
      <c r="AW284" s="90">
        <f>Sheet1!AV286*GPMtoMGD</f>
        <v>0.59472000000000003</v>
      </c>
      <c r="AX284" s="90">
        <f>Sheet1!AW286*GPMtoMGD</f>
        <v>0.80899199999999993</v>
      </c>
      <c r="AY284" s="90">
        <f>Sheet1!AX286*GPMtoMGD</f>
        <v>0</v>
      </c>
      <c r="AZ284" s="90">
        <f>Sheet1!AY286*GPMtoMGD</f>
        <v>0</v>
      </c>
      <c r="BA284" s="90">
        <f>Sheet1!AZ286*GPMtoMGD</f>
        <v>0</v>
      </c>
      <c r="BB284" s="90">
        <f>Sheet1!BP286*GPMtoMGD</f>
        <v>0</v>
      </c>
      <c r="BC284" s="90">
        <f>Sheet1!CS286*GPMtoMGD</f>
        <v>0</v>
      </c>
      <c r="BD284" s="90">
        <f>Sheet1!BO286*GPMtoMGD</f>
        <v>1.7779680000000002</v>
      </c>
      <c r="BE284" s="90">
        <f>Sheet1!BW286*GPMtoMGD</f>
        <v>0.78278400000000004</v>
      </c>
      <c r="BF284" s="90">
        <f>Sheet1!CN286*GPMtoMGD</f>
        <v>1.08</v>
      </c>
      <c r="BG284" s="90">
        <f>Sheet1!CO286*GPMtoMGD</f>
        <v>0.51638400000000007</v>
      </c>
      <c r="BH284" s="90">
        <f>Sheet1!CP286*GPMtoMGD</f>
        <v>0.79084800000000011</v>
      </c>
      <c r="BI284" s="90">
        <f t="shared" si="38"/>
        <v>1.7779680000000002</v>
      </c>
      <c r="BK284" s="95">
        <f>SUM(AT284:BA284,BE284,Sheet1!BV286,'Calculations II'!BC284,Calculation!AQ284)</f>
        <v>56.512539679369247</v>
      </c>
      <c r="BM284" s="373">
        <f>0</f>
        <v>0</v>
      </c>
      <c r="BN284" s="373">
        <f>0</f>
        <v>0</v>
      </c>
      <c r="BP284" s="95">
        <f>SUM(BM284:BN284,W284,Sheet1!DX286)</f>
        <v>0</v>
      </c>
    </row>
    <row r="285" spans="1:68" s="90" customFormat="1">
      <c r="A285" s="651" t="s">
        <v>6</v>
      </c>
      <c r="B285" s="92">
        <v>41913</v>
      </c>
      <c r="C285" s="93">
        <v>0</v>
      </c>
      <c r="D285" s="95">
        <f>(Sheet1!BQ287-Sheet1!BQ286)*1.385</f>
        <v>1.4681000000000031</v>
      </c>
      <c r="E285" s="30">
        <f>(Sheet1!BR287-Sheet1!BR286)*1.385</f>
        <v>1.4265500000000015</v>
      </c>
      <c r="F285" s="30">
        <f ca="1">IF(B285=TODAY(),0,-(VLOOKUP(Sheet1!CD287,Lookup!$I$4:$J$216,2)-VLOOKUP(Sheet1!CD286,Lookup!$I$4:$J$216,2))/1000000)</f>
        <v>0</v>
      </c>
      <c r="G285" s="95">
        <f ca="1">IF(B285=TODAY(),0,-$G$6*(Sheet1!CF287-Sheet1!CF286)*7.48/1000000)</f>
        <v>0.3177080084204747</v>
      </c>
      <c r="H285" s="95">
        <f ca="1">IF(B285=TODAY(),0,-$H$6*(Sheet1!CE287-Sheet1!CE286)*7.48/1000000)</f>
        <v>-0.40606467348415648</v>
      </c>
      <c r="I285" s="95">
        <f ca="1">IF(B285=TODAY(),0,-$I$6*(Sheet1!CG287-Sheet1!CG286)*7.48/1000000)</f>
        <v>-5.6156100000000007E-2</v>
      </c>
      <c r="J285" s="96" t="s">
        <v>186</v>
      </c>
      <c r="K285" s="95">
        <f ca="1">IF(B285=TODAY(),0,-$K$6*(Sheet1!CH287-Sheet1!CH286)*7.48/1000000)</f>
        <v>-8.129250856839304E-2</v>
      </c>
      <c r="L285" s="96" t="s">
        <v>186</v>
      </c>
      <c r="M285" s="95">
        <f ca="1">IF(B285=TODAY(),0,-$M$6*(Sheet1!CI287-Sheet1!CI286)*7.48/1000000)</f>
        <v>-0.30585564327645964</v>
      </c>
      <c r="N285" s="95">
        <f ca="1">IF(B285=TODAY(),0,-$N$6*(Sheet1!CJ287-Sheet1!CJ286)*7.48/1000000)</f>
        <v>0.12410469078924848</v>
      </c>
      <c r="O285" s="95">
        <f t="shared" ca="1" si="35"/>
        <v>-0.40755622611928599</v>
      </c>
      <c r="P285" s="95">
        <f ca="1">O285+Calculation!ES285</f>
        <v>-3.3200829332769648</v>
      </c>
      <c r="Q285" s="90" t="str">
        <f>IF(Sheet1!BQ287&gt;25.75,"spill elevation","-")</f>
        <v>-</v>
      </c>
      <c r="R285" s="90" t="str">
        <f>IF(Sheet1!BQ287&gt;25.75,"spill elevation","-")</f>
        <v>-</v>
      </c>
      <c r="S285" s="90" t="str">
        <f>IF(Sheet1!BR287&gt;25.75,"spill elevation","-")</f>
        <v>-</v>
      </c>
      <c r="T285" s="94">
        <f>IF(Sheet1!DU287=1,Sheet1!AA287-(SUM(AT285:BA285)+BE285),Sheet1!AA287-SUM(AT285:BA285))</f>
        <v>28.475856</v>
      </c>
      <c r="U285" s="94">
        <f>Sheet1!BV287</f>
        <v>33.799999999999997</v>
      </c>
      <c r="V285" s="94">
        <f t="shared" si="36"/>
        <v>-5.3241439999999969</v>
      </c>
      <c r="W285" s="94">
        <f>0</f>
        <v>0</v>
      </c>
      <c r="X285" s="90">
        <f>0</f>
        <v>0</v>
      </c>
      <c r="Y285" s="95">
        <f ca="1">Calculation!EJ286+Calculation!ES285+'Calculations II'!O285-'Calculations II'!W285</f>
        <v>56.329917066723041</v>
      </c>
      <c r="Z285" s="95">
        <f ca="1">Y285-Sheet1!CT288</f>
        <v>40.743917066723043</v>
      </c>
      <c r="AA285" s="95">
        <f ca="1">Y285+Calculation!DJ286+Calculation!AS286</f>
        <v>69.224929148186618</v>
      </c>
      <c r="AC285" s="95">
        <f>Sheet1!AA287+Sheet1!AB287+BC285</f>
        <v>61.13</v>
      </c>
      <c r="AD285" s="95">
        <f>Sheet1!AA287+Sheet1!BN287+'Calculations II'!BC285-Calculation!AS285-Calculation!DJ285</f>
        <v>34.823606237816769</v>
      </c>
      <c r="AE285" s="95">
        <f>Sheet1!AA287+Sheet1!AB287+'Calculations II'!BC285-Calculation!AS285-Calculation!DJ285</f>
        <v>47.753606237816768</v>
      </c>
      <c r="AF285" s="95">
        <f ca="1">Sheet1!AA287+Sheet1!BN287+P285+'Calculations II'!BC285+Calculation!AS285+Calculation!DJ285</f>
        <v>58.256310828906273</v>
      </c>
      <c r="AG285" s="95">
        <f ca="1">IF(B285=TODAY(),0,Sheet1!AA287+Sheet1!BN287+'Calculations II'!BC285+'Calculations II'!P285-Sheet1!CT287-BP285)</f>
        <v>31.139917066723036</v>
      </c>
      <c r="AH285" s="95">
        <f ca="1">IF(B285=TODAY(),0,Sheet1!AA287+Sheet1!BN287+'Calculations II'!BC285+'Calculations II'!P285-BP285)</f>
        <v>44.879917066723038</v>
      </c>
      <c r="AI285" s="95">
        <f ca="1">IF(B285=TODAY(),0,BC285+Sheet1!AA287+Calculation!ES285+O285+W285+Sheet1!BN287+Calculation!AS285+Calculation!DJ285-BP285)</f>
        <v>58.256310828906273</v>
      </c>
      <c r="AJ285" s="95"/>
      <c r="AM285" s="91">
        <f t="shared" si="37"/>
        <v>41913</v>
      </c>
      <c r="AN285" s="95">
        <f>Sheet1!BU287</f>
        <v>29.7</v>
      </c>
      <c r="AO285" s="95">
        <f>Sheet1!AA287</f>
        <v>31.1</v>
      </c>
      <c r="AP285" s="95">
        <f t="shared" si="32"/>
        <v>2.8946500000000048</v>
      </c>
      <c r="AQ285" s="1055">
        <f>((Sheet1!BV287-(Sheet1!BU287-AP285))/(Sheet1!BU287-AP285))</f>
        <v>0.26094231188923128</v>
      </c>
      <c r="AR285" s="95">
        <f t="shared" si="33"/>
        <v>28.205349999999996</v>
      </c>
      <c r="AS285" s="95">
        <f t="shared" si="34"/>
        <v>26.805349999999994</v>
      </c>
      <c r="AT285" s="90">
        <f>Sheet1!BB287</f>
        <v>1.22</v>
      </c>
      <c r="AU285" s="90">
        <f>Sheet1!AS287*GPMtoMGD</f>
        <v>1.584E-2</v>
      </c>
      <c r="AV285" s="95">
        <f>Sheet1!AT287</f>
        <v>0</v>
      </c>
      <c r="AW285" s="90">
        <f>Sheet1!AV287*GPMtoMGD</f>
        <v>0.613008</v>
      </c>
      <c r="AX285" s="90">
        <f>Sheet1!AW287*GPMtoMGD</f>
        <v>0.77486400000000011</v>
      </c>
      <c r="AY285" s="90">
        <f>Sheet1!AX287*GPMtoMGD</f>
        <v>4.3200000000000004E-4</v>
      </c>
      <c r="AZ285" s="90">
        <f>Sheet1!AY287*GPMtoMGD</f>
        <v>0</v>
      </c>
      <c r="BA285" s="90">
        <f>Sheet1!AZ287*GPMtoMGD</f>
        <v>0</v>
      </c>
      <c r="BB285" s="90">
        <f>Sheet1!BP287*GPMtoMGD</f>
        <v>0</v>
      </c>
      <c r="BC285" s="90">
        <f>Sheet1!CS287*GPMtoMGD</f>
        <v>0</v>
      </c>
      <c r="BD285" s="90">
        <f>Sheet1!BO287*GPMtoMGD</f>
        <v>2.1310560000000001</v>
      </c>
      <c r="BE285" s="90">
        <f>Sheet1!BW287*GPMtoMGD</f>
        <v>0.62913600000000003</v>
      </c>
      <c r="BF285" s="90">
        <f>Sheet1!CN287*GPMtoMGD</f>
        <v>1.08</v>
      </c>
      <c r="BG285" s="90">
        <f>Sheet1!CO287*GPMtoMGD</f>
        <v>0.53668800000000005</v>
      </c>
      <c r="BH285" s="90">
        <f>Sheet1!CP287*GPMtoMGD</f>
        <v>0.83174400000000004</v>
      </c>
      <c r="BI285" s="90">
        <f t="shared" si="38"/>
        <v>2.1310560000000001</v>
      </c>
      <c r="BK285" s="95">
        <f>SUM(AT285:BA285,BE285,Sheet1!BV287,'Calculations II'!BC285,Calculation!AQ285)</f>
        <v>53.736613333333338</v>
      </c>
      <c r="BM285" s="373">
        <f>0</f>
        <v>0</v>
      </c>
      <c r="BN285" s="373">
        <f>0</f>
        <v>0</v>
      </c>
      <c r="BP285" s="95">
        <f>SUM(BM285:BN285,W285,Sheet1!DX287)</f>
        <v>0</v>
      </c>
    </row>
    <row r="286" spans="1:68" s="90" customFormat="1">
      <c r="A286" s="651" t="s">
        <v>7</v>
      </c>
      <c r="B286" s="92">
        <v>41914</v>
      </c>
      <c r="C286" s="93">
        <v>0</v>
      </c>
      <c r="D286" s="95">
        <f>(Sheet1!BQ288-Sheet1!BQ287)*1.385</f>
        <v>-5.5399999999998818E-2</v>
      </c>
      <c r="E286" s="30">
        <f>(Sheet1!BR288-Sheet1!BR287)*1.385</f>
        <v>0</v>
      </c>
      <c r="F286" s="30">
        <f ca="1">IF(B286=TODAY(),0,-(VLOOKUP(Sheet1!CD288,Lookup!$I$4:$J$216,2)-VLOOKUP(Sheet1!CD287,Lookup!$I$4:$J$216,2))/1000000)</f>
        <v>-0.10363693854780681</v>
      </c>
      <c r="G286" s="95">
        <f ca="1">IF(B286=TODAY(),0,-$G$6*(Sheet1!CF288-Sheet1!CF287)*7.48/1000000)</f>
        <v>-0.23828100631535562</v>
      </c>
      <c r="H286" s="95">
        <f ca="1">IF(B286=TODAY(),0,-$H$6*(Sheet1!CE288-Sheet1!CE287)*7.48/1000000)</f>
        <v>7.5197161756325293E-2</v>
      </c>
      <c r="I286" s="95">
        <f ca="1">IF(B286=TODAY(),0,-$I$6*(Sheet1!CG288-Sheet1!CG287)*7.48/1000000)</f>
        <v>7.6372295999999978E-2</v>
      </c>
      <c r="J286" s="96" t="s">
        <v>186</v>
      </c>
      <c r="K286" s="95">
        <f ca="1">IF(B286=TODAY(),0,-$K$6*(Sheet1!CH288-Sheet1!CH287)*7.48/1000000)</f>
        <v>0.119939766740252</v>
      </c>
      <c r="L286" s="96" t="s">
        <v>186</v>
      </c>
      <c r="M286" s="95">
        <f ca="1">IF(B286=TODAY(),0,-$M$6*(Sheet1!CI288-Sheet1!CI287)*7.48/1000000)</f>
        <v>0.41380469384462221</v>
      </c>
      <c r="N286" s="95">
        <f ca="1">IF(B286=TODAY(),0,-$N$6*(Sheet1!CJ288-Sheet1!CJ287)*7.48/1000000)</f>
        <v>1.861570361838677E-2</v>
      </c>
      <c r="O286" s="95">
        <f t="shared" ca="1" si="35"/>
        <v>0.36201167709642385</v>
      </c>
      <c r="P286" s="95">
        <f ca="1">O286+Calculation!ES286</f>
        <v>0.36201167709642385</v>
      </c>
      <c r="Q286" s="90" t="str">
        <f>IF(Sheet1!BQ288&gt;25.75,"spill elevation","-")</f>
        <v>-</v>
      </c>
      <c r="R286" s="90" t="str">
        <f>IF(Sheet1!BQ288&gt;25.75,"spill elevation","-")</f>
        <v>-</v>
      </c>
      <c r="S286" s="90" t="str">
        <f>IF(Sheet1!BR288&gt;25.75,"spill elevation","-")</f>
        <v>-</v>
      </c>
      <c r="T286" s="94">
        <f>IF(Sheet1!DU288=1,Sheet1!AA288-(SUM(AT286:BA286)+BE286),Sheet1!AA288-SUM(AT286:BA286))</f>
        <v>28.751152000000001</v>
      </c>
      <c r="U286" s="94">
        <f>Sheet1!BV288</f>
        <v>36.299999999999997</v>
      </c>
      <c r="V286" s="94">
        <f t="shared" si="36"/>
        <v>-7.548847999999996</v>
      </c>
      <c r="W286" s="94">
        <f>0</f>
        <v>0</v>
      </c>
      <c r="X286" s="90">
        <f>0</f>
        <v>0</v>
      </c>
      <c r="Y286" s="95">
        <f ca="1">Calculation!EJ287+Calculation!ES286+'Calculations II'!O286-'Calculations II'!W286</f>
        <v>58.652011677096425</v>
      </c>
      <c r="Z286" s="95">
        <f ca="1">Y286-Sheet1!CT289</f>
        <v>42.356011677096426</v>
      </c>
      <c r="AA286" s="95">
        <f ca="1">Y286+Calculation!DJ287+Calculation!AS287</f>
        <v>70.841698151759203</v>
      </c>
      <c r="AC286" s="95">
        <f>Sheet1!AA288+Sheet1!AB288+BC286</f>
        <v>59.650000000000006</v>
      </c>
      <c r="AD286" s="95">
        <f>Sheet1!AA288+Sheet1!BN288+'Calculations II'!BC286-Calculation!AS286-Calculation!DJ286</f>
        <v>34.104987918536416</v>
      </c>
      <c r="AE286" s="95">
        <f>Sheet1!AA288+Sheet1!AB288+'Calculations II'!BC286-Calculation!AS286-Calculation!DJ286</f>
        <v>46.754987918536422</v>
      </c>
      <c r="AF286" s="95">
        <f ca="1">Sheet1!AA288+Sheet1!BN288+P286+'Calculations II'!BC286+Calculation!AS286+Calculation!DJ286</f>
        <v>60.25702375856001</v>
      </c>
      <c r="AG286" s="95">
        <f ca="1">IF(B286=TODAY(),0,Sheet1!AA288+Sheet1!BN288+'Calculations II'!BC286+'Calculations II'!P286-Sheet1!CT288-BP286)</f>
        <v>31.776011677096427</v>
      </c>
      <c r="AH286" s="95">
        <f ca="1">IF(B286=TODAY(),0,Sheet1!AA288+Sheet1!BN288+'Calculations II'!BC286+'Calculations II'!P286-BP286)</f>
        <v>47.362011677096426</v>
      </c>
      <c r="AI286" s="95">
        <f ca="1">IF(B286=TODAY(),0,BC286+Sheet1!AA288+Calculation!ES286+O286+W286+Sheet1!BN288+Calculation!AS286+Calculation!DJ286-BP286)</f>
        <v>60.25702375856001</v>
      </c>
      <c r="AJ286" s="95"/>
      <c r="AM286" s="91">
        <f t="shared" si="37"/>
        <v>41914</v>
      </c>
      <c r="AN286" s="95">
        <f>Sheet1!BU288</f>
        <v>29.5</v>
      </c>
      <c r="AO286" s="95">
        <f>Sheet1!AA288</f>
        <v>31.1</v>
      </c>
      <c r="AP286" s="95">
        <f t="shared" si="32"/>
        <v>-5.5399999999998818E-2</v>
      </c>
      <c r="AQ286" s="1055">
        <f>((Sheet1!BV288-(Sheet1!BU288-AP286))/(Sheet1!BU288-AP286))</f>
        <v>0.22820195294260942</v>
      </c>
      <c r="AR286" s="95">
        <f t="shared" si="33"/>
        <v>31.1554</v>
      </c>
      <c r="AS286" s="95">
        <f t="shared" si="34"/>
        <v>29.555399999999999</v>
      </c>
      <c r="AT286" s="90">
        <f>Sheet1!BB288</f>
        <v>1</v>
      </c>
      <c r="AU286" s="90">
        <f>Sheet1!AS288*GPMtoMGD</f>
        <v>3.0960000000000001E-2</v>
      </c>
      <c r="AV286" s="95">
        <f>Sheet1!AT288</f>
        <v>0</v>
      </c>
      <c r="AW286" s="90">
        <f>Sheet1!AV288*GPMtoMGD</f>
        <v>0.53568000000000005</v>
      </c>
      <c r="AX286" s="90">
        <f>Sheet1!AW288*GPMtoMGD</f>
        <v>0.78192000000000006</v>
      </c>
      <c r="AY286" s="90">
        <f>Sheet1!AX288*GPMtoMGD</f>
        <v>2.8800000000000001E-4</v>
      </c>
      <c r="AZ286" s="90">
        <f>Sheet1!AY288*GPMtoMGD</f>
        <v>0</v>
      </c>
      <c r="BA286" s="90">
        <f>Sheet1!AZ288*GPMtoMGD</f>
        <v>0</v>
      </c>
      <c r="BB286" s="90">
        <f>Sheet1!BP288*GPMtoMGD</f>
        <v>0</v>
      </c>
      <c r="BC286" s="90">
        <f>Sheet1!CS288*GPMtoMGD</f>
        <v>0</v>
      </c>
      <c r="BD286" s="90">
        <f>Sheet1!BO288*GPMtoMGD</f>
        <v>1.2568319999999999</v>
      </c>
      <c r="BE286" s="90">
        <f>Sheet1!BW288*GPMtoMGD</f>
        <v>0.82684800000000014</v>
      </c>
      <c r="BF286" s="90">
        <f>Sheet1!CN288*GPMtoMGD</f>
        <v>1.08</v>
      </c>
      <c r="BG286" s="90">
        <f>Sheet1!CO288*GPMtoMGD</f>
        <v>0.50817599999999996</v>
      </c>
      <c r="BH286" s="90">
        <f>Sheet1!CP288*GPMtoMGD</f>
        <v>0.80884800000000012</v>
      </c>
      <c r="BI286" s="90">
        <f t="shared" si="38"/>
        <v>1.2568319999999999</v>
      </c>
      <c r="BK286" s="95">
        <f>SUM(AT286:BA286,BE286,Sheet1!BV288,'Calculations II'!BC286,Calculation!AQ286)</f>
        <v>55.145181674836039</v>
      </c>
      <c r="BM286" s="373">
        <f>0</f>
        <v>0</v>
      </c>
      <c r="BN286" s="373">
        <f>0</f>
        <v>0</v>
      </c>
      <c r="BP286" s="95">
        <f>SUM(BM286:BN286,W286,Sheet1!DX288)</f>
        <v>0</v>
      </c>
    </row>
    <row r="287" spans="1:68" s="90" customFormat="1">
      <c r="A287" s="651" t="s">
        <v>8</v>
      </c>
      <c r="B287" s="92">
        <v>41915</v>
      </c>
      <c r="C287" s="93">
        <v>0</v>
      </c>
      <c r="D287" s="95">
        <f>(Sheet1!BQ289-Sheet1!BQ288)*1.385</f>
        <v>-6.9250000000000991E-2</v>
      </c>
      <c r="E287" s="30">
        <f>(Sheet1!BR289-Sheet1!BR288)*1.385</f>
        <v>-8.3100000000003144E-2</v>
      </c>
      <c r="F287" s="30">
        <f ca="1">IF(B287=TODAY(),0,-(VLOOKUP(Sheet1!CD289,Lookup!$I$4:$J$216,2)-VLOOKUP(Sheet1!CD288,Lookup!$I$4:$J$216,2))/1000000)</f>
        <v>1.0363693854780012</v>
      </c>
      <c r="G287" s="95">
        <f ca="1">IF(B287=TODAY(),0,-$G$6*(Sheet1!CF289-Sheet1!CF288)*7.48/1000000)</f>
        <v>-0.3574215094730338</v>
      </c>
      <c r="H287" s="95">
        <f ca="1">IF(B287=TODAY(),0,-$H$6*(Sheet1!CE289-Sheet1!CE288)*7.48/1000000)</f>
        <v>0.16543375586391532</v>
      </c>
      <c r="I287" s="95">
        <f ca="1">IF(B287=TODAY(),0,-$I$6*(Sheet1!CG289-Sheet1!CG288)*7.48/1000000)</f>
        <v>3.1447416000000006E-2</v>
      </c>
      <c r="J287" s="96" t="s">
        <v>186</v>
      </c>
      <c r="K287" s="95">
        <f ca="1">IF(B287=TODAY(),0,-$K$6*(Sheet1!CH289-Sheet1!CH288)*7.48/1000000)</f>
        <v>6.6633203744584424E-2</v>
      </c>
      <c r="L287" s="96" t="s">
        <v>186</v>
      </c>
      <c r="M287" s="95">
        <f ca="1">IF(B287=TODAY(),0,-$M$6*(Sheet1!CI289-Sheet1!CI288)*7.48/1000000)</f>
        <v>8.9957542140135238E-2</v>
      </c>
      <c r="N287" s="95">
        <f ca="1">IF(B287=TODAY(),0,-$N$6*(Sheet1!CJ289-Sheet1!CJ288)*7.48/1000000)</f>
        <v>0.2792355542758071</v>
      </c>
      <c r="O287" s="95">
        <f t="shared" ca="1" si="35"/>
        <v>1.3116553480294093</v>
      </c>
      <c r="P287" s="95">
        <f ca="1">O287+Calculation!ES287</f>
        <v>1.5890993117069834</v>
      </c>
      <c r="Q287" s="90" t="str">
        <f>IF(Sheet1!BQ289&gt;25.75,"spill elevation","-")</f>
        <v>-</v>
      </c>
      <c r="R287" s="90" t="str">
        <f>IF(Sheet1!BQ289&gt;25.75,"spill elevation","-")</f>
        <v>-</v>
      </c>
      <c r="S287" s="90" t="str">
        <f>IF(Sheet1!BR289&gt;25.75,"spill elevation","-")</f>
        <v>-</v>
      </c>
      <c r="T287" s="94">
        <f>IF(Sheet1!DU289=1,Sheet1!AA289-(SUM(AT287:BA287)+BE287),Sheet1!AA289-SUM(AT287:BA287))</f>
        <v>29.060032</v>
      </c>
      <c r="U287" s="94">
        <f>Sheet1!BV289</f>
        <v>36.9</v>
      </c>
      <c r="V287" s="94">
        <f t="shared" si="36"/>
        <v>-7.8399679999999989</v>
      </c>
      <c r="W287" s="94">
        <f>0</f>
        <v>0</v>
      </c>
      <c r="X287" s="90">
        <f>0</f>
        <v>0</v>
      </c>
      <c r="Y287" s="95">
        <f ca="1">Calculation!EJ288+Calculation!ES287+'Calculations II'!O287-'Calculations II'!W287</f>
        <v>59.729099311706989</v>
      </c>
      <c r="Z287" s="95">
        <f ca="1">Y287-Sheet1!CT290</f>
        <v>41.833099311706988</v>
      </c>
      <c r="AA287" s="95">
        <f ca="1">Y287+Calculation!DJ288+Calculation!AS288</f>
        <v>71.550801905788106</v>
      </c>
      <c r="AC287" s="95">
        <f>Sheet1!AA289+Sheet1!AB289+BC287</f>
        <v>58.29</v>
      </c>
      <c r="AD287" s="95">
        <f>Sheet1!AA289+Sheet1!BN289+'Calculations II'!BC287-Calculation!AS287-Calculation!DJ287</f>
        <v>34.110313525337219</v>
      </c>
      <c r="AE287" s="95">
        <f>Sheet1!AA289+Sheet1!AB289+'Calculations II'!BC287-Calculation!AS287-Calculation!DJ287</f>
        <v>46.100313525337228</v>
      </c>
      <c r="AF287" s="95">
        <f ca="1">Sheet1!AA289+Sheet1!BN289+P287+'Calculations II'!BC287+Calculation!AS287+Calculation!DJ287</f>
        <v>60.07878578636975</v>
      </c>
      <c r="AG287" s="95">
        <f ca="1">IF(B287=TODAY(),0,Sheet1!AA289+Sheet1!BN289+'Calculations II'!BC287+'Calculations II'!P287-Sheet1!CT289-BP287)</f>
        <v>31.593099311706979</v>
      </c>
      <c r="AH287" s="95">
        <f ca="1">IF(B287=TODAY(),0,Sheet1!AA289+Sheet1!BN289+'Calculations II'!BC287+'Calculations II'!P287-BP287)</f>
        <v>47.889099311706978</v>
      </c>
      <c r="AI287" s="95">
        <f ca="1">IF(B287=TODAY(),0,BC287+Sheet1!AA289+Calculation!ES287+O287+W287+Sheet1!BN289+Calculation!AS287+Calculation!DJ287-BP287)</f>
        <v>60.078785786369764</v>
      </c>
      <c r="AJ287" s="95"/>
      <c r="AM287" s="91">
        <f t="shared" si="37"/>
        <v>41915</v>
      </c>
      <c r="AN287" s="95">
        <f>Sheet1!BU289</f>
        <v>29.9</v>
      </c>
      <c r="AO287" s="95">
        <f>Sheet1!AA289</f>
        <v>31.2</v>
      </c>
      <c r="AP287" s="95">
        <f t="shared" si="32"/>
        <v>-0.15235000000000415</v>
      </c>
      <c r="AQ287" s="1055">
        <f>((Sheet1!BV289-(Sheet1!BU289-AP287))/(Sheet1!BU289-AP287))</f>
        <v>0.2278573888564453</v>
      </c>
      <c r="AR287" s="95">
        <f t="shared" si="33"/>
        <v>31.352350000000005</v>
      </c>
      <c r="AS287" s="95">
        <f t="shared" si="34"/>
        <v>30.052350000000004</v>
      </c>
      <c r="AT287" s="90">
        <f>Sheet1!BB289</f>
        <v>1.01</v>
      </c>
      <c r="AU287" s="90">
        <f>Sheet1!AS289*GPMtoMGD</f>
        <v>1.6272000000000002E-2</v>
      </c>
      <c r="AV287" s="95">
        <f>Sheet1!AT289</f>
        <v>0</v>
      </c>
      <c r="AW287" s="90">
        <f>Sheet1!AV289*GPMtoMGD</f>
        <v>0.44035200000000002</v>
      </c>
      <c r="AX287" s="90">
        <f>Sheet1!AW289*GPMtoMGD</f>
        <v>0.67233600000000004</v>
      </c>
      <c r="AY287" s="90">
        <f>Sheet1!AX289*GPMtoMGD</f>
        <v>1.008E-3</v>
      </c>
      <c r="AZ287" s="90">
        <f>Sheet1!AY289*GPMtoMGD</f>
        <v>0</v>
      </c>
      <c r="BA287" s="90">
        <f>Sheet1!AZ289*GPMtoMGD</f>
        <v>0</v>
      </c>
      <c r="BB287" s="90">
        <f>Sheet1!BP289*GPMtoMGD</f>
        <v>0</v>
      </c>
      <c r="BC287" s="90">
        <f>Sheet1!CS289*GPMtoMGD</f>
        <v>0</v>
      </c>
      <c r="BD287" s="90">
        <f>Sheet1!BO289*GPMtoMGD</f>
        <v>1.6179839999999999</v>
      </c>
      <c r="BE287" s="90">
        <f>Sheet1!BW289*GPMtoMGD</f>
        <v>0.83044800000000008</v>
      </c>
      <c r="BF287" s="90">
        <f>Sheet1!CN289*GPMtoMGD</f>
        <v>1.08</v>
      </c>
      <c r="BG287" s="90">
        <f>Sheet1!CO289*GPMtoMGD</f>
        <v>0.16200000000000001</v>
      </c>
      <c r="BH287" s="90">
        <f>Sheet1!CP289*GPMtoMGD</f>
        <v>0.57931200000000005</v>
      </c>
      <c r="BI287" s="90">
        <f t="shared" si="38"/>
        <v>1.6179839999999999</v>
      </c>
      <c r="BK287" s="95">
        <f>SUM(AT287:BA287,BE287,Sheet1!BV289,'Calculations II'!BC287,Calculation!AQ287)</f>
        <v>54.783248664965363</v>
      </c>
      <c r="BM287" s="373">
        <f>0</f>
        <v>0</v>
      </c>
      <c r="BN287" s="373">
        <f>0</f>
        <v>0</v>
      </c>
      <c r="BP287" s="95">
        <f>SUM(BM287:BN287,W287,Sheet1!DX289)</f>
        <v>0</v>
      </c>
    </row>
    <row r="288" spans="1:68" s="90" customFormat="1">
      <c r="A288" s="651" t="s">
        <v>9</v>
      </c>
      <c r="B288" s="92">
        <v>41916</v>
      </c>
      <c r="C288" s="93">
        <v>0</v>
      </c>
      <c r="D288" s="95">
        <f>(Sheet1!BQ290-Sheet1!BQ289)*1.385</f>
        <v>-2.2021499999999996</v>
      </c>
      <c r="E288" s="30">
        <f>(Sheet1!BR290-Sheet1!BR289)*1.385</f>
        <v>-2.1744500000000002</v>
      </c>
      <c r="F288" s="30">
        <f ca="1">IF(B288=TODAY(),0,-(VLOOKUP(Sheet1!CD290,Lookup!$I$4:$J$216,2)-VLOOKUP(Sheet1!CD289,Lookup!$I$4:$J$216,2))/1000000)</f>
        <v>-0.41454775419119744</v>
      </c>
      <c r="G288" s="95">
        <f ca="1">IF(B288=TODAY(),0,-$G$6*(Sheet1!CF290-Sheet1!CF289)*7.48/1000000)</f>
        <v>0.27799450736791476</v>
      </c>
      <c r="H288" s="95">
        <f ca="1">IF(B288=TODAY(),0,-$H$6*(Sheet1!CE290-Sheet1!CE289)*7.48/1000000)</f>
        <v>9.0236594107590579E-2</v>
      </c>
      <c r="I288" s="95">
        <f ca="1">IF(B288=TODAY(),0,-$I$6*(Sheet1!CG290-Sheet1!CG289)*7.48/1000000)</f>
        <v>-8.0864783999999995E-2</v>
      </c>
      <c r="J288" s="96" t="s">
        <v>186</v>
      </c>
      <c r="K288" s="95">
        <f ca="1">IF(B288=TODAY(),0,-$K$6*(Sheet1!CH290-Sheet1!CH289)*7.48/1000000)</f>
        <v>-0.14659304823808578</v>
      </c>
      <c r="L288" s="96" t="s">
        <v>186</v>
      </c>
      <c r="M288" s="95">
        <f ca="1">IF(B288=TODAY(),0,-$M$6*(Sheet1!CI290-Sheet1!CI289)*7.48/1000000)</f>
        <v>-0.32384715170448697</v>
      </c>
      <c r="N288" s="95">
        <f ca="1">IF(B288=TODAY(),0,-$N$6*(Sheet1!CJ290-Sheet1!CJ289)*7.48/1000000)</f>
        <v>-0.34128789967043083</v>
      </c>
      <c r="O288" s="95">
        <f t="shared" ca="1" si="35"/>
        <v>-0.93890953632869567</v>
      </c>
      <c r="P288" s="95">
        <f ca="1">O288+Calculation!ES288</f>
        <v>3.359836598777771</v>
      </c>
      <c r="Q288" s="90" t="str">
        <f>IF(Sheet1!BQ290&gt;25.75,"spill elevation","-")</f>
        <v>-</v>
      </c>
      <c r="R288" s="90" t="str">
        <f>IF(Sheet1!BQ290&gt;25.75,"spill elevation","-")</f>
        <v>-</v>
      </c>
      <c r="S288" s="90" t="str">
        <f>IF(Sheet1!BR290&gt;25.75,"spill elevation","-")</f>
        <v>-</v>
      </c>
      <c r="T288" s="94">
        <f>IF(Sheet1!DU290=1,Sheet1!AA290-(SUM(AT288:BA288)+BE288),Sheet1!AA290-SUM(AT288:BA288))</f>
        <v>28.019456000000002</v>
      </c>
      <c r="U288" s="94">
        <f>Sheet1!BV290</f>
        <v>40.5</v>
      </c>
      <c r="V288" s="94">
        <f t="shared" si="36"/>
        <v>-12.480543999999998</v>
      </c>
      <c r="W288" s="94">
        <f>0</f>
        <v>0</v>
      </c>
      <c r="X288" s="90">
        <f>0</f>
        <v>0</v>
      </c>
      <c r="Y288" s="95">
        <f ca="1">Calculation!EJ289+Calculation!ES288+'Calculations II'!O288-'Calculations II'!W288</f>
        <v>61.529836598777777</v>
      </c>
      <c r="Z288" s="95">
        <f ca="1">Y288-Sheet1!CT291</f>
        <v>44.911836598777782</v>
      </c>
      <c r="AA288" s="95">
        <f ca="1">Y288+Calculation!DJ289+Calculation!AS289</f>
        <v>73.363494868219178</v>
      </c>
      <c r="AC288" s="95">
        <f>Sheet1!AA290+Sheet1!AB290+BC288</f>
        <v>58.14</v>
      </c>
      <c r="AD288" s="95">
        <f>Sheet1!AA290+Sheet1!BN290+'Calculations II'!BC288-Calculation!AS288-Calculation!DJ288</f>
        <v>34.718297405918889</v>
      </c>
      <c r="AE288" s="95">
        <f>Sheet1!AA290+Sheet1!AB290+'Calculations II'!BC288-Calculation!AS288-Calculation!DJ288</f>
        <v>46.318297405918891</v>
      </c>
      <c r="AF288" s="95">
        <f ca="1">Sheet1!AA290+Sheet1!BN290+P288+'Calculations II'!BC288+Calculation!AS288+Calculation!DJ288</f>
        <v>61.721539192858877</v>
      </c>
      <c r="AG288" s="95">
        <f ca="1">IF(B288=TODAY(),0,Sheet1!AA290+Sheet1!BN290+'Calculations II'!BC288+'Calculations II'!P288-Sheet1!CT290-BP288)</f>
        <v>32.003836598777767</v>
      </c>
      <c r="AH288" s="95">
        <f ca="1">IF(B288=TODAY(),0,Sheet1!AA290+Sheet1!BN290+'Calculations II'!BC288+'Calculations II'!P288-BP288)</f>
        <v>49.899836598777767</v>
      </c>
      <c r="AI288" s="95">
        <f ca="1">IF(B288=TODAY(),0,BC288+Sheet1!AA290+Calculation!ES288+O288+W288+Sheet1!BN290+Calculation!AS288+Calculation!DJ288-BP288)</f>
        <v>61.721539192858884</v>
      </c>
      <c r="AJ288" s="95"/>
      <c r="AM288" s="91">
        <f t="shared" si="37"/>
        <v>41916</v>
      </c>
      <c r="AN288" s="95">
        <f>Sheet1!BU290</f>
        <v>29.3</v>
      </c>
      <c r="AO288" s="95">
        <f>Sheet1!AA290</f>
        <v>31.14</v>
      </c>
      <c r="AP288" s="95">
        <f t="shared" si="32"/>
        <v>-4.3765999999999998</v>
      </c>
      <c r="AQ288" s="1055">
        <f>((Sheet1!BV290-(Sheet1!BU290-AP288))/(Sheet1!BU290-AP288))</f>
        <v>0.20261546593183397</v>
      </c>
      <c r="AR288" s="95">
        <f t="shared" si="33"/>
        <v>35.516599999999997</v>
      </c>
      <c r="AS288" s="95">
        <f t="shared" si="34"/>
        <v>33.676600000000001</v>
      </c>
      <c r="AT288" s="90">
        <f>Sheet1!BB290</f>
        <v>1</v>
      </c>
      <c r="AU288" s="90">
        <f>Sheet1!AS290*GPMtoMGD</f>
        <v>1.6128E-2</v>
      </c>
      <c r="AV288" s="95">
        <f>Sheet1!AT290</f>
        <v>0</v>
      </c>
      <c r="AW288" s="90">
        <f>Sheet1!AV290*GPMtoMGD</f>
        <v>0.8877600000000001</v>
      </c>
      <c r="AX288" s="90">
        <f>Sheet1!AW290*GPMtoMGD</f>
        <v>1.216656</v>
      </c>
      <c r="AY288" s="90">
        <f>Sheet1!AX290*GPMtoMGD</f>
        <v>0</v>
      </c>
      <c r="AZ288" s="90">
        <f>Sheet1!AY290*GPMtoMGD</f>
        <v>0</v>
      </c>
      <c r="BA288" s="90">
        <f>Sheet1!AZ290*GPMtoMGD</f>
        <v>0</v>
      </c>
      <c r="BB288" s="90">
        <f>Sheet1!BP290*GPMtoMGD</f>
        <v>0</v>
      </c>
      <c r="BC288" s="90">
        <f>Sheet1!CS290*GPMtoMGD</f>
        <v>0</v>
      </c>
      <c r="BD288" s="90">
        <f>Sheet1!BO290*GPMtoMGD</f>
        <v>2.2949280000000001</v>
      </c>
      <c r="BE288" s="90">
        <f>Sheet1!BW290*GPMtoMGD</f>
        <v>0.83491199999999999</v>
      </c>
      <c r="BF288" s="90">
        <f>Sheet1!CN290*GPMtoMGD</f>
        <v>1.08</v>
      </c>
      <c r="BG288" s="90">
        <f>Sheet1!CO290*GPMtoMGD</f>
        <v>0.51638400000000007</v>
      </c>
      <c r="BH288" s="90">
        <f>Sheet1!CP290*GPMtoMGD</f>
        <v>0.78048000000000006</v>
      </c>
      <c r="BI288" s="90">
        <f t="shared" si="38"/>
        <v>2.2949280000000001</v>
      </c>
      <c r="BK288" s="95">
        <f>SUM(AT288:BA288,BE288,Sheet1!BV290,'Calculations II'!BC288,Calculation!AQ288)</f>
        <v>59.647271856777493</v>
      </c>
      <c r="BM288" s="373">
        <f>0</f>
        <v>0</v>
      </c>
      <c r="BN288" s="373">
        <f>0</f>
        <v>0</v>
      </c>
      <c r="BP288" s="95">
        <f>SUM(BM288:BN288,W288,Sheet1!DX290)</f>
        <v>0</v>
      </c>
    </row>
    <row r="289" spans="1:68" s="90" customFormat="1">
      <c r="A289" s="651" t="s">
        <v>3</v>
      </c>
      <c r="B289" s="92">
        <v>41917</v>
      </c>
      <c r="C289" s="93">
        <v>0</v>
      </c>
      <c r="D289" s="95">
        <f>(Sheet1!BQ291-Sheet1!BQ290)*1.385</f>
        <v>-1.7451000000000021</v>
      </c>
      <c r="E289" s="30">
        <f>(Sheet1!BR291-Sheet1!BR290)*1.385</f>
        <v>-1.7450999999999972</v>
      </c>
      <c r="F289" s="30">
        <f ca="1">IF(B289=TODAY(),0,-(VLOOKUP(Sheet1!CD291,Lookup!$I$4:$J$216,2)-VLOOKUP(Sheet1!CD290,Lookup!$I$4:$J$216,2))/1000000)</f>
        <v>0</v>
      </c>
      <c r="G289" s="95">
        <f ca="1">IF(B289=TODAY(),0,-$G$6*(Sheet1!CF291-Sheet1!CF290)*7.48/1000000)</f>
        <v>0.3574215094730338</v>
      </c>
      <c r="H289" s="95">
        <f ca="1">IF(B289=TODAY(),0,-$H$6*(Sheet1!CE291-Sheet1!CE290)*7.48/1000000)</f>
        <v>-1.5039432351265274E-2</v>
      </c>
      <c r="I289" s="95">
        <f ca="1">IF(B289=TODAY(),0,-$I$6*(Sheet1!CG291-Sheet1!CG290)*7.48/1000000)</f>
        <v>-2.2462440000000004E-2</v>
      </c>
      <c r="J289" s="96" t="s">
        <v>186</v>
      </c>
      <c r="K289" s="95">
        <f ca="1">IF(B289=TODAY(),0,-$K$6*(Sheet1!CH291-Sheet1!CH290)*7.48/1000000)</f>
        <v>-3.9979922246750635E-2</v>
      </c>
      <c r="L289" s="96" t="s">
        <v>186</v>
      </c>
      <c r="M289" s="95">
        <f ca="1">IF(B289=TODAY(),0,-$M$6*(Sheet1!CI291-Sheet1!CI290)*7.48/1000000)</f>
        <v>-0.10794905056816255</v>
      </c>
      <c r="N289" s="95">
        <f ca="1">IF(B289=TODAY(),0,-$N$6*(Sheet1!CJ291-Sheet1!CJ290)*7.48/1000000)</f>
        <v>-6.8257579934087043E-2</v>
      </c>
      <c r="O289" s="95">
        <f t="shared" ca="1" si="35"/>
        <v>0.10373308437276829</v>
      </c>
      <c r="P289" s="95">
        <f ca="1">O289+Calculation!ES289</f>
        <v>3.5682111217874795</v>
      </c>
      <c r="Q289" s="90" t="str">
        <f>IF(Sheet1!BQ291&gt;25.75,"spill elevation","-")</f>
        <v>-</v>
      </c>
      <c r="R289" s="90" t="str">
        <f>IF(Sheet1!BQ291&gt;25.75,"spill elevation","-")</f>
        <v>-</v>
      </c>
      <c r="S289" s="90" t="str">
        <f>IF(Sheet1!BR291&gt;25.75,"spill elevation","-")</f>
        <v>-</v>
      </c>
      <c r="T289" s="94">
        <f>IF(Sheet1!DU291=1,Sheet1!AA291-(SUM(AT289:BA289)+BE289),Sheet1!AA291-SUM(AT289:BA289))</f>
        <v>28.747072000000003</v>
      </c>
      <c r="U289" s="94">
        <f>Sheet1!BV291</f>
        <v>40</v>
      </c>
      <c r="V289" s="94">
        <f t="shared" si="36"/>
        <v>-11.252927999999997</v>
      </c>
      <c r="W289" s="94">
        <f>0</f>
        <v>0</v>
      </c>
      <c r="X289" s="90">
        <f>0</f>
        <v>0</v>
      </c>
      <c r="Y289" s="95">
        <f ca="1">Calculation!EJ290+Calculation!ES289+'Calculations II'!O289-'Calculations II'!W289</f>
        <v>61.698211121787487</v>
      </c>
      <c r="Z289" s="95">
        <f ca="1">Y289-Sheet1!CT292</f>
        <v>45.265211121787488</v>
      </c>
      <c r="AA289" s="95">
        <f ca="1">Y289+Calculation!DJ290+Calculation!AS290</f>
        <v>73.033429649990694</v>
      </c>
      <c r="AC289" s="95">
        <f>Sheet1!AA291+Sheet1!AB291+BC289</f>
        <v>58.17</v>
      </c>
      <c r="AD289" s="95">
        <f>Sheet1!AA291+Sheet1!BN291+'Calculations II'!BC289-Calculation!AS289-Calculation!DJ289</f>
        <v>34.7363417305586</v>
      </c>
      <c r="AE289" s="95">
        <f>Sheet1!AA291+Sheet1!AB291+'Calculations II'!BC289-Calculation!AS289-Calculation!DJ289</f>
        <v>46.336341730558601</v>
      </c>
      <c r="AF289" s="95">
        <f ca="1">Sheet1!AA291+Sheet1!BN291+P289+'Calculations II'!BC289+Calculation!AS289+Calculation!DJ289</f>
        <v>61.971869391228878</v>
      </c>
      <c r="AG289" s="95">
        <f ca="1">IF(B289=TODAY(),0,Sheet1!AA291+Sheet1!BN291+'Calculations II'!BC289+'Calculations II'!P289-Sheet1!CT291-BP289)</f>
        <v>33.520211121787483</v>
      </c>
      <c r="AH289" s="95">
        <f ca="1">IF(B289=TODAY(),0,Sheet1!AA291+Sheet1!BN291+'Calculations II'!BC289+'Calculations II'!P289-BP289)</f>
        <v>50.138211121787478</v>
      </c>
      <c r="AI289" s="95">
        <f ca="1">IF(B289=TODAY(),0,BC289+Sheet1!AA291+Calculation!ES289+O289+W289+Sheet1!BN291+Calculation!AS289+Calculation!DJ289-BP289)</f>
        <v>61.971869391228878</v>
      </c>
      <c r="AJ289" s="95"/>
      <c r="AM289" s="91">
        <f t="shared" si="37"/>
        <v>41917</v>
      </c>
      <c r="AN289" s="95">
        <f>Sheet1!BU291</f>
        <v>29.7</v>
      </c>
      <c r="AO289" s="95">
        <f>Sheet1!AA291</f>
        <v>31.17</v>
      </c>
      <c r="AP289" s="95">
        <f t="shared" si="32"/>
        <v>-3.4901999999999993</v>
      </c>
      <c r="AQ289" s="1055">
        <f>((Sheet1!BV291-(Sheet1!BU291-AP289))/(Sheet1!BU291-AP289))</f>
        <v>0.20517502154250361</v>
      </c>
      <c r="AR289" s="95">
        <f t="shared" si="33"/>
        <v>34.660200000000003</v>
      </c>
      <c r="AS289" s="95">
        <f t="shared" si="34"/>
        <v>33.190199999999997</v>
      </c>
      <c r="AT289" s="90">
        <f>Sheet1!BB291</f>
        <v>1.01</v>
      </c>
      <c r="AU289" s="90">
        <f>Sheet1!AS291*GPMtoMGD</f>
        <v>1.7856E-2</v>
      </c>
      <c r="AV289" s="95">
        <f>Sheet1!AT291</f>
        <v>0</v>
      </c>
      <c r="AW289" s="90">
        <f>Sheet1!AV291*GPMtoMGD</f>
        <v>0.54705599999999999</v>
      </c>
      <c r="AX289" s="90">
        <f>Sheet1!AW291*GPMtoMGD</f>
        <v>0.84772800000000015</v>
      </c>
      <c r="AY289" s="90">
        <f>Sheet1!AX291*GPMtoMGD</f>
        <v>2.8800000000000001E-4</v>
      </c>
      <c r="AZ289" s="90">
        <f>Sheet1!AY291*GPMtoMGD</f>
        <v>0</v>
      </c>
      <c r="BA289" s="90">
        <f>Sheet1!AZ291*GPMtoMGD</f>
        <v>0</v>
      </c>
      <c r="BB289" s="90">
        <f>Sheet1!BP291*GPMtoMGD</f>
        <v>0</v>
      </c>
      <c r="BC289" s="90">
        <f>Sheet1!CS291*GPMtoMGD</f>
        <v>0</v>
      </c>
      <c r="BD289" s="90">
        <f>Sheet1!BO291*GPMtoMGD</f>
        <v>2.1401280000000003</v>
      </c>
      <c r="BE289" s="90">
        <f>Sheet1!BW291*GPMtoMGD</f>
        <v>0.85636800000000013</v>
      </c>
      <c r="BF289" s="90">
        <f>Sheet1!CN291*GPMtoMGD</f>
        <v>1.08</v>
      </c>
      <c r="BG289" s="90">
        <f>Sheet1!CO291*GPMtoMGD</f>
        <v>0.56404799999999999</v>
      </c>
      <c r="BH289" s="90">
        <f>Sheet1!CP291*GPMtoMGD</f>
        <v>0.7806240000000001</v>
      </c>
      <c r="BI289" s="90">
        <f t="shared" si="38"/>
        <v>2.1401280000000003</v>
      </c>
      <c r="BK289" s="95">
        <f>SUM(AT289:BA289,BE289,Sheet1!BV291,'Calculations II'!BC289,Calculation!AQ289)</f>
        <v>58.460018891566264</v>
      </c>
      <c r="BM289" s="373">
        <f>0</f>
        <v>0</v>
      </c>
      <c r="BN289" s="373">
        <f>0</f>
        <v>0</v>
      </c>
      <c r="BP289" s="95">
        <f>SUM(BM289:BN289,W289,Sheet1!DX291)</f>
        <v>0</v>
      </c>
    </row>
    <row r="290" spans="1:68" s="90" customFormat="1">
      <c r="A290" s="651" t="s">
        <v>4</v>
      </c>
      <c r="B290" s="92">
        <v>41918</v>
      </c>
      <c r="C290" s="93">
        <v>0</v>
      </c>
      <c r="D290" s="95">
        <f>(Sheet1!BQ292-Sheet1!BQ291)*1.385</f>
        <v>-1.6342999999999996</v>
      </c>
      <c r="E290" s="30">
        <f>(Sheet1!BR292-Sheet1!BR291)*1.385</f>
        <v>-1.6481500000000018</v>
      </c>
      <c r="F290" s="30">
        <f ca="1">IF(B290=TODAY(),0,-(VLOOKUP(Sheet1!CD292,Lookup!$I$4:$J$216,2)-VLOOKUP(Sheet1!CD291,Lookup!$I$4:$J$216,2))/1000000)</f>
        <v>0.41454775419119744</v>
      </c>
      <c r="G290" s="95">
        <f ca="1">IF(B290=TODAY(),0,-$G$6*(Sheet1!CF292-Sheet1!CF291)*7.48/1000000)</f>
        <v>0.11914050315767817</v>
      </c>
      <c r="H290" s="95">
        <f ca="1">IF(B290=TODAY(),0,-$H$6*(Sheet1!CE292-Sheet1!CE291)*7.48/1000000)</f>
        <v>0</v>
      </c>
      <c r="I290" s="95">
        <f ca="1">IF(B290=TODAY(),0,-$I$6*(Sheet1!CG292-Sheet1!CG291)*7.48/1000000)</f>
        <v>1.7969952000000015E-2</v>
      </c>
      <c r="J290" s="96" t="s">
        <v>186</v>
      </c>
      <c r="K290" s="95">
        <f ca="1">IF(B290=TODAY(),0,-$K$6*(Sheet1!CH292-Sheet1!CH291)*7.48/1000000)</f>
        <v>2.6653281497833796E-2</v>
      </c>
      <c r="L290" s="96" t="s">
        <v>186</v>
      </c>
      <c r="M290" s="95">
        <f ca="1">IF(B290=TODAY(),0,-$M$6*(Sheet1!CI292-Sheet1!CI291)*7.48/1000000)</f>
        <v>7.1966033712108565E-2</v>
      </c>
      <c r="N290" s="95">
        <f ca="1">IF(B290=TODAY(),0,-$N$6*(Sheet1!CJ292-Sheet1!CJ291)*7.48/1000000)</f>
        <v>-2.4820938157849033E-2</v>
      </c>
      <c r="O290" s="95">
        <f t="shared" ca="1" si="35"/>
        <v>0.62545658640096891</v>
      </c>
      <c r="P290" s="95">
        <f ca="1">O290+Calculation!ES290</f>
        <v>3.9494757123986131</v>
      </c>
      <c r="Q290" s="90" t="str">
        <f>IF(Sheet1!BQ292&gt;25.75,"spill elevation","-")</f>
        <v>-</v>
      </c>
      <c r="R290" s="90" t="str">
        <f>IF(Sheet1!BQ292&gt;25.75,"spill elevation","-")</f>
        <v>-</v>
      </c>
      <c r="S290" s="90" t="str">
        <f>IF(Sheet1!BR292&gt;25.75,"spill elevation","-")</f>
        <v>-</v>
      </c>
      <c r="T290" s="94">
        <f>IF(Sheet1!DU292=1,Sheet1!AA292-(SUM(AT290:BA290)+BE290),Sheet1!AA292-SUM(AT290:BA290))</f>
        <v>29.002000000000002</v>
      </c>
      <c r="U290" s="94">
        <f>Sheet1!BV292</f>
        <v>39.799999999999997</v>
      </c>
      <c r="V290" s="94">
        <f t="shared" si="36"/>
        <v>-10.797999999999995</v>
      </c>
      <c r="W290" s="94">
        <f>0</f>
        <v>0</v>
      </c>
      <c r="X290" s="90">
        <f>0</f>
        <v>0</v>
      </c>
      <c r="Y290" s="95">
        <f ca="1">Calculation!EJ291+Calculation!ES290+'Calculations II'!O290-'Calculations II'!W290</f>
        <v>63.549475712398618</v>
      </c>
      <c r="Z290" s="95">
        <f ca="1">Y290-Sheet1!CT293</f>
        <v>47.177475712398618</v>
      </c>
      <c r="AA290" s="95">
        <f ca="1">Y290+Calculation!DJ291+Calculation!AS291</f>
        <v>75.311297687363847</v>
      </c>
      <c r="AC290" s="95">
        <f>Sheet1!AA292+Sheet1!AB292+BC290</f>
        <v>58.13</v>
      </c>
      <c r="AD290" s="95">
        <f>Sheet1!AA292+Sheet1!BN292+'Calculations II'!BC290-Calculation!AS290-Calculation!DJ290</f>
        <v>35.354781471796784</v>
      </c>
      <c r="AE290" s="95">
        <f>Sheet1!AA292+Sheet1!AB292+'Calculations II'!BC290-Calculation!AS290-Calculation!DJ290</f>
        <v>46.794781471796789</v>
      </c>
      <c r="AF290" s="95">
        <f ca="1">Sheet1!AA292+Sheet1!BN292+P290+'Calculations II'!BC290+Calculation!AS290+Calculation!DJ290</f>
        <v>61.974694240601828</v>
      </c>
      <c r="AG290" s="95">
        <f ca="1">IF(B290=TODAY(),0,Sheet1!AA292+Sheet1!BN292+'Calculations II'!BC290+'Calculations II'!P290-Sheet1!CT292-BP290)</f>
        <v>34.206475712398614</v>
      </c>
      <c r="AH290" s="95">
        <f ca="1">IF(B290=TODAY(),0,Sheet1!AA292+Sheet1!BN292+'Calculations II'!BC290+'Calculations II'!P290-BP290)</f>
        <v>50.639475712398614</v>
      </c>
      <c r="AI290" s="95">
        <f ca="1">IF(B290=TODAY(),0,BC290+Sheet1!AA292+Calculation!ES290+O290+W290+Sheet1!BN292+Calculation!AS290+Calculation!DJ290-BP290)</f>
        <v>61.974694240601835</v>
      </c>
      <c r="AJ290" s="95"/>
      <c r="AM290" s="91">
        <f t="shared" si="37"/>
        <v>41918</v>
      </c>
      <c r="AN290" s="95">
        <f>Sheet1!BU292</f>
        <v>29.8</v>
      </c>
      <c r="AO290" s="95">
        <f>Sheet1!AA292</f>
        <v>31.19</v>
      </c>
      <c r="AP290" s="95">
        <f t="shared" si="32"/>
        <v>-3.2824500000000016</v>
      </c>
      <c r="AQ290" s="1055">
        <f>((Sheet1!BV292-(Sheet1!BU292-AP290))/(Sheet1!BU292-AP290))</f>
        <v>0.20305479189116873</v>
      </c>
      <c r="AR290" s="95">
        <f t="shared" si="33"/>
        <v>34.472450000000002</v>
      </c>
      <c r="AS290" s="95">
        <f t="shared" si="34"/>
        <v>33.082450000000001</v>
      </c>
      <c r="AT290" s="90">
        <f>Sheet1!BB292</f>
        <v>1</v>
      </c>
      <c r="AU290" s="90">
        <f>Sheet1!AS292*GPMtoMGD</f>
        <v>1.584E-2</v>
      </c>
      <c r="AV290" s="95">
        <f>Sheet1!AT292</f>
        <v>0</v>
      </c>
      <c r="AW290" s="90">
        <f>Sheet1!AV292*GPMtoMGD</f>
        <v>0.53927999999999998</v>
      </c>
      <c r="AX290" s="90">
        <f>Sheet1!AW292*GPMtoMGD</f>
        <v>0.63172800000000007</v>
      </c>
      <c r="AY290" s="90">
        <f>Sheet1!AX292*GPMtoMGD</f>
        <v>1.152E-3</v>
      </c>
      <c r="AZ290" s="90">
        <f>Sheet1!AY292*GPMtoMGD</f>
        <v>0</v>
      </c>
      <c r="BA290" s="90">
        <f>Sheet1!AZ292*GPMtoMGD</f>
        <v>0</v>
      </c>
      <c r="BB290" s="90">
        <f>Sheet1!BP292*GPMtoMGD</f>
        <v>0</v>
      </c>
      <c r="BC290" s="90">
        <f>Sheet1!CS292*GPMtoMGD</f>
        <v>0</v>
      </c>
      <c r="BD290" s="90">
        <f>Sheet1!BO292*GPMtoMGD</f>
        <v>1.7121600000000001</v>
      </c>
      <c r="BE290" s="90">
        <f>Sheet1!BW292*GPMtoMGD</f>
        <v>0.84844800000000009</v>
      </c>
      <c r="BF290" s="90">
        <f>Sheet1!CN292*GPMtoMGD</f>
        <v>1.08</v>
      </c>
      <c r="BG290" s="90">
        <f>Sheet1!CO292*GPMtoMGD</f>
        <v>0.53236800000000006</v>
      </c>
      <c r="BH290" s="90">
        <f>Sheet1!CP292*GPMtoMGD</f>
        <v>0.82065600000000005</v>
      </c>
      <c r="BI290" s="90">
        <f t="shared" si="38"/>
        <v>1.7121600000000001</v>
      </c>
      <c r="BK290" s="95">
        <f>SUM(AT290:BA290,BE290,Sheet1!BV292,'Calculations II'!BC290,Calculation!AQ290)</f>
        <v>58.434879079566677</v>
      </c>
      <c r="BM290" s="373">
        <f>0</f>
        <v>0</v>
      </c>
      <c r="BN290" s="373">
        <f>0</f>
        <v>0</v>
      </c>
      <c r="BP290" s="95">
        <f>SUM(BM290:BN290,W290,Sheet1!DX292)</f>
        <v>0</v>
      </c>
    </row>
    <row r="291" spans="1:68" s="90" customFormat="1">
      <c r="A291" s="651" t="s">
        <v>5</v>
      </c>
      <c r="B291" s="92">
        <v>41919</v>
      </c>
      <c r="C291" s="93">
        <v>0</v>
      </c>
      <c r="D291" s="95">
        <f>(Sheet1!BQ293-Sheet1!BQ292)*1.385</f>
        <v>-1.0941499999999988</v>
      </c>
      <c r="E291" s="30">
        <f>(Sheet1!BR293-Sheet1!BR292)*1.385</f>
        <v>-1.0664499999999995</v>
      </c>
      <c r="F291" s="30">
        <f ca="1">IF(B291=TODAY(),0,-(VLOOKUP(Sheet1!CD293,Lookup!$I$4:$J$216,2)-VLOOKUP(Sheet1!CD292,Lookup!$I$4:$J$216,2))/1000000)</f>
        <v>-0.41454775419119744</v>
      </c>
      <c r="G291" s="95">
        <f ca="1">IF(B291=TODAY(),0,-$G$6*(Sheet1!CF293-Sheet1!CF292)*7.48/1000000)</f>
        <v>-0.79427002105118594</v>
      </c>
      <c r="H291" s="95">
        <f ca="1">IF(B291=TODAY(),0,-$H$6*(Sheet1!CE293-Sheet1!CE292)*7.48/1000000)</f>
        <v>0</v>
      </c>
      <c r="I291" s="95">
        <f ca="1">IF(B291=TODAY(),0,-$I$6*(Sheet1!CG293-Sheet1!CG292)*7.48/1000000)</f>
        <v>8.9849759999999675E-3</v>
      </c>
      <c r="J291" s="96" t="s">
        <v>186</v>
      </c>
      <c r="K291" s="95">
        <f ca="1">IF(B291=TODAY(),0,-$K$6*(Sheet1!CH293-Sheet1!CH292)*7.48/1000000)</f>
        <v>1.9989961123375255E-2</v>
      </c>
      <c r="L291" s="96" t="s">
        <v>186</v>
      </c>
      <c r="M291" s="95">
        <f ca="1">IF(B291=TODAY(),0,-$M$6*(Sheet1!CI293-Sheet1!CI292)*7.48/1000000)</f>
        <v>7.1966033712107941E-2</v>
      </c>
      <c r="N291" s="95">
        <f ca="1">IF(B291=TODAY(),0,-$N$6*(Sheet1!CJ293-Sheet1!CJ292)*7.48/1000000)</f>
        <v>0.23579891249957019</v>
      </c>
      <c r="O291" s="95">
        <f t="shared" ca="1" si="35"/>
        <v>-0.87207789190733009</v>
      </c>
      <c r="P291" s="95">
        <f ca="1">O291+Calculation!ES291</f>
        <v>1.34290958781245</v>
      </c>
      <c r="Q291" s="90" t="str">
        <f>IF(Sheet1!BQ293&gt;25.75,"spill elevation","-")</f>
        <v>-</v>
      </c>
      <c r="R291" s="90" t="str">
        <f>IF(Sheet1!BQ293&gt;25.75,"spill elevation","-")</f>
        <v>-</v>
      </c>
      <c r="S291" s="90" t="str">
        <f>IF(Sheet1!BR293&gt;25.75,"spill elevation","-")</f>
        <v>-</v>
      </c>
      <c r="T291" s="94">
        <f>IF(Sheet1!DU293=1,Sheet1!AA293-(SUM(AT291:BA291)+BE291),Sheet1!AA293-SUM(AT291:BA291))</f>
        <v>28.528960000000001</v>
      </c>
      <c r="U291" s="94">
        <f>Sheet1!BV293</f>
        <v>38.200000000000003</v>
      </c>
      <c r="V291" s="94">
        <f t="shared" si="36"/>
        <v>-9.6710400000000014</v>
      </c>
      <c r="W291" s="94">
        <f>0</f>
        <v>0</v>
      </c>
      <c r="X291" s="90">
        <f>0</f>
        <v>0</v>
      </c>
      <c r="Y291" s="95">
        <f ca="1">Calculation!EJ292+Calculation!ES291+'Calculations II'!O291-'Calculations II'!W291</f>
        <v>62.722909587812453</v>
      </c>
      <c r="Z291" s="95">
        <f ca="1">Y291-Sheet1!CT294</f>
        <v>47.088909587812452</v>
      </c>
      <c r="AA291" s="95">
        <f ca="1">Y291+Calculation!DJ292+Calculation!AS292</f>
        <v>75.15657137643035</v>
      </c>
      <c r="AC291" s="95">
        <f>Sheet1!AA293+Sheet1!AB293+BC291</f>
        <v>59.6</v>
      </c>
      <c r="AD291" s="95">
        <f>Sheet1!AA293+Sheet1!BN293+'Calculations II'!BC291-Calculation!AS291-Calculation!DJ291</f>
        <v>36.23817802503477</v>
      </c>
      <c r="AE291" s="95">
        <f>Sheet1!AA293+Sheet1!AB293+'Calculations II'!BC291-Calculation!AS291-Calculation!DJ291</f>
        <v>47.838178025034772</v>
      </c>
      <c r="AF291" s="95">
        <f ca="1">Sheet1!AA293+Sheet1!BN293+P291+'Calculations II'!BC291+Calculation!AS291+Calculation!DJ291</f>
        <v>61.10473156277768</v>
      </c>
      <c r="AG291" s="95">
        <f ca="1">IF(B291=TODAY(),0,Sheet1!AA293+Sheet1!BN293+'Calculations II'!BC291+'Calculations II'!P291-Sheet1!CT293-BP291)</f>
        <v>32.97090958781245</v>
      </c>
      <c r="AH291" s="95">
        <f ca="1">IF(B291=TODAY(),0,Sheet1!AA293+Sheet1!BN293+'Calculations II'!BC291+'Calculations II'!P291-BP291)</f>
        <v>49.34290958781245</v>
      </c>
      <c r="AI291" s="95">
        <f ca="1">IF(B291=TODAY(),0,BC291+Sheet1!AA293+Calculation!ES291+O291+W291+Sheet1!BN293+Calculation!AS291+Calculation!DJ291-BP291)</f>
        <v>61.10473156277768</v>
      </c>
      <c r="AJ291" s="95"/>
      <c r="AM291" s="91">
        <f t="shared" si="37"/>
        <v>41919</v>
      </c>
      <c r="AN291" s="95">
        <f>Sheet1!BU293</f>
        <v>29.5</v>
      </c>
      <c r="AO291" s="95">
        <f>Sheet1!AA293</f>
        <v>31.1</v>
      </c>
      <c r="AP291" s="95">
        <f t="shared" si="32"/>
        <v>-2.1605999999999983</v>
      </c>
      <c r="AQ291" s="1055">
        <f>((Sheet1!BV293-(Sheet1!BU293-AP291))/(Sheet1!BU293-AP291))</f>
        <v>0.20654693846610628</v>
      </c>
      <c r="AR291" s="95">
        <f t="shared" si="33"/>
        <v>33.260599999999997</v>
      </c>
      <c r="AS291" s="95">
        <f t="shared" si="34"/>
        <v>31.660599999999999</v>
      </c>
      <c r="AT291" s="90">
        <f>Sheet1!BB293</f>
        <v>1</v>
      </c>
      <c r="AU291" s="90">
        <f>Sheet1!AS293*GPMtoMGD</f>
        <v>3.0240000000000003E-2</v>
      </c>
      <c r="AV291" s="95">
        <f>Sheet1!AT293</f>
        <v>0</v>
      </c>
      <c r="AW291" s="90">
        <f>Sheet1!AV293*GPMtoMGD</f>
        <v>0.67608000000000001</v>
      </c>
      <c r="AX291" s="90">
        <f>Sheet1!AW293*GPMtoMGD</f>
        <v>0.86457600000000001</v>
      </c>
      <c r="AY291" s="90">
        <f>Sheet1!AX293*GPMtoMGD</f>
        <v>1.44E-4</v>
      </c>
      <c r="AZ291" s="90">
        <f>Sheet1!AY293*GPMtoMGD</f>
        <v>0</v>
      </c>
      <c r="BA291" s="90">
        <f>Sheet1!AZ293*GPMtoMGD</f>
        <v>0</v>
      </c>
      <c r="BB291" s="90">
        <f>Sheet1!BP293*GPMtoMGD</f>
        <v>0</v>
      </c>
      <c r="BC291" s="90">
        <f>Sheet1!CS293*GPMtoMGD</f>
        <v>0</v>
      </c>
      <c r="BD291" s="90">
        <f>Sheet1!BO293*GPMtoMGD</f>
        <v>1.6685280000000002</v>
      </c>
      <c r="BE291" s="90">
        <f>Sheet1!BW293*GPMtoMGD</f>
        <v>0.84153600000000006</v>
      </c>
      <c r="BF291" s="90">
        <f>Sheet1!CN293*GPMtoMGD</f>
        <v>1.08</v>
      </c>
      <c r="BG291" s="90">
        <f>Sheet1!CO293*GPMtoMGD</f>
        <v>0.47102400000000005</v>
      </c>
      <c r="BH291" s="90">
        <f>Sheet1!CP293*GPMtoMGD</f>
        <v>0.81072</v>
      </c>
      <c r="BI291" s="90">
        <f t="shared" si="38"/>
        <v>1.6685280000000002</v>
      </c>
      <c r="BK291" s="95">
        <f>SUM(AT291:BA291,BE291,Sheet1!BV293,'Calculations II'!BC291,Calculation!AQ291)</f>
        <v>58.359794358831714</v>
      </c>
      <c r="BM291" s="373">
        <f>0</f>
        <v>0</v>
      </c>
      <c r="BN291" s="373">
        <f>0</f>
        <v>0</v>
      </c>
      <c r="BP291" s="95">
        <f>SUM(BM291:BN291,W291,Sheet1!DX293)</f>
        <v>0</v>
      </c>
    </row>
    <row r="292" spans="1:68" s="90" customFormat="1">
      <c r="A292" s="651" t="s">
        <v>6</v>
      </c>
      <c r="B292" s="92">
        <v>41920</v>
      </c>
      <c r="C292" s="93">
        <v>0</v>
      </c>
      <c r="D292" s="95">
        <f>(Sheet1!BQ294-Sheet1!BQ293)*1.385</f>
        <v>-0.18004999999999863</v>
      </c>
      <c r="E292" s="30">
        <f>(Sheet1!BR294-Sheet1!BR293)*1.385</f>
        <v>-0.19390000000000079</v>
      </c>
      <c r="F292" s="30">
        <f ca="1">IF(B292=TODAY(),0,-(VLOOKUP(Sheet1!CD294,Lookup!$I$4:$J$216,2)-VLOOKUP(Sheet1!CD293,Lookup!$I$4:$J$216,2))/1000000)</f>
        <v>-0.93273244693020174</v>
      </c>
      <c r="G292" s="95">
        <f ca="1">IF(B292=TODAY(),0,-$G$6*(Sheet1!CF294-Sheet1!CF293)*7.48/1000000)</f>
        <v>0.27799450736791476</v>
      </c>
      <c r="H292" s="95">
        <f ca="1">IF(B292=TODAY(),0,-$H$6*(Sheet1!CE294-Sheet1!CE293)*7.48/1000000)</f>
        <v>3.0078864702530014E-2</v>
      </c>
      <c r="I292" s="95">
        <f ca="1">IF(B292=TODAY(),0,-$I$6*(Sheet1!CG294-Sheet1!CG293)*7.48/1000000)</f>
        <v>-4.4924879999999837E-3</v>
      </c>
      <c r="J292" s="96" t="s">
        <v>186</v>
      </c>
      <c r="K292" s="95">
        <f ca="1">IF(B292=TODAY(),0,-$K$6*(Sheet1!CH294-Sheet1!CH293)*7.48/1000000)</f>
        <v>-1.3326640748916837E-2</v>
      </c>
      <c r="L292" s="96" t="s">
        <v>186</v>
      </c>
      <c r="M292" s="95">
        <f ca="1">IF(B292=TODAY(),0,-$M$6*(Sheet1!CI294-Sheet1!CI293)*7.48/1000000)</f>
        <v>-5.3974525284081275E-2</v>
      </c>
      <c r="N292" s="95">
        <f ca="1">IF(B292=TODAY(),0,-$N$6*(Sheet1!CJ294-Sheet1!CJ293)*7.48/1000000)</f>
        <v>-0.322672196052044</v>
      </c>
      <c r="O292" s="95">
        <f t="shared" ca="1" si="35"/>
        <v>-1.0191249249447991</v>
      </c>
      <c r="P292" s="95">
        <f ca="1">O292+Calculation!ES292</f>
        <v>-0.74230915215909454</v>
      </c>
      <c r="Q292" s="90" t="str">
        <f>IF(Sheet1!BQ294&gt;25.75,"spill elevation","-")</f>
        <v>-</v>
      </c>
      <c r="R292" s="90" t="str">
        <f>IF(Sheet1!BQ294&gt;25.75,"spill elevation","-")</f>
        <v>-</v>
      </c>
      <c r="S292" s="90" t="str">
        <f>IF(Sheet1!BR294&gt;25.75,"spill elevation","-")</f>
        <v>-</v>
      </c>
      <c r="T292" s="94">
        <f>IF(Sheet1!DU294=1,Sheet1!AA294-(SUM(AT292:BA292)+BE292),Sheet1!AA294-SUM(AT292:BA292))</f>
        <v>28.569056</v>
      </c>
      <c r="U292" s="94">
        <f>Sheet1!BV294</f>
        <v>36.5</v>
      </c>
      <c r="V292" s="94">
        <f t="shared" si="36"/>
        <v>-7.9309440000000002</v>
      </c>
      <c r="W292" s="94">
        <f>0</f>
        <v>0</v>
      </c>
      <c r="X292" s="90">
        <f>0</f>
        <v>0</v>
      </c>
      <c r="Y292" s="95">
        <f ca="1">Calculation!EJ293+Calculation!ES292+'Calculations II'!O292-'Calculations II'!W292</f>
        <v>63.257690847840912</v>
      </c>
      <c r="Z292" s="95">
        <f ca="1">Y292-Sheet1!CT295</f>
        <v>46.793690847840914</v>
      </c>
      <c r="AA292" s="95">
        <f ca="1">Y292+Calculation!DJ293+Calculation!AS293</f>
        <v>76.130508260174651</v>
      </c>
      <c r="AC292" s="95">
        <f>Sheet1!AA294+Sheet1!AB294+BC292</f>
        <v>61.38</v>
      </c>
      <c r="AD292" s="95">
        <f>Sheet1!AA294+Sheet1!BN294+'Calculations II'!BC292-Calculation!AS292-Calculation!DJ292</f>
        <v>36.706338211382118</v>
      </c>
      <c r="AE292" s="95">
        <f>Sheet1!AA294+Sheet1!AB294+'Calculations II'!BC292-Calculation!AS292-Calculation!DJ292</f>
        <v>48.94633821138212</v>
      </c>
      <c r="AF292" s="95">
        <f ca="1">Sheet1!AA294+Sheet1!BN294+P292+'Calculations II'!BC292+Calculation!AS292+Calculation!DJ292</f>
        <v>60.831352636458789</v>
      </c>
      <c r="AG292" s="95">
        <f ca="1">IF(B292=TODAY(),0,Sheet1!AA294+Sheet1!BN294+'Calculations II'!BC292+'Calculations II'!P292-Sheet1!CT294-BP292)</f>
        <v>32.763690847840905</v>
      </c>
      <c r="AH292" s="95">
        <f ca="1">IF(B292=TODAY(),0,Sheet1!AA294+Sheet1!BN294+'Calculations II'!BC292+'Calculations II'!P292-BP292)</f>
        <v>48.397690847840906</v>
      </c>
      <c r="AI292" s="95">
        <f ca="1">IF(B292=TODAY(),0,BC292+Sheet1!AA294+Calculation!ES292+O292+W292+Sheet1!BN294+Calculation!AS292+Calculation!DJ292-BP292)</f>
        <v>60.831352636458789</v>
      </c>
      <c r="AJ292" s="95"/>
      <c r="AM292" s="91">
        <f t="shared" si="37"/>
        <v>41920</v>
      </c>
      <c r="AN292" s="95">
        <f>Sheet1!BU294</f>
        <v>29.5</v>
      </c>
      <c r="AO292" s="95">
        <f>Sheet1!AA294</f>
        <v>30.94</v>
      </c>
      <c r="AP292" s="95">
        <f t="shared" si="32"/>
        <v>-0.37394999999999945</v>
      </c>
      <c r="AQ292" s="1055">
        <f>((Sheet1!BV294-(Sheet1!BU294-AP292))/(Sheet1!BU294-AP292))</f>
        <v>0.22180026410970091</v>
      </c>
      <c r="AR292" s="95">
        <f t="shared" si="33"/>
        <v>31.313950000000002</v>
      </c>
      <c r="AS292" s="95">
        <f t="shared" si="34"/>
        <v>29.873950000000001</v>
      </c>
      <c r="AT292" s="90">
        <f>Sheet1!BB294</f>
        <v>1.01</v>
      </c>
      <c r="AU292" s="90">
        <f>Sheet1!AS294*GPMtoMGD</f>
        <v>1.6416E-2</v>
      </c>
      <c r="AV292" s="95">
        <f>Sheet1!AT294</f>
        <v>0</v>
      </c>
      <c r="AW292" s="90">
        <f>Sheet1!AV294*GPMtoMGD</f>
        <v>0.50975999999999999</v>
      </c>
      <c r="AX292" s="90">
        <f>Sheet1!AW294*GPMtoMGD</f>
        <v>0.83419199999999993</v>
      </c>
      <c r="AY292" s="90">
        <f>Sheet1!AX294*GPMtoMGD</f>
        <v>5.7600000000000001E-4</v>
      </c>
      <c r="AZ292" s="90">
        <f>Sheet1!AY294*GPMtoMGD</f>
        <v>0</v>
      </c>
      <c r="BA292" s="90">
        <f>Sheet1!AZ294*GPMtoMGD</f>
        <v>0</v>
      </c>
      <c r="BB292" s="90">
        <f>Sheet1!BP294*GPMtoMGD</f>
        <v>0</v>
      </c>
      <c r="BC292" s="90">
        <f>Sheet1!CS294*GPMtoMGD</f>
        <v>0</v>
      </c>
      <c r="BD292" s="90">
        <f>Sheet1!BO294*GPMtoMGD</f>
        <v>1.7569440000000001</v>
      </c>
      <c r="BE292" s="90">
        <f>Sheet1!BW294*GPMtoMGD</f>
        <v>0.84585600000000005</v>
      </c>
      <c r="BF292" s="90">
        <f>Sheet1!CN294*GPMtoMGD</f>
        <v>1.08</v>
      </c>
      <c r="BG292" s="90">
        <f>Sheet1!CO294*GPMtoMGD</f>
        <v>0.50342400000000009</v>
      </c>
      <c r="BH292" s="90">
        <f>Sheet1!CP294*GPMtoMGD</f>
        <v>0.81532800000000016</v>
      </c>
      <c r="BI292" s="90">
        <f t="shared" si="38"/>
        <v>1.7569440000000001</v>
      </c>
      <c r="BK292" s="95">
        <f>SUM(AT292:BA292,BE292,Sheet1!BV294,'Calculations II'!BC292,Calculation!AQ292)</f>
        <v>57.733320325203252</v>
      </c>
      <c r="BM292" s="373">
        <f>0</f>
        <v>0</v>
      </c>
      <c r="BN292" s="373">
        <f>0</f>
        <v>0</v>
      </c>
      <c r="BP292" s="95">
        <f>SUM(BM292:BN292,W292,Sheet1!DX294)</f>
        <v>0</v>
      </c>
    </row>
    <row r="293" spans="1:68" s="90" customFormat="1">
      <c r="A293" s="651" t="s">
        <v>7</v>
      </c>
      <c r="B293" s="92">
        <v>41921</v>
      </c>
      <c r="C293" s="93">
        <v>0</v>
      </c>
      <c r="D293" s="95">
        <f>(Sheet1!BQ295-Sheet1!BQ294)*1.385</f>
        <v>2.8253999999999988</v>
      </c>
      <c r="E293" s="30">
        <f>(Sheet1!BR295-Sheet1!BR294)*1.385</f>
        <v>2.8253999999999988</v>
      </c>
      <c r="F293" s="30">
        <f ca="1">IF(B293=TODAY(),0,-(VLOOKUP(Sheet1!CD295,Lookup!$I$4:$J$216,2)-VLOOKUP(Sheet1!CD294,Lookup!$I$4:$J$216,2))/1000000)</f>
        <v>0.82909550838240231</v>
      </c>
      <c r="G293" s="95">
        <f ca="1">IF(B293=TODAY(),0,-$G$6*(Sheet1!CF295-Sheet1!CF294)*7.48/1000000)</f>
        <v>0.23430965621009978</v>
      </c>
      <c r="H293" s="95">
        <f ca="1">IF(B293=TODAY(),0,-$H$6*(Sheet1!CE295-Sheet1!CE294)*7.48/1000000)</f>
        <v>0</v>
      </c>
      <c r="I293" s="95">
        <f ca="1">IF(B293=TODAY(),0,-$I$6*(Sheet1!CG295-Sheet1!CG294)*7.48/1000000)</f>
        <v>0.238101864</v>
      </c>
      <c r="J293" s="96" t="s">
        <v>186</v>
      </c>
      <c r="K293" s="95">
        <f ca="1">IF(B293=TODAY(),0,-$K$6*(Sheet1!CH295-Sheet1!CH294)*7.48/1000000)</f>
        <v>0.41312586321642342</v>
      </c>
      <c r="L293" s="96" t="s">
        <v>186</v>
      </c>
      <c r="M293" s="95">
        <f ca="1">IF(B293=TODAY(),0,-$M$6*(Sheet1!CI295-Sheet1!CI294)*7.48/1000000)</f>
        <v>1.1334650309657039</v>
      </c>
      <c r="N293" s="95">
        <f ca="1">IF(B293=TODAY(),0,-$N$6*(Sheet1!CJ295-Sheet1!CJ294)*7.48/1000000)</f>
        <v>0.42195594868344238</v>
      </c>
      <c r="O293" s="95">
        <f t="shared" ca="1" si="35"/>
        <v>3.2700538714580718</v>
      </c>
      <c r="P293" s="95">
        <f ca="1">O293+Calculation!ES293</f>
        <v>-2.2686964155376961</v>
      </c>
      <c r="Q293" s="90" t="str">
        <f>IF(Sheet1!BQ295&gt;25.75,"spill elevation","-")</f>
        <v>-</v>
      </c>
      <c r="R293" s="90" t="str">
        <f>IF(Sheet1!BQ295&gt;25.75,"spill elevation","-")</f>
        <v>-</v>
      </c>
      <c r="S293" s="90" t="str">
        <f>IF(Sheet1!BR295&gt;25.75,"spill elevation","-")</f>
        <v>-</v>
      </c>
      <c r="T293" s="94">
        <f>IF(Sheet1!DU295=1,Sheet1!AA295-(SUM(AT293:BA293)+BE293),Sheet1!AA295-SUM(AT293:BA293))</f>
        <v>28.012271999999999</v>
      </c>
      <c r="U293" s="94">
        <f>Sheet1!BV295</f>
        <v>30.3</v>
      </c>
      <c r="V293" s="94">
        <f t="shared" si="36"/>
        <v>-2.2877280000000013</v>
      </c>
      <c r="W293" s="94">
        <f>0</f>
        <v>0</v>
      </c>
      <c r="X293" s="90">
        <f>0</f>
        <v>0</v>
      </c>
      <c r="Y293" s="95">
        <f ca="1">Calculation!EJ294+Calculation!ES293+'Calculations II'!O293-'Calculations II'!W293</f>
        <v>61.321303584462314</v>
      </c>
      <c r="Z293" s="95">
        <f ca="1">Y293-Sheet1!CT296</f>
        <v>45.170303584462317</v>
      </c>
      <c r="AA293" s="95">
        <f ca="1">Y293+Calculation!DJ294+Calculation!AS294</f>
        <v>74.291303584462312</v>
      </c>
      <c r="AC293" s="95">
        <f>Sheet1!AA295+Sheet1!AB295+BC293</f>
        <v>64</v>
      </c>
      <c r="AD293" s="95">
        <f>Sheet1!AA295+Sheet1!BN295+'Calculations II'!BC293-Calculation!AS293-Calculation!DJ293</f>
        <v>38.267182587666262</v>
      </c>
      <c r="AE293" s="95">
        <f>Sheet1!AA295+Sheet1!AB295+'Calculations II'!BC293-Calculation!AS293-Calculation!DJ293</f>
        <v>51.127182587666262</v>
      </c>
      <c r="AF293" s="95">
        <f ca="1">Sheet1!AA295+Sheet1!BN295+P293+'Calculations II'!BC293+Calculation!AS293+Calculation!DJ293</f>
        <v>61.744120996796042</v>
      </c>
      <c r="AG293" s="95">
        <f ca="1">IF(B293=TODAY(),0,Sheet1!AA295+Sheet1!BN295+'Calculations II'!BC293+'Calculations II'!P293-Sheet1!CT295-BP293)</f>
        <v>32.407303584462305</v>
      </c>
      <c r="AH293" s="95">
        <f ca="1">IF(B293=TODAY(),0,Sheet1!AA295+Sheet1!BN295+'Calculations II'!BC293+'Calculations II'!P293-BP293)</f>
        <v>48.871303584462304</v>
      </c>
      <c r="AI293" s="95">
        <f ca="1">IF(B293=TODAY(),0,BC293+Sheet1!AA295+Calculation!ES293+O293+W293+Sheet1!BN295+Calculation!AS293+Calculation!DJ293-BP293)</f>
        <v>61.744120996796042</v>
      </c>
      <c r="AJ293" s="95"/>
      <c r="AM293" s="91">
        <f t="shared" si="37"/>
        <v>41921</v>
      </c>
      <c r="AN293" s="95">
        <f>Sheet1!BU295</f>
        <v>29.2</v>
      </c>
      <c r="AO293" s="95">
        <f>Sheet1!AA295</f>
        <v>30.94</v>
      </c>
      <c r="AP293" s="95">
        <f t="shared" si="32"/>
        <v>5.6507999999999976</v>
      </c>
      <c r="AQ293" s="1055">
        <f>((Sheet1!BV295-(Sheet1!BU295-AP293))/(Sheet1!BU295-AP293))</f>
        <v>0.28666791228576755</v>
      </c>
      <c r="AR293" s="95">
        <f t="shared" si="33"/>
        <v>25.289200000000005</v>
      </c>
      <c r="AS293" s="95">
        <f t="shared" si="34"/>
        <v>23.549200000000003</v>
      </c>
      <c r="AT293" s="90">
        <f>Sheet1!BB295</f>
        <v>1</v>
      </c>
      <c r="AU293" s="90">
        <f>Sheet1!AS295*GPMtoMGD</f>
        <v>1.5696000000000002E-2</v>
      </c>
      <c r="AV293" s="95">
        <f>Sheet1!AT295</f>
        <v>0</v>
      </c>
      <c r="AW293" s="90">
        <f>Sheet1!AV295*GPMtoMGD</f>
        <v>0.88646400000000014</v>
      </c>
      <c r="AX293" s="90">
        <f>Sheet1!AW295*GPMtoMGD</f>
        <v>1.0254240000000001</v>
      </c>
      <c r="AY293" s="90">
        <f>Sheet1!AX295*GPMtoMGD</f>
        <v>1.44E-4</v>
      </c>
      <c r="AZ293" s="90">
        <f>Sheet1!AY295*GPMtoMGD</f>
        <v>0</v>
      </c>
      <c r="BA293" s="90">
        <f>Sheet1!AZ295*GPMtoMGD</f>
        <v>0</v>
      </c>
      <c r="BB293" s="90">
        <f>Sheet1!BP295*GPMtoMGD</f>
        <v>0</v>
      </c>
      <c r="BC293" s="90">
        <f>Sheet1!CS295*GPMtoMGD</f>
        <v>0</v>
      </c>
      <c r="BD293" s="90">
        <f>Sheet1!BO295*GPMtoMGD</f>
        <v>0.21038400000000002</v>
      </c>
      <c r="BE293" s="90">
        <f>Sheet1!BW295*GPMtoMGD</f>
        <v>0.83332800000000007</v>
      </c>
      <c r="BF293" s="90">
        <f>Sheet1!CN295*GPMtoMGD</f>
        <v>1.08</v>
      </c>
      <c r="BG293" s="90">
        <f>Sheet1!CO295*GPMtoMGD</f>
        <v>0.44899200000000006</v>
      </c>
      <c r="BH293" s="90">
        <f>Sheet1!CP295*GPMtoMGD</f>
        <v>0.7922880000000001</v>
      </c>
      <c r="BI293" s="90">
        <f t="shared" si="38"/>
        <v>0.21038400000000002</v>
      </c>
      <c r="BK293" s="95">
        <f>SUM(AT293:BA293,BE293,Sheet1!BV295,'Calculations II'!BC293,Calculation!AQ293)</f>
        <v>54.24884318258767</v>
      </c>
      <c r="BM293" s="373">
        <f>0</f>
        <v>0</v>
      </c>
      <c r="BN293" s="373">
        <f>0</f>
        <v>0</v>
      </c>
      <c r="BP293" s="95">
        <f>SUM(BM293:BN293,W293,Sheet1!DX295)</f>
        <v>0</v>
      </c>
    </row>
    <row r="294" spans="1:68" s="90" customFormat="1">
      <c r="A294" s="651" t="s">
        <v>8</v>
      </c>
      <c r="B294" s="92">
        <v>41922</v>
      </c>
      <c r="C294" s="93">
        <v>0</v>
      </c>
      <c r="D294" s="95">
        <f>(Sheet1!BQ296-Sheet1!BQ295)*1.385</f>
        <v>0.73405000000000153</v>
      </c>
      <c r="E294" s="30">
        <f>(Sheet1!BR296-Sheet1!BR295)*1.385</f>
        <v>0.74790000000000378</v>
      </c>
      <c r="F294" s="30">
        <f ca="1">IF(B294=TODAY(),0,-(VLOOKUP(Sheet1!CD296,Lookup!$I$4:$J$216,2)-VLOOKUP(Sheet1!CD295,Lookup!$I$4:$J$216,2))/1000000)</f>
        <v>0</v>
      </c>
      <c r="G294" s="95">
        <f ca="1">IF(B294=TODAY(),0,-$G$6*(Sheet1!CF296-Sheet1!CF295)*7.48/1000000)</f>
        <v>0.20253885536805233</v>
      </c>
      <c r="H294" s="95">
        <f ca="1">IF(B294=TODAY(),0,-$H$6*(Sheet1!CE296-Sheet1!CE295)*7.48/1000000)</f>
        <v>9.0236594107590579E-2</v>
      </c>
      <c r="I294" s="95">
        <f ca="1">IF(B294=TODAY(),0,-$I$6*(Sheet1!CG296-Sheet1!CG295)*7.48/1000000)</f>
        <v>-0.13477464</v>
      </c>
      <c r="J294" s="96" t="s">
        <v>186</v>
      </c>
      <c r="K294" s="95">
        <f ca="1">IF(B294=TODAY(),0,-$K$6*(Sheet1!CH296-Sheet1!CH295)*7.48/1000000)</f>
        <v>-0.23321621310604554</v>
      </c>
      <c r="L294" s="96" t="s">
        <v>186</v>
      </c>
      <c r="M294" s="95">
        <f ca="1">IF(B294=TODAY(),0,-$M$6*(Sheet1!CI296-Sheet1!CI295)*7.48/1000000)</f>
        <v>-0.62970279498094661</v>
      </c>
      <c r="N294" s="95">
        <f ca="1">IF(B294=TODAY(),0,-$N$6*(Sheet1!CJ296-Sheet1!CJ295)*7.48/1000000)</f>
        <v>-6.2052345394623676E-2</v>
      </c>
      <c r="O294" s="95">
        <f t="shared" ca="1" si="35"/>
        <v>-0.76697054400597287</v>
      </c>
      <c r="P294" s="95">
        <f ca="1">O294+Calculation!ES294</f>
        <v>-2.2910208795439577</v>
      </c>
      <c r="Q294" s="90" t="str">
        <f>IF(Sheet1!BQ296&gt;25.75,"spill elevation","-")</f>
        <v>-</v>
      </c>
      <c r="R294" s="90" t="str">
        <f>IF(Sheet1!BQ296&gt;25.75,"spill elevation","-")</f>
        <v>-</v>
      </c>
      <c r="S294" s="90" t="str">
        <f>IF(Sheet1!BR296&gt;25.75,"spill elevation","-")</f>
        <v>-</v>
      </c>
      <c r="T294" s="94">
        <f>IF(Sheet1!DU296=1,Sheet1!AA296-(SUM(AT294:BA294)+BE294),Sheet1!AA296-SUM(AT294:BA294))</f>
        <v>28.136272000000002</v>
      </c>
      <c r="U294" s="94">
        <f>Sheet1!BV296</f>
        <v>34.299999999999997</v>
      </c>
      <c r="V294" s="94">
        <f t="shared" si="36"/>
        <v>-6.1637279999999954</v>
      </c>
      <c r="W294" s="94">
        <f>0</f>
        <v>0</v>
      </c>
      <c r="X294" s="90">
        <f>0</f>
        <v>0</v>
      </c>
      <c r="Y294" s="95">
        <f ca="1">Calculation!EJ295+Calculation!ES294+'Calculations II'!O294-'Calculations II'!W294</f>
        <v>58.638979120456042</v>
      </c>
      <c r="Z294" s="95">
        <f ca="1">Y294-Sheet1!CT297</f>
        <v>41.82897912045604</v>
      </c>
      <c r="AA294" s="95">
        <f ca="1">Y294+Calculation!DJ295+Calculation!AS295</f>
        <v>71.384480448477291</v>
      </c>
      <c r="AC294" s="95">
        <f>Sheet1!AA296+Sheet1!AB296+BC294</f>
        <v>63.59</v>
      </c>
      <c r="AD294" s="95">
        <f>Sheet1!AA296+Sheet1!BN296+'Calculations II'!BC294-Calculation!AS294-Calculation!DJ294</f>
        <v>37.650000000000006</v>
      </c>
      <c r="AE294" s="95">
        <f>Sheet1!AA296+Sheet1!AB296+'Calculations II'!BC294-Calculation!AS294-Calculation!DJ294</f>
        <v>50.620000000000005</v>
      </c>
      <c r="AF294" s="95">
        <f ca="1">Sheet1!AA296+Sheet1!BN296+P294+'Calculations II'!BC294+Calculation!AS294+Calculation!DJ294</f>
        <v>61.298979120456046</v>
      </c>
      <c r="AG294" s="95">
        <f ca="1">IF(B294=TODAY(),0,Sheet1!AA296+Sheet1!BN296+'Calculations II'!BC294+'Calculations II'!P294-Sheet1!CT296-BP294)</f>
        <v>32.177979120456044</v>
      </c>
      <c r="AH294" s="95">
        <f ca="1">IF(B294=TODAY(),0,Sheet1!AA296+Sheet1!BN296+'Calculations II'!BC294+'Calculations II'!P294-BP294)</f>
        <v>48.328979120456047</v>
      </c>
      <c r="AI294" s="95">
        <f ca="1">IF(B294=TODAY(),0,BC294+Sheet1!AA296+Calculation!ES294+O294+W294+Sheet1!BN296+Calculation!AS294+Calculation!DJ294-BP294)</f>
        <v>61.298979120456039</v>
      </c>
      <c r="AJ294" s="95"/>
      <c r="AM294" s="91">
        <f t="shared" si="37"/>
        <v>41922</v>
      </c>
      <c r="AN294" s="95">
        <f>Sheet1!BU296</f>
        <v>29.2</v>
      </c>
      <c r="AO294" s="95">
        <f>Sheet1!AA296</f>
        <v>30.92</v>
      </c>
      <c r="AP294" s="95">
        <f t="shared" si="32"/>
        <v>1.4819500000000052</v>
      </c>
      <c r="AQ294" s="1055">
        <f>((Sheet1!BV296-(Sheet1!BU296-AP294))/(Sheet1!BU296-AP294))</f>
        <v>0.23746078818675931</v>
      </c>
      <c r="AR294" s="95">
        <f t="shared" si="33"/>
        <v>29.438049999999997</v>
      </c>
      <c r="AS294" s="95">
        <f t="shared" si="34"/>
        <v>27.718049999999995</v>
      </c>
      <c r="AT294" s="90">
        <f>Sheet1!BB296</f>
        <v>1</v>
      </c>
      <c r="AU294" s="90">
        <f>Sheet1!AS296*GPMtoMGD</f>
        <v>1.6128E-2</v>
      </c>
      <c r="AV294" s="95">
        <f>Sheet1!AT296</f>
        <v>0</v>
      </c>
      <c r="AW294" s="90">
        <f>Sheet1!AV296*GPMtoMGD</f>
        <v>0.74030400000000007</v>
      </c>
      <c r="AX294" s="90">
        <f>Sheet1!AW296*GPMtoMGD</f>
        <v>1.027296</v>
      </c>
      <c r="AY294" s="90">
        <f>Sheet1!AX296*GPMtoMGD</f>
        <v>0</v>
      </c>
      <c r="AZ294" s="90">
        <f>Sheet1!AY296*GPMtoMGD</f>
        <v>0</v>
      </c>
      <c r="BA294" s="90">
        <f>Sheet1!AZ296*GPMtoMGD</f>
        <v>0</v>
      </c>
      <c r="BB294" s="90">
        <f>Sheet1!BP296*GPMtoMGD</f>
        <v>0</v>
      </c>
      <c r="BC294" s="90">
        <f>Sheet1!CS296*GPMtoMGD</f>
        <v>0</v>
      </c>
      <c r="BD294" s="90">
        <f>Sheet1!BO296*GPMtoMGD</f>
        <v>2.5047360000000003</v>
      </c>
      <c r="BE294" s="90">
        <f>Sheet1!BW296*GPMtoMGD</f>
        <v>0.83318400000000004</v>
      </c>
      <c r="BF294" s="90">
        <f>Sheet1!CN296*GPMtoMGD</f>
        <v>1.08</v>
      </c>
      <c r="BG294" s="90">
        <f>Sheet1!CO296*GPMtoMGD</f>
        <v>0.46440000000000003</v>
      </c>
      <c r="BH294" s="90">
        <f>Sheet1!CP296*GPMtoMGD</f>
        <v>0.76550400000000007</v>
      </c>
      <c r="BI294" s="90">
        <f t="shared" si="38"/>
        <v>2.5047360000000003</v>
      </c>
      <c r="BK294" s="95">
        <f>SUM(AT294:BA294,BE294,Sheet1!BV296,'Calculations II'!BC294,Calculation!AQ294)</f>
        <v>57.616911999999999</v>
      </c>
      <c r="BM294" s="373">
        <f>0</f>
        <v>0</v>
      </c>
      <c r="BN294" s="373">
        <f>0</f>
        <v>0</v>
      </c>
      <c r="BP294" s="95">
        <f>SUM(BM294:BN294,W294,Sheet1!DX296)</f>
        <v>0</v>
      </c>
    </row>
    <row r="295" spans="1:68" s="90" customFormat="1">
      <c r="A295" s="651" t="s">
        <v>9</v>
      </c>
      <c r="B295" s="92">
        <v>41923</v>
      </c>
      <c r="C295" s="93">
        <v>0</v>
      </c>
      <c r="D295" s="95">
        <f>(Sheet1!BQ297-Sheet1!BQ296)*1.385</f>
        <v>0.33239999999999786</v>
      </c>
      <c r="E295" s="30">
        <f>(Sheet1!BR297-Sheet1!BR296)*1.385</f>
        <v>0.29084999999999628</v>
      </c>
      <c r="F295" s="30">
        <f ca="1">IF(B295=TODAY(),0,-(VLOOKUP(Sheet1!CD297,Lookup!$I$4:$J$216,2)-VLOOKUP(Sheet1!CD296,Lookup!$I$4:$J$216,2))/1000000)</f>
        <v>-0.20727387709559872</v>
      </c>
      <c r="G295" s="95">
        <f ca="1">IF(B295=TODAY(),0,-$G$6*(Sheet1!CF297-Sheet1!CF296)*7.48/1000000)</f>
        <v>0.23828100631535562</v>
      </c>
      <c r="H295" s="95">
        <f ca="1">IF(B295=TODAY(),0,-$H$6*(Sheet1!CE297-Sheet1!CE296)*7.48/1000000)</f>
        <v>-0.1353548911613853</v>
      </c>
      <c r="I295" s="95">
        <f ca="1">IF(B295=TODAY(),0,-$I$6*(Sheet1!CG297-Sheet1!CG296)*7.48/1000000)</f>
        <v>-8.9849760000000015E-2</v>
      </c>
      <c r="J295" s="96" t="s">
        <v>186</v>
      </c>
      <c r="K295" s="95">
        <f ca="1">IF(B295=TODAY(),0,-$K$6*(Sheet1!CH297-Sheet1!CH296)*7.48/1000000)</f>
        <v>-0.14659304823808569</v>
      </c>
      <c r="L295" s="96" t="s">
        <v>186</v>
      </c>
      <c r="M295" s="95">
        <f ca="1">IF(B295=TODAY(),0,-$M$6*(Sheet1!CI297-Sheet1!CI296)*7.48/1000000)</f>
        <v>-0.48577072755673018</v>
      </c>
      <c r="N295" s="95">
        <f ca="1">IF(B295=TODAY(),0,-$N$6*(Sheet1!CJ297-Sheet1!CJ296)*7.48/1000000)</f>
        <v>-0.14892562894709749</v>
      </c>
      <c r="O295" s="95">
        <f t="shared" ca="1" si="35"/>
        <v>-0.97548692668354187</v>
      </c>
      <c r="P295" s="95">
        <f ca="1">O295+Calculation!ES295</f>
        <v>-1.6683722728747732</v>
      </c>
      <c r="Q295" s="90" t="str">
        <f>IF(Sheet1!BQ297&gt;25.75,"spill elevation","-")</f>
        <v>-</v>
      </c>
      <c r="R295" s="90" t="str">
        <f>IF(Sheet1!BQ297&gt;25.75,"spill elevation","-")</f>
        <v>-</v>
      </c>
      <c r="S295" s="90" t="str">
        <f>IF(Sheet1!BR297&gt;25.75,"spill elevation","-")</f>
        <v>-</v>
      </c>
      <c r="T295" s="94">
        <f>IF(Sheet1!DU297=1,Sheet1!AA297-(SUM(AT295:BA295)+BE295),Sheet1!AA297-SUM(AT295:BA295))</f>
        <v>28.648783999999999</v>
      </c>
      <c r="U295" s="94">
        <f>Sheet1!BV297</f>
        <v>35.700000000000003</v>
      </c>
      <c r="V295" s="94">
        <f t="shared" si="36"/>
        <v>-7.0512160000000037</v>
      </c>
      <c r="W295" s="94">
        <f>0</f>
        <v>0</v>
      </c>
      <c r="X295" s="90">
        <f>0</f>
        <v>0</v>
      </c>
      <c r="Y295" s="95">
        <f ca="1">Calculation!EJ296+Calculation!ES295+'Calculations II'!O295-'Calculations II'!W295</f>
        <v>56.681627727125218</v>
      </c>
      <c r="Z295" s="95">
        <f ca="1">Y295-Sheet1!CT298</f>
        <v>38.402627727125221</v>
      </c>
      <c r="AA295" s="95">
        <f ca="1">Y295+Calculation!DJ296+Calculation!AS296</f>
        <v>69.378584248864357</v>
      </c>
      <c r="AC295" s="95">
        <f>Sheet1!AA297+Sheet1!AB297+BC295</f>
        <v>60.93</v>
      </c>
      <c r="AD295" s="95">
        <f>Sheet1!AA297+Sheet1!BN297+'Calculations II'!BC295-Calculation!AS295-Calculation!DJ295</f>
        <v>35.554498671978749</v>
      </c>
      <c r="AE295" s="95">
        <f>Sheet1!AA297+Sheet1!AB297+'Calculations II'!BC295-Calculation!AS295-Calculation!DJ295</f>
        <v>48.184498671978758</v>
      </c>
      <c r="AF295" s="95">
        <f ca="1">Sheet1!AA297+Sheet1!BN297+P295+'Calculations II'!BC295+Calculation!AS295+Calculation!DJ295</f>
        <v>59.377129055146469</v>
      </c>
      <c r="AG295" s="95">
        <f ca="1">IF(B295=TODAY(),0,Sheet1!AA297+Sheet1!BN297+'Calculations II'!BC295+'Calculations II'!P295-Sheet1!CT297-BP295)</f>
        <v>29.821627727125222</v>
      </c>
      <c r="AH295" s="95">
        <f ca="1">IF(B295=TODAY(),0,Sheet1!AA297+Sheet1!BN297+'Calculations II'!BC295+'Calculations II'!P295-BP295)</f>
        <v>46.63162772712522</v>
      </c>
      <c r="AI295" s="95">
        <f ca="1">IF(B295=TODAY(),0,BC295+Sheet1!AA297+Calculation!ES295+O295+W295+Sheet1!BN297+Calculation!AS295+Calculation!DJ295-BP295)</f>
        <v>59.377129055146469</v>
      </c>
      <c r="AJ295" s="95"/>
      <c r="AM295" s="91">
        <f t="shared" si="37"/>
        <v>41923</v>
      </c>
      <c r="AN295" s="95">
        <f>Sheet1!BU297</f>
        <v>29.6</v>
      </c>
      <c r="AO295" s="95">
        <f>Sheet1!AA297</f>
        <v>31</v>
      </c>
      <c r="AP295" s="95">
        <f t="shared" si="32"/>
        <v>0.62324999999999409</v>
      </c>
      <c r="AQ295" s="1055">
        <f>((Sheet1!BV297-(Sheet1!BU297-AP295))/(Sheet1!BU297-AP295))</f>
        <v>0.23202222471464173</v>
      </c>
      <c r="AR295" s="95">
        <f t="shared" si="33"/>
        <v>30.376750000000005</v>
      </c>
      <c r="AS295" s="95">
        <f t="shared" si="34"/>
        <v>28.976750000000006</v>
      </c>
      <c r="AT295" s="90">
        <f>Sheet1!BB297</f>
        <v>1.01</v>
      </c>
      <c r="AU295" s="90">
        <f>Sheet1!AS297*GPMtoMGD</f>
        <v>1.5696000000000002E-2</v>
      </c>
      <c r="AV295" s="95">
        <f>Sheet1!AT297</f>
        <v>0</v>
      </c>
      <c r="AW295" s="90">
        <f>Sheet1!AV297*GPMtoMGD</f>
        <v>0.53769599999999995</v>
      </c>
      <c r="AX295" s="90">
        <f>Sheet1!AW297*GPMtoMGD</f>
        <v>0.78782400000000008</v>
      </c>
      <c r="AY295" s="90">
        <f>Sheet1!AX297*GPMtoMGD</f>
        <v>0</v>
      </c>
      <c r="AZ295" s="90">
        <f>Sheet1!AY297*GPMtoMGD</f>
        <v>0</v>
      </c>
      <c r="BA295" s="90">
        <f>Sheet1!AZ297*GPMtoMGD</f>
        <v>0</v>
      </c>
      <c r="BB295" s="90">
        <f>Sheet1!BP297*GPMtoMGD</f>
        <v>0</v>
      </c>
      <c r="BC295" s="90">
        <f>Sheet1!CS297*GPMtoMGD</f>
        <v>0</v>
      </c>
      <c r="BD295" s="90">
        <f>Sheet1!BO297*GPMtoMGD</f>
        <v>2.3823360000000005</v>
      </c>
      <c r="BE295" s="90">
        <f>Sheet1!BW297*GPMtoMGD</f>
        <v>0.58075200000000005</v>
      </c>
      <c r="BF295" s="90">
        <f>Sheet1!CN297*GPMtoMGD</f>
        <v>1.08</v>
      </c>
      <c r="BG295" s="90">
        <f>Sheet1!CO297*GPMtoMGD</f>
        <v>0.46440000000000003</v>
      </c>
      <c r="BH295" s="90">
        <f>Sheet1!CP297*GPMtoMGD</f>
        <v>0.75816000000000006</v>
      </c>
      <c r="BI295" s="90">
        <f t="shared" si="38"/>
        <v>2.3823360000000005</v>
      </c>
      <c r="BK295" s="95">
        <f>SUM(AT295:BA295,BE295,Sheet1!BV297,'Calculations II'!BC295,Calculation!AQ295)</f>
        <v>55.822837853917662</v>
      </c>
      <c r="BM295" s="373">
        <f>0</f>
        <v>0</v>
      </c>
      <c r="BN295" s="373">
        <f>0</f>
        <v>0</v>
      </c>
      <c r="BP295" s="95">
        <f>SUM(BM295:BN295,W295,Sheet1!DX297)</f>
        <v>0</v>
      </c>
    </row>
    <row r="296" spans="1:68" s="90" customFormat="1">
      <c r="A296" s="651" t="s">
        <v>3</v>
      </c>
      <c r="B296" s="92">
        <v>41924</v>
      </c>
      <c r="C296" s="93">
        <v>0</v>
      </c>
      <c r="D296" s="95">
        <f>(Sheet1!BQ298-Sheet1!BQ297)*1.385</f>
        <v>-0.85870000000000135</v>
      </c>
      <c r="E296" s="30">
        <f>(Sheet1!BR298-Sheet1!BR297)*1.385</f>
        <v>-0.84484999999999921</v>
      </c>
      <c r="F296" s="30">
        <f ca="1">IF(B296=TODAY(),0,-(VLOOKUP(Sheet1!CD298,Lookup!$I$4:$J$216,2)-VLOOKUP(Sheet1!CD297,Lookup!$I$4:$J$216,2))/1000000)</f>
        <v>0</v>
      </c>
      <c r="G296" s="95">
        <f ca="1">IF(B296=TODAY(),0,-$G$6*(Sheet1!CF298-Sheet1!CF297)*7.48/1000000)</f>
        <v>0.27799450736791548</v>
      </c>
      <c r="H296" s="95">
        <f ca="1">IF(B296=TODAY(),0,-$H$6*(Sheet1!CE298-Sheet1!CE297)*7.48/1000000)</f>
        <v>3.0078864702530014E-2</v>
      </c>
      <c r="I296" s="95">
        <f ca="1">IF(B296=TODAY(),0,-$I$6*(Sheet1!CG298-Sheet1!CG297)*7.48/1000000)</f>
        <v>0.17520703200000001</v>
      </c>
      <c r="J296" s="96" t="s">
        <v>186</v>
      </c>
      <c r="K296" s="95">
        <f ca="1">IF(B296=TODAY(),0,-$K$6*(Sheet1!CH298-Sheet1!CH297)*7.48/1000000)</f>
        <v>0.30184841296296738</v>
      </c>
      <c r="L296" s="96" t="s">
        <v>186</v>
      </c>
      <c r="M296" s="95">
        <f ca="1">IF(B296=TODAY(),0,-$M$6*(Sheet1!CI298-Sheet1!CI297)*7.48/1000000)</f>
        <v>0.82760938768924408</v>
      </c>
      <c r="N296" s="95">
        <f ca="1">IF(B296=TODAY(),0,-$N$6*(Sheet1!CJ298-Sheet1!CJ297)*7.48/1000000)</f>
        <v>-0.161336098026022</v>
      </c>
      <c r="O296" s="95">
        <f t="shared" ca="1" si="35"/>
        <v>1.4514021066966349</v>
      </c>
      <c r="P296" s="95">
        <f ca="1">O296+Calculation!ES296</f>
        <v>3.2527296512387167</v>
      </c>
      <c r="Q296" s="90" t="str">
        <f>IF(Sheet1!BQ298&gt;25.75,"spill elevation","-")</f>
        <v>-</v>
      </c>
      <c r="R296" s="90" t="str">
        <f>IF(Sheet1!BQ298&gt;25.75,"spill elevation","-")</f>
        <v>-</v>
      </c>
      <c r="S296" s="90" t="str">
        <f>IF(Sheet1!BR298&gt;25.75,"spill elevation","-")</f>
        <v>-</v>
      </c>
      <c r="T296" s="94">
        <f>IF(Sheet1!DU298=1,Sheet1!AA298-(SUM(AT296:BA296)+BE296),Sheet1!AA298-SUM(AT296:BA296))</f>
        <v>28.925936</v>
      </c>
      <c r="U296" s="94">
        <f>Sheet1!BV298</f>
        <v>38.299999999999997</v>
      </c>
      <c r="V296" s="94">
        <f t="shared" si="36"/>
        <v>-9.3740639999999971</v>
      </c>
      <c r="W296" s="94">
        <f>0</f>
        <v>0</v>
      </c>
      <c r="X296" s="90">
        <f>0</f>
        <v>0</v>
      </c>
      <c r="Y296" s="95">
        <f ca="1">Calculation!EJ297+Calculation!ES296+'Calculations II'!O296-'Calculations II'!W296</f>
        <v>61.402729651238715</v>
      </c>
      <c r="Z296" s="95">
        <f ca="1">Y296-Sheet1!CT299</f>
        <v>43.932729651238716</v>
      </c>
      <c r="AA296" s="95">
        <f ca="1">Y296+Calculation!DJ297+Calculation!AS297</f>
        <v>73.719053180650477</v>
      </c>
      <c r="AC296" s="95">
        <f>Sheet1!AA298+Sheet1!AB298+BC296</f>
        <v>58.349999999999994</v>
      </c>
      <c r="AD296" s="95">
        <f>Sheet1!AA298+Sheet1!BN298+'Calculations II'!BC296-Calculation!AS296-Calculation!DJ296</f>
        <v>33.053043478260875</v>
      </c>
      <c r="AE296" s="95">
        <f>Sheet1!AA298+Sheet1!AB298+'Calculations II'!BC296-Calculation!AS296-Calculation!DJ296</f>
        <v>45.653043478260869</v>
      </c>
      <c r="AF296" s="95">
        <f ca="1">Sheet1!AA298+Sheet1!BN298+P296+'Calculations II'!BC296+Calculation!AS296+Calculation!DJ296</f>
        <v>61.699686172977849</v>
      </c>
      <c r="AG296" s="95">
        <f ca="1">IF(B296=TODAY(),0,Sheet1!AA298+Sheet1!BN298+'Calculations II'!BC296+'Calculations II'!P296-Sheet1!CT298-BP296)</f>
        <v>30.723729651238717</v>
      </c>
      <c r="AH296" s="95">
        <f ca="1">IF(B296=TODAY(),0,Sheet1!AA298+Sheet1!BN298+'Calculations II'!BC296+'Calculations II'!P296-BP296)</f>
        <v>49.002729651238717</v>
      </c>
      <c r="AI296" s="95">
        <f ca="1">IF(B296=TODAY(),0,BC296+Sheet1!AA298+Calculation!ES296+O296+W296+Sheet1!BN298+Calculation!AS296+Calculation!DJ296-BP296)</f>
        <v>61.699686172977849</v>
      </c>
      <c r="AJ296" s="95"/>
      <c r="AM296" s="91">
        <f t="shared" si="37"/>
        <v>41924</v>
      </c>
      <c r="AN296" s="95">
        <f>Sheet1!BU298</f>
        <v>29.8</v>
      </c>
      <c r="AO296" s="95">
        <f>Sheet1!AA298</f>
        <v>31.15</v>
      </c>
      <c r="AP296" s="95">
        <f t="shared" si="32"/>
        <v>-1.7035500000000006</v>
      </c>
      <c r="AQ296" s="1055">
        <f>((Sheet1!BV298-(Sheet1!BU298-AP296))/(Sheet1!BU298-AP296))</f>
        <v>0.21573600435506463</v>
      </c>
      <c r="AR296" s="95">
        <f t="shared" si="33"/>
        <v>32.853549999999998</v>
      </c>
      <c r="AS296" s="95">
        <f t="shared" si="34"/>
        <v>31.503550000000001</v>
      </c>
      <c r="AT296" s="90">
        <f>Sheet1!BB298</f>
        <v>1.01</v>
      </c>
      <c r="AU296" s="90">
        <f>Sheet1!AS298*GPMtoMGD</f>
        <v>1.6272000000000002E-2</v>
      </c>
      <c r="AV296" s="95">
        <f>Sheet1!AT298</f>
        <v>0</v>
      </c>
      <c r="AW296" s="90">
        <f>Sheet1!AV298*GPMtoMGD</f>
        <v>0.49320000000000003</v>
      </c>
      <c r="AX296" s="90">
        <f>Sheet1!AW298*GPMtoMGD</f>
        <v>0.70444800000000007</v>
      </c>
      <c r="AY296" s="90">
        <f>Sheet1!AX298*GPMtoMGD</f>
        <v>1.44E-4</v>
      </c>
      <c r="AZ296" s="90">
        <f>Sheet1!AY298*GPMtoMGD</f>
        <v>0</v>
      </c>
      <c r="BA296" s="90">
        <f>Sheet1!AZ298*GPMtoMGD</f>
        <v>0</v>
      </c>
      <c r="BB296" s="90">
        <f>Sheet1!BP298*GPMtoMGD</f>
        <v>0</v>
      </c>
      <c r="BC296" s="90">
        <f>Sheet1!CS298*GPMtoMGD</f>
        <v>0</v>
      </c>
      <c r="BD296" s="90">
        <f>Sheet1!BO298*GPMtoMGD</f>
        <v>0.81576000000000004</v>
      </c>
      <c r="BE296" s="90">
        <f>Sheet1!BW298*GPMtoMGD</f>
        <v>0.83635199999999998</v>
      </c>
      <c r="BF296" s="90">
        <f>Sheet1!CN298*GPMtoMGD</f>
        <v>1.08</v>
      </c>
      <c r="BG296" s="90">
        <f>Sheet1!CO298*GPMtoMGD</f>
        <v>0.50860800000000006</v>
      </c>
      <c r="BH296" s="90">
        <f>Sheet1!CP298*GPMtoMGD</f>
        <v>0.76579200000000003</v>
      </c>
      <c r="BI296" s="90">
        <f t="shared" si="38"/>
        <v>0.81576000000000004</v>
      </c>
      <c r="BK296" s="95">
        <f>SUM(AT296:BA296,BE296,Sheet1!BV298,'Calculations II'!BC296,Calculation!AQ296)</f>
        <v>55.869732770186332</v>
      </c>
      <c r="BM296" s="373">
        <f>0</f>
        <v>0</v>
      </c>
      <c r="BN296" s="373">
        <f>0</f>
        <v>0</v>
      </c>
      <c r="BP296" s="95">
        <f>SUM(BM296:BN296,W296,Sheet1!DX298)</f>
        <v>0</v>
      </c>
    </row>
    <row r="297" spans="1:68" s="90" customFormat="1">
      <c r="A297" s="651" t="s">
        <v>4</v>
      </c>
      <c r="B297" s="92">
        <v>41925</v>
      </c>
      <c r="C297" s="93">
        <v>0</v>
      </c>
      <c r="D297" s="95">
        <f>(Sheet1!BQ299-Sheet1!BQ298)*1.385</f>
        <v>-2.3544999999999989</v>
      </c>
      <c r="E297" s="30">
        <f>(Sheet1!BR299-Sheet1!BR298)*1.385</f>
        <v>-2.3267999999999995</v>
      </c>
      <c r="F297" s="30">
        <f ca="1">IF(B297=TODAY(),0,-(VLOOKUP(Sheet1!CD299,Lookup!$I$4:$J$216,2)-VLOOKUP(Sheet1!CD298,Lookup!$I$4:$J$216,2))/1000000)</f>
        <v>-0.31091081564340556</v>
      </c>
      <c r="G297" s="95">
        <f ca="1">IF(B297=TODAY(),0,-$G$6*(Sheet1!CF299-Sheet1!CF298)*7.48/1000000)</f>
        <v>-1.4296860378921346</v>
      </c>
      <c r="H297" s="95">
        <f ca="1">IF(B297=TODAY(),0,-$H$6*(Sheet1!CE299-Sheet1!CE298)*7.48/1000000)</f>
        <v>4.5118297053795289E-2</v>
      </c>
      <c r="I297" s="95">
        <f ca="1">IF(B297=TODAY(),0,-$I$6*(Sheet1!CG299-Sheet1!CG298)*7.48/1000000)</f>
        <v>-7.8169291200000005E-2</v>
      </c>
      <c r="J297" s="96" t="s">
        <v>186</v>
      </c>
      <c r="K297" s="95">
        <f ca="1">IF(B297=TODAY(),0,-$K$6*(Sheet1!CH299-Sheet1!CH298)*7.48/1000000)</f>
        <v>-0.14192872397596476</v>
      </c>
      <c r="L297" s="96" t="s">
        <v>186</v>
      </c>
      <c r="M297" s="95">
        <f ca="1">IF(B297=TODAY(),0,-$M$6*(Sheet1!CI299-Sheet1!CI298)*7.48/1000000)</f>
        <v>-0.32384715170448669</v>
      </c>
      <c r="N297" s="95">
        <f ca="1">IF(B297=TODAY(),0,-$N$6*(Sheet1!CJ299-Sheet1!CJ298)*7.48/1000000)</f>
        <v>-0.1178994562497851</v>
      </c>
      <c r="O297" s="95">
        <f t="shared" ca="1" si="35"/>
        <v>-2.3573231796119813</v>
      </c>
      <c r="P297" s="95">
        <f ca="1">O297+Calculation!ES297</f>
        <v>2.2128282464075824</v>
      </c>
      <c r="Q297" s="90" t="str">
        <f>IF(Sheet1!BQ299&gt;25.75,"spill elevation","-")</f>
        <v>-</v>
      </c>
      <c r="R297" s="90" t="str">
        <f>IF(Sheet1!BQ299&gt;25.75,"spill elevation","-")</f>
        <v>-</v>
      </c>
      <c r="S297" s="90" t="str">
        <f>IF(Sheet1!BR299&gt;25.75,"spill elevation","-")</f>
        <v>-</v>
      </c>
      <c r="T297" s="94">
        <f>IF(Sheet1!DU299=1,Sheet1!AA299-(SUM(AT297:BA297)+BE297),Sheet1!AA299-SUM(AT297:BA297))</f>
        <v>28.462335999999997</v>
      </c>
      <c r="U297" s="94">
        <f>Sheet1!BV299</f>
        <v>41.2</v>
      </c>
      <c r="V297" s="94">
        <f t="shared" si="36"/>
        <v>-12.737664000000006</v>
      </c>
      <c r="W297" s="94">
        <f>0</f>
        <v>0</v>
      </c>
      <c r="X297" s="90">
        <f>0</f>
        <v>0</v>
      </c>
      <c r="Y297" s="95">
        <f ca="1">Calculation!EJ298+Calculation!ES297+'Calculations II'!O297-'Calculations II'!W297</f>
        <v>60.462828246407582</v>
      </c>
      <c r="Z297" s="95">
        <f ca="1">Y297-Sheet1!CT300</f>
        <v>43.997828246407579</v>
      </c>
      <c r="AA297" s="95">
        <f ca="1">Y297+Calculation!DJ298+Calculation!AS298</f>
        <v>71.374825298728879</v>
      </c>
      <c r="AC297" s="95">
        <f>Sheet1!AA299+Sheet1!AB299+BC297</f>
        <v>58.15</v>
      </c>
      <c r="AD297" s="95">
        <f>Sheet1!AA299+Sheet1!BN299+'Calculations II'!BC297-Calculation!AS297-Calculation!DJ297</f>
        <v>33.633676470588235</v>
      </c>
      <c r="AE297" s="95">
        <f>Sheet1!AA299+Sheet1!AB299+'Calculations II'!BC297-Calculation!AS297-Calculation!DJ297</f>
        <v>45.83367647058823</v>
      </c>
      <c r="AF297" s="95">
        <f ca="1">Sheet1!AA299+Sheet1!BN299+P297+'Calculations II'!BC297+Calculation!AS297+Calculation!DJ297</f>
        <v>60.479151775819354</v>
      </c>
      <c r="AG297" s="95">
        <f ca="1">IF(B297=TODAY(),0,Sheet1!AA299+Sheet1!BN299+'Calculations II'!BC297+'Calculations II'!P297-Sheet1!CT299-BP297)</f>
        <v>30.692828246407586</v>
      </c>
      <c r="AH297" s="95">
        <f ca="1">IF(B297=TODAY(),0,Sheet1!AA299+Sheet1!BN299+'Calculations II'!BC297+'Calculations II'!P297-BP297)</f>
        <v>48.162828246407585</v>
      </c>
      <c r="AI297" s="95">
        <f ca="1">IF(B297=TODAY(),0,BC297+Sheet1!AA299+Calculation!ES297+O297+W297+Sheet1!BN299+Calculation!AS297+Calculation!DJ297-BP297)</f>
        <v>60.479151775819354</v>
      </c>
      <c r="AJ297" s="95"/>
      <c r="AM297" s="91">
        <f t="shared" si="37"/>
        <v>41925</v>
      </c>
      <c r="AN297" s="95">
        <f>Sheet1!BU299</f>
        <v>29.6</v>
      </c>
      <c r="AO297" s="95">
        <f>Sheet1!AA299</f>
        <v>31.15</v>
      </c>
      <c r="AP297" s="95">
        <f t="shared" si="32"/>
        <v>-4.6812999999999985</v>
      </c>
      <c r="AQ297" s="1055">
        <f>((Sheet1!BV299-(Sheet1!BU299-AP297))/(Sheet1!BU299-AP297))</f>
        <v>0.20182140117206759</v>
      </c>
      <c r="AR297" s="95">
        <f t="shared" si="33"/>
        <v>35.831299999999999</v>
      </c>
      <c r="AS297" s="95">
        <f t="shared" si="34"/>
        <v>34.281300000000002</v>
      </c>
      <c r="AT297" s="90">
        <f>Sheet1!BB299</f>
        <v>1.02</v>
      </c>
      <c r="AU297" s="90">
        <f>Sheet1!AS299*GPMtoMGD</f>
        <v>1.584E-2</v>
      </c>
      <c r="AV297" s="95">
        <f>Sheet1!AT299</f>
        <v>0</v>
      </c>
      <c r="AW297" s="90">
        <f>Sheet1!AV299*GPMtoMGD</f>
        <v>0.75801600000000002</v>
      </c>
      <c r="AX297" s="90">
        <f>Sheet1!AW299*GPMtoMGD</f>
        <v>0.89380800000000016</v>
      </c>
      <c r="AY297" s="90">
        <f>Sheet1!AX299*GPMtoMGD</f>
        <v>0</v>
      </c>
      <c r="AZ297" s="90">
        <f>Sheet1!AY299*GPMtoMGD</f>
        <v>0</v>
      </c>
      <c r="BA297" s="90">
        <f>Sheet1!AZ299*GPMtoMGD</f>
        <v>0</v>
      </c>
      <c r="BB297" s="90">
        <f>Sheet1!BP299*GPMtoMGD</f>
        <v>0</v>
      </c>
      <c r="BC297" s="90">
        <f>Sheet1!CS299*GPMtoMGD</f>
        <v>0</v>
      </c>
      <c r="BD297" s="90">
        <f>Sheet1!BO299*GPMtoMGD</f>
        <v>2.0193120000000002</v>
      </c>
      <c r="BE297" s="90">
        <f>Sheet1!BW299*GPMtoMGD</f>
        <v>0.85060800000000014</v>
      </c>
      <c r="BF297" s="90">
        <f>Sheet1!CN299*GPMtoMGD</f>
        <v>1.08</v>
      </c>
      <c r="BG297" s="90">
        <f>Sheet1!CO299*GPMtoMGD</f>
        <v>0.48643200000000003</v>
      </c>
      <c r="BH297" s="90">
        <f>Sheet1!CP299*GPMtoMGD</f>
        <v>0.79963200000000001</v>
      </c>
      <c r="BI297" s="90">
        <f t="shared" si="38"/>
        <v>2.0193120000000002</v>
      </c>
      <c r="BK297" s="95">
        <f>SUM(AT297:BA297,BE297,Sheet1!BV299,'Calculations II'!BC297,Calculation!AQ297)</f>
        <v>59.429448470588234</v>
      </c>
      <c r="BM297" s="373">
        <f>0</f>
        <v>0</v>
      </c>
      <c r="BN297" s="373">
        <f>0</f>
        <v>0</v>
      </c>
      <c r="BP297" s="95">
        <f>SUM(BM297:BN297,W297,Sheet1!DX299)</f>
        <v>0</v>
      </c>
    </row>
    <row r="298" spans="1:68" s="90" customFormat="1">
      <c r="A298" s="651" t="s">
        <v>5</v>
      </c>
      <c r="B298" s="92">
        <v>41926</v>
      </c>
      <c r="C298" s="93">
        <v>0</v>
      </c>
      <c r="D298" s="95">
        <f>(Sheet1!BQ300-Sheet1!BQ299)*1.385</f>
        <v>0.94179999999999964</v>
      </c>
      <c r="E298" s="30">
        <f>(Sheet1!BR300-Sheet1!BR299)*1.385</f>
        <v>0.92795000000000238</v>
      </c>
      <c r="F298" s="30">
        <f ca="1">IF(B298=TODAY(),0,-(VLOOKUP(Sheet1!CD300,Lookup!$I$4:$J$216,2)-VLOOKUP(Sheet1!CD299,Lookup!$I$4:$J$216,2))/1000000)</f>
        <v>-0.20727387709559872</v>
      </c>
      <c r="G298" s="95">
        <f ca="1">IF(B298=TODAY(),0,-$G$6*(Sheet1!CF300-Sheet1!CF299)*7.48/1000000)</f>
        <v>0.19856750526279648</v>
      </c>
      <c r="H298" s="95">
        <f ca="1">IF(B298=TODAY(),0,-$H$6*(Sheet1!CE300-Sheet1!CE299)*7.48/1000000)</f>
        <v>-4.5118297053795289E-2</v>
      </c>
      <c r="I298" s="95">
        <f ca="1">IF(B298=TODAY(),0,-$I$6*(Sheet1!CG300-Sheet1!CG299)*7.48/1000000)</f>
        <v>-4.7620372799999991E-2</v>
      </c>
      <c r="J298" s="96" t="s">
        <v>186</v>
      </c>
      <c r="K298" s="95">
        <f ca="1">IF(B298=TODAY(),0,-$K$6*(Sheet1!CH300-Sheet1!CH299)*7.48/1000000)</f>
        <v>-7.3296524119042847E-2</v>
      </c>
      <c r="L298" s="96" t="s">
        <v>186</v>
      </c>
      <c r="M298" s="95">
        <f ca="1">IF(B298=TODAY(),0,-$M$6*(Sheet1!CI300-Sheet1!CI299)*7.48/1000000)</f>
        <v>-0.25188111799237906</v>
      </c>
      <c r="N298" s="95">
        <f ca="1">IF(B298=TODAY(),0,-$N$6*(Sheet1!CJ300-Sheet1!CJ299)*7.48/1000000)</f>
        <v>-4.9641876315699163E-2</v>
      </c>
      <c r="O298" s="95">
        <f t="shared" ca="1" si="35"/>
        <v>-0.47626456011371859</v>
      </c>
      <c r="P298" s="95">
        <f ca="1">O298+Calculation!ES298</f>
        <v>-2.2762077920100183</v>
      </c>
      <c r="Q298" s="90" t="str">
        <f>IF(Sheet1!BQ300&gt;25.75,"spill elevation","-")</f>
        <v>-</v>
      </c>
      <c r="R298" s="90" t="str">
        <f>IF(Sheet1!BQ300&gt;25.75,"spill elevation","-")</f>
        <v>-</v>
      </c>
      <c r="S298" s="90" t="str">
        <f>IF(Sheet1!BR300&gt;25.75,"spill elevation","-")</f>
        <v>-</v>
      </c>
      <c r="T298" s="94">
        <f>IF(Sheet1!DU300=1,Sheet1!AA300-(SUM(AT298:BA298)+BE298),Sheet1!AA300-SUM(AT298:BA298))</f>
        <v>28.973552000000002</v>
      </c>
      <c r="U298" s="94">
        <f>Sheet1!BV300</f>
        <v>34.9</v>
      </c>
      <c r="V298" s="94">
        <f t="shared" si="36"/>
        <v>-5.9264479999999971</v>
      </c>
      <c r="W298" s="94">
        <f>0</f>
        <v>0</v>
      </c>
      <c r="X298" s="90">
        <f>0</f>
        <v>0</v>
      </c>
      <c r="Y298" s="95">
        <f ca="1">Calculation!EJ299+Calculation!ES298+'Calculations II'!O298-'Calculations II'!W298</f>
        <v>53.373792207989979</v>
      </c>
      <c r="Z298" s="95">
        <f ca="1">Y298-Sheet1!CT301</f>
        <v>36.758792207989984</v>
      </c>
      <c r="AA298" s="95">
        <f ca="1">Y298+Calculation!DJ299+Calculation!AS299</f>
        <v>63.427125541323306</v>
      </c>
      <c r="AC298" s="95">
        <f>Sheet1!AA300+Sheet1!AB300+BC298</f>
        <v>58.25</v>
      </c>
      <c r="AD298" s="95">
        <f>Sheet1!AA300+Sheet1!BN300+'Calculations II'!BC298-Calculation!AS298-Calculation!DJ298</f>
        <v>36.478002947678704</v>
      </c>
      <c r="AE298" s="95">
        <f>Sheet1!AA300+Sheet1!AB300+'Calculations II'!BC298-Calculation!AS298-Calculation!DJ298</f>
        <v>47.338002947678703</v>
      </c>
      <c r="AF298" s="95">
        <f ca="1">Sheet1!AA300+Sheet1!BN300+P298+'Calculations II'!BC298+Calculation!AS298+Calculation!DJ298</f>
        <v>56.025789260311271</v>
      </c>
      <c r="AG298" s="95">
        <f ca="1">IF(B298=TODAY(),0,Sheet1!AA300+Sheet1!BN300+'Calculations II'!BC298+'Calculations II'!P298-Sheet1!CT300-BP298)</f>
        <v>28.648792207989981</v>
      </c>
      <c r="AH298" s="95">
        <f ca="1">IF(B298=TODAY(),0,Sheet1!AA300+Sheet1!BN300+'Calculations II'!BC298+'Calculations II'!P298-BP298)</f>
        <v>45.113792207989981</v>
      </c>
      <c r="AI298" s="95">
        <f ca="1">IF(B298=TODAY(),0,BC298+Sheet1!AA300+Calculation!ES298+O298+W298+Sheet1!BN300+Calculation!AS298+Calculation!DJ298-BP298)</f>
        <v>56.025789260311271</v>
      </c>
      <c r="AJ298" s="95"/>
      <c r="AM298" s="91">
        <f t="shared" si="37"/>
        <v>41926</v>
      </c>
      <c r="AN298" s="95">
        <f>Sheet1!BU300</f>
        <v>30.1</v>
      </c>
      <c r="AO298" s="95">
        <f>Sheet1!AA300</f>
        <v>31.19</v>
      </c>
      <c r="AP298" s="95">
        <f t="shared" si="32"/>
        <v>1.869750000000002</v>
      </c>
      <c r="AQ298" s="1055">
        <f>((Sheet1!BV300-(Sheet1!BU300-AP298))/(Sheet1!BU300-AP298))</f>
        <v>0.23626251981473778</v>
      </c>
      <c r="AR298" s="95">
        <f t="shared" si="33"/>
        <v>29.320249999999998</v>
      </c>
      <c r="AS298" s="95">
        <f t="shared" si="34"/>
        <v>28.230249999999998</v>
      </c>
      <c r="AT298" s="90">
        <f>Sheet1!BB300</f>
        <v>1.44</v>
      </c>
      <c r="AU298" s="90">
        <f>Sheet1!AS300*GPMtoMGD</f>
        <v>1.5264E-2</v>
      </c>
      <c r="AV298" s="95">
        <f>Sheet1!AT300</f>
        <v>0</v>
      </c>
      <c r="AW298" s="90">
        <f>Sheet1!AV300*GPMtoMGD</f>
        <v>0.30686400000000003</v>
      </c>
      <c r="AX298" s="90">
        <f>Sheet1!AW300*GPMtoMGD</f>
        <v>0.45432</v>
      </c>
      <c r="AY298" s="90">
        <f>Sheet1!AX300*GPMtoMGD</f>
        <v>0</v>
      </c>
      <c r="AZ298" s="90">
        <f>Sheet1!AY300*GPMtoMGD</f>
        <v>0</v>
      </c>
      <c r="BA298" s="90">
        <f>Sheet1!AZ300*GPMtoMGD</f>
        <v>0</v>
      </c>
      <c r="BB298" s="90">
        <f>Sheet1!BP300*GPMtoMGD</f>
        <v>0</v>
      </c>
      <c r="BC298" s="90">
        <f>Sheet1!CS300*GPMtoMGD</f>
        <v>0</v>
      </c>
      <c r="BD298" s="90">
        <f>Sheet1!BO300*GPMtoMGD</f>
        <v>1.9324800000000002</v>
      </c>
      <c r="BE298" s="90">
        <f>Sheet1!BW300*GPMtoMGD</f>
        <v>0.61934400000000012</v>
      </c>
      <c r="BF298" s="90">
        <f>Sheet1!CN300*GPMtoMGD</f>
        <v>1.08</v>
      </c>
      <c r="BG298" s="90">
        <f>Sheet1!CO300*GPMtoMGD</f>
        <v>0.44899200000000006</v>
      </c>
      <c r="BH298" s="90">
        <f>Sheet1!CP300*GPMtoMGD</f>
        <v>0.78667200000000004</v>
      </c>
      <c r="BI298" s="90">
        <f t="shared" si="38"/>
        <v>1.9324800000000002</v>
      </c>
      <c r="BK298" s="95">
        <f>SUM(AT298:BA298,BE298,Sheet1!BV300,'Calculations II'!BC298,Calculation!AQ298)</f>
        <v>53.888039605011045</v>
      </c>
      <c r="BM298" s="373">
        <f>0</f>
        <v>0</v>
      </c>
      <c r="BN298" s="373">
        <f>0</f>
        <v>0</v>
      </c>
      <c r="BP298" s="95">
        <f>SUM(BM298:BN298,W298,Sheet1!DX300)</f>
        <v>0</v>
      </c>
    </row>
    <row r="299" spans="1:68" s="90" customFormat="1">
      <c r="A299" s="651" t="s">
        <v>6</v>
      </c>
      <c r="B299" s="92">
        <v>41927</v>
      </c>
      <c r="C299" s="93">
        <v>0</v>
      </c>
      <c r="D299" s="95">
        <f>(Sheet1!BQ301-Sheet1!BQ300)*1.385</f>
        <v>0.37394999999999939</v>
      </c>
      <c r="E299" s="30">
        <f>(Sheet1!BR301-Sheet1!BR300)*1.385</f>
        <v>0.37394999999999939</v>
      </c>
      <c r="F299" s="30">
        <f ca="1">IF(B299=TODAY(),0,-(VLOOKUP(Sheet1!CD301,Lookup!$I$4:$J$216,2)-VLOOKUP(Sheet1!CD300,Lookup!$I$4:$J$216,2))/1000000)</f>
        <v>0.31091081564340556</v>
      </c>
      <c r="G299" s="95">
        <f ca="1">IF(B299=TODAY(),0,-$G$6*(Sheet1!CF301-Sheet1!CF300)*7.48/1000000)</f>
        <v>0.19856750526279648</v>
      </c>
      <c r="H299" s="95">
        <f ca="1">IF(B299=TODAY(),0,-$H$6*(Sheet1!CE301-Sheet1!CE300)*7.48/1000000)</f>
        <v>-4.5118297053795289E-2</v>
      </c>
      <c r="I299" s="95">
        <f ca="1">IF(B299=TODAY(),0,-$I$6*(Sheet1!CG301-Sheet1!CG300)*7.48/1000000)</f>
        <v>-4.9417368000000145E-3</v>
      </c>
      <c r="J299" s="96" t="s">
        <v>186</v>
      </c>
      <c r="K299" s="95">
        <f ca="1">IF(B299=TODAY(),0,-$K$6*(Sheet1!CH301-Sheet1!CH300)*7.48/1000000)</f>
        <v>-1.3326640748916953E-2</v>
      </c>
      <c r="L299" s="96" t="s">
        <v>186</v>
      </c>
      <c r="M299" s="95">
        <f ca="1">IF(B299=TODAY(),0,-$M$6*(Sheet1!CI301-Sheet1!CI300)*7.48/1000000)</f>
        <v>-3.598301685605397E-2</v>
      </c>
      <c r="N299" s="95">
        <f ca="1">IF(B299=TODAY(),0,-$N$6*(Sheet1!CJ301-Sheet1!CJ300)*7.48/1000000)</f>
        <v>-0.32887743059150631</v>
      </c>
      <c r="O299" s="95">
        <f t="shared" ca="1" si="35"/>
        <v>8.1231198855929498E-2</v>
      </c>
      <c r="P299" s="95">
        <f ca="1">O299+Calculation!ES299</f>
        <v>-0.61120549231998589</v>
      </c>
      <c r="Q299" s="90" t="str">
        <f>IF(Sheet1!BQ301&gt;25.75,"spill elevation","-")</f>
        <v>-</v>
      </c>
      <c r="R299" s="90" t="str">
        <f>IF(Sheet1!BQ301&gt;25.75,"spill elevation","-")</f>
        <v>-</v>
      </c>
      <c r="S299" s="90" t="str">
        <f>IF(Sheet1!BR301&gt;25.75,"spill elevation","-")</f>
        <v>-</v>
      </c>
      <c r="T299" s="94">
        <f>IF(Sheet1!DU301=1,Sheet1!AA301-(SUM(AT299:BA299)+BE299),Sheet1!AA301-SUM(AT299:BA299))</f>
        <v>26.870815999999998</v>
      </c>
      <c r="U299" s="94">
        <f>Sheet1!BV301</f>
        <v>34.200000000000003</v>
      </c>
      <c r="V299" s="94">
        <f t="shared" si="36"/>
        <v>-7.329184000000005</v>
      </c>
      <c r="W299" s="94">
        <f>0</f>
        <v>0</v>
      </c>
      <c r="X299" s="90">
        <f>0</f>
        <v>0</v>
      </c>
      <c r="Y299" s="95">
        <f ca="1">Calculation!EJ300+Calculation!ES299+'Calculations II'!O299-'Calculations II'!W299</f>
        <v>53.548794507680014</v>
      </c>
      <c r="Z299" s="95">
        <f ca="1">Y299-Sheet1!CT302</f>
        <v>37.838794507680014</v>
      </c>
      <c r="AA299" s="95">
        <f ca="1">Y299+Calculation!DJ300+Calculation!AS300</f>
        <v>63.85147067553433</v>
      </c>
      <c r="AC299" s="95">
        <f>Sheet1!AA301+Sheet1!AB301+BC299</f>
        <v>55.65</v>
      </c>
      <c r="AD299" s="95">
        <f>Sheet1!AA301+Sheet1!BN301+'Calculations II'!BC299-Calculation!AS299-Calculation!DJ299</f>
        <v>35.656666666666666</v>
      </c>
      <c r="AE299" s="95">
        <f>Sheet1!AA301+Sheet1!AB301+'Calculations II'!BC299-Calculation!AS299-Calculation!DJ299</f>
        <v>45.596666666666664</v>
      </c>
      <c r="AF299" s="95">
        <f ca="1">Sheet1!AA301+Sheet1!BN301+P299+'Calculations II'!BC299+Calculation!AS299+Calculation!DJ299</f>
        <v>55.152127841013339</v>
      </c>
      <c r="AG299" s="95">
        <f ca="1">IF(B299=TODAY(),0,Sheet1!AA301+Sheet1!BN301+'Calculations II'!BC299+'Calculations II'!P299-Sheet1!CT301-BP299)</f>
        <v>28.483794507680013</v>
      </c>
      <c r="AH299" s="95">
        <f ca="1">IF(B299=TODAY(),0,Sheet1!AA301+Sheet1!BN301+'Calculations II'!BC299+'Calculations II'!P299-BP299)</f>
        <v>45.098794507680012</v>
      </c>
      <c r="AI299" s="95">
        <f ca="1">IF(B299=TODAY(),0,BC299+Sheet1!AA301+Calculation!ES299+O299+W299+Sheet1!BN301+Calculation!AS299+Calculation!DJ299-BP299)</f>
        <v>55.152127841013339</v>
      </c>
      <c r="AJ299" s="95"/>
      <c r="AM299" s="91">
        <f t="shared" si="37"/>
        <v>41927</v>
      </c>
      <c r="AN299" s="95">
        <f>Sheet1!BU301</f>
        <v>28.7</v>
      </c>
      <c r="AO299" s="95">
        <f>Sheet1!AA301</f>
        <v>29.81</v>
      </c>
      <c r="AP299" s="95">
        <f t="shared" si="32"/>
        <v>0.74789999999999879</v>
      </c>
      <c r="AQ299" s="1055">
        <f>((Sheet1!BV301-(Sheet1!BU301-AP299))/(Sheet1!BU301-AP299))</f>
        <v>0.22352166742391452</v>
      </c>
      <c r="AR299" s="95">
        <f t="shared" si="33"/>
        <v>29.062100000000001</v>
      </c>
      <c r="AS299" s="95">
        <f t="shared" si="34"/>
        <v>27.952100000000002</v>
      </c>
      <c r="AT299" s="90">
        <f>Sheet1!BB301</f>
        <v>1.44</v>
      </c>
      <c r="AU299" s="90">
        <f>Sheet1!AS301*GPMtoMGD</f>
        <v>3.2688000000000002E-2</v>
      </c>
      <c r="AV299" s="95">
        <f>Sheet1!AT301</f>
        <v>0</v>
      </c>
      <c r="AW299" s="90">
        <f>Sheet1!AV301*GPMtoMGD</f>
        <v>0.61358400000000002</v>
      </c>
      <c r="AX299" s="90">
        <f>Sheet1!AW301*GPMtoMGD</f>
        <v>0.852912</v>
      </c>
      <c r="AY299" s="90">
        <f>Sheet1!AX301*GPMtoMGD</f>
        <v>0</v>
      </c>
      <c r="AZ299" s="90">
        <f>Sheet1!AY301*GPMtoMGD</f>
        <v>0</v>
      </c>
      <c r="BA299" s="90">
        <f>Sheet1!AZ301*GPMtoMGD</f>
        <v>0</v>
      </c>
      <c r="BB299" s="90">
        <f>Sheet1!BP301*GPMtoMGD</f>
        <v>0</v>
      </c>
      <c r="BC299" s="90">
        <f>Sheet1!CS301*GPMtoMGD</f>
        <v>0</v>
      </c>
      <c r="BD299" s="90">
        <f>Sheet1!BO301*GPMtoMGD</f>
        <v>1.5835680000000001</v>
      </c>
      <c r="BE299" s="90">
        <f>Sheet1!BW301*GPMtoMGD</f>
        <v>0.65088000000000001</v>
      </c>
      <c r="BF299" s="90">
        <f>Sheet1!CN301*GPMtoMGD</f>
        <v>1.08</v>
      </c>
      <c r="BG299" s="90">
        <f>Sheet1!CO301*GPMtoMGD</f>
        <v>0.43632000000000004</v>
      </c>
      <c r="BH299" s="90">
        <f>Sheet1!CP301*GPMtoMGD</f>
        <v>0.78595199999999998</v>
      </c>
      <c r="BI299" s="90">
        <f t="shared" si="38"/>
        <v>1.5835680000000001</v>
      </c>
      <c r="BK299" s="95">
        <f>SUM(AT299:BA299,BE299,Sheet1!BV301,'Calculations II'!BC299,Calculation!AQ299)</f>
        <v>53.586142431372551</v>
      </c>
      <c r="BM299" s="373">
        <f>0</f>
        <v>0</v>
      </c>
      <c r="BN299" s="373">
        <f>0</f>
        <v>0</v>
      </c>
      <c r="BP299" s="95">
        <f>SUM(BM299:BN299,W299,Sheet1!DX301)</f>
        <v>0</v>
      </c>
    </row>
    <row r="300" spans="1:68" s="90" customFormat="1">
      <c r="A300" s="651" t="s">
        <v>7</v>
      </c>
      <c r="B300" s="92">
        <v>41928</v>
      </c>
      <c r="C300" s="93">
        <v>0</v>
      </c>
      <c r="D300" s="95">
        <f>(Sheet1!BQ302-Sheet1!BQ301)*1.385</f>
        <v>-0.67864999999999787</v>
      </c>
      <c r="E300" s="30">
        <f>(Sheet1!BR302-Sheet1!BR301)*1.385</f>
        <v>-0.65095000000000336</v>
      </c>
      <c r="F300" s="30">
        <f ca="1">IF(B300=TODAY(),0,-(VLOOKUP(Sheet1!CD302,Lookup!$I$4:$J$216,2)-VLOOKUP(Sheet1!CD301,Lookup!$I$4:$J$216,2))/1000000)</f>
        <v>0</v>
      </c>
      <c r="G300" s="95">
        <f ca="1">IF(B300=TODAY(),0,-$G$6*(Sheet1!CF302-Sheet1!CF301)*7.48/1000000)</f>
        <v>0.27799450736791476</v>
      </c>
      <c r="H300" s="95">
        <f ca="1">IF(B300=TODAY(),0,-$H$6*(Sheet1!CE302-Sheet1!CE301)*7.48/1000000)</f>
        <v>7.5197161756325293E-2</v>
      </c>
      <c r="I300" s="95">
        <f ca="1">IF(B300=TODAY(),0,-$I$6*(Sheet1!CG302-Sheet1!CG301)*7.48/1000000)</f>
        <v>-7.0532061599999973E-2</v>
      </c>
      <c r="J300" s="96" t="s">
        <v>186</v>
      </c>
      <c r="K300" s="95">
        <f ca="1">IF(B300=TODAY(),0,-$K$6*(Sheet1!CH302-Sheet1!CH301)*7.48/1000000)</f>
        <v>-0.1199397667402519</v>
      </c>
      <c r="L300" s="96" t="s">
        <v>186</v>
      </c>
      <c r="M300" s="95">
        <f ca="1">IF(B300=TODAY(),0,-$M$6*(Sheet1!CI302-Sheet1!CI301)*7.48/1000000)</f>
        <v>-0.26987262642040577</v>
      </c>
      <c r="N300" s="95">
        <f ca="1">IF(B300=TODAY(),0,-$N$6*(Sheet1!CJ302-Sheet1!CJ301)*7.48/1000000)</f>
        <v>0.45918735592021587</v>
      </c>
      <c r="O300" s="95">
        <f t="shared" ca="1" si="35"/>
        <v>0.35203457028379825</v>
      </c>
      <c r="P300" s="95">
        <f ca="1">O300+Calculation!ES300</f>
        <v>1.7368182390138673</v>
      </c>
      <c r="Q300" s="90" t="str">
        <f>IF(Sheet1!BQ302&gt;25.75,"spill elevation","-")</f>
        <v>-</v>
      </c>
      <c r="R300" s="90" t="str">
        <f>IF(Sheet1!BQ302&gt;25.75,"spill elevation","-")</f>
        <v>-</v>
      </c>
      <c r="S300" s="90" t="str">
        <f>IF(Sheet1!BR302&gt;25.75,"spill elevation","-")</f>
        <v>-</v>
      </c>
      <c r="T300" s="94">
        <f>IF(Sheet1!DU302=1,Sheet1!AA302-(SUM(AT300:BA300)+BE300),Sheet1!AA302-SUM(AT300:BA300))</f>
        <v>26.429663999999999</v>
      </c>
      <c r="U300" s="94">
        <f>Sheet1!BV302</f>
        <v>35.299999999999997</v>
      </c>
      <c r="V300" s="94">
        <f t="shared" si="36"/>
        <v>-8.8703359999999982</v>
      </c>
      <c r="W300" s="94">
        <f>0</f>
        <v>0</v>
      </c>
      <c r="X300" s="90">
        <f>0</f>
        <v>0</v>
      </c>
      <c r="Y300" s="95">
        <f ca="1">Calculation!EJ301+Calculation!ES300+'Calculations II'!O300-'Calculations II'!W300</f>
        <v>55.706818239013863</v>
      </c>
      <c r="Z300" s="95">
        <f ca="1">Y300-Sheet1!CT303</f>
        <v>40.461818239013866</v>
      </c>
      <c r="AA300" s="95">
        <f ca="1">Y300+Calculation!DJ301+Calculation!AS301</f>
        <v>65.73891469178389</v>
      </c>
      <c r="AC300" s="95">
        <f>Sheet1!AA302+Sheet1!AB302+BC300</f>
        <v>54.16</v>
      </c>
      <c r="AD300" s="95">
        <f>Sheet1!AA302+Sheet1!BN302+'Calculations II'!BC300-Calculation!AS300-Calculation!DJ300</f>
        <v>33.657323832145686</v>
      </c>
      <c r="AE300" s="95">
        <f>Sheet1!AA302+Sheet1!AB302+'Calculations II'!BC300-Calculation!AS300-Calculation!DJ300</f>
        <v>43.857323832145681</v>
      </c>
      <c r="AF300" s="95">
        <f ca="1">Sheet1!AA302+Sheet1!BN302+P300+'Calculations II'!BC300+Calculation!AS300+Calculation!DJ300</f>
        <v>55.99949440686818</v>
      </c>
      <c r="AG300" s="95">
        <f ca="1">IF(B300=TODAY(),0,Sheet1!AA302+Sheet1!BN302+'Calculations II'!BC300+'Calculations II'!P300-Sheet1!CT302-BP300)</f>
        <v>29.986818239013864</v>
      </c>
      <c r="AH300" s="95">
        <f ca="1">IF(B300=TODAY(),0,Sheet1!AA302+Sheet1!BN302+'Calculations II'!BC300+'Calculations II'!P300-BP300)</f>
        <v>45.696818239013865</v>
      </c>
      <c r="AI300" s="95">
        <f ca="1">IF(B300=TODAY(),0,BC300+Sheet1!AA302+Calculation!ES300+O300+W300+Sheet1!BN302+Calculation!AS300+Calculation!DJ300-BP300)</f>
        <v>55.99949440686818</v>
      </c>
      <c r="AJ300" s="95"/>
      <c r="AM300" s="91">
        <f t="shared" si="37"/>
        <v>41928</v>
      </c>
      <c r="AN300" s="95">
        <f>Sheet1!BU302</f>
        <v>27.9</v>
      </c>
      <c r="AO300" s="95">
        <f>Sheet1!AA302</f>
        <v>29.06</v>
      </c>
      <c r="AP300" s="95">
        <f t="shared" si="32"/>
        <v>-1.3296000000000012</v>
      </c>
      <c r="AQ300" s="1055">
        <f>((Sheet1!BV302-(Sheet1!BU302-AP300))/(Sheet1!BU302-AP300))</f>
        <v>0.20767988614281399</v>
      </c>
      <c r="AR300" s="95">
        <f t="shared" si="33"/>
        <v>30.389600000000002</v>
      </c>
      <c r="AS300" s="95">
        <f t="shared" si="34"/>
        <v>29.229600000000001</v>
      </c>
      <c r="AT300" s="90">
        <f>Sheet1!BB302</f>
        <v>1.31</v>
      </c>
      <c r="AU300" s="90">
        <f>Sheet1!AS302*GPMtoMGD</f>
        <v>1.6992000000000004E-2</v>
      </c>
      <c r="AV300" s="95">
        <f>Sheet1!AT302</f>
        <v>0</v>
      </c>
      <c r="AW300" s="90">
        <f>Sheet1!AV302*GPMtoMGD</f>
        <v>0.59443200000000007</v>
      </c>
      <c r="AX300" s="90">
        <f>Sheet1!AW302*GPMtoMGD</f>
        <v>0.7089120000000001</v>
      </c>
      <c r="AY300" s="90">
        <f>Sheet1!AX302*GPMtoMGD</f>
        <v>0</v>
      </c>
      <c r="AZ300" s="90">
        <f>Sheet1!AY302*GPMtoMGD</f>
        <v>0</v>
      </c>
      <c r="BA300" s="90">
        <f>Sheet1!AZ302*GPMtoMGD</f>
        <v>0</v>
      </c>
      <c r="BB300" s="90">
        <f>Sheet1!BP302*GPMtoMGD</f>
        <v>0</v>
      </c>
      <c r="BC300" s="90">
        <f>Sheet1!CS302*GPMtoMGD</f>
        <v>0</v>
      </c>
      <c r="BD300" s="90">
        <f>Sheet1!BO302*GPMtoMGD</f>
        <v>1.9337760000000002</v>
      </c>
      <c r="BE300" s="90">
        <f>Sheet1!BW302*GPMtoMGD</f>
        <v>0.94536000000000009</v>
      </c>
      <c r="BF300" s="90">
        <f>Sheet1!CN302*GPMtoMGD</f>
        <v>0.19425600000000001</v>
      </c>
      <c r="BG300" s="90">
        <f>Sheet1!CO302*GPMtoMGD</f>
        <v>0.43387200000000004</v>
      </c>
      <c r="BH300" s="90">
        <f>Sheet1!CP302*GPMtoMGD</f>
        <v>0.77040000000000008</v>
      </c>
      <c r="BI300" s="90">
        <f t="shared" si="38"/>
        <v>1.9337760000000002</v>
      </c>
      <c r="BK300" s="95">
        <f>SUM(AT300:BA300,BE300,Sheet1!BV302,'Calculations II'!BC300,Calculation!AQ300)</f>
        <v>53.681317536025333</v>
      </c>
      <c r="BM300" s="373">
        <f>0</f>
        <v>0</v>
      </c>
      <c r="BN300" s="373">
        <f>0</f>
        <v>0</v>
      </c>
      <c r="BP300" s="95">
        <f>SUM(BM300:BN300,W300,Sheet1!DX302)</f>
        <v>0</v>
      </c>
    </row>
    <row r="301" spans="1:68" s="90" customFormat="1">
      <c r="A301" s="651" t="s">
        <v>8</v>
      </c>
      <c r="B301" s="92">
        <v>41929</v>
      </c>
      <c r="C301" s="93">
        <v>0</v>
      </c>
      <c r="D301" s="95">
        <f>(Sheet1!BQ303-Sheet1!BQ302)*1.385</f>
        <v>1.8005000000000011</v>
      </c>
      <c r="E301" s="30">
        <f>(Sheet1!BR303-Sheet1!BR302)*1.385</f>
        <v>1.6758500000000012</v>
      </c>
      <c r="F301" s="30">
        <f ca="1">IF(B301=TODAY(),0,-(VLOOKUP(Sheet1!CD303,Lookup!$I$4:$J$216,2)-VLOOKUP(Sheet1!CD302,Lookup!$I$4:$J$216,2))/1000000)</f>
        <v>0.31091081564339806</v>
      </c>
      <c r="G301" s="95">
        <f ca="1">IF(B301=TODAY(),0,-$G$6*(Sheet1!CF303-Sheet1!CF302)*7.48/1000000)</f>
        <v>0.27799450736791476</v>
      </c>
      <c r="H301" s="95">
        <f ca="1">IF(B301=TODAY(),0,-$H$6*(Sheet1!CE303-Sheet1!CE302)*7.48/1000000)</f>
        <v>9.0236594107590579E-2</v>
      </c>
      <c r="I301" s="95">
        <f ca="1">IF(B301=TODAY(),0,-$I$6*(Sheet1!CG303-Sheet1!CG302)*7.48/1000000)</f>
        <v>0.1922784864</v>
      </c>
      <c r="J301" s="96" t="s">
        <v>186</v>
      </c>
      <c r="K301" s="95">
        <f ca="1">IF(B301=TODAY(),0,-$K$6*(Sheet1!CH303-Sheet1!CH302)*7.48/1000000)</f>
        <v>0.32650269834846357</v>
      </c>
      <c r="L301" s="96" t="s">
        <v>186</v>
      </c>
      <c r="M301" s="95">
        <f ca="1">IF(B301=TODAY(),0,-$M$6*(Sheet1!CI303-Sheet1!CI302)*7.48/1000000)</f>
        <v>0.89957542140135238</v>
      </c>
      <c r="N301" s="95">
        <f ca="1">IF(B301=TODAY(),0,-$N$6*(Sheet1!CJ303-Sheet1!CJ302)*7.48/1000000)</f>
        <v>0.34749313420989419</v>
      </c>
      <c r="O301" s="95">
        <f t="shared" ca="1" si="35"/>
        <v>2.4449916574786137</v>
      </c>
      <c r="P301" s="95">
        <f ca="1">O301+Calculation!ES301</f>
        <v>-1.0175635141988044</v>
      </c>
      <c r="Q301" s="90" t="str">
        <f>IF(Sheet1!BQ303&gt;25.75,"spill elevation","-")</f>
        <v>-</v>
      </c>
      <c r="R301" s="90" t="str">
        <f>IF(Sheet1!BQ303&gt;25.75,"spill elevation","-")</f>
        <v>-</v>
      </c>
      <c r="S301" s="90" t="str">
        <f>IF(Sheet1!BR303&gt;25.75,"spill elevation","-")</f>
        <v>-</v>
      </c>
      <c r="T301" s="94">
        <f>IF(Sheet1!DU303=1,Sheet1!AA303-(SUM(AT301:BA301)+BE301),Sheet1!AA303-SUM(AT301:BA301))</f>
        <v>27.207183999999998</v>
      </c>
      <c r="U301" s="94">
        <f>Sheet1!BV303</f>
        <v>30.9</v>
      </c>
      <c r="V301" s="94">
        <f t="shared" si="36"/>
        <v>-3.6928160000000005</v>
      </c>
      <c r="W301" s="94">
        <f>0</f>
        <v>0</v>
      </c>
      <c r="X301" s="90">
        <f>0</f>
        <v>0</v>
      </c>
      <c r="Y301" s="95">
        <f ca="1">Calculation!EJ302+Calculation!ES301+'Calculations II'!O301-'Calculations II'!W301</f>
        <v>53.052436485801195</v>
      </c>
      <c r="Z301" s="95">
        <f ca="1">Y301-Sheet1!CT304</f>
        <v>35.272436485801194</v>
      </c>
      <c r="AA301" s="95">
        <f ca="1">Y301+Calculation!DJ302+Calculation!AS302</f>
        <v>63.050446020962099</v>
      </c>
      <c r="AC301" s="95">
        <f>Sheet1!AA303+Sheet1!AB303+BC301</f>
        <v>53.97</v>
      </c>
      <c r="AD301" s="95">
        <f>Sheet1!AA303+Sheet1!BN303+'Calculations II'!BC301-Calculation!AS301-Calculation!DJ301</f>
        <v>34.007903547229972</v>
      </c>
      <c r="AE301" s="95">
        <f>Sheet1!AA303+Sheet1!AB303+'Calculations II'!BC301-Calculation!AS301-Calculation!DJ301</f>
        <v>43.937903547229972</v>
      </c>
      <c r="AF301" s="95">
        <f ca="1">Sheet1!AA303+Sheet1!BN303+P301+'Calculations II'!BC301+Calculation!AS301+Calculation!DJ301</f>
        <v>53.054532938571221</v>
      </c>
      <c r="AG301" s="95">
        <f ca="1">IF(B301=TODAY(),0,Sheet1!AA303+Sheet1!BN303+'Calculations II'!BC301+'Calculations II'!P301-Sheet1!CT303-BP301)</f>
        <v>27.777436485801196</v>
      </c>
      <c r="AH301" s="95">
        <f ca="1">IF(B301=TODAY(),0,Sheet1!AA303+Sheet1!BN303+'Calculations II'!BC301+'Calculations II'!P301-BP301)</f>
        <v>43.022436485801194</v>
      </c>
      <c r="AI301" s="95">
        <f ca="1">IF(B301=TODAY(),0,BC301+Sheet1!AA303+Calculation!ES301+O301+W301+Sheet1!BN303+Calculation!AS301+Calculation!DJ301-BP301)</f>
        <v>53.054532938571221</v>
      </c>
      <c r="AJ301" s="95"/>
      <c r="AM301" s="91">
        <f t="shared" si="37"/>
        <v>41929</v>
      </c>
      <c r="AN301" s="95">
        <f>Sheet1!BU303</f>
        <v>28.3</v>
      </c>
      <c r="AO301" s="95">
        <f>Sheet1!AA303</f>
        <v>29.04</v>
      </c>
      <c r="AP301" s="95">
        <f t="shared" si="32"/>
        <v>3.4763500000000023</v>
      </c>
      <c r="AQ301" s="1055">
        <f>((Sheet1!BV303-(Sheet1!BU303-AP301))/(Sheet1!BU303-AP301))</f>
        <v>0.24478068293744079</v>
      </c>
      <c r="AR301" s="95">
        <f t="shared" si="33"/>
        <v>25.563649999999996</v>
      </c>
      <c r="AS301" s="95">
        <f t="shared" si="34"/>
        <v>24.823649999999997</v>
      </c>
      <c r="AT301" s="90">
        <f>Sheet1!BB303</f>
        <v>1.01</v>
      </c>
      <c r="AU301" s="90">
        <f>Sheet1!AS303*GPMtoMGD</f>
        <v>2.664E-2</v>
      </c>
      <c r="AV301" s="95">
        <f>Sheet1!AT303</f>
        <v>0</v>
      </c>
      <c r="AW301" s="90">
        <f>Sheet1!AV303*GPMtoMGD</f>
        <v>0.36216000000000004</v>
      </c>
      <c r="AX301" s="90">
        <f>Sheet1!AW303*GPMtoMGD</f>
        <v>0.43401600000000001</v>
      </c>
      <c r="AY301" s="90">
        <f>Sheet1!AX303*GPMtoMGD</f>
        <v>0</v>
      </c>
      <c r="AZ301" s="90">
        <f>Sheet1!AY303*GPMtoMGD</f>
        <v>0</v>
      </c>
      <c r="BA301" s="90">
        <f>Sheet1!AZ303*GPMtoMGD</f>
        <v>0</v>
      </c>
      <c r="BB301" s="90">
        <f>Sheet1!BP303*GPMtoMGD</f>
        <v>0</v>
      </c>
      <c r="BC301" s="90">
        <f>Sheet1!CS303*GPMtoMGD</f>
        <v>0</v>
      </c>
      <c r="BD301" s="90">
        <f>Sheet1!BO303*GPMtoMGD</f>
        <v>0.40003200000000005</v>
      </c>
      <c r="BE301" s="90">
        <f>Sheet1!BW303*GPMtoMGD</f>
        <v>0.668736</v>
      </c>
      <c r="BF301" s="90">
        <f>Sheet1!CN303*GPMtoMGD</f>
        <v>0.35265600000000003</v>
      </c>
      <c r="BG301" s="90">
        <f>Sheet1!CO303*GPMtoMGD</f>
        <v>0.42076800000000003</v>
      </c>
      <c r="BH301" s="90">
        <f>Sheet1!CP303*GPMtoMGD</f>
        <v>0.77140800000000009</v>
      </c>
      <c r="BI301" s="90">
        <f t="shared" si="38"/>
        <v>0.40003200000000005</v>
      </c>
      <c r="BK301" s="95">
        <f>SUM(AT301:BA301,BE301,Sheet1!BV303,'Calculations II'!BC301,Calculation!AQ301)</f>
        <v>48.305896360302903</v>
      </c>
      <c r="BM301" s="373">
        <f>0</f>
        <v>0</v>
      </c>
      <c r="BN301" s="373">
        <f>0</f>
        <v>0</v>
      </c>
      <c r="BP301" s="95">
        <f>SUM(BM301:BN301,W301,Sheet1!DX303)</f>
        <v>0</v>
      </c>
    </row>
    <row r="302" spans="1:68" s="90" customFormat="1">
      <c r="A302" s="651" t="s">
        <v>9</v>
      </c>
      <c r="B302" s="92">
        <v>41930</v>
      </c>
      <c r="C302" s="93">
        <v>0</v>
      </c>
      <c r="D302" s="95">
        <f>(Sheet1!BQ304-Sheet1!BQ303)*1.385</f>
        <v>-1.5235000000000021</v>
      </c>
      <c r="E302" s="30">
        <f>(Sheet1!BR304-Sheet1!BR303)*1.385</f>
        <v>-1.385</v>
      </c>
      <c r="F302" s="30">
        <f ca="1">IF(B302=TODAY(),0,-(VLOOKUP(Sheet1!CD304,Lookup!$I$4:$J$216,2)-VLOOKUP(Sheet1!CD303,Lookup!$I$4:$J$216,2))/1000000)</f>
        <v>0.72545856983460111</v>
      </c>
      <c r="G302" s="95">
        <f ca="1">IF(B302=TODAY(),0,-$G$6*(Sheet1!CF304-Sheet1!CF303)*7.48/1000000)</f>
        <v>0.23828100631535634</v>
      </c>
      <c r="H302" s="95">
        <f ca="1">IF(B302=TODAY(),0,-$H$6*(Sheet1!CE304-Sheet1!CE303)*7.48/1000000)</f>
        <v>-0.57149842934807282</v>
      </c>
      <c r="I302" s="95">
        <f ca="1">IF(B302=TODAY(),0,-$I$6*(Sheet1!CG304-Sheet1!CG303)*7.48/1000000)</f>
        <v>-0.16172956799999999</v>
      </c>
      <c r="J302" s="96" t="s">
        <v>186</v>
      </c>
      <c r="K302" s="95">
        <f ca="1">IF(B302=TODAY(),0,-$K$6*(Sheet1!CH304-Sheet1!CH303)*7.48/1000000)</f>
        <v>-0.27319613535279608</v>
      </c>
      <c r="L302" s="96" t="s">
        <v>186</v>
      </c>
      <c r="M302" s="95">
        <f ca="1">IF(B302=TODAY(),0,-$M$6*(Sheet1!CI304-Sheet1!CI303)*7.48/1000000)</f>
        <v>-0.79162637083318987</v>
      </c>
      <c r="N302" s="95">
        <f ca="1">IF(B302=TODAY(),0,-$N$6*(Sheet1!CJ304-Sheet1!CJ303)*7.48/1000000)</f>
        <v>0.43436641776236795</v>
      </c>
      <c r="O302" s="95">
        <f t="shared" ca="1" si="35"/>
        <v>-0.39994450962173339</v>
      </c>
      <c r="P302" s="95">
        <f ca="1">O302+Calculation!ES302</f>
        <v>2.5087356431108998</v>
      </c>
      <c r="Q302" s="90" t="str">
        <f>IF(Sheet1!BQ304&gt;25.75,"spill elevation","-")</f>
        <v>-</v>
      </c>
      <c r="R302" s="90" t="str">
        <f>IF(Sheet1!BQ304&gt;25.75,"spill elevation","-")</f>
        <v>-</v>
      </c>
      <c r="S302" s="90" t="str">
        <f>IF(Sheet1!BR304&gt;25.75,"spill elevation","-")</f>
        <v>-</v>
      </c>
      <c r="T302" s="94">
        <f>IF(Sheet1!DU304=1,Sheet1!AA304-(SUM(AT302:BA302)+BE302),Sheet1!AA304-SUM(AT302:BA302))</f>
        <v>26.696368</v>
      </c>
      <c r="U302" s="94">
        <f>Sheet1!BV304</f>
        <v>36.5</v>
      </c>
      <c r="V302" s="94">
        <f t="shared" si="36"/>
        <v>-9.8036320000000003</v>
      </c>
      <c r="W302" s="94">
        <f>0</f>
        <v>0</v>
      </c>
      <c r="X302" s="90">
        <f>0</f>
        <v>0</v>
      </c>
      <c r="Y302" s="95">
        <f ca="1">Calculation!EJ303+Calculation!ES302+'Calculations II'!O302-'Calculations II'!W302</f>
        <v>56.608735643110904</v>
      </c>
      <c r="Z302" s="95">
        <f ca="1">Y302-Sheet1!CT305</f>
        <v>39.580735643110906</v>
      </c>
      <c r="AA302" s="95">
        <f ca="1">Y302+Calculation!DJ303+Calculation!AS303</f>
        <v>66.598593012366052</v>
      </c>
      <c r="AC302" s="95">
        <f>Sheet1!AA304+Sheet1!AB304+BC302</f>
        <v>54.07</v>
      </c>
      <c r="AD302" s="95">
        <f>Sheet1!AA304+Sheet1!BN304+'Calculations II'!BC302-Calculation!AS302-Calculation!DJ302</f>
        <v>34.201990464839099</v>
      </c>
      <c r="AE302" s="95">
        <f>Sheet1!AA304+Sheet1!AB304+'Calculations II'!BC302-Calculation!AS302-Calculation!DJ302</f>
        <v>44.071990464839097</v>
      </c>
      <c r="AF302" s="95">
        <f ca="1">Sheet1!AA304+Sheet1!BN304+P302+'Calculations II'!BC302+Calculation!AS302+Calculation!DJ302</f>
        <v>56.706745178271809</v>
      </c>
      <c r="AG302" s="95">
        <f ca="1">IF(B302=TODAY(),0,Sheet1!AA304+Sheet1!BN304+'Calculations II'!BC302+'Calculations II'!P302-Sheet1!CT304-BP302)</f>
        <v>28.928735643110905</v>
      </c>
      <c r="AH302" s="95">
        <f ca="1">IF(B302=TODAY(),0,Sheet1!AA304+Sheet1!BN304+'Calculations II'!BC302+'Calculations II'!P302-BP302)</f>
        <v>46.708735643110906</v>
      </c>
      <c r="AI302" s="95">
        <f ca="1">IF(B302=TODAY(),0,BC302+Sheet1!AA304+Calculation!ES302+O302+W302+Sheet1!BN304+Calculation!AS302+Calculation!DJ302-BP302)</f>
        <v>56.706745178271809</v>
      </c>
      <c r="AJ302" s="95"/>
      <c r="AM302" s="91">
        <f t="shared" si="37"/>
        <v>41930</v>
      </c>
      <c r="AN302" s="95">
        <f>Sheet1!BU304</f>
        <v>27.8</v>
      </c>
      <c r="AO302" s="95">
        <f>Sheet1!AA304</f>
        <v>29.1</v>
      </c>
      <c r="AP302" s="95">
        <f t="shared" si="32"/>
        <v>-2.9085000000000019</v>
      </c>
      <c r="AQ302" s="1055">
        <f>((Sheet1!BV304-(Sheet1!BU304-AP302))/(Sheet1!BU304-AP302))</f>
        <v>0.18859599133790317</v>
      </c>
      <c r="AR302" s="95">
        <f t="shared" si="33"/>
        <v>32.008500000000005</v>
      </c>
      <c r="AS302" s="95">
        <f t="shared" si="34"/>
        <v>30.708500000000001</v>
      </c>
      <c r="AT302" s="90">
        <f>Sheet1!BB304</f>
        <v>1.01</v>
      </c>
      <c r="AU302" s="90">
        <f>Sheet1!AS304*GPMtoMGD</f>
        <v>2.0016000000000003E-2</v>
      </c>
      <c r="AV302" s="95">
        <f>Sheet1!AT304</f>
        <v>0</v>
      </c>
      <c r="AW302" s="90">
        <f>Sheet1!AV304*GPMtoMGD</f>
        <v>0.60177599999999998</v>
      </c>
      <c r="AX302" s="90">
        <f>Sheet1!AW304*GPMtoMGD</f>
        <v>0.77184000000000008</v>
      </c>
      <c r="AY302" s="90">
        <f>Sheet1!AX304*GPMtoMGD</f>
        <v>0</v>
      </c>
      <c r="AZ302" s="90">
        <f>Sheet1!AY304*GPMtoMGD</f>
        <v>0</v>
      </c>
      <c r="BA302" s="90">
        <f>Sheet1!AZ304*GPMtoMGD</f>
        <v>0</v>
      </c>
      <c r="BB302" s="90">
        <f>Sheet1!BP304*GPMtoMGD</f>
        <v>0</v>
      </c>
      <c r="BC302" s="90">
        <f>Sheet1!CS304*GPMtoMGD</f>
        <v>0</v>
      </c>
      <c r="BD302" s="90">
        <f>Sheet1!BO304*GPMtoMGD</f>
        <v>2.6573760000000002</v>
      </c>
      <c r="BE302" s="90">
        <f>Sheet1!BW304*GPMtoMGD</f>
        <v>0.91137600000000007</v>
      </c>
      <c r="BF302" s="90">
        <f>Sheet1!CN304*GPMtoMGD</f>
        <v>0.50486400000000009</v>
      </c>
      <c r="BG302" s="90">
        <f>Sheet1!CO304*GPMtoMGD</f>
        <v>0.48225600000000002</v>
      </c>
      <c r="BH302" s="90">
        <f>Sheet1!CP304*GPMtoMGD</f>
        <v>0.75902400000000003</v>
      </c>
      <c r="BI302" s="90">
        <f t="shared" si="38"/>
        <v>2.6573760000000002</v>
      </c>
      <c r="BK302" s="95">
        <f>SUM(AT302:BA302,BE302,Sheet1!BV304,'Calculations II'!BC302,Calculation!AQ302)</f>
        <v>54.795023891934839</v>
      </c>
      <c r="BM302" s="373">
        <f>0</f>
        <v>0</v>
      </c>
      <c r="BN302" s="373">
        <f>0</f>
        <v>0</v>
      </c>
      <c r="BP302" s="95">
        <f>SUM(BM302:BN302,W302,Sheet1!DX304)</f>
        <v>0</v>
      </c>
    </row>
    <row r="303" spans="1:68" s="90" customFormat="1">
      <c r="A303" s="651" t="s">
        <v>3</v>
      </c>
      <c r="B303" s="92">
        <v>41931</v>
      </c>
      <c r="C303" s="93">
        <v>0</v>
      </c>
      <c r="D303" s="95">
        <f>(Sheet1!BQ305-Sheet1!BQ304)*1.385</f>
        <v>-0.41550000000000098</v>
      </c>
      <c r="E303" s="30">
        <f>(Sheet1!BR305-Sheet1!BR304)*1.385</f>
        <v>-0.41550000000000098</v>
      </c>
      <c r="F303" s="30">
        <f ca="1">IF(B303=TODAY(),0,-(VLOOKUP(Sheet1!CD305,Lookup!$I$4:$J$216,2)-VLOOKUP(Sheet1!CD304,Lookup!$I$4:$J$216,2))/1000000)</f>
        <v>-0.10363693854780495</v>
      </c>
      <c r="G303" s="95">
        <f ca="1">IF(B303=TODAY(),0,-$G$6*(Sheet1!CF305-Sheet1!CF304)*7.48/1000000)</f>
        <v>0.31770800842047398</v>
      </c>
      <c r="H303" s="95">
        <f ca="1">IF(B303=TODAY(),0,-$H$6*(Sheet1!CE305-Sheet1!CE304)*7.48/1000000)</f>
        <v>9.0236594107590579E-2</v>
      </c>
      <c r="I303" s="95">
        <f ca="1">IF(B303=TODAY(),0,-$I$6*(Sheet1!CG305-Sheet1!CG304)*7.48/1000000)</f>
        <v>0.19766947200000001</v>
      </c>
      <c r="J303" s="96" t="s">
        <v>186</v>
      </c>
      <c r="K303" s="95">
        <f ca="1">IF(B303=TODAY(),0,-$K$6*(Sheet1!CH305-Sheet1!CH304)*7.48/1000000)</f>
        <v>0.33982933909738061</v>
      </c>
      <c r="L303" s="96" t="s">
        <v>186</v>
      </c>
      <c r="M303" s="95">
        <f ca="1">IF(B303=TODAY(),0,-$M$6*(Sheet1!CI305-Sheet1!CI304)*7.48/1000000)</f>
        <v>0.89957542140135238</v>
      </c>
      <c r="N303" s="95">
        <f ca="1">IF(B303=TODAY(),0,-$N$6*(Sheet1!CJ305-Sheet1!CJ304)*7.48/1000000)</f>
        <v>-0.37231407236774428</v>
      </c>
      <c r="O303" s="95">
        <f t="shared" ca="1" si="35"/>
        <v>1.3690678241112484</v>
      </c>
      <c r="P303" s="95">
        <f ca="1">O303+Calculation!ES303</f>
        <v>2.1998611291415946</v>
      </c>
      <c r="Q303" s="90" t="str">
        <f>IF(Sheet1!BQ305&gt;25.75,"spill elevation","-")</f>
        <v>-</v>
      </c>
      <c r="R303" s="90" t="str">
        <f>IF(Sheet1!BQ305&gt;25.75,"spill elevation","-")</f>
        <v>-</v>
      </c>
      <c r="S303" s="90" t="str">
        <f>IF(Sheet1!BR305&gt;25.75,"spill elevation","-")</f>
        <v>-</v>
      </c>
      <c r="T303" s="94">
        <f>IF(Sheet1!DU305=1,Sheet1!AA305-(SUM(AT303:BA303)+BE303),Sheet1!AA305-SUM(AT303:BA303))</f>
        <v>26.448976000000002</v>
      </c>
      <c r="U303" s="94">
        <f>Sheet1!BV305</f>
        <v>34.299999999999997</v>
      </c>
      <c r="V303" s="94">
        <f t="shared" si="36"/>
        <v>-7.8510239999999953</v>
      </c>
      <c r="W303" s="94">
        <f>0</f>
        <v>0</v>
      </c>
      <c r="X303" s="90">
        <f>0</f>
        <v>0</v>
      </c>
      <c r="Y303" s="95">
        <f ca="1">Calculation!EJ304+Calculation!ES303+'Calculations II'!O303-'Calculations II'!W303</f>
        <v>58.099861129141594</v>
      </c>
      <c r="Z303" s="95">
        <f ca="1">Y303-Sheet1!CT306</f>
        <v>42.984861129141592</v>
      </c>
      <c r="AA303" s="95">
        <f ca="1">Y303+Calculation!DJ304+Calculation!AS304</f>
        <v>68.285469712197454</v>
      </c>
      <c r="AC303" s="95">
        <f>Sheet1!AA305+Sheet1!AB305+BC303</f>
        <v>54.1</v>
      </c>
      <c r="AD303" s="95">
        <f>Sheet1!AA305+Sheet1!BN305+'Calculations II'!BC303-Calculation!AS303-Calculation!DJ303</f>
        <v>34.210142630744855</v>
      </c>
      <c r="AE303" s="95">
        <f>Sheet1!AA305+Sheet1!AB305+'Calculations II'!BC303-Calculation!AS303-Calculation!DJ303</f>
        <v>44.110142630744846</v>
      </c>
      <c r="AF303" s="95">
        <f ca="1">Sheet1!AA305+Sheet1!BN305+P303+'Calculations II'!BC303+Calculation!AS303+Calculation!DJ303</f>
        <v>56.389718498396746</v>
      </c>
      <c r="AG303" s="95">
        <f ca="1">IF(B303=TODAY(),0,Sheet1!AA305+Sheet1!BN305+'Calculations II'!BC303+'Calculations II'!P303-Sheet1!CT305-BP303)</f>
        <v>29.3718611291416</v>
      </c>
      <c r="AH303" s="95">
        <f ca="1">IF(B303=TODAY(),0,Sheet1!AA305+Sheet1!BN305+'Calculations II'!BC303+'Calculations II'!P303-BP303)</f>
        <v>46.399861129141598</v>
      </c>
      <c r="AI303" s="95">
        <f ca="1">IF(B303=TODAY(),0,BC303+Sheet1!AA305+Calculation!ES303+O303+W303+Sheet1!BN305+Calculation!AS303+Calculation!DJ303-BP303)</f>
        <v>56.389718498396746</v>
      </c>
      <c r="AJ303" s="95"/>
      <c r="AM303" s="91">
        <f t="shared" si="37"/>
        <v>41931</v>
      </c>
      <c r="AN303" s="95">
        <f>Sheet1!BU305</f>
        <v>27.7</v>
      </c>
      <c r="AO303" s="95">
        <f>Sheet1!AA305</f>
        <v>29</v>
      </c>
      <c r="AP303" s="95">
        <f t="shared" si="32"/>
        <v>-0.83100000000000196</v>
      </c>
      <c r="AQ303" s="1055">
        <f>((Sheet1!BV305-(Sheet1!BU305-AP303))/(Sheet1!BU305-AP303))</f>
        <v>0.20220111457712645</v>
      </c>
      <c r="AR303" s="95">
        <f t="shared" si="33"/>
        <v>29.831000000000003</v>
      </c>
      <c r="AS303" s="95">
        <f t="shared" si="34"/>
        <v>28.531000000000002</v>
      </c>
      <c r="AT303" s="90">
        <f>Sheet1!BB305</f>
        <v>1</v>
      </c>
      <c r="AU303" s="90">
        <f>Sheet1!AS305*GPMtoMGD</f>
        <v>1.584E-2</v>
      </c>
      <c r="AV303" s="95">
        <f>Sheet1!AT305</f>
        <v>0</v>
      </c>
      <c r="AW303" s="90">
        <f>Sheet1!AV305*GPMtoMGD</f>
        <v>0.67320000000000002</v>
      </c>
      <c r="AX303" s="90">
        <f>Sheet1!AW305*GPMtoMGD</f>
        <v>0.86198400000000008</v>
      </c>
      <c r="AY303" s="90">
        <f>Sheet1!AX305*GPMtoMGD</f>
        <v>0</v>
      </c>
      <c r="AZ303" s="90">
        <f>Sheet1!AY305*GPMtoMGD</f>
        <v>0</v>
      </c>
      <c r="BA303" s="90">
        <f>Sheet1!AZ305*GPMtoMGD</f>
        <v>0</v>
      </c>
      <c r="BB303" s="90">
        <f>Sheet1!BP305*GPMtoMGD</f>
        <v>0</v>
      </c>
      <c r="BC303" s="90">
        <f>Sheet1!CS305*GPMtoMGD</f>
        <v>0</v>
      </c>
      <c r="BD303" s="90">
        <f>Sheet1!BO305*GPMtoMGD</f>
        <v>0.58622400000000008</v>
      </c>
      <c r="BE303" s="90">
        <f>Sheet1!BW305*GPMtoMGD</f>
        <v>0.69710400000000006</v>
      </c>
      <c r="BF303" s="90">
        <f>Sheet1!CN305*GPMtoMGD</f>
        <v>0.49982400000000005</v>
      </c>
      <c r="BG303" s="90">
        <f>Sheet1!CO305*GPMtoMGD</f>
        <v>0.52358400000000005</v>
      </c>
      <c r="BH303" s="90">
        <f>Sheet1!CP305*GPMtoMGD</f>
        <v>0.74851199999999996</v>
      </c>
      <c r="BI303" s="90">
        <f t="shared" si="38"/>
        <v>0.58622400000000008</v>
      </c>
      <c r="BK303" s="95">
        <f>SUM(AT303:BA303,BE303,Sheet1!BV305,'Calculations II'!BC303,Calculation!AQ303)</f>
        <v>52.663817381933441</v>
      </c>
      <c r="BM303" s="373">
        <f>0</f>
        <v>0</v>
      </c>
      <c r="BN303" s="373">
        <f>0</f>
        <v>0</v>
      </c>
      <c r="BP303" s="95">
        <f>SUM(BM303:BN303,W303,Sheet1!DX305)</f>
        <v>0</v>
      </c>
    </row>
    <row r="304" spans="1:68" s="90" customFormat="1">
      <c r="A304" s="651" t="s">
        <v>4</v>
      </c>
      <c r="B304" s="92">
        <v>41932</v>
      </c>
      <c r="C304" s="93">
        <v>0</v>
      </c>
      <c r="D304" s="95">
        <f>(Sheet1!BQ306-Sheet1!BQ305)*1.385</f>
        <v>0.41550000000000098</v>
      </c>
      <c r="E304" s="30">
        <f>(Sheet1!BR306-Sheet1!BR305)*1.385</f>
        <v>0.41550000000000098</v>
      </c>
      <c r="F304" s="30">
        <f ca="1">IF(B304=TODAY(),0,-(VLOOKUP(Sheet1!CD306,Lookup!$I$4:$J$216,2)-VLOOKUP(Sheet1!CD305,Lookup!$I$4:$J$216,2))/1000000)</f>
        <v>-1.1400063240258005</v>
      </c>
      <c r="G304" s="95">
        <f ca="1">IF(B304=TODAY(),0,-$G$6*(Sheet1!CF306-Sheet1!CF305)*7.48/1000000)</f>
        <v>0.87369702315630493</v>
      </c>
      <c r="H304" s="95">
        <f ca="1">IF(B304=TODAY(),0,-$H$6*(Sheet1!CE306-Sheet1!CE305)*7.48/1000000)</f>
        <v>9.0236594107590579E-2</v>
      </c>
      <c r="I304" s="95">
        <f ca="1">IF(B304=TODAY(),0,-$I$6*(Sheet1!CG306-Sheet1!CG305)*7.48/1000000)</f>
        <v>-6.289483199999997E-2</v>
      </c>
      <c r="J304" s="96" t="s">
        <v>186</v>
      </c>
      <c r="K304" s="95">
        <f ca="1">IF(B304=TODAY(),0,-$K$6*(Sheet1!CH306-Sheet1!CH305)*7.48/1000000)</f>
        <v>-0.11327644636579352</v>
      </c>
      <c r="L304" s="96" t="s">
        <v>186</v>
      </c>
      <c r="M304" s="95">
        <f ca="1">IF(B304=TODAY(),0,-$M$6*(Sheet1!CI306-Sheet1!CI305)*7.48/1000000)</f>
        <v>-0.23388960956435173</v>
      </c>
      <c r="N304" s="95">
        <f ca="1">IF(B304=TODAY(),0,-$N$6*(Sheet1!CJ306-Sheet1!CJ305)*7.48/1000000)</f>
        <v>-0.37231407236774317</v>
      </c>
      <c r="O304" s="95">
        <f t="shared" ca="1" si="35"/>
        <v>-0.95844766705979334</v>
      </c>
      <c r="P304" s="95">
        <f ca="1">O304+Calculation!ES304</f>
        <v>-1.7892409720901394</v>
      </c>
      <c r="Q304" s="90" t="str">
        <f>IF(Sheet1!BQ306&gt;25.75,"spill elevation","-")</f>
        <v>-</v>
      </c>
      <c r="R304" s="90" t="str">
        <f>IF(Sheet1!BQ306&gt;25.75,"spill elevation","-")</f>
        <v>-</v>
      </c>
      <c r="S304" s="90" t="str">
        <f>IF(Sheet1!BR306&gt;25.75,"spill elevation","-")</f>
        <v>-</v>
      </c>
      <c r="T304" s="94">
        <f>IF(Sheet1!DU306=1,Sheet1!AA306-(SUM(AT304:BA304)+BE304),Sheet1!AA306-SUM(AT304:BA304))</f>
        <v>26.726032</v>
      </c>
      <c r="U304" s="94">
        <f>Sheet1!BV306</f>
        <v>32.700000000000003</v>
      </c>
      <c r="V304" s="94">
        <f t="shared" si="36"/>
        <v>-5.9739680000000028</v>
      </c>
      <c r="W304" s="94">
        <f>0</f>
        <v>0</v>
      </c>
      <c r="X304" s="90">
        <f>0</f>
        <v>0</v>
      </c>
      <c r="Y304" s="95">
        <f ca="1">Calculation!EJ305+Calculation!ES304+'Calculations II'!O304-'Calculations II'!W304</f>
        <v>54.940759027909863</v>
      </c>
      <c r="Z304" s="95">
        <f ca="1">Y304-Sheet1!CT307</f>
        <v>40.750759027909865</v>
      </c>
      <c r="AA304" s="95">
        <f ca="1">Y304+Calculation!DJ305+Calculation!AS305</f>
        <v>65.184800895864782</v>
      </c>
      <c r="AC304" s="95">
        <f>Sheet1!AA306+Sheet1!AB306+BC304</f>
        <v>55.9</v>
      </c>
      <c r="AD304" s="95">
        <f>Sheet1!AA306+Sheet1!BN306+'Calculations II'!BC304-Calculation!AS304-Calculation!DJ304</f>
        <v>35.61439141694413</v>
      </c>
      <c r="AE304" s="95">
        <f>Sheet1!AA306+Sheet1!AB306+'Calculations II'!BC304-Calculation!AS304-Calculation!DJ304</f>
        <v>45.714391416944139</v>
      </c>
      <c r="AF304" s="95">
        <f ca="1">Sheet1!AA306+Sheet1!BN306+P304+'Calculations II'!BC304+Calculation!AS304+Calculation!DJ304</f>
        <v>54.196367610965723</v>
      </c>
      <c r="AG304" s="95">
        <f ca="1">IF(B304=TODAY(),0,Sheet1!AA306+Sheet1!BN306+'Calculations II'!BC304+'Calculations II'!P304-Sheet1!CT306-BP304)</f>
        <v>28.895759027909854</v>
      </c>
      <c r="AH304" s="95">
        <f ca="1">IF(B304=TODAY(),0,Sheet1!AA306+Sheet1!BN306+'Calculations II'!BC304+'Calculations II'!P304-BP304)</f>
        <v>44.010759027909856</v>
      </c>
      <c r="AI304" s="95">
        <f ca="1">IF(B304=TODAY(),0,BC304+Sheet1!AA306+Calculation!ES304+O304+W304+Sheet1!BN306+Calculation!AS304+Calculation!DJ304-BP304)</f>
        <v>54.196367610965723</v>
      </c>
      <c r="AJ304" s="95"/>
      <c r="AM304" s="91">
        <f t="shared" si="37"/>
        <v>41932</v>
      </c>
      <c r="AN304" s="95">
        <f>Sheet1!BU306</f>
        <v>27.8</v>
      </c>
      <c r="AO304" s="95">
        <f>Sheet1!AA306</f>
        <v>29</v>
      </c>
      <c r="AP304" s="95">
        <f t="shared" si="32"/>
        <v>0.83100000000000196</v>
      </c>
      <c r="AQ304" s="1055">
        <f>((Sheet1!BV306-(Sheet1!BU306-AP304))/(Sheet1!BU306-AP304))</f>
        <v>0.21250324446586843</v>
      </c>
      <c r="AR304" s="95">
        <f t="shared" si="33"/>
        <v>28.168999999999997</v>
      </c>
      <c r="AS304" s="95">
        <f t="shared" si="34"/>
        <v>26.968999999999998</v>
      </c>
      <c r="AT304" s="90">
        <f>Sheet1!BB306</f>
        <v>1</v>
      </c>
      <c r="AU304" s="90">
        <f>Sheet1!AS306*GPMtoMGD</f>
        <v>1.6128E-2</v>
      </c>
      <c r="AV304" s="95">
        <f>Sheet1!AT306</f>
        <v>0</v>
      </c>
      <c r="AW304" s="90">
        <f>Sheet1!AV306*GPMtoMGD</f>
        <v>0.54244800000000004</v>
      </c>
      <c r="AX304" s="90">
        <f>Sheet1!AW306*GPMtoMGD</f>
        <v>0.71539200000000003</v>
      </c>
      <c r="AY304" s="90">
        <f>Sheet1!AX306*GPMtoMGD</f>
        <v>0</v>
      </c>
      <c r="AZ304" s="90">
        <f>Sheet1!AY306*GPMtoMGD</f>
        <v>0</v>
      </c>
      <c r="BA304" s="90">
        <f>Sheet1!AZ306*GPMtoMGD</f>
        <v>0</v>
      </c>
      <c r="BB304" s="90">
        <f>Sheet1!BP306*GPMtoMGD</f>
        <v>0</v>
      </c>
      <c r="BC304" s="90">
        <f>Sheet1!CS306*GPMtoMGD</f>
        <v>0</v>
      </c>
      <c r="BD304" s="90">
        <f>Sheet1!BO306*GPMtoMGD</f>
        <v>1.9031039999999999</v>
      </c>
      <c r="BE304" s="90">
        <f>Sheet1!BW306*GPMtoMGD</f>
        <v>0.91598400000000013</v>
      </c>
      <c r="BF304" s="90">
        <f>Sheet1!CN306*GPMtoMGD</f>
        <v>2.091024</v>
      </c>
      <c r="BG304" s="90">
        <f>Sheet1!CO306*GPMtoMGD</f>
        <v>0.48542400000000008</v>
      </c>
      <c r="BH304" s="90">
        <f>Sheet1!CP306*GPMtoMGD</f>
        <v>0.77659199999999995</v>
      </c>
      <c r="BI304" s="90">
        <f t="shared" si="38"/>
        <v>1.9031039999999999</v>
      </c>
      <c r="BK304" s="95">
        <f>SUM(AT304:BA304,BE304,Sheet1!BV306,'Calculations II'!BC304,Calculation!AQ304)</f>
        <v>52.609152887902326</v>
      </c>
      <c r="BM304" s="373">
        <f>0</f>
        <v>0</v>
      </c>
      <c r="BN304" s="373">
        <f>0</f>
        <v>0</v>
      </c>
      <c r="BP304" s="95">
        <f>SUM(BM304:BN304,W304,Sheet1!DX306)</f>
        <v>0</v>
      </c>
    </row>
    <row r="305" spans="1:68" s="90" customFormat="1">
      <c r="A305" s="651" t="s">
        <v>5</v>
      </c>
      <c r="B305" s="92">
        <v>41933</v>
      </c>
      <c r="C305" s="93">
        <v>0</v>
      </c>
      <c r="D305" s="95">
        <f>(Sheet1!BQ307-Sheet1!BQ306)*1.385</f>
        <v>-0.27699999999999902</v>
      </c>
      <c r="E305" s="30">
        <f>(Sheet1!BR307-Sheet1!BR306)*1.385</f>
        <v>-0.27699999999999902</v>
      </c>
      <c r="F305" s="30">
        <f ca="1">IF(B305=TODAY(),0,-(VLOOKUP(Sheet1!CD307,Lookup!$I$4:$J$216,2)-VLOOKUP(Sheet1!CD306,Lookup!$I$4:$J$216,2))/1000000)</f>
        <v>1.1400063240258005</v>
      </c>
      <c r="G305" s="95">
        <f ca="1">IF(B305=TODAY(),0,-$G$6*(Sheet1!CF307-Sheet1!CF306)*7.48/1000000)</f>
        <v>1.9459615515754052</v>
      </c>
      <c r="H305" s="95">
        <f ca="1">IF(B305=TODAY(),0,-$H$6*(Sheet1!CE307-Sheet1!CE306)*7.48/1000000)</f>
        <v>7.5197161756325293E-2</v>
      </c>
      <c r="I305" s="95">
        <f ca="1">IF(B305=TODAY(),0,-$I$6*(Sheet1!CG307-Sheet1!CG306)*7.48/1000000)</f>
        <v>-9.8834736000000006E-2</v>
      </c>
      <c r="J305" s="96" t="s">
        <v>186</v>
      </c>
      <c r="K305" s="95">
        <f ca="1">IF(B305=TODAY(),0,-$K$6*(Sheet1!CH307-Sheet1!CH306)*7.48/1000000)</f>
        <v>-0.1732463297359195</v>
      </c>
      <c r="L305" s="96" t="s">
        <v>186</v>
      </c>
      <c r="M305" s="95">
        <f ca="1">IF(B305=TODAY(),0,-$M$6*(Sheet1!CI307-Sheet1!CI306)*7.48/1000000)</f>
        <v>-0.46777921912870346</v>
      </c>
      <c r="N305" s="95">
        <f ca="1">IF(B305=TODAY(),0,-$N$6*(Sheet1!CJ307-Sheet1!CJ306)*7.48/1000000)</f>
        <v>0.86873283552473479</v>
      </c>
      <c r="O305" s="95">
        <f t="shared" ca="1" si="35"/>
        <v>3.2900375880176429</v>
      </c>
      <c r="P305" s="95">
        <f ca="1">O305+Calculation!ES305</f>
        <v>3.8439126069624279</v>
      </c>
      <c r="Q305" s="90" t="str">
        <f>IF(Sheet1!BQ307&gt;25.75,"spill elevation","-")</f>
        <v>-</v>
      </c>
      <c r="R305" s="90" t="str">
        <f>IF(Sheet1!BQ307&gt;25.75,"spill elevation","-")</f>
        <v>-</v>
      </c>
      <c r="S305" s="90" t="str">
        <f>IF(Sheet1!BR307&gt;25.75,"spill elevation","-")</f>
        <v>-</v>
      </c>
      <c r="T305" s="94">
        <f>IF(Sheet1!DU307=1,Sheet1!AA307-(SUM(AT305:BA305)+BE305),Sheet1!AA307-SUM(AT305:BA305))</f>
        <v>23.926288</v>
      </c>
      <c r="U305" s="94">
        <f>Sheet1!BV307</f>
        <v>32.200000000000003</v>
      </c>
      <c r="V305" s="94">
        <f t="shared" si="36"/>
        <v>-8.2737120000000033</v>
      </c>
      <c r="W305" s="94">
        <f>0</f>
        <v>0</v>
      </c>
      <c r="X305" s="90">
        <f>0</f>
        <v>0</v>
      </c>
      <c r="Y305" s="95">
        <f ca="1">Calculation!EJ306+Calculation!ES305+'Calculations II'!O305-'Calculations II'!W305</f>
        <v>51.013912606962428</v>
      </c>
      <c r="Z305" s="95">
        <f ca="1">Y305-Sheet1!CT308</f>
        <v>50.408912606962431</v>
      </c>
      <c r="AA305" s="95">
        <f ca="1">Y305+Calculation!DJ306+Calculation!AS306</f>
        <v>61.144300521919533</v>
      </c>
      <c r="AC305" s="95">
        <f>Sheet1!AA307+Sheet1!AB307+BC305</f>
        <v>56.730000000000004</v>
      </c>
      <c r="AD305" s="95">
        <f>Sheet1!AA307+Sheet1!BN307+'Calculations II'!BC305-Calculation!AS305-Calculation!DJ305</f>
        <v>36.255958132045087</v>
      </c>
      <c r="AE305" s="95">
        <f>Sheet1!AA307+Sheet1!AB307+'Calculations II'!BC305-Calculation!AS305-Calculation!DJ305</f>
        <v>46.485958132045091</v>
      </c>
      <c r="AF305" s="95">
        <f ca="1">Sheet1!AA307+Sheet1!BN307+P305+'Calculations II'!BC305+Calculation!AS305+Calculation!DJ305</f>
        <v>60.587954474917339</v>
      </c>
      <c r="AG305" s="95">
        <f ca="1">IF(B305=TODAY(),0,Sheet1!AA307+Sheet1!BN307+'Calculations II'!BC305+'Calculations II'!P305-Sheet1!CT307-BP305)</f>
        <v>36.153912606962429</v>
      </c>
      <c r="AH305" s="95">
        <f ca="1">IF(B305=TODAY(),0,Sheet1!AA307+Sheet1!BN307+'Calculations II'!BC305+'Calculations II'!P305-BP305)</f>
        <v>50.343912606962427</v>
      </c>
      <c r="AI305" s="95">
        <f ca="1">IF(B305=TODAY(),0,BC305+Sheet1!AA307+Calculation!ES305+O305+W305+Sheet1!BN307+Calculation!AS305+Calculation!DJ305-BP305)</f>
        <v>60.587954474917339</v>
      </c>
      <c r="AJ305" s="95"/>
      <c r="AM305" s="91">
        <f t="shared" si="37"/>
        <v>41933</v>
      </c>
      <c r="AN305" s="95">
        <f>Sheet1!BU307</f>
        <v>25.9</v>
      </c>
      <c r="AO305" s="95">
        <f>Sheet1!AA307</f>
        <v>25.7</v>
      </c>
      <c r="AP305" s="95">
        <f t="shared" si="32"/>
        <v>-0.55399999999999805</v>
      </c>
      <c r="AQ305" s="1055">
        <f>((Sheet1!BV307-(Sheet1!BU307-AP305))/(Sheet1!BU307-AP305))</f>
        <v>0.21720722764043268</v>
      </c>
      <c r="AR305" s="95">
        <f t="shared" si="33"/>
        <v>26.253999999999998</v>
      </c>
      <c r="AS305" s="95">
        <f t="shared" si="34"/>
        <v>26.453999999999997</v>
      </c>
      <c r="AT305" s="90">
        <f>Sheet1!BB307</f>
        <v>1</v>
      </c>
      <c r="AU305" s="90">
        <f>Sheet1!AS307*GPMtoMGD</f>
        <v>1.5984000000000002E-2</v>
      </c>
      <c r="AV305" s="95">
        <f>Sheet1!AT307</f>
        <v>0</v>
      </c>
      <c r="AW305" s="90">
        <f>Sheet1!AV307*GPMtoMGD</f>
        <v>0.17697600000000002</v>
      </c>
      <c r="AX305" s="90">
        <f>Sheet1!AW307*GPMtoMGD</f>
        <v>0.58075200000000005</v>
      </c>
      <c r="AY305" s="90">
        <f>Sheet1!AX307*GPMtoMGD</f>
        <v>0</v>
      </c>
      <c r="AZ305" s="90">
        <f>Sheet1!AY307*GPMtoMGD</f>
        <v>0</v>
      </c>
      <c r="BA305" s="90">
        <f>Sheet1!AZ307*GPMtoMGD</f>
        <v>0</v>
      </c>
      <c r="BB305" s="90">
        <f>Sheet1!BP307*GPMtoMGD</f>
        <v>0.79862400000000011</v>
      </c>
      <c r="BC305" s="90">
        <f>Sheet1!CS307*GPMtoMGD</f>
        <v>0</v>
      </c>
      <c r="BD305" s="90">
        <f>Sheet1!BO307*GPMtoMGD</f>
        <v>1.33128</v>
      </c>
      <c r="BE305" s="90">
        <f>Sheet1!BW307*GPMtoMGD</f>
        <v>0.63360000000000005</v>
      </c>
      <c r="BF305" s="90">
        <f>Sheet1!CN307*GPMtoMGD</f>
        <v>3.1273920000000004</v>
      </c>
      <c r="BG305" s="90">
        <f>Sheet1!CO307*GPMtoMGD</f>
        <v>0.461808</v>
      </c>
      <c r="BH305" s="90">
        <f>Sheet1!CP307*GPMtoMGD</f>
        <v>0.76867200000000002</v>
      </c>
      <c r="BI305" s="90">
        <f t="shared" si="38"/>
        <v>2.1299040000000002</v>
      </c>
      <c r="BK305" s="95">
        <f>SUM(AT305:BA305,BE305,Sheet1!BV307,'Calculations II'!BC305,Calculation!AQ305)</f>
        <v>55.393914254428338</v>
      </c>
      <c r="BM305" s="373">
        <f>0</f>
        <v>0</v>
      </c>
      <c r="BN305" s="373">
        <f>0</f>
        <v>0</v>
      </c>
      <c r="BP305" s="95">
        <f>SUM(BM305:BN305,W305,Sheet1!DX307)</f>
        <v>0</v>
      </c>
    </row>
    <row r="306" spans="1:68" s="90" customFormat="1">
      <c r="A306" s="651" t="s">
        <v>6</v>
      </c>
      <c r="B306" s="92">
        <v>41934</v>
      </c>
      <c r="C306" s="93">
        <v>0</v>
      </c>
      <c r="D306" s="95">
        <f>(Sheet1!BQ308-Sheet1!BQ307)*1.385</f>
        <v>3.7394999999999992</v>
      </c>
      <c r="E306" s="30">
        <f>(Sheet1!BR308-Sheet1!BR307)*1.385</f>
        <v>3.7394999999999992</v>
      </c>
      <c r="F306" s="30">
        <f ca="1">IF(B306=TODAY(),0,-(VLOOKUP(Sheet1!CD308,Lookup!$I$4:$J$216,2)-VLOOKUP(Sheet1!CD307,Lookup!$I$4:$J$216,2))/1000000)</f>
        <v>-2.6945604022428022</v>
      </c>
      <c r="G306" s="95">
        <f ca="1">IF(B306=TODAY(),0,-$G$6*(Sheet1!CF308-Sheet1!CF307)*7.48/1000000)</f>
        <v>0.67512951789350795</v>
      </c>
      <c r="H306" s="95">
        <f ca="1">IF(B306=TODAY(),0,-$H$6*(Sheet1!CE308-Sheet1!CE307)*7.48/1000000)</f>
        <v>0</v>
      </c>
      <c r="I306" s="95">
        <f ca="1">IF(B306=TODAY(),0,-$I$6*(Sheet1!CG308-Sheet1!CG307)*7.48/1000000)</f>
        <v>0.14375961599999998</v>
      </c>
      <c r="J306" s="96" t="s">
        <v>186</v>
      </c>
      <c r="K306" s="95">
        <f ca="1">IF(B306=TODAY(),0,-$K$6*(Sheet1!CH308-Sheet1!CH307)*7.48/1000000)</f>
        <v>0.2465428538549623</v>
      </c>
      <c r="L306" s="96" t="s">
        <v>186</v>
      </c>
      <c r="M306" s="95">
        <f ca="1">IF(B306=TODAY(),0,-$M$6*(Sheet1!CI308-Sheet1!CI307)*7.48/1000000)</f>
        <v>0.66568581183700104</v>
      </c>
      <c r="N306" s="95">
        <f ca="1">IF(B306=TODAY(),0,-$N$6*(Sheet1!CJ308-Sheet1!CJ307)*7.48/1000000)</f>
        <v>-0.1054889871708606</v>
      </c>
      <c r="O306" s="95">
        <f t="shared" ca="1" si="35"/>
        <v>-1.0689315898281913</v>
      </c>
      <c r="P306" s="95">
        <f ca="1">O306+Calculation!ES306</f>
        <v>-8.550570538758242</v>
      </c>
      <c r="Q306" s="90" t="str">
        <f>IF(Sheet1!BQ308&gt;25.75,"spill elevation","-")</f>
        <v>-</v>
      </c>
      <c r="R306" s="90" t="str">
        <f>IF(Sheet1!BQ308&gt;25.75,"spill elevation","-")</f>
        <v>-</v>
      </c>
      <c r="S306" s="90" t="str">
        <f>IF(Sheet1!BR308&gt;25.75,"spill elevation","-")</f>
        <v>-</v>
      </c>
      <c r="T306" s="94">
        <f>IF(Sheet1!DU308=1,Sheet1!AA308-(SUM(AT306:BA306)+BE306),Sheet1!AA308-SUM(AT306:BA306))</f>
        <v>17.263263999999999</v>
      </c>
      <c r="U306" s="94">
        <f>Sheet1!BV308</f>
        <v>17.2</v>
      </c>
      <c r="V306" s="94">
        <f t="shared" si="36"/>
        <v>6.3264000000000209E-2</v>
      </c>
      <c r="W306" s="94">
        <f>0</f>
        <v>0</v>
      </c>
      <c r="X306" s="90">
        <f>0</f>
        <v>0</v>
      </c>
      <c r="Y306" s="95">
        <f ca="1">Calculation!EJ307+Calculation!ES306+'Calculations II'!O306-'Calculations II'!W306</f>
        <v>36.123429461241763</v>
      </c>
      <c r="Z306" s="95">
        <f ca="1">Y306-Sheet1!CT309</f>
        <v>22.773429461241761</v>
      </c>
      <c r="AA306" s="95">
        <f ca="1">Y306+Calculation!DJ307+Calculation!AS307</f>
        <v>46.094379732044324</v>
      </c>
      <c r="AC306" s="95">
        <f>Sheet1!AA308+Sheet1!AB308+BC306</f>
        <v>47.17</v>
      </c>
      <c r="AD306" s="95">
        <f>Sheet1!AA308+Sheet1!BN308+'Calculations II'!BC306-Calculation!AS306-Calculation!DJ306</f>
        <v>26.869612085042895</v>
      </c>
      <c r="AE306" s="95">
        <f>Sheet1!AA308+Sheet1!AB308+'Calculations II'!BC306-Calculation!AS306-Calculation!DJ306</f>
        <v>37.039612085042897</v>
      </c>
      <c r="AF306" s="95">
        <f ca="1">Sheet1!AA308+Sheet1!BN308+P306+'Calculations II'!BC306+Calculation!AS306+Calculation!DJ306</f>
        <v>38.579817376198861</v>
      </c>
      <c r="AG306" s="95">
        <f ca="1">IF(B306=TODAY(),0,Sheet1!AA308+Sheet1!BN308+'Calculations II'!BC306+'Calculations II'!P306-Sheet1!CT308-BP306)</f>
        <v>27.844429461241756</v>
      </c>
      <c r="AH306" s="95">
        <f ca="1">IF(B306=TODAY(),0,Sheet1!AA308+Sheet1!BN308+'Calculations II'!BC306+'Calculations II'!P306-BP306)</f>
        <v>28.449429461241756</v>
      </c>
      <c r="AI306" s="95">
        <f ca="1">IF(B306=TODAY(),0,BC306+Sheet1!AA308+Calculation!ES306+O306+W306+Sheet1!BN308+Calculation!AS306+Calculation!DJ306-BP306)</f>
        <v>38.579817376198861</v>
      </c>
      <c r="AJ306" s="95"/>
      <c r="AM306" s="91">
        <f t="shared" si="37"/>
        <v>41934</v>
      </c>
      <c r="AN306" s="95">
        <f>Sheet1!BU308</f>
        <v>19.2</v>
      </c>
      <c r="AO306" s="95">
        <f>Sheet1!AA308</f>
        <v>20.3</v>
      </c>
      <c r="AP306" s="95">
        <f t="shared" si="32"/>
        <v>7.4789999999999983</v>
      </c>
      <c r="AQ306" s="1055">
        <f>((Sheet1!BV308-(Sheet1!BU308-AP306))/(Sheet1!BU308-AP306))</f>
        <v>0.4674515826294684</v>
      </c>
      <c r="AR306" s="95">
        <f t="shared" si="33"/>
        <v>12.821000000000002</v>
      </c>
      <c r="AS306" s="95">
        <f t="shared" si="34"/>
        <v>11.721</v>
      </c>
      <c r="AT306" s="90">
        <f>Sheet1!BB308</f>
        <v>1</v>
      </c>
      <c r="AU306" s="90">
        <f>Sheet1!AS308*GPMtoMGD</f>
        <v>1.584E-2</v>
      </c>
      <c r="AV306" s="95">
        <f>Sheet1!AT308</f>
        <v>0</v>
      </c>
      <c r="AW306" s="90">
        <f>Sheet1!AV308*GPMtoMGD</f>
        <v>0.15465600000000002</v>
      </c>
      <c r="AX306" s="90">
        <f>Sheet1!AW308*GPMtoMGD</f>
        <v>1.8662400000000001</v>
      </c>
      <c r="AY306" s="90">
        <f>Sheet1!AX308*GPMtoMGD</f>
        <v>0</v>
      </c>
      <c r="AZ306" s="90">
        <f>Sheet1!AY308*GPMtoMGD</f>
        <v>0</v>
      </c>
      <c r="BA306" s="90">
        <f>Sheet1!AZ308*GPMtoMGD</f>
        <v>0</v>
      </c>
      <c r="BB306" s="90">
        <f>Sheet1!BP308*GPMtoMGD</f>
        <v>0</v>
      </c>
      <c r="BC306" s="90">
        <f>Sheet1!CS308*GPMtoMGD</f>
        <v>0</v>
      </c>
      <c r="BD306" s="90">
        <f>Sheet1!BO308*GPMtoMGD</f>
        <v>0.70617600000000003</v>
      </c>
      <c r="BE306" s="90">
        <f>Sheet1!BW308*GPMtoMGD</f>
        <v>0.86227200000000004</v>
      </c>
      <c r="BF306" s="90">
        <f>Sheet1!CN308*GPMtoMGD</f>
        <v>2.4291360000000002</v>
      </c>
      <c r="BG306" s="90">
        <f>Sheet1!CO308*GPMtoMGD</f>
        <v>0.49492800000000003</v>
      </c>
      <c r="BH306" s="90">
        <f>Sheet1!CP308*GPMtoMGD</f>
        <v>0.77083199999999996</v>
      </c>
      <c r="BI306" s="90">
        <f t="shared" si="38"/>
        <v>0.70617600000000003</v>
      </c>
      <c r="BK306" s="95">
        <f>SUM(AT306:BA306,BE306,Sheet1!BV308,'Calculations II'!BC306,Calculation!AQ306)</f>
        <v>37.836382114136512</v>
      </c>
      <c r="BM306" s="373">
        <f>0</f>
        <v>0</v>
      </c>
      <c r="BN306" s="373">
        <f>0</f>
        <v>0</v>
      </c>
      <c r="BP306" s="95">
        <f>SUM(BM306:BN306,W306,Sheet1!DX308)</f>
        <v>0</v>
      </c>
    </row>
    <row r="307" spans="1:68" s="90" customFormat="1">
      <c r="A307" s="651" t="s">
        <v>7</v>
      </c>
      <c r="B307" s="92">
        <v>41935</v>
      </c>
      <c r="C307" s="93">
        <v>0</v>
      </c>
      <c r="D307" s="95">
        <f>(Sheet1!BQ309-Sheet1!BQ308)*1.385</f>
        <v>-3.4624999999999999</v>
      </c>
      <c r="E307" s="30">
        <f>(Sheet1!BR309-Sheet1!BR308)*1.385</f>
        <v>-3.4624999999999999</v>
      </c>
      <c r="F307" s="30">
        <f ca="1">IF(B307=TODAY(),0,-(VLOOKUP(Sheet1!CD309,Lookup!$I$4:$J$216,2)-VLOOKUP(Sheet1!CD308,Lookup!$I$4:$J$216,2))/1000000)</f>
        <v>1.5545540782170015</v>
      </c>
      <c r="G307" s="95">
        <f ca="1">IF(B307=TODAY(),0,-$G$6*(Sheet1!CF309-Sheet1!CF308)*7.48/1000000)</f>
        <v>0.99283752631398237</v>
      </c>
      <c r="H307" s="95">
        <f ca="1">IF(B307=TODAY(),0,-$H$6*(Sheet1!CE309-Sheet1!CE308)*7.48/1000000)</f>
        <v>0.16543375586391587</v>
      </c>
      <c r="I307" s="95">
        <f ca="1">IF(B307=TODAY(),0,-$I$6*(Sheet1!CG309-Sheet1!CG308)*7.48/1000000)</f>
        <v>-0.15274459200000001</v>
      </c>
      <c r="J307" s="96" t="s">
        <v>186</v>
      </c>
      <c r="K307" s="95">
        <f ca="1">IF(B307=TODAY(),0,-$K$6*(Sheet1!CH309-Sheet1!CH308)*7.48/1000000)</f>
        <v>-0.2665328149783377</v>
      </c>
      <c r="L307" s="96" t="s">
        <v>186</v>
      </c>
      <c r="M307" s="95">
        <f ca="1">IF(B307=TODAY(),0,-$M$6*(Sheet1!CI309-Sheet1!CI308)*7.48/1000000)</f>
        <v>-0.71966033712108157</v>
      </c>
      <c r="N307" s="95">
        <f ca="1">IF(B307=TODAY(),0,-$N$6*(Sheet1!CJ309-Sheet1!CJ308)*7.48/1000000)</f>
        <v>-0.57708681217000213</v>
      </c>
      <c r="O307" s="95">
        <f t="shared" ca="1" si="35"/>
        <v>0.99680080412547811</v>
      </c>
      <c r="P307" s="95">
        <f ca="1">O307+Calculation!ES307</f>
        <v>7.9245647341107439</v>
      </c>
      <c r="Q307" s="90" t="str">
        <f>IF(Sheet1!BQ309&gt;25.75,"spill elevation","-")</f>
        <v>-</v>
      </c>
      <c r="R307" s="90" t="str">
        <f>IF(Sheet1!BQ309&gt;25.75,"spill elevation","-")</f>
        <v>-</v>
      </c>
      <c r="S307" s="90" t="str">
        <f>IF(Sheet1!BR309&gt;25.75,"spill elevation","-")</f>
        <v>-</v>
      </c>
      <c r="T307" s="94">
        <f>IF(Sheet1!DU309=1,Sheet1!AA309-(SUM(AT307:BA307)+BE307),Sheet1!AA309-SUM(AT307:BA307))</f>
        <v>21.832096</v>
      </c>
      <c r="U307" s="94">
        <f>Sheet1!BV309</f>
        <v>35.4</v>
      </c>
      <c r="V307" s="94">
        <f t="shared" si="36"/>
        <v>-13.567903999999999</v>
      </c>
      <c r="W307" s="94">
        <f>0</f>
        <v>0</v>
      </c>
      <c r="X307" s="90">
        <f>0</f>
        <v>0</v>
      </c>
      <c r="Y307" s="95">
        <f ca="1">Calculation!EJ308+Calculation!ES307+'Calculations II'!O307-'Calculations II'!W307</f>
        <v>58.590164734110743</v>
      </c>
      <c r="Z307" s="95">
        <f ca="1">Y307-Sheet1!CT310</f>
        <v>41.730164734110744</v>
      </c>
      <c r="AA307" s="95">
        <f ca="1">Y307+Calculation!DJ308+Calculation!AS308</f>
        <v>68.54769386227467</v>
      </c>
      <c r="AC307" s="95">
        <f>Sheet1!AA309+Sheet1!AB309+BC307</f>
        <v>44.673999999999999</v>
      </c>
      <c r="AD307" s="95">
        <f>Sheet1!AA309+Sheet1!BN309+'Calculations II'!BC307-Calculation!AS307-Calculation!DJ307</f>
        <v>24.903049729197434</v>
      </c>
      <c r="AE307" s="95">
        <f>Sheet1!AA309+Sheet1!AB309+'Calculations II'!BC307-Calculation!AS307-Calculation!DJ307</f>
        <v>34.703049729197438</v>
      </c>
      <c r="AF307" s="95">
        <f ca="1">Sheet1!AA309+Sheet1!BN309+P307+'Calculations II'!BC307+Calculation!AS307+Calculation!DJ307</f>
        <v>52.769515004913302</v>
      </c>
      <c r="AG307" s="95">
        <f ca="1">IF(B307=TODAY(),0,Sheet1!AA309+Sheet1!BN309+'Calculations II'!BC307+'Calculations II'!P307-Sheet1!CT309-BP307)</f>
        <v>29.448564734110739</v>
      </c>
      <c r="AH307" s="95">
        <f ca="1">IF(B307=TODAY(),0,Sheet1!AA309+Sheet1!BN309+'Calculations II'!BC307+'Calculations II'!P307-BP307)</f>
        <v>42.798564734110741</v>
      </c>
      <c r="AI307" s="95">
        <f ca="1">IF(B307=TODAY(),0,BC307+Sheet1!AA309+Calculation!ES307+O307+W307+Sheet1!BN309+Calculation!AS307+Calculation!DJ307-BP307)</f>
        <v>52.769515004913302</v>
      </c>
      <c r="AJ307" s="95"/>
      <c r="AM307" s="91">
        <f t="shared" si="37"/>
        <v>41935</v>
      </c>
      <c r="AN307" s="95">
        <f>Sheet1!BU309</f>
        <v>23.3</v>
      </c>
      <c r="AO307" s="95">
        <f>Sheet1!AA309</f>
        <v>23.9</v>
      </c>
      <c r="AP307" s="95">
        <f t="shared" si="32"/>
        <v>-6.9249999999999998</v>
      </c>
      <c r="AQ307" s="1055">
        <f>((Sheet1!BV309-(Sheet1!BU309-AP307))/(Sheet1!BU309-AP307))</f>
        <v>0.17121588089330014</v>
      </c>
      <c r="AR307" s="95">
        <f t="shared" si="33"/>
        <v>30.824999999999999</v>
      </c>
      <c r="AS307" s="95">
        <f t="shared" si="34"/>
        <v>30.225000000000001</v>
      </c>
      <c r="AT307" s="90">
        <f>Sheet1!BB309</f>
        <v>1</v>
      </c>
      <c r="AU307" s="90">
        <f>Sheet1!AS309*GPMtoMGD</f>
        <v>1.5552000000000002E-2</v>
      </c>
      <c r="AV307" s="95">
        <f>Sheet1!AT309</f>
        <v>0</v>
      </c>
      <c r="AW307" s="90">
        <f>Sheet1!AV309*GPMtoMGD</f>
        <v>0.12355200000000001</v>
      </c>
      <c r="AX307" s="90">
        <f>Sheet1!AW309*GPMtoMGD</f>
        <v>0.92880000000000007</v>
      </c>
      <c r="AY307" s="90">
        <f>Sheet1!AX309*GPMtoMGD</f>
        <v>0</v>
      </c>
      <c r="AZ307" s="90">
        <f>Sheet1!AY309*GPMtoMGD</f>
        <v>0</v>
      </c>
      <c r="BA307" s="90">
        <f>Sheet1!AZ309*GPMtoMGD</f>
        <v>0</v>
      </c>
      <c r="BB307" s="90">
        <f>Sheet1!BP309*GPMtoMGD</f>
        <v>0.61776000000000009</v>
      </c>
      <c r="BC307" s="90">
        <f>Sheet1!CS309*GPMtoMGD</f>
        <v>0.77400000000000002</v>
      </c>
      <c r="BD307" s="90">
        <f>Sheet1!BO309*GPMtoMGD</f>
        <v>1.7537760000000002</v>
      </c>
      <c r="BE307" s="90">
        <f>Sheet1!BW309*GPMtoMGD</f>
        <v>0.60105600000000003</v>
      </c>
      <c r="BF307" s="90">
        <f>Sheet1!CN309*GPMtoMGD</f>
        <v>0.85233599999999998</v>
      </c>
      <c r="BG307" s="90">
        <f>Sheet1!CO309*GPMtoMGD</f>
        <v>0.50486400000000009</v>
      </c>
      <c r="BH307" s="90">
        <f>Sheet1!CP309*GPMtoMGD</f>
        <v>0.76694400000000007</v>
      </c>
      <c r="BI307" s="90">
        <f t="shared" si="38"/>
        <v>2.3715360000000003</v>
      </c>
      <c r="BK307" s="95">
        <f>SUM(AT307:BA307,BE307,Sheet1!BV309,'Calculations II'!BC307,Calculation!AQ307)</f>
        <v>48.887273146233383</v>
      </c>
      <c r="BM307" s="373">
        <f>0</f>
        <v>0</v>
      </c>
      <c r="BN307" s="373">
        <f>0</f>
        <v>0</v>
      </c>
      <c r="BP307" s="95">
        <f>SUM(BM307:BN307,W307,Sheet1!DX309)</f>
        <v>0</v>
      </c>
    </row>
    <row r="308" spans="1:68" s="90" customFormat="1">
      <c r="A308" s="651" t="s">
        <v>8</v>
      </c>
      <c r="B308" s="92">
        <v>41936</v>
      </c>
      <c r="C308" s="93">
        <v>0</v>
      </c>
      <c r="D308" s="95">
        <f>(Sheet1!BQ310-Sheet1!BQ309)*1.385</f>
        <v>-0.92795000000000238</v>
      </c>
      <c r="E308" s="30">
        <f>(Sheet1!BR310-Sheet1!BR309)*1.385</f>
        <v>-0.9279499999999975</v>
      </c>
      <c r="F308" s="30">
        <f ca="1">IF(B308=TODAY(),0,-(VLOOKUP(Sheet1!CD310,Lookup!$I$4:$J$216,2)-VLOOKUP(Sheet1!CD309,Lookup!$I$4:$J$216,2))/1000000)</f>
        <v>-0.82909550838239487</v>
      </c>
      <c r="G308" s="95">
        <f ca="1">IF(B308=TODAY(),0,-$G$6*(Sheet1!CF310-Sheet1!CF309)*7.48/1000000)</f>
        <v>0</v>
      </c>
      <c r="H308" s="95">
        <f ca="1">IF(B308=TODAY(),0,-$H$6*(Sheet1!CE310-Sheet1!CE309)*7.48/1000000)</f>
        <v>-0.10527602645885584</v>
      </c>
      <c r="I308" s="95">
        <f ca="1">IF(B308=TODAY(),0,-$I$6*(Sheet1!CG310-Sheet1!CG309)*7.48/1000000)</f>
        <v>8.5357272000000012E-2</v>
      </c>
      <c r="J308" s="96" t="s">
        <v>186</v>
      </c>
      <c r="K308" s="95">
        <f ca="1">IF(B308=TODAY(),0,-$K$6*(Sheet1!CH310-Sheet1!CH309)*7.48/1000000)</f>
        <v>0.16658300936146106</v>
      </c>
      <c r="L308" s="96" t="s">
        <v>186</v>
      </c>
      <c r="M308" s="95">
        <f ca="1">IF(B308=TODAY(),0,-$M$6*(Sheet1!CI310-Sheet1!CI309)*7.48/1000000)</f>
        <v>0.32384715170448669</v>
      </c>
      <c r="N308" s="95">
        <f ca="1">IF(B308=TODAY(),0,-$N$6*(Sheet1!CJ310-Sheet1!CJ309)*7.48/1000000)</f>
        <v>0.23579891249957019</v>
      </c>
      <c r="O308" s="95">
        <f t="shared" ca="1" si="35"/>
        <v>-0.12278518927573279</v>
      </c>
      <c r="P308" s="95">
        <f ca="1">O308+Calculation!ES308</f>
        <v>1.5386860840111984</v>
      </c>
      <c r="Q308" s="90" t="str">
        <f>IF(Sheet1!BQ310&gt;25.75,"spill elevation","-")</f>
        <v>-</v>
      </c>
      <c r="R308" s="90" t="str">
        <f>IF(Sheet1!BQ310&gt;25.75,"spill elevation","-")</f>
        <v>-</v>
      </c>
      <c r="S308" s="90" t="str">
        <f>IF(Sheet1!BR310&gt;25.75,"spill elevation","-")</f>
        <v>-</v>
      </c>
      <c r="T308" s="94">
        <f>IF(Sheet1!DU310=1,Sheet1!AA310-(SUM(AT308:BA308)+BE308),Sheet1!AA310-SUM(AT308:BA308))</f>
        <v>20.643599999999999</v>
      </c>
      <c r="U308" s="94">
        <f>Sheet1!BV310</f>
        <v>29.6</v>
      </c>
      <c r="V308" s="94">
        <f t="shared" si="36"/>
        <v>-8.9564000000000021</v>
      </c>
      <c r="W308" s="94">
        <f>0</f>
        <v>0</v>
      </c>
      <c r="X308" s="90">
        <f>0</f>
        <v>0</v>
      </c>
      <c r="Y308" s="95">
        <f ca="1">Calculation!EJ309+Calculation!ES308+'Calculations II'!O308-'Calculations II'!W308</f>
        <v>54.238686084011199</v>
      </c>
      <c r="Z308" s="95">
        <f ca="1">Y308-Sheet1!CT311</f>
        <v>36.028686084011198</v>
      </c>
      <c r="AA308" s="95">
        <f ca="1">Y308+Calculation!DJ309+Calculation!AS309</f>
        <v>64.145769007642798</v>
      </c>
      <c r="AC308" s="95">
        <f>Sheet1!AA310+Sheet1!AB310+BC308</f>
        <v>50.665599999999998</v>
      </c>
      <c r="AD308" s="95">
        <f>Sheet1!AA310+Sheet1!BN310+'Calculations II'!BC308-Calculation!AS308-Calculation!DJ308</f>
        <v>30.80807087183608</v>
      </c>
      <c r="AE308" s="95">
        <f>Sheet1!AA310+Sheet1!AB310+'Calculations II'!BC308-Calculation!AS308-Calculation!DJ308</f>
        <v>40.708070871836078</v>
      </c>
      <c r="AF308" s="95">
        <f ca="1">Sheet1!AA310+Sheet1!BN310+P308+'Calculations II'!BC308+Calculation!AS308+Calculation!DJ308</f>
        <v>52.261815212175115</v>
      </c>
      <c r="AG308" s="95">
        <f ca="1">IF(B308=TODAY(),0,Sheet1!AA310+Sheet1!BN310+'Calculations II'!BC308+'Calculations II'!P308-Sheet1!CT310-BP308)</f>
        <v>25.444286084011196</v>
      </c>
      <c r="AH308" s="95">
        <f ca="1">IF(B308=TODAY(),0,Sheet1!AA310+Sheet1!BN310+'Calculations II'!BC308+'Calculations II'!P308-BP308)</f>
        <v>42.304286084011196</v>
      </c>
      <c r="AI308" s="95">
        <f ca="1">IF(B308=TODAY(),0,BC308+Sheet1!AA310+Calculation!ES308+O308+W308+Sheet1!BN310+Calculation!AS308+Calculation!DJ308-BP308)</f>
        <v>52.261815212175122</v>
      </c>
      <c r="AJ308" s="95"/>
      <c r="AM308" s="91">
        <f t="shared" si="37"/>
        <v>41936</v>
      </c>
      <c r="AN308" s="95">
        <f>Sheet1!BU310</f>
        <v>22.3</v>
      </c>
      <c r="AO308" s="95">
        <f>Sheet1!AA310</f>
        <v>23</v>
      </c>
      <c r="AP308" s="95">
        <f t="shared" si="32"/>
        <v>-1.8558999999999999</v>
      </c>
      <c r="AQ308" s="1055">
        <f>((Sheet1!BV310-(Sheet1!BU310-AP308))/(Sheet1!BU310-AP308))</f>
        <v>0.22537351123328059</v>
      </c>
      <c r="AR308" s="95">
        <f t="shared" si="33"/>
        <v>24.855899999999998</v>
      </c>
      <c r="AS308" s="95">
        <f t="shared" si="34"/>
        <v>24.155899999999999</v>
      </c>
      <c r="AT308" s="90">
        <f>Sheet1!BB310</f>
        <v>1.01</v>
      </c>
      <c r="AU308" s="90">
        <f>Sheet1!AS310*GPMtoMGD</f>
        <v>1.5408E-2</v>
      </c>
      <c r="AV308" s="95">
        <f>Sheet1!AT310</f>
        <v>0</v>
      </c>
      <c r="AW308" s="90">
        <f>Sheet1!AV310*GPMtoMGD</f>
        <v>0.58708800000000005</v>
      </c>
      <c r="AX308" s="90">
        <f>Sheet1!AW310*GPMtoMGD</f>
        <v>0.74390400000000012</v>
      </c>
      <c r="AY308" s="90">
        <f>Sheet1!AX310*GPMtoMGD</f>
        <v>0</v>
      </c>
      <c r="AZ308" s="90">
        <f>Sheet1!AY310*GPMtoMGD</f>
        <v>0</v>
      </c>
      <c r="BA308" s="90">
        <f>Sheet1!AZ310*GPMtoMGD</f>
        <v>0</v>
      </c>
      <c r="BB308" s="90">
        <f>Sheet1!BP310*GPMtoMGD</f>
        <v>9.4896000000000008E-2</v>
      </c>
      <c r="BC308" s="90">
        <f>Sheet1!CS310*GPMtoMGD</f>
        <v>2.8656000000000001</v>
      </c>
      <c r="BD308" s="90">
        <f>Sheet1!BO310*GPMtoMGD</f>
        <v>0.94132800000000016</v>
      </c>
      <c r="BE308" s="90">
        <f>Sheet1!BW310*GPMtoMGD</f>
        <v>0.61646400000000012</v>
      </c>
      <c r="BF308" s="90">
        <f>Sheet1!CN310*GPMtoMGD</f>
        <v>0.79761599999999999</v>
      </c>
      <c r="BG308" s="90">
        <f>Sheet1!CO310*GPMtoMGD</f>
        <v>0.45302400000000004</v>
      </c>
      <c r="BH308" s="90">
        <f>Sheet1!CP310*GPMtoMGD</f>
        <v>0.75556800000000013</v>
      </c>
      <c r="BI308" s="90">
        <f t="shared" si="38"/>
        <v>1.0362240000000003</v>
      </c>
      <c r="BK308" s="95">
        <f>SUM(AT308:BA308,BE308,Sheet1!BV310,'Calculations II'!BC308,Calculation!AQ308)</f>
        <v>50.284586940940144</v>
      </c>
      <c r="BM308" s="373">
        <f>0</f>
        <v>0</v>
      </c>
      <c r="BN308" s="373">
        <f>0</f>
        <v>0</v>
      </c>
      <c r="BP308" s="95">
        <f>SUM(BM308:BN308,W308,Sheet1!DX310)</f>
        <v>0</v>
      </c>
    </row>
    <row r="309" spans="1:68" s="90" customFormat="1">
      <c r="A309" s="651" t="s">
        <v>9</v>
      </c>
      <c r="B309" s="92">
        <v>41937</v>
      </c>
      <c r="C309" s="93">
        <v>0</v>
      </c>
      <c r="D309" s="95">
        <f>(Sheet1!BQ311-Sheet1!BQ310)*1.385</f>
        <v>-1.1633999999999998</v>
      </c>
      <c r="E309" s="30">
        <f>(Sheet1!BR311-Sheet1!BR310)*1.385</f>
        <v>-1.1218500000000031</v>
      </c>
      <c r="F309" s="30">
        <f ca="1">IF(B309=TODAY(),0,-(VLOOKUP(Sheet1!CD311,Lookup!$I$4:$J$216,2)-VLOOKUP(Sheet1!CD310,Lookup!$I$4:$J$216,2))/1000000)</f>
        <v>1.1400063240258005</v>
      </c>
      <c r="G309" s="95">
        <f ca="1">IF(B309=TODAY(),0,-$G$6*(Sheet1!CF311-Sheet1!CF310)*7.48/1000000)</f>
        <v>3.9713501052559302E-2</v>
      </c>
      <c r="H309" s="95">
        <f ca="1">IF(B309=TODAY(),0,-$H$6*(Sheet1!CE311-Sheet1!CE310)*7.48/1000000)</f>
        <v>4.5118297053795289E-2</v>
      </c>
      <c r="I309" s="95">
        <f ca="1">IF(B309=TODAY(),0,-$I$6*(Sheet1!CG311-Sheet1!CG310)*7.48/1000000)</f>
        <v>9.8834736000000006E-2</v>
      </c>
      <c r="J309" s="96" t="s">
        <v>186</v>
      </c>
      <c r="K309" s="95">
        <f ca="1">IF(B309=TODAY(),0,-$K$6*(Sheet1!CH311-Sheet1!CH310)*7.48/1000000)</f>
        <v>0.15991968898700265</v>
      </c>
      <c r="L309" s="96" t="s">
        <v>186</v>
      </c>
      <c r="M309" s="95">
        <f ca="1">IF(B309=TODAY(),0,-$M$6*(Sheet1!CI311-Sheet1!CI310)*7.48/1000000)</f>
        <v>0.53974525284081154</v>
      </c>
      <c r="N309" s="95">
        <f ca="1">IF(B309=TODAY(),0,-$N$6*(Sheet1!CJ311-Sheet1!CJ310)*7.48/1000000)</f>
        <v>-0.24200414703903245</v>
      </c>
      <c r="O309" s="95">
        <f t="shared" ca="1" si="35"/>
        <v>1.7813336529209369</v>
      </c>
      <c r="P309" s="95">
        <f ca="1">O309+Calculation!ES309</f>
        <v>4.1342869493463237</v>
      </c>
      <c r="Q309" s="90" t="str">
        <f>IF(Sheet1!BQ311&gt;25.75,"spill elevation","-")</f>
        <v>-</v>
      </c>
      <c r="R309" s="90" t="str">
        <f>IF(Sheet1!BQ311&gt;25.75,"spill elevation","-")</f>
        <v>-</v>
      </c>
      <c r="S309" s="90" t="str">
        <f>IF(Sheet1!BR311&gt;25.75,"spill elevation","-")</f>
        <v>-</v>
      </c>
      <c r="T309" s="94">
        <f>IF(Sheet1!DU311=1,Sheet1!AA311-(SUM(AT309:BA309)+BE309),Sheet1!AA311-SUM(AT309:BA309))</f>
        <v>20.89264</v>
      </c>
      <c r="U309" s="94">
        <f>Sheet1!BV311</f>
        <v>29.5</v>
      </c>
      <c r="V309" s="94">
        <f t="shared" si="36"/>
        <v>-8.6073599999999999</v>
      </c>
      <c r="W309" s="94">
        <f>0</f>
        <v>0</v>
      </c>
      <c r="X309" s="90">
        <f>0</f>
        <v>0</v>
      </c>
      <c r="Y309" s="95">
        <f ca="1">Calculation!EJ310+Calculation!ES309+'Calculations II'!O309-'Calculations II'!W309</f>
        <v>59.274286949346326</v>
      </c>
      <c r="Z309" s="95">
        <f ca="1">Y309-Sheet1!CT312</f>
        <v>42.93428694934633</v>
      </c>
      <c r="AA309" s="95">
        <f ca="1">Y309+Calculation!DJ310+Calculation!AS310</f>
        <v>69.642727875046688</v>
      </c>
      <c r="AC309" s="95">
        <f>Sheet1!AA311+Sheet1!AB311+BC309</f>
        <v>52.7</v>
      </c>
      <c r="AD309" s="95">
        <f>Sheet1!AA311+Sheet1!BN311+'Calculations II'!BC309-Calculation!AS309-Calculation!DJ309</f>
        <v>32.892917076368406</v>
      </c>
      <c r="AE309" s="95">
        <f>Sheet1!AA311+Sheet1!AB311+'Calculations II'!BC309-Calculation!AS309-Calculation!DJ309</f>
        <v>42.792917076368411</v>
      </c>
      <c r="AF309" s="95">
        <f ca="1">Sheet1!AA311+Sheet1!BN311+P309+'Calculations II'!BC309+Calculation!AS309+Calculation!DJ309</f>
        <v>56.841369872977914</v>
      </c>
      <c r="AG309" s="95">
        <f ca="1">IF(B309=TODAY(),0,Sheet1!AA311+Sheet1!BN311+'Calculations II'!BC309+'Calculations II'!P309-Sheet1!CT311-BP309)</f>
        <v>28.724286949346322</v>
      </c>
      <c r="AH309" s="95">
        <f ca="1">IF(B309=TODAY(),0,Sheet1!AA311+Sheet1!BN311+'Calculations II'!BC309+'Calculations II'!P309-BP309)</f>
        <v>46.934286949346323</v>
      </c>
      <c r="AI309" s="95">
        <f ca="1">IF(B309=TODAY(),0,BC309+Sheet1!AA311+Calculation!ES309+O309+W309+Sheet1!BN311+Calculation!AS309+Calculation!DJ309-BP309)</f>
        <v>56.841369872977914</v>
      </c>
      <c r="AJ309" s="95"/>
      <c r="AM309" s="91">
        <f t="shared" si="37"/>
        <v>41937</v>
      </c>
      <c r="AN309" s="95">
        <f>Sheet1!BU311</f>
        <v>22.3</v>
      </c>
      <c r="AO309" s="95">
        <f>Sheet1!AA311</f>
        <v>22.2</v>
      </c>
      <c r="AP309" s="95">
        <f t="shared" si="32"/>
        <v>-2.2852500000000031</v>
      </c>
      <c r="AQ309" s="1055">
        <f>((Sheet1!BV311-(Sheet1!BU311-AP309))/(Sheet1!BU311-AP309))</f>
        <v>0.19990644797185295</v>
      </c>
      <c r="AR309" s="95">
        <f t="shared" si="33"/>
        <v>24.485250000000001</v>
      </c>
      <c r="AS309" s="95">
        <f t="shared" si="34"/>
        <v>24.585250000000002</v>
      </c>
      <c r="AT309" s="90">
        <f>Sheet1!BB311</f>
        <v>1.01</v>
      </c>
      <c r="AU309" s="90">
        <f>Sheet1!AS311*GPMtoMGD</f>
        <v>1.5552000000000002E-2</v>
      </c>
      <c r="AV309" s="95">
        <f>Sheet1!AT311</f>
        <v>0</v>
      </c>
      <c r="AW309" s="90">
        <f>Sheet1!AV311*GPMtoMGD</f>
        <v>8.3664000000000002E-2</v>
      </c>
      <c r="AX309" s="90">
        <f>Sheet1!AW311*GPMtoMGD</f>
        <v>0.19814400000000001</v>
      </c>
      <c r="AY309" s="90">
        <f>Sheet1!AX311*GPMtoMGD</f>
        <v>0</v>
      </c>
      <c r="AZ309" s="90">
        <f>Sheet1!AY311*GPMtoMGD</f>
        <v>0</v>
      </c>
      <c r="BA309" s="90">
        <f>Sheet1!AZ311*GPMtoMGD</f>
        <v>0</v>
      </c>
      <c r="BB309" s="90">
        <f>Sheet1!BP311*GPMtoMGD</f>
        <v>0.31824000000000002</v>
      </c>
      <c r="BC309" s="90">
        <f>Sheet1!CS311*GPMtoMGD</f>
        <v>0</v>
      </c>
      <c r="BD309" s="90">
        <f>Sheet1!BO311*GPMtoMGD</f>
        <v>0.60796800000000006</v>
      </c>
      <c r="BE309" s="90">
        <f>Sheet1!BW311*GPMtoMGD</f>
        <v>0.89380800000000016</v>
      </c>
      <c r="BF309" s="90">
        <f>Sheet1!CN311*GPMtoMGD</f>
        <v>0.59731200000000007</v>
      </c>
      <c r="BG309" s="90">
        <f>Sheet1!CO311*GPMtoMGD</f>
        <v>0.47937600000000002</v>
      </c>
      <c r="BH309" s="90">
        <f>Sheet1!CP311*GPMtoMGD</f>
        <v>0.736128</v>
      </c>
      <c r="BI309" s="90">
        <f t="shared" si="38"/>
        <v>0.92620800000000014</v>
      </c>
      <c r="BK309" s="95">
        <f>SUM(AT309:BA309,BE309,Sheet1!BV311,'Calculations II'!BC309,Calculation!AQ309)</f>
        <v>52.294416115372002</v>
      </c>
      <c r="BM309" s="373">
        <f>0</f>
        <v>0</v>
      </c>
      <c r="BN309" s="373">
        <f>0</f>
        <v>0</v>
      </c>
      <c r="BP309" s="95">
        <f>SUM(BM309:BN309,W309,Sheet1!DX311)</f>
        <v>0</v>
      </c>
    </row>
    <row r="310" spans="1:68" s="90" customFormat="1">
      <c r="A310" s="651" t="s">
        <v>3</v>
      </c>
      <c r="B310" s="92">
        <v>41938</v>
      </c>
      <c r="C310" s="93">
        <v>0</v>
      </c>
      <c r="D310" s="95">
        <f>(Sheet1!BQ312-Sheet1!BQ311)*1.385</f>
        <v>-0.95564999999999689</v>
      </c>
      <c r="E310" s="30">
        <f>(Sheet1!BR312-Sheet1!BR311)*1.385</f>
        <v>-0.95564999999999689</v>
      </c>
      <c r="F310" s="30">
        <f ca="1">IF(B310=TODAY(),0,-(VLOOKUP(Sheet1!CD312,Lookup!$I$4:$J$216,2)-VLOOKUP(Sheet1!CD311,Lookup!$I$4:$J$216,2))/1000000)</f>
        <v>-0.31091081564340556</v>
      </c>
      <c r="G310" s="95">
        <f ca="1">IF(B310=TODAY(),0,-$G$6*(Sheet1!CF312-Sheet1!CF311)*7.48/1000000)</f>
        <v>-3.9713501052559302E-2</v>
      </c>
      <c r="H310" s="95">
        <f ca="1">IF(B310=TODAY(),0,-$H$6*(Sheet1!CE312-Sheet1!CE311)*7.48/1000000)</f>
        <v>0.13535489116138585</v>
      </c>
      <c r="I310" s="95">
        <f ca="1">IF(B310=TODAY(),0,-$I$6*(Sheet1!CG312-Sheet1!CG311)*7.48/1000000)</f>
        <v>-7.6372296000000006E-2</v>
      </c>
      <c r="J310" s="96" t="s">
        <v>186</v>
      </c>
      <c r="K310" s="95">
        <f ca="1">IF(B310=TODAY(),0,-$K$6*(Sheet1!CH312-Sheet1!CH311)*7.48/1000000)</f>
        <v>-0.13992972786362726</v>
      </c>
      <c r="L310" s="96" t="s">
        <v>186</v>
      </c>
      <c r="M310" s="95">
        <f ca="1">IF(B310=TODAY(),0,-$M$6*(Sheet1!CI312-Sheet1!CI311)*7.48/1000000)</f>
        <v>-0.37782167698856794</v>
      </c>
      <c r="N310" s="95">
        <f ca="1">IF(B310=TODAY(),0,-$N$6*(Sheet1!CJ312-Sheet1!CJ311)*7.48/1000000)</f>
        <v>-0.11169422171032285</v>
      </c>
      <c r="O310" s="95">
        <f t="shared" ca="1" si="35"/>
        <v>-0.92108734809709703</v>
      </c>
      <c r="P310" s="95">
        <f ca="1">O310+Calculation!ES310</f>
        <v>1.0159504435763806</v>
      </c>
      <c r="Q310" s="90" t="str">
        <f>IF(Sheet1!BQ312&gt;25.75,"spill elevation","-")</f>
        <v>-</v>
      </c>
      <c r="R310" s="90" t="str">
        <f>IF(Sheet1!BQ312&gt;25.75,"spill elevation","-")</f>
        <v>-</v>
      </c>
      <c r="S310" s="90" t="str">
        <f>IF(Sheet1!BR312&gt;25.75,"spill elevation","-")</f>
        <v>-</v>
      </c>
      <c r="T310" s="94">
        <f>IF(Sheet1!DU312=1,Sheet1!AA312-(SUM(AT310:BA310)+BE310),Sheet1!AA312-SUM(AT310:BA310))</f>
        <v>18.977504</v>
      </c>
      <c r="U310" s="94">
        <f>Sheet1!BV312</f>
        <v>27.2</v>
      </c>
      <c r="V310" s="94">
        <f t="shared" si="36"/>
        <v>-8.2224959999999996</v>
      </c>
      <c r="W310" s="94">
        <f>0</f>
        <v>0</v>
      </c>
      <c r="X310" s="90">
        <f>0</f>
        <v>0</v>
      </c>
      <c r="Y310" s="95">
        <f ca="1">Calculation!EJ311+Calculation!ES310+'Calculations II'!O310-'Calculations II'!W310</f>
        <v>57.135950443576384</v>
      </c>
      <c r="Z310" s="95">
        <f ca="1">Y310-Sheet1!CT313</f>
        <v>41.505950443576381</v>
      </c>
      <c r="AA310" s="95">
        <f ca="1">Y310+Calculation!DJ311+Calculation!AS311</f>
        <v>67.523848088240527</v>
      </c>
      <c r="AC310" s="95">
        <f>Sheet1!AA312+Sheet1!AB312+BC310</f>
        <v>55.14</v>
      </c>
      <c r="AD310" s="95">
        <f>Sheet1!AA312+Sheet1!BN312+'Calculations II'!BC310-Calculation!AS310-Calculation!DJ310</f>
        <v>34.331559074299641</v>
      </c>
      <c r="AE310" s="95">
        <f>Sheet1!AA312+Sheet1!AB312+'Calculations II'!BC310-Calculation!AS310-Calculation!DJ310</f>
        <v>44.771559074299638</v>
      </c>
      <c r="AF310" s="95">
        <f ca="1">Sheet1!AA312+Sheet1!BN312+P310+'Calculations II'!BC310+Calculation!AS310+Calculation!DJ310</f>
        <v>56.084391369276744</v>
      </c>
      <c r="AG310" s="95">
        <f ca="1">IF(B310=TODAY(),0,Sheet1!AA312+Sheet1!BN312+'Calculations II'!BC310+'Calculations II'!P310-Sheet1!CT312-BP310)</f>
        <v>29.375950443576382</v>
      </c>
      <c r="AH310" s="95">
        <f ca="1">IF(B310=TODAY(),0,Sheet1!AA312+Sheet1!BN312+'Calculations II'!BC310+'Calculations II'!P310-BP310)</f>
        <v>45.715950443576382</v>
      </c>
      <c r="AI310" s="95">
        <f ca="1">IF(B310=TODAY(),0,BC310+Sheet1!AA312+Calculation!ES310+O310+W310+Sheet1!BN312+Calculation!AS310+Calculation!DJ310-BP310)</f>
        <v>56.084391369276744</v>
      </c>
      <c r="AJ310" s="95"/>
      <c r="AM310" s="91">
        <f t="shared" si="37"/>
        <v>41938</v>
      </c>
      <c r="AN310" s="95">
        <f>Sheet1!BU312</f>
        <v>20.9</v>
      </c>
      <c r="AO310" s="95">
        <f>Sheet1!AA312</f>
        <v>22.2</v>
      </c>
      <c r="AP310" s="95">
        <f t="shared" si="32"/>
        <v>-1.9112999999999938</v>
      </c>
      <c r="AQ310" s="1055">
        <f>((Sheet1!BV312-(Sheet1!BU312-AP310))/(Sheet1!BU312-AP310))</f>
        <v>0.19239149018249765</v>
      </c>
      <c r="AR310" s="95">
        <f t="shared" si="33"/>
        <v>24.111299999999993</v>
      </c>
      <c r="AS310" s="95">
        <f t="shared" si="34"/>
        <v>22.811299999999992</v>
      </c>
      <c r="AT310" s="90">
        <f>Sheet1!BB312</f>
        <v>1</v>
      </c>
      <c r="AU310" s="90">
        <f>Sheet1!AS312*GPMtoMGD</f>
        <v>1.6847999999999998E-2</v>
      </c>
      <c r="AV310" s="95">
        <f>Sheet1!AT312</f>
        <v>0</v>
      </c>
      <c r="AW310" s="90">
        <f>Sheet1!AV312*GPMtoMGD</f>
        <v>0.76406400000000008</v>
      </c>
      <c r="AX310" s="90">
        <f>Sheet1!AW312*GPMtoMGD</f>
        <v>1.4415840000000002</v>
      </c>
      <c r="AY310" s="90">
        <f>Sheet1!AX312*GPMtoMGD</f>
        <v>0</v>
      </c>
      <c r="AZ310" s="90">
        <f>Sheet1!AY312*GPMtoMGD</f>
        <v>0</v>
      </c>
      <c r="BA310" s="90">
        <f>Sheet1!AZ312*GPMtoMGD</f>
        <v>0</v>
      </c>
      <c r="BB310" s="90">
        <f>Sheet1!BP312*GPMtoMGD</f>
        <v>0.69868799999999998</v>
      </c>
      <c r="BC310" s="90">
        <f>Sheet1!CS312*GPMtoMGD</f>
        <v>0</v>
      </c>
      <c r="BD310" s="90">
        <f>Sheet1!BO312*GPMtoMGD</f>
        <v>1.479312</v>
      </c>
      <c r="BE310" s="90">
        <f>Sheet1!BW312*GPMtoMGD</f>
        <v>0.67104000000000008</v>
      </c>
      <c r="BF310" s="90">
        <f>Sheet1!CN312*GPMtoMGD</f>
        <v>0.68817600000000001</v>
      </c>
      <c r="BG310" s="90">
        <f>Sheet1!CO312*GPMtoMGD</f>
        <v>0.535968</v>
      </c>
      <c r="BH310" s="90">
        <f>Sheet1!CP312*GPMtoMGD</f>
        <v>0.75081600000000004</v>
      </c>
      <c r="BI310" s="90">
        <f t="shared" si="38"/>
        <v>2.1779999999999999</v>
      </c>
      <c r="BK310" s="95">
        <f>SUM(AT310:BA310,BE310,Sheet1!BV312,'Calculations II'!BC310,Calculation!AQ310)</f>
        <v>53.662050007308153</v>
      </c>
      <c r="BM310" s="373">
        <f>0</f>
        <v>0</v>
      </c>
      <c r="BN310" s="373">
        <f>0</f>
        <v>0</v>
      </c>
      <c r="BP310" s="95">
        <f>SUM(BM310:BN310,W310,Sheet1!DX312)</f>
        <v>0</v>
      </c>
    </row>
    <row r="311" spans="1:68" s="90" customFormat="1">
      <c r="A311" s="651" t="s">
        <v>4</v>
      </c>
      <c r="B311" s="92">
        <v>41939</v>
      </c>
      <c r="C311" s="93">
        <v>0</v>
      </c>
      <c r="D311" s="95">
        <f>(Sheet1!BQ313-Sheet1!BQ312)*1.385</f>
        <v>1.177249999999997</v>
      </c>
      <c r="E311" s="30">
        <f>(Sheet1!BR313-Sheet1!BR312)*1.385</f>
        <v>1.177249999999997</v>
      </c>
      <c r="F311" s="30">
        <f ca="1">IF(B311=TODAY(),0,-(VLOOKUP(Sheet1!CD313,Lookup!$I$4:$J$216,2)-VLOOKUP(Sheet1!CD312,Lookup!$I$4:$J$216,2))/1000000)</f>
        <v>0.93273244693020174</v>
      </c>
      <c r="G311" s="95">
        <f ca="1">IF(B311=TODAY(),0,-$G$6*(Sheet1!CF313-Sheet1!CF312)*7.48/1000000)</f>
        <v>2.3828100631535582E-2</v>
      </c>
      <c r="H311" s="95">
        <f ca="1">IF(B311=TODAY(),0,-$H$6*(Sheet1!CE313-Sheet1!CE312)*7.48/1000000)</f>
        <v>-0.22559148526897588</v>
      </c>
      <c r="I311" s="95">
        <f ca="1">IF(B311=TODAY(),0,-$I$6*(Sheet1!CG313-Sheet1!CG312)*7.48/1000000)</f>
        <v>-8.9849760000000015E-2</v>
      </c>
      <c r="J311" s="96" t="s">
        <v>186</v>
      </c>
      <c r="K311" s="95">
        <f ca="1">IF(B311=TODAY(),0,-$K$6*(Sheet1!CH313-Sheet1!CH312)*7.48/1000000)</f>
        <v>-0.15325636861254421</v>
      </c>
      <c r="L311" s="96" t="s">
        <v>186</v>
      </c>
      <c r="M311" s="95">
        <f ca="1">IF(B311=TODAY(),0,-$M$6*(Sheet1!CI313-Sheet1!CI312)*7.48/1000000)</f>
        <v>-0.41380469384462221</v>
      </c>
      <c r="N311" s="95">
        <f ca="1">IF(B311=TODAY(),0,-$N$6*(Sheet1!CJ313-Sheet1!CJ312)*7.48/1000000)</f>
        <v>0.35990360328881754</v>
      </c>
      <c r="O311" s="95">
        <f t="shared" ca="1" si="35"/>
        <v>0.43396184312441261</v>
      </c>
      <c r="P311" s="95">
        <f ca="1">O311+Calculation!ES311</f>
        <v>-1.9182291394409607</v>
      </c>
      <c r="Q311" s="90" t="str">
        <f>IF(Sheet1!BQ313&gt;25.75,"spill elevation","-")</f>
        <v>-</v>
      </c>
      <c r="R311" s="90" t="str">
        <f>IF(Sheet1!BQ313&gt;25.75,"spill elevation","-")</f>
        <v>-</v>
      </c>
      <c r="S311" s="90" t="str">
        <f>IF(Sheet1!BR313&gt;25.75,"spill elevation","-")</f>
        <v>-</v>
      </c>
      <c r="T311" s="94">
        <f>IF(Sheet1!DU313=1,Sheet1!AA313-(SUM(AT311:BA311)+BE311),Sheet1!AA313-SUM(AT311:BA311))</f>
        <v>20.034688000000003</v>
      </c>
      <c r="U311" s="94">
        <f>Sheet1!BV313</f>
        <v>23.8</v>
      </c>
      <c r="V311" s="94">
        <f t="shared" si="36"/>
        <v>-3.765311999999998</v>
      </c>
      <c r="W311" s="94">
        <f>0</f>
        <v>0</v>
      </c>
      <c r="X311" s="90">
        <f>0</f>
        <v>0</v>
      </c>
      <c r="Y311" s="95">
        <f ca="1">Calculation!EJ312+Calculation!ES311+'Calculations II'!O311-'Calculations II'!W311</f>
        <v>55.261770860559039</v>
      </c>
      <c r="Z311" s="95">
        <f ca="1">Y311-Sheet1!CT314</f>
        <v>39.981770860559038</v>
      </c>
      <c r="AA311" s="95">
        <f ca="1">Y311+Calculation!DJ312+Calculation!AS312</f>
        <v>65.250470630937926</v>
      </c>
      <c r="AC311" s="95">
        <f>Sheet1!AA313+Sheet1!AB313+BC311</f>
        <v>56.120000000000005</v>
      </c>
      <c r="AD311" s="95">
        <f>Sheet1!AA313+Sheet1!BN313+'Calculations II'!BC311-Calculation!AS311-Calculation!DJ311</f>
        <v>35.61210235533585</v>
      </c>
      <c r="AE311" s="95">
        <f>Sheet1!AA313+Sheet1!AB313+'Calculations II'!BC311-Calculation!AS311-Calculation!DJ311</f>
        <v>45.732102355335854</v>
      </c>
      <c r="AF311" s="95">
        <f ca="1">Sheet1!AA313+Sheet1!BN313+P311+'Calculations II'!BC311+Calculation!AS311+Calculation!DJ311</f>
        <v>54.469668505223183</v>
      </c>
      <c r="AG311" s="95">
        <f ca="1">IF(B311=TODAY(),0,Sheet1!AA313+Sheet1!BN313+'Calculations II'!BC311+'Calculations II'!P311-Sheet1!CT313-BP311)</f>
        <v>28.451770860559037</v>
      </c>
      <c r="AH311" s="95">
        <f ca="1">IF(B311=TODAY(),0,Sheet1!AA313+Sheet1!BN313+'Calculations II'!BC311+'Calculations II'!P311-BP311)</f>
        <v>44.08177086055904</v>
      </c>
      <c r="AI311" s="95">
        <f ca="1">IF(B311=TODAY(),0,BC311+Sheet1!AA313+Calculation!ES311+O311+W311+Sheet1!BN313+Calculation!AS311+Calculation!DJ311-BP311)</f>
        <v>54.469668505223183</v>
      </c>
      <c r="AJ311" s="95"/>
      <c r="AM311" s="91">
        <f t="shared" si="37"/>
        <v>41939</v>
      </c>
      <c r="AN311" s="95">
        <f>Sheet1!BU313</f>
        <v>21.6</v>
      </c>
      <c r="AO311" s="95">
        <f>Sheet1!AA313</f>
        <v>22.1</v>
      </c>
      <c r="AP311" s="95">
        <f t="shared" si="32"/>
        <v>2.354499999999994</v>
      </c>
      <c r="AQ311" s="1055">
        <f>((Sheet1!BV313-(Sheet1!BU313-AP311))/(Sheet1!BU313-AP311))</f>
        <v>0.23665272401340531</v>
      </c>
      <c r="AR311" s="95">
        <f t="shared" si="33"/>
        <v>19.745500000000007</v>
      </c>
      <c r="AS311" s="95">
        <f t="shared" si="34"/>
        <v>19.245500000000007</v>
      </c>
      <c r="AT311" s="90">
        <f>Sheet1!BB313</f>
        <v>1</v>
      </c>
      <c r="AU311" s="90">
        <f>Sheet1!AS313*GPMtoMGD</f>
        <v>1.5552000000000002E-2</v>
      </c>
      <c r="AV311" s="95">
        <f>Sheet1!AT313</f>
        <v>0</v>
      </c>
      <c r="AW311" s="90">
        <f>Sheet1!AV313*GPMtoMGD</f>
        <v>0.45172800000000002</v>
      </c>
      <c r="AX311" s="90">
        <f>Sheet1!AW313*GPMtoMGD</f>
        <v>0.59803200000000001</v>
      </c>
      <c r="AY311" s="90">
        <f>Sheet1!AX313*GPMtoMGD</f>
        <v>0</v>
      </c>
      <c r="AZ311" s="90">
        <f>Sheet1!AY313*GPMtoMGD</f>
        <v>0</v>
      </c>
      <c r="BA311" s="90">
        <f>Sheet1!AZ313*GPMtoMGD</f>
        <v>0</v>
      </c>
      <c r="BB311" s="90">
        <f>Sheet1!BP313*GPMtoMGD</f>
        <v>0.43142400000000009</v>
      </c>
      <c r="BC311" s="90">
        <f>Sheet1!CS313*GPMtoMGD</f>
        <v>0</v>
      </c>
      <c r="BD311" s="90">
        <f>Sheet1!BO313*GPMtoMGD</f>
        <v>1.6446239999999999</v>
      </c>
      <c r="BE311" s="90">
        <f>Sheet1!BW313*GPMtoMGD</f>
        <v>0.89280000000000004</v>
      </c>
      <c r="BF311" s="90">
        <f>Sheet1!CN313*GPMtoMGD</f>
        <v>0.34488000000000002</v>
      </c>
      <c r="BG311" s="90">
        <f>Sheet1!CO313*GPMtoMGD</f>
        <v>0.46785599999999999</v>
      </c>
      <c r="BH311" s="90">
        <f>Sheet1!CP313*GPMtoMGD</f>
        <v>0.75830400000000009</v>
      </c>
      <c r="BI311" s="90">
        <f t="shared" si="38"/>
        <v>2.0760480000000001</v>
      </c>
      <c r="BK311" s="95">
        <f>SUM(AT311:BA311,BE311,Sheet1!BV313,'Calculations II'!BC311,Calculation!AQ311)</f>
        <v>50.40097329688863</v>
      </c>
      <c r="BM311" s="373">
        <f>0</f>
        <v>0</v>
      </c>
      <c r="BN311" s="373">
        <f>0</f>
        <v>0</v>
      </c>
      <c r="BP311" s="95">
        <f>SUM(BM311:BN311,W311,Sheet1!DX313)</f>
        <v>0</v>
      </c>
    </row>
    <row r="312" spans="1:68" s="90" customFormat="1">
      <c r="A312" s="651" t="s">
        <v>5</v>
      </c>
      <c r="B312" s="92">
        <v>41940</v>
      </c>
      <c r="C312" s="93">
        <v>0</v>
      </c>
      <c r="D312" s="95">
        <f>(Sheet1!BQ314-Sheet1!BQ313)*1.385</f>
        <v>2.216000000000002</v>
      </c>
      <c r="E312" s="30">
        <f>(Sheet1!BR314-Sheet1!BR313)*1.385</f>
        <v>2.216000000000002</v>
      </c>
      <c r="F312" s="30">
        <f ca="1">IF(B312=TODAY(),0,-(VLOOKUP(Sheet1!CD314,Lookup!$I$4:$J$216,2)-VLOOKUP(Sheet1!CD313,Lookup!$I$4:$J$216,2))/1000000)</f>
        <v>-0.10363693854779936</v>
      </c>
      <c r="G312" s="95">
        <f ca="1">IF(B312=TODAY(),0,-$G$6*(Sheet1!CF314-Sheet1!CF313)*7.48/1000000)</f>
        <v>-2.3828100631535582E-2</v>
      </c>
      <c r="H312" s="95">
        <f ca="1">IF(B312=TODAY(),0,-$H$6*(Sheet1!CE314-Sheet1!CE313)*7.48/1000000)</f>
        <v>0</v>
      </c>
      <c r="I312" s="95">
        <f ca="1">IF(B312=TODAY(),0,-$I$6*(Sheet1!CG314-Sheet1!CG313)*7.48/1000000)</f>
        <v>2.6954927999999989E-2</v>
      </c>
      <c r="J312" s="96" t="s">
        <v>186</v>
      </c>
      <c r="K312" s="95">
        <f ca="1">IF(B312=TODAY(),0,-$K$6*(Sheet1!CH314-Sheet1!CH313)*7.48/1000000)</f>
        <v>6.6633203744584424E-2</v>
      </c>
      <c r="L312" s="96" t="s">
        <v>186</v>
      </c>
      <c r="M312" s="95">
        <f ca="1">IF(B312=TODAY(),0,-$M$6*(Sheet1!CI314-Sheet1!CI313)*7.48/1000000)</f>
        <v>5.3974525284081275E-2</v>
      </c>
      <c r="N312" s="95">
        <f ca="1">IF(B312=TODAY(),0,-$N$6*(Sheet1!CJ314-Sheet1!CJ313)*7.48/1000000)</f>
        <v>-0.19236227072333331</v>
      </c>
      <c r="O312" s="95">
        <f t="shared" ca="1" si="35"/>
        <v>-0.17226465287400256</v>
      </c>
      <c r="P312" s="95">
        <f ca="1">O312+Calculation!ES312</f>
        <v>-4.6024446814797093</v>
      </c>
      <c r="Q312" s="90" t="str">
        <f>IF(Sheet1!BQ314&gt;25.75,"spill elevation","-")</f>
        <v>-</v>
      </c>
      <c r="R312" s="90" t="str">
        <f>IF(Sheet1!BQ314&gt;25.75,"spill elevation","-")</f>
        <v>-</v>
      </c>
      <c r="S312" s="90" t="str">
        <f>IF(Sheet1!BR314&gt;25.75,"spill elevation","-")</f>
        <v>-</v>
      </c>
      <c r="T312" s="94">
        <f>IF(Sheet1!DU314=1,Sheet1!AA314-(SUM(AT312:BA312)+BE312),Sheet1!AA314-SUM(AT312:BA312))</f>
        <v>20.218399999999999</v>
      </c>
      <c r="U312" s="94">
        <f>Sheet1!BV314</f>
        <v>21.8</v>
      </c>
      <c r="V312" s="94">
        <f t="shared" si="36"/>
        <v>-1.5816000000000017</v>
      </c>
      <c r="W312" s="94">
        <f>0</f>
        <v>0</v>
      </c>
      <c r="X312" s="90">
        <f>0</f>
        <v>0</v>
      </c>
      <c r="Y312" s="95">
        <f ca="1">Calculation!EJ313+Calculation!ES312+'Calculations II'!O312-'Calculations II'!W312</f>
        <v>52.367555318520289</v>
      </c>
      <c r="Z312" s="95">
        <f ca="1">Y312-Sheet1!CT315</f>
        <v>34.607555318520284</v>
      </c>
      <c r="AA312" s="95">
        <f ca="1">Y312+Calculation!DJ313+Calculation!AS313</f>
        <v>62.160599801478114</v>
      </c>
      <c r="AC312" s="95">
        <f>Sheet1!AA314+Sheet1!AB314+BC312</f>
        <v>57.18</v>
      </c>
      <c r="AD312" s="95">
        <f>Sheet1!AA314+Sheet1!BN314+'Calculations II'!BC312-Calculation!AS312-Calculation!DJ312</f>
        <v>37.061300229621125</v>
      </c>
      <c r="AE312" s="95">
        <f>Sheet1!AA314+Sheet1!AB314+'Calculations II'!BC312-Calculation!AS312-Calculation!DJ312</f>
        <v>47.191300229621127</v>
      </c>
      <c r="AF312" s="95">
        <f ca="1">Sheet1!AA314+Sheet1!BN314+P312+'Calculations II'!BC312+Calculation!AS312+Calculation!DJ312</f>
        <v>52.436255088899159</v>
      </c>
      <c r="AG312" s="95">
        <f ca="1">IF(B312=TODAY(),0,Sheet1!AA314+Sheet1!BN314+'Calculations II'!BC312+'Calculations II'!P312-Sheet1!CT314-BP312)</f>
        <v>27.167555318520286</v>
      </c>
      <c r="AH312" s="95">
        <f ca="1">IF(B312=TODAY(),0,Sheet1!AA314+Sheet1!BN314+'Calculations II'!BC312+'Calculations II'!P312-BP312)</f>
        <v>42.447555318520287</v>
      </c>
      <c r="AI312" s="95">
        <f ca="1">IF(B312=TODAY(),0,BC312+Sheet1!AA314+Calculation!ES312+O312+W312+Sheet1!BN314+Calculation!AS312+Calculation!DJ312-BP312)</f>
        <v>52.436255088899159</v>
      </c>
      <c r="AJ312" s="95"/>
      <c r="AM312" s="91">
        <f t="shared" si="37"/>
        <v>41940</v>
      </c>
      <c r="AN312" s="95">
        <f>Sheet1!BU314</f>
        <v>21.8</v>
      </c>
      <c r="AO312" s="95">
        <f>Sheet1!AA314</f>
        <v>22.15</v>
      </c>
      <c r="AP312" s="95">
        <f t="shared" si="32"/>
        <v>4.4320000000000039</v>
      </c>
      <c r="AQ312" s="1055">
        <f>((Sheet1!BV314-(Sheet1!BU314-AP312))/(Sheet1!BU314-AP312))</f>
        <v>0.25518194380469872</v>
      </c>
      <c r="AR312" s="95">
        <f t="shared" si="33"/>
        <v>17.717999999999996</v>
      </c>
      <c r="AS312" s="95">
        <f t="shared" si="34"/>
        <v>17.367999999999995</v>
      </c>
      <c r="AT312" s="90">
        <f>Sheet1!BB314</f>
        <v>1.01</v>
      </c>
      <c r="AU312" s="90">
        <f>Sheet1!AS314*GPMtoMGD</f>
        <v>1.584E-2</v>
      </c>
      <c r="AV312" s="95">
        <f>Sheet1!AT314</f>
        <v>0</v>
      </c>
      <c r="AW312" s="90">
        <f>Sheet1!AV314*GPMtoMGD</f>
        <v>0.46281600000000001</v>
      </c>
      <c r="AX312" s="90">
        <f>Sheet1!AW314*GPMtoMGD</f>
        <v>0.44294400000000006</v>
      </c>
      <c r="AY312" s="90">
        <f>Sheet1!AX314*GPMtoMGD</f>
        <v>0</v>
      </c>
      <c r="AZ312" s="90">
        <f>Sheet1!AY314*GPMtoMGD</f>
        <v>0</v>
      </c>
      <c r="BA312" s="90">
        <f>Sheet1!AZ314*GPMtoMGD</f>
        <v>0</v>
      </c>
      <c r="BB312" s="90">
        <f>Sheet1!BP314*GPMtoMGD</f>
        <v>0.40291200000000005</v>
      </c>
      <c r="BC312" s="90">
        <f>Sheet1!CS314*GPMtoMGD</f>
        <v>0</v>
      </c>
      <c r="BD312" s="90">
        <f>Sheet1!BO314*GPMtoMGD</f>
        <v>0.97876800000000008</v>
      </c>
      <c r="BE312" s="90">
        <f>Sheet1!BW314*GPMtoMGD</f>
        <v>0.62539200000000006</v>
      </c>
      <c r="BF312" s="90">
        <f>Sheet1!CN314*GPMtoMGD</f>
        <v>0.63086400000000009</v>
      </c>
      <c r="BG312" s="90">
        <f>Sheet1!CO314*GPMtoMGD</f>
        <v>0.44956800000000002</v>
      </c>
      <c r="BH312" s="90">
        <f>Sheet1!CP314*GPMtoMGD</f>
        <v>0.77558400000000005</v>
      </c>
      <c r="BI312" s="90">
        <f t="shared" si="38"/>
        <v>1.3816800000000002</v>
      </c>
      <c r="BK312" s="95">
        <f>SUM(AT312:BA312,BE312,Sheet1!BV314,'Calculations II'!BC312,Calculation!AQ312)</f>
        <v>49.392784192881749</v>
      </c>
      <c r="BM312" s="373">
        <f>0</f>
        <v>0</v>
      </c>
      <c r="BN312" s="373">
        <f>0</f>
        <v>0</v>
      </c>
      <c r="BP312" s="95">
        <f>SUM(BM312:BN312,W312,Sheet1!DX314)</f>
        <v>0</v>
      </c>
    </row>
    <row r="313" spans="1:68" s="90" customFormat="1">
      <c r="A313" s="651" t="s">
        <v>6</v>
      </c>
      <c r="B313" s="92">
        <v>41941</v>
      </c>
      <c r="C313" s="93">
        <v>0</v>
      </c>
      <c r="D313" s="95">
        <f>(Sheet1!BQ315-Sheet1!BQ314)*1.385</f>
        <v>0.94179999999999964</v>
      </c>
      <c r="E313" s="30">
        <f>(Sheet1!BR315-Sheet1!BR314)*1.385</f>
        <v>0.94179999999999964</v>
      </c>
      <c r="F313" s="30">
        <f ca="1">IF(B313=TODAY(),0,-(VLOOKUP(Sheet1!CD315,Lookup!$I$4:$J$216,2)-VLOOKUP(Sheet1!CD314,Lookup!$I$4:$J$216,2))/1000000)</f>
        <v>0.72545856983460111</v>
      </c>
      <c r="G313" s="95">
        <f ca="1">IF(B313=TODAY(),0,-$G$6*(Sheet1!CF315-Sheet1!CF314)*7.48/1000000)</f>
        <v>-0.91341052420886382</v>
      </c>
      <c r="H313" s="95">
        <f ca="1">IF(B313=TODAY(),0,-$H$6*(Sheet1!CE315-Sheet1!CE314)*7.48/1000000)</f>
        <v>7.5197161756325293E-2</v>
      </c>
      <c r="I313" s="95">
        <f ca="1">IF(B313=TODAY(),0,-$I$6*(Sheet1!CG315-Sheet1!CG314)*7.48/1000000)</f>
        <v>0.13926712800000002</v>
      </c>
      <c r="J313" s="96" t="s">
        <v>186</v>
      </c>
      <c r="K313" s="95">
        <f ca="1">IF(B313=TODAY(),0,-$K$6*(Sheet1!CH315-Sheet1!CH314)*7.48/1000000)</f>
        <v>0.22655289273158705</v>
      </c>
      <c r="L313" s="96" t="s">
        <v>186</v>
      </c>
      <c r="M313" s="95">
        <f ca="1">IF(B313=TODAY(),0,-$M$6*(Sheet1!CI315-Sheet1!CI314)*7.48/1000000)</f>
        <v>0.73765184554910879</v>
      </c>
      <c r="N313" s="95">
        <f ca="1">IF(B313=TODAY(),0,-$N$6*(Sheet1!CJ315-Sheet1!CJ314)*7.48/1000000)</f>
        <v>0.30405649243365723</v>
      </c>
      <c r="O313" s="95">
        <f t="shared" ca="1" si="35"/>
        <v>1.2947735660964157</v>
      </c>
      <c r="P313" s="95">
        <f ca="1">O313+Calculation!ES313</f>
        <v>-0.64446189117115926</v>
      </c>
      <c r="Q313" s="90" t="str">
        <f>IF(Sheet1!BQ315&gt;25.75,"spill elevation","-")</f>
        <v>-</v>
      </c>
      <c r="R313" s="90" t="str">
        <f>IF(Sheet1!BQ315&gt;25.75,"spill elevation","-")</f>
        <v>-</v>
      </c>
      <c r="S313" s="90" t="str">
        <f>IF(Sheet1!BR315&gt;25.75,"spill elevation","-")</f>
        <v>-</v>
      </c>
      <c r="T313" s="94">
        <f>IF(Sheet1!DU315=1,Sheet1!AA315-(SUM(AT313:BA313)+BE313),Sheet1!AA315-SUM(AT313:BA313))</f>
        <v>19.29608</v>
      </c>
      <c r="U313" s="94">
        <f>Sheet1!BV315</f>
        <v>23.3</v>
      </c>
      <c r="V313" s="94">
        <f t="shared" si="36"/>
        <v>-4.0039200000000008</v>
      </c>
      <c r="W313" s="94">
        <f>0</f>
        <v>0</v>
      </c>
      <c r="X313" s="90">
        <f>0</f>
        <v>0</v>
      </c>
      <c r="Y313" s="95">
        <f ca="1">Calculation!EJ314+Calculation!ES313+'Calculations II'!O313-'Calculations II'!W313</f>
        <v>56.355538108828846</v>
      </c>
      <c r="Z313" s="95">
        <f ca="1">Y313-Sheet1!CT316</f>
        <v>40.505538108828844</v>
      </c>
      <c r="AA313" s="95">
        <f ca="1">Y313+Calculation!DJ314+Calculation!AS314</f>
        <v>66.339501891525018</v>
      </c>
      <c r="AC313" s="95">
        <f>Sheet1!AA315+Sheet1!AB315+BC313</f>
        <v>56.97</v>
      </c>
      <c r="AD313" s="95">
        <f>Sheet1!AA315+Sheet1!BN315+'Calculations II'!BC313-Calculation!AS313-Calculation!DJ313</f>
        <v>37.166955517042169</v>
      </c>
      <c r="AE313" s="95">
        <f>Sheet1!AA315+Sheet1!AB315+'Calculations II'!BC313-Calculation!AS313-Calculation!DJ313</f>
        <v>47.176955517042174</v>
      </c>
      <c r="AF313" s="95">
        <f ca="1">Sheet1!AA315+Sheet1!BN315+P313+'Calculations II'!BC313+Calculation!AS313+Calculation!DJ313</f>
        <v>56.108582591786657</v>
      </c>
      <c r="AG313" s="95">
        <f ca="1">IF(B313=TODAY(),0,Sheet1!AA315+Sheet1!BN315+'Calculations II'!BC313+'Calculations II'!P313-Sheet1!CT315-BP313)</f>
        <v>28.555538108828831</v>
      </c>
      <c r="AH313" s="95">
        <f ca="1">IF(B313=TODAY(),0,Sheet1!AA315+Sheet1!BN315+'Calculations II'!BC313+'Calculations II'!P313-BP313)</f>
        <v>46.315538108828832</v>
      </c>
      <c r="AI313" s="95">
        <f ca="1">IF(B313=TODAY(),0,BC313+Sheet1!AA315+Calculation!ES313+O313+W313+Sheet1!BN315+Calculation!AS313+Calculation!DJ313-BP313)</f>
        <v>56.108582591786664</v>
      </c>
      <c r="AJ313" s="95"/>
      <c r="AM313" s="91">
        <f t="shared" si="37"/>
        <v>41941</v>
      </c>
      <c r="AN313" s="95">
        <f>Sheet1!BU315</f>
        <v>21</v>
      </c>
      <c r="AO313" s="95">
        <f>Sheet1!AA315</f>
        <v>22.06</v>
      </c>
      <c r="AP313" s="95">
        <f t="shared" si="32"/>
        <v>1.8835999999999993</v>
      </c>
      <c r="AQ313" s="1055">
        <f>((Sheet1!BV315-(Sheet1!BU315-AP313))/(Sheet1!BU315-AP313))</f>
        <v>0.21884873720993481</v>
      </c>
      <c r="AR313" s="95">
        <f t="shared" si="33"/>
        <v>20.176400000000001</v>
      </c>
      <c r="AS313" s="95">
        <f t="shared" si="34"/>
        <v>19.116400000000002</v>
      </c>
      <c r="AT313" s="90">
        <f>Sheet1!BB315</f>
        <v>1</v>
      </c>
      <c r="AU313" s="90">
        <f>Sheet1!AS315*GPMtoMGD</f>
        <v>3.0240000000000003E-2</v>
      </c>
      <c r="AV313" s="95">
        <f>Sheet1!AT315</f>
        <v>0.73</v>
      </c>
      <c r="AW313" s="90">
        <f>Sheet1!AV315*GPMtoMGD</f>
        <v>0.47203200000000006</v>
      </c>
      <c r="AX313" s="90">
        <f>Sheet1!AW315*GPMtoMGD</f>
        <v>0.53164800000000001</v>
      </c>
      <c r="AY313" s="90">
        <f>Sheet1!AX315*GPMtoMGD</f>
        <v>0</v>
      </c>
      <c r="AZ313" s="90">
        <f>Sheet1!AY315*GPMtoMGD</f>
        <v>0</v>
      </c>
      <c r="BA313" s="90">
        <f>Sheet1!AZ315*GPMtoMGD</f>
        <v>0</v>
      </c>
      <c r="BB313" s="90">
        <f>Sheet1!BP315*GPMtoMGD</f>
        <v>8.0784000000000009E-2</v>
      </c>
      <c r="BC313" s="90">
        <f>Sheet1!CS315*GPMtoMGD</f>
        <v>0</v>
      </c>
      <c r="BD313" s="90">
        <f>Sheet1!BO315*GPMtoMGD</f>
        <v>0.55900800000000006</v>
      </c>
      <c r="BE313" s="90">
        <f>Sheet1!BW315*GPMtoMGD</f>
        <v>0.62035200000000001</v>
      </c>
      <c r="BF313" s="90">
        <f>Sheet1!CN315*GPMtoMGD</f>
        <v>0.65548800000000007</v>
      </c>
      <c r="BG313" s="90">
        <f>Sheet1!CO315*GPMtoMGD</f>
        <v>0.60796800000000006</v>
      </c>
      <c r="BH313" s="90">
        <f>Sheet1!CP315*GPMtoMGD</f>
        <v>0.78148800000000007</v>
      </c>
      <c r="BI313" s="90">
        <f t="shared" si="38"/>
        <v>0.63979200000000003</v>
      </c>
      <c r="BK313" s="95">
        <f>SUM(AT313:BA313,BE313,Sheet1!BV315,'Calculations II'!BC313,Calculation!AQ313)</f>
        <v>51.792850856152512</v>
      </c>
      <c r="BM313" s="373">
        <f>0</f>
        <v>0</v>
      </c>
      <c r="BN313" s="373">
        <f>0</f>
        <v>0</v>
      </c>
      <c r="BP313" s="95">
        <f>SUM(BM313:BN313,W313,Sheet1!DX315)</f>
        <v>0</v>
      </c>
    </row>
    <row r="314" spans="1:68" s="90" customFormat="1">
      <c r="A314" s="651" t="s">
        <v>7</v>
      </c>
      <c r="B314" s="92">
        <v>41942</v>
      </c>
      <c r="C314" s="93">
        <v>0</v>
      </c>
      <c r="D314" s="95">
        <f>(Sheet1!BQ316-Sheet1!BQ315)*1.385</f>
        <v>-1.3019000000000018</v>
      </c>
      <c r="E314" s="30">
        <f>(Sheet1!BR316-Sheet1!BR315)*1.385</f>
        <v>-1.3157499999999991</v>
      </c>
      <c r="F314" s="30">
        <f ca="1">IF(B314=TODAY(),0,-(VLOOKUP(Sheet1!CD316,Lookup!$I$4:$J$216,2)-VLOOKUP(Sheet1!CD315,Lookup!$I$4:$J$216,2))/1000000)</f>
        <v>-1.243643262573598</v>
      </c>
      <c r="G314" s="95">
        <f ca="1">IF(B314=TODAY(),0,-$G$6*(Sheet1!CF316-Sheet1!CF315)*7.48/1000000)</f>
        <v>-2.9785125789419471</v>
      </c>
      <c r="H314" s="95">
        <f ca="1">IF(B314=TODAY(),0,-$H$6*(Sheet1!CE316-Sheet1!CE315)*7.48/1000000)</f>
        <v>4.5118297053794748E-2</v>
      </c>
      <c r="I314" s="95">
        <f ca="1">IF(B314=TODAY(),0,-$I$6*(Sheet1!CG316-Sheet1!CG315)*7.48/1000000)</f>
        <v>-8.0864784000000009E-2</v>
      </c>
      <c r="J314" s="96" t="s">
        <v>186</v>
      </c>
      <c r="K314" s="95">
        <f ca="1">IF(B314=TODAY(),0,-$K$6*(Sheet1!CH316-Sheet1!CH315)*7.48/1000000)</f>
        <v>-0.14659304823808569</v>
      </c>
      <c r="L314" s="96" t="s">
        <v>186</v>
      </c>
      <c r="M314" s="95">
        <f ca="1">IF(B314=TODAY(),0,-$M$6*(Sheet1!CI316-Sheet1!CI315)*7.48/1000000)</f>
        <v>-0.37782167698856794</v>
      </c>
      <c r="N314" s="95">
        <f ca="1">IF(B314=TODAY(),0,-$N$6*(Sheet1!CJ316-Sheet1!CJ315)*7.48/1000000)</f>
        <v>-0.37851930690720653</v>
      </c>
      <c r="O314" s="95">
        <f t="shared" ca="1" si="35"/>
        <v>-5.1608363605956109</v>
      </c>
      <c r="P314" s="95">
        <f ca="1">O314+Calculation!ES314</f>
        <v>-2.5291770283837964</v>
      </c>
      <c r="Q314" s="90" t="str">
        <f>IF(Sheet1!BQ316&gt;25.75,"spill elevation","-")</f>
        <v>-</v>
      </c>
      <c r="R314" s="90" t="str">
        <f>IF(Sheet1!BQ316&gt;25.75,"spill elevation","-")</f>
        <v>-</v>
      </c>
      <c r="S314" s="90" t="str">
        <f>IF(Sheet1!BR316&gt;25.75,"spill elevation","-")</f>
        <v>-</v>
      </c>
      <c r="T314" s="94">
        <f>IF(Sheet1!DU316=1,Sheet1!AA316-(SUM(AT314:BA314)+BE314),Sheet1!AA316-SUM(AT314:BA314))</f>
        <v>18.778127999999999</v>
      </c>
      <c r="U314" s="94">
        <f>Sheet1!BV316</f>
        <v>27.4</v>
      </c>
      <c r="V314" s="94">
        <f t="shared" si="36"/>
        <v>-8.6218719999999998</v>
      </c>
      <c r="W314" s="94">
        <f>0</f>
        <v>0</v>
      </c>
      <c r="X314" s="90">
        <f>0</f>
        <v>0</v>
      </c>
      <c r="Y314" s="95">
        <f ca="1">Calculation!EJ315+Calculation!ES314+'Calculations II'!O314-'Calculations II'!W314</f>
        <v>54.965350971616203</v>
      </c>
      <c r="Z314" s="95">
        <f ca="1">Y314-Sheet1!CT317</f>
        <v>38.275350971616206</v>
      </c>
      <c r="AA314" s="95">
        <f ca="1">Y314+Calculation!DJ315+Calculation!AS315</f>
        <v>64.898789049250212</v>
      </c>
      <c r="AC314" s="95">
        <f>Sheet1!AA316+Sheet1!AB316+BC314</f>
        <v>57</v>
      </c>
      <c r="AD314" s="95">
        <f>Sheet1!AA316+Sheet1!BN316+'Calculations II'!BC314-Calculation!AS314-Calculation!DJ314</f>
        <v>36.87603621730382</v>
      </c>
      <c r="AE314" s="95">
        <f>Sheet1!AA316+Sheet1!AB316+'Calculations II'!BC314-Calculation!AS314-Calculation!DJ314</f>
        <v>47.016036217303821</v>
      </c>
      <c r="AF314" s="95">
        <f ca="1">Sheet1!AA316+Sheet1!BN316+P314+'Calculations II'!BC314+Calculation!AS314+Calculation!DJ314</f>
        <v>54.314786754312379</v>
      </c>
      <c r="AG314" s="95">
        <f ca="1">IF(B314=TODAY(),0,Sheet1!AA316+Sheet1!BN316+'Calculations II'!BC314+'Calculations II'!P314-Sheet1!CT316-BP314)</f>
        <v>28.480822971616199</v>
      </c>
      <c r="AH314" s="95">
        <f ca="1">IF(B314=TODAY(),0,Sheet1!AA316+Sheet1!BN316+'Calculations II'!BC314+'Calculations II'!P314-BP314)</f>
        <v>44.3308229716162</v>
      </c>
      <c r="AI314" s="95">
        <f ca="1">IF(B314=TODAY(),0,BC314+Sheet1!AA316+Calculation!ES314+O314+W314+Sheet1!BN316+Calculation!AS314+Calculation!DJ314-BP314)</f>
        <v>54.314786754312379</v>
      </c>
      <c r="AJ314" s="95"/>
      <c r="AM314" s="91">
        <f t="shared" si="37"/>
        <v>41942</v>
      </c>
      <c r="AN314" s="95">
        <f>Sheet1!BU316</f>
        <v>20.7</v>
      </c>
      <c r="AO314" s="95">
        <f>Sheet1!AA316</f>
        <v>22</v>
      </c>
      <c r="AP314" s="95">
        <f t="shared" si="32"/>
        <v>-2.6176500000000011</v>
      </c>
      <c r="AQ314" s="1055">
        <f>((Sheet1!BV316-(Sheet1!BU316-AP314))/(Sheet1!BU316-AP314))</f>
        <v>0.17507553291176417</v>
      </c>
      <c r="AR314" s="95">
        <f t="shared" si="33"/>
        <v>24.617650000000001</v>
      </c>
      <c r="AS314" s="95">
        <f t="shared" si="34"/>
        <v>23.31765</v>
      </c>
      <c r="AT314" s="90">
        <f>Sheet1!BB316</f>
        <v>0.99</v>
      </c>
      <c r="AU314" s="90">
        <f>Sheet1!AS316*GPMtoMGD</f>
        <v>1.5984000000000002E-2</v>
      </c>
      <c r="AV314" s="95">
        <f>Sheet1!AT316</f>
        <v>0.88</v>
      </c>
      <c r="AW314" s="90">
        <f>Sheet1!AV316*GPMtoMGD</f>
        <v>0.69854400000000005</v>
      </c>
      <c r="AX314" s="90">
        <f>Sheet1!AW316*GPMtoMGD</f>
        <v>0.63734400000000002</v>
      </c>
      <c r="AY314" s="90">
        <f>Sheet1!AX316*GPMtoMGD</f>
        <v>0</v>
      </c>
      <c r="AZ314" s="90">
        <f>Sheet1!AY316*GPMtoMGD</f>
        <v>0</v>
      </c>
      <c r="BA314" s="90">
        <f>Sheet1!AZ316*GPMtoMGD</f>
        <v>0</v>
      </c>
      <c r="BB314" s="90">
        <f>Sheet1!BP316*GPMtoMGD</f>
        <v>0.70819200000000004</v>
      </c>
      <c r="BC314" s="90">
        <f>Sheet1!CS316*GPMtoMGD</f>
        <v>0</v>
      </c>
      <c r="BD314" s="90">
        <f>Sheet1!BO316*GPMtoMGD</f>
        <v>1.2876480000000001</v>
      </c>
      <c r="BE314" s="90">
        <f>Sheet1!BW316*GPMtoMGD</f>
        <v>0.84801599999999999</v>
      </c>
      <c r="BF314" s="90">
        <f>Sheet1!CN316*GPMtoMGD</f>
        <v>0.56361600000000001</v>
      </c>
      <c r="BG314" s="90">
        <f>Sheet1!CO316*GPMtoMGD</f>
        <v>0.45504000000000006</v>
      </c>
      <c r="BH314" s="90">
        <f>Sheet1!CP316*GPMtoMGD</f>
        <v>0.75513600000000003</v>
      </c>
      <c r="BI314" s="90">
        <f t="shared" si="38"/>
        <v>1.9958400000000003</v>
      </c>
      <c r="BK314" s="95">
        <f>SUM(AT314:BA314,BE314,Sheet1!BV316,'Calculations II'!BC314,Calculation!AQ314)</f>
        <v>56.479948362173033</v>
      </c>
      <c r="BM314" s="373">
        <f>0</f>
        <v>0</v>
      </c>
      <c r="BN314" s="373">
        <f>0</f>
        <v>0</v>
      </c>
      <c r="BP314" s="95">
        <f>SUM(BM314:BN314,W314,Sheet1!DX316)</f>
        <v>0</v>
      </c>
    </row>
    <row r="315" spans="1:68" s="90" customFormat="1">
      <c r="A315" s="651" t="s">
        <v>8</v>
      </c>
      <c r="B315" s="92">
        <v>41943</v>
      </c>
      <c r="C315" s="93">
        <v>0</v>
      </c>
      <c r="D315" s="95">
        <f>(Sheet1!BQ317-Sheet1!BQ316)*1.385</f>
        <v>-0.40164999999999884</v>
      </c>
      <c r="E315" s="30">
        <f>(Sheet1!BR317-Sheet1!BR316)*1.385</f>
        <v>-0.37394999999999939</v>
      </c>
      <c r="F315" s="30">
        <f ca="1">IF(B315=TODAY(),0,-(VLOOKUP(Sheet1!CD317,Lookup!$I$4:$J$216,2)-VLOOKUP(Sheet1!CD316,Lookup!$I$4:$J$216,2))/1000000)</f>
        <v>-0.31091081564340556</v>
      </c>
      <c r="G315" s="95">
        <f ca="1">IF(B315=TODAY(),0,-$G$6*(Sheet1!CF317-Sheet1!CF316)*7.48/1000000)</f>
        <v>-4.1699176105187252</v>
      </c>
      <c r="H315" s="95">
        <f ca="1">IF(B315=TODAY(),0,-$H$6*(Sheet1!CE317-Sheet1!CE316)*7.48/1000000)</f>
        <v>3.0078864702530548E-2</v>
      </c>
      <c r="I315" s="95">
        <f ca="1">IF(B315=TODAY(),0,-$I$6*(Sheet1!CG317-Sheet1!CG316)*7.48/1000000)</f>
        <v>-9.8834736000000006E-2</v>
      </c>
      <c r="J315" s="96" t="s">
        <v>186</v>
      </c>
      <c r="K315" s="95">
        <f ca="1">IF(B315=TODAY(),0,-$K$6*(Sheet1!CH317-Sheet1!CH316)*7.48/1000000)</f>
        <v>-0.16658300936146106</v>
      </c>
      <c r="L315" s="96" t="s">
        <v>186</v>
      </c>
      <c r="M315" s="95">
        <f ca="1">IF(B315=TODAY(),0,-$M$6*(Sheet1!CI317-Sheet1!CI316)*7.48/1000000)</f>
        <v>-0.46777921912870346</v>
      </c>
      <c r="N315" s="95">
        <f ca="1">IF(B315=TODAY(),0,-$N$6*(Sheet1!CJ317-Sheet1!CJ316)*7.48/1000000)</f>
        <v>-0.13030992532870961</v>
      </c>
      <c r="O315" s="95">
        <f t="shared" ca="1" si="35"/>
        <v>-5.3142564512784745</v>
      </c>
      <c r="P315" s="95">
        <f ca="1">O315+Calculation!ES315</f>
        <v>-4.4834439221223077</v>
      </c>
      <c r="Q315" s="90" t="str">
        <f>IF(Sheet1!BQ317&gt;25.75,"spill elevation","-")</f>
        <v>-</v>
      </c>
      <c r="R315" s="90" t="str">
        <f>IF(Sheet1!BQ317&gt;25.75,"spill elevation","-")</f>
        <v>-</v>
      </c>
      <c r="S315" s="90" t="str">
        <f>IF(Sheet1!BR317&gt;25.75,"spill elevation","-")</f>
        <v>-</v>
      </c>
      <c r="T315" s="94">
        <f>IF(Sheet1!DU317=1,Sheet1!AA317-(SUM(AT315:BA315)+BE315),Sheet1!AA317-SUM(AT315:BA315))</f>
        <v>20.020399999999999</v>
      </c>
      <c r="U315" s="94">
        <f>Sheet1!BV317</f>
        <v>26.2</v>
      </c>
      <c r="V315" s="94">
        <f t="shared" si="36"/>
        <v>-6.1796000000000006</v>
      </c>
      <c r="W315" s="94">
        <f>0</f>
        <v>0</v>
      </c>
      <c r="X315" s="90">
        <f>0</f>
        <v>0</v>
      </c>
      <c r="Y315" s="95">
        <f ca="1">Calculation!EJ316+Calculation!ES315+'Calculations II'!O315-'Calculations II'!W315</f>
        <v>51.129004077877696</v>
      </c>
      <c r="Z315" s="95">
        <f ca="1">Y315-Sheet1!CT318</f>
        <v>35.770004077877694</v>
      </c>
      <c r="AA315" s="95">
        <f ca="1">Y315+Calculation!DJ316+Calculation!AS316</f>
        <v>61.3837304460369</v>
      </c>
      <c r="AC315" s="95">
        <f>Sheet1!AA317+Sheet1!AB317+BC315</f>
        <v>57.494528000000003</v>
      </c>
      <c r="AD315" s="95">
        <f>Sheet1!AA317+Sheet1!BN317+'Calculations II'!BC315-Calculation!AS315-Calculation!DJ315</f>
        <v>37.661089922365981</v>
      </c>
      <c r="AE315" s="95">
        <f>Sheet1!AA317+Sheet1!AB317+'Calculations II'!BC315-Calculation!AS315-Calculation!DJ315</f>
        <v>47.561089922365987</v>
      </c>
      <c r="AF315" s="95">
        <f ca="1">Sheet1!AA317+Sheet1!BN317+P315+'Calculations II'!BC315+Calculation!AS315+Calculation!DJ315</f>
        <v>53.044522155511707</v>
      </c>
      <c r="AG315" s="95">
        <f ca="1">IF(B315=TODAY(),0,Sheet1!AA317+Sheet1!BN317+'Calculations II'!BC315+'Calculations II'!P315-Sheet1!CT317-BP315)</f>
        <v>26.421084077877691</v>
      </c>
      <c r="AH315" s="95">
        <f ca="1">IF(B315=TODAY(),0,Sheet1!AA317+Sheet1!BN317+'Calculations II'!BC315+'Calculations II'!P315-BP315)</f>
        <v>43.111084077877692</v>
      </c>
      <c r="AI315" s="95">
        <f ca="1">IF(B315=TODAY(),0,BC315+Sheet1!AA317+Calculation!ES315+O315+W315+Sheet1!BN317+Calculation!AS315+Calculation!DJ315-BP315)</f>
        <v>53.044522155511707</v>
      </c>
      <c r="AJ315" s="95"/>
      <c r="AM315" s="91">
        <f t="shared" si="37"/>
        <v>41943</v>
      </c>
      <c r="AN315" s="95">
        <f>Sheet1!BU317</f>
        <v>21.5</v>
      </c>
      <c r="AO315" s="95">
        <f>Sheet1!AA317</f>
        <v>22.31</v>
      </c>
      <c r="AP315" s="95">
        <f t="shared" si="32"/>
        <v>-0.77559999999999829</v>
      </c>
      <c r="AQ315" s="1055">
        <f>((Sheet1!BV317-(Sheet1!BU317-AP315))/(Sheet1!BU317-AP315))</f>
        <v>0.17617482806299281</v>
      </c>
      <c r="AR315" s="95">
        <f t="shared" si="33"/>
        <v>23.085599999999996</v>
      </c>
      <c r="AS315" s="95">
        <f t="shared" si="34"/>
        <v>22.275599999999997</v>
      </c>
      <c r="AT315" s="90">
        <f>Sheet1!BB317</f>
        <v>0.99</v>
      </c>
      <c r="AU315" s="90">
        <f>Sheet1!AS317*GPMtoMGD</f>
        <v>1.5408E-2</v>
      </c>
      <c r="AV315" s="95">
        <f>Sheet1!AT317</f>
        <v>0</v>
      </c>
      <c r="AW315" s="90">
        <f>Sheet1!AV317*GPMtoMGD</f>
        <v>0.36532799999999999</v>
      </c>
      <c r="AX315" s="90">
        <f>Sheet1!AW317*GPMtoMGD</f>
        <v>0.91872000000000009</v>
      </c>
      <c r="AY315" s="90">
        <f>Sheet1!AX317*GPMtoMGD</f>
        <v>1.44E-4</v>
      </c>
      <c r="AZ315" s="90">
        <f>Sheet1!AY317*GPMtoMGD</f>
        <v>0</v>
      </c>
      <c r="BA315" s="90">
        <f>Sheet1!AZ317*GPMtoMGD</f>
        <v>0</v>
      </c>
      <c r="BB315" s="90">
        <f>Sheet1!BP317*GPMtoMGD</f>
        <v>0.66470400000000007</v>
      </c>
      <c r="BC315" s="90">
        <f>Sheet1!CS317*GPMtoMGD</f>
        <v>8.1845280000000002</v>
      </c>
      <c r="BD315" s="90">
        <f>Sheet1!BO317*GPMtoMGD</f>
        <v>1.3047840000000002</v>
      </c>
      <c r="BE315" s="90">
        <f>Sheet1!BW317*GPMtoMGD</f>
        <v>0.57945599999999997</v>
      </c>
      <c r="BF315" s="90">
        <f>Sheet1!CN317*GPMtoMGD</f>
        <v>0.313056</v>
      </c>
      <c r="BG315" s="90">
        <f>Sheet1!CO317*GPMtoMGD</f>
        <v>0.43819200000000003</v>
      </c>
      <c r="BH315" s="90">
        <f>Sheet1!CP317*GPMtoMGD</f>
        <v>0.74044800000000011</v>
      </c>
      <c r="BI315" s="90">
        <f t="shared" si="38"/>
        <v>1.9694880000000001</v>
      </c>
      <c r="BK315" s="95">
        <f>SUM(AT315:BA315,BE315,Sheet1!BV317,'Calculations II'!BC315,Calculation!AQ315)</f>
        <v>54.321975866913128</v>
      </c>
      <c r="BM315" s="373">
        <f>0</f>
        <v>0</v>
      </c>
      <c r="BN315" s="373">
        <f>0</f>
        <v>0</v>
      </c>
      <c r="BP315" s="95">
        <f>SUM(BM315:BN315,W315,Sheet1!DX317)</f>
        <v>0</v>
      </c>
    </row>
    <row r="316" spans="1:68" s="90" customFormat="1">
      <c r="A316" s="651" t="s">
        <v>9</v>
      </c>
      <c r="B316" s="92">
        <v>41944</v>
      </c>
      <c r="C316" s="93">
        <v>0</v>
      </c>
      <c r="D316" s="95">
        <f>(Sheet1!BQ318-Sheet1!BQ317)*1.385</f>
        <v>2.4237500000000001</v>
      </c>
      <c r="E316" s="30">
        <f>(Sheet1!BR318-Sheet1!BR317)*1.385</f>
        <v>2.4098999999999977</v>
      </c>
      <c r="F316" s="30">
        <f ca="1">IF(B316=TODAY(),0,-(VLOOKUP(Sheet1!CD318,Lookup!$I$4:$J$216,2)-VLOOKUP(Sheet1!CD317,Lookup!$I$4:$J$216,2))/1000000)</f>
        <v>0.725458569834603</v>
      </c>
      <c r="G316" s="95">
        <f ca="1">IF(B316=TODAY(),0,-$G$6*(Sheet1!CF318-Sheet1!CF317)*7.48/1000000)</f>
        <v>-0.3177080084204747</v>
      </c>
      <c r="H316" s="95">
        <f ca="1">IF(B316=TODAY(),0,-$H$6*(Sheet1!CE318-Sheet1!CE317)*7.48/1000000)</f>
        <v>0.18047318821518063</v>
      </c>
      <c r="I316" s="95">
        <f ca="1">IF(B316=TODAY(),0,-$I$6*(Sheet1!CG318-Sheet1!CG317)*7.48/1000000)</f>
        <v>-1.3477463999999995E-2</v>
      </c>
      <c r="J316" s="96" t="s">
        <v>186</v>
      </c>
      <c r="K316" s="95">
        <f ca="1">IF(B316=TODAY(),0,-$K$6*(Sheet1!CH318-Sheet1!CH317)*7.48/1000000)</f>
        <v>0</v>
      </c>
      <c r="L316" s="96" t="s">
        <v>186</v>
      </c>
      <c r="M316" s="95">
        <f ca="1">IF(B316=TODAY(),0,-$M$6*(Sheet1!CI318-Sheet1!CI317)*7.48/1000000)</f>
        <v>-0.17991508428027048</v>
      </c>
      <c r="N316" s="95">
        <f ca="1">IF(B316=TODAY(),0,-$N$6*(Sheet1!CJ318-Sheet1!CJ317)*7.48/1000000)</f>
        <v>0.24820938157849581</v>
      </c>
      <c r="O316" s="95">
        <f t="shared" ca="1" si="35"/>
        <v>0.64304058292753419</v>
      </c>
      <c r="P316" s="95">
        <f ca="1">O316+Calculation!ES316</f>
        <v>-4.2049840274874999</v>
      </c>
      <c r="Q316" s="90" t="str">
        <f>IF(Sheet1!BQ318&gt;25.75,"spill elevation","-")</f>
        <v>-</v>
      </c>
      <c r="R316" s="90" t="str">
        <f>IF(Sheet1!BQ318&gt;25.75,"spill elevation","-")</f>
        <v>-</v>
      </c>
      <c r="S316" s="90" t="str">
        <f>IF(Sheet1!BR318&gt;25.75,"spill elevation","-")</f>
        <v>-</v>
      </c>
      <c r="T316" s="94">
        <f>IF(Sheet1!DU318=1,Sheet1!AA318-(SUM(AT316:BA316)+BE316),Sheet1!AA318-SUM(AT316:BA316))</f>
        <v>19.631472000000002</v>
      </c>
      <c r="U316" s="94">
        <f>Sheet1!BV318</f>
        <v>20.6</v>
      </c>
      <c r="V316" s="94">
        <f t="shared" si="36"/>
        <v>-0.96852799999999917</v>
      </c>
      <c r="W316" s="94">
        <f>0</f>
        <v>0</v>
      </c>
      <c r="X316" s="90">
        <f>0</f>
        <v>0</v>
      </c>
      <c r="Y316" s="95">
        <f ca="1">Calculation!EJ317+Calculation!ES316+'Calculations II'!O316-'Calculations II'!W316</f>
        <v>47.995015972512505</v>
      </c>
      <c r="Z316" s="95">
        <f ca="1">Y316-Sheet1!CT319</f>
        <v>32.648015972512503</v>
      </c>
      <c r="AA316" s="95">
        <f ca="1">Y316+Calculation!DJ317+Calculation!AS317</f>
        <v>58.635754495466593</v>
      </c>
      <c r="AC316" s="95">
        <f>Sheet1!AA318+Sheet1!AB318+BC316</f>
        <v>55.612448000000001</v>
      </c>
      <c r="AD316" s="95">
        <f>Sheet1!AA318+Sheet1!BN318+'Calculations II'!BC316-Calculation!AS316-Calculation!DJ316</f>
        <v>35.057721631840799</v>
      </c>
      <c r="AE316" s="95">
        <f>Sheet1!AA318+Sheet1!AB318+'Calculations II'!BC316-Calculation!AS316-Calculation!DJ316</f>
        <v>45.357721631840796</v>
      </c>
      <c r="AF316" s="95">
        <f ca="1">Sheet1!AA318+Sheet1!BN318+P316+'Calculations II'!BC316+Calculation!AS316+Calculation!DJ316</f>
        <v>51.36219034067171</v>
      </c>
      <c r="AG316" s="95">
        <f ca="1">IF(B316=TODAY(),0,Sheet1!AA318+Sheet1!BN318+'Calculations II'!BC316+'Calculations II'!P316-Sheet1!CT318-BP316)</f>
        <v>25.748463972512504</v>
      </c>
      <c r="AH316" s="95">
        <f ca="1">IF(B316=TODAY(),0,Sheet1!AA318+Sheet1!BN318+'Calculations II'!BC316+'Calculations II'!P316-BP316)</f>
        <v>41.107463972512505</v>
      </c>
      <c r="AI316" s="95">
        <f ca="1">IF(B316=TODAY(),0,BC316+Sheet1!AA318+Calculation!ES316+O316+W316+Sheet1!BN318+Calculation!AS316+Calculation!DJ316-BP316)</f>
        <v>51.362190340671702</v>
      </c>
      <c r="AJ316" s="95"/>
      <c r="AM316" s="91">
        <f t="shared" si="37"/>
        <v>41944</v>
      </c>
      <c r="AN316" s="95">
        <f>Sheet1!BU318</f>
        <v>21.5</v>
      </c>
      <c r="AO316" s="95">
        <f>Sheet1!AA318</f>
        <v>22.3</v>
      </c>
      <c r="AP316" s="95">
        <f t="shared" si="32"/>
        <v>4.8336499999999978</v>
      </c>
      <c r="AQ316" s="1055">
        <f>((Sheet1!BV318-(Sheet1!BU318-AP316))/(Sheet1!BU318-AP316))</f>
        <v>0.23602348444620447</v>
      </c>
      <c r="AR316" s="95">
        <f t="shared" si="33"/>
        <v>17.466350000000002</v>
      </c>
      <c r="AS316" s="95">
        <f t="shared" si="34"/>
        <v>16.666350000000001</v>
      </c>
      <c r="AT316" s="90">
        <f>Sheet1!BB318</f>
        <v>1</v>
      </c>
      <c r="AU316" s="90">
        <f>Sheet1!AS318*GPMtoMGD</f>
        <v>1.6992000000000004E-2</v>
      </c>
      <c r="AV316" s="95">
        <f>Sheet1!AT318</f>
        <v>0</v>
      </c>
      <c r="AW316" s="90">
        <f>Sheet1!AV318*GPMtoMGD</f>
        <v>0.57225599999999999</v>
      </c>
      <c r="AX316" s="90">
        <f>Sheet1!AW318*GPMtoMGD</f>
        <v>1.07928</v>
      </c>
      <c r="AY316" s="90">
        <f>Sheet1!AX318*GPMtoMGD</f>
        <v>0</v>
      </c>
      <c r="AZ316" s="90">
        <f>Sheet1!AY318*GPMtoMGD</f>
        <v>0</v>
      </c>
      <c r="BA316" s="90">
        <f>Sheet1!AZ318*GPMtoMGD</f>
        <v>0</v>
      </c>
      <c r="BB316" s="90">
        <f>Sheet1!BP318*GPMtoMGD</f>
        <v>0.52502400000000005</v>
      </c>
      <c r="BC316" s="90">
        <f>Sheet1!CS318*GPMtoMGD</f>
        <v>7.1124480000000005</v>
      </c>
      <c r="BD316" s="90">
        <f>Sheet1!BO318*GPMtoMGD</f>
        <v>1.1746080000000001</v>
      </c>
      <c r="BE316" s="90">
        <f>Sheet1!BW318*GPMtoMGD</f>
        <v>0.61992000000000003</v>
      </c>
      <c r="BF316" s="90">
        <f>Sheet1!CN318*GPMtoMGD</f>
        <v>0.38664000000000004</v>
      </c>
      <c r="BG316" s="90">
        <f>Sheet1!CO318*GPMtoMGD</f>
        <v>0.48643200000000003</v>
      </c>
      <c r="BH316" s="90">
        <f>Sheet1!CP318*GPMtoMGD</f>
        <v>0.70099200000000006</v>
      </c>
      <c r="BI316" s="90">
        <f t="shared" si="38"/>
        <v>1.6996320000000003</v>
      </c>
      <c r="BK316" s="95">
        <f>SUM(AT316:BA316,BE316,Sheet1!BV318,'Calculations II'!BC316,Calculation!AQ316)</f>
        <v>46.943490718714123</v>
      </c>
      <c r="BM316" s="373">
        <f>0</f>
        <v>0</v>
      </c>
      <c r="BN316" s="373">
        <f>0</f>
        <v>0</v>
      </c>
      <c r="BP316" s="95">
        <f>SUM(BM316:BN316,W316,Sheet1!DX318)</f>
        <v>0</v>
      </c>
    </row>
    <row r="317" spans="1:68" s="90" customFormat="1">
      <c r="A317" s="651" t="s">
        <v>3</v>
      </c>
      <c r="B317" s="92">
        <v>41945</v>
      </c>
      <c r="C317" s="93">
        <v>0</v>
      </c>
      <c r="D317" s="95">
        <f>(Sheet1!BQ319-Sheet1!BQ318)*1.385</f>
        <v>-0.78945000000000043</v>
      </c>
      <c r="E317" s="30">
        <f>(Sheet1!BR319-Sheet1!BR318)*1.385</f>
        <v>-0.78945000000000043</v>
      </c>
      <c r="F317" s="30">
        <f ca="1">IF(B317=TODAY(),0,-(VLOOKUP(Sheet1!CD319,Lookup!$I$4:$J$216,2)-VLOOKUP(Sheet1!CD318,Lookup!$I$4:$J$216,2))/1000000)</f>
        <v>-0.725458569834603</v>
      </c>
      <c r="G317" s="95">
        <f ca="1">IF(B317=TODAY(),0,-$G$6*(Sheet1!CF319-Sheet1!CF318)*7.48/1000000)</f>
        <v>-0.27799450736791476</v>
      </c>
      <c r="H317" s="95">
        <f ca="1">IF(B317=TODAY(),0,-$H$6*(Sheet1!CE319-Sheet1!CE318)*7.48/1000000)</f>
        <v>9.0236594107590037E-2</v>
      </c>
      <c r="I317" s="95">
        <f ca="1">IF(B317=TODAY(),0,-$I$6*(Sheet1!CG319-Sheet1!CG318)*7.48/1000000)</f>
        <v>0.18868449600000001</v>
      </c>
      <c r="J317" s="96" t="s">
        <v>186</v>
      </c>
      <c r="K317" s="95">
        <f ca="1">IF(B317=TODAY(),0,-$K$6*(Sheet1!CH319-Sheet1!CH318)*7.48/1000000)</f>
        <v>0.30917806537487169</v>
      </c>
      <c r="L317" s="96" t="s">
        <v>186</v>
      </c>
      <c r="M317" s="95">
        <f ca="1">IF(B317=TODAY(),0,-$M$6*(Sheet1!CI319-Sheet1!CI318)*7.48/1000000)</f>
        <v>0.93555843825740659</v>
      </c>
      <c r="N317" s="95">
        <f ca="1">IF(B317=TODAY(),0,-$N$6*(Sheet1!CJ319-Sheet1!CJ318)*7.48/1000000)</f>
        <v>-0.35990360328881865</v>
      </c>
      <c r="O317" s="95">
        <f t="shared" ca="1" si="35"/>
        <v>0.16030091324853202</v>
      </c>
      <c r="P317" s="95">
        <f ca="1">O317+Calculation!ES317</f>
        <v>1.6843832986032186</v>
      </c>
      <c r="Q317" s="90" t="str">
        <f>IF(Sheet1!BQ319&gt;25.75,"spill elevation","-")</f>
        <v>-</v>
      </c>
      <c r="R317" s="90" t="str">
        <f>IF(Sheet1!BQ319&gt;25.75,"spill elevation","-")</f>
        <v>-</v>
      </c>
      <c r="S317" s="90" t="str">
        <f>IF(Sheet1!BR319&gt;25.75,"spill elevation","-")</f>
        <v>-</v>
      </c>
      <c r="T317" s="94">
        <f>IF(Sheet1!DU319=1,Sheet1!AA319-(SUM(AT317:BA317)+BE317),Sheet1!AA319-SUM(AT317:BA317))</f>
        <v>19.716159999999999</v>
      </c>
      <c r="U317" s="94">
        <f>Sheet1!BV319</f>
        <v>26.6</v>
      </c>
      <c r="V317" s="94">
        <f t="shared" si="36"/>
        <v>-6.8838400000000028</v>
      </c>
      <c r="W317" s="94">
        <f>0</f>
        <v>0</v>
      </c>
      <c r="X317" s="90">
        <f>0</f>
        <v>0</v>
      </c>
      <c r="Y317" s="95">
        <f ca="1">Calculation!EJ318+Calculation!ES317+'Calculations II'!O317-'Calculations II'!W317</f>
        <v>53.834383298603221</v>
      </c>
      <c r="Z317" s="95">
        <f ca="1">Y317-Sheet1!CT320</f>
        <v>38.732383298603224</v>
      </c>
      <c r="AA317" s="95">
        <f ca="1">Y317+Calculation!DJ318+Calculation!AS318</f>
        <v>64.295449696993558</v>
      </c>
      <c r="AC317" s="95">
        <f>Sheet1!AA319+Sheet1!AB319+BC317</f>
        <v>52.2</v>
      </c>
      <c r="AD317" s="95">
        <f>Sheet1!AA319+Sheet1!BN319+'Calculations II'!BC317-Calculation!AS317-Calculation!DJ317</f>
        <v>30.959261477045906</v>
      </c>
      <c r="AE317" s="95">
        <f>Sheet1!AA319+Sheet1!AB319+'Calculations II'!BC317-Calculation!AS317-Calculation!DJ317</f>
        <v>41.559261477045915</v>
      </c>
      <c r="AF317" s="95">
        <f ca="1">Sheet1!AA319+Sheet1!BN319+P317+'Calculations II'!BC317+Calculation!AS317+Calculation!DJ317</f>
        <v>53.925121821557298</v>
      </c>
      <c r="AG317" s="95">
        <f ca="1">IF(B317=TODAY(),0,Sheet1!AA319+Sheet1!BN319+'Calculations II'!BC317+'Calculations II'!P317-Sheet1!CT319-BP317)</f>
        <v>27.937383298603208</v>
      </c>
      <c r="AH317" s="95">
        <f ca="1">IF(B317=TODAY(),0,Sheet1!AA319+Sheet1!BN319+'Calculations II'!BC317+'Calculations II'!P317-BP317)</f>
        <v>43.28438329860321</v>
      </c>
      <c r="AI317" s="95">
        <f ca="1">IF(B317=TODAY(),0,BC317+Sheet1!AA319+Calculation!ES317+O317+W317+Sheet1!BN319+Calculation!AS317+Calculation!DJ317-BP317)</f>
        <v>53.925121821557305</v>
      </c>
      <c r="AJ317" s="95"/>
      <c r="AM317" s="91">
        <f t="shared" si="37"/>
        <v>41945</v>
      </c>
      <c r="AN317" s="95">
        <f>Sheet1!BU319</f>
        <v>21.3</v>
      </c>
      <c r="AO317" s="95">
        <f>Sheet1!AA319</f>
        <v>22.2</v>
      </c>
      <c r="AP317" s="95">
        <f t="shared" si="32"/>
        <v>-1.5789000000000009</v>
      </c>
      <c r="AQ317" s="1055">
        <f>((Sheet1!BV319-(Sheet1!BU319-AP317))/(Sheet1!BU319-AP317))</f>
        <v>0.16264330890034048</v>
      </c>
      <c r="AR317" s="95">
        <f t="shared" si="33"/>
        <v>23.7789</v>
      </c>
      <c r="AS317" s="95">
        <f t="shared" si="34"/>
        <v>22.878900000000002</v>
      </c>
      <c r="AT317" s="90">
        <f>Sheet1!BB319</f>
        <v>1.01</v>
      </c>
      <c r="AU317" s="90">
        <f>Sheet1!AS319*GPMtoMGD</f>
        <v>1.6128E-2</v>
      </c>
      <c r="AV317" s="95">
        <f>Sheet1!AT319</f>
        <v>0</v>
      </c>
      <c r="AW317" s="90">
        <f>Sheet1!AV319*GPMtoMGD</f>
        <v>0.358848</v>
      </c>
      <c r="AX317" s="90">
        <f>Sheet1!AW319*GPMtoMGD</f>
        <v>1.0988640000000001</v>
      </c>
      <c r="AY317" s="90">
        <f>Sheet1!AX319*GPMtoMGD</f>
        <v>0</v>
      </c>
      <c r="AZ317" s="90">
        <f>Sheet1!AY319*GPMtoMGD</f>
        <v>0</v>
      </c>
      <c r="BA317" s="90">
        <f>Sheet1!AZ319*GPMtoMGD</f>
        <v>0</v>
      </c>
      <c r="BB317" s="90">
        <f>Sheet1!BP319*GPMtoMGD</f>
        <v>0.196128</v>
      </c>
      <c r="BC317" s="90">
        <f>Sheet1!CS319*GPMtoMGD</f>
        <v>0</v>
      </c>
      <c r="BD317" s="90">
        <f>Sheet1!BO319*GPMtoMGD</f>
        <v>0.29577600000000004</v>
      </c>
      <c r="BE317" s="90">
        <f>Sheet1!BW319*GPMtoMGD</f>
        <v>0.879552</v>
      </c>
      <c r="BF317" s="90">
        <f>Sheet1!CN319*GPMtoMGD</f>
        <v>0.50068800000000002</v>
      </c>
      <c r="BG317" s="90">
        <f>Sheet1!CO319*GPMtoMGD</f>
        <v>0.51854400000000012</v>
      </c>
      <c r="BH317" s="90">
        <f>Sheet1!CP319*GPMtoMGD</f>
        <v>0.68788800000000005</v>
      </c>
      <c r="BI317" s="90">
        <f t="shared" si="38"/>
        <v>0.49190400000000001</v>
      </c>
      <c r="BK317" s="95">
        <f>SUM(AT317:BA317,BE317,Sheet1!BV319,'Calculations II'!BC317,Calculation!AQ317)</f>
        <v>49.324669445109777</v>
      </c>
      <c r="BM317" s="373">
        <f>0</f>
        <v>0</v>
      </c>
      <c r="BN317" s="373">
        <f>0</f>
        <v>0</v>
      </c>
      <c r="BP317" s="95">
        <f>SUM(BM317:BN317,W317,Sheet1!DX319)</f>
        <v>0</v>
      </c>
    </row>
    <row r="318" spans="1:68" s="90" customFormat="1">
      <c r="A318" s="651" t="s">
        <v>4</v>
      </c>
      <c r="B318" s="92">
        <v>41946</v>
      </c>
      <c r="C318" s="93">
        <v>0</v>
      </c>
      <c r="D318" s="95">
        <f>(Sheet1!BQ320-Sheet1!BQ319)*1.385</f>
        <v>-0.22160000000000019</v>
      </c>
      <c r="E318" s="30">
        <f>(Sheet1!BR320-Sheet1!BR319)*1.385</f>
        <v>-0.22160000000000019</v>
      </c>
      <c r="F318" s="30">
        <f ca="1">IF(B318=TODAY(),0,-(VLOOKUP(Sheet1!CD320,Lookup!$I$4:$J$216,2)-VLOOKUP(Sheet1!CD319,Lookup!$I$4:$J$216,2))/1000000)</f>
        <v>0.31091081564340556</v>
      </c>
      <c r="G318" s="95">
        <f ca="1">IF(B318=TODAY(),0,-$G$6*(Sheet1!CF320-Sheet1!CF319)*7.48/1000000)</f>
        <v>3.9713501052558449E-2</v>
      </c>
      <c r="H318" s="95">
        <f ca="1">IF(B318=TODAY(),0,-$H$6*(Sheet1!CE320-Sheet1!CE319)*7.48/1000000)</f>
        <v>-7.5197161756325293E-2</v>
      </c>
      <c r="I318" s="95">
        <f ca="1">IF(B318=TODAY(),0,-$I$6*(Sheet1!CG320-Sheet1!CG319)*7.48/1000000)</f>
        <v>8.9849760000000074E-3</v>
      </c>
      <c r="J318" s="96" t="s">
        <v>186</v>
      </c>
      <c r="K318" s="95">
        <f ca="1">IF(B318=TODAY(),0,-$K$6*(Sheet1!CH320-Sheet1!CH319)*7.48/1000000)</f>
        <v>1.0661312599133459E-2</v>
      </c>
      <c r="L318" s="96" t="s">
        <v>186</v>
      </c>
      <c r="M318" s="95">
        <f ca="1">IF(B318=TODAY(),0,-$M$6*(Sheet1!CI320-Sheet1!CI319)*7.48/1000000)</f>
        <v>0.10794905056816222</v>
      </c>
      <c r="N318" s="95">
        <f ca="1">IF(B318=TODAY(),0,-$N$6*(Sheet1!CJ320-Sheet1!CJ319)*7.48/1000000)</f>
        <v>0.14892562894709749</v>
      </c>
      <c r="O318" s="95">
        <f t="shared" ca="1" si="35"/>
        <v>0.55194812305403196</v>
      </c>
      <c r="P318" s="95">
        <f ca="1">O318+Calculation!ES318</f>
        <v>0.96754985101683133</v>
      </c>
      <c r="Q318" s="90" t="str">
        <f>IF(Sheet1!BQ320&gt;25.75,"spill elevation","-")</f>
        <v>-</v>
      </c>
      <c r="R318" s="90" t="str">
        <f>IF(Sheet1!BQ320&gt;25.75,"spill elevation","-")</f>
        <v>-</v>
      </c>
      <c r="S318" s="90" t="str">
        <f>IF(Sheet1!BR320&gt;25.75,"spill elevation","-")</f>
        <v>-</v>
      </c>
      <c r="T318" s="94">
        <f>IF(Sheet1!DU320=1,Sheet1!AA320-(SUM(AT318:BA318)+BE318),Sheet1!AA320-SUM(AT318:BA318))</f>
        <v>19.399135999999999</v>
      </c>
      <c r="U318" s="94">
        <f>Sheet1!BV320</f>
        <v>25.6</v>
      </c>
      <c r="V318" s="94">
        <f t="shared" si="36"/>
        <v>-6.2008640000000028</v>
      </c>
      <c r="W318" s="94">
        <f>0</f>
        <v>0</v>
      </c>
      <c r="X318" s="90">
        <f>0</f>
        <v>0</v>
      </c>
      <c r="Y318" s="95">
        <f ca="1">Calculation!EJ319+Calculation!ES318+'Calculations II'!O318-'Calculations II'!W318</f>
        <v>53.12754985101683</v>
      </c>
      <c r="Z318" s="95">
        <f ca="1">Y318-Sheet1!CT321</f>
        <v>38.47854985101683</v>
      </c>
      <c r="AA318" s="95">
        <f ca="1">Y318+Calculation!DJ319+Calculation!AS319</f>
        <v>63.348338357532029</v>
      </c>
      <c r="AC318" s="95">
        <f>Sheet1!AA320+Sheet1!AB320+BC318</f>
        <v>52.15</v>
      </c>
      <c r="AD318" s="95">
        <f>Sheet1!AA320+Sheet1!BN320+'Calculations II'!BC318-Calculation!AS318-Calculation!DJ318</f>
        <v>31.138933601609651</v>
      </c>
      <c r="AE318" s="95">
        <f>Sheet1!AA320+Sheet1!AB320+'Calculations II'!BC318-Calculation!AS318-Calculation!DJ318</f>
        <v>41.688933601609655</v>
      </c>
      <c r="AF318" s="95">
        <f ca="1">Sheet1!AA320+Sheet1!BN320+P318+'Calculations II'!BC318+Calculation!AS318+Calculation!DJ318</f>
        <v>53.028616249407172</v>
      </c>
      <c r="AG318" s="95">
        <f ca="1">IF(B318=TODAY(),0,Sheet1!AA320+Sheet1!BN320+'Calculations II'!BC318+'Calculations II'!P318-Sheet1!CT320-BP318)</f>
        <v>27.465549851016828</v>
      </c>
      <c r="AH318" s="95">
        <f ca="1">IF(B318=TODAY(),0,Sheet1!AA320+Sheet1!BN320+'Calculations II'!BC318+'Calculations II'!P318-BP318)</f>
        <v>42.567549851016828</v>
      </c>
      <c r="AI318" s="95">
        <f ca="1">IF(B318=TODAY(),0,BC318+Sheet1!AA320+Calculation!ES318+O318+W318+Sheet1!BN320+Calculation!AS318+Calculation!DJ318-BP318)</f>
        <v>53.028616249407172</v>
      </c>
      <c r="AJ318" s="95"/>
      <c r="AM318" s="91">
        <f t="shared" si="37"/>
        <v>41946</v>
      </c>
      <c r="AN318" s="95">
        <f>Sheet1!BU320</f>
        <v>21.3</v>
      </c>
      <c r="AO318" s="95">
        <f>Sheet1!AA320</f>
        <v>22.2</v>
      </c>
      <c r="AP318" s="95">
        <f t="shared" si="32"/>
        <v>-0.44320000000000037</v>
      </c>
      <c r="AQ318" s="1055">
        <f>((Sheet1!BV320-(Sheet1!BU320-AP318))/(Sheet1!BU320-AP318))</f>
        <v>0.1773795945399021</v>
      </c>
      <c r="AR318" s="95">
        <f t="shared" si="33"/>
        <v>22.6432</v>
      </c>
      <c r="AS318" s="95">
        <f t="shared" si="34"/>
        <v>21.743200000000002</v>
      </c>
      <c r="AT318" s="90">
        <f>Sheet1!BB320</f>
        <v>1</v>
      </c>
      <c r="AU318" s="90">
        <f>Sheet1!AS320*GPMtoMGD</f>
        <v>2.9087999999999999E-2</v>
      </c>
      <c r="AV318" s="95">
        <f>Sheet1!AT320</f>
        <v>0</v>
      </c>
      <c r="AW318" s="90">
        <f>Sheet1!AV320*GPMtoMGD</f>
        <v>0.55310400000000004</v>
      </c>
      <c r="AX318" s="90">
        <f>Sheet1!AW320*GPMtoMGD</f>
        <v>1.218672</v>
      </c>
      <c r="AY318" s="90">
        <f>Sheet1!AX320*GPMtoMGD</f>
        <v>0</v>
      </c>
      <c r="AZ318" s="90">
        <f>Sheet1!AY320*GPMtoMGD</f>
        <v>0</v>
      </c>
      <c r="BA318" s="90">
        <f>Sheet1!AZ320*GPMtoMGD</f>
        <v>0</v>
      </c>
      <c r="BB318" s="90">
        <f>Sheet1!BP320*GPMtoMGD</f>
        <v>0.42321599999999998</v>
      </c>
      <c r="BC318" s="90">
        <f>Sheet1!CS320*GPMtoMGD</f>
        <v>0</v>
      </c>
      <c r="BD318" s="90">
        <f>Sheet1!BO320*GPMtoMGD</f>
        <v>0.63244800000000001</v>
      </c>
      <c r="BE318" s="90">
        <f>Sheet1!BW320*GPMtoMGD</f>
        <v>0.59500799999999998</v>
      </c>
      <c r="BF318" s="90">
        <f>Sheet1!CN320*GPMtoMGD</f>
        <v>0.281088</v>
      </c>
      <c r="BG318" s="90">
        <f>Sheet1!CO320*GPMtoMGD</f>
        <v>0.48672000000000004</v>
      </c>
      <c r="BH318" s="90">
        <f>Sheet1!CP320*GPMtoMGD</f>
        <v>0.72014400000000012</v>
      </c>
      <c r="BI318" s="90">
        <f t="shared" si="38"/>
        <v>1.0556639999999999</v>
      </c>
      <c r="BK318" s="95">
        <f>SUM(AT318:BA318,BE318,Sheet1!BV320,'Calculations II'!BC318,Calculation!AQ318)</f>
        <v>48.480446111334672</v>
      </c>
      <c r="BM318" s="373">
        <f>0</f>
        <v>0</v>
      </c>
      <c r="BN318" s="373">
        <f>0</f>
        <v>0</v>
      </c>
      <c r="BP318" s="95">
        <f>SUM(BM318:BN318,W318,Sheet1!DX320)</f>
        <v>0</v>
      </c>
    </row>
    <row r="319" spans="1:68" s="90" customFormat="1">
      <c r="A319" s="651" t="s">
        <v>5</v>
      </c>
      <c r="B319" s="92">
        <v>41947</v>
      </c>
      <c r="C319" s="93">
        <v>0</v>
      </c>
      <c r="D319" s="95">
        <f>(Sheet1!BQ321-Sheet1!BQ320)*1.385</f>
        <v>-0.900249999999998</v>
      </c>
      <c r="E319" s="30">
        <f>(Sheet1!BR321-Sheet1!BR320)*1.385</f>
        <v>-0.88640000000000074</v>
      </c>
      <c r="F319" s="30">
        <f ca="1">IF(B319=TODAY(),0,-(VLOOKUP(Sheet1!CD321,Lookup!$I$4:$J$216,2)-VLOOKUP(Sheet1!CD320,Lookup!$I$4:$J$216,2))/1000000)</f>
        <v>-0.51818469273900425</v>
      </c>
      <c r="G319" s="95">
        <f ca="1">IF(B319=TODAY(),0,-$G$6*(Sheet1!CF321-Sheet1!CF320)*7.48/1000000)</f>
        <v>0.15885400421023804</v>
      </c>
      <c r="H319" s="95">
        <f ca="1">IF(B319=TODAY(),0,-$H$6*(Sheet1!CE321-Sheet1!CE320)*7.48/1000000)</f>
        <v>-6.0157729405060027E-2</v>
      </c>
      <c r="I319" s="95">
        <f ca="1">IF(B319=TODAY(),0,-$I$6*(Sheet1!CG321-Sheet1!CG320)*7.48/1000000)</f>
        <v>-0.13477464</v>
      </c>
      <c r="J319" s="96" t="s">
        <v>186</v>
      </c>
      <c r="K319" s="95">
        <f ca="1">IF(B319=TODAY(),0,-$K$6*(Sheet1!CH321-Sheet1!CH320)*7.48/1000000)</f>
        <v>-0.23987953348050389</v>
      </c>
      <c r="L319" s="96" t="s">
        <v>186</v>
      </c>
      <c r="M319" s="95">
        <f ca="1">IF(B319=TODAY(),0,-$M$6*(Sheet1!CI321-Sheet1!CI320)*7.48/1000000)</f>
        <v>-0.64409600172336834</v>
      </c>
      <c r="N319" s="95">
        <f ca="1">IF(B319=TODAY(),0,-$N$6*(Sheet1!CJ321-Sheet1!CJ320)*7.48/1000000)</f>
        <v>-0.27303031973634595</v>
      </c>
      <c r="O319" s="95">
        <f t="shared" ca="1" si="35"/>
        <v>-1.7112689128740444</v>
      </c>
      <c r="P319" s="95">
        <f ca="1">O319+Calculation!ES319</f>
        <v>8.9295913279379135E-2</v>
      </c>
      <c r="Q319" s="90" t="str">
        <f>IF(Sheet1!BQ321&gt;25.75,"spill elevation","-")</f>
        <v>-</v>
      </c>
      <c r="R319" s="90" t="str">
        <f>IF(Sheet1!BQ321&gt;25.75,"spill elevation","-")</f>
        <v>-</v>
      </c>
      <c r="S319" s="90" t="str">
        <f>IF(Sheet1!BR321&gt;25.75,"spill elevation","-")</f>
        <v>-</v>
      </c>
      <c r="T319" s="94">
        <f>IF(Sheet1!DU321=1,Sheet1!AA321-(SUM(AT319:BA319)+BE319),Sheet1!AA321-SUM(AT319:BA319))</f>
        <v>19.745008000000002</v>
      </c>
      <c r="U319" s="94">
        <f>Sheet1!BV321</f>
        <v>26.9</v>
      </c>
      <c r="V319" s="94">
        <f t="shared" si="36"/>
        <v>-7.1549919999999965</v>
      </c>
      <c r="W319" s="94">
        <f>0</f>
        <v>0</v>
      </c>
      <c r="X319" s="90">
        <f>0</f>
        <v>0</v>
      </c>
      <c r="Y319" s="95">
        <f ca="1">Calculation!EJ320+Calculation!ES319+'Calculations II'!O319-'Calculations II'!W319</f>
        <v>52.419295913279377</v>
      </c>
      <c r="Z319" s="95">
        <f ca="1">Y319-Sheet1!CT322</f>
        <v>38.878295913279374</v>
      </c>
      <c r="AA319" s="95">
        <f ca="1">Y319+Calculation!DJ320+Calculation!AS320</f>
        <v>62.644657459430661</v>
      </c>
      <c r="AC319" s="95">
        <f>Sheet1!AA321+Sheet1!AB321+BC319</f>
        <v>52.16</v>
      </c>
      <c r="AD319" s="95">
        <f>Sheet1!AA321+Sheet1!BN321+'Calculations II'!BC319-Calculation!AS319-Calculation!DJ319</f>
        <v>31.739211493484802</v>
      </c>
      <c r="AE319" s="95">
        <f>Sheet1!AA321+Sheet1!AB321+'Calculations II'!BC319-Calculation!AS319-Calculation!DJ319</f>
        <v>41.939211493484798</v>
      </c>
      <c r="AF319" s="95">
        <f ca="1">Sheet1!AA321+Sheet1!BN321+P319+'Calculations II'!BC319+Calculation!AS319+Calculation!DJ319</f>
        <v>52.270084419794578</v>
      </c>
      <c r="AG319" s="95">
        <f ca="1">IF(B319=TODAY(),0,Sheet1!AA321+Sheet1!BN321+'Calculations II'!BC319+'Calculations II'!P319-Sheet1!CT321-BP319)</f>
        <v>27.400295913279379</v>
      </c>
      <c r="AH319" s="95">
        <f ca="1">IF(B319=TODAY(),0,Sheet1!AA321+Sheet1!BN321+'Calculations II'!BC319+'Calculations II'!P319-BP319)</f>
        <v>42.04929591327938</v>
      </c>
      <c r="AI319" s="95">
        <f ca="1">IF(B319=TODAY(),0,BC319+Sheet1!AA321+Calculation!ES319+O319+W319+Sheet1!BN321+Calculation!AS319+Calculation!DJ319-BP319)</f>
        <v>52.270084419794578</v>
      </c>
      <c r="AJ319" s="95"/>
      <c r="AM319" s="91">
        <f t="shared" si="37"/>
        <v>41947</v>
      </c>
      <c r="AN319" s="95">
        <f>Sheet1!BU321</f>
        <v>21.4</v>
      </c>
      <c r="AO319" s="95">
        <f>Sheet1!AA321</f>
        <v>22.26</v>
      </c>
      <c r="AP319" s="95">
        <f t="shared" si="32"/>
        <v>-1.7866499999999987</v>
      </c>
      <c r="AQ319" s="1055">
        <f>((Sheet1!BV321-(Sheet1!BU321-AP319))/(Sheet1!BU321-AP319))</f>
        <v>0.16015034513394572</v>
      </c>
      <c r="AR319" s="95">
        <f t="shared" si="33"/>
        <v>24.04665</v>
      </c>
      <c r="AS319" s="95">
        <f t="shared" si="34"/>
        <v>23.186649999999997</v>
      </c>
      <c r="AT319" s="90">
        <f>Sheet1!BB321</f>
        <v>1.04</v>
      </c>
      <c r="AU319" s="90">
        <f>Sheet1!AS321*GPMtoMGD</f>
        <v>1.5120000000000001E-2</v>
      </c>
      <c r="AV319" s="95">
        <f>Sheet1!AT321</f>
        <v>0</v>
      </c>
      <c r="AW319" s="90">
        <f>Sheet1!AV321*GPMtoMGD</f>
        <v>0.39542400000000005</v>
      </c>
      <c r="AX319" s="90">
        <f>Sheet1!AW321*GPMtoMGD</f>
        <v>1.0644480000000001</v>
      </c>
      <c r="AY319" s="90">
        <f>Sheet1!AX321*GPMtoMGD</f>
        <v>0</v>
      </c>
      <c r="AZ319" s="90">
        <f>Sheet1!AY321*GPMtoMGD</f>
        <v>0</v>
      </c>
      <c r="BA319" s="90">
        <f>Sheet1!AZ321*GPMtoMGD</f>
        <v>0</v>
      </c>
      <c r="BB319" s="90">
        <f>Sheet1!BP321*GPMtoMGD</f>
        <v>0.80668800000000007</v>
      </c>
      <c r="BC319" s="90">
        <f>Sheet1!CS321*GPMtoMGD</f>
        <v>0</v>
      </c>
      <c r="BD319" s="90">
        <f>Sheet1!BO321*GPMtoMGD</f>
        <v>1.42272</v>
      </c>
      <c r="BE319" s="90">
        <f>Sheet1!BW321*GPMtoMGD</f>
        <v>0.60048000000000001</v>
      </c>
      <c r="BF319" s="90">
        <f>Sheet1!CN321*GPMtoMGD</f>
        <v>0.44942400000000005</v>
      </c>
      <c r="BG319" s="90">
        <f>Sheet1!CO321*GPMtoMGD</f>
        <v>0.43689600000000001</v>
      </c>
      <c r="BH319" s="90">
        <f>Sheet1!CP321*GPMtoMGD</f>
        <v>0.73036800000000002</v>
      </c>
      <c r="BI319" s="90">
        <f t="shared" si="38"/>
        <v>2.2294080000000003</v>
      </c>
      <c r="BK319" s="95">
        <f>SUM(AT319:BA319,BE319,Sheet1!BV321,'Calculations II'!BC319,Calculation!AQ319)</f>
        <v>49.695725925826927</v>
      </c>
      <c r="BM319" s="373">
        <f>0</f>
        <v>0</v>
      </c>
      <c r="BN319" s="373">
        <f>0</f>
        <v>0</v>
      </c>
      <c r="BP319" s="95">
        <f>SUM(BM319:BN319,W319,Sheet1!DX321)</f>
        <v>0</v>
      </c>
    </row>
    <row r="320" spans="1:68" s="90" customFormat="1">
      <c r="A320" s="651" t="s">
        <v>6</v>
      </c>
      <c r="B320" s="92">
        <v>41948</v>
      </c>
      <c r="C320" s="93">
        <v>0</v>
      </c>
      <c r="D320" s="95">
        <f>(Sheet1!BQ322-Sheet1!BQ321)*1.385</f>
        <v>0.42934999999999823</v>
      </c>
      <c r="E320" s="30">
        <f>(Sheet1!BR322-Sheet1!BR321)*1.385</f>
        <v>0.41550000000000098</v>
      </c>
      <c r="F320" s="30">
        <f ca="1">IF(B320=TODAY(),0,-(VLOOKUP(Sheet1!CD322,Lookup!$I$4:$J$216,2)-VLOOKUP(Sheet1!CD321,Lookup!$I$4:$J$216,2))/1000000)</f>
        <v>0.20727387709559872</v>
      </c>
      <c r="G320" s="95">
        <f ca="1">IF(B320=TODAY(),0,-$G$6*(Sheet1!CF322-Sheet1!CF321)*7.48/1000000)</f>
        <v>0.27799450736791476</v>
      </c>
      <c r="H320" s="95">
        <f ca="1">IF(B320=TODAY(),0,-$H$6*(Sheet1!CE322-Sheet1!CE321)*7.48/1000000)</f>
        <v>-4.5118297053795289E-2</v>
      </c>
      <c r="I320" s="95">
        <f ca="1">IF(B320=TODAY(),0,-$I$6*(Sheet1!CG322-Sheet1!CG321)*7.48/1000000)</f>
        <v>-9.4342248000000031E-2</v>
      </c>
      <c r="J320" s="96" t="s">
        <v>186</v>
      </c>
      <c r="K320" s="95">
        <f ca="1">IF(B320=TODAY(),0,-$K$6*(Sheet1!CH322-Sheet1!CH321)*7.48/1000000)</f>
        <v>-0.13992972786362726</v>
      </c>
      <c r="L320" s="96" t="s">
        <v>186</v>
      </c>
      <c r="M320" s="95">
        <f ca="1">IF(B320=TODAY(),0,-$M$6*(Sheet1!CI322-Sheet1!CI321)*7.48/1000000)</f>
        <v>-0.52535204609838981</v>
      </c>
      <c r="N320" s="95">
        <f ca="1">IF(B320=TODAY(),0,-$N$6*(Sheet1!CJ322-Sheet1!CJ321)*7.48/1000000)</f>
        <v>0.45918735592021698</v>
      </c>
      <c r="O320" s="95">
        <f t="shared" ca="1" si="35"/>
        <v>0.13971342136791812</v>
      </c>
      <c r="P320" s="95">
        <f ca="1">O320+Calculation!ES320</f>
        <v>-0.69125290434203579</v>
      </c>
      <c r="Q320" s="90" t="str">
        <f>IF(Sheet1!BQ322&gt;25.75,"spill elevation","-")</f>
        <v>-</v>
      </c>
      <c r="R320" s="90" t="str">
        <f>IF(Sheet1!BQ322&gt;25.75,"spill elevation","-")</f>
        <v>-</v>
      </c>
      <c r="S320" s="90" t="str">
        <f>IF(Sheet1!BR322&gt;25.75,"spill elevation","-")</f>
        <v>-</v>
      </c>
      <c r="T320" s="94">
        <f>IF(Sheet1!DU322=1,Sheet1!AA322-(SUM(AT320:BA320)+BE320),Sheet1!AA322-SUM(AT320:BA320))</f>
        <v>19.808896000000001</v>
      </c>
      <c r="U320" s="94">
        <f>Sheet1!BV322</f>
        <v>24.2</v>
      </c>
      <c r="V320" s="94">
        <f t="shared" si="36"/>
        <v>-4.3911039999999986</v>
      </c>
      <c r="W320" s="94">
        <f>0</f>
        <v>0</v>
      </c>
      <c r="X320" s="90">
        <f>0</f>
        <v>0</v>
      </c>
      <c r="Y320" s="95">
        <f ca="1">Calculation!EJ321+Calculation!ES320+'Calculations II'!O320-'Calculations II'!W320</f>
        <v>51.258747095657966</v>
      </c>
      <c r="Z320" s="95">
        <f ca="1">Y320-Sheet1!CT323</f>
        <v>38.559747095657968</v>
      </c>
      <c r="AA320" s="95">
        <f ca="1">Y320+Calculation!DJ321+Calculation!AS321</f>
        <v>61.280598460340642</v>
      </c>
      <c r="AC320" s="95">
        <f>Sheet1!AA322+Sheet1!AB322+BC320</f>
        <v>52.33</v>
      </c>
      <c r="AD320" s="95">
        <f>Sheet1!AA322+Sheet1!BN322+'Calculations II'!BC320-Calculation!AS320-Calculation!DJ320</f>
        <v>31.844638453848717</v>
      </c>
      <c r="AE320" s="95">
        <f>Sheet1!AA322+Sheet1!AB322+'Calculations II'!BC320-Calculation!AS320-Calculation!DJ320</f>
        <v>42.104638453848715</v>
      </c>
      <c r="AF320" s="95">
        <f ca="1">Sheet1!AA322+Sheet1!BN322+P320+'Calculations II'!BC320+Calculation!AS320+Calculation!DJ320</f>
        <v>51.604108641809248</v>
      </c>
      <c r="AG320" s="95">
        <f ca="1">IF(B320=TODAY(),0,Sheet1!AA322+Sheet1!BN322+'Calculations II'!BC320+'Calculations II'!P320-Sheet1!CT322-BP320)</f>
        <v>27.837747095657964</v>
      </c>
      <c r="AH320" s="95">
        <f ca="1">IF(B320=TODAY(),0,Sheet1!AA322+Sheet1!BN322+'Calculations II'!BC320+'Calculations II'!P320-BP320)</f>
        <v>41.378747095657964</v>
      </c>
      <c r="AI320" s="95">
        <f ca="1">IF(B320=TODAY(),0,BC320+Sheet1!AA322+Calculation!ES320+O320+W320+Sheet1!BN322+Calculation!AS320+Calculation!DJ320-BP320)</f>
        <v>51.604108641809248</v>
      </c>
      <c r="AJ320" s="95"/>
      <c r="AM320" s="91">
        <f t="shared" si="37"/>
        <v>41948</v>
      </c>
      <c r="AN320" s="95">
        <f>Sheet1!BU322</f>
        <v>21.6</v>
      </c>
      <c r="AO320" s="95">
        <f>Sheet1!AA322</f>
        <v>22.27</v>
      </c>
      <c r="AP320" s="95">
        <f t="shared" si="32"/>
        <v>0.84484999999999921</v>
      </c>
      <c r="AQ320" s="1055">
        <f>((Sheet1!BV322-(Sheet1!BU322-AP320))/(Sheet1!BU322-AP320))</f>
        <v>0.16597567350753903</v>
      </c>
      <c r="AR320" s="95">
        <f t="shared" si="33"/>
        <v>21.425150000000002</v>
      </c>
      <c r="AS320" s="95">
        <f t="shared" si="34"/>
        <v>20.75515</v>
      </c>
      <c r="AT320" s="90">
        <f>Sheet1!BB322</f>
        <v>0.99</v>
      </c>
      <c r="AU320" s="90">
        <f>Sheet1!AS322*GPMtoMGD</f>
        <v>1.5552000000000002E-2</v>
      </c>
      <c r="AV320" s="95">
        <f>Sheet1!AT322</f>
        <v>0</v>
      </c>
      <c r="AW320" s="90">
        <f>Sheet1!AV322*GPMtoMGD</f>
        <v>0.33048</v>
      </c>
      <c r="AX320" s="90">
        <f>Sheet1!AW322*GPMtoMGD</f>
        <v>1.1250720000000001</v>
      </c>
      <c r="AY320" s="90">
        <f>Sheet1!AX322*GPMtoMGD</f>
        <v>0</v>
      </c>
      <c r="AZ320" s="90">
        <f>Sheet1!AY322*GPMtoMGD</f>
        <v>0</v>
      </c>
      <c r="BA320" s="90">
        <f>Sheet1!AZ322*GPMtoMGD</f>
        <v>0</v>
      </c>
      <c r="BB320" s="90">
        <f>Sheet1!BP322*GPMtoMGD</f>
        <v>0.75888</v>
      </c>
      <c r="BC320" s="90">
        <f>Sheet1!CS322*GPMtoMGD</f>
        <v>0</v>
      </c>
      <c r="BD320" s="90">
        <f>Sheet1!BO322*GPMtoMGD</f>
        <v>1.2994559999999999</v>
      </c>
      <c r="BE320" s="90">
        <f>Sheet1!BW322*GPMtoMGD</f>
        <v>0.85248000000000002</v>
      </c>
      <c r="BF320" s="90">
        <f>Sheet1!CN322*GPMtoMGD</f>
        <v>0.37944</v>
      </c>
      <c r="BG320" s="90">
        <f>Sheet1!CO322*GPMtoMGD</f>
        <v>0.43560000000000004</v>
      </c>
      <c r="BH320" s="90">
        <f>Sheet1!CP322*GPMtoMGD</f>
        <v>0.76680000000000004</v>
      </c>
      <c r="BI320" s="90">
        <f t="shared" si="38"/>
        <v>2.0583359999999997</v>
      </c>
      <c r="BK320" s="95">
        <f>SUM(AT320:BA320,BE320,Sheet1!BV322,'Calculations II'!BC320,Calculation!AQ320)</f>
        <v>47.346573003665441</v>
      </c>
      <c r="BM320" s="373">
        <f>0</f>
        <v>0</v>
      </c>
      <c r="BN320" s="373">
        <f>0</f>
        <v>0</v>
      </c>
      <c r="BP320" s="95">
        <f>SUM(BM320:BN320,W320,Sheet1!DX322)</f>
        <v>0</v>
      </c>
    </row>
    <row r="321" spans="1:68" s="90" customFormat="1">
      <c r="A321" s="651" t="s">
        <v>7</v>
      </c>
      <c r="B321" s="92">
        <v>41949</v>
      </c>
      <c r="C321" s="93">
        <v>0</v>
      </c>
      <c r="D321" s="95">
        <f>(Sheet1!BQ323-Sheet1!BQ322)*1.385</f>
        <v>2.4791500000000037</v>
      </c>
      <c r="E321" s="30">
        <f>(Sheet1!BR323-Sheet1!BR322)*1.385</f>
        <v>2.4930000000000012</v>
      </c>
      <c r="F321" s="30">
        <f ca="1">IF(B321=TODAY(),0,-(VLOOKUP(Sheet1!CD323,Lookup!$I$4:$J$216,2)-VLOOKUP(Sheet1!CD322,Lookup!$I$4:$J$216,2))/1000000)</f>
        <v>0.41454775419120493</v>
      </c>
      <c r="G321" s="95">
        <f ca="1">IF(B321=TODAY(),0,-$G$6*(Sheet1!CF323-Sheet1!CF322)*7.48/1000000)</f>
        <v>0.11914050315767817</v>
      </c>
      <c r="H321" s="95">
        <f ca="1">IF(B321=TODAY(),0,-$H$6*(Sheet1!CE323-Sheet1!CE322)*7.48/1000000)</f>
        <v>7.5197161756325293E-2</v>
      </c>
      <c r="I321" s="95">
        <f ca="1">IF(B321=TODAY(),0,-$I$6*(Sheet1!CG323-Sheet1!CG322)*7.48/1000000)</f>
        <v>0.22462440000000003</v>
      </c>
      <c r="J321" s="96" t="s">
        <v>186</v>
      </c>
      <c r="K321" s="95">
        <f ca="1">IF(B321=TODAY(),0,-$K$6*(Sheet1!CH323-Sheet1!CH322)*7.48/1000000)</f>
        <v>0.3664826205952143</v>
      </c>
      <c r="L321" s="96" t="s">
        <v>186</v>
      </c>
      <c r="M321" s="95">
        <f ca="1">IF(B321=TODAY(),0,-$M$6*(Sheet1!CI323-Sheet1!CI322)*7.48/1000000)</f>
        <v>1.1334650309657039</v>
      </c>
      <c r="N321" s="95">
        <f ca="1">IF(B321=TODAY(),0,-$N$6*(Sheet1!CJ323-Sheet1!CJ322)*7.48/1000000)</f>
        <v>0.36610883782828091</v>
      </c>
      <c r="O321" s="95">
        <f t="shared" ca="1" si="35"/>
        <v>2.6995663084944077</v>
      </c>
      <c r="P321" s="95">
        <f ca="1">O321+Calculation!ES321</f>
        <v>-2.2886544163690772</v>
      </c>
      <c r="Q321" s="90" t="str">
        <f>IF(Sheet1!BQ323&gt;25.75,"spill elevation","-")</f>
        <v>-</v>
      </c>
      <c r="R321" s="90" t="str">
        <f>IF(Sheet1!BQ323&gt;25.75,"spill elevation","-")</f>
        <v>-</v>
      </c>
      <c r="S321" s="90" t="str">
        <f>IF(Sheet1!BR323&gt;25.75,"spill elevation","-")</f>
        <v>-</v>
      </c>
      <c r="T321" s="94">
        <f>IF(Sheet1!DU323=1,Sheet1!AA323-(SUM(AT321:BA321)+BE321),Sheet1!AA323-SUM(AT321:BA321))</f>
        <v>19.234672</v>
      </c>
      <c r="U321" s="94">
        <f>Sheet1!BV323</f>
        <v>20.100000000000001</v>
      </c>
      <c r="V321" s="94">
        <f t="shared" si="36"/>
        <v>-0.86532800000000165</v>
      </c>
      <c r="W321" s="94">
        <f>0</f>
        <v>0</v>
      </c>
      <c r="X321" s="90">
        <f>0</f>
        <v>0</v>
      </c>
      <c r="Y321" s="95">
        <f ca="1">Calculation!EJ322+Calculation!ES321+'Calculations II'!O321-'Calculations II'!W321</f>
        <v>49.21134558363093</v>
      </c>
      <c r="Z321" s="95">
        <f ca="1">Y321-Sheet1!CT324</f>
        <v>33.184345583630929</v>
      </c>
      <c r="AA321" s="95">
        <f ca="1">Y321+Calculation!DJ322+Calculation!AS322</f>
        <v>59.210717837240473</v>
      </c>
      <c r="AC321" s="95">
        <f>Sheet1!AA323+Sheet1!AB323+BC321</f>
        <v>51.95</v>
      </c>
      <c r="AD321" s="95">
        <f>Sheet1!AA323+Sheet1!BN323+'Calculations II'!BC321-Calculation!AS321-Calculation!DJ321</f>
        <v>31.878148635317327</v>
      </c>
      <c r="AE321" s="95">
        <f>Sheet1!AA323+Sheet1!AB323+'Calculations II'!BC321-Calculation!AS321-Calculation!DJ321</f>
        <v>41.928148635317328</v>
      </c>
      <c r="AF321" s="95">
        <f ca="1">Sheet1!AA323+Sheet1!BN323+P321+'Calculations II'!BC321+Calculation!AS321+Calculation!DJ321</f>
        <v>49.633196948313596</v>
      </c>
      <c r="AG321" s="95">
        <f ca="1">IF(B321=TODAY(),0,Sheet1!AA323+Sheet1!BN323+'Calculations II'!BC321+'Calculations II'!P321-Sheet1!CT323-BP321)</f>
        <v>26.912345583630923</v>
      </c>
      <c r="AH321" s="95">
        <f ca="1">IF(B321=TODAY(),0,Sheet1!AA323+Sheet1!BN323+'Calculations II'!BC321+'Calculations II'!P321-BP321)</f>
        <v>39.611345583630921</v>
      </c>
      <c r="AI321" s="95">
        <f ca="1">IF(B321=TODAY(),0,BC321+Sheet1!AA323+Calculation!ES321+O321+W321+Sheet1!BN323+Calculation!AS321+Calculation!DJ321-BP321)</f>
        <v>49.633196948313596</v>
      </c>
      <c r="AJ321" s="95"/>
      <c r="AM321" s="91">
        <f t="shared" si="37"/>
        <v>41949</v>
      </c>
      <c r="AN321" s="95">
        <f>Sheet1!BU323</f>
        <v>21.2</v>
      </c>
      <c r="AO321" s="95">
        <f>Sheet1!AA323</f>
        <v>21.5</v>
      </c>
      <c r="AP321" s="95">
        <f t="shared" si="32"/>
        <v>4.9721500000000045</v>
      </c>
      <c r="AQ321" s="1055">
        <f>((Sheet1!BV323-(Sheet1!BU323-AP321))/(Sheet1!BU323-AP321))</f>
        <v>0.23861139953844815</v>
      </c>
      <c r="AR321" s="95">
        <f t="shared" si="33"/>
        <v>16.527849999999994</v>
      </c>
      <c r="AS321" s="95">
        <f t="shared" si="34"/>
        <v>16.227849999999997</v>
      </c>
      <c r="AT321" s="90">
        <f>Sheet1!BB323</f>
        <v>1</v>
      </c>
      <c r="AU321" s="90">
        <f>Sheet1!AS323*GPMtoMGD</f>
        <v>1.584E-2</v>
      </c>
      <c r="AV321" s="95">
        <f>Sheet1!AT323</f>
        <v>0</v>
      </c>
      <c r="AW321" s="90">
        <f>Sheet1!AV323*GPMtoMGD</f>
        <v>0.46296000000000004</v>
      </c>
      <c r="AX321" s="90">
        <f>Sheet1!AW323*GPMtoMGD</f>
        <v>0.78652800000000012</v>
      </c>
      <c r="AY321" s="90">
        <f>Sheet1!AX323*GPMtoMGD</f>
        <v>0</v>
      </c>
      <c r="AZ321" s="90">
        <f>Sheet1!AY323*GPMtoMGD</f>
        <v>0</v>
      </c>
      <c r="BA321" s="90">
        <f>Sheet1!AZ323*GPMtoMGD</f>
        <v>0</v>
      </c>
      <c r="BB321" s="90">
        <f>Sheet1!BP323*GPMtoMGD</f>
        <v>3.0240000000000002E-3</v>
      </c>
      <c r="BC321" s="90">
        <f>Sheet1!CS323*GPMtoMGD</f>
        <v>0</v>
      </c>
      <c r="BD321" s="90">
        <f>Sheet1!BO323*GPMtoMGD</f>
        <v>0.62568000000000001</v>
      </c>
      <c r="BE321" s="90">
        <f>Sheet1!BW323*GPMtoMGD</f>
        <v>0.58391999999999999</v>
      </c>
      <c r="BF321" s="90">
        <f>Sheet1!CN323*GPMtoMGD</f>
        <v>0.37425599999999998</v>
      </c>
      <c r="BG321" s="90">
        <f>Sheet1!CO323*GPMtoMGD</f>
        <v>0.41616000000000003</v>
      </c>
      <c r="BH321" s="90">
        <f>Sheet1!CP323*GPMtoMGD</f>
        <v>0.80020800000000014</v>
      </c>
      <c r="BI321" s="90">
        <f t="shared" si="38"/>
        <v>0.62870400000000004</v>
      </c>
      <c r="BK321" s="95">
        <f>SUM(AT321:BA321,BE321,Sheet1!BV323,'Calculations II'!BC321,Calculation!AQ321)</f>
        <v>43.376081278526797</v>
      </c>
      <c r="BM321" s="373">
        <f>0</f>
        <v>0</v>
      </c>
      <c r="BN321" s="373">
        <f>0</f>
        <v>0</v>
      </c>
      <c r="BP321" s="95">
        <f>SUM(BM321:BN321,W321,Sheet1!DX323)</f>
        <v>0</v>
      </c>
    </row>
    <row r="322" spans="1:68" s="90" customFormat="1">
      <c r="A322" s="651" t="s">
        <v>8</v>
      </c>
      <c r="B322" s="92">
        <v>41950</v>
      </c>
      <c r="C322" s="93">
        <v>0</v>
      </c>
      <c r="D322" s="95">
        <f>(Sheet1!BQ324-Sheet1!BQ323)*1.385</f>
        <v>-1.2326500000000007</v>
      </c>
      <c r="E322" s="30">
        <f>(Sheet1!BR324-Sheet1!BR323)*1.385</f>
        <v>-1.2326500000000007</v>
      </c>
      <c r="F322" s="30">
        <f ca="1">IF(B322=TODAY(),0,-(VLOOKUP(Sheet1!CD324,Lookup!$I$4:$J$216,2)-VLOOKUP(Sheet1!CD323,Lookup!$I$4:$J$216,2))/1000000)</f>
        <v>0.41454775419119744</v>
      </c>
      <c r="G322" s="95">
        <f ca="1">IF(B322=TODAY(),0,-$G$6*(Sheet1!CF324-Sheet1!CF323)*7.48/1000000)</f>
        <v>0.19856750526279648</v>
      </c>
      <c r="H322" s="95">
        <f ca="1">IF(B322=TODAY(),0,-$H$6*(Sheet1!CE324-Sheet1!CE323)*7.48/1000000)</f>
        <v>0.10527602645885531</v>
      </c>
      <c r="I322" s="95">
        <f ca="1">IF(B322=TODAY(),0,-$I$6*(Sheet1!CG324-Sheet1!CG323)*7.48/1000000)</f>
        <v>-0.107819712</v>
      </c>
      <c r="J322" s="96" t="s">
        <v>186</v>
      </c>
      <c r="K322" s="95">
        <f ca="1">IF(B322=TODAY(),0,-$K$6*(Sheet1!CH324-Sheet1!CH323)*7.48/1000000)</f>
        <v>-0.17990965011037802</v>
      </c>
      <c r="L322" s="96" t="s">
        <v>186</v>
      </c>
      <c r="M322" s="95">
        <f ca="1">IF(B322=TODAY(),0,-$M$6*(Sheet1!CI324-Sheet1!CI323)*7.48/1000000)</f>
        <v>-0.48577072755673051</v>
      </c>
      <c r="N322" s="95">
        <f ca="1">IF(B322=TODAY(),0,-$N$6*(Sheet1!CJ324-Sheet1!CJ323)*7.48/1000000)</f>
        <v>7.4462814473549299E-2</v>
      </c>
      <c r="O322" s="95">
        <f t="shared" ca="1" si="35"/>
        <v>1.9354010719289994E-2</v>
      </c>
      <c r="P322" s="95">
        <f ca="1">O322+Calculation!ES322</f>
        <v>2.5139835861675985</v>
      </c>
      <c r="Q322" s="90" t="str">
        <f>IF(Sheet1!BQ324&gt;25.75,"spill elevation","-")</f>
        <v>-</v>
      </c>
      <c r="R322" s="90" t="str">
        <f>IF(Sheet1!BQ324&gt;25.75,"spill elevation","-")</f>
        <v>-</v>
      </c>
      <c r="S322" s="90" t="str">
        <f>IF(Sheet1!BR324&gt;25.75,"spill elevation","-")</f>
        <v>-</v>
      </c>
      <c r="T322" s="94">
        <f>IF(Sheet1!DU324=1,Sheet1!AA324-(SUM(AT322:BA322)+BE322),Sheet1!AA324-SUM(AT322:BA322))</f>
        <v>17.522528000000001</v>
      </c>
      <c r="U322" s="94">
        <f>Sheet1!BV324</f>
        <v>25.1</v>
      </c>
      <c r="V322" s="94">
        <f t="shared" si="36"/>
        <v>-7.5774720000000002</v>
      </c>
      <c r="W322" s="94">
        <f>0</f>
        <v>0</v>
      </c>
      <c r="X322" s="90">
        <f>0</f>
        <v>0</v>
      </c>
      <c r="Y322" s="95">
        <f ca="1">Calculation!EJ323+Calculation!ES322+'Calculations II'!O322-'Calculations II'!W322</f>
        <v>54.113983586167599</v>
      </c>
      <c r="Z322" s="95">
        <f ca="1">Y322-Sheet1!CT325</f>
        <v>36.904983586167603</v>
      </c>
      <c r="AA322" s="95">
        <f ca="1">Y322+Calculation!DJ323+Calculation!AS323</f>
        <v>64.001770318963622</v>
      </c>
      <c r="AC322" s="95">
        <f>Sheet1!AA324+Sheet1!AB324+BC322</f>
        <v>51.5</v>
      </c>
      <c r="AD322" s="95">
        <f>Sheet1!AA324+Sheet1!BN324+'Calculations II'!BC322-Calculation!AS322-Calculation!DJ322</f>
        <v>31.400627746390455</v>
      </c>
      <c r="AE322" s="95">
        <f>Sheet1!AA324+Sheet1!AB324+'Calculations II'!BC322-Calculation!AS322-Calculation!DJ322</f>
        <v>41.500627746390457</v>
      </c>
      <c r="AF322" s="95">
        <f ca="1">Sheet1!AA324+Sheet1!BN324+P322+'Calculations II'!BC322+Calculation!AS322+Calculation!DJ322</f>
        <v>53.91335583977714</v>
      </c>
      <c r="AG322" s="95">
        <f ca="1">IF(B322=TODAY(),0,Sheet1!AA324+Sheet1!BN324+'Calculations II'!BC322+'Calculations II'!P322-Sheet1!CT324-BP322)</f>
        <v>27.886983586167595</v>
      </c>
      <c r="AH322" s="95">
        <f ca="1">IF(B322=TODAY(),0,Sheet1!AA324+Sheet1!BN324+'Calculations II'!BC322+'Calculations II'!P322-BP322)</f>
        <v>43.913983586167596</v>
      </c>
      <c r="AI322" s="95">
        <f ca="1">IF(B322=TODAY(),0,BC322+Sheet1!AA324+Calculation!ES322+O322+W322+Sheet1!BN324+Calculation!AS322+Calculation!DJ322-BP322)</f>
        <v>53.91335583977714</v>
      </c>
      <c r="AJ322" s="95"/>
      <c r="AM322" s="91">
        <f t="shared" si="37"/>
        <v>41950</v>
      </c>
      <c r="AN322" s="95">
        <f>Sheet1!BU324</f>
        <v>19.2</v>
      </c>
      <c r="AO322" s="95">
        <f>Sheet1!AA324</f>
        <v>19.5</v>
      </c>
      <c r="AP322" s="95">
        <f t="shared" si="32"/>
        <v>-2.4653000000000014</v>
      </c>
      <c r="AQ322" s="1055">
        <f>((Sheet1!BV324-(Sheet1!BU324-AP322))/(Sheet1!BU324-AP322))</f>
        <v>0.15853461526034715</v>
      </c>
      <c r="AR322" s="95">
        <f t="shared" si="33"/>
        <v>21.965300000000003</v>
      </c>
      <c r="AS322" s="95">
        <f t="shared" si="34"/>
        <v>21.665300000000002</v>
      </c>
      <c r="AT322" s="90">
        <f>Sheet1!BB324</f>
        <v>1</v>
      </c>
      <c r="AU322" s="90">
        <f>Sheet1!AS324*GPMtoMGD</f>
        <v>1.5264E-2</v>
      </c>
      <c r="AV322" s="95">
        <f>Sheet1!AT324</f>
        <v>0</v>
      </c>
      <c r="AW322" s="90">
        <f>Sheet1!AV324*GPMtoMGD</f>
        <v>0.258048</v>
      </c>
      <c r="AX322" s="90">
        <f>Sheet1!AW324*GPMtoMGD</f>
        <v>0.70416000000000001</v>
      </c>
      <c r="AY322" s="90">
        <f>Sheet1!AX324*GPMtoMGD</f>
        <v>0</v>
      </c>
      <c r="AZ322" s="90">
        <f>Sheet1!AY324*GPMtoMGD</f>
        <v>0</v>
      </c>
      <c r="BA322" s="90">
        <f>Sheet1!AZ324*GPMtoMGD</f>
        <v>0</v>
      </c>
      <c r="BB322" s="90">
        <f>Sheet1!BP324*GPMtoMGD</f>
        <v>0.84758400000000012</v>
      </c>
      <c r="BC322" s="90">
        <f>Sheet1!CS324*GPMtoMGD</f>
        <v>0</v>
      </c>
      <c r="BD322" s="90">
        <f>Sheet1!BO324*GPMtoMGD</f>
        <v>1.2235680000000002</v>
      </c>
      <c r="BE322" s="90">
        <f>Sheet1!BW324*GPMtoMGD</f>
        <v>0.61560000000000004</v>
      </c>
      <c r="BF322" s="90">
        <f>Sheet1!CN324*GPMtoMGD</f>
        <v>0.35683200000000004</v>
      </c>
      <c r="BG322" s="90">
        <f>Sheet1!CO324*GPMtoMGD</f>
        <v>0.42048000000000002</v>
      </c>
      <c r="BH322" s="90">
        <f>Sheet1!CP324*GPMtoMGD</f>
        <v>0.77961599999999998</v>
      </c>
      <c r="BI322" s="90">
        <f t="shared" si="38"/>
        <v>2.0711520000000005</v>
      </c>
      <c r="BK322" s="95">
        <f>SUM(AT322:BA322,BE322,Sheet1!BV324,'Calculations II'!BC322,Calculation!AQ322)</f>
        <v>49.689305521657246</v>
      </c>
      <c r="BM322" s="373">
        <f>0</f>
        <v>0</v>
      </c>
      <c r="BN322" s="373">
        <f>0</f>
        <v>0</v>
      </c>
      <c r="BP322" s="95">
        <f>SUM(BM322:BN322,W322,Sheet1!DX324)</f>
        <v>0</v>
      </c>
    </row>
    <row r="323" spans="1:68" s="90" customFormat="1">
      <c r="A323" s="651" t="s">
        <v>9</v>
      </c>
      <c r="B323" s="92">
        <v>41951</v>
      </c>
      <c r="C323" s="93">
        <v>0</v>
      </c>
      <c r="D323" s="95">
        <f>(Sheet1!BQ325-Sheet1!BQ324)*1.385</f>
        <v>-2.9362000000000013</v>
      </c>
      <c r="E323" s="30">
        <f>(Sheet1!BR325-Sheet1!BR324)*1.385</f>
        <v>-2.9362000000000013</v>
      </c>
      <c r="F323" s="30">
        <f ca="1">IF(B323=TODAY(),0,-(VLOOKUP(Sheet1!CD325,Lookup!$I$4:$J$216,2)-VLOOKUP(Sheet1!CD324,Lookup!$I$4:$J$216,2))/1000000)</f>
        <v>-0.31091081564339806</v>
      </c>
      <c r="G323" s="95">
        <f ca="1">IF(B323=TODAY(),0,-$G$6*(Sheet1!CF325-Sheet1!CF324)*7.48/1000000)</f>
        <v>0.27799450736791476</v>
      </c>
      <c r="H323" s="95">
        <f ca="1">IF(B323=TODAY(),0,-$H$6*(Sheet1!CE325-Sheet1!CE324)*7.48/1000000)</f>
        <v>0</v>
      </c>
      <c r="I323" s="95">
        <f ca="1">IF(B323=TODAY(),0,-$I$6*(Sheet1!CG325-Sheet1!CG324)*7.48/1000000)</f>
        <v>-9.6588492000000012E-2</v>
      </c>
      <c r="J323" s="96" t="s">
        <v>186</v>
      </c>
      <c r="K323" s="95">
        <f ca="1">IF(B323=TODAY(),0,-$K$6*(Sheet1!CH325-Sheet1!CH324)*7.48/1000000)</f>
        <v>-0.16658300936146106</v>
      </c>
      <c r="L323" s="96" t="s">
        <v>186</v>
      </c>
      <c r="M323" s="95">
        <f ca="1">IF(B323=TODAY(),0,-$M$6*(Sheet1!CI325-Sheet1!CI324)*7.48/1000000)</f>
        <v>-0.44978771070067586</v>
      </c>
      <c r="N323" s="95">
        <f ca="1">IF(B323=TODAY(),0,-$N$6*(Sheet1!CJ325-Sheet1!CJ324)*7.48/1000000)</f>
        <v>-0.49021352861752937</v>
      </c>
      <c r="O323" s="95">
        <f t="shared" ca="1" si="35"/>
        <v>-1.2360890489551495</v>
      </c>
      <c r="P323" s="95">
        <f ca="1">O323+Calculation!ES323</f>
        <v>4.7191088562129</v>
      </c>
      <c r="Q323" s="90" t="str">
        <f>IF(Sheet1!BQ325&gt;25.75,"spill elevation","-")</f>
        <v>-</v>
      </c>
      <c r="R323" s="90" t="str">
        <f>IF(Sheet1!BQ325&gt;25.75,"spill elevation","-")</f>
        <v>-</v>
      </c>
      <c r="S323" s="90" t="str">
        <f>IF(Sheet1!BR325&gt;25.75,"spill elevation","-")</f>
        <v>-</v>
      </c>
      <c r="T323" s="94">
        <f>IF(Sheet1!DU325=1,Sheet1!AA325-(SUM(AT323:BA323)+BE323),Sheet1!AA325-SUM(AT323:BA323))</f>
        <v>17.042784000000001</v>
      </c>
      <c r="U323" s="94">
        <f>Sheet1!BV325</f>
        <v>28.1</v>
      </c>
      <c r="V323" s="94">
        <f t="shared" si="36"/>
        <v>-11.057216</v>
      </c>
      <c r="W323" s="94">
        <f>0</f>
        <v>0</v>
      </c>
      <c r="X323" s="90">
        <f>0</f>
        <v>0</v>
      </c>
      <c r="Y323" s="95">
        <f ca="1">Calculation!EJ324+Calculation!ES323+'Calculations II'!O323-'Calculations II'!W323</f>
        <v>56.619108856212897</v>
      </c>
      <c r="Z323" s="95">
        <f ca="1">Y323-Sheet1!CT326</f>
        <v>38.989108856212894</v>
      </c>
      <c r="AA323" s="95">
        <f ca="1">Y323+Calculation!DJ324+Calculation!AS324</f>
        <v>66.541760394913553</v>
      </c>
      <c r="AC323" s="95">
        <f>Sheet1!AA325+Sheet1!AB325+BC323</f>
        <v>51.6</v>
      </c>
      <c r="AD323" s="95">
        <f>Sheet1!AA325+Sheet1!BN325+'Calculations II'!BC323-Calculation!AS323-Calculation!DJ323</f>
        <v>32.012213267203975</v>
      </c>
      <c r="AE323" s="95">
        <f>Sheet1!AA325+Sheet1!AB325+'Calculations II'!BC323-Calculation!AS323-Calculation!DJ323</f>
        <v>41.712213267203971</v>
      </c>
      <c r="AF323" s="95">
        <f ca="1">Sheet1!AA325+Sheet1!BN325+P323+'Calculations II'!BC323+Calculation!AS323+Calculation!DJ323</f>
        <v>56.506895589008934</v>
      </c>
      <c r="AG323" s="95">
        <f ca="1">IF(B323=TODAY(),0,Sheet1!AA325+Sheet1!BN325+'Calculations II'!BC323+'Calculations II'!P323-Sheet1!CT325-BP323)</f>
        <v>29.410108856212904</v>
      </c>
      <c r="AH323" s="95">
        <f ca="1">IF(B323=TODAY(),0,Sheet1!AA325+Sheet1!BN325+'Calculations II'!BC323+'Calculations II'!P323-BP323)</f>
        <v>46.619108856212904</v>
      </c>
      <c r="AI323" s="95">
        <f ca="1">IF(B323=TODAY(),0,BC323+Sheet1!AA325+Calculation!ES323+O323+W323+Sheet1!BN325+Calculation!AS323+Calculation!DJ323-BP323)</f>
        <v>56.506895589008934</v>
      </c>
      <c r="AJ323" s="95"/>
      <c r="AM323" s="91">
        <f t="shared" si="37"/>
        <v>41951</v>
      </c>
      <c r="AN323" s="95">
        <f>Sheet1!BU325</f>
        <v>18.8</v>
      </c>
      <c r="AO323" s="95">
        <f>Sheet1!AA325</f>
        <v>19.600000000000001</v>
      </c>
      <c r="AP323" s="95">
        <f t="shared" si="32"/>
        <v>-5.8724000000000025</v>
      </c>
      <c r="AQ323" s="1055">
        <f>((Sheet1!BV325-(Sheet1!BU325-AP323))/(Sheet1!BU325-AP323))</f>
        <v>0.13892446620515222</v>
      </c>
      <c r="AR323" s="95">
        <f t="shared" si="33"/>
        <v>25.472400000000004</v>
      </c>
      <c r="AS323" s="95">
        <f t="shared" si="34"/>
        <v>24.672400000000003</v>
      </c>
      <c r="AT323" s="90">
        <f>Sheet1!BB325</f>
        <v>1</v>
      </c>
      <c r="AU323" s="90">
        <f>Sheet1!AS325*GPMtoMGD</f>
        <v>1.5984000000000002E-2</v>
      </c>
      <c r="AV323" s="95">
        <f>Sheet1!AT325</f>
        <v>0</v>
      </c>
      <c r="AW323" s="90">
        <f>Sheet1!AV325*GPMtoMGD</f>
        <v>0.46526400000000007</v>
      </c>
      <c r="AX323" s="90">
        <f>Sheet1!AW325*GPMtoMGD</f>
        <v>1.075968</v>
      </c>
      <c r="AY323" s="90">
        <f>Sheet1!AX325*GPMtoMGD</f>
        <v>0</v>
      </c>
      <c r="AZ323" s="90">
        <f>Sheet1!AY325*GPMtoMGD</f>
        <v>0</v>
      </c>
      <c r="BA323" s="90">
        <f>Sheet1!AZ325*GPMtoMGD</f>
        <v>0</v>
      </c>
      <c r="BB323" s="90">
        <f>Sheet1!BP325*GPMtoMGD</f>
        <v>0.85939199999999993</v>
      </c>
      <c r="BC323" s="90">
        <f>Sheet1!CS325*GPMtoMGD</f>
        <v>0</v>
      </c>
      <c r="BD323" s="90">
        <f>Sheet1!BO325*GPMtoMGD</f>
        <v>1.3003200000000001</v>
      </c>
      <c r="BE323" s="90">
        <f>Sheet1!BW325*GPMtoMGD</f>
        <v>0.88992000000000004</v>
      </c>
      <c r="BF323" s="90">
        <f>Sheet1!CN325*GPMtoMGD</f>
        <v>0.64512000000000003</v>
      </c>
      <c r="BG323" s="90">
        <f>Sheet1!CO325*GPMtoMGD</f>
        <v>0.45979200000000003</v>
      </c>
      <c r="BH323" s="90">
        <f>Sheet1!CP325*GPMtoMGD</f>
        <v>0.75614400000000004</v>
      </c>
      <c r="BI323" s="90">
        <f t="shared" si="38"/>
        <v>2.1597119999999999</v>
      </c>
      <c r="BK323" s="95">
        <f>SUM(AT323:BA323,BE323,Sheet1!BV325,'Calculations II'!BC323,Calculation!AQ323)</f>
        <v>53.667408783632979</v>
      </c>
      <c r="BM323" s="373">
        <f>0</f>
        <v>0</v>
      </c>
      <c r="BN323" s="373">
        <f>0</f>
        <v>0</v>
      </c>
      <c r="BP323" s="95">
        <f>SUM(BM323:BN323,W323,Sheet1!DX325)</f>
        <v>0</v>
      </c>
    </row>
    <row r="324" spans="1:68" s="90" customFormat="1">
      <c r="A324" s="651" t="s">
        <v>3</v>
      </c>
      <c r="B324" s="92">
        <v>41952</v>
      </c>
      <c r="C324" s="93">
        <v>0</v>
      </c>
      <c r="D324" s="95">
        <f>(Sheet1!BQ326-Sheet1!BQ325)*1.385</f>
        <v>-1.3157499999999991</v>
      </c>
      <c r="E324" s="30">
        <f>(Sheet1!BR326-Sheet1!BR325)*1.385</f>
        <v>-1.3157499999999991</v>
      </c>
      <c r="F324" s="30">
        <f ca="1">IF(B324=TODAY(),0,-(VLOOKUP(Sheet1!CD326,Lookup!$I$4:$J$216,2)-VLOOKUP(Sheet1!CD325,Lookup!$I$4:$J$216,2))/1000000)</f>
        <v>0.10363693854779936</v>
      </c>
      <c r="G324" s="95">
        <f ca="1">IF(B324=TODAY(),0,-$G$6*(Sheet1!CF326-Sheet1!CF325)*7.48/1000000)</f>
        <v>0.23828100631535493</v>
      </c>
      <c r="H324" s="95">
        <f ca="1">IF(B324=TODAY(),0,-$H$6*(Sheet1!CE326-Sheet1!CE325)*7.48/1000000)</f>
        <v>-0.12031545881012005</v>
      </c>
      <c r="I324" s="95">
        <f ca="1">IF(B324=TODAY(),0,-$I$6*(Sheet1!CG326-Sheet1!CG325)*7.48/1000000)</f>
        <v>6.4242578400000028E-2</v>
      </c>
      <c r="J324" s="96" t="s">
        <v>186</v>
      </c>
      <c r="K324" s="95">
        <f ca="1">IF(B324=TODAY(),0,-$K$6*(Sheet1!CH326-Sheet1!CH325)*7.48/1000000)</f>
        <v>0.12660308711471041</v>
      </c>
      <c r="L324" s="96" t="s">
        <v>186</v>
      </c>
      <c r="M324" s="95">
        <f ca="1">IF(B324=TODAY(),0,-$M$6*(Sheet1!CI326-Sheet1!CI325)*7.48/1000000)</f>
        <v>0.18891083849428378</v>
      </c>
      <c r="N324" s="95">
        <f ca="1">IF(B324=TODAY(),0,-$N$6*(Sheet1!CJ326-Sheet1!CJ325)*7.48/1000000)</f>
        <v>4.9641876315699163E-2</v>
      </c>
      <c r="O324" s="95">
        <f t="shared" ca="1" si="35"/>
        <v>0.65100086637772758</v>
      </c>
      <c r="P324" s="95">
        <f ca="1">O324+Calculation!ES324</f>
        <v>3.1421122019963463</v>
      </c>
      <c r="Q324" s="90" t="str">
        <f>IF(Sheet1!BQ326&gt;25.75,"spill elevation","-")</f>
        <v>-</v>
      </c>
      <c r="R324" s="90" t="str">
        <f>IF(Sheet1!BQ326&gt;25.75,"spill elevation","-")</f>
        <v>-</v>
      </c>
      <c r="S324" s="90" t="str">
        <f>IF(Sheet1!BR326&gt;25.75,"spill elevation","-")</f>
        <v>-</v>
      </c>
      <c r="T324" s="94">
        <f>IF(Sheet1!DU326=1,Sheet1!AA326-(SUM(AT324:BA324)+BE324),Sheet1!AA326-SUM(AT324:BA324))</f>
        <v>17.647423999999997</v>
      </c>
      <c r="U324" s="94">
        <f>Sheet1!BV326</f>
        <v>25.4</v>
      </c>
      <c r="V324" s="94">
        <f t="shared" si="36"/>
        <v>-7.7525760000000012</v>
      </c>
      <c r="W324" s="94">
        <f>0</f>
        <v>0</v>
      </c>
      <c r="X324" s="90">
        <f>0</f>
        <v>0</v>
      </c>
      <c r="Y324" s="95">
        <f ca="1">Calculation!EJ325+Calculation!ES324+'Calculations II'!O324-'Calculations II'!W324</f>
        <v>57.542112201996346</v>
      </c>
      <c r="Z324" s="95">
        <f ca="1">Y324-Sheet1!CT327</f>
        <v>40.477112201996349</v>
      </c>
      <c r="AA324" s="95">
        <f ca="1">Y324+Calculation!DJ325+Calculation!AS325</f>
        <v>67.583076757487333</v>
      </c>
      <c r="AC324" s="95">
        <f>Sheet1!AA326+Sheet1!AB326+BC324</f>
        <v>51.9</v>
      </c>
      <c r="AD324" s="95">
        <f>Sheet1!AA326+Sheet1!BN326+'Calculations II'!BC324-Calculation!AS324-Calculation!DJ324</f>
        <v>32.177348461299346</v>
      </c>
      <c r="AE324" s="95">
        <f>Sheet1!AA326+Sheet1!AB326+'Calculations II'!BC324-Calculation!AS324-Calculation!DJ324</f>
        <v>41.97734846129935</v>
      </c>
      <c r="AF324" s="95">
        <f ca="1">Sheet1!AA326+Sheet1!BN326+P324+'Calculations II'!BC324+Calculation!AS324+Calculation!DJ324</f>
        <v>55.164763740696991</v>
      </c>
      <c r="AG324" s="95">
        <f ca="1">IF(B324=TODAY(),0,Sheet1!AA326+Sheet1!BN326+'Calculations II'!BC324+'Calculations II'!P324-Sheet1!CT326-BP324)</f>
        <v>27.612112201996343</v>
      </c>
      <c r="AH324" s="95">
        <f ca="1">IF(B324=TODAY(),0,Sheet1!AA326+Sheet1!BN326+'Calculations II'!BC324+'Calculations II'!P324-BP324)</f>
        <v>45.242112201996342</v>
      </c>
      <c r="AI324" s="95">
        <f ca="1">IF(B324=TODAY(),0,BC324+Sheet1!AA326+Calculation!ES324+O324+W324+Sheet1!BN326+Calculation!AS324+Calculation!DJ324-BP324)</f>
        <v>55.164763740696998</v>
      </c>
      <c r="AJ324" s="95"/>
      <c r="AM324" s="91">
        <f t="shared" si="37"/>
        <v>41952</v>
      </c>
      <c r="AN324" s="95">
        <f>Sheet1!BU326</f>
        <v>19.2</v>
      </c>
      <c r="AO324" s="95">
        <f>Sheet1!AA326</f>
        <v>19.899999999999999</v>
      </c>
      <c r="AP324" s="95">
        <f t="shared" si="32"/>
        <v>-2.6314999999999982</v>
      </c>
      <c r="AQ324" s="1055">
        <f>((Sheet1!BV326-(Sheet1!BU326-AP324))/(Sheet1!BU326-AP324))</f>
        <v>0.16345647344433503</v>
      </c>
      <c r="AR324" s="95">
        <f t="shared" si="33"/>
        <v>22.531499999999998</v>
      </c>
      <c r="AS324" s="95">
        <f t="shared" si="34"/>
        <v>21.831499999999998</v>
      </c>
      <c r="AT324" s="90">
        <f>Sheet1!BB326</f>
        <v>1.01</v>
      </c>
      <c r="AU324" s="90">
        <f>Sheet1!AS326*GPMtoMGD</f>
        <v>1.6272000000000002E-2</v>
      </c>
      <c r="AV324" s="95">
        <f>Sheet1!AT326</f>
        <v>0</v>
      </c>
      <c r="AW324" s="90">
        <f>Sheet1!AV326*GPMtoMGD</f>
        <v>0.40219200000000005</v>
      </c>
      <c r="AX324" s="90">
        <f>Sheet1!AW326*GPMtoMGD</f>
        <v>0.82411199999999996</v>
      </c>
      <c r="AY324" s="90">
        <f>Sheet1!AX326*GPMtoMGD</f>
        <v>0</v>
      </c>
      <c r="AZ324" s="90">
        <f>Sheet1!AY326*GPMtoMGD</f>
        <v>0</v>
      </c>
      <c r="BA324" s="90">
        <f>Sheet1!AZ326*GPMtoMGD</f>
        <v>0</v>
      </c>
      <c r="BB324" s="90">
        <f>Sheet1!BP326*GPMtoMGD</f>
        <v>0.42192000000000002</v>
      </c>
      <c r="BC324" s="90">
        <f>Sheet1!CS326*GPMtoMGD</f>
        <v>0</v>
      </c>
      <c r="BD324" s="90">
        <f>Sheet1!BO326*GPMtoMGD</f>
        <v>0.95443199999999995</v>
      </c>
      <c r="BE324" s="90">
        <f>Sheet1!BW326*GPMtoMGD</f>
        <v>0.65448000000000006</v>
      </c>
      <c r="BF324" s="90">
        <f>Sheet1!CN326*GPMtoMGD</f>
        <v>0.76175999999999999</v>
      </c>
      <c r="BG324" s="90">
        <f>Sheet1!CO326*GPMtoMGD</f>
        <v>0.48600000000000004</v>
      </c>
      <c r="BH324" s="90">
        <f>Sheet1!CP326*GPMtoMGD</f>
        <v>0.75686400000000009</v>
      </c>
      <c r="BI324" s="90">
        <f t="shared" si="38"/>
        <v>1.376352</v>
      </c>
      <c r="BK324" s="95">
        <f>SUM(AT324:BA324,BE324,Sheet1!BV326,'Calculations II'!BC324,Calculation!AQ324)</f>
        <v>50.389741732048492</v>
      </c>
      <c r="BM324" s="373">
        <f>0</f>
        <v>0</v>
      </c>
      <c r="BN324" s="373">
        <f>0</f>
        <v>0</v>
      </c>
      <c r="BP324" s="95">
        <f>SUM(BM324:BN324,W324,Sheet1!DX326)</f>
        <v>0</v>
      </c>
    </row>
    <row r="325" spans="1:68" s="90" customFormat="1">
      <c r="A325" s="651" t="s">
        <v>4</v>
      </c>
      <c r="B325" s="92">
        <v>41953</v>
      </c>
      <c r="C325" s="93">
        <v>0</v>
      </c>
      <c r="D325" s="95">
        <f>(Sheet1!BQ327-Sheet1!BQ326)*1.385</f>
        <v>0.65094999999999847</v>
      </c>
      <c r="E325" s="30">
        <f>(Sheet1!BR327-Sheet1!BR326)*1.385</f>
        <v>0.66480000000000061</v>
      </c>
      <c r="F325" s="30">
        <f ca="1">IF(B325=TODAY(),0,-(VLOOKUP(Sheet1!CD327,Lookup!$I$4:$J$216,2)-VLOOKUP(Sheet1!CD326,Lookup!$I$4:$J$216,2))/1000000)</f>
        <v>0.10363693854779936</v>
      </c>
      <c r="G325" s="95">
        <f ca="1">IF(B325=TODAY(),0,-$G$6*(Sheet1!CF327-Sheet1!CF326)*7.48/1000000)</f>
        <v>0.15885400421023804</v>
      </c>
      <c r="H325" s="95">
        <f ca="1">IF(B325=TODAY(),0,-$H$6*(Sheet1!CE327-Sheet1!CE326)*7.48/1000000)</f>
        <v>-0.25567034997150645</v>
      </c>
      <c r="I325" s="95">
        <f ca="1">IF(B325=TODAY(),0,-$I$6*(Sheet1!CG327-Sheet1!CG326)*7.48/1000000)</f>
        <v>0.13567313759999999</v>
      </c>
      <c r="J325" s="96" t="s">
        <v>186</v>
      </c>
      <c r="K325" s="95">
        <f ca="1">IF(B325=TODAY(),0,-$K$6*(Sheet1!CH327-Sheet1!CH326)*7.48/1000000)</f>
        <v>0.21455891605756186</v>
      </c>
      <c r="L325" s="96" t="s">
        <v>186</v>
      </c>
      <c r="M325" s="95">
        <f ca="1">IF(B325=TODAY(),0,-$M$6*(Sheet1!CI327-Sheet1!CI326)*7.48/1000000)</f>
        <v>0.74664759976312267</v>
      </c>
      <c r="N325" s="95">
        <f ca="1">IF(B325=TODAY(),0,-$N$6*(Sheet1!CJ327-Sheet1!CJ326)*7.48/1000000)</f>
        <v>6.2052345394623676E-2</v>
      </c>
      <c r="O325" s="95">
        <f t="shared" ca="1" si="35"/>
        <v>1.1657525916018392</v>
      </c>
      <c r="P325" s="95">
        <f ca="1">O325+Calculation!ES325</f>
        <v>-7.9681358513089107E-2</v>
      </c>
      <c r="Q325" s="90" t="str">
        <f>IF(Sheet1!BQ327&gt;25.75,"spill elevation","-")</f>
        <v>-</v>
      </c>
      <c r="R325" s="90" t="str">
        <f>IF(Sheet1!BQ327&gt;25.75,"spill elevation","-")</f>
        <v>-</v>
      </c>
      <c r="S325" s="90" t="str">
        <f>IF(Sheet1!BR327&gt;25.75,"spill elevation","-")</f>
        <v>-</v>
      </c>
      <c r="T325" s="94">
        <f>IF(Sheet1!DU327=1,Sheet1!AA327-(SUM(AT325:BA325)+BE325),Sheet1!AA327-SUM(AT325:BA325))</f>
        <v>17.856287999999999</v>
      </c>
      <c r="U325" s="94">
        <f>Sheet1!BV327</f>
        <v>21.7</v>
      </c>
      <c r="V325" s="94">
        <f t="shared" si="36"/>
        <v>-3.843712</v>
      </c>
      <c r="W325" s="94">
        <f>0</f>
        <v>0</v>
      </c>
      <c r="X325" s="90">
        <f>0</f>
        <v>0</v>
      </c>
      <c r="Y325" s="95">
        <f ca="1">Calculation!EJ326+Calculation!ES325+'Calculations II'!O325-'Calculations II'!W325</f>
        <v>55.91031864148691</v>
      </c>
      <c r="Z325" s="95">
        <f ca="1">Y325-Sheet1!CT328</f>
        <v>39.34331864148691</v>
      </c>
      <c r="AA325" s="95">
        <f ca="1">Y325+Calculation!DJ326+Calculation!AS326</f>
        <v>65.884759347962941</v>
      </c>
      <c r="AC325" s="95">
        <f>Sheet1!AA327+Sheet1!AB327+BC325</f>
        <v>54.4</v>
      </c>
      <c r="AD325" s="95">
        <f>Sheet1!AA327+Sheet1!BN327+'Calculations II'!BC325-Calculation!AS325-Calculation!DJ325</f>
        <v>34.259035444509003</v>
      </c>
      <c r="AE325" s="95">
        <f>Sheet1!AA327+Sheet1!AB327+'Calculations II'!BC325-Calculation!AS325-Calculation!DJ325</f>
        <v>44.359035444509004</v>
      </c>
      <c r="AF325" s="95">
        <f ca="1">Sheet1!AA327+Sheet1!BN327+P325+'Calculations II'!BC325+Calculation!AS325+Calculation!DJ325</f>
        <v>54.261283196977899</v>
      </c>
      <c r="AG325" s="95">
        <f ca="1">IF(B325=TODAY(),0,Sheet1!AA327+Sheet1!BN327+'Calculations II'!BC325+'Calculations II'!P325-Sheet1!CT327-BP325)</f>
        <v>27.155318641486904</v>
      </c>
      <c r="AH325" s="95">
        <f ca="1">IF(B325=TODAY(),0,Sheet1!AA327+Sheet1!BN327+'Calculations II'!BC325+'Calculations II'!P325-BP325)</f>
        <v>44.220318641486905</v>
      </c>
      <c r="AI325" s="95">
        <f ca="1">IF(B325=TODAY(),0,BC325+Sheet1!AA327+Calculation!ES325+O325+W325+Sheet1!BN327+Calculation!AS325+Calculation!DJ325-BP325)</f>
        <v>54.261283196977907</v>
      </c>
      <c r="AJ325" s="95"/>
      <c r="AM325" s="91">
        <f t="shared" si="37"/>
        <v>41953</v>
      </c>
      <c r="AN325" s="95">
        <f>Sheet1!BU327</f>
        <v>19.5</v>
      </c>
      <c r="AO325" s="95">
        <f>Sheet1!AA327</f>
        <v>19.899999999999999</v>
      </c>
      <c r="AP325" s="95">
        <f t="shared" si="32"/>
        <v>1.3157499999999991</v>
      </c>
      <c r="AQ325" s="1055">
        <f>((Sheet1!BV327-(Sheet1!BU327-AP325))/(Sheet1!BU327-AP325))</f>
        <v>0.19334039072274065</v>
      </c>
      <c r="AR325" s="95">
        <f t="shared" si="33"/>
        <v>18.584250000000001</v>
      </c>
      <c r="AS325" s="95">
        <f t="shared" si="34"/>
        <v>18.184250000000002</v>
      </c>
      <c r="AT325" s="90">
        <f>Sheet1!BB327</f>
        <v>1</v>
      </c>
      <c r="AU325" s="90">
        <f>Sheet1!AS327*GPMtoMGD</f>
        <v>1.4832000000000001E-2</v>
      </c>
      <c r="AV325" s="95">
        <f>Sheet1!AT327</f>
        <v>0</v>
      </c>
      <c r="AW325" s="90">
        <f>Sheet1!AV327*GPMtoMGD</f>
        <v>0.30484800000000001</v>
      </c>
      <c r="AX325" s="90">
        <f>Sheet1!AW327*GPMtoMGD</f>
        <v>0.72403200000000001</v>
      </c>
      <c r="AY325" s="90">
        <f>Sheet1!AX327*GPMtoMGD</f>
        <v>0</v>
      </c>
      <c r="AZ325" s="90">
        <f>Sheet1!AY327*GPMtoMGD</f>
        <v>0</v>
      </c>
      <c r="BA325" s="90">
        <f>Sheet1!AZ327*GPMtoMGD</f>
        <v>0</v>
      </c>
      <c r="BB325" s="90">
        <f>Sheet1!BP327*GPMtoMGD</f>
        <v>0.21326400000000001</v>
      </c>
      <c r="BC325" s="90">
        <f>Sheet1!CS327*GPMtoMGD</f>
        <v>0</v>
      </c>
      <c r="BD325" s="90">
        <f>Sheet1!BO327*GPMtoMGD</f>
        <v>0.35697600000000002</v>
      </c>
      <c r="BE325" s="90">
        <f>Sheet1!BW327*GPMtoMGD</f>
        <v>0.69667200000000007</v>
      </c>
      <c r="BF325" s="90">
        <f>Sheet1!CN327*GPMtoMGD</f>
        <v>0.41212799999999999</v>
      </c>
      <c r="BG325" s="90">
        <f>Sheet1!CO327*GPMtoMGD</f>
        <v>0.43632000000000004</v>
      </c>
      <c r="BH325" s="90">
        <f>Sheet1!CP327*GPMtoMGD</f>
        <v>0.82512000000000008</v>
      </c>
      <c r="BI325" s="90">
        <f t="shared" si="38"/>
        <v>0.57024000000000008</v>
      </c>
      <c r="BK325" s="95">
        <f>SUM(AT325:BA325,BE325,Sheet1!BV327,'Calculations II'!BC325,Calculation!AQ325)</f>
        <v>48.897095214410221</v>
      </c>
      <c r="BM325" s="373">
        <f>0</f>
        <v>0</v>
      </c>
      <c r="BN325" s="373">
        <f>0</f>
        <v>0</v>
      </c>
      <c r="BP325" s="95">
        <f>SUM(BM325:BN325,W325,Sheet1!DX327)</f>
        <v>0</v>
      </c>
    </row>
    <row r="326" spans="1:68" s="90" customFormat="1">
      <c r="A326" s="651" t="s">
        <v>5</v>
      </c>
      <c r="B326" s="92">
        <v>41954</v>
      </c>
      <c r="C326" s="93">
        <v>0</v>
      </c>
      <c r="D326" s="95">
        <f>(Sheet1!BQ328-Sheet1!BQ327)*1.385</f>
        <v>0.34625</v>
      </c>
      <c r="E326" s="30">
        <f>(Sheet1!BR328-Sheet1!BR327)*1.385</f>
        <v>0.36010000000000214</v>
      </c>
      <c r="F326" s="30">
        <f ca="1">IF(B326=TODAY(),0,-(VLOOKUP(Sheet1!CD328,Lookup!$I$4:$J$216,2)-VLOOKUP(Sheet1!CD327,Lookup!$I$4:$J$216,2))/1000000)</f>
        <v>-0.31091081564339806</v>
      </c>
      <c r="G326" s="95">
        <f ca="1">IF(B326=TODAY(),0,-$G$6*(Sheet1!CF328-Sheet1!CF327)*7.48/1000000)</f>
        <v>-7.9427002105118313E-2</v>
      </c>
      <c r="H326" s="95">
        <f ca="1">IF(B326=TODAY(),0,-$H$6*(Sheet1!CE328-Sheet1!CE327)*7.48/1000000)</f>
        <v>0.18047318821518116</v>
      </c>
      <c r="I326" s="95">
        <f ca="1">IF(B326=TODAY(),0,-$I$6*(Sheet1!CG328-Sheet1!CG327)*7.48/1000000)</f>
        <v>-8.9849760000000015E-2</v>
      </c>
      <c r="J326" s="96" t="s">
        <v>186</v>
      </c>
      <c r="K326" s="95">
        <f ca="1">IF(B326=TODAY(),0,-$K$6*(Sheet1!CH328-Sheet1!CH327)*7.48/1000000)</f>
        <v>-0.15458903268743587</v>
      </c>
      <c r="L326" s="96" t="s">
        <v>186</v>
      </c>
      <c r="M326" s="95">
        <f ca="1">IF(B326=TODAY(),0,-$M$6*(Sheet1!CI328-Sheet1!CI327)*7.48/1000000)</f>
        <v>-0.41380469384462221</v>
      </c>
      <c r="N326" s="95">
        <f ca="1">IF(B326=TODAY(),0,-$N$6*(Sheet1!CJ328-Sheet1!CJ327)*7.48/1000000)</f>
        <v>-0.16754133256548429</v>
      </c>
      <c r="O326" s="95">
        <f t="shared" ca="1" si="35"/>
        <v>-1.0356494486308776</v>
      </c>
      <c r="P326" s="95">
        <f ca="1">O326+Calculation!ES326</f>
        <v>-1.7276568488839201</v>
      </c>
      <c r="Q326" s="90" t="str">
        <f>IF(Sheet1!BQ328&gt;25.75,"spill elevation","-")</f>
        <v>-</v>
      </c>
      <c r="R326" s="90" t="str">
        <f>IF(Sheet1!BQ328&gt;25.75,"spill elevation","-")</f>
        <v>-</v>
      </c>
      <c r="S326" s="90" t="str">
        <f>IF(Sheet1!BR328&gt;25.75,"spill elevation","-")</f>
        <v>-</v>
      </c>
      <c r="T326" s="94">
        <f>IF(Sheet1!DU328=1,Sheet1!AA328-(SUM(AT326:BA326)+BE326),Sheet1!AA328-SUM(AT326:BA326))</f>
        <v>17.645759999999999</v>
      </c>
      <c r="U326" s="94">
        <f>Sheet1!BV328</f>
        <v>22</v>
      </c>
      <c r="V326" s="94">
        <f t="shared" si="36"/>
        <v>-4.3542400000000008</v>
      </c>
      <c r="W326" s="94">
        <f>0</f>
        <v>0</v>
      </c>
      <c r="X326" s="90">
        <f>0</f>
        <v>0</v>
      </c>
      <c r="Y326" s="95">
        <f ca="1">Calculation!EJ327+Calculation!ES326+'Calculations II'!O326-'Calculations II'!W326</f>
        <v>52.639959151116081</v>
      </c>
      <c r="Z326" s="95">
        <f ca="1">Y326-Sheet1!CT329</f>
        <v>35.220959151116077</v>
      </c>
      <c r="AA326" s="95">
        <f ca="1">Y326+Calculation!DJ327+Calculation!AS327</f>
        <v>62.492130868287802</v>
      </c>
      <c r="AC326" s="95">
        <f>Sheet1!AA328+Sheet1!AB328+BC326</f>
        <v>55.99</v>
      </c>
      <c r="AD326" s="95">
        <f>Sheet1!AA328+Sheet1!BN328+'Calculations II'!BC326-Calculation!AS326-Calculation!DJ326</f>
        <v>35.725559293523972</v>
      </c>
      <c r="AE326" s="95">
        <f>Sheet1!AA328+Sheet1!AB328+'Calculations II'!BC326-Calculation!AS326-Calculation!DJ326</f>
        <v>46.015559293523971</v>
      </c>
      <c r="AF326" s="95">
        <f ca="1">Sheet1!AA328+Sheet1!BN328+P326+'Calculations II'!BC326+Calculation!AS326+Calculation!DJ326</f>
        <v>53.946783857592116</v>
      </c>
      <c r="AG326" s="95">
        <f ca="1">IF(B326=TODAY(),0,Sheet1!AA328+Sheet1!BN328+'Calculations II'!BC326+'Calculations II'!P326-Sheet1!CT328-BP326)</f>
        <v>27.405343151116085</v>
      </c>
      <c r="AH326" s="95">
        <f ca="1">IF(B326=TODAY(),0,Sheet1!AA328+Sheet1!BN328+'Calculations II'!BC326+'Calculations II'!P326-BP326)</f>
        <v>43.972343151116085</v>
      </c>
      <c r="AI326" s="95">
        <f ca="1">IF(B326=TODAY(),0,BC326+Sheet1!AA328+Calculation!ES326+O326+W326+Sheet1!BN328+Calculation!AS326+Calculation!DJ326-BP326)</f>
        <v>53.946783857592109</v>
      </c>
      <c r="AJ326" s="95"/>
      <c r="AM326" s="91">
        <f t="shared" si="37"/>
        <v>41954</v>
      </c>
      <c r="AN326" s="95">
        <f>Sheet1!BU328</f>
        <v>19.3</v>
      </c>
      <c r="AO326" s="95">
        <f>Sheet1!AA328</f>
        <v>19.899999999999999</v>
      </c>
      <c r="AP326" s="95">
        <f t="shared" si="32"/>
        <v>0.70635000000000214</v>
      </c>
      <c r="AQ326" s="1055">
        <f>((Sheet1!BV328-(Sheet1!BU328-AP326))/(Sheet1!BU328-AP326))</f>
        <v>0.18319964073756362</v>
      </c>
      <c r="AR326" s="95">
        <f t="shared" si="33"/>
        <v>19.193649999999998</v>
      </c>
      <c r="AS326" s="95">
        <f t="shared" si="34"/>
        <v>18.59365</v>
      </c>
      <c r="AT326" s="90">
        <f>Sheet1!BB328</f>
        <v>1</v>
      </c>
      <c r="AU326" s="90">
        <f>Sheet1!AS328*GPMtoMGD</f>
        <v>3.9168000000000001E-2</v>
      </c>
      <c r="AV326" s="95">
        <f>Sheet1!AT328</f>
        <v>0</v>
      </c>
      <c r="AW326" s="90">
        <f>Sheet1!AV328*GPMtoMGD</f>
        <v>0.40017599999999998</v>
      </c>
      <c r="AX326" s="90">
        <f>Sheet1!AW328*GPMtoMGD</f>
        <v>0.81489600000000006</v>
      </c>
      <c r="AY326" s="90">
        <f>Sheet1!AX328*GPMtoMGD</f>
        <v>0</v>
      </c>
      <c r="AZ326" s="90">
        <f>Sheet1!AY328*GPMtoMGD</f>
        <v>0</v>
      </c>
      <c r="BA326" s="90">
        <f>Sheet1!AZ328*GPMtoMGD</f>
        <v>0</v>
      </c>
      <c r="BB326" s="90">
        <f>Sheet1!BP328*GPMtoMGD</f>
        <v>0.69811200000000007</v>
      </c>
      <c r="BC326" s="90">
        <f>Sheet1!CS328*GPMtoMGD</f>
        <v>0</v>
      </c>
      <c r="BD326" s="90">
        <f>Sheet1!BO328*GPMtoMGD</f>
        <v>1.3227840000000002</v>
      </c>
      <c r="BE326" s="90">
        <f>Sheet1!BW328*GPMtoMGD</f>
        <v>0.84945599999999999</v>
      </c>
      <c r="BF326" s="90">
        <f>Sheet1!CN328*GPMtoMGD</f>
        <v>0.99748800000000015</v>
      </c>
      <c r="BG326" s="90">
        <f>Sheet1!CO328*GPMtoMGD</f>
        <v>1.2201120000000001</v>
      </c>
      <c r="BH326" s="90">
        <f>Sheet1!CP328*GPMtoMGD</f>
        <v>0.80971199999999999</v>
      </c>
      <c r="BI326" s="90">
        <f t="shared" si="38"/>
        <v>2.0208960000000005</v>
      </c>
      <c r="BK326" s="95">
        <f>SUM(AT326:BA326,BE326,Sheet1!BV328,'Calculations II'!BC326,Calculation!AQ326)</f>
        <v>51.207480693019349</v>
      </c>
      <c r="BM326" s="373">
        <f>0</f>
        <v>0</v>
      </c>
      <c r="BN326" s="373">
        <f>0</f>
        <v>0</v>
      </c>
      <c r="BP326" s="95">
        <f>SUM(BM326:BN326,W326,Sheet1!DX328)</f>
        <v>0</v>
      </c>
    </row>
    <row r="327" spans="1:68" s="90" customFormat="1">
      <c r="A327" s="651" t="s">
        <v>6</v>
      </c>
      <c r="B327" s="92">
        <v>41955</v>
      </c>
      <c r="C327" s="93">
        <v>0</v>
      </c>
      <c r="D327" s="95">
        <f>(Sheet1!BQ329-Sheet1!BQ328)*1.385</f>
        <v>0.1246499999999998</v>
      </c>
      <c r="E327" s="30">
        <f>(Sheet1!BR329-Sheet1!BR328)*1.385</f>
        <v>0.1246499999999998</v>
      </c>
      <c r="F327" s="30">
        <f ca="1">IF(B327=TODAY(),0,-(VLOOKUP(Sheet1!CD329,Lookup!$I$4:$J$216,2)-VLOOKUP(Sheet1!CD328,Lookup!$I$4:$J$216,2))/1000000)</f>
        <v>0.62182163128679613</v>
      </c>
      <c r="G327" s="95">
        <f ca="1">IF(B327=TODAY(),0,-$G$6*(Sheet1!CF329-Sheet1!CF328)*7.48/1000000)</f>
        <v>0.23828100631535493</v>
      </c>
      <c r="H327" s="95">
        <f ca="1">IF(B327=TODAY(),0,-$H$6*(Sheet1!CE329-Sheet1!CE328)*7.48/1000000)</f>
        <v>-9.0236594107590579E-2</v>
      </c>
      <c r="I327" s="95">
        <f ca="1">IF(B327=TODAY(),0,-$I$6*(Sheet1!CG329-Sheet1!CG328)*7.48/1000000)</f>
        <v>-8.5357272000000012E-2</v>
      </c>
      <c r="J327" s="96" t="s">
        <v>186</v>
      </c>
      <c r="K327" s="95">
        <f ca="1">IF(B327=TODAY(),0,-$K$6*(Sheet1!CH329-Sheet1!CH328)*7.48/1000000)</f>
        <v>-0.14659304823808569</v>
      </c>
      <c r="L327" s="96" t="s">
        <v>186</v>
      </c>
      <c r="M327" s="95">
        <f ca="1">IF(B327=TODAY(),0,-$M$6*(Sheet1!CI329-Sheet1!CI328)*7.48/1000000)</f>
        <v>-0.41380469384462221</v>
      </c>
      <c r="N327" s="95">
        <f ca="1">IF(B327=TODAY(),0,-$N$6*(Sheet1!CJ329-Sheet1!CJ328)*7.48/1000000)</f>
        <v>0.34749313420989419</v>
      </c>
      <c r="O327" s="95">
        <f t="shared" ca="1" si="35"/>
        <v>0.47160416362174673</v>
      </c>
      <c r="P327" s="95">
        <f ca="1">O327+Calculation!ES327</f>
        <v>0.19477557770816312</v>
      </c>
      <c r="Q327" s="90" t="str">
        <f>IF(Sheet1!BQ329&gt;25.75,"spill elevation","-")</f>
        <v>-</v>
      </c>
      <c r="R327" s="90" t="str">
        <f>IF(Sheet1!BQ329&gt;25.75,"spill elevation","-")</f>
        <v>-</v>
      </c>
      <c r="S327" s="90" t="str">
        <f>IF(Sheet1!BR329&gt;25.75,"spill elevation","-")</f>
        <v>-</v>
      </c>
      <c r="T327" s="94">
        <f>IF(Sheet1!DU329=1,Sheet1!AA329-(SUM(AT327:BA327)+BE327),Sheet1!AA329-SUM(AT327:BA327))</f>
        <v>18.069744</v>
      </c>
      <c r="U327" s="94">
        <f>Sheet1!BV329</f>
        <v>22.6</v>
      </c>
      <c r="V327" s="94">
        <f t="shared" si="36"/>
        <v>-4.5302560000000014</v>
      </c>
      <c r="W327" s="94">
        <f>0</f>
        <v>0</v>
      </c>
      <c r="X327" s="90">
        <f>0</f>
        <v>0</v>
      </c>
      <c r="Y327" s="95">
        <f ca="1">Calculation!EJ328+Calculation!ES327+'Calculations II'!O327-'Calculations II'!W327</f>
        <v>56.23999157770816</v>
      </c>
      <c r="Z327" s="95">
        <f ca="1">Y327-Sheet1!CT330</f>
        <v>40.003991577708163</v>
      </c>
      <c r="AA327" s="95">
        <f ca="1">Y327+Calculation!DJ328+Calculation!AS328</f>
        <v>66.233173152426957</v>
      </c>
      <c r="AC327" s="95">
        <f>Sheet1!AA329+Sheet1!AB329+BC327</f>
        <v>54.367615999999998</v>
      </c>
      <c r="AD327" s="95">
        <f>Sheet1!AA329+Sheet1!BN329+'Calculations II'!BC327-Calculation!AS327-Calculation!DJ327</f>
        <v>34.505444282828293</v>
      </c>
      <c r="AE327" s="95">
        <f>Sheet1!AA329+Sheet1!AB329+'Calculations II'!BC327-Calculation!AS327-Calculation!DJ327</f>
        <v>44.515444282828284</v>
      </c>
      <c r="AF327" s="95">
        <f ca="1">Sheet1!AA329+Sheet1!BN329+P327+'Calculations II'!BC327+Calculation!AS327+Calculation!DJ327</f>
        <v>54.404563294879878</v>
      </c>
      <c r="AG327" s="95">
        <f ca="1">IF(B327=TODAY(),0,Sheet1!AA329+Sheet1!BN329+'Calculations II'!BC327+'Calculations II'!P327-Sheet1!CT329-BP327)</f>
        <v>27.133391577708171</v>
      </c>
      <c r="AH327" s="95">
        <f ca="1">IF(B327=TODAY(),0,Sheet1!AA329+Sheet1!BN329+'Calculations II'!BC327+'Calculations II'!P327-BP327)</f>
        <v>44.552391577708171</v>
      </c>
      <c r="AI327" s="95">
        <f ca="1">IF(B327=TODAY(),0,BC327+Sheet1!AA329+Calculation!ES327+O327+W327+Sheet1!BN329+Calculation!AS327+Calculation!DJ327-BP327)</f>
        <v>54.404563294879878</v>
      </c>
      <c r="AJ327" s="95"/>
      <c r="AM327" s="91">
        <f t="shared" si="37"/>
        <v>41955</v>
      </c>
      <c r="AN327" s="95">
        <f>Sheet1!BU329</f>
        <v>19.600000000000001</v>
      </c>
      <c r="AO327" s="95">
        <f>Sheet1!AA329</f>
        <v>20.2</v>
      </c>
      <c r="AP327" s="95">
        <f t="shared" si="32"/>
        <v>0.24929999999999961</v>
      </c>
      <c r="AQ327" s="1055">
        <f>((Sheet1!BV329-(Sheet1!BU329-AP327))/(Sheet1!BU329-AP327))</f>
        <v>0.1679164061248429</v>
      </c>
      <c r="AR327" s="95">
        <f t="shared" si="33"/>
        <v>19.950700000000001</v>
      </c>
      <c r="AS327" s="95">
        <f t="shared" si="34"/>
        <v>19.350700000000003</v>
      </c>
      <c r="AT327" s="90">
        <f>Sheet1!BB329</f>
        <v>1</v>
      </c>
      <c r="AU327" s="90">
        <f>Sheet1!AS329*GPMtoMGD</f>
        <v>6.4944000000000002E-2</v>
      </c>
      <c r="AV327" s="95">
        <f>Sheet1!AT329</f>
        <v>0</v>
      </c>
      <c r="AW327" s="90">
        <f>Sheet1!AV329*GPMtoMGD</f>
        <v>0.33897600000000006</v>
      </c>
      <c r="AX327" s="90">
        <f>Sheet1!AW329*GPMtoMGD</f>
        <v>0.72633599999999998</v>
      </c>
      <c r="AY327" s="90">
        <f>Sheet1!AX329*GPMtoMGD</f>
        <v>0</v>
      </c>
      <c r="AZ327" s="90">
        <f>Sheet1!AY329*GPMtoMGD</f>
        <v>0</v>
      </c>
      <c r="BA327" s="90">
        <f>Sheet1!AZ329*GPMtoMGD</f>
        <v>0</v>
      </c>
      <c r="BB327" s="90">
        <f>Sheet1!BP329*GPMtoMGD</f>
        <v>0.58478400000000008</v>
      </c>
      <c r="BC327" s="90">
        <f>Sheet1!CS329*GPMtoMGD</f>
        <v>10.157616000000001</v>
      </c>
      <c r="BD327" s="90">
        <f>Sheet1!BO329*GPMtoMGD</f>
        <v>1.3917600000000001</v>
      </c>
      <c r="BE327" s="90">
        <f>Sheet1!BW329*GPMtoMGD</f>
        <v>0.92908800000000014</v>
      </c>
      <c r="BF327" s="90">
        <f>Sheet1!CN329*GPMtoMGD</f>
        <v>0.53870400000000007</v>
      </c>
      <c r="BG327" s="90">
        <f>Sheet1!CO329*GPMtoMGD</f>
        <v>0.41472000000000003</v>
      </c>
      <c r="BH327" s="90">
        <f>Sheet1!CP329*GPMtoMGD</f>
        <v>0.80035199999999995</v>
      </c>
      <c r="BI327" s="90">
        <f t="shared" si="38"/>
        <v>1.9765440000000001</v>
      </c>
      <c r="BK327" s="95">
        <f>SUM(AT327:BA327,BE327,Sheet1!BV329,'Calculations II'!BC327,Calculation!AQ327)</f>
        <v>49.964266397306403</v>
      </c>
      <c r="BM327" s="373">
        <f>0</f>
        <v>0</v>
      </c>
      <c r="BN327" s="373">
        <f>0</f>
        <v>0</v>
      </c>
      <c r="BP327" s="95">
        <f>SUM(BM327:BN327,W327,Sheet1!DX329)</f>
        <v>0</v>
      </c>
    </row>
    <row r="328" spans="1:68" s="90" customFormat="1">
      <c r="A328" s="651" t="s">
        <v>7</v>
      </c>
      <c r="B328" s="92">
        <v>41956</v>
      </c>
      <c r="C328" s="93">
        <v>0</v>
      </c>
      <c r="D328" s="95">
        <f>(Sheet1!BQ330-Sheet1!BQ329)*1.385</f>
        <v>1.1218499999999982</v>
      </c>
      <c r="E328" s="30">
        <f>(Sheet1!BR330-Sheet1!BR329)*1.385</f>
        <v>1.1218499999999982</v>
      </c>
      <c r="F328" s="30">
        <f ca="1">IF(B328=TODAY(),0,-(VLOOKUP(Sheet1!CD330,Lookup!$I$4:$J$216,2)-VLOOKUP(Sheet1!CD329,Lookup!$I$4:$J$216,2))/1000000)</f>
        <v>-0.41454775419119744</v>
      </c>
      <c r="G328" s="95">
        <f ca="1">IF(B328=TODAY(),0,-$G$6*(Sheet1!CF330-Sheet1!CF329)*7.48/1000000)</f>
        <v>0.11914050315767817</v>
      </c>
      <c r="H328" s="95">
        <f ca="1">IF(B328=TODAY(),0,-$H$6*(Sheet1!CE330-Sheet1!CE329)*7.48/1000000)</f>
        <v>-0.2707097823227706</v>
      </c>
      <c r="I328" s="95">
        <f ca="1">IF(B328=TODAY(),0,-$I$6*(Sheet1!CG330-Sheet1!CG329)*7.48/1000000)</f>
        <v>7.4126052000000012E-2</v>
      </c>
      <c r="J328" s="96" t="s">
        <v>186</v>
      </c>
      <c r="K328" s="95">
        <f ca="1">IF(B328=TODAY(),0,-$K$6*(Sheet1!CH330-Sheet1!CH329)*7.48/1000000)</f>
        <v>0.14659304823808569</v>
      </c>
      <c r="L328" s="96" t="s">
        <v>186</v>
      </c>
      <c r="M328" s="95">
        <f ca="1">IF(B328=TODAY(),0,-$M$6*(Sheet1!CI330-Sheet1!CI329)*7.48/1000000)</f>
        <v>0.25188111799237872</v>
      </c>
      <c r="N328" s="95">
        <f ca="1">IF(B328=TODAY(),0,-$N$6*(Sheet1!CJ330-Sheet1!CJ329)*7.48/1000000)</f>
        <v>-1.3651515986817264</v>
      </c>
      <c r="O328" s="95">
        <f t="shared" ca="1" si="35"/>
        <v>-1.4586684138075519</v>
      </c>
      <c r="P328" s="95">
        <f ca="1">O328+Calculation!ES328</f>
        <v>-3.6737584091920032</v>
      </c>
      <c r="Q328" s="90" t="str">
        <f>IF(Sheet1!BQ330&gt;25.75,"spill elevation","-")</f>
        <v>-</v>
      </c>
      <c r="R328" s="90" t="str">
        <f>IF(Sheet1!BQ330&gt;25.75,"spill elevation","-")</f>
        <v>-</v>
      </c>
      <c r="S328" s="90" t="str">
        <f>IF(Sheet1!BR330&gt;25.75,"spill elevation","-")</f>
        <v>-</v>
      </c>
      <c r="T328" s="94">
        <f>IF(Sheet1!DU330=1,Sheet1!AA330-(SUM(AT328:BA328)+BE328),Sheet1!AA330-SUM(AT328:BA328))</f>
        <v>18.220704000000001</v>
      </c>
      <c r="U328" s="94">
        <f>Sheet1!BV330</f>
        <v>20.6</v>
      </c>
      <c r="V328" s="94">
        <f t="shared" si="36"/>
        <v>-2.3792960000000001</v>
      </c>
      <c r="W328" s="94">
        <f>0</f>
        <v>0</v>
      </c>
      <c r="X328" s="90">
        <f>0</f>
        <v>0</v>
      </c>
      <c r="Y328" s="95">
        <f ca="1">Calculation!EJ329+Calculation!ES328+'Calculations II'!O328-'Calculations II'!W328</f>
        <v>51.660465590808002</v>
      </c>
      <c r="Z328" s="95">
        <f ca="1">Y328-Sheet1!CT331</f>
        <v>35.165465590807997</v>
      </c>
      <c r="AA328" s="95">
        <f ca="1">Y328+Calculation!DJ329+Calculation!AS329</f>
        <v>61.647486701050383</v>
      </c>
      <c r="AC328" s="95">
        <f>Sheet1!AA330+Sheet1!AB330+BC328</f>
        <v>56.045215999999996</v>
      </c>
      <c r="AD328" s="95">
        <f>Sheet1!AA330+Sheet1!BN330+'Calculations II'!BC328-Calculation!AS328-Calculation!DJ328</f>
        <v>36.242034425281204</v>
      </c>
      <c r="AE328" s="95">
        <f>Sheet1!AA330+Sheet1!AB330+'Calculations II'!BC328-Calculation!AS328-Calculation!DJ328</f>
        <v>46.0520344252812</v>
      </c>
      <c r="AF328" s="95">
        <f ca="1">Sheet1!AA330+Sheet1!BN330+P328+'Calculations II'!BC328+Calculation!AS328+Calculation!DJ328</f>
        <v>52.554639165526794</v>
      </c>
      <c r="AG328" s="95">
        <f ca="1">IF(B328=TODAY(),0,Sheet1!AA330+Sheet1!BN330+'Calculations II'!BC328+'Calculations II'!P328-Sheet1!CT330-BP328)</f>
        <v>26.325457590807996</v>
      </c>
      <c r="AH328" s="95">
        <f ca="1">IF(B328=TODAY(),0,Sheet1!AA330+Sheet1!BN330+'Calculations II'!BC328+'Calculations II'!P328-BP328)</f>
        <v>42.561457590807997</v>
      </c>
      <c r="AI328" s="95">
        <f ca="1">IF(B328=TODAY(),0,BC328+Sheet1!AA330+Calculation!ES328+O328+W328+Sheet1!BN330+Calculation!AS328+Calculation!DJ328-BP328)</f>
        <v>52.554639165526794</v>
      </c>
      <c r="AJ328" s="95"/>
      <c r="AM328" s="91">
        <f t="shared" si="37"/>
        <v>41956</v>
      </c>
      <c r="AN328" s="95">
        <f>Sheet1!BU330</f>
        <v>19.7</v>
      </c>
      <c r="AO328" s="95">
        <f>Sheet1!AA330</f>
        <v>20.32</v>
      </c>
      <c r="AP328" s="95">
        <f t="shared" si="32"/>
        <v>2.2436999999999965</v>
      </c>
      <c r="AQ328" s="1055">
        <f>((Sheet1!BV330-(Sheet1!BU330-AP328))/(Sheet1!BU330-AP328))</f>
        <v>0.18008970973230287</v>
      </c>
      <c r="AR328" s="95">
        <f t="shared" si="33"/>
        <v>18.076300000000003</v>
      </c>
      <c r="AS328" s="95">
        <f t="shared" si="34"/>
        <v>17.456300000000002</v>
      </c>
      <c r="AT328" s="90">
        <f>Sheet1!BB330</f>
        <v>1</v>
      </c>
      <c r="AU328" s="90">
        <f>Sheet1!AS330*GPMtoMGD</f>
        <v>2.9664000000000003E-2</v>
      </c>
      <c r="AV328" s="95">
        <f>Sheet1!AT330</f>
        <v>0</v>
      </c>
      <c r="AW328" s="90">
        <f>Sheet1!AV330*GPMtoMGD</f>
        <v>0.32702400000000004</v>
      </c>
      <c r="AX328" s="90">
        <f>Sheet1!AW330*GPMtoMGD</f>
        <v>0.74260800000000016</v>
      </c>
      <c r="AY328" s="90">
        <f>Sheet1!AX330*GPMtoMGD</f>
        <v>0</v>
      </c>
      <c r="AZ328" s="90">
        <f>Sheet1!AY330*GPMtoMGD</f>
        <v>0</v>
      </c>
      <c r="BA328" s="90">
        <f>Sheet1!AZ330*GPMtoMGD</f>
        <v>0</v>
      </c>
      <c r="BB328" s="90">
        <f>Sheet1!BP330*GPMtoMGD</f>
        <v>0.36417600000000006</v>
      </c>
      <c r="BC328" s="90">
        <f>Sheet1!CS330*GPMtoMGD</f>
        <v>17.415216000000001</v>
      </c>
      <c r="BD328" s="90">
        <f>Sheet1!BO330*GPMtoMGD</f>
        <v>0.72763200000000006</v>
      </c>
      <c r="BE328" s="90">
        <f>Sheet1!BW330*GPMtoMGD</f>
        <v>0.63460800000000006</v>
      </c>
      <c r="BF328" s="90">
        <f>Sheet1!CN330*GPMtoMGD</f>
        <v>0.23976000000000003</v>
      </c>
      <c r="BG328" s="90">
        <f>Sheet1!CO330*GPMtoMGD</f>
        <v>0.40579200000000004</v>
      </c>
      <c r="BH328" s="90">
        <f>Sheet1!CP330*GPMtoMGD</f>
        <v>0.82756800000000008</v>
      </c>
      <c r="BI328" s="90">
        <f t="shared" si="38"/>
        <v>1.0918080000000001</v>
      </c>
      <c r="BK328" s="95">
        <f>SUM(AT328:BA328,BE328,Sheet1!BV330,'Calculations II'!BC328,Calculation!AQ328)</f>
        <v>49.085220696304233</v>
      </c>
      <c r="BM328" s="373">
        <f>0</f>
        <v>0</v>
      </c>
      <c r="BN328" s="373">
        <f>0</f>
        <v>0</v>
      </c>
      <c r="BP328" s="95">
        <f>SUM(BM328:BN328,W328,Sheet1!DX330)</f>
        <v>0</v>
      </c>
    </row>
    <row r="329" spans="1:68" s="90" customFormat="1">
      <c r="A329" s="651" t="s">
        <v>8</v>
      </c>
      <c r="B329" s="92">
        <v>41957</v>
      </c>
      <c r="C329" s="93">
        <v>0</v>
      </c>
      <c r="D329" s="95">
        <f>(Sheet1!BQ331-Sheet1!BQ330)*1.385</f>
        <v>1.73125</v>
      </c>
      <c r="E329" s="30">
        <f>(Sheet1!BR331-Sheet1!BR330)*1.385</f>
        <v>1.6758500000000012</v>
      </c>
      <c r="F329" s="30">
        <f ca="1">IF(B329=TODAY(),0,-(VLOOKUP(Sheet1!CD331,Lookup!$I$4:$J$216,2)-VLOOKUP(Sheet1!CD330,Lookup!$I$4:$J$216,2))/1000000)</f>
        <v>-0.20727387709559872</v>
      </c>
      <c r="G329" s="95">
        <f ca="1">IF(B329=TODAY(),0,-$G$6*(Sheet1!CF331-Sheet1!CF330)*7.48/1000000)</f>
        <v>0.15885400421023663</v>
      </c>
      <c r="H329" s="95">
        <f ca="1">IF(B329=TODAY(),0,-$H$6*(Sheet1!CE331-Sheet1!CE330)*7.48/1000000)</f>
        <v>0.12031545881012005</v>
      </c>
      <c r="I329" s="95">
        <f ca="1">IF(B329=TODAY(),0,-$I$6*(Sheet1!CG331-Sheet1!CG330)*7.48/1000000)</f>
        <v>8.7603516000000006E-2</v>
      </c>
      <c r="J329" s="96" t="s">
        <v>186</v>
      </c>
      <c r="K329" s="95">
        <f ca="1">IF(B329=TODAY(),0,-$K$6*(Sheet1!CH331-Sheet1!CH330)*7.48/1000000)</f>
        <v>0.12660308711471041</v>
      </c>
      <c r="L329" s="96" t="s">
        <v>186</v>
      </c>
      <c r="M329" s="95">
        <f ca="1">IF(B329=TODAY(),0,-$M$6*(Sheet1!CI331-Sheet1!CI330)*7.48/1000000)</f>
        <v>0.50376223598475744</v>
      </c>
      <c r="N329" s="95">
        <f ca="1">IF(B329=TODAY(),0,-$N$6*(Sheet1!CJ331-Sheet1!CJ330)*7.48/1000000)</f>
        <v>1.1169422171032308</v>
      </c>
      <c r="O329" s="95">
        <f t="shared" ca="1" si="35"/>
        <v>1.9068066421274568</v>
      </c>
      <c r="P329" s="95">
        <f ca="1">O329+Calculation!ES329</f>
        <v>-1.4173662928391744</v>
      </c>
      <c r="Q329" s="90" t="str">
        <f>IF(Sheet1!BQ331&gt;25.75,"spill elevation","-")</f>
        <v>-</v>
      </c>
      <c r="R329" s="90" t="str">
        <f>IF(Sheet1!BQ331&gt;25.75,"spill elevation","-")</f>
        <v>-</v>
      </c>
      <c r="S329" s="90" t="str">
        <f>IF(Sheet1!BR331&gt;25.75,"spill elevation","-")</f>
        <v>-</v>
      </c>
      <c r="T329" s="94">
        <f>IF(Sheet1!DU331=1,Sheet1!AA331-(SUM(AT329:BA329)+BE329),Sheet1!AA331-SUM(AT329:BA329))</f>
        <v>17.419567999999998</v>
      </c>
      <c r="U329" s="94">
        <f>Sheet1!BV331</f>
        <v>18.7</v>
      </c>
      <c r="V329" s="94">
        <f t="shared" si="36"/>
        <v>-1.2804320000000011</v>
      </c>
      <c r="W329" s="94">
        <f>0</f>
        <v>0</v>
      </c>
      <c r="X329" s="90">
        <f>0</f>
        <v>0</v>
      </c>
      <c r="Y329" s="95">
        <f ca="1">Calculation!EJ330+Calculation!ES329+'Calculations II'!O329-'Calculations II'!W329</f>
        <v>50.582633707160824</v>
      </c>
      <c r="Z329" s="95">
        <f ca="1">Y329-Sheet1!CT332</f>
        <v>34.088633707160824</v>
      </c>
      <c r="AA329" s="95">
        <f ca="1">Y329+Calculation!DJ330+Calculation!AS330</f>
        <v>60.574831509358624</v>
      </c>
      <c r="AC329" s="95">
        <f>Sheet1!AA331+Sheet1!AB331+BC329</f>
        <v>55.334224000000006</v>
      </c>
      <c r="AD329" s="95">
        <f>Sheet1!AA331+Sheet1!BN331+'Calculations II'!BC329-Calculation!AS329-Calculation!DJ329</f>
        <v>35.347202889757625</v>
      </c>
      <c r="AE329" s="95">
        <f>Sheet1!AA331+Sheet1!AB331+'Calculations II'!BC329-Calculation!AS329-Calculation!DJ329</f>
        <v>45.347202889757625</v>
      </c>
      <c r="AF329" s="95">
        <f ca="1">Sheet1!AA331+Sheet1!BN331+P329+'Calculations II'!BC329+Calculation!AS329+Calculation!DJ329</f>
        <v>53.903878817403196</v>
      </c>
      <c r="AG329" s="95">
        <f ca="1">IF(B329=TODAY(),0,Sheet1!AA331+Sheet1!BN331+'Calculations II'!BC329+'Calculations II'!P329-Sheet1!CT331-BP329)</f>
        <v>27.421857707160822</v>
      </c>
      <c r="AH329" s="95">
        <f ca="1">IF(B329=TODAY(),0,Sheet1!AA331+Sheet1!BN331+'Calculations II'!BC329+'Calculations II'!P329-BP329)</f>
        <v>43.916857707160823</v>
      </c>
      <c r="AI329" s="95">
        <f ca="1">IF(B329=TODAY(),0,BC329+Sheet1!AA331+Calculation!ES329+O329+W329+Sheet1!BN331+Calculation!AS329+Calculation!DJ329-BP329)</f>
        <v>53.903878817403196</v>
      </c>
      <c r="AJ329" s="95"/>
      <c r="AM329" s="91">
        <f t="shared" si="37"/>
        <v>41957</v>
      </c>
      <c r="AN329" s="95">
        <f>Sheet1!BU331</f>
        <v>19.100000000000001</v>
      </c>
      <c r="AO329" s="95">
        <f>Sheet1!AA331</f>
        <v>20.13</v>
      </c>
      <c r="AP329" s="95">
        <f t="shared" si="32"/>
        <v>3.4071000000000011</v>
      </c>
      <c r="AQ329" s="1055">
        <f>((Sheet1!BV331-(Sheet1!BU331-AP329))/(Sheet1!BU331-AP329))</f>
        <v>0.19162168878919764</v>
      </c>
      <c r="AR329" s="95">
        <f t="shared" si="33"/>
        <v>16.722899999999999</v>
      </c>
      <c r="AS329" s="95">
        <f t="shared" si="34"/>
        <v>15.6929</v>
      </c>
      <c r="AT329" s="90">
        <f>Sheet1!BB331</f>
        <v>1</v>
      </c>
      <c r="AU329" s="90">
        <f>Sheet1!AS331*GPMtoMGD</f>
        <v>1.5696000000000002E-2</v>
      </c>
      <c r="AV329" s="95">
        <f>Sheet1!AT331</f>
        <v>0</v>
      </c>
      <c r="AW329" s="90">
        <f>Sheet1!AV331*GPMtoMGD</f>
        <v>0.54086400000000001</v>
      </c>
      <c r="AX329" s="90">
        <f>Sheet1!AW331*GPMtoMGD</f>
        <v>1.1088</v>
      </c>
      <c r="AY329" s="90">
        <f>Sheet1!AX331*GPMtoMGD</f>
        <v>4.5072000000000001E-2</v>
      </c>
      <c r="AZ329" s="90">
        <f>Sheet1!AY331*GPMtoMGD</f>
        <v>0</v>
      </c>
      <c r="BA329" s="90">
        <f>Sheet1!AZ331*GPMtoMGD</f>
        <v>0</v>
      </c>
      <c r="BB329" s="90">
        <f>Sheet1!BP331*GPMtoMGD</f>
        <v>0.29923200000000005</v>
      </c>
      <c r="BC329" s="90">
        <f>Sheet1!CS331*GPMtoMGD</f>
        <v>9.6042240000000003</v>
      </c>
      <c r="BD329" s="90">
        <f>Sheet1!BO331*GPMtoMGD</f>
        <v>0.54316799999999998</v>
      </c>
      <c r="BE329" s="90">
        <f>Sheet1!BW331*GPMtoMGD</f>
        <v>0.89539199999999997</v>
      </c>
      <c r="BF329" s="90">
        <f>Sheet1!CN331*GPMtoMGD</f>
        <v>0.34372799999999998</v>
      </c>
      <c r="BG329" s="90">
        <f>Sheet1!CO331*GPMtoMGD</f>
        <v>0.414576</v>
      </c>
      <c r="BH329" s="90">
        <f>Sheet1!CP331*GPMtoMGD</f>
        <v>0.80596800000000013</v>
      </c>
      <c r="BI329" s="90">
        <f t="shared" si="38"/>
        <v>0.84240000000000004</v>
      </c>
      <c r="BK329" s="95">
        <f>SUM(AT329:BA329,BE329,Sheet1!BV331,'Calculations II'!BC329,Calculation!AQ329)</f>
        <v>47.52224502892885</v>
      </c>
      <c r="BM329" s="373">
        <f>0</f>
        <v>0</v>
      </c>
      <c r="BN329" s="373">
        <f>0</f>
        <v>0</v>
      </c>
      <c r="BP329" s="95">
        <f>SUM(BM329:BN329,W329,Sheet1!DX331)</f>
        <v>0</v>
      </c>
    </row>
    <row r="330" spans="1:68" s="90" customFormat="1">
      <c r="A330" s="651" t="s">
        <v>9</v>
      </c>
      <c r="B330" s="92">
        <v>41958</v>
      </c>
      <c r="C330" s="93">
        <v>0</v>
      </c>
      <c r="D330" s="95">
        <f>(Sheet1!BQ332-Sheet1!BQ331)*1.385</f>
        <v>-1.2880499999999997</v>
      </c>
      <c r="E330" s="30">
        <f>(Sheet1!BR332-Sheet1!BR331)*1.385</f>
        <v>-1.2326500000000007</v>
      </c>
      <c r="F330" s="30">
        <f ca="1">IF(B330=TODAY(),0,-(VLOOKUP(Sheet1!CD332,Lookup!$I$4:$J$216,2)-VLOOKUP(Sheet1!CD331,Lookup!$I$4:$J$216,2))/1000000)</f>
        <v>1.0363693854779992</v>
      </c>
      <c r="G330" s="95">
        <f ca="1">IF(B330=TODAY(),0,-$G$6*(Sheet1!CF332-Sheet1!CF331)*7.48/1000000)</f>
        <v>0.19856750526279648</v>
      </c>
      <c r="H330" s="95">
        <f ca="1">IF(B330=TODAY(),0,-$H$6*(Sheet1!CE332-Sheet1!CE331)*7.48/1000000)</f>
        <v>0.24063091762024114</v>
      </c>
      <c r="I330" s="95">
        <f ca="1">IF(B330=TODAY(),0,-$I$6*(Sheet1!CG332-Sheet1!CG331)*7.48/1000000)</f>
        <v>-0.125789664</v>
      </c>
      <c r="J330" s="96" t="s">
        <v>186</v>
      </c>
      <c r="K330" s="95">
        <f ca="1">IF(B330=TODAY(),0,-$K$6*(Sheet1!CH332-Sheet1!CH331)*7.48/1000000)</f>
        <v>-0.21322625198267023</v>
      </c>
      <c r="L330" s="96" t="s">
        <v>186</v>
      </c>
      <c r="M330" s="95">
        <f ca="1">IF(B330=TODAY(),0,-$M$6*(Sheet1!CI332-Sheet1!CI331)*7.48/1000000)</f>
        <v>-0.57572826969686575</v>
      </c>
      <c r="N330" s="95">
        <f ca="1">IF(B330=TODAY(),0,-$N$6*(Sheet1!CJ332-Sheet1!CJ331)*7.48/1000000)</f>
        <v>0.37231407236774317</v>
      </c>
      <c r="O330" s="95">
        <f t="shared" ca="1" si="35"/>
        <v>0.93313769504924382</v>
      </c>
      <c r="P330" s="95">
        <f ca="1">O330+Calculation!ES330</f>
        <v>3.2879428377051045</v>
      </c>
      <c r="Q330" s="90" t="str">
        <f>IF(Sheet1!BQ332&gt;25.75,"spill elevation","-")</f>
        <v>-</v>
      </c>
      <c r="R330" s="90" t="str">
        <f>IF(Sheet1!BQ332&gt;25.75,"spill elevation","-")</f>
        <v>-</v>
      </c>
      <c r="S330" s="90" t="str">
        <f>IF(Sheet1!BR332&gt;25.75,"spill elevation","-")</f>
        <v>-</v>
      </c>
      <c r="T330" s="94">
        <f>IF(Sheet1!DU332=1,Sheet1!AA332-(SUM(AT330:BA330)+BE330),Sheet1!AA332-SUM(AT330:BA330))</f>
        <v>17.661871999999999</v>
      </c>
      <c r="U330" s="94">
        <f>Sheet1!BV332</f>
        <v>24.5</v>
      </c>
      <c r="V330" s="94">
        <f t="shared" si="36"/>
        <v>-6.8381280000000011</v>
      </c>
      <c r="W330" s="94">
        <f>0</f>
        <v>0</v>
      </c>
      <c r="X330" s="90">
        <f>0</f>
        <v>0</v>
      </c>
      <c r="Y330" s="95">
        <f ca="1">Calculation!EJ331+Calculation!ES330+'Calculations II'!O330-'Calculations II'!W330</f>
        <v>56.887942837705111</v>
      </c>
      <c r="Z330" s="95">
        <f ca="1">Y330-Sheet1!CT333</f>
        <v>40.676942837705113</v>
      </c>
      <c r="AA330" s="95">
        <f ca="1">Y330+Calculation!DJ331+Calculation!AS331</f>
        <v>66.892782993068124</v>
      </c>
      <c r="AC330" s="95">
        <f>Sheet1!AA332+Sheet1!AB332+BC330</f>
        <v>52</v>
      </c>
      <c r="AD330" s="95">
        <f>Sheet1!AA332+Sheet1!BN332+'Calculations II'!BC330-Calculation!AS330-Calculation!DJ330</f>
        <v>31.907802197802194</v>
      </c>
      <c r="AE330" s="95">
        <f>Sheet1!AA332+Sheet1!AB332+'Calculations II'!BC330-Calculation!AS330-Calculation!DJ330</f>
        <v>42.007802197802192</v>
      </c>
      <c r="AF330" s="95">
        <f ca="1">Sheet1!AA332+Sheet1!BN332+P330+'Calculations II'!BC330+Calculation!AS330+Calculation!DJ330</f>
        <v>55.180140639902902</v>
      </c>
      <c r="AG330" s="95">
        <f ca="1">IF(B330=TODAY(),0,Sheet1!AA332+Sheet1!BN332+'Calculations II'!BC330+'Calculations II'!P330-Sheet1!CT332-BP330)</f>
        <v>28.693942837705102</v>
      </c>
      <c r="AH330" s="95">
        <f ca="1">IF(B330=TODAY(),0,Sheet1!AA332+Sheet1!BN332+'Calculations II'!BC330+'Calculations II'!P330-BP330)</f>
        <v>45.187942837705101</v>
      </c>
      <c r="AI330" s="95">
        <f ca="1">IF(B330=TODAY(),0,BC330+Sheet1!AA332+Calculation!ES330+O330+W330+Sheet1!BN332+Calculation!AS330+Calculation!DJ330-BP330)</f>
        <v>55.180140639902902</v>
      </c>
      <c r="AJ330" s="95"/>
      <c r="AM330" s="91">
        <f t="shared" si="37"/>
        <v>41958</v>
      </c>
      <c r="AN330" s="95">
        <f>Sheet1!BU332</f>
        <v>19.2</v>
      </c>
      <c r="AO330" s="95">
        <f>Sheet1!AA332</f>
        <v>20</v>
      </c>
      <c r="AP330" s="95">
        <f t="shared" ref="AP330:AP381" si="39">D330+E330</f>
        <v>-2.5207000000000006</v>
      </c>
      <c r="AQ330" s="1055">
        <f>((Sheet1!BV332-(Sheet1!BU332-AP330))/(Sheet1!BU332-AP330))</f>
        <v>0.12795628133531603</v>
      </c>
      <c r="AR330" s="95">
        <f t="shared" ref="AR330:AR381" si="40">AO330-AP330</f>
        <v>22.520700000000001</v>
      </c>
      <c r="AS330" s="95">
        <f t="shared" ref="AS330:AS381" si="41">AN330-AP330</f>
        <v>21.720700000000001</v>
      </c>
      <c r="AT330" s="90">
        <f>Sheet1!BB332</f>
        <v>0.99</v>
      </c>
      <c r="AU330" s="90">
        <f>Sheet1!AS332*GPMtoMGD</f>
        <v>1.5264E-2</v>
      </c>
      <c r="AV330" s="95">
        <f>Sheet1!AT332</f>
        <v>0</v>
      </c>
      <c r="AW330" s="90">
        <f>Sheet1!AV332*GPMtoMGD</f>
        <v>0.34848000000000001</v>
      </c>
      <c r="AX330" s="90">
        <f>Sheet1!AW332*GPMtoMGD</f>
        <v>0.89352000000000009</v>
      </c>
      <c r="AY330" s="90">
        <f>Sheet1!AX332*GPMtoMGD</f>
        <v>9.0864000000000014E-2</v>
      </c>
      <c r="AZ330" s="90">
        <f>Sheet1!AY332*GPMtoMGD</f>
        <v>0</v>
      </c>
      <c r="BA330" s="90">
        <f>Sheet1!AZ332*GPMtoMGD</f>
        <v>0</v>
      </c>
      <c r="BB330" s="90">
        <f>Sheet1!BP332*GPMtoMGD</f>
        <v>0.9197280000000001</v>
      </c>
      <c r="BC330" s="90">
        <f>Sheet1!CS332*GPMtoMGD</f>
        <v>0</v>
      </c>
      <c r="BD330" s="90">
        <f>Sheet1!BO332*GPMtoMGD</f>
        <v>1.420272</v>
      </c>
      <c r="BE330" s="90">
        <f>Sheet1!BW332*GPMtoMGD</f>
        <v>0.91166400000000014</v>
      </c>
      <c r="BF330" s="90">
        <f>Sheet1!CN332*GPMtoMGD</f>
        <v>0.56534400000000007</v>
      </c>
      <c r="BG330" s="90">
        <f>Sheet1!CO332*GPMtoMGD</f>
        <v>0.44870400000000005</v>
      </c>
      <c r="BH330" s="90">
        <f>Sheet1!CP332*GPMtoMGD</f>
        <v>0.78811200000000003</v>
      </c>
      <c r="BI330" s="90">
        <f t="shared" si="38"/>
        <v>2.34</v>
      </c>
      <c r="BK330" s="95">
        <f>SUM(AT330:BA330,BE330,Sheet1!BV332,'Calculations II'!BC330,Calculation!AQ330)</f>
        <v>49.752931717425426</v>
      </c>
      <c r="BM330" s="373">
        <f>0</f>
        <v>0</v>
      </c>
      <c r="BN330" s="373">
        <f>0</f>
        <v>0</v>
      </c>
      <c r="BP330" s="95">
        <f>SUM(BM330:BN330,W330,Sheet1!DX332)</f>
        <v>0</v>
      </c>
    </row>
    <row r="331" spans="1:68" s="90" customFormat="1">
      <c r="A331" s="651" t="s">
        <v>3</v>
      </c>
      <c r="B331" s="92">
        <v>41959</v>
      </c>
      <c r="C331" s="93">
        <v>0</v>
      </c>
      <c r="D331" s="95">
        <f>(Sheet1!BQ333-Sheet1!BQ332)*1.385</f>
        <v>-1.73125</v>
      </c>
      <c r="E331" s="30">
        <f>(Sheet1!BR333-Sheet1!BR332)*1.385</f>
        <v>-1.6758500000000012</v>
      </c>
      <c r="F331" s="30">
        <f ca="1">IF(B331=TODAY(),0,-(VLOOKUP(Sheet1!CD333,Lookup!$I$4:$J$216,2)-VLOOKUP(Sheet1!CD332,Lookup!$I$4:$J$216,2))/1000000)</f>
        <v>-0.93273244693019985</v>
      </c>
      <c r="G331" s="95">
        <f ca="1">IF(B331=TODAY(),0,-$G$6*(Sheet1!CF333-Sheet1!CF332)*7.48/1000000)</f>
        <v>0.23828100631535634</v>
      </c>
      <c r="H331" s="95">
        <f ca="1">IF(B331=TODAY(),0,-$H$6*(Sheet1!CE333-Sheet1!CE332)*7.48/1000000)</f>
        <v>-4.5118297053795289E-2</v>
      </c>
      <c r="I331" s="95">
        <f ca="1">IF(B331=TODAY(),0,-$I$6*(Sheet1!CG333-Sheet1!CG332)*7.48/1000000)</f>
        <v>4.4924879999999837E-3</v>
      </c>
      <c r="J331" s="96" t="s">
        <v>186</v>
      </c>
      <c r="K331" s="95">
        <f ca="1">IF(B331=TODAY(),0,-$K$6*(Sheet1!CH333-Sheet1!CH332)*7.48/1000000)</f>
        <v>6.6633203744585374E-3</v>
      </c>
      <c r="L331" s="96" t="s">
        <v>186</v>
      </c>
      <c r="M331" s="95">
        <f ca="1">IF(B331=TODAY(),0,-$M$6*(Sheet1!CI333-Sheet1!CI332)*7.48/1000000)</f>
        <v>1.7991508428027301E-2</v>
      </c>
      <c r="N331" s="95">
        <f ca="1">IF(B331=TODAY(),0,-$N$6*(Sheet1!CJ333-Sheet1!CJ332)*7.48/1000000)</f>
        <v>-0.4343664177623669</v>
      </c>
      <c r="O331" s="95">
        <f t="shared" ca="1" si="35"/>
        <v>-1.1447888386285199</v>
      </c>
      <c r="P331" s="95">
        <f ca="1">O331+Calculation!ES331</f>
        <v>2.4548990148831003</v>
      </c>
      <c r="Q331" s="90" t="str">
        <f>IF(Sheet1!BQ333&gt;25.75,"spill elevation","-")</f>
        <v>-</v>
      </c>
      <c r="R331" s="90" t="str">
        <f>IF(Sheet1!BQ333&gt;25.75,"spill elevation","-")</f>
        <v>-</v>
      </c>
      <c r="S331" s="90" t="str">
        <f>IF(Sheet1!BR333&gt;25.75,"spill elevation","-")</f>
        <v>-</v>
      </c>
      <c r="T331" s="94">
        <f>IF(Sheet1!DU333=1,Sheet1!AA333-(SUM(AT331:BA331)+BE331),Sheet1!AA333-SUM(AT331:BA331))</f>
        <v>17.2972</v>
      </c>
      <c r="U331" s="94">
        <f>Sheet1!BV333</f>
        <v>24.9</v>
      </c>
      <c r="V331" s="94">
        <f t="shared" si="36"/>
        <v>-7.6027999999999984</v>
      </c>
      <c r="W331" s="94">
        <f>0</f>
        <v>0</v>
      </c>
      <c r="X331" s="90">
        <f>0</f>
        <v>0</v>
      </c>
      <c r="Y331" s="95">
        <f ca="1">Calculation!EJ332+Calculation!ES331+'Calculations II'!O331-'Calculations II'!W331</f>
        <v>57.424899014883096</v>
      </c>
      <c r="Z331" s="95">
        <f ca="1">Y331-Sheet1!CT334</f>
        <v>41.603899014883098</v>
      </c>
      <c r="AA331" s="95">
        <f ca="1">Y331+Calculation!DJ332+Calculation!AS332</f>
        <v>67.438874918497561</v>
      </c>
      <c r="AC331" s="95">
        <f>Sheet1!AA333+Sheet1!AB333+BC331</f>
        <v>53.6</v>
      </c>
      <c r="AD331" s="95">
        <f>Sheet1!AA333+Sheet1!BN333+'Calculations II'!BC331-Calculation!AS331-Calculation!DJ331</f>
        <v>33.495159844636987</v>
      </c>
      <c r="AE331" s="95">
        <f>Sheet1!AA333+Sheet1!AB333+'Calculations II'!BC331-Calculation!AS331-Calculation!DJ331</f>
        <v>43.595159844636989</v>
      </c>
      <c r="AF331" s="95">
        <f ca="1">Sheet1!AA333+Sheet1!BN333+P331+'Calculations II'!BC331+Calculation!AS331+Calculation!DJ331</f>
        <v>55.95973917024611</v>
      </c>
      <c r="AG331" s="95">
        <f ca="1">IF(B331=TODAY(),0,Sheet1!AA333+Sheet1!BN333+'Calculations II'!BC331+'Calculations II'!P331-Sheet1!CT333-BP331)</f>
        <v>29.743899014883098</v>
      </c>
      <c r="AH331" s="95">
        <f ca="1">IF(B331=TODAY(),0,Sheet1!AA333+Sheet1!BN333+'Calculations II'!BC331+'Calculations II'!P331-BP331)</f>
        <v>45.954899014883097</v>
      </c>
      <c r="AI331" s="95">
        <f ca="1">IF(B331=TODAY(),0,BC331+Sheet1!AA333+Calculation!ES331+O331+W331+Sheet1!BN333+Calculation!AS331+Calculation!DJ331-BP331)</f>
        <v>55.95973917024611</v>
      </c>
      <c r="AJ331" s="95"/>
      <c r="AM331" s="91">
        <f t="shared" si="37"/>
        <v>41959</v>
      </c>
      <c r="AN331" s="95">
        <f>Sheet1!BU333</f>
        <v>18.8</v>
      </c>
      <c r="AO331" s="95">
        <f>Sheet1!AA333</f>
        <v>20</v>
      </c>
      <c r="AP331" s="95">
        <f t="shared" si="39"/>
        <v>-3.4071000000000011</v>
      </c>
      <c r="AQ331" s="1055">
        <f>((Sheet1!BV333-(Sheet1!BU333-AP331))/(Sheet1!BU333-AP331))</f>
        <v>0.12126301948475929</v>
      </c>
      <c r="AR331" s="95">
        <f t="shared" si="40"/>
        <v>23.4071</v>
      </c>
      <c r="AS331" s="95">
        <f t="shared" si="41"/>
        <v>22.207100000000001</v>
      </c>
      <c r="AT331" s="90">
        <f>Sheet1!BB333</f>
        <v>1</v>
      </c>
      <c r="AU331" s="90">
        <f>Sheet1!AS333*GPMtoMGD</f>
        <v>1.5696000000000002E-2</v>
      </c>
      <c r="AV331" s="95">
        <f>Sheet1!AT333</f>
        <v>0</v>
      </c>
      <c r="AW331" s="90">
        <f>Sheet1!AV333*GPMtoMGD</f>
        <v>0.51811200000000002</v>
      </c>
      <c r="AX331" s="90">
        <f>Sheet1!AW333*GPMtoMGD</f>
        <v>1.074384</v>
      </c>
      <c r="AY331" s="90">
        <f>Sheet1!AX333*GPMtoMGD</f>
        <v>9.4608000000000012E-2</v>
      </c>
      <c r="AZ331" s="90">
        <f>Sheet1!AY333*GPMtoMGD</f>
        <v>0</v>
      </c>
      <c r="BA331" s="90">
        <f>Sheet1!AZ333*GPMtoMGD</f>
        <v>0</v>
      </c>
      <c r="BB331" s="90">
        <f>Sheet1!BP333*GPMtoMGD</f>
        <v>0</v>
      </c>
      <c r="BC331" s="90">
        <f>Sheet1!CS333*GPMtoMGD</f>
        <v>0</v>
      </c>
      <c r="BD331" s="90">
        <f>Sheet1!BO333*GPMtoMGD</f>
        <v>1.6411680000000002</v>
      </c>
      <c r="BE331" s="90">
        <f>Sheet1!BW333*GPMtoMGD</f>
        <v>0.68443200000000004</v>
      </c>
      <c r="BF331" s="90">
        <f>Sheet1!CN333*GPMtoMGD</f>
        <v>0.70704</v>
      </c>
      <c r="BG331" s="90">
        <f>Sheet1!CO333*GPMtoMGD</f>
        <v>0.46684800000000004</v>
      </c>
      <c r="BH331" s="90">
        <f>Sheet1!CP333*GPMtoMGD</f>
        <v>0.77385599999999999</v>
      </c>
      <c r="BI331" s="90">
        <f t="shared" si="38"/>
        <v>1.6411680000000002</v>
      </c>
      <c r="BK331" s="95">
        <f>SUM(AT331:BA331,BE331,Sheet1!BV333,'Calculations II'!BC331,Calculation!AQ331)</f>
        <v>51.878507769345688</v>
      </c>
      <c r="BM331" s="373">
        <f>0</f>
        <v>0</v>
      </c>
      <c r="BN331" s="373">
        <f>0</f>
        <v>0</v>
      </c>
      <c r="BP331" s="95">
        <f>SUM(BM331:BN331,W331,Sheet1!DX333)</f>
        <v>0</v>
      </c>
    </row>
    <row r="332" spans="1:68" s="90" customFormat="1">
      <c r="A332" s="651" t="s">
        <v>4</v>
      </c>
      <c r="B332" s="92">
        <v>41960</v>
      </c>
      <c r="C332" s="93">
        <v>0</v>
      </c>
      <c r="D332" s="95">
        <f>(Sheet1!BQ334-Sheet1!BQ333)*1.385</f>
        <v>-0.6925</v>
      </c>
      <c r="E332" s="30">
        <f>(Sheet1!BR334-Sheet1!BR333)*1.385</f>
        <v>-0.6925</v>
      </c>
      <c r="F332" s="30">
        <f ca="1">IF(B332=TODAY(),0,-(VLOOKUP(Sheet1!CD334,Lookup!$I$4:$J$216,2)-VLOOKUP(Sheet1!CD333,Lookup!$I$4:$J$216,2))/1000000)</f>
        <v>-0.20727387709559872</v>
      </c>
      <c r="G332" s="95">
        <f ca="1">IF(B332=TODAY(),0,-$G$6*(Sheet1!CF334-Sheet1!CF333)*7.48/1000000)</f>
        <v>0.23828100631535562</v>
      </c>
      <c r="H332" s="95">
        <f ca="1">IF(B332=TODAY(),0,-$H$6*(Sheet1!CE334-Sheet1!CE333)*7.48/1000000)</f>
        <v>-7.5197161756325293E-2</v>
      </c>
      <c r="I332" s="95">
        <f ca="1">IF(B332=TODAY(),0,-$I$6*(Sheet1!CG334-Sheet1!CG333)*7.48/1000000)</f>
        <v>-9.434224799999999E-2</v>
      </c>
      <c r="J332" s="96" t="s">
        <v>186</v>
      </c>
      <c r="K332" s="95">
        <f ca="1">IF(B332=TODAY(),0,-$K$6*(Sheet1!CH334-Sheet1!CH333)*7.48/1000000)</f>
        <v>-0.14659304823808578</v>
      </c>
      <c r="L332" s="96" t="s">
        <v>186</v>
      </c>
      <c r="M332" s="95">
        <f ca="1">IF(B332=TODAY(),0,-$M$6*(Sheet1!CI334-Sheet1!CI333)*7.48/1000000)</f>
        <v>-0.44978771070067619</v>
      </c>
      <c r="N332" s="95">
        <f ca="1">IF(B332=TODAY(),0,-$N$6*(Sheet1!CJ334-Sheet1!CJ333)*7.48/1000000)</f>
        <v>6.2052345394623676E-2</v>
      </c>
      <c r="O332" s="95">
        <f t="shared" ca="1" si="35"/>
        <v>-0.6728606940807067</v>
      </c>
      <c r="P332" s="95">
        <f ca="1">O332+Calculation!ES332</f>
        <v>0.71105801461726048</v>
      </c>
      <c r="Q332" s="90" t="str">
        <f>IF(Sheet1!BQ334&gt;25.75,"spill elevation","-")</f>
        <v>-</v>
      </c>
      <c r="R332" s="90" t="str">
        <f>IF(Sheet1!BQ334&gt;25.75,"spill elevation","-")</f>
        <v>-</v>
      </c>
      <c r="S332" s="90" t="str">
        <f>IF(Sheet1!BR334&gt;25.75,"spill elevation","-")</f>
        <v>-</v>
      </c>
      <c r="T332" s="94">
        <f>IF(Sheet1!DU334=1,Sheet1!AA334-(SUM(AT332:BA332)+BE332),Sheet1!AA334-SUM(AT332:BA332))</f>
        <v>17.860031999999997</v>
      </c>
      <c r="U332" s="94">
        <f>Sheet1!BV334</f>
        <v>23.2</v>
      </c>
      <c r="V332" s="94">
        <f t="shared" si="36"/>
        <v>-5.3399680000000025</v>
      </c>
      <c r="W332" s="94">
        <f>0</f>
        <v>0</v>
      </c>
      <c r="X332" s="90">
        <f>0</f>
        <v>0</v>
      </c>
      <c r="Y332" s="95">
        <f ca="1">Calculation!EJ333+Calculation!ES332+'Calculations II'!O332-'Calculations II'!W332</f>
        <v>63.550082014617253</v>
      </c>
      <c r="Z332" s="95">
        <f ca="1">Y332-Sheet1!CT335</f>
        <v>47.025082014617254</v>
      </c>
      <c r="AA332" s="95">
        <f ca="1">Y332+Calculation!DJ333+Calculation!AS333</f>
        <v>73.568811169303856</v>
      </c>
      <c r="AC332" s="95">
        <f>Sheet1!AA334+Sheet1!AB334+BC332</f>
        <v>54.97</v>
      </c>
      <c r="AD332" s="95">
        <f>Sheet1!AA334+Sheet1!BN334+'Calculations II'!BC332-Calculation!AS332-Calculation!DJ332</f>
        <v>34.786024096385539</v>
      </c>
      <c r="AE332" s="95">
        <f>Sheet1!AA334+Sheet1!AB334+'Calculations II'!BC332-Calculation!AS332-Calculation!DJ332</f>
        <v>44.956024096385541</v>
      </c>
      <c r="AF332" s="95">
        <f ca="1">Sheet1!AA334+Sheet1!BN334+P332+'Calculations II'!BC332+Calculation!AS332+Calculation!DJ332</f>
        <v>55.525033918231713</v>
      </c>
      <c r="AG332" s="95">
        <f ca="1">IF(B332=TODAY(),0,Sheet1!AA334+Sheet1!BN334+'Calculations II'!BC332+'Calculations II'!P332-Sheet1!CT334-BP332)</f>
        <v>29.690058014617257</v>
      </c>
      <c r="AH332" s="95">
        <f ca="1">IF(B332=TODAY(),0,Sheet1!AA334+Sheet1!BN334+'Calculations II'!BC332+'Calculations II'!P332-BP332)</f>
        <v>45.511058014617255</v>
      </c>
      <c r="AI332" s="95">
        <f ca="1">IF(B332=TODAY(),0,BC332+Sheet1!AA334+Calculation!ES332+O332+W332+Sheet1!BN334+Calculation!AS332+Calculation!DJ332-BP332)</f>
        <v>55.525033918231713</v>
      </c>
      <c r="AJ332" s="95"/>
      <c r="AM332" s="91">
        <f t="shared" si="37"/>
        <v>41960</v>
      </c>
      <c r="AN332" s="95">
        <f>Sheet1!BU334</f>
        <v>19.2</v>
      </c>
      <c r="AO332" s="95">
        <f>Sheet1!AA334</f>
        <v>19.899999999999999</v>
      </c>
      <c r="AP332" s="95">
        <f t="shared" si="39"/>
        <v>-1.385</v>
      </c>
      <c r="AQ332" s="1055">
        <f>((Sheet1!BV334-(Sheet1!BU334-AP332))/(Sheet1!BU334-AP332))</f>
        <v>0.12703424823900891</v>
      </c>
      <c r="AR332" s="95">
        <f t="shared" si="40"/>
        <v>21.285</v>
      </c>
      <c r="AS332" s="95">
        <f t="shared" si="41"/>
        <v>20.585000000000001</v>
      </c>
      <c r="AT332" s="90">
        <f>Sheet1!BB334</f>
        <v>1</v>
      </c>
      <c r="AU332" s="90">
        <f>Sheet1!AS334*GPMtoMGD</f>
        <v>1.4976000000000001E-2</v>
      </c>
      <c r="AV332" s="95">
        <f>Sheet1!AT334</f>
        <v>0</v>
      </c>
      <c r="AW332" s="90">
        <f>Sheet1!AV334*GPMtoMGD</f>
        <v>0.27705600000000002</v>
      </c>
      <c r="AX332" s="90">
        <f>Sheet1!AW334*GPMtoMGD</f>
        <v>0.66095999999999999</v>
      </c>
      <c r="AY332" s="90">
        <f>Sheet1!AX334*GPMtoMGD</f>
        <v>8.6975999999999998E-2</v>
      </c>
      <c r="AZ332" s="90">
        <f>Sheet1!AY334*GPMtoMGD</f>
        <v>0</v>
      </c>
      <c r="BA332" s="90">
        <f>Sheet1!AZ334*GPMtoMGD</f>
        <v>0</v>
      </c>
      <c r="BB332" s="90">
        <f>Sheet1!BP334*GPMtoMGD</f>
        <v>0.85737600000000003</v>
      </c>
      <c r="BC332" s="90">
        <f>Sheet1!CS334*GPMtoMGD</f>
        <v>0</v>
      </c>
      <c r="BD332" s="90">
        <f>Sheet1!BO334*GPMtoMGD</f>
        <v>1.176912</v>
      </c>
      <c r="BE332" s="90">
        <f>Sheet1!BW334*GPMtoMGD</f>
        <v>0.903312</v>
      </c>
      <c r="BF332" s="90">
        <f>Sheet1!CN334*GPMtoMGD</f>
        <v>0.46252799999999999</v>
      </c>
      <c r="BG332" s="90">
        <f>Sheet1!CO334*GPMtoMGD</f>
        <v>0.41212799999999999</v>
      </c>
      <c r="BH332" s="90">
        <f>Sheet1!CP334*GPMtoMGD</f>
        <v>0.8121600000000001</v>
      </c>
      <c r="BI332" s="90">
        <f t="shared" si="38"/>
        <v>2.0342880000000001</v>
      </c>
      <c r="BK332" s="95">
        <f>SUM(AT332:BA332,BE332,Sheet1!BV334,'Calculations II'!BC332,Calculation!AQ332)</f>
        <v>51.193280000000001</v>
      </c>
      <c r="BM332" s="373">
        <f>0</f>
        <v>0</v>
      </c>
      <c r="BN332" s="373">
        <f>0</f>
        <v>0</v>
      </c>
      <c r="BP332" s="95">
        <f>SUM(BM332:BN332,W332,Sheet1!DX334)</f>
        <v>0</v>
      </c>
    </row>
    <row r="333" spans="1:68" s="90" customFormat="1">
      <c r="A333" s="651" t="s">
        <v>5</v>
      </c>
      <c r="B333" s="92">
        <v>41961</v>
      </c>
      <c r="C333" s="93">
        <v>0</v>
      </c>
      <c r="D333" s="95">
        <f>(Sheet1!BQ335-Sheet1!BQ334)*1.385</f>
        <v>3.0470000000000041</v>
      </c>
      <c r="E333" s="30">
        <f>(Sheet1!BR335-Sheet1!BR334)*1.385</f>
        <v>3.0469999999999988</v>
      </c>
      <c r="F333" s="30">
        <f ca="1">IF(B333=TODAY(),0,-(VLOOKUP(Sheet1!CD335,Lookup!$I$4:$J$216,2)-VLOOKUP(Sheet1!CD334,Lookup!$I$4:$J$216,2))/1000000)</f>
        <v>0</v>
      </c>
      <c r="G333" s="95">
        <f ca="1">IF(B333=TODAY(),0,-$G$6*(Sheet1!CF335-Sheet1!CF334)*7.48/1000000)</f>
        <v>0.11914050315767817</v>
      </c>
      <c r="H333" s="95">
        <f ca="1">IF(B333=TODAY(),0,-$H$6*(Sheet1!CE335-Sheet1!CE334)*7.48/1000000)</f>
        <v>0.21055205291771062</v>
      </c>
      <c r="I333" s="95">
        <f ca="1">IF(B333=TODAY(),0,-$I$6*(Sheet1!CG335-Sheet1!CG334)*7.48/1000000)</f>
        <v>0.24259435199999999</v>
      </c>
      <c r="J333" s="96" t="s">
        <v>186</v>
      </c>
      <c r="K333" s="95">
        <f ca="1">IF(B333=TODAY(),0,-$K$6*(Sheet1!CH335-Sheet1!CH334)*7.48/1000000)</f>
        <v>0.40646254284196504</v>
      </c>
      <c r="L333" s="96" t="s">
        <v>186</v>
      </c>
      <c r="M333" s="95">
        <f ca="1">IF(B333=TODAY(),0,-$M$6*(Sheet1!CI335-Sheet1!CI334)*7.48/1000000)</f>
        <v>1.1334650309657037</v>
      </c>
      <c r="N333" s="95">
        <f ca="1">IF(B333=TODAY(),0,-$N$6*(Sheet1!CJ335-Sheet1!CJ334)*7.48/1000000)</f>
        <v>6.2052345394623676E-2</v>
      </c>
      <c r="O333" s="95">
        <f t="shared" ca="1" si="35"/>
        <v>2.1742668272776813</v>
      </c>
      <c r="P333" s="95">
        <f ca="1">O333+Calculation!ES333</f>
        <v>-3.9173717393776828</v>
      </c>
      <c r="Q333" s="90" t="str">
        <f>IF(Sheet1!BQ335&gt;25.75,"spill elevation","-")</f>
        <v>-</v>
      </c>
      <c r="R333" s="90" t="str">
        <f>IF(Sheet1!BQ335&gt;25.75,"spill elevation","-")</f>
        <v>-</v>
      </c>
      <c r="S333" s="90" t="str">
        <f>IF(Sheet1!BR335&gt;25.75,"spill elevation","-")</f>
        <v>-</v>
      </c>
      <c r="T333" s="94">
        <f>IF(Sheet1!DU335=1,Sheet1!AA335-(SUM(AT333:BA333)+BE333),Sheet1!AA335-SUM(AT333:BA333))</f>
        <v>17.800879999999999</v>
      </c>
      <c r="U333" s="94">
        <f>Sheet1!BV335</f>
        <v>15.6</v>
      </c>
      <c r="V333" s="94">
        <f t="shared" si="36"/>
        <v>2.2008799999999997</v>
      </c>
      <c r="W333" s="94">
        <f>0</f>
        <v>0</v>
      </c>
      <c r="X333" s="90">
        <f>0</f>
        <v>0</v>
      </c>
      <c r="Y333" s="95">
        <f ca="1">Calculation!EJ334+Calculation!ES333+'Calculations II'!O333-'Calculations II'!W333</f>
        <v>52.217540260622322</v>
      </c>
      <c r="Z333" s="95">
        <f ca="1">Y333-Sheet1!CT336</f>
        <v>36.045540260622317</v>
      </c>
      <c r="AA333" s="95">
        <f ca="1">Y333+Calculation!DJ334+Calculation!AS334</f>
        <v>61.141983548863735</v>
      </c>
      <c r="AC333" s="95">
        <f>Sheet1!AA335+Sheet1!AB335+BC333</f>
        <v>62.839023999999995</v>
      </c>
      <c r="AD333" s="95">
        <f>Sheet1!AA335+Sheet1!BN335+'Calculations II'!BC333-Calculation!AS333-Calculation!DJ333</f>
        <v>42.690294845313396</v>
      </c>
      <c r="AE333" s="95">
        <f>Sheet1!AA335+Sheet1!AB335+'Calculations II'!BC333-Calculation!AS333-Calculation!DJ333</f>
        <v>52.820294845313391</v>
      </c>
      <c r="AF333" s="95">
        <f ca="1">Sheet1!AA335+Sheet1!BN335+P333+'Calculations II'!BC333+Calculation!AS333+Calculation!DJ333</f>
        <v>58.810381415308917</v>
      </c>
      <c r="AG333" s="95">
        <f ca="1">IF(B333=TODAY(),0,Sheet1!AA335+Sheet1!BN335+'Calculations II'!BC333+'Calculations II'!P333-Sheet1!CT335-BP333)</f>
        <v>32.266652260622315</v>
      </c>
      <c r="AH333" s="95">
        <f ca="1">IF(B333=TODAY(),0,Sheet1!AA335+Sheet1!BN335+'Calculations II'!BC333+'Calculations II'!P333-BP333)</f>
        <v>48.791652260622314</v>
      </c>
      <c r="AI333" s="95">
        <f ca="1">IF(B333=TODAY(),0,BC333+Sheet1!AA335+Calculation!ES333+O333+W333+Sheet1!BN335+Calculation!AS333+Calculation!DJ333-BP333)</f>
        <v>58.810381415308925</v>
      </c>
      <c r="AJ333" s="95"/>
      <c r="AM333" s="91">
        <f t="shared" si="37"/>
        <v>41961</v>
      </c>
      <c r="AN333" s="95">
        <f>Sheet1!BU335</f>
        <v>19.100000000000001</v>
      </c>
      <c r="AO333" s="95">
        <f>Sheet1!AA335</f>
        <v>19.95</v>
      </c>
      <c r="AP333" s="95">
        <f t="shared" si="39"/>
        <v>6.094000000000003</v>
      </c>
      <c r="AQ333" s="1055">
        <f>((Sheet1!BV335-(Sheet1!BU335-AP333))/(Sheet1!BU335-AP333))</f>
        <v>0.19944640934953109</v>
      </c>
      <c r="AR333" s="95">
        <f t="shared" si="40"/>
        <v>13.855999999999996</v>
      </c>
      <c r="AS333" s="95">
        <f t="shared" si="41"/>
        <v>13.005999999999998</v>
      </c>
      <c r="AT333" s="90">
        <f>Sheet1!BB335</f>
        <v>1</v>
      </c>
      <c r="AU333" s="90">
        <f>Sheet1!AS335*GPMtoMGD</f>
        <v>3.0672000000000001E-2</v>
      </c>
      <c r="AV333" s="95">
        <f>Sheet1!AT335</f>
        <v>0</v>
      </c>
      <c r="AW333" s="90">
        <f>Sheet1!AV335*GPMtoMGD</f>
        <v>0.292464</v>
      </c>
      <c r="AX333" s="90">
        <f>Sheet1!AW335*GPMtoMGD</f>
        <v>0.73958400000000013</v>
      </c>
      <c r="AY333" s="90">
        <f>Sheet1!AX335*GPMtoMGD</f>
        <v>8.6400000000000005E-2</v>
      </c>
      <c r="AZ333" s="90">
        <f>Sheet1!AY335*GPMtoMGD</f>
        <v>0</v>
      </c>
      <c r="BA333" s="90">
        <f>Sheet1!AZ335*GPMtoMGD</f>
        <v>0</v>
      </c>
      <c r="BB333" s="90">
        <f>Sheet1!BP335*GPMtoMGD</f>
        <v>0</v>
      </c>
      <c r="BC333" s="90">
        <f>Sheet1!CS335*GPMtoMGD</f>
        <v>7.9590240000000012</v>
      </c>
      <c r="BD333" s="90">
        <f>Sheet1!BO335*GPMtoMGD</f>
        <v>0</v>
      </c>
      <c r="BE333" s="90">
        <f>Sheet1!BW335*GPMtoMGD</f>
        <v>0.86904000000000003</v>
      </c>
      <c r="BF333" s="90">
        <f>Sheet1!CN335*GPMtoMGD</f>
        <v>0.53510400000000002</v>
      </c>
      <c r="BG333" s="90">
        <f>Sheet1!CO335*GPMtoMGD</f>
        <v>0.40521599999999997</v>
      </c>
      <c r="BH333" s="90">
        <f>Sheet1!CP335*GPMtoMGD</f>
        <v>0.79848000000000008</v>
      </c>
      <c r="BI333" s="90">
        <f t="shared" si="38"/>
        <v>0</v>
      </c>
      <c r="BK333" s="95">
        <f>SUM(AT333:BA333,BE333,Sheet1!BV335,'Calculations II'!BC333,Calculation!AQ333)</f>
        <v>51.484142021851639</v>
      </c>
      <c r="BM333" s="373">
        <f>0</f>
        <v>0</v>
      </c>
      <c r="BN333" s="373">
        <f>0</f>
        <v>0</v>
      </c>
      <c r="BP333" s="95">
        <f>SUM(BM333:BN333,W333,Sheet1!DX335)</f>
        <v>0</v>
      </c>
    </row>
    <row r="334" spans="1:68" s="90" customFormat="1">
      <c r="A334" s="651" t="s">
        <v>6</v>
      </c>
      <c r="B334" s="92">
        <v>41962</v>
      </c>
      <c r="C334" s="93">
        <v>0</v>
      </c>
      <c r="D334" s="95">
        <f>(Sheet1!BQ336-Sheet1!BQ335)*1.385</f>
        <v>0.41549999999999604</v>
      </c>
      <c r="E334" s="30">
        <f>(Sheet1!BR336-Sheet1!BR335)*1.385</f>
        <v>0.41550000000000098</v>
      </c>
      <c r="F334" s="30">
        <f ca="1">IF(B334=TODAY(),0,-(VLOOKUP(Sheet1!CD336,Lookup!$I$4:$J$216,2)-VLOOKUP(Sheet1!CD335,Lookup!$I$4:$J$216,2))/1000000)</f>
        <v>2.6945604022427947</v>
      </c>
      <c r="G334" s="95">
        <f ca="1">IF(B334=TODAY(),0,-$G$6*(Sheet1!CF336-Sheet1!CF335)*7.48/1000000)</f>
        <v>0.19856750526279648</v>
      </c>
      <c r="H334" s="95">
        <f ca="1">IF(B334=TODAY(),0,-$H$6*(Sheet1!CE336-Sheet1!CE335)*7.48/1000000)</f>
        <v>-0.1353548911613853</v>
      </c>
      <c r="I334" s="95">
        <f ca="1">IF(B334=TODAY(),0,-$I$6*(Sheet1!CG336-Sheet1!CG335)*7.48/1000000)</f>
        <v>-9.8834736000000006E-2</v>
      </c>
      <c r="J334" s="96" t="s">
        <v>186</v>
      </c>
      <c r="K334" s="95">
        <f ca="1">IF(B334=TODAY(),0,-$K$6*(Sheet1!CH336-Sheet1!CH335)*7.48/1000000)</f>
        <v>-0.17324632973591955</v>
      </c>
      <c r="L334" s="96" t="s">
        <v>186</v>
      </c>
      <c r="M334" s="95">
        <f ca="1">IF(B334=TODAY(),0,-$M$6*(Sheet1!CI336-Sheet1!CI335)*7.48/1000000)</f>
        <v>-0.44978771070067619</v>
      </c>
      <c r="N334" s="95">
        <f ca="1">IF(B334=TODAY(),0,-$N$6*(Sheet1!CJ336-Sheet1!CJ335)*7.48/1000000)</f>
        <v>0.43436641776236795</v>
      </c>
      <c r="O334" s="95">
        <f t="shared" ca="1" si="35"/>
        <v>2.4702706576699782</v>
      </c>
      <c r="P334" s="95">
        <f ca="1">O334+Calculation!ES334</f>
        <v>1.63911206631477</v>
      </c>
      <c r="Q334" s="90" t="str">
        <f>IF(Sheet1!BQ336&gt;25.75,"spill elevation","-")</f>
        <v>-</v>
      </c>
      <c r="R334" s="90" t="str">
        <f>IF(Sheet1!BQ336&gt;25.75,"spill elevation","-")</f>
        <v>-</v>
      </c>
      <c r="S334" s="90" t="str">
        <f>IF(Sheet1!BR336&gt;25.75,"spill elevation","-")</f>
        <v>-</v>
      </c>
      <c r="T334" s="94">
        <f>IF(Sheet1!DU336=1,Sheet1!AA336-(SUM(AT334:BA334)+BE334),Sheet1!AA336-SUM(AT334:BA334))</f>
        <v>18.155296</v>
      </c>
      <c r="U334" s="94">
        <f>Sheet1!BV336</f>
        <v>15.7</v>
      </c>
      <c r="V334" s="94">
        <f t="shared" si="36"/>
        <v>2.4552960000000006</v>
      </c>
      <c r="W334" s="94">
        <f>0</f>
        <v>0</v>
      </c>
      <c r="X334" s="90">
        <f>0</f>
        <v>0</v>
      </c>
      <c r="Y334" s="95">
        <f ca="1">Calculation!EJ335+Calculation!ES334+'Calculations II'!O334-'Calculations II'!W334</f>
        <v>63.281736066314778</v>
      </c>
      <c r="Z334" s="95">
        <f ca="1">Y334-Sheet1!CT337</f>
        <v>45.851736066314778</v>
      </c>
      <c r="AA334" s="95">
        <f ca="1">Y334+Calculation!DJ335+Calculation!AS335</f>
        <v>72.152980701507914</v>
      </c>
      <c r="AC334" s="95">
        <f>Sheet1!AA336+Sheet1!AB336+BC334</f>
        <v>56.134912</v>
      </c>
      <c r="AD334" s="95">
        <f>Sheet1!AA336+Sheet1!BN336+'Calculations II'!BC334-Calculation!AS334-Calculation!DJ334</f>
        <v>38.30046871175859</v>
      </c>
      <c r="AE334" s="95">
        <f>Sheet1!AA336+Sheet1!AB336+'Calculations II'!BC334-Calculation!AS334-Calculation!DJ334</f>
        <v>47.210468711758587</v>
      </c>
      <c r="AF334" s="95">
        <f ca="1">Sheet1!AA336+Sheet1!BN336+P334+'Calculations II'!BC334+Calculation!AS334+Calculation!DJ334</f>
        <v>57.78846735455619</v>
      </c>
      <c r="AG334" s="95">
        <f ca="1">IF(B334=TODAY(),0,Sheet1!AA336+Sheet1!BN336+'Calculations II'!BC334+'Calculations II'!P334-Sheet1!CT336-BP334)</f>
        <v>32.692024066314772</v>
      </c>
      <c r="AH334" s="95">
        <f ca="1">IF(B334=TODAY(),0,Sheet1!AA336+Sheet1!BN336+'Calculations II'!BC334+'Calculations II'!P334-BP334)</f>
        <v>48.864024066314776</v>
      </c>
      <c r="AI334" s="95">
        <f ca="1">IF(B334=TODAY(),0,BC334+Sheet1!AA336+Calculation!ES334+O334+W334+Sheet1!BN336+Calculation!AS334+Calculation!DJ334-BP334)</f>
        <v>57.788467354556182</v>
      </c>
      <c r="AJ334" s="95"/>
      <c r="AM334" s="91">
        <f t="shared" si="37"/>
        <v>41962</v>
      </c>
      <c r="AN334" s="95">
        <f>Sheet1!BU336</f>
        <v>19.7</v>
      </c>
      <c r="AO334" s="95">
        <f>Sheet1!AA336</f>
        <v>20.100000000000001</v>
      </c>
      <c r="AP334" s="95">
        <f t="shared" si="39"/>
        <v>0.83099999999999707</v>
      </c>
      <c r="AQ334" s="1055">
        <f>((Sheet1!BV336-(Sheet1!BU336-AP334))/(Sheet1!BU336-AP334))</f>
        <v>-0.16794742699666138</v>
      </c>
      <c r="AR334" s="95">
        <f t="shared" si="40"/>
        <v>19.269000000000005</v>
      </c>
      <c r="AS334" s="95">
        <f t="shared" si="41"/>
        <v>18.869000000000003</v>
      </c>
      <c r="AT334" s="90">
        <f>Sheet1!BB336</f>
        <v>0.92</v>
      </c>
      <c r="AU334" s="90">
        <f>Sheet1!AS336*GPMtoMGD</f>
        <v>1.5696000000000002E-2</v>
      </c>
      <c r="AV334" s="95">
        <f>Sheet1!AT336</f>
        <v>0</v>
      </c>
      <c r="AW334" s="90">
        <f>Sheet1!AV336*GPMtoMGD</f>
        <v>0.30528</v>
      </c>
      <c r="AX334" s="90">
        <f>Sheet1!AW336*GPMtoMGD</f>
        <v>0.61070400000000002</v>
      </c>
      <c r="AY334" s="90">
        <f>Sheet1!AX336*GPMtoMGD</f>
        <v>9.3023999999999996E-2</v>
      </c>
      <c r="AZ334" s="90">
        <f>Sheet1!AY336*GPMtoMGD</f>
        <v>0</v>
      </c>
      <c r="BA334" s="90">
        <f>Sheet1!AZ336*GPMtoMGD</f>
        <v>0</v>
      </c>
      <c r="BB334" s="90">
        <f>Sheet1!BP336*GPMtoMGD</f>
        <v>0.77155200000000002</v>
      </c>
      <c r="BC334" s="90">
        <f>Sheet1!CS336*GPMtoMGD</f>
        <v>7.2249120000000007</v>
      </c>
      <c r="BD334" s="90">
        <f>Sheet1!BO336*GPMtoMGD</f>
        <v>1.2456</v>
      </c>
      <c r="BE334" s="90">
        <f>Sheet1!BW336*GPMtoMGD</f>
        <v>0.66268800000000005</v>
      </c>
      <c r="BF334" s="90">
        <f>Sheet1!CN336*GPMtoMGD</f>
        <v>1.0216800000000001</v>
      </c>
      <c r="BG334" s="90">
        <f>Sheet1!CO336*GPMtoMGD</f>
        <v>0.41083200000000003</v>
      </c>
      <c r="BH334" s="90">
        <f>Sheet1!CP336*GPMtoMGD</f>
        <v>0.81532800000000016</v>
      </c>
      <c r="BI334" s="90">
        <f t="shared" si="38"/>
        <v>2.0171520000000003</v>
      </c>
      <c r="BK334" s="95">
        <f>SUM(AT334:BA334,BE334,Sheet1!BV336,'Calculations II'!BC334,Calculation!AQ334)</f>
        <v>45.418498935830726</v>
      </c>
      <c r="BM334" s="373">
        <f>0</f>
        <v>0</v>
      </c>
      <c r="BN334" s="373">
        <f>0</f>
        <v>0</v>
      </c>
      <c r="BP334" s="95">
        <f>SUM(BM334:BN334,W334,Sheet1!DX336)</f>
        <v>0</v>
      </c>
    </row>
    <row r="335" spans="1:68" s="90" customFormat="1">
      <c r="A335" s="651" t="s">
        <v>7</v>
      </c>
      <c r="B335" s="92">
        <v>41963</v>
      </c>
      <c r="C335" s="93">
        <v>0</v>
      </c>
      <c r="D335" s="95">
        <f>(Sheet1!BQ337-Sheet1!BQ336)*1.385</f>
        <v>-1.0664499999999995</v>
      </c>
      <c r="E335" s="30">
        <f>(Sheet1!BR337-Sheet1!BR336)*1.385</f>
        <v>-1.0941499999999988</v>
      </c>
      <c r="F335" s="30">
        <v>0</v>
      </c>
      <c r="G335" s="95">
        <f ca="1">IF(B335=TODAY(),0,-$G$6*(Sheet1!CF337-Sheet1!CF336)*7.48/1000000)</f>
        <v>0.23828100631535562</v>
      </c>
      <c r="H335" s="95">
        <f ca="1">IF(B335=TODAY(),0,-$H$6*(Sheet1!CE337-Sheet1!CE336)*7.48/1000000)</f>
        <v>0.16543375586391532</v>
      </c>
      <c r="I335" s="95">
        <f ca="1">IF(B335=TODAY(),0,-$I$6*(Sheet1!CG337-Sheet1!CG336)*7.48/1000000)</f>
        <v>-0.13477464</v>
      </c>
      <c r="J335" s="96" t="s">
        <v>186</v>
      </c>
      <c r="K335" s="95">
        <f ca="1">IF(B335=TODAY(),0,-$K$6*(Sheet1!CH337-Sheet1!CH336)*7.48/1000000)</f>
        <v>-0.23321621310604548</v>
      </c>
      <c r="L335" s="96" t="s">
        <v>186</v>
      </c>
      <c r="M335" s="95">
        <f ca="1">IF(B335=TODAY(),0,-$M$6*(Sheet1!CI337-Sheet1!CI336)*7.48/1000000)</f>
        <v>-0.64769430340897372</v>
      </c>
      <c r="N335" s="95">
        <f ca="1">IF(B335=TODAY(),0,-$N$6*(Sheet1!CJ337-Sheet1!CJ336)*7.48/1000000)</f>
        <v>-1.191405031576779</v>
      </c>
      <c r="O335" s="95">
        <f ca="1">SUM(F335:I335)+K335+SUM(M335:N335)</f>
        <v>-1.8033754259125272</v>
      </c>
      <c r="P335" s="95">
        <f ca="1">O335+Calculation!ES335</f>
        <v>0.13581516988845732</v>
      </c>
      <c r="Q335" s="90" t="str">
        <f>IF(Sheet1!BQ337&gt;25.75,"spill elevation","-")</f>
        <v>-</v>
      </c>
      <c r="R335" s="90" t="str">
        <f>IF(Sheet1!BQ337&gt;25.75,"spill elevation","-")</f>
        <v>-</v>
      </c>
      <c r="S335" s="90" t="str">
        <f>IF(Sheet1!BR337&gt;25.75,"spill elevation","-")</f>
        <v>-</v>
      </c>
      <c r="T335" s="94">
        <f>IF(Sheet1!DU337=1,Sheet1!AA337-(SUM(AT335:BA335)+BE335),Sheet1!AA337-SUM(AT335:BA335))</f>
        <v>17.301296000000001</v>
      </c>
      <c r="U335" s="94">
        <f>Sheet1!BV337</f>
        <v>23.6</v>
      </c>
      <c r="V335" s="94">
        <f t="shared" si="36"/>
        <v>-6.2987040000000007</v>
      </c>
      <c r="W335" s="94">
        <f>0</f>
        <v>0</v>
      </c>
      <c r="X335" s="90">
        <f>0</f>
        <v>0</v>
      </c>
      <c r="Y335" s="95">
        <f ca="1">Calculation!EJ336+Calculation!ES335+'Calculations II'!O335-'Calculations II'!W335</f>
        <v>56.051895169888461</v>
      </c>
      <c r="Z335" s="95">
        <f ca="1">Y335-Sheet1!CT338</f>
        <v>39.211895169888464</v>
      </c>
      <c r="AA335" s="95">
        <f ca="1">Y335+Calculation!DJ336+Calculation!AS336</f>
        <v>66.185228503221794</v>
      </c>
      <c r="AC335" s="95">
        <f>Sheet1!AA337+Sheet1!AB337+BC335</f>
        <v>61.642624000000005</v>
      </c>
      <c r="AD335" s="95">
        <f>Sheet1!AA337+Sheet1!BN337+'Calculations II'!BC335-Calculation!AS335-Calculation!DJ335</f>
        <v>43.87137936480687</v>
      </c>
      <c r="AE335" s="95">
        <f>Sheet1!AA337+Sheet1!AB337+'Calculations II'!BC335-Calculation!AS335-Calculation!DJ335</f>
        <v>52.771379364806876</v>
      </c>
      <c r="AF335" s="95">
        <f ca="1">Sheet1!AA337+Sheet1!BN337+P335+'Calculations II'!BC335+Calculation!AS335+Calculation!DJ335</f>
        <v>61.749683805081602</v>
      </c>
      <c r="AG335" s="95">
        <f ca="1">IF(B335=TODAY(),0,Sheet1!AA337+Sheet1!BN337+'Calculations II'!BC335+'Calculations II'!P335-Sheet1!CT337-BP335)</f>
        <v>35.448439169888466</v>
      </c>
      <c r="AH335" s="95">
        <f ca="1">IF(B335=TODAY(),0,Sheet1!AA337+Sheet1!BN337+'Calculations II'!BC335+'Calculations II'!P335-BP335)</f>
        <v>52.878439169888466</v>
      </c>
      <c r="AI335" s="95">
        <f ca="1">IF(B335=TODAY(),0,BC335+Sheet1!AA337+Calculation!ES335+O335+W335+Sheet1!BN337+Calculation!AS335+Calculation!DJ335-BP335)</f>
        <v>61.749683805081602</v>
      </c>
      <c r="AJ335" s="95"/>
      <c r="AM335" s="91">
        <f t="shared" si="37"/>
        <v>41963</v>
      </c>
      <c r="AN335" s="95">
        <f>Sheet1!BU337</f>
        <v>19.399999999999999</v>
      </c>
      <c r="AO335" s="95">
        <f>Sheet1!AA337</f>
        <v>20.100000000000001</v>
      </c>
      <c r="AP335" s="95">
        <f t="shared" si="39"/>
        <v>-2.1605999999999983</v>
      </c>
      <c r="AQ335" s="1055">
        <f>((Sheet1!BV337-(Sheet1!BU337-AP335))/(Sheet1!BU337-AP335))</f>
        <v>9.4589204382067485E-2</v>
      </c>
      <c r="AR335" s="95">
        <f t="shared" si="40"/>
        <v>22.2606</v>
      </c>
      <c r="AS335" s="95">
        <f t="shared" si="41"/>
        <v>21.560599999999997</v>
      </c>
      <c r="AT335" s="90">
        <f>Sheet1!BB337</f>
        <v>1</v>
      </c>
      <c r="AU335" s="90">
        <f>Sheet1!AS337*GPMtoMGD</f>
        <v>3.1824000000000005E-2</v>
      </c>
      <c r="AV335" s="95">
        <f>Sheet1!AT337</f>
        <v>0</v>
      </c>
      <c r="AW335" s="90">
        <f>Sheet1!AV337*GPMtoMGD</f>
        <v>0.48528000000000004</v>
      </c>
      <c r="AX335" s="90">
        <f>Sheet1!AW337*GPMtoMGD</f>
        <v>1.1881440000000001</v>
      </c>
      <c r="AY335" s="90">
        <f>Sheet1!AX337*GPMtoMGD</f>
        <v>9.3456000000000011E-2</v>
      </c>
      <c r="AZ335" s="90">
        <f>Sheet1!AY337*GPMtoMGD</f>
        <v>0</v>
      </c>
      <c r="BA335" s="90">
        <f>Sheet1!AZ337*GPMtoMGD</f>
        <v>0</v>
      </c>
      <c r="BB335" s="90">
        <f>Sheet1!BP337*GPMtoMGD</f>
        <v>0.16891200000000001</v>
      </c>
      <c r="BC335" s="90">
        <f>Sheet1!CS337*GPMtoMGD</f>
        <v>13.542624000000002</v>
      </c>
      <c r="BD335" s="90">
        <f>Sheet1!BO337*GPMtoMGD</f>
        <v>1.9821600000000001</v>
      </c>
      <c r="BE335" s="90">
        <f>Sheet1!BW337*GPMtoMGD</f>
        <v>0.89395199999999997</v>
      </c>
      <c r="BF335" s="90">
        <f>Sheet1!CN337*GPMtoMGD</f>
        <v>1.287936</v>
      </c>
      <c r="BG335" s="90">
        <f>Sheet1!CO337*GPMtoMGD</f>
        <v>0.42868800000000001</v>
      </c>
      <c r="BH335" s="90">
        <f>Sheet1!CP337*GPMtoMGD</f>
        <v>0.79963200000000001</v>
      </c>
      <c r="BI335" s="90">
        <f t="shared" si="38"/>
        <v>2.1510720000000001</v>
      </c>
      <c r="BK335" s="95">
        <f>SUM(AT335:BA335,BE335,Sheet1!BV337,'Calculations II'!BC335,Calculation!AQ335)</f>
        <v>59.962604749642352</v>
      </c>
      <c r="BM335" s="373">
        <f>0</f>
        <v>0</v>
      </c>
      <c r="BN335" s="373">
        <f>0</f>
        <v>0</v>
      </c>
      <c r="BP335" s="95">
        <f>SUM(BM335:BN335,W335,Sheet1!DX337)</f>
        <v>0</v>
      </c>
    </row>
    <row r="336" spans="1:68" s="90" customFormat="1">
      <c r="A336" s="651" t="s">
        <v>8</v>
      </c>
      <c r="B336" s="92">
        <v>41964</v>
      </c>
      <c r="C336" s="93">
        <v>0</v>
      </c>
      <c r="D336" s="95">
        <f>(Sheet1!BQ338-Sheet1!BQ337)*1.385</f>
        <v>1.8005000000000011</v>
      </c>
      <c r="E336" s="30">
        <f>(Sheet1!BR338-Sheet1!BR337)*1.385</f>
        <v>1.7866499999999987</v>
      </c>
      <c r="F336" s="30">
        <f ca="1">IF(B336=TODAY(),0,-(VLOOKUP(Sheet1!CD338,Lookup!$I$4:$J$216,2)-VLOOKUP(Sheet1!CD337,Lookup!$I$4:$J$216,2))/1000000)</f>
        <v>1.6581910167648084</v>
      </c>
      <c r="G336" s="95">
        <f ca="1">IF(B336=TODAY(),0,-$G$6*(Sheet1!CF338-Sheet1!CF337)*7.48/1000000)</f>
        <v>0.11914050315767817</v>
      </c>
      <c r="H336" s="95">
        <f ca="1">IF(B336=TODAY(),0,-$H$6*(Sheet1!CE338-Sheet1!CE337)*7.48/1000000)</f>
        <v>-0.25567034997150589</v>
      </c>
      <c r="I336" s="95">
        <f ca="1">IF(B336=TODAY(),0,-$I$6*(Sheet1!CG338-Sheet1!CG337)*7.48/1000000)</f>
        <v>0.22911688800000005</v>
      </c>
      <c r="J336" s="96" t="s">
        <v>186</v>
      </c>
      <c r="K336" s="95">
        <f ca="1">IF(B336=TODAY(),0,-$K$6*(Sheet1!CH338-Sheet1!CH337)*7.48/1000000)</f>
        <v>0.39979922246750654</v>
      </c>
      <c r="L336" s="96" t="s">
        <v>186</v>
      </c>
      <c r="M336" s="95">
        <f ca="1">IF(B336=TODAY(),0,-$M$6*(Sheet1!CI338-Sheet1!CI337)*7.48/1000000)</f>
        <v>1.0794905056816231</v>
      </c>
      <c r="N336" s="95">
        <f ca="1">IF(B336=TODAY(),0,-$N$6*(Sheet1!CJ338-Sheet1!CJ337)*7.48/1000000)</f>
        <v>0.39713501052559219</v>
      </c>
      <c r="O336" s="95">
        <f t="shared" ca="1" si="35"/>
        <v>3.6272027966257028</v>
      </c>
      <c r="P336" s="95">
        <f ca="1">O336+Calculation!ES336</f>
        <v>0.16392981547003149</v>
      </c>
      <c r="Q336" s="90" t="str">
        <f>IF(Sheet1!BQ338&gt;25.75,"spill elevation","-")</f>
        <v>-</v>
      </c>
      <c r="R336" s="90" t="str">
        <f>IF(Sheet1!BQ338&gt;25.75,"spill elevation","-")</f>
        <v>-</v>
      </c>
      <c r="S336" s="90" t="str">
        <f>IF(Sheet1!BR338&gt;25.75,"spill elevation","-")</f>
        <v>-</v>
      </c>
      <c r="T336" s="94">
        <f>IF(Sheet1!DU338=1,Sheet1!AA338-(SUM(AT336:BA336)+BE336),Sheet1!AA338-SUM(AT336:BA336))</f>
        <v>17.47784</v>
      </c>
      <c r="U336" s="94">
        <f>Sheet1!BV338</f>
        <v>17.7</v>
      </c>
      <c r="V336" s="94">
        <f t="shared" si="36"/>
        <v>-0.2221599999999988</v>
      </c>
      <c r="W336" s="94">
        <f>0</f>
        <v>0</v>
      </c>
      <c r="X336" s="90">
        <f>0</f>
        <v>0</v>
      </c>
      <c r="Y336" s="95">
        <f ca="1">Calculation!EJ337+Calculation!ES336+'Calculations II'!O336-'Calculations II'!W336</f>
        <v>53.446681815470036</v>
      </c>
      <c r="Z336" s="95">
        <f ca="1">Y336-Sheet1!CT339</f>
        <v>37.016681815470037</v>
      </c>
      <c r="AA336" s="95">
        <f ca="1">Y336+Calculation!DJ337+Calculation!AS337</f>
        <v>63.419065849989991</v>
      </c>
      <c r="AC336" s="95">
        <f>Sheet1!AA338+Sheet1!AB338+BC336</f>
        <v>55.916080000000001</v>
      </c>
      <c r="AD336" s="95">
        <f>Sheet1!AA338+Sheet1!BN338+'Calculations II'!BC336-Calculation!AS336-Calculation!DJ336</f>
        <v>35.682746666666674</v>
      </c>
      <c r="AE336" s="95">
        <f>Sheet1!AA338+Sheet1!AB338+'Calculations II'!BC336-Calculation!AS336-Calculation!DJ336</f>
        <v>45.782746666666668</v>
      </c>
      <c r="AF336" s="95">
        <f ca="1">Sheet1!AA338+Sheet1!BN338+P336+'Calculations II'!BC336+Calculation!AS336+Calculation!DJ336</f>
        <v>56.113343148803374</v>
      </c>
      <c r="AG336" s="95">
        <f ca="1">IF(B336=TODAY(),0,Sheet1!AA338+Sheet1!BN338+'Calculations II'!BC336+'Calculations II'!P336-Sheet1!CT338-BP336)</f>
        <v>29.140009815470041</v>
      </c>
      <c r="AH336" s="95">
        <f ca="1">IF(B336=TODAY(),0,Sheet1!AA338+Sheet1!BN338+'Calculations II'!BC336+'Calculations II'!P336-BP336)</f>
        <v>45.980009815470041</v>
      </c>
      <c r="AI336" s="95">
        <f ca="1">IF(B336=TODAY(),0,BC336+Sheet1!AA338+Calculation!ES336+O336+W336+Sheet1!BN338+Calculation!AS336+Calculation!DJ336-BP336)</f>
        <v>56.113343148803366</v>
      </c>
      <c r="AJ336" s="95"/>
      <c r="AM336" s="91">
        <f t="shared" si="37"/>
        <v>41964</v>
      </c>
      <c r="AN336" s="95">
        <f>Sheet1!BU338</f>
        <v>19.3</v>
      </c>
      <c r="AO336" s="95">
        <f>Sheet1!AA338</f>
        <v>20.100000000000001</v>
      </c>
      <c r="AP336" s="95">
        <f t="shared" si="39"/>
        <v>3.5871499999999998</v>
      </c>
      <c r="AQ336" s="1055">
        <f>((Sheet1!BV338-(Sheet1!BU338-AP336))/(Sheet1!BU338-AP336))</f>
        <v>0.12646655444429228</v>
      </c>
      <c r="AR336" s="95">
        <f t="shared" si="40"/>
        <v>16.51285</v>
      </c>
      <c r="AS336" s="95">
        <f t="shared" si="41"/>
        <v>15.712850000000001</v>
      </c>
      <c r="AT336" s="90">
        <f>Sheet1!BB338</f>
        <v>1</v>
      </c>
      <c r="AU336" s="90">
        <f>Sheet1!AS338*GPMtoMGD</f>
        <v>1.5408E-2</v>
      </c>
      <c r="AV336" s="95">
        <f>Sheet1!AT338</f>
        <v>0</v>
      </c>
      <c r="AW336" s="90">
        <f>Sheet1!AV338*GPMtoMGD</f>
        <v>0.33062400000000003</v>
      </c>
      <c r="AX336" s="90">
        <f>Sheet1!AW338*GPMtoMGD</f>
        <v>1.208304</v>
      </c>
      <c r="AY336" s="90">
        <f>Sheet1!AX338*GPMtoMGD</f>
        <v>6.7824000000000009E-2</v>
      </c>
      <c r="AZ336" s="90">
        <f>Sheet1!AY338*GPMtoMGD</f>
        <v>0</v>
      </c>
      <c r="BA336" s="90">
        <f>Sheet1!AZ338*GPMtoMGD</f>
        <v>0</v>
      </c>
      <c r="BB336" s="90">
        <f>Sheet1!BP338*GPMtoMGD</f>
        <v>0</v>
      </c>
      <c r="BC336" s="90">
        <f>Sheet1!CS338*GPMtoMGD</f>
        <v>8.4160800000000009</v>
      </c>
      <c r="BD336" s="90">
        <f>Sheet1!BO338*GPMtoMGD</f>
        <v>0</v>
      </c>
      <c r="BE336" s="90">
        <f>Sheet1!BW338*GPMtoMGD</f>
        <v>0.62294400000000005</v>
      </c>
      <c r="BF336" s="90">
        <f>Sheet1!CN338*GPMtoMGD</f>
        <v>1.0974240000000002</v>
      </c>
      <c r="BG336" s="90">
        <f>Sheet1!CO338*GPMtoMGD</f>
        <v>0.40161599999999997</v>
      </c>
      <c r="BH336" s="90">
        <f>Sheet1!CP338*GPMtoMGD</f>
        <v>0.80611199999999994</v>
      </c>
      <c r="BI336" s="90">
        <f t="shared" si="38"/>
        <v>0</v>
      </c>
      <c r="BK336" s="95">
        <f>SUM(AT336:BA336,BE336,Sheet1!BV338,'Calculations II'!BC336,Calculation!AQ336)</f>
        <v>46.629672160291435</v>
      </c>
      <c r="BM336" s="373">
        <f>0</f>
        <v>0</v>
      </c>
      <c r="BN336" s="373">
        <f>0</f>
        <v>0</v>
      </c>
      <c r="BP336" s="95">
        <f>SUM(BM336:BN336,W336,Sheet1!DX338)</f>
        <v>0</v>
      </c>
    </row>
    <row r="337" spans="1:68" s="90" customFormat="1">
      <c r="A337" s="651" t="s">
        <v>9</v>
      </c>
      <c r="B337" s="92">
        <v>41965</v>
      </c>
      <c r="C337" s="93">
        <v>0</v>
      </c>
      <c r="D337" s="95">
        <f>(Sheet1!BQ339-Sheet1!BQ338)*1.385</f>
        <v>0.30469999999999842</v>
      </c>
      <c r="E337" s="30">
        <f>(Sheet1!BR339-Sheet1!BR338)*1.385</f>
        <v>0.31855000000000061</v>
      </c>
      <c r="F337" s="30">
        <f ca="1">IF(B337=TODAY(),0,-(VLOOKUP(Sheet1!CD339,Lookup!$I$4:$J$216,2)-VLOOKUP(Sheet1!CD338,Lookup!$I$4:$J$216,2))/1000000)</f>
        <v>4.3527514190076033</v>
      </c>
      <c r="G337" s="95">
        <f ca="1">IF(B337=TODAY(),0,-$G$6*(Sheet1!CF339-Sheet1!CF338)*7.48/1000000)</f>
        <v>0.19856750526279648</v>
      </c>
      <c r="H337" s="95">
        <f ca="1">IF(B337=TODAY(),0,-$H$6*(Sheet1!CE339-Sheet1!CE338)*7.48/1000000)</f>
        <v>-7.5197161756325293E-2</v>
      </c>
      <c r="I337" s="95">
        <f ca="1">IF(B337=TODAY(),0,-$I$6*(Sheet1!CG339-Sheet1!CG338)*7.48/1000000)</f>
        <v>-4.9417368000000003E-2</v>
      </c>
      <c r="J337" s="96" t="s">
        <v>186</v>
      </c>
      <c r="K337" s="95">
        <f ca="1">IF(B337=TODAY(),0,-$K$6*(Sheet1!CH339-Sheet1!CH338)*7.48/1000000)</f>
        <v>-8.6623164867959679E-2</v>
      </c>
      <c r="L337" s="96" t="s">
        <v>186</v>
      </c>
      <c r="M337" s="95">
        <f ca="1">IF(B337=TODAY(),0,-$M$6*(Sheet1!CI339-Sheet1!CI338)*7.48/1000000)</f>
        <v>-0.23388960956435173</v>
      </c>
      <c r="N337" s="95">
        <f ca="1">IF(B337=TODAY(),0,-$N$6*(Sheet1!CJ339-Sheet1!CJ338)*7.48/1000000)</f>
        <v>-0.31026172697311949</v>
      </c>
      <c r="O337" s="95">
        <f t="shared" ca="1" si="35"/>
        <v>3.795929893108644</v>
      </c>
      <c r="P337" s="95">
        <f ca="1">O337+Calculation!ES337</f>
        <v>3.1030253152537908</v>
      </c>
      <c r="Q337" s="90" t="str">
        <f>IF(Sheet1!BQ339&gt;25.75,"spill elevation","-")</f>
        <v>-</v>
      </c>
      <c r="R337" s="90" t="str">
        <f>IF(Sheet1!BQ339&gt;25.75,"spill elevation","-")</f>
        <v>-</v>
      </c>
      <c r="S337" s="90" t="str">
        <f>IF(Sheet1!BR339&gt;25.75,"spill elevation","-")</f>
        <v>-</v>
      </c>
      <c r="T337" s="94">
        <f>IF(Sheet1!DU339=1,Sheet1!AA339-(SUM(AT337:BA337)+BE337),Sheet1!AA339-SUM(AT337:BA337))</f>
        <v>18.093136000000001</v>
      </c>
      <c r="U337" s="94">
        <f>Sheet1!BV339</f>
        <v>21.2</v>
      </c>
      <c r="V337" s="94">
        <f t="shared" si="36"/>
        <v>-3.1068639999999981</v>
      </c>
      <c r="W337" s="94">
        <f>0</f>
        <v>0</v>
      </c>
      <c r="X337" s="90">
        <f>0</f>
        <v>0</v>
      </c>
      <c r="Y337" s="95">
        <f ca="1">Calculation!EJ338+Calculation!ES337+'Calculations II'!O337-'Calculations II'!W337</f>
        <v>56.590625315253789</v>
      </c>
      <c r="Z337" s="95">
        <f ca="1">Y337-Sheet1!CT340</f>
        <v>40.480625315253789</v>
      </c>
      <c r="AA337" s="95">
        <f ca="1">Y337+Calculation!DJ338+Calculation!AS338</f>
        <v>66.705278780600324</v>
      </c>
      <c r="AC337" s="95">
        <f>Sheet1!AA339+Sheet1!AB339+BC337</f>
        <v>53.282752000000002</v>
      </c>
      <c r="AD337" s="95">
        <f>Sheet1!AA339+Sheet1!BN339+'Calculations II'!BC337-Calculation!AS337-Calculation!DJ337</f>
        <v>33.510367965480043</v>
      </c>
      <c r="AE337" s="95">
        <f>Sheet1!AA339+Sheet1!AB339+'Calculations II'!BC337-Calculation!AS337-Calculation!DJ337</f>
        <v>43.31036796548004</v>
      </c>
      <c r="AF337" s="95">
        <f ca="1">Sheet1!AA339+Sheet1!BN339+P337+'Calculations II'!BC337+Calculation!AS337+Calculation!DJ337</f>
        <v>56.558161349773755</v>
      </c>
      <c r="AG337" s="95">
        <f ca="1">IF(B337=TODAY(),0,Sheet1!AA339+Sheet1!BN339+'Calculations II'!BC337+'Calculations II'!P337-Sheet1!CT339-BP337)</f>
        <v>30.155777315253793</v>
      </c>
      <c r="AH337" s="95">
        <f ca="1">IF(B337=TODAY(),0,Sheet1!AA339+Sheet1!BN339+'Calculations II'!BC337+'Calculations II'!P337-BP337)</f>
        <v>46.585777315253793</v>
      </c>
      <c r="AI337" s="95">
        <f ca="1">IF(B337=TODAY(),0,BC337+Sheet1!AA339+Calculation!ES337+O337+W337+Sheet1!BN339+Calculation!AS337+Calculation!DJ337-BP337)</f>
        <v>56.558161349773741</v>
      </c>
      <c r="AJ337" s="95"/>
      <c r="AM337" s="91">
        <f t="shared" si="37"/>
        <v>41965</v>
      </c>
      <c r="AN337" s="95">
        <f>Sheet1!BU339</f>
        <v>19.8</v>
      </c>
      <c r="AO337" s="95">
        <f>Sheet1!AA339</f>
        <v>20.3</v>
      </c>
      <c r="AP337" s="95">
        <f t="shared" si="39"/>
        <v>0.62324999999999897</v>
      </c>
      <c r="AQ337" s="1055">
        <f>((Sheet1!BV339-(Sheet1!BU339-AP337))/(Sheet1!BU339-AP337))</f>
        <v>0.10550536456907438</v>
      </c>
      <c r="AR337" s="95">
        <f t="shared" si="40"/>
        <v>19.676750000000002</v>
      </c>
      <c r="AS337" s="95">
        <f t="shared" si="41"/>
        <v>19.176750000000002</v>
      </c>
      <c r="AT337" s="90">
        <f>Sheet1!BB339</f>
        <v>1</v>
      </c>
      <c r="AU337" s="90">
        <f>Sheet1!AS339*GPMtoMGD</f>
        <v>3.1104000000000003E-2</v>
      </c>
      <c r="AV337" s="95">
        <f>Sheet1!AT339</f>
        <v>0</v>
      </c>
      <c r="AW337" s="90">
        <f>Sheet1!AV339*GPMtoMGD</f>
        <v>0.39859200000000006</v>
      </c>
      <c r="AX337" s="90">
        <f>Sheet1!AW339*GPMtoMGD</f>
        <v>0.74592000000000003</v>
      </c>
      <c r="AY337" s="90">
        <f>Sheet1!AX339*GPMtoMGD</f>
        <v>3.1248000000000001E-2</v>
      </c>
      <c r="AZ337" s="90">
        <f>Sheet1!AY339*GPMtoMGD</f>
        <v>0</v>
      </c>
      <c r="BA337" s="90">
        <f>Sheet1!AZ339*GPMtoMGD</f>
        <v>0</v>
      </c>
      <c r="BB337" s="90">
        <f>Sheet1!BP339*GPMtoMGD</f>
        <v>0.75672000000000006</v>
      </c>
      <c r="BC337" s="90">
        <f>Sheet1!CS339*GPMtoMGD</f>
        <v>14.782752</v>
      </c>
      <c r="BD337" s="90">
        <f>Sheet1!BO339*GPMtoMGD</f>
        <v>1.0846080000000002</v>
      </c>
      <c r="BE337" s="90">
        <f>Sheet1!BW339*GPMtoMGD</f>
        <v>0.91872000000000009</v>
      </c>
      <c r="BF337" s="90">
        <f>Sheet1!CN339*GPMtoMGD</f>
        <v>1.241136</v>
      </c>
      <c r="BG337" s="90">
        <f>Sheet1!CO339*GPMtoMGD</f>
        <v>0.44524800000000003</v>
      </c>
      <c r="BH337" s="90">
        <f>Sheet1!CP339*GPMtoMGD</f>
        <v>0.78091199999999994</v>
      </c>
      <c r="BI337" s="90">
        <f t="shared" si="38"/>
        <v>1.8413280000000003</v>
      </c>
      <c r="BK337" s="95">
        <f>SUM(AT337:BA337,BE337,Sheet1!BV339,'Calculations II'!BC337,Calculation!AQ337)</f>
        <v>47.354290692556638</v>
      </c>
      <c r="BM337" s="373">
        <f>0</f>
        <v>0</v>
      </c>
      <c r="BN337" s="373">
        <f>0</f>
        <v>0</v>
      </c>
      <c r="BP337" s="95">
        <f>SUM(BM337:BN337,W337,Sheet1!DX339)</f>
        <v>0</v>
      </c>
    </row>
    <row r="338" spans="1:68" s="90" customFormat="1">
      <c r="A338" s="651" t="s">
        <v>3</v>
      </c>
      <c r="B338" s="92">
        <v>41966</v>
      </c>
      <c r="C338" s="93">
        <v>0</v>
      </c>
      <c r="D338" s="95">
        <f>(Sheet1!BQ340-Sheet1!BQ339)*1.385</f>
        <v>0.23545000000000235</v>
      </c>
      <c r="E338" s="30">
        <f>(Sheet1!BR340-Sheet1!BR339)*1.385</f>
        <v>0.22160000000000019</v>
      </c>
      <c r="F338" s="30">
        <f ca="1">IF(B338=TODAY(),0,-(VLOOKUP(Sheet1!CD340,Lookup!$I$4:$J$216,2)-VLOOKUP(Sheet1!CD339,Lookup!$I$4:$J$216,2))/1000000)</f>
        <v>2.280012648051597</v>
      </c>
      <c r="G338" s="95">
        <f ca="1">IF(B338=TODAY(),0,-$G$6*(Sheet1!CF340-Sheet1!CF339)*7.48/1000000)</f>
        <v>0.19856750526279648</v>
      </c>
      <c r="H338" s="95">
        <f ca="1">IF(B338=TODAY(),0,-$H$6*(Sheet1!CE340-Sheet1!CE339)*7.48/1000000)</f>
        <v>6.0157729405060562E-2</v>
      </c>
      <c r="I338" s="95">
        <f ca="1">IF(B338=TODAY(),0,-$I$6*(Sheet1!CG340-Sheet1!CG339)*7.48/1000000)</f>
        <v>-0.116804688</v>
      </c>
      <c r="J338" s="96" t="s">
        <v>186</v>
      </c>
      <c r="K338" s="95">
        <f ca="1">IF(B338=TODAY(),0,-$K$6*(Sheet1!CH340-Sheet1!CH339)*7.48/1000000)</f>
        <v>-0.20656293160821179</v>
      </c>
      <c r="L338" s="96" t="s">
        <v>186</v>
      </c>
      <c r="M338" s="95">
        <f ca="1">IF(B338=TODAY(),0,-$M$6*(Sheet1!CI340-Sheet1!CI339)*7.48/1000000)</f>
        <v>-0.55773676126883842</v>
      </c>
      <c r="N338" s="95">
        <f ca="1">IF(B338=TODAY(),0,-$N$6*(Sheet1!CJ340-Sheet1!CJ339)*7.48/1000000)</f>
        <v>0.58949728124892775</v>
      </c>
      <c r="O338" s="95">
        <f t="shared" ref="O338:O381" ca="1" si="42">SUM(F338:I338)+K338+SUM(M338:N338)</f>
        <v>2.2471307830913316</v>
      </c>
      <c r="P338" s="95">
        <f ca="1">O338+Calculation!ES338</f>
        <v>1.8313623941602435</v>
      </c>
      <c r="Q338" s="90" t="str">
        <f>IF(Sheet1!BQ340&gt;25.75,"spill elevation","-")</f>
        <v>-</v>
      </c>
      <c r="R338" s="90" t="str">
        <f>IF(Sheet1!BQ340&gt;25.75,"spill elevation","-")</f>
        <v>-</v>
      </c>
      <c r="S338" s="90" t="str">
        <f>IF(Sheet1!BR340&gt;25.75,"spill elevation","-")</f>
        <v>-</v>
      </c>
      <c r="T338" s="94">
        <f>IF(Sheet1!DU340=1,Sheet1!AA340-(SUM(AT338:BA338)+BE338),Sheet1!AA340-SUM(AT338:BA338))</f>
        <v>17.777216000000003</v>
      </c>
      <c r="U338" s="94">
        <f>Sheet1!BV340</f>
        <v>21</v>
      </c>
      <c r="V338" s="94">
        <f t="shared" ref="V338:V381" si="43">T338-U338</f>
        <v>-3.2227839999999972</v>
      </c>
      <c r="W338" s="94">
        <f>0</f>
        <v>0</v>
      </c>
      <c r="X338" s="90">
        <f>0</f>
        <v>0</v>
      </c>
      <c r="Y338" s="95">
        <f ca="1">Calculation!EJ339+Calculation!ES338+'Calculations II'!O338-'Calculations II'!W338</f>
        <v>55.400994394160243</v>
      </c>
      <c r="Z338" s="95">
        <f ca="1">Y338-Sheet1!CT341</f>
        <v>40.003994394160244</v>
      </c>
      <c r="AA338" s="95">
        <f ca="1">Y338+Calculation!DJ339+Calculation!AS339</f>
        <v>65.401367926710932</v>
      </c>
      <c r="AC338" s="95">
        <f>Sheet1!AA340+Sheet1!AB340+BC338</f>
        <v>53.4876</v>
      </c>
      <c r="AD338" s="95">
        <f>Sheet1!AA340+Sheet1!BN340+'Calculations II'!BC338-Calculation!AS338-Calculation!DJ338</f>
        <v>33.342946534653464</v>
      </c>
      <c r="AE338" s="95">
        <f>Sheet1!AA340+Sheet1!AB340+'Calculations II'!BC338-Calculation!AS338-Calculation!DJ338</f>
        <v>43.372946534653465</v>
      </c>
      <c r="AF338" s="95">
        <f ca="1">Sheet1!AA340+Sheet1!BN340+P338+'Calculations II'!BC338+Calculation!AS338+Calculation!DJ338</f>
        <v>55.403615859506786</v>
      </c>
      <c r="AG338" s="95">
        <f ca="1">IF(B338=TODAY(),0,Sheet1!AA340+Sheet1!BN340+'Calculations II'!BC338+'Calculations II'!P338-Sheet1!CT340-BP338)</f>
        <v>29.178962394160244</v>
      </c>
      <c r="AH338" s="95">
        <f ca="1">IF(B338=TODAY(),0,Sheet1!AA340+Sheet1!BN340+'Calculations II'!BC338+'Calculations II'!P338-BP338)</f>
        <v>45.288962394160244</v>
      </c>
      <c r="AI338" s="95">
        <f ca="1">IF(B338=TODAY(),0,BC338+Sheet1!AA340+Calculation!ES338+O338+W338+Sheet1!BN340+Calculation!AS338+Calculation!DJ338-BP338)</f>
        <v>55.403615859506786</v>
      </c>
      <c r="AJ338" s="95"/>
      <c r="AM338" s="91">
        <f t="shared" ref="AM338:AM381" si="44">B338</f>
        <v>41966</v>
      </c>
      <c r="AN338" s="95">
        <f>Sheet1!BU340</f>
        <v>19.5</v>
      </c>
      <c r="AO338" s="95">
        <f>Sheet1!AA340</f>
        <v>20.100000000000001</v>
      </c>
      <c r="AP338" s="95">
        <f t="shared" si="39"/>
        <v>0.45705000000000251</v>
      </c>
      <c r="AQ338" s="1055">
        <f>((Sheet1!BV340-(Sheet1!BU340-AP338))/(Sheet1!BU340-AP338))</f>
        <v>0.1027703165738503</v>
      </c>
      <c r="AR338" s="95">
        <f t="shared" si="40"/>
        <v>19.642949999999999</v>
      </c>
      <c r="AS338" s="95">
        <f t="shared" si="41"/>
        <v>19.042949999999998</v>
      </c>
      <c r="AT338" s="90">
        <f>Sheet1!BB340</f>
        <v>1</v>
      </c>
      <c r="AU338" s="90">
        <f>Sheet1!AS340*GPMtoMGD</f>
        <v>1.728E-2</v>
      </c>
      <c r="AV338" s="95">
        <f>Sheet1!AT340</f>
        <v>0</v>
      </c>
      <c r="AW338" s="90">
        <f>Sheet1!AV340*GPMtoMGD</f>
        <v>0.391536</v>
      </c>
      <c r="AX338" s="90">
        <f>Sheet1!AW340*GPMtoMGD</f>
        <v>0.89740800000000009</v>
      </c>
      <c r="AY338" s="90">
        <f>Sheet1!AX340*GPMtoMGD</f>
        <v>1.6560000000000002E-2</v>
      </c>
      <c r="AZ338" s="90">
        <f>Sheet1!AY340*GPMtoMGD</f>
        <v>0</v>
      </c>
      <c r="BA338" s="90">
        <f>Sheet1!AZ340*GPMtoMGD</f>
        <v>0</v>
      </c>
      <c r="BB338" s="90">
        <f>Sheet1!BP340*GPMtoMGD</f>
        <v>0.49680000000000002</v>
      </c>
      <c r="BC338" s="90">
        <f>Sheet1!CS340*GPMtoMGD</f>
        <v>7.2576000000000001</v>
      </c>
      <c r="BD338" s="90">
        <f>Sheet1!BO340*GPMtoMGD</f>
        <v>1.8560160000000003</v>
      </c>
      <c r="BE338" s="90">
        <f>Sheet1!BW340*GPMtoMGD</f>
        <v>0.92390400000000006</v>
      </c>
      <c r="BF338" s="90">
        <f>Sheet1!CN340*GPMtoMGD</f>
        <v>1.3151520000000001</v>
      </c>
      <c r="BG338" s="90">
        <f>Sheet1!CO340*GPMtoMGD</f>
        <v>0.46987200000000007</v>
      </c>
      <c r="BH338" s="90">
        <f>Sheet1!CP340*GPMtoMGD</f>
        <v>0.79675200000000002</v>
      </c>
      <c r="BI338" s="90">
        <f t="shared" ref="BI338:BI381" si="45">BD338+BB338</f>
        <v>2.3528160000000002</v>
      </c>
      <c r="BK338" s="95">
        <f>SUM(AT338:BA338,BE338,Sheet1!BV340,'Calculations II'!BC338,Calculation!AQ338)</f>
        <v>47.524585029702969</v>
      </c>
      <c r="BM338" s="373">
        <f>0</f>
        <v>0</v>
      </c>
      <c r="BN338" s="373">
        <f>0</f>
        <v>0</v>
      </c>
      <c r="BP338" s="95">
        <f>SUM(BM338:BN338,W338,Sheet1!DX340)</f>
        <v>0</v>
      </c>
    </row>
    <row r="339" spans="1:68" s="90" customFormat="1">
      <c r="A339" s="651" t="s">
        <v>4</v>
      </c>
      <c r="B339" s="92">
        <v>41967</v>
      </c>
      <c r="C339" s="93">
        <v>0</v>
      </c>
      <c r="D339" s="95">
        <f>(Sheet1!BQ341-Sheet1!BQ340)*1.385</f>
        <v>0.80329999999999768</v>
      </c>
      <c r="E339" s="30">
        <f>(Sheet1!BR341-Sheet1!BR340)*1.385</f>
        <v>0.76175000000000104</v>
      </c>
      <c r="F339" s="30">
        <f ca="1">IF(B339=TODAY(),0,-(VLOOKUP(Sheet1!CD341,Lookup!$I$4:$J$216,2)-VLOOKUP(Sheet1!CD340,Lookup!$I$4:$J$216,2))/1000000)</f>
        <v>2.3836495865994003</v>
      </c>
      <c r="G339" s="95">
        <f ca="1">IF(B339=TODAY(),0,-$G$6*(Sheet1!CF341-Sheet1!CF340)*7.48/1000000)</f>
        <v>-0.57584576526211018</v>
      </c>
      <c r="H339" s="95">
        <f ca="1">IF(B339=TODAY(),0,-$H$6*(Sheet1!CE341-Sheet1!CE340)*7.48/1000000)</f>
        <v>0.12031545881012005</v>
      </c>
      <c r="I339" s="95">
        <f ca="1">IF(B339=TODAY(),0,-$I$6*(Sheet1!CG341-Sheet1!CG340)*7.48/1000000)</f>
        <v>4.4924879999999837E-3</v>
      </c>
      <c r="J339" s="96" t="s">
        <v>186</v>
      </c>
      <c r="K339" s="95">
        <f ca="1">IF(B339=TODAY(),0,-$K$6*(Sheet1!CH341-Sheet1!CH340)*7.48/1000000)</f>
        <v>2.6653281497833796E-2</v>
      </c>
      <c r="L339" s="96" t="s">
        <v>186</v>
      </c>
      <c r="M339" s="95">
        <f ca="1">IF(B339=TODAY(),0,-$M$6*(Sheet1!CI341-Sheet1!CI340)*7.48/1000000)</f>
        <v>-6.4769430340897591E-2</v>
      </c>
      <c r="N339" s="95">
        <f ca="1">IF(B339=TODAY(),0,-$N$6*(Sheet1!CJ341-Sheet1!CJ340)*7.48/1000000)</f>
        <v>0.57708681217000213</v>
      </c>
      <c r="O339" s="95">
        <f t="shared" ca="1" si="42"/>
        <v>2.4715824314743484</v>
      </c>
      <c r="P339" s="95">
        <f ca="1">O339+Calculation!ES339</f>
        <v>0.94681411678369143</v>
      </c>
      <c r="Q339" s="90" t="str">
        <f>IF(Sheet1!BQ341&gt;25.75,"spill elevation","-")</f>
        <v>-</v>
      </c>
      <c r="R339" s="90" t="str">
        <f>IF(Sheet1!BQ341&gt;25.75,"spill elevation","-")</f>
        <v>-</v>
      </c>
      <c r="S339" s="90" t="str">
        <f>IF(Sheet1!BR341&gt;25.75,"spill elevation","-")</f>
        <v>-</v>
      </c>
      <c r="T339" s="94">
        <f>IF(Sheet1!DU341=1,Sheet1!AA341-(SUM(AT339:BA339)+BE339),Sheet1!AA341-SUM(AT339:BA339))</f>
        <v>18.018768000000001</v>
      </c>
      <c r="U339" s="94">
        <f>Sheet1!BV341</f>
        <v>20</v>
      </c>
      <c r="V339" s="94">
        <f t="shared" si="43"/>
        <v>-1.9812319999999985</v>
      </c>
      <c r="W339" s="94">
        <f>0</f>
        <v>0</v>
      </c>
      <c r="X339" s="90">
        <f>0</f>
        <v>0</v>
      </c>
      <c r="Y339" s="95">
        <f ca="1">Calculation!EJ340+Calculation!ES339+'Calculations II'!O339-'Calculations II'!W339</f>
        <v>53.933758116783693</v>
      </c>
      <c r="Z339" s="95">
        <f ca="1">Y339-Sheet1!CT342</f>
        <v>38.703758116783689</v>
      </c>
      <c r="AA339" s="95">
        <f ca="1">Y339+Calculation!DJ340+Calculation!AS340</f>
        <v>63.958173701199279</v>
      </c>
      <c r="AC339" s="95">
        <f>Sheet1!AA341+Sheet1!AB341+BC339</f>
        <v>53.569631999999999</v>
      </c>
      <c r="AD339" s="95">
        <f>Sheet1!AA341+Sheet1!BN341+'Calculations II'!BC339-Calculation!AS339-Calculation!DJ339</f>
        <v>33.589258467449305</v>
      </c>
      <c r="AE339" s="95">
        <f>Sheet1!AA341+Sheet1!AB341+'Calculations II'!BC339-Calculation!AS339-Calculation!DJ339</f>
        <v>43.569258467449302</v>
      </c>
      <c r="AF339" s="95">
        <f ca="1">Sheet1!AA341+Sheet1!BN341+P339+'Calculations II'!BC339+Calculation!AS339+Calculation!DJ339</f>
        <v>54.53681964933439</v>
      </c>
      <c r="AG339" s="95">
        <f ca="1">IF(B339=TODAY(),0,Sheet1!AA341+Sheet1!BN341+'Calculations II'!BC339+'Calculations II'!P339-Sheet1!CT341-BP339)</f>
        <v>29.139446116783695</v>
      </c>
      <c r="AH339" s="95">
        <f ca="1">IF(B339=TODAY(),0,Sheet1!AA341+Sheet1!BN341+'Calculations II'!BC339+'Calculations II'!P339-BP339)</f>
        <v>44.536446116783694</v>
      </c>
      <c r="AI339" s="95">
        <f ca="1">IF(B339=TODAY(),0,BC339+Sheet1!AA341+Calculation!ES339+O339+W339+Sheet1!BN341+Calculation!AS339+Calculation!DJ339-BP339)</f>
        <v>54.53681964933439</v>
      </c>
      <c r="AJ339" s="95"/>
      <c r="AM339" s="91">
        <f t="shared" si="44"/>
        <v>41967</v>
      </c>
      <c r="AN339" s="95">
        <f>Sheet1!BU341</f>
        <v>19.5</v>
      </c>
      <c r="AO339" s="95">
        <f>Sheet1!AA341</f>
        <v>20.100000000000001</v>
      </c>
      <c r="AP339" s="95">
        <f t="shared" si="39"/>
        <v>1.5650499999999987</v>
      </c>
      <c r="AQ339" s="1055">
        <f>((Sheet1!BV341-(Sheet1!BU341-AP339))/(Sheet1!BU341-AP339))</f>
        <v>0.11514110716784821</v>
      </c>
      <c r="AR339" s="95">
        <f t="shared" si="40"/>
        <v>18.534950000000002</v>
      </c>
      <c r="AS339" s="95">
        <f t="shared" si="41"/>
        <v>17.934950000000001</v>
      </c>
      <c r="AT339" s="90">
        <f>Sheet1!BB341</f>
        <v>0.99</v>
      </c>
      <c r="AU339" s="90">
        <f>Sheet1!AS341*GPMtoMGD</f>
        <v>3.168E-2</v>
      </c>
      <c r="AV339" s="95">
        <f>Sheet1!AT341</f>
        <v>0</v>
      </c>
      <c r="AW339" s="90">
        <f>Sheet1!AV341*GPMtoMGD</f>
        <v>0.29476799999999997</v>
      </c>
      <c r="AX339" s="90">
        <f>Sheet1!AW341*GPMtoMGD</f>
        <v>0.72489599999999998</v>
      </c>
      <c r="AY339" s="90">
        <f>Sheet1!AX341*GPMtoMGD</f>
        <v>3.9888E-2</v>
      </c>
      <c r="AZ339" s="90">
        <f>Sheet1!AY341*GPMtoMGD</f>
        <v>0</v>
      </c>
      <c r="BA339" s="90">
        <f>Sheet1!AZ341*GPMtoMGD</f>
        <v>0</v>
      </c>
      <c r="BB339" s="90">
        <f>Sheet1!BP341*GPMtoMGD</f>
        <v>0.43732799999999999</v>
      </c>
      <c r="BC339" s="90">
        <f>Sheet1!CS341*GPMtoMGD</f>
        <v>5.3896320000000006</v>
      </c>
      <c r="BD339" s="90">
        <f>Sheet1!BO341*GPMtoMGD</f>
        <v>1.063296</v>
      </c>
      <c r="BE339" s="90">
        <f>Sheet1!BW341*GPMtoMGD</f>
        <v>0.64339200000000007</v>
      </c>
      <c r="BF339" s="90">
        <f>Sheet1!CN341*GPMtoMGD</f>
        <v>1.122336</v>
      </c>
      <c r="BG339" s="90">
        <f>Sheet1!CO341*GPMtoMGD</f>
        <v>0.45590400000000009</v>
      </c>
      <c r="BH339" s="90">
        <f>Sheet1!CP341*GPMtoMGD</f>
        <v>0.83491199999999999</v>
      </c>
      <c r="BI339" s="90">
        <f t="shared" si="45"/>
        <v>1.500624</v>
      </c>
      <c r="BK339" s="95">
        <f>SUM(AT339:BA339,BE339,Sheet1!BV341,'Calculations II'!BC339,Calculation!AQ339)</f>
        <v>46.19493903094984</v>
      </c>
      <c r="BM339" s="373">
        <f>0</f>
        <v>0</v>
      </c>
      <c r="BN339" s="373">
        <f>0</f>
        <v>0</v>
      </c>
      <c r="BP339" s="95">
        <f>SUM(BM339:BN339,W339,Sheet1!DX341)</f>
        <v>0</v>
      </c>
    </row>
    <row r="340" spans="1:68" s="90" customFormat="1">
      <c r="A340" s="651" t="s">
        <v>5</v>
      </c>
      <c r="B340" s="92">
        <v>41968</v>
      </c>
      <c r="C340" s="93">
        <v>0</v>
      </c>
      <c r="D340" s="95">
        <f>(Sheet1!BQ342-Sheet1!BQ341)*1.385</f>
        <v>-0.1246499999999998</v>
      </c>
      <c r="E340" s="30">
        <f>(Sheet1!BR342-Sheet1!BR341)*1.385</f>
        <v>-9.6950000000000397E-2</v>
      </c>
      <c r="F340" s="30">
        <f ca="1">IF(B340=TODAY(),0,-(VLOOKUP(Sheet1!CD342,Lookup!$I$4:$J$216,2)-VLOOKUP(Sheet1!CD341,Lookup!$I$4:$J$216,2))/1000000)</f>
        <v>0.93273244693019797</v>
      </c>
      <c r="G340" s="95">
        <f ca="1">IF(B340=TODAY(),0,-$G$6*(Sheet1!CF342-Sheet1!CF341)*7.48/1000000)</f>
        <v>-0.33756475894675386</v>
      </c>
      <c r="H340" s="95">
        <f ca="1">IF(B340=TODAY(),0,-$H$6*(Sheet1!CE342-Sheet1!CE341)*7.48/1000000)</f>
        <v>7.5197161756325293E-2</v>
      </c>
      <c r="I340" s="95">
        <f ca="1">IF(B340=TODAY(),0,-$I$6*(Sheet1!CG342-Sheet1!CG341)*7.48/1000000)</f>
        <v>0.15274459200000004</v>
      </c>
      <c r="J340" s="96" t="s">
        <v>186</v>
      </c>
      <c r="K340" s="95">
        <f ca="1">IF(B340=TODAY(),0,-$K$6*(Sheet1!CH342-Sheet1!CH341)*7.48/1000000)</f>
        <v>0.24454385774262483</v>
      </c>
      <c r="L340" s="96" t="s">
        <v>186</v>
      </c>
      <c r="M340" s="95">
        <f ca="1">IF(B340=TODAY(),0,-$M$6*(Sheet1!CI342-Sheet1!CI341)*7.48/1000000)</f>
        <v>0.81141703010402011</v>
      </c>
      <c r="N340" s="95">
        <f ca="1">IF(B340=TODAY(),0,-$N$6*(Sheet1!CJ342-Sheet1!CJ341)*7.48/1000000)</f>
        <v>-1.4085882404579622</v>
      </c>
      <c r="O340" s="95">
        <f t="shared" ca="1" si="42"/>
        <v>0.47048208912845213</v>
      </c>
      <c r="P340" s="95">
        <f ca="1">O340+Calculation!ES340</f>
        <v>0.6091207048632975</v>
      </c>
      <c r="Q340" s="90" t="str">
        <f>IF(Sheet1!BQ342&gt;25.75,"spill elevation","-")</f>
        <v>-</v>
      </c>
      <c r="R340" s="90" t="str">
        <f>IF(Sheet1!BQ342&gt;25.75,"spill elevation","-")</f>
        <v>-</v>
      </c>
      <c r="S340" s="90" t="str">
        <f>IF(Sheet1!BR342&gt;25.75,"spill elevation","-")</f>
        <v>-</v>
      </c>
      <c r="T340" s="94">
        <f>IF(Sheet1!DU342=1,Sheet1!AA342-(SUM(AT340:BA340)+BE340),Sheet1!AA342-SUM(AT340:BA340))</f>
        <v>18.637360000000001</v>
      </c>
      <c r="U340" s="94">
        <f>Sheet1!BV342</f>
        <v>22.4</v>
      </c>
      <c r="V340" s="94">
        <f t="shared" si="43"/>
        <v>-3.7626399999999975</v>
      </c>
      <c r="W340" s="94">
        <f>0</f>
        <v>0</v>
      </c>
      <c r="X340" s="90">
        <f>0</f>
        <v>0</v>
      </c>
      <c r="Y340" s="95">
        <f ca="1">Calculation!EJ341+Calculation!ES340+'Calculations II'!O340-'Calculations II'!W340</f>
        <v>54.675360704863301</v>
      </c>
      <c r="Z340" s="95">
        <f ca="1">Y340-Sheet1!CT343</f>
        <v>38.3253607048633</v>
      </c>
      <c r="AA340" s="95">
        <f ca="1">Y340+Calculation!DJ341+Calculation!AS341</f>
        <v>64.566403457730871</v>
      </c>
      <c r="AC340" s="95">
        <f>Sheet1!AA342+Sheet1!AB342+BC340</f>
        <v>52.986944000000001</v>
      </c>
      <c r="AD340" s="95">
        <f>Sheet1!AA342+Sheet1!BN342+'Calculations II'!BC340-Calculation!AS340-Calculation!DJ340</f>
        <v>33.022528415584418</v>
      </c>
      <c r="AE340" s="95">
        <f>Sheet1!AA342+Sheet1!AB342+'Calculations II'!BC340-Calculation!AS340-Calculation!DJ340</f>
        <v>42.962528415584416</v>
      </c>
      <c r="AF340" s="95">
        <f ca="1">Sheet1!AA342+Sheet1!BN342+P340+'Calculations II'!BC340+Calculation!AS340+Calculation!DJ340</f>
        <v>53.680480289278883</v>
      </c>
      <c r="AG340" s="95">
        <f ca="1">IF(B340=TODAY(),0,Sheet1!AA342+Sheet1!BN342+'Calculations II'!BC340+'Calculations II'!P340-Sheet1!CT342-BP340)</f>
        <v>28.426064704863304</v>
      </c>
      <c r="AH340" s="95">
        <f ca="1">IF(B340=TODAY(),0,Sheet1!AA342+Sheet1!BN342+'Calculations II'!BC340+'Calculations II'!P340-BP340)</f>
        <v>43.656064704863304</v>
      </c>
      <c r="AI340" s="95">
        <f ca="1">IF(B340=TODAY(),0,BC340+Sheet1!AA342+Calculation!ES340+O340+W340+Sheet1!BN342+Calculation!AS340+Calculation!DJ340-BP340)</f>
        <v>53.680480289278883</v>
      </c>
      <c r="AJ340" s="95"/>
      <c r="AM340" s="91">
        <f t="shared" si="44"/>
        <v>41968</v>
      </c>
      <c r="AN340" s="95">
        <f>Sheet1!BU342</f>
        <v>19.899999999999999</v>
      </c>
      <c r="AO340" s="95">
        <f>Sheet1!AA342</f>
        <v>20.6</v>
      </c>
      <c r="AP340" s="95">
        <f t="shared" si="39"/>
        <v>-0.22160000000000019</v>
      </c>
      <c r="AQ340" s="1055">
        <f>((Sheet1!BV342-(Sheet1!BU342-AP340))/(Sheet1!BU342-AP340))</f>
        <v>0.11323155216284995</v>
      </c>
      <c r="AR340" s="95">
        <f t="shared" si="40"/>
        <v>20.8216</v>
      </c>
      <c r="AS340" s="95">
        <f t="shared" si="41"/>
        <v>20.121599999999997</v>
      </c>
      <c r="AT340" s="90">
        <f>Sheet1!BB342</f>
        <v>1</v>
      </c>
      <c r="AU340" s="90">
        <f>Sheet1!AS342*GPMtoMGD</f>
        <v>1.584E-2</v>
      </c>
      <c r="AV340" s="95">
        <f>Sheet1!AT342</f>
        <v>0</v>
      </c>
      <c r="AW340" s="90">
        <f>Sheet1!AV342*GPMtoMGD</f>
        <v>0.30052800000000002</v>
      </c>
      <c r="AX340" s="90">
        <f>Sheet1!AW342*GPMtoMGD</f>
        <v>0.64296000000000009</v>
      </c>
      <c r="AY340" s="90">
        <f>Sheet1!AX342*GPMtoMGD</f>
        <v>3.3119999999999998E-3</v>
      </c>
      <c r="AZ340" s="90">
        <f>Sheet1!AY342*GPMtoMGD</f>
        <v>0</v>
      </c>
      <c r="BA340" s="90">
        <f>Sheet1!AZ342*GPMtoMGD</f>
        <v>0</v>
      </c>
      <c r="BB340" s="90">
        <f>Sheet1!BP342*GPMtoMGD</f>
        <v>0.14918400000000001</v>
      </c>
      <c r="BC340" s="90">
        <f>Sheet1!CS342*GPMtoMGD</f>
        <v>11.746944000000001</v>
      </c>
      <c r="BD340" s="90">
        <f>Sheet1!BO342*GPMtoMGD</f>
        <v>0.32500800000000002</v>
      </c>
      <c r="BE340" s="90">
        <f>Sheet1!BW342*GPMtoMGD</f>
        <v>0.88574400000000009</v>
      </c>
      <c r="BF340" s="90">
        <f>Sheet1!CN342*GPMtoMGD</f>
        <v>0.67046400000000006</v>
      </c>
      <c r="BG340" s="90">
        <f>Sheet1!CO342*GPMtoMGD</f>
        <v>0.410688</v>
      </c>
      <c r="BH340" s="90">
        <f>Sheet1!CP342*GPMtoMGD</f>
        <v>0.79488000000000003</v>
      </c>
      <c r="BI340" s="90">
        <f t="shared" si="45"/>
        <v>0.47419200000000006</v>
      </c>
      <c r="BK340" s="95">
        <f>SUM(AT340:BA340,BE340,Sheet1!BV342,'Calculations II'!BC340,Calculation!AQ340)</f>
        <v>47.618127422799425</v>
      </c>
      <c r="BM340" s="373">
        <f>0</f>
        <v>0</v>
      </c>
      <c r="BN340" s="373">
        <f>0</f>
        <v>0</v>
      </c>
      <c r="BP340" s="95">
        <f>SUM(BM340:BN340,W340,Sheet1!DX342)</f>
        <v>0</v>
      </c>
    </row>
    <row r="341" spans="1:68" s="90" customFormat="1">
      <c r="A341" s="651" t="s">
        <v>6</v>
      </c>
      <c r="B341" s="92">
        <v>41969</v>
      </c>
      <c r="C341" s="93">
        <v>0</v>
      </c>
      <c r="D341" s="95">
        <f>(Sheet1!BQ343-Sheet1!BQ342)*1.385</f>
        <v>1.3296000000000012</v>
      </c>
      <c r="E341" s="30">
        <f>(Sheet1!BR343-Sheet1!BR342)*1.385</f>
        <v>1.3434499999999985</v>
      </c>
      <c r="F341" s="30">
        <f ca="1">IF(B341=TODAY(),0,-(VLOOKUP(Sheet1!CD343,Lookup!$I$4:$J$216,2)-VLOOKUP(Sheet1!CD342,Lookup!$I$4:$J$216,2))/1000000)</f>
        <v>0</v>
      </c>
      <c r="G341" s="95">
        <f ca="1">IF(B341=TODAY(),0,-$G$6*(Sheet1!CF343-Sheet1!CF342)*7.48/1000000)</f>
        <v>0.23828100631535562</v>
      </c>
      <c r="H341" s="95">
        <f ca="1">IF(B341=TODAY(),0,-$H$6*(Sheet1!CE343-Sheet1!CE342)*7.48/1000000)</f>
        <v>0.42110410583542179</v>
      </c>
      <c r="I341" s="95">
        <f ca="1">IF(B341=TODAY(),0,-$I$6*(Sheet1!CG343-Sheet1!CG342)*7.48/1000000)</f>
        <v>-1.1231220000000002E-2</v>
      </c>
      <c r="J341" s="96" t="s">
        <v>186</v>
      </c>
      <c r="K341" s="95">
        <f ca="1">IF(B341=TODAY(),0,-$K$6*(Sheet1!CH343-Sheet1!CH342)*7.48/1000000)</f>
        <v>-1.1327644636579348E-2</v>
      </c>
      <c r="L341" s="96" t="s">
        <v>186</v>
      </c>
      <c r="M341" s="95">
        <f ca="1">IF(B341=TODAY(),0,-$M$6*(Sheet1!CI343-Sheet1!CI342)*7.48/1000000)</f>
        <v>-4.4978771070067619E-2</v>
      </c>
      <c r="N341" s="95">
        <f ca="1">IF(B341=TODAY(),0,-$N$6*(Sheet1!CJ343-Sheet1!CJ342)*7.48/1000000)</f>
        <v>0.87493807006419588</v>
      </c>
      <c r="O341" s="95">
        <f t="shared" ca="1" si="42"/>
        <v>1.4667855465083264</v>
      </c>
      <c r="P341" s="95">
        <f ca="1">O341+Calculation!ES341</f>
        <v>-1.1677521246926981</v>
      </c>
      <c r="Q341" s="90" t="str">
        <f>IF(Sheet1!BQ343&gt;25.75,"spill elevation","-")</f>
        <v>-</v>
      </c>
      <c r="R341" s="90" t="str">
        <f>IF(Sheet1!BQ343&gt;25.75,"spill elevation","-")</f>
        <v>-</v>
      </c>
      <c r="S341" s="90" t="str">
        <f>IF(Sheet1!BR343&gt;25.75,"spill elevation","-")</f>
        <v>-</v>
      </c>
      <c r="T341" s="94">
        <f>IF(Sheet1!DU343=1,Sheet1!AA343-(SUM(AT341:BA341)+BE341),Sheet1!AA343-SUM(AT341:BA341))</f>
        <v>18.484352000000001</v>
      </c>
      <c r="U341" s="94">
        <f>Sheet1!BV343</f>
        <v>19.399999999999999</v>
      </c>
      <c r="V341" s="94">
        <f t="shared" si="43"/>
        <v>-0.91564799999999735</v>
      </c>
      <c r="W341" s="94">
        <f>0</f>
        <v>0</v>
      </c>
      <c r="X341" s="90">
        <f>0</f>
        <v>0</v>
      </c>
      <c r="Y341" s="95">
        <f ca="1">Calculation!EJ342+Calculation!ES341+'Calculations II'!O341-'Calculations II'!W341</f>
        <v>49.1908078753073</v>
      </c>
      <c r="Z341" s="95">
        <f ca="1">Y341-Sheet1!CT344</f>
        <v>32.3708078753073</v>
      </c>
      <c r="AA341" s="95">
        <f ca="1">Y341+Calculation!DJ342+Calculation!AS342</f>
        <v>59.051132785054591</v>
      </c>
      <c r="AC341" s="95">
        <f>Sheet1!AA343+Sheet1!AB343+BC341</f>
        <v>54.066240000000001</v>
      </c>
      <c r="AD341" s="95">
        <f>Sheet1!AA343+Sheet1!BN343+'Calculations II'!BC341-Calculation!AS341-Calculation!DJ341</f>
        <v>34.385197247132432</v>
      </c>
      <c r="AE341" s="95">
        <f>Sheet1!AA343+Sheet1!AB343+'Calculations II'!BC341-Calculation!AS341-Calculation!DJ341</f>
        <v>44.175197247132431</v>
      </c>
      <c r="AF341" s="95">
        <f ca="1">Sheet1!AA343+Sheet1!BN343+P341+'Calculations II'!BC341+Calculation!AS341+Calculation!DJ341</f>
        <v>52.999530628174874</v>
      </c>
      <c r="AG341" s="95">
        <f ca="1">IF(B341=TODAY(),0,Sheet1!AA343+Sheet1!BN343+'Calculations II'!BC341+'Calculations II'!P341-Sheet1!CT343-BP341)</f>
        <v>26.758487875307303</v>
      </c>
      <c r="AH341" s="95">
        <f ca="1">IF(B341=TODAY(),0,Sheet1!AA343+Sheet1!BN343+'Calculations II'!BC341+'Calculations II'!P341-BP341)</f>
        <v>43.108487875307304</v>
      </c>
      <c r="AI341" s="95">
        <f ca="1">IF(B341=TODAY(),0,BC341+Sheet1!AA343+Calculation!ES341+O341+W341+Sheet1!BN343+Calculation!AS341+Calculation!DJ341-BP341)</f>
        <v>52.999530628174874</v>
      </c>
      <c r="AJ341" s="95"/>
      <c r="AM341" s="91">
        <f t="shared" si="44"/>
        <v>41969</v>
      </c>
      <c r="AN341" s="95">
        <f>Sheet1!BU343</f>
        <v>19.899999999999999</v>
      </c>
      <c r="AO341" s="95">
        <f>Sheet1!AA343</f>
        <v>20.7</v>
      </c>
      <c r="AP341" s="95">
        <f t="shared" si="39"/>
        <v>2.6730499999999999</v>
      </c>
      <c r="AQ341" s="1055">
        <f>((Sheet1!BV343-(Sheet1!BU343-AP341))/(Sheet1!BU343-AP341))</f>
        <v>0.12614246863199813</v>
      </c>
      <c r="AR341" s="95">
        <f t="shared" si="40"/>
        <v>18.026949999999999</v>
      </c>
      <c r="AS341" s="95">
        <f t="shared" si="41"/>
        <v>17.226949999999999</v>
      </c>
      <c r="AT341" s="90">
        <f>Sheet1!BB343</f>
        <v>1</v>
      </c>
      <c r="AU341" s="90">
        <f>Sheet1!AS343*GPMtoMGD</f>
        <v>3.2832E-2</v>
      </c>
      <c r="AV341" s="95">
        <f>Sheet1!AT343</f>
        <v>0</v>
      </c>
      <c r="AW341" s="90">
        <f>Sheet1!AV343*GPMtoMGD</f>
        <v>0.40766400000000008</v>
      </c>
      <c r="AX341" s="90">
        <f>Sheet1!AW343*GPMtoMGD</f>
        <v>0.77515199999999995</v>
      </c>
      <c r="AY341" s="90">
        <f>Sheet1!AX343*GPMtoMGD</f>
        <v>0</v>
      </c>
      <c r="AZ341" s="90">
        <f>Sheet1!AY343*GPMtoMGD</f>
        <v>0</v>
      </c>
      <c r="BA341" s="90">
        <f>Sheet1!AZ343*GPMtoMGD</f>
        <v>0</v>
      </c>
      <c r="BB341" s="90">
        <f>Sheet1!BP343*GPMtoMGD</f>
        <v>0.49320000000000003</v>
      </c>
      <c r="BC341" s="90">
        <f>Sheet1!CS343*GPMtoMGD</f>
        <v>14.376240000000001</v>
      </c>
      <c r="BD341" s="90">
        <f>Sheet1!BO343*GPMtoMGD</f>
        <v>1.0896480000000002</v>
      </c>
      <c r="BE341" s="90">
        <f>Sheet1!BW343*GPMtoMGD</f>
        <v>0.88516800000000007</v>
      </c>
      <c r="BF341" s="90">
        <f>Sheet1!CN343*GPMtoMGD</f>
        <v>0.62064000000000008</v>
      </c>
      <c r="BG341" s="90">
        <f>Sheet1!CO343*GPMtoMGD</f>
        <v>0.44424000000000002</v>
      </c>
      <c r="BH341" s="90">
        <f>Sheet1!CP343*GPMtoMGD</f>
        <v>0.78379199999999993</v>
      </c>
      <c r="BI341" s="90">
        <f t="shared" si="45"/>
        <v>1.5828480000000003</v>
      </c>
      <c r="BK341" s="95">
        <f>SUM(AT341:BA341,BE341,Sheet1!BV343,'Calculations II'!BC341,Calculation!AQ341)</f>
        <v>45.985919399374353</v>
      </c>
      <c r="BM341" s="373">
        <f>0</f>
        <v>0</v>
      </c>
      <c r="BN341" s="373">
        <f>0</f>
        <v>0</v>
      </c>
      <c r="BP341" s="95">
        <f>SUM(BM341:BN341,W341,Sheet1!DX343)</f>
        <v>0</v>
      </c>
    </row>
    <row r="342" spans="1:68" s="90" customFormat="1">
      <c r="A342" s="651" t="s">
        <v>7</v>
      </c>
      <c r="B342" s="92">
        <v>41970</v>
      </c>
      <c r="C342" s="93">
        <v>0</v>
      </c>
      <c r="D342" s="95">
        <f>(Sheet1!BQ344-Sheet1!BQ343)*1.385</f>
        <v>-2.2187700000000006</v>
      </c>
      <c r="E342" s="30">
        <f>(Sheet1!BR344-Sheet1!BR343)*1.385</f>
        <v>-2.2021499999999996</v>
      </c>
      <c r="F342" s="30">
        <f ca="1">IF(B342=TODAY(),0,-(VLOOKUP(Sheet1!CD344,Lookup!$I$4:$J$216,2)-VLOOKUP(Sheet1!CD343,Lookup!$I$4:$J$216,2))/1000000)</f>
        <v>-0.10363693854779936</v>
      </c>
      <c r="G342" s="95">
        <f ca="1">IF(B342=TODAY(),0,-$G$6*(Sheet1!CF344-Sheet1!CF343)*7.48/1000000)</f>
        <v>0.23828100631535562</v>
      </c>
      <c r="H342" s="95">
        <f ca="1">IF(B342=TODAY(),0,-$H$6*(Sheet1!CE344-Sheet1!CE343)*7.48/1000000)</f>
        <v>-0.45118297053795176</v>
      </c>
      <c r="I342" s="95">
        <f ca="1">IF(B342=TODAY(),0,-$I$6*(Sheet1!CG344-Sheet1!CG343)*7.48/1000000)</f>
        <v>-0.208900692</v>
      </c>
      <c r="J342" s="96" t="s">
        <v>186</v>
      </c>
      <c r="K342" s="95">
        <f ca="1">IF(B342=TODAY(),0,-$K$6*(Sheet1!CH344-Sheet1!CH343)*7.48/1000000)</f>
        <v>-0.36514995652032273</v>
      </c>
      <c r="L342" s="96" t="s">
        <v>186</v>
      </c>
      <c r="M342" s="95">
        <f ca="1">IF(B342=TODAY(),0,-$M$6*(Sheet1!CI344-Sheet1!CI343)*7.48/1000000)</f>
        <v>-0.98953296354148756</v>
      </c>
      <c r="N342" s="95">
        <f ca="1">IF(B342=TODAY(),0,-$N$6*(Sheet1!CJ344-Sheet1!CJ343)*7.48/1000000)</f>
        <v>-0.55847110855161419</v>
      </c>
      <c r="O342" s="95">
        <f t="shared" ca="1" si="42"/>
        <v>-2.4385936233838201</v>
      </c>
      <c r="P342" s="95">
        <f ca="1">O342+Calculation!ES342</f>
        <v>1.9978421357041043</v>
      </c>
      <c r="Q342" s="90" t="str">
        <f>IF(Sheet1!BQ344&gt;25.75,"spill elevation","-")</f>
        <v>-</v>
      </c>
      <c r="R342" s="90" t="str">
        <f>IF(Sheet1!BQ344&gt;25.75,"spill elevation","-")</f>
        <v>-</v>
      </c>
      <c r="S342" s="90" t="str">
        <f>IF(Sheet1!BR344&gt;25.75,"spill elevation","-")</f>
        <v>-</v>
      </c>
      <c r="T342" s="94">
        <f>IF(Sheet1!DU344=1,Sheet1!AA344-(SUM(AT342:BA342)+BE342),Sheet1!AA344-SUM(AT342:BA342))</f>
        <v>18.195983999999999</v>
      </c>
      <c r="U342" s="94">
        <f>Sheet1!BV344</f>
        <v>26.2</v>
      </c>
      <c r="V342" s="94">
        <f t="shared" si="43"/>
        <v>-8.004016</v>
      </c>
      <c r="W342" s="94">
        <f>0</f>
        <v>0</v>
      </c>
      <c r="X342" s="90">
        <f>0</f>
        <v>0</v>
      </c>
      <c r="Y342" s="95">
        <f ca="1">Calculation!EJ343+Calculation!ES342+'Calculations II'!O342-'Calculations II'!W342</f>
        <v>50.631746135704105</v>
      </c>
      <c r="Z342" s="95">
        <f ca="1">Y342-Sheet1!CT345</f>
        <v>34.305746135704105</v>
      </c>
      <c r="AA342" s="95">
        <f ca="1">Y342+Calculation!DJ343+Calculation!AS343</f>
        <v>60.522612767774682</v>
      </c>
      <c r="AC342" s="95">
        <f>Sheet1!AA344+Sheet1!AB344+BC342</f>
        <v>50.358559999999997</v>
      </c>
      <c r="AD342" s="95">
        <f>Sheet1!AA344+Sheet1!BN344+'Calculations II'!BC342-Calculation!AS342-Calculation!DJ342</f>
        <v>30.788235090252705</v>
      </c>
      <c r="AE342" s="95">
        <f>Sheet1!AA344+Sheet1!AB344+'Calculations II'!BC342-Calculation!AS342-Calculation!DJ342</f>
        <v>40.498235090252706</v>
      </c>
      <c r="AF342" s="95">
        <f ca="1">Sheet1!AA344+Sheet1!BN344+P342+'Calculations II'!BC342+Calculation!AS342+Calculation!DJ342</f>
        <v>52.506727045451392</v>
      </c>
      <c r="AG342" s="95">
        <f ca="1">IF(B342=TODAY(),0,Sheet1!AA344+Sheet1!BN344+'Calculations II'!BC342+'Calculations II'!P342-Sheet1!CT344-BP342)</f>
        <v>25.8264021357041</v>
      </c>
      <c r="AH342" s="95">
        <f ca="1">IF(B342=TODAY(),0,Sheet1!AA344+Sheet1!BN344+'Calculations II'!BC342+'Calculations II'!P342-BP342)</f>
        <v>42.646402135704101</v>
      </c>
      <c r="AI342" s="95">
        <f ca="1">IF(B342=TODAY(),0,BC342+Sheet1!AA344+Calculation!ES342+O342+W342+Sheet1!BN344+Calculation!AS342+Calculation!DJ342-BP342)</f>
        <v>52.506727045451392</v>
      </c>
      <c r="AJ342" s="95"/>
      <c r="AM342" s="91">
        <f t="shared" si="44"/>
        <v>41970</v>
      </c>
      <c r="AN342" s="95">
        <f>Sheet1!BU344</f>
        <v>19.7</v>
      </c>
      <c r="AO342" s="95">
        <f>Sheet1!AA344</f>
        <v>20.9</v>
      </c>
      <c r="AP342" s="95">
        <f t="shared" si="39"/>
        <v>-4.4209200000000006</v>
      </c>
      <c r="AQ342" s="1055">
        <f>((Sheet1!BV344-(Sheet1!BU344-AP342))/(Sheet1!BU344-AP342))</f>
        <v>8.6194058933075579E-2</v>
      </c>
      <c r="AR342" s="95">
        <f t="shared" si="40"/>
        <v>25.320920000000001</v>
      </c>
      <c r="AS342" s="95">
        <f t="shared" si="41"/>
        <v>24.120919999999998</v>
      </c>
      <c r="AT342" s="90">
        <f>Sheet1!BB344</f>
        <v>1.01</v>
      </c>
      <c r="AU342" s="90">
        <f>Sheet1!AS344*GPMtoMGD</f>
        <v>1.8720000000000001E-2</v>
      </c>
      <c r="AV342" s="95">
        <f>Sheet1!AT344</f>
        <v>0</v>
      </c>
      <c r="AW342" s="90">
        <f>Sheet1!AV344*GPMtoMGD</f>
        <v>0.53568000000000005</v>
      </c>
      <c r="AX342" s="90">
        <f>Sheet1!AW344*GPMtoMGD</f>
        <v>1.139616</v>
      </c>
      <c r="AY342" s="90">
        <f>Sheet1!AX344*GPMtoMGD</f>
        <v>0</v>
      </c>
      <c r="AZ342" s="90">
        <f>Sheet1!AY344*GPMtoMGD</f>
        <v>0</v>
      </c>
      <c r="BA342" s="90">
        <f>Sheet1!AZ344*GPMtoMGD</f>
        <v>0</v>
      </c>
      <c r="BB342" s="90">
        <f>Sheet1!BP344*GPMtoMGD</f>
        <v>0</v>
      </c>
      <c r="BC342" s="90">
        <f>Sheet1!CS344*GPMtoMGD</f>
        <v>10.348560000000001</v>
      </c>
      <c r="BD342" s="90">
        <f>Sheet1!BO344*GPMtoMGD</f>
        <v>2.9865600000000003</v>
      </c>
      <c r="BE342" s="90">
        <f>Sheet1!BW344*GPMtoMGD</f>
        <v>0.95760000000000001</v>
      </c>
      <c r="BF342" s="90">
        <f>Sheet1!CN344*GPMtoMGD</f>
        <v>0.72806400000000004</v>
      </c>
      <c r="BG342" s="90">
        <f>Sheet1!CO344*GPMtoMGD</f>
        <v>0.44280000000000003</v>
      </c>
      <c r="BH342" s="90">
        <f>Sheet1!CP344*GPMtoMGD</f>
        <v>0.72950400000000004</v>
      </c>
      <c r="BI342" s="90">
        <f t="shared" si="45"/>
        <v>2.9865600000000003</v>
      </c>
      <c r="BK342" s="95">
        <f>SUM(AT342:BA342,BE342,Sheet1!BV344,'Calculations II'!BC342,Calculation!AQ342)</f>
        <v>49.474435927797828</v>
      </c>
      <c r="BM342" s="373">
        <f>0</f>
        <v>0</v>
      </c>
      <c r="BN342" s="373">
        <f>0</f>
        <v>0</v>
      </c>
      <c r="BP342" s="95">
        <f>SUM(BM342:BN342,W342,Sheet1!DX344)</f>
        <v>0</v>
      </c>
    </row>
    <row r="343" spans="1:68" s="90" customFormat="1">
      <c r="A343" s="651" t="s">
        <v>8</v>
      </c>
      <c r="B343" s="92">
        <v>41971</v>
      </c>
      <c r="C343" s="93">
        <v>0</v>
      </c>
      <c r="D343" s="95">
        <f>(Sheet1!BQ345-Sheet1!BQ344)*1.385</f>
        <v>0.39057000000000003</v>
      </c>
      <c r="E343" s="30">
        <f>(Sheet1!BR345-Sheet1!BR344)*1.385</f>
        <v>0.34625</v>
      </c>
      <c r="F343" s="30">
        <f ca="1">IF(B343=TODAY(),0,-(VLOOKUP(Sheet1!CD345,Lookup!$I$4:$J$216,2)-VLOOKUP(Sheet1!CD344,Lookup!$I$4:$J$216,2))/1000000)</f>
        <v>0.10363693854779936</v>
      </c>
      <c r="G343" s="95">
        <f ca="1">IF(B343=TODAY(),0,-$G$6*(Sheet1!CF345-Sheet1!CF344)*7.48/1000000)</f>
        <v>0.15885400421023735</v>
      </c>
      <c r="H343" s="95">
        <f ca="1">IF(B343=TODAY(),0,-$H$6*(Sheet1!CE345-Sheet1!CE344)*7.48/1000000)</f>
        <v>9.0236594107590579E-2</v>
      </c>
      <c r="I343" s="95">
        <f ca="1">IF(B343=TODAY(),0,-$I$6*(Sheet1!CG345-Sheet1!CG344)*7.48/1000000)</f>
        <v>0.24573909360000007</v>
      </c>
      <c r="J343" s="96" t="s">
        <v>186</v>
      </c>
      <c r="K343" s="95">
        <f ca="1">IF(B343=TODAY(),0,-$K$6*(Sheet1!CH345-Sheet1!CH344)*7.48/1000000)</f>
        <v>0.41845651951599028</v>
      </c>
      <c r="L343" s="96" t="s">
        <v>186</v>
      </c>
      <c r="M343" s="95">
        <f ca="1">IF(B343=TODAY(),0,-$M$6*(Sheet1!CI345-Sheet1!CI344)*7.48/1000000)</f>
        <v>1.1514565393937308</v>
      </c>
      <c r="N343" s="95">
        <f ca="1">IF(B343=TODAY(),0,-$N$6*(Sheet1!CJ345-Sheet1!CJ344)*7.48/1000000)</f>
        <v>0.70119150295924948</v>
      </c>
      <c r="O343" s="95">
        <f t="shared" ca="1" si="42"/>
        <v>2.8695711923345977</v>
      </c>
      <c r="P343" s="95">
        <f ca="1">O343+Calculation!ES343</f>
        <v>2.1766025081953235</v>
      </c>
      <c r="Q343" s="90" t="str">
        <f>IF(Sheet1!BQ345&gt;25.75,"spill elevation","-")</f>
        <v>-</v>
      </c>
      <c r="R343" s="90" t="str">
        <f>IF(Sheet1!BQ345&gt;25.75,"spill elevation","-")</f>
        <v>-</v>
      </c>
      <c r="S343" s="90" t="str">
        <f>IF(Sheet1!BR345&gt;25.75,"spill elevation","-")</f>
        <v>-</v>
      </c>
      <c r="T343" s="94">
        <f>IF(Sheet1!DU345=1,Sheet1!AA345-(SUM(AT343:BA343)+BE343),Sheet1!AA345-SUM(AT343:BA343))</f>
        <v>18.05416</v>
      </c>
      <c r="U343" s="94">
        <f>Sheet1!BV345</f>
        <v>21.3</v>
      </c>
      <c r="V343" s="94">
        <f t="shared" si="43"/>
        <v>-3.2458400000000012</v>
      </c>
      <c r="W343" s="94">
        <f>0</f>
        <v>0</v>
      </c>
      <c r="X343" s="90">
        <f>0</f>
        <v>0</v>
      </c>
      <c r="Y343" s="95">
        <f ca="1">Calculation!EJ344+Calculation!ES343+'Calculations II'!O343-'Calculations II'!W343</f>
        <v>50.924986508195325</v>
      </c>
      <c r="Z343" s="95">
        <f ca="1">Y343-Sheet1!CT346</f>
        <v>35.721986508195329</v>
      </c>
      <c r="AA343" s="95">
        <f ca="1">Y343+Calculation!DJ344+Calculation!AS344</f>
        <v>60.817045331724735</v>
      </c>
      <c r="AC343" s="95">
        <f>Sheet1!AA345+Sheet1!AB345+BC343</f>
        <v>48.633904000000001</v>
      </c>
      <c r="AD343" s="95">
        <f>Sheet1!AA345+Sheet1!BN345+'Calculations II'!BC343-Calculation!AS343-Calculation!DJ343</f>
        <v>28.943037367929428</v>
      </c>
      <c r="AE343" s="95">
        <f>Sheet1!AA345+Sheet1!AB345+'Calculations II'!BC343-Calculation!AS343-Calculation!DJ343</f>
        <v>38.743037367929425</v>
      </c>
      <c r="AF343" s="95">
        <f ca="1">Sheet1!AA345+Sheet1!BN345+P343+'Calculations II'!BC343+Calculation!AS343+Calculation!DJ343</f>
        <v>50.901373140265896</v>
      </c>
      <c r="AG343" s="95">
        <f ca="1">IF(B343=TODAY(),0,Sheet1!AA345+Sheet1!BN345+'Calculations II'!BC343+'Calculations II'!P343-Sheet1!CT345-BP343)</f>
        <v>24.684506508195327</v>
      </c>
      <c r="AH343" s="95">
        <f ca="1">IF(B343=TODAY(),0,Sheet1!AA345+Sheet1!BN345+'Calculations II'!BC343+'Calculations II'!P343-BP343)</f>
        <v>41.010506508195327</v>
      </c>
      <c r="AI343" s="95">
        <f ca="1">IF(B343=TODAY(),0,BC343+Sheet1!AA345+Calculation!ES343+O343+W343+Sheet1!BN345+Calculation!AS343+Calculation!DJ343-BP343)</f>
        <v>50.901373140265896</v>
      </c>
      <c r="AJ343" s="95"/>
      <c r="AM343" s="91">
        <f t="shared" si="44"/>
        <v>41971</v>
      </c>
      <c r="AN343" s="95">
        <f>Sheet1!BU345</f>
        <v>19.399999999999999</v>
      </c>
      <c r="AO343" s="95">
        <f>Sheet1!AA345</f>
        <v>19.7</v>
      </c>
      <c r="AP343" s="95">
        <f t="shared" si="39"/>
        <v>0.73682000000000003</v>
      </c>
      <c r="AQ343" s="1055">
        <f>((Sheet1!BV345-(Sheet1!BU345-AP343))/(Sheet1!BU345-AP343))</f>
        <v>0.14128460423143346</v>
      </c>
      <c r="AR343" s="95">
        <f t="shared" si="40"/>
        <v>18.963179999999998</v>
      </c>
      <c r="AS343" s="95">
        <f t="shared" si="41"/>
        <v>18.663179999999997</v>
      </c>
      <c r="AT343" s="90">
        <f>Sheet1!BB345</f>
        <v>1</v>
      </c>
      <c r="AU343" s="90">
        <f>Sheet1!AS345*GPMtoMGD</f>
        <v>3.1392000000000003E-2</v>
      </c>
      <c r="AV343" s="95">
        <f>Sheet1!AT345</f>
        <v>0</v>
      </c>
      <c r="AW343" s="90">
        <f>Sheet1!AV345*GPMtoMGD</f>
        <v>0.29880000000000001</v>
      </c>
      <c r="AX343" s="90">
        <f>Sheet1!AW345*GPMtoMGD</f>
        <v>0.31420799999999999</v>
      </c>
      <c r="AY343" s="90">
        <f>Sheet1!AX345*GPMtoMGD</f>
        <v>1.4400000000000001E-3</v>
      </c>
      <c r="AZ343" s="90">
        <f>Sheet1!AY345*GPMtoMGD</f>
        <v>0</v>
      </c>
      <c r="BA343" s="90">
        <f>Sheet1!AZ345*GPMtoMGD</f>
        <v>0</v>
      </c>
      <c r="BB343" s="90">
        <f>Sheet1!BP345*GPMtoMGD</f>
        <v>0</v>
      </c>
      <c r="BC343" s="90">
        <f>Sheet1!CS345*GPMtoMGD</f>
        <v>9.8339040000000004</v>
      </c>
      <c r="BD343" s="90">
        <f>Sheet1!BO345*GPMtoMGD</f>
        <v>0</v>
      </c>
      <c r="BE343" s="90">
        <f>Sheet1!BW345*GPMtoMGD</f>
        <v>1.1597760000000001</v>
      </c>
      <c r="BF343" s="90">
        <f>Sheet1!CN345*GPMtoMGD</f>
        <v>0.638208</v>
      </c>
      <c r="BG343" s="90">
        <f>Sheet1!CO345*GPMtoMGD</f>
        <v>0.40708800000000001</v>
      </c>
      <c r="BH343" s="90">
        <f>Sheet1!CP345*GPMtoMGD</f>
        <v>0.744336</v>
      </c>
      <c r="BI343" s="90">
        <f t="shared" si="45"/>
        <v>0</v>
      </c>
      <c r="BK343" s="95">
        <f>SUM(AT343:BA343,BE343,Sheet1!BV345,'Calculations II'!BC343,Calculation!AQ343)</f>
        <v>43.157475371043077</v>
      </c>
      <c r="BM343" s="373">
        <f>0</f>
        <v>0</v>
      </c>
      <c r="BN343" s="373">
        <f>0</f>
        <v>0</v>
      </c>
      <c r="BP343" s="95">
        <f>SUM(BM343:BN343,W343,Sheet1!DX345)</f>
        <v>0</v>
      </c>
    </row>
    <row r="344" spans="1:68" s="90" customFormat="1">
      <c r="A344" s="651" t="s">
        <v>9</v>
      </c>
      <c r="B344" s="92">
        <v>41972</v>
      </c>
      <c r="C344" s="93">
        <v>0</v>
      </c>
      <c r="D344" s="95">
        <f>(Sheet1!BQ346-Sheet1!BQ345)*1.385</f>
        <v>-0.49859999999999921</v>
      </c>
      <c r="E344" s="30">
        <f>(Sheet1!BR346-Sheet1!BR345)*1.385</f>
        <v>-0.48474999999999707</v>
      </c>
      <c r="F344" s="30">
        <f ca="1">IF(B344=TODAY(),0,-(VLOOKUP(Sheet1!CD346,Lookup!$I$4:$J$216,2)-VLOOKUP(Sheet1!CD345,Lookup!$I$4:$J$216,2))/1000000)</f>
        <v>0</v>
      </c>
      <c r="G344" s="95">
        <f ca="1">IF(B344=TODAY(),0,-$G$6*(Sheet1!CF346-Sheet1!CF345)*7.48/1000000)</f>
        <v>7.9427002105119021E-2</v>
      </c>
      <c r="H344" s="95">
        <f ca="1">IF(B344=TODAY(),0,-$H$6*(Sheet1!CE346-Sheet1!CE345)*7.48/1000000)</f>
        <v>7.5197161756325293E-2</v>
      </c>
      <c r="I344" s="95">
        <f ca="1">IF(B344=TODAY(),0,-$I$6*(Sheet1!CG346-Sheet1!CG345)*7.48/1000000)</f>
        <v>-7.0532061599999987E-2</v>
      </c>
      <c r="J344" s="96" t="s">
        <v>186</v>
      </c>
      <c r="K344" s="95">
        <f ca="1">IF(B344=TODAY(),0,-$K$6*(Sheet1!CH346-Sheet1!CH345)*7.48/1000000)</f>
        <v>-0.12660308711471041</v>
      </c>
      <c r="L344" s="96" t="s">
        <v>186</v>
      </c>
      <c r="M344" s="95">
        <f ca="1">IF(B344=TODAY(),0,-$M$6*(Sheet1!CI346-Sheet1!CI345)*7.48/1000000)</f>
        <v>-0.32384715170448697</v>
      </c>
      <c r="N344" s="95">
        <f ca="1">IF(B344=TODAY(),0,-$N$6*(Sheet1!CJ346-Sheet1!CJ345)*7.48/1000000)</f>
        <v>0.74462814473548755</v>
      </c>
      <c r="O344" s="95">
        <f t="shared" ca="1" si="42"/>
        <v>0.37827000817773448</v>
      </c>
      <c r="P344" s="95">
        <f ca="1">O344+Calculation!ES344</f>
        <v>1.3484069340134854</v>
      </c>
      <c r="Q344" s="90" t="str">
        <f>IF(Sheet1!BQ346&gt;25.75,"spill elevation","-")</f>
        <v>-</v>
      </c>
      <c r="R344" s="90" t="str">
        <f>IF(Sheet1!BQ346&gt;25.75,"spill elevation","-")</f>
        <v>-</v>
      </c>
      <c r="S344" s="90" t="str">
        <f>IF(Sheet1!BR346&gt;25.75,"spill elevation","-")</f>
        <v>-</v>
      </c>
      <c r="T344" s="94">
        <f>IF(Sheet1!DU346=1,Sheet1!AA346-(SUM(AT344:BA344)+BE344),Sheet1!AA346-SUM(AT344:BA344))</f>
        <v>17.446704</v>
      </c>
      <c r="U344" s="94">
        <f>Sheet1!BV346</f>
        <v>22.5</v>
      </c>
      <c r="V344" s="94">
        <f t="shared" si="43"/>
        <v>-5.0532959999999996</v>
      </c>
      <c r="W344" s="94">
        <f>0</f>
        <v>0</v>
      </c>
      <c r="X344" s="90">
        <f>0</f>
        <v>0</v>
      </c>
      <c r="Y344" s="95">
        <f ca="1">Calculation!EJ345+Calculation!ES344+'Calculations II'!O344-'Calculations II'!W344</f>
        <v>50.113190934013488</v>
      </c>
      <c r="Z344" s="95">
        <f ca="1">Y344-Sheet1!CT347</f>
        <v>34.28319093401349</v>
      </c>
      <c r="AA344" s="95">
        <f ca="1">Y344+Calculation!DJ345+Calculation!AS345</f>
        <v>60.014098610362034</v>
      </c>
      <c r="AC344" s="95">
        <f>Sheet1!AA346+Sheet1!AB346+BC344</f>
        <v>48.748384000000001</v>
      </c>
      <c r="AD344" s="95">
        <f>Sheet1!AA346+Sheet1!BN346+'Calculations II'!BC344-Calculation!AS344-Calculation!DJ344</f>
        <v>29.066325176470592</v>
      </c>
      <c r="AE344" s="95">
        <f>Sheet1!AA346+Sheet1!AB346+'Calculations II'!BC344-Calculation!AS344-Calculation!DJ344</f>
        <v>38.856325176470591</v>
      </c>
      <c r="AF344" s="95">
        <f ca="1">Sheet1!AA346+Sheet1!BN346+P344+'Calculations II'!BC344+Calculation!AS344+Calculation!DJ344</f>
        <v>50.198849757542902</v>
      </c>
      <c r="AG344" s="95">
        <f ca="1">IF(B344=TODAY(),0,Sheet1!AA346+Sheet1!BN346+'Calculations II'!BC344+'Calculations II'!P344-Sheet1!CT346-BP344)</f>
        <v>25.103790934013485</v>
      </c>
      <c r="AH344" s="95">
        <f ca="1">IF(B344=TODAY(),0,Sheet1!AA346+Sheet1!BN346+'Calculations II'!BC344+'Calculations II'!P344-BP344)</f>
        <v>40.306790934013485</v>
      </c>
      <c r="AI344" s="95">
        <f ca="1">IF(B344=TODAY(),0,BC344+Sheet1!AA346+Calculation!ES344+O344+W344+Sheet1!BN346+Calculation!AS344+Calculation!DJ344-BP344)</f>
        <v>50.198849757542895</v>
      </c>
      <c r="AJ344" s="95"/>
      <c r="AM344" s="91">
        <f t="shared" si="44"/>
        <v>41972</v>
      </c>
      <c r="AN344" s="95">
        <f>Sheet1!BU346</f>
        <v>18.899999999999999</v>
      </c>
      <c r="AO344" s="95">
        <f>Sheet1!AA346</f>
        <v>19.7</v>
      </c>
      <c r="AP344" s="95">
        <f t="shared" si="39"/>
        <v>-0.98334999999999628</v>
      </c>
      <c r="AQ344" s="1055">
        <f>((Sheet1!BV346-(Sheet1!BU346-AP344))/(Sheet1!BU346-AP344))</f>
        <v>0.13160005733440311</v>
      </c>
      <c r="AR344" s="95">
        <f t="shared" si="40"/>
        <v>20.683349999999997</v>
      </c>
      <c r="AS344" s="95">
        <f t="shared" si="41"/>
        <v>19.883349999999997</v>
      </c>
      <c r="AT344" s="90">
        <f>Sheet1!BB346</f>
        <v>1.01</v>
      </c>
      <c r="AU344" s="90">
        <f>Sheet1!AS346*GPMtoMGD</f>
        <v>3.1536000000000002E-2</v>
      </c>
      <c r="AV344" s="95">
        <f>Sheet1!AT346</f>
        <v>0</v>
      </c>
      <c r="AW344" s="90">
        <f>Sheet1!AV346*GPMtoMGD</f>
        <v>0.53510400000000002</v>
      </c>
      <c r="AX344" s="90">
        <f>Sheet1!AW346*GPMtoMGD</f>
        <v>0.67651200000000011</v>
      </c>
      <c r="AY344" s="90">
        <f>Sheet1!AX346*GPMtoMGD</f>
        <v>1.44E-4</v>
      </c>
      <c r="AZ344" s="90">
        <f>Sheet1!AY346*GPMtoMGD</f>
        <v>0</v>
      </c>
      <c r="BA344" s="90">
        <f>Sheet1!AZ346*GPMtoMGD</f>
        <v>0</v>
      </c>
      <c r="BB344" s="90">
        <f>Sheet1!BP346*GPMtoMGD</f>
        <v>0</v>
      </c>
      <c r="BC344" s="90">
        <f>Sheet1!CS346*GPMtoMGD</f>
        <v>9.8583840000000009</v>
      </c>
      <c r="BD344" s="90">
        <f>Sheet1!BO346*GPMtoMGD</f>
        <v>2.0207519999999999</v>
      </c>
      <c r="BE344" s="90">
        <f>Sheet1!BW346*GPMtoMGD</f>
        <v>0.89121600000000001</v>
      </c>
      <c r="BF344" s="90">
        <f>Sheet1!CN346*GPMtoMGD</f>
        <v>0.69782400000000011</v>
      </c>
      <c r="BG344" s="90">
        <f>Sheet1!CO346*GPMtoMGD</f>
        <v>0.42768</v>
      </c>
      <c r="BH344" s="90">
        <f>Sheet1!CP346*GPMtoMGD</f>
        <v>0.74592000000000003</v>
      </c>
      <c r="BI344" s="90">
        <f t="shared" si="45"/>
        <v>2.0207519999999999</v>
      </c>
      <c r="BK344" s="95">
        <f>SUM(AT344:BA344,BE344,Sheet1!BV346,'Calculations II'!BC344,Calculation!AQ344)</f>
        <v>44.810739137254899</v>
      </c>
      <c r="BM344" s="373">
        <f>0</f>
        <v>0</v>
      </c>
      <c r="BN344" s="373">
        <f>0</f>
        <v>0</v>
      </c>
      <c r="BP344" s="95">
        <f>SUM(BM344:BN344,W344,Sheet1!DX346)</f>
        <v>0</v>
      </c>
    </row>
    <row r="345" spans="1:68" s="90" customFormat="1">
      <c r="A345" s="651" t="s">
        <v>3</v>
      </c>
      <c r="B345" s="92">
        <v>41973</v>
      </c>
      <c r="C345" s="93">
        <v>0</v>
      </c>
      <c r="D345" s="95">
        <f>(Sheet1!BQ347-Sheet1!BQ346)*1.385</f>
        <v>-2.9362000000000013</v>
      </c>
      <c r="E345" s="30">
        <f>(Sheet1!BR347-Sheet1!BR346)*1.385</f>
        <v>-2.9362000000000013</v>
      </c>
      <c r="F345" s="30">
        <f ca="1">IF(B345=TODAY(),0,-(VLOOKUP(Sheet1!CD347,Lookup!$I$4:$J$216,2)-VLOOKUP(Sheet1!CD346,Lookup!$I$4:$J$216,2))/1000000)</f>
        <v>0</v>
      </c>
      <c r="G345" s="95">
        <f ca="1">IF(B345=TODAY(),0,-$G$6*(Sheet1!CF347-Sheet1!CF346)*7.48/1000000)</f>
        <v>0</v>
      </c>
      <c r="H345" s="95">
        <f ca="1">IF(B345=TODAY(),0,-$H$6*(Sheet1!CE347-Sheet1!CE346)*7.48/1000000)</f>
        <v>0</v>
      </c>
      <c r="I345" s="95">
        <f ca="1">IF(B345=TODAY(),0,-$I$6*(Sheet1!CG347-Sheet1!CG346)*7.48/1000000)</f>
        <v>0</v>
      </c>
      <c r="J345" s="96" t="s">
        <v>186</v>
      </c>
      <c r="K345" s="95">
        <f ca="1">IF(B345=TODAY(),0,-$K$6*(Sheet1!CH347-Sheet1!CH346)*7.48/1000000)</f>
        <v>0</v>
      </c>
      <c r="L345" s="96" t="s">
        <v>186</v>
      </c>
      <c r="M345" s="95">
        <f ca="1">IF(B345=TODAY(),0,-$M$6*(Sheet1!CI347-Sheet1!CI346)*7.48/1000000)</f>
        <v>-1.7991508428026985E-2</v>
      </c>
      <c r="N345" s="95">
        <f ca="1">IF(B345=TODAY(),0,-$N$6*(Sheet1!CJ347-Sheet1!CJ346)*7.48/1000000)</f>
        <v>0</v>
      </c>
      <c r="O345" s="95">
        <f t="shared" ca="1" si="42"/>
        <v>-1.7991508428026985E-2</v>
      </c>
      <c r="P345" s="95">
        <f ca="1">O345+Calculation!ES345</f>
        <v>5.7995803803657466</v>
      </c>
      <c r="Q345" s="90" t="str">
        <f>IF(Sheet1!BQ347&gt;25.75,"spill elevation","-")</f>
        <v>-</v>
      </c>
      <c r="R345" s="90" t="str">
        <f>IF(Sheet1!BQ347&gt;25.75,"spill elevation","-")</f>
        <v>-</v>
      </c>
      <c r="S345" s="90" t="str">
        <f>IF(Sheet1!BR347&gt;25.75,"spill elevation","-")</f>
        <v>-</v>
      </c>
      <c r="T345" s="94">
        <f>IF(Sheet1!DU347=1,Sheet1!AA347-(SUM(AT345:BA345)+BE345),Sheet1!AA347-SUM(AT345:BA345))</f>
        <v>17.133424000000002</v>
      </c>
      <c r="U345" s="94">
        <f>Sheet1!BV347</f>
        <v>26.5</v>
      </c>
      <c r="V345" s="94">
        <f t="shared" si="43"/>
        <v>-9.3665759999999985</v>
      </c>
      <c r="W345" s="94">
        <f>0</f>
        <v>0</v>
      </c>
      <c r="X345" s="90">
        <f>0</f>
        <v>0</v>
      </c>
      <c r="Y345" s="95">
        <f ca="1">Calculation!EJ346+Calculation!ES345+'Calculations II'!O345-'Calculations II'!W345</f>
        <v>57.621644380365744</v>
      </c>
      <c r="Z345" s="95">
        <f ca="1">Y345-Sheet1!CT348</f>
        <v>42.054644380365744</v>
      </c>
      <c r="AA345" s="95">
        <f ca="1">Y345+Calculation!DJ346+Calculation!AS346</f>
        <v>67.517369093608707</v>
      </c>
      <c r="AC345" s="95">
        <f>Sheet1!AA347+Sheet1!AB347+BC345</f>
        <v>48.764783999999999</v>
      </c>
      <c r="AD345" s="95">
        <f>Sheet1!AA347+Sheet1!BN347+'Calculations II'!BC345-Calculation!AS345-Calculation!DJ345</f>
        <v>29.053876323651458</v>
      </c>
      <c r="AE345" s="95">
        <f>Sheet1!AA347+Sheet1!AB347+'Calculations II'!BC345-Calculation!AS345-Calculation!DJ345</f>
        <v>38.863876323651454</v>
      </c>
      <c r="AF345" s="95">
        <f ca="1">Sheet1!AA347+Sheet1!BN347+P345+'Calculations II'!BC345+Calculation!AS345+Calculation!DJ345</f>
        <v>54.655272056714296</v>
      </c>
      <c r="AG345" s="95">
        <f ca="1">IF(B345=TODAY(),0,Sheet1!AA347+Sheet1!BN347+'Calculations II'!BC345+'Calculations II'!P345-Sheet1!CT347-BP345)</f>
        <v>28.924364380365752</v>
      </c>
      <c r="AH345" s="95">
        <f ca="1">IF(B345=TODAY(),0,Sheet1!AA347+Sheet1!BN347+'Calculations II'!BC345+'Calculations II'!P345-BP345)</f>
        <v>44.75436438036575</v>
      </c>
      <c r="AI345" s="95">
        <f ca="1">IF(B345=TODAY(),0,BC345+Sheet1!AA347+Calculation!ES345+O345+W345+Sheet1!BN347+Calculation!AS345+Calculation!DJ345-BP345)</f>
        <v>54.655272056714288</v>
      </c>
      <c r="AJ345" s="95"/>
      <c r="AM345" s="91">
        <f t="shared" si="44"/>
        <v>41973</v>
      </c>
      <c r="AN345" s="95">
        <f>Sheet1!BU347</f>
        <v>18.600000000000001</v>
      </c>
      <c r="AO345" s="95">
        <f>Sheet1!AA347</f>
        <v>19.8</v>
      </c>
      <c r="AP345" s="95">
        <f t="shared" si="39"/>
        <v>-5.8724000000000025</v>
      </c>
      <c r="AQ345" s="1055">
        <f>((Sheet1!BV347-(Sheet1!BU347-AP345))/(Sheet1!BU347-AP345))</f>
        <v>8.2852519573069897E-2</v>
      </c>
      <c r="AR345" s="95">
        <f t="shared" si="40"/>
        <v>25.672400000000003</v>
      </c>
      <c r="AS345" s="95">
        <f t="shared" si="41"/>
        <v>24.472400000000004</v>
      </c>
      <c r="AT345" s="90">
        <f>Sheet1!BB347</f>
        <v>1.01</v>
      </c>
      <c r="AU345" s="90">
        <f>Sheet1!AS347*GPMtoMGD</f>
        <v>1.8144E-2</v>
      </c>
      <c r="AV345" s="95">
        <f>Sheet1!AT347</f>
        <v>0</v>
      </c>
      <c r="AW345" s="90">
        <f>Sheet1!AV347*GPMtoMGD</f>
        <v>0.46468799999999999</v>
      </c>
      <c r="AX345" s="90">
        <f>Sheet1!AW347*GPMtoMGD</f>
        <v>1.1737440000000001</v>
      </c>
      <c r="AY345" s="90">
        <f>Sheet1!AX347*GPMtoMGD</f>
        <v>0</v>
      </c>
      <c r="AZ345" s="90">
        <f>Sheet1!AY347*GPMtoMGD</f>
        <v>0</v>
      </c>
      <c r="BA345" s="90">
        <f>Sheet1!AZ347*GPMtoMGD</f>
        <v>0</v>
      </c>
      <c r="BB345" s="90">
        <f>Sheet1!BP347*GPMtoMGD</f>
        <v>1.6272000000000002E-2</v>
      </c>
      <c r="BC345" s="90">
        <f>Sheet1!CS347*GPMtoMGD</f>
        <v>9.8547840000000004</v>
      </c>
      <c r="BD345" s="90">
        <f>Sheet1!BO347*GPMtoMGD</f>
        <v>2.4118560000000002</v>
      </c>
      <c r="BE345" s="90">
        <f>Sheet1!BW347*GPMtoMGD</f>
        <v>0.94132800000000016</v>
      </c>
      <c r="BF345" s="90">
        <f>Sheet1!CN347*GPMtoMGD</f>
        <v>0.638208</v>
      </c>
      <c r="BG345" s="90">
        <f>Sheet1!CO347*GPMtoMGD</f>
        <v>0.40708800000000001</v>
      </c>
      <c r="BH345" s="90">
        <f>Sheet1!CP347*GPMtoMGD</f>
        <v>0.744336</v>
      </c>
      <c r="BI345" s="90">
        <f t="shared" si="45"/>
        <v>2.4281280000000001</v>
      </c>
      <c r="BK345" s="95">
        <f>SUM(AT345:BA345,BE345,Sheet1!BV347,'Calculations II'!BC345,Calculation!AQ345)</f>
        <v>49.180685925311202</v>
      </c>
      <c r="BM345" s="373">
        <f>0</f>
        <v>0</v>
      </c>
      <c r="BN345" s="373">
        <f>0</f>
        <v>0</v>
      </c>
      <c r="BP345" s="95">
        <f>SUM(BM345:BN345,W345,Sheet1!DX347)</f>
        <v>0</v>
      </c>
    </row>
    <row r="346" spans="1:68" s="90" customFormat="1">
      <c r="A346" s="651" t="s">
        <v>4</v>
      </c>
      <c r="B346" s="92">
        <v>41974</v>
      </c>
      <c r="C346" s="93">
        <v>0</v>
      </c>
      <c r="D346" s="95">
        <f>(Sheet1!BQ348-Sheet1!BQ347)*1.385</f>
        <v>0.5401500000000008</v>
      </c>
      <c r="E346" s="30">
        <f>(Sheet1!BR348-Sheet1!BR347)*1.385</f>
        <v>0.55399999999999805</v>
      </c>
      <c r="F346" s="30">
        <f ca="1">IF(B346=TODAY(),0,-(VLOOKUP(Sheet1!CD348,Lookup!$I$4:$J$216,2)-VLOOKUP(Sheet1!CD347,Lookup!$I$4:$J$216,2))/1000000)</f>
        <v>1.6581910167647964</v>
      </c>
      <c r="G346" s="95">
        <f ca="1">IF(B346=TODAY(),0,-$G$6*(Sheet1!CF348-Sheet1!CF347)*7.48/1000000)</f>
        <v>0.43684851157815213</v>
      </c>
      <c r="H346" s="95">
        <f ca="1">IF(B346=TODAY(),0,-$H$6*(Sheet1!CE348-Sheet1!CE347)*7.48/1000000)</f>
        <v>-1.5039432351265274E-2</v>
      </c>
      <c r="I346" s="95">
        <f ca="1">IF(B346=TODAY(),0,-$I$6*(Sheet1!CG348-Sheet1!CG347)*7.48/1000000)</f>
        <v>6.7387320000000001E-2</v>
      </c>
      <c r="J346" s="96" t="s">
        <v>186</v>
      </c>
      <c r="K346" s="95">
        <f ca="1">IF(B346=TODAY(),0,-$K$6*(Sheet1!CH348-Sheet1!CH347)*7.48/1000000)</f>
        <v>0.12593675507726454</v>
      </c>
      <c r="L346" s="96" t="s">
        <v>186</v>
      </c>
      <c r="M346" s="95">
        <f ca="1">IF(B346=TODAY(),0,-$M$6*(Sheet1!CI348-Sheet1!CI347)*7.48/1000000)</f>
        <v>0.34183866013251396</v>
      </c>
      <c r="N346" s="95">
        <f ca="1">IF(B346=TODAY(),0,-$N$6*(Sheet1!CJ348-Sheet1!CJ347)*7.48/1000000)</f>
        <v>-0.55226587401215299</v>
      </c>
      <c r="O346" s="95">
        <f t="shared" ca="1" si="42"/>
        <v>2.0628969571893085</v>
      </c>
      <c r="P346" s="95">
        <f ca="1">O346+Calculation!ES346</f>
        <v>0.95522381136904477</v>
      </c>
      <c r="Q346" s="90" t="str">
        <f>IF(Sheet1!BQ348&gt;25.75,"spill elevation","-")</f>
        <v>-</v>
      </c>
      <c r="R346" s="90" t="str">
        <f>IF(Sheet1!BQ348&gt;25.75,"spill elevation","-")</f>
        <v>-</v>
      </c>
      <c r="S346" s="90" t="str">
        <f>IF(Sheet1!BR348&gt;25.75,"spill elevation","-")</f>
        <v>-</v>
      </c>
      <c r="T346" s="94">
        <f>IF(Sheet1!DU348=1,Sheet1!AA348-(SUM(AT346:BA346)+BE346),Sheet1!AA348-SUM(AT346:BA346))</f>
        <v>17.561312000000001</v>
      </c>
      <c r="U346" s="94">
        <f>Sheet1!BV348</f>
        <v>20.2</v>
      </c>
      <c r="V346" s="94">
        <f t="shared" si="43"/>
        <v>-2.6386879999999984</v>
      </c>
      <c r="W346" s="94">
        <f>0</f>
        <v>0</v>
      </c>
      <c r="X346" s="90">
        <f>0</f>
        <v>0</v>
      </c>
      <c r="Y346" s="95">
        <f ca="1">Calculation!EJ347+Calculation!ES346+'Calculations II'!O346-'Calculations II'!W346</f>
        <v>58.314215811369046</v>
      </c>
      <c r="Z346" s="95">
        <f ca="1">Y346-Sheet1!CT349</f>
        <v>41.700215811369048</v>
      </c>
      <c r="AA346" s="95">
        <f ca="1">Y346+Calculation!DJ347+Calculation!AS347</f>
        <v>68.620566262172659</v>
      </c>
      <c r="AC346" s="95">
        <f>Sheet1!AA348+Sheet1!AB348+BC346</f>
        <v>51.822063999999997</v>
      </c>
      <c r="AD346" s="95">
        <f>Sheet1!AA348+Sheet1!BN348+'Calculations II'!BC346-Calculation!AS346-Calculation!DJ346</f>
        <v>32.126339286757037</v>
      </c>
      <c r="AE346" s="95">
        <f>Sheet1!AA348+Sheet1!AB348+'Calculations II'!BC346-Calculation!AS346-Calculation!DJ346</f>
        <v>41.926339286757035</v>
      </c>
      <c r="AF346" s="95">
        <f ca="1">Sheet1!AA348+Sheet1!BN348+P346+'Calculations II'!BC346+Calculation!AS346+Calculation!DJ346</f>
        <v>52.873012524612008</v>
      </c>
      <c r="AG346" s="95">
        <f ca="1">IF(B346=TODAY(),0,Sheet1!AA348+Sheet1!BN348+'Calculations II'!BC346+'Calculations II'!P346-Sheet1!CT348-BP346)</f>
        <v>27.410287811369045</v>
      </c>
      <c r="AH346" s="95">
        <f ca="1">IF(B346=TODAY(),0,Sheet1!AA348+Sheet1!BN348+'Calculations II'!BC346+'Calculations II'!P346-BP346)</f>
        <v>42.977287811369045</v>
      </c>
      <c r="AI346" s="95">
        <f ca="1">IF(B346=TODAY(),0,BC346+Sheet1!AA348+Calculation!ES346+O346+W346+Sheet1!BN348+Calculation!AS346+Calculation!DJ346-BP346)</f>
        <v>52.873012524612015</v>
      </c>
      <c r="AJ346" s="95"/>
      <c r="AM346" s="91">
        <f t="shared" si="44"/>
        <v>41974</v>
      </c>
      <c r="AN346" s="95">
        <f>Sheet1!BU348</f>
        <v>19.100000000000001</v>
      </c>
      <c r="AO346" s="95">
        <f>Sheet1!AA348</f>
        <v>19.8</v>
      </c>
      <c r="AP346" s="95">
        <f t="shared" si="39"/>
        <v>1.0941499999999988</v>
      </c>
      <c r="AQ346" s="1055">
        <f>((Sheet1!BV348-(Sheet1!BU348-AP346))/(Sheet1!BU348-AP346))</f>
        <v>0.12185761849621077</v>
      </c>
      <c r="AR346" s="95">
        <f t="shared" si="40"/>
        <v>18.705850000000002</v>
      </c>
      <c r="AS346" s="95">
        <f t="shared" si="41"/>
        <v>18.005850000000002</v>
      </c>
      <c r="AT346" s="90">
        <f>Sheet1!BB348</f>
        <v>1</v>
      </c>
      <c r="AU346" s="90">
        <f>Sheet1!AS348*GPMtoMGD</f>
        <v>3.2256E-2</v>
      </c>
      <c r="AV346" s="95">
        <f>Sheet1!AT348</f>
        <v>0</v>
      </c>
      <c r="AW346" s="90">
        <f>Sheet1!AV348*GPMtoMGD</f>
        <v>0.48067200000000004</v>
      </c>
      <c r="AX346" s="90">
        <f>Sheet1!AW348*GPMtoMGD</f>
        <v>0.72576000000000007</v>
      </c>
      <c r="AY346" s="90">
        <f>Sheet1!AX348*GPMtoMGD</f>
        <v>0</v>
      </c>
      <c r="AZ346" s="90">
        <f>Sheet1!AY348*GPMtoMGD</f>
        <v>0</v>
      </c>
      <c r="BA346" s="90">
        <f>Sheet1!AZ348*GPMtoMGD</f>
        <v>0</v>
      </c>
      <c r="BB346" s="90">
        <f>Sheet1!BP348*GPMtoMGD</f>
        <v>3.3408E-2</v>
      </c>
      <c r="BC346" s="90">
        <f>Sheet1!CS348*GPMtoMGD</f>
        <v>13.022064000000002</v>
      </c>
      <c r="BD346" s="90">
        <f>Sheet1!BO348*GPMtoMGD</f>
        <v>0.30096000000000001</v>
      </c>
      <c r="BE346" s="90">
        <f>Sheet1!BW348*GPMtoMGD</f>
        <v>0.83721600000000007</v>
      </c>
      <c r="BF346" s="90">
        <f>Sheet1!CN348*GPMtoMGD</f>
        <v>0.64382400000000006</v>
      </c>
      <c r="BG346" s="90">
        <f>Sheet1!CO348*GPMtoMGD</f>
        <v>0.42062400000000005</v>
      </c>
      <c r="BH346" s="90">
        <f>Sheet1!CP348*GPMtoMGD</f>
        <v>0.77313600000000005</v>
      </c>
      <c r="BI346" s="90">
        <f t="shared" si="45"/>
        <v>0.334368</v>
      </c>
      <c r="BK346" s="95">
        <f>SUM(AT346:BA346,BE346,Sheet1!BV348,'Calculations II'!BC346,Calculation!AQ346)</f>
        <v>45.411628062565178</v>
      </c>
      <c r="BM346" s="373">
        <f>0</f>
        <v>0</v>
      </c>
      <c r="BN346" s="373">
        <f>0</f>
        <v>0</v>
      </c>
      <c r="BP346" s="95">
        <f>SUM(BM346:BN346,W346,Sheet1!DX348)</f>
        <v>0</v>
      </c>
    </row>
    <row r="347" spans="1:68" s="90" customFormat="1">
      <c r="A347" s="651" t="s">
        <v>5</v>
      </c>
      <c r="B347" s="92">
        <v>41975</v>
      </c>
      <c r="C347" s="93">
        <v>0</v>
      </c>
      <c r="D347" s="95">
        <f>(Sheet1!BQ349-Sheet1!BQ348)*1.385</f>
        <v>0.1246499999999998</v>
      </c>
      <c r="E347" s="30">
        <f>(Sheet1!BR349-Sheet1!BR348)*1.385</f>
        <v>0.1246499999999998</v>
      </c>
      <c r="F347" s="30">
        <f ca="1">IF(B347=TODAY(),0,-(VLOOKUP(Sheet1!CD349,Lookup!$I$4:$J$216,2)-VLOOKUP(Sheet1!CD348,Lookup!$I$4:$J$216,2))/1000000)</f>
        <v>2.4872865251472023</v>
      </c>
      <c r="G347" s="95">
        <f ca="1">IF(B347=TODAY(),0,-$G$6*(Sheet1!CF349-Sheet1!CF348)*7.48/1000000)</f>
        <v>-1.191405031576779</v>
      </c>
      <c r="H347" s="95">
        <f ca="1">IF(B347=TODAY(),0,-$H$6*(Sheet1!CE349-Sheet1!CE348)*7.48/1000000)</f>
        <v>-6.0157729405060027E-2</v>
      </c>
      <c r="I347" s="95">
        <f ca="1">IF(B347=TODAY(),0,-$I$6*(Sheet1!CG349-Sheet1!CG348)*7.48/1000000)</f>
        <v>-0.125789664</v>
      </c>
      <c r="J347" s="96" t="s">
        <v>186</v>
      </c>
      <c r="K347" s="95">
        <f ca="1">IF(B347=TODAY(),0,-$K$6*(Sheet1!CH349-Sheet1!CH348)*7.48/1000000)</f>
        <v>-0.21255991994522433</v>
      </c>
      <c r="L347" s="96" t="s">
        <v>186</v>
      </c>
      <c r="M347" s="95">
        <f ca="1">IF(B347=TODAY(),0,-$M$6*(Sheet1!CI349-Sheet1!CI348)*7.48/1000000)</f>
        <v>-0.59371977812489274</v>
      </c>
      <c r="N347" s="95">
        <f ca="1">IF(B347=TODAY(),0,-$N$6*(Sheet1!CJ349-Sheet1!CJ348)*7.48/1000000)</f>
        <v>-0.19236227072333439</v>
      </c>
      <c r="O347" s="95">
        <f t="shared" ca="1" si="42"/>
        <v>0.11129213137191174</v>
      </c>
      <c r="P347" s="95">
        <f ca="1">O347+Calculation!ES347</f>
        <v>-0.16565819418435535</v>
      </c>
      <c r="Q347" s="90" t="str">
        <f>IF(Sheet1!BQ349&gt;25.75,"spill elevation","-")</f>
        <v>-</v>
      </c>
      <c r="R347" s="90" t="str">
        <f>IF(Sheet1!BQ349&gt;25.75,"spill elevation","-")</f>
        <v>-</v>
      </c>
      <c r="S347" s="90" t="str">
        <f>IF(Sheet1!BR349&gt;25.75,"spill elevation","-")</f>
        <v>-</v>
      </c>
      <c r="T347" s="94">
        <f>IF(Sheet1!DU349=1,Sheet1!AA349-(SUM(AT347:BA347)+BE347),Sheet1!AA349-SUM(AT347:BA347))</f>
        <v>17.509616000000001</v>
      </c>
      <c r="U347" s="94">
        <f>Sheet1!BV349</f>
        <v>20.8</v>
      </c>
      <c r="V347" s="94">
        <f t="shared" si="43"/>
        <v>-3.2903839999999995</v>
      </c>
      <c r="W347" s="94">
        <f>0</f>
        <v>0</v>
      </c>
      <c r="X347" s="90">
        <f>0</f>
        <v>0</v>
      </c>
      <c r="Y347" s="95">
        <f ca="1">Calculation!EJ348+Calculation!ES347+'Calculations II'!O347-'Calculations II'!W347</f>
        <v>56.50165380581565</v>
      </c>
      <c r="Z347" s="95">
        <f ca="1">Y347-Sheet1!CT350</f>
        <v>40.642653805815648</v>
      </c>
      <c r="AA347" s="95">
        <f ca="1">Y347+Calculation!DJ348+Calculation!AS348</f>
        <v>66.508827105721636</v>
      </c>
      <c r="AC347" s="95">
        <f>Sheet1!AA349+Sheet1!AB349+BC347</f>
        <v>57.358992000000001</v>
      </c>
      <c r="AD347" s="95">
        <f>Sheet1!AA349+Sheet1!BN349+'Calculations II'!BC347-Calculation!AS347-Calculation!DJ347</f>
        <v>36.752641549196397</v>
      </c>
      <c r="AE347" s="95">
        <f>Sheet1!AA349+Sheet1!AB349+'Calculations II'!BC347-Calculation!AS347-Calculation!DJ347</f>
        <v>47.052641549196395</v>
      </c>
      <c r="AF347" s="95">
        <f ca="1">Sheet1!AA349+Sheet1!BN349+P347+'Calculations II'!BC347+Calculation!AS347+Calculation!DJ347</f>
        <v>57.19968425661925</v>
      </c>
      <c r="AG347" s="95">
        <f ca="1">IF(B347=TODAY(),0,Sheet1!AA349+Sheet1!BN349+'Calculations II'!BC347+'Calculations II'!P347-Sheet1!CT349-BP347)</f>
        <v>30.27933380581565</v>
      </c>
      <c r="AH347" s="95">
        <f ca="1">IF(B347=TODAY(),0,Sheet1!AA349+Sheet1!BN349+'Calculations II'!BC347+'Calculations II'!P347-BP347)</f>
        <v>46.893333805815651</v>
      </c>
      <c r="AI347" s="95">
        <f ca="1">IF(B347=TODAY(),0,BC347+Sheet1!AA349+Calculation!ES347+O347+W347+Sheet1!BN349+Calculation!AS347+Calculation!DJ347-BP347)</f>
        <v>57.19968425661925</v>
      </c>
      <c r="AJ347" s="95"/>
      <c r="AM347" s="91">
        <f t="shared" si="44"/>
        <v>41975</v>
      </c>
      <c r="AN347" s="95">
        <f>Sheet1!BU349</f>
        <v>18.8</v>
      </c>
      <c r="AO347" s="95">
        <f>Sheet1!AA349</f>
        <v>19.8</v>
      </c>
      <c r="AP347" s="95">
        <f t="shared" si="39"/>
        <v>0.24929999999999961</v>
      </c>
      <c r="AQ347" s="1055">
        <f>((Sheet1!BV349-(Sheet1!BU349-AP347))/(Sheet1!BU349-AP347))</f>
        <v>0.12125148916213392</v>
      </c>
      <c r="AR347" s="95">
        <f t="shared" si="40"/>
        <v>19.550700000000003</v>
      </c>
      <c r="AS347" s="95">
        <f t="shared" si="41"/>
        <v>18.550700000000003</v>
      </c>
      <c r="AT347" s="90">
        <f>Sheet1!BB349</f>
        <v>1</v>
      </c>
      <c r="AU347" s="90">
        <f>Sheet1!AS349*GPMtoMGD</f>
        <v>1.6992000000000004E-2</v>
      </c>
      <c r="AV347" s="95">
        <f>Sheet1!AT349</f>
        <v>0</v>
      </c>
      <c r="AW347" s="90">
        <f>Sheet1!AV349*GPMtoMGD</f>
        <v>0.58276800000000006</v>
      </c>
      <c r="AX347" s="90">
        <f>Sheet1!AW349*GPMtoMGD</f>
        <v>0.68918400000000013</v>
      </c>
      <c r="AY347" s="90">
        <f>Sheet1!AX349*GPMtoMGD</f>
        <v>1.4400000000000001E-3</v>
      </c>
      <c r="AZ347" s="90">
        <f>Sheet1!AY349*GPMtoMGD</f>
        <v>0</v>
      </c>
      <c r="BA347" s="90">
        <f>Sheet1!AZ349*GPMtoMGD</f>
        <v>0</v>
      </c>
      <c r="BB347" s="90">
        <f>Sheet1!BP349*GPMtoMGD</f>
        <v>0</v>
      </c>
      <c r="BC347" s="90">
        <f>Sheet1!CS349*GPMtoMGD</f>
        <v>12.058992</v>
      </c>
      <c r="BD347" s="90">
        <f>Sheet1!BO349*GPMtoMGD</f>
        <v>2.2600800000000003</v>
      </c>
      <c r="BE347" s="90">
        <f>Sheet1!BW349*GPMtoMGD</f>
        <v>0.716256</v>
      </c>
      <c r="BF347" s="90">
        <f>Sheet1!CN349*GPMtoMGD</f>
        <v>0.55425599999999997</v>
      </c>
      <c r="BG347" s="90">
        <f>Sheet1!CO349*GPMtoMGD</f>
        <v>0.41227200000000003</v>
      </c>
      <c r="BH347" s="90">
        <f>Sheet1!CP349*GPMtoMGD</f>
        <v>0.78912000000000004</v>
      </c>
      <c r="BI347" s="90">
        <f t="shared" si="45"/>
        <v>2.2600800000000003</v>
      </c>
      <c r="BK347" s="95">
        <f>SUM(AT347:BA347,BE347,Sheet1!BV349,'Calculations II'!BC347,Calculation!AQ347)</f>
        <v>51.059673552332427</v>
      </c>
      <c r="BM347" s="373">
        <f>0</f>
        <v>0</v>
      </c>
      <c r="BN347" s="373">
        <f>0</f>
        <v>0</v>
      </c>
      <c r="BP347" s="95">
        <f>SUM(BM347:BN347,W347,Sheet1!DX349)</f>
        <v>0</v>
      </c>
    </row>
    <row r="348" spans="1:68" s="90" customFormat="1">
      <c r="A348" s="651" t="s">
        <v>6</v>
      </c>
      <c r="B348" s="92">
        <v>41976</v>
      </c>
      <c r="C348" s="93">
        <v>0</v>
      </c>
      <c r="D348" s="95">
        <f>(Sheet1!BQ350-Sheet1!BQ349)*1.385</f>
        <v>0.84484999999999921</v>
      </c>
      <c r="E348" s="30">
        <f>(Sheet1!BR350-Sheet1!BR349)*1.385</f>
        <v>0.85870000000000135</v>
      </c>
      <c r="F348" s="30">
        <f ca="1">IF(B348=TODAY(),0,-(VLOOKUP(Sheet1!CD350,Lookup!$I$4:$J$216,2)-VLOOKUP(Sheet1!CD349,Lookup!$I$4:$J$216,2))/1000000)</f>
        <v>2.2472848228751032</v>
      </c>
      <c r="G348" s="95">
        <f ca="1">IF(B348=TODAY(),0,-$G$6*(Sheet1!CF350-Sheet1!CF349)*7.48/1000000)</f>
        <v>0.15885400421023735</v>
      </c>
      <c r="H348" s="95">
        <f ca="1">IF(B348=TODAY(),0,-$H$6*(Sheet1!CE350-Sheet1!CE349)*7.48/1000000)</f>
        <v>-7.5197161756325293E-2</v>
      </c>
      <c r="I348" s="95">
        <f ca="1">IF(B348=TODAY(),0,-$I$6*(Sheet1!CG350-Sheet1!CG349)*7.48/1000000)</f>
        <v>-0.13477464000000006</v>
      </c>
      <c r="J348" s="96" t="s">
        <v>186</v>
      </c>
      <c r="K348" s="95">
        <f ca="1">IF(B348=TODAY(),0,-$K$6*(Sheet1!CH350-Sheet1!CH349)*7.48/1000000)</f>
        <v>-0.23321621310604548</v>
      </c>
      <c r="L348" s="96" t="s">
        <v>186</v>
      </c>
      <c r="M348" s="95">
        <f ca="1">IF(B348=TODAY(),0,-$M$6*(Sheet1!CI350-Sheet1!CI349)*7.48/1000000)</f>
        <v>-0.64769430340897372</v>
      </c>
      <c r="N348" s="95">
        <f ca="1">IF(B348=TODAY(),0,-$N$6*(Sheet1!CJ350-Sheet1!CJ349)*7.48/1000000)</f>
        <v>0.22959367796010904</v>
      </c>
      <c r="O348" s="95">
        <f t="shared" ca="1" si="42"/>
        <v>1.5448501867741051</v>
      </c>
      <c r="P348" s="95">
        <f ca="1">O348+Calculation!ES348</f>
        <v>-0.11712091777486688</v>
      </c>
      <c r="Q348" s="90" t="str">
        <f>IF(Sheet1!BQ350&gt;25.75,"spill elevation","-")</f>
        <v>-</v>
      </c>
      <c r="R348" s="90" t="str">
        <f>IF(Sheet1!BQ350&gt;25.75,"spill elevation","-")</f>
        <v>-</v>
      </c>
      <c r="S348" s="90" t="str">
        <f>IF(Sheet1!BR350&gt;25.75,"spill elevation","-")</f>
        <v>-</v>
      </c>
      <c r="T348" s="94">
        <f>IF(Sheet1!DU350=1,Sheet1!AA350-(SUM(AT348:BA348)+BE348),Sheet1!AA350-SUM(AT348:BA348))</f>
        <v>17.404447999999999</v>
      </c>
      <c r="U348" s="94">
        <f>Sheet1!BV350</f>
        <v>19.399999999999999</v>
      </c>
      <c r="V348" s="94">
        <f t="shared" si="43"/>
        <v>-1.995552</v>
      </c>
      <c r="W348" s="94">
        <f>0</f>
        <v>0</v>
      </c>
      <c r="X348" s="90">
        <f>0</f>
        <v>0</v>
      </c>
      <c r="Y348" s="95">
        <f ca="1">Calculation!EJ349+Calculation!ES348+'Calculations II'!O348-'Calculations II'!W348</f>
        <v>53.392879082225136</v>
      </c>
      <c r="Z348" s="95">
        <f ca="1">Y348-Sheet1!CT351</f>
        <v>38.312879082225137</v>
      </c>
      <c r="AA348" s="95">
        <f ca="1">Y348+Calculation!DJ349+Calculation!AS349</f>
        <v>63.453455834665242</v>
      </c>
      <c r="AC348" s="95">
        <f>Sheet1!AA350+Sheet1!AB350+BC348</f>
        <v>56.667312000000003</v>
      </c>
      <c r="AD348" s="95">
        <f>Sheet1!AA350+Sheet1!BN350+'Calculations II'!BC348-Calculation!AS348-Calculation!DJ348</f>
        <v>36.660138700094009</v>
      </c>
      <c r="AE348" s="95">
        <f>Sheet1!AA350+Sheet1!AB350+'Calculations II'!BC348-Calculation!AS348-Calculation!DJ348</f>
        <v>46.660138700094009</v>
      </c>
      <c r="AF348" s="95">
        <f ca="1">Sheet1!AA350+Sheet1!BN350+P348+'Calculations II'!BC348+Calculation!AS348+Calculation!DJ348</f>
        <v>56.557364382131126</v>
      </c>
      <c r="AG348" s="95">
        <f ca="1">IF(B348=TODAY(),0,Sheet1!AA350+Sheet1!BN350+'Calculations II'!BC348+'Calculations II'!P348-Sheet1!CT350-BP348)</f>
        <v>30.691191082225131</v>
      </c>
      <c r="AH348" s="95">
        <f ca="1">IF(B348=TODAY(),0,Sheet1!AA350+Sheet1!BN350+'Calculations II'!BC348+'Calculations II'!P348-BP348)</f>
        <v>46.550191082225133</v>
      </c>
      <c r="AI348" s="95">
        <f ca="1">IF(B348=TODAY(),0,BC348+Sheet1!AA350+Calculation!ES348+O348+W348+Sheet1!BN350+Calculation!AS348+Calculation!DJ348-BP348)</f>
        <v>56.557364382131112</v>
      </c>
      <c r="AJ348" s="95"/>
      <c r="AM348" s="91">
        <f t="shared" si="44"/>
        <v>41976</v>
      </c>
      <c r="AN348" s="95">
        <f>Sheet1!BU350</f>
        <v>18.600000000000001</v>
      </c>
      <c r="AO348" s="95">
        <f>Sheet1!AA350</f>
        <v>19.489999999999998</v>
      </c>
      <c r="AP348" s="95">
        <f t="shared" si="39"/>
        <v>1.7035500000000006</v>
      </c>
      <c r="AQ348" s="1055">
        <f>((Sheet1!BV350-(Sheet1!BU350-AP348))/(Sheet1!BU350-AP348))</f>
        <v>0.14817017775923327</v>
      </c>
      <c r="AR348" s="95">
        <f t="shared" si="40"/>
        <v>17.786449999999999</v>
      </c>
      <c r="AS348" s="95">
        <f t="shared" si="41"/>
        <v>16.896450000000002</v>
      </c>
      <c r="AT348" s="90">
        <f>Sheet1!BB350</f>
        <v>0.99</v>
      </c>
      <c r="AU348" s="90">
        <f>Sheet1!AS350*GPMtoMGD</f>
        <v>3.0384000000000005E-2</v>
      </c>
      <c r="AV348" s="95">
        <f>Sheet1!AT350</f>
        <v>0</v>
      </c>
      <c r="AW348" s="90">
        <f>Sheet1!AV350*GPMtoMGD</f>
        <v>0.31593600000000005</v>
      </c>
      <c r="AX348" s="90">
        <f>Sheet1!AW350*GPMtoMGD</f>
        <v>0.74923200000000001</v>
      </c>
      <c r="AY348" s="90">
        <f>Sheet1!AX350*GPMtoMGD</f>
        <v>0</v>
      </c>
      <c r="AZ348" s="90">
        <f>Sheet1!AY350*GPMtoMGD</f>
        <v>0</v>
      </c>
      <c r="BA348" s="90">
        <f>Sheet1!AZ350*GPMtoMGD</f>
        <v>0</v>
      </c>
      <c r="BB348" s="90">
        <f>Sheet1!BP350*GPMtoMGD</f>
        <v>0</v>
      </c>
      <c r="BC348" s="90">
        <f>Sheet1!CS350*GPMtoMGD</f>
        <v>5.2773120000000002</v>
      </c>
      <c r="BD348" s="90">
        <f>Sheet1!BO350*GPMtoMGD</f>
        <v>2.3270400000000002</v>
      </c>
      <c r="BE348" s="90">
        <f>Sheet1!BW350*GPMtoMGD</f>
        <v>0.88660800000000017</v>
      </c>
      <c r="BF348" s="90">
        <f>Sheet1!CN350*GPMtoMGD</f>
        <v>0.39096000000000003</v>
      </c>
      <c r="BG348" s="90">
        <f>Sheet1!CO350*GPMtoMGD</f>
        <v>0.41356799999999999</v>
      </c>
      <c r="BH348" s="90">
        <f>Sheet1!CP350*GPMtoMGD</f>
        <v>0.78681600000000007</v>
      </c>
      <c r="BI348" s="90">
        <f t="shared" si="45"/>
        <v>2.3270400000000002</v>
      </c>
      <c r="BK348" s="95">
        <f>SUM(AT348:BA348,BE348,Sheet1!BV350,'Calculations II'!BC348,Calculation!AQ348)</f>
        <v>49.5426089476653</v>
      </c>
      <c r="BM348" s="373">
        <f>0</f>
        <v>0</v>
      </c>
      <c r="BN348" s="373">
        <f>0</f>
        <v>0</v>
      </c>
      <c r="BP348" s="95">
        <f>SUM(BM348:BN348,W348,Sheet1!DX350)</f>
        <v>0</v>
      </c>
    </row>
    <row r="349" spans="1:68" s="90" customFormat="1">
      <c r="A349" s="651" t="s">
        <v>7</v>
      </c>
      <c r="B349" s="92">
        <v>41977</v>
      </c>
      <c r="C349" s="93">
        <v>0</v>
      </c>
      <c r="D349" s="95">
        <f>(Sheet1!BQ351-Sheet1!BQ350)*1.385</f>
        <v>0.49860000000000415</v>
      </c>
      <c r="E349" s="30">
        <f>(Sheet1!BR351-Sheet1!BR350)*1.385</f>
        <v>0.49859999999999921</v>
      </c>
      <c r="F349" s="30">
        <f ca="1">IF(B349=TODAY(),0,-(VLOOKUP(Sheet1!CD351,Lookup!$I$4:$J$216,2)-VLOOKUP(Sheet1!CD350,Lookup!$I$4:$J$216,2))/1000000)</f>
        <v>2.3614827612874727</v>
      </c>
      <c r="G349" s="95">
        <f ca="1">IF(B349=TODAY(),0,-$G$6*(Sheet1!CF351-Sheet1!CF350)*7.48/1000000)</f>
        <v>0.11914050315767746</v>
      </c>
      <c r="H349" s="95">
        <f ca="1">IF(B349=TODAY(),0,-$H$6*(Sheet1!CE351-Sheet1!CE350)*7.48/1000000)</f>
        <v>-3.0078864702530014E-2</v>
      </c>
      <c r="I349" s="95">
        <f ca="1">IF(B349=TODAY(),0,-$I$6*(Sheet1!CG351-Sheet1!CG350)*7.48/1000000)</f>
        <v>0.24259435200000001</v>
      </c>
      <c r="J349" s="96" t="s">
        <v>186</v>
      </c>
      <c r="K349" s="95">
        <f ca="1">IF(B349=TODAY(),0,-$K$6*(Sheet1!CH351-Sheet1!CH350)*7.48/1000000)</f>
        <v>0.40646254284196504</v>
      </c>
      <c r="L349" s="96" t="s">
        <v>186</v>
      </c>
      <c r="M349" s="95">
        <f ca="1">IF(B349=TODAY(),0,-$M$6*(Sheet1!CI351-Sheet1!CI350)*7.48/1000000)</f>
        <v>1.1334650309657039</v>
      </c>
      <c r="N349" s="95">
        <f ca="1">IF(B349=TODAY(),0,-$N$6*(Sheet1!CJ351-Sheet1!CJ350)*7.48/1000000)</f>
        <v>-0.34749313420989419</v>
      </c>
      <c r="O349" s="95">
        <f t="shared" ca="1" si="42"/>
        <v>3.885573191340395</v>
      </c>
      <c r="P349" s="95">
        <f ca="1">O349+Calculation!ES349</f>
        <v>2.9158849636775521</v>
      </c>
      <c r="Q349" s="90" t="str">
        <f>IF(Sheet1!BQ351&gt;25.75,"spill elevation","-")</f>
        <v>-</v>
      </c>
      <c r="R349" s="90" t="str">
        <f>IF(Sheet1!BQ351&gt;25.75,"spill elevation","-")</f>
        <v>-</v>
      </c>
      <c r="S349" s="90" t="str">
        <f>IF(Sheet1!BR351&gt;25.75,"spill elevation","-")</f>
        <v>-</v>
      </c>
      <c r="T349" s="94">
        <f>IF(Sheet1!DU351=1,Sheet1!AA351-(SUM(AT349:BA349)+BE349),Sheet1!AA351-SUM(AT349:BA349))</f>
        <v>17.135456000000001</v>
      </c>
      <c r="U349" s="94">
        <f>Sheet1!BV351</f>
        <v>19.7</v>
      </c>
      <c r="V349" s="94">
        <f t="shared" si="43"/>
        <v>-2.5645439999999979</v>
      </c>
      <c r="W349" s="94">
        <f>0</f>
        <v>0</v>
      </c>
      <c r="X349" s="90">
        <f>0</f>
        <v>0</v>
      </c>
      <c r="Y349" s="95">
        <f ca="1">Calculation!EJ350+Calculation!ES349+'Calculations II'!O349-'Calculations II'!W349</f>
        <v>62.958316963677547</v>
      </c>
      <c r="Z349" s="95">
        <f ca="1">Y349-Sheet1!CT352</f>
        <v>47.558316963677548</v>
      </c>
      <c r="AA349" s="95">
        <f ca="1">Y349+Calculation!DJ350+Calculation!AS350</f>
        <v>72.984914596813653</v>
      </c>
      <c r="AC349" s="95">
        <f>Sheet1!AA351+Sheet1!AB351+BC349</f>
        <v>53.510000000000005</v>
      </c>
      <c r="AD349" s="95">
        <f>Sheet1!AA351+Sheet1!BN351+'Calculations II'!BC349-Calculation!AS349-Calculation!DJ349</f>
        <v>33.249423247559896</v>
      </c>
      <c r="AE349" s="95">
        <f>Sheet1!AA351+Sheet1!AB351+'Calculations II'!BC349-Calculation!AS349-Calculation!DJ349</f>
        <v>43.449423247559899</v>
      </c>
      <c r="AF349" s="95">
        <f ca="1">Sheet1!AA351+Sheet1!BN351+P349+'Calculations II'!BC349+Calculation!AS349+Calculation!DJ349</f>
        <v>56.286461716117664</v>
      </c>
      <c r="AG349" s="95">
        <f ca="1">IF(B349=TODAY(),0,Sheet1!AA351+Sheet1!BN351+'Calculations II'!BC349+'Calculations II'!P349-Sheet1!CT351-BP349)</f>
        <v>31.14588496367756</v>
      </c>
      <c r="AH349" s="95">
        <f ca="1">IF(B349=TODAY(),0,Sheet1!AA351+Sheet1!BN351+'Calculations II'!BC349+'Calculations II'!P349-BP349)</f>
        <v>46.225884963677558</v>
      </c>
      <c r="AI349" s="95">
        <f ca="1">IF(B349=TODAY(),0,BC349+Sheet1!AA351+Calculation!ES349+O349+W349+Sheet1!BN351+Calculation!AS349+Calculation!DJ349-BP349)</f>
        <v>56.286461716117664</v>
      </c>
      <c r="AJ349" s="95"/>
      <c r="AM349" s="91">
        <f t="shared" si="44"/>
        <v>41977</v>
      </c>
      <c r="AN349" s="95">
        <f>Sheet1!BU351</f>
        <v>18.399999999999999</v>
      </c>
      <c r="AO349" s="95">
        <f>Sheet1!AA351</f>
        <v>19.510000000000002</v>
      </c>
      <c r="AP349" s="95">
        <f t="shared" si="39"/>
        <v>0.99720000000000342</v>
      </c>
      <c r="AQ349" s="1055">
        <f>((Sheet1!BV351-(Sheet1!BU351-AP349))/(Sheet1!BU351-AP349))</f>
        <v>0.13200174684533547</v>
      </c>
      <c r="AR349" s="95">
        <f t="shared" si="40"/>
        <v>18.512799999999999</v>
      </c>
      <c r="AS349" s="95">
        <f t="shared" si="41"/>
        <v>17.402799999999996</v>
      </c>
      <c r="AT349" s="90">
        <f>Sheet1!BB351</f>
        <v>1.01</v>
      </c>
      <c r="AU349" s="90">
        <f>Sheet1!AS351*GPMtoMGD</f>
        <v>3.2112000000000002E-2</v>
      </c>
      <c r="AV349" s="95">
        <f>Sheet1!AT351</f>
        <v>0</v>
      </c>
      <c r="AW349" s="90">
        <f>Sheet1!AV351*GPMtoMGD</f>
        <v>0.45504000000000006</v>
      </c>
      <c r="AX349" s="90">
        <f>Sheet1!AW351*GPMtoMGD</f>
        <v>0.86328000000000005</v>
      </c>
      <c r="AY349" s="90">
        <f>Sheet1!AX351*GPMtoMGD</f>
        <v>1.4112000000000001E-2</v>
      </c>
      <c r="AZ349" s="90">
        <f>Sheet1!AY351*GPMtoMGD</f>
        <v>0</v>
      </c>
      <c r="BA349" s="90">
        <f>Sheet1!AZ351*GPMtoMGD</f>
        <v>0</v>
      </c>
      <c r="BB349" s="90">
        <f>Sheet1!BP351*GPMtoMGD</f>
        <v>0</v>
      </c>
      <c r="BC349" s="90">
        <f>Sheet1!CS351*GPMtoMGD</f>
        <v>0</v>
      </c>
      <c r="BD349" s="90">
        <f>Sheet1!BO351*GPMtoMGD</f>
        <v>0</v>
      </c>
      <c r="BE349" s="90">
        <f>Sheet1!BW351*GPMtoMGD</f>
        <v>0.76780800000000016</v>
      </c>
      <c r="BF349" s="90">
        <f>Sheet1!CN351*GPMtoMGD</f>
        <v>0.383328</v>
      </c>
      <c r="BG349" s="90">
        <f>Sheet1!CO351*GPMtoMGD</f>
        <v>0.41414400000000007</v>
      </c>
      <c r="BH349" s="90">
        <f>Sheet1!CP351*GPMtoMGD</f>
        <v>0.81172800000000012</v>
      </c>
      <c r="BI349" s="90">
        <f t="shared" si="45"/>
        <v>0</v>
      </c>
      <c r="BK349" s="95">
        <f>SUM(AT349:BA349,BE349,Sheet1!BV351,'Calculations II'!BC349,Calculation!AQ349)</f>
        <v>46.776099412008278</v>
      </c>
      <c r="BM349" s="373">
        <f>0</f>
        <v>0</v>
      </c>
      <c r="BN349" s="373">
        <f>0</f>
        <v>0</v>
      </c>
      <c r="BP349" s="95">
        <f>SUM(BM349:BN349,W349,Sheet1!DX351)</f>
        <v>0</v>
      </c>
    </row>
    <row r="350" spans="1:68" s="90" customFormat="1">
      <c r="A350" s="651" t="s">
        <v>8</v>
      </c>
      <c r="B350" s="92">
        <v>41978</v>
      </c>
      <c r="C350" s="93">
        <v>0</v>
      </c>
      <c r="D350" s="95">
        <f>(Sheet1!BQ352-Sheet1!BQ351)*1.385</f>
        <v>-5.5400000000003738E-2</v>
      </c>
      <c r="E350" s="30">
        <f>(Sheet1!BR352-Sheet1!BR351)*1.385</f>
        <v>0.6925</v>
      </c>
      <c r="F350" s="30">
        <f ca="1">IF(B350=TODAY(),0,-(VLOOKUP(Sheet1!CD352,Lookup!$I$4:$J$216,2)-VLOOKUP(Sheet1!CD351,Lookup!$I$4:$J$216,2))/1000000)</f>
        <v>-6.3705955394751763</v>
      </c>
      <c r="G350" s="95">
        <f ca="1">IF(B350=TODAY(),0,-$G$6*(Sheet1!CF352-Sheet1!CF351)*7.48/1000000)</f>
        <v>0.15885400421023735</v>
      </c>
      <c r="H350" s="95">
        <f ca="1">IF(B350=TODAY(),0,-$H$6*(Sheet1!CE352-Sheet1!CE351)*7.48/1000000)</f>
        <v>4.5118297053794748E-2</v>
      </c>
      <c r="I350" s="95">
        <f ca="1">IF(B350=TODAY(),0,-$I$6*(Sheet1!CG352-Sheet1!CG351)*7.48/1000000)</f>
        <v>-0.14825210400000002</v>
      </c>
      <c r="J350" s="96" t="s">
        <v>186</v>
      </c>
      <c r="K350" s="95">
        <f ca="1">IF(B350=TODAY(),0,-$K$6*(Sheet1!CH352-Sheet1!CH351)*7.48/1000000)</f>
        <v>-0.25320617422942082</v>
      </c>
      <c r="L350" s="96" t="s">
        <v>186</v>
      </c>
      <c r="M350" s="95">
        <f ca="1">IF(B350=TODAY(),0,-$M$6*(Sheet1!CI352-Sheet1!CI351)*7.48/1000000)</f>
        <v>-0.68367732026502792</v>
      </c>
      <c r="N350" s="95">
        <f ca="1">IF(B350=TODAY(),0,-$N$6*(Sheet1!CJ352-Sheet1!CJ351)*7.48/1000000)</f>
        <v>-0.78185955197226109</v>
      </c>
      <c r="O350" s="95">
        <f t="shared" ca="1" si="42"/>
        <v>-8.0336183886778549</v>
      </c>
      <c r="P350" s="95">
        <f ca="1">O350+Calculation!ES350</f>
        <v>-8.5878971763409542</v>
      </c>
      <c r="Q350" s="90" t="str">
        <f>IF(Sheet1!BQ352&gt;25.75,"spill elevation","-")</f>
        <v>-</v>
      </c>
      <c r="R350" s="90" t="str">
        <f>IF(Sheet1!BQ352&gt;25.75,"spill elevation","-")</f>
        <v>-</v>
      </c>
      <c r="S350" s="90" t="str">
        <f>IF(Sheet1!BR352&gt;25.75,"spill elevation","-")</f>
        <v>-</v>
      </c>
      <c r="T350" s="94">
        <f>IF(Sheet1!DU352=1,Sheet1!AA352-(SUM(AT350:BA350)+BE350),Sheet1!AA352-SUM(AT350:BA350))</f>
        <v>17.608575999999999</v>
      </c>
      <c r="U350" s="94">
        <f>Sheet1!BV352</f>
        <v>21.2</v>
      </c>
      <c r="V350" s="94">
        <f t="shared" si="43"/>
        <v>-3.5914239999999999</v>
      </c>
      <c r="W350" s="94">
        <f>0</f>
        <v>0</v>
      </c>
      <c r="X350" s="90">
        <f>0</f>
        <v>0</v>
      </c>
      <c r="Y350" s="95">
        <f ca="1">Calculation!EJ351+Calculation!ES350+'Calculations II'!O350-'Calculations II'!W350</f>
        <v>49.675814823659039</v>
      </c>
      <c r="Z350" s="95">
        <f ca="1">Y350-Sheet1!CT353</f>
        <v>33.878814823659042</v>
      </c>
      <c r="AA350" s="95">
        <f ca="1">Y350+Calculation!DJ351+Calculation!AS351</f>
        <v>59.7216242347274</v>
      </c>
      <c r="AC350" s="95">
        <f>Sheet1!AA352+Sheet1!AB352+BC350</f>
        <v>60.042431999999998</v>
      </c>
      <c r="AD350" s="95">
        <f>Sheet1!AA352+Sheet1!BN352+'Calculations II'!BC350-Calculation!AS350-Calculation!DJ350</f>
        <v>39.915834366863905</v>
      </c>
      <c r="AE350" s="95">
        <f>Sheet1!AA352+Sheet1!AB352+'Calculations II'!BC350-Calculation!AS350-Calculation!DJ350</f>
        <v>50.015834366863906</v>
      </c>
      <c r="AF350" s="95">
        <f ca="1">Sheet1!AA352+Sheet1!BN352+P350+'Calculations II'!BC350+Calculation!AS350+Calculation!DJ350</f>
        <v>51.381132456795136</v>
      </c>
      <c r="AG350" s="95">
        <f ca="1">IF(B350=TODAY(),0,Sheet1!AA352+Sheet1!BN352+'Calculations II'!BC350+'Calculations II'!P350-Sheet1!CT352-BP350)</f>
        <v>25.954534823659046</v>
      </c>
      <c r="AH350" s="95">
        <f ca="1">IF(B350=TODAY(),0,Sheet1!AA352+Sheet1!BN352+'Calculations II'!BC350+'Calculations II'!P350-BP350)</f>
        <v>41.354534823659044</v>
      </c>
      <c r="AI350" s="95">
        <f ca="1">IF(B350=TODAY(),0,BC350+Sheet1!AA352+Calculation!ES350+O350+W350+Sheet1!BN352+Calculation!AS350+Calculation!DJ350-BP350)</f>
        <v>51.381132456795143</v>
      </c>
      <c r="AJ350" s="95"/>
      <c r="AM350" s="91">
        <f t="shared" si="44"/>
        <v>41978</v>
      </c>
      <c r="AN350" s="95">
        <f>Sheet1!BU352</f>
        <v>19</v>
      </c>
      <c r="AO350" s="95">
        <f>Sheet1!AA352</f>
        <v>19.5</v>
      </c>
      <c r="AP350" s="95">
        <f t="shared" si="39"/>
        <v>0.63709999999999622</v>
      </c>
      <c r="AQ350" s="1055">
        <f>((Sheet1!BV352-(Sheet1!BU352-AP350))/(Sheet1!BU352-AP350))</f>
        <v>0.15450173992125402</v>
      </c>
      <c r="AR350" s="95">
        <f t="shared" si="40"/>
        <v>18.862900000000003</v>
      </c>
      <c r="AS350" s="95">
        <f t="shared" si="41"/>
        <v>18.362900000000003</v>
      </c>
      <c r="AT350" s="90">
        <f>Sheet1!BB352</f>
        <v>1.01</v>
      </c>
      <c r="AU350" s="90">
        <f>Sheet1!AS352*GPMtoMGD</f>
        <v>1.6560000000000002E-2</v>
      </c>
      <c r="AV350" s="95">
        <f>Sheet1!AT352</f>
        <v>0</v>
      </c>
      <c r="AW350" s="90">
        <f>Sheet1!AV352*GPMtoMGD</f>
        <v>0.31564799999999998</v>
      </c>
      <c r="AX350" s="90">
        <f>Sheet1!AW352*GPMtoMGD</f>
        <v>0.54921600000000004</v>
      </c>
      <c r="AY350" s="90">
        <f>Sheet1!AX352*GPMtoMGD</f>
        <v>0</v>
      </c>
      <c r="AZ350" s="90">
        <f>Sheet1!AY352*GPMtoMGD</f>
        <v>0</v>
      </c>
      <c r="BA350" s="90">
        <f>Sheet1!AZ352*GPMtoMGD</f>
        <v>0</v>
      </c>
      <c r="BB350" s="90">
        <f>Sheet1!BP352*GPMtoMGD</f>
        <v>0</v>
      </c>
      <c r="BC350" s="90">
        <f>Sheet1!CS352*GPMtoMGD</f>
        <v>6.6424320000000003</v>
      </c>
      <c r="BD350" s="90">
        <f>Sheet1!BO352*GPMtoMGD</f>
        <v>2.3201280000000004</v>
      </c>
      <c r="BE350" s="90">
        <f>Sheet1!BW352*GPMtoMGD</f>
        <v>0.70387200000000005</v>
      </c>
      <c r="BF350" s="90">
        <f>Sheet1!CN352*GPMtoMGD</f>
        <v>0.38304000000000005</v>
      </c>
      <c r="BG350" s="90">
        <f>Sheet1!CO352*GPMtoMGD</f>
        <v>0.40464</v>
      </c>
      <c r="BH350" s="90">
        <f>Sheet1!CP352*GPMtoMGD</f>
        <v>0.81374400000000013</v>
      </c>
      <c r="BI350" s="90">
        <f t="shared" si="45"/>
        <v>2.3201280000000004</v>
      </c>
      <c r="BK350" s="95">
        <f>SUM(AT350:BA350,BE350,Sheet1!BV352,'Calculations II'!BC350,Calculation!AQ350)</f>
        <v>54.308142201183429</v>
      </c>
      <c r="BM350" s="373">
        <f>0</f>
        <v>0</v>
      </c>
      <c r="BN350" s="373">
        <f>0</f>
        <v>0</v>
      </c>
      <c r="BP350" s="95">
        <f>SUM(BM350:BN350,W350,Sheet1!DX352)</f>
        <v>0</v>
      </c>
    </row>
    <row r="351" spans="1:68" s="90" customFormat="1">
      <c r="A351" s="651" t="s">
        <v>9</v>
      </c>
      <c r="B351" s="92">
        <v>41979</v>
      </c>
      <c r="C351" s="93">
        <v>0</v>
      </c>
      <c r="D351" s="95">
        <f>(Sheet1!BQ353-Sheet1!BQ352)*1.385</f>
        <v>-0.77559999999999818</v>
      </c>
      <c r="E351" s="30">
        <f>(Sheet1!BR353-Sheet1!BR352)*1.385</f>
        <v>-1.5373499999999993</v>
      </c>
      <c r="F351" s="30">
        <f ca="1">IF(B351=TODAY(),0,-(VLOOKUP(Sheet1!CD353,Lookup!$I$4:$J$216,2)-VLOOKUP(Sheet1!CD352,Lookup!$I$4:$J$216,2))/1000000)</f>
        <v>-7.0473118212503998</v>
      </c>
      <c r="G351" s="95">
        <f ca="1">IF(B351=TODAY(),0,-$G$6*(Sheet1!CF353-Sheet1!CF352)*7.48/1000000)</f>
        <v>0.19856750526279648</v>
      </c>
      <c r="H351" s="95">
        <f ca="1">IF(B351=TODAY(),0,-$H$6*(Sheet1!CE353-Sheet1!CE352)*7.48/1000000)</f>
        <v>-1.503943235126474E-2</v>
      </c>
      <c r="I351" s="95">
        <f ca="1">IF(B351=TODAY(),0,-$I$6*(Sheet1!CG353-Sheet1!CG352)*7.48/1000000)</f>
        <v>-3.5939903999999995E-2</v>
      </c>
      <c r="J351" s="96" t="s">
        <v>186</v>
      </c>
      <c r="K351" s="95">
        <f ca="1">IF(B351=TODAY(),0,-$K$6*(Sheet1!CH353-Sheet1!CH352)*7.48/1000000)</f>
        <v>-4.9974902808438318E-2</v>
      </c>
      <c r="L351" s="96" t="s">
        <v>186</v>
      </c>
      <c r="M351" s="95">
        <f ca="1">IF(B351=TODAY(),0,-$M$6*(Sheet1!CI353-Sheet1!CI352)*7.48/1000000)</f>
        <v>-0.2410862129355624</v>
      </c>
      <c r="N351" s="95">
        <f ca="1">IF(B351=TODAY(),0,-$N$6*(Sheet1!CJ353-Sheet1!CJ352)*7.48/1000000)</f>
        <v>-0.14892562894709749</v>
      </c>
      <c r="O351" s="95">
        <f t="shared" ca="1" si="42"/>
        <v>-7.3397103970299664</v>
      </c>
      <c r="P351" s="95">
        <f ca="1">O351+Calculation!ES351</f>
        <v>-5.1231913355749512</v>
      </c>
      <c r="Q351" s="90" t="str">
        <f>IF(Sheet1!BQ353&gt;25.75,"spill elevation","-")</f>
        <v>-</v>
      </c>
      <c r="R351" s="90" t="str">
        <f>IF(Sheet1!BQ353&gt;25.75,"spill elevation","-")</f>
        <v>-</v>
      </c>
      <c r="S351" s="90" t="str">
        <f>IF(Sheet1!BR353&gt;25.75,"spill elevation","-")</f>
        <v>-</v>
      </c>
      <c r="T351" s="94">
        <f>IF(Sheet1!DU353=1,Sheet1!AA353-(SUM(AT351:BA351)+BE351),Sheet1!AA353-SUM(AT351:BA351))</f>
        <v>10.896063999999999</v>
      </c>
      <c r="U351" s="94">
        <f>Sheet1!BV353</f>
        <v>17.3</v>
      </c>
      <c r="V351" s="94">
        <f t="shared" si="43"/>
        <v>-6.4039360000000016</v>
      </c>
      <c r="W351" s="94">
        <f>0</f>
        <v>0</v>
      </c>
      <c r="X351" s="90">
        <f>0</f>
        <v>0</v>
      </c>
      <c r="Y351" s="95">
        <f ca="1">Calculation!EJ352+Calculation!ES351+'Calculations II'!O351-'Calculations II'!W351</f>
        <v>47.52184866442505</v>
      </c>
      <c r="Z351" s="95">
        <f ca="1">Y351-Sheet1!CT354</f>
        <v>31.203848664425049</v>
      </c>
      <c r="AA351" s="95">
        <f ca="1">Y351+Calculation!DJ352+Calculation!AS352</f>
        <v>57.532976483973918</v>
      </c>
      <c r="AC351" s="95">
        <f>Sheet1!AA353+Sheet1!AB353+BC351</f>
        <v>58.263711999999998</v>
      </c>
      <c r="AD351" s="95">
        <f>Sheet1!AA353+Sheet1!BN353+'Calculations II'!BC351-Calculation!AS351-Calculation!DJ351</f>
        <v>38.017902588931641</v>
      </c>
      <c r="AE351" s="95">
        <f>Sheet1!AA353+Sheet1!AB353+'Calculations II'!BC351-Calculation!AS351-Calculation!DJ351</f>
        <v>48.217902588931636</v>
      </c>
      <c r="AF351" s="95">
        <f ca="1">Sheet1!AA353+Sheet1!BN353+P351+'Calculations II'!BC351+Calculation!AS351+Calculation!DJ351</f>
        <v>52.986330075493413</v>
      </c>
      <c r="AG351" s="95">
        <f ca="1">IF(B351=TODAY(),0,Sheet1!AA353+Sheet1!BN353+'Calculations II'!BC351+'Calculations II'!P351-Sheet1!CT353-BP351)</f>
        <v>27.143520664425051</v>
      </c>
      <c r="AH351" s="95">
        <f ca="1">IF(B351=TODAY(),0,Sheet1!AA353+Sheet1!BN353+'Calculations II'!BC351+'Calculations II'!P351-BP351)</f>
        <v>42.940520664425051</v>
      </c>
      <c r="AI351" s="95">
        <f ca="1">IF(B351=TODAY(),0,BC351+Sheet1!AA353+Calculation!ES351+O351+W351+Sheet1!BN353+Calculation!AS351+Calculation!DJ351-BP351)</f>
        <v>52.986330075493413</v>
      </c>
      <c r="AJ351" s="95"/>
      <c r="AM351" s="91">
        <f t="shared" si="44"/>
        <v>41979</v>
      </c>
      <c r="AN351" s="95">
        <f>Sheet1!BU353</f>
        <v>13.6</v>
      </c>
      <c r="AO351" s="95">
        <f>Sheet1!AA353</f>
        <v>14.4</v>
      </c>
      <c r="AP351" s="95">
        <f t="shared" si="39"/>
        <v>-2.3129499999999976</v>
      </c>
      <c r="AQ351" s="1055">
        <f>((Sheet1!BV353-(Sheet1!BU353-AP351))/(Sheet1!BU353-AP351))</f>
        <v>8.7164856296287244E-2</v>
      </c>
      <c r="AR351" s="95">
        <f t="shared" si="40"/>
        <v>16.712949999999999</v>
      </c>
      <c r="AS351" s="95">
        <f t="shared" si="41"/>
        <v>15.912949999999997</v>
      </c>
      <c r="AT351" s="90">
        <f>Sheet1!BB353</f>
        <v>1.01</v>
      </c>
      <c r="AU351" s="90">
        <f>Sheet1!AS353*GPMtoMGD</f>
        <v>3.168E-2</v>
      </c>
      <c r="AV351" s="95">
        <f>Sheet1!AT353</f>
        <v>0</v>
      </c>
      <c r="AW351" s="90">
        <f>Sheet1!AV353*GPMtoMGD</f>
        <v>0.41371200000000002</v>
      </c>
      <c r="AX351" s="90">
        <f>Sheet1!AW353*GPMtoMGD</f>
        <v>2.0485440000000001</v>
      </c>
      <c r="AY351" s="90">
        <f>Sheet1!AX353*GPMtoMGD</f>
        <v>0</v>
      </c>
      <c r="AZ351" s="90">
        <f>Sheet1!AY353*GPMtoMGD</f>
        <v>0</v>
      </c>
      <c r="BA351" s="90">
        <f>Sheet1!AZ353*GPMtoMGD</f>
        <v>0</v>
      </c>
      <c r="BB351" s="90">
        <f>Sheet1!BP353*GPMtoMGD</f>
        <v>0</v>
      </c>
      <c r="BC351" s="90">
        <f>Sheet1!CS353*GPMtoMGD</f>
        <v>9.8637120000000014</v>
      </c>
      <c r="BD351" s="90">
        <f>Sheet1!BO353*GPMtoMGD</f>
        <v>1.8521280000000002</v>
      </c>
      <c r="BE351" s="90">
        <f>Sheet1!BW353*GPMtoMGD</f>
        <v>0.84196800000000016</v>
      </c>
      <c r="BF351" s="90">
        <f>Sheet1!CN353*GPMtoMGD</f>
        <v>0.44308800000000004</v>
      </c>
      <c r="BG351" s="90">
        <f>Sheet1!CO353*GPMtoMGD</f>
        <v>0.44380800000000004</v>
      </c>
      <c r="BH351" s="90">
        <f>Sheet1!CP353*GPMtoMGD</f>
        <v>0.75686400000000009</v>
      </c>
      <c r="BI351" s="90">
        <f t="shared" si="45"/>
        <v>1.8521280000000002</v>
      </c>
      <c r="BK351" s="95">
        <f>SUM(AT351:BA351,BE351,Sheet1!BV353,'Calculations II'!BC351,Calculation!AQ351)</f>
        <v>55.457529583900559</v>
      </c>
      <c r="BM351" s="373">
        <f>0</f>
        <v>0</v>
      </c>
      <c r="BN351" s="373">
        <f>0</f>
        <v>0</v>
      </c>
      <c r="BP351" s="95">
        <f>SUM(BM351:BN351,W351,Sheet1!DX353)</f>
        <v>0</v>
      </c>
    </row>
    <row r="352" spans="1:68" s="90" customFormat="1">
      <c r="A352" s="651" t="s">
        <v>3</v>
      </c>
      <c r="B352" s="92">
        <v>41980</v>
      </c>
      <c r="C352" s="93">
        <v>0</v>
      </c>
      <c r="D352" s="95">
        <f>(Sheet1!BQ354-Sheet1!BQ353)*1.385</f>
        <v>2.3406500000000019</v>
      </c>
      <c r="E352" s="30">
        <f>(Sheet1!BR354-Sheet1!BR353)*1.385</f>
        <v>2.3683500000000013</v>
      </c>
      <c r="F352" s="30">
        <f ca="1">IF(B352=TODAY(),0,-(VLOOKUP(Sheet1!CD354,Lookup!$I$4:$J$216,2)-VLOOKUP(Sheet1!CD353,Lookup!$I$4:$J$216,2))/1000000)</f>
        <v>-0.31091081564339806</v>
      </c>
      <c r="G352" s="95">
        <f ca="1">IF(B352=TODAY(),0,-$G$6*(Sheet1!CF354-Sheet1!CF353)*7.48/1000000)</f>
        <v>0.23828100631535562</v>
      </c>
      <c r="H352" s="95">
        <f ca="1">IF(B352=TODAY(),0,-$H$6*(Sheet1!CE354-Sheet1!CE353)*7.48/1000000)</f>
        <v>-3.0078864702530014E-2</v>
      </c>
      <c r="I352" s="95">
        <f ca="1">IF(B352=TODAY(),0,-$I$6*(Sheet1!CG354-Sheet1!CG353)*7.48/1000000)</f>
        <v>0.2057559504</v>
      </c>
      <c r="J352" s="96" t="s">
        <v>186</v>
      </c>
      <c r="K352" s="95">
        <f ca="1">IF(B352=TODAY(),0,-$K$6*(Sheet1!CH354-Sheet1!CH353)*7.48/1000000)</f>
        <v>0.34649265947183905</v>
      </c>
      <c r="L352" s="96" t="s">
        <v>186</v>
      </c>
      <c r="M352" s="95">
        <f ca="1">IF(B352=TODAY(),0,-$M$6*(Sheet1!CI354-Sheet1!CI353)*7.48/1000000)</f>
        <v>1.0147210753407256</v>
      </c>
      <c r="N352" s="95">
        <f ca="1">IF(B352=TODAY(),0,-$N$6*(Sheet1!CJ354-Sheet1!CJ353)*7.48/1000000)</f>
        <v>1.4209987095368868</v>
      </c>
      <c r="O352" s="95">
        <f t="shared" ca="1" si="42"/>
        <v>2.8852597207188788</v>
      </c>
      <c r="P352" s="95">
        <f ca="1">O352+Calculation!ES352</f>
        <v>-1.8256196813183019</v>
      </c>
      <c r="Q352" s="90" t="str">
        <f>IF(Sheet1!BQ354&gt;25.75,"spill elevation","-")</f>
        <v>-</v>
      </c>
      <c r="R352" s="90" t="str">
        <f>IF(Sheet1!BQ354&gt;25.75,"spill elevation","-")</f>
        <v>-</v>
      </c>
      <c r="S352" s="90" t="str">
        <f>IF(Sheet1!BR354&gt;25.75,"spill elevation","-")</f>
        <v>-</v>
      </c>
      <c r="T352" s="94">
        <f>IF(Sheet1!DU354=1,Sheet1!AA354-(SUM(AT352:BA352)+BE352),Sheet1!AA354-SUM(AT352:BA352))</f>
        <v>4.7537919999999998</v>
      </c>
      <c r="U352" s="94">
        <f>Sheet1!BV354</f>
        <v>6.6</v>
      </c>
      <c r="V352" s="94">
        <f t="shared" si="43"/>
        <v>-1.8462079999999998</v>
      </c>
      <c r="W352" s="94">
        <f>0</f>
        <v>0</v>
      </c>
      <c r="X352" s="90">
        <f>0</f>
        <v>0</v>
      </c>
      <c r="Y352" s="95">
        <f ca="1">Calculation!EJ353+Calculation!ES352+'Calculations II'!O352-'Calculations II'!W352</f>
        <v>51.392028318681696</v>
      </c>
      <c r="Z352" s="95">
        <f ca="1">Y352-Sheet1!CT355</f>
        <v>35.216028318681694</v>
      </c>
      <c r="AA352" s="95">
        <f ca="1">Y352+Calculation!DJ353+Calculation!AS353</f>
        <v>61.362006071740652</v>
      </c>
      <c r="AC352" s="95">
        <f>Sheet1!AA354+Sheet1!AB354+BC352</f>
        <v>52.645040000000002</v>
      </c>
      <c r="AD352" s="95">
        <f>Sheet1!AA354+Sheet1!BN354+'Calculations II'!BC352-Calculation!AS352-Calculation!DJ352</f>
        <v>32.533912180451132</v>
      </c>
      <c r="AE352" s="95">
        <f>Sheet1!AA354+Sheet1!AB354+'Calculations II'!BC352-Calculation!AS352-Calculation!DJ352</f>
        <v>42.633912180451134</v>
      </c>
      <c r="AF352" s="95">
        <f ca="1">Sheet1!AA354+Sheet1!BN354+P352+'Calculations II'!BC352+Calculation!AS352+Calculation!DJ352</f>
        <v>50.730548138230567</v>
      </c>
      <c r="AG352" s="95">
        <f ca="1">IF(B352=TODAY(),0,Sheet1!AA354+Sheet1!BN354+'Calculations II'!BC352+'Calculations II'!P352-Sheet1!CT354-BP352)</f>
        <v>24.401420318681698</v>
      </c>
      <c r="AH352" s="95">
        <f ca="1">IF(B352=TODAY(),0,Sheet1!AA354+Sheet1!BN354+'Calculations II'!BC352+'Calculations II'!P352-BP352)</f>
        <v>40.719420318681699</v>
      </c>
      <c r="AI352" s="95">
        <f ca="1">IF(B352=TODAY(),0,BC352+Sheet1!AA354+Calculation!ES352+O352+W352+Sheet1!BN354+Calculation!AS352+Calculation!DJ352-BP352)</f>
        <v>50.730548138230567</v>
      </c>
      <c r="AJ352" s="95"/>
      <c r="AM352" s="91">
        <f t="shared" si="44"/>
        <v>41980</v>
      </c>
      <c r="AN352" s="95">
        <f>Sheet1!BU354</f>
        <v>8.1</v>
      </c>
      <c r="AO352" s="95">
        <f>Sheet1!AA354</f>
        <v>7.5</v>
      </c>
      <c r="AP352" s="95">
        <f t="shared" si="39"/>
        <v>4.7090000000000032</v>
      </c>
      <c r="AQ352" s="1055">
        <f>((Sheet1!BV354-(Sheet1!BU354-AP352))/(Sheet1!BU354-AP352))</f>
        <v>0.94632851666175366</v>
      </c>
      <c r="AR352" s="95">
        <f t="shared" si="40"/>
        <v>2.7909999999999968</v>
      </c>
      <c r="AS352" s="95">
        <f t="shared" si="41"/>
        <v>3.3909999999999965</v>
      </c>
      <c r="AT352" s="90">
        <f>Sheet1!BB354</f>
        <v>1.01</v>
      </c>
      <c r="AU352" s="90">
        <f>Sheet1!AS354*GPMtoMGD</f>
        <v>3.2688000000000002E-2</v>
      </c>
      <c r="AV352" s="95">
        <f>Sheet1!AT354</f>
        <v>0</v>
      </c>
      <c r="AW352" s="90">
        <f>Sheet1!AV354*GPMtoMGD</f>
        <v>0</v>
      </c>
      <c r="AX352" s="90">
        <f>Sheet1!AW354*GPMtoMGD</f>
        <v>1.7035200000000001</v>
      </c>
      <c r="AY352" s="90">
        <f>Sheet1!AX354*GPMtoMGD</f>
        <v>0</v>
      </c>
      <c r="AZ352" s="90">
        <f>Sheet1!AY354*GPMtoMGD</f>
        <v>0</v>
      </c>
      <c r="BA352" s="90">
        <f>Sheet1!AZ354*GPMtoMGD</f>
        <v>0</v>
      </c>
      <c r="BB352" s="90">
        <f>Sheet1!BP354*GPMtoMGD</f>
        <v>0</v>
      </c>
      <c r="BC352" s="90">
        <f>Sheet1!CS354*GPMtoMGD</f>
        <v>10.445040000000001</v>
      </c>
      <c r="BD352" s="90">
        <f>Sheet1!BO354*GPMtoMGD</f>
        <v>0.40651200000000004</v>
      </c>
      <c r="BE352" s="90">
        <f>Sheet1!BW354*GPMtoMGD</f>
        <v>0.87192000000000003</v>
      </c>
      <c r="BF352" s="90">
        <f>Sheet1!CN354*GPMtoMGD</f>
        <v>0.67896000000000001</v>
      </c>
      <c r="BG352" s="90">
        <f>Sheet1!CO354*GPMtoMGD</f>
        <v>0.47635200000000005</v>
      </c>
      <c r="BH352" s="90">
        <f>Sheet1!CP354*GPMtoMGD</f>
        <v>0.76968000000000003</v>
      </c>
      <c r="BI352" s="90">
        <f t="shared" si="45"/>
        <v>0.40651200000000004</v>
      </c>
      <c r="BK352" s="95">
        <f>SUM(AT352:BA352,BE352,Sheet1!BV354,'Calculations II'!BC352,Calculation!AQ352)</f>
        <v>45.348535264314634</v>
      </c>
      <c r="BM352" s="373">
        <f>0</f>
        <v>0</v>
      </c>
      <c r="BN352" s="373">
        <f>0</f>
        <v>0</v>
      </c>
      <c r="BP352" s="95">
        <f>SUM(BM352:BN352,W352,Sheet1!DX354)</f>
        <v>0</v>
      </c>
    </row>
    <row r="353" spans="1:68" s="90" customFormat="1">
      <c r="A353" s="651" t="s">
        <v>4</v>
      </c>
      <c r="B353" s="92">
        <v>41981</v>
      </c>
      <c r="C353" s="93">
        <v>0</v>
      </c>
      <c r="D353" s="95">
        <f>(Sheet1!BQ355-Sheet1!BQ354)*1.385</f>
        <v>-0.11080000000000256</v>
      </c>
      <c r="E353" s="30">
        <f>(Sheet1!BR355-Sheet1!BR354)*1.385</f>
        <v>-0.11080000000000256</v>
      </c>
      <c r="F353" s="30">
        <f ca="1">IF(B353=TODAY(),0,-(VLOOKUP(Sheet1!CD355,Lookup!$I$4:$J$216,2)-VLOOKUP(Sheet1!CD354,Lookup!$I$4:$J$216,2))/1000000)</f>
        <v>-0.31091081564339806</v>
      </c>
      <c r="G353" s="95">
        <f ca="1">IF(B353=TODAY(),0,-$G$6*(Sheet1!CF355-Sheet1!CF354)*7.48/1000000)</f>
        <v>0.19856750526279648</v>
      </c>
      <c r="H353" s="95">
        <f ca="1">IF(B353=TODAY(),0,-$H$6*(Sheet1!CE355-Sheet1!CE354)*7.48/1000000)</f>
        <v>3.0078864702530014E-2</v>
      </c>
      <c r="I353" s="95">
        <f ca="1">IF(B353=TODAY(),0,-$I$6*(Sheet1!CG355-Sheet1!CG354)*7.48/1000000)</f>
        <v>-8.4458774399999992E-2</v>
      </c>
      <c r="J353" s="96" t="s">
        <v>186</v>
      </c>
      <c r="K353" s="95">
        <f ca="1">IF(B353=TODAY(),0,-$K$6*(Sheet1!CH355-Sheet1!CH354)*7.48/1000000)</f>
        <v>-0.13659806767639804</v>
      </c>
      <c r="L353" s="96" t="s">
        <v>186</v>
      </c>
      <c r="M353" s="95">
        <f ca="1">IF(B353=TODAY(),0,-$M$6*(Sheet1!CI355-Sheet1!CI354)*7.48/1000000)</f>
        <v>-0.37782167698856822</v>
      </c>
      <c r="N353" s="95">
        <f ca="1">IF(B353=TODAY(),0,-$N$6*(Sheet1!CJ355-Sheet1!CJ354)*7.48/1000000)</f>
        <v>-0.47159782499914149</v>
      </c>
      <c r="O353" s="95">
        <f t="shared" ca="1" si="42"/>
        <v>-1.1527407897421793</v>
      </c>
      <c r="P353" s="95">
        <f ca="1">O353+Calculation!ES353</f>
        <v>-1.0141406422119812</v>
      </c>
      <c r="Q353" s="90" t="str">
        <f>IF(Sheet1!BQ355&gt;25.75,"spill elevation","-")</f>
        <v>-</v>
      </c>
      <c r="R353" s="90" t="str">
        <f>IF(Sheet1!BQ355&gt;25.75,"spill elevation","-")</f>
        <v>-</v>
      </c>
      <c r="S353" s="90" t="str">
        <f>IF(Sheet1!BR355&gt;25.75,"spill elevation","-")</f>
        <v>-</v>
      </c>
      <c r="T353" s="94">
        <f>IF(Sheet1!DU355=1,Sheet1!AA355-(SUM(AT353:BA353)+BE353),Sheet1!AA355-SUM(AT353:BA353))</f>
        <v>-2.524464</v>
      </c>
      <c r="U353" s="94">
        <f>Sheet1!BV355</f>
        <v>4</v>
      </c>
      <c r="V353" s="94">
        <f t="shared" si="43"/>
        <v>-6.524464</v>
      </c>
      <c r="W353" s="94">
        <f>0</f>
        <v>0</v>
      </c>
      <c r="X353" s="90">
        <f>0</f>
        <v>0</v>
      </c>
      <c r="Y353" s="95">
        <f ca="1">Calculation!EJ354+Calculation!ES353+'Calculations II'!O353-'Calculations II'!W353</f>
        <v>51.991795357788021</v>
      </c>
      <c r="Z353" s="95">
        <f ca="1">Y353-Sheet1!CT356</f>
        <v>35.226795357788021</v>
      </c>
      <c r="AA353" s="95">
        <f ca="1">Y353+Calculation!DJ354+Calculation!AS354</f>
        <v>61.949298138655649</v>
      </c>
      <c r="AC353" s="95">
        <f>Sheet1!AA355+Sheet1!AB355+BC353</f>
        <v>53.217647999999997</v>
      </c>
      <c r="AD353" s="95">
        <f>Sheet1!AA355+Sheet1!BN355+'Calculations II'!BC353-Calculation!AS353-Calculation!DJ353</f>
        <v>33.247670246941041</v>
      </c>
      <c r="AE353" s="95">
        <f>Sheet1!AA355+Sheet1!AB355+'Calculations II'!BC353-Calculation!AS353-Calculation!DJ353</f>
        <v>43.247670246941041</v>
      </c>
      <c r="AF353" s="95">
        <f ca="1">Sheet1!AA355+Sheet1!BN355+P353+'Calculations II'!BC353+Calculation!AS353+Calculation!DJ353</f>
        <v>52.173485110846975</v>
      </c>
      <c r="AG353" s="95">
        <f ca="1">IF(B353=TODAY(),0,Sheet1!AA355+Sheet1!BN355+'Calculations II'!BC353+'Calculations II'!P353-Sheet1!CT355-BP353)</f>
        <v>26.027507357788014</v>
      </c>
      <c r="AH353" s="95">
        <f ca="1">IF(B353=TODAY(),0,Sheet1!AA355+Sheet1!BN355+'Calculations II'!BC353+'Calculations II'!P353-BP353)</f>
        <v>42.203507357788013</v>
      </c>
      <c r="AI353" s="95">
        <f ca="1">IF(B353=TODAY(),0,BC353+Sheet1!AA355+Calculation!ES353+O353+W353+Sheet1!BN355+Calculation!AS353+Calculation!DJ353-BP353)</f>
        <v>52.173485110846975</v>
      </c>
      <c r="AJ353" s="95"/>
      <c r="AM353" s="91">
        <f t="shared" si="44"/>
        <v>41981</v>
      </c>
      <c r="AN353" s="95">
        <f>Sheet1!BU355</f>
        <v>0</v>
      </c>
      <c r="AO353" s="95">
        <f>Sheet1!AA355</f>
        <v>0</v>
      </c>
      <c r="AP353" s="95">
        <f t="shared" si="39"/>
        <v>-0.22160000000000513</v>
      </c>
      <c r="AQ353" s="1055">
        <f>((Sheet1!BV355-(Sheet1!BU355-AP353))/(Sheet1!BU355-AP353))</f>
        <v>17.050541516245072</v>
      </c>
      <c r="AR353" s="95">
        <f t="shared" si="40"/>
        <v>0.22160000000000513</v>
      </c>
      <c r="AS353" s="95">
        <f t="shared" si="41"/>
        <v>0.22160000000000513</v>
      </c>
      <c r="AT353" s="90">
        <f>Sheet1!BB355</f>
        <v>0.99</v>
      </c>
      <c r="AU353" s="90">
        <f>Sheet1!AS355*GPMtoMGD</f>
        <v>1.8576000000000002E-2</v>
      </c>
      <c r="AV353" s="95">
        <f>Sheet1!AT355</f>
        <v>0</v>
      </c>
      <c r="AW353" s="90">
        <f>Sheet1!AV355*GPMtoMGD</f>
        <v>0</v>
      </c>
      <c r="AX353" s="90">
        <f>Sheet1!AW355*GPMtoMGD</f>
        <v>1.5158880000000001</v>
      </c>
      <c r="AY353" s="90">
        <f>Sheet1!AX355*GPMtoMGD</f>
        <v>0</v>
      </c>
      <c r="AZ353" s="90">
        <f>Sheet1!AY355*GPMtoMGD</f>
        <v>0</v>
      </c>
      <c r="BA353" s="90">
        <f>Sheet1!AZ355*GPMtoMGD</f>
        <v>0</v>
      </c>
      <c r="BB353" s="90">
        <f>Sheet1!BP355*GPMtoMGD</f>
        <v>0</v>
      </c>
      <c r="BC353" s="90">
        <f>Sheet1!CS355*GPMtoMGD</f>
        <v>17.217648000000001</v>
      </c>
      <c r="BD353" s="90">
        <f>Sheet1!BO355*GPMtoMGD</f>
        <v>1.9461600000000001</v>
      </c>
      <c r="BE353" s="90">
        <f>Sheet1!BW355*GPMtoMGD</f>
        <v>0.64512000000000003</v>
      </c>
      <c r="BF353" s="90">
        <f>Sheet1!CN355*GPMtoMGD</f>
        <v>0.25272</v>
      </c>
      <c r="BG353" s="90">
        <f>Sheet1!CO355*GPMtoMGD</f>
        <v>0.41774400000000006</v>
      </c>
      <c r="BH353" s="90">
        <f>Sheet1!CP355*GPMtoMGD</f>
        <v>0.79948800000000009</v>
      </c>
      <c r="BI353" s="90">
        <f t="shared" si="45"/>
        <v>1.9461600000000001</v>
      </c>
      <c r="BK353" s="95">
        <f>SUM(AT353:BA353,BE353,Sheet1!BV355,'Calculations II'!BC353,Calculation!AQ353)</f>
        <v>50.416153023359286</v>
      </c>
      <c r="BM353" s="373">
        <f>0</f>
        <v>0</v>
      </c>
      <c r="BN353" s="373">
        <f>0</f>
        <v>0</v>
      </c>
      <c r="BP353" s="95">
        <f>SUM(BM353:BN353,W353,Sheet1!DX355)</f>
        <v>0</v>
      </c>
    </row>
    <row r="354" spans="1:68" s="90" customFormat="1">
      <c r="A354" s="651" t="s">
        <v>5</v>
      </c>
      <c r="B354" s="92">
        <v>41982</v>
      </c>
      <c r="C354" s="93">
        <v>0</v>
      </c>
      <c r="D354" s="95">
        <f>(Sheet1!BQ356-Sheet1!BQ355)*1.385</f>
        <v>-0.98335000000000117</v>
      </c>
      <c r="E354" s="30">
        <f>(Sheet1!BR356-Sheet1!BR355)*1.385</f>
        <v>-0.98334999999999628</v>
      </c>
      <c r="F354" s="30">
        <f ca="1">IF(B354=TODAY(),0,-(VLOOKUP(Sheet1!CD356,Lookup!$I$4:$J$216,2)-VLOOKUP(Sheet1!CD355,Lookup!$I$4:$J$216,2))/1000000)</f>
        <v>0</v>
      </c>
      <c r="G354" s="95">
        <f ca="1">IF(B354=TODAY(),0,-$G$6*(Sheet1!CF356-Sheet1!CF355)*7.48/1000000)</f>
        <v>-1.0325510273665417</v>
      </c>
      <c r="H354" s="95">
        <f ca="1">IF(B354=TODAY(),0,-$H$6*(Sheet1!CE356-Sheet1!CE355)*7.48/1000000)</f>
        <v>6.0157729405060027E-2</v>
      </c>
      <c r="I354" s="95">
        <f ca="1">IF(B354=TODAY(),0,-$I$6*(Sheet1!CG356-Sheet1!CG355)*7.48/1000000)</f>
        <v>-0.11680468800000003</v>
      </c>
      <c r="J354" s="96" t="s">
        <v>186</v>
      </c>
      <c r="K354" s="95">
        <f ca="1">IF(B354=TODAY(),0,-$K$6*(Sheet1!CH356-Sheet1!CH355)*7.48/1000000)</f>
        <v>-0.19989961123375327</v>
      </c>
      <c r="L354" s="96" t="s">
        <v>186</v>
      </c>
      <c r="M354" s="95">
        <f ca="1">IF(B354=TODAY(),0,-$M$6*(Sheet1!CI356-Sheet1!CI355)*7.48/1000000)</f>
        <v>-0.52175374441278422</v>
      </c>
      <c r="N354" s="95">
        <f ca="1">IF(B354=TODAY(),0,-$N$6*(Sheet1!CJ356-Sheet1!CJ355)*7.48/1000000)</f>
        <v>-7.4462814473548189E-2</v>
      </c>
      <c r="O354" s="95">
        <f t="shared" ca="1" si="42"/>
        <v>-1.8853141560815674</v>
      </c>
      <c r="P354" s="95">
        <f ca="1">O354+Calculation!ES354</f>
        <v>5.4863539932225924E-2</v>
      </c>
      <c r="Q354" s="90" t="str">
        <f>IF(Sheet1!BQ356&gt;25.75,"spill elevation","-")</f>
        <v>-</v>
      </c>
      <c r="R354" s="90" t="str">
        <f>IF(Sheet1!BQ356&gt;25.75,"spill elevation","-")</f>
        <v>-</v>
      </c>
      <c r="S354" s="90" t="str">
        <f>IF(Sheet1!BR356&gt;25.75,"spill elevation","-")</f>
        <v>-</v>
      </c>
      <c r="T354" s="94">
        <f>IF(Sheet1!DU356=1,Sheet1!AA356-(SUM(AT354:BA354)+BE354),Sheet1!AA356-SUM(AT354:BA354))</f>
        <v>-2.762864</v>
      </c>
      <c r="U354" s="94">
        <f>Sheet1!BV356</f>
        <v>6.2</v>
      </c>
      <c r="V354" s="94">
        <f t="shared" si="43"/>
        <v>-8.9628639999999997</v>
      </c>
      <c r="W354" s="94">
        <f>0</f>
        <v>0</v>
      </c>
      <c r="X354" s="90">
        <f>0</f>
        <v>0</v>
      </c>
      <c r="Y354" s="95">
        <f ca="1">Calculation!EJ355+Calculation!ES354+'Calculations II'!O354-'Calculations II'!W354</f>
        <v>51.905279539932224</v>
      </c>
      <c r="Z354" s="95">
        <f ca="1">Y354-Sheet1!CT357</f>
        <v>34.297279539932219</v>
      </c>
      <c r="AA354" s="95">
        <f ca="1">Y354+Calculation!DJ355+Calculation!AS355</f>
        <v>61.865321125737601</v>
      </c>
      <c r="AC354" s="95">
        <f>Sheet1!AA356+Sheet1!AB356+BC354</f>
        <v>53.005936000000005</v>
      </c>
      <c r="AD354" s="95">
        <f>Sheet1!AA356+Sheet1!BN356+'Calculations II'!BC354-Calculation!AS354-Calculation!DJ354</f>
        <v>33.098433219132374</v>
      </c>
      <c r="AE354" s="95">
        <f>Sheet1!AA356+Sheet1!AB356+'Calculations II'!BC354-Calculation!AS354-Calculation!DJ354</f>
        <v>43.048433219132377</v>
      </c>
      <c r="AF354" s="95">
        <f ca="1">Sheet1!AA356+Sheet1!BN356+P354+'Calculations II'!BC354+Calculation!AS354+Calculation!DJ354</f>
        <v>53.068302320799852</v>
      </c>
      <c r="AG354" s="95">
        <f ca="1">IF(B354=TODAY(),0,Sheet1!AA356+Sheet1!BN356+'Calculations II'!BC354+'Calculations II'!P354-Sheet1!CT356-BP354)</f>
        <v>26.34579953993223</v>
      </c>
      <c r="AH354" s="95">
        <f ca="1">IF(B354=TODAY(),0,Sheet1!AA356+Sheet1!BN356+'Calculations II'!BC354+'Calculations II'!P354-BP354)</f>
        <v>43.110799539932231</v>
      </c>
      <c r="AI354" s="95">
        <f ca="1">IF(B354=TODAY(),0,BC354+Sheet1!AA356+Calculation!ES354+O354+W354+Sheet1!BN356+Calculation!AS354+Calculation!DJ354-BP354)</f>
        <v>53.068302320799859</v>
      </c>
      <c r="AJ354" s="95"/>
      <c r="AM354" s="91">
        <f t="shared" si="44"/>
        <v>41982</v>
      </c>
      <c r="AN354" s="95">
        <f>Sheet1!BU356</f>
        <v>0</v>
      </c>
      <c r="AO354" s="95">
        <f>Sheet1!AA356</f>
        <v>0</v>
      </c>
      <c r="AP354" s="95">
        <f t="shared" si="39"/>
        <v>-1.9666999999999975</v>
      </c>
      <c r="AQ354" s="1055">
        <f>((Sheet1!BV356-(Sheet1!BU356-AP354))/(Sheet1!BU356-AP354))</f>
        <v>2.1524889408654131</v>
      </c>
      <c r="AR354" s="95">
        <f t="shared" si="40"/>
        <v>1.9666999999999975</v>
      </c>
      <c r="AS354" s="95">
        <f t="shared" si="41"/>
        <v>1.9666999999999975</v>
      </c>
      <c r="AT354" s="90">
        <f>Sheet1!BB356</f>
        <v>0.98</v>
      </c>
      <c r="AU354" s="90">
        <f>Sheet1!AS356*GPMtoMGD</f>
        <v>3.2112000000000002E-2</v>
      </c>
      <c r="AV354" s="95">
        <f>Sheet1!AT356</f>
        <v>0</v>
      </c>
      <c r="AW354" s="90">
        <f>Sheet1!AV356*GPMtoMGD</f>
        <v>0</v>
      </c>
      <c r="AX354" s="90">
        <f>Sheet1!AW356*GPMtoMGD</f>
        <v>1.7507520000000001</v>
      </c>
      <c r="AY354" s="90">
        <f>Sheet1!AX356*GPMtoMGD</f>
        <v>0</v>
      </c>
      <c r="AZ354" s="90">
        <f>Sheet1!AY356*GPMtoMGD</f>
        <v>0</v>
      </c>
      <c r="BA354" s="90">
        <f>Sheet1!AZ356*GPMtoMGD</f>
        <v>0</v>
      </c>
      <c r="BB354" s="90">
        <f>Sheet1!BP356*GPMtoMGD</f>
        <v>0</v>
      </c>
      <c r="BC354" s="90">
        <f>Sheet1!CS356*GPMtoMGD</f>
        <v>17.055935999999999</v>
      </c>
      <c r="BD354" s="90">
        <f>Sheet1!BO356*GPMtoMGD</f>
        <v>2.1309119999999999</v>
      </c>
      <c r="BE354" s="90">
        <f>Sheet1!BW356*GPMtoMGD</f>
        <v>0.78163199999999999</v>
      </c>
      <c r="BF354" s="90">
        <f>Sheet1!CN356*GPMtoMGD</f>
        <v>0.270144</v>
      </c>
      <c r="BG354" s="90">
        <f>Sheet1!CO356*GPMtoMGD</f>
        <v>0.40132800000000002</v>
      </c>
      <c r="BH354" s="90">
        <f>Sheet1!CP356*GPMtoMGD</f>
        <v>0.78753600000000001</v>
      </c>
      <c r="BI354" s="90">
        <f t="shared" si="45"/>
        <v>2.1309119999999999</v>
      </c>
      <c r="BK354" s="95">
        <f>SUM(AT354:BA354,BE354,Sheet1!BV356,'Calculations II'!BC354,Calculation!AQ354)</f>
        <v>52.793201744160179</v>
      </c>
      <c r="BM354" s="373">
        <f>0</f>
        <v>0</v>
      </c>
      <c r="BN354" s="373">
        <f>0</f>
        <v>0</v>
      </c>
      <c r="BP354" s="95">
        <f>SUM(BM354:BN354,W354,Sheet1!DX356)</f>
        <v>0</v>
      </c>
    </row>
    <row r="355" spans="1:68" s="90" customFormat="1">
      <c r="A355" s="651" t="s">
        <v>6</v>
      </c>
      <c r="B355" s="92">
        <v>41983</v>
      </c>
      <c r="C355" s="93">
        <v>0</v>
      </c>
      <c r="D355" s="95">
        <f>(Sheet1!BQ357-Sheet1!BQ356)*1.385</f>
        <v>-0.56785000000000019</v>
      </c>
      <c r="E355" s="30">
        <f>(Sheet1!BR357-Sheet1!BR356)*1.385</f>
        <v>-0.56785000000000019</v>
      </c>
      <c r="F355" s="30">
        <f ca="1">IF(B355=TODAY(),0,-(VLOOKUP(Sheet1!CD357,Lookup!$I$4:$J$216,2)-VLOOKUP(Sheet1!CD356,Lookup!$I$4:$J$216,2))/1000000)</f>
        <v>0.20727387709559872</v>
      </c>
      <c r="G355" s="95">
        <f ca="1">IF(B355=TODAY(),0,-$G$6*(Sheet1!CF357-Sheet1!CF356)*7.48/1000000)</f>
        <v>0.11914050315767817</v>
      </c>
      <c r="H355" s="95">
        <f ca="1">IF(B355=TODAY(),0,-$H$6*(Sheet1!CE357-Sheet1!CE356)*7.48/1000000)</f>
        <v>-1.503943235126474E-2</v>
      </c>
      <c r="I355" s="95">
        <f ca="1">IF(B355=TODAY(),0,-$I$6*(Sheet1!CG357-Sheet1!CG356)*7.48/1000000)</f>
        <v>0.10242872640000003</v>
      </c>
      <c r="J355" s="96" t="s">
        <v>186</v>
      </c>
      <c r="K355" s="95">
        <f ca="1">IF(B355=TODAY(),0,-$K$6*(Sheet1!CH357-Sheet1!CH356)*7.48/1000000)</f>
        <v>0.1732463297359195</v>
      </c>
      <c r="L355" s="96" t="s">
        <v>186</v>
      </c>
      <c r="M355" s="95">
        <f ca="1">IF(B355=TODAY(),0,-$M$6*(Sheet1!CI357-Sheet1!CI356)*7.48/1000000)</f>
        <v>0.35983016856054095</v>
      </c>
      <c r="N355" s="95">
        <f ca="1">IF(B355=TODAY(),0,-$N$6*(Sheet1!CJ357-Sheet1!CJ356)*7.48/1000000)</f>
        <v>0.14272039440763523</v>
      </c>
      <c r="O355" s="95">
        <f t="shared" ca="1" si="42"/>
        <v>1.0896005670061077</v>
      </c>
      <c r="P355" s="95">
        <f ca="1">O355+Calculation!ES355</f>
        <v>2.3365339432147412</v>
      </c>
      <c r="Q355" s="90" t="str">
        <f>IF(Sheet1!BQ357&gt;25.75,"spill elevation","-")</f>
        <v>-</v>
      </c>
      <c r="R355" s="90" t="str">
        <f>IF(Sheet1!BQ357&gt;25.75,"spill elevation","-")</f>
        <v>-</v>
      </c>
      <c r="S355" s="90" t="str">
        <f>IF(Sheet1!BR357&gt;25.75,"spill elevation","-")</f>
        <v>-</v>
      </c>
      <c r="T355" s="94">
        <f>IF(Sheet1!DU357=1,Sheet1!AA357-(SUM(AT355:BA355)+BE355),Sheet1!AA357-SUM(AT355:BA355))</f>
        <v>-2.7236159999999998</v>
      </c>
      <c r="U355" s="94">
        <f>Sheet1!BV357</f>
        <v>5.0999999999999996</v>
      </c>
      <c r="V355" s="94">
        <f t="shared" si="43"/>
        <v>-7.8236159999999995</v>
      </c>
      <c r="W355" s="94">
        <f>0</f>
        <v>0</v>
      </c>
      <c r="X355" s="90">
        <f>0</f>
        <v>0</v>
      </c>
      <c r="Y355" s="95">
        <f ca="1">Calculation!EJ356+Calculation!ES355+'Calculations II'!O355-'Calculations II'!W355</f>
        <v>64.403653943214735</v>
      </c>
      <c r="Z355" s="95">
        <f ca="1">Y355-Sheet1!CT358</f>
        <v>45.761653943214739</v>
      </c>
      <c r="AA355" s="95">
        <f ca="1">Y355+Calculation!DJ356+Calculation!AS356</f>
        <v>74.278429646753324</v>
      </c>
      <c r="AC355" s="95">
        <f>Sheet1!AA357+Sheet1!AB357+BC355</f>
        <v>51.850416000000003</v>
      </c>
      <c r="AD355" s="95">
        <f>Sheet1!AA357+Sheet1!BN357+'Calculations II'!BC355-Calculation!AS355-Calculation!DJ355</f>
        <v>31.960374414194622</v>
      </c>
      <c r="AE355" s="95">
        <f>Sheet1!AA357+Sheet1!AB357+'Calculations II'!BC355-Calculation!AS355-Calculation!DJ355</f>
        <v>41.890374414194625</v>
      </c>
      <c r="AF355" s="95">
        <f ca="1">Sheet1!AA357+Sheet1!BN357+P355+'Calculations II'!BC355+Calculation!AS355+Calculation!DJ355</f>
        <v>54.21699152902012</v>
      </c>
      <c r="AG355" s="95">
        <f ca="1">IF(B355=TODAY(),0,Sheet1!AA357+Sheet1!BN357+'Calculations II'!BC355+'Calculations II'!P355-Sheet1!CT357-BP355)</f>
        <v>26.648949943214742</v>
      </c>
      <c r="AH355" s="95">
        <f ca="1">IF(B355=TODAY(),0,Sheet1!AA357+Sheet1!BN357+'Calculations II'!BC355+'Calculations II'!P355-BP355)</f>
        <v>44.256949943214742</v>
      </c>
      <c r="AI355" s="95">
        <f ca="1">IF(B355=TODAY(),0,BC355+Sheet1!AA357+Calculation!ES355+O355+W355+Sheet1!BN357+Calculation!AS355+Calculation!DJ355-BP355)</f>
        <v>54.21699152902012</v>
      </c>
      <c r="AJ355" s="95"/>
      <c r="AM355" s="91">
        <f t="shared" si="44"/>
        <v>41983</v>
      </c>
      <c r="AN355" s="95">
        <f>Sheet1!BU357</f>
        <v>0</v>
      </c>
      <c r="AO355" s="95">
        <f>Sheet1!AA357</f>
        <v>0</v>
      </c>
      <c r="AP355" s="95">
        <f t="shared" si="39"/>
        <v>-1.1357000000000004</v>
      </c>
      <c r="AQ355" s="1055">
        <f>((Sheet1!BV357-(Sheet1!BU357-AP355))/(Sheet1!BU357-AP355))</f>
        <v>3.4906225235537538</v>
      </c>
      <c r="AR355" s="95">
        <f t="shared" si="40"/>
        <v>1.1357000000000004</v>
      </c>
      <c r="AS355" s="95">
        <f t="shared" si="41"/>
        <v>1.1357000000000004</v>
      </c>
      <c r="AT355" s="90">
        <f>Sheet1!BB357</f>
        <v>0.99</v>
      </c>
      <c r="AU355" s="90">
        <f>Sheet1!AS357*GPMtoMGD</f>
        <v>1.6416E-2</v>
      </c>
      <c r="AV355" s="95">
        <f>Sheet1!AT357</f>
        <v>0</v>
      </c>
      <c r="AW355" s="90">
        <f>Sheet1!AV357*GPMtoMGD</f>
        <v>0</v>
      </c>
      <c r="AX355" s="90">
        <f>Sheet1!AW357*GPMtoMGD</f>
        <v>1.7172000000000001</v>
      </c>
      <c r="AY355" s="90">
        <f>Sheet1!AX357*GPMtoMGD</f>
        <v>0</v>
      </c>
      <c r="AZ355" s="90">
        <f>Sheet1!AY357*GPMtoMGD</f>
        <v>0</v>
      </c>
      <c r="BA355" s="90">
        <f>Sheet1!AZ357*GPMtoMGD</f>
        <v>0</v>
      </c>
      <c r="BB355" s="90">
        <f>Sheet1!BP357*GPMtoMGD</f>
        <v>0</v>
      </c>
      <c r="BC355" s="90">
        <f>Sheet1!CS357*GPMtoMGD</f>
        <v>15.820416</v>
      </c>
      <c r="BD355" s="90">
        <f>Sheet1!BO357*GPMtoMGD</f>
        <v>0.88200000000000001</v>
      </c>
      <c r="BE355" s="90">
        <f>Sheet1!BW357*GPMtoMGD</f>
        <v>0.84096000000000004</v>
      </c>
      <c r="BF355" s="90">
        <f>Sheet1!CN357*GPMtoMGD</f>
        <v>0.50515200000000005</v>
      </c>
      <c r="BG355" s="90">
        <f>Sheet1!CO357*GPMtoMGD</f>
        <v>0.39715200000000006</v>
      </c>
      <c r="BH355" s="90">
        <f>Sheet1!CP357*GPMtoMGD</f>
        <v>0.79848000000000008</v>
      </c>
      <c r="BI355" s="90">
        <f t="shared" si="45"/>
        <v>0.88200000000000001</v>
      </c>
      <c r="BK355" s="95">
        <f>SUM(AT355:BA355,BE355,Sheet1!BV357,'Calculations II'!BC355,Calculation!AQ355)</f>
        <v>50.556048279456611</v>
      </c>
      <c r="BM355" s="373">
        <f>0</f>
        <v>0</v>
      </c>
      <c r="BN355" s="373">
        <f>0</f>
        <v>0</v>
      </c>
      <c r="BP355" s="95">
        <f>SUM(BM355:BN355,W355,Sheet1!DX357)</f>
        <v>0</v>
      </c>
    </row>
    <row r="356" spans="1:68" s="90" customFormat="1">
      <c r="A356" s="651" t="s">
        <v>7</v>
      </c>
      <c r="B356" s="92">
        <v>41984</v>
      </c>
      <c r="C356" s="93">
        <v>0</v>
      </c>
      <c r="D356" s="95">
        <f>(Sheet1!BQ358-Sheet1!BQ357)*1.385</f>
        <v>0.78945000000000043</v>
      </c>
      <c r="E356" s="30">
        <f>(Sheet1!BR358-Sheet1!BR357)*1.385</f>
        <v>0.78945000000000043</v>
      </c>
      <c r="F356" s="30">
        <f ca="1">IF(B356=TODAY(),0,-(VLOOKUP(Sheet1!CD358,Lookup!$I$4:$J$216,2)-VLOOKUP(Sheet1!CD357,Lookup!$I$4:$J$216,2))/1000000)</f>
        <v>0.31091081564339806</v>
      </c>
      <c r="G356" s="95">
        <f ca="1">IF(B356=TODAY(),0,-$G$6*(Sheet1!CF358-Sheet1!CF357)*7.48/1000000)</f>
        <v>0.15885400421023663</v>
      </c>
      <c r="H356" s="95">
        <f ca="1">IF(B356=TODAY(),0,-$H$6*(Sheet1!CE358-Sheet1!CE357)*7.48/1000000)</f>
        <v>1.503943235126474E-2</v>
      </c>
      <c r="I356" s="95">
        <f ca="1">IF(B356=TODAY(),0,-$I$6*(Sheet1!CG358-Sheet1!CG357)*7.48/1000000)</f>
        <v>4.58233776E-2</v>
      </c>
      <c r="J356" s="96" t="s">
        <v>186</v>
      </c>
      <c r="K356" s="95">
        <f ca="1">IF(B356=TODAY(),0,-$K$6*(Sheet1!CH358-Sheet1!CH357)*7.48/1000000)</f>
        <v>6.9964863931813684E-2</v>
      </c>
      <c r="L356" s="96" t="s">
        <v>186</v>
      </c>
      <c r="M356" s="95">
        <f ca="1">IF(B356=TODAY(),0,-$M$6*(Sheet1!CI358-Sheet1!CI357)*7.48/1000000)</f>
        <v>0.30585564327645964</v>
      </c>
      <c r="N356" s="95">
        <f ca="1">IF(B356=TODAY(),0,-$N$6*(Sheet1!CJ358-Sheet1!CJ357)*7.48/1000000)</f>
        <v>0.13651515986817186</v>
      </c>
      <c r="O356" s="95">
        <f t="shared" ca="1" si="42"/>
        <v>1.0429632968813447</v>
      </c>
      <c r="P356" s="95">
        <f ca="1">O356+Calculation!ES356</f>
        <v>-0.48109985902671837</v>
      </c>
      <c r="Q356" s="90" t="str">
        <f>IF(Sheet1!BQ358&gt;25.75,"spill elevation","-")</f>
        <v>-</v>
      </c>
      <c r="R356" s="90" t="str">
        <f>IF(Sheet1!BQ358&gt;25.75,"spill elevation","-")</f>
        <v>-</v>
      </c>
      <c r="S356" s="90" t="str">
        <f>IF(Sheet1!BR358&gt;25.75,"spill elevation","-")</f>
        <v>-</v>
      </c>
      <c r="T356" s="94">
        <f>IF(Sheet1!DU358=1,Sheet1!AA358-(SUM(AT356:BA356)+BE356),Sheet1!AA358-SUM(AT356:BA356))</f>
        <v>9.5144480000000016</v>
      </c>
      <c r="U356" s="94">
        <f>Sheet1!BV358</f>
        <v>4.2</v>
      </c>
      <c r="V356" s="94">
        <f t="shared" si="43"/>
        <v>5.3144480000000014</v>
      </c>
      <c r="W356" s="94">
        <f>0</f>
        <v>0</v>
      </c>
      <c r="X356" s="90">
        <f>0</f>
        <v>0</v>
      </c>
      <c r="Y356" s="95">
        <f ca="1">Calculation!EJ357+Calculation!ES356+'Calculations II'!O356-'Calculations II'!W356</f>
        <v>58.205732140973282</v>
      </c>
      <c r="Z356" s="95">
        <f ca="1">Y356-Sheet1!CT359</f>
        <v>40.338732140973278</v>
      </c>
      <c r="AA356" s="95">
        <f ca="1">Y356+Calculation!DJ357+Calculation!AS357</f>
        <v>68.269548934866407</v>
      </c>
      <c r="AC356" s="95">
        <f>Sheet1!AA358+Sheet1!AB358+BC356</f>
        <v>62.067120000000003</v>
      </c>
      <c r="AD356" s="95">
        <f>Sheet1!AA358+Sheet1!BN358+'Calculations II'!BC356-Calculation!AS356-Calculation!DJ356</f>
        <v>42.662344296461413</v>
      </c>
      <c r="AE356" s="95">
        <f>Sheet1!AA358+Sheet1!AB358+'Calculations II'!BC356-Calculation!AS356-Calculation!DJ356</f>
        <v>52.192344296461414</v>
      </c>
      <c r="AF356" s="95">
        <f ca="1">Sheet1!AA358+Sheet1!BN358+P356+'Calculations II'!BC356+Calculation!AS356+Calculation!DJ356</f>
        <v>61.93079584451187</v>
      </c>
      <c r="AG356" s="95">
        <f ca="1">IF(B356=TODAY(),0,Sheet1!AA358+Sheet1!BN358+'Calculations II'!BC356+'Calculations II'!P356-Sheet1!CT358-BP356)</f>
        <v>33.414020140973278</v>
      </c>
      <c r="AH356" s="95">
        <f ca="1">IF(B356=TODAY(),0,Sheet1!AA358+Sheet1!BN358+'Calculations II'!BC356+'Calculations II'!P356-BP356)</f>
        <v>52.056020140973281</v>
      </c>
      <c r="AI356" s="95">
        <f ca="1">IF(B356=TODAY(),0,BC356+Sheet1!AA358+Calculation!ES356+O356+W356+Sheet1!BN358+Calculation!AS356+Calculation!DJ356-BP356)</f>
        <v>61.93079584451187</v>
      </c>
      <c r="AJ356" s="95"/>
      <c r="AM356" s="91">
        <f t="shared" si="44"/>
        <v>41984</v>
      </c>
      <c r="AN356" s="95">
        <f>Sheet1!BU358</f>
        <v>8.1</v>
      </c>
      <c r="AO356" s="95">
        <f>Sheet1!AA358</f>
        <v>10.8</v>
      </c>
      <c r="AP356" s="95">
        <f t="shared" si="39"/>
        <v>1.5789000000000009</v>
      </c>
      <c r="AQ356" s="1055">
        <f>((Sheet1!BV358-(Sheet1!BU358-AP356))/(Sheet1!BU358-AP356))</f>
        <v>-0.35593688181441768</v>
      </c>
      <c r="AR356" s="95">
        <f t="shared" si="40"/>
        <v>9.2210999999999999</v>
      </c>
      <c r="AS356" s="95">
        <f t="shared" si="41"/>
        <v>6.5210999999999988</v>
      </c>
      <c r="AT356" s="90">
        <f>Sheet1!BB358</f>
        <v>1</v>
      </c>
      <c r="AU356" s="90">
        <f>Sheet1!AS358*GPMtoMGD</f>
        <v>1.9440000000000002E-2</v>
      </c>
      <c r="AV356" s="95">
        <f>Sheet1!AT358</f>
        <v>0</v>
      </c>
      <c r="AW356" s="90">
        <f>Sheet1!AV358*GPMtoMGD</f>
        <v>0</v>
      </c>
      <c r="AX356" s="90">
        <f>Sheet1!AW358*GPMtoMGD</f>
        <v>0.26611200000000002</v>
      </c>
      <c r="AY356" s="90">
        <f>Sheet1!AX358*GPMtoMGD</f>
        <v>0</v>
      </c>
      <c r="AZ356" s="90">
        <f>Sheet1!AY358*GPMtoMGD</f>
        <v>0</v>
      </c>
      <c r="BA356" s="90">
        <f>Sheet1!AZ358*GPMtoMGD</f>
        <v>0</v>
      </c>
      <c r="BB356" s="90">
        <f>Sheet1!BP358*GPMtoMGD</f>
        <v>0</v>
      </c>
      <c r="BC356" s="90">
        <f>Sheet1!CS358*GPMtoMGD</f>
        <v>15.837120000000001</v>
      </c>
      <c r="BD356" s="90">
        <f>Sheet1!BO358*GPMtoMGD</f>
        <v>1.0995840000000001</v>
      </c>
      <c r="BE356" s="90">
        <f>Sheet1!BW358*GPMtoMGD</f>
        <v>0.67852800000000002</v>
      </c>
      <c r="BF356" s="90">
        <f>Sheet1!CN358*GPMtoMGD</f>
        <v>0.45216000000000001</v>
      </c>
      <c r="BG356" s="90">
        <f>Sheet1!CO358*GPMtoMGD</f>
        <v>0.42177599999999998</v>
      </c>
      <c r="BH356" s="90">
        <f>Sheet1!CP358*GPMtoMGD</f>
        <v>0.80640000000000001</v>
      </c>
      <c r="BI356" s="90">
        <f t="shared" si="45"/>
        <v>1.0995840000000001</v>
      </c>
      <c r="BK356" s="95">
        <f>SUM(AT356:BA356,BE356,Sheet1!BV358,'Calculations II'!BC356,Calculation!AQ356)</f>
        <v>47.569241237113403</v>
      </c>
      <c r="BM356" s="373">
        <f>0</f>
        <v>0</v>
      </c>
      <c r="BN356" s="373">
        <f>0</f>
        <v>0</v>
      </c>
      <c r="BP356" s="95">
        <f>SUM(BM356:BN356,W356,Sheet1!DX358)</f>
        <v>0</v>
      </c>
    </row>
    <row r="357" spans="1:68" s="90" customFormat="1">
      <c r="A357" s="651" t="s">
        <v>8</v>
      </c>
      <c r="B357" s="92">
        <v>41985</v>
      </c>
      <c r="C357" s="93">
        <v>0</v>
      </c>
      <c r="D357" s="95">
        <f>(Sheet1!BQ359-Sheet1!BQ358)*1.385</f>
        <v>-0.80329999999999768</v>
      </c>
      <c r="E357" s="30">
        <f>(Sheet1!BR359-Sheet1!BR358)*1.385</f>
        <v>-0.92795000000000238</v>
      </c>
      <c r="F357" s="30">
        <f ca="1">IF(B357=TODAY(),0,-(VLOOKUP(Sheet1!CD359,Lookup!$I$4:$J$216,2)-VLOOKUP(Sheet1!CD358,Lookup!$I$4:$J$216,2))/1000000)</f>
        <v>-1.554554078216996</v>
      </c>
      <c r="G357" s="95">
        <f ca="1">IF(B357=TODAY(),0,-$G$6*(Sheet1!CF359-Sheet1!CF358)*7.48/1000000)</f>
        <v>0.15885400421023735</v>
      </c>
      <c r="H357" s="95">
        <f ca="1">IF(B357=TODAY(),0,-$H$6*(Sheet1!CE359-Sheet1!CE358)*7.48/1000000)</f>
        <v>1.5039432351265274E-2</v>
      </c>
      <c r="I357" s="95">
        <f ca="1">IF(B357=TODAY(),0,-$I$6*(Sheet1!CG359-Sheet1!CG358)*7.48/1000000)</f>
        <v>-0.15274459200000001</v>
      </c>
      <c r="J357" s="96" t="s">
        <v>186</v>
      </c>
      <c r="K357" s="95">
        <f ca="1">IF(B357=TODAY(),0,-$K$6*(Sheet1!CH359-Sheet1!CH358)*7.48/1000000)</f>
        <v>-0.26986447516556694</v>
      </c>
      <c r="L357" s="96" t="s">
        <v>186</v>
      </c>
      <c r="M357" s="95">
        <f ca="1">IF(B357=TODAY(),0,-$M$6*(Sheet1!CI359-Sheet1!CI358)*7.48/1000000)</f>
        <v>-0.73765184554910912</v>
      </c>
      <c r="N357" s="95">
        <f ca="1">IF(B357=TODAY(),0,-$N$6*(Sheet1!CJ359-Sheet1!CJ358)*7.48/1000000)</f>
        <v>-2.4820938157849033E-2</v>
      </c>
      <c r="O357" s="95">
        <f t="shared" ca="1" si="42"/>
        <v>-2.5657424925280186</v>
      </c>
      <c r="P357" s="95">
        <f ca="1">O357+Calculation!ES357</f>
        <v>-0.76462006385688208</v>
      </c>
      <c r="Q357" s="90" t="str">
        <f>IF(Sheet1!BQ359&gt;25.75,"spill elevation","-")</f>
        <v>-</v>
      </c>
      <c r="R357" s="90" t="str">
        <f>IF(Sheet1!BQ359&gt;25.75,"spill elevation","-")</f>
        <v>-</v>
      </c>
      <c r="S357" s="90" t="str">
        <f>IF(Sheet1!BR359&gt;25.75,"spill elevation","-")</f>
        <v>-</v>
      </c>
      <c r="T357" s="94">
        <f>IF(Sheet1!DU359=1,Sheet1!AA359-(SUM(AT357:BA357)+BE357),Sheet1!AA359-SUM(AT357:BA357))</f>
        <v>21.807535999999999</v>
      </c>
      <c r="U357" s="94">
        <f>Sheet1!BV359</f>
        <v>25.1</v>
      </c>
      <c r="V357" s="94">
        <f t="shared" si="43"/>
        <v>-3.2924640000000025</v>
      </c>
      <c r="W357" s="94">
        <f>0</f>
        <v>0</v>
      </c>
      <c r="X357" s="90">
        <f>0</f>
        <v>0</v>
      </c>
      <c r="Y357" s="95">
        <f ca="1">Calculation!EJ358+Calculation!ES357+'Calculations II'!O357-'Calculations II'!W357</f>
        <v>50.735379936143119</v>
      </c>
      <c r="Z357" s="95">
        <f ca="1">Y357-Sheet1!CT360</f>
        <v>33.529379936143116</v>
      </c>
      <c r="AA357" s="95">
        <f ca="1">Y357+Calculation!DJ358+Calculation!AS358</f>
        <v>60.788975278210074</v>
      </c>
      <c r="AC357" s="95">
        <f>Sheet1!AA359+Sheet1!AB359+BC357</f>
        <v>58.686831999999995</v>
      </c>
      <c r="AD357" s="95">
        <f>Sheet1!AA359+Sheet1!BN359+'Calculations II'!BC357-Calculation!AS357-Calculation!DJ357</f>
        <v>38.523015206106876</v>
      </c>
      <c r="AE357" s="95">
        <f>Sheet1!AA359+Sheet1!AB359+'Calculations II'!BC357-Calculation!AS357-Calculation!DJ357</f>
        <v>48.623015206106871</v>
      </c>
      <c r="AF357" s="95">
        <f ca="1">Sheet1!AA359+Sheet1!BN359+P357+'Calculations II'!BC357+Calculation!AS357+Calculation!DJ357</f>
        <v>57.886028730036244</v>
      </c>
      <c r="AG357" s="95">
        <f ca="1">IF(B357=TODAY(),0,Sheet1!AA359+Sheet1!BN359+'Calculations II'!BC357+'Calculations II'!P357-Sheet1!CT359-BP357)</f>
        <v>29.955211936143119</v>
      </c>
      <c r="AH357" s="95">
        <f ca="1">IF(B357=TODAY(),0,Sheet1!AA359+Sheet1!BN359+'Calculations II'!BC357+'Calculations II'!P357-BP357)</f>
        <v>47.82221193614312</v>
      </c>
      <c r="AI357" s="95">
        <f ca="1">IF(B357=TODAY(),0,BC357+Sheet1!AA359+Calculation!ES357+O357+W357+Sheet1!BN359+Calculation!AS357+Calculation!DJ357-BP357)</f>
        <v>57.886028730036244</v>
      </c>
      <c r="AJ357" s="95"/>
      <c r="AM357" s="91">
        <f t="shared" si="44"/>
        <v>41985</v>
      </c>
      <c r="AN357" s="95">
        <f>Sheet1!BU359</f>
        <v>23.3</v>
      </c>
      <c r="AO357" s="95">
        <f>Sheet1!AA359</f>
        <v>24</v>
      </c>
      <c r="AP357" s="95">
        <f t="shared" si="39"/>
        <v>-1.7312500000000002</v>
      </c>
      <c r="AQ357" s="1055">
        <f>((Sheet1!BV359-(Sheet1!BU359-AP357))/(Sheet1!BU359-AP357))</f>
        <v>2.7465667915106684E-3</v>
      </c>
      <c r="AR357" s="95">
        <f t="shared" si="40"/>
        <v>25.731249999999999</v>
      </c>
      <c r="AS357" s="95">
        <f t="shared" si="41"/>
        <v>25.03125</v>
      </c>
      <c r="AT357" s="90">
        <f>Sheet1!BB359</f>
        <v>1</v>
      </c>
      <c r="AU357" s="90">
        <f>Sheet1!AS359*GPMtoMGD</f>
        <v>3.1248000000000001E-2</v>
      </c>
      <c r="AV357" s="95">
        <f>Sheet1!AT359</f>
        <v>0</v>
      </c>
      <c r="AW357" s="90">
        <f>Sheet1!AV359*GPMtoMGD</f>
        <v>0.40665600000000002</v>
      </c>
      <c r="AX357" s="90">
        <f>Sheet1!AW359*GPMtoMGD</f>
        <v>0.75456000000000001</v>
      </c>
      <c r="AY357" s="90">
        <f>Sheet1!AX359*GPMtoMGD</f>
        <v>0</v>
      </c>
      <c r="AZ357" s="90">
        <f>Sheet1!AY359*GPMtoMGD</f>
        <v>0</v>
      </c>
      <c r="BA357" s="90">
        <f>Sheet1!AZ359*GPMtoMGD</f>
        <v>0</v>
      </c>
      <c r="BB357" s="90">
        <f>Sheet1!BP359*GPMtoMGD</f>
        <v>0</v>
      </c>
      <c r="BC357" s="90">
        <f>Sheet1!CS359*GPMtoMGD</f>
        <v>1.8868320000000001</v>
      </c>
      <c r="BD357" s="90">
        <f>Sheet1!BO359*GPMtoMGD</f>
        <v>2.3791680000000004</v>
      </c>
      <c r="BE357" s="90">
        <f>Sheet1!BW359*GPMtoMGD</f>
        <v>0.73915200000000003</v>
      </c>
      <c r="BF357" s="90">
        <f>Sheet1!CN359*GPMtoMGD</f>
        <v>0.75412800000000013</v>
      </c>
      <c r="BG357" s="90">
        <f>Sheet1!CO359*GPMtoMGD</f>
        <v>0.39945599999999998</v>
      </c>
      <c r="BH357" s="90">
        <f>Sheet1!CP359*GPMtoMGD</f>
        <v>0.7922880000000001</v>
      </c>
      <c r="BI357" s="90">
        <f t="shared" si="45"/>
        <v>2.3791680000000004</v>
      </c>
      <c r="BK357" s="95">
        <f>SUM(AT357:BA357,BE357,Sheet1!BV359,'Calculations II'!BC357,Calculation!AQ357)</f>
        <v>52.653104488549616</v>
      </c>
      <c r="BM357" s="373">
        <f>0</f>
        <v>0</v>
      </c>
      <c r="BN357" s="373">
        <f>0</f>
        <v>0</v>
      </c>
      <c r="BP357" s="95">
        <f>SUM(BM357:BN357,W357,Sheet1!DX359)</f>
        <v>0</v>
      </c>
    </row>
    <row r="358" spans="1:68" s="90" customFormat="1">
      <c r="A358" s="651" t="s">
        <v>9</v>
      </c>
      <c r="B358" s="92">
        <v>41986</v>
      </c>
      <c r="C358" s="93">
        <v>0</v>
      </c>
      <c r="D358" s="95">
        <f>(Sheet1!BQ360-Sheet1!BQ359)*1.385</f>
        <v>-1.661999999999999</v>
      </c>
      <c r="E358" s="30">
        <f>(Sheet1!BR360-Sheet1!BR359)*1.385</f>
        <v>-1.661999999999999</v>
      </c>
      <c r="F358" s="30">
        <f ca="1">IF(B358=TODAY(),0,-(VLOOKUP(Sheet1!CD360,Lookup!$I$4:$J$216,2)-VLOOKUP(Sheet1!CD359,Lookup!$I$4:$J$216,2))/1000000)</f>
        <v>-0.51818469273900425</v>
      </c>
      <c r="G358" s="95">
        <f ca="1">IF(B358=TODAY(),0,-$G$6*(Sheet1!CF360-Sheet1!CF359)*7.48/1000000)</f>
        <v>0.15885400421023735</v>
      </c>
      <c r="H358" s="95">
        <f ca="1">IF(B358=TODAY(),0,-$H$6*(Sheet1!CE360-Sheet1!CE359)*7.48/1000000)</f>
        <v>-7.5197161756325293E-2</v>
      </c>
      <c r="I358" s="95">
        <f ca="1">IF(B358=TODAY(),0,-$I$6*(Sheet1!CG360-Sheet1!CG359)*7.48/1000000)</f>
        <v>0.10781971200000001</v>
      </c>
      <c r="J358" s="96" t="s">
        <v>186</v>
      </c>
      <c r="K358" s="95">
        <f ca="1">IF(B358=TODAY(),0,-$K$6*(Sheet1!CH360-Sheet1!CH359)*7.48/1000000)</f>
        <v>0.19989961123375327</v>
      </c>
      <c r="L358" s="96" t="s">
        <v>186</v>
      </c>
      <c r="M358" s="95">
        <f ca="1">IF(B358=TODAY(),0,-$M$6*(Sheet1!CI360-Sheet1!CI359)*7.48/1000000)</f>
        <v>0.44978771070067647</v>
      </c>
      <c r="N358" s="95">
        <f ca="1">IF(B358=TODAY(),0,-$N$6*(Sheet1!CJ360-Sheet1!CJ359)*7.48/1000000)</f>
        <v>6.2052345394623676E-2</v>
      </c>
      <c r="O358" s="95">
        <f t="shared" ca="1" si="42"/>
        <v>0.38503152904396121</v>
      </c>
      <c r="P358" s="95">
        <f ca="1">O358+Calculation!ES358</f>
        <v>3.7087430477452128</v>
      </c>
      <c r="Q358" s="90" t="str">
        <f>IF(Sheet1!BQ360&gt;25.75,"spill elevation","-")</f>
        <v>-</v>
      </c>
      <c r="R358" s="90" t="str">
        <f>IF(Sheet1!BQ360&gt;25.75,"spill elevation","-")</f>
        <v>-</v>
      </c>
      <c r="S358" s="90" t="str">
        <f>IF(Sheet1!BR360&gt;25.75,"spill elevation","-")</f>
        <v>-</v>
      </c>
      <c r="T358" s="94">
        <f>IF(Sheet1!DU360=1,Sheet1!AA360-(SUM(AT358:BA358)+BE358),Sheet1!AA360-SUM(AT358:BA358))</f>
        <v>21.304256000000002</v>
      </c>
      <c r="U358" s="94">
        <f>Sheet1!BV360</f>
        <v>29.2</v>
      </c>
      <c r="V358" s="94">
        <f t="shared" si="43"/>
        <v>-7.895743999999997</v>
      </c>
      <c r="W358" s="94">
        <f>0</f>
        <v>0</v>
      </c>
      <c r="X358" s="90">
        <f>0</f>
        <v>0</v>
      </c>
      <c r="Y358" s="95">
        <f ca="1">Calculation!EJ359+Calculation!ES358+'Calculations II'!O358-'Calculations II'!W358</f>
        <v>53.80874304774521</v>
      </c>
      <c r="Z358" s="95">
        <f ca="1">Y358-Sheet1!CT361</f>
        <v>36.05874304774521</v>
      </c>
      <c r="AA358" s="95">
        <f ca="1">Y358+Calculation!DJ359+Calculation!AS359</f>
        <v>63.680943819945981</v>
      </c>
      <c r="AC358" s="95">
        <f>Sheet1!AA360+Sheet1!AB360+BC358</f>
        <v>51.5</v>
      </c>
      <c r="AD358" s="95">
        <f>Sheet1!AA360+Sheet1!BN360+'Calculations II'!BC358-Calculation!AS358-Calculation!DJ358</f>
        <v>31.446404657933044</v>
      </c>
      <c r="AE358" s="95">
        <f>Sheet1!AA360+Sheet1!AB360+'Calculations II'!BC358-Calculation!AS358-Calculation!DJ358</f>
        <v>41.446404657933044</v>
      </c>
      <c r="AF358" s="95">
        <f ca="1">Sheet1!AA360+Sheet1!BN360+P358+'Calculations II'!BC358+Calculation!AS358+Calculation!DJ358</f>
        <v>55.262338389812172</v>
      </c>
      <c r="AG358" s="95">
        <f ca="1">IF(B358=TODAY(),0,Sheet1!AA360+Sheet1!BN360+'Calculations II'!BC358+'Calculations II'!P358-Sheet1!CT360-BP358)</f>
        <v>28.002743047745216</v>
      </c>
      <c r="AH358" s="95">
        <f ca="1">IF(B358=TODAY(),0,Sheet1!AA360+Sheet1!BN360+'Calculations II'!BC358+'Calculations II'!P358-BP358)</f>
        <v>45.208743047745216</v>
      </c>
      <c r="AI358" s="95">
        <f ca="1">IF(B358=TODAY(),0,BC358+Sheet1!AA360+Calculation!ES358+O358+W358+Sheet1!BN360+Calculation!AS358+Calculation!DJ358-BP358)</f>
        <v>55.262338389812172</v>
      </c>
      <c r="AJ358" s="95"/>
      <c r="AM358" s="91">
        <f t="shared" si="44"/>
        <v>41986</v>
      </c>
      <c r="AN358" s="95">
        <f>Sheet1!BU360</f>
        <v>23.2</v>
      </c>
      <c r="AO358" s="95">
        <f>Sheet1!AA360</f>
        <v>24.1</v>
      </c>
      <c r="AP358" s="95">
        <f t="shared" si="39"/>
        <v>-3.3239999999999981</v>
      </c>
      <c r="AQ358" s="1055">
        <f>((Sheet1!BV360-(Sheet1!BU360-AP358))/(Sheet1!BU360-AP358))</f>
        <v>0.10088976021716189</v>
      </c>
      <c r="AR358" s="95">
        <f t="shared" si="40"/>
        <v>27.423999999999999</v>
      </c>
      <c r="AS358" s="95">
        <f t="shared" si="41"/>
        <v>26.523999999999997</v>
      </c>
      <c r="AT358" s="90">
        <f>Sheet1!BB360</f>
        <v>1.01</v>
      </c>
      <c r="AU358" s="90">
        <f>Sheet1!AS360*GPMtoMGD</f>
        <v>3.2112000000000002E-2</v>
      </c>
      <c r="AV358" s="95">
        <f>Sheet1!AT360</f>
        <v>0</v>
      </c>
      <c r="AW358" s="90">
        <f>Sheet1!AV360*GPMtoMGD</f>
        <v>0.85060800000000014</v>
      </c>
      <c r="AX358" s="90">
        <f>Sheet1!AW360*GPMtoMGD</f>
        <v>0.90302400000000005</v>
      </c>
      <c r="AY358" s="90">
        <f>Sheet1!AX360*GPMtoMGD</f>
        <v>0</v>
      </c>
      <c r="AZ358" s="90">
        <f>Sheet1!AY360*GPMtoMGD</f>
        <v>0</v>
      </c>
      <c r="BA358" s="90">
        <f>Sheet1!AZ360*GPMtoMGD</f>
        <v>0</v>
      </c>
      <c r="BB358" s="90">
        <f>Sheet1!BP360*GPMtoMGD</f>
        <v>0</v>
      </c>
      <c r="BC358" s="90">
        <f>Sheet1!CS360*GPMtoMGD</f>
        <v>0</v>
      </c>
      <c r="BD358" s="90">
        <f>Sheet1!BO360*GPMtoMGD</f>
        <v>0.95112000000000008</v>
      </c>
      <c r="BE358" s="90">
        <f>Sheet1!BW360*GPMtoMGD</f>
        <v>0.86198400000000008</v>
      </c>
      <c r="BF358" s="90">
        <f>Sheet1!CN360*GPMtoMGD</f>
        <v>0.88934400000000013</v>
      </c>
      <c r="BG358" s="90">
        <f>Sheet1!CO360*GPMtoMGD</f>
        <v>0.435888</v>
      </c>
      <c r="BH358" s="90">
        <f>Sheet1!CP360*GPMtoMGD</f>
        <v>0.76593600000000006</v>
      </c>
      <c r="BI358" s="90">
        <f t="shared" si="45"/>
        <v>0.95112000000000008</v>
      </c>
      <c r="BK358" s="95">
        <f>SUM(AT358:BA358,BE358,Sheet1!BV360,'Calculations II'!BC358,Calculation!AQ358)</f>
        <v>50.20707297816594</v>
      </c>
      <c r="BM358" s="373">
        <f>0</f>
        <v>0</v>
      </c>
      <c r="BN358" s="373">
        <f>0</f>
        <v>0</v>
      </c>
      <c r="BP358" s="95">
        <f>SUM(BM358:BN358,W358,Sheet1!DX360)</f>
        <v>0</v>
      </c>
    </row>
    <row r="359" spans="1:68" s="90" customFormat="1">
      <c r="A359" s="651" t="s">
        <v>3</v>
      </c>
      <c r="B359" s="92">
        <v>41987</v>
      </c>
      <c r="C359" s="93">
        <v>0</v>
      </c>
      <c r="D359" s="95">
        <f>(Sheet1!BQ361-Sheet1!BQ360)*1.385</f>
        <v>-1.385</v>
      </c>
      <c r="E359" s="30">
        <f>(Sheet1!BR361-Sheet1!BR360)*1.385</f>
        <v>-1.2465000000000031</v>
      </c>
      <c r="F359" s="30">
        <f ca="1">IF(B359=TODAY(),0,-(VLOOKUP(Sheet1!CD361,Lookup!$I$4:$J$216,2)-VLOOKUP(Sheet1!CD360,Lookup!$I$4:$J$216,2))/1000000)</f>
        <v>1.969101832408201</v>
      </c>
      <c r="G359" s="95">
        <f ca="1">IF(B359=TODAY(),0,-$G$6*(Sheet1!CF361-Sheet1!CF360)*7.48/1000000)</f>
        <v>0.27799450736791476</v>
      </c>
      <c r="H359" s="95">
        <f ca="1">IF(B359=TODAY(),0,-$H$6*(Sheet1!CE361-Sheet1!CE360)*7.48/1000000)</f>
        <v>-1.5039432351265274E-2</v>
      </c>
      <c r="I359" s="95">
        <f ca="1">IF(B359=TODAY(),0,-$I$6*(Sheet1!CG361-Sheet1!CG360)*7.48/1000000)</f>
        <v>8.535727199999997E-2</v>
      </c>
      <c r="J359" s="96" t="s">
        <v>186</v>
      </c>
      <c r="K359" s="95">
        <f ca="1">IF(B359=TODAY(),0,-$K$6*(Sheet1!CH361-Sheet1!CH360)*7.48/1000000)</f>
        <v>0.13992972786362726</v>
      </c>
      <c r="L359" s="96" t="s">
        <v>186</v>
      </c>
      <c r="M359" s="95">
        <f ca="1">IF(B359=TODAY(),0,-$M$6*(Sheet1!CI361-Sheet1!CI360)*7.48/1000000)</f>
        <v>0.44978771070067619</v>
      </c>
      <c r="N359" s="95">
        <f ca="1">IF(B359=TODAY(),0,-$N$6*(Sheet1!CJ361-Sheet1!CJ360)*7.48/1000000)</f>
        <v>6.2052345394623676E-2</v>
      </c>
      <c r="O359" s="95">
        <f t="shared" ca="1" si="42"/>
        <v>2.9691839633837773</v>
      </c>
      <c r="P359" s="95">
        <f ca="1">O359+Calculation!ES359</f>
        <v>5.5991388278265619</v>
      </c>
      <c r="Q359" s="90" t="str">
        <f>IF(Sheet1!BQ361&gt;25.75,"spill elevation","-")</f>
        <v>-</v>
      </c>
      <c r="R359" s="90" t="str">
        <f>IF(Sheet1!BQ361&gt;25.75,"spill elevation","-")</f>
        <v>-</v>
      </c>
      <c r="S359" s="90" t="str">
        <f>IF(Sheet1!BR361&gt;25.75,"spill elevation","-")</f>
        <v>-</v>
      </c>
      <c r="T359" s="94">
        <f>IF(Sheet1!DU361=1,Sheet1!AA361-(SUM(AT359:BA359)+BE359),Sheet1!AA361-SUM(AT359:BA359))</f>
        <v>21.702767999999999</v>
      </c>
      <c r="U359" s="94">
        <f>Sheet1!BV361</f>
        <v>28.8</v>
      </c>
      <c r="V359" s="94">
        <f t="shared" si="43"/>
        <v>-7.0972320000000018</v>
      </c>
      <c r="W359" s="94">
        <f>0</f>
        <v>0</v>
      </c>
      <c r="X359" s="90">
        <f>0</f>
        <v>0</v>
      </c>
      <c r="Y359" s="95">
        <f ca="1">Calculation!EJ360+Calculation!ES359+'Calculations II'!O359-'Calculations II'!W359</f>
        <v>55.629138827826566</v>
      </c>
      <c r="Z359" s="95">
        <f ca="1">Y359-Sheet1!CT362</f>
        <v>37.055138827826568</v>
      </c>
      <c r="AA359" s="95">
        <f ca="1">Y359+Calculation!DJ360+Calculation!AS360</f>
        <v>65.586397981754757</v>
      </c>
      <c r="AC359" s="95">
        <f>Sheet1!AA361+Sheet1!AB361+BC359</f>
        <v>50.099999999999994</v>
      </c>
      <c r="AD359" s="95">
        <f>Sheet1!AA361+Sheet1!BN361+'Calculations II'!BC359-Calculation!AS359-Calculation!DJ359</f>
        <v>30.427799227799227</v>
      </c>
      <c r="AE359" s="95">
        <f>Sheet1!AA361+Sheet1!AB361+'Calculations II'!BC359-Calculation!AS359-Calculation!DJ359</f>
        <v>40.227799227799224</v>
      </c>
      <c r="AF359" s="95">
        <f ca="1">Sheet1!AA361+Sheet1!BN361+P359+'Calculations II'!BC359+Calculation!AS359+Calculation!DJ359</f>
        <v>55.771339600027332</v>
      </c>
      <c r="AG359" s="95">
        <f ca="1">IF(B359=TODAY(),0,Sheet1!AA361+Sheet1!BN361+'Calculations II'!BC359+'Calculations II'!P359-Sheet1!CT361-BP359)</f>
        <v>28.149138827826562</v>
      </c>
      <c r="AH359" s="95">
        <f ca="1">IF(B359=TODAY(),0,Sheet1!AA361+Sheet1!BN361+'Calculations II'!BC359+'Calculations II'!P359-BP359)</f>
        <v>45.899138827826562</v>
      </c>
      <c r="AI359" s="95">
        <f ca="1">IF(B359=TODAY(),0,BC359+Sheet1!AA361+Calculation!ES359+O359+W359+Sheet1!BN361+Calculation!AS359+Calculation!DJ359-BP359)</f>
        <v>55.771339600027332</v>
      </c>
      <c r="AJ359" s="95"/>
      <c r="AM359" s="91">
        <f t="shared" si="44"/>
        <v>41987</v>
      </c>
      <c r="AN359" s="95">
        <f>Sheet1!BU361</f>
        <v>23.3</v>
      </c>
      <c r="AO359" s="95">
        <f>Sheet1!AA361</f>
        <v>24.2</v>
      </c>
      <c r="AP359" s="95">
        <f t="shared" si="39"/>
        <v>-2.6315000000000031</v>
      </c>
      <c r="AQ359" s="1055">
        <f>((Sheet1!BV361-(Sheet1!BU361-AP359))/(Sheet1!BU361-AP359))</f>
        <v>0.11061835990976214</v>
      </c>
      <c r="AR359" s="95">
        <f t="shared" si="40"/>
        <v>26.831500000000002</v>
      </c>
      <c r="AS359" s="95">
        <f t="shared" si="41"/>
        <v>25.931500000000003</v>
      </c>
      <c r="AT359" s="90">
        <f>Sheet1!BB361</f>
        <v>1.01</v>
      </c>
      <c r="AU359" s="90">
        <f>Sheet1!AS361*GPMtoMGD</f>
        <v>1.7424000000000002E-2</v>
      </c>
      <c r="AV359" s="95">
        <f>Sheet1!AT361</f>
        <v>0</v>
      </c>
      <c r="AW359" s="90">
        <f>Sheet1!AV361*GPMtoMGD</f>
        <v>0.61315200000000003</v>
      </c>
      <c r="AX359" s="90">
        <f>Sheet1!AW361*GPMtoMGD</f>
        <v>0.85665599999999997</v>
      </c>
      <c r="AY359" s="90">
        <f>Sheet1!AX361*GPMtoMGD</f>
        <v>0</v>
      </c>
      <c r="AZ359" s="90">
        <f>Sheet1!AY361*GPMtoMGD</f>
        <v>0</v>
      </c>
      <c r="BA359" s="90">
        <f>Sheet1!AZ361*GPMtoMGD</f>
        <v>0</v>
      </c>
      <c r="BB359" s="90">
        <f>Sheet1!BP361*GPMtoMGD</f>
        <v>0</v>
      </c>
      <c r="BC359" s="90">
        <f>Sheet1!CS361*GPMtoMGD</f>
        <v>0</v>
      </c>
      <c r="BD359" s="90">
        <f>Sheet1!BO361*GPMtoMGD</f>
        <v>1.0867680000000002</v>
      </c>
      <c r="BE359" s="90">
        <f>Sheet1!BW361*GPMtoMGD</f>
        <v>0.89510400000000012</v>
      </c>
      <c r="BF359" s="90">
        <f>Sheet1!CN361*GPMtoMGD</f>
        <v>0.96984000000000004</v>
      </c>
      <c r="BG359" s="90">
        <f>Sheet1!CO361*GPMtoMGD</f>
        <v>0.45518400000000009</v>
      </c>
      <c r="BH359" s="90">
        <f>Sheet1!CP361*GPMtoMGD</f>
        <v>0.78451199999999999</v>
      </c>
      <c r="BI359" s="90">
        <f t="shared" si="45"/>
        <v>1.0867680000000002</v>
      </c>
      <c r="BK359" s="95">
        <f>SUM(AT359:BA359,BE359,Sheet1!BV361,'Calculations II'!BC359,Calculation!AQ359)</f>
        <v>48.223957621621615</v>
      </c>
      <c r="BM359" s="373">
        <f>0</f>
        <v>0</v>
      </c>
      <c r="BN359" s="373">
        <f>0</f>
        <v>0</v>
      </c>
      <c r="BP359" s="95">
        <f>SUM(BM359:BN359,W359,Sheet1!DX361)</f>
        <v>0</v>
      </c>
    </row>
    <row r="360" spans="1:68" s="90" customFormat="1">
      <c r="A360" s="651" t="s">
        <v>4</v>
      </c>
      <c r="B360" s="92">
        <v>41988</v>
      </c>
      <c r="C360" s="93">
        <v>0</v>
      </c>
      <c r="D360" s="95">
        <f>(Sheet1!BQ362-Sheet1!BQ361)*1.385</f>
        <v>-4.0165000000000033</v>
      </c>
      <c r="E360" s="30">
        <f>(Sheet1!BR362-Sheet1!BR361)*1.385</f>
        <v>-4.1549999999999976</v>
      </c>
      <c r="F360" s="30">
        <f ca="1">IF(B360=TODAY(),0,-(VLOOKUP(Sheet1!CD362,Lookup!$I$4:$J$216,2)-VLOOKUP(Sheet1!CD361,Lookup!$I$4:$J$216,2))/1000000)</f>
        <v>-0.62182163128679613</v>
      </c>
      <c r="G360" s="95">
        <f ca="1">IF(B360=TODAY(),0,-$G$6*(Sheet1!CF362-Sheet1!CF361)*7.48/1000000)</f>
        <v>-0.75455651999862605</v>
      </c>
      <c r="H360" s="95">
        <f ca="1">IF(B360=TODAY(),0,-$H$6*(Sheet1!CE362-Sheet1!CE361)*7.48/1000000)</f>
        <v>0.10527602645885531</v>
      </c>
      <c r="I360" s="95">
        <f ca="1">IF(B360=TODAY(),0,-$I$6*(Sheet1!CG362-Sheet1!CG361)*7.48/1000000)</f>
        <v>-0.25157932800000005</v>
      </c>
      <c r="J360" s="96" t="s">
        <v>186</v>
      </c>
      <c r="K360" s="95">
        <f ca="1">IF(B360=TODAY(),0,-$K$6*(Sheet1!CH362-Sheet1!CH361)*7.48/1000000)</f>
        <v>-0.42645250396534035</v>
      </c>
      <c r="L360" s="96" t="s">
        <v>186</v>
      </c>
      <c r="M360" s="95">
        <f ca="1">IF(B360=TODAY(),0,-$M$6*(Sheet1!CI362-Sheet1!CI361)*7.48/1000000)</f>
        <v>-1.1874395562497853</v>
      </c>
      <c r="N360" s="95">
        <f ca="1">IF(B360=TODAY(),0,-$N$6*(Sheet1!CJ362-Sheet1!CJ361)*7.48/1000000)</f>
        <v>0.24820938157849581</v>
      </c>
      <c r="O360" s="95">
        <f t="shared" ca="1" si="42"/>
        <v>-2.8883641314631969</v>
      </c>
      <c r="P360" s="95">
        <f ca="1">O360+Calculation!ES360</f>
        <v>5.2710016661163301</v>
      </c>
      <c r="Q360" s="90" t="str">
        <f>IF(Sheet1!BQ362&gt;25.75,"spill elevation","-")</f>
        <v>-</v>
      </c>
      <c r="R360" s="90" t="str">
        <f>IF(Sheet1!BQ362&gt;25.75,"spill elevation","-")</f>
        <v>-</v>
      </c>
      <c r="S360" s="90" t="str">
        <f>IF(Sheet1!BR362&gt;25.75,"spill elevation","-")</f>
        <v>-</v>
      </c>
      <c r="T360" s="94">
        <f>IF(Sheet1!DU362=1,Sheet1!AA362-(SUM(AT360:BA360)+BE360),Sheet1!AA362-SUM(AT360:BA360))</f>
        <v>20.280735999999997</v>
      </c>
      <c r="U360" s="94">
        <f>Sheet1!BV362</f>
        <v>33.1</v>
      </c>
      <c r="V360" s="94">
        <f t="shared" si="43"/>
        <v>-12.819264000000004</v>
      </c>
      <c r="W360" s="94">
        <f>0</f>
        <v>0</v>
      </c>
      <c r="X360" s="90">
        <f>0</f>
        <v>0</v>
      </c>
      <c r="Y360" s="95">
        <f ca="1">Calculation!EJ361+Calculation!ES360+'Calculations II'!O360-'Calculations II'!W360</f>
        <v>58.331001666116329</v>
      </c>
      <c r="Z360" s="95">
        <f ca="1">Y360-Sheet1!CT363</f>
        <v>40.002001666116328</v>
      </c>
      <c r="AA360" s="95">
        <f ca="1">Y360+Calculation!DJ361+Calculation!AS361</f>
        <v>68.886763355407425</v>
      </c>
      <c r="AC360" s="95">
        <f>Sheet1!AA362+Sheet1!AB362+BC360</f>
        <v>50.03</v>
      </c>
      <c r="AD360" s="95">
        <f>Sheet1!AA362+Sheet1!BN362+'Calculations II'!BC360-Calculation!AS360-Calculation!DJ360</f>
        <v>30.142740846071806</v>
      </c>
      <c r="AE360" s="95">
        <f>Sheet1!AA362+Sheet1!AB362+'Calculations II'!BC360-Calculation!AS360-Calculation!DJ360</f>
        <v>40.07274084607181</v>
      </c>
      <c r="AF360" s="95">
        <f ca="1">Sheet1!AA362+Sheet1!BN362+P360+'Calculations II'!BC360+Calculation!AS360+Calculation!DJ360</f>
        <v>55.32826082004452</v>
      </c>
      <c r="AG360" s="95">
        <f ca="1">IF(B360=TODAY(),0,Sheet1!AA362+Sheet1!BN362+'Calculations II'!BC360+'Calculations II'!P360-Sheet1!CT362-BP360)</f>
        <v>26.797001666116326</v>
      </c>
      <c r="AH360" s="95">
        <f ca="1">IF(B360=TODAY(),0,Sheet1!AA362+Sheet1!BN362+'Calculations II'!BC360+'Calculations II'!P360-BP360)</f>
        <v>45.371001666116328</v>
      </c>
      <c r="AI360" s="95">
        <f ca="1">IF(B360=TODAY(),0,BC360+Sheet1!AA362+Calculation!ES360+O360+W360+Sheet1!BN362+Calculation!AS360+Calculation!DJ360-BP360)</f>
        <v>55.32826082004452</v>
      </c>
      <c r="AJ360" s="95"/>
      <c r="AM360" s="91">
        <f t="shared" si="44"/>
        <v>41988</v>
      </c>
      <c r="AN360" s="95">
        <f>Sheet1!BU362</f>
        <v>22.2</v>
      </c>
      <c r="AO360" s="95">
        <f>Sheet1!AA362</f>
        <v>21.9</v>
      </c>
      <c r="AP360" s="95">
        <f t="shared" si="39"/>
        <v>-8.1715000000000018</v>
      </c>
      <c r="AQ360" s="1055">
        <f>((Sheet1!BV362-(Sheet1!BU362-AP360))/(Sheet1!BU362-AP360))</f>
        <v>8.9837512141316703E-2</v>
      </c>
      <c r="AR360" s="95">
        <f t="shared" si="40"/>
        <v>30.0715</v>
      </c>
      <c r="AS360" s="95">
        <f t="shared" si="41"/>
        <v>30.371500000000001</v>
      </c>
      <c r="AT360" s="90">
        <f>Sheet1!BB362</f>
        <v>1.01</v>
      </c>
      <c r="AU360" s="90">
        <f>Sheet1!AS362*GPMtoMGD</f>
        <v>3.1536000000000002E-2</v>
      </c>
      <c r="AV360" s="95">
        <f>Sheet1!AT362</f>
        <v>0</v>
      </c>
      <c r="AW360" s="90">
        <f>Sheet1!AV362*GPMtoMGD</f>
        <v>0.21484799999999998</v>
      </c>
      <c r="AX360" s="90">
        <f>Sheet1!AW362*GPMtoMGD</f>
        <v>0.36288000000000004</v>
      </c>
      <c r="AY360" s="90">
        <f>Sheet1!AX362*GPMtoMGD</f>
        <v>0</v>
      </c>
      <c r="AZ360" s="90">
        <f>Sheet1!AY362*GPMtoMGD</f>
        <v>0</v>
      </c>
      <c r="BA360" s="90">
        <f>Sheet1!AZ362*GPMtoMGD</f>
        <v>0</v>
      </c>
      <c r="BB360" s="90">
        <f>Sheet1!BP362*GPMtoMGD</f>
        <v>0</v>
      </c>
      <c r="BC360" s="90">
        <f>Sheet1!CS362*GPMtoMGD</f>
        <v>0</v>
      </c>
      <c r="BD360" s="90">
        <f>Sheet1!BO362*GPMtoMGD</f>
        <v>2.9964960000000005</v>
      </c>
      <c r="BE360" s="90">
        <f>Sheet1!BW362*GPMtoMGD</f>
        <v>0.61891200000000002</v>
      </c>
      <c r="BF360" s="90">
        <f>Sheet1!CN362*GPMtoMGD</f>
        <v>0.68385600000000002</v>
      </c>
      <c r="BG360" s="90">
        <f>Sheet1!CO362*GPMtoMGD</f>
        <v>0.40752000000000005</v>
      </c>
      <c r="BH360" s="90">
        <f>Sheet1!CP362*GPMtoMGD</f>
        <v>0.8121600000000001</v>
      </c>
      <c r="BI360" s="90">
        <f t="shared" si="45"/>
        <v>2.9964960000000005</v>
      </c>
      <c r="BK360" s="95">
        <f>SUM(AT360:BA360,BE360,Sheet1!BV362,'Calculations II'!BC360,Calculation!AQ360)</f>
        <v>53.512296156416639</v>
      </c>
      <c r="BM360" s="373">
        <f>0</f>
        <v>0</v>
      </c>
      <c r="BN360" s="373">
        <f>0</f>
        <v>0</v>
      </c>
      <c r="BP360" s="95">
        <f>SUM(BM360:BN360,W360,Sheet1!DX362)</f>
        <v>0</v>
      </c>
    </row>
    <row r="361" spans="1:68" s="90" customFormat="1">
      <c r="A361" s="651" t="s">
        <v>5</v>
      </c>
      <c r="B361" s="92">
        <v>41989</v>
      </c>
      <c r="C361" s="93">
        <v>0</v>
      </c>
      <c r="D361" s="95">
        <f>(Sheet1!BQ363-Sheet1!BQ362)*1.385</f>
        <v>-1.1079999999999985</v>
      </c>
      <c r="E361" s="30">
        <f>(Sheet1!BR363-Sheet1!BR362)*1.385</f>
        <v>-0.96950000000000147</v>
      </c>
      <c r="F361" s="30">
        <f ca="1">IF(B361=TODAY(),0,-(VLOOKUP(Sheet1!CD363,Lookup!$I$4:$J$216,2)-VLOOKUP(Sheet1!CD362,Lookup!$I$4:$J$216,2))/1000000)</f>
        <v>-0.51818469273900236</v>
      </c>
      <c r="G361" s="95">
        <f ca="1">IF(B361=TODAY(),0,-$G$6*(Sheet1!CF363-Sheet1!CF362)*7.48/1000000)</f>
        <v>0.19856750526279648</v>
      </c>
      <c r="H361" s="95">
        <f ca="1">IF(B361=TODAY(),0,-$H$6*(Sheet1!CE363-Sheet1!CE362)*7.48/1000000)</f>
        <v>4.5118297053795289E-2</v>
      </c>
      <c r="I361" s="95">
        <f ca="1">IF(B361=TODAY(),0,-$I$6*(Sheet1!CG363-Sheet1!CG362)*7.48/1000000)</f>
        <v>0.23810186400000002</v>
      </c>
      <c r="J361" s="96" t="s">
        <v>186</v>
      </c>
      <c r="K361" s="95">
        <f ca="1">IF(B361=TODAY(),0,-$K$6*(Sheet1!CH363-Sheet1!CH362)*7.48/1000000)</f>
        <v>0.40646254284196504</v>
      </c>
      <c r="L361" s="96" t="s">
        <v>186</v>
      </c>
      <c r="M361" s="95">
        <f ca="1">IF(B361=TODAY(),0,-$M$6*(Sheet1!CI363-Sheet1!CI362)*7.48/1000000)</f>
        <v>1.1334650309657037</v>
      </c>
      <c r="N361" s="95">
        <f ca="1">IF(B361=TODAY(),0,-$N$6*(Sheet1!CJ363-Sheet1!CJ362)*7.48/1000000)</f>
        <v>0.12410469078924735</v>
      </c>
      <c r="O361" s="95">
        <f t="shared" ca="1" si="42"/>
        <v>1.6276352381745056</v>
      </c>
      <c r="P361" s="95">
        <f ca="1">O361+Calculation!ES361</f>
        <v>3.7002634661267924</v>
      </c>
      <c r="Q361" s="90" t="str">
        <f>IF(Sheet1!BQ363&gt;25.75,"spill elevation","-")</f>
        <v>-</v>
      </c>
      <c r="R361" s="90" t="str">
        <f>IF(Sheet1!BQ363&gt;25.75,"spill elevation","-")</f>
        <v>-</v>
      </c>
      <c r="S361" s="90" t="str">
        <f>IF(Sheet1!BR363&gt;25.75,"spill elevation","-")</f>
        <v>-</v>
      </c>
      <c r="T361" s="94">
        <f>IF(Sheet1!DU363=1,Sheet1!AA363-(SUM(AT361:BA361)+BE361),Sheet1!AA363-SUM(AT361:BA361))</f>
        <v>18.148976000000001</v>
      </c>
      <c r="U361" s="94">
        <f>Sheet1!BV363</f>
        <v>24.4</v>
      </c>
      <c r="V361" s="94">
        <f t="shared" si="43"/>
        <v>-6.2510239999999975</v>
      </c>
      <c r="W361" s="94">
        <f>0</f>
        <v>0</v>
      </c>
      <c r="X361" s="90">
        <f>0</f>
        <v>0</v>
      </c>
      <c r="Y361" s="95">
        <f ca="1">Calculation!EJ362+Calculation!ES361+'Calculations II'!O361-'Calculations II'!W361</f>
        <v>57.766679466126789</v>
      </c>
      <c r="Z361" s="95">
        <f ca="1">Y361-Sheet1!CT364</f>
        <v>40.31467946612679</v>
      </c>
      <c r="AA361" s="95">
        <f ca="1">Y361+Calculation!DJ362+Calculation!AS362</f>
        <v>67.947394827572566</v>
      </c>
      <c r="AC361" s="95">
        <f>Sheet1!AA363+Sheet1!AB363+BC361</f>
        <v>53.06</v>
      </c>
      <c r="AD361" s="95">
        <f>Sheet1!AA363+Sheet1!BN363+'Calculations II'!BC361-Calculation!AS361-Calculation!DJ361</f>
        <v>31.934238310708899</v>
      </c>
      <c r="AE361" s="95">
        <f>Sheet1!AA363+Sheet1!AB363+'Calculations II'!BC361-Calculation!AS361-Calculation!DJ361</f>
        <v>42.504238310708899</v>
      </c>
      <c r="AF361" s="95">
        <f ca="1">Sheet1!AA363+Sheet1!BN363+P361+'Calculations II'!BC361+Calculation!AS361+Calculation!DJ361</f>
        <v>56.746025155417897</v>
      </c>
      <c r="AG361" s="95">
        <f ca="1">IF(B361=TODAY(),0,Sheet1!AA363+Sheet1!BN363+'Calculations II'!BC361+'Calculations II'!P361-Sheet1!CT363-BP361)</f>
        <v>27.861263466126793</v>
      </c>
      <c r="AH361" s="95">
        <f ca="1">IF(B361=TODAY(),0,Sheet1!AA363+Sheet1!BN363+'Calculations II'!BC361+'Calculations II'!P361-BP361)</f>
        <v>46.190263466126794</v>
      </c>
      <c r="AI361" s="95">
        <f ca="1">IF(B361=TODAY(),0,BC361+Sheet1!AA363+Calculation!ES361+O361+W361+Sheet1!BN363+Calculation!AS361+Calculation!DJ361-BP361)</f>
        <v>56.746025155417897</v>
      </c>
      <c r="AJ361" s="95"/>
      <c r="AM361" s="91">
        <f t="shared" si="44"/>
        <v>41989</v>
      </c>
      <c r="AN361" s="95">
        <f>Sheet1!BU363</f>
        <v>21.1</v>
      </c>
      <c r="AO361" s="95">
        <f>Sheet1!AA363</f>
        <v>19.89</v>
      </c>
      <c r="AP361" s="95">
        <f t="shared" si="39"/>
        <v>-2.0775000000000001</v>
      </c>
      <c r="AQ361" s="1055">
        <f>((Sheet1!BV363-(Sheet1!BU363-AP361))/(Sheet1!BU363-AP361))</f>
        <v>5.2745119188868365E-2</v>
      </c>
      <c r="AR361" s="95">
        <f t="shared" si="40"/>
        <v>21.967500000000001</v>
      </c>
      <c r="AS361" s="95">
        <f t="shared" si="41"/>
        <v>23.177500000000002</v>
      </c>
      <c r="AT361" s="90">
        <f>Sheet1!BB363</f>
        <v>1</v>
      </c>
      <c r="AU361" s="90">
        <f>Sheet1!AS363*GPMtoMGD</f>
        <v>1.6416E-2</v>
      </c>
      <c r="AV361" s="95">
        <f>Sheet1!AT363</f>
        <v>0</v>
      </c>
      <c r="AW361" s="90">
        <f>Sheet1!AV363*GPMtoMGD</f>
        <v>0.29851200000000006</v>
      </c>
      <c r="AX361" s="90">
        <f>Sheet1!AW363*GPMtoMGD</f>
        <v>0.42609599999999997</v>
      </c>
      <c r="AY361" s="90">
        <f>Sheet1!AX363*GPMtoMGD</f>
        <v>0</v>
      </c>
      <c r="AZ361" s="90">
        <f>Sheet1!AY363*GPMtoMGD</f>
        <v>0</v>
      </c>
      <c r="BA361" s="90">
        <f>Sheet1!AZ363*GPMtoMGD</f>
        <v>0</v>
      </c>
      <c r="BB361" s="90">
        <f>Sheet1!BP363*GPMtoMGD</f>
        <v>0</v>
      </c>
      <c r="BC361" s="90">
        <f>Sheet1!CS363*GPMtoMGD</f>
        <v>0</v>
      </c>
      <c r="BD361" s="90">
        <f>Sheet1!BO363*GPMtoMGD</f>
        <v>0</v>
      </c>
      <c r="BE361" s="90">
        <f>Sheet1!BW363*GPMtoMGD</f>
        <v>0.87912000000000001</v>
      </c>
      <c r="BF361" s="90">
        <f>Sheet1!CN363*GPMtoMGD</f>
        <v>0.50428800000000007</v>
      </c>
      <c r="BG361" s="90">
        <f>Sheet1!CO363*GPMtoMGD</f>
        <v>0.43185600000000002</v>
      </c>
      <c r="BH361" s="90">
        <f>Sheet1!CP363*GPMtoMGD</f>
        <v>0.79603199999999996</v>
      </c>
      <c r="BI361" s="90">
        <f t="shared" si="45"/>
        <v>0</v>
      </c>
      <c r="BK361" s="95">
        <f>SUM(AT361:BA361,BE361,Sheet1!BV363,'Calculations II'!BC361,Calculation!AQ361)</f>
        <v>49.633778992458517</v>
      </c>
      <c r="BM361" s="373">
        <f>0</f>
        <v>0</v>
      </c>
      <c r="BN361" s="373">
        <f>0</f>
        <v>0</v>
      </c>
      <c r="BP361" s="95">
        <f>SUM(BM361:BN361,W361,Sheet1!DX363)</f>
        <v>0</v>
      </c>
    </row>
    <row r="362" spans="1:68" s="90" customFormat="1">
      <c r="A362" s="651" t="s">
        <v>6</v>
      </c>
      <c r="B362" s="92">
        <v>41990</v>
      </c>
      <c r="C362" s="93">
        <v>0</v>
      </c>
      <c r="D362" s="95">
        <f>(Sheet1!BQ364-Sheet1!BQ363)*1.385</f>
        <v>-2.0775000000000001</v>
      </c>
      <c r="E362" s="30">
        <f>(Sheet1!BR364-Sheet1!BR363)*1.385</f>
        <v>-2.2159999999999993</v>
      </c>
      <c r="F362" s="30">
        <f ca="1">IF(B362=TODAY(),0,-(VLOOKUP(Sheet1!CD364,Lookup!$I$4:$J$216,2)-VLOOKUP(Sheet1!CD363,Lookup!$I$4:$J$216,2))/1000000)</f>
        <v>-0.62182163128679613</v>
      </c>
      <c r="G362" s="95">
        <f ca="1">IF(B362=TODAY(),0,-$G$6*(Sheet1!CF364-Sheet1!CF363)*7.48/1000000)</f>
        <v>0.15885400421023663</v>
      </c>
      <c r="H362" s="95">
        <f ca="1">IF(B362=TODAY(),0,-$H$6*(Sheet1!CE364-Sheet1!CE363)*7.48/1000000)</f>
        <v>4.5118297053795289E-2</v>
      </c>
      <c r="I362" s="95">
        <f ca="1">IF(B362=TODAY(),0,-$I$6*(Sheet1!CG364-Sheet1!CG363)*7.48/1000000)</f>
        <v>-0.215639424</v>
      </c>
      <c r="J362" s="96" t="s">
        <v>186</v>
      </c>
      <c r="K362" s="95">
        <f ca="1">IF(B362=TODAY(),0,-$K$6*(Sheet1!CH364-Sheet1!CH363)*7.48/1000000)</f>
        <v>-0.36648262059521425</v>
      </c>
      <c r="L362" s="96" t="s">
        <v>186</v>
      </c>
      <c r="M362" s="95">
        <f ca="1">IF(B362=TODAY(),0,-$M$6*(Sheet1!CI364-Sheet1!CI363)*7.48/1000000)</f>
        <v>-1.0614989972535958</v>
      </c>
      <c r="N362" s="95">
        <f ca="1">IF(B362=TODAY(),0,-$N$6*(Sheet1!CJ364-Sheet1!CJ363)*7.48/1000000)</f>
        <v>-0.50262399769645283</v>
      </c>
      <c r="O362" s="95">
        <f t="shared" ca="1" si="42"/>
        <v>-2.5640943695680267</v>
      </c>
      <c r="P362" s="95">
        <f ca="1">O362+Calculation!ES362</f>
        <v>1.7170801715194983</v>
      </c>
      <c r="Q362" s="90" t="str">
        <f>IF(Sheet1!BQ364&gt;25.75,"spill elevation","-")</f>
        <v>-</v>
      </c>
      <c r="R362" s="90" t="str">
        <f>IF(Sheet1!BQ364&gt;25.75,"spill elevation","-")</f>
        <v>-</v>
      </c>
      <c r="S362" s="90" t="str">
        <f>IF(Sheet1!BR364&gt;25.75,"spill elevation","-")</f>
        <v>-</v>
      </c>
      <c r="T362" s="94">
        <f>IF(Sheet1!DU364=1,Sheet1!AA364-(SUM(AT362:BA362)+BE362),Sheet1!AA364-SUM(AT362:BA362))</f>
        <v>24.688383999999999</v>
      </c>
      <c r="U362" s="94">
        <f>Sheet1!BV364</f>
        <v>32.4</v>
      </c>
      <c r="V362" s="94">
        <f t="shared" si="43"/>
        <v>-7.7116159999999994</v>
      </c>
      <c r="W362" s="94">
        <f>0</f>
        <v>0</v>
      </c>
      <c r="X362" s="90">
        <f>0</f>
        <v>0</v>
      </c>
      <c r="Y362" s="95">
        <f ca="1">Calculation!EJ363+Calculation!ES362+'Calculations II'!O362-'Calculations II'!W362</f>
        <v>61.997080171519499</v>
      </c>
      <c r="Z362" s="95">
        <f ca="1">Y362-Sheet1!CT365</f>
        <v>45.601080171519499</v>
      </c>
      <c r="AA362" s="95">
        <f ca="1">Y362+Calculation!DJ363+Calculation!AS363</f>
        <v>71.871110096706531</v>
      </c>
      <c r="AC362" s="95">
        <f>Sheet1!AA364+Sheet1!AB364+BC362</f>
        <v>54.066415999999997</v>
      </c>
      <c r="AD362" s="95">
        <f>Sheet1!AA364+Sheet1!BN364+'Calculations II'!BC362-Calculation!AS362-Calculation!DJ362</f>
        <v>33.665700638554213</v>
      </c>
      <c r="AE362" s="95">
        <f>Sheet1!AA364+Sheet1!AB364+'Calculations II'!BC362-Calculation!AS362-Calculation!DJ362</f>
        <v>43.885700638554212</v>
      </c>
      <c r="AF362" s="95">
        <f ca="1">Sheet1!AA364+Sheet1!BN364+P362+'Calculations II'!BC362+Calculation!AS362+Calculation!DJ362</f>
        <v>55.744211532965281</v>
      </c>
      <c r="AG362" s="95">
        <f ca="1">IF(B362=TODAY(),0,Sheet1!AA364+Sheet1!BN364+'Calculations II'!BC362+'Calculations II'!P362-Sheet1!CT364-BP362)</f>
        <v>28.111496171519494</v>
      </c>
      <c r="AH362" s="95">
        <f ca="1">IF(B362=TODAY(),0,Sheet1!AA364+Sheet1!BN364+'Calculations II'!BC362+'Calculations II'!P362-BP362)</f>
        <v>45.563496171519496</v>
      </c>
      <c r="AI362" s="95">
        <f ca="1">IF(B362=TODAY(),0,BC362+Sheet1!AA364+Calculation!ES362+O362+W362+Sheet1!BN364+Calculation!AS362+Calculation!DJ362-BP362)</f>
        <v>55.744211532965281</v>
      </c>
      <c r="AJ362" s="95"/>
      <c r="AM362" s="91">
        <f t="shared" si="44"/>
        <v>41990</v>
      </c>
      <c r="AN362" s="95">
        <f>Sheet1!BU364</f>
        <v>26.5</v>
      </c>
      <c r="AO362" s="95">
        <f>Sheet1!AA364</f>
        <v>26.71</v>
      </c>
      <c r="AP362" s="95">
        <f t="shared" si="39"/>
        <v>-4.2934999999999999</v>
      </c>
      <c r="AQ362" s="1055">
        <f>((Sheet1!BV364-(Sheet1!BU364-AP362))/(Sheet1!BU364-AP362))</f>
        <v>5.2170100832967893E-2</v>
      </c>
      <c r="AR362" s="95">
        <f t="shared" si="40"/>
        <v>31.003500000000003</v>
      </c>
      <c r="AS362" s="95">
        <f t="shared" si="41"/>
        <v>30.793500000000002</v>
      </c>
      <c r="AT362" s="90">
        <f>Sheet1!BB364</f>
        <v>0.99</v>
      </c>
      <c r="AU362" s="90">
        <f>Sheet1!AS364*GPMtoMGD</f>
        <v>3.1248000000000001E-2</v>
      </c>
      <c r="AV362" s="95">
        <f>Sheet1!AT364</f>
        <v>0</v>
      </c>
      <c r="AW362" s="90">
        <f>Sheet1!AV364*GPMtoMGD</f>
        <v>0.46843200000000007</v>
      </c>
      <c r="AX362" s="90">
        <f>Sheet1!AW364*GPMtoMGD</f>
        <v>0.53193599999999996</v>
      </c>
      <c r="AY362" s="90">
        <f>Sheet1!AX364*GPMtoMGD</f>
        <v>0</v>
      </c>
      <c r="AZ362" s="90">
        <f>Sheet1!AY364*GPMtoMGD</f>
        <v>0</v>
      </c>
      <c r="BA362" s="90">
        <f>Sheet1!AZ364*GPMtoMGD</f>
        <v>0</v>
      </c>
      <c r="BB362" s="90">
        <f>Sheet1!BP364*GPMtoMGD</f>
        <v>0</v>
      </c>
      <c r="BC362" s="90">
        <f>Sheet1!CS364*GPMtoMGD</f>
        <v>0.73641599999999996</v>
      </c>
      <c r="BD362" s="90">
        <f>Sheet1!BO364*GPMtoMGD</f>
        <v>2.6938080000000002</v>
      </c>
      <c r="BE362" s="90">
        <f>Sheet1!BW364*GPMtoMGD</f>
        <v>0.74721599999999999</v>
      </c>
      <c r="BF362" s="90">
        <f>Sheet1!CN364*GPMtoMGD</f>
        <v>0.86731199999999997</v>
      </c>
      <c r="BG362" s="90">
        <f>Sheet1!CO364*GPMtoMGD</f>
        <v>0.44539200000000007</v>
      </c>
      <c r="BH362" s="90">
        <f>Sheet1!CP364*GPMtoMGD</f>
        <v>0.77241599999999999</v>
      </c>
      <c r="BI362" s="90">
        <f t="shared" si="45"/>
        <v>2.6938080000000002</v>
      </c>
      <c r="BK362" s="95">
        <f>SUM(AT362:BA362,BE362,Sheet1!BV364,'Calculations II'!BC362,Calculation!AQ362)</f>
        <v>52.34229619277108</v>
      </c>
      <c r="BM362" s="373">
        <f>0</f>
        <v>0</v>
      </c>
      <c r="BN362" s="373">
        <f>0</f>
        <v>0</v>
      </c>
      <c r="BP362" s="95">
        <f>SUM(BM362:BN362,W362,Sheet1!DX364)</f>
        <v>0</v>
      </c>
    </row>
    <row r="363" spans="1:68" s="90" customFormat="1">
      <c r="A363" s="651" t="s">
        <v>7</v>
      </c>
      <c r="B363" s="92">
        <v>41991</v>
      </c>
      <c r="C363" s="93">
        <v>0</v>
      </c>
      <c r="D363" s="95">
        <f>(Sheet1!BQ365-Sheet1!BQ364)*1.385</f>
        <v>4.2934999999999999</v>
      </c>
      <c r="E363" s="30">
        <f>(Sheet1!BR365-Sheet1!BR364)*1.385</f>
        <v>4.2934999999999999</v>
      </c>
      <c r="F363" s="30">
        <f ca="1">IF(B363=TODAY(),0,-(VLOOKUP(Sheet1!CD365,Lookup!$I$4:$J$216,2)-VLOOKUP(Sheet1!CD364,Lookup!$I$4:$J$216,2))/1000000)</f>
        <v>1.243643262573598</v>
      </c>
      <c r="G363" s="95">
        <f ca="1">IF(B363=TODAY(),0,-$G$6*(Sheet1!CF365-Sheet1!CF364)*7.48/1000000)</f>
        <v>0.19856750526279648</v>
      </c>
      <c r="H363" s="95">
        <f ca="1">IF(B363=TODAY(),0,-$H$6*(Sheet1!CE365-Sheet1!CE364)*7.48/1000000)</f>
        <v>-0.12031545881012057</v>
      </c>
      <c r="I363" s="95">
        <f ca="1">IF(B363=TODAY(),0,-$I$6*(Sheet1!CG365-Sheet1!CG364)*7.48/1000000)</f>
        <v>0.22462440000000003</v>
      </c>
      <c r="J363" s="96" t="s">
        <v>186</v>
      </c>
      <c r="K363" s="95">
        <f ca="1">IF(B363=TODAY(),0,-$K$6*(Sheet1!CH365-Sheet1!CH364)*7.48/1000000)</f>
        <v>0.37980926134413112</v>
      </c>
      <c r="L363" s="96" t="s">
        <v>186</v>
      </c>
      <c r="M363" s="95">
        <f ca="1">IF(B363=TODAY(),0,-$M$6*(Sheet1!CI365-Sheet1!CI364)*7.48/1000000)</f>
        <v>1.1154735225376771</v>
      </c>
      <c r="N363" s="95">
        <f ca="1">IF(B363=TODAY(),0,-$N$6*(Sheet1!CJ365-Sheet1!CJ364)*7.48/1000000)</f>
        <v>0.44057165230182915</v>
      </c>
      <c r="O363" s="95">
        <f t="shared" ca="1" si="42"/>
        <v>3.4823741452099108</v>
      </c>
      <c r="P363" s="95">
        <f ca="1">O363+Calculation!ES363</f>
        <v>-5.0830344132687069</v>
      </c>
      <c r="Q363" s="90" t="str">
        <f>IF(Sheet1!BQ365&gt;25.75,"spill elevation","-")</f>
        <v>-</v>
      </c>
      <c r="R363" s="90" t="str">
        <f>IF(Sheet1!BQ365&gt;25.75,"spill elevation","-")</f>
        <v>-</v>
      </c>
      <c r="S363" s="90" t="str">
        <f>IF(Sheet1!BR365&gt;25.75,"spill elevation","-")</f>
        <v>-</v>
      </c>
      <c r="T363" s="94">
        <f>IF(Sheet1!DU365=1,Sheet1!AA365-(SUM(AT363:BA363)+BE363),Sheet1!AA365-SUM(AT363:BA363))</f>
        <v>38.317039999999999</v>
      </c>
      <c r="U363" s="94">
        <f>Sheet1!BV365</f>
        <v>32.700000000000003</v>
      </c>
      <c r="V363" s="94">
        <f t="shared" si="43"/>
        <v>5.6170399999999958</v>
      </c>
      <c r="W363" s="94">
        <f>0</f>
        <v>0</v>
      </c>
      <c r="X363" s="90">
        <f>0</f>
        <v>0</v>
      </c>
      <c r="Y363" s="95">
        <f ca="1">Calculation!EJ364+Calculation!ES363+'Calculations II'!O363-'Calculations II'!W363</f>
        <v>55.677877586731299</v>
      </c>
      <c r="Z363" s="95">
        <f ca="1">Y363-Sheet1!CT366</f>
        <v>39.107877586731298</v>
      </c>
      <c r="AA363" s="95">
        <f ca="1">Y363+Calculation!DJ364+Calculation!AS364</f>
        <v>65.428103831075191</v>
      </c>
      <c r="AC363" s="95">
        <f>Sheet1!AA365+Sheet1!AB365+BC363</f>
        <v>60.28</v>
      </c>
      <c r="AD363" s="95">
        <f>Sheet1!AA365+Sheet1!BN365+'Calculations II'!BC363-Calculation!AS363-Calculation!DJ363</f>
        <v>40.625970074812969</v>
      </c>
      <c r="AE363" s="95">
        <f>Sheet1!AA365+Sheet1!AB365+'Calculations II'!BC363-Calculation!AS363-Calculation!DJ363</f>
        <v>50.40597007481297</v>
      </c>
      <c r="AF363" s="95">
        <f ca="1">Sheet1!AA365+Sheet1!BN365+P363+'Calculations II'!BC363+Calculation!AS363+Calculation!DJ363</f>
        <v>55.290995511918325</v>
      </c>
      <c r="AG363" s="95">
        <f ca="1">IF(B363=TODAY(),0,Sheet1!AA365+Sheet1!BN365+'Calculations II'!BC363+'Calculations II'!P363-Sheet1!CT365-BP363)</f>
        <v>29.020965586731293</v>
      </c>
      <c r="AH363" s="95">
        <f ca="1">IF(B363=TODAY(),0,Sheet1!AA365+Sheet1!BN365+'Calculations II'!BC363+'Calculations II'!P363-BP363)</f>
        <v>45.416965586731294</v>
      </c>
      <c r="AI363" s="95">
        <f ca="1">IF(B363=TODAY(),0,BC363+Sheet1!AA365+Calculation!ES363+O363+W363+Sheet1!BN365+Calculation!AS363+Calculation!DJ363-BP363)</f>
        <v>55.290995511918325</v>
      </c>
      <c r="AJ363" s="95"/>
      <c r="AM363" s="91">
        <f t="shared" si="44"/>
        <v>41991</v>
      </c>
      <c r="AN363" s="95">
        <f>Sheet1!BU365</f>
        <v>37.799999999999997</v>
      </c>
      <c r="AO363" s="95">
        <f>Sheet1!AA365</f>
        <v>40.4</v>
      </c>
      <c r="AP363" s="95">
        <f t="shared" si="39"/>
        <v>8.5869999999999997</v>
      </c>
      <c r="AQ363" s="1055">
        <f>((Sheet1!BV365-(Sheet1!BU365-AP363))/(Sheet1!BU365-AP363))</f>
        <v>0.11936466641563707</v>
      </c>
      <c r="AR363" s="95">
        <f t="shared" si="40"/>
        <v>31.812999999999999</v>
      </c>
      <c r="AS363" s="95">
        <f t="shared" si="41"/>
        <v>29.212999999999997</v>
      </c>
      <c r="AT363" s="90">
        <f>Sheet1!BB365</f>
        <v>0.99</v>
      </c>
      <c r="AU363" s="90">
        <f>Sheet1!AS365*GPMtoMGD</f>
        <v>1.8864000000000002E-2</v>
      </c>
      <c r="AV363" s="95">
        <f>Sheet1!AT365</f>
        <v>0</v>
      </c>
      <c r="AW363" s="90">
        <f>Sheet1!AV365*GPMtoMGD</f>
        <v>0.40737600000000002</v>
      </c>
      <c r="AX363" s="90">
        <f>Sheet1!AW365*GPMtoMGD</f>
        <v>0.66672000000000009</v>
      </c>
      <c r="AY363" s="90">
        <f>Sheet1!AX365*GPMtoMGD</f>
        <v>0</v>
      </c>
      <c r="AZ363" s="90">
        <f>Sheet1!AY365*GPMtoMGD</f>
        <v>0</v>
      </c>
      <c r="BA363" s="90">
        <f>Sheet1!AZ365*GPMtoMGD</f>
        <v>0</v>
      </c>
      <c r="BB363" s="90">
        <f>Sheet1!BP365*GPMtoMGD</f>
        <v>0</v>
      </c>
      <c r="BC363" s="90">
        <f>Sheet1!CS365*GPMtoMGD</f>
        <v>0</v>
      </c>
      <c r="BD363" s="90">
        <f>Sheet1!BO365*GPMtoMGD</f>
        <v>7.5456000000000009E-2</v>
      </c>
      <c r="BE363" s="90">
        <f>Sheet1!BW365*GPMtoMGD</f>
        <v>0.85032000000000008</v>
      </c>
      <c r="BF363" s="90">
        <f>Sheet1!CN365*GPMtoMGD</f>
        <v>0.80078400000000005</v>
      </c>
      <c r="BG363" s="90">
        <f>Sheet1!CO365*GPMtoMGD</f>
        <v>0.40118400000000004</v>
      </c>
      <c r="BH363" s="90">
        <f>Sheet1!CP365*GPMtoMGD</f>
        <v>0.77414400000000005</v>
      </c>
      <c r="BI363" s="90">
        <f t="shared" si="45"/>
        <v>7.5456000000000009E-2</v>
      </c>
      <c r="BK363" s="95">
        <f>SUM(AT363:BA363,BE363,Sheet1!BV365,'Calculations II'!BC363,Calculation!AQ363)</f>
        <v>45.647644089775561</v>
      </c>
      <c r="BM363" s="373">
        <f>0</f>
        <v>0</v>
      </c>
      <c r="BN363" s="373">
        <f>0</f>
        <v>0</v>
      </c>
      <c r="BP363" s="95">
        <f>SUM(BM363:BN363,W363,Sheet1!DX365)</f>
        <v>0</v>
      </c>
    </row>
    <row r="364" spans="1:68" s="90" customFormat="1">
      <c r="A364" s="651" t="s">
        <v>8</v>
      </c>
      <c r="B364" s="92">
        <v>41992</v>
      </c>
      <c r="C364" s="93">
        <v>0</v>
      </c>
      <c r="D364" s="95">
        <f>(Sheet1!BQ366-Sheet1!BQ365)*1.385</f>
        <v>4.5151000000000021</v>
      </c>
      <c r="E364" s="30">
        <f>(Sheet1!BR366-Sheet1!BR365)*1.385</f>
        <v>4.5705000000000009</v>
      </c>
      <c r="F364" s="30">
        <f ca="1">IF(B364=TODAY(),0,-(VLOOKUP(Sheet1!CD366,Lookup!$I$4:$J$216,2)-VLOOKUP(Sheet1!CD365,Lookup!$I$4:$J$216,2))/1000000)</f>
        <v>0.72545856983459556</v>
      </c>
      <c r="G364" s="95">
        <f ca="1">IF(B364=TODAY(),0,-$G$6*(Sheet1!CF366-Sheet1!CF365)*7.48/1000000)</f>
        <v>0.19856750526279648</v>
      </c>
      <c r="H364" s="95">
        <f ca="1">IF(B364=TODAY(),0,-$H$6*(Sheet1!CE366-Sheet1!CE365)*7.48/1000000)</f>
        <v>4.5118297053795289E-2</v>
      </c>
      <c r="I364" s="95">
        <f ca="1">IF(B364=TODAY(),0,-$I$6*(Sheet1!CG366-Sheet1!CG365)*7.48/1000000)</f>
        <v>-6.7387320000000001E-2</v>
      </c>
      <c r="J364" s="96" t="s">
        <v>186</v>
      </c>
      <c r="K364" s="95">
        <f ca="1">IF(B364=TODAY(),0,-$K$6*(Sheet1!CH366-Sheet1!CH365)*7.48/1000000)</f>
        <v>-0.11327644636579347</v>
      </c>
      <c r="L364" s="96" t="s">
        <v>186</v>
      </c>
      <c r="M364" s="95">
        <f ca="1">IF(B364=TODAY(),0,-$M$6*(Sheet1!CI366-Sheet1!CI365)*7.48/1000000)</f>
        <v>-0.32384715170448697</v>
      </c>
      <c r="N364" s="95">
        <f ca="1">IF(B364=TODAY(),0,-$N$6*(Sheet1!CJ366-Sheet1!CJ365)*7.48/1000000)</f>
        <v>-6.2052345394622583E-3</v>
      </c>
      <c r="O364" s="95">
        <f t="shared" ca="1" si="42"/>
        <v>0.45842821954144469</v>
      </c>
      <c r="P364" s="95">
        <f ca="1">O364+Calculation!ES364</f>
        <v>-8.6731104100161023</v>
      </c>
      <c r="Q364" s="90" t="str">
        <f>IF(Sheet1!BQ366&gt;25.75,"spill elevation","-")</f>
        <v>-</v>
      </c>
      <c r="R364" s="90" t="str">
        <f>IF(Sheet1!BQ366&gt;25.75,"spill elevation","-")</f>
        <v>-</v>
      </c>
      <c r="S364" s="90" t="str">
        <f>IF(Sheet1!BR366&gt;25.75,"spill elevation","-")</f>
        <v>-</v>
      </c>
      <c r="T364" s="94">
        <f>IF(Sheet1!DU366=1,Sheet1!AA366-(SUM(AT364:BA364)+BE364),Sheet1!AA366-SUM(AT364:BA364))</f>
        <v>38.516303999999998</v>
      </c>
      <c r="U364" s="94">
        <f>Sheet1!BV366</f>
        <v>36.4</v>
      </c>
      <c r="V364" s="94">
        <f t="shared" si="43"/>
        <v>2.1163039999999995</v>
      </c>
      <c r="W364" s="94">
        <f>0</f>
        <v>0</v>
      </c>
      <c r="X364" s="90">
        <f>0</f>
        <v>0</v>
      </c>
      <c r="Y364" s="95">
        <f ca="1">Calculation!EJ365+Calculation!ES364+'Calculations II'!O364-'Calculations II'!W364</f>
        <v>41.726889589983898</v>
      </c>
      <c r="Z364" s="95">
        <f ca="1">Y364-Sheet1!CT367</f>
        <v>24.546889589983898</v>
      </c>
      <c r="AA364" s="95">
        <f ca="1">Y364+Calculation!DJ365+Calculation!AS365</f>
        <v>51.682113470580916</v>
      </c>
      <c r="AC364" s="95">
        <f>Sheet1!AA366+Sheet1!AB366+BC364</f>
        <v>60.760912000000005</v>
      </c>
      <c r="AD364" s="95">
        <f>Sheet1!AA366+Sheet1!BN366+'Calculations II'!BC364-Calculation!AS364-Calculation!DJ364</f>
        <v>41.31068575565611</v>
      </c>
      <c r="AE364" s="95">
        <f>Sheet1!AA366+Sheet1!AB366+'Calculations II'!BC364-Calculation!AS364-Calculation!DJ364</f>
        <v>51.010685755656112</v>
      </c>
      <c r="AF364" s="95">
        <f ca="1">Sheet1!AA366+Sheet1!BN366+P364+'Calculations II'!BC364+Calculation!AS364+Calculation!DJ364</f>
        <v>52.138027834327794</v>
      </c>
      <c r="AG364" s="95">
        <f ca="1">IF(B364=TODAY(),0,Sheet1!AA366+Sheet1!BN366+'Calculations II'!BC364+'Calculations II'!P364-Sheet1!CT366-BP364)</f>
        <v>25.817801589983901</v>
      </c>
      <c r="AH364" s="95">
        <f ca="1">IF(B364=TODAY(),0,Sheet1!AA366+Sheet1!BN366+'Calculations II'!BC364+'Calculations II'!P364-BP364)</f>
        <v>42.387801589983901</v>
      </c>
      <c r="AI364" s="95">
        <f ca="1">IF(B364=TODAY(),0,BC364+Sheet1!AA366+Calculation!ES364+O364+W364+Sheet1!BN366+Calculation!AS364+Calculation!DJ364-BP364)</f>
        <v>52.138027834327794</v>
      </c>
      <c r="AJ364" s="95"/>
      <c r="AM364" s="91">
        <f t="shared" si="44"/>
        <v>41992</v>
      </c>
      <c r="AN364" s="95">
        <f>Sheet1!BU366</f>
        <v>40.799999999999997</v>
      </c>
      <c r="AO364" s="95">
        <f>Sheet1!AA366</f>
        <v>40.9</v>
      </c>
      <c r="AP364" s="95">
        <f t="shared" si="39"/>
        <v>9.085600000000003</v>
      </c>
      <c r="AQ364" s="1055">
        <f>((Sheet1!BV366-(Sheet1!BU366-AP364))/(Sheet1!BU366-AP364))</f>
        <v>0.14774361173473266</v>
      </c>
      <c r="AR364" s="95">
        <f t="shared" si="40"/>
        <v>31.814399999999996</v>
      </c>
      <c r="AS364" s="95">
        <f t="shared" si="41"/>
        <v>31.714399999999994</v>
      </c>
      <c r="AT364" s="90">
        <f>Sheet1!BB366</f>
        <v>1</v>
      </c>
      <c r="AU364" s="90">
        <f>Sheet1!AS366*GPMtoMGD</f>
        <v>2.8080000000000001E-2</v>
      </c>
      <c r="AV364" s="95">
        <f>Sheet1!AT366</f>
        <v>0</v>
      </c>
      <c r="AW364" s="90">
        <f>Sheet1!AV366*GPMtoMGD</f>
        <v>0.58651200000000003</v>
      </c>
      <c r="AX364" s="90">
        <f>Sheet1!AW366*GPMtoMGD</f>
        <v>0.76636800000000016</v>
      </c>
      <c r="AY364" s="90">
        <f>Sheet1!AX366*GPMtoMGD</f>
        <v>2.7360000000000002E-3</v>
      </c>
      <c r="AZ364" s="90">
        <f>Sheet1!AY366*GPMtoMGD</f>
        <v>0</v>
      </c>
      <c r="BA364" s="90">
        <f>Sheet1!AZ366*GPMtoMGD</f>
        <v>0</v>
      </c>
      <c r="BB364" s="90">
        <f>Sheet1!BP366*GPMtoMGD</f>
        <v>0.67651200000000011</v>
      </c>
      <c r="BC364" s="90">
        <f>Sheet1!CS366*GPMtoMGD</f>
        <v>6.0912000000000001E-2</v>
      </c>
      <c r="BD364" s="90">
        <f>Sheet1!BO366*GPMtoMGD</f>
        <v>1.0857600000000001</v>
      </c>
      <c r="BE364" s="90">
        <f>Sheet1!BW366*GPMtoMGD</f>
        <v>0.90590400000000004</v>
      </c>
      <c r="BF364" s="90">
        <f>Sheet1!CN366*GPMtoMGD</f>
        <v>0.62726400000000004</v>
      </c>
      <c r="BG364" s="90">
        <f>Sheet1!CO366*GPMtoMGD</f>
        <v>0.41040000000000004</v>
      </c>
      <c r="BH364" s="90">
        <f>Sheet1!CP366*GPMtoMGD</f>
        <v>0.79401600000000006</v>
      </c>
      <c r="BI364" s="90">
        <f t="shared" si="45"/>
        <v>1.7622720000000003</v>
      </c>
      <c r="BK364" s="95">
        <f>SUM(AT364:BA364,BE364,Sheet1!BV366,'Calculations II'!BC364,Calculation!AQ364)</f>
        <v>49.804810642533937</v>
      </c>
      <c r="BM364" s="373">
        <f>0</f>
        <v>0</v>
      </c>
      <c r="BN364" s="373">
        <f>0</f>
        <v>0</v>
      </c>
      <c r="BP364" s="95">
        <f>SUM(BM364:BN364,W364,Sheet1!DX366)</f>
        <v>0</v>
      </c>
    </row>
    <row r="365" spans="1:68" s="90" customFormat="1">
      <c r="A365" s="651" t="s">
        <v>9</v>
      </c>
      <c r="B365" s="92">
        <v>41993</v>
      </c>
      <c r="C365" s="93">
        <v>0</v>
      </c>
      <c r="D365" s="95">
        <f>(Sheet1!BQ367-Sheet1!BQ366)*1.385</f>
        <v>-2.6176500000000007</v>
      </c>
      <c r="E365" s="30">
        <f>(Sheet1!BR367-Sheet1!BR366)*1.385</f>
        <v>-2.6037999999999988</v>
      </c>
      <c r="F365" s="30">
        <f ca="1">IF(B365=TODAY(),0,-(VLOOKUP(Sheet1!CD367,Lookup!$I$4:$J$216,2)-VLOOKUP(Sheet1!CD366,Lookup!$I$4:$J$216,2))/1000000)</f>
        <v>-1.6581910167647953</v>
      </c>
      <c r="G365" s="95">
        <f ca="1">IF(B365=TODAY(),0,-$G$6*(Sheet1!CF367-Sheet1!CF366)*7.48/1000000)</f>
        <v>0.23828100631535634</v>
      </c>
      <c r="H365" s="95">
        <f ca="1">IF(B365=TODAY(),0,-$H$6*(Sheet1!CE367-Sheet1!CE366)*7.48/1000000)</f>
        <v>0.15039432351265059</v>
      </c>
      <c r="I365" s="95">
        <f ca="1">IF(B365=TODAY(),0,-$I$6*(Sheet1!CG367-Sheet1!CG366)*7.48/1000000)</f>
        <v>4.9417367999999989E-2</v>
      </c>
      <c r="J365" s="96" t="s">
        <v>186</v>
      </c>
      <c r="K365" s="95">
        <f ca="1">IF(B365=TODAY(),0,-$K$6*(Sheet1!CH367-Sheet1!CH366)*7.48/1000000)</f>
        <v>8.3291504680730474E-2</v>
      </c>
      <c r="L365" s="96" t="s">
        <v>186</v>
      </c>
      <c r="M365" s="95">
        <f ca="1">IF(B365=TODAY(),0,-$M$6*(Sheet1!CI367-Sheet1!CI366)*7.48/1000000)</f>
        <v>0.26987262642040577</v>
      </c>
      <c r="N365" s="95">
        <f ca="1">IF(B365=TODAY(),0,-$N$6*(Sheet1!CJ367-Sheet1!CJ366)*7.48/1000000)</f>
        <v>-0.6329339230251636</v>
      </c>
      <c r="O365" s="95">
        <f t="shared" ca="1" si="42"/>
        <v>-1.4998681108608154</v>
      </c>
      <c r="P365" s="95">
        <f ca="1">O365+Calculation!ES365</f>
        <v>3.6210379786056595</v>
      </c>
      <c r="Q365" s="90" t="str">
        <f>IF(Sheet1!BQ367&gt;25.75,"spill elevation","-")</f>
        <v>-</v>
      </c>
      <c r="R365" s="90" t="str">
        <f>IF(Sheet1!BQ367&gt;25.75,"spill elevation","-")</f>
        <v>-</v>
      </c>
      <c r="S365" s="90" t="str">
        <f>IF(Sheet1!BR367&gt;25.75,"spill elevation","-")</f>
        <v>-</v>
      </c>
      <c r="T365" s="94">
        <f>IF(Sheet1!DU367=1,Sheet1!AA367-(SUM(AT365:BA365)+BE365),Sheet1!AA367-SUM(AT365:BA365))</f>
        <v>27.899519999999999</v>
      </c>
      <c r="U365" s="94">
        <f>Sheet1!BV367</f>
        <v>38</v>
      </c>
      <c r="V365" s="94">
        <f t="shared" si="43"/>
        <v>-10.100480000000001</v>
      </c>
      <c r="W365" s="94">
        <f>0</f>
        <v>0</v>
      </c>
      <c r="X365" s="90">
        <f>0</f>
        <v>0</v>
      </c>
      <c r="Y365" s="95">
        <f ca="1">Calculation!EJ366+Calculation!ES365+'Calculations II'!O365-'Calculations II'!W365</f>
        <v>53.921037978605654</v>
      </c>
      <c r="Z365" s="95">
        <f ca="1">Y365-Sheet1!CT368</f>
        <v>35.681037978605659</v>
      </c>
      <c r="AA365" s="95">
        <f ca="1">Y365+Calculation!DJ366+Calculation!AS366</f>
        <v>63.831929067714569</v>
      </c>
      <c r="AC365" s="95">
        <f>Sheet1!AA367+Sheet1!AB367+BC365</f>
        <v>50.4</v>
      </c>
      <c r="AD365" s="95">
        <f>Sheet1!AA367+Sheet1!BN367+'Calculations II'!BC365-Calculation!AS365-Calculation!DJ365</f>
        <v>30.544776119402986</v>
      </c>
      <c r="AE365" s="95">
        <f>Sheet1!AA367+Sheet1!AB367+'Calculations II'!BC365-Calculation!AS365-Calculation!DJ365</f>
        <v>40.444776119402988</v>
      </c>
      <c r="AF365" s="95">
        <f ca="1">Sheet1!AA367+Sheet1!BN367+P365+'Calculations II'!BC365+Calculation!AS365+Calculation!DJ365</f>
        <v>54.076261859202674</v>
      </c>
      <c r="AG365" s="95">
        <f ca="1">IF(B365=TODAY(),0,Sheet1!AA367+Sheet1!BN367+'Calculations II'!BC365+'Calculations II'!P365-Sheet1!CT367-BP365)</f>
        <v>26.941037978605657</v>
      </c>
      <c r="AH365" s="95">
        <f ca="1">IF(B365=TODAY(),0,Sheet1!AA367+Sheet1!BN367+'Calculations II'!BC365+'Calculations II'!P365-BP365)</f>
        <v>44.121037978605656</v>
      </c>
      <c r="AI365" s="95">
        <f ca="1">IF(B365=TODAY(),0,BC365+Sheet1!AA367+Calculation!ES365+O365+W365+Sheet1!BN367+Calculation!AS365+Calculation!DJ365-BP365)</f>
        <v>54.076261859202674</v>
      </c>
      <c r="AJ365" s="95"/>
      <c r="AM365" s="91">
        <f t="shared" si="44"/>
        <v>41993</v>
      </c>
      <c r="AN365" s="95">
        <f>Sheet1!BU367</f>
        <v>28.8</v>
      </c>
      <c r="AO365" s="95">
        <f>Sheet1!AA367</f>
        <v>30.4</v>
      </c>
      <c r="AP365" s="95">
        <f t="shared" si="39"/>
        <v>-5.221449999999999</v>
      </c>
      <c r="AQ365" s="1055">
        <f>((Sheet1!BV367-(Sheet1!BU367-AP365))/(Sheet1!BU367-AP365))</f>
        <v>0.11694239957438611</v>
      </c>
      <c r="AR365" s="95">
        <f t="shared" si="40"/>
        <v>35.621449999999996</v>
      </c>
      <c r="AS365" s="95">
        <f t="shared" si="41"/>
        <v>34.021450000000002</v>
      </c>
      <c r="AT365" s="90">
        <f>Sheet1!BB367</f>
        <v>1</v>
      </c>
      <c r="AU365" s="90">
        <f>Sheet1!AS367*GPMtoMGD</f>
        <v>2.7935999999999999E-2</v>
      </c>
      <c r="AV365" s="95">
        <f>Sheet1!AT367</f>
        <v>0</v>
      </c>
      <c r="AW365" s="90">
        <f>Sheet1!AV367*GPMtoMGD</f>
        <v>0.6570720000000001</v>
      </c>
      <c r="AX365" s="90">
        <f>Sheet1!AW367*GPMtoMGD</f>
        <v>0.81532800000000016</v>
      </c>
      <c r="AY365" s="90">
        <f>Sheet1!AX367*GPMtoMGD</f>
        <v>1.44E-4</v>
      </c>
      <c r="AZ365" s="90">
        <f>Sheet1!AY367*GPMtoMGD</f>
        <v>0</v>
      </c>
      <c r="BA365" s="90">
        <f>Sheet1!AZ367*GPMtoMGD</f>
        <v>0</v>
      </c>
      <c r="BB365" s="90">
        <f>Sheet1!BP367*GPMtoMGD</f>
        <v>0</v>
      </c>
      <c r="BC365" s="90">
        <f>Sheet1!CS367*GPMtoMGD</f>
        <v>0</v>
      </c>
      <c r="BD365" s="90">
        <f>Sheet1!BO367*GPMtoMGD</f>
        <v>1.215792</v>
      </c>
      <c r="BE365" s="90">
        <f>Sheet1!BW367*GPMtoMGD</f>
        <v>0.64526400000000006</v>
      </c>
      <c r="BF365" s="90">
        <f>Sheet1!CN367*GPMtoMGD</f>
        <v>0.64238400000000007</v>
      </c>
      <c r="BG365" s="90">
        <f>Sheet1!CO367*GPMtoMGD</f>
        <v>0.46267200000000003</v>
      </c>
      <c r="BH365" s="90">
        <f>Sheet1!CP367*GPMtoMGD</f>
        <v>0.71596800000000005</v>
      </c>
      <c r="BI365" s="90">
        <f t="shared" si="45"/>
        <v>1.215792</v>
      </c>
      <c r="BK365" s="95">
        <f>SUM(AT365:BA365,BE365,Sheet1!BV367,'Calculations II'!BC365,Calculation!AQ365)</f>
        <v>51.195495243781096</v>
      </c>
      <c r="BM365" s="373">
        <f>0</f>
        <v>0</v>
      </c>
      <c r="BN365" s="373">
        <f>0</f>
        <v>0</v>
      </c>
      <c r="BP365" s="95">
        <f>SUM(BM365:BN365,W365,Sheet1!DX367)</f>
        <v>0</v>
      </c>
    </row>
    <row r="366" spans="1:68" s="90" customFormat="1">
      <c r="A366" s="651" t="s">
        <v>3</v>
      </c>
      <c r="B366" s="92">
        <v>41994</v>
      </c>
      <c r="C366" s="93">
        <v>0</v>
      </c>
      <c r="D366" s="95">
        <f>(Sheet1!BQ368-Sheet1!BQ367)*1.385</f>
        <v>-5.6231000000000009</v>
      </c>
      <c r="E366" s="30">
        <f>(Sheet1!BR368-Sheet1!BR367)*1.385</f>
        <v>-5.5538500000000024</v>
      </c>
      <c r="F366" s="30">
        <f ca="1">IF(B366=TODAY(),0,-(VLOOKUP(Sheet1!CD368,Lookup!$I$4:$J$216,2)-VLOOKUP(Sheet1!CD367,Lookup!$I$4:$J$216,2))/1000000)</f>
        <v>-3.6272928491730019</v>
      </c>
      <c r="G366" s="95">
        <f ca="1">IF(B366=TODAY(),0,-$G$6*(Sheet1!CF368-Sheet1!CF367)*7.48/1000000)</f>
        <v>-7.9427002105119021E-2</v>
      </c>
      <c r="H366" s="95">
        <f ca="1">IF(B366=TODAY(),0,-$H$6*(Sheet1!CE368-Sheet1!CE367)*7.48/1000000)</f>
        <v>-0.22559148526897588</v>
      </c>
      <c r="I366" s="95">
        <f ca="1">IF(B366=TODAY(),0,-$I$6*(Sheet1!CG368-Sheet1!CG367)*7.48/1000000)</f>
        <v>-0.11231220000000001</v>
      </c>
      <c r="J366" s="96" t="s">
        <v>186</v>
      </c>
      <c r="K366" s="95">
        <f ca="1">IF(B366=TODAY(),0,-$K$6*(Sheet1!CH368-Sheet1!CH367)*7.48/1000000)</f>
        <v>-0.19323629085929481</v>
      </c>
      <c r="L366" s="96" t="s">
        <v>186</v>
      </c>
      <c r="M366" s="95">
        <f ca="1">IF(B366=TODAY(),0,-$M$6*(Sheet1!CI368-Sheet1!CI367)*7.48/1000000)</f>
        <v>-0.5757282696968653</v>
      </c>
      <c r="N366" s="95">
        <f ca="1">IF(B366=TODAY(),0,-$N$6*(Sheet1!CJ368-Sheet1!CJ367)*7.48/1000000)</f>
        <v>-1.0983265134848428</v>
      </c>
      <c r="O366" s="95">
        <f t="shared" ca="1" si="42"/>
        <v>-5.9119146105880995</v>
      </c>
      <c r="P366" s="95">
        <f ca="1">O366+Calculation!ES366</f>
        <v>5.1453468407050407</v>
      </c>
      <c r="Q366" s="90" t="str">
        <f>IF(Sheet1!BQ368&gt;25.75,"spill elevation","-")</f>
        <v>-</v>
      </c>
      <c r="R366" s="90" t="str">
        <f>IF(Sheet1!BQ368&gt;25.75,"spill elevation","-")</f>
        <v>-</v>
      </c>
      <c r="S366" s="90" t="str">
        <f>IF(Sheet1!BR368&gt;25.75,"spill elevation","-")</f>
        <v>-</v>
      </c>
      <c r="T366" s="94">
        <f>IF(Sheet1!DU368=1,Sheet1!AA368-(SUM(AT366:BA366)+BE366),Sheet1!AA368-SUM(AT366:BA366))</f>
        <v>28.898384</v>
      </c>
      <c r="U366" s="94">
        <f>Sheet1!BV368</f>
        <v>44.5</v>
      </c>
      <c r="V366" s="94">
        <f t="shared" si="43"/>
        <v>-15.601616</v>
      </c>
      <c r="W366" s="94">
        <f>0</f>
        <v>0</v>
      </c>
      <c r="X366" s="90">
        <f>0</f>
        <v>0</v>
      </c>
      <c r="Y366" s="95">
        <f ca="1">Calculation!EJ367+Calculation!ES366+'Calculations II'!O366-'Calculations II'!W366</f>
        <v>57.89537884070505</v>
      </c>
      <c r="Z366" s="95">
        <f ca="1">Y366-Sheet1!CT369</f>
        <v>40.955378840705052</v>
      </c>
      <c r="AA366" s="95">
        <f ca="1">Y366+Calculation!DJ367+Calculation!AS367</f>
        <v>67.767129969656381</v>
      </c>
      <c r="AC366" s="95">
        <f>Sheet1!AA368+Sheet1!AB368+BC366</f>
        <v>50.3</v>
      </c>
      <c r="AD366" s="95">
        <f>Sheet1!AA368+Sheet1!BN368+'Calculations II'!BC366-Calculation!AS366-Calculation!DJ366</f>
        <v>30.589108910891088</v>
      </c>
      <c r="AE366" s="95">
        <f>Sheet1!AA368+Sheet1!AB368+'Calculations II'!BC366-Calculation!AS366-Calculation!DJ366</f>
        <v>40.389108910891082</v>
      </c>
      <c r="AF366" s="95">
        <f ca="1">Sheet1!AA368+Sheet1!BN368+P366+'Calculations II'!BC366+Calculation!AS366+Calculation!DJ366</f>
        <v>55.556237929813946</v>
      </c>
      <c r="AG366" s="95">
        <f ca="1">IF(B366=TODAY(),0,Sheet1!AA368+Sheet1!BN368+'Calculations II'!BC366+'Calculations II'!P366-Sheet1!CT368-BP366)</f>
        <v>27.40534684070504</v>
      </c>
      <c r="AH366" s="95">
        <f ca="1">IF(B366=TODAY(),0,Sheet1!AA368+Sheet1!BN368+'Calculations II'!BC366+'Calculations II'!P366-BP366)</f>
        <v>45.645346840705038</v>
      </c>
      <c r="AI366" s="95">
        <f ca="1">IF(B366=TODAY(),0,BC366+Sheet1!AA368+Calculation!ES366+O366+W366+Sheet1!BN368+Calculation!AS366+Calculation!DJ366-BP366)</f>
        <v>55.55623792981396</v>
      </c>
      <c r="AJ366" s="95"/>
      <c r="AM366" s="91">
        <f t="shared" si="44"/>
        <v>41994</v>
      </c>
      <c r="AN366" s="95">
        <f>Sheet1!BU368</f>
        <v>29.4</v>
      </c>
      <c r="AO366" s="95">
        <f>Sheet1!AA368</f>
        <v>30.3</v>
      </c>
      <c r="AP366" s="95">
        <f t="shared" si="39"/>
        <v>-11.176950000000003</v>
      </c>
      <c r="AQ366" s="1055">
        <f>((Sheet1!BV368-(Sheet1!BU368-AP366))/(Sheet1!BU368-AP366))</f>
        <v>9.668173679884752E-2</v>
      </c>
      <c r="AR366" s="95">
        <f t="shared" si="40"/>
        <v>41.476950000000002</v>
      </c>
      <c r="AS366" s="95">
        <f t="shared" si="41"/>
        <v>40.576950000000004</v>
      </c>
      <c r="AT366" s="90">
        <f>Sheet1!BB368</f>
        <v>1</v>
      </c>
      <c r="AU366" s="90">
        <f>Sheet1!AS368*GPMtoMGD</f>
        <v>2.0880000000000003E-2</v>
      </c>
      <c r="AV366" s="95">
        <f>Sheet1!AT368</f>
        <v>0</v>
      </c>
      <c r="AW366" s="90">
        <f>Sheet1!AV368*GPMtoMGD</f>
        <v>0.13536000000000001</v>
      </c>
      <c r="AX366" s="90">
        <f>Sheet1!AW368*GPMtoMGD</f>
        <v>0.24537600000000001</v>
      </c>
      <c r="AY366" s="90">
        <f>Sheet1!AX368*GPMtoMGD</f>
        <v>0</v>
      </c>
      <c r="AZ366" s="90">
        <f>Sheet1!AY368*GPMtoMGD</f>
        <v>0</v>
      </c>
      <c r="BA366" s="90">
        <f>Sheet1!AZ368*GPMtoMGD</f>
        <v>0</v>
      </c>
      <c r="BB366" s="90">
        <f>Sheet1!BP368*GPMtoMGD</f>
        <v>0.14472000000000002</v>
      </c>
      <c r="BC366" s="90">
        <f>Sheet1!CS368*GPMtoMGD</f>
        <v>0</v>
      </c>
      <c r="BD366" s="90">
        <f>Sheet1!BO368*GPMtoMGD</f>
        <v>1.7959680000000002</v>
      </c>
      <c r="BE366" s="90">
        <f>Sheet1!BW368*GPMtoMGD</f>
        <v>0.9715680000000001</v>
      </c>
      <c r="BF366" s="90">
        <f>Sheet1!CN368*GPMtoMGD</f>
        <v>0.75700800000000013</v>
      </c>
      <c r="BG366" s="90">
        <f>Sheet1!CO368*GPMtoMGD</f>
        <v>0.49276800000000004</v>
      </c>
      <c r="BH366" s="90">
        <f>Sheet1!CP368*GPMtoMGD</f>
        <v>0.74260800000000016</v>
      </c>
      <c r="BI366" s="90">
        <f t="shared" si="45"/>
        <v>1.9406880000000002</v>
      </c>
      <c r="BK366" s="95">
        <f>SUM(AT366:BA366,BE366,Sheet1!BV368,'Calculations II'!BC366,Calculation!AQ366)</f>
        <v>56.972193900990099</v>
      </c>
      <c r="BM366" s="373">
        <f>0</f>
        <v>0</v>
      </c>
      <c r="BN366" s="373">
        <f>0</f>
        <v>0</v>
      </c>
      <c r="BP366" s="95">
        <f>SUM(BM366:BN366,W366,Sheet1!DX368)</f>
        <v>0</v>
      </c>
    </row>
    <row r="367" spans="1:68" s="90" customFormat="1">
      <c r="A367" s="651" t="s">
        <v>4</v>
      </c>
      <c r="B367" s="92">
        <v>41995</v>
      </c>
      <c r="C367" s="93">
        <v>0</v>
      </c>
      <c r="D367" s="95">
        <f>(Sheet1!BQ369-Sheet1!BQ368)*1.385</f>
        <v>0.95564999999999933</v>
      </c>
      <c r="E367" s="30">
        <f>(Sheet1!BR369-Sheet1!BR368)*1.385</f>
        <v>0.91410000000000025</v>
      </c>
      <c r="F367" s="30">
        <f ca="1">IF(B367=TODAY(),0,-(VLOOKUP(Sheet1!CD369,Lookup!$I$4:$J$216,2)-VLOOKUP(Sheet1!CD368,Lookup!$I$4:$J$216,2))/1000000)</f>
        <v>3.4200189720774032</v>
      </c>
      <c r="G367" s="95">
        <f ca="1">IF(B367=TODAY(),0,-$G$6*(Sheet1!CF369-Sheet1!CF368)*7.48/1000000)</f>
        <v>0</v>
      </c>
      <c r="H367" s="95">
        <f ca="1">IF(B367=TODAY(),0,-$H$6*(Sheet1!CE369-Sheet1!CE368)*7.48/1000000)</f>
        <v>0</v>
      </c>
      <c r="I367" s="95">
        <f ca="1">IF(B367=TODAY(),0,-$I$6*(Sheet1!CG369-Sheet1!CG368)*7.48/1000000)</f>
        <v>-2.3360937599999982E-2</v>
      </c>
      <c r="J367" s="96" t="s">
        <v>186</v>
      </c>
      <c r="K367" s="95">
        <f ca="1">IF(B367=TODAY(),0,-$K$6*(Sheet1!CH369-Sheet1!CH368)*7.48/1000000)</f>
        <v>-4.3311582433979902E-2</v>
      </c>
      <c r="L367" s="96" t="s">
        <v>186</v>
      </c>
      <c r="M367" s="95">
        <f ca="1">IF(B367=TODAY(),0,-$M$6*(Sheet1!CI369-Sheet1!CI368)*7.48/1000000)</f>
        <v>-0.12594055899618953</v>
      </c>
      <c r="N367" s="95">
        <f ca="1">IF(B367=TODAY(),0,-$N$6*(Sheet1!CJ369-Sheet1!CJ368)*7.48/1000000)</f>
        <v>0.99904276085344457</v>
      </c>
      <c r="O367" s="95">
        <f t="shared" ca="1" si="42"/>
        <v>4.226448653900678</v>
      </c>
      <c r="P367" s="95">
        <f ca="1">O367+Calculation!ES367</f>
        <v>2.5691653149334703</v>
      </c>
      <c r="Q367" s="90" t="str">
        <f>IF(Sheet1!BQ369&gt;25.75,"spill elevation","-")</f>
        <v>-</v>
      </c>
      <c r="R367" s="90" t="str">
        <f>IF(Sheet1!BQ369&gt;25.75,"spill elevation","-")</f>
        <v>-</v>
      </c>
      <c r="S367" s="90" t="str">
        <f>IF(Sheet1!BR369&gt;25.75,"spill elevation","-")</f>
        <v>-</v>
      </c>
      <c r="T367" s="94">
        <f>IF(Sheet1!DU369=1,Sheet1!AA369-(SUM(AT367:BA367)+BE367),Sheet1!AA369-SUM(AT367:BA367))</f>
        <v>27.372992</v>
      </c>
      <c r="U367" s="94">
        <f>Sheet1!BV369</f>
        <v>30.3</v>
      </c>
      <c r="V367" s="94">
        <f t="shared" si="43"/>
        <v>-2.9270080000000007</v>
      </c>
      <c r="W367" s="94">
        <f>0</f>
        <v>0</v>
      </c>
      <c r="X367" s="90">
        <f>0</f>
        <v>0</v>
      </c>
      <c r="Y367" s="95">
        <f ca="1">Calculation!EJ368+Calculation!ES367+'Calculations II'!O367-'Calculations II'!W367</f>
        <v>57.432301314933468</v>
      </c>
      <c r="Z367" s="95">
        <f ca="1">Y367-Sheet1!CT370</f>
        <v>39.642301314933469</v>
      </c>
      <c r="AA367" s="95">
        <f ca="1">Y367+Calculation!DJ368+Calculation!AS368</f>
        <v>67.346587029219179</v>
      </c>
      <c r="AC367" s="95">
        <f>Sheet1!AA369+Sheet1!AB369+BC367</f>
        <v>52.750032000000004</v>
      </c>
      <c r="AD367" s="95">
        <f>Sheet1!AA369+Sheet1!BN369+'Calculations II'!BC367-Calculation!AS367-Calculation!DJ367</f>
        <v>33.078280871048669</v>
      </c>
      <c r="AE367" s="95">
        <f>Sheet1!AA369+Sheet1!AB369+'Calculations II'!BC367-Calculation!AS367-Calculation!DJ367</f>
        <v>42.878280871048673</v>
      </c>
      <c r="AF367" s="95">
        <f ca="1">Sheet1!AA369+Sheet1!BN369+P367+'Calculations II'!BC367+Calculation!AS367+Calculation!DJ367</f>
        <v>55.390948443884803</v>
      </c>
      <c r="AG367" s="95">
        <f ca="1">IF(B367=TODAY(),0,Sheet1!AA369+Sheet1!BN369+'Calculations II'!BC367+'Calculations II'!P367-Sheet1!CT369-BP367)</f>
        <v>28.57919731493347</v>
      </c>
      <c r="AH367" s="95">
        <f ca="1">IF(B367=TODAY(),0,Sheet1!AA369+Sheet1!BN369+'Calculations II'!BC367+'Calculations II'!P367-BP367)</f>
        <v>45.519197314933471</v>
      </c>
      <c r="AI367" s="95">
        <f ca="1">IF(B367=TODAY(),0,BC367+Sheet1!AA369+Calculation!ES367+O367+W367+Sheet1!BN369+Calculation!AS367+Calculation!DJ367-BP367)</f>
        <v>55.390948443884803</v>
      </c>
      <c r="AJ367" s="95"/>
      <c r="AM367" s="91">
        <f t="shared" si="44"/>
        <v>41995</v>
      </c>
      <c r="AN367" s="95">
        <f>Sheet1!BU369</f>
        <v>29.4</v>
      </c>
      <c r="AO367" s="95">
        <f>Sheet1!AA369</f>
        <v>30.3</v>
      </c>
      <c r="AP367" s="95">
        <f t="shared" si="39"/>
        <v>1.8697499999999996</v>
      </c>
      <c r="AQ367" s="1055">
        <f>((Sheet1!BV369-(Sheet1!BU369-AP367))/(Sheet1!BU369-AP367))</f>
        <v>0.1006075135532733</v>
      </c>
      <c r="AR367" s="95">
        <f t="shared" si="40"/>
        <v>28.430250000000001</v>
      </c>
      <c r="AS367" s="95">
        <f t="shared" si="41"/>
        <v>27.530249999999999</v>
      </c>
      <c r="AT367" s="90">
        <f>Sheet1!BB369</f>
        <v>1</v>
      </c>
      <c r="AU367" s="90">
        <f>Sheet1!AS369*GPMtoMGD</f>
        <v>3.2256E-2</v>
      </c>
      <c r="AV367" s="95">
        <f>Sheet1!AT369</f>
        <v>0</v>
      </c>
      <c r="AW367" s="90">
        <f>Sheet1!AV369*GPMtoMGD</f>
        <v>0.69206400000000012</v>
      </c>
      <c r="AX367" s="90">
        <f>Sheet1!AW369*GPMtoMGD</f>
        <v>1.2026880000000002</v>
      </c>
      <c r="AY367" s="90">
        <f>Sheet1!AX369*GPMtoMGD</f>
        <v>0</v>
      </c>
      <c r="AZ367" s="90">
        <f>Sheet1!AY369*GPMtoMGD</f>
        <v>0</v>
      </c>
      <c r="BA367" s="90">
        <f>Sheet1!AZ369*GPMtoMGD</f>
        <v>0</v>
      </c>
      <c r="BB367" s="90">
        <f>Sheet1!BP369*GPMtoMGD</f>
        <v>0.54777600000000004</v>
      </c>
      <c r="BC367" s="90">
        <f>Sheet1!CS369*GPMtoMGD</f>
        <v>2.6500319999999999</v>
      </c>
      <c r="BD367" s="90">
        <f>Sheet1!BO369*GPMtoMGD</f>
        <v>0</v>
      </c>
      <c r="BE367" s="90">
        <f>Sheet1!BW369*GPMtoMGD</f>
        <v>0.95500800000000008</v>
      </c>
      <c r="BF367" s="90">
        <f>Sheet1!CN369*GPMtoMGD</f>
        <v>0.51278400000000002</v>
      </c>
      <c r="BG367" s="90">
        <f>Sheet1!CO369*GPMtoMGD</f>
        <v>0.44035200000000002</v>
      </c>
      <c r="BH367" s="90">
        <f>Sheet1!CP369*GPMtoMGD</f>
        <v>0.76377600000000001</v>
      </c>
      <c r="BI367" s="90">
        <f t="shared" si="45"/>
        <v>0.54777600000000004</v>
      </c>
      <c r="BK367" s="95">
        <f>SUM(AT367:BA367,BE367,Sheet1!BV369,'Calculations II'!BC367,Calculation!AQ367)</f>
        <v>46.766819700953349</v>
      </c>
      <c r="BM367" s="373">
        <f>0</f>
        <v>0</v>
      </c>
      <c r="BN367" s="373">
        <f>0</f>
        <v>0</v>
      </c>
      <c r="BP367" s="95">
        <f>SUM(BM367:BN367,W367,Sheet1!DX369)</f>
        <v>0</v>
      </c>
    </row>
    <row r="368" spans="1:68" s="90" customFormat="1">
      <c r="A368" s="651" t="s">
        <v>5</v>
      </c>
      <c r="B368" s="92">
        <v>41996</v>
      </c>
      <c r="C368" s="93">
        <v>0</v>
      </c>
      <c r="D368" s="95">
        <f>(Sheet1!BQ370-Sheet1!BQ369)*1.385</f>
        <v>1.6342999999999996</v>
      </c>
      <c r="E368" s="30">
        <f>(Sheet1!BR370-Sheet1!BR369)*1.385</f>
        <v>1.6481500000000018</v>
      </c>
      <c r="F368" s="30">
        <f ca="1">IF(B368=TODAY(),0,-(VLOOKUP(Sheet1!CD370,Lookup!$I$4:$J$216,2)-VLOOKUP(Sheet1!CD369,Lookup!$I$4:$J$216,2))/1000000)</f>
        <v>0.62182163128679613</v>
      </c>
      <c r="G368" s="95">
        <f ca="1">IF(B368=TODAY(),0,-$G$6*(Sheet1!CF370-Sheet1!CF369)*7.48/1000000)</f>
        <v>-3.9713501052559157E-2</v>
      </c>
      <c r="H368" s="95">
        <f ca="1">IF(B368=TODAY(),0,-$H$6*(Sheet1!CE370-Sheet1!CE369)*7.48/1000000)</f>
        <v>1.5039432351265274E-2</v>
      </c>
      <c r="I368" s="95">
        <f ca="1">IF(B368=TODAY(),0,-$I$6*(Sheet1!CG370-Sheet1!CG369)*7.48/1000000)</f>
        <v>0.13567313759999999</v>
      </c>
      <c r="J368" s="96" t="s">
        <v>186</v>
      </c>
      <c r="K368" s="95">
        <f ca="1">IF(B368=TODAY(),0,-$K$6*(Sheet1!CH370-Sheet1!CH369)*7.48/1000000)</f>
        <v>0.23987953348050389</v>
      </c>
      <c r="L368" s="96" t="s">
        <v>186</v>
      </c>
      <c r="M368" s="95">
        <f ca="1">IF(B368=TODAY(),0,-$M$6*(Sheet1!CI370-Sheet1!CI369)*7.48/1000000)</f>
        <v>0.68367732026502792</v>
      </c>
      <c r="N368" s="95">
        <f ca="1">IF(B368=TODAY(),0,-$N$6*(Sheet1!CJ370-Sheet1!CJ369)*7.48/1000000)</f>
        <v>0.23579891249957019</v>
      </c>
      <c r="O368" s="95">
        <f t="shared" ca="1" si="42"/>
        <v>1.8921764664306044</v>
      </c>
      <c r="P368" s="95">
        <f ca="1">O368+Calculation!ES368</f>
        <v>-1.4237726725110189</v>
      </c>
      <c r="Q368" s="90" t="str">
        <f>IF(Sheet1!BQ370&gt;25.75,"spill elevation","-")</f>
        <v>-</v>
      </c>
      <c r="R368" s="90" t="str">
        <f>IF(Sheet1!BQ370&gt;25.75,"spill elevation","-")</f>
        <v>-</v>
      </c>
      <c r="S368" s="90" t="str">
        <f>IF(Sheet1!BR370&gt;25.75,"spill elevation","-")</f>
        <v>-</v>
      </c>
      <c r="T368" s="94">
        <f>IF(Sheet1!DU370=1,Sheet1!AA370-(SUM(AT368:BA368)+BE368),Sheet1!AA370-SUM(AT368:BA368))</f>
        <v>26.026</v>
      </c>
      <c r="U368" s="94">
        <f>Sheet1!BV370</f>
        <v>28</v>
      </c>
      <c r="V368" s="94">
        <f t="shared" si="43"/>
        <v>-1.9740000000000002</v>
      </c>
      <c r="W368" s="94">
        <f>0</f>
        <v>0</v>
      </c>
      <c r="X368" s="90">
        <f>0</f>
        <v>0</v>
      </c>
      <c r="Y368" s="95">
        <f ca="1">Calculation!EJ369+Calculation!ES368+'Calculations II'!O368-'Calculations II'!W368</f>
        <v>52.11344332748898</v>
      </c>
      <c r="Z368" s="95">
        <f ca="1">Y368-Sheet1!CT371</f>
        <v>33.953443327488984</v>
      </c>
      <c r="AA368" s="95">
        <f ca="1">Y368+Calculation!DJ369+Calculation!AS369</f>
        <v>62.058871623927864</v>
      </c>
      <c r="AC368" s="95">
        <f>Sheet1!AA370+Sheet1!AB370+BC368</f>
        <v>54.863135999999997</v>
      </c>
      <c r="AD368" s="95">
        <f>Sheet1!AA370+Sheet1!BN370+'Calculations II'!BC368-Calculation!AS368-Calculation!DJ368</f>
        <v>35.148850285714289</v>
      </c>
      <c r="AE368" s="95">
        <f>Sheet1!AA370+Sheet1!AB370+'Calculations II'!BC368-Calculation!AS368-Calculation!DJ368</f>
        <v>44.948850285714286</v>
      </c>
      <c r="AF368" s="95">
        <f ca="1">Sheet1!AA370+Sheet1!BN370+P368+'Calculations II'!BC368+Calculation!AS368+Calculation!DJ368</f>
        <v>53.55364904177469</v>
      </c>
      <c r="AG368" s="95">
        <f ca="1">IF(B368=TODAY(),0,Sheet1!AA370+Sheet1!BN370+'Calculations II'!BC368+'Calculations II'!P368-Sheet1!CT370-BP368)</f>
        <v>25.84936332748898</v>
      </c>
      <c r="AH368" s="95">
        <f ca="1">IF(B368=TODAY(),0,Sheet1!AA370+Sheet1!BN370+'Calculations II'!BC368+'Calculations II'!P368-BP368)</f>
        <v>43.639363327488979</v>
      </c>
      <c r="AI368" s="95">
        <f ca="1">IF(B368=TODAY(),0,BC368+Sheet1!AA370+Calculation!ES368+O368+W368+Sheet1!BN370+Calculation!AS368+Calculation!DJ368-BP368)</f>
        <v>53.55364904177469</v>
      </c>
      <c r="AJ368" s="95"/>
      <c r="AM368" s="91">
        <f t="shared" si="44"/>
        <v>41996</v>
      </c>
      <c r="AN368" s="95">
        <f>Sheet1!BU370</f>
        <v>28.3</v>
      </c>
      <c r="AO368" s="95">
        <f>Sheet1!AA370</f>
        <v>28.52</v>
      </c>
      <c r="AP368" s="95">
        <f t="shared" si="39"/>
        <v>3.2824500000000016</v>
      </c>
      <c r="AQ368" s="1055">
        <f>((Sheet1!BV370-(Sheet1!BU370-AP368))/(Sheet1!BU370-AP368))</f>
        <v>0.1192143115532896</v>
      </c>
      <c r="AR368" s="95">
        <f t="shared" si="40"/>
        <v>25.237549999999999</v>
      </c>
      <c r="AS368" s="95">
        <f t="shared" si="41"/>
        <v>25.01755</v>
      </c>
      <c r="AT368" s="90">
        <f>Sheet1!BB370</f>
        <v>1</v>
      </c>
      <c r="AU368" s="90">
        <f>Sheet1!AS370*GPMtoMGD</f>
        <v>1.584E-2</v>
      </c>
      <c r="AV368" s="95">
        <f>Sheet1!AT370</f>
        <v>0</v>
      </c>
      <c r="AW368" s="90">
        <f>Sheet1!AV370*GPMtoMGD</f>
        <v>0.72820800000000008</v>
      </c>
      <c r="AX368" s="90">
        <f>Sheet1!AW370*GPMtoMGD</f>
        <v>0.74995199999999995</v>
      </c>
      <c r="AY368" s="90">
        <f>Sheet1!AX370*GPMtoMGD</f>
        <v>0</v>
      </c>
      <c r="AZ368" s="90">
        <f>Sheet1!AY370*GPMtoMGD</f>
        <v>0</v>
      </c>
      <c r="BA368" s="90">
        <f>Sheet1!AZ370*GPMtoMGD</f>
        <v>0</v>
      </c>
      <c r="BB368" s="90">
        <f>Sheet1!BP370*GPMtoMGD</f>
        <v>0.22233600000000003</v>
      </c>
      <c r="BC368" s="90">
        <f>Sheet1!CS370*GPMtoMGD</f>
        <v>5.5431360000000005</v>
      </c>
      <c r="BD368" s="90">
        <f>Sheet1!BO370*GPMtoMGD</f>
        <v>0</v>
      </c>
      <c r="BE368" s="90">
        <f>Sheet1!BW370*GPMtoMGD</f>
        <v>0.66009600000000002</v>
      </c>
      <c r="BF368" s="90">
        <f>Sheet1!CN370*GPMtoMGD</f>
        <v>0.48844799999999999</v>
      </c>
      <c r="BG368" s="90">
        <f>Sheet1!CO370*GPMtoMGD</f>
        <v>0.40449599999999997</v>
      </c>
      <c r="BH368" s="90">
        <f>Sheet1!CP370*GPMtoMGD</f>
        <v>0.76046400000000003</v>
      </c>
      <c r="BI368" s="90">
        <f t="shared" si="45"/>
        <v>0.22233600000000003</v>
      </c>
      <c r="BK368" s="95">
        <f>SUM(AT368:BA368,BE368,Sheet1!BV370,'Calculations II'!BC368,Calculation!AQ368)</f>
        <v>47.592470095238099</v>
      </c>
      <c r="BM368" s="373">
        <f>0</f>
        <v>0</v>
      </c>
      <c r="BN368" s="373">
        <f>0</f>
        <v>0</v>
      </c>
      <c r="BP368" s="95">
        <f>SUM(BM368:BN368,W368,Sheet1!DX370)</f>
        <v>0</v>
      </c>
    </row>
    <row r="369" spans="1:68" s="90" customFormat="1">
      <c r="A369" s="651" t="s">
        <v>6</v>
      </c>
      <c r="B369" s="92">
        <v>41997</v>
      </c>
      <c r="C369" s="93">
        <v>0</v>
      </c>
      <c r="D369" s="95">
        <f>(Sheet1!BQ371-Sheet1!BQ370)*1.385</f>
        <v>-1.7589499999999993</v>
      </c>
      <c r="E369" s="30">
        <f>(Sheet1!BR371-Sheet1!BR370)*1.385</f>
        <v>-1.7866500000000012</v>
      </c>
      <c r="F369" s="30">
        <f ca="1">IF(B369=TODAY(),0,-(VLOOKUP(Sheet1!CD371,Lookup!$I$4:$J$216,2)-VLOOKUP(Sheet1!CD370,Lookup!$I$4:$J$216,2))/1000000)</f>
        <v>-0.10363693854779936</v>
      </c>
      <c r="G369" s="95">
        <f ca="1">IF(B369=TODAY(),0,-$G$6*(Sheet1!CF371-Sheet1!CF370)*7.48/1000000)</f>
        <v>-0.99283752631398237</v>
      </c>
      <c r="H369" s="95">
        <f ca="1">IF(B369=TODAY(),0,-$H$6*(Sheet1!CE371-Sheet1!CE370)*7.48/1000000)</f>
        <v>3.0078864702530014E-2</v>
      </c>
      <c r="I369" s="95">
        <f ca="1">IF(B369=TODAY(),0,-$I$6*(Sheet1!CG371-Sheet1!CG370)*7.48/1000000)</f>
        <v>-0.22237815600000002</v>
      </c>
      <c r="J369" s="96" t="s">
        <v>186</v>
      </c>
      <c r="K369" s="95">
        <f ca="1">IF(B369=TODAY(),0,-$K$6*(Sheet1!CH371-Sheet1!CH370)*7.48/1000000)</f>
        <v>-0.38314092153136042</v>
      </c>
      <c r="L369" s="96" t="s">
        <v>186</v>
      </c>
      <c r="M369" s="95">
        <f ca="1">IF(B369=TODAY(),0,-$M$6*(Sheet1!CI371-Sheet1!CI370)*7.48/1000000)</f>
        <v>-1.0704947514676091</v>
      </c>
      <c r="N369" s="95">
        <f ca="1">IF(B369=TODAY(),0,-$N$6*(Sheet1!CJ371-Sheet1!CJ370)*7.48/1000000)</f>
        <v>-3.7231407236773539E-2</v>
      </c>
      <c r="O369" s="95">
        <f t="shared" ca="1" si="42"/>
        <v>-2.7796408363949947</v>
      </c>
      <c r="P369" s="95">
        <f ca="1">O369+Calculation!ES369</f>
        <v>0.67444084643491031</v>
      </c>
      <c r="Q369" s="90" t="str">
        <f>IF(Sheet1!BQ371&gt;25.75,"spill elevation","-")</f>
        <v>-</v>
      </c>
      <c r="R369" s="90" t="str">
        <f>IF(Sheet1!BQ371&gt;25.75,"spill elevation","-")</f>
        <v>-</v>
      </c>
      <c r="S369" s="90" t="str">
        <f>IF(Sheet1!BR371&gt;25.75,"spill elevation","-")</f>
        <v>-</v>
      </c>
      <c r="T369" s="94">
        <f>IF(Sheet1!DU371=1,Sheet1!AA371-(SUM(AT369:BA369)+BE369),Sheet1!AA371-SUM(AT369:BA369))</f>
        <v>27.567616000000001</v>
      </c>
      <c r="U369" s="94">
        <f>Sheet1!BV371</f>
        <v>35.4</v>
      </c>
      <c r="V369" s="94">
        <f t="shared" si="43"/>
        <v>-7.8323839999999976</v>
      </c>
      <c r="W369" s="94">
        <f>0</f>
        <v>0</v>
      </c>
      <c r="X369" s="90">
        <f>0</f>
        <v>0</v>
      </c>
      <c r="Y369" s="95">
        <f ca="1">Calculation!EJ370+Calculation!ES369+'Calculations II'!O369-'Calculations II'!W369</f>
        <v>52.632616846434907</v>
      </c>
      <c r="Z369" s="95">
        <f ca="1">Y369-Sheet1!CT372</f>
        <v>36.422616846434906</v>
      </c>
      <c r="AA369" s="95">
        <f ca="1">Y369+Calculation!DJ370+Calculation!AS370</f>
        <v>62.556804284121846</v>
      </c>
      <c r="AC369" s="95">
        <f>Sheet1!AA371+Sheet1!AB371+BC369</f>
        <v>53.537216000000001</v>
      </c>
      <c r="AD369" s="95">
        <f>Sheet1!AA371+Sheet1!BN371+'Calculations II'!BC369-Calculation!AS369-Calculation!DJ369</f>
        <v>33.691787703561118</v>
      </c>
      <c r="AE369" s="95">
        <f>Sheet1!AA371+Sheet1!AB371+'Calculations II'!BC369-Calculation!AS369-Calculation!DJ369</f>
        <v>43.591787703561117</v>
      </c>
      <c r="AF369" s="95">
        <f ca="1">Sheet1!AA371+Sheet1!BN371+P369+'Calculations II'!BC369+Calculation!AS369+Calculation!DJ369</f>
        <v>54.257085142873798</v>
      </c>
      <c r="AG369" s="95">
        <f ca="1">IF(B369=TODAY(),0,Sheet1!AA371+Sheet1!BN371+'Calculations II'!BC369+'Calculations II'!P369-Sheet1!CT371-BP369)</f>
        <v>26.151656846434914</v>
      </c>
      <c r="AH369" s="95">
        <f ca="1">IF(B369=TODAY(),0,Sheet1!AA371+Sheet1!BN371+'Calculations II'!BC369+'Calculations II'!P369-BP369)</f>
        <v>44.311656846434914</v>
      </c>
      <c r="AI369" s="95">
        <f ca="1">IF(B369=TODAY(),0,BC369+Sheet1!AA371+Calculation!ES369+O369+W369+Sheet1!BN371+Calculation!AS369+Calculation!DJ369-BP369)</f>
        <v>54.257085142873798</v>
      </c>
      <c r="AJ369" s="95"/>
      <c r="AM369" s="91">
        <f t="shared" si="44"/>
        <v>41997</v>
      </c>
      <c r="AN369" s="95">
        <f>Sheet1!BU371</f>
        <v>28.7</v>
      </c>
      <c r="AO369" s="95">
        <f>Sheet1!AA371</f>
        <v>29.48</v>
      </c>
      <c r="AP369" s="95">
        <f t="shared" si="39"/>
        <v>-3.5456000000000003</v>
      </c>
      <c r="AQ369" s="1055">
        <f>((Sheet1!BV371-(Sheet1!BU371-AP369))/(Sheet1!BU371-AP369))</f>
        <v>9.7824199270598253E-2</v>
      </c>
      <c r="AR369" s="95">
        <f t="shared" si="40"/>
        <v>33.025599999999997</v>
      </c>
      <c r="AS369" s="95">
        <f t="shared" si="41"/>
        <v>32.245599999999996</v>
      </c>
      <c r="AT369" s="90">
        <f>Sheet1!BB371</f>
        <v>1</v>
      </c>
      <c r="AU369" s="90">
        <f>Sheet1!AS371*GPMtoMGD</f>
        <v>3.1392000000000003E-2</v>
      </c>
      <c r="AV369" s="95">
        <f>Sheet1!AT371</f>
        <v>0</v>
      </c>
      <c r="AW369" s="90">
        <f>Sheet1!AV371*GPMtoMGD</f>
        <v>0.37886400000000003</v>
      </c>
      <c r="AX369" s="90">
        <f>Sheet1!AW371*GPMtoMGD</f>
        <v>0.50212800000000002</v>
      </c>
      <c r="AY369" s="90">
        <f>Sheet1!AX371*GPMtoMGD</f>
        <v>0</v>
      </c>
      <c r="AZ369" s="90">
        <f>Sheet1!AY371*GPMtoMGD</f>
        <v>0</v>
      </c>
      <c r="BA369" s="90">
        <f>Sheet1!AZ371*GPMtoMGD</f>
        <v>0</v>
      </c>
      <c r="BB369" s="90">
        <f>Sheet1!BP371*GPMtoMGD</f>
        <v>0.97027200000000002</v>
      </c>
      <c r="BC369" s="90">
        <f>Sheet1!CS371*GPMtoMGD</f>
        <v>3.3572160000000002</v>
      </c>
      <c r="BD369" s="90">
        <f>Sheet1!BO371*GPMtoMGD</f>
        <v>0</v>
      </c>
      <c r="BE369" s="90">
        <f>Sheet1!BW371*GPMtoMGD</f>
        <v>1.5553440000000001</v>
      </c>
      <c r="BF369" s="90">
        <f>Sheet1!CN371*GPMtoMGD</f>
        <v>0.55339200000000011</v>
      </c>
      <c r="BG369" s="90">
        <f>Sheet1!CO371*GPMtoMGD</f>
        <v>0.44064000000000003</v>
      </c>
      <c r="BH369" s="90">
        <f>Sheet1!CP371*GPMtoMGD</f>
        <v>0.73756800000000011</v>
      </c>
      <c r="BI369" s="90">
        <f t="shared" si="45"/>
        <v>0.97027200000000002</v>
      </c>
      <c r="BK369" s="95">
        <f>SUM(AT369:BA369,BE369,Sheet1!BV371,'Calculations II'!BC369,Calculation!AQ369)</f>
        <v>52.983365559191533</v>
      </c>
      <c r="BM369" s="373">
        <f>0</f>
        <v>0</v>
      </c>
      <c r="BN369" s="373">
        <f>0</f>
        <v>0</v>
      </c>
      <c r="BP369" s="95">
        <f>SUM(BM369:BN369,W369,Sheet1!DX371)</f>
        <v>0</v>
      </c>
    </row>
    <row r="370" spans="1:68" s="90" customFormat="1">
      <c r="A370" s="651" t="s">
        <v>7</v>
      </c>
      <c r="B370" s="92">
        <v>41998</v>
      </c>
      <c r="C370" s="93">
        <v>0</v>
      </c>
      <c r="D370" s="95">
        <f>(Sheet1!BQ372-Sheet1!BQ371)*1.385</f>
        <v>2.0498000000000007</v>
      </c>
      <c r="E370" s="30">
        <f>(Sheet1!BR372-Sheet1!BR371)*1.385</f>
        <v>2.0497999999999981</v>
      </c>
      <c r="F370" s="30">
        <f ca="1">IF(B370=TODAY(),0,-(VLOOKUP(Sheet1!CD372,Lookup!$I$4:$J$216,2)-VLOOKUP(Sheet1!CD371,Lookup!$I$4:$J$216,2))/1000000)</f>
        <v>-0.10363693854779936</v>
      </c>
      <c r="G370" s="95">
        <f ca="1">IF(B370=TODAY(),0,-$G$6*(Sheet1!CF372-Sheet1!CF371)*7.48/1000000)</f>
        <v>0.15885400421023735</v>
      </c>
      <c r="H370" s="95">
        <f ca="1">IF(B370=TODAY(),0,-$H$6*(Sheet1!CE372-Sheet1!CE371)*7.48/1000000)</f>
        <v>-6.0157729405060562E-2</v>
      </c>
      <c r="I370" s="95">
        <f ca="1">IF(B370=TODAY(),0,-$I$6*(Sheet1!CG372-Sheet1!CG371)*7.48/1000000)</f>
        <v>0.24484059600000002</v>
      </c>
      <c r="J370" s="96" t="s">
        <v>186</v>
      </c>
      <c r="K370" s="95">
        <f ca="1">IF(B370=TODAY(),0,-$K$6*(Sheet1!CH372-Sheet1!CH371)*7.48/1000000)</f>
        <v>0.4231208437781111</v>
      </c>
      <c r="L370" s="96" t="s">
        <v>186</v>
      </c>
      <c r="M370" s="95">
        <f ca="1">IF(B370=TODAY(),0,-$M$6*(Sheet1!CI372-Sheet1!CI371)*7.48/1000000)</f>
        <v>1.1424607851797175</v>
      </c>
      <c r="N370" s="95">
        <f ca="1">IF(B370=TODAY(),0,-$N$6*(Sheet1!CJ372-Sheet1!CJ371)*7.48/1000000)</f>
        <v>0.1054889871708606</v>
      </c>
      <c r="O370" s="95">
        <f t="shared" ca="1" si="42"/>
        <v>1.9109705483860666</v>
      </c>
      <c r="P370" s="95">
        <f ca="1">O370+Calculation!ES370</f>
        <v>-2.0959485597651342</v>
      </c>
      <c r="Q370" s="90" t="str">
        <f>IF(Sheet1!BQ372&gt;25.75,"spill elevation","-")</f>
        <v>-</v>
      </c>
      <c r="R370" s="90" t="str">
        <f>IF(Sheet1!BQ372&gt;25.75,"spill elevation","-")</f>
        <v>-</v>
      </c>
      <c r="S370" s="90" t="str">
        <f>IF(Sheet1!BR372&gt;25.75,"spill elevation","-")</f>
        <v>-</v>
      </c>
      <c r="T370" s="94">
        <f>IF(Sheet1!DU372=1,Sheet1!AA372-(SUM(AT370:BA370)+BE370),Sheet1!AA372-SUM(AT370:BA370))</f>
        <v>28.221712</v>
      </c>
      <c r="U370" s="94">
        <f>Sheet1!BV372</f>
        <v>28.8</v>
      </c>
      <c r="V370" s="94">
        <f t="shared" si="43"/>
        <v>-0.57828800000000058</v>
      </c>
      <c r="W370" s="94">
        <f>0</f>
        <v>0</v>
      </c>
      <c r="X370" s="90">
        <f>0</f>
        <v>0</v>
      </c>
      <c r="Y370" s="95">
        <f ca="1">Calculation!EJ371+Calculation!ES370+'Calculations II'!O370-'Calculations II'!W370</f>
        <v>43.584051440234866</v>
      </c>
      <c r="Z370" s="95">
        <f ca="1">Y370-Sheet1!CT373</f>
        <v>27.504051440234868</v>
      </c>
      <c r="AA370" s="95">
        <f ca="1">Y370+Calculation!DJ371+Calculation!AS371</f>
        <v>53.48086672685907</v>
      </c>
      <c r="AC370" s="95">
        <f>Sheet1!AA372+Sheet1!AB372+BC370</f>
        <v>51.958176000000002</v>
      </c>
      <c r="AD370" s="95">
        <f>Sheet1!AA372+Sheet1!BN372+'Calculations II'!BC370-Calculation!AS370-Calculation!DJ370</f>
        <v>32.15398856231306</v>
      </c>
      <c r="AE370" s="95">
        <f>Sheet1!AA372+Sheet1!AB372+'Calculations II'!BC370-Calculation!AS370-Calculation!DJ370</f>
        <v>42.03398856231307</v>
      </c>
      <c r="AF370" s="95">
        <f ca="1">Sheet1!AA372+Sheet1!BN372+P370+'Calculations II'!BC370+Calculation!AS370+Calculation!DJ370</f>
        <v>49.906414877921804</v>
      </c>
      <c r="AG370" s="95">
        <f ca="1">IF(B370=TODAY(),0,Sheet1!AA372+Sheet1!BN372+'Calculations II'!BC370+'Calculations II'!P370-Sheet1!CT372-BP370)</f>
        <v>23.772227440234865</v>
      </c>
      <c r="AH370" s="95">
        <f ca="1">IF(B370=TODAY(),0,Sheet1!AA372+Sheet1!BN372+'Calculations II'!BC370+'Calculations II'!P370-BP370)</f>
        <v>39.982227440234865</v>
      </c>
      <c r="AI370" s="95">
        <f ca="1">IF(B370=TODAY(),0,BC370+Sheet1!AA372+Calculation!ES370+O370+W370+Sheet1!BN372+Calculation!AS370+Calculation!DJ370-BP370)</f>
        <v>49.906414877921804</v>
      </c>
      <c r="AJ370" s="95"/>
      <c r="AM370" s="91">
        <f t="shared" si="44"/>
        <v>41998</v>
      </c>
      <c r="AN370" s="95">
        <f>Sheet1!BU372</f>
        <v>29.6</v>
      </c>
      <c r="AO370" s="95">
        <f>Sheet1!AA372</f>
        <v>30.12</v>
      </c>
      <c r="AP370" s="95">
        <f t="shared" si="39"/>
        <v>4.0995999999999988</v>
      </c>
      <c r="AQ370" s="1055">
        <f>((Sheet1!BV372-(Sheet1!BU372-AP370))/(Sheet1!BU372-AP370))</f>
        <v>0.12939404872080429</v>
      </c>
      <c r="AR370" s="95">
        <f t="shared" si="40"/>
        <v>26.020400000000002</v>
      </c>
      <c r="AS370" s="95">
        <f t="shared" si="41"/>
        <v>25.500400000000003</v>
      </c>
      <c r="AT370" s="90">
        <f>Sheet1!BB372</f>
        <v>0.98</v>
      </c>
      <c r="AU370" s="90">
        <f>Sheet1!AS372*GPMtoMGD</f>
        <v>1.6704E-2</v>
      </c>
      <c r="AV370" s="95">
        <f>Sheet1!AT372</f>
        <v>0</v>
      </c>
      <c r="AW370" s="90">
        <f>Sheet1!AV372*GPMtoMGD</f>
        <v>0.35510400000000003</v>
      </c>
      <c r="AX370" s="90">
        <f>Sheet1!AW372*GPMtoMGD</f>
        <v>0.54648000000000008</v>
      </c>
      <c r="AY370" s="90">
        <f>Sheet1!AX372*GPMtoMGD</f>
        <v>0</v>
      </c>
      <c r="AZ370" s="90">
        <f>Sheet1!AY372*GPMtoMGD</f>
        <v>0</v>
      </c>
      <c r="BA370" s="90">
        <f>Sheet1!AZ372*GPMtoMGD</f>
        <v>0</v>
      </c>
      <c r="BB370" s="90">
        <f>Sheet1!BP372*GPMtoMGD</f>
        <v>5.428800000000001E-2</v>
      </c>
      <c r="BC370" s="90">
        <f>Sheet1!CS372*GPMtoMGD</f>
        <v>1.8581760000000003</v>
      </c>
      <c r="BD370" s="90">
        <f>Sheet1!BO372*GPMtoMGD</f>
        <v>0</v>
      </c>
      <c r="BE370" s="90">
        <f>Sheet1!BW372*GPMtoMGD</f>
        <v>0.95990400000000009</v>
      </c>
      <c r="BF370" s="90">
        <f>Sheet1!CN372*GPMtoMGD</f>
        <v>0.44481599999999999</v>
      </c>
      <c r="BG370" s="90">
        <f>Sheet1!CO372*GPMtoMGD</f>
        <v>0.40219200000000005</v>
      </c>
      <c r="BH370" s="90">
        <f>Sheet1!CP372*GPMtoMGD</f>
        <v>0.68615999999999999</v>
      </c>
      <c r="BI370" s="90">
        <f t="shared" si="45"/>
        <v>5.428800000000001E-2</v>
      </c>
      <c r="BK370" s="95">
        <f>SUM(AT370:BA370,BE370,Sheet1!BV372,'Calculations II'!BC370,Calculation!AQ370)</f>
        <v>43.576088837487532</v>
      </c>
      <c r="BM370" s="373">
        <f>0</f>
        <v>0</v>
      </c>
      <c r="BN370" s="373">
        <f>0</f>
        <v>0</v>
      </c>
      <c r="BP370" s="95">
        <f>SUM(BM370:BN370,W370,Sheet1!DX372)</f>
        <v>0</v>
      </c>
    </row>
    <row r="371" spans="1:68" s="90" customFormat="1">
      <c r="A371" s="651" t="s">
        <v>8</v>
      </c>
      <c r="B371" s="92">
        <v>41999</v>
      </c>
      <c r="C371" s="93">
        <v>0</v>
      </c>
      <c r="D371" s="95">
        <f>(Sheet1!BQ373-Sheet1!BQ372)*1.385</f>
        <v>-2.9223500000000016</v>
      </c>
      <c r="E371" s="30">
        <f>(Sheet1!BR373-Sheet1!BR372)*1.385</f>
        <v>-2.9638999999999984</v>
      </c>
      <c r="F371" s="30">
        <f ca="1">IF(B371=TODAY(),0,-(VLOOKUP(Sheet1!CD373,Lookup!$I$4:$J$216,2)-VLOOKUP(Sheet1!CD372,Lookup!$I$4:$J$216,2))/1000000)</f>
        <v>1.1400063240257985</v>
      </c>
      <c r="G371" s="95">
        <f ca="1">IF(B371=TODAY(),0,-$G$6*(Sheet1!CF373-Sheet1!CF372)*7.48/1000000)</f>
        <v>0.19856750526279648</v>
      </c>
      <c r="H371" s="95">
        <f ca="1">IF(B371=TODAY(),0,-$H$6*(Sheet1!CE373-Sheet1!CE372)*7.48/1000000)</f>
        <v>9.0236594107590579E-2</v>
      </c>
      <c r="I371" s="95">
        <f ca="1">IF(B371=TODAY(),0,-$I$6*(Sheet1!CG373-Sheet1!CG372)*7.48/1000000)</f>
        <v>-0.19766947200000001</v>
      </c>
      <c r="J371" s="96" t="s">
        <v>186</v>
      </c>
      <c r="K371" s="95">
        <f ca="1">IF(B371=TODAY(),0,-$K$6*(Sheet1!CH373-Sheet1!CH372)*7.48/1000000)</f>
        <v>-0.34649265947183905</v>
      </c>
      <c r="L371" s="96" t="s">
        <v>186</v>
      </c>
      <c r="M371" s="95">
        <f ca="1">IF(B371=TODAY(),0,-$M$6*(Sheet1!CI373-Sheet1!CI372)*7.48/1000000)</f>
        <v>-0.93555843825740659</v>
      </c>
      <c r="N371" s="95">
        <f ca="1">IF(B371=TODAY(),0,-$N$6*(Sheet1!CJ373-Sheet1!CJ372)*7.48/1000000)</f>
        <v>0.3164669615125818</v>
      </c>
      <c r="O371" s="95">
        <f t="shared" ca="1" si="42"/>
        <v>0.26555681517952168</v>
      </c>
      <c r="P371" s="95">
        <f ca="1">O371+Calculation!ES371</f>
        <v>6.0677958128128928</v>
      </c>
      <c r="Q371" s="90" t="str">
        <f>IF(Sheet1!BQ373&gt;25.75,"spill elevation","-")</f>
        <v>-</v>
      </c>
      <c r="R371" s="90" t="str">
        <f>IF(Sheet1!BQ373&gt;25.75,"spill elevation","-")</f>
        <v>-</v>
      </c>
      <c r="S371" s="90" t="str">
        <f>IF(Sheet1!BR373&gt;25.75,"spill elevation","-")</f>
        <v>-</v>
      </c>
      <c r="T371" s="94">
        <f>IF(Sheet1!DU373=1,Sheet1!AA373-(SUM(AT371:BA371)+BE371),Sheet1!AA373-SUM(AT371:BA371))</f>
        <v>28.241423999999999</v>
      </c>
      <c r="U371" s="94">
        <f>Sheet1!BV373</f>
        <v>38.700000000000003</v>
      </c>
      <c r="V371" s="94">
        <f t="shared" si="43"/>
        <v>-10.458576000000004</v>
      </c>
      <c r="W371" s="94">
        <f>0</f>
        <v>0</v>
      </c>
      <c r="X371" s="90">
        <f>0</f>
        <v>0</v>
      </c>
      <c r="Y371" s="95">
        <f ca="1">Calculation!EJ372+Calculation!ES371+'Calculations II'!O371-'Calculations II'!W371</f>
        <v>57.539251812812893</v>
      </c>
      <c r="Z371" s="95">
        <f ca="1">Y371-Sheet1!CT374</f>
        <v>40.472251812812893</v>
      </c>
      <c r="AA371" s="95">
        <f ca="1">Y371+Calculation!DJ372+Calculation!AS372</f>
        <v>67.535293640853169</v>
      </c>
      <c r="AC371" s="95">
        <f>Sheet1!AA373+Sheet1!AB373+BC371</f>
        <v>45.68</v>
      </c>
      <c r="AD371" s="95">
        <f>Sheet1!AA373+Sheet1!BN373+'Calculations II'!BC371-Calculation!AS371-Calculation!DJ371</f>
        <v>25.963184713375796</v>
      </c>
      <c r="AE371" s="95">
        <f>Sheet1!AA373+Sheet1!AB373+'Calculations II'!BC371-Calculation!AS371-Calculation!DJ371</f>
        <v>35.783184713375796</v>
      </c>
      <c r="AF371" s="95">
        <f ca="1">Sheet1!AA373+Sheet1!BN373+P371+'Calculations II'!BC371+Calculation!AS371+Calculation!DJ371</f>
        <v>51.824611099437092</v>
      </c>
      <c r="AG371" s="95">
        <f ca="1">IF(B371=TODAY(),0,Sheet1!AA373+Sheet1!BN373+'Calculations II'!BC371+'Calculations II'!P371-Sheet1!CT373-BP371)</f>
        <v>25.84779581281289</v>
      </c>
      <c r="AH371" s="95">
        <f ca="1">IF(B371=TODAY(),0,Sheet1!AA373+Sheet1!BN373+'Calculations II'!BC371+'Calculations II'!P371-BP371)</f>
        <v>41.927795812812889</v>
      </c>
      <c r="AI371" s="95">
        <f ca="1">IF(B371=TODAY(),0,BC371+Sheet1!AA373+Calculation!ES371+O371+W371+Sheet1!BN373+Calculation!AS371+Calculation!DJ371-BP371)</f>
        <v>51.824611099437099</v>
      </c>
      <c r="AJ371" s="95"/>
      <c r="AM371" s="91">
        <f t="shared" si="44"/>
        <v>41999</v>
      </c>
      <c r="AN371" s="95">
        <f>Sheet1!BU373</f>
        <v>29.3</v>
      </c>
      <c r="AO371" s="95">
        <f>Sheet1!AA373</f>
        <v>30.16</v>
      </c>
      <c r="AP371" s="95">
        <f t="shared" si="39"/>
        <v>-5.8862500000000004</v>
      </c>
      <c r="AQ371" s="1055">
        <f>((Sheet1!BV373-(Sheet1!BU373-AP371))/(Sheet1!BU373-AP371))</f>
        <v>9.9861451561334372E-2</v>
      </c>
      <c r="AR371" s="95">
        <f t="shared" si="40"/>
        <v>36.046250000000001</v>
      </c>
      <c r="AS371" s="95">
        <f t="shared" si="41"/>
        <v>35.186250000000001</v>
      </c>
      <c r="AT371" s="90">
        <f>Sheet1!BB373</f>
        <v>1</v>
      </c>
      <c r="AU371" s="90">
        <f>Sheet1!AS373*GPMtoMGD</f>
        <v>3.0960000000000001E-2</v>
      </c>
      <c r="AV371" s="95">
        <f>Sheet1!AT373</f>
        <v>0</v>
      </c>
      <c r="AW371" s="90">
        <f>Sheet1!AV373*GPMtoMGD</f>
        <v>0.36446400000000001</v>
      </c>
      <c r="AX371" s="90">
        <f>Sheet1!AW373*GPMtoMGD</f>
        <v>0.52315200000000006</v>
      </c>
      <c r="AY371" s="90">
        <f>Sheet1!AX373*GPMtoMGD</f>
        <v>0</v>
      </c>
      <c r="AZ371" s="90">
        <f>Sheet1!AY373*GPMtoMGD</f>
        <v>0</v>
      </c>
      <c r="BA371" s="90">
        <f>Sheet1!AZ373*GPMtoMGD</f>
        <v>0</v>
      </c>
      <c r="BB371" s="90">
        <f>Sheet1!BP373*GPMtoMGD</f>
        <v>0.81777600000000006</v>
      </c>
      <c r="BC371" s="90">
        <f>Sheet1!CS373*GPMtoMGD</f>
        <v>0</v>
      </c>
      <c r="BD371" s="90">
        <f>Sheet1!BO373*GPMtoMGD</f>
        <v>0.19440000000000002</v>
      </c>
      <c r="BE371" s="90">
        <f>Sheet1!BW373*GPMtoMGD</f>
        <v>0.66787200000000002</v>
      </c>
      <c r="BF371" s="90">
        <f>Sheet1!CN373*GPMtoMGD</f>
        <v>0.53913599999999995</v>
      </c>
      <c r="BG371" s="90">
        <f>Sheet1!CO373*GPMtoMGD</f>
        <v>0.43070400000000009</v>
      </c>
      <c r="BH371" s="90">
        <f>Sheet1!CP373*GPMtoMGD</f>
        <v>0.74664000000000008</v>
      </c>
      <c r="BI371" s="90">
        <f t="shared" si="45"/>
        <v>1.0121760000000002</v>
      </c>
      <c r="BK371" s="95">
        <f>SUM(AT371:BA371,BE371,Sheet1!BV373,'Calculations II'!BC371,Calculation!AQ371)</f>
        <v>46.921097681528664</v>
      </c>
      <c r="BM371" s="373">
        <f>0</f>
        <v>0</v>
      </c>
      <c r="BN371" s="373">
        <f>0</f>
        <v>0</v>
      </c>
      <c r="BP371" s="95">
        <f>SUM(BM371:BN371,W371,Sheet1!DX373)</f>
        <v>0</v>
      </c>
    </row>
    <row r="372" spans="1:68" s="90" customFormat="1">
      <c r="A372" s="651" t="s">
        <v>9</v>
      </c>
      <c r="B372" s="92">
        <v>42000</v>
      </c>
      <c r="C372" s="93">
        <v>0</v>
      </c>
      <c r="D372" s="95">
        <f>(Sheet1!BQ374-Sheet1!BQ373)*1.385</f>
        <v>-0.20774999999999802</v>
      </c>
      <c r="E372" s="30">
        <f>(Sheet1!BR374-Sheet1!BR373)*1.385</f>
        <v>-0.18004999999999863</v>
      </c>
      <c r="F372" s="30">
        <f ca="1">IF(B372=TODAY(),0,-(VLOOKUP(Sheet1!CD374,Lookup!$I$4:$J$216,2)-VLOOKUP(Sheet1!CD373,Lookup!$I$4:$J$216,2))/1000000)</f>
        <v>-0.41454775419119744</v>
      </c>
      <c r="G372" s="95">
        <f ca="1">IF(B372=TODAY(),0,-$G$6*(Sheet1!CF374-Sheet1!CF373)*7.48/1000000)</f>
        <v>0.27799450736791476</v>
      </c>
      <c r="H372" s="95">
        <f ca="1">IF(B372=TODAY(),0,-$H$6*(Sheet1!CE374-Sheet1!CE373)*7.48/1000000)</f>
        <v>9.0236594107590579E-2</v>
      </c>
      <c r="I372" s="95">
        <f ca="1">IF(B372=TODAY(),0,-$I$6*(Sheet1!CG374-Sheet1!CG373)*7.48/1000000)</f>
        <v>0.13028215199999998</v>
      </c>
      <c r="J372" s="96" t="s">
        <v>186</v>
      </c>
      <c r="K372" s="95">
        <f ca="1">IF(B372=TODAY(),0,-$K$6*(Sheet1!CH374-Sheet1!CH373)*7.48/1000000)</f>
        <v>0.22988455291881618</v>
      </c>
      <c r="L372" s="96" t="s">
        <v>186</v>
      </c>
      <c r="M372" s="95">
        <f ca="1">IF(B372=TODAY(),0,-$M$6*(Sheet1!CI374-Sheet1!CI373)*7.48/1000000)</f>
        <v>0.59371977812489274</v>
      </c>
      <c r="N372" s="95">
        <f ca="1">IF(B372=TODAY(),0,-$N$6*(Sheet1!CJ374-Sheet1!CJ373)*7.48/1000000)</f>
        <v>-0.32887743059150631</v>
      </c>
      <c r="O372" s="95">
        <f t="shared" ca="1" si="42"/>
        <v>0.57869239973651054</v>
      </c>
      <c r="P372" s="95">
        <f ca="1">O372+Calculation!ES372</f>
        <v>0.99293004377603344</v>
      </c>
      <c r="Q372" s="90" t="str">
        <f>IF(Sheet1!BQ374&gt;25.75,"spill elevation","-")</f>
        <v>-</v>
      </c>
      <c r="R372" s="90" t="str">
        <f>IF(Sheet1!BQ374&gt;25.75,"spill elevation","-")</f>
        <v>-</v>
      </c>
      <c r="S372" s="90" t="str">
        <f>IF(Sheet1!BR374&gt;25.75,"spill elevation","-")</f>
        <v>-</v>
      </c>
      <c r="T372" s="94">
        <f>IF(Sheet1!DU374=1,Sheet1!AA374-(SUM(AT372:BA372)+BE372),Sheet1!AA374-SUM(AT372:BA372))</f>
        <v>27.960672000000002</v>
      </c>
      <c r="U372" s="94">
        <f>Sheet1!BV374</f>
        <v>33</v>
      </c>
      <c r="V372" s="94">
        <f t="shared" si="43"/>
        <v>-5.0393279999999976</v>
      </c>
      <c r="W372" s="94">
        <f>0</f>
        <v>0</v>
      </c>
      <c r="X372" s="90">
        <f>0</f>
        <v>0</v>
      </c>
      <c r="Y372" s="95">
        <f ca="1">Calculation!EJ373+Calculation!ES372+'Calculations II'!O372-'Calculations II'!W372</f>
        <v>49.832498043776035</v>
      </c>
      <c r="Z372" s="95">
        <f ca="1">Y372-Sheet1!CT375</f>
        <v>31.759498043776034</v>
      </c>
      <c r="AA372" s="95">
        <f ca="1">Y372+Calculation!DJ373+Calculation!AS373</f>
        <v>59.772050282582001</v>
      </c>
      <c r="AC372" s="95">
        <f>Sheet1!AA374+Sheet1!AB374+BC372</f>
        <v>51.471455999999996</v>
      </c>
      <c r="AD372" s="95">
        <f>Sheet1!AA374+Sheet1!BN374+'Calculations II'!BC372-Calculation!AS372-Calculation!DJ372</f>
        <v>31.485414171959722</v>
      </c>
      <c r="AE372" s="95">
        <f>Sheet1!AA374+Sheet1!AB374+'Calculations II'!BC372-Calculation!AS372-Calculation!DJ372</f>
        <v>41.475414171959713</v>
      </c>
      <c r="AF372" s="95">
        <f ca="1">Sheet1!AA374+Sheet1!BN374+P372+'Calculations II'!BC372+Calculation!AS372+Calculation!DJ372</f>
        <v>52.470427871816312</v>
      </c>
      <c r="AG372" s="95">
        <f ca="1">IF(B372=TODAY(),0,Sheet1!AA374+Sheet1!BN374+'Calculations II'!BC372+'Calculations II'!P372-Sheet1!CT374-BP372)</f>
        <v>25.407386043776036</v>
      </c>
      <c r="AH372" s="95">
        <f ca="1">IF(B372=TODAY(),0,Sheet1!AA374+Sheet1!BN374+'Calculations II'!BC372+'Calculations II'!P372-BP372)</f>
        <v>42.474386043776036</v>
      </c>
      <c r="AI372" s="95">
        <f ca="1">IF(B372=TODAY(),0,BC372+Sheet1!AA374+Calculation!ES372+O372+W372+Sheet1!BN374+Calculation!AS372+Calculation!DJ372-BP372)</f>
        <v>52.470427871816312</v>
      </c>
      <c r="AJ372" s="95"/>
      <c r="AM372" s="91">
        <f t="shared" si="44"/>
        <v>42000</v>
      </c>
      <c r="AN372" s="95">
        <f>Sheet1!BU374</f>
        <v>29.5</v>
      </c>
      <c r="AO372" s="95">
        <f>Sheet1!AA374</f>
        <v>30.19</v>
      </c>
      <c r="AP372" s="95">
        <f t="shared" si="39"/>
        <v>-0.38779999999999665</v>
      </c>
      <c r="AQ372" s="1055">
        <f>((Sheet1!BV374-(Sheet1!BU374-AP372))/(Sheet1!BU374-AP372))</f>
        <v>0.10412944412101277</v>
      </c>
      <c r="AR372" s="95">
        <f t="shared" si="40"/>
        <v>30.577799999999996</v>
      </c>
      <c r="AS372" s="95">
        <f t="shared" si="41"/>
        <v>29.887799999999995</v>
      </c>
      <c r="AT372" s="90">
        <f>Sheet1!BB374</f>
        <v>1</v>
      </c>
      <c r="AU372" s="90">
        <f>Sheet1!AS374*GPMtoMGD</f>
        <v>2.4480000000000002E-2</v>
      </c>
      <c r="AV372" s="95">
        <f>Sheet1!AT374</f>
        <v>0</v>
      </c>
      <c r="AW372" s="90">
        <f>Sheet1!AV374*GPMtoMGD</f>
        <v>0.54547200000000007</v>
      </c>
      <c r="AX372" s="90">
        <f>Sheet1!AW374*GPMtoMGD</f>
        <v>0.65937599999999996</v>
      </c>
      <c r="AY372" s="90">
        <f>Sheet1!AX374*GPMtoMGD</f>
        <v>0</v>
      </c>
      <c r="AZ372" s="90">
        <f>Sheet1!AY374*GPMtoMGD</f>
        <v>0</v>
      </c>
      <c r="BA372" s="90">
        <f>Sheet1!AZ374*GPMtoMGD</f>
        <v>0</v>
      </c>
      <c r="BB372" s="90">
        <f>Sheet1!BP374*GPMtoMGD</f>
        <v>0.27806400000000003</v>
      </c>
      <c r="BC372" s="90">
        <f>Sheet1!CS374*GPMtoMGD</f>
        <v>8.3914559999999998</v>
      </c>
      <c r="BD372" s="90">
        <f>Sheet1!BO374*GPMtoMGD</f>
        <v>0</v>
      </c>
      <c r="BE372" s="90">
        <f>Sheet1!BW374*GPMtoMGD</f>
        <v>1.0033920000000001</v>
      </c>
      <c r="BF372" s="90">
        <f>Sheet1!CN374*GPMtoMGD</f>
        <v>0.523872</v>
      </c>
      <c r="BG372" s="90">
        <f>Sheet1!CO374*GPMtoMGD</f>
        <v>0.43632000000000004</v>
      </c>
      <c r="BH372" s="90">
        <f>Sheet1!CP374*GPMtoMGD</f>
        <v>0.72691200000000011</v>
      </c>
      <c r="BI372" s="90">
        <f t="shared" si="45"/>
        <v>0.27806400000000003</v>
      </c>
      <c r="BK372" s="95">
        <f>SUM(AT372:BA372,BE372,Sheet1!BV374,'Calculations II'!BC372,Calculation!AQ372)</f>
        <v>47.519683358636712</v>
      </c>
      <c r="BM372" s="373">
        <f>0</f>
        <v>0</v>
      </c>
      <c r="BN372" s="373">
        <f>0</f>
        <v>0</v>
      </c>
      <c r="BP372" s="95">
        <f>SUM(BM372:BN372,W372,Sheet1!DX374)</f>
        <v>0</v>
      </c>
    </row>
    <row r="373" spans="1:68" s="90" customFormat="1">
      <c r="A373" s="651" t="s">
        <v>3</v>
      </c>
      <c r="B373" s="92">
        <v>42001</v>
      </c>
      <c r="C373" s="93">
        <v>0</v>
      </c>
      <c r="D373" s="95">
        <f>(Sheet1!BQ375-Sheet1!BQ374)*1.385</f>
        <v>-1.8974500000000014</v>
      </c>
      <c r="E373" s="30">
        <f>(Sheet1!BR375-Sheet1!BR374)*1.385</f>
        <v>-1.869750000000002</v>
      </c>
      <c r="F373" s="30">
        <f ca="1">IF(B373=TODAY(),0,-(VLOOKUP(Sheet1!CD375,Lookup!$I$4:$J$216,2)-VLOOKUP(Sheet1!CD374,Lookup!$I$4:$J$216,2))/1000000)</f>
        <v>0.82909550838240054</v>
      </c>
      <c r="G373" s="95">
        <f ca="1">IF(B373=TODAY(),0,-$G$6*(Sheet1!CF375-Sheet1!CF374)*7.48/1000000)</f>
        <v>0.15885400421023735</v>
      </c>
      <c r="H373" s="95">
        <f ca="1">IF(B373=TODAY(),0,-$H$6*(Sheet1!CE375-Sheet1!CE374)*7.48/1000000)</f>
        <v>-0.12031545881012057</v>
      </c>
      <c r="I373" s="95">
        <f ca="1">IF(B373=TODAY(),0,-$I$6*(Sheet1!CG375-Sheet1!CG374)*7.48/1000000)</f>
        <v>2.2462440000000004E-2</v>
      </c>
      <c r="J373" s="96" t="s">
        <v>186</v>
      </c>
      <c r="K373" s="95">
        <f ca="1">IF(B373=TODAY(),0,-$K$6*(Sheet1!CH375-Sheet1!CH374)*7.48/1000000)</f>
        <v>3.6648262059521486E-2</v>
      </c>
      <c r="L373" s="96" t="s">
        <v>186</v>
      </c>
      <c r="M373" s="95">
        <f ca="1">IF(B373=TODAY(),0,-$M$6*(Sheet1!CI375-Sheet1!CI374)*7.48/1000000)</f>
        <v>0.14393206742421652</v>
      </c>
      <c r="N373" s="95">
        <f ca="1">IF(B373=TODAY(),0,-$N$6*(Sheet1!CJ375-Sheet1!CJ374)*7.48/1000000)</f>
        <v>0.4343664177623669</v>
      </c>
      <c r="O373" s="95">
        <f t="shared" ca="1" si="42"/>
        <v>1.5050432410286221</v>
      </c>
      <c r="P373" s="95">
        <f ca="1">O373+Calculation!ES373</f>
        <v>5.2318064300360358</v>
      </c>
      <c r="Q373" s="90" t="str">
        <f>IF(Sheet1!BQ375&gt;25.75,"spill elevation","-")</f>
        <v>-</v>
      </c>
      <c r="R373" s="90" t="str">
        <f>IF(Sheet1!BQ375&gt;25.75,"spill elevation","-")</f>
        <v>-</v>
      </c>
      <c r="S373" s="90" t="str">
        <f>IF(Sheet1!BR375&gt;25.75,"spill elevation","-")</f>
        <v>-</v>
      </c>
      <c r="T373" s="94">
        <f>IF(Sheet1!DU375=1,Sheet1!AA375-(SUM(AT373:BA373)+BE373),Sheet1!AA375-SUM(AT373:BA373))</f>
        <v>27.833711999999998</v>
      </c>
      <c r="U373" s="94">
        <f>Sheet1!BV375</f>
        <v>36</v>
      </c>
      <c r="V373" s="94">
        <f t="shared" si="43"/>
        <v>-8.1662880000000015</v>
      </c>
      <c r="W373" s="94">
        <f>0</f>
        <v>0</v>
      </c>
      <c r="X373" s="90">
        <f>0</f>
        <v>0</v>
      </c>
      <c r="Y373" s="95">
        <f ca="1">Calculation!EJ374+Calculation!ES373+'Calculations II'!O373-'Calculations II'!W373</f>
        <v>63.13107043003604</v>
      </c>
      <c r="Z373" s="95">
        <f ca="1">Y373-Sheet1!CT376</f>
        <v>44.657070430036043</v>
      </c>
      <c r="AA373" s="95">
        <f ca="1">Y373+Calculation!DJ374+Calculation!AS374</f>
        <v>73.03313210907659</v>
      </c>
      <c r="AC373" s="95">
        <f>Sheet1!AA375+Sheet1!AB375+BC373</f>
        <v>48.839568</v>
      </c>
      <c r="AD373" s="95">
        <f>Sheet1!AA375+Sheet1!BN375+'Calculations II'!BC373-Calculation!AS373-Calculation!DJ373</f>
        <v>28.990015761194034</v>
      </c>
      <c r="AE373" s="95">
        <f>Sheet1!AA375+Sheet1!AB375+'Calculations II'!BC373-Calculation!AS373-Calculation!DJ373</f>
        <v>38.900015761194027</v>
      </c>
      <c r="AF373" s="95">
        <f ca="1">Sheet1!AA375+Sheet1!BN375+P373+'Calculations II'!BC373+Calculation!AS373+Calculation!DJ373</f>
        <v>54.100926668842007</v>
      </c>
      <c r="AG373" s="95">
        <f ca="1">IF(B373=TODAY(),0,Sheet1!AA375+Sheet1!BN375+'Calculations II'!BC373+'Calculations II'!P373-Sheet1!CT375-BP373)</f>
        <v>26.088374430036041</v>
      </c>
      <c r="AH373" s="95">
        <f ca="1">IF(B373=TODAY(),0,Sheet1!AA375+Sheet1!BN375+'Calculations II'!BC373+'Calculations II'!P373-BP373)</f>
        <v>44.161374430036041</v>
      </c>
      <c r="AI373" s="95">
        <f ca="1">IF(B373=TODAY(),0,BC373+Sheet1!AA375+Calculation!ES373+O373+W373+Sheet1!BN375+Calculation!AS373+Calculation!DJ373-BP373)</f>
        <v>54.100926668842007</v>
      </c>
      <c r="AJ373" s="95"/>
      <c r="AM373" s="91">
        <f t="shared" si="44"/>
        <v>42001</v>
      </c>
      <c r="AN373" s="95">
        <f>Sheet1!BU375</f>
        <v>29.2</v>
      </c>
      <c r="AO373" s="95">
        <f>Sheet1!AA375</f>
        <v>30.13</v>
      </c>
      <c r="AP373" s="95">
        <f t="shared" si="39"/>
        <v>-3.7672000000000034</v>
      </c>
      <c r="AQ373" s="1055">
        <f>((Sheet1!BV375-(Sheet1!BU375-AP373))/(Sheet1!BU375-AP373))</f>
        <v>9.1994467228032534E-2</v>
      </c>
      <c r="AR373" s="95">
        <f t="shared" si="40"/>
        <v>33.897200000000005</v>
      </c>
      <c r="AS373" s="95">
        <f t="shared" si="41"/>
        <v>32.967200000000005</v>
      </c>
      <c r="AT373" s="90">
        <f>Sheet1!BB375</f>
        <v>1</v>
      </c>
      <c r="AU373" s="90">
        <f>Sheet1!AS375*GPMtoMGD</f>
        <v>2.4768000000000002E-2</v>
      </c>
      <c r="AV373" s="95">
        <f>Sheet1!AT375</f>
        <v>0</v>
      </c>
      <c r="AW373" s="90">
        <f>Sheet1!AV375*GPMtoMGD</f>
        <v>0.5073120000000001</v>
      </c>
      <c r="AX373" s="90">
        <f>Sheet1!AW375*GPMtoMGD</f>
        <v>0.76420800000000011</v>
      </c>
      <c r="AY373" s="90">
        <f>Sheet1!AX375*GPMtoMGD</f>
        <v>0</v>
      </c>
      <c r="AZ373" s="90">
        <f>Sheet1!AY375*GPMtoMGD</f>
        <v>0</v>
      </c>
      <c r="BA373" s="90">
        <f>Sheet1!AZ375*GPMtoMGD</f>
        <v>0</v>
      </c>
      <c r="BB373" s="90">
        <f>Sheet1!BP375*GPMtoMGD</f>
        <v>0.47635200000000005</v>
      </c>
      <c r="BC373" s="90">
        <f>Sheet1!CS375*GPMtoMGD</f>
        <v>5.3995680000000004</v>
      </c>
      <c r="BD373" s="90">
        <f>Sheet1!BO375*GPMtoMGD</f>
        <v>0</v>
      </c>
      <c r="BE373" s="90">
        <f>Sheet1!BW375*GPMtoMGD</f>
        <v>0.98942400000000008</v>
      </c>
      <c r="BF373" s="90">
        <f>Sheet1!CN375*GPMtoMGD</f>
        <v>0.5562720000000001</v>
      </c>
      <c r="BG373" s="90">
        <f>Sheet1!CO375*GPMtoMGD</f>
        <v>0.44683200000000006</v>
      </c>
      <c r="BH373" s="90">
        <f>Sheet1!CP375*GPMtoMGD</f>
        <v>0.73886400000000008</v>
      </c>
      <c r="BI373" s="90">
        <f t="shared" si="45"/>
        <v>0.47635200000000005</v>
      </c>
      <c r="BK373" s="95">
        <f>SUM(AT373:BA373,BE373,Sheet1!BV375,'Calculations II'!BC373,Calculation!AQ373)</f>
        <v>48.062444179104482</v>
      </c>
      <c r="BM373" s="373">
        <f>0</f>
        <v>0</v>
      </c>
      <c r="BN373" s="373">
        <f>0</f>
        <v>0</v>
      </c>
      <c r="BP373" s="95">
        <f>SUM(BM373:BN373,W373,Sheet1!DX375)</f>
        <v>0</v>
      </c>
    </row>
    <row r="374" spans="1:68" s="90" customFormat="1">
      <c r="A374" s="651" t="s">
        <v>4</v>
      </c>
      <c r="B374" s="92">
        <v>42002</v>
      </c>
      <c r="C374" s="93">
        <v>0</v>
      </c>
      <c r="D374" s="95">
        <f>(Sheet1!BQ376-Sheet1!BQ375)*1.385</f>
        <v>0.56785000000000019</v>
      </c>
      <c r="E374" s="30">
        <f>(Sheet1!BR376-Sheet1!BR375)*1.385</f>
        <v>0.60940000000000183</v>
      </c>
      <c r="F374" s="30">
        <f ca="1">IF(B374=TODAY(),0,-(VLOOKUP(Sheet1!CD376,Lookup!$I$4:$J$216,2)-VLOOKUP(Sheet1!CD375,Lookup!$I$4:$J$216,2))/1000000)</f>
        <v>-1.8654648938603997</v>
      </c>
      <c r="G374" s="95">
        <f ca="1">IF(B374=TODAY(),0,-$G$6*(Sheet1!CF376-Sheet1!CF375)*7.48/1000000)</f>
        <v>0.23828100631535562</v>
      </c>
      <c r="H374" s="95">
        <f ca="1">IF(B374=TODAY(),0,-$H$6*(Sheet1!CE376-Sheet1!CE375)*7.48/1000000)</f>
        <v>-0.22559148526897588</v>
      </c>
      <c r="I374" s="95">
        <f ca="1">IF(B374=TODAY(),0,-$I$6*(Sheet1!CG376-Sheet1!CG375)*7.48/1000000)</f>
        <v>-0.12129717600000001</v>
      </c>
      <c r="J374" s="96" t="s">
        <v>186</v>
      </c>
      <c r="K374" s="95">
        <f ca="1">IF(B374=TODAY(),0,-$K$6*(Sheet1!CH376-Sheet1!CH375)*7.48/1000000)</f>
        <v>-0.20656293160821168</v>
      </c>
      <c r="L374" s="96" t="s">
        <v>186</v>
      </c>
      <c r="M374" s="95">
        <f ca="1">IF(B374=TODAY(),0,-$M$6*(Sheet1!CI376-Sheet1!CI375)*7.48/1000000)</f>
        <v>-0.61171128655291995</v>
      </c>
      <c r="N374" s="95">
        <f ca="1">IF(B374=TODAY(),0,-$N$6*(Sheet1!CJ376-Sheet1!CJ375)*7.48/1000000)</f>
        <v>-2.482093815785013E-2</v>
      </c>
      <c r="O374" s="95">
        <f t="shared" ca="1" si="42"/>
        <v>-2.8171677051330022</v>
      </c>
      <c r="P374" s="95">
        <f ca="1">O374+Calculation!ES374</f>
        <v>-3.9211530964079908</v>
      </c>
      <c r="Q374" s="90" t="str">
        <f>IF(Sheet1!BQ376&gt;25.75,"spill elevation","-")</f>
        <v>-</v>
      </c>
      <c r="R374" s="90" t="str">
        <f>IF(Sheet1!BQ376&gt;25.75,"spill elevation","-")</f>
        <v>-</v>
      </c>
      <c r="S374" s="90" t="str">
        <f>IF(Sheet1!BR376&gt;25.75,"spill elevation","-")</f>
        <v>-</v>
      </c>
      <c r="T374" s="94">
        <f>IF(Sheet1!DU376=1,Sheet1!AA376-(SUM(AT374:BA374)+BE374),Sheet1!AA376-SUM(AT374:BA374))</f>
        <v>27.592911999999998</v>
      </c>
      <c r="U374" s="94">
        <f>Sheet1!BV376</f>
        <v>31.1</v>
      </c>
      <c r="V374" s="94">
        <f t="shared" si="43"/>
        <v>-3.5070880000000031</v>
      </c>
      <c r="W374" s="94">
        <f>0</f>
        <v>0</v>
      </c>
      <c r="X374" s="90">
        <f>0</f>
        <v>0</v>
      </c>
      <c r="Y374" s="95">
        <f ca="1">Calculation!EJ375+Calculation!ES374+'Calculations II'!O374-'Calculations II'!W374</f>
        <v>52.718974903592006</v>
      </c>
      <c r="Z374" s="95">
        <f ca="1">Y374-Sheet1!CT377</f>
        <v>34.954974903592003</v>
      </c>
      <c r="AA374" s="95">
        <f ca="1">Y374+Calculation!DJ375+Calculation!AS375</f>
        <v>62.685177686892203</v>
      </c>
      <c r="AC374" s="95">
        <f>Sheet1!AA376+Sheet1!AB376+BC374</f>
        <v>57.899264000000002</v>
      </c>
      <c r="AD374" s="95">
        <f>Sheet1!AA376+Sheet1!BN376+'Calculations II'!BC374-Calculation!AS374-Calculation!DJ374</f>
        <v>38.197202320959455</v>
      </c>
      <c r="AE374" s="95">
        <f>Sheet1!AA376+Sheet1!AB376+'Calculations II'!BC374-Calculation!AS374-Calculation!DJ374</f>
        <v>47.997202320959452</v>
      </c>
      <c r="AF374" s="95">
        <f ca="1">Sheet1!AA376+Sheet1!BN376+P374+'Calculations II'!BC374+Calculation!AS374+Calculation!DJ374</f>
        <v>54.080172582632564</v>
      </c>
      <c r="AG374" s="95">
        <f ca="1">IF(B374=TODAY(),0,Sheet1!AA376+Sheet1!BN376+'Calculations II'!BC374+'Calculations II'!P374-Sheet1!CT376-BP374)</f>
        <v>25.704110903592014</v>
      </c>
      <c r="AH374" s="95">
        <f ca="1">IF(B374=TODAY(),0,Sheet1!AA376+Sheet1!BN376+'Calculations II'!BC374+'Calculations II'!P374-BP374)</f>
        <v>44.178110903592014</v>
      </c>
      <c r="AI374" s="95">
        <f ca="1">IF(B374=TODAY(),0,BC374+Sheet1!AA376+Calculation!ES374+O374+W374+Sheet1!BN376+Calculation!AS374+Calculation!DJ374-BP374)</f>
        <v>54.080172582632564</v>
      </c>
      <c r="AJ374" s="95"/>
      <c r="AM374" s="91">
        <f t="shared" si="44"/>
        <v>42002</v>
      </c>
      <c r="AN374" s="95">
        <f>Sheet1!BU376</f>
        <v>29.2</v>
      </c>
      <c r="AO374" s="95">
        <f>Sheet1!AA376</f>
        <v>30</v>
      </c>
      <c r="AP374" s="95">
        <f t="shared" si="39"/>
        <v>1.1772500000000021</v>
      </c>
      <c r="AQ374" s="1055">
        <f>((Sheet1!BV376-(Sheet1!BU376-AP374))/(Sheet1!BU376-AP374))</f>
        <v>0.10981256300684276</v>
      </c>
      <c r="AR374" s="95">
        <f t="shared" si="40"/>
        <v>28.822749999999999</v>
      </c>
      <c r="AS374" s="95">
        <f t="shared" si="41"/>
        <v>28.022749999999998</v>
      </c>
      <c r="AT374" s="90">
        <f>Sheet1!BB376</f>
        <v>1.01</v>
      </c>
      <c r="AU374" s="90">
        <f>Sheet1!AS376*GPMtoMGD</f>
        <v>3.2256E-2</v>
      </c>
      <c r="AV374" s="95">
        <f>Sheet1!AT376</f>
        <v>0</v>
      </c>
      <c r="AW374" s="90">
        <f>Sheet1!AV376*GPMtoMGD</f>
        <v>0.62553599999999998</v>
      </c>
      <c r="AX374" s="90">
        <f>Sheet1!AW376*GPMtoMGD</f>
        <v>0.73929600000000006</v>
      </c>
      <c r="AY374" s="90">
        <f>Sheet1!AX376*GPMtoMGD</f>
        <v>0</v>
      </c>
      <c r="AZ374" s="90">
        <f>Sheet1!AY376*GPMtoMGD</f>
        <v>0</v>
      </c>
      <c r="BA374" s="90">
        <f>Sheet1!AZ376*GPMtoMGD</f>
        <v>0</v>
      </c>
      <c r="BB374" s="90">
        <f>Sheet1!BP376*GPMtoMGD</f>
        <v>0.75153599999999998</v>
      </c>
      <c r="BC374" s="90">
        <f>Sheet1!CS376*GPMtoMGD</f>
        <v>10.599264000000002</v>
      </c>
      <c r="BD374" s="90">
        <f>Sheet1!BO376*GPMtoMGD</f>
        <v>9.7920000000000004E-3</v>
      </c>
      <c r="BE374" s="90">
        <f>Sheet1!BW376*GPMtoMGD</f>
        <v>0.70430400000000004</v>
      </c>
      <c r="BF374" s="90">
        <f>Sheet1!CN376*GPMtoMGD</f>
        <v>0.44784000000000002</v>
      </c>
      <c r="BG374" s="90">
        <f>Sheet1!CO376*GPMtoMGD</f>
        <v>0.42278400000000005</v>
      </c>
      <c r="BH374" s="90">
        <f>Sheet1!CP376*GPMtoMGD</f>
        <v>0.80668800000000007</v>
      </c>
      <c r="BI374" s="90">
        <f t="shared" si="45"/>
        <v>0.761328</v>
      </c>
      <c r="BK374" s="95">
        <f>SUM(AT374:BA374,BE374,Sheet1!BV376,'Calculations II'!BC374,Calculation!AQ374)</f>
        <v>52.220707399200464</v>
      </c>
      <c r="BM374" s="373">
        <f>0</f>
        <v>0</v>
      </c>
      <c r="BN374" s="373">
        <f>0</f>
        <v>0</v>
      </c>
      <c r="BP374" s="95">
        <f>SUM(BM374:BN374,W374,Sheet1!DX376)</f>
        <v>0</v>
      </c>
    </row>
    <row r="375" spans="1:68" s="90" customFormat="1">
      <c r="A375" s="651" t="s">
        <v>5</v>
      </c>
      <c r="B375" s="92">
        <v>42003</v>
      </c>
      <c r="C375" s="93">
        <v>0</v>
      </c>
      <c r="D375" s="95">
        <f>(Sheet1!BQ377-Sheet1!BQ376)*1.385</f>
        <v>-0.15234999999999921</v>
      </c>
      <c r="E375" s="30">
        <f>(Sheet1!BR377-Sheet1!BR376)*1.385</f>
        <v>-0.18005000000000107</v>
      </c>
      <c r="F375" s="30">
        <f ca="1">IF(B375=TODAY(),0,-(VLOOKUP(Sheet1!CD377,Lookup!$I$4:$J$216,2)-VLOOKUP(Sheet1!CD376,Lookup!$I$4:$J$216,2))/1000000)</f>
        <v>-0.10363693854779936</v>
      </c>
      <c r="G375" s="95">
        <f ca="1">IF(B375=TODAY(),0,-$G$6*(Sheet1!CF377-Sheet1!CF376)*7.48/1000000)</f>
        <v>-1.2311185326293381</v>
      </c>
      <c r="H375" s="95">
        <f ca="1">IF(B375=TODAY(),0,-$H$6*(Sheet1!CE377-Sheet1!CE376)*7.48/1000000)</f>
        <v>7.5197161756325293E-2</v>
      </c>
      <c r="I375" s="95">
        <f ca="1">IF(B375=TODAY(),0,-$I$6*(Sheet1!CG377-Sheet1!CG376)*7.48/1000000)</f>
        <v>-3.5939903999999995E-2</v>
      </c>
      <c r="J375" s="96" t="s">
        <v>186</v>
      </c>
      <c r="K375" s="95">
        <f ca="1">IF(B375=TODAY(),0,-$K$6*(Sheet1!CH377-Sheet1!CH376)*7.48/1000000)</f>
        <v>-6.6633203744584424E-2</v>
      </c>
      <c r="L375" s="96" t="s">
        <v>186</v>
      </c>
      <c r="M375" s="95">
        <f ca="1">IF(B375=TODAY(),0,-$M$6*(Sheet1!CI377-Sheet1!CI376)*7.48/1000000)</f>
        <v>-8.9957542140135238E-2</v>
      </c>
      <c r="N375" s="95">
        <f ca="1">IF(B375=TODAY(),0,-$N$6*(Sheet1!CJ377-Sheet1!CJ376)*7.48/1000000)</f>
        <v>-0.66396009572247472</v>
      </c>
      <c r="O375" s="95">
        <f t="shared" ca="1" si="42"/>
        <v>-2.1160490550280064</v>
      </c>
      <c r="P375" s="95">
        <f ca="1">O375+Calculation!ES375</f>
        <v>-1.8400335159689374</v>
      </c>
      <c r="Q375" s="90" t="str">
        <f>IF(Sheet1!BQ377&gt;25.75,"spill elevation","-")</f>
        <v>-</v>
      </c>
      <c r="R375" s="90" t="str">
        <f>IF(Sheet1!BQ377&gt;25.75,"spill elevation","-")</f>
        <v>-</v>
      </c>
      <c r="S375" s="90" t="str">
        <f>IF(Sheet1!BR377&gt;25.75,"spill elevation","-")</f>
        <v>-</v>
      </c>
      <c r="T375" s="94">
        <f>IF(Sheet1!DU377=1,Sheet1!AA377-(SUM(AT375:BA375)+BE375),Sheet1!AA377-SUM(AT375:BA375))</f>
        <v>27.869312000000001</v>
      </c>
      <c r="U375" s="94">
        <f>Sheet1!BV377</f>
        <v>32.5</v>
      </c>
      <c r="V375" s="94">
        <f t="shared" si="43"/>
        <v>-4.6306879999999992</v>
      </c>
      <c r="W375" s="94">
        <f>0</f>
        <v>0</v>
      </c>
      <c r="X375" s="90">
        <f>0</f>
        <v>0</v>
      </c>
      <c r="Y375" s="95">
        <f ca="1">Calculation!EJ376+Calculation!ES375+'Calculations II'!O375-'Calculations II'!W375</f>
        <v>53.555934484031056</v>
      </c>
      <c r="Z375" s="95">
        <f ca="1">Y375-Sheet1!CT378</f>
        <v>35.204934484031057</v>
      </c>
      <c r="AA375" s="95">
        <f ca="1">Y375+Calculation!DJ376+Calculation!AS376</f>
        <v>63.554943403753555</v>
      </c>
      <c r="AC375" s="95">
        <f>Sheet1!AA377+Sheet1!AB377+BC375</f>
        <v>56.640127999999997</v>
      </c>
      <c r="AD375" s="95">
        <f>Sheet1!AA377+Sheet1!BN377+'Calculations II'!BC375-Calculation!AS375-Calculation!DJ375</f>
        <v>36.773925216699801</v>
      </c>
      <c r="AE375" s="95">
        <f>Sheet1!AA377+Sheet1!AB377+'Calculations II'!BC375-Calculation!AS375-Calculation!DJ375</f>
        <v>46.6739252166998</v>
      </c>
      <c r="AF375" s="95">
        <f ca="1">Sheet1!AA377+Sheet1!BN377+P375+'Calculations II'!BC375+Calculation!AS375+Calculation!DJ375</f>
        <v>54.866297267331255</v>
      </c>
      <c r="AG375" s="95">
        <f ca="1">IF(B375=TODAY(),0,Sheet1!AA377+Sheet1!BN377+'Calculations II'!BC375+'Calculations II'!P375-Sheet1!CT377-BP375)</f>
        <v>27.136094484031059</v>
      </c>
      <c r="AH375" s="95">
        <f ca="1">IF(B375=TODAY(),0,Sheet1!AA377+Sheet1!BN377+'Calculations II'!BC375+'Calculations II'!P375-BP375)</f>
        <v>44.900094484031058</v>
      </c>
      <c r="AI375" s="95">
        <f ca="1">IF(B375=TODAY(),0,BC375+Sheet1!AA377+Calculation!ES375+O375+W375+Sheet1!BN377+Calculation!AS375+Calculation!DJ375-BP375)</f>
        <v>54.866297267331255</v>
      </c>
      <c r="AJ375" s="95"/>
      <c r="AM375" s="91">
        <f t="shared" si="44"/>
        <v>42003</v>
      </c>
      <c r="AN375" s="95">
        <f>Sheet1!BU377</f>
        <v>29.2</v>
      </c>
      <c r="AO375" s="95">
        <f>Sheet1!AA377</f>
        <v>30</v>
      </c>
      <c r="AP375" s="95">
        <f t="shared" si="39"/>
        <v>-0.33240000000000025</v>
      </c>
      <c r="AQ375" s="1055">
        <f>((Sheet1!BV377-(Sheet1!BU377-AP375))/(Sheet1!BU377-AP375))</f>
        <v>0.10048624561498561</v>
      </c>
      <c r="AR375" s="95">
        <f t="shared" si="40"/>
        <v>30.3324</v>
      </c>
      <c r="AS375" s="95">
        <f t="shared" si="41"/>
        <v>29.532399999999999</v>
      </c>
      <c r="AT375" s="90">
        <f>Sheet1!BB377</f>
        <v>1</v>
      </c>
      <c r="AU375" s="90">
        <f>Sheet1!AS377*GPMtoMGD</f>
        <v>1.5696000000000002E-2</v>
      </c>
      <c r="AV375" s="95">
        <f>Sheet1!AT377</f>
        <v>0</v>
      </c>
      <c r="AW375" s="90">
        <f>Sheet1!AV377*GPMtoMGD</f>
        <v>0.49060799999999999</v>
      </c>
      <c r="AX375" s="90">
        <f>Sheet1!AW377*GPMtoMGD</f>
        <v>0.62438400000000005</v>
      </c>
      <c r="AY375" s="90">
        <f>Sheet1!AX377*GPMtoMGD</f>
        <v>0</v>
      </c>
      <c r="AZ375" s="90">
        <f>Sheet1!AY377*GPMtoMGD</f>
        <v>0</v>
      </c>
      <c r="BA375" s="90">
        <f>Sheet1!AZ377*GPMtoMGD</f>
        <v>0</v>
      </c>
      <c r="BB375" s="90">
        <f>Sheet1!BP377*GPMtoMGD</f>
        <v>0.26856000000000002</v>
      </c>
      <c r="BC375" s="90">
        <f>Sheet1!CS377*GPMtoMGD</f>
        <v>6.6401279999999998</v>
      </c>
      <c r="BD375" s="90">
        <f>Sheet1!BO377*GPMtoMGD</f>
        <v>0.83419199999999993</v>
      </c>
      <c r="BE375" s="90">
        <f>Sheet1!BW377*GPMtoMGD</f>
        <v>1.0023840000000002</v>
      </c>
      <c r="BF375" s="90">
        <f>Sheet1!CN377*GPMtoMGD</f>
        <v>0.44812800000000003</v>
      </c>
      <c r="BG375" s="90">
        <f>Sheet1!CO377*GPMtoMGD</f>
        <v>0.44020799999999999</v>
      </c>
      <c r="BH375" s="90">
        <f>Sheet1!CP377*GPMtoMGD</f>
        <v>0.79300800000000016</v>
      </c>
      <c r="BI375" s="90">
        <f t="shared" si="45"/>
        <v>1.102752</v>
      </c>
      <c r="BK375" s="95">
        <f>SUM(AT375:BA375,BE375,Sheet1!BV377,'Calculations II'!BC375,Calculation!AQ375)</f>
        <v>52.312961431411523</v>
      </c>
      <c r="BM375" s="373">
        <f>0</f>
        <v>0</v>
      </c>
      <c r="BN375" s="373">
        <f>0</f>
        <v>0</v>
      </c>
      <c r="BP375" s="95">
        <f>SUM(BM375:BN375,W375,Sheet1!DX377)</f>
        <v>0</v>
      </c>
    </row>
    <row r="376" spans="1:68" s="90" customFormat="1">
      <c r="A376" s="651" t="s">
        <v>6</v>
      </c>
      <c r="B376" s="92">
        <v>42004</v>
      </c>
      <c r="C376" s="93">
        <v>0</v>
      </c>
      <c r="D376" s="95">
        <f>(Sheet1!BQ378-Sheet1!BQ377)*1.385</f>
        <v>0.84484999999999921</v>
      </c>
      <c r="E376" s="30">
        <f>(Sheet1!BR378-Sheet1!BR377)*1.385</f>
        <v>0.84484999999999921</v>
      </c>
      <c r="F376" s="30">
        <f ca="1">IF(B376=TODAY(),0,-(VLOOKUP(Sheet1!CD378,Lookup!$I$4:$J$216,2)-VLOOKUP(Sheet1!CD377,Lookup!$I$4:$J$216,2))/1000000)</f>
        <v>1.6581910167647953</v>
      </c>
      <c r="G376" s="95">
        <f ca="1">IF(B376=TODAY(),0,-$G$6*(Sheet1!CF378-Sheet1!CF377)*7.48/1000000)</f>
        <v>0.27799450736791476</v>
      </c>
      <c r="H376" s="95">
        <f ca="1">IF(B376=TODAY(),0,-$H$6*(Sheet1!CE378-Sheet1!CE377)*7.48/1000000)</f>
        <v>6.0157729405060027E-2</v>
      </c>
      <c r="I376" s="95">
        <f ca="1">IF(B376=TODAY(),0,-$I$6*(Sheet1!CG378-Sheet1!CG377)*7.48/1000000)</f>
        <v>-4.0432391999999977E-2</v>
      </c>
      <c r="J376" s="96" t="s">
        <v>186</v>
      </c>
      <c r="K376" s="95">
        <f ca="1">IF(B376=TODAY(),0,-$K$6*(Sheet1!CH378-Sheet1!CH377)*7.48/1000000)</f>
        <v>-6.6633203744584424E-2</v>
      </c>
      <c r="L376" s="96" t="s">
        <v>186</v>
      </c>
      <c r="M376" s="95">
        <f ca="1">IF(B376=TODAY(),0,-$M$6*(Sheet1!CI378-Sheet1!CI377)*7.48/1000000)</f>
        <v>-0.19790659270829714</v>
      </c>
      <c r="N376" s="95">
        <f ca="1">IF(B376=TODAY(),0,-$N$6*(Sheet1!CJ378-Sheet1!CJ377)*7.48/1000000)</f>
        <v>0.65775486118301263</v>
      </c>
      <c r="O376" s="95">
        <f t="shared" ca="1" si="42"/>
        <v>2.349125926267901</v>
      </c>
      <c r="P376" s="95">
        <f ca="1">O376+Calculation!ES376</f>
        <v>0.69284076620825497</v>
      </c>
      <c r="Q376" s="90" t="str">
        <f>IF(Sheet1!BQ378&gt;25.75,"spill elevation","-")</f>
        <v>-</v>
      </c>
      <c r="R376" s="90" t="str">
        <f>IF(Sheet1!BQ378&gt;25.75,"spill elevation","-")</f>
        <v>-</v>
      </c>
      <c r="S376" s="90" t="str">
        <f>IF(Sheet1!BR378&gt;25.75,"spill elevation","-")</f>
        <v>-</v>
      </c>
      <c r="T376" s="94">
        <f>IF(Sheet1!DU378=1,Sheet1!AA378-(SUM(AT376:BA376)+BE376),Sheet1!AA378-SUM(AT376:BA376))</f>
        <v>27.833743999999999</v>
      </c>
      <c r="U376" s="94">
        <f>Sheet1!BV378</f>
        <v>30.3</v>
      </c>
      <c r="V376" s="94">
        <f t="shared" si="43"/>
        <v>-2.4662560000000013</v>
      </c>
      <c r="W376" s="94">
        <f>0</f>
        <v>0</v>
      </c>
      <c r="X376" s="90">
        <f>0</f>
        <v>0</v>
      </c>
      <c r="Y376" s="95">
        <f ca="1">Calculation!EJ377+Calculation!ES376+'Calculations II'!O376-'Calculations II'!W376</f>
        <v>52.250312766208253</v>
      </c>
      <c r="Z376" s="95">
        <f ca="1">Y376-Sheet1!CT379</f>
        <v>34.625312766208253</v>
      </c>
      <c r="AA376" s="95">
        <f ca="1">Y376+Calculation!DJ377+Calculation!AS377</f>
        <v>62.172063508048019</v>
      </c>
      <c r="AC376" s="95">
        <f>Sheet1!AA378+Sheet1!AB378+BC376</f>
        <v>55.395967999999996</v>
      </c>
      <c r="AD376" s="95">
        <f>Sheet1!AA378+Sheet1!BN378+'Calculations II'!BC376-Calculation!AS376-Calculation!DJ376</f>
        <v>35.496959080277506</v>
      </c>
      <c r="AE376" s="95">
        <f>Sheet1!AA378+Sheet1!AB378+'Calculations II'!BC376-Calculation!AS376-Calculation!DJ376</f>
        <v>45.396959080277497</v>
      </c>
      <c r="AF376" s="95">
        <f ca="1">Sheet1!AA378+Sheet1!BN378+P376+'Calculations II'!BC376+Calculation!AS376+Calculation!DJ376</f>
        <v>56.187817685930753</v>
      </c>
      <c r="AG376" s="95">
        <f ca="1">IF(B376=TODAY(),0,Sheet1!AA378+Sheet1!BN378+'Calculations II'!BC376+'Calculations II'!P376-Sheet1!CT378-BP376)</f>
        <v>27.837808766208262</v>
      </c>
      <c r="AH376" s="95">
        <f ca="1">IF(B376=TODAY(),0,Sheet1!AA378+Sheet1!BN378+'Calculations II'!BC376+'Calculations II'!P376-BP376)</f>
        <v>46.188808766208261</v>
      </c>
      <c r="AI376" s="95">
        <f ca="1">IF(B376=TODAY(),0,BC376+Sheet1!AA378+Calculation!ES376+O376+W376+Sheet1!BN378+Calculation!AS376+Calculation!DJ376-BP376)</f>
        <v>56.187817685930753</v>
      </c>
      <c r="AJ376" s="95"/>
      <c r="AM376" s="91">
        <f t="shared" si="44"/>
        <v>42004</v>
      </c>
      <c r="AN376" s="95">
        <f>Sheet1!BU378</f>
        <v>29.1</v>
      </c>
      <c r="AO376" s="95">
        <f>Sheet1!AA378</f>
        <v>30</v>
      </c>
      <c r="AP376" s="95">
        <f t="shared" si="39"/>
        <v>1.6896999999999984</v>
      </c>
      <c r="AQ376" s="1055">
        <f>((Sheet1!BV378-(Sheet1!BU378-AP376))/(Sheet1!BU378-AP376))</f>
        <v>0.10542387350740405</v>
      </c>
      <c r="AR376" s="95">
        <f t="shared" si="40"/>
        <v>28.310300000000002</v>
      </c>
      <c r="AS376" s="95">
        <f t="shared" si="41"/>
        <v>27.410300000000003</v>
      </c>
      <c r="AT376" s="90">
        <f>Sheet1!BB378</f>
        <v>1</v>
      </c>
      <c r="AU376" s="90">
        <f>Sheet1!AS378*GPMtoMGD</f>
        <v>3.1536000000000002E-2</v>
      </c>
      <c r="AV376" s="95">
        <f>Sheet1!AT378</f>
        <v>0</v>
      </c>
      <c r="AW376" s="90">
        <f>Sheet1!AV378*GPMtoMGD</f>
        <v>0.44985599999999998</v>
      </c>
      <c r="AX376" s="90">
        <f>Sheet1!AW378*GPMtoMGD</f>
        <v>0.68486400000000003</v>
      </c>
      <c r="AY376" s="90">
        <f>Sheet1!AX378*GPMtoMGD</f>
        <v>0</v>
      </c>
      <c r="AZ376" s="90">
        <f>Sheet1!AY378*GPMtoMGD</f>
        <v>0</v>
      </c>
      <c r="BA376" s="90">
        <f>Sheet1!AZ378*GPMtoMGD</f>
        <v>0</v>
      </c>
      <c r="BB376" s="90">
        <f>Sheet1!BP378*GPMtoMGD</f>
        <v>0.32961600000000002</v>
      </c>
      <c r="BC376" s="90">
        <f>Sheet1!CS378*GPMtoMGD</f>
        <v>5.3959679999999999</v>
      </c>
      <c r="BD376" s="90">
        <f>Sheet1!BO378*GPMtoMGD</f>
        <v>0.86299199999999998</v>
      </c>
      <c r="BE376" s="90">
        <f>Sheet1!BW378*GPMtoMGD</f>
        <v>0.96652800000000016</v>
      </c>
      <c r="BF376" s="90">
        <f>Sheet1!CN378*GPMtoMGD</f>
        <v>0.44827200000000006</v>
      </c>
      <c r="BG376" s="90">
        <f>Sheet1!CO378*GPMtoMGD</f>
        <v>0.48153600000000002</v>
      </c>
      <c r="BH376" s="90">
        <f>Sheet1!CP378*GPMtoMGD</f>
        <v>0.78364800000000012</v>
      </c>
      <c r="BI376" s="90">
        <f t="shared" si="45"/>
        <v>1.1926079999999999</v>
      </c>
      <c r="BK376" s="95">
        <f>SUM(AT376:BA376,BE376,Sheet1!BV378,'Calculations II'!BC376,Calculation!AQ376)</f>
        <v>48.838662802775019</v>
      </c>
      <c r="BM376" s="373">
        <f>0</f>
        <v>0</v>
      </c>
      <c r="BN376" s="373">
        <f>0</f>
        <v>0</v>
      </c>
      <c r="BP376" s="95">
        <f>SUM(BM376:BN376,W376,Sheet1!DX378)</f>
        <v>0</v>
      </c>
    </row>
    <row r="377" spans="1:68" s="90" customFormat="1">
      <c r="A377" s="651" t="s">
        <v>7</v>
      </c>
      <c r="B377" s="92">
        <v>42005</v>
      </c>
      <c r="C377" s="93">
        <v>0</v>
      </c>
      <c r="D377" s="95">
        <f>(Sheet1!BQ379-Sheet1!BQ378)*1.385</f>
        <v>-0.83099999999999952</v>
      </c>
      <c r="E377" s="30">
        <f>(Sheet1!BR379-Sheet1!BR378)*1.385</f>
        <v>-0.80330000000000013</v>
      </c>
      <c r="F377" s="30">
        <f ca="1">IF(B377=TODAY(),0,-(VLOOKUP(Sheet1!CD379,Lookup!$I$4:$J$216,2)-VLOOKUP(Sheet1!CD378,Lookup!$I$4:$J$216,2))/1000000)</f>
        <v>-0.72545856983459556</v>
      </c>
      <c r="G377" s="95">
        <f ca="1">IF(B377=TODAY(),0,-$G$6*(Sheet1!CF379-Sheet1!CF378)*7.48/1000000)</f>
        <v>0.27799450736791548</v>
      </c>
      <c r="H377" s="95">
        <f ca="1">IF(B377=TODAY(),0,-$H$6*(Sheet1!CE379-Sheet1!CE378)*7.48/1000000)</f>
        <v>1.5039432351265274E-2</v>
      </c>
      <c r="I377" s="95">
        <f ca="1">IF(B377=TODAY(),0,-$I$6*(Sheet1!CG379-Sheet1!CG378)*7.48/1000000)</f>
        <v>8.0864783999999995E-2</v>
      </c>
      <c r="J377" s="96" t="s">
        <v>186</v>
      </c>
      <c r="K377" s="95">
        <f ca="1">IF(B377=TODAY(),0,-$K$6*(Sheet1!CH379-Sheet1!CH378)*7.48/1000000)</f>
        <v>0.13992972786362726</v>
      </c>
      <c r="L377" s="96" t="s">
        <v>186</v>
      </c>
      <c r="M377" s="95">
        <f ca="1">IF(B377=TODAY(),0,-$M$6*(Sheet1!CI379-Sheet1!CI378)*7.48/1000000)</f>
        <v>0.39581318541659494</v>
      </c>
      <c r="N377" s="95">
        <f ca="1">IF(B377=TODAY(),0,-$N$6*(Sheet1!CJ379-Sheet1!CJ378)*7.48/1000000)</f>
        <v>-6.8257579934085932E-2</v>
      </c>
      <c r="O377" s="95">
        <f t="shared" ca="1" si="42"/>
        <v>0.11592548723072146</v>
      </c>
      <c r="P377" s="95">
        <f ca="1">O377+Calculation!ES377</f>
        <v>1.7722106472903674</v>
      </c>
      <c r="Q377" s="90" t="str">
        <f>IF(Sheet1!BQ379&gt;25.75,"spill elevation","-")</f>
        <v>-</v>
      </c>
      <c r="R377" s="90" t="str">
        <f>IF(Sheet1!BQ379&gt;25.75,"spill elevation","-")</f>
        <v>-</v>
      </c>
      <c r="S377" s="90" t="str">
        <f>IF(Sheet1!BR379&gt;25.75,"spill elevation","-")</f>
        <v>-</v>
      </c>
      <c r="T377" s="94">
        <f>IF(Sheet1!DU379=1,Sheet1!AA379-(SUM(AT377:BA377)+BE377),Sheet1!AA379-SUM(AT377:BA377))</f>
        <v>27.445695999999998</v>
      </c>
      <c r="U377" s="94">
        <f>Sheet1!BV379</f>
        <v>33</v>
      </c>
      <c r="V377" s="94">
        <f t="shared" si="43"/>
        <v>-5.5543040000000019</v>
      </c>
      <c r="W377" s="94">
        <f>0</f>
        <v>0</v>
      </c>
      <c r="X377" s="90">
        <f>0</f>
        <v>0</v>
      </c>
      <c r="Y377" s="95">
        <f ca="1">Calculation!EJ378+Calculation!ES377+'Calculations II'!O377-'Calculations II'!W377</f>
        <v>56.825106647290362</v>
      </c>
      <c r="Z377" s="95">
        <f ca="1">Y377-Sheet1!CT380</f>
        <v>39.540106647290358</v>
      </c>
      <c r="AA377" s="95">
        <f ca="1">Y377+Calculation!DJ378+Calculation!AS378</f>
        <v>66.774788080839386</v>
      </c>
      <c r="AC377" s="95">
        <f>Sheet1!AA379+Sheet1!AB379+BC377</f>
        <v>51.557471999999997</v>
      </c>
      <c r="AD377" s="95">
        <f>Sheet1!AA379+Sheet1!BN379+'Calculations II'!BC377-Calculation!AS377-Calculation!DJ377</f>
        <v>31.835721258160234</v>
      </c>
      <c r="AE377" s="95">
        <f>Sheet1!AA379+Sheet1!AB379+'Calculations II'!BC377-Calculation!AS377-Calculation!DJ377</f>
        <v>41.635721258160231</v>
      </c>
      <c r="AF377" s="95">
        <f ca="1">Sheet1!AA379+Sheet1!BN379+P377+'Calculations II'!BC377+Calculation!AS377+Calculation!DJ377</f>
        <v>53.451433389130131</v>
      </c>
      <c r="AG377" s="95">
        <f ca="1">IF(B377=TODAY(),0,Sheet1!AA379+Sheet1!BN379+'Calculations II'!BC377+'Calculations II'!P377-Sheet1!CT379-BP377)</f>
        <v>25.904682647290365</v>
      </c>
      <c r="AH377" s="95">
        <f ca="1">IF(B377=TODAY(),0,Sheet1!AA379+Sheet1!BN379+'Calculations II'!BC377+'Calculations II'!P377-BP377)</f>
        <v>43.529682647290365</v>
      </c>
      <c r="AI377" s="95">
        <f ca="1">IF(B377=TODAY(),0,BC377+Sheet1!AA379+Calculation!ES377+O377+W377+Sheet1!BN379+Calculation!AS377+Calculation!DJ377-BP377)</f>
        <v>53.451433389130123</v>
      </c>
      <c r="AJ377" s="95"/>
      <c r="AM377" s="91">
        <f t="shared" si="44"/>
        <v>42005</v>
      </c>
      <c r="AN377" s="95">
        <f>Sheet1!BU379</f>
        <v>28.8</v>
      </c>
      <c r="AO377" s="95">
        <f>Sheet1!AA379</f>
        <v>29.5</v>
      </c>
      <c r="AP377" s="95">
        <f t="shared" si="39"/>
        <v>-1.6342999999999996</v>
      </c>
      <c r="AQ377" s="1055">
        <f>((Sheet1!BV379-(Sheet1!BU379-AP377))/(Sheet1!BU379-AP377))</f>
        <v>8.4302908231830523E-2</v>
      </c>
      <c r="AR377" s="95">
        <f t="shared" si="40"/>
        <v>31.1343</v>
      </c>
      <c r="AS377" s="95">
        <f t="shared" si="41"/>
        <v>30.4343</v>
      </c>
      <c r="AT377" s="90">
        <f>Sheet1!BB379</f>
        <v>0.99</v>
      </c>
      <c r="AU377" s="90">
        <f>Sheet1!AS379*GPMtoMGD</f>
        <v>3.2256E-2</v>
      </c>
      <c r="AV377" s="95">
        <f>Sheet1!AT379</f>
        <v>0</v>
      </c>
      <c r="AW377" s="90">
        <f>Sheet1!AV379*GPMtoMGD</f>
        <v>0.47520000000000001</v>
      </c>
      <c r="AX377" s="90">
        <f>Sheet1!AW379*GPMtoMGD</f>
        <v>0.55684800000000001</v>
      </c>
      <c r="AY377" s="90">
        <f>Sheet1!AX379*GPMtoMGD</f>
        <v>0</v>
      </c>
      <c r="AZ377" s="90">
        <f>Sheet1!AY379*GPMtoMGD</f>
        <v>0</v>
      </c>
      <c r="BA377" s="90">
        <f>Sheet1!AZ379*GPMtoMGD</f>
        <v>0</v>
      </c>
      <c r="BB377" s="90">
        <f>Sheet1!BP379*GPMtoMGD</f>
        <v>5.1695999999999999E-3</v>
      </c>
      <c r="BC377" s="90">
        <f>Sheet1!CS379*GPMtoMGD</f>
        <v>2.0574720000000002</v>
      </c>
      <c r="BD377" s="90">
        <f>Sheet1!BO379*GPMtoMGD</f>
        <v>0.54201600000000005</v>
      </c>
      <c r="BE377" s="90">
        <f>Sheet1!BW379*GPMtoMGD</f>
        <v>0.71035200000000009</v>
      </c>
      <c r="BF377" s="90">
        <f>Sheet1!CN379*GPMtoMGD</f>
        <v>0.43099200000000004</v>
      </c>
      <c r="BG377" s="90">
        <f>Sheet1!CO379*GPMtoMGD</f>
        <v>0.49579200000000007</v>
      </c>
      <c r="BH377" s="90">
        <f>Sheet1!CP379*GPMtoMGD</f>
        <v>0.74894400000000005</v>
      </c>
      <c r="BI377" s="90">
        <f t="shared" si="45"/>
        <v>0.54718560000000005</v>
      </c>
      <c r="BK377" s="95">
        <f>SUM(AT377:BA377,BE377,Sheet1!BV379,'Calculations II'!BC377,Calculation!AQ377)</f>
        <v>47.911148771513353</v>
      </c>
      <c r="BM377" s="373">
        <f>0</f>
        <v>0</v>
      </c>
      <c r="BN377" s="373">
        <f>0</f>
        <v>0</v>
      </c>
      <c r="BP377" s="95">
        <f>SUM(BM377:BN377,W377,Sheet1!DX379)</f>
        <v>0</v>
      </c>
    </row>
    <row r="378" spans="1:68" s="90" customFormat="1">
      <c r="A378" s="651" t="s">
        <v>8</v>
      </c>
      <c r="B378" s="92">
        <v>42006</v>
      </c>
      <c r="C378" s="93">
        <v>0</v>
      </c>
      <c r="D378" s="95">
        <f>(Sheet1!BQ380-Sheet1!BQ379)*1.385</f>
        <v>0.23544999999999991</v>
      </c>
      <c r="E378" s="30">
        <f>(Sheet1!BR380-Sheet1!BR379)*1.385</f>
        <v>0.22160000000000019</v>
      </c>
      <c r="F378" s="30">
        <f ca="1">IF(B378=TODAY(),0,-(VLOOKUP(Sheet1!CD380,Lookup!$I$4:$J$216,2)-VLOOKUP(Sheet1!CD379,Lookup!$I$4:$J$216,2))/1000000)</f>
        <v>-0.62182163128680179</v>
      </c>
      <c r="G378" s="95">
        <f ca="1">IF(B378=TODAY(),0,-$G$6*(Sheet1!CF380-Sheet1!CF379)*7.48/1000000)</f>
        <v>0.19856750526279648</v>
      </c>
      <c r="H378" s="95">
        <f ca="1">IF(B378=TODAY(),0,-$H$6*(Sheet1!CE380-Sheet1!CE379)*7.48/1000000)</f>
        <v>1.503943235126474E-2</v>
      </c>
      <c r="I378" s="95">
        <f ca="1">IF(B378=TODAY(),0,-$I$6*(Sheet1!CG380-Sheet1!CG379)*7.48/1000000)</f>
        <v>-4.4924880000000236E-3</v>
      </c>
      <c r="J378" s="96" t="s">
        <v>186</v>
      </c>
      <c r="K378" s="95">
        <f ca="1">IF(B378=TODAY(),0,-$K$6*(Sheet1!CH380-Sheet1!CH379)*7.48/1000000)</f>
        <v>-1.3326640748916837E-2</v>
      </c>
      <c r="L378" s="96" t="s">
        <v>186</v>
      </c>
      <c r="M378" s="95">
        <f ca="1">IF(B378=TODAY(),0,-$M$6*(Sheet1!CI380-Sheet1!CI379)*7.48/1000000)</f>
        <v>-3.598301685605397E-2</v>
      </c>
      <c r="N378" s="95">
        <f ca="1">IF(B378=TODAY(),0,-$N$6*(Sheet1!CJ380-Sheet1!CJ379)*7.48/1000000)</f>
        <v>-0.44677688684129252</v>
      </c>
      <c r="O378" s="95">
        <f t="shared" ca="1" si="42"/>
        <v>-0.90879372611900389</v>
      </c>
      <c r="P378" s="95">
        <f ca="1">O378+Calculation!ES378</f>
        <v>-1.4608375988900248</v>
      </c>
      <c r="Q378" s="90" t="str">
        <f>IF(Sheet1!BQ380&gt;25.75,"spill elevation","-")</f>
        <v>-</v>
      </c>
      <c r="R378" s="90" t="str">
        <f>IF(Sheet1!BQ380&gt;25.75,"spill elevation","-")</f>
        <v>-</v>
      </c>
      <c r="S378" s="90" t="str">
        <f>IF(Sheet1!BR380&gt;25.75,"spill elevation","-")</f>
        <v>-</v>
      </c>
      <c r="T378" s="94">
        <f>IF(Sheet1!DU380=1,Sheet1!AA380-(SUM(AT378:BA378)+BE378),Sheet1!AA380-SUM(AT378:BA378))</f>
        <v>27.496351999999998</v>
      </c>
      <c r="U378" s="94">
        <f>Sheet1!BV380</f>
        <v>30.7</v>
      </c>
      <c r="V378" s="94">
        <f t="shared" si="43"/>
        <v>-3.2036480000000012</v>
      </c>
      <c r="W378" s="94">
        <f>0</f>
        <v>0</v>
      </c>
      <c r="X378" s="90">
        <f>0</f>
        <v>0</v>
      </c>
      <c r="Y378" s="95">
        <f ca="1">Calculation!EJ379+Calculation!ES378+'Calculations II'!O378-'Calculations II'!W378</f>
        <v>53.367050401109971</v>
      </c>
      <c r="Z378" s="95">
        <f ca="1">Y378-Sheet1!CT381</f>
        <v>36.644050401109972</v>
      </c>
      <c r="AA378" s="95">
        <f ca="1">Y378+Calculation!DJ379+Calculation!AS379</f>
        <v>63.261071327866318</v>
      </c>
      <c r="AC378" s="95">
        <f>Sheet1!AA380+Sheet1!AB380+BC378</f>
        <v>55.052895999999997</v>
      </c>
      <c r="AD378" s="95">
        <f>Sheet1!AA380+Sheet1!BN380+'Calculations II'!BC378-Calculation!AS378-Calculation!DJ378</f>
        <v>35.203214566450967</v>
      </c>
      <c r="AE378" s="95">
        <f>Sheet1!AA380+Sheet1!AB380+'Calculations II'!BC378-Calculation!AS378-Calculation!DJ378</f>
        <v>45.103214566450966</v>
      </c>
      <c r="AF378" s="95">
        <f ca="1">Sheet1!AA380+Sheet1!BN380+P378+'Calculations II'!BC378+Calculation!AS378+Calculation!DJ378</f>
        <v>53.641739834659006</v>
      </c>
      <c r="AG378" s="95">
        <f ca="1">IF(B378=TODAY(),0,Sheet1!AA380+Sheet1!BN380+'Calculations II'!BC378+'Calculations II'!P378-Sheet1!CT380-BP378)</f>
        <v>26.407058401109975</v>
      </c>
      <c r="AH378" s="95">
        <f ca="1">IF(B378=TODAY(),0,Sheet1!AA380+Sheet1!BN380+'Calculations II'!BC378+'Calculations II'!P378-BP378)</f>
        <v>43.692058401109975</v>
      </c>
      <c r="AI378" s="95">
        <f ca="1">IF(B378=TODAY(),0,BC378+Sheet1!AA380+Calculation!ES378+O378+W378+Sheet1!BN380+Calculation!AS378+Calculation!DJ378-BP378)</f>
        <v>53.641739834659006</v>
      </c>
      <c r="AJ378" s="95"/>
      <c r="AM378" s="91">
        <f t="shared" si="44"/>
        <v>42006</v>
      </c>
      <c r="AN378" s="95">
        <f>Sheet1!BU380</f>
        <v>28.8</v>
      </c>
      <c r="AO378" s="95">
        <f>Sheet1!AA380</f>
        <v>29.54</v>
      </c>
      <c r="AP378" s="95">
        <f t="shared" si="39"/>
        <v>0.45705000000000007</v>
      </c>
      <c r="AQ378" s="1055">
        <f>((Sheet1!BV380-(Sheet1!BU380-AP378))/(Sheet1!BU380-AP378))</f>
        <v>8.3161773915559151E-2</v>
      </c>
      <c r="AR378" s="95">
        <f t="shared" si="40"/>
        <v>29.08295</v>
      </c>
      <c r="AS378" s="95">
        <f t="shared" si="41"/>
        <v>28.342950000000002</v>
      </c>
      <c r="AT378" s="90">
        <f>Sheet1!BB380</f>
        <v>0.99</v>
      </c>
      <c r="AU378" s="90">
        <f>Sheet1!AS380*GPMtoMGD</f>
        <v>1.6272000000000002E-2</v>
      </c>
      <c r="AV378" s="95">
        <f>Sheet1!AT380</f>
        <v>0</v>
      </c>
      <c r="AW378" s="90">
        <f>Sheet1!AV380*GPMtoMGD</f>
        <v>0.47664000000000001</v>
      </c>
      <c r="AX378" s="90">
        <f>Sheet1!AW380*GPMtoMGD</f>
        <v>0.56073600000000001</v>
      </c>
      <c r="AY378" s="90">
        <f>Sheet1!AX380*GPMtoMGD</f>
        <v>0</v>
      </c>
      <c r="AZ378" s="90">
        <f>Sheet1!AY380*GPMtoMGD</f>
        <v>0</v>
      </c>
      <c r="BA378" s="90">
        <f>Sheet1!AZ380*GPMtoMGD</f>
        <v>0</v>
      </c>
      <c r="BB378" s="90">
        <f>Sheet1!BP380*GPMtoMGD</f>
        <v>0.29779200000000006</v>
      </c>
      <c r="BC378" s="90">
        <f>Sheet1!CS380*GPMtoMGD</f>
        <v>5.5128960000000005</v>
      </c>
      <c r="BD378" s="90">
        <f>Sheet1!BO380*GPMtoMGD</f>
        <v>0.66038400000000008</v>
      </c>
      <c r="BE378" s="90">
        <f>Sheet1!BW380*GPMtoMGD</f>
        <v>0.95270400000000011</v>
      </c>
      <c r="BF378" s="90">
        <f>Sheet1!CN380*GPMtoMGD</f>
        <v>0.35006399999999999</v>
      </c>
      <c r="BG378" s="90">
        <f>Sheet1!CO380*GPMtoMGD</f>
        <v>0.461088</v>
      </c>
      <c r="BH378" s="90">
        <f>Sheet1!CP380*GPMtoMGD</f>
        <v>0.76536000000000004</v>
      </c>
      <c r="BI378" s="90">
        <f t="shared" si="45"/>
        <v>0.95817600000000014</v>
      </c>
      <c r="BK378" s="95">
        <f>SUM(AT378:BA378,BE378,Sheet1!BV380,'Calculations II'!BC378,Calculation!AQ378)</f>
        <v>49.264001608760573</v>
      </c>
      <c r="BM378" s="373">
        <f>0</f>
        <v>0</v>
      </c>
      <c r="BN378" s="373">
        <f>0</f>
        <v>0</v>
      </c>
      <c r="BP378" s="95">
        <f>SUM(BM378:BN378,W378,Sheet1!DX380)</f>
        <v>0</v>
      </c>
    </row>
    <row r="379" spans="1:68" s="90" customFormat="1">
      <c r="A379" s="651" t="s">
        <v>9</v>
      </c>
      <c r="B379" s="92">
        <v>42007</v>
      </c>
      <c r="C379" s="93">
        <v>0</v>
      </c>
      <c r="D379" s="95">
        <f>(Sheet1!BQ381-Sheet1!BQ380)*1.385</f>
        <v>0.83099999999999952</v>
      </c>
      <c r="E379" s="30">
        <f>(Sheet1!BR381-Sheet1!BR380)*1.385</f>
        <v>0.83100000000000196</v>
      </c>
      <c r="F379" s="30">
        <f ca="1">IF(B379=TODAY(),0,-(VLOOKUP(Sheet1!CD381,Lookup!$I$4:$J$216,2)-VLOOKUP(Sheet1!CD380,Lookup!$I$4:$J$216,2))/1000000)</f>
        <v>0.10363693854779936</v>
      </c>
      <c r="G379" s="95">
        <f ca="1">IF(B379=TODAY(),0,-$G$6*(Sheet1!CF381-Sheet1!CF380)*7.48/1000000)</f>
        <v>0.23828100631535562</v>
      </c>
      <c r="H379" s="95">
        <f ca="1">IF(B379=TODAY(),0,-$H$6*(Sheet1!CE381-Sheet1!CE380)*7.48/1000000)</f>
        <v>-0.10527602645885531</v>
      </c>
      <c r="I379" s="95">
        <f ca="1">IF(B379=TODAY(),0,-$I$6*(Sheet1!CG381-Sheet1!CG380)*7.48/1000000)</f>
        <v>4.4924880000000236E-3</v>
      </c>
      <c r="J379" s="96" t="s">
        <v>186</v>
      </c>
      <c r="K379" s="95">
        <f ca="1">IF(B379=TODAY(),0,-$K$6*(Sheet1!CH381-Sheet1!CH380)*7.48/1000000)</f>
        <v>6.6633203744584186E-3</v>
      </c>
      <c r="L379" s="96" t="s">
        <v>186</v>
      </c>
      <c r="M379" s="95">
        <f ca="1">IF(B379=TODAY(),0,-$M$6*(Sheet1!CI381-Sheet1!CI380)*7.48/1000000)</f>
        <v>1.7991508428026985E-2</v>
      </c>
      <c r="N379" s="95">
        <f ca="1">IF(B379=TODAY(),0,-$N$6*(Sheet1!CJ381-Sheet1!CJ380)*7.48/1000000)</f>
        <v>-7.4462814473548189E-2</v>
      </c>
      <c r="O379" s="95">
        <f t="shared" ca="1" si="42"/>
        <v>0.19132642073323688</v>
      </c>
      <c r="P379" s="95">
        <f ca="1">O379+Calculation!ES379</f>
        <v>-1.4651122858025869</v>
      </c>
      <c r="Q379" s="90" t="str">
        <f>IF(Sheet1!BQ381&gt;25.75,"spill elevation","-")</f>
        <v>-</v>
      </c>
      <c r="R379" s="90" t="str">
        <f>IF(Sheet1!BQ381&gt;25.75,"spill elevation","-")</f>
        <v>-</v>
      </c>
      <c r="S379" s="90" t="str">
        <f>IF(Sheet1!BR381&gt;25.75,"spill elevation","-")</f>
        <v>-</v>
      </c>
      <c r="T379" s="94">
        <f>IF(Sheet1!DU381=1,Sheet1!AA381-(SUM(AT379:BA379)+BE379),Sheet1!AA381-SUM(AT379:BA379))</f>
        <v>27.255792</v>
      </c>
      <c r="U379" s="94">
        <f>Sheet1!BV381</f>
        <v>29.1</v>
      </c>
      <c r="V379" s="94">
        <f t="shared" si="43"/>
        <v>-1.8442080000000018</v>
      </c>
      <c r="W379" s="94">
        <f>0</f>
        <v>0</v>
      </c>
      <c r="X379" s="90">
        <f>0</f>
        <v>0</v>
      </c>
      <c r="Y379" s="95">
        <f ca="1">Calculation!EJ380+Calculation!ES379+'Calculations II'!O379-'Calculations II'!W379</f>
        <v>48.59626371419742</v>
      </c>
      <c r="Z379" s="95">
        <f ca="1">Y379-Sheet1!CT382</f>
        <v>31.84926371419742</v>
      </c>
      <c r="AA379" s="95">
        <f ca="1">Y379+Calculation!DJ380+Calculation!AS380</f>
        <v>58.551487594794438</v>
      </c>
      <c r="AC379" s="95">
        <f>Sheet1!AA381+Sheet1!AB381+BC379</f>
        <v>54.827887999999994</v>
      </c>
      <c r="AD379" s="95">
        <f>Sheet1!AA381+Sheet1!BN381+'Calculations II'!BC379-Calculation!AS379-Calculation!DJ379</f>
        <v>35.13386707324365</v>
      </c>
      <c r="AE379" s="95">
        <f>Sheet1!AA381+Sheet1!AB381+'Calculations II'!BC379-Calculation!AS379-Calculation!DJ379</f>
        <v>44.933867073243647</v>
      </c>
      <c r="AF379" s="95">
        <f ca="1">Sheet1!AA381+Sheet1!BN381+P379+'Calculations II'!BC379+Calculation!AS379+Calculation!DJ379</f>
        <v>53.456796640953755</v>
      </c>
      <c r="AG379" s="95">
        <f ca="1">IF(B379=TODAY(),0,Sheet1!AA381+Sheet1!BN381+'Calculations II'!BC379+'Calculations II'!P379-Sheet1!CT381-BP379)</f>
        <v>26.839775714197408</v>
      </c>
      <c r="AH379" s="95">
        <f ca="1">IF(B379=TODAY(),0,Sheet1!AA381+Sheet1!BN381+'Calculations II'!BC379+'Calculations II'!P379-BP379)</f>
        <v>43.562775714197407</v>
      </c>
      <c r="AI379" s="95">
        <f ca="1">IF(B379=TODAY(),0,BC379+Sheet1!AA381+Calculation!ES379+O379+W379+Sheet1!BN381+Calculation!AS379+Calculation!DJ379-BP379)</f>
        <v>53.456796640953769</v>
      </c>
      <c r="AJ379" s="95"/>
      <c r="AM379" s="91">
        <f t="shared" si="44"/>
        <v>42007</v>
      </c>
      <c r="AN379" s="95">
        <f>Sheet1!BU381</f>
        <v>28.6</v>
      </c>
      <c r="AO379" s="95">
        <f>Sheet1!AA381</f>
        <v>29.56</v>
      </c>
      <c r="AP379" s="95">
        <f t="shared" si="39"/>
        <v>1.6620000000000015</v>
      </c>
      <c r="AQ379" s="1055">
        <f>((Sheet1!BV381-(Sheet1!BU381-AP379))/(Sheet1!BU381-AP379))</f>
        <v>8.0258371074318907E-2</v>
      </c>
      <c r="AR379" s="95">
        <f t="shared" si="40"/>
        <v>27.897999999999996</v>
      </c>
      <c r="AS379" s="95">
        <f t="shared" si="41"/>
        <v>26.937999999999999</v>
      </c>
      <c r="AT379" s="90">
        <f>Sheet1!BB381</f>
        <v>1</v>
      </c>
      <c r="AU379" s="90">
        <f>Sheet1!AS381*GPMtoMGD</f>
        <v>3.1248000000000001E-2</v>
      </c>
      <c r="AV379" s="95">
        <f>Sheet1!AT381</f>
        <v>0</v>
      </c>
      <c r="AW379" s="90">
        <f>Sheet1!AV381*GPMtoMGD</f>
        <v>0.49521599999999999</v>
      </c>
      <c r="AX379" s="90">
        <f>Sheet1!AW381*GPMtoMGD</f>
        <v>0.7777440000000001</v>
      </c>
      <c r="AY379" s="90">
        <f>Sheet1!AX381*GPMtoMGD</f>
        <v>0</v>
      </c>
      <c r="AZ379" s="90">
        <f>Sheet1!AY381*GPMtoMGD</f>
        <v>0</v>
      </c>
      <c r="BA379" s="90">
        <f>Sheet1!AZ381*GPMtoMGD</f>
        <v>0</v>
      </c>
      <c r="BB379" s="90">
        <f>Sheet1!BP381*GPMtoMGD</f>
        <v>0.26395200000000002</v>
      </c>
      <c r="BC379" s="90">
        <f>Sheet1!CS381*GPMtoMGD</f>
        <v>5.3678879999999998</v>
      </c>
      <c r="BD379" s="90">
        <f>Sheet1!BO381*GPMtoMGD</f>
        <v>0.75024000000000002</v>
      </c>
      <c r="BE379" s="90">
        <f>Sheet1!BW381*GPMtoMGD</f>
        <v>0.85665599999999997</v>
      </c>
      <c r="BF379" s="90">
        <f>Sheet1!CN381*GPMtoMGD</f>
        <v>0.5243040000000001</v>
      </c>
      <c r="BG379" s="90">
        <f>Sheet1!CO381*GPMtoMGD</f>
        <v>0.47851200000000005</v>
      </c>
      <c r="BH379" s="90">
        <f>Sheet1!CP381*GPMtoMGD</f>
        <v>0.74620800000000009</v>
      </c>
      <c r="BI379" s="90">
        <f t="shared" si="45"/>
        <v>1.014192</v>
      </c>
      <c r="BK379" s="95">
        <f>SUM(AT379:BA379,BE379,Sheet1!BV381,'Calculations II'!BC379,Calculation!AQ379)</f>
        <v>47.643201427005479</v>
      </c>
      <c r="BM379" s="373">
        <f>0</f>
        <v>0</v>
      </c>
      <c r="BN379" s="373">
        <f>0</f>
        <v>0</v>
      </c>
      <c r="BP379" s="95">
        <f>SUM(BM379:BN379,W379,Sheet1!DX381)</f>
        <v>0</v>
      </c>
    </row>
    <row r="380" spans="1:68" s="90" customFormat="1">
      <c r="A380" s="651" t="s">
        <v>3</v>
      </c>
      <c r="B380" s="92">
        <v>42008</v>
      </c>
      <c r="C380" s="93">
        <v>0</v>
      </c>
      <c r="D380" s="95">
        <f>(Sheet1!BQ382-Sheet1!BQ381)*1.385</f>
        <v>-0.76175000000000104</v>
      </c>
      <c r="E380" s="30">
        <f>(Sheet1!BR382-Sheet1!BR381)*1.385</f>
        <v>-0.78945000000000043</v>
      </c>
      <c r="F380" s="30">
        <f ca="1">IF(B380=TODAY(),0,-(VLOOKUP(Sheet1!CD382,Lookup!$I$4:$J$216,2)-VLOOKUP(Sheet1!CD381,Lookup!$I$4:$J$216,2))/1000000)</f>
        <v>1.8654648938603997</v>
      </c>
      <c r="G380" s="95">
        <f ca="1">IF(B380=TODAY(),0,-$G$6*(Sheet1!CF382-Sheet1!CF381)*7.48/1000000)</f>
        <v>0.27799450736791476</v>
      </c>
      <c r="H380" s="95">
        <f ca="1">IF(B380=TODAY(),0,-$H$6*(Sheet1!CE382-Sheet1!CE381)*7.48/1000000)</f>
        <v>-3.0078864702530014E-2</v>
      </c>
      <c r="I380" s="95">
        <f ca="1">IF(B380=TODAY(),0,-$I$6*(Sheet1!CG382-Sheet1!CG381)*7.48/1000000)</f>
        <v>4.4924879999999837E-3</v>
      </c>
      <c r="J380" s="96" t="s">
        <v>186</v>
      </c>
      <c r="K380" s="95">
        <f ca="1">IF(B380=TODAY(),0,-$K$6*(Sheet1!CH382-Sheet1!CH381)*7.48/1000000)</f>
        <v>1.9989961123375255E-2</v>
      </c>
      <c r="L380" s="96" t="s">
        <v>186</v>
      </c>
      <c r="M380" s="95">
        <f ca="1">IF(B380=TODAY(),0,-$M$6*(Sheet1!CI382-Sheet1!CI381)*7.48/1000000)</f>
        <v>0</v>
      </c>
      <c r="N380" s="95">
        <f ca="1">IF(B380=TODAY(),0,-$N$6*(Sheet1!CJ382-Sheet1!CJ381)*7.48/1000000)</f>
        <v>0.58329204670946444</v>
      </c>
      <c r="O380" s="95">
        <f t="shared" ca="1" si="42"/>
        <v>2.7211550323586242</v>
      </c>
      <c r="P380" s="95">
        <f ca="1">O380+Calculation!ES380</f>
        <v>4.3775937388944479</v>
      </c>
      <c r="Q380" s="90" t="str">
        <f>IF(Sheet1!BQ382&gt;25.75,"spill elevation","-")</f>
        <v>-</v>
      </c>
      <c r="R380" s="90" t="str">
        <f>IF(Sheet1!BQ382&gt;25.75,"spill elevation","-")</f>
        <v>-</v>
      </c>
      <c r="S380" s="90" t="str">
        <f>IF(Sheet1!BR382&gt;25.75,"spill elevation","-")</f>
        <v>-</v>
      </c>
      <c r="T380" s="94">
        <f>IF(Sheet1!DU382=1,Sheet1!AA382-(SUM(AT380:BA380)+BE380),Sheet1!AA382-SUM(AT380:BA380))</f>
        <v>27.239632</v>
      </c>
      <c r="U380" s="94">
        <f>Sheet1!BV382</f>
        <v>32.5</v>
      </c>
      <c r="V380" s="94">
        <f t="shared" si="43"/>
        <v>-5.2603679999999997</v>
      </c>
      <c r="W380" s="94">
        <f>0</f>
        <v>0</v>
      </c>
      <c r="X380" s="90">
        <f>0</f>
        <v>0</v>
      </c>
      <c r="Y380" s="95">
        <f ca="1">Calculation!EJ381+Calculation!ES380+'Calculations II'!O380-'Calculations II'!W380</f>
        <v>4.3775937388944479</v>
      </c>
      <c r="Z380" s="95">
        <f ca="1">Y380-Sheet1!CT383</f>
        <v>4.3775937388944479</v>
      </c>
      <c r="AA380" s="95">
        <f ca="1">Y380+Calculation!DJ381+Calculation!AS381</f>
        <v>4.3775937388944479</v>
      </c>
      <c r="AC380" s="95">
        <f>Sheet1!AA382+Sheet1!AB382+BC380</f>
        <v>50.061376000000003</v>
      </c>
      <c r="AD380" s="95">
        <f>Sheet1!AA382+Sheet1!BN382+'Calculations II'!BC380-Calculation!AS380-Calculation!DJ380</f>
        <v>30.206152119402983</v>
      </c>
      <c r="AE380" s="95">
        <f>Sheet1!AA382+Sheet1!AB382+'Calculations II'!BC380-Calculation!AS380-Calculation!DJ380</f>
        <v>40.106152119402992</v>
      </c>
      <c r="AF380" s="95">
        <f ca="1">Sheet1!AA382+Sheet1!BN382+P380+'Calculations II'!BC380+Calculation!AS380+Calculation!DJ380</f>
        <v>54.494193619491455</v>
      </c>
      <c r="AG380" s="95">
        <f ca="1">IF(B380=TODAY(),0,Sheet1!AA382+Sheet1!BN382+'Calculations II'!BC380+'Calculations II'!P380-Sheet1!CT382-BP380)</f>
        <v>27.791969738894444</v>
      </c>
      <c r="AH380" s="95">
        <f ca="1">IF(B380=TODAY(),0,Sheet1!AA382+Sheet1!BN382+'Calculations II'!BC380+'Calculations II'!P380-BP380)</f>
        <v>44.538969738894444</v>
      </c>
      <c r="AI380" s="95">
        <f ca="1">IF(B380=TODAY(),0,BC380+Sheet1!AA382+Calculation!ES380+O380+W380+Sheet1!BN382+Calculation!AS380+Calculation!DJ380-BP380)</f>
        <v>54.494193619491469</v>
      </c>
      <c r="AJ380" s="95"/>
      <c r="AM380" s="91">
        <f t="shared" si="44"/>
        <v>42008</v>
      </c>
      <c r="AN380" s="95">
        <f>Sheet1!BU382</f>
        <v>28.8</v>
      </c>
      <c r="AO380" s="95">
        <f>Sheet1!AA382</f>
        <v>29.51</v>
      </c>
      <c r="AP380" s="95">
        <f t="shared" si="39"/>
        <v>-1.5512000000000015</v>
      </c>
      <c r="AQ380" s="1055">
        <f>((Sheet1!BV382-(Sheet1!BU382-AP380))/(Sheet1!BU382-AP380))</f>
        <v>7.0797859722185538E-2</v>
      </c>
      <c r="AR380" s="95">
        <f t="shared" si="40"/>
        <v>31.061200000000003</v>
      </c>
      <c r="AS380" s="95">
        <f t="shared" si="41"/>
        <v>30.351200000000002</v>
      </c>
      <c r="AT380" s="90">
        <f>Sheet1!BB382</f>
        <v>1</v>
      </c>
      <c r="AU380" s="90">
        <f>Sheet1!AS382*GPMtoMGD</f>
        <v>2.2032000000000003E-2</v>
      </c>
      <c r="AV380" s="95">
        <f>Sheet1!AT382</f>
        <v>0</v>
      </c>
      <c r="AW380" s="90">
        <f>Sheet1!AV382*GPMtoMGD</f>
        <v>0.56937599999999999</v>
      </c>
      <c r="AX380" s="90">
        <f>Sheet1!AW382*GPMtoMGD</f>
        <v>0.67896000000000001</v>
      </c>
      <c r="AY380" s="90">
        <f>Sheet1!AX382*GPMtoMGD</f>
        <v>0</v>
      </c>
      <c r="AZ380" s="90">
        <f>Sheet1!AY382*GPMtoMGD</f>
        <v>0</v>
      </c>
      <c r="BA380" s="90">
        <f>Sheet1!AZ382*GPMtoMGD</f>
        <v>0</v>
      </c>
      <c r="BB380" s="90">
        <f>Sheet1!BP382*GPMtoMGD</f>
        <v>0.30960000000000004</v>
      </c>
      <c r="BC380" s="90">
        <f>Sheet1!CS382*GPMtoMGD</f>
        <v>0.55137599999999998</v>
      </c>
      <c r="BD380" s="90">
        <f>Sheet1!BO382*GPMtoMGD</f>
        <v>0.74217600000000006</v>
      </c>
      <c r="BE380" s="90">
        <f>Sheet1!BW382*GPMtoMGD</f>
        <v>0.82569599999999999</v>
      </c>
      <c r="BF380" s="90">
        <f>Sheet1!CN382*GPMtoMGD</f>
        <v>0.57153600000000004</v>
      </c>
      <c r="BG380" s="90">
        <f>Sheet1!CO382*GPMtoMGD</f>
        <v>0.49348800000000004</v>
      </c>
      <c r="BH380" s="90">
        <f>Sheet1!CP382*GPMtoMGD</f>
        <v>0.78393599999999997</v>
      </c>
      <c r="BI380" s="90">
        <f t="shared" si="45"/>
        <v>1.051776</v>
      </c>
      <c r="BK380" s="95">
        <f>SUM(AT380:BA380,BE380,Sheet1!BV382,'Calculations II'!BC380,Calculation!AQ380)</f>
        <v>46.197191243781091</v>
      </c>
      <c r="BM380" s="373">
        <f>0</f>
        <v>0</v>
      </c>
      <c r="BN380" s="373">
        <f>0</f>
        <v>0</v>
      </c>
      <c r="BP380" s="95">
        <f>SUM(BM380:BN380,W380,Sheet1!DX382)</f>
        <v>0</v>
      </c>
    </row>
    <row r="381" spans="1:68" s="90" customFormat="1">
      <c r="B381" s="92">
        <v>42009</v>
      </c>
      <c r="C381" s="93">
        <v>0</v>
      </c>
      <c r="D381" s="95">
        <f>(Sheet1!BQ383-Sheet1!BQ382)*1.385</f>
        <v>-17.71415</v>
      </c>
      <c r="E381" s="30">
        <f>(Sheet1!BR383-Sheet1!BR382)*1.385</f>
        <v>-18.088100000000001</v>
      </c>
      <c r="F381" s="30">
        <f ca="1">IF(B381=TODAY(),0,-(VLOOKUP(Sheet1!CD383,Lookup!$I$4:$J$216,2)-VLOOKUP(Sheet1!CD382,Lookup!$I$4:$J$216,2))/1000000)</f>
        <v>13.003359606534373</v>
      </c>
      <c r="G381" s="95">
        <f ca="1">IF(B381=TODAY(),0,-$G$6*(Sheet1!CF383-Sheet1!CF382)*7.48/1000000)</f>
        <v>4.8847606294647941</v>
      </c>
      <c r="H381" s="95">
        <f ca="1">IF(B381=TODAY(),0,-$H$6*(Sheet1!CE383-Sheet1!CE382)*7.48/1000000)</f>
        <v>4.6622240288921679</v>
      </c>
      <c r="I381" s="95">
        <f ca="1">IF(B381=TODAY(),0,-$I$6*(Sheet1!CG383-Sheet1!CG382)*7.48/1000000)</f>
        <v>0.27853425600000004</v>
      </c>
      <c r="J381" s="96" t="s">
        <v>186</v>
      </c>
      <c r="K381" s="95">
        <f ca="1">IF(B381=TODAY(),0,-$K$6*(Sheet1!CH383-Sheet1!CH382)*7.48/1000000)</f>
        <v>0.75295520231380408</v>
      </c>
      <c r="L381" s="96" t="s">
        <v>186</v>
      </c>
      <c r="M381" s="95">
        <f ca="1">IF(B381=TODAY(),0,-$M$6*(Sheet1!CI383-Sheet1!CI382)*7.48/1000000)</f>
        <v>2.8066753147722192</v>
      </c>
      <c r="N381" s="95">
        <f ca="1">IF(B381=TODAY(),0,-$N$6*(Sheet1!CJ383-Sheet1!CJ382)*7.48/1000000)</f>
        <v>7.7441327052490632</v>
      </c>
      <c r="O381" s="95">
        <f t="shared" ca="1" si="42"/>
        <v>34.132641743226422</v>
      </c>
      <c r="P381" s="95">
        <f ca="1">O381+Calculation!ES381</f>
        <v>65.919719585286771</v>
      </c>
      <c r="Q381" s="90" t="str">
        <f>IF(Sheet1!BQ383&gt;25.75,"spill elevation","-")</f>
        <v>-</v>
      </c>
      <c r="R381" s="90" t="str">
        <f>IF(Sheet1!BQ383&gt;25.75,"spill elevation","-")</f>
        <v>-</v>
      </c>
      <c r="S381" s="90" t="str">
        <f>IF(Sheet1!BR383&gt;25.75,"spill elevation","-")</f>
        <v>-</v>
      </c>
      <c r="T381" s="94">
        <f>IF(Sheet1!DU383=1,Sheet1!AA383-(SUM(AT381:BA381)+BE381),Sheet1!AA383-SUM(AT381:BA381))</f>
        <v>0</v>
      </c>
      <c r="U381" s="94">
        <f>Sheet1!BV383</f>
        <v>0</v>
      </c>
      <c r="V381" s="94">
        <f t="shared" si="43"/>
        <v>0</v>
      </c>
      <c r="W381" s="94">
        <f>0</f>
        <v>0</v>
      </c>
      <c r="X381" s="90">
        <f>0</f>
        <v>0</v>
      </c>
      <c r="Y381" s="95" t="e">
        <f ca="1">Calculation!#REF!+Calculation!ES381+'Calculations II'!O381-'Calculations II'!W381</f>
        <v>#REF!</v>
      </c>
      <c r="Z381" s="95" t="e">
        <f ca="1">Y381-Sheet1!#REF!</f>
        <v>#REF!</v>
      </c>
      <c r="AA381" s="95" t="e">
        <f ca="1">Y381+Calculation!#REF!+Calculation!#REF!</f>
        <v>#REF!</v>
      </c>
      <c r="AC381" s="95">
        <f>Sheet1!AA383+Sheet1!AB383+BC381</f>
        <v>0</v>
      </c>
      <c r="AD381" s="95">
        <f>Sheet1!AA383+Sheet1!BN383+'Calculations II'!BC381-Calculation!AS381-Calculation!DJ381</f>
        <v>0</v>
      </c>
      <c r="AE381" s="95">
        <f>Sheet1!AA383+Sheet1!AB383+'Calculations II'!BC381-Calculation!AS381-Calculation!DJ381</f>
        <v>0</v>
      </c>
      <c r="AF381" s="95">
        <f ca="1">Sheet1!AA383+Sheet1!BN383+P381+'Calculations II'!BC381+Calculation!AS381+Calculation!DJ381</f>
        <v>65.919719585286771</v>
      </c>
      <c r="AG381" s="95">
        <f ca="1">IF(B381=TODAY(),0,Sheet1!AA383+Sheet1!BN383+'Calculations II'!BC381+'Calculations II'!P381-Sheet1!CT383-BP381)</f>
        <v>65.919719585286771</v>
      </c>
      <c r="AH381" s="95">
        <f ca="1">IF(B381=TODAY(),0,Sheet1!AA383+Sheet1!BN383+'Calculations II'!BC381+'Calculations II'!P381-BP381)</f>
        <v>65.919719585286771</v>
      </c>
      <c r="AI381" s="95">
        <f ca="1">IF(B381=TODAY(),0,BC381+Sheet1!AA383+Calculation!ES381+O381+W381+Sheet1!BN383+Calculation!AS381+Calculation!DJ381-BP381)</f>
        <v>65.919719585286771</v>
      </c>
      <c r="AJ381" s="95"/>
      <c r="AM381" s="91">
        <f t="shared" si="44"/>
        <v>42009</v>
      </c>
      <c r="AN381" s="95">
        <f>Sheet1!BU383</f>
        <v>0</v>
      </c>
      <c r="AO381" s="95">
        <f>Sheet1!AA383</f>
        <v>0</v>
      </c>
      <c r="AP381" s="95">
        <f t="shared" si="39"/>
        <v>-35.802250000000001</v>
      </c>
      <c r="AQ381" s="1055">
        <f>((Sheet1!BV383-(Sheet1!BU383-AP381))/(Sheet1!BU383-AP381))</f>
        <v>-1</v>
      </c>
      <c r="AR381" s="95">
        <f t="shared" si="40"/>
        <v>35.802250000000001</v>
      </c>
      <c r="AS381" s="95">
        <f t="shared" si="41"/>
        <v>35.802250000000001</v>
      </c>
      <c r="AT381" s="90">
        <f>Sheet1!BB383</f>
        <v>0</v>
      </c>
      <c r="AU381" s="90">
        <f>Sheet1!AS383*GPMtoMGD</f>
        <v>0</v>
      </c>
      <c r="AV381" s="95">
        <f>Sheet1!AT383</f>
        <v>0</v>
      </c>
      <c r="AW381" s="90">
        <f>Sheet1!AV383*GPMtoMGD</f>
        <v>0</v>
      </c>
      <c r="AX381" s="90">
        <f>Sheet1!AW383*GPMtoMGD</f>
        <v>0</v>
      </c>
      <c r="AY381" s="90">
        <f>Sheet1!AX383*GPMtoMGD</f>
        <v>0</v>
      </c>
      <c r="AZ381" s="90">
        <f>Sheet1!AY383*GPMtoMGD</f>
        <v>0</v>
      </c>
      <c r="BA381" s="90">
        <f>Sheet1!AZ383*GPMtoMGD</f>
        <v>0</v>
      </c>
      <c r="BB381" s="90">
        <f>Sheet1!BP383*GPMtoMGD</f>
        <v>0</v>
      </c>
      <c r="BC381" s="90">
        <f>Sheet1!CS383*GPMtoMGD</f>
        <v>0</v>
      </c>
      <c r="BD381" s="90">
        <f>Sheet1!BO383*GPMtoMGD</f>
        <v>0</v>
      </c>
      <c r="BE381" s="90">
        <f>Sheet1!BW383*GPMtoMGD</f>
        <v>0</v>
      </c>
      <c r="BF381" s="90">
        <f>Sheet1!CN383*GPMtoMGD</f>
        <v>0</v>
      </c>
      <c r="BG381" s="90">
        <f>Sheet1!CO383*GPMtoMGD</f>
        <v>0</v>
      </c>
      <c r="BH381" s="90">
        <f>Sheet1!CP383*GPMtoMGD</f>
        <v>0</v>
      </c>
      <c r="BI381" s="90">
        <f t="shared" si="45"/>
        <v>0</v>
      </c>
      <c r="BK381" s="95">
        <f>SUM(AT381:BA381,BE381,Sheet1!BV383,'Calculations II'!BC381,Calculation!AQ381)</f>
        <v>0</v>
      </c>
      <c r="BM381" s="373">
        <f>0</f>
        <v>0</v>
      </c>
      <c r="BN381" s="373">
        <f>0</f>
        <v>0</v>
      </c>
      <c r="BP381" s="95">
        <f>SUM(BM381:BN381,W381,Sheet1!DX383)</f>
        <v>0</v>
      </c>
    </row>
    <row r="382" spans="1:68" s="90" customFormat="1">
      <c r="BP382" s="95"/>
    </row>
    <row r="383" spans="1:68" s="90" customFormat="1">
      <c r="BP383" s="95"/>
    </row>
    <row r="384" spans="1:68" s="90" customFormat="1">
      <c r="BP384" s="95"/>
    </row>
    <row r="385" spans="68:68" s="90" customFormat="1">
      <c r="BP385" s="95"/>
    </row>
    <row r="386" spans="68:68" s="90" customFormat="1">
      <c r="BP386" s="95"/>
    </row>
    <row r="387" spans="68:68" s="90" customFormat="1">
      <c r="BP387" s="95"/>
    </row>
    <row r="388" spans="68:68" s="90" customFormat="1">
      <c r="BP388" s="95"/>
    </row>
    <row r="389" spans="68:68" s="90" customFormat="1">
      <c r="BP389" s="95"/>
    </row>
    <row r="390" spans="68:68" s="90" customFormat="1">
      <c r="BP390" s="95"/>
    </row>
    <row r="391" spans="68:68" s="90" customFormat="1">
      <c r="BP391" s="95"/>
    </row>
    <row r="392" spans="68:68" s="90" customFormat="1">
      <c r="BP392" s="95"/>
    </row>
    <row r="393" spans="68:68" s="90" customFormat="1">
      <c r="BP393" s="95"/>
    </row>
    <row r="394" spans="68:68" s="90" customFormat="1">
      <c r="BP394" s="95"/>
    </row>
    <row r="395" spans="68:68" s="90" customFormat="1">
      <c r="BP395" s="95"/>
    </row>
    <row r="396" spans="68:68" s="90" customFormat="1">
      <c r="BP396" s="95"/>
    </row>
    <row r="397" spans="68:68" s="90" customFormat="1">
      <c r="BP397" s="95"/>
    </row>
    <row r="398" spans="68:68" s="90" customFormat="1">
      <c r="BP398" s="95"/>
    </row>
    <row r="399" spans="68:68" s="90" customFormat="1">
      <c r="BP399" s="95"/>
    </row>
    <row r="400" spans="68:68" s="90" customFormat="1">
      <c r="BP400" s="95"/>
    </row>
    <row r="401" spans="68:68" s="90" customFormat="1">
      <c r="BP401" s="95"/>
    </row>
    <row r="402" spans="68:68" s="90" customFormat="1">
      <c r="BP402" s="95"/>
    </row>
    <row r="403" spans="68:68" s="90" customFormat="1">
      <c r="BP403" s="95"/>
    </row>
    <row r="404" spans="68:68" s="90" customFormat="1">
      <c r="BP404" s="95"/>
    </row>
    <row r="405" spans="68:68" s="90" customFormat="1">
      <c r="BP405" s="95"/>
    </row>
    <row r="406" spans="68:68" s="90" customFormat="1">
      <c r="BP406" s="95"/>
    </row>
    <row r="407" spans="68:68" s="90" customFormat="1">
      <c r="BP407" s="95"/>
    </row>
    <row r="408" spans="68:68" s="90" customFormat="1">
      <c r="BP408" s="95"/>
    </row>
    <row r="409" spans="68:68" s="90" customFormat="1">
      <c r="BP409" s="95"/>
    </row>
    <row r="410" spans="68:68" s="90" customFormat="1">
      <c r="BP410" s="95"/>
    </row>
    <row r="411" spans="68:68" s="90" customFormat="1">
      <c r="BP411" s="95"/>
    </row>
    <row r="412" spans="68:68" s="90" customFormat="1">
      <c r="BP412" s="95"/>
    </row>
    <row r="413" spans="68:68" s="90" customFormat="1">
      <c r="BP413" s="95"/>
    </row>
    <row r="414" spans="68:68" s="90" customFormat="1">
      <c r="BP414" s="95"/>
    </row>
    <row r="415" spans="68:68" s="90" customFormat="1">
      <c r="BP415" s="95"/>
    </row>
    <row r="416" spans="68:68" s="90" customFormat="1">
      <c r="BP416" s="95"/>
    </row>
    <row r="417" spans="68:68" s="90" customFormat="1">
      <c r="BP417" s="95"/>
    </row>
    <row r="418" spans="68:68" s="90" customFormat="1">
      <c r="BP418" s="95"/>
    </row>
    <row r="419" spans="68:68" s="90" customFormat="1">
      <c r="BP419" s="95"/>
    </row>
    <row r="420" spans="68:68" s="90" customFormat="1">
      <c r="BP420" s="95"/>
    </row>
    <row r="421" spans="68:68" s="90" customFormat="1">
      <c r="BP421" s="95"/>
    </row>
    <row r="422" spans="68:68" s="90" customFormat="1">
      <c r="BP422" s="95"/>
    </row>
    <row r="423" spans="68:68" s="90" customFormat="1">
      <c r="BP423" s="95"/>
    </row>
    <row r="424" spans="68:68" s="90" customFormat="1">
      <c r="BP424" s="95"/>
    </row>
    <row r="425" spans="68:68" s="90" customFormat="1">
      <c r="BP425" s="95"/>
    </row>
    <row r="426" spans="68:68" s="90" customFormat="1">
      <c r="BP426" s="95"/>
    </row>
    <row r="427" spans="68:68" s="90" customFormat="1">
      <c r="BP427" s="95"/>
    </row>
    <row r="428" spans="68:68" s="90" customFormat="1">
      <c r="BP428" s="95"/>
    </row>
    <row r="429" spans="68:68" s="90" customFormat="1">
      <c r="BP429" s="95"/>
    </row>
    <row r="430" spans="68:68" s="90" customFormat="1">
      <c r="BP430" s="95"/>
    </row>
    <row r="431" spans="68:68" s="90" customFormat="1">
      <c r="BP431" s="95"/>
    </row>
    <row r="432" spans="68:68" s="90" customFormat="1">
      <c r="BP432" s="95"/>
    </row>
    <row r="433" spans="1:68" s="90" customFormat="1">
      <c r="BP433" s="95"/>
    </row>
    <row r="434" spans="1:68" s="90" customFormat="1">
      <c r="A434"/>
      <c r="BP434" s="95"/>
    </row>
  </sheetData>
  <mergeCells count="2">
    <mergeCell ref="B5:C5"/>
    <mergeCell ref="B6:C6"/>
  </mergeCells>
  <phoneticPr fontId="19"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sheetPr codeName="Sheet13"/>
  <dimension ref="A1:M1794"/>
  <sheetViews>
    <sheetView topLeftCell="A1153" workbookViewId="0">
      <selection activeCell="C1174" sqref="C1174"/>
    </sheetView>
  </sheetViews>
  <sheetFormatPr defaultColWidth="9.140625" defaultRowHeight="12.75"/>
  <cols>
    <col min="1" max="1" width="9.140625" style="65"/>
    <col min="2" max="6" width="9.140625" style="79"/>
    <col min="7" max="16384" width="9.140625" style="65"/>
  </cols>
  <sheetData>
    <row r="1" spans="1:13">
      <c r="A1" s="65" t="s">
        <v>234</v>
      </c>
    </row>
    <row r="2" spans="1:13" ht="15">
      <c r="B2" s="79" t="s">
        <v>235</v>
      </c>
      <c r="G2" s="65" t="s">
        <v>236</v>
      </c>
      <c r="J2" s="707"/>
      <c r="L2" s="65" t="s">
        <v>237</v>
      </c>
      <c r="M2" s="65">
        <f>1220+198</f>
        <v>1418</v>
      </c>
    </row>
    <row r="3" spans="1:13" ht="15">
      <c r="B3" s="79">
        <v>0</v>
      </c>
      <c r="C3" s="79">
        <v>1049</v>
      </c>
      <c r="D3" s="707">
        <v>1</v>
      </c>
      <c r="E3" s="707">
        <v>1050</v>
      </c>
      <c r="G3" s="65">
        <v>1050</v>
      </c>
      <c r="H3" s="707">
        <v>1</v>
      </c>
      <c r="I3" s="65">
        <v>1050.0999999999999</v>
      </c>
      <c r="J3" s="707">
        <v>1</v>
      </c>
      <c r="L3" s="65" t="s">
        <v>238</v>
      </c>
      <c r="M3" s="65">
        <f>VLOOKUP(M2,hhdelev_wcm,4) -(((VLOOKUP(M2,hhdelev_wcm,3)-M2)/(VLOOKUP(M2,hhdelev_wcm,3)-VLOOKUP(M2,hhdelev_wcm,1)))*(VLOOKUP(M2,hhdelev_wcm,4)-VLOOKUP(M2,hhdelev_wcm,2)))</f>
        <v>1081.4642857142589</v>
      </c>
    </row>
    <row r="4" spans="1:13" ht="15">
      <c r="B4" s="706">
        <v>1</v>
      </c>
      <c r="C4" s="706">
        <v>1050</v>
      </c>
      <c r="D4" s="707">
        <v>1</v>
      </c>
      <c r="E4" s="707">
        <v>1050.0999999999999</v>
      </c>
      <c r="G4" s="65">
        <v>1050.0999999999999</v>
      </c>
      <c r="H4" s="707">
        <v>1</v>
      </c>
      <c r="I4" s="65">
        <v>1050.2</v>
      </c>
      <c r="J4" s="707">
        <v>2</v>
      </c>
    </row>
    <row r="5" spans="1:13" ht="15">
      <c r="B5" s="706">
        <v>1</v>
      </c>
      <c r="C5" s="706">
        <v>1050.0999999999999</v>
      </c>
      <c r="D5" s="707">
        <v>2</v>
      </c>
      <c r="E5" s="707">
        <v>1050.2</v>
      </c>
      <c r="G5" s="65">
        <v>1050.2</v>
      </c>
      <c r="H5" s="707">
        <v>2</v>
      </c>
      <c r="I5" s="65">
        <v>1050.3</v>
      </c>
      <c r="J5" s="707">
        <v>2</v>
      </c>
      <c r="L5" s="65" t="s">
        <v>238</v>
      </c>
      <c r="M5" s="65">
        <v>1104.71</v>
      </c>
    </row>
    <row r="6" spans="1:13" ht="15">
      <c r="B6" s="706">
        <v>2</v>
      </c>
      <c r="C6" s="706">
        <v>1050.2</v>
      </c>
      <c r="D6" s="707">
        <v>2</v>
      </c>
      <c r="E6" s="707">
        <v>1050.3</v>
      </c>
      <c r="G6" s="65">
        <v>1050.3</v>
      </c>
      <c r="H6" s="707">
        <v>2</v>
      </c>
      <c r="I6" s="65">
        <v>1050.4000000000001</v>
      </c>
      <c r="J6" s="707">
        <v>2</v>
      </c>
      <c r="L6" s="65" t="s">
        <v>237</v>
      </c>
      <c r="M6" s="65">
        <f>(VLOOKUP(M5,hhdcap_wcm,4)-(((VLOOKUP(M5,hhdcap_wcm,3)-M5)/(VLOOKUP(M5,hhdcap_wcm,3)-VLOOKUP(M5,hhdcap_wcm,1)))*(VLOOKUP(M5,hhdcap_wcm,4)-VLOOKUP(M5,hhdcap_wcm,2))))</f>
        <v>6405.8000000134334</v>
      </c>
    </row>
    <row r="7" spans="1:13" ht="15">
      <c r="B7" s="706">
        <v>2</v>
      </c>
      <c r="C7" s="706">
        <v>1050.3</v>
      </c>
      <c r="D7" s="707">
        <v>2</v>
      </c>
      <c r="E7" s="707">
        <v>1050.4000000000001</v>
      </c>
      <c r="G7" s="65">
        <v>1050.4000000000001</v>
      </c>
      <c r="H7" s="707">
        <v>2</v>
      </c>
      <c r="I7" s="65">
        <v>1050.5</v>
      </c>
      <c r="J7" s="707">
        <v>2</v>
      </c>
    </row>
    <row r="8" spans="1:13" ht="15">
      <c r="B8" s="706">
        <v>2</v>
      </c>
      <c r="C8" s="706">
        <v>1050.4000000000001</v>
      </c>
      <c r="D8" s="707">
        <v>2</v>
      </c>
      <c r="E8" s="707">
        <v>1050.5</v>
      </c>
      <c r="G8" s="65">
        <v>1050.5</v>
      </c>
      <c r="H8" s="707">
        <v>2</v>
      </c>
      <c r="I8" s="65">
        <v>1050.5999999999999</v>
      </c>
      <c r="J8" s="707">
        <v>2</v>
      </c>
    </row>
    <row r="9" spans="1:13" ht="15">
      <c r="B9" s="706">
        <v>2</v>
      </c>
      <c r="C9" s="706">
        <v>1050.5</v>
      </c>
      <c r="D9" s="707">
        <v>2</v>
      </c>
      <c r="E9" s="707">
        <v>1050.5999999999999</v>
      </c>
      <c r="G9" s="65">
        <v>1050.5999999999999</v>
      </c>
      <c r="H9" s="707">
        <v>2</v>
      </c>
      <c r="I9" s="65">
        <v>1050.7</v>
      </c>
      <c r="J9" s="707">
        <v>2</v>
      </c>
      <c r="M9" s="106"/>
    </row>
    <row r="10" spans="1:13" ht="15">
      <c r="B10" s="706">
        <v>2</v>
      </c>
      <c r="C10" s="706">
        <v>1050.5999999999999</v>
      </c>
      <c r="D10" s="707">
        <v>2</v>
      </c>
      <c r="E10" s="707">
        <v>1050.7</v>
      </c>
      <c r="G10" s="65">
        <v>1050.7</v>
      </c>
      <c r="H10" s="707">
        <v>2</v>
      </c>
      <c r="I10" s="65">
        <v>1050.8</v>
      </c>
      <c r="J10" s="707">
        <v>2</v>
      </c>
      <c r="M10" s="106"/>
    </row>
    <row r="11" spans="1:13" ht="15">
      <c r="B11" s="706">
        <v>2</v>
      </c>
      <c r="C11" s="706">
        <v>1050.7</v>
      </c>
      <c r="D11" s="707">
        <v>2</v>
      </c>
      <c r="E11" s="707">
        <v>1050.8</v>
      </c>
      <c r="G11" s="65">
        <v>1050.8</v>
      </c>
      <c r="H11" s="707">
        <v>2</v>
      </c>
      <c r="I11" s="65">
        <v>1050.9000000000001</v>
      </c>
      <c r="J11" s="707">
        <v>2</v>
      </c>
      <c r="M11" s="106"/>
    </row>
    <row r="12" spans="1:13" ht="15">
      <c r="B12" s="706">
        <v>2</v>
      </c>
      <c r="C12" s="706">
        <v>1050.8</v>
      </c>
      <c r="D12" s="707">
        <v>2</v>
      </c>
      <c r="E12" s="707">
        <v>1050.9000000000001</v>
      </c>
      <c r="G12" s="65">
        <v>1050.9000000000001</v>
      </c>
      <c r="H12" s="707">
        <v>2</v>
      </c>
      <c r="I12" s="65">
        <v>1051</v>
      </c>
      <c r="J12" s="707">
        <v>2</v>
      </c>
      <c r="M12" s="106"/>
    </row>
    <row r="13" spans="1:13" ht="15">
      <c r="B13" s="706">
        <v>2</v>
      </c>
      <c r="C13" s="706">
        <v>1050.9000000000001</v>
      </c>
      <c r="D13" s="707">
        <v>2</v>
      </c>
      <c r="E13" s="707">
        <v>1051</v>
      </c>
      <c r="G13" s="65">
        <v>1051</v>
      </c>
      <c r="H13" s="707">
        <v>2</v>
      </c>
      <c r="I13" s="65">
        <v>1051.0999999999999</v>
      </c>
      <c r="J13" s="707">
        <v>2</v>
      </c>
    </row>
    <row r="14" spans="1:13" ht="15">
      <c r="B14" s="706">
        <v>2</v>
      </c>
      <c r="C14" s="706">
        <v>1051</v>
      </c>
      <c r="D14" s="707">
        <v>2</v>
      </c>
      <c r="E14" s="707">
        <v>1051.0999999999999</v>
      </c>
      <c r="G14" s="65">
        <v>1051.0999999999999</v>
      </c>
      <c r="H14" s="707">
        <v>2</v>
      </c>
      <c r="I14" s="65">
        <v>1051.2</v>
      </c>
      <c r="J14" s="707">
        <v>2</v>
      </c>
    </row>
    <row r="15" spans="1:13" ht="15">
      <c r="B15" s="706">
        <v>2</v>
      </c>
      <c r="C15" s="706">
        <v>1051.0999999999999</v>
      </c>
      <c r="D15" s="707">
        <v>2</v>
      </c>
      <c r="E15" s="707">
        <v>1051.2</v>
      </c>
      <c r="G15" s="65">
        <v>1051.2</v>
      </c>
      <c r="H15" s="707">
        <v>2</v>
      </c>
      <c r="I15" s="65">
        <v>1051.3</v>
      </c>
      <c r="J15" s="707">
        <v>2</v>
      </c>
    </row>
    <row r="16" spans="1:13" ht="15">
      <c r="B16" s="706">
        <v>2</v>
      </c>
      <c r="C16" s="706">
        <v>1051.2</v>
      </c>
      <c r="D16" s="707">
        <v>2</v>
      </c>
      <c r="E16" s="707">
        <v>1051.3</v>
      </c>
      <c r="G16" s="65">
        <v>1051.3</v>
      </c>
      <c r="H16" s="707">
        <v>2</v>
      </c>
      <c r="I16" s="65">
        <v>1051.4000000000001</v>
      </c>
      <c r="J16" s="707">
        <v>2</v>
      </c>
    </row>
    <row r="17" spans="2:10" ht="15">
      <c r="B17" s="706">
        <v>2</v>
      </c>
      <c r="C17" s="706">
        <v>1051.3</v>
      </c>
      <c r="D17" s="707">
        <v>2</v>
      </c>
      <c r="E17" s="707">
        <v>1051.4000000000001</v>
      </c>
      <c r="G17" s="65">
        <v>1051.4000000000001</v>
      </c>
      <c r="H17" s="707">
        <v>2</v>
      </c>
      <c r="I17" s="65">
        <v>1051.5</v>
      </c>
      <c r="J17" s="707">
        <v>2</v>
      </c>
    </row>
    <row r="18" spans="2:10" ht="15">
      <c r="B18" s="706">
        <v>2</v>
      </c>
      <c r="C18" s="706">
        <v>1051.4000000000001</v>
      </c>
      <c r="D18" s="707">
        <v>2</v>
      </c>
      <c r="E18" s="707">
        <v>1051.5</v>
      </c>
      <c r="G18" s="65">
        <v>1051.5</v>
      </c>
      <c r="H18" s="707">
        <v>2</v>
      </c>
      <c r="I18" s="65">
        <v>1051.5999999999999</v>
      </c>
      <c r="J18" s="707">
        <v>2</v>
      </c>
    </row>
    <row r="19" spans="2:10" ht="15">
      <c r="B19" s="706">
        <v>2</v>
      </c>
      <c r="C19" s="706">
        <v>1051.5</v>
      </c>
      <c r="D19" s="707">
        <v>2</v>
      </c>
      <c r="E19" s="707">
        <v>1051.5999999999999</v>
      </c>
      <c r="G19" s="65">
        <v>1051.5999999999999</v>
      </c>
      <c r="H19" s="707">
        <v>2</v>
      </c>
      <c r="I19" s="65">
        <v>1051.7</v>
      </c>
      <c r="J19" s="707">
        <v>2</v>
      </c>
    </row>
    <row r="20" spans="2:10" ht="15">
      <c r="B20" s="706">
        <v>2</v>
      </c>
      <c r="C20" s="706">
        <v>1051.5999999999999</v>
      </c>
      <c r="D20" s="707">
        <v>2</v>
      </c>
      <c r="E20" s="707">
        <v>1051.7</v>
      </c>
      <c r="G20" s="65">
        <v>1051.7</v>
      </c>
      <c r="H20" s="707">
        <v>2</v>
      </c>
      <c r="I20" s="65">
        <v>1051.8</v>
      </c>
      <c r="J20" s="707">
        <v>2</v>
      </c>
    </row>
    <row r="21" spans="2:10" ht="15">
      <c r="B21" s="706">
        <v>2</v>
      </c>
      <c r="C21" s="706">
        <v>1051.7</v>
      </c>
      <c r="D21" s="707">
        <v>2</v>
      </c>
      <c r="E21" s="707">
        <v>1051.8</v>
      </c>
      <c r="G21" s="65">
        <v>1051.8</v>
      </c>
      <c r="H21" s="707">
        <v>2</v>
      </c>
      <c r="I21" s="65">
        <v>1051.9000000000001</v>
      </c>
      <c r="J21" s="707">
        <v>2</v>
      </c>
    </row>
    <row r="22" spans="2:10" ht="15">
      <c r="B22" s="706">
        <v>2</v>
      </c>
      <c r="C22" s="706">
        <v>1051.8</v>
      </c>
      <c r="D22" s="707">
        <v>2</v>
      </c>
      <c r="E22" s="707">
        <v>1051.9000000000001</v>
      </c>
      <c r="G22" s="65">
        <v>1051.9000000000001</v>
      </c>
      <c r="H22" s="707">
        <v>2</v>
      </c>
      <c r="I22" s="65">
        <v>1052</v>
      </c>
      <c r="J22" s="707">
        <v>2</v>
      </c>
    </row>
    <row r="23" spans="2:10" ht="15">
      <c r="B23" s="706">
        <v>2</v>
      </c>
      <c r="C23" s="706">
        <v>1051.9000000000001</v>
      </c>
      <c r="D23" s="707">
        <v>2</v>
      </c>
      <c r="E23" s="707">
        <v>1052</v>
      </c>
      <c r="G23" s="65">
        <v>1052</v>
      </c>
      <c r="H23" s="707">
        <v>2</v>
      </c>
      <c r="I23" s="65">
        <v>1052.0999999999999</v>
      </c>
      <c r="J23" s="707">
        <v>2</v>
      </c>
    </row>
    <row r="24" spans="2:10" ht="15">
      <c r="B24" s="706">
        <v>2</v>
      </c>
      <c r="C24" s="706">
        <v>1052</v>
      </c>
      <c r="D24" s="707">
        <v>2</v>
      </c>
      <c r="E24" s="707">
        <v>1052.0999999999999</v>
      </c>
      <c r="G24" s="65">
        <v>1052.0999999999999</v>
      </c>
      <c r="H24" s="707">
        <v>2</v>
      </c>
      <c r="I24" s="65">
        <v>1052.2</v>
      </c>
      <c r="J24" s="707">
        <v>2</v>
      </c>
    </row>
    <row r="25" spans="2:10" ht="15">
      <c r="B25" s="706">
        <v>2</v>
      </c>
      <c r="C25" s="706">
        <v>1052.0999999999999</v>
      </c>
      <c r="D25" s="707">
        <v>2</v>
      </c>
      <c r="E25" s="707">
        <v>1052.2</v>
      </c>
      <c r="G25" s="65">
        <v>1052.2</v>
      </c>
      <c r="H25" s="707">
        <v>2</v>
      </c>
      <c r="I25" s="65">
        <v>1052.3</v>
      </c>
      <c r="J25" s="707">
        <v>2</v>
      </c>
    </row>
    <row r="26" spans="2:10" ht="15">
      <c r="B26" s="706">
        <v>2</v>
      </c>
      <c r="C26" s="706">
        <v>1052.2</v>
      </c>
      <c r="D26" s="707">
        <v>2</v>
      </c>
      <c r="E26" s="707">
        <v>1052.3</v>
      </c>
      <c r="G26" s="65">
        <v>1052.3</v>
      </c>
      <c r="H26" s="707">
        <v>2</v>
      </c>
      <c r="I26" s="65">
        <v>1052.4000000000001</v>
      </c>
      <c r="J26" s="707">
        <v>2</v>
      </c>
    </row>
    <row r="27" spans="2:10" ht="15">
      <c r="B27" s="706">
        <v>2</v>
      </c>
      <c r="C27" s="706">
        <v>1052.3</v>
      </c>
      <c r="D27" s="707">
        <v>2</v>
      </c>
      <c r="E27" s="707">
        <v>1052.4000000000001</v>
      </c>
      <c r="G27" s="65">
        <v>1052.4000000000001</v>
      </c>
      <c r="H27" s="707">
        <v>2</v>
      </c>
      <c r="I27" s="65">
        <v>1052.5</v>
      </c>
      <c r="J27" s="707">
        <v>2</v>
      </c>
    </row>
    <row r="28" spans="2:10" ht="15">
      <c r="B28" s="706">
        <v>2</v>
      </c>
      <c r="C28" s="706">
        <v>1052.4000000000001</v>
      </c>
      <c r="D28" s="707">
        <v>2</v>
      </c>
      <c r="E28" s="707">
        <v>1052.5</v>
      </c>
      <c r="G28" s="65">
        <v>1052.5</v>
      </c>
      <c r="H28" s="707">
        <v>2</v>
      </c>
      <c r="I28" s="65">
        <v>1052.5999999999999</v>
      </c>
      <c r="J28" s="707">
        <v>2</v>
      </c>
    </row>
    <row r="29" spans="2:10" ht="15">
      <c r="B29" s="706">
        <v>2</v>
      </c>
      <c r="C29" s="706">
        <v>1052.5</v>
      </c>
      <c r="D29" s="707">
        <v>2</v>
      </c>
      <c r="E29" s="707">
        <v>1052.5999999999999</v>
      </c>
      <c r="G29" s="65">
        <v>1052.5999999999999</v>
      </c>
      <c r="H29" s="707">
        <v>2</v>
      </c>
      <c r="I29" s="65">
        <v>1052.7</v>
      </c>
      <c r="J29" s="707">
        <v>2</v>
      </c>
    </row>
    <row r="30" spans="2:10" ht="15">
      <c r="B30" s="706">
        <v>2</v>
      </c>
      <c r="C30" s="706">
        <v>1052.5999999999999</v>
      </c>
      <c r="D30" s="707">
        <v>2</v>
      </c>
      <c r="E30" s="707">
        <v>1052.7</v>
      </c>
      <c r="G30" s="65">
        <v>1052.7</v>
      </c>
      <c r="H30" s="707">
        <v>2</v>
      </c>
      <c r="I30" s="65">
        <v>1052.8</v>
      </c>
      <c r="J30" s="707">
        <v>2</v>
      </c>
    </row>
    <row r="31" spans="2:10" ht="15">
      <c r="B31" s="706">
        <v>2</v>
      </c>
      <c r="C31" s="706">
        <v>1052.7</v>
      </c>
      <c r="D31" s="707">
        <v>2</v>
      </c>
      <c r="E31" s="707">
        <v>1052.8</v>
      </c>
      <c r="G31" s="65">
        <v>1052.8</v>
      </c>
      <c r="H31" s="707">
        <v>2</v>
      </c>
      <c r="I31" s="65">
        <v>1052.9000000000001</v>
      </c>
      <c r="J31" s="707">
        <v>2</v>
      </c>
    </row>
    <row r="32" spans="2:10" ht="15">
      <c r="B32" s="706">
        <v>2</v>
      </c>
      <c r="C32" s="706">
        <v>1052.8</v>
      </c>
      <c r="D32" s="707">
        <v>2</v>
      </c>
      <c r="E32" s="707">
        <v>1052.9000000000001</v>
      </c>
      <c r="G32" s="65">
        <v>1052.9000000000001</v>
      </c>
      <c r="H32" s="707">
        <v>2</v>
      </c>
      <c r="I32" s="65">
        <v>1053</v>
      </c>
      <c r="J32" s="707">
        <v>2</v>
      </c>
    </row>
    <row r="33" spans="2:10" ht="15">
      <c r="B33" s="706">
        <v>2</v>
      </c>
      <c r="C33" s="706">
        <v>1052.9000000000001</v>
      </c>
      <c r="D33" s="707">
        <v>2</v>
      </c>
      <c r="E33" s="707">
        <v>1053</v>
      </c>
      <c r="G33" s="65">
        <v>1053</v>
      </c>
      <c r="H33" s="707">
        <v>2</v>
      </c>
      <c r="I33" s="65">
        <v>1053.0999999999999</v>
      </c>
      <c r="J33" s="707">
        <v>2</v>
      </c>
    </row>
    <row r="34" spans="2:10" ht="15">
      <c r="B34" s="706">
        <v>2</v>
      </c>
      <c r="C34" s="706">
        <v>1053</v>
      </c>
      <c r="D34" s="707">
        <v>2</v>
      </c>
      <c r="E34" s="707">
        <v>1053.0999999999999</v>
      </c>
      <c r="G34" s="65">
        <v>1053.0999999999999</v>
      </c>
      <c r="H34" s="707">
        <v>2</v>
      </c>
      <c r="I34" s="65">
        <v>1053.2</v>
      </c>
      <c r="J34" s="707">
        <v>2</v>
      </c>
    </row>
    <row r="35" spans="2:10" ht="15">
      <c r="B35" s="706">
        <v>2</v>
      </c>
      <c r="C35" s="706">
        <v>1053.0999999999999</v>
      </c>
      <c r="D35" s="707">
        <v>2</v>
      </c>
      <c r="E35" s="707">
        <v>1053.2</v>
      </c>
      <c r="G35" s="65">
        <v>1053.2</v>
      </c>
      <c r="H35" s="707">
        <v>2</v>
      </c>
      <c r="I35" s="65">
        <v>1053.3</v>
      </c>
      <c r="J35" s="707">
        <v>2</v>
      </c>
    </row>
    <row r="36" spans="2:10" ht="15">
      <c r="B36" s="706">
        <v>2</v>
      </c>
      <c r="C36" s="706">
        <v>1053.2</v>
      </c>
      <c r="D36" s="707">
        <v>2</v>
      </c>
      <c r="E36" s="707">
        <v>1053.3</v>
      </c>
      <c r="G36" s="65">
        <v>1053.3</v>
      </c>
      <c r="H36" s="707">
        <v>2</v>
      </c>
      <c r="I36" s="65">
        <v>1053.4000000000001</v>
      </c>
      <c r="J36" s="707">
        <v>2</v>
      </c>
    </row>
    <row r="37" spans="2:10" ht="15">
      <c r="B37" s="706">
        <v>2</v>
      </c>
      <c r="C37" s="706">
        <v>1053.3</v>
      </c>
      <c r="D37" s="707">
        <v>2</v>
      </c>
      <c r="E37" s="707">
        <v>1053.4000000000001</v>
      </c>
      <c r="G37" s="65">
        <v>1053.4000000000001</v>
      </c>
      <c r="H37" s="707">
        <v>2</v>
      </c>
      <c r="I37" s="65">
        <v>1053.5</v>
      </c>
      <c r="J37" s="707">
        <v>2</v>
      </c>
    </row>
    <row r="38" spans="2:10" ht="15">
      <c r="B38" s="706">
        <v>2</v>
      </c>
      <c r="C38" s="706">
        <v>1053.4000000000001</v>
      </c>
      <c r="D38" s="707">
        <v>2</v>
      </c>
      <c r="E38" s="707">
        <v>1053.5</v>
      </c>
      <c r="G38" s="65">
        <v>1053.5</v>
      </c>
      <c r="H38" s="707">
        <v>2</v>
      </c>
      <c r="I38" s="65">
        <v>1053.5999999999999</v>
      </c>
      <c r="J38" s="707">
        <v>2</v>
      </c>
    </row>
    <row r="39" spans="2:10" ht="15">
      <c r="B39" s="706">
        <v>2</v>
      </c>
      <c r="C39" s="706">
        <v>1053.5</v>
      </c>
      <c r="D39" s="707">
        <v>2</v>
      </c>
      <c r="E39" s="707">
        <v>1053.5999999999999</v>
      </c>
      <c r="G39" s="65">
        <v>1053.5999999999999</v>
      </c>
      <c r="H39" s="707">
        <v>2</v>
      </c>
      <c r="I39" s="65">
        <v>1053.7</v>
      </c>
      <c r="J39" s="707">
        <v>2</v>
      </c>
    </row>
    <row r="40" spans="2:10" ht="15">
      <c r="B40" s="706">
        <v>2</v>
      </c>
      <c r="C40" s="706">
        <v>1053.5999999999999</v>
      </c>
      <c r="D40" s="707">
        <v>2</v>
      </c>
      <c r="E40" s="707">
        <v>1053.7</v>
      </c>
      <c r="G40" s="65">
        <v>1053.7</v>
      </c>
      <c r="H40" s="707">
        <v>2</v>
      </c>
      <c r="I40" s="65">
        <v>1053.8</v>
      </c>
      <c r="J40" s="707">
        <v>2</v>
      </c>
    </row>
    <row r="41" spans="2:10" ht="15">
      <c r="B41" s="706">
        <v>2</v>
      </c>
      <c r="C41" s="706">
        <v>1053.7</v>
      </c>
      <c r="D41" s="707">
        <v>2</v>
      </c>
      <c r="E41" s="707">
        <v>1053.8</v>
      </c>
      <c r="G41" s="65">
        <v>1053.8</v>
      </c>
      <c r="H41" s="707">
        <v>2</v>
      </c>
      <c r="I41" s="65">
        <v>1053.9000000000001</v>
      </c>
      <c r="J41" s="707">
        <v>2</v>
      </c>
    </row>
    <row r="42" spans="2:10" ht="15">
      <c r="B42" s="706">
        <v>2</v>
      </c>
      <c r="C42" s="706">
        <v>1053.8</v>
      </c>
      <c r="D42" s="707">
        <v>2</v>
      </c>
      <c r="E42" s="707">
        <v>1053.9000000000001</v>
      </c>
      <c r="G42" s="65">
        <v>1053.9000000000001</v>
      </c>
      <c r="H42" s="707">
        <v>2</v>
      </c>
      <c r="I42" s="65">
        <v>1054</v>
      </c>
      <c r="J42" s="707">
        <v>3</v>
      </c>
    </row>
    <row r="43" spans="2:10" ht="15">
      <c r="B43" s="706">
        <v>2</v>
      </c>
      <c r="C43" s="706">
        <v>1053.9000000000001</v>
      </c>
      <c r="D43" s="707">
        <v>3</v>
      </c>
      <c r="E43" s="707">
        <v>1054</v>
      </c>
      <c r="G43" s="65">
        <v>1054</v>
      </c>
      <c r="H43" s="707">
        <v>3</v>
      </c>
      <c r="I43" s="65">
        <v>1054.0999999999999</v>
      </c>
      <c r="J43" s="707">
        <v>3</v>
      </c>
    </row>
    <row r="44" spans="2:10" ht="15">
      <c r="B44" s="706">
        <v>3</v>
      </c>
      <c r="C44" s="706">
        <v>1054</v>
      </c>
      <c r="D44" s="707">
        <v>3</v>
      </c>
      <c r="E44" s="707">
        <v>1054.0999999999999</v>
      </c>
      <c r="G44" s="65">
        <v>1054.0999999999999</v>
      </c>
      <c r="H44" s="707">
        <v>3</v>
      </c>
      <c r="I44" s="65">
        <v>1054.2</v>
      </c>
      <c r="J44" s="707">
        <v>3</v>
      </c>
    </row>
    <row r="45" spans="2:10" ht="15">
      <c r="B45" s="706">
        <v>3</v>
      </c>
      <c r="C45" s="706">
        <v>1054.0999999999999</v>
      </c>
      <c r="D45" s="707">
        <v>3</v>
      </c>
      <c r="E45" s="707">
        <v>1054.2</v>
      </c>
      <c r="G45" s="65">
        <v>1054.2</v>
      </c>
      <c r="H45" s="707">
        <v>3</v>
      </c>
      <c r="I45" s="65">
        <v>1054.3</v>
      </c>
      <c r="J45" s="707">
        <v>3</v>
      </c>
    </row>
    <row r="46" spans="2:10" ht="15">
      <c r="B46" s="706">
        <v>3</v>
      </c>
      <c r="C46" s="706">
        <v>1054.2</v>
      </c>
      <c r="D46" s="707">
        <v>3</v>
      </c>
      <c r="E46" s="707">
        <v>1054.3</v>
      </c>
      <c r="G46" s="65">
        <v>1054.3</v>
      </c>
      <c r="H46" s="707">
        <v>3</v>
      </c>
      <c r="I46" s="65">
        <v>1054.4000000000001</v>
      </c>
      <c r="J46" s="707">
        <v>3</v>
      </c>
    </row>
    <row r="47" spans="2:10" ht="15">
      <c r="B47" s="706">
        <v>3</v>
      </c>
      <c r="C47" s="706">
        <v>1054.3</v>
      </c>
      <c r="D47" s="707">
        <v>3</v>
      </c>
      <c r="E47" s="707">
        <v>1054.4000000000001</v>
      </c>
      <c r="G47" s="65">
        <v>1054.4000000000001</v>
      </c>
      <c r="H47" s="707">
        <v>3</v>
      </c>
      <c r="I47" s="65">
        <v>1054.5</v>
      </c>
      <c r="J47" s="707">
        <v>3</v>
      </c>
    </row>
    <row r="48" spans="2:10" ht="15">
      <c r="B48" s="706">
        <v>3</v>
      </c>
      <c r="C48" s="706">
        <v>1054.4000000000001</v>
      </c>
      <c r="D48" s="707">
        <v>3</v>
      </c>
      <c r="E48" s="707">
        <v>1054.5</v>
      </c>
      <c r="G48" s="65">
        <v>1054.5</v>
      </c>
      <c r="H48" s="707">
        <v>3</v>
      </c>
      <c r="I48" s="65">
        <v>1054.5999999999999</v>
      </c>
      <c r="J48" s="707">
        <v>3</v>
      </c>
    </row>
    <row r="49" spans="2:10" ht="15">
      <c r="B49" s="706">
        <v>3</v>
      </c>
      <c r="C49" s="706">
        <v>1054.5</v>
      </c>
      <c r="D49" s="707">
        <v>3</v>
      </c>
      <c r="E49" s="707">
        <v>1054.5999999999999</v>
      </c>
      <c r="G49" s="65">
        <v>1054.5999999999999</v>
      </c>
      <c r="H49" s="707">
        <v>3</v>
      </c>
      <c r="I49" s="65">
        <v>1054.7</v>
      </c>
      <c r="J49" s="707">
        <v>3</v>
      </c>
    </row>
    <row r="50" spans="2:10" ht="15">
      <c r="B50" s="706">
        <v>3</v>
      </c>
      <c r="C50" s="706">
        <v>1054.5999999999999</v>
      </c>
      <c r="D50" s="707">
        <v>3</v>
      </c>
      <c r="E50" s="707">
        <v>1054.7</v>
      </c>
      <c r="G50" s="65">
        <v>1054.7</v>
      </c>
      <c r="H50" s="707">
        <v>3</v>
      </c>
      <c r="I50" s="65">
        <v>1054.8</v>
      </c>
      <c r="J50" s="707">
        <v>3</v>
      </c>
    </row>
    <row r="51" spans="2:10" ht="15">
      <c r="B51" s="706">
        <v>3</v>
      </c>
      <c r="C51" s="706">
        <v>1054.7</v>
      </c>
      <c r="D51" s="707">
        <v>3</v>
      </c>
      <c r="E51" s="707">
        <v>1054.8</v>
      </c>
      <c r="G51" s="65">
        <v>1054.8</v>
      </c>
      <c r="H51" s="707">
        <v>3</v>
      </c>
      <c r="I51" s="65">
        <v>1054.9000000000001</v>
      </c>
      <c r="J51" s="707">
        <v>3</v>
      </c>
    </row>
    <row r="52" spans="2:10" ht="15">
      <c r="B52" s="706">
        <v>3</v>
      </c>
      <c r="C52" s="706">
        <v>1054.8</v>
      </c>
      <c r="D52" s="707">
        <v>3</v>
      </c>
      <c r="E52" s="707">
        <v>1054.9000000000001</v>
      </c>
      <c r="G52" s="65">
        <v>1054.9000000000001</v>
      </c>
      <c r="H52" s="707">
        <v>3</v>
      </c>
      <c r="I52" s="65">
        <v>1055</v>
      </c>
      <c r="J52" s="707">
        <v>3</v>
      </c>
    </row>
    <row r="53" spans="2:10" ht="15">
      <c r="B53" s="706">
        <v>3</v>
      </c>
      <c r="C53" s="706">
        <v>1054.9000000000001</v>
      </c>
      <c r="D53" s="707">
        <v>3</v>
      </c>
      <c r="E53" s="707">
        <v>1055</v>
      </c>
      <c r="G53" s="65">
        <v>1055</v>
      </c>
      <c r="H53" s="707">
        <v>3</v>
      </c>
      <c r="I53" s="65">
        <v>1055.0999999999999</v>
      </c>
      <c r="J53" s="707">
        <v>3</v>
      </c>
    </row>
    <row r="54" spans="2:10" ht="15">
      <c r="B54" s="706">
        <v>3</v>
      </c>
      <c r="C54" s="706">
        <v>1055</v>
      </c>
      <c r="D54" s="707">
        <v>3</v>
      </c>
      <c r="E54" s="707">
        <v>1055.0999999999999</v>
      </c>
      <c r="G54" s="65">
        <v>1055.0999999999999</v>
      </c>
      <c r="H54" s="707">
        <v>3</v>
      </c>
      <c r="I54" s="65">
        <v>1055.2</v>
      </c>
      <c r="J54" s="707">
        <v>3</v>
      </c>
    </row>
    <row r="55" spans="2:10" ht="15">
      <c r="B55" s="706">
        <v>3</v>
      </c>
      <c r="C55" s="706">
        <v>1055.0999999999999</v>
      </c>
      <c r="D55" s="707">
        <v>3</v>
      </c>
      <c r="E55" s="707">
        <v>1055.2</v>
      </c>
      <c r="G55" s="65">
        <v>1055.2</v>
      </c>
      <c r="H55" s="707">
        <v>3</v>
      </c>
      <c r="I55" s="65">
        <v>1055.3</v>
      </c>
      <c r="J55" s="707">
        <v>3</v>
      </c>
    </row>
    <row r="56" spans="2:10" ht="15">
      <c r="B56" s="706">
        <v>3</v>
      </c>
      <c r="C56" s="706">
        <v>1055.2</v>
      </c>
      <c r="D56" s="707">
        <v>3</v>
      </c>
      <c r="E56" s="707">
        <v>1055.3</v>
      </c>
      <c r="G56" s="65">
        <v>1055.3</v>
      </c>
      <c r="H56" s="707">
        <v>3</v>
      </c>
      <c r="I56" s="65">
        <v>1055.4000000000001</v>
      </c>
      <c r="J56" s="707">
        <v>3</v>
      </c>
    </row>
    <row r="57" spans="2:10" ht="15">
      <c r="B57" s="706">
        <v>3</v>
      </c>
      <c r="C57" s="706">
        <v>1055.3</v>
      </c>
      <c r="D57" s="707">
        <v>3</v>
      </c>
      <c r="E57" s="707">
        <v>1055.4000000000001</v>
      </c>
      <c r="G57" s="65">
        <v>1055.4000000000001</v>
      </c>
      <c r="H57" s="707">
        <v>3</v>
      </c>
      <c r="I57" s="65">
        <v>1055.5</v>
      </c>
      <c r="J57" s="707">
        <v>3</v>
      </c>
    </row>
    <row r="58" spans="2:10" ht="15">
      <c r="B58" s="706">
        <v>3</v>
      </c>
      <c r="C58" s="706">
        <v>1055.4000000000001</v>
      </c>
      <c r="D58" s="707">
        <v>3</v>
      </c>
      <c r="E58" s="707">
        <v>1055.5</v>
      </c>
      <c r="G58" s="65">
        <v>1055.5</v>
      </c>
      <c r="H58" s="707">
        <v>3</v>
      </c>
      <c r="I58" s="65">
        <v>1055.5999999999999</v>
      </c>
      <c r="J58" s="707">
        <v>3</v>
      </c>
    </row>
    <row r="59" spans="2:10" ht="15">
      <c r="B59" s="706">
        <v>3</v>
      </c>
      <c r="C59" s="706">
        <v>1055.5</v>
      </c>
      <c r="D59" s="707">
        <v>3</v>
      </c>
      <c r="E59" s="707">
        <v>1055.5999999999999</v>
      </c>
      <c r="G59" s="65">
        <v>1055.5999999999999</v>
      </c>
      <c r="H59" s="707">
        <v>3</v>
      </c>
      <c r="I59" s="65">
        <v>1055.7</v>
      </c>
      <c r="J59" s="707">
        <v>3</v>
      </c>
    </row>
    <row r="60" spans="2:10" ht="15">
      <c r="B60" s="706">
        <v>3</v>
      </c>
      <c r="C60" s="706">
        <v>1055.5999999999999</v>
      </c>
      <c r="D60" s="707">
        <v>3</v>
      </c>
      <c r="E60" s="707">
        <v>1055.7</v>
      </c>
      <c r="G60" s="65">
        <v>1055.7</v>
      </c>
      <c r="H60" s="707">
        <v>3</v>
      </c>
      <c r="I60" s="65">
        <v>1055.8</v>
      </c>
      <c r="J60" s="707">
        <v>3</v>
      </c>
    </row>
    <row r="61" spans="2:10" ht="15">
      <c r="B61" s="706">
        <v>3</v>
      </c>
      <c r="C61" s="706">
        <v>1055.7</v>
      </c>
      <c r="D61" s="707">
        <v>3</v>
      </c>
      <c r="E61" s="707">
        <v>1055.8</v>
      </c>
      <c r="G61" s="65">
        <v>1055.8</v>
      </c>
      <c r="H61" s="707">
        <v>3</v>
      </c>
      <c r="I61" s="65">
        <v>1055.9000000000001</v>
      </c>
      <c r="J61" s="707">
        <v>3</v>
      </c>
    </row>
    <row r="62" spans="2:10" ht="15">
      <c r="B62" s="706">
        <v>3</v>
      </c>
      <c r="C62" s="706">
        <v>1055.8</v>
      </c>
      <c r="D62" s="707">
        <v>3</v>
      </c>
      <c r="E62" s="707">
        <v>1055.9000000000001</v>
      </c>
      <c r="G62" s="65">
        <v>1055.9000000000001</v>
      </c>
      <c r="H62" s="707">
        <v>3</v>
      </c>
      <c r="I62" s="65">
        <v>1056</v>
      </c>
      <c r="J62" s="707">
        <v>3</v>
      </c>
    </row>
    <row r="63" spans="2:10" ht="15">
      <c r="B63" s="706">
        <v>3</v>
      </c>
      <c r="C63" s="706">
        <v>1055.9000000000001</v>
      </c>
      <c r="D63" s="707">
        <v>3</v>
      </c>
      <c r="E63" s="707">
        <v>1056</v>
      </c>
      <c r="G63" s="65">
        <v>1056</v>
      </c>
      <c r="H63" s="707">
        <v>3</v>
      </c>
      <c r="I63" s="65">
        <v>1056.0999999999999</v>
      </c>
      <c r="J63" s="707">
        <v>3</v>
      </c>
    </row>
    <row r="64" spans="2:10" ht="15">
      <c r="B64" s="706">
        <v>3</v>
      </c>
      <c r="C64" s="706">
        <v>1056</v>
      </c>
      <c r="D64" s="707">
        <v>3</v>
      </c>
      <c r="E64" s="707">
        <v>1056.0999999999999</v>
      </c>
      <c r="G64" s="65">
        <v>1056.0999999999999</v>
      </c>
      <c r="H64" s="707">
        <v>3</v>
      </c>
      <c r="I64" s="65">
        <v>1056.2</v>
      </c>
      <c r="J64" s="707">
        <v>4</v>
      </c>
    </row>
    <row r="65" spans="2:10" ht="15">
      <c r="B65" s="706">
        <v>3</v>
      </c>
      <c r="C65" s="706">
        <v>1056.0999999999999</v>
      </c>
      <c r="D65" s="707">
        <v>4</v>
      </c>
      <c r="E65" s="707">
        <v>1056.2</v>
      </c>
      <c r="G65" s="65">
        <v>1056.2</v>
      </c>
      <c r="H65" s="707">
        <v>4</v>
      </c>
      <c r="I65" s="65">
        <v>1056.3</v>
      </c>
      <c r="J65" s="707">
        <v>4</v>
      </c>
    </row>
    <row r="66" spans="2:10" ht="15">
      <c r="B66" s="706">
        <v>4</v>
      </c>
      <c r="C66" s="706">
        <v>1056.2</v>
      </c>
      <c r="D66" s="707">
        <v>4</v>
      </c>
      <c r="E66" s="707">
        <v>1056.3</v>
      </c>
      <c r="G66" s="65">
        <v>1056.3</v>
      </c>
      <c r="H66" s="707">
        <v>4</v>
      </c>
      <c r="I66" s="65">
        <v>1056.4000000000001</v>
      </c>
      <c r="J66" s="707">
        <v>4</v>
      </c>
    </row>
    <row r="67" spans="2:10" ht="15">
      <c r="B67" s="706">
        <v>4</v>
      </c>
      <c r="C67" s="706">
        <v>1056.3</v>
      </c>
      <c r="D67" s="707">
        <v>4</v>
      </c>
      <c r="E67" s="707">
        <v>1056.4000000000001</v>
      </c>
      <c r="G67" s="65">
        <v>1056.4000000000001</v>
      </c>
      <c r="H67" s="707">
        <v>4</v>
      </c>
      <c r="I67" s="65">
        <v>1056.5</v>
      </c>
      <c r="J67" s="707">
        <v>4</v>
      </c>
    </row>
    <row r="68" spans="2:10" ht="15">
      <c r="B68" s="706">
        <v>4</v>
      </c>
      <c r="C68" s="706">
        <v>1056.4000000000001</v>
      </c>
      <c r="D68" s="707">
        <v>4</v>
      </c>
      <c r="E68" s="707">
        <v>1056.5</v>
      </c>
      <c r="G68" s="65">
        <v>1056.5</v>
      </c>
      <c r="H68" s="707">
        <v>4</v>
      </c>
      <c r="I68" s="65">
        <v>1056.5999999999999</v>
      </c>
      <c r="J68" s="707">
        <v>4</v>
      </c>
    </row>
    <row r="69" spans="2:10" ht="15">
      <c r="B69" s="706">
        <v>4</v>
      </c>
      <c r="C69" s="706">
        <v>1056.5</v>
      </c>
      <c r="D69" s="707">
        <v>4</v>
      </c>
      <c r="E69" s="707">
        <v>1056.5999999999999</v>
      </c>
      <c r="G69" s="65">
        <v>1056.5999999999999</v>
      </c>
      <c r="H69" s="707">
        <v>4</v>
      </c>
      <c r="I69" s="65">
        <v>1056.7</v>
      </c>
      <c r="J69" s="707">
        <v>4</v>
      </c>
    </row>
    <row r="70" spans="2:10" ht="15">
      <c r="B70" s="706">
        <v>4</v>
      </c>
      <c r="C70" s="706">
        <v>1056.5999999999999</v>
      </c>
      <c r="D70" s="707">
        <v>4</v>
      </c>
      <c r="E70" s="707">
        <v>1056.7</v>
      </c>
      <c r="G70" s="65">
        <v>1056.7</v>
      </c>
      <c r="H70" s="707">
        <v>4</v>
      </c>
      <c r="I70" s="65">
        <v>1056.8</v>
      </c>
      <c r="J70" s="707">
        <v>4</v>
      </c>
    </row>
    <row r="71" spans="2:10" ht="15">
      <c r="B71" s="706">
        <v>4</v>
      </c>
      <c r="C71" s="706">
        <v>1056.7</v>
      </c>
      <c r="D71" s="707">
        <v>4</v>
      </c>
      <c r="E71" s="707">
        <v>1056.8</v>
      </c>
      <c r="G71" s="65">
        <v>1056.8</v>
      </c>
      <c r="H71" s="707">
        <v>4</v>
      </c>
      <c r="I71" s="65">
        <v>1056.9000000000001</v>
      </c>
      <c r="J71" s="707">
        <v>4</v>
      </c>
    </row>
    <row r="72" spans="2:10" ht="15">
      <c r="B72" s="706">
        <v>4</v>
      </c>
      <c r="C72" s="706">
        <v>1056.8</v>
      </c>
      <c r="D72" s="707">
        <v>4</v>
      </c>
      <c r="E72" s="707">
        <v>1056.9000000000001</v>
      </c>
      <c r="G72" s="65">
        <v>1056.9000000000001</v>
      </c>
      <c r="H72" s="707">
        <v>4</v>
      </c>
      <c r="I72" s="65">
        <v>1057</v>
      </c>
      <c r="J72" s="707">
        <v>4</v>
      </c>
    </row>
    <row r="73" spans="2:10" ht="15">
      <c r="B73" s="706">
        <v>4</v>
      </c>
      <c r="C73" s="706">
        <v>1056.9000000000001</v>
      </c>
      <c r="D73" s="707">
        <v>4</v>
      </c>
      <c r="E73" s="707">
        <v>1057</v>
      </c>
      <c r="G73" s="65">
        <v>1057</v>
      </c>
      <c r="H73" s="707">
        <v>4</v>
      </c>
      <c r="I73" s="65">
        <v>1057.0999999999999</v>
      </c>
      <c r="J73" s="707">
        <v>4</v>
      </c>
    </row>
    <row r="74" spans="2:10" ht="15">
      <c r="B74" s="706">
        <v>4</v>
      </c>
      <c r="C74" s="706">
        <v>1057</v>
      </c>
      <c r="D74" s="707">
        <v>4</v>
      </c>
      <c r="E74" s="707">
        <v>1057.0999999999999</v>
      </c>
      <c r="G74" s="65">
        <v>1057.0999999999999</v>
      </c>
      <c r="H74" s="707">
        <v>4</v>
      </c>
      <c r="I74" s="65">
        <v>1057.2</v>
      </c>
      <c r="J74" s="707">
        <v>4</v>
      </c>
    </row>
    <row r="75" spans="2:10" ht="15">
      <c r="B75" s="706">
        <v>4</v>
      </c>
      <c r="C75" s="706">
        <v>1057.0999999999999</v>
      </c>
      <c r="D75" s="707">
        <v>4</v>
      </c>
      <c r="E75" s="707">
        <v>1057.2</v>
      </c>
      <c r="G75" s="65">
        <v>1057.2</v>
      </c>
      <c r="H75" s="707">
        <v>4</v>
      </c>
      <c r="I75" s="65">
        <v>1057.3</v>
      </c>
      <c r="J75" s="707">
        <v>4</v>
      </c>
    </row>
    <row r="76" spans="2:10" ht="15">
      <c r="B76" s="706">
        <v>4</v>
      </c>
      <c r="C76" s="706">
        <v>1057.2</v>
      </c>
      <c r="D76" s="707">
        <v>4</v>
      </c>
      <c r="E76" s="707">
        <v>1057.3</v>
      </c>
      <c r="G76" s="65">
        <v>1057.3</v>
      </c>
      <c r="H76" s="707">
        <v>4</v>
      </c>
      <c r="I76" s="65">
        <v>1057.4000000000001</v>
      </c>
      <c r="J76" s="707">
        <v>5</v>
      </c>
    </row>
    <row r="77" spans="2:10" ht="15">
      <c r="B77" s="706">
        <v>4</v>
      </c>
      <c r="C77" s="706">
        <v>1057.3</v>
      </c>
      <c r="D77" s="707">
        <v>5</v>
      </c>
      <c r="E77" s="707">
        <v>1057.4000000000001</v>
      </c>
      <c r="G77" s="65">
        <v>1057.4000000000001</v>
      </c>
      <c r="H77" s="707">
        <v>5</v>
      </c>
      <c r="I77" s="65">
        <v>1057.5</v>
      </c>
      <c r="J77" s="707">
        <v>5</v>
      </c>
    </row>
    <row r="78" spans="2:10" ht="15">
      <c r="B78" s="706">
        <v>5</v>
      </c>
      <c r="C78" s="706">
        <v>1057.4000000000001</v>
      </c>
      <c r="D78" s="707">
        <v>5</v>
      </c>
      <c r="E78" s="707">
        <v>1057.5</v>
      </c>
      <c r="G78" s="65">
        <v>1057.5</v>
      </c>
      <c r="H78" s="707">
        <v>5</v>
      </c>
      <c r="I78" s="65">
        <v>1057.5999999999949</v>
      </c>
      <c r="J78" s="707">
        <v>5</v>
      </c>
    </row>
    <row r="79" spans="2:10" ht="15">
      <c r="B79" s="706">
        <v>5</v>
      </c>
      <c r="C79" s="706">
        <v>1057.5</v>
      </c>
      <c r="D79" s="707">
        <v>5</v>
      </c>
      <c r="E79" s="707">
        <v>1057.5999999999949</v>
      </c>
      <c r="G79" s="65">
        <v>1057.5999999999949</v>
      </c>
      <c r="H79" s="707">
        <v>5</v>
      </c>
      <c r="I79" s="65">
        <v>1057.6999999999948</v>
      </c>
      <c r="J79" s="707">
        <v>5</v>
      </c>
    </row>
    <row r="80" spans="2:10" ht="15">
      <c r="B80" s="706">
        <v>5</v>
      </c>
      <c r="C80" s="706">
        <v>1057.5999999999949</v>
      </c>
      <c r="D80" s="707">
        <v>5</v>
      </c>
      <c r="E80" s="707">
        <v>1057.6999999999948</v>
      </c>
      <c r="G80" s="65">
        <v>1057.6999999999948</v>
      </c>
      <c r="H80" s="707">
        <v>5</v>
      </c>
      <c r="I80" s="65">
        <v>1057.7999999999947</v>
      </c>
      <c r="J80" s="707">
        <v>5</v>
      </c>
    </row>
    <row r="81" spans="2:10" ht="15">
      <c r="B81" s="706">
        <v>5</v>
      </c>
      <c r="C81" s="706">
        <v>1057.6999999999948</v>
      </c>
      <c r="D81" s="707">
        <v>5</v>
      </c>
      <c r="E81" s="707">
        <v>1057.7999999999947</v>
      </c>
      <c r="G81" s="65">
        <v>1057.7999999999947</v>
      </c>
      <c r="H81" s="707">
        <v>5</v>
      </c>
      <c r="I81" s="65">
        <v>1057.8999999999946</v>
      </c>
      <c r="J81" s="707">
        <v>5</v>
      </c>
    </row>
    <row r="82" spans="2:10" ht="15">
      <c r="B82" s="706">
        <v>5</v>
      </c>
      <c r="C82" s="706">
        <v>1057.7999999999947</v>
      </c>
      <c r="D82" s="707">
        <v>5</v>
      </c>
      <c r="E82" s="707">
        <v>1057.8999999999946</v>
      </c>
      <c r="G82" s="65">
        <v>1057.8999999999946</v>
      </c>
      <c r="H82" s="707">
        <v>5</v>
      </c>
      <c r="I82" s="65">
        <v>1057.9999999999945</v>
      </c>
      <c r="J82" s="707">
        <v>5</v>
      </c>
    </row>
    <row r="83" spans="2:10" ht="15">
      <c r="B83" s="706">
        <v>5</v>
      </c>
      <c r="C83" s="706">
        <v>1057.8999999999946</v>
      </c>
      <c r="D83" s="707">
        <v>5</v>
      </c>
      <c r="E83" s="707">
        <v>1057.9999999999945</v>
      </c>
      <c r="G83" s="65">
        <v>1057.9999999999945</v>
      </c>
      <c r="H83" s="707">
        <v>5</v>
      </c>
      <c r="I83" s="65">
        <v>1058.0999999999945</v>
      </c>
      <c r="J83" s="707">
        <v>5</v>
      </c>
    </row>
    <row r="84" spans="2:10" ht="15">
      <c r="B84" s="706">
        <v>5</v>
      </c>
      <c r="C84" s="706">
        <v>1057.9999999999945</v>
      </c>
      <c r="D84" s="707">
        <v>5</v>
      </c>
      <c r="E84" s="707">
        <v>1058.0999999999945</v>
      </c>
      <c r="G84" s="65">
        <v>1058.0999999999945</v>
      </c>
      <c r="H84" s="707">
        <v>5</v>
      </c>
      <c r="I84" s="65">
        <v>1058.1999999999944</v>
      </c>
      <c r="J84" s="707">
        <v>6</v>
      </c>
    </row>
    <row r="85" spans="2:10" ht="15">
      <c r="B85" s="706">
        <v>5</v>
      </c>
      <c r="C85" s="706">
        <v>1058.0999999999945</v>
      </c>
      <c r="D85" s="707">
        <v>6</v>
      </c>
      <c r="E85" s="707">
        <v>1058.1999999999944</v>
      </c>
      <c r="G85" s="65">
        <v>1058.1999999999944</v>
      </c>
      <c r="H85" s="707">
        <v>6</v>
      </c>
      <c r="I85" s="65">
        <v>1058.2999999999943</v>
      </c>
      <c r="J85" s="707">
        <v>6</v>
      </c>
    </row>
    <row r="86" spans="2:10" ht="15">
      <c r="B86" s="706">
        <v>6</v>
      </c>
      <c r="C86" s="706">
        <v>1058.1999999999944</v>
      </c>
      <c r="D86" s="707">
        <v>6</v>
      </c>
      <c r="E86" s="707">
        <v>1058.2999999999943</v>
      </c>
      <c r="G86" s="65">
        <v>1058.2999999999943</v>
      </c>
      <c r="H86" s="707">
        <v>6</v>
      </c>
      <c r="I86" s="65">
        <v>1058.3999999999942</v>
      </c>
      <c r="J86" s="707">
        <v>6</v>
      </c>
    </row>
    <row r="87" spans="2:10" ht="15">
      <c r="B87" s="706">
        <v>6</v>
      </c>
      <c r="C87" s="706">
        <v>1058.2999999999943</v>
      </c>
      <c r="D87" s="707">
        <v>6</v>
      </c>
      <c r="E87" s="707">
        <v>1058.3999999999942</v>
      </c>
      <c r="G87" s="65">
        <v>1058.3999999999942</v>
      </c>
      <c r="H87" s="707">
        <v>6</v>
      </c>
      <c r="I87" s="65">
        <v>1058.4999999999941</v>
      </c>
      <c r="J87" s="707">
        <v>6</v>
      </c>
    </row>
    <row r="88" spans="2:10" ht="15">
      <c r="B88" s="706">
        <v>6</v>
      </c>
      <c r="C88" s="706">
        <v>1058.3999999999942</v>
      </c>
      <c r="D88" s="707">
        <v>6</v>
      </c>
      <c r="E88" s="707">
        <v>1058.4999999999941</v>
      </c>
      <c r="G88" s="65">
        <v>1058.4999999999941</v>
      </c>
      <c r="H88" s="707">
        <v>6</v>
      </c>
      <c r="I88" s="65">
        <v>1058.599999999994</v>
      </c>
      <c r="J88" s="707">
        <v>6</v>
      </c>
    </row>
    <row r="89" spans="2:10" ht="15">
      <c r="B89" s="706">
        <v>6</v>
      </c>
      <c r="C89" s="706">
        <v>1058.4999999999941</v>
      </c>
      <c r="D89" s="707">
        <v>6</v>
      </c>
      <c r="E89" s="707">
        <v>1058.599999999994</v>
      </c>
      <c r="G89" s="65">
        <v>1058.599999999994</v>
      </c>
      <c r="H89" s="707">
        <v>6</v>
      </c>
      <c r="I89" s="65">
        <v>1058.6999999999939</v>
      </c>
      <c r="J89" s="707">
        <v>7</v>
      </c>
    </row>
    <row r="90" spans="2:10" ht="15">
      <c r="B90" s="706">
        <v>6</v>
      </c>
      <c r="C90" s="706">
        <v>1058.599999999994</v>
      </c>
      <c r="D90" s="707">
        <v>7</v>
      </c>
      <c r="E90" s="707">
        <v>1058.6999999999939</v>
      </c>
      <c r="G90" s="65">
        <v>1058.6999999999939</v>
      </c>
      <c r="H90" s="707">
        <v>7</v>
      </c>
      <c r="I90" s="65">
        <v>1058.7999999999938</v>
      </c>
      <c r="J90" s="707">
        <v>7</v>
      </c>
    </row>
    <row r="91" spans="2:10" ht="15">
      <c r="B91" s="706">
        <v>7</v>
      </c>
      <c r="C91" s="706">
        <v>1058.6999999999939</v>
      </c>
      <c r="D91" s="707">
        <v>7</v>
      </c>
      <c r="E91" s="707">
        <v>1058.7999999999938</v>
      </c>
      <c r="G91" s="65">
        <v>1058.7999999999938</v>
      </c>
      <c r="H91" s="707">
        <v>7</v>
      </c>
      <c r="I91" s="65">
        <v>1058.8999999999937</v>
      </c>
      <c r="J91" s="707">
        <v>7</v>
      </c>
    </row>
    <row r="92" spans="2:10" ht="15">
      <c r="B92" s="706">
        <v>7</v>
      </c>
      <c r="C92" s="706">
        <v>1058.7999999999938</v>
      </c>
      <c r="D92" s="707">
        <v>7</v>
      </c>
      <c r="E92" s="707">
        <v>1058.8999999999937</v>
      </c>
      <c r="G92" s="65">
        <v>1058.8999999999937</v>
      </c>
      <c r="H92" s="707">
        <v>7</v>
      </c>
      <c r="I92" s="65">
        <v>1058.9999999999936</v>
      </c>
      <c r="J92" s="707">
        <v>7</v>
      </c>
    </row>
    <row r="93" spans="2:10" ht="15">
      <c r="B93" s="706">
        <v>7</v>
      </c>
      <c r="C93" s="706">
        <v>1058.8999999999937</v>
      </c>
      <c r="D93" s="707">
        <v>7</v>
      </c>
      <c r="E93" s="707">
        <v>1058.9999999999936</v>
      </c>
      <c r="G93" s="65">
        <v>1058.9999999999936</v>
      </c>
      <c r="H93" s="707">
        <v>7</v>
      </c>
      <c r="I93" s="65">
        <v>1059.0999999999935</v>
      </c>
      <c r="J93" s="707">
        <v>8</v>
      </c>
    </row>
    <row r="94" spans="2:10" ht="15">
      <c r="B94" s="706">
        <v>7</v>
      </c>
      <c r="C94" s="706">
        <v>1058.9999999999936</v>
      </c>
      <c r="D94" s="707">
        <v>8</v>
      </c>
      <c r="E94" s="707">
        <v>1059.0999999999935</v>
      </c>
      <c r="G94" s="65">
        <v>1059.0999999999935</v>
      </c>
      <c r="H94" s="707">
        <v>8</v>
      </c>
      <c r="I94" s="65">
        <v>1059.1999999999935</v>
      </c>
      <c r="J94" s="707">
        <v>8</v>
      </c>
    </row>
    <row r="95" spans="2:10" ht="15">
      <c r="B95" s="706">
        <v>8</v>
      </c>
      <c r="C95" s="706">
        <v>1059.0999999999935</v>
      </c>
      <c r="D95" s="707">
        <v>8</v>
      </c>
      <c r="E95" s="707">
        <v>1059.1999999999935</v>
      </c>
      <c r="G95" s="65">
        <v>1059.1999999999935</v>
      </c>
      <c r="H95" s="707">
        <v>8</v>
      </c>
      <c r="I95" s="65">
        <v>1059.2999999999934</v>
      </c>
      <c r="J95" s="707">
        <v>8</v>
      </c>
    </row>
    <row r="96" spans="2:10" ht="15">
      <c r="B96" s="706">
        <v>8</v>
      </c>
      <c r="C96" s="706">
        <v>1059.1999999999935</v>
      </c>
      <c r="D96" s="707">
        <v>8</v>
      </c>
      <c r="E96" s="707">
        <v>1059.2999999999934</v>
      </c>
      <c r="G96" s="65">
        <v>1059.2999999999934</v>
      </c>
      <c r="H96" s="707">
        <v>8</v>
      </c>
      <c r="I96" s="65">
        <v>1059.3999999999933</v>
      </c>
      <c r="J96" s="707">
        <v>8</v>
      </c>
    </row>
    <row r="97" spans="2:10" ht="15">
      <c r="B97" s="706">
        <v>8</v>
      </c>
      <c r="C97" s="706">
        <v>1059.2999999999934</v>
      </c>
      <c r="D97" s="707">
        <v>8</v>
      </c>
      <c r="E97" s="707">
        <v>1059.3999999999933</v>
      </c>
      <c r="G97" s="65">
        <v>1059.3999999999933</v>
      </c>
      <c r="H97" s="707">
        <v>8</v>
      </c>
      <c r="I97" s="65">
        <v>1059.4999999999932</v>
      </c>
      <c r="J97" s="707">
        <v>9</v>
      </c>
    </row>
    <row r="98" spans="2:10" ht="15">
      <c r="B98" s="706">
        <v>8</v>
      </c>
      <c r="C98" s="706">
        <v>1059.3999999999933</v>
      </c>
      <c r="D98" s="707">
        <v>9</v>
      </c>
      <c r="E98" s="707">
        <v>1059.4999999999932</v>
      </c>
      <c r="G98" s="65">
        <v>1059.4999999999932</v>
      </c>
      <c r="H98" s="707">
        <v>9</v>
      </c>
      <c r="I98" s="65">
        <v>1059.5999999999931</v>
      </c>
      <c r="J98" s="707">
        <v>9</v>
      </c>
    </row>
    <row r="99" spans="2:10" ht="15">
      <c r="B99" s="706">
        <v>9</v>
      </c>
      <c r="C99" s="706">
        <v>1059.4999999999932</v>
      </c>
      <c r="D99" s="707">
        <v>9</v>
      </c>
      <c r="E99" s="707">
        <v>1059.5999999999931</v>
      </c>
      <c r="G99" s="65">
        <v>1059.5999999999931</v>
      </c>
      <c r="H99" s="707">
        <v>9</v>
      </c>
      <c r="I99" s="65">
        <v>1059.699999999993</v>
      </c>
      <c r="J99" s="707">
        <v>9</v>
      </c>
    </row>
    <row r="100" spans="2:10" ht="15">
      <c r="B100" s="706">
        <v>9</v>
      </c>
      <c r="C100" s="706">
        <v>1059.5999999999931</v>
      </c>
      <c r="D100" s="707">
        <v>9</v>
      </c>
      <c r="E100" s="707">
        <v>1059.699999999993</v>
      </c>
      <c r="G100" s="65">
        <v>1059.699999999993</v>
      </c>
      <c r="H100" s="707">
        <v>9</v>
      </c>
      <c r="I100" s="65">
        <v>1059.7999999999929</v>
      </c>
      <c r="J100" s="707">
        <v>10</v>
      </c>
    </row>
    <row r="101" spans="2:10" ht="15">
      <c r="B101" s="706">
        <v>9</v>
      </c>
      <c r="C101" s="706">
        <v>1059.699999999993</v>
      </c>
      <c r="D101" s="707">
        <v>10</v>
      </c>
      <c r="E101" s="707">
        <v>1059.7999999999929</v>
      </c>
      <c r="G101" s="65">
        <v>1059.7999999999929</v>
      </c>
      <c r="H101" s="707">
        <v>10</v>
      </c>
      <c r="I101" s="65">
        <v>1059.8999999999928</v>
      </c>
      <c r="J101" s="707">
        <v>10</v>
      </c>
    </row>
    <row r="102" spans="2:10" ht="15">
      <c r="B102" s="706">
        <v>10</v>
      </c>
      <c r="C102" s="706">
        <v>1059.7999999999929</v>
      </c>
      <c r="D102" s="707">
        <v>10</v>
      </c>
      <c r="E102" s="707">
        <v>1059.8999999999928</v>
      </c>
      <c r="G102" s="65">
        <v>1059.8999999999928</v>
      </c>
      <c r="H102" s="707">
        <v>10</v>
      </c>
      <c r="I102" s="65">
        <v>1059.9999999999927</v>
      </c>
      <c r="J102" s="707">
        <v>10</v>
      </c>
    </row>
    <row r="103" spans="2:10" ht="15">
      <c r="B103" s="706">
        <v>10</v>
      </c>
      <c r="C103" s="706">
        <v>1059.8999999999928</v>
      </c>
      <c r="D103" s="707">
        <v>10</v>
      </c>
      <c r="E103" s="707">
        <v>1059.9999999999927</v>
      </c>
      <c r="G103" s="65">
        <v>1059.9999999999927</v>
      </c>
      <c r="H103" s="707">
        <v>10</v>
      </c>
      <c r="I103" s="65">
        <v>1060.0999999999926</v>
      </c>
      <c r="J103" s="707">
        <v>11</v>
      </c>
    </row>
    <row r="104" spans="2:10" ht="15">
      <c r="B104" s="706">
        <v>10</v>
      </c>
      <c r="C104" s="706">
        <v>1059.9999999999927</v>
      </c>
      <c r="D104" s="707">
        <v>11</v>
      </c>
      <c r="E104" s="707">
        <v>1060.0999999999926</v>
      </c>
      <c r="G104" s="65">
        <v>1060.0999999999926</v>
      </c>
      <c r="H104" s="707">
        <v>11</v>
      </c>
      <c r="I104" s="65">
        <v>1060.1999999999925</v>
      </c>
      <c r="J104" s="707">
        <v>11</v>
      </c>
    </row>
    <row r="105" spans="2:10" ht="15">
      <c r="B105" s="706">
        <v>11</v>
      </c>
      <c r="C105" s="706">
        <v>1060.0999999999926</v>
      </c>
      <c r="D105" s="707">
        <v>11</v>
      </c>
      <c r="E105" s="707">
        <v>1060.1999999999925</v>
      </c>
      <c r="G105" s="65">
        <v>1060.1999999999925</v>
      </c>
      <c r="H105" s="707">
        <v>11</v>
      </c>
      <c r="I105" s="65">
        <v>1060.2999999999925</v>
      </c>
      <c r="J105" s="707">
        <v>11</v>
      </c>
    </row>
    <row r="106" spans="2:10" ht="15">
      <c r="B106" s="706">
        <v>11</v>
      </c>
      <c r="C106" s="706">
        <v>1060.1999999999925</v>
      </c>
      <c r="D106" s="707">
        <v>11</v>
      </c>
      <c r="E106" s="707">
        <v>1060.2999999999925</v>
      </c>
      <c r="G106" s="65">
        <v>1060.2999999999925</v>
      </c>
      <c r="H106" s="707">
        <v>11</v>
      </c>
      <c r="I106" s="65">
        <v>1060.3999999999924</v>
      </c>
      <c r="J106" s="707">
        <v>12</v>
      </c>
    </row>
    <row r="107" spans="2:10" ht="15">
      <c r="B107" s="706">
        <v>11</v>
      </c>
      <c r="C107" s="706">
        <v>1060.2999999999925</v>
      </c>
      <c r="D107" s="707">
        <v>12</v>
      </c>
      <c r="E107" s="707">
        <v>1060.3999999999924</v>
      </c>
      <c r="G107" s="65">
        <v>1060.3999999999924</v>
      </c>
      <c r="H107" s="707">
        <v>12</v>
      </c>
      <c r="I107" s="65">
        <v>1060.4999999999923</v>
      </c>
      <c r="J107" s="707">
        <v>12</v>
      </c>
    </row>
    <row r="108" spans="2:10" ht="15">
      <c r="B108" s="706">
        <v>12</v>
      </c>
      <c r="C108" s="706">
        <v>1060.3999999999924</v>
      </c>
      <c r="D108" s="707">
        <v>12</v>
      </c>
      <c r="E108" s="707">
        <v>1060.4999999999923</v>
      </c>
      <c r="G108" s="65">
        <v>1060.4999999999923</v>
      </c>
      <c r="H108" s="707">
        <v>12</v>
      </c>
      <c r="I108" s="65">
        <v>1060.5999999999922</v>
      </c>
      <c r="J108" s="707">
        <v>13</v>
      </c>
    </row>
    <row r="109" spans="2:10" ht="15">
      <c r="B109" s="706">
        <v>12</v>
      </c>
      <c r="C109" s="706">
        <v>1060.4999999999923</v>
      </c>
      <c r="D109" s="707">
        <v>13</v>
      </c>
      <c r="E109" s="707">
        <v>1060.5999999999922</v>
      </c>
      <c r="G109" s="65">
        <v>1060.5999999999922</v>
      </c>
      <c r="H109" s="707">
        <v>13</v>
      </c>
      <c r="I109" s="65">
        <v>1060.6999999999921</v>
      </c>
      <c r="J109" s="707">
        <v>13</v>
      </c>
    </row>
    <row r="110" spans="2:10" ht="15">
      <c r="B110" s="706">
        <v>13</v>
      </c>
      <c r="C110" s="706">
        <v>1060.5999999999922</v>
      </c>
      <c r="D110" s="707">
        <v>13</v>
      </c>
      <c r="E110" s="707">
        <v>1060.6999999999921</v>
      </c>
      <c r="G110" s="65">
        <v>1060.6999999999921</v>
      </c>
      <c r="H110" s="707">
        <v>13</v>
      </c>
      <c r="I110" s="65">
        <v>1060.799999999992</v>
      </c>
      <c r="J110" s="707">
        <v>14</v>
      </c>
    </row>
    <row r="111" spans="2:10" ht="15">
      <c r="B111" s="706">
        <v>13</v>
      </c>
      <c r="C111" s="706">
        <v>1060.6999999999921</v>
      </c>
      <c r="D111" s="707">
        <v>14</v>
      </c>
      <c r="E111" s="707">
        <v>1060.799999999992</v>
      </c>
      <c r="G111" s="65">
        <v>1060.799999999992</v>
      </c>
      <c r="H111" s="707">
        <v>14</v>
      </c>
      <c r="I111" s="65">
        <v>1060.8999999999919</v>
      </c>
      <c r="J111" s="707">
        <v>14</v>
      </c>
    </row>
    <row r="112" spans="2:10" ht="15">
      <c r="B112" s="706">
        <v>14</v>
      </c>
      <c r="C112" s="706">
        <v>1060.799999999992</v>
      </c>
      <c r="D112" s="707">
        <v>14</v>
      </c>
      <c r="E112" s="707">
        <v>1060.8999999999919</v>
      </c>
      <c r="G112" s="65">
        <v>1060.8999999999919</v>
      </c>
      <c r="H112" s="707">
        <v>14</v>
      </c>
      <c r="I112" s="65">
        <v>1060.9999999999918</v>
      </c>
      <c r="J112" s="707">
        <v>14</v>
      </c>
    </row>
    <row r="113" spans="2:10" ht="15">
      <c r="B113" s="706">
        <v>14</v>
      </c>
      <c r="C113" s="706">
        <v>1060.8999999999919</v>
      </c>
      <c r="D113" s="707">
        <v>14</v>
      </c>
      <c r="E113" s="707">
        <v>1060.9999999999918</v>
      </c>
      <c r="G113" s="65">
        <v>1060.9999999999918</v>
      </c>
      <c r="H113" s="707">
        <v>14</v>
      </c>
      <c r="I113" s="65">
        <v>1061.0999999999917</v>
      </c>
      <c r="J113" s="707">
        <v>15</v>
      </c>
    </row>
    <row r="114" spans="2:10" ht="15">
      <c r="B114" s="706">
        <v>14</v>
      </c>
      <c r="C114" s="706">
        <v>1060.9999999999918</v>
      </c>
      <c r="D114" s="707">
        <v>15</v>
      </c>
      <c r="E114" s="707">
        <v>1061.0999999999917</v>
      </c>
      <c r="G114" s="65">
        <v>1061.0999999999917</v>
      </c>
      <c r="H114" s="707">
        <v>15</v>
      </c>
      <c r="I114" s="65">
        <v>1061.1999999999916</v>
      </c>
      <c r="J114" s="707">
        <v>15</v>
      </c>
    </row>
    <row r="115" spans="2:10" ht="15">
      <c r="B115" s="706">
        <v>15</v>
      </c>
      <c r="C115" s="706">
        <v>1061.0999999999917</v>
      </c>
      <c r="D115" s="707">
        <v>15</v>
      </c>
      <c r="E115" s="707">
        <v>1061.1999999999916</v>
      </c>
      <c r="G115" s="65">
        <v>1061.1999999999916</v>
      </c>
      <c r="H115" s="707">
        <v>15</v>
      </c>
      <c r="I115" s="65">
        <v>1061.2999999999915</v>
      </c>
      <c r="J115" s="707">
        <v>16</v>
      </c>
    </row>
    <row r="116" spans="2:10" ht="15">
      <c r="B116" s="706">
        <v>15</v>
      </c>
      <c r="C116" s="706">
        <v>1061.1999999999916</v>
      </c>
      <c r="D116" s="707">
        <v>16</v>
      </c>
      <c r="E116" s="707">
        <v>1061.2999999999915</v>
      </c>
      <c r="G116" s="65">
        <v>1061.2999999999915</v>
      </c>
      <c r="H116" s="707">
        <v>16</v>
      </c>
      <c r="I116" s="65">
        <v>1061.3999999999915</v>
      </c>
      <c r="J116" s="707">
        <v>17</v>
      </c>
    </row>
    <row r="117" spans="2:10" ht="15">
      <c r="B117" s="706">
        <v>16</v>
      </c>
      <c r="C117" s="706">
        <v>1061.2999999999915</v>
      </c>
      <c r="D117" s="707">
        <v>17</v>
      </c>
      <c r="E117" s="707">
        <v>1061.3999999999915</v>
      </c>
      <c r="G117" s="65">
        <v>1061.3999999999915</v>
      </c>
      <c r="H117" s="707">
        <v>17</v>
      </c>
      <c r="I117" s="65">
        <v>1061.4999999999914</v>
      </c>
      <c r="J117" s="707">
        <v>17</v>
      </c>
    </row>
    <row r="118" spans="2:10" ht="15">
      <c r="B118" s="706">
        <v>17</v>
      </c>
      <c r="C118" s="706">
        <v>1061.3999999999915</v>
      </c>
      <c r="D118" s="707">
        <v>17</v>
      </c>
      <c r="E118" s="707">
        <v>1061.4999999999914</v>
      </c>
      <c r="G118" s="65">
        <v>1061.4999999999914</v>
      </c>
      <c r="H118" s="707">
        <v>17</v>
      </c>
      <c r="I118" s="65">
        <v>1061.5999999999913</v>
      </c>
      <c r="J118" s="707">
        <v>18</v>
      </c>
    </row>
    <row r="119" spans="2:10" ht="15">
      <c r="B119" s="706">
        <v>17</v>
      </c>
      <c r="C119" s="706">
        <v>1061.4999999999914</v>
      </c>
      <c r="D119" s="707">
        <v>18</v>
      </c>
      <c r="E119" s="707">
        <v>1061.5999999999913</v>
      </c>
      <c r="G119" s="65">
        <v>1061.5999999999913</v>
      </c>
      <c r="H119" s="707">
        <v>18</v>
      </c>
      <c r="I119" s="65">
        <v>1061.6999999999912</v>
      </c>
      <c r="J119" s="707">
        <v>18</v>
      </c>
    </row>
    <row r="120" spans="2:10" ht="15">
      <c r="B120" s="706">
        <v>18</v>
      </c>
      <c r="C120" s="706">
        <v>1061.5999999999913</v>
      </c>
      <c r="D120" s="707">
        <v>18</v>
      </c>
      <c r="E120" s="707">
        <v>1061.6999999999912</v>
      </c>
      <c r="G120" s="65">
        <v>1061.6999999999912</v>
      </c>
      <c r="H120" s="707">
        <v>18</v>
      </c>
      <c r="I120" s="65">
        <v>1061.7999999999911</v>
      </c>
      <c r="J120" s="707">
        <v>19</v>
      </c>
    </row>
    <row r="121" spans="2:10" ht="15">
      <c r="B121" s="706">
        <v>18</v>
      </c>
      <c r="C121" s="706">
        <v>1061.6999999999912</v>
      </c>
      <c r="D121" s="707">
        <v>19</v>
      </c>
      <c r="E121" s="707">
        <v>1061.7999999999911</v>
      </c>
      <c r="G121" s="65">
        <v>1061.7999999999911</v>
      </c>
      <c r="H121" s="707">
        <v>19</v>
      </c>
      <c r="I121" s="65">
        <v>1061.899999999991</v>
      </c>
      <c r="J121" s="707">
        <v>20</v>
      </c>
    </row>
    <row r="122" spans="2:10" ht="15">
      <c r="B122" s="706">
        <v>19</v>
      </c>
      <c r="C122" s="706">
        <v>1061.7999999999911</v>
      </c>
      <c r="D122" s="707">
        <v>20</v>
      </c>
      <c r="E122" s="707">
        <v>1061.899999999991</v>
      </c>
      <c r="G122" s="65">
        <v>1061.899999999991</v>
      </c>
      <c r="H122" s="707">
        <v>20</v>
      </c>
      <c r="I122" s="65">
        <v>1061.9999999999909</v>
      </c>
      <c r="J122" s="707">
        <v>20</v>
      </c>
    </row>
    <row r="123" spans="2:10" ht="15">
      <c r="B123" s="706">
        <v>20</v>
      </c>
      <c r="C123" s="706">
        <v>1061.899999999991</v>
      </c>
      <c r="D123" s="707">
        <v>20</v>
      </c>
      <c r="E123" s="707">
        <v>1061.9999999999909</v>
      </c>
      <c r="G123" s="65">
        <v>1061.9999999999909</v>
      </c>
      <c r="H123" s="707">
        <v>20</v>
      </c>
      <c r="I123" s="65">
        <v>1062.0999999999908</v>
      </c>
      <c r="J123" s="707">
        <v>21</v>
      </c>
    </row>
    <row r="124" spans="2:10" ht="15">
      <c r="B124" s="706">
        <v>20</v>
      </c>
      <c r="C124" s="706">
        <v>1061.9999999999909</v>
      </c>
      <c r="D124" s="707">
        <v>21</v>
      </c>
      <c r="E124" s="707">
        <v>1062.0999999999908</v>
      </c>
      <c r="G124" s="65">
        <v>1062.0999999999908</v>
      </c>
      <c r="H124" s="707">
        <v>21</v>
      </c>
      <c r="I124" s="65">
        <v>1062.1999999999907</v>
      </c>
      <c r="J124" s="707">
        <v>22</v>
      </c>
    </row>
    <row r="125" spans="2:10" ht="15">
      <c r="B125" s="706">
        <v>21</v>
      </c>
      <c r="C125" s="706">
        <v>1062.0999999999908</v>
      </c>
      <c r="D125" s="707">
        <v>22</v>
      </c>
      <c r="E125" s="707">
        <v>1062.1999999999907</v>
      </c>
      <c r="G125" s="65">
        <v>1062.1999999999907</v>
      </c>
      <c r="H125" s="707">
        <v>22</v>
      </c>
      <c r="I125" s="65">
        <v>1062.2999999999906</v>
      </c>
      <c r="J125" s="707">
        <v>23</v>
      </c>
    </row>
    <row r="126" spans="2:10" ht="15">
      <c r="B126" s="706">
        <v>22</v>
      </c>
      <c r="C126" s="706">
        <v>1062.1999999999907</v>
      </c>
      <c r="D126" s="707">
        <v>23</v>
      </c>
      <c r="E126" s="707">
        <v>1062.2999999999906</v>
      </c>
      <c r="G126" s="65">
        <v>1062.2999999999906</v>
      </c>
      <c r="H126" s="707">
        <v>23</v>
      </c>
      <c r="I126" s="65">
        <v>1062.3999999999905</v>
      </c>
      <c r="J126" s="707">
        <v>24</v>
      </c>
    </row>
    <row r="127" spans="2:10" ht="15">
      <c r="B127" s="706">
        <v>23</v>
      </c>
      <c r="C127" s="706">
        <v>1062.2999999999906</v>
      </c>
      <c r="D127" s="707">
        <v>24</v>
      </c>
      <c r="E127" s="707">
        <v>1062.3999999999905</v>
      </c>
      <c r="G127" s="65">
        <v>1062.3999999999905</v>
      </c>
      <c r="H127" s="707">
        <v>24</v>
      </c>
      <c r="I127" s="65">
        <v>1062.4999999999905</v>
      </c>
      <c r="J127" s="707">
        <v>25</v>
      </c>
    </row>
    <row r="128" spans="2:10" ht="15">
      <c r="B128" s="706">
        <v>24</v>
      </c>
      <c r="C128" s="706">
        <v>1062.3999999999905</v>
      </c>
      <c r="D128" s="707">
        <v>25</v>
      </c>
      <c r="E128" s="707">
        <v>1062.4999999999905</v>
      </c>
      <c r="G128" s="65">
        <v>1062.4999999999905</v>
      </c>
      <c r="H128" s="707">
        <v>25</v>
      </c>
      <c r="I128" s="65">
        <v>1062.5999999999904</v>
      </c>
      <c r="J128" s="707">
        <v>26</v>
      </c>
    </row>
    <row r="129" spans="2:10" ht="15">
      <c r="B129" s="706">
        <v>25</v>
      </c>
      <c r="C129" s="706">
        <v>1062.4999999999905</v>
      </c>
      <c r="D129" s="707">
        <v>26</v>
      </c>
      <c r="E129" s="707">
        <v>1062.5999999999904</v>
      </c>
      <c r="G129" s="65">
        <v>1062.5999999999904</v>
      </c>
      <c r="H129" s="707">
        <v>26</v>
      </c>
      <c r="I129" s="65">
        <v>1062.6999999999903</v>
      </c>
      <c r="J129" s="707">
        <v>27</v>
      </c>
    </row>
    <row r="130" spans="2:10" ht="15">
      <c r="B130" s="706">
        <v>26</v>
      </c>
      <c r="C130" s="706">
        <v>1062.5999999999904</v>
      </c>
      <c r="D130" s="707">
        <v>27</v>
      </c>
      <c r="E130" s="707">
        <v>1062.6999999999903</v>
      </c>
      <c r="G130" s="65">
        <v>1062.6999999999903</v>
      </c>
      <c r="H130" s="707">
        <v>27</v>
      </c>
      <c r="I130" s="65">
        <v>1062.7999999999902</v>
      </c>
      <c r="J130" s="707">
        <v>28</v>
      </c>
    </row>
    <row r="131" spans="2:10" ht="15">
      <c r="B131" s="706">
        <v>27</v>
      </c>
      <c r="C131" s="706">
        <v>1062.6999999999903</v>
      </c>
      <c r="D131" s="707">
        <v>28</v>
      </c>
      <c r="E131" s="707">
        <v>1062.7999999999902</v>
      </c>
      <c r="G131" s="65">
        <v>1062.7999999999902</v>
      </c>
      <c r="H131" s="707">
        <v>28</v>
      </c>
      <c r="I131" s="65">
        <v>1062.8999999999901</v>
      </c>
      <c r="J131" s="707">
        <v>29</v>
      </c>
    </row>
    <row r="132" spans="2:10" ht="15">
      <c r="B132" s="706">
        <v>28</v>
      </c>
      <c r="C132" s="706">
        <v>1062.7999999999902</v>
      </c>
      <c r="D132" s="707">
        <v>29</v>
      </c>
      <c r="E132" s="707">
        <v>1062.8999999999901</v>
      </c>
      <c r="G132" s="65">
        <v>1062.8999999999901</v>
      </c>
      <c r="H132" s="707">
        <v>29</v>
      </c>
      <c r="I132" s="65">
        <v>1062.99999999999</v>
      </c>
      <c r="J132" s="707">
        <v>30</v>
      </c>
    </row>
    <row r="133" spans="2:10" ht="15">
      <c r="B133" s="706">
        <v>29</v>
      </c>
      <c r="C133" s="706">
        <v>1062.8999999999901</v>
      </c>
      <c r="D133" s="707">
        <v>30</v>
      </c>
      <c r="E133" s="707">
        <v>1062.99999999999</v>
      </c>
      <c r="G133" s="65">
        <v>1062.99999999999</v>
      </c>
      <c r="H133" s="707">
        <v>30</v>
      </c>
      <c r="I133" s="65">
        <v>1063.0999999999899</v>
      </c>
      <c r="J133" s="707">
        <v>31</v>
      </c>
    </row>
    <row r="134" spans="2:10" ht="15">
      <c r="B134" s="706">
        <v>30</v>
      </c>
      <c r="C134" s="706">
        <v>1062.99999999999</v>
      </c>
      <c r="D134" s="707">
        <v>31</v>
      </c>
      <c r="E134" s="707">
        <v>1063.0999999999899</v>
      </c>
      <c r="G134" s="65">
        <v>1063.0999999999899</v>
      </c>
      <c r="H134" s="707">
        <v>31</v>
      </c>
      <c r="I134" s="65">
        <v>1063.1999999999898</v>
      </c>
      <c r="J134" s="707">
        <v>32</v>
      </c>
    </row>
    <row r="135" spans="2:10" ht="15">
      <c r="B135" s="706">
        <v>31</v>
      </c>
      <c r="C135" s="706">
        <v>1063.0999999999899</v>
      </c>
      <c r="D135" s="707">
        <v>32</v>
      </c>
      <c r="E135" s="707">
        <v>1063.1999999999898</v>
      </c>
      <c r="G135" s="65">
        <v>1063.1999999999898</v>
      </c>
      <c r="H135" s="707">
        <v>32</v>
      </c>
      <c r="I135" s="65">
        <v>1063.2999999999897</v>
      </c>
      <c r="J135" s="707">
        <v>33</v>
      </c>
    </row>
    <row r="136" spans="2:10" ht="15">
      <c r="B136" s="706">
        <v>32</v>
      </c>
      <c r="C136" s="706">
        <v>1063.1999999999898</v>
      </c>
      <c r="D136" s="707">
        <v>33</v>
      </c>
      <c r="E136" s="707">
        <v>1063.2999999999897</v>
      </c>
      <c r="G136" s="65">
        <v>1063.2999999999897</v>
      </c>
      <c r="H136" s="707">
        <v>33</v>
      </c>
      <c r="I136" s="65">
        <v>1063.3999999999896</v>
      </c>
      <c r="J136" s="707">
        <v>35</v>
      </c>
    </row>
    <row r="137" spans="2:10" ht="15">
      <c r="B137" s="706">
        <v>33</v>
      </c>
      <c r="C137" s="706">
        <v>1063.2999999999897</v>
      </c>
      <c r="D137" s="707">
        <v>35</v>
      </c>
      <c r="E137" s="707">
        <v>1063.3999999999896</v>
      </c>
      <c r="G137" s="65">
        <v>1063.3999999999896</v>
      </c>
      <c r="H137" s="707">
        <v>35</v>
      </c>
      <c r="I137" s="65">
        <v>1063.4999999999895</v>
      </c>
      <c r="J137" s="707">
        <v>36</v>
      </c>
    </row>
    <row r="138" spans="2:10" ht="15">
      <c r="B138" s="706">
        <v>35</v>
      </c>
      <c r="C138" s="706">
        <v>1063.3999999999896</v>
      </c>
      <c r="D138" s="707">
        <v>36</v>
      </c>
      <c r="E138" s="707">
        <v>1063.4999999999895</v>
      </c>
      <c r="G138" s="65">
        <v>1063.4999999999895</v>
      </c>
      <c r="H138" s="707">
        <v>36</v>
      </c>
      <c r="I138" s="65">
        <v>1063.5999999999894</v>
      </c>
      <c r="J138" s="707">
        <v>37</v>
      </c>
    </row>
    <row r="139" spans="2:10" ht="15">
      <c r="B139" s="706">
        <v>36</v>
      </c>
      <c r="C139" s="706">
        <v>1063.4999999999895</v>
      </c>
      <c r="D139" s="707">
        <v>37</v>
      </c>
      <c r="E139" s="707">
        <v>1063.5999999999894</v>
      </c>
      <c r="G139" s="65">
        <v>1063.5999999999894</v>
      </c>
      <c r="H139" s="707">
        <v>37</v>
      </c>
      <c r="I139" s="65">
        <v>1063.6999999999894</v>
      </c>
      <c r="J139" s="707">
        <v>39</v>
      </c>
    </row>
    <row r="140" spans="2:10" ht="15">
      <c r="B140" s="706">
        <v>37</v>
      </c>
      <c r="C140" s="706">
        <v>1063.5999999999894</v>
      </c>
      <c r="D140" s="707">
        <v>39</v>
      </c>
      <c r="E140" s="707">
        <v>1063.6999999999894</v>
      </c>
      <c r="G140" s="65">
        <v>1063.6999999999894</v>
      </c>
      <c r="H140" s="707">
        <v>39</v>
      </c>
      <c r="I140" s="65">
        <v>1063.7999999999893</v>
      </c>
      <c r="J140" s="707">
        <v>40</v>
      </c>
    </row>
    <row r="141" spans="2:10" ht="15">
      <c r="B141" s="706">
        <v>39</v>
      </c>
      <c r="C141" s="706">
        <v>1063.6999999999894</v>
      </c>
      <c r="D141" s="707">
        <v>40</v>
      </c>
      <c r="E141" s="707">
        <v>1063.7999999999893</v>
      </c>
      <c r="G141" s="65">
        <v>1063.7999999999893</v>
      </c>
      <c r="H141" s="707">
        <v>40</v>
      </c>
      <c r="I141" s="65">
        <v>1063.8999999999892</v>
      </c>
      <c r="J141" s="707">
        <v>41</v>
      </c>
    </row>
    <row r="142" spans="2:10" ht="15">
      <c r="B142" s="706">
        <v>40</v>
      </c>
      <c r="C142" s="706">
        <v>1063.7999999999893</v>
      </c>
      <c r="D142" s="707">
        <v>41</v>
      </c>
      <c r="E142" s="707">
        <v>1063.8999999999892</v>
      </c>
      <c r="G142" s="65">
        <v>1063.8999999999892</v>
      </c>
      <c r="H142" s="707">
        <v>41</v>
      </c>
      <c r="I142" s="65">
        <v>1063.9999999999891</v>
      </c>
      <c r="J142" s="707">
        <v>43</v>
      </c>
    </row>
    <row r="143" spans="2:10" ht="15">
      <c r="B143" s="706">
        <v>41</v>
      </c>
      <c r="C143" s="706">
        <v>1063.8999999999892</v>
      </c>
      <c r="D143" s="707">
        <v>43</v>
      </c>
      <c r="E143" s="707">
        <v>1063.9999999999891</v>
      </c>
      <c r="G143" s="65">
        <v>1063.9999999999891</v>
      </c>
      <c r="H143" s="707">
        <v>43</v>
      </c>
      <c r="I143" s="65">
        <v>1064.099999999989</v>
      </c>
      <c r="J143" s="707">
        <v>44</v>
      </c>
    </row>
    <row r="144" spans="2:10" ht="15">
      <c r="B144" s="706">
        <v>43</v>
      </c>
      <c r="C144" s="706">
        <v>1063.9999999999891</v>
      </c>
      <c r="D144" s="707">
        <v>44</v>
      </c>
      <c r="E144" s="707">
        <v>1064.099999999989</v>
      </c>
      <c r="G144" s="65">
        <v>1064.099999999989</v>
      </c>
      <c r="H144" s="707">
        <v>44</v>
      </c>
      <c r="I144" s="65">
        <v>1064.1999999999889</v>
      </c>
      <c r="J144" s="707">
        <v>46</v>
      </c>
    </row>
    <row r="145" spans="2:10" ht="15">
      <c r="B145" s="706">
        <v>44</v>
      </c>
      <c r="C145" s="706">
        <v>1064.099999999989</v>
      </c>
      <c r="D145" s="707">
        <v>46</v>
      </c>
      <c r="E145" s="707">
        <v>1064.1999999999889</v>
      </c>
      <c r="G145" s="65">
        <v>1064.1999999999889</v>
      </c>
      <c r="H145" s="707">
        <v>46</v>
      </c>
      <c r="I145" s="65">
        <v>1064.2999999999888</v>
      </c>
      <c r="J145" s="707">
        <v>48</v>
      </c>
    </row>
    <row r="146" spans="2:10" ht="15">
      <c r="B146" s="706">
        <v>46</v>
      </c>
      <c r="C146" s="706">
        <v>1064.1999999999889</v>
      </c>
      <c r="D146" s="707">
        <v>48</v>
      </c>
      <c r="E146" s="707">
        <v>1064.2999999999888</v>
      </c>
      <c r="G146" s="65">
        <v>1064.2999999999888</v>
      </c>
      <c r="H146" s="707">
        <v>48</v>
      </c>
      <c r="I146" s="65">
        <v>1064.3999999999887</v>
      </c>
      <c r="J146" s="707">
        <v>49</v>
      </c>
    </row>
    <row r="147" spans="2:10" ht="15">
      <c r="B147" s="706">
        <v>48</v>
      </c>
      <c r="C147" s="706">
        <v>1064.2999999999888</v>
      </c>
      <c r="D147" s="707">
        <v>49</v>
      </c>
      <c r="E147" s="707">
        <v>1064.3999999999887</v>
      </c>
      <c r="G147" s="65">
        <v>1064.3999999999887</v>
      </c>
      <c r="H147" s="707">
        <v>49</v>
      </c>
      <c r="I147" s="65">
        <v>1064.4999999999886</v>
      </c>
      <c r="J147" s="707">
        <v>51</v>
      </c>
    </row>
    <row r="148" spans="2:10" ht="15">
      <c r="B148" s="706">
        <v>49</v>
      </c>
      <c r="C148" s="706">
        <v>1064.3999999999887</v>
      </c>
      <c r="D148" s="707">
        <v>51</v>
      </c>
      <c r="E148" s="707">
        <v>1064.4999999999886</v>
      </c>
      <c r="G148" s="65">
        <v>1064.4999999999886</v>
      </c>
      <c r="H148" s="707">
        <v>51</v>
      </c>
      <c r="I148" s="65">
        <v>1064.5999999999885</v>
      </c>
      <c r="J148" s="707">
        <v>53</v>
      </c>
    </row>
    <row r="149" spans="2:10" ht="15">
      <c r="B149" s="706">
        <v>51</v>
      </c>
      <c r="C149" s="706">
        <v>1064.4999999999886</v>
      </c>
      <c r="D149" s="707">
        <v>53</v>
      </c>
      <c r="E149" s="707">
        <v>1064.5999999999885</v>
      </c>
      <c r="G149" s="65">
        <v>1064.5999999999885</v>
      </c>
      <c r="H149" s="707">
        <v>53</v>
      </c>
      <c r="I149" s="65">
        <v>1064.6999999999884</v>
      </c>
      <c r="J149" s="707">
        <v>54</v>
      </c>
    </row>
    <row r="150" spans="2:10" ht="15">
      <c r="B150" s="706">
        <v>53</v>
      </c>
      <c r="C150" s="706">
        <v>1064.5999999999885</v>
      </c>
      <c r="D150" s="707">
        <v>54</v>
      </c>
      <c r="E150" s="707">
        <v>1064.6999999999884</v>
      </c>
      <c r="G150" s="65">
        <v>1064.6999999999884</v>
      </c>
      <c r="H150" s="707">
        <v>54</v>
      </c>
      <c r="I150" s="65">
        <v>1064.7999999999884</v>
      </c>
      <c r="J150" s="707">
        <v>56</v>
      </c>
    </row>
    <row r="151" spans="2:10" ht="15">
      <c r="B151" s="706">
        <v>54</v>
      </c>
      <c r="C151" s="706">
        <v>1064.6999999999884</v>
      </c>
      <c r="D151" s="707">
        <v>56</v>
      </c>
      <c r="E151" s="707">
        <v>1064.7999999999884</v>
      </c>
      <c r="G151" s="65">
        <v>1064.7999999999884</v>
      </c>
      <c r="H151" s="707">
        <v>56</v>
      </c>
      <c r="I151" s="65">
        <v>1064.8999999999883</v>
      </c>
      <c r="J151" s="707">
        <v>58</v>
      </c>
    </row>
    <row r="152" spans="2:10" ht="15">
      <c r="B152" s="706">
        <v>56</v>
      </c>
      <c r="C152" s="706">
        <v>1064.7999999999884</v>
      </c>
      <c r="D152" s="707">
        <v>58</v>
      </c>
      <c r="E152" s="707">
        <v>1064.8999999999883</v>
      </c>
      <c r="G152" s="65">
        <v>1064.8999999999883</v>
      </c>
      <c r="H152" s="707">
        <v>58</v>
      </c>
      <c r="I152" s="65">
        <v>1064.9999999999882</v>
      </c>
      <c r="J152" s="707">
        <v>59</v>
      </c>
    </row>
    <row r="153" spans="2:10" ht="15">
      <c r="B153" s="706">
        <v>58</v>
      </c>
      <c r="C153" s="706">
        <v>1064.8999999999883</v>
      </c>
      <c r="D153" s="707">
        <v>59</v>
      </c>
      <c r="E153" s="707">
        <v>1064.9999999999882</v>
      </c>
      <c r="G153" s="65">
        <v>1064.9999999999882</v>
      </c>
      <c r="H153" s="707">
        <v>59</v>
      </c>
      <c r="I153" s="65">
        <v>1065.0999999999881</v>
      </c>
      <c r="J153" s="707">
        <v>61</v>
      </c>
    </row>
    <row r="154" spans="2:10" ht="15">
      <c r="B154" s="706">
        <v>59</v>
      </c>
      <c r="C154" s="706">
        <v>1064.9999999999882</v>
      </c>
      <c r="D154" s="707">
        <v>61</v>
      </c>
      <c r="E154" s="707">
        <v>1065.0999999999881</v>
      </c>
      <c r="G154" s="65">
        <v>1065.0999999999881</v>
      </c>
      <c r="H154" s="707">
        <v>61</v>
      </c>
      <c r="I154" s="65">
        <v>1065.199999999988</v>
      </c>
      <c r="J154" s="707">
        <v>64</v>
      </c>
    </row>
    <row r="155" spans="2:10" ht="15">
      <c r="B155" s="706">
        <v>61</v>
      </c>
      <c r="C155" s="706">
        <v>1065.0999999999881</v>
      </c>
      <c r="D155" s="707">
        <v>64</v>
      </c>
      <c r="E155" s="707">
        <v>1065.199999999988</v>
      </c>
      <c r="G155" s="65">
        <v>1065.199999999988</v>
      </c>
      <c r="H155" s="707">
        <v>64</v>
      </c>
      <c r="I155" s="65">
        <v>1065.2999999999879</v>
      </c>
      <c r="J155" s="707">
        <v>66</v>
      </c>
    </row>
    <row r="156" spans="2:10" ht="15">
      <c r="B156" s="706">
        <v>64</v>
      </c>
      <c r="C156" s="706">
        <v>1065.199999999988</v>
      </c>
      <c r="D156" s="707">
        <v>66</v>
      </c>
      <c r="E156" s="707">
        <v>1065.2999999999879</v>
      </c>
      <c r="G156" s="65">
        <v>1065.2999999999879</v>
      </c>
      <c r="H156" s="707">
        <v>66</v>
      </c>
      <c r="I156" s="65">
        <v>1065.3999999999878</v>
      </c>
      <c r="J156" s="707">
        <v>68</v>
      </c>
    </row>
    <row r="157" spans="2:10" ht="15">
      <c r="B157" s="706">
        <v>66</v>
      </c>
      <c r="C157" s="706">
        <v>1065.2999999999879</v>
      </c>
      <c r="D157" s="707">
        <v>68</v>
      </c>
      <c r="E157" s="707">
        <v>1065.3999999999878</v>
      </c>
      <c r="G157" s="65">
        <v>1065.3999999999878</v>
      </c>
      <c r="H157" s="707">
        <v>68</v>
      </c>
      <c r="I157" s="65">
        <v>1065.4999999999877</v>
      </c>
      <c r="J157" s="707">
        <v>70</v>
      </c>
    </row>
    <row r="158" spans="2:10" ht="15">
      <c r="B158" s="706">
        <v>68</v>
      </c>
      <c r="C158" s="706">
        <v>1065.3999999999878</v>
      </c>
      <c r="D158" s="707">
        <v>70</v>
      </c>
      <c r="E158" s="707">
        <v>1065.4999999999877</v>
      </c>
      <c r="G158" s="65">
        <v>1065.4999999999877</v>
      </c>
      <c r="H158" s="707">
        <v>70</v>
      </c>
      <c r="I158" s="65">
        <v>1065.5999999999876</v>
      </c>
      <c r="J158" s="707">
        <v>72</v>
      </c>
    </row>
    <row r="159" spans="2:10" ht="15">
      <c r="B159" s="706">
        <v>70</v>
      </c>
      <c r="C159" s="706">
        <v>1065.4999999999877</v>
      </c>
      <c r="D159" s="707">
        <v>72</v>
      </c>
      <c r="E159" s="707">
        <v>1065.5999999999876</v>
      </c>
      <c r="G159" s="65">
        <v>1065.5999999999876</v>
      </c>
      <c r="H159" s="707">
        <v>72</v>
      </c>
      <c r="I159" s="65">
        <v>1065.6999999999875</v>
      </c>
      <c r="J159" s="707">
        <v>74</v>
      </c>
    </row>
    <row r="160" spans="2:10" ht="15">
      <c r="B160" s="706">
        <v>72</v>
      </c>
      <c r="C160" s="706">
        <v>1065.5999999999876</v>
      </c>
      <c r="D160" s="707">
        <v>74</v>
      </c>
      <c r="E160" s="707">
        <v>1065.6999999999875</v>
      </c>
      <c r="G160" s="65">
        <v>1065.6999999999875</v>
      </c>
      <c r="H160" s="707">
        <v>74</v>
      </c>
      <c r="I160" s="65">
        <v>1065.7999999999874</v>
      </c>
      <c r="J160" s="707">
        <v>76</v>
      </c>
    </row>
    <row r="161" spans="2:10" ht="15">
      <c r="B161" s="706">
        <v>74</v>
      </c>
      <c r="C161" s="706">
        <v>1065.6999999999875</v>
      </c>
      <c r="D161" s="707">
        <v>76</v>
      </c>
      <c r="E161" s="707">
        <v>1065.7999999999874</v>
      </c>
      <c r="G161" s="65">
        <v>1065.7999999999874</v>
      </c>
      <c r="H161" s="707">
        <v>76</v>
      </c>
      <c r="I161" s="65">
        <v>1065.8999999999874</v>
      </c>
      <c r="J161" s="707">
        <v>78</v>
      </c>
    </row>
    <row r="162" spans="2:10" ht="15">
      <c r="B162" s="706">
        <v>76</v>
      </c>
      <c r="C162" s="706">
        <v>1065.7999999999874</v>
      </c>
      <c r="D162" s="707">
        <v>78</v>
      </c>
      <c r="E162" s="707">
        <v>1065.8999999999874</v>
      </c>
      <c r="G162" s="65">
        <v>1065.8999999999874</v>
      </c>
      <c r="H162" s="707">
        <v>78</v>
      </c>
      <c r="I162" s="65">
        <v>1065.9999999999873</v>
      </c>
      <c r="J162" s="707">
        <v>80</v>
      </c>
    </row>
    <row r="163" spans="2:10" ht="15">
      <c r="B163" s="706">
        <v>78</v>
      </c>
      <c r="C163" s="706">
        <v>1065.8999999999874</v>
      </c>
      <c r="D163" s="707">
        <v>80</v>
      </c>
      <c r="E163" s="707">
        <v>1065.9999999999873</v>
      </c>
      <c r="G163" s="65">
        <v>1065.9999999999873</v>
      </c>
      <c r="H163" s="707">
        <v>80</v>
      </c>
      <c r="I163" s="65">
        <v>1066.0999999999872</v>
      </c>
      <c r="J163" s="707">
        <v>82</v>
      </c>
    </row>
    <row r="164" spans="2:10" ht="15">
      <c r="B164" s="706">
        <v>80</v>
      </c>
      <c r="C164" s="706">
        <v>1065.9999999999873</v>
      </c>
      <c r="D164" s="707">
        <v>82</v>
      </c>
      <c r="E164" s="707">
        <v>1066.0999999999872</v>
      </c>
      <c r="G164" s="65">
        <v>1066.0999999999872</v>
      </c>
      <c r="H164" s="707">
        <v>82</v>
      </c>
      <c r="I164" s="65">
        <v>1066.1999999999871</v>
      </c>
      <c r="J164" s="707">
        <v>85</v>
      </c>
    </row>
    <row r="165" spans="2:10" ht="15">
      <c r="B165" s="706">
        <v>82</v>
      </c>
      <c r="C165" s="706">
        <v>1066.0999999999872</v>
      </c>
      <c r="D165" s="707">
        <v>85</v>
      </c>
      <c r="E165" s="707">
        <v>1066.1999999999871</v>
      </c>
      <c r="G165" s="65">
        <v>1066.1999999999871</v>
      </c>
      <c r="H165" s="707">
        <v>85</v>
      </c>
      <c r="I165" s="65">
        <v>1066.299999999987</v>
      </c>
      <c r="J165" s="707">
        <v>87</v>
      </c>
    </row>
    <row r="166" spans="2:10" ht="15">
      <c r="B166" s="706">
        <v>85</v>
      </c>
      <c r="C166" s="706">
        <v>1066.1999999999871</v>
      </c>
      <c r="D166" s="707">
        <v>87</v>
      </c>
      <c r="E166" s="707">
        <v>1066.299999999987</v>
      </c>
      <c r="G166" s="65">
        <v>1066.299999999987</v>
      </c>
      <c r="H166" s="707">
        <v>87</v>
      </c>
      <c r="I166" s="65">
        <v>1066.3999999999869</v>
      </c>
      <c r="J166" s="707">
        <v>90</v>
      </c>
    </row>
    <row r="167" spans="2:10" ht="15">
      <c r="B167" s="706">
        <v>87</v>
      </c>
      <c r="C167" s="706">
        <v>1066.299999999987</v>
      </c>
      <c r="D167" s="707">
        <v>90</v>
      </c>
      <c r="E167" s="707">
        <v>1066.3999999999869</v>
      </c>
      <c r="G167" s="65">
        <v>1066.3999999999869</v>
      </c>
      <c r="H167" s="707">
        <v>90</v>
      </c>
      <c r="I167" s="65">
        <v>1066.4999999999868</v>
      </c>
      <c r="J167" s="707">
        <v>92</v>
      </c>
    </row>
    <row r="168" spans="2:10" ht="15">
      <c r="B168" s="706">
        <v>90</v>
      </c>
      <c r="C168" s="706">
        <v>1066.3999999999869</v>
      </c>
      <c r="D168" s="707">
        <v>92</v>
      </c>
      <c r="E168" s="707">
        <v>1066.4999999999868</v>
      </c>
      <c r="G168" s="65">
        <v>1066.4999999999868</v>
      </c>
      <c r="H168" s="707">
        <v>92</v>
      </c>
      <c r="I168" s="65">
        <v>1066.5999999999867</v>
      </c>
      <c r="J168" s="707">
        <v>94</v>
      </c>
    </row>
    <row r="169" spans="2:10" ht="15">
      <c r="B169" s="706">
        <v>92</v>
      </c>
      <c r="C169" s="706">
        <v>1066.4999999999868</v>
      </c>
      <c r="D169" s="707">
        <v>94</v>
      </c>
      <c r="E169" s="707">
        <v>1066.5999999999867</v>
      </c>
      <c r="G169" s="65">
        <v>1066.5999999999867</v>
      </c>
      <c r="H169" s="707">
        <v>94</v>
      </c>
      <c r="I169" s="65">
        <v>1066.6999999999866</v>
      </c>
      <c r="J169" s="707">
        <v>97</v>
      </c>
    </row>
    <row r="170" spans="2:10" ht="15">
      <c r="B170" s="706">
        <v>94</v>
      </c>
      <c r="C170" s="706">
        <v>1066.5999999999867</v>
      </c>
      <c r="D170" s="707">
        <v>97</v>
      </c>
      <c r="E170" s="707">
        <v>1066.6999999999866</v>
      </c>
      <c r="G170" s="65">
        <v>1066.6999999999866</v>
      </c>
      <c r="H170" s="707">
        <v>97</v>
      </c>
      <c r="I170" s="65">
        <v>1066.7999999999865</v>
      </c>
      <c r="J170" s="707">
        <v>99</v>
      </c>
    </row>
    <row r="171" spans="2:10" ht="15">
      <c r="B171" s="706">
        <v>97</v>
      </c>
      <c r="C171" s="706">
        <v>1066.6999999999866</v>
      </c>
      <c r="D171" s="707">
        <v>99</v>
      </c>
      <c r="E171" s="707">
        <v>1066.7999999999865</v>
      </c>
      <c r="G171" s="65">
        <v>1066.7999999999865</v>
      </c>
      <c r="H171" s="707">
        <v>99</v>
      </c>
      <c r="I171" s="65">
        <v>1066.8999999999864</v>
      </c>
      <c r="J171" s="707">
        <v>102</v>
      </c>
    </row>
    <row r="172" spans="2:10" ht="15">
      <c r="B172" s="706">
        <v>99</v>
      </c>
      <c r="C172" s="706">
        <v>1066.7999999999865</v>
      </c>
      <c r="D172" s="707">
        <v>102</v>
      </c>
      <c r="E172" s="707">
        <v>1066.8999999999864</v>
      </c>
      <c r="G172" s="65">
        <v>1066.8999999999864</v>
      </c>
      <c r="H172" s="707">
        <v>102</v>
      </c>
      <c r="I172" s="65">
        <v>1066.9999999999864</v>
      </c>
      <c r="J172" s="707">
        <v>104</v>
      </c>
    </row>
    <row r="173" spans="2:10" ht="15">
      <c r="B173" s="706">
        <v>102</v>
      </c>
      <c r="C173" s="706">
        <v>1066.8999999999864</v>
      </c>
      <c r="D173" s="707">
        <v>104</v>
      </c>
      <c r="E173" s="707">
        <v>1066.9999999999864</v>
      </c>
      <c r="G173" s="65">
        <v>1066.9999999999864</v>
      </c>
      <c r="H173" s="707">
        <v>104</v>
      </c>
      <c r="I173" s="65">
        <v>1067.0999999999863</v>
      </c>
      <c r="J173" s="707">
        <v>107</v>
      </c>
    </row>
    <row r="174" spans="2:10" ht="15">
      <c r="B174" s="706">
        <v>104</v>
      </c>
      <c r="C174" s="706">
        <v>1066.9999999999864</v>
      </c>
      <c r="D174" s="707">
        <v>107</v>
      </c>
      <c r="E174" s="707">
        <v>1067.0999999999863</v>
      </c>
      <c r="G174" s="65">
        <v>1067.0999999999863</v>
      </c>
      <c r="H174" s="707">
        <v>107</v>
      </c>
      <c r="I174" s="65">
        <v>1067.1999999999862</v>
      </c>
      <c r="J174" s="707">
        <v>110</v>
      </c>
    </row>
    <row r="175" spans="2:10" ht="15">
      <c r="B175" s="706">
        <v>107</v>
      </c>
      <c r="C175" s="706">
        <v>1067.0999999999863</v>
      </c>
      <c r="D175" s="707">
        <v>110</v>
      </c>
      <c r="E175" s="707">
        <v>1067.1999999999862</v>
      </c>
      <c r="G175" s="65">
        <v>1067.1999999999862</v>
      </c>
      <c r="H175" s="707">
        <v>110</v>
      </c>
      <c r="I175" s="65">
        <v>1067.2999999999861</v>
      </c>
      <c r="J175" s="707">
        <v>113</v>
      </c>
    </row>
    <row r="176" spans="2:10" ht="15">
      <c r="B176" s="706">
        <v>110</v>
      </c>
      <c r="C176" s="706">
        <v>1067.1999999999862</v>
      </c>
      <c r="D176" s="707">
        <v>113</v>
      </c>
      <c r="E176" s="707">
        <v>1067.2999999999861</v>
      </c>
      <c r="G176" s="65">
        <v>1067.2999999999861</v>
      </c>
      <c r="H176" s="707">
        <v>113</v>
      </c>
      <c r="I176" s="65">
        <v>1067.399999999986</v>
      </c>
      <c r="J176" s="707">
        <v>116</v>
      </c>
    </row>
    <row r="177" spans="2:10" ht="15">
      <c r="B177" s="706">
        <v>113</v>
      </c>
      <c r="C177" s="706">
        <v>1067.2999999999861</v>
      </c>
      <c r="D177" s="707">
        <v>116</v>
      </c>
      <c r="E177" s="707">
        <v>1067.399999999986</v>
      </c>
      <c r="G177" s="65">
        <v>1067.399999999986</v>
      </c>
      <c r="H177" s="707">
        <v>116</v>
      </c>
      <c r="I177" s="65">
        <v>1067.4999999999859</v>
      </c>
      <c r="J177" s="707">
        <v>119</v>
      </c>
    </row>
    <row r="178" spans="2:10" ht="15">
      <c r="B178" s="706">
        <v>116</v>
      </c>
      <c r="C178" s="706">
        <v>1067.399999999986</v>
      </c>
      <c r="D178" s="707">
        <v>119</v>
      </c>
      <c r="E178" s="707">
        <v>1067.4999999999859</v>
      </c>
      <c r="G178" s="65">
        <v>1067.4999999999859</v>
      </c>
      <c r="H178" s="707">
        <v>119</v>
      </c>
      <c r="I178" s="65">
        <v>1067.5999999999858</v>
      </c>
      <c r="J178" s="707">
        <v>122</v>
      </c>
    </row>
    <row r="179" spans="2:10" ht="15">
      <c r="B179" s="706">
        <v>119</v>
      </c>
      <c r="C179" s="706">
        <v>1067.4999999999859</v>
      </c>
      <c r="D179" s="707">
        <v>122</v>
      </c>
      <c r="E179" s="707">
        <v>1067.5999999999858</v>
      </c>
      <c r="G179" s="65">
        <v>1067.5999999999858</v>
      </c>
      <c r="H179" s="707">
        <v>122</v>
      </c>
      <c r="I179" s="65">
        <v>1067.6999999999857</v>
      </c>
      <c r="J179" s="707">
        <v>125</v>
      </c>
    </row>
    <row r="180" spans="2:10" ht="15">
      <c r="B180" s="706">
        <v>122</v>
      </c>
      <c r="C180" s="706">
        <v>1067.5999999999858</v>
      </c>
      <c r="D180" s="707">
        <v>125</v>
      </c>
      <c r="E180" s="707">
        <v>1067.6999999999857</v>
      </c>
      <c r="G180" s="65">
        <v>1067.6999999999857</v>
      </c>
      <c r="H180" s="707">
        <v>125</v>
      </c>
      <c r="I180" s="65">
        <v>1067.7999999999856</v>
      </c>
      <c r="J180" s="707">
        <v>127</v>
      </c>
    </row>
    <row r="181" spans="2:10" ht="15">
      <c r="B181" s="706">
        <v>125</v>
      </c>
      <c r="C181" s="706">
        <v>1067.6999999999857</v>
      </c>
      <c r="D181" s="707">
        <v>127</v>
      </c>
      <c r="E181" s="707">
        <v>1067.7999999999856</v>
      </c>
      <c r="G181" s="65">
        <v>1067.7999999999856</v>
      </c>
      <c r="H181" s="707">
        <v>127</v>
      </c>
      <c r="I181" s="65">
        <v>1067.8999999999855</v>
      </c>
      <c r="J181" s="707">
        <v>130</v>
      </c>
    </row>
    <row r="182" spans="2:10" ht="15">
      <c r="B182" s="706">
        <v>127</v>
      </c>
      <c r="C182" s="706">
        <v>1067.7999999999856</v>
      </c>
      <c r="D182" s="707">
        <v>130</v>
      </c>
      <c r="E182" s="707">
        <v>1067.8999999999855</v>
      </c>
      <c r="G182" s="65">
        <v>1067.8999999999855</v>
      </c>
      <c r="H182" s="707">
        <v>130</v>
      </c>
      <c r="I182" s="65">
        <v>1067.9999999999854</v>
      </c>
      <c r="J182" s="707">
        <v>133</v>
      </c>
    </row>
    <row r="183" spans="2:10" ht="15">
      <c r="B183" s="706">
        <v>130</v>
      </c>
      <c r="C183" s="706">
        <v>1067.8999999999855</v>
      </c>
      <c r="D183" s="707">
        <v>133</v>
      </c>
      <c r="E183" s="707">
        <v>1067.9999999999854</v>
      </c>
      <c r="G183" s="65">
        <v>1067.9999999999854</v>
      </c>
      <c r="H183" s="707">
        <v>133</v>
      </c>
      <c r="I183" s="65">
        <v>1068.0999999999854</v>
      </c>
      <c r="J183" s="707">
        <v>137</v>
      </c>
    </row>
    <row r="184" spans="2:10" ht="15">
      <c r="B184" s="706">
        <v>133</v>
      </c>
      <c r="C184" s="706">
        <v>1067.9999999999854</v>
      </c>
      <c r="D184" s="707">
        <v>137</v>
      </c>
      <c r="E184" s="707">
        <v>1068.0999999999854</v>
      </c>
      <c r="G184" s="65">
        <v>1068.0999999999854</v>
      </c>
      <c r="H184" s="707">
        <v>137</v>
      </c>
      <c r="I184" s="65">
        <v>1068.1999999999853</v>
      </c>
      <c r="J184" s="707">
        <v>141</v>
      </c>
    </row>
    <row r="185" spans="2:10" ht="15">
      <c r="B185" s="706">
        <v>137</v>
      </c>
      <c r="C185" s="706">
        <v>1068.0999999999854</v>
      </c>
      <c r="D185" s="707">
        <v>141</v>
      </c>
      <c r="E185" s="707">
        <v>1068.1999999999853</v>
      </c>
      <c r="G185" s="65">
        <v>1068.1999999999853</v>
      </c>
      <c r="H185" s="707">
        <v>141</v>
      </c>
      <c r="I185" s="65">
        <v>1068.2999999999852</v>
      </c>
      <c r="J185" s="707">
        <v>144</v>
      </c>
    </row>
    <row r="186" spans="2:10" ht="15">
      <c r="B186" s="706">
        <v>141</v>
      </c>
      <c r="C186" s="706">
        <v>1068.1999999999853</v>
      </c>
      <c r="D186" s="707">
        <v>144</v>
      </c>
      <c r="E186" s="707">
        <v>1068.2999999999852</v>
      </c>
      <c r="G186" s="65">
        <v>1068.2999999999852</v>
      </c>
      <c r="H186" s="707">
        <v>144</v>
      </c>
      <c r="I186" s="65">
        <v>1068.3999999999851</v>
      </c>
      <c r="J186" s="707">
        <v>148</v>
      </c>
    </row>
    <row r="187" spans="2:10" ht="15">
      <c r="B187" s="706">
        <v>144</v>
      </c>
      <c r="C187" s="706">
        <v>1068.2999999999852</v>
      </c>
      <c r="D187" s="707">
        <v>148</v>
      </c>
      <c r="E187" s="707">
        <v>1068.3999999999851</v>
      </c>
      <c r="G187" s="65">
        <v>1068.3999999999851</v>
      </c>
      <c r="H187" s="707">
        <v>148</v>
      </c>
      <c r="I187" s="65">
        <v>1068.499999999985</v>
      </c>
      <c r="J187" s="707">
        <v>152</v>
      </c>
    </row>
    <row r="188" spans="2:10" ht="15">
      <c r="B188" s="706">
        <v>148</v>
      </c>
      <c r="C188" s="706">
        <v>1068.3999999999851</v>
      </c>
      <c r="D188" s="707">
        <v>152</v>
      </c>
      <c r="E188" s="707">
        <v>1068.499999999985</v>
      </c>
      <c r="G188" s="65">
        <v>1068.499999999985</v>
      </c>
      <c r="H188" s="707">
        <v>152</v>
      </c>
      <c r="I188" s="65">
        <v>1068.5999999999849</v>
      </c>
      <c r="J188" s="707">
        <v>155</v>
      </c>
    </row>
    <row r="189" spans="2:10" ht="15">
      <c r="B189" s="706">
        <v>152</v>
      </c>
      <c r="C189" s="706">
        <v>1068.499999999985</v>
      </c>
      <c r="D189" s="707">
        <v>155</v>
      </c>
      <c r="E189" s="707">
        <v>1068.5999999999849</v>
      </c>
      <c r="G189" s="65">
        <v>1068.5999999999849</v>
      </c>
      <c r="H189" s="707">
        <v>155</v>
      </c>
      <c r="I189" s="65">
        <v>1068.6999999999848</v>
      </c>
      <c r="J189" s="707">
        <v>159</v>
      </c>
    </row>
    <row r="190" spans="2:10" ht="15">
      <c r="B190" s="706">
        <v>155</v>
      </c>
      <c r="C190" s="706">
        <v>1068.5999999999849</v>
      </c>
      <c r="D190" s="707">
        <v>159</v>
      </c>
      <c r="E190" s="707">
        <v>1068.6999999999848</v>
      </c>
      <c r="G190" s="65">
        <v>1068.6999999999848</v>
      </c>
      <c r="H190" s="707">
        <v>159</v>
      </c>
      <c r="I190" s="65">
        <v>1068.7999999999847</v>
      </c>
      <c r="J190" s="707">
        <v>163</v>
      </c>
    </row>
    <row r="191" spans="2:10" ht="15">
      <c r="B191" s="706">
        <v>159</v>
      </c>
      <c r="C191" s="706">
        <v>1068.6999999999848</v>
      </c>
      <c r="D191" s="707">
        <v>163</v>
      </c>
      <c r="E191" s="707">
        <v>1068.7999999999847</v>
      </c>
      <c r="G191" s="65">
        <v>1068.7999999999847</v>
      </c>
      <c r="H191" s="707">
        <v>163</v>
      </c>
      <c r="I191" s="65">
        <v>1068.8999999999846</v>
      </c>
      <c r="J191" s="707">
        <v>166</v>
      </c>
    </row>
    <row r="192" spans="2:10" ht="15">
      <c r="B192" s="706">
        <v>163</v>
      </c>
      <c r="C192" s="706">
        <v>1068.7999999999847</v>
      </c>
      <c r="D192" s="707">
        <v>166</v>
      </c>
      <c r="E192" s="707">
        <v>1068.8999999999846</v>
      </c>
      <c r="G192" s="65">
        <v>1068.8999999999846</v>
      </c>
      <c r="H192" s="707">
        <v>166</v>
      </c>
      <c r="I192" s="65">
        <v>1068.9999999999845</v>
      </c>
      <c r="J192" s="707">
        <v>170</v>
      </c>
    </row>
    <row r="193" spans="2:10" ht="15">
      <c r="B193" s="706">
        <v>166</v>
      </c>
      <c r="C193" s="706">
        <v>1068.8999999999846</v>
      </c>
      <c r="D193" s="707">
        <v>170</v>
      </c>
      <c r="E193" s="707">
        <v>1068.9999999999845</v>
      </c>
      <c r="G193" s="65">
        <v>1068.9999999999845</v>
      </c>
      <c r="H193" s="707">
        <v>170</v>
      </c>
      <c r="I193" s="65">
        <v>1069.0999999999844</v>
      </c>
      <c r="J193" s="707">
        <v>174</v>
      </c>
    </row>
    <row r="194" spans="2:10" ht="15">
      <c r="B194" s="706">
        <v>170</v>
      </c>
      <c r="C194" s="706">
        <v>1068.9999999999845</v>
      </c>
      <c r="D194" s="707">
        <v>174</v>
      </c>
      <c r="E194" s="707">
        <v>1069.0999999999844</v>
      </c>
      <c r="G194" s="65">
        <v>1069.0999999999844</v>
      </c>
      <c r="H194" s="707">
        <v>174</v>
      </c>
      <c r="I194" s="65">
        <v>1069.1999999999844</v>
      </c>
      <c r="J194" s="707">
        <v>179</v>
      </c>
    </row>
    <row r="195" spans="2:10" ht="15">
      <c r="B195" s="706">
        <v>174</v>
      </c>
      <c r="C195" s="706">
        <v>1069.0999999999844</v>
      </c>
      <c r="D195" s="707">
        <v>179</v>
      </c>
      <c r="E195" s="707">
        <v>1069.1999999999844</v>
      </c>
      <c r="G195" s="65">
        <v>1069.1999999999844</v>
      </c>
      <c r="H195" s="707">
        <v>179</v>
      </c>
      <c r="I195" s="65">
        <v>1069.2999999999843</v>
      </c>
      <c r="J195" s="707">
        <v>184</v>
      </c>
    </row>
    <row r="196" spans="2:10" ht="15">
      <c r="B196" s="706">
        <v>179</v>
      </c>
      <c r="C196" s="706">
        <v>1069.1999999999844</v>
      </c>
      <c r="D196" s="707">
        <v>184</v>
      </c>
      <c r="E196" s="707">
        <v>1069.2999999999843</v>
      </c>
      <c r="G196" s="65">
        <v>1069.2999999999843</v>
      </c>
      <c r="H196" s="707">
        <v>184</v>
      </c>
      <c r="I196" s="65">
        <v>1069.3999999999842</v>
      </c>
      <c r="J196" s="707">
        <v>188</v>
      </c>
    </row>
    <row r="197" spans="2:10" ht="15">
      <c r="B197" s="706">
        <v>184</v>
      </c>
      <c r="C197" s="706">
        <v>1069.2999999999843</v>
      </c>
      <c r="D197" s="707">
        <v>188</v>
      </c>
      <c r="E197" s="707">
        <v>1069.3999999999842</v>
      </c>
      <c r="G197" s="65">
        <v>1069.3999999999842</v>
      </c>
      <c r="H197" s="707">
        <v>188</v>
      </c>
      <c r="I197" s="65">
        <v>1069.4999999999841</v>
      </c>
      <c r="J197" s="707">
        <v>193</v>
      </c>
    </row>
    <row r="198" spans="2:10" ht="15">
      <c r="B198" s="706">
        <v>188</v>
      </c>
      <c r="C198" s="706">
        <v>1069.3999999999842</v>
      </c>
      <c r="D198" s="707">
        <v>193</v>
      </c>
      <c r="E198" s="707">
        <v>1069.4999999999841</v>
      </c>
      <c r="G198" s="65">
        <v>1069.4999999999841</v>
      </c>
      <c r="H198" s="707">
        <v>193</v>
      </c>
      <c r="I198" s="65">
        <v>1069.599999999984</v>
      </c>
      <c r="J198" s="707">
        <v>197</v>
      </c>
    </row>
    <row r="199" spans="2:10" ht="15">
      <c r="B199" s="706">
        <v>193</v>
      </c>
      <c r="C199" s="706">
        <v>1069.4999999999841</v>
      </c>
      <c r="D199" s="707">
        <v>197</v>
      </c>
      <c r="E199" s="707">
        <v>1069.599999999984</v>
      </c>
      <c r="G199" s="65">
        <v>1069.599999999984</v>
      </c>
      <c r="H199" s="707">
        <v>197</v>
      </c>
      <c r="I199" s="65">
        <v>1069.6999999999839</v>
      </c>
      <c r="J199" s="707">
        <v>202</v>
      </c>
    </row>
    <row r="200" spans="2:10" ht="15">
      <c r="B200" s="706">
        <v>197</v>
      </c>
      <c r="C200" s="706">
        <v>1069.599999999984</v>
      </c>
      <c r="D200" s="707">
        <v>202</v>
      </c>
      <c r="E200" s="707">
        <v>1069.6999999999839</v>
      </c>
      <c r="G200" s="65">
        <v>1069.6999999999839</v>
      </c>
      <c r="H200" s="707">
        <v>202</v>
      </c>
      <c r="I200" s="65">
        <v>1069.7999999999838</v>
      </c>
      <c r="J200" s="707">
        <v>206</v>
      </c>
    </row>
    <row r="201" spans="2:10" ht="15">
      <c r="B201" s="706">
        <v>202</v>
      </c>
      <c r="C201" s="706">
        <v>1069.6999999999839</v>
      </c>
      <c r="D201" s="707">
        <v>206</v>
      </c>
      <c r="E201" s="707">
        <v>1069.7999999999838</v>
      </c>
      <c r="G201" s="65">
        <v>1069.7999999999838</v>
      </c>
      <c r="H201" s="707">
        <v>206</v>
      </c>
      <c r="I201" s="65">
        <v>1069.8999999999837</v>
      </c>
      <c r="J201" s="707">
        <v>211</v>
      </c>
    </row>
    <row r="202" spans="2:10" ht="15">
      <c r="B202" s="706">
        <v>206</v>
      </c>
      <c r="C202" s="706">
        <v>1069.7999999999838</v>
      </c>
      <c r="D202" s="707">
        <v>211</v>
      </c>
      <c r="E202" s="707">
        <v>1069.8999999999837</v>
      </c>
      <c r="G202" s="65">
        <v>1069.8999999999837</v>
      </c>
      <c r="H202" s="707">
        <v>211</v>
      </c>
      <c r="I202" s="65">
        <v>1069.9999999999836</v>
      </c>
      <c r="J202" s="707">
        <v>216</v>
      </c>
    </row>
    <row r="203" spans="2:10" ht="15">
      <c r="B203" s="706">
        <v>211</v>
      </c>
      <c r="C203" s="706">
        <v>1069.8999999999837</v>
      </c>
      <c r="D203" s="707">
        <v>216</v>
      </c>
      <c r="E203" s="707">
        <v>1069.9999999999836</v>
      </c>
      <c r="G203" s="65">
        <v>1069.9999999999836</v>
      </c>
      <c r="H203" s="707">
        <v>216</v>
      </c>
      <c r="I203" s="65">
        <v>1070.0999999999835</v>
      </c>
      <c r="J203" s="707">
        <v>221</v>
      </c>
    </row>
    <row r="204" spans="2:10" ht="15">
      <c r="B204" s="706">
        <v>216</v>
      </c>
      <c r="C204" s="706">
        <v>1069.9999999999836</v>
      </c>
      <c r="D204" s="707">
        <v>221</v>
      </c>
      <c r="E204" s="707">
        <v>1070.0999999999835</v>
      </c>
      <c r="G204" s="65">
        <v>1070.0999999999835</v>
      </c>
      <c r="H204" s="707">
        <v>221</v>
      </c>
      <c r="I204" s="65">
        <v>1070.1999999999834</v>
      </c>
      <c r="J204" s="707">
        <v>226</v>
      </c>
    </row>
    <row r="205" spans="2:10" ht="15">
      <c r="B205" s="706">
        <v>221</v>
      </c>
      <c r="C205" s="706">
        <v>1070.0999999999835</v>
      </c>
      <c r="D205" s="707">
        <v>226</v>
      </c>
      <c r="E205" s="707">
        <v>1070.1999999999834</v>
      </c>
      <c r="G205" s="65">
        <v>1070.1999999999834</v>
      </c>
      <c r="H205" s="707">
        <v>226</v>
      </c>
      <c r="I205" s="65">
        <v>1070.2999999999834</v>
      </c>
      <c r="J205" s="707">
        <v>232</v>
      </c>
    </row>
    <row r="206" spans="2:10" ht="15">
      <c r="B206" s="706">
        <v>226</v>
      </c>
      <c r="C206" s="706">
        <v>1070.1999999999834</v>
      </c>
      <c r="D206" s="707">
        <v>232</v>
      </c>
      <c r="E206" s="707">
        <v>1070.2999999999834</v>
      </c>
      <c r="G206" s="65">
        <v>1070.2999999999834</v>
      </c>
      <c r="H206" s="707">
        <v>232</v>
      </c>
      <c r="I206" s="65">
        <v>1070.3999999999833</v>
      </c>
      <c r="J206" s="707">
        <v>237</v>
      </c>
    </row>
    <row r="207" spans="2:10" ht="15">
      <c r="B207" s="706">
        <v>232</v>
      </c>
      <c r="C207" s="706">
        <v>1070.2999999999834</v>
      </c>
      <c r="D207" s="707">
        <v>237</v>
      </c>
      <c r="E207" s="707">
        <v>1070.3999999999833</v>
      </c>
      <c r="G207" s="65">
        <v>1070.3999999999833</v>
      </c>
      <c r="H207" s="707">
        <v>237</v>
      </c>
      <c r="I207" s="65">
        <v>1070.4999999999832</v>
      </c>
      <c r="J207" s="707">
        <v>243</v>
      </c>
    </row>
    <row r="208" spans="2:10" ht="15">
      <c r="B208" s="706">
        <v>237</v>
      </c>
      <c r="C208" s="706">
        <v>1070.3999999999833</v>
      </c>
      <c r="D208" s="707">
        <v>243</v>
      </c>
      <c r="E208" s="707">
        <v>1070.4999999999832</v>
      </c>
      <c r="G208" s="65">
        <v>1070.4999999999832</v>
      </c>
      <c r="H208" s="707">
        <v>243</v>
      </c>
      <c r="I208" s="65">
        <v>1070.5999999999831</v>
      </c>
      <c r="J208" s="707">
        <v>248</v>
      </c>
    </row>
    <row r="209" spans="2:10" ht="15">
      <c r="B209" s="706">
        <v>243</v>
      </c>
      <c r="C209" s="706">
        <v>1070.4999999999832</v>
      </c>
      <c r="D209" s="707">
        <v>248</v>
      </c>
      <c r="E209" s="707">
        <v>1070.5999999999831</v>
      </c>
      <c r="G209" s="65">
        <v>1070.5999999999831</v>
      </c>
      <c r="H209" s="707">
        <v>248</v>
      </c>
      <c r="I209" s="65">
        <v>1070.699999999983</v>
      </c>
      <c r="J209" s="707">
        <v>253</v>
      </c>
    </row>
    <row r="210" spans="2:10" ht="15">
      <c r="B210" s="706">
        <v>248</v>
      </c>
      <c r="C210" s="706">
        <v>1070.5999999999831</v>
      </c>
      <c r="D210" s="707">
        <v>253</v>
      </c>
      <c r="E210" s="707">
        <v>1070.699999999983</v>
      </c>
      <c r="G210" s="65">
        <v>1070.699999999983</v>
      </c>
      <c r="H210" s="707">
        <v>253</v>
      </c>
      <c r="I210" s="65">
        <v>1070.7999999999829</v>
      </c>
      <c r="J210" s="707">
        <v>259</v>
      </c>
    </row>
    <row r="211" spans="2:10" ht="15">
      <c r="B211" s="706">
        <v>253</v>
      </c>
      <c r="C211" s="706">
        <v>1070.699999999983</v>
      </c>
      <c r="D211" s="707">
        <v>259</v>
      </c>
      <c r="E211" s="707">
        <v>1070.7999999999829</v>
      </c>
      <c r="G211" s="65">
        <v>1070.7999999999829</v>
      </c>
      <c r="H211" s="707">
        <v>259</v>
      </c>
      <c r="I211" s="65">
        <v>1070.8999999999828</v>
      </c>
      <c r="J211" s="707">
        <v>264</v>
      </c>
    </row>
    <row r="212" spans="2:10" ht="15">
      <c r="B212" s="706">
        <v>259</v>
      </c>
      <c r="C212" s="706">
        <v>1070.7999999999829</v>
      </c>
      <c r="D212" s="707">
        <v>264</v>
      </c>
      <c r="E212" s="707">
        <v>1070.8999999999828</v>
      </c>
      <c r="G212" s="65">
        <v>1070.8999999999828</v>
      </c>
      <c r="H212" s="707">
        <v>264</v>
      </c>
      <c r="I212" s="65">
        <v>1070.9999999999827</v>
      </c>
      <c r="J212" s="707">
        <v>270</v>
      </c>
    </row>
    <row r="213" spans="2:10" ht="15">
      <c r="B213" s="706">
        <v>264</v>
      </c>
      <c r="C213" s="706">
        <v>1070.8999999999828</v>
      </c>
      <c r="D213" s="707">
        <v>270</v>
      </c>
      <c r="E213" s="707">
        <v>1070.9999999999827</v>
      </c>
      <c r="G213" s="65">
        <v>1070.9999999999827</v>
      </c>
      <c r="H213" s="707">
        <v>270</v>
      </c>
      <c r="I213" s="65">
        <v>1071.0999999999826</v>
      </c>
      <c r="J213" s="707">
        <v>277</v>
      </c>
    </row>
    <row r="214" spans="2:10" ht="15">
      <c r="B214" s="706">
        <v>270</v>
      </c>
      <c r="C214" s="706">
        <v>1070.9999999999827</v>
      </c>
      <c r="D214" s="707">
        <v>277</v>
      </c>
      <c r="E214" s="707">
        <v>1071.0999999999826</v>
      </c>
      <c r="G214" s="65">
        <v>1071.0999999999826</v>
      </c>
      <c r="H214" s="707">
        <v>277</v>
      </c>
      <c r="I214" s="65">
        <v>1071.1999999999825</v>
      </c>
      <c r="J214" s="707">
        <v>283</v>
      </c>
    </row>
    <row r="215" spans="2:10" ht="15">
      <c r="B215" s="706">
        <v>277</v>
      </c>
      <c r="C215" s="706">
        <v>1071.0999999999826</v>
      </c>
      <c r="D215" s="707">
        <v>283</v>
      </c>
      <c r="E215" s="707">
        <v>1071.1999999999825</v>
      </c>
      <c r="G215" s="65">
        <v>1071.1999999999825</v>
      </c>
      <c r="H215" s="707">
        <v>283</v>
      </c>
      <c r="I215" s="65">
        <v>1071.2999999999824</v>
      </c>
      <c r="J215" s="707">
        <v>290</v>
      </c>
    </row>
    <row r="216" spans="2:10" ht="15">
      <c r="B216" s="706">
        <v>283</v>
      </c>
      <c r="C216" s="706">
        <v>1071.1999999999825</v>
      </c>
      <c r="D216" s="707">
        <v>290</v>
      </c>
      <c r="E216" s="707">
        <v>1071.2999999999824</v>
      </c>
      <c r="G216" s="65">
        <v>1071.2999999999824</v>
      </c>
      <c r="H216" s="707">
        <v>290</v>
      </c>
      <c r="I216" s="65">
        <v>1071.3999999999824</v>
      </c>
      <c r="J216" s="707">
        <v>297</v>
      </c>
    </row>
    <row r="217" spans="2:10" ht="15">
      <c r="B217" s="706">
        <v>290</v>
      </c>
      <c r="C217" s="706">
        <v>1071.2999999999824</v>
      </c>
      <c r="D217" s="707">
        <v>297</v>
      </c>
      <c r="E217" s="707">
        <v>1071.3999999999824</v>
      </c>
      <c r="G217" s="65">
        <v>1071.3999999999824</v>
      </c>
      <c r="H217" s="707">
        <v>297</v>
      </c>
      <c r="I217" s="65">
        <v>1071.4999999999823</v>
      </c>
      <c r="J217" s="707">
        <v>304</v>
      </c>
    </row>
    <row r="218" spans="2:10" ht="15">
      <c r="B218" s="706">
        <v>297</v>
      </c>
      <c r="C218" s="706">
        <v>1071.3999999999824</v>
      </c>
      <c r="D218" s="707">
        <v>304</v>
      </c>
      <c r="E218" s="707">
        <v>1071.4999999999823</v>
      </c>
      <c r="G218" s="65">
        <v>1071.4999999999823</v>
      </c>
      <c r="H218" s="707">
        <v>304</v>
      </c>
      <c r="I218" s="65">
        <v>1071.5999999999822</v>
      </c>
      <c r="J218" s="707">
        <v>310</v>
      </c>
    </row>
    <row r="219" spans="2:10" ht="15">
      <c r="B219" s="706">
        <v>304</v>
      </c>
      <c r="C219" s="706">
        <v>1071.4999999999823</v>
      </c>
      <c r="D219" s="707">
        <v>310</v>
      </c>
      <c r="E219" s="707">
        <v>1071.5999999999822</v>
      </c>
      <c r="G219" s="65">
        <v>1071.5999999999822</v>
      </c>
      <c r="H219" s="707">
        <v>310</v>
      </c>
      <c r="I219" s="65">
        <v>1071.6999999999821</v>
      </c>
      <c r="J219" s="707">
        <v>317</v>
      </c>
    </row>
    <row r="220" spans="2:10" ht="15">
      <c r="B220" s="706">
        <v>310</v>
      </c>
      <c r="C220" s="706">
        <v>1071.5999999999822</v>
      </c>
      <c r="D220" s="707">
        <v>317</v>
      </c>
      <c r="E220" s="707">
        <v>1071.6999999999821</v>
      </c>
      <c r="G220" s="65">
        <v>1071.6999999999821</v>
      </c>
      <c r="H220" s="707">
        <v>317</v>
      </c>
      <c r="I220" s="65">
        <v>1071.799999999982</v>
      </c>
      <c r="J220" s="707">
        <v>324</v>
      </c>
    </row>
    <row r="221" spans="2:10" ht="15">
      <c r="B221" s="706">
        <v>317</v>
      </c>
      <c r="C221" s="706">
        <v>1071.6999999999821</v>
      </c>
      <c r="D221" s="707">
        <v>324</v>
      </c>
      <c r="E221" s="707">
        <v>1071.799999999982</v>
      </c>
      <c r="G221" s="65">
        <v>1071.799999999982</v>
      </c>
      <c r="H221" s="707">
        <v>324</v>
      </c>
      <c r="I221" s="65">
        <v>1071.8999999999819</v>
      </c>
      <c r="J221" s="707">
        <v>331</v>
      </c>
    </row>
    <row r="222" spans="2:10" ht="15">
      <c r="B222" s="706">
        <v>324</v>
      </c>
      <c r="C222" s="706">
        <v>1071.799999999982</v>
      </c>
      <c r="D222" s="707">
        <v>331</v>
      </c>
      <c r="E222" s="707">
        <v>1071.8999999999819</v>
      </c>
      <c r="G222" s="65">
        <v>1071.8999999999819</v>
      </c>
      <c r="H222" s="707">
        <v>331</v>
      </c>
      <c r="I222" s="65">
        <v>1071.9999999999818</v>
      </c>
      <c r="J222" s="707">
        <v>338</v>
      </c>
    </row>
    <row r="223" spans="2:10" ht="15">
      <c r="B223" s="706">
        <v>331</v>
      </c>
      <c r="C223" s="706">
        <v>1071.8999999999819</v>
      </c>
      <c r="D223" s="707">
        <v>338</v>
      </c>
      <c r="E223" s="707">
        <v>1071.9999999999818</v>
      </c>
      <c r="G223" s="65">
        <v>1071.9999999999818</v>
      </c>
      <c r="H223" s="707">
        <v>338</v>
      </c>
      <c r="I223" s="65">
        <v>1072.0999999999817</v>
      </c>
      <c r="J223" s="707">
        <v>346</v>
      </c>
    </row>
    <row r="224" spans="2:10" ht="15">
      <c r="B224" s="706">
        <v>338</v>
      </c>
      <c r="C224" s="706">
        <v>1071.9999999999818</v>
      </c>
      <c r="D224" s="707">
        <v>346</v>
      </c>
      <c r="E224" s="707">
        <v>1072.0999999999817</v>
      </c>
      <c r="G224" s="65">
        <v>1072.0999999999817</v>
      </c>
      <c r="H224" s="707">
        <v>346</v>
      </c>
      <c r="I224" s="65">
        <v>1072.1999999999816</v>
      </c>
      <c r="J224" s="707">
        <v>355</v>
      </c>
    </row>
    <row r="225" spans="2:10" ht="15">
      <c r="B225" s="706">
        <v>346</v>
      </c>
      <c r="C225" s="706">
        <v>1072.0999999999817</v>
      </c>
      <c r="D225" s="707">
        <v>355</v>
      </c>
      <c r="E225" s="707">
        <v>1072.1999999999816</v>
      </c>
      <c r="G225" s="65">
        <v>1072.1999999999816</v>
      </c>
      <c r="H225" s="707">
        <v>355</v>
      </c>
      <c r="I225" s="65">
        <v>1072.2999999999815</v>
      </c>
      <c r="J225" s="707">
        <v>363</v>
      </c>
    </row>
    <row r="226" spans="2:10" ht="15">
      <c r="B226" s="706">
        <v>355</v>
      </c>
      <c r="C226" s="706">
        <v>1072.1999999999816</v>
      </c>
      <c r="D226" s="707">
        <v>363</v>
      </c>
      <c r="E226" s="707">
        <v>1072.2999999999815</v>
      </c>
      <c r="G226" s="65">
        <v>1072.2999999999815</v>
      </c>
      <c r="H226" s="707">
        <v>363</v>
      </c>
      <c r="I226" s="65">
        <v>1072.3999999999814</v>
      </c>
      <c r="J226" s="707">
        <v>371</v>
      </c>
    </row>
    <row r="227" spans="2:10" ht="15">
      <c r="B227" s="706">
        <v>363</v>
      </c>
      <c r="C227" s="706">
        <v>1072.2999999999815</v>
      </c>
      <c r="D227" s="707">
        <v>371</v>
      </c>
      <c r="E227" s="707">
        <v>1072.3999999999814</v>
      </c>
      <c r="G227" s="65">
        <v>1072.3999999999814</v>
      </c>
      <c r="H227" s="707">
        <v>371</v>
      </c>
      <c r="I227" s="65">
        <v>1072.4999999999814</v>
      </c>
      <c r="J227" s="707">
        <v>380</v>
      </c>
    </row>
    <row r="228" spans="2:10" ht="15">
      <c r="B228" s="706">
        <v>371</v>
      </c>
      <c r="C228" s="706">
        <v>1072.3999999999814</v>
      </c>
      <c r="D228" s="707">
        <v>380</v>
      </c>
      <c r="E228" s="707">
        <v>1072.4999999999814</v>
      </c>
      <c r="G228" s="65">
        <v>1072.4999999999814</v>
      </c>
      <c r="H228" s="707">
        <v>380</v>
      </c>
      <c r="I228" s="65">
        <v>1072.5999999999813</v>
      </c>
      <c r="J228" s="707">
        <v>388</v>
      </c>
    </row>
    <row r="229" spans="2:10" ht="15">
      <c r="B229" s="706">
        <v>380</v>
      </c>
      <c r="C229" s="706">
        <v>1072.4999999999814</v>
      </c>
      <c r="D229" s="707">
        <v>388</v>
      </c>
      <c r="E229" s="707">
        <v>1072.5999999999813</v>
      </c>
      <c r="G229" s="65">
        <v>1072.5999999999813</v>
      </c>
      <c r="H229" s="707">
        <v>388</v>
      </c>
      <c r="I229" s="65">
        <v>1072.6999999999812</v>
      </c>
      <c r="J229" s="707">
        <v>397</v>
      </c>
    </row>
    <row r="230" spans="2:10" ht="15">
      <c r="B230" s="706">
        <v>388</v>
      </c>
      <c r="C230" s="706">
        <v>1072.5999999999813</v>
      </c>
      <c r="D230" s="707">
        <v>397</v>
      </c>
      <c r="E230" s="707">
        <v>1072.6999999999812</v>
      </c>
      <c r="G230" s="65">
        <v>1072.6999999999812</v>
      </c>
      <c r="H230" s="707">
        <v>397</v>
      </c>
      <c r="I230" s="65">
        <v>1072.7999999999811</v>
      </c>
      <c r="J230" s="707">
        <v>405</v>
      </c>
    </row>
    <row r="231" spans="2:10" ht="15">
      <c r="B231" s="706">
        <v>397</v>
      </c>
      <c r="C231" s="706">
        <v>1072.6999999999812</v>
      </c>
      <c r="D231" s="707">
        <v>405</v>
      </c>
      <c r="E231" s="707">
        <v>1072.7999999999811</v>
      </c>
      <c r="G231" s="65">
        <v>1072.7999999999811</v>
      </c>
      <c r="H231" s="707">
        <v>405</v>
      </c>
      <c r="I231" s="65">
        <v>1072.899999999981</v>
      </c>
      <c r="J231" s="707">
        <v>414</v>
      </c>
    </row>
    <row r="232" spans="2:10" ht="15">
      <c r="B232" s="706">
        <v>405</v>
      </c>
      <c r="C232" s="706">
        <v>1072.7999999999811</v>
      </c>
      <c r="D232" s="707">
        <v>414</v>
      </c>
      <c r="E232" s="707">
        <v>1072.899999999981</v>
      </c>
      <c r="G232" s="65">
        <v>1072.899999999981</v>
      </c>
      <c r="H232" s="707">
        <v>414</v>
      </c>
      <c r="I232" s="65">
        <v>1072.9999999999809</v>
      </c>
      <c r="J232" s="707">
        <v>422</v>
      </c>
    </row>
    <row r="233" spans="2:10" ht="15">
      <c r="B233" s="706">
        <v>414</v>
      </c>
      <c r="C233" s="706">
        <v>1072.899999999981</v>
      </c>
      <c r="D233" s="707">
        <v>422</v>
      </c>
      <c r="E233" s="707">
        <v>1072.9999999999809</v>
      </c>
      <c r="G233" s="65">
        <v>1072.9999999999809</v>
      </c>
      <c r="H233" s="707">
        <v>422</v>
      </c>
      <c r="I233" s="65">
        <v>1073.0999999999808</v>
      </c>
      <c r="J233" s="707">
        <v>432</v>
      </c>
    </row>
    <row r="234" spans="2:10" ht="15">
      <c r="B234" s="706">
        <v>422</v>
      </c>
      <c r="C234" s="706">
        <v>1072.9999999999809</v>
      </c>
      <c r="D234" s="707">
        <v>432</v>
      </c>
      <c r="E234" s="707">
        <v>1073.0999999999808</v>
      </c>
      <c r="G234" s="65">
        <v>1073.0999999999808</v>
      </c>
      <c r="H234" s="707">
        <v>432</v>
      </c>
      <c r="I234" s="65">
        <v>1073.1999999999807</v>
      </c>
      <c r="J234" s="707">
        <v>441</v>
      </c>
    </row>
    <row r="235" spans="2:10" ht="15">
      <c r="B235" s="706">
        <v>432</v>
      </c>
      <c r="C235" s="706">
        <v>1073.0999999999808</v>
      </c>
      <c r="D235" s="707">
        <v>441</v>
      </c>
      <c r="E235" s="707">
        <v>1073.1999999999807</v>
      </c>
      <c r="G235" s="65">
        <v>1073.1999999999807</v>
      </c>
      <c r="H235" s="707">
        <v>441</v>
      </c>
      <c r="I235" s="65">
        <v>1073.2999999999806</v>
      </c>
      <c r="J235" s="707">
        <v>451</v>
      </c>
    </row>
    <row r="236" spans="2:10" ht="15">
      <c r="B236" s="706">
        <v>441</v>
      </c>
      <c r="C236" s="706">
        <v>1073.1999999999807</v>
      </c>
      <c r="D236" s="707">
        <v>451</v>
      </c>
      <c r="E236" s="707">
        <v>1073.2999999999806</v>
      </c>
      <c r="G236" s="65">
        <v>1073.2999999999806</v>
      </c>
      <c r="H236" s="707">
        <v>451</v>
      </c>
      <c r="I236" s="65">
        <v>1073.3999999999805</v>
      </c>
      <c r="J236" s="707">
        <v>460</v>
      </c>
    </row>
    <row r="237" spans="2:10" ht="15">
      <c r="B237" s="706">
        <v>451</v>
      </c>
      <c r="C237" s="706">
        <v>1073.2999999999806</v>
      </c>
      <c r="D237" s="707">
        <v>460</v>
      </c>
      <c r="E237" s="707">
        <v>1073.3999999999805</v>
      </c>
      <c r="G237" s="65">
        <v>1073.3999999999805</v>
      </c>
      <c r="H237" s="707">
        <v>460</v>
      </c>
      <c r="I237" s="65">
        <v>1073.4999999999804</v>
      </c>
      <c r="J237" s="707">
        <v>470</v>
      </c>
    </row>
    <row r="238" spans="2:10" ht="15">
      <c r="B238" s="706">
        <v>460</v>
      </c>
      <c r="C238" s="706">
        <v>1073.3999999999805</v>
      </c>
      <c r="D238" s="707">
        <v>470</v>
      </c>
      <c r="E238" s="707">
        <v>1073.4999999999804</v>
      </c>
      <c r="G238" s="65">
        <v>1073.4999999999804</v>
      </c>
      <c r="H238" s="707">
        <v>470</v>
      </c>
      <c r="I238" s="65">
        <v>1073.5999999999804</v>
      </c>
      <c r="J238" s="707">
        <v>479</v>
      </c>
    </row>
    <row r="239" spans="2:10" ht="15">
      <c r="B239" s="706">
        <v>470</v>
      </c>
      <c r="C239" s="706">
        <v>1073.4999999999804</v>
      </c>
      <c r="D239" s="707">
        <v>479</v>
      </c>
      <c r="E239" s="707">
        <v>1073.5999999999804</v>
      </c>
      <c r="G239" s="65">
        <v>1073.5999999999804</v>
      </c>
      <c r="H239" s="707">
        <v>479</v>
      </c>
      <c r="I239" s="65">
        <v>1073.6999999999803</v>
      </c>
      <c r="J239" s="707">
        <v>489</v>
      </c>
    </row>
    <row r="240" spans="2:10" ht="15">
      <c r="B240" s="706">
        <v>479</v>
      </c>
      <c r="C240" s="706">
        <v>1073.5999999999804</v>
      </c>
      <c r="D240" s="707">
        <v>489</v>
      </c>
      <c r="E240" s="707">
        <v>1073.6999999999803</v>
      </c>
      <c r="G240" s="65">
        <v>1073.6999999999803</v>
      </c>
      <c r="H240" s="707">
        <v>489</v>
      </c>
      <c r="I240" s="65">
        <v>1073.7999999999802</v>
      </c>
      <c r="J240" s="707">
        <v>498</v>
      </c>
    </row>
    <row r="241" spans="2:10" ht="15">
      <c r="B241" s="706">
        <v>489</v>
      </c>
      <c r="C241" s="706">
        <v>1073.6999999999803</v>
      </c>
      <c r="D241" s="707">
        <v>498</v>
      </c>
      <c r="E241" s="707">
        <v>1073.7999999999802</v>
      </c>
      <c r="G241" s="65">
        <v>1073.7999999999802</v>
      </c>
      <c r="H241" s="707">
        <v>498</v>
      </c>
      <c r="I241" s="65">
        <v>1073.8999999999801</v>
      </c>
      <c r="J241" s="707">
        <v>508</v>
      </c>
    </row>
    <row r="242" spans="2:10" ht="15">
      <c r="B242" s="706">
        <v>498</v>
      </c>
      <c r="C242" s="706">
        <v>1073.7999999999802</v>
      </c>
      <c r="D242" s="707">
        <v>508</v>
      </c>
      <c r="E242" s="707">
        <v>1073.8999999999801</v>
      </c>
      <c r="G242" s="65">
        <v>1073.8999999999801</v>
      </c>
      <c r="H242" s="707">
        <v>508</v>
      </c>
      <c r="I242" s="65">
        <v>1073.99999999998</v>
      </c>
      <c r="J242" s="707">
        <v>517</v>
      </c>
    </row>
    <row r="243" spans="2:10" ht="15">
      <c r="B243" s="706">
        <v>508</v>
      </c>
      <c r="C243" s="706">
        <v>1073.8999999999801</v>
      </c>
      <c r="D243" s="707">
        <v>517</v>
      </c>
      <c r="E243" s="707">
        <v>1073.99999999998</v>
      </c>
      <c r="G243" s="65">
        <v>1073.99999999998</v>
      </c>
      <c r="H243" s="707">
        <v>517</v>
      </c>
      <c r="I243" s="65">
        <v>1074.0999999999799</v>
      </c>
      <c r="J243" s="707">
        <v>528</v>
      </c>
    </row>
    <row r="244" spans="2:10" ht="15">
      <c r="B244" s="706">
        <v>517</v>
      </c>
      <c r="C244" s="706">
        <v>1073.99999999998</v>
      </c>
      <c r="D244" s="707">
        <v>528</v>
      </c>
      <c r="E244" s="707">
        <v>1074.0999999999799</v>
      </c>
      <c r="G244" s="65">
        <v>1074.0999999999799</v>
      </c>
      <c r="H244" s="707">
        <v>528</v>
      </c>
      <c r="I244" s="65">
        <v>1074.1999999999798</v>
      </c>
      <c r="J244" s="707">
        <v>538</v>
      </c>
    </row>
    <row r="245" spans="2:10" ht="15">
      <c r="B245" s="706">
        <v>528</v>
      </c>
      <c r="C245" s="706">
        <v>1074.0999999999799</v>
      </c>
      <c r="D245" s="707">
        <v>538</v>
      </c>
      <c r="E245" s="707">
        <v>1074.1999999999798</v>
      </c>
      <c r="G245" s="65">
        <v>1074.1999999999798</v>
      </c>
      <c r="H245" s="707">
        <v>538</v>
      </c>
      <c r="I245" s="65">
        <v>1074.2999999999797</v>
      </c>
      <c r="J245" s="707">
        <v>548</v>
      </c>
    </row>
    <row r="246" spans="2:10" ht="15">
      <c r="B246" s="706">
        <v>538</v>
      </c>
      <c r="C246" s="706">
        <v>1074.1999999999798</v>
      </c>
      <c r="D246" s="707">
        <v>548</v>
      </c>
      <c r="E246" s="707">
        <v>1074.2999999999797</v>
      </c>
      <c r="G246" s="65">
        <v>1074.2999999999797</v>
      </c>
      <c r="H246" s="707">
        <v>548</v>
      </c>
      <c r="I246" s="65">
        <v>1074.3999999999796</v>
      </c>
      <c r="J246" s="707">
        <v>558</v>
      </c>
    </row>
    <row r="247" spans="2:10" ht="15">
      <c r="B247" s="706">
        <v>548</v>
      </c>
      <c r="C247" s="706">
        <v>1074.2999999999797</v>
      </c>
      <c r="D247" s="707">
        <v>558</v>
      </c>
      <c r="E247" s="707">
        <v>1074.3999999999796</v>
      </c>
      <c r="G247" s="65">
        <v>1074.3999999999796</v>
      </c>
      <c r="H247" s="707">
        <v>558</v>
      </c>
      <c r="I247" s="65">
        <v>1074.4999999999795</v>
      </c>
      <c r="J247" s="707">
        <v>568</v>
      </c>
    </row>
    <row r="248" spans="2:10" ht="15">
      <c r="B248" s="706">
        <v>558</v>
      </c>
      <c r="C248" s="706">
        <v>1074.3999999999796</v>
      </c>
      <c r="D248" s="707">
        <v>568</v>
      </c>
      <c r="E248" s="707">
        <v>1074.4999999999795</v>
      </c>
      <c r="G248" s="65">
        <v>1074.4999999999795</v>
      </c>
      <c r="H248" s="707">
        <v>568</v>
      </c>
      <c r="I248" s="65">
        <v>1074.5999999999794</v>
      </c>
      <c r="J248" s="707">
        <v>578</v>
      </c>
    </row>
    <row r="249" spans="2:10" ht="15">
      <c r="B249" s="706">
        <v>568</v>
      </c>
      <c r="C249" s="706">
        <v>1074.4999999999795</v>
      </c>
      <c r="D249" s="707">
        <v>578</v>
      </c>
      <c r="E249" s="707">
        <v>1074.5999999999794</v>
      </c>
      <c r="G249" s="65">
        <v>1074.5999999999794</v>
      </c>
      <c r="H249" s="707">
        <v>578</v>
      </c>
      <c r="I249" s="65">
        <v>1074.6999999999794</v>
      </c>
      <c r="J249" s="707">
        <v>588</v>
      </c>
    </row>
    <row r="250" spans="2:10" ht="15">
      <c r="B250" s="706">
        <v>578</v>
      </c>
      <c r="C250" s="706">
        <v>1074.5999999999794</v>
      </c>
      <c r="D250" s="707">
        <v>588</v>
      </c>
      <c r="E250" s="707">
        <v>1074.6999999999794</v>
      </c>
      <c r="G250" s="65">
        <v>1074.6999999999794</v>
      </c>
      <c r="H250" s="707">
        <v>588</v>
      </c>
      <c r="I250" s="65">
        <v>1074.7999999999793</v>
      </c>
      <c r="J250" s="707">
        <v>599</v>
      </c>
    </row>
    <row r="251" spans="2:10" ht="15">
      <c r="B251" s="706">
        <v>588</v>
      </c>
      <c r="C251" s="706">
        <v>1074.6999999999794</v>
      </c>
      <c r="D251" s="707">
        <v>599</v>
      </c>
      <c r="E251" s="707">
        <v>1074.7999999999793</v>
      </c>
      <c r="G251" s="65">
        <v>1074.7999999999793</v>
      </c>
      <c r="H251" s="707">
        <v>599</v>
      </c>
      <c r="I251" s="65">
        <v>1074.8999999999792</v>
      </c>
      <c r="J251" s="707">
        <v>609</v>
      </c>
    </row>
    <row r="252" spans="2:10" ht="15">
      <c r="B252" s="706">
        <v>599</v>
      </c>
      <c r="C252" s="706">
        <v>1074.7999999999793</v>
      </c>
      <c r="D252" s="707">
        <v>609</v>
      </c>
      <c r="E252" s="707">
        <v>1074.8999999999792</v>
      </c>
      <c r="G252" s="65">
        <v>1074.8999999999792</v>
      </c>
      <c r="H252" s="707">
        <v>609</v>
      </c>
      <c r="I252" s="65">
        <v>1074.9999999999791</v>
      </c>
      <c r="J252" s="707">
        <v>619</v>
      </c>
    </row>
    <row r="253" spans="2:10" s="1062" customFormat="1" ht="15">
      <c r="B253" s="1060">
        <v>609</v>
      </c>
      <c r="C253" s="1060">
        <v>1074.8999999999792</v>
      </c>
      <c r="D253" s="1060">
        <v>619</v>
      </c>
      <c r="E253" s="1060">
        <v>1074.9999999999791</v>
      </c>
      <c r="F253" s="1061"/>
      <c r="G253" s="1062">
        <v>1074.9999999999791</v>
      </c>
      <c r="H253" s="1060">
        <v>619</v>
      </c>
      <c r="I253" s="1062">
        <v>1075.099999999979</v>
      </c>
      <c r="J253" s="1060">
        <v>630</v>
      </c>
    </row>
    <row r="254" spans="2:10" ht="15">
      <c r="B254" s="706">
        <v>619</v>
      </c>
      <c r="C254" s="706">
        <v>1074.9999999999791</v>
      </c>
      <c r="D254" s="707">
        <v>630</v>
      </c>
      <c r="E254" s="707">
        <v>1075.099999999979</v>
      </c>
      <c r="G254" s="65">
        <v>1075.099999999979</v>
      </c>
      <c r="H254" s="707">
        <v>630</v>
      </c>
      <c r="I254" s="65">
        <v>1075.1999999999789</v>
      </c>
      <c r="J254" s="707">
        <v>641</v>
      </c>
    </row>
    <row r="255" spans="2:10" ht="15">
      <c r="B255" s="706">
        <v>630</v>
      </c>
      <c r="C255" s="706">
        <v>1075.099999999979</v>
      </c>
      <c r="D255" s="707">
        <v>641</v>
      </c>
      <c r="E255" s="707">
        <v>1075.1999999999789</v>
      </c>
      <c r="G255" s="65">
        <v>1075.1999999999789</v>
      </c>
      <c r="H255" s="707">
        <v>641</v>
      </c>
      <c r="I255" s="65">
        <v>1075.2999999999788</v>
      </c>
      <c r="J255" s="707">
        <v>651</v>
      </c>
    </row>
    <row r="256" spans="2:10" ht="15">
      <c r="B256" s="706">
        <v>641</v>
      </c>
      <c r="C256" s="706">
        <v>1075.1999999999789</v>
      </c>
      <c r="D256" s="707">
        <v>651</v>
      </c>
      <c r="E256" s="707">
        <v>1075.2999999999788</v>
      </c>
      <c r="G256" s="65">
        <v>1075.2999999999788</v>
      </c>
      <c r="H256" s="707">
        <v>651</v>
      </c>
      <c r="I256" s="65">
        <v>1075.3999999999787</v>
      </c>
      <c r="J256" s="707">
        <v>662</v>
      </c>
    </row>
    <row r="257" spans="2:10" ht="15">
      <c r="B257" s="706">
        <v>651</v>
      </c>
      <c r="C257" s="706">
        <v>1075.2999999999788</v>
      </c>
      <c r="D257" s="707">
        <v>662</v>
      </c>
      <c r="E257" s="707">
        <v>1075.3999999999787</v>
      </c>
      <c r="G257" s="65">
        <v>1075.3999999999787</v>
      </c>
      <c r="H257" s="707">
        <v>662</v>
      </c>
      <c r="I257" s="65">
        <v>1075.4999999999786</v>
      </c>
      <c r="J257" s="707">
        <v>673</v>
      </c>
    </row>
    <row r="258" spans="2:10" ht="15">
      <c r="B258" s="706">
        <v>662</v>
      </c>
      <c r="C258" s="706">
        <v>1075.3999999999787</v>
      </c>
      <c r="D258" s="707">
        <v>673</v>
      </c>
      <c r="E258" s="707">
        <v>1075.4999999999786</v>
      </c>
      <c r="G258" s="65">
        <v>1075.4999999999786</v>
      </c>
      <c r="H258" s="707">
        <v>673</v>
      </c>
      <c r="I258" s="65">
        <v>1075.5999999999785</v>
      </c>
      <c r="J258" s="707">
        <v>684</v>
      </c>
    </row>
    <row r="259" spans="2:10" ht="15">
      <c r="B259" s="706">
        <v>673</v>
      </c>
      <c r="C259" s="706">
        <v>1075.4999999999786</v>
      </c>
      <c r="D259" s="707">
        <v>684</v>
      </c>
      <c r="E259" s="707">
        <v>1075.5999999999785</v>
      </c>
      <c r="G259" s="65">
        <v>1075.5999999999785</v>
      </c>
      <c r="H259" s="707">
        <v>684</v>
      </c>
      <c r="I259" s="65">
        <v>1075.6999999999784</v>
      </c>
      <c r="J259" s="707">
        <v>695</v>
      </c>
    </row>
    <row r="260" spans="2:10" ht="15">
      <c r="B260" s="706">
        <v>684</v>
      </c>
      <c r="C260" s="706">
        <v>1075.5999999999785</v>
      </c>
      <c r="D260" s="707">
        <v>695</v>
      </c>
      <c r="E260" s="707">
        <v>1075.6999999999784</v>
      </c>
      <c r="G260" s="65">
        <v>1075.6999999999784</v>
      </c>
      <c r="H260" s="707">
        <v>695</v>
      </c>
      <c r="I260" s="65">
        <v>1075.7999999999784</v>
      </c>
      <c r="J260" s="707">
        <v>706</v>
      </c>
    </row>
    <row r="261" spans="2:10" ht="15">
      <c r="B261" s="706">
        <v>695</v>
      </c>
      <c r="C261" s="706">
        <v>1075.6999999999784</v>
      </c>
      <c r="D261" s="707">
        <v>706</v>
      </c>
      <c r="E261" s="707">
        <v>1075.7999999999784</v>
      </c>
      <c r="G261" s="65">
        <v>1075.7999999999784</v>
      </c>
      <c r="H261" s="707">
        <v>706</v>
      </c>
      <c r="I261" s="65">
        <v>1075.8999999999783</v>
      </c>
      <c r="J261" s="707">
        <v>716</v>
      </c>
    </row>
    <row r="262" spans="2:10" ht="15">
      <c r="B262" s="706">
        <v>706</v>
      </c>
      <c r="C262" s="706">
        <v>1075.7999999999784</v>
      </c>
      <c r="D262" s="707">
        <v>716</v>
      </c>
      <c r="E262" s="707">
        <v>1075.8999999999783</v>
      </c>
      <c r="G262" s="65">
        <v>1075.8999999999783</v>
      </c>
      <c r="H262" s="707">
        <v>716</v>
      </c>
      <c r="I262" s="65">
        <v>1075.9999999999782</v>
      </c>
      <c r="J262" s="707">
        <v>727</v>
      </c>
    </row>
    <row r="263" spans="2:10" ht="15">
      <c r="B263" s="706">
        <v>716</v>
      </c>
      <c r="C263" s="706">
        <v>1075.8999999999783</v>
      </c>
      <c r="D263" s="707">
        <v>727</v>
      </c>
      <c r="E263" s="707">
        <v>1075.9999999999782</v>
      </c>
      <c r="G263" s="65">
        <v>1075.9999999999782</v>
      </c>
      <c r="H263" s="707">
        <v>727</v>
      </c>
      <c r="I263" s="65">
        <v>1076.0999999999781</v>
      </c>
      <c r="J263" s="707">
        <v>739</v>
      </c>
    </row>
    <row r="264" spans="2:10" ht="15">
      <c r="B264" s="706">
        <v>727</v>
      </c>
      <c r="C264" s="706">
        <v>1075.9999999999782</v>
      </c>
      <c r="D264" s="707">
        <v>739</v>
      </c>
      <c r="E264" s="707">
        <v>1076.0999999999781</v>
      </c>
      <c r="G264" s="65">
        <v>1076.0999999999781</v>
      </c>
      <c r="H264" s="707">
        <v>739</v>
      </c>
      <c r="I264" s="65">
        <v>1076.199999999978</v>
      </c>
      <c r="J264" s="707">
        <v>750</v>
      </c>
    </row>
    <row r="265" spans="2:10" ht="15">
      <c r="B265" s="706">
        <v>739</v>
      </c>
      <c r="C265" s="706">
        <v>1076.0999999999781</v>
      </c>
      <c r="D265" s="707">
        <v>750</v>
      </c>
      <c r="E265" s="707">
        <v>1076.199999999978</v>
      </c>
      <c r="G265" s="65">
        <v>1076.199999999978</v>
      </c>
      <c r="H265" s="707">
        <v>750</v>
      </c>
      <c r="I265" s="65">
        <v>1076.2999999999779</v>
      </c>
      <c r="J265" s="707">
        <v>762</v>
      </c>
    </row>
    <row r="266" spans="2:10" ht="15">
      <c r="B266" s="706">
        <v>750</v>
      </c>
      <c r="C266" s="706">
        <v>1076.199999999978</v>
      </c>
      <c r="D266" s="707">
        <v>762</v>
      </c>
      <c r="E266" s="707">
        <v>1076.2999999999779</v>
      </c>
      <c r="G266" s="65">
        <v>1076.2999999999779</v>
      </c>
      <c r="H266" s="707">
        <v>762</v>
      </c>
      <c r="I266" s="65">
        <v>1076.3999999999778</v>
      </c>
      <c r="J266" s="707">
        <v>773</v>
      </c>
    </row>
    <row r="267" spans="2:10" ht="15">
      <c r="B267" s="706">
        <v>762</v>
      </c>
      <c r="C267" s="706">
        <v>1076.2999999999779</v>
      </c>
      <c r="D267" s="707">
        <v>773</v>
      </c>
      <c r="E267" s="707">
        <v>1076.3999999999778</v>
      </c>
      <c r="G267" s="65">
        <v>1076.3999999999778</v>
      </c>
      <c r="H267" s="707">
        <v>773</v>
      </c>
      <c r="I267" s="65">
        <v>1076.4999999999777</v>
      </c>
      <c r="J267" s="707">
        <v>784</v>
      </c>
    </row>
    <row r="268" spans="2:10" ht="15">
      <c r="B268" s="706">
        <v>773</v>
      </c>
      <c r="C268" s="706">
        <v>1076.3999999999778</v>
      </c>
      <c r="D268" s="707">
        <v>784</v>
      </c>
      <c r="E268" s="707">
        <v>1076.4999999999777</v>
      </c>
      <c r="G268" s="65">
        <v>1076.4999999999777</v>
      </c>
      <c r="H268" s="707">
        <v>784</v>
      </c>
      <c r="I268" s="65">
        <v>1076.5999999999776</v>
      </c>
      <c r="J268" s="707">
        <v>796</v>
      </c>
    </row>
    <row r="269" spans="2:10" ht="15">
      <c r="B269" s="706">
        <v>784</v>
      </c>
      <c r="C269" s="706">
        <v>1076.4999999999777</v>
      </c>
      <c r="D269" s="707">
        <v>796</v>
      </c>
      <c r="E269" s="707">
        <v>1076.5999999999776</v>
      </c>
      <c r="G269" s="65">
        <v>1076.5999999999776</v>
      </c>
      <c r="H269" s="707">
        <v>796</v>
      </c>
      <c r="I269" s="65">
        <v>1076.6999999999775</v>
      </c>
      <c r="J269" s="707">
        <v>807</v>
      </c>
    </row>
    <row r="270" spans="2:10" ht="15">
      <c r="B270" s="706">
        <v>796</v>
      </c>
      <c r="C270" s="706">
        <v>1076.5999999999776</v>
      </c>
      <c r="D270" s="707">
        <v>807</v>
      </c>
      <c r="E270" s="707">
        <v>1076.6999999999775</v>
      </c>
      <c r="G270" s="65">
        <v>1076.6999999999775</v>
      </c>
      <c r="H270" s="707">
        <v>807</v>
      </c>
      <c r="I270" s="65">
        <v>1076.7999999999774</v>
      </c>
      <c r="J270" s="707">
        <v>819</v>
      </c>
    </row>
    <row r="271" spans="2:10" ht="15">
      <c r="B271" s="706">
        <v>807</v>
      </c>
      <c r="C271" s="706">
        <v>1076.6999999999775</v>
      </c>
      <c r="D271" s="707">
        <v>819</v>
      </c>
      <c r="E271" s="707">
        <v>1076.7999999999774</v>
      </c>
      <c r="G271" s="65">
        <v>1076.7999999999774</v>
      </c>
      <c r="H271" s="707">
        <v>819</v>
      </c>
      <c r="I271" s="65">
        <v>1076.8999999999774</v>
      </c>
      <c r="J271" s="707">
        <v>830</v>
      </c>
    </row>
    <row r="272" spans="2:10" ht="15">
      <c r="B272" s="706">
        <v>819</v>
      </c>
      <c r="C272" s="706">
        <v>1076.7999999999774</v>
      </c>
      <c r="D272" s="707">
        <v>830</v>
      </c>
      <c r="E272" s="707">
        <v>1076.8999999999774</v>
      </c>
      <c r="G272" s="65">
        <v>1076.8999999999774</v>
      </c>
      <c r="H272" s="707">
        <v>830</v>
      </c>
      <c r="I272" s="65">
        <v>1076.9999999999773</v>
      </c>
      <c r="J272" s="707">
        <v>842</v>
      </c>
    </row>
    <row r="273" spans="2:10" ht="15">
      <c r="B273" s="706">
        <v>830</v>
      </c>
      <c r="C273" s="706">
        <v>1076.8999999999774</v>
      </c>
      <c r="D273" s="707">
        <v>842</v>
      </c>
      <c r="E273" s="707">
        <v>1076.9999999999773</v>
      </c>
      <c r="G273" s="65">
        <v>1076.9999999999773</v>
      </c>
      <c r="H273" s="707">
        <v>842</v>
      </c>
      <c r="I273" s="65">
        <v>1077.0999999999772</v>
      </c>
      <c r="J273" s="707">
        <v>854</v>
      </c>
    </row>
    <row r="274" spans="2:10" ht="15">
      <c r="B274" s="706">
        <v>842</v>
      </c>
      <c r="C274" s="706">
        <v>1076.9999999999773</v>
      </c>
      <c r="D274" s="707">
        <v>854</v>
      </c>
      <c r="E274" s="707">
        <v>1077.0999999999772</v>
      </c>
      <c r="G274" s="65">
        <v>1077.0999999999772</v>
      </c>
      <c r="H274" s="707">
        <v>854</v>
      </c>
      <c r="I274" s="65">
        <v>1077.1999999999771</v>
      </c>
      <c r="J274" s="707">
        <v>866</v>
      </c>
    </row>
    <row r="275" spans="2:10" ht="15">
      <c r="B275" s="706">
        <v>854</v>
      </c>
      <c r="C275" s="706">
        <v>1077.0999999999772</v>
      </c>
      <c r="D275" s="707">
        <v>866</v>
      </c>
      <c r="E275" s="707">
        <v>1077.1999999999771</v>
      </c>
      <c r="G275" s="65">
        <v>1077.1999999999771</v>
      </c>
      <c r="H275" s="707">
        <v>866</v>
      </c>
      <c r="I275" s="65">
        <v>1077.299999999977</v>
      </c>
      <c r="J275" s="707">
        <v>878</v>
      </c>
    </row>
    <row r="276" spans="2:10" ht="15">
      <c r="B276" s="706">
        <v>866</v>
      </c>
      <c r="C276" s="706">
        <v>1077.1999999999771</v>
      </c>
      <c r="D276" s="707">
        <v>878</v>
      </c>
      <c r="E276" s="707">
        <v>1077.299999999977</v>
      </c>
      <c r="G276" s="65">
        <v>1077.299999999977</v>
      </c>
      <c r="H276" s="707">
        <v>878</v>
      </c>
      <c r="I276" s="65">
        <v>1077.3999999999769</v>
      </c>
      <c r="J276" s="707">
        <v>890</v>
      </c>
    </row>
    <row r="277" spans="2:10" ht="15">
      <c r="B277" s="706">
        <v>878</v>
      </c>
      <c r="C277" s="706">
        <v>1077.299999999977</v>
      </c>
      <c r="D277" s="707">
        <v>890</v>
      </c>
      <c r="E277" s="707">
        <v>1077.3999999999769</v>
      </c>
      <c r="G277" s="65">
        <v>1077.3999999999769</v>
      </c>
      <c r="H277" s="707">
        <v>890</v>
      </c>
      <c r="I277" s="65">
        <v>1077.4999999999768</v>
      </c>
      <c r="J277" s="707">
        <v>902</v>
      </c>
    </row>
    <row r="278" spans="2:10" ht="15">
      <c r="B278" s="706">
        <v>890</v>
      </c>
      <c r="C278" s="706">
        <v>1077.3999999999769</v>
      </c>
      <c r="D278" s="707">
        <v>902</v>
      </c>
      <c r="E278" s="707">
        <v>1077.4999999999768</v>
      </c>
      <c r="G278" s="65">
        <v>1077.4999999999768</v>
      </c>
      <c r="H278" s="707">
        <v>902</v>
      </c>
      <c r="I278" s="65">
        <v>1077.5999999999767</v>
      </c>
      <c r="J278" s="707">
        <v>914</v>
      </c>
    </row>
    <row r="279" spans="2:10" ht="15">
      <c r="B279" s="706">
        <v>902</v>
      </c>
      <c r="C279" s="706">
        <v>1077.4999999999768</v>
      </c>
      <c r="D279" s="707">
        <v>914</v>
      </c>
      <c r="E279" s="707">
        <v>1077.5999999999767</v>
      </c>
      <c r="G279" s="65">
        <v>1077.5999999999767</v>
      </c>
      <c r="H279" s="707">
        <v>914</v>
      </c>
      <c r="I279" s="65">
        <v>1077.6999999999766</v>
      </c>
      <c r="J279" s="707">
        <v>926</v>
      </c>
    </row>
    <row r="280" spans="2:10" ht="15">
      <c r="B280" s="706">
        <v>914</v>
      </c>
      <c r="C280" s="706">
        <v>1077.5999999999767</v>
      </c>
      <c r="D280" s="707">
        <v>926</v>
      </c>
      <c r="E280" s="707">
        <v>1077.6999999999766</v>
      </c>
      <c r="G280" s="65">
        <v>1077.6999999999766</v>
      </c>
      <c r="H280" s="707">
        <v>926</v>
      </c>
      <c r="I280" s="65">
        <v>1077.7999999999765</v>
      </c>
      <c r="J280" s="707">
        <v>937</v>
      </c>
    </row>
    <row r="281" spans="2:10" ht="15">
      <c r="B281" s="706">
        <v>926</v>
      </c>
      <c r="C281" s="706">
        <v>1077.6999999999766</v>
      </c>
      <c r="D281" s="707">
        <v>937</v>
      </c>
      <c r="E281" s="707">
        <v>1077.7999999999765</v>
      </c>
      <c r="G281" s="65">
        <v>1077.7999999999765</v>
      </c>
      <c r="H281" s="707">
        <v>937</v>
      </c>
      <c r="I281" s="65">
        <v>1077.8999999999764</v>
      </c>
      <c r="J281" s="707">
        <v>949</v>
      </c>
    </row>
    <row r="282" spans="2:10" ht="15">
      <c r="B282" s="706">
        <v>937</v>
      </c>
      <c r="C282" s="706">
        <v>1077.7999999999765</v>
      </c>
      <c r="D282" s="707">
        <v>949</v>
      </c>
      <c r="E282" s="707">
        <v>1077.8999999999764</v>
      </c>
      <c r="G282" s="65">
        <v>1077.8999999999764</v>
      </c>
      <c r="H282" s="707">
        <v>949</v>
      </c>
      <c r="I282" s="65">
        <v>1077.9999999999764</v>
      </c>
      <c r="J282" s="707">
        <v>961</v>
      </c>
    </row>
    <row r="283" spans="2:10" ht="15">
      <c r="B283" s="706">
        <v>949</v>
      </c>
      <c r="C283" s="706">
        <v>1077.8999999999764</v>
      </c>
      <c r="D283" s="707">
        <v>961</v>
      </c>
      <c r="E283" s="707">
        <v>1077.9999999999764</v>
      </c>
      <c r="G283" s="65">
        <v>1077.9999999999764</v>
      </c>
      <c r="H283" s="707">
        <v>961</v>
      </c>
      <c r="I283" s="65">
        <v>1078.0999999999763</v>
      </c>
      <c r="J283" s="707">
        <v>974</v>
      </c>
    </row>
    <row r="284" spans="2:10" ht="15">
      <c r="B284" s="706">
        <v>961</v>
      </c>
      <c r="C284" s="706">
        <v>1077.9999999999764</v>
      </c>
      <c r="D284" s="707">
        <v>974</v>
      </c>
      <c r="E284" s="707">
        <v>1078.0999999999763</v>
      </c>
      <c r="G284" s="65">
        <v>1078.0999999999763</v>
      </c>
      <c r="H284" s="707">
        <v>974</v>
      </c>
      <c r="I284" s="65">
        <v>1078.1999999999762</v>
      </c>
      <c r="J284" s="707">
        <v>986</v>
      </c>
    </row>
    <row r="285" spans="2:10" ht="15">
      <c r="B285" s="706">
        <v>974</v>
      </c>
      <c r="C285" s="706">
        <v>1078.0999999999763</v>
      </c>
      <c r="D285" s="707">
        <v>986</v>
      </c>
      <c r="E285" s="707">
        <v>1078.1999999999762</v>
      </c>
      <c r="G285" s="65">
        <v>1078.1999999999762</v>
      </c>
      <c r="H285" s="707">
        <v>986</v>
      </c>
      <c r="I285" s="65">
        <v>1078.2999999999761</v>
      </c>
      <c r="J285" s="707">
        <v>999</v>
      </c>
    </row>
    <row r="286" spans="2:10" ht="15">
      <c r="B286" s="706">
        <v>986</v>
      </c>
      <c r="C286" s="706">
        <v>1078.1999999999762</v>
      </c>
      <c r="D286" s="707">
        <v>999</v>
      </c>
      <c r="E286" s="707">
        <v>1078.2999999999761</v>
      </c>
      <c r="G286" s="65">
        <v>1078.2999999999761</v>
      </c>
      <c r="H286" s="707">
        <v>999</v>
      </c>
      <c r="I286" s="65">
        <v>1078.399999999976</v>
      </c>
      <c r="J286" s="707">
        <v>1011</v>
      </c>
    </row>
    <row r="287" spans="2:10" ht="15">
      <c r="B287" s="706">
        <v>999</v>
      </c>
      <c r="C287" s="706">
        <v>1078.2999999999761</v>
      </c>
      <c r="D287" s="707">
        <v>1011</v>
      </c>
      <c r="E287" s="707">
        <v>1078.399999999976</v>
      </c>
      <c r="G287" s="65">
        <v>1078.399999999976</v>
      </c>
      <c r="H287" s="707">
        <v>1011</v>
      </c>
      <c r="I287" s="65">
        <v>1078.4999999999759</v>
      </c>
      <c r="J287" s="707">
        <v>1024</v>
      </c>
    </row>
    <row r="288" spans="2:10" ht="15">
      <c r="B288" s="706">
        <v>1011</v>
      </c>
      <c r="C288" s="706">
        <v>1078.399999999976</v>
      </c>
      <c r="D288" s="707">
        <v>1024</v>
      </c>
      <c r="E288" s="707">
        <v>1078.4999999999759</v>
      </c>
      <c r="G288" s="65">
        <v>1078.4999999999759</v>
      </c>
      <c r="H288" s="707">
        <v>1024</v>
      </c>
      <c r="I288" s="65">
        <v>1078.5999999999758</v>
      </c>
      <c r="J288" s="707">
        <v>1036</v>
      </c>
    </row>
    <row r="289" spans="2:10" ht="15">
      <c r="B289" s="706">
        <v>1024</v>
      </c>
      <c r="C289" s="706">
        <v>1078.4999999999759</v>
      </c>
      <c r="D289" s="707">
        <v>1036</v>
      </c>
      <c r="E289" s="707">
        <v>1078.5999999999758</v>
      </c>
      <c r="G289" s="65">
        <v>1078.5999999999758</v>
      </c>
      <c r="H289" s="707">
        <v>1036</v>
      </c>
      <c r="I289" s="65">
        <v>1078.6999999999757</v>
      </c>
      <c r="J289" s="707">
        <v>1049</v>
      </c>
    </row>
    <row r="290" spans="2:10" ht="15">
      <c r="B290" s="706">
        <v>1036</v>
      </c>
      <c r="C290" s="706">
        <v>1078.5999999999758</v>
      </c>
      <c r="D290" s="707">
        <v>1049</v>
      </c>
      <c r="E290" s="707">
        <v>1078.6999999999757</v>
      </c>
      <c r="G290" s="65">
        <v>1078.6999999999757</v>
      </c>
      <c r="H290" s="707">
        <v>1049</v>
      </c>
      <c r="I290" s="65">
        <v>1078.7999999999756</v>
      </c>
      <c r="J290" s="707">
        <v>1061</v>
      </c>
    </row>
    <row r="291" spans="2:10" ht="15">
      <c r="B291" s="706">
        <v>1049</v>
      </c>
      <c r="C291" s="706">
        <v>1078.6999999999757</v>
      </c>
      <c r="D291" s="707">
        <v>1061</v>
      </c>
      <c r="E291" s="707">
        <v>1078.7999999999756</v>
      </c>
      <c r="G291" s="65">
        <v>1078.7999999999756</v>
      </c>
      <c r="H291" s="707">
        <v>1061</v>
      </c>
      <c r="I291" s="65">
        <v>1078.8999999999755</v>
      </c>
      <c r="J291" s="707">
        <v>1074</v>
      </c>
    </row>
    <row r="292" spans="2:10" ht="15">
      <c r="B292" s="706">
        <v>1061</v>
      </c>
      <c r="C292" s="706">
        <v>1078.7999999999756</v>
      </c>
      <c r="D292" s="707">
        <v>1074</v>
      </c>
      <c r="E292" s="707">
        <v>1078.8999999999755</v>
      </c>
      <c r="G292" s="65">
        <v>1078.8999999999755</v>
      </c>
      <c r="H292" s="707">
        <v>1074</v>
      </c>
      <c r="I292" s="65">
        <v>1078.9999999999754</v>
      </c>
      <c r="J292" s="707">
        <v>1086</v>
      </c>
    </row>
    <row r="293" spans="2:10" ht="15">
      <c r="B293" s="706">
        <v>1074</v>
      </c>
      <c r="C293" s="706">
        <v>1078.8999999999755</v>
      </c>
      <c r="D293" s="707">
        <v>1086</v>
      </c>
      <c r="E293" s="707">
        <v>1078.9999999999754</v>
      </c>
      <c r="G293" s="65">
        <v>1078.9999999999754</v>
      </c>
      <c r="H293" s="707">
        <v>1086</v>
      </c>
      <c r="I293" s="65">
        <v>1079.0999999999754</v>
      </c>
      <c r="J293" s="707">
        <v>1099</v>
      </c>
    </row>
    <row r="294" spans="2:10" ht="15">
      <c r="B294" s="706">
        <v>1086</v>
      </c>
      <c r="C294" s="706">
        <v>1078.9999999999754</v>
      </c>
      <c r="D294" s="707">
        <v>1099</v>
      </c>
      <c r="E294" s="707">
        <v>1079.0999999999754</v>
      </c>
      <c r="G294" s="65">
        <v>1079.0999999999754</v>
      </c>
      <c r="H294" s="707">
        <v>1099</v>
      </c>
      <c r="I294" s="65">
        <v>1079.1999999999753</v>
      </c>
      <c r="J294" s="707">
        <v>1112</v>
      </c>
    </row>
    <row r="295" spans="2:10" ht="15">
      <c r="B295" s="706">
        <v>1099</v>
      </c>
      <c r="C295" s="706">
        <v>1079.0999999999754</v>
      </c>
      <c r="D295" s="707">
        <v>1112</v>
      </c>
      <c r="E295" s="707">
        <v>1079.1999999999753</v>
      </c>
      <c r="G295" s="65">
        <v>1079.1999999999753</v>
      </c>
      <c r="H295" s="707">
        <v>1112</v>
      </c>
      <c r="I295" s="65">
        <v>1079.2999999999752</v>
      </c>
      <c r="J295" s="707">
        <v>1125</v>
      </c>
    </row>
    <row r="296" spans="2:10" ht="15">
      <c r="B296" s="706">
        <v>1112</v>
      </c>
      <c r="C296" s="706">
        <v>1079.1999999999753</v>
      </c>
      <c r="D296" s="707">
        <v>1125</v>
      </c>
      <c r="E296" s="707">
        <v>1079.2999999999752</v>
      </c>
      <c r="G296" s="65">
        <v>1079.2999999999752</v>
      </c>
      <c r="H296" s="707">
        <v>1125</v>
      </c>
      <c r="I296" s="65">
        <v>1079.3999999999751</v>
      </c>
      <c r="J296" s="707">
        <v>1138</v>
      </c>
    </row>
    <row r="297" spans="2:10" ht="15">
      <c r="B297" s="706">
        <v>1125</v>
      </c>
      <c r="C297" s="706">
        <v>1079.2999999999752</v>
      </c>
      <c r="D297" s="707">
        <v>1138</v>
      </c>
      <c r="E297" s="707">
        <v>1079.3999999999751</v>
      </c>
      <c r="G297" s="65">
        <v>1079.3999999999751</v>
      </c>
      <c r="H297" s="707">
        <v>1138</v>
      </c>
      <c r="I297" s="65">
        <v>1079.499999999975</v>
      </c>
      <c r="J297" s="707">
        <v>1151</v>
      </c>
    </row>
    <row r="298" spans="2:10" ht="15">
      <c r="B298" s="706">
        <v>1138</v>
      </c>
      <c r="C298" s="706">
        <v>1079.3999999999751</v>
      </c>
      <c r="D298" s="707">
        <v>1151</v>
      </c>
      <c r="E298" s="707">
        <v>1079.499999999975</v>
      </c>
      <c r="G298" s="65">
        <v>1079.499999999975</v>
      </c>
      <c r="H298" s="707">
        <v>1151</v>
      </c>
      <c r="I298" s="65">
        <v>1079.5999999999749</v>
      </c>
      <c r="J298" s="707">
        <v>1164</v>
      </c>
    </row>
    <row r="299" spans="2:10" ht="15">
      <c r="B299" s="706">
        <v>1151</v>
      </c>
      <c r="C299" s="706">
        <v>1079.499999999975</v>
      </c>
      <c r="D299" s="707">
        <v>1164</v>
      </c>
      <c r="E299" s="707">
        <v>1079.5999999999749</v>
      </c>
      <c r="G299" s="65">
        <v>1079.5999999999749</v>
      </c>
      <c r="H299" s="707">
        <v>1164</v>
      </c>
      <c r="I299" s="65">
        <v>1079.6999999999748</v>
      </c>
      <c r="J299" s="707">
        <v>1177</v>
      </c>
    </row>
    <row r="300" spans="2:10" ht="15">
      <c r="B300" s="706">
        <v>1164</v>
      </c>
      <c r="C300" s="706">
        <v>1079.5999999999749</v>
      </c>
      <c r="D300" s="707">
        <v>1177</v>
      </c>
      <c r="E300" s="707">
        <v>1079.6999999999748</v>
      </c>
      <c r="G300" s="65">
        <v>1079.6999999999748</v>
      </c>
      <c r="H300" s="707">
        <v>1177</v>
      </c>
      <c r="I300" s="65">
        <v>1079.7999999999747</v>
      </c>
      <c r="J300" s="707">
        <v>1190</v>
      </c>
    </row>
    <row r="301" spans="2:10" ht="15">
      <c r="B301" s="706">
        <v>1177</v>
      </c>
      <c r="C301" s="706">
        <v>1079.6999999999748</v>
      </c>
      <c r="D301" s="707">
        <v>1190</v>
      </c>
      <c r="E301" s="707">
        <v>1079.7999999999747</v>
      </c>
      <c r="G301" s="65">
        <v>1079.7999999999747</v>
      </c>
      <c r="H301" s="707">
        <v>1190</v>
      </c>
      <c r="I301" s="65">
        <v>1079.8999999999746</v>
      </c>
      <c r="J301" s="707">
        <v>1203</v>
      </c>
    </row>
    <row r="302" spans="2:10" ht="15">
      <c r="B302" s="706">
        <v>1190</v>
      </c>
      <c r="C302" s="706">
        <v>1079.7999999999747</v>
      </c>
      <c r="D302" s="707">
        <v>1203</v>
      </c>
      <c r="E302" s="707">
        <v>1079.8999999999746</v>
      </c>
      <c r="G302" s="65">
        <v>1079.8999999999746</v>
      </c>
      <c r="H302" s="707">
        <v>1203</v>
      </c>
      <c r="I302" s="65">
        <v>1079.9999999999745</v>
      </c>
      <c r="J302" s="707">
        <v>1216</v>
      </c>
    </row>
    <row r="303" spans="2:10" ht="15">
      <c r="B303" s="706">
        <v>1203</v>
      </c>
      <c r="C303" s="706">
        <v>1079.8999999999746</v>
      </c>
      <c r="D303" s="707">
        <v>1216</v>
      </c>
      <c r="E303" s="707">
        <v>1079.9999999999745</v>
      </c>
      <c r="G303" s="65">
        <v>1079.9999999999745</v>
      </c>
      <c r="H303" s="707">
        <v>1216</v>
      </c>
      <c r="I303" s="65">
        <v>1080.0999999999744</v>
      </c>
      <c r="J303" s="707">
        <v>1230</v>
      </c>
    </row>
    <row r="304" spans="2:10" ht="15">
      <c r="B304" s="706">
        <v>1216</v>
      </c>
      <c r="C304" s="706">
        <v>1079.9999999999745</v>
      </c>
      <c r="D304" s="707">
        <v>1230</v>
      </c>
      <c r="E304" s="707">
        <v>1080.0999999999744</v>
      </c>
      <c r="G304" s="65">
        <v>1080.0999999999744</v>
      </c>
      <c r="H304" s="707">
        <v>1230</v>
      </c>
      <c r="I304" s="65">
        <v>1080.1999999999744</v>
      </c>
      <c r="J304" s="707">
        <v>1243</v>
      </c>
    </row>
    <row r="305" spans="2:10" ht="15">
      <c r="B305" s="706">
        <v>1230</v>
      </c>
      <c r="C305" s="706">
        <v>1080.0999999999744</v>
      </c>
      <c r="D305" s="707">
        <v>1243</v>
      </c>
      <c r="E305" s="707">
        <v>1080.1999999999744</v>
      </c>
      <c r="G305" s="65">
        <v>1080.1999999999744</v>
      </c>
      <c r="H305" s="707">
        <v>1243</v>
      </c>
      <c r="I305" s="65">
        <v>1080.2999999999743</v>
      </c>
      <c r="J305" s="707">
        <v>1257</v>
      </c>
    </row>
    <row r="306" spans="2:10" ht="15">
      <c r="B306" s="706">
        <v>1243</v>
      </c>
      <c r="C306" s="706">
        <v>1080.1999999999744</v>
      </c>
      <c r="D306" s="707">
        <v>1257</v>
      </c>
      <c r="E306" s="707">
        <v>1080.2999999999743</v>
      </c>
      <c r="G306" s="65">
        <v>1080.2999999999743</v>
      </c>
      <c r="H306" s="707">
        <v>1257</v>
      </c>
      <c r="I306" s="65">
        <v>1080.3999999999742</v>
      </c>
      <c r="J306" s="707">
        <v>1271</v>
      </c>
    </row>
    <row r="307" spans="2:10" ht="15">
      <c r="B307" s="706">
        <v>1257</v>
      </c>
      <c r="C307" s="706">
        <v>1080.2999999999743</v>
      </c>
      <c r="D307" s="707">
        <v>1271</v>
      </c>
      <c r="E307" s="707">
        <v>1080.3999999999742</v>
      </c>
      <c r="G307" s="65">
        <v>1080.3999999999742</v>
      </c>
      <c r="H307" s="707">
        <v>1271</v>
      </c>
      <c r="I307" s="65">
        <v>1080.4999999999741</v>
      </c>
      <c r="J307" s="707">
        <v>1284</v>
      </c>
    </row>
    <row r="308" spans="2:10" ht="15">
      <c r="B308" s="706">
        <v>1271</v>
      </c>
      <c r="C308" s="706">
        <v>1080.3999999999742</v>
      </c>
      <c r="D308" s="707">
        <v>1284</v>
      </c>
      <c r="E308" s="707">
        <v>1080.4999999999741</v>
      </c>
      <c r="G308" s="65">
        <v>1080.4999999999741</v>
      </c>
      <c r="H308" s="707">
        <v>1284</v>
      </c>
      <c r="I308" s="65">
        <v>1080.599999999974</v>
      </c>
      <c r="J308" s="707">
        <v>1298</v>
      </c>
    </row>
    <row r="309" spans="2:10" ht="15">
      <c r="B309" s="706">
        <v>1284</v>
      </c>
      <c r="C309" s="706">
        <v>1080.4999999999741</v>
      </c>
      <c r="D309" s="707">
        <v>1298</v>
      </c>
      <c r="E309" s="707">
        <v>1080.599999999974</v>
      </c>
      <c r="G309" s="65">
        <v>1080.599999999974</v>
      </c>
      <c r="H309" s="707">
        <v>1298</v>
      </c>
      <c r="I309" s="65">
        <v>1080.6999999999739</v>
      </c>
      <c r="J309" s="707">
        <v>1311</v>
      </c>
    </row>
    <row r="310" spans="2:10" ht="15">
      <c r="B310" s="706">
        <v>1298</v>
      </c>
      <c r="C310" s="706">
        <v>1080.599999999974</v>
      </c>
      <c r="D310" s="707">
        <v>1311</v>
      </c>
      <c r="E310" s="707">
        <v>1080.6999999999739</v>
      </c>
      <c r="G310" s="65">
        <v>1080.6999999999739</v>
      </c>
      <c r="H310" s="707">
        <v>1311</v>
      </c>
      <c r="I310" s="65">
        <v>1080.7999999999738</v>
      </c>
      <c r="J310" s="707">
        <v>1325</v>
      </c>
    </row>
    <row r="311" spans="2:10" ht="15">
      <c r="B311" s="706">
        <v>1311</v>
      </c>
      <c r="C311" s="706">
        <v>1080.6999999999739</v>
      </c>
      <c r="D311" s="707">
        <v>1325</v>
      </c>
      <c r="E311" s="707">
        <v>1080.7999999999738</v>
      </c>
      <c r="G311" s="65">
        <v>1080.7999999999738</v>
      </c>
      <c r="H311" s="707">
        <v>1325</v>
      </c>
      <c r="I311" s="65">
        <v>1080.8999999999737</v>
      </c>
      <c r="J311" s="707">
        <v>1339</v>
      </c>
    </row>
    <row r="312" spans="2:10" ht="15">
      <c r="B312" s="706">
        <v>1325</v>
      </c>
      <c r="C312" s="706">
        <v>1080.7999999999738</v>
      </c>
      <c r="D312" s="707">
        <v>1339</v>
      </c>
      <c r="E312" s="707">
        <v>1080.8999999999737</v>
      </c>
      <c r="G312" s="65">
        <v>1080.8999999999737</v>
      </c>
      <c r="H312" s="707">
        <v>1339</v>
      </c>
      <c r="I312" s="65">
        <v>1080.9999999999736</v>
      </c>
      <c r="J312" s="707">
        <v>1352</v>
      </c>
    </row>
    <row r="313" spans="2:10" ht="15">
      <c r="B313" s="706">
        <v>1339</v>
      </c>
      <c r="C313" s="706">
        <v>1080.8999999999737</v>
      </c>
      <c r="D313" s="707">
        <v>1352</v>
      </c>
      <c r="E313" s="707">
        <v>1080.9999999999736</v>
      </c>
      <c r="G313" s="65">
        <v>1080.9999999999736</v>
      </c>
      <c r="H313" s="707">
        <v>1352</v>
      </c>
      <c r="I313" s="65">
        <v>1081.0999999999735</v>
      </c>
      <c r="J313" s="707">
        <v>1366</v>
      </c>
    </row>
    <row r="314" spans="2:10" ht="15">
      <c r="B314" s="706">
        <v>1352</v>
      </c>
      <c r="C314" s="706">
        <v>1080.9999999999736</v>
      </c>
      <c r="D314" s="707">
        <v>1366</v>
      </c>
      <c r="E314" s="707">
        <v>1081.0999999999735</v>
      </c>
      <c r="G314" s="65">
        <v>1081.0999999999735</v>
      </c>
      <c r="H314" s="707">
        <v>1366</v>
      </c>
      <c r="I314" s="65">
        <v>1081.1999999999734</v>
      </c>
      <c r="J314" s="707">
        <v>1380</v>
      </c>
    </row>
    <row r="315" spans="2:10" ht="15">
      <c r="B315" s="706">
        <v>1366</v>
      </c>
      <c r="C315" s="706">
        <v>1081.0999999999735</v>
      </c>
      <c r="D315" s="707">
        <v>1380</v>
      </c>
      <c r="E315" s="707">
        <v>1081.1999999999734</v>
      </c>
      <c r="G315" s="65">
        <v>1081.1999999999734</v>
      </c>
      <c r="H315" s="707">
        <v>1380</v>
      </c>
      <c r="I315" s="65">
        <v>1081.2999999999734</v>
      </c>
      <c r="J315" s="707">
        <v>1394</v>
      </c>
    </row>
    <row r="316" spans="2:10" ht="15">
      <c r="B316" s="706">
        <v>1380</v>
      </c>
      <c r="C316" s="706">
        <v>1081.1999999999734</v>
      </c>
      <c r="D316" s="707">
        <v>1394</v>
      </c>
      <c r="E316" s="707">
        <v>1081.2999999999734</v>
      </c>
      <c r="G316" s="65">
        <v>1081.2999999999734</v>
      </c>
      <c r="H316" s="707">
        <v>1394</v>
      </c>
      <c r="I316" s="65">
        <v>1081.3999999999733</v>
      </c>
      <c r="J316" s="707">
        <v>1409</v>
      </c>
    </row>
    <row r="317" spans="2:10" ht="15">
      <c r="B317" s="706">
        <v>1394</v>
      </c>
      <c r="C317" s="706">
        <v>1081.2999999999734</v>
      </c>
      <c r="D317" s="707">
        <v>1409</v>
      </c>
      <c r="E317" s="707">
        <v>1081.3999999999733</v>
      </c>
      <c r="G317" s="65">
        <v>1081.3999999999733</v>
      </c>
      <c r="H317" s="707">
        <v>1409</v>
      </c>
      <c r="I317" s="65">
        <v>1081.4999999999732</v>
      </c>
      <c r="J317" s="707">
        <v>1423</v>
      </c>
    </row>
    <row r="318" spans="2:10" ht="15">
      <c r="B318" s="706">
        <v>1409</v>
      </c>
      <c r="C318" s="706">
        <v>1081.3999999999733</v>
      </c>
      <c r="D318" s="707">
        <v>1423</v>
      </c>
      <c r="E318" s="707">
        <v>1081.4999999999732</v>
      </c>
      <c r="G318" s="65">
        <v>1081.4999999999732</v>
      </c>
      <c r="H318" s="707">
        <v>1423</v>
      </c>
      <c r="I318" s="65">
        <v>1081.5999999999731</v>
      </c>
      <c r="J318" s="707">
        <v>1437</v>
      </c>
    </row>
    <row r="319" spans="2:10" ht="15">
      <c r="B319" s="706">
        <v>1423</v>
      </c>
      <c r="C319" s="706">
        <v>1081.4999999999732</v>
      </c>
      <c r="D319" s="707">
        <v>1437</v>
      </c>
      <c r="E319" s="707">
        <v>1081.5999999999731</v>
      </c>
      <c r="G319" s="65">
        <v>1081.5999999999731</v>
      </c>
      <c r="H319" s="707">
        <v>1437</v>
      </c>
      <c r="I319" s="65">
        <v>1081.699999999973</v>
      </c>
      <c r="J319" s="707">
        <v>1451</v>
      </c>
    </row>
    <row r="320" spans="2:10" ht="15">
      <c r="B320" s="706">
        <v>1437</v>
      </c>
      <c r="C320" s="706">
        <v>1081.5999999999731</v>
      </c>
      <c r="D320" s="707">
        <v>1451</v>
      </c>
      <c r="E320" s="707">
        <v>1081.699999999973</v>
      </c>
      <c r="G320" s="65">
        <v>1081.699999999973</v>
      </c>
      <c r="H320" s="707">
        <v>1451</v>
      </c>
      <c r="I320" s="65">
        <v>1081.7999999999729</v>
      </c>
      <c r="J320" s="707">
        <v>1465</v>
      </c>
    </row>
    <row r="321" spans="2:10" ht="15">
      <c r="B321" s="706">
        <v>1451</v>
      </c>
      <c r="C321" s="706">
        <v>1081.699999999973</v>
      </c>
      <c r="D321" s="707">
        <v>1465</v>
      </c>
      <c r="E321" s="707">
        <v>1081.7999999999729</v>
      </c>
      <c r="G321" s="65">
        <v>1081.7999999999729</v>
      </c>
      <c r="H321" s="707">
        <v>1465</v>
      </c>
      <c r="I321" s="65">
        <v>1081.8999999999728</v>
      </c>
      <c r="J321" s="707">
        <v>1479</v>
      </c>
    </row>
    <row r="322" spans="2:10" ht="15">
      <c r="B322" s="706">
        <v>1465</v>
      </c>
      <c r="C322" s="706">
        <v>1081.7999999999729</v>
      </c>
      <c r="D322" s="707">
        <v>1479</v>
      </c>
      <c r="E322" s="707">
        <v>1081.8999999999728</v>
      </c>
      <c r="G322" s="65">
        <v>1081.8999999999728</v>
      </c>
      <c r="H322" s="707">
        <v>1479</v>
      </c>
      <c r="I322" s="65">
        <v>1081.9999999999727</v>
      </c>
      <c r="J322" s="707">
        <v>1493</v>
      </c>
    </row>
    <row r="323" spans="2:10" ht="15">
      <c r="B323" s="706">
        <v>1479</v>
      </c>
      <c r="C323" s="706">
        <v>1081.8999999999728</v>
      </c>
      <c r="D323" s="707">
        <v>1493</v>
      </c>
      <c r="E323" s="707">
        <v>1081.9999999999727</v>
      </c>
      <c r="G323" s="65">
        <v>1081.9999999999727</v>
      </c>
      <c r="H323" s="707">
        <v>1493</v>
      </c>
      <c r="I323" s="65">
        <v>1082.0999999999726</v>
      </c>
      <c r="J323" s="707">
        <v>1508</v>
      </c>
    </row>
    <row r="324" spans="2:10" ht="15">
      <c r="B324" s="706">
        <v>1493</v>
      </c>
      <c r="C324" s="706">
        <v>1081.9999999999727</v>
      </c>
      <c r="D324" s="707">
        <v>1508</v>
      </c>
      <c r="E324" s="707">
        <v>1082.0999999999726</v>
      </c>
      <c r="G324" s="65">
        <v>1082.0999999999726</v>
      </c>
      <c r="H324" s="707">
        <v>1508</v>
      </c>
      <c r="I324" s="65">
        <v>1082.1999999999725</v>
      </c>
      <c r="J324" s="707">
        <v>1523</v>
      </c>
    </row>
    <row r="325" spans="2:10" ht="15">
      <c r="B325" s="706">
        <v>1508</v>
      </c>
      <c r="C325" s="706">
        <v>1082.0999999999726</v>
      </c>
      <c r="D325" s="707">
        <v>1523</v>
      </c>
      <c r="E325" s="707">
        <v>1082.1999999999725</v>
      </c>
      <c r="G325" s="65">
        <v>1082.1999999999725</v>
      </c>
      <c r="H325" s="707">
        <v>1523</v>
      </c>
      <c r="I325" s="65">
        <v>1082.2999999999724</v>
      </c>
      <c r="J325" s="707">
        <v>1537</v>
      </c>
    </row>
    <row r="326" spans="2:10" ht="15">
      <c r="B326" s="706">
        <v>1523</v>
      </c>
      <c r="C326" s="706">
        <v>1082.1999999999725</v>
      </c>
      <c r="D326" s="707">
        <v>1537</v>
      </c>
      <c r="E326" s="707">
        <v>1082.2999999999724</v>
      </c>
      <c r="G326" s="65">
        <v>1082.2999999999724</v>
      </c>
      <c r="H326" s="707">
        <v>1537</v>
      </c>
      <c r="I326" s="65">
        <v>1082.3999999999724</v>
      </c>
      <c r="J326" s="707">
        <v>1552</v>
      </c>
    </row>
    <row r="327" spans="2:10" ht="15">
      <c r="B327" s="706">
        <v>1537</v>
      </c>
      <c r="C327" s="706">
        <v>1082.2999999999724</v>
      </c>
      <c r="D327" s="707">
        <v>1552</v>
      </c>
      <c r="E327" s="707">
        <v>1082.3999999999724</v>
      </c>
      <c r="G327" s="65">
        <v>1082.3999999999724</v>
      </c>
      <c r="H327" s="707">
        <v>1552</v>
      </c>
      <c r="I327" s="65">
        <v>1082.4999999999723</v>
      </c>
      <c r="J327" s="707">
        <v>1567</v>
      </c>
    </row>
    <row r="328" spans="2:10" ht="15">
      <c r="B328" s="706">
        <v>1552</v>
      </c>
      <c r="C328" s="706">
        <v>1082.3999999999724</v>
      </c>
      <c r="D328" s="707">
        <v>1567</v>
      </c>
      <c r="E328" s="707">
        <v>1082.4999999999723</v>
      </c>
      <c r="G328" s="65">
        <v>1082.4999999999723</v>
      </c>
      <c r="H328" s="707">
        <v>1567</v>
      </c>
      <c r="I328" s="65">
        <v>1082.5999999999722</v>
      </c>
      <c r="J328" s="707">
        <v>1581</v>
      </c>
    </row>
    <row r="329" spans="2:10" ht="15">
      <c r="B329" s="706">
        <v>1567</v>
      </c>
      <c r="C329" s="706">
        <v>1082.4999999999723</v>
      </c>
      <c r="D329" s="707">
        <v>1581</v>
      </c>
      <c r="E329" s="707">
        <v>1082.5999999999722</v>
      </c>
      <c r="G329" s="65">
        <v>1082.5999999999722</v>
      </c>
      <c r="H329" s="707">
        <v>1581</v>
      </c>
      <c r="I329" s="65">
        <v>1082.6999999999721</v>
      </c>
      <c r="J329" s="707">
        <v>1596</v>
      </c>
    </row>
    <row r="330" spans="2:10" ht="15">
      <c r="B330" s="706">
        <v>1581</v>
      </c>
      <c r="C330" s="706">
        <v>1082.5999999999722</v>
      </c>
      <c r="D330" s="707">
        <v>1596</v>
      </c>
      <c r="E330" s="707">
        <v>1082.6999999999721</v>
      </c>
      <c r="G330" s="65">
        <v>1082.6999999999721</v>
      </c>
      <c r="H330" s="707">
        <v>1596</v>
      </c>
      <c r="I330" s="65">
        <v>1082.799999999972</v>
      </c>
      <c r="J330" s="707">
        <v>1611</v>
      </c>
    </row>
    <row r="331" spans="2:10" ht="15">
      <c r="B331" s="706">
        <v>1596</v>
      </c>
      <c r="C331" s="706">
        <v>1082.6999999999721</v>
      </c>
      <c r="D331" s="707">
        <v>1611</v>
      </c>
      <c r="E331" s="707">
        <v>1082.799999999972</v>
      </c>
      <c r="G331" s="65">
        <v>1082.799999999972</v>
      </c>
      <c r="H331" s="707">
        <v>1611</v>
      </c>
      <c r="I331" s="65">
        <v>1082.8999999999719</v>
      </c>
      <c r="J331" s="707">
        <v>1625</v>
      </c>
    </row>
    <row r="332" spans="2:10" ht="15">
      <c r="B332" s="706">
        <v>1611</v>
      </c>
      <c r="C332" s="706">
        <v>1082.799999999972</v>
      </c>
      <c r="D332" s="707">
        <v>1625</v>
      </c>
      <c r="E332" s="707">
        <v>1082.8999999999719</v>
      </c>
      <c r="G332" s="65">
        <v>1082.8999999999719</v>
      </c>
      <c r="H332" s="707">
        <v>1625</v>
      </c>
      <c r="I332" s="65">
        <v>1082.9999999999718</v>
      </c>
      <c r="J332" s="707">
        <v>1640</v>
      </c>
    </row>
    <row r="333" spans="2:10" ht="15">
      <c r="B333" s="706">
        <v>1625</v>
      </c>
      <c r="C333" s="706">
        <v>1082.8999999999719</v>
      </c>
      <c r="D333" s="707">
        <v>1640</v>
      </c>
      <c r="E333" s="707">
        <v>1082.9999999999718</v>
      </c>
      <c r="G333" s="65">
        <v>1082.9999999999718</v>
      </c>
      <c r="H333" s="707">
        <v>1640</v>
      </c>
      <c r="I333" s="65">
        <v>1083.0999999999717</v>
      </c>
      <c r="J333" s="707">
        <v>1655</v>
      </c>
    </row>
    <row r="334" spans="2:10" ht="15">
      <c r="B334" s="706">
        <v>1640</v>
      </c>
      <c r="C334" s="706">
        <v>1082.9999999999718</v>
      </c>
      <c r="D334" s="707">
        <v>1655</v>
      </c>
      <c r="E334" s="707">
        <v>1083.0999999999717</v>
      </c>
      <c r="G334" s="65">
        <v>1083.0999999999717</v>
      </c>
      <c r="H334" s="707">
        <v>1655</v>
      </c>
      <c r="I334" s="65">
        <v>1083.1999999999716</v>
      </c>
      <c r="J334" s="707">
        <v>1671</v>
      </c>
    </row>
    <row r="335" spans="2:10" ht="15">
      <c r="B335" s="706">
        <v>1655</v>
      </c>
      <c r="C335" s="706">
        <v>1083.0999999999717</v>
      </c>
      <c r="D335" s="707">
        <v>1671</v>
      </c>
      <c r="E335" s="707">
        <v>1083.1999999999716</v>
      </c>
      <c r="G335" s="65">
        <v>1083.1999999999716</v>
      </c>
      <c r="H335" s="707">
        <v>1671</v>
      </c>
      <c r="I335" s="65">
        <v>1083.2999999999715</v>
      </c>
      <c r="J335" s="707">
        <v>1686</v>
      </c>
    </row>
    <row r="336" spans="2:10" ht="15">
      <c r="B336" s="706">
        <v>1671</v>
      </c>
      <c r="C336" s="706">
        <v>1083.1999999999716</v>
      </c>
      <c r="D336" s="707">
        <v>1686</v>
      </c>
      <c r="E336" s="707">
        <v>1083.2999999999715</v>
      </c>
      <c r="G336" s="65">
        <v>1083.2999999999715</v>
      </c>
      <c r="H336" s="707">
        <v>1686</v>
      </c>
      <c r="I336" s="65">
        <v>1083.3999999999714</v>
      </c>
      <c r="J336" s="707">
        <v>1701</v>
      </c>
    </row>
    <row r="337" spans="2:10" ht="15">
      <c r="B337" s="706">
        <v>1686</v>
      </c>
      <c r="C337" s="706">
        <v>1083.2999999999715</v>
      </c>
      <c r="D337" s="707">
        <v>1701</v>
      </c>
      <c r="E337" s="707">
        <v>1083.3999999999714</v>
      </c>
      <c r="G337" s="65">
        <v>1083.3999999999714</v>
      </c>
      <c r="H337" s="707">
        <v>1701</v>
      </c>
      <c r="I337" s="65">
        <v>1083.4999999999714</v>
      </c>
      <c r="J337" s="707">
        <v>1717</v>
      </c>
    </row>
    <row r="338" spans="2:10" ht="15">
      <c r="B338" s="706">
        <v>1701</v>
      </c>
      <c r="C338" s="706">
        <v>1083.3999999999714</v>
      </c>
      <c r="D338" s="707">
        <v>1717</v>
      </c>
      <c r="E338" s="707">
        <v>1083.4999999999714</v>
      </c>
      <c r="G338" s="65">
        <v>1083.4999999999714</v>
      </c>
      <c r="H338" s="707">
        <v>1717</v>
      </c>
      <c r="I338" s="65">
        <v>1083.5999999999713</v>
      </c>
      <c r="J338" s="707">
        <v>1732</v>
      </c>
    </row>
    <row r="339" spans="2:10" ht="15">
      <c r="B339" s="706">
        <v>1717</v>
      </c>
      <c r="C339" s="706">
        <v>1083.4999999999714</v>
      </c>
      <c r="D339" s="707">
        <v>1732</v>
      </c>
      <c r="E339" s="707">
        <v>1083.5999999999713</v>
      </c>
      <c r="G339" s="65">
        <v>1083.5999999999713</v>
      </c>
      <c r="H339" s="707">
        <v>1732</v>
      </c>
      <c r="I339" s="65">
        <v>1083.6999999999712</v>
      </c>
      <c r="J339" s="707">
        <v>1747</v>
      </c>
    </row>
    <row r="340" spans="2:10" ht="15">
      <c r="B340" s="706">
        <v>1732</v>
      </c>
      <c r="C340" s="706">
        <v>1083.5999999999713</v>
      </c>
      <c r="D340" s="707">
        <v>1747</v>
      </c>
      <c r="E340" s="707">
        <v>1083.6999999999712</v>
      </c>
      <c r="G340" s="65">
        <v>1083.6999999999712</v>
      </c>
      <c r="H340" s="707">
        <v>1747</v>
      </c>
      <c r="I340" s="65">
        <v>1083.7999999999711</v>
      </c>
      <c r="J340" s="707">
        <v>1762</v>
      </c>
    </row>
    <row r="341" spans="2:10" ht="15">
      <c r="B341" s="706">
        <v>1747</v>
      </c>
      <c r="C341" s="706">
        <v>1083.6999999999712</v>
      </c>
      <c r="D341" s="707">
        <v>1762</v>
      </c>
      <c r="E341" s="707">
        <v>1083.7999999999711</v>
      </c>
      <c r="G341" s="65">
        <v>1083.7999999999711</v>
      </c>
      <c r="H341" s="707">
        <v>1762</v>
      </c>
      <c r="I341" s="65">
        <v>1083.899999999971</v>
      </c>
      <c r="J341" s="707">
        <v>1778</v>
      </c>
    </row>
    <row r="342" spans="2:10" ht="15">
      <c r="B342" s="706">
        <v>1762</v>
      </c>
      <c r="C342" s="706">
        <v>1083.7999999999711</v>
      </c>
      <c r="D342" s="707">
        <v>1778</v>
      </c>
      <c r="E342" s="707">
        <v>1083.899999999971</v>
      </c>
      <c r="G342" s="65">
        <v>1083.899999999971</v>
      </c>
      <c r="H342" s="707">
        <v>1778</v>
      </c>
      <c r="I342" s="65">
        <v>1083.9999999999709</v>
      </c>
      <c r="J342" s="707">
        <v>1793</v>
      </c>
    </row>
    <row r="343" spans="2:10" ht="15">
      <c r="B343" s="706">
        <v>1778</v>
      </c>
      <c r="C343" s="706">
        <v>1083.899999999971</v>
      </c>
      <c r="D343" s="707">
        <v>1793</v>
      </c>
      <c r="E343" s="707">
        <v>1083.9999999999709</v>
      </c>
      <c r="G343" s="65">
        <v>1083.9999999999709</v>
      </c>
      <c r="H343" s="707">
        <v>1793</v>
      </c>
      <c r="I343" s="65">
        <v>1084.0999999999708</v>
      </c>
      <c r="J343" s="707">
        <v>1809</v>
      </c>
    </row>
    <row r="344" spans="2:10" ht="15">
      <c r="B344" s="706">
        <v>1793</v>
      </c>
      <c r="C344" s="706">
        <v>1083.9999999999709</v>
      </c>
      <c r="D344" s="707">
        <v>1809</v>
      </c>
      <c r="E344" s="707">
        <v>1084.0999999999708</v>
      </c>
      <c r="G344" s="65">
        <v>1084.0999999999708</v>
      </c>
      <c r="H344" s="707">
        <v>1809</v>
      </c>
      <c r="I344" s="65">
        <v>1084.1999999999707</v>
      </c>
      <c r="J344" s="707">
        <v>1825</v>
      </c>
    </row>
    <row r="345" spans="2:10" ht="15">
      <c r="B345" s="706">
        <v>1809</v>
      </c>
      <c r="C345" s="706">
        <v>1084.0999999999708</v>
      </c>
      <c r="D345" s="707">
        <v>1825</v>
      </c>
      <c r="E345" s="707">
        <v>1084.1999999999707</v>
      </c>
      <c r="G345" s="65">
        <v>1084.1999999999707</v>
      </c>
      <c r="H345" s="707">
        <v>1825</v>
      </c>
      <c r="I345" s="65">
        <v>1084.2999999999706</v>
      </c>
      <c r="J345" s="707">
        <v>1840</v>
      </c>
    </row>
    <row r="346" spans="2:10" ht="15">
      <c r="B346" s="706">
        <v>1825</v>
      </c>
      <c r="C346" s="706">
        <v>1084.1999999999707</v>
      </c>
      <c r="D346" s="707">
        <v>1840</v>
      </c>
      <c r="E346" s="707">
        <v>1084.2999999999706</v>
      </c>
      <c r="G346" s="65">
        <v>1084.2999999999706</v>
      </c>
      <c r="H346" s="707">
        <v>1840</v>
      </c>
      <c r="I346" s="65">
        <v>1084.3999999999705</v>
      </c>
      <c r="J346" s="707">
        <v>1856</v>
      </c>
    </row>
    <row r="347" spans="2:10" ht="15">
      <c r="B347" s="706">
        <v>1840</v>
      </c>
      <c r="C347" s="706">
        <v>1084.2999999999706</v>
      </c>
      <c r="D347" s="707">
        <v>1856</v>
      </c>
      <c r="E347" s="707">
        <v>1084.3999999999705</v>
      </c>
      <c r="G347" s="65">
        <v>1084.3999999999705</v>
      </c>
      <c r="H347" s="707">
        <v>1856</v>
      </c>
      <c r="I347" s="65">
        <v>1084.4999999999704</v>
      </c>
      <c r="J347" s="707">
        <v>1872</v>
      </c>
    </row>
    <row r="348" spans="2:10" ht="15">
      <c r="B348" s="706">
        <v>1856</v>
      </c>
      <c r="C348" s="706">
        <v>1084.3999999999705</v>
      </c>
      <c r="D348" s="707">
        <v>1872</v>
      </c>
      <c r="E348" s="707">
        <v>1084.4999999999704</v>
      </c>
      <c r="G348" s="65">
        <v>1084.4999999999704</v>
      </c>
      <c r="H348" s="707">
        <v>1872</v>
      </c>
      <c r="I348" s="65">
        <v>1084.5999999999704</v>
      </c>
      <c r="J348" s="707">
        <v>1888</v>
      </c>
    </row>
    <row r="349" spans="2:10" ht="15">
      <c r="B349" s="706">
        <v>1872</v>
      </c>
      <c r="C349" s="706">
        <v>1084.4999999999704</v>
      </c>
      <c r="D349" s="707">
        <v>1888</v>
      </c>
      <c r="E349" s="707">
        <v>1084.5999999999704</v>
      </c>
      <c r="G349" s="65">
        <v>1084.5999999999704</v>
      </c>
      <c r="H349" s="707">
        <v>1888</v>
      </c>
      <c r="I349" s="65">
        <v>1084.6999999999703</v>
      </c>
      <c r="J349" s="707">
        <v>1904</v>
      </c>
    </row>
    <row r="350" spans="2:10" ht="15">
      <c r="B350" s="706">
        <v>1888</v>
      </c>
      <c r="C350" s="706">
        <v>1084.5999999999704</v>
      </c>
      <c r="D350" s="707">
        <v>1904</v>
      </c>
      <c r="E350" s="707">
        <v>1084.6999999999703</v>
      </c>
      <c r="G350" s="65">
        <v>1084.6999999999703</v>
      </c>
      <c r="H350" s="707">
        <v>1904</v>
      </c>
      <c r="I350" s="65">
        <v>1084.7999999999702</v>
      </c>
      <c r="J350" s="707">
        <v>1920</v>
      </c>
    </row>
    <row r="351" spans="2:10" ht="15">
      <c r="B351" s="706">
        <v>1904</v>
      </c>
      <c r="C351" s="706">
        <v>1084.6999999999703</v>
      </c>
      <c r="D351" s="707">
        <v>1920</v>
      </c>
      <c r="E351" s="707">
        <v>1084.7999999999702</v>
      </c>
      <c r="G351" s="65">
        <v>1084.7999999999702</v>
      </c>
      <c r="H351" s="707">
        <v>1920</v>
      </c>
      <c r="I351" s="65">
        <v>1084.8999999999701</v>
      </c>
      <c r="J351" s="707">
        <v>1936</v>
      </c>
    </row>
    <row r="352" spans="2:10" ht="15">
      <c r="B352" s="706">
        <v>1920</v>
      </c>
      <c r="C352" s="706">
        <v>1084.7999999999702</v>
      </c>
      <c r="D352" s="707">
        <v>1936</v>
      </c>
      <c r="E352" s="707">
        <v>1084.8999999999701</v>
      </c>
      <c r="G352" s="65">
        <v>1084.8999999999701</v>
      </c>
      <c r="H352" s="707">
        <v>1936</v>
      </c>
      <c r="I352" s="65">
        <v>1084.99999999997</v>
      </c>
      <c r="J352" s="707">
        <v>1951</v>
      </c>
    </row>
    <row r="353" spans="2:10" ht="15">
      <c r="B353" s="706">
        <v>1936</v>
      </c>
      <c r="C353" s="706">
        <v>1084.8999999999701</v>
      </c>
      <c r="D353" s="707">
        <v>1951</v>
      </c>
      <c r="E353" s="707">
        <v>1084.99999999997</v>
      </c>
      <c r="G353" s="65">
        <v>1084.99999999997</v>
      </c>
      <c r="H353" s="707">
        <v>1951</v>
      </c>
      <c r="I353" s="65">
        <v>1085.0999999999699</v>
      </c>
      <c r="J353" s="707">
        <v>1968</v>
      </c>
    </row>
    <row r="354" spans="2:10" ht="15">
      <c r="B354" s="706">
        <v>1951</v>
      </c>
      <c r="C354" s="706">
        <v>1084.99999999997</v>
      </c>
      <c r="D354" s="707">
        <v>1968</v>
      </c>
      <c r="E354" s="707">
        <v>1085.0999999999699</v>
      </c>
      <c r="G354" s="65">
        <v>1085.0999999999699</v>
      </c>
      <c r="H354" s="707">
        <v>1968</v>
      </c>
      <c r="I354" s="65">
        <v>1085.1999999999698</v>
      </c>
      <c r="J354" s="707">
        <v>1984</v>
      </c>
    </row>
    <row r="355" spans="2:10" ht="15">
      <c r="B355" s="706">
        <v>1968</v>
      </c>
      <c r="C355" s="706">
        <v>1085.0999999999699</v>
      </c>
      <c r="D355" s="707">
        <v>1984</v>
      </c>
      <c r="E355" s="707">
        <v>1085.1999999999698</v>
      </c>
      <c r="G355" s="65">
        <v>1085.1999999999698</v>
      </c>
      <c r="H355" s="707">
        <v>1984</v>
      </c>
      <c r="I355" s="65">
        <v>1085.2999999999697</v>
      </c>
      <c r="J355" s="707">
        <v>2001</v>
      </c>
    </row>
    <row r="356" spans="2:10" ht="15">
      <c r="B356" s="706">
        <v>1984</v>
      </c>
      <c r="C356" s="706">
        <v>1085.1999999999698</v>
      </c>
      <c r="D356" s="707">
        <v>2001</v>
      </c>
      <c r="E356" s="707">
        <v>1085.2999999999697</v>
      </c>
      <c r="G356" s="65">
        <v>1085.2999999999697</v>
      </c>
      <c r="H356" s="707">
        <v>2001</v>
      </c>
      <c r="I356" s="65">
        <v>1085.3999999999696</v>
      </c>
      <c r="J356" s="707">
        <v>2017</v>
      </c>
    </row>
    <row r="357" spans="2:10" ht="15">
      <c r="B357" s="706">
        <v>2001</v>
      </c>
      <c r="C357" s="706">
        <v>1085.2999999999697</v>
      </c>
      <c r="D357" s="707">
        <v>2017</v>
      </c>
      <c r="E357" s="707">
        <v>1085.3999999999696</v>
      </c>
      <c r="G357" s="65">
        <v>1085.3999999999696</v>
      </c>
      <c r="H357" s="707">
        <v>2017</v>
      </c>
      <c r="I357" s="65">
        <v>1085.4999999999695</v>
      </c>
      <c r="J357" s="707">
        <v>2034</v>
      </c>
    </row>
    <row r="358" spans="2:10" ht="15">
      <c r="B358" s="706">
        <v>2017</v>
      </c>
      <c r="C358" s="706">
        <v>1085.3999999999696</v>
      </c>
      <c r="D358" s="707">
        <v>2034</v>
      </c>
      <c r="E358" s="707">
        <v>1085.4999999999695</v>
      </c>
      <c r="G358" s="65">
        <v>1085.4999999999695</v>
      </c>
      <c r="H358" s="707">
        <v>2034</v>
      </c>
      <c r="I358" s="65">
        <v>1085.5999999999694</v>
      </c>
      <c r="J358" s="707">
        <v>2050</v>
      </c>
    </row>
    <row r="359" spans="2:10" ht="15">
      <c r="B359" s="706">
        <v>2034</v>
      </c>
      <c r="C359" s="706">
        <v>1085.4999999999695</v>
      </c>
      <c r="D359" s="707">
        <v>2050</v>
      </c>
      <c r="E359" s="707">
        <v>1085.5999999999694</v>
      </c>
      <c r="G359" s="65">
        <v>1085.5999999999694</v>
      </c>
      <c r="H359" s="707">
        <v>2050</v>
      </c>
      <c r="I359" s="65">
        <v>1085.6999999999694</v>
      </c>
      <c r="J359" s="707">
        <v>2067</v>
      </c>
    </row>
    <row r="360" spans="2:10" ht="15">
      <c r="B360" s="706">
        <v>2050</v>
      </c>
      <c r="C360" s="706">
        <v>1085.5999999999694</v>
      </c>
      <c r="D360" s="707">
        <v>2067</v>
      </c>
      <c r="E360" s="707">
        <v>1085.6999999999694</v>
      </c>
      <c r="G360" s="65">
        <v>1085.6999999999694</v>
      </c>
      <c r="H360" s="707">
        <v>2067</v>
      </c>
      <c r="I360" s="65">
        <v>1085.7999999999693</v>
      </c>
      <c r="J360" s="707">
        <v>2083</v>
      </c>
    </row>
    <row r="361" spans="2:10" ht="15">
      <c r="B361" s="706">
        <v>2067</v>
      </c>
      <c r="C361" s="706">
        <v>1085.6999999999694</v>
      </c>
      <c r="D361" s="707">
        <v>2083</v>
      </c>
      <c r="E361" s="707">
        <v>1085.7999999999693</v>
      </c>
      <c r="G361" s="65">
        <v>1085.7999999999693</v>
      </c>
      <c r="H361" s="707">
        <v>2083</v>
      </c>
      <c r="I361" s="65">
        <v>1085.8999999999692</v>
      </c>
      <c r="J361" s="707">
        <v>2100</v>
      </c>
    </row>
    <row r="362" spans="2:10" ht="15">
      <c r="B362" s="706">
        <v>2083</v>
      </c>
      <c r="C362" s="706">
        <v>1085.7999999999693</v>
      </c>
      <c r="D362" s="707">
        <v>2100</v>
      </c>
      <c r="E362" s="707">
        <v>1085.8999999999692</v>
      </c>
      <c r="G362" s="65">
        <v>1085.8999999999692</v>
      </c>
      <c r="H362" s="707">
        <v>2100</v>
      </c>
      <c r="I362" s="65">
        <v>1085.9999999999691</v>
      </c>
      <c r="J362" s="707">
        <v>2116</v>
      </c>
    </row>
    <row r="363" spans="2:10" ht="15">
      <c r="B363" s="706">
        <v>2100</v>
      </c>
      <c r="C363" s="706">
        <v>1085.8999999999692</v>
      </c>
      <c r="D363" s="707">
        <v>2116</v>
      </c>
      <c r="E363" s="707">
        <v>1085.9999999999691</v>
      </c>
      <c r="G363" s="65">
        <v>1085.9999999999691</v>
      </c>
      <c r="H363" s="707">
        <v>2116</v>
      </c>
      <c r="I363" s="65">
        <v>1086.099999999969</v>
      </c>
      <c r="J363" s="707">
        <v>2133</v>
      </c>
    </row>
    <row r="364" spans="2:10" ht="15">
      <c r="B364" s="706">
        <v>2116</v>
      </c>
      <c r="C364" s="706">
        <v>1085.9999999999691</v>
      </c>
      <c r="D364" s="707">
        <v>2133</v>
      </c>
      <c r="E364" s="707">
        <v>1086.099999999969</v>
      </c>
      <c r="G364" s="65">
        <v>1086.099999999969</v>
      </c>
      <c r="H364" s="707">
        <v>2133</v>
      </c>
      <c r="I364" s="65">
        <v>1086.1999999999689</v>
      </c>
      <c r="J364" s="707">
        <v>2151</v>
      </c>
    </row>
    <row r="365" spans="2:10" ht="15">
      <c r="B365" s="706">
        <v>2133</v>
      </c>
      <c r="C365" s="706">
        <v>1086.099999999969</v>
      </c>
      <c r="D365" s="707">
        <v>2151</v>
      </c>
      <c r="E365" s="707">
        <v>1086.1999999999689</v>
      </c>
      <c r="G365" s="65">
        <v>1086.1999999999689</v>
      </c>
      <c r="H365" s="707">
        <v>2151</v>
      </c>
      <c r="I365" s="65">
        <v>1086.2999999999688</v>
      </c>
      <c r="J365" s="707">
        <v>2168</v>
      </c>
    </row>
    <row r="366" spans="2:10" ht="15">
      <c r="B366" s="706">
        <v>2151</v>
      </c>
      <c r="C366" s="706">
        <v>1086.1999999999689</v>
      </c>
      <c r="D366" s="707">
        <v>2168</v>
      </c>
      <c r="E366" s="707">
        <v>1086.2999999999688</v>
      </c>
      <c r="G366" s="65">
        <v>1086.2999999999688</v>
      </c>
      <c r="H366" s="707">
        <v>2168</v>
      </c>
      <c r="I366" s="65">
        <v>1086.3999999999687</v>
      </c>
      <c r="J366" s="707">
        <v>2185</v>
      </c>
    </row>
    <row r="367" spans="2:10" ht="15">
      <c r="B367" s="706">
        <v>2168</v>
      </c>
      <c r="C367" s="706">
        <v>1086.2999999999688</v>
      </c>
      <c r="D367" s="707">
        <v>2185</v>
      </c>
      <c r="E367" s="707">
        <v>1086.3999999999687</v>
      </c>
      <c r="G367" s="65">
        <v>1086.3999999999687</v>
      </c>
      <c r="H367" s="707">
        <v>2185</v>
      </c>
      <c r="I367" s="65">
        <v>1086.4999999999686</v>
      </c>
      <c r="J367" s="707">
        <v>2202</v>
      </c>
    </row>
    <row r="368" spans="2:10" ht="15">
      <c r="B368" s="706">
        <v>2185</v>
      </c>
      <c r="C368" s="706">
        <v>1086.3999999999687</v>
      </c>
      <c r="D368" s="707">
        <v>2202</v>
      </c>
      <c r="E368" s="707">
        <v>1086.4999999999686</v>
      </c>
      <c r="G368" s="65">
        <v>1086.4999999999686</v>
      </c>
      <c r="H368" s="707">
        <v>2202</v>
      </c>
      <c r="I368" s="65">
        <v>1086.5999999999685</v>
      </c>
      <c r="J368" s="707">
        <v>2219</v>
      </c>
    </row>
    <row r="369" spans="2:10" ht="15">
      <c r="B369" s="706">
        <v>2202</v>
      </c>
      <c r="C369" s="706">
        <v>1086.4999999999686</v>
      </c>
      <c r="D369" s="707">
        <v>2219</v>
      </c>
      <c r="E369" s="707">
        <v>1086.5999999999685</v>
      </c>
      <c r="G369" s="65">
        <v>1086.5999999999685</v>
      </c>
      <c r="H369" s="707">
        <v>2219</v>
      </c>
      <c r="I369" s="65">
        <v>1086.6999999999684</v>
      </c>
      <c r="J369" s="707">
        <v>2236</v>
      </c>
    </row>
    <row r="370" spans="2:10" ht="15">
      <c r="B370" s="706">
        <v>2219</v>
      </c>
      <c r="C370" s="706">
        <v>1086.5999999999685</v>
      </c>
      <c r="D370" s="707">
        <v>2236</v>
      </c>
      <c r="E370" s="707">
        <v>1086.6999999999684</v>
      </c>
      <c r="G370" s="65">
        <v>1086.6999999999684</v>
      </c>
      <c r="H370" s="707">
        <v>2236</v>
      </c>
      <c r="I370" s="65">
        <v>1086.7999999999683</v>
      </c>
      <c r="J370" s="707">
        <v>2253</v>
      </c>
    </row>
    <row r="371" spans="2:10" ht="15">
      <c r="B371" s="706">
        <v>2236</v>
      </c>
      <c r="C371" s="706">
        <v>1086.6999999999684</v>
      </c>
      <c r="D371" s="707">
        <v>2253</v>
      </c>
      <c r="E371" s="707">
        <v>1086.7999999999683</v>
      </c>
      <c r="G371" s="65">
        <v>1086.7999999999683</v>
      </c>
      <c r="H371" s="707">
        <v>2253</v>
      </c>
      <c r="I371" s="65">
        <v>1086.8999999999683</v>
      </c>
      <c r="J371" s="707">
        <v>2270</v>
      </c>
    </row>
    <row r="372" spans="2:10" ht="15">
      <c r="B372" s="706">
        <v>2253</v>
      </c>
      <c r="C372" s="706">
        <v>1086.7999999999683</v>
      </c>
      <c r="D372" s="707">
        <v>2270</v>
      </c>
      <c r="E372" s="707">
        <v>1086.8999999999683</v>
      </c>
      <c r="G372" s="65">
        <v>1086.8999999999683</v>
      </c>
      <c r="H372" s="707">
        <v>2270</v>
      </c>
      <c r="I372" s="65">
        <v>1086.9999999999682</v>
      </c>
      <c r="J372" s="707">
        <v>2287</v>
      </c>
    </row>
    <row r="373" spans="2:10" ht="15">
      <c r="B373" s="706">
        <v>2270</v>
      </c>
      <c r="C373" s="706">
        <v>1086.8999999999683</v>
      </c>
      <c r="D373" s="707">
        <v>2287</v>
      </c>
      <c r="E373" s="707">
        <v>1086.9999999999682</v>
      </c>
      <c r="G373" s="65">
        <v>1086.9999999999682</v>
      </c>
      <c r="H373" s="707">
        <v>2287</v>
      </c>
      <c r="I373" s="65">
        <v>1087.0999999999681</v>
      </c>
      <c r="J373" s="707">
        <v>2305</v>
      </c>
    </row>
    <row r="374" spans="2:10" ht="15">
      <c r="B374" s="706">
        <v>2287</v>
      </c>
      <c r="C374" s="706">
        <v>1086.9999999999682</v>
      </c>
      <c r="D374" s="707">
        <v>2305</v>
      </c>
      <c r="E374" s="707">
        <v>1087.0999999999681</v>
      </c>
      <c r="G374" s="65">
        <v>1087.0999999999681</v>
      </c>
      <c r="H374" s="707">
        <v>2305</v>
      </c>
      <c r="I374" s="65">
        <v>1087.199999999968</v>
      </c>
      <c r="J374" s="707">
        <v>2323</v>
      </c>
    </row>
    <row r="375" spans="2:10" ht="15">
      <c r="B375" s="706">
        <v>2305</v>
      </c>
      <c r="C375" s="706">
        <v>1087.0999999999681</v>
      </c>
      <c r="D375" s="707">
        <v>2323</v>
      </c>
      <c r="E375" s="707">
        <v>1087.199999999968</v>
      </c>
      <c r="G375" s="65">
        <v>1087.199999999968</v>
      </c>
      <c r="H375" s="707">
        <v>2323</v>
      </c>
      <c r="I375" s="65">
        <v>1087.2999999999679</v>
      </c>
      <c r="J375" s="707">
        <v>2341</v>
      </c>
    </row>
    <row r="376" spans="2:10" ht="15">
      <c r="B376" s="706">
        <v>2323</v>
      </c>
      <c r="C376" s="706">
        <v>1087.199999999968</v>
      </c>
      <c r="D376" s="707">
        <v>2341</v>
      </c>
      <c r="E376" s="707">
        <v>1087.2999999999679</v>
      </c>
      <c r="G376" s="65">
        <v>1087.2999999999679</v>
      </c>
      <c r="H376" s="707">
        <v>2341</v>
      </c>
      <c r="I376" s="65">
        <v>1087.3999999999678</v>
      </c>
      <c r="J376" s="707">
        <v>2358</v>
      </c>
    </row>
    <row r="377" spans="2:10" ht="15">
      <c r="B377" s="706">
        <v>2341</v>
      </c>
      <c r="C377" s="706">
        <v>1087.2999999999679</v>
      </c>
      <c r="D377" s="707">
        <v>2358</v>
      </c>
      <c r="E377" s="707">
        <v>1087.3999999999678</v>
      </c>
      <c r="G377" s="65">
        <v>1087.3999999999678</v>
      </c>
      <c r="H377" s="707">
        <v>2358</v>
      </c>
      <c r="I377" s="65">
        <v>1087.4999999999677</v>
      </c>
      <c r="J377" s="707">
        <v>2376</v>
      </c>
    </row>
    <row r="378" spans="2:10" ht="15">
      <c r="B378" s="706">
        <v>2358</v>
      </c>
      <c r="C378" s="706">
        <v>1087.3999999999678</v>
      </c>
      <c r="D378" s="707">
        <v>2376</v>
      </c>
      <c r="E378" s="707">
        <v>1087.4999999999677</v>
      </c>
      <c r="G378" s="65">
        <v>1087.4999999999677</v>
      </c>
      <c r="H378" s="707">
        <v>2376</v>
      </c>
      <c r="I378" s="65">
        <v>1087.5999999999676</v>
      </c>
      <c r="J378" s="707">
        <v>2394</v>
      </c>
    </row>
    <row r="379" spans="2:10" ht="15">
      <c r="B379" s="706">
        <v>2376</v>
      </c>
      <c r="C379" s="706">
        <v>1087.4999999999677</v>
      </c>
      <c r="D379" s="707">
        <v>2394</v>
      </c>
      <c r="E379" s="707">
        <v>1087.5999999999676</v>
      </c>
      <c r="G379" s="65">
        <v>1087.5999999999676</v>
      </c>
      <c r="H379" s="707">
        <v>2394</v>
      </c>
      <c r="I379" s="65">
        <v>1087.6999999999675</v>
      </c>
      <c r="J379" s="707">
        <v>2412</v>
      </c>
    </row>
    <row r="380" spans="2:10" ht="15">
      <c r="B380" s="706">
        <v>2394</v>
      </c>
      <c r="C380" s="706">
        <v>1087.5999999999676</v>
      </c>
      <c r="D380" s="707">
        <v>2412</v>
      </c>
      <c r="E380" s="707">
        <v>1087.6999999999675</v>
      </c>
      <c r="G380" s="65">
        <v>1087.6999999999675</v>
      </c>
      <c r="H380" s="707">
        <v>2412</v>
      </c>
      <c r="I380" s="65">
        <v>1087.7999999999674</v>
      </c>
      <c r="J380" s="707">
        <v>2430</v>
      </c>
    </row>
    <row r="381" spans="2:10" ht="15">
      <c r="B381" s="706">
        <v>2412</v>
      </c>
      <c r="C381" s="706">
        <v>1087.6999999999675</v>
      </c>
      <c r="D381" s="707">
        <v>2430</v>
      </c>
      <c r="E381" s="707">
        <v>1087.7999999999674</v>
      </c>
      <c r="G381" s="65">
        <v>1087.7999999999674</v>
      </c>
      <c r="H381" s="707">
        <v>2430</v>
      </c>
      <c r="I381" s="65">
        <v>1087.8999999999673</v>
      </c>
      <c r="J381" s="707">
        <v>2447</v>
      </c>
    </row>
    <row r="382" spans="2:10" ht="15">
      <c r="B382" s="706">
        <v>2430</v>
      </c>
      <c r="C382" s="706">
        <v>1087.7999999999674</v>
      </c>
      <c r="D382" s="707">
        <v>2447</v>
      </c>
      <c r="E382" s="707">
        <v>1087.8999999999673</v>
      </c>
      <c r="G382" s="65">
        <v>1087.8999999999673</v>
      </c>
      <c r="H382" s="707">
        <v>2447</v>
      </c>
      <c r="I382" s="65">
        <v>1087.9999999999673</v>
      </c>
      <c r="J382" s="707">
        <v>2465</v>
      </c>
    </row>
    <row r="383" spans="2:10" ht="15">
      <c r="B383" s="706">
        <v>2447</v>
      </c>
      <c r="C383" s="706">
        <v>1087.8999999999673</v>
      </c>
      <c r="D383" s="707">
        <v>2465</v>
      </c>
      <c r="E383" s="707">
        <v>1087.9999999999673</v>
      </c>
      <c r="G383" s="65">
        <v>1087.9999999999673</v>
      </c>
      <c r="H383" s="707">
        <v>2465</v>
      </c>
      <c r="I383" s="65">
        <v>1088.0999999999672</v>
      </c>
      <c r="J383" s="707">
        <v>2484</v>
      </c>
    </row>
    <row r="384" spans="2:10" ht="15">
      <c r="B384" s="706">
        <v>2465</v>
      </c>
      <c r="C384" s="706">
        <v>1087.9999999999673</v>
      </c>
      <c r="D384" s="707">
        <v>2484</v>
      </c>
      <c r="E384" s="707">
        <v>1088.0999999999672</v>
      </c>
      <c r="G384" s="65">
        <v>1088.0999999999672</v>
      </c>
      <c r="H384" s="707">
        <v>2484</v>
      </c>
      <c r="I384" s="65">
        <v>1088.1999999999671</v>
      </c>
      <c r="J384" s="707">
        <v>2502</v>
      </c>
    </row>
    <row r="385" spans="2:10" ht="15">
      <c r="B385" s="706">
        <v>2484</v>
      </c>
      <c r="C385" s="706">
        <v>1088.0999999999672</v>
      </c>
      <c r="D385" s="707">
        <v>2502</v>
      </c>
      <c r="E385" s="707">
        <v>1088.1999999999671</v>
      </c>
      <c r="G385" s="65">
        <v>1088.1999999999671</v>
      </c>
      <c r="H385" s="707">
        <v>2502</v>
      </c>
      <c r="I385" s="65">
        <v>1088.299999999967</v>
      </c>
      <c r="J385" s="707">
        <v>2521</v>
      </c>
    </row>
    <row r="386" spans="2:10" ht="15">
      <c r="B386" s="706">
        <v>2502</v>
      </c>
      <c r="C386" s="706">
        <v>1088.1999999999671</v>
      </c>
      <c r="D386" s="707">
        <v>2521</v>
      </c>
      <c r="E386" s="707">
        <v>1088.299999999967</v>
      </c>
      <c r="G386" s="65">
        <v>1088.299999999967</v>
      </c>
      <c r="H386" s="707">
        <v>2521</v>
      </c>
      <c r="I386" s="65">
        <v>1088.3999999999669</v>
      </c>
      <c r="J386" s="707">
        <v>2540</v>
      </c>
    </row>
    <row r="387" spans="2:10" ht="15">
      <c r="B387" s="706">
        <v>2521</v>
      </c>
      <c r="C387" s="706">
        <v>1088.299999999967</v>
      </c>
      <c r="D387" s="707">
        <v>2540</v>
      </c>
      <c r="E387" s="707">
        <v>1088.3999999999669</v>
      </c>
      <c r="G387" s="65">
        <v>1088.3999999999669</v>
      </c>
      <c r="H387" s="707">
        <v>2540</v>
      </c>
      <c r="I387" s="65">
        <v>1088.4999999999668</v>
      </c>
      <c r="J387" s="707">
        <v>2558</v>
      </c>
    </row>
    <row r="388" spans="2:10" ht="15">
      <c r="B388" s="706">
        <v>2540</v>
      </c>
      <c r="C388" s="706">
        <v>1088.3999999999669</v>
      </c>
      <c r="D388" s="707">
        <v>2558</v>
      </c>
      <c r="E388" s="707">
        <v>1088.4999999999668</v>
      </c>
      <c r="G388" s="65">
        <v>1088.4999999999668</v>
      </c>
      <c r="H388" s="707">
        <v>2558</v>
      </c>
      <c r="I388" s="65">
        <v>1088.5999999999667</v>
      </c>
      <c r="J388" s="707">
        <v>2577</v>
      </c>
    </row>
    <row r="389" spans="2:10" ht="15">
      <c r="B389" s="706">
        <v>2558</v>
      </c>
      <c r="C389" s="706">
        <v>1088.4999999999668</v>
      </c>
      <c r="D389" s="707">
        <v>2577</v>
      </c>
      <c r="E389" s="707">
        <v>1088.5999999999667</v>
      </c>
      <c r="G389" s="65">
        <v>1088.5999999999667</v>
      </c>
      <c r="H389" s="707">
        <v>2577</v>
      </c>
      <c r="I389" s="65">
        <v>1088.6999999999666</v>
      </c>
      <c r="J389" s="707">
        <v>2595</v>
      </c>
    </row>
    <row r="390" spans="2:10" ht="15">
      <c r="B390" s="706">
        <v>2577</v>
      </c>
      <c r="C390" s="706">
        <v>1088.5999999999667</v>
      </c>
      <c r="D390" s="707">
        <v>2595</v>
      </c>
      <c r="E390" s="707">
        <v>1088.6999999999666</v>
      </c>
      <c r="G390" s="65">
        <v>1088.6999999999666</v>
      </c>
      <c r="H390" s="707">
        <v>2595</v>
      </c>
      <c r="I390" s="65">
        <v>1088.7999999999665</v>
      </c>
      <c r="J390" s="707">
        <v>2614</v>
      </c>
    </row>
    <row r="391" spans="2:10" ht="15">
      <c r="B391" s="706">
        <v>2595</v>
      </c>
      <c r="C391" s="706">
        <v>1088.6999999999666</v>
      </c>
      <c r="D391" s="707">
        <v>2614</v>
      </c>
      <c r="E391" s="707">
        <v>1088.7999999999665</v>
      </c>
      <c r="G391" s="65">
        <v>1088.7999999999665</v>
      </c>
      <c r="H391" s="707">
        <v>2614</v>
      </c>
      <c r="I391" s="65">
        <v>1088.8999999999664</v>
      </c>
      <c r="J391" s="707">
        <v>2633</v>
      </c>
    </row>
    <row r="392" spans="2:10" ht="15">
      <c r="B392" s="706">
        <v>2614</v>
      </c>
      <c r="C392" s="706">
        <v>1088.7999999999665</v>
      </c>
      <c r="D392" s="707">
        <v>2633</v>
      </c>
      <c r="E392" s="707">
        <v>1088.8999999999664</v>
      </c>
      <c r="G392" s="65">
        <v>1088.8999999999664</v>
      </c>
      <c r="H392" s="707">
        <v>2633</v>
      </c>
      <c r="I392" s="65">
        <v>1088.9999999999663</v>
      </c>
      <c r="J392" s="707">
        <v>2651</v>
      </c>
    </row>
    <row r="393" spans="2:10" ht="15">
      <c r="B393" s="706">
        <v>2633</v>
      </c>
      <c r="C393" s="706">
        <v>1088.8999999999664</v>
      </c>
      <c r="D393" s="707">
        <v>2651</v>
      </c>
      <c r="E393" s="707">
        <v>1088.9999999999663</v>
      </c>
      <c r="G393" s="65">
        <v>1088.9999999999663</v>
      </c>
      <c r="H393" s="707">
        <v>2651</v>
      </c>
      <c r="I393" s="65">
        <v>1089.0999999999663</v>
      </c>
      <c r="J393" s="707">
        <v>2671</v>
      </c>
    </row>
    <row r="394" spans="2:10" ht="15">
      <c r="B394" s="706">
        <v>2651</v>
      </c>
      <c r="C394" s="706">
        <v>1088.9999999999663</v>
      </c>
      <c r="D394" s="707">
        <v>2671</v>
      </c>
      <c r="E394" s="707">
        <v>1089.0999999999663</v>
      </c>
      <c r="G394" s="65">
        <v>1089.0999999999663</v>
      </c>
      <c r="H394" s="707">
        <v>2671</v>
      </c>
      <c r="I394" s="65">
        <v>1089.1999999999662</v>
      </c>
      <c r="J394" s="707">
        <v>2690</v>
      </c>
    </row>
    <row r="395" spans="2:10" ht="15">
      <c r="B395" s="706">
        <v>2671</v>
      </c>
      <c r="C395" s="706">
        <v>1089.0999999999663</v>
      </c>
      <c r="D395" s="707">
        <v>2690</v>
      </c>
      <c r="E395" s="707">
        <v>1089.1999999999662</v>
      </c>
      <c r="G395" s="65">
        <v>1089.1999999999662</v>
      </c>
      <c r="H395" s="707">
        <v>2690</v>
      </c>
      <c r="I395" s="65">
        <v>1089.2999999999661</v>
      </c>
      <c r="J395" s="707">
        <v>2710</v>
      </c>
    </row>
    <row r="396" spans="2:10" ht="15">
      <c r="B396" s="706">
        <v>2690</v>
      </c>
      <c r="C396" s="706">
        <v>1089.1999999999662</v>
      </c>
      <c r="D396" s="707">
        <v>2710</v>
      </c>
      <c r="E396" s="707">
        <v>1089.2999999999661</v>
      </c>
      <c r="G396" s="65">
        <v>1089.2999999999661</v>
      </c>
      <c r="H396" s="707">
        <v>2710</v>
      </c>
      <c r="I396" s="65">
        <v>1089.399999999966</v>
      </c>
      <c r="J396" s="707">
        <v>2729</v>
      </c>
    </row>
    <row r="397" spans="2:10" ht="15">
      <c r="B397" s="706">
        <v>2710</v>
      </c>
      <c r="C397" s="706">
        <v>1089.2999999999661</v>
      </c>
      <c r="D397" s="707">
        <v>2729</v>
      </c>
      <c r="E397" s="707">
        <v>1089.399999999966</v>
      </c>
      <c r="G397" s="65">
        <v>1089.399999999966</v>
      </c>
      <c r="H397" s="707">
        <v>2729</v>
      </c>
      <c r="I397" s="65">
        <v>1089.4999999999659</v>
      </c>
      <c r="J397" s="707">
        <v>2748</v>
      </c>
    </row>
    <row r="398" spans="2:10" ht="15">
      <c r="B398" s="706">
        <v>2729</v>
      </c>
      <c r="C398" s="706">
        <v>1089.399999999966</v>
      </c>
      <c r="D398" s="707">
        <v>2748</v>
      </c>
      <c r="E398" s="707">
        <v>1089.4999999999659</v>
      </c>
      <c r="G398" s="65">
        <v>1089.4999999999659</v>
      </c>
      <c r="H398" s="707">
        <v>2748</v>
      </c>
      <c r="I398" s="65">
        <v>1089.5999999999658</v>
      </c>
      <c r="J398" s="707">
        <v>2768</v>
      </c>
    </row>
    <row r="399" spans="2:10" ht="15">
      <c r="B399" s="706">
        <v>2748</v>
      </c>
      <c r="C399" s="706">
        <v>1089.4999999999659</v>
      </c>
      <c r="D399" s="707">
        <v>2768</v>
      </c>
      <c r="E399" s="707">
        <v>1089.5999999999658</v>
      </c>
      <c r="G399" s="65">
        <v>1089.5999999999658</v>
      </c>
      <c r="H399" s="707">
        <v>2768</v>
      </c>
      <c r="I399" s="65">
        <v>1089.6999999999657</v>
      </c>
      <c r="J399" s="707">
        <v>2787</v>
      </c>
    </row>
    <row r="400" spans="2:10" ht="15">
      <c r="B400" s="706">
        <v>2768</v>
      </c>
      <c r="C400" s="706">
        <v>1089.5999999999658</v>
      </c>
      <c r="D400" s="707">
        <v>2787</v>
      </c>
      <c r="E400" s="707">
        <v>1089.6999999999657</v>
      </c>
      <c r="G400" s="65">
        <v>1089.6999999999657</v>
      </c>
      <c r="H400" s="707">
        <v>2787</v>
      </c>
      <c r="I400" s="65">
        <v>1089.7999999999656</v>
      </c>
      <c r="J400" s="707">
        <v>2807</v>
      </c>
    </row>
    <row r="401" spans="2:10" ht="15">
      <c r="B401" s="706">
        <v>2787</v>
      </c>
      <c r="C401" s="706">
        <v>1089.6999999999657</v>
      </c>
      <c r="D401" s="707">
        <v>2807</v>
      </c>
      <c r="E401" s="707">
        <v>1089.7999999999656</v>
      </c>
      <c r="G401" s="65">
        <v>1089.7999999999656</v>
      </c>
      <c r="H401" s="707">
        <v>2807</v>
      </c>
      <c r="I401" s="65">
        <v>1089.8999999999655</v>
      </c>
      <c r="J401" s="707">
        <v>2826</v>
      </c>
    </row>
    <row r="402" spans="2:10" ht="15">
      <c r="B402" s="706">
        <v>2807</v>
      </c>
      <c r="C402" s="706">
        <v>1089.7999999999656</v>
      </c>
      <c r="D402" s="707">
        <v>2826</v>
      </c>
      <c r="E402" s="707">
        <v>1089.8999999999655</v>
      </c>
      <c r="G402" s="65">
        <v>1089.8999999999655</v>
      </c>
      <c r="H402" s="707">
        <v>2826</v>
      </c>
      <c r="I402" s="65">
        <v>1089.9999999999654</v>
      </c>
      <c r="J402" s="707">
        <v>2846</v>
      </c>
    </row>
    <row r="403" spans="2:10" ht="15">
      <c r="B403" s="706">
        <v>2826</v>
      </c>
      <c r="C403" s="706">
        <v>1089.8999999999655</v>
      </c>
      <c r="D403" s="707">
        <v>2846</v>
      </c>
      <c r="E403" s="707">
        <v>1089.9999999999654</v>
      </c>
      <c r="G403" s="65">
        <v>1089.9999999999654</v>
      </c>
      <c r="H403" s="707">
        <v>2846</v>
      </c>
      <c r="I403" s="65">
        <v>1090.0999999999653</v>
      </c>
      <c r="J403" s="707">
        <v>2866</v>
      </c>
    </row>
    <row r="404" spans="2:10" ht="15">
      <c r="B404" s="706">
        <v>2846</v>
      </c>
      <c r="C404" s="706">
        <v>1089.9999999999654</v>
      </c>
      <c r="D404" s="707">
        <v>2866</v>
      </c>
      <c r="E404" s="707">
        <v>1090.0999999999653</v>
      </c>
      <c r="G404" s="65">
        <v>1090.0999999999653</v>
      </c>
      <c r="H404" s="707">
        <v>2866</v>
      </c>
      <c r="I404" s="65">
        <v>1090.1999999999653</v>
      </c>
      <c r="J404" s="707">
        <v>2886</v>
      </c>
    </row>
    <row r="405" spans="2:10" ht="15">
      <c r="B405" s="706">
        <v>2866</v>
      </c>
      <c r="C405" s="706">
        <v>1090.0999999999653</v>
      </c>
      <c r="D405" s="707">
        <v>2886</v>
      </c>
      <c r="E405" s="707">
        <v>1090.1999999999653</v>
      </c>
      <c r="G405" s="65">
        <v>1090.1999999999653</v>
      </c>
      <c r="H405" s="707">
        <v>2886</v>
      </c>
      <c r="I405" s="65">
        <v>1090.2999999999652</v>
      </c>
      <c r="J405" s="707">
        <v>2907</v>
      </c>
    </row>
    <row r="406" spans="2:10" ht="15">
      <c r="B406" s="706">
        <v>2886</v>
      </c>
      <c r="C406" s="706">
        <v>1090.1999999999653</v>
      </c>
      <c r="D406" s="707">
        <v>2907</v>
      </c>
      <c r="E406" s="707">
        <v>1090.2999999999652</v>
      </c>
      <c r="G406" s="65">
        <v>1090.2999999999652</v>
      </c>
      <c r="H406" s="707">
        <v>2907</v>
      </c>
      <c r="I406" s="65">
        <v>1090.3999999999651</v>
      </c>
      <c r="J406" s="707">
        <v>2927</v>
      </c>
    </row>
    <row r="407" spans="2:10" ht="15">
      <c r="B407" s="706">
        <v>2907</v>
      </c>
      <c r="C407" s="706">
        <v>1090.2999999999652</v>
      </c>
      <c r="D407" s="707">
        <v>2927</v>
      </c>
      <c r="E407" s="707">
        <v>1090.3999999999651</v>
      </c>
      <c r="G407" s="65">
        <v>1090.3999999999651</v>
      </c>
      <c r="H407" s="707">
        <v>2927</v>
      </c>
      <c r="I407" s="65">
        <v>1090.499999999965</v>
      </c>
      <c r="J407" s="707">
        <v>2947</v>
      </c>
    </row>
    <row r="408" spans="2:10" ht="15">
      <c r="B408" s="706">
        <v>2927</v>
      </c>
      <c r="C408" s="706">
        <v>1090.3999999999651</v>
      </c>
      <c r="D408" s="707">
        <v>2947</v>
      </c>
      <c r="E408" s="707">
        <v>1090.499999999965</v>
      </c>
      <c r="G408" s="65">
        <v>1090.499999999965</v>
      </c>
      <c r="H408" s="707">
        <v>2947</v>
      </c>
      <c r="I408" s="65">
        <v>1090.5999999999649</v>
      </c>
      <c r="J408" s="707">
        <v>2967</v>
      </c>
    </row>
    <row r="409" spans="2:10" ht="15">
      <c r="B409" s="706">
        <v>2947</v>
      </c>
      <c r="C409" s="706">
        <v>1090.499999999965</v>
      </c>
      <c r="D409" s="707">
        <v>2967</v>
      </c>
      <c r="E409" s="707">
        <v>1090.5999999999649</v>
      </c>
      <c r="G409" s="65">
        <v>1090.5999999999649</v>
      </c>
      <c r="H409" s="707">
        <v>2967</v>
      </c>
      <c r="I409" s="65">
        <v>1090.6999999999648</v>
      </c>
      <c r="J409" s="707">
        <v>2988</v>
      </c>
    </row>
    <row r="410" spans="2:10" ht="15">
      <c r="B410" s="706">
        <v>2967</v>
      </c>
      <c r="C410" s="706">
        <v>1090.5999999999649</v>
      </c>
      <c r="D410" s="707">
        <v>2988</v>
      </c>
      <c r="E410" s="707">
        <v>1090.6999999999648</v>
      </c>
      <c r="G410" s="65">
        <v>1090.6999999999648</v>
      </c>
      <c r="H410" s="707">
        <v>2988</v>
      </c>
      <c r="I410" s="65">
        <v>1090.7999999999647</v>
      </c>
      <c r="J410" s="707">
        <v>3008</v>
      </c>
    </row>
    <row r="411" spans="2:10" ht="15">
      <c r="B411" s="706">
        <v>2988</v>
      </c>
      <c r="C411" s="706">
        <v>1090.6999999999648</v>
      </c>
      <c r="D411" s="707">
        <v>3008</v>
      </c>
      <c r="E411" s="707">
        <v>1090.7999999999647</v>
      </c>
      <c r="G411" s="65">
        <v>1090.7999999999647</v>
      </c>
      <c r="H411" s="707">
        <v>3008</v>
      </c>
      <c r="I411" s="65">
        <v>1090.8999999999646</v>
      </c>
      <c r="J411" s="707">
        <v>3028</v>
      </c>
    </row>
    <row r="412" spans="2:10" ht="15">
      <c r="B412" s="706">
        <v>3008</v>
      </c>
      <c r="C412" s="706">
        <v>1090.7999999999647</v>
      </c>
      <c r="D412" s="707">
        <v>3028</v>
      </c>
      <c r="E412" s="707">
        <v>1090.8999999999646</v>
      </c>
      <c r="G412" s="65">
        <v>1090.8999999999646</v>
      </c>
      <c r="H412" s="707">
        <v>3028</v>
      </c>
      <c r="I412" s="65">
        <v>1090.9999999999645</v>
      </c>
      <c r="J412" s="707">
        <v>3049</v>
      </c>
    </row>
    <row r="413" spans="2:10" ht="15">
      <c r="B413" s="706">
        <v>3028</v>
      </c>
      <c r="C413" s="706">
        <v>1090.8999999999646</v>
      </c>
      <c r="D413" s="707">
        <v>3049</v>
      </c>
      <c r="E413" s="707">
        <v>1090.9999999999645</v>
      </c>
      <c r="G413" s="65">
        <v>1090.9999999999645</v>
      </c>
      <c r="H413" s="707">
        <v>3049</v>
      </c>
      <c r="I413" s="65">
        <v>1091.0999999999644</v>
      </c>
      <c r="J413" s="707">
        <v>3070</v>
      </c>
    </row>
    <row r="414" spans="2:10" ht="15">
      <c r="B414" s="706">
        <v>3049</v>
      </c>
      <c r="C414" s="706">
        <v>1090.9999999999645</v>
      </c>
      <c r="D414" s="707">
        <v>3070</v>
      </c>
      <c r="E414" s="707">
        <v>1091.0999999999644</v>
      </c>
      <c r="G414" s="65">
        <v>1091.0999999999644</v>
      </c>
      <c r="H414" s="707">
        <v>3070</v>
      </c>
      <c r="I414" s="65">
        <v>1091.1999999999643</v>
      </c>
      <c r="J414" s="707">
        <v>3091</v>
      </c>
    </row>
    <row r="415" spans="2:10" ht="15">
      <c r="B415" s="706">
        <v>3070</v>
      </c>
      <c r="C415" s="706">
        <v>1091.0999999999644</v>
      </c>
      <c r="D415" s="707">
        <v>3091</v>
      </c>
      <c r="E415" s="707">
        <v>1091.1999999999643</v>
      </c>
      <c r="G415" s="65">
        <v>1091.1999999999643</v>
      </c>
      <c r="H415" s="707">
        <v>3091</v>
      </c>
      <c r="I415" s="65">
        <v>1091.2999999999643</v>
      </c>
      <c r="J415" s="707">
        <v>3112</v>
      </c>
    </row>
    <row r="416" spans="2:10" ht="15">
      <c r="B416" s="706">
        <v>3091</v>
      </c>
      <c r="C416" s="706">
        <v>1091.1999999999643</v>
      </c>
      <c r="D416" s="707">
        <v>3112</v>
      </c>
      <c r="E416" s="707">
        <v>1091.2999999999643</v>
      </c>
      <c r="G416" s="65">
        <v>1091.2999999999643</v>
      </c>
      <c r="H416" s="707">
        <v>3112</v>
      </c>
      <c r="I416" s="65">
        <v>1091.3999999999642</v>
      </c>
      <c r="J416" s="707">
        <v>3133</v>
      </c>
    </row>
    <row r="417" spans="2:10" ht="15">
      <c r="B417" s="706">
        <v>3112</v>
      </c>
      <c r="C417" s="706">
        <v>1091.2999999999643</v>
      </c>
      <c r="D417" s="707">
        <v>3133</v>
      </c>
      <c r="E417" s="707">
        <v>1091.3999999999642</v>
      </c>
      <c r="G417" s="65">
        <v>1091.3999999999642</v>
      </c>
      <c r="H417" s="707">
        <v>3133</v>
      </c>
      <c r="I417" s="65">
        <v>1091.4999999999641</v>
      </c>
      <c r="J417" s="707">
        <v>3154</v>
      </c>
    </row>
    <row r="418" spans="2:10" ht="15">
      <c r="B418" s="706">
        <v>3133</v>
      </c>
      <c r="C418" s="706">
        <v>1091.3999999999642</v>
      </c>
      <c r="D418" s="707">
        <v>3154</v>
      </c>
      <c r="E418" s="707">
        <v>1091.4999999999641</v>
      </c>
      <c r="G418" s="65">
        <v>1091.4999999999641</v>
      </c>
      <c r="H418" s="707">
        <v>3154</v>
      </c>
      <c r="I418" s="65">
        <v>1091.599999999964</v>
      </c>
      <c r="J418" s="707">
        <v>3175</v>
      </c>
    </row>
    <row r="419" spans="2:10" ht="15">
      <c r="B419" s="706">
        <v>3154</v>
      </c>
      <c r="C419" s="706">
        <v>1091.4999999999641</v>
      </c>
      <c r="D419" s="707">
        <v>3175</v>
      </c>
      <c r="E419" s="707">
        <v>1091.599999999964</v>
      </c>
      <c r="G419" s="65">
        <v>1091.599999999964</v>
      </c>
      <c r="H419" s="707">
        <v>3175</v>
      </c>
      <c r="I419" s="65">
        <v>1091.6999999999639</v>
      </c>
      <c r="J419" s="707">
        <v>3196</v>
      </c>
    </row>
    <row r="420" spans="2:10" ht="15">
      <c r="B420" s="706">
        <v>3175</v>
      </c>
      <c r="C420" s="706">
        <v>1091.599999999964</v>
      </c>
      <c r="D420" s="707">
        <v>3196</v>
      </c>
      <c r="E420" s="707">
        <v>1091.6999999999639</v>
      </c>
      <c r="G420" s="65">
        <v>1091.6999999999639</v>
      </c>
      <c r="H420" s="707">
        <v>3196</v>
      </c>
      <c r="I420" s="65">
        <v>1091.7999999999638</v>
      </c>
      <c r="J420" s="707">
        <v>3217</v>
      </c>
    </row>
    <row r="421" spans="2:10" ht="15">
      <c r="B421" s="706">
        <v>3196</v>
      </c>
      <c r="C421" s="706">
        <v>1091.6999999999639</v>
      </c>
      <c r="D421" s="707">
        <v>3217</v>
      </c>
      <c r="E421" s="707">
        <v>1091.7999999999638</v>
      </c>
      <c r="G421" s="65">
        <v>1091.7999999999638</v>
      </c>
      <c r="H421" s="707">
        <v>3217</v>
      </c>
      <c r="I421" s="65">
        <v>1091.8999999999637</v>
      </c>
      <c r="J421" s="707">
        <v>3238</v>
      </c>
    </row>
    <row r="422" spans="2:10" ht="15">
      <c r="B422" s="706">
        <v>3217</v>
      </c>
      <c r="C422" s="706">
        <v>1091.7999999999638</v>
      </c>
      <c r="D422" s="707">
        <v>3238</v>
      </c>
      <c r="E422" s="707">
        <v>1091.8999999999637</v>
      </c>
      <c r="G422" s="65">
        <v>1091.8999999999637</v>
      </c>
      <c r="H422" s="707">
        <v>3238</v>
      </c>
      <c r="I422" s="65">
        <v>1091.9999999999636</v>
      </c>
      <c r="J422" s="707">
        <v>3259</v>
      </c>
    </row>
    <row r="423" spans="2:10" ht="15">
      <c r="B423" s="706">
        <v>3238</v>
      </c>
      <c r="C423" s="706">
        <v>1091.8999999999637</v>
      </c>
      <c r="D423" s="707">
        <v>3259</v>
      </c>
      <c r="E423" s="707">
        <v>1091.9999999999636</v>
      </c>
      <c r="G423" s="65">
        <v>1091.9999999999636</v>
      </c>
      <c r="H423" s="707">
        <v>3259</v>
      </c>
      <c r="I423" s="65">
        <v>1092.0999999999635</v>
      </c>
      <c r="J423" s="707">
        <v>3281</v>
      </c>
    </row>
    <row r="424" spans="2:10" ht="15">
      <c r="B424" s="706">
        <v>3259</v>
      </c>
      <c r="C424" s="706">
        <v>1091.9999999999636</v>
      </c>
      <c r="D424" s="707">
        <v>3281</v>
      </c>
      <c r="E424" s="707">
        <v>1092.0999999999635</v>
      </c>
      <c r="G424" s="65">
        <v>1092.0999999999635</v>
      </c>
      <c r="H424" s="707">
        <v>3281</v>
      </c>
      <c r="I424" s="65">
        <v>1092.1999999999634</v>
      </c>
      <c r="J424" s="707">
        <v>3302</v>
      </c>
    </row>
    <row r="425" spans="2:10" ht="15">
      <c r="B425" s="706">
        <v>3281</v>
      </c>
      <c r="C425" s="706">
        <v>1092.0999999999635</v>
      </c>
      <c r="D425" s="707">
        <v>3302</v>
      </c>
      <c r="E425" s="707">
        <v>1092.1999999999634</v>
      </c>
      <c r="G425" s="65">
        <v>1092.1999999999634</v>
      </c>
      <c r="H425" s="707">
        <v>3302</v>
      </c>
      <c r="I425" s="65">
        <v>1092.2999999999633</v>
      </c>
      <c r="J425" s="707">
        <v>3324</v>
      </c>
    </row>
    <row r="426" spans="2:10" ht="15">
      <c r="B426" s="706">
        <v>3302</v>
      </c>
      <c r="C426" s="706">
        <v>1092.1999999999634</v>
      </c>
      <c r="D426" s="707">
        <v>3324</v>
      </c>
      <c r="E426" s="707">
        <v>1092.2999999999633</v>
      </c>
      <c r="G426" s="65">
        <v>1092.2999999999633</v>
      </c>
      <c r="H426" s="707">
        <v>3324</v>
      </c>
      <c r="I426" s="65">
        <v>1092.3999999999633</v>
      </c>
      <c r="J426" s="707">
        <v>3345</v>
      </c>
    </row>
    <row r="427" spans="2:10" ht="15">
      <c r="B427" s="706">
        <v>3324</v>
      </c>
      <c r="C427" s="706">
        <v>1092.2999999999633</v>
      </c>
      <c r="D427" s="707">
        <v>3345</v>
      </c>
      <c r="E427" s="707">
        <v>1092.3999999999633</v>
      </c>
      <c r="G427" s="65">
        <v>1092.3999999999633</v>
      </c>
      <c r="H427" s="707">
        <v>3345</v>
      </c>
      <c r="I427" s="65">
        <v>1092.4999999999632</v>
      </c>
      <c r="J427" s="707">
        <v>3367</v>
      </c>
    </row>
    <row r="428" spans="2:10" ht="15">
      <c r="B428" s="706">
        <v>3345</v>
      </c>
      <c r="C428" s="706">
        <v>1092.3999999999633</v>
      </c>
      <c r="D428" s="707">
        <v>3367</v>
      </c>
      <c r="E428" s="707">
        <v>1092.4999999999632</v>
      </c>
      <c r="G428" s="65">
        <v>1092.4999999999632</v>
      </c>
      <c r="H428" s="707">
        <v>3367</v>
      </c>
      <c r="I428" s="65">
        <v>1092.5999999999631</v>
      </c>
      <c r="J428" s="707">
        <v>3389</v>
      </c>
    </row>
    <row r="429" spans="2:10" ht="15">
      <c r="B429" s="706">
        <v>3367</v>
      </c>
      <c r="C429" s="706">
        <v>1092.4999999999632</v>
      </c>
      <c r="D429" s="707">
        <v>3389</v>
      </c>
      <c r="E429" s="707">
        <v>1092.5999999999631</v>
      </c>
      <c r="G429" s="65">
        <v>1092.5999999999631</v>
      </c>
      <c r="H429" s="707">
        <v>3389</v>
      </c>
      <c r="I429" s="65">
        <v>1092.699999999963</v>
      </c>
      <c r="J429" s="707">
        <v>3410</v>
      </c>
    </row>
    <row r="430" spans="2:10" ht="15">
      <c r="B430" s="706">
        <v>3389</v>
      </c>
      <c r="C430" s="706">
        <v>1092.5999999999631</v>
      </c>
      <c r="D430" s="707">
        <v>3410</v>
      </c>
      <c r="E430" s="707">
        <v>1092.699999999963</v>
      </c>
      <c r="G430" s="65">
        <v>1092.699999999963</v>
      </c>
      <c r="H430" s="707">
        <v>3410</v>
      </c>
      <c r="I430" s="65">
        <v>1092.7999999999629</v>
      </c>
      <c r="J430" s="707">
        <v>3432</v>
      </c>
    </row>
    <row r="431" spans="2:10" ht="15">
      <c r="B431" s="706">
        <v>3410</v>
      </c>
      <c r="C431" s="706">
        <v>1092.699999999963</v>
      </c>
      <c r="D431" s="707">
        <v>3432</v>
      </c>
      <c r="E431" s="707">
        <v>1092.7999999999629</v>
      </c>
      <c r="G431" s="65">
        <v>1092.7999999999629</v>
      </c>
      <c r="H431" s="707">
        <v>3432</v>
      </c>
      <c r="I431" s="65">
        <v>1092.8999999999628</v>
      </c>
      <c r="J431" s="707">
        <v>3453</v>
      </c>
    </row>
    <row r="432" spans="2:10" ht="15">
      <c r="B432" s="706">
        <v>3432</v>
      </c>
      <c r="C432" s="706">
        <v>1092.7999999999629</v>
      </c>
      <c r="D432" s="707">
        <v>3453</v>
      </c>
      <c r="E432" s="707">
        <v>1092.8999999999628</v>
      </c>
      <c r="G432" s="65">
        <v>1092.8999999999628</v>
      </c>
      <c r="H432" s="707">
        <v>3453</v>
      </c>
      <c r="I432" s="65">
        <v>1092.9999999999627</v>
      </c>
      <c r="J432" s="707">
        <v>3475</v>
      </c>
    </row>
    <row r="433" spans="2:10" ht="15">
      <c r="B433" s="706">
        <v>3453</v>
      </c>
      <c r="C433" s="706">
        <v>1092.8999999999628</v>
      </c>
      <c r="D433" s="707">
        <v>3475</v>
      </c>
      <c r="E433" s="707">
        <v>1092.9999999999627</v>
      </c>
      <c r="G433" s="65">
        <v>1092.9999999999627</v>
      </c>
      <c r="H433" s="707">
        <v>3475</v>
      </c>
      <c r="I433" s="65">
        <v>1093.0999999999626</v>
      </c>
      <c r="J433" s="707">
        <v>3497</v>
      </c>
    </row>
    <row r="434" spans="2:10" ht="15">
      <c r="B434" s="706">
        <v>3475</v>
      </c>
      <c r="C434" s="706">
        <v>1092.9999999999627</v>
      </c>
      <c r="D434" s="707">
        <v>3497</v>
      </c>
      <c r="E434" s="707">
        <v>1093.0999999999626</v>
      </c>
      <c r="G434" s="65">
        <v>1093.0999999999626</v>
      </c>
      <c r="H434" s="707">
        <v>3497</v>
      </c>
      <c r="I434" s="65">
        <v>1093.1999999999625</v>
      </c>
      <c r="J434" s="707">
        <v>3519</v>
      </c>
    </row>
    <row r="435" spans="2:10" ht="15">
      <c r="B435" s="706">
        <v>3497</v>
      </c>
      <c r="C435" s="706">
        <v>1093.0999999999626</v>
      </c>
      <c r="D435" s="707">
        <v>3519</v>
      </c>
      <c r="E435" s="707">
        <v>1093.1999999999625</v>
      </c>
      <c r="G435" s="65">
        <v>1093.1999999999625</v>
      </c>
      <c r="H435" s="707">
        <v>3519</v>
      </c>
      <c r="I435" s="65">
        <v>1093.2999999999624</v>
      </c>
      <c r="J435" s="707">
        <v>3542</v>
      </c>
    </row>
    <row r="436" spans="2:10" ht="15">
      <c r="B436" s="706">
        <v>3519</v>
      </c>
      <c r="C436" s="706">
        <v>1093.1999999999625</v>
      </c>
      <c r="D436" s="707">
        <v>3542</v>
      </c>
      <c r="E436" s="707">
        <v>1093.2999999999624</v>
      </c>
      <c r="G436" s="65">
        <v>1093.2999999999624</v>
      </c>
      <c r="H436" s="707">
        <v>3542</v>
      </c>
      <c r="I436" s="65">
        <v>1093.3999999999623</v>
      </c>
      <c r="J436" s="707">
        <v>3564</v>
      </c>
    </row>
    <row r="437" spans="2:10" ht="15">
      <c r="B437" s="706">
        <v>3542</v>
      </c>
      <c r="C437" s="706">
        <v>1093.2999999999624</v>
      </c>
      <c r="D437" s="707">
        <v>3564</v>
      </c>
      <c r="E437" s="707">
        <v>1093.3999999999623</v>
      </c>
      <c r="G437" s="65">
        <v>1093.3999999999623</v>
      </c>
      <c r="H437" s="707">
        <v>3564</v>
      </c>
      <c r="I437" s="65">
        <v>1093.4999999999623</v>
      </c>
      <c r="J437" s="707">
        <v>3586</v>
      </c>
    </row>
    <row r="438" spans="2:10" ht="15">
      <c r="B438" s="706">
        <v>3564</v>
      </c>
      <c r="C438" s="706">
        <v>1093.3999999999623</v>
      </c>
      <c r="D438" s="707">
        <v>3586</v>
      </c>
      <c r="E438" s="707">
        <v>1093.4999999999623</v>
      </c>
      <c r="G438" s="65">
        <v>1093.4999999999623</v>
      </c>
      <c r="H438" s="707">
        <v>3586</v>
      </c>
      <c r="I438" s="65">
        <v>1093.5999999999622</v>
      </c>
      <c r="J438" s="707">
        <v>3608</v>
      </c>
    </row>
    <row r="439" spans="2:10" ht="15">
      <c r="B439" s="706">
        <v>3586</v>
      </c>
      <c r="C439" s="706">
        <v>1093.4999999999623</v>
      </c>
      <c r="D439" s="707">
        <v>3608</v>
      </c>
      <c r="E439" s="707">
        <v>1093.5999999999622</v>
      </c>
      <c r="G439" s="65">
        <v>1093.5999999999622</v>
      </c>
      <c r="H439" s="707">
        <v>3608</v>
      </c>
      <c r="I439" s="65">
        <v>1093.6999999999621</v>
      </c>
      <c r="J439" s="707">
        <v>3630</v>
      </c>
    </row>
    <row r="440" spans="2:10" ht="15">
      <c r="B440" s="706">
        <v>3608</v>
      </c>
      <c r="C440" s="706">
        <v>1093.5999999999622</v>
      </c>
      <c r="D440" s="707">
        <v>3630</v>
      </c>
      <c r="E440" s="707">
        <v>1093.6999999999621</v>
      </c>
      <c r="G440" s="65">
        <v>1093.6999999999621</v>
      </c>
      <c r="H440" s="707">
        <v>3630</v>
      </c>
      <c r="I440" s="65">
        <v>1093.799999999962</v>
      </c>
      <c r="J440" s="707">
        <v>3653</v>
      </c>
    </row>
    <row r="441" spans="2:10" ht="15">
      <c r="B441" s="706">
        <v>3630</v>
      </c>
      <c r="C441" s="706">
        <v>1093.6999999999621</v>
      </c>
      <c r="D441" s="707">
        <v>3653</v>
      </c>
      <c r="E441" s="707">
        <v>1093.799999999962</v>
      </c>
      <c r="G441" s="65">
        <v>1093.799999999962</v>
      </c>
      <c r="H441" s="707">
        <v>3653</v>
      </c>
      <c r="I441" s="65">
        <v>1093.8999999999619</v>
      </c>
      <c r="J441" s="707">
        <v>3675</v>
      </c>
    </row>
    <row r="442" spans="2:10" ht="15">
      <c r="B442" s="706">
        <v>3653</v>
      </c>
      <c r="C442" s="706">
        <v>1093.799999999962</v>
      </c>
      <c r="D442" s="707">
        <v>3675</v>
      </c>
      <c r="E442" s="707">
        <v>1093.8999999999619</v>
      </c>
      <c r="G442" s="65">
        <v>1093.8999999999619</v>
      </c>
      <c r="H442" s="707">
        <v>3675</v>
      </c>
      <c r="I442" s="65">
        <v>1093.9999999999618</v>
      </c>
      <c r="J442" s="707">
        <v>3697</v>
      </c>
    </row>
    <row r="443" spans="2:10" ht="15">
      <c r="B443" s="706">
        <v>3675</v>
      </c>
      <c r="C443" s="706">
        <v>1093.8999999999619</v>
      </c>
      <c r="D443" s="707">
        <v>3697</v>
      </c>
      <c r="E443" s="707">
        <v>1093.9999999999618</v>
      </c>
      <c r="G443" s="65">
        <v>1093.9999999999618</v>
      </c>
      <c r="H443" s="707">
        <v>3697</v>
      </c>
      <c r="I443" s="65">
        <v>1094.0999999999617</v>
      </c>
      <c r="J443" s="707">
        <v>3720</v>
      </c>
    </row>
    <row r="444" spans="2:10" ht="15">
      <c r="B444" s="706">
        <v>3697</v>
      </c>
      <c r="C444" s="706">
        <v>1093.9999999999618</v>
      </c>
      <c r="D444" s="707">
        <v>3720</v>
      </c>
      <c r="E444" s="707">
        <v>1094.0999999999617</v>
      </c>
      <c r="G444" s="65">
        <v>1094.0999999999617</v>
      </c>
      <c r="H444" s="707">
        <v>3720</v>
      </c>
      <c r="I444" s="65">
        <v>1094.1999999999616</v>
      </c>
      <c r="J444" s="707">
        <v>3742</v>
      </c>
    </row>
    <row r="445" spans="2:10" ht="15">
      <c r="B445" s="706">
        <v>3720</v>
      </c>
      <c r="C445" s="706">
        <v>1094.0999999999617</v>
      </c>
      <c r="D445" s="707">
        <v>3742</v>
      </c>
      <c r="E445" s="707">
        <v>1094.1999999999616</v>
      </c>
      <c r="G445" s="65">
        <v>1094.1999999999616</v>
      </c>
      <c r="H445" s="707">
        <v>3742</v>
      </c>
      <c r="I445" s="65">
        <v>1094.2999999999615</v>
      </c>
      <c r="J445" s="707">
        <v>3765</v>
      </c>
    </row>
    <row r="446" spans="2:10" ht="15">
      <c r="B446" s="706">
        <v>3742</v>
      </c>
      <c r="C446" s="706">
        <v>1094.1999999999616</v>
      </c>
      <c r="D446" s="707">
        <v>3765</v>
      </c>
      <c r="E446" s="707">
        <v>1094.2999999999615</v>
      </c>
      <c r="G446" s="65">
        <v>1094.2999999999615</v>
      </c>
      <c r="H446" s="707">
        <v>3765</v>
      </c>
      <c r="I446" s="65">
        <v>1094.3999999999614</v>
      </c>
      <c r="J446" s="707">
        <v>3788</v>
      </c>
    </row>
    <row r="447" spans="2:10" ht="15">
      <c r="B447" s="706">
        <v>3765</v>
      </c>
      <c r="C447" s="706">
        <v>1094.2999999999615</v>
      </c>
      <c r="D447" s="707">
        <v>3788</v>
      </c>
      <c r="E447" s="707">
        <v>1094.3999999999614</v>
      </c>
      <c r="G447" s="65">
        <v>1094.3999999999614</v>
      </c>
      <c r="H447" s="707">
        <v>3788</v>
      </c>
      <c r="I447" s="65">
        <v>1094.4999999999613</v>
      </c>
      <c r="J447" s="707">
        <v>3811</v>
      </c>
    </row>
    <row r="448" spans="2:10" ht="15">
      <c r="B448" s="706">
        <v>3788</v>
      </c>
      <c r="C448" s="706">
        <v>1094.3999999999614</v>
      </c>
      <c r="D448" s="707">
        <v>3811</v>
      </c>
      <c r="E448" s="707">
        <v>1094.4999999999613</v>
      </c>
      <c r="G448" s="65">
        <v>1094.4999999999613</v>
      </c>
      <c r="H448" s="707">
        <v>3811</v>
      </c>
      <c r="I448" s="65">
        <v>1094.5999999999613</v>
      </c>
      <c r="J448" s="707">
        <v>3833</v>
      </c>
    </row>
    <row r="449" spans="2:10" ht="15">
      <c r="B449" s="706">
        <v>3811</v>
      </c>
      <c r="C449" s="706">
        <v>1094.4999999999613</v>
      </c>
      <c r="D449" s="707">
        <v>3833</v>
      </c>
      <c r="E449" s="707">
        <v>1094.5999999999613</v>
      </c>
      <c r="G449" s="65">
        <v>1094.5999999999613</v>
      </c>
      <c r="H449" s="707">
        <v>3833</v>
      </c>
      <c r="I449" s="65">
        <v>1094.6999999999612</v>
      </c>
      <c r="J449" s="707">
        <v>3856</v>
      </c>
    </row>
    <row r="450" spans="2:10" ht="15">
      <c r="B450" s="706">
        <v>3833</v>
      </c>
      <c r="C450" s="706">
        <v>1094.5999999999613</v>
      </c>
      <c r="D450" s="707">
        <v>3856</v>
      </c>
      <c r="E450" s="707">
        <v>1094.6999999999612</v>
      </c>
      <c r="G450" s="65">
        <v>1094.6999999999612</v>
      </c>
      <c r="H450" s="707">
        <v>3856</v>
      </c>
      <c r="I450" s="65">
        <v>1094.7999999999611</v>
      </c>
      <c r="J450" s="707">
        <v>3879</v>
      </c>
    </row>
    <row r="451" spans="2:10" ht="15">
      <c r="B451" s="706">
        <v>3856</v>
      </c>
      <c r="C451" s="706">
        <v>1094.6999999999612</v>
      </c>
      <c r="D451" s="707">
        <v>3879</v>
      </c>
      <c r="E451" s="707">
        <v>1094.7999999999611</v>
      </c>
      <c r="G451" s="65">
        <v>1094.7999999999611</v>
      </c>
      <c r="H451" s="707">
        <v>3879</v>
      </c>
      <c r="I451" s="65">
        <v>1094.899999999961</v>
      </c>
      <c r="J451" s="707">
        <v>3902</v>
      </c>
    </row>
    <row r="452" spans="2:10" ht="15">
      <c r="B452" s="706">
        <v>3879</v>
      </c>
      <c r="C452" s="706">
        <v>1094.7999999999611</v>
      </c>
      <c r="D452" s="707">
        <v>3902</v>
      </c>
      <c r="E452" s="707">
        <v>1094.899999999961</v>
      </c>
      <c r="G452" s="65">
        <v>1094.899999999961</v>
      </c>
      <c r="H452" s="707">
        <v>3902</v>
      </c>
      <c r="I452" s="65">
        <v>1094.9999999999609</v>
      </c>
      <c r="J452" s="707">
        <v>3924</v>
      </c>
    </row>
    <row r="453" spans="2:10" ht="15">
      <c r="B453" s="706">
        <v>3902</v>
      </c>
      <c r="C453" s="706">
        <v>1094.899999999961</v>
      </c>
      <c r="D453" s="707">
        <v>3924</v>
      </c>
      <c r="E453" s="707">
        <v>1094.9999999999609</v>
      </c>
      <c r="G453" s="65">
        <v>1094.9999999999609</v>
      </c>
      <c r="H453" s="707">
        <v>3924</v>
      </c>
      <c r="I453" s="65">
        <v>1095.0999999999608</v>
      </c>
      <c r="J453" s="707">
        <v>3948</v>
      </c>
    </row>
    <row r="454" spans="2:10" ht="15">
      <c r="B454" s="706">
        <v>3924</v>
      </c>
      <c r="C454" s="706">
        <v>1094.9999999999609</v>
      </c>
      <c r="D454" s="707">
        <v>3948</v>
      </c>
      <c r="E454" s="707">
        <v>1095.0999999999608</v>
      </c>
      <c r="G454" s="65">
        <v>1095.0999999999608</v>
      </c>
      <c r="H454" s="707">
        <v>3948</v>
      </c>
      <c r="I454" s="65">
        <v>1095.1999999999607</v>
      </c>
      <c r="J454" s="707">
        <v>3971</v>
      </c>
    </row>
    <row r="455" spans="2:10" ht="15">
      <c r="B455" s="706">
        <v>3948</v>
      </c>
      <c r="C455" s="706">
        <v>1095.0999999999608</v>
      </c>
      <c r="D455" s="707">
        <v>3971</v>
      </c>
      <c r="E455" s="707">
        <v>1095.1999999999607</v>
      </c>
      <c r="G455" s="65">
        <v>1095.1999999999607</v>
      </c>
      <c r="H455" s="707">
        <v>3971</v>
      </c>
      <c r="I455" s="65">
        <v>1095.2999999999606</v>
      </c>
      <c r="J455" s="707">
        <v>3994</v>
      </c>
    </row>
    <row r="456" spans="2:10" ht="15">
      <c r="B456" s="706">
        <v>3971</v>
      </c>
      <c r="C456" s="706">
        <v>1095.1999999999607</v>
      </c>
      <c r="D456" s="707">
        <v>3994</v>
      </c>
      <c r="E456" s="707">
        <v>1095.2999999999606</v>
      </c>
      <c r="G456" s="65">
        <v>1095.2999999999606</v>
      </c>
      <c r="H456" s="707">
        <v>3994</v>
      </c>
      <c r="I456" s="65">
        <v>1095.3999999999605</v>
      </c>
      <c r="J456" s="707">
        <v>4018</v>
      </c>
    </row>
    <row r="457" spans="2:10" ht="15">
      <c r="B457" s="706">
        <v>3994</v>
      </c>
      <c r="C457" s="706">
        <v>1095.2999999999606</v>
      </c>
      <c r="D457" s="707">
        <v>4018</v>
      </c>
      <c r="E457" s="707">
        <v>1095.3999999999605</v>
      </c>
      <c r="G457" s="65">
        <v>1095.3999999999605</v>
      </c>
      <c r="H457" s="707">
        <v>4018</v>
      </c>
      <c r="I457" s="65">
        <v>1095.4999999999604</v>
      </c>
      <c r="J457" s="707">
        <v>4041</v>
      </c>
    </row>
    <row r="458" spans="2:10" ht="15">
      <c r="B458" s="706">
        <v>4018</v>
      </c>
      <c r="C458" s="706">
        <v>1095.3999999999605</v>
      </c>
      <c r="D458" s="707">
        <v>4041</v>
      </c>
      <c r="E458" s="707">
        <v>1095.4999999999604</v>
      </c>
      <c r="G458" s="65">
        <v>1095.4999999999604</v>
      </c>
      <c r="H458" s="707">
        <v>4041</v>
      </c>
      <c r="I458" s="65">
        <v>1095.5999999999603</v>
      </c>
      <c r="J458" s="707">
        <v>4064</v>
      </c>
    </row>
    <row r="459" spans="2:10" ht="15">
      <c r="B459" s="706">
        <v>4041</v>
      </c>
      <c r="C459" s="706">
        <v>1095.4999999999604</v>
      </c>
      <c r="D459" s="707">
        <v>4064</v>
      </c>
      <c r="E459" s="707">
        <v>1095.5999999999603</v>
      </c>
      <c r="G459" s="65">
        <v>1095.5999999999603</v>
      </c>
      <c r="H459" s="707">
        <v>4064</v>
      </c>
      <c r="I459" s="65">
        <v>1095.6999999999603</v>
      </c>
      <c r="J459" s="707">
        <v>4087</v>
      </c>
    </row>
    <row r="460" spans="2:10" ht="15">
      <c r="B460" s="706">
        <v>4064</v>
      </c>
      <c r="C460" s="706">
        <v>1095.5999999999603</v>
      </c>
      <c r="D460" s="707">
        <v>4087</v>
      </c>
      <c r="E460" s="707">
        <v>1095.6999999999603</v>
      </c>
      <c r="G460" s="65">
        <v>1095.6999999999603</v>
      </c>
      <c r="H460" s="707">
        <v>4087</v>
      </c>
      <c r="I460" s="65">
        <v>1095.7999999999602</v>
      </c>
      <c r="J460" s="707">
        <v>4111</v>
      </c>
    </row>
    <row r="461" spans="2:10" ht="15">
      <c r="B461" s="706">
        <v>4087</v>
      </c>
      <c r="C461" s="706">
        <v>1095.6999999999603</v>
      </c>
      <c r="D461" s="707">
        <v>4111</v>
      </c>
      <c r="E461" s="707">
        <v>1095.7999999999602</v>
      </c>
      <c r="G461" s="65">
        <v>1095.7999999999602</v>
      </c>
      <c r="H461" s="707">
        <v>4111</v>
      </c>
      <c r="I461" s="65">
        <v>1095.8999999999601</v>
      </c>
      <c r="J461" s="707">
        <v>4134</v>
      </c>
    </row>
    <row r="462" spans="2:10" ht="15">
      <c r="B462" s="706">
        <v>4111</v>
      </c>
      <c r="C462" s="706">
        <v>1095.7999999999602</v>
      </c>
      <c r="D462" s="707">
        <v>4134</v>
      </c>
      <c r="E462" s="707">
        <v>1095.8999999999601</v>
      </c>
      <c r="G462" s="65">
        <v>1095.8999999999601</v>
      </c>
      <c r="H462" s="707">
        <v>4134</v>
      </c>
      <c r="I462" s="65">
        <v>1095.99999999996</v>
      </c>
      <c r="J462" s="707">
        <v>4157</v>
      </c>
    </row>
    <row r="463" spans="2:10" ht="15">
      <c r="B463" s="706">
        <v>4134</v>
      </c>
      <c r="C463" s="706">
        <v>1095.8999999999601</v>
      </c>
      <c r="D463" s="707">
        <v>4157</v>
      </c>
      <c r="E463" s="707">
        <v>1095.99999999996</v>
      </c>
      <c r="G463" s="65">
        <v>1095.99999999996</v>
      </c>
      <c r="H463" s="707">
        <v>4157</v>
      </c>
      <c r="I463" s="65">
        <v>1096.0999999999599</v>
      </c>
      <c r="J463" s="707">
        <v>4181</v>
      </c>
    </row>
    <row r="464" spans="2:10" ht="15">
      <c r="B464" s="706">
        <v>4157</v>
      </c>
      <c r="C464" s="706">
        <v>1095.99999999996</v>
      </c>
      <c r="D464" s="707">
        <v>4181</v>
      </c>
      <c r="E464" s="707">
        <v>1096.0999999999599</v>
      </c>
      <c r="G464" s="65">
        <v>1096.0999999999599</v>
      </c>
      <c r="H464" s="707">
        <v>4181</v>
      </c>
      <c r="I464" s="65">
        <v>1096.1999999999598</v>
      </c>
      <c r="J464" s="707">
        <v>4205</v>
      </c>
    </row>
    <row r="465" spans="2:10" ht="15">
      <c r="B465" s="706">
        <v>4181</v>
      </c>
      <c r="C465" s="706">
        <v>1096.0999999999599</v>
      </c>
      <c r="D465" s="707">
        <v>4205</v>
      </c>
      <c r="E465" s="707">
        <v>1096.1999999999598</v>
      </c>
      <c r="G465" s="65">
        <v>1096.1999999999598</v>
      </c>
      <c r="H465" s="707">
        <v>4205</v>
      </c>
      <c r="I465" s="65">
        <v>1096.2999999999597</v>
      </c>
      <c r="J465" s="707">
        <v>4229</v>
      </c>
    </row>
    <row r="466" spans="2:10" ht="15">
      <c r="B466" s="706">
        <v>4205</v>
      </c>
      <c r="C466" s="706">
        <v>1096.1999999999598</v>
      </c>
      <c r="D466" s="707">
        <v>4229</v>
      </c>
      <c r="E466" s="707">
        <v>1096.2999999999597</v>
      </c>
      <c r="G466" s="65">
        <v>1096.2999999999597</v>
      </c>
      <c r="H466" s="707">
        <v>4229</v>
      </c>
      <c r="I466" s="65">
        <v>1096.3999999999596</v>
      </c>
      <c r="J466" s="707">
        <v>4252</v>
      </c>
    </row>
    <row r="467" spans="2:10" ht="15">
      <c r="B467" s="706">
        <v>4229</v>
      </c>
      <c r="C467" s="706">
        <v>1096.2999999999597</v>
      </c>
      <c r="D467" s="707">
        <v>4252</v>
      </c>
      <c r="E467" s="707">
        <v>1096.3999999999596</v>
      </c>
      <c r="G467" s="65">
        <v>1096.3999999999596</v>
      </c>
      <c r="H467" s="707">
        <v>4252</v>
      </c>
      <c r="I467" s="65">
        <v>1096.4999999999595</v>
      </c>
      <c r="J467" s="707">
        <v>4276</v>
      </c>
    </row>
    <row r="468" spans="2:10" ht="15">
      <c r="B468" s="706">
        <v>4252</v>
      </c>
      <c r="C468" s="706">
        <v>1096.3999999999596</v>
      </c>
      <c r="D468" s="707">
        <v>4276</v>
      </c>
      <c r="E468" s="707">
        <v>1096.4999999999595</v>
      </c>
      <c r="G468" s="65">
        <v>1096.4999999999595</v>
      </c>
      <c r="H468" s="707">
        <v>4276</v>
      </c>
      <c r="I468" s="65">
        <v>1096.5999999999594</v>
      </c>
      <c r="J468" s="707">
        <v>4300</v>
      </c>
    </row>
    <row r="469" spans="2:10" ht="15">
      <c r="B469" s="706">
        <v>4276</v>
      </c>
      <c r="C469" s="706">
        <v>1096.4999999999595</v>
      </c>
      <c r="D469" s="707">
        <v>4300</v>
      </c>
      <c r="E469" s="707">
        <v>1096.5999999999594</v>
      </c>
      <c r="G469" s="65">
        <v>1096.5999999999594</v>
      </c>
      <c r="H469" s="707">
        <v>4300</v>
      </c>
      <c r="I469" s="65">
        <v>1096.6999999999593</v>
      </c>
      <c r="J469" s="707">
        <v>4324</v>
      </c>
    </row>
    <row r="470" spans="2:10" ht="15">
      <c r="B470" s="706">
        <v>4300</v>
      </c>
      <c r="C470" s="706">
        <v>1096.5999999999594</v>
      </c>
      <c r="D470" s="707">
        <v>4324</v>
      </c>
      <c r="E470" s="707">
        <v>1096.6999999999593</v>
      </c>
      <c r="G470" s="65">
        <v>1096.6999999999593</v>
      </c>
      <c r="H470" s="707">
        <v>4324</v>
      </c>
      <c r="I470" s="65">
        <v>1096.7999999999593</v>
      </c>
      <c r="J470" s="707">
        <v>4348</v>
      </c>
    </row>
    <row r="471" spans="2:10" ht="15">
      <c r="B471" s="706">
        <v>4324</v>
      </c>
      <c r="C471" s="706">
        <v>1096.6999999999593</v>
      </c>
      <c r="D471" s="707">
        <v>4348</v>
      </c>
      <c r="E471" s="707">
        <v>1096.7999999999593</v>
      </c>
      <c r="G471" s="65">
        <v>1096.7999999999593</v>
      </c>
      <c r="H471" s="707">
        <v>4348</v>
      </c>
      <c r="I471" s="65">
        <v>1096.8999999999592</v>
      </c>
      <c r="J471" s="707">
        <v>4371</v>
      </c>
    </row>
    <row r="472" spans="2:10" ht="15">
      <c r="B472" s="706">
        <v>4348</v>
      </c>
      <c r="C472" s="706">
        <v>1096.7999999999593</v>
      </c>
      <c r="D472" s="707">
        <v>4371</v>
      </c>
      <c r="E472" s="707">
        <v>1096.8999999999592</v>
      </c>
      <c r="G472" s="65">
        <v>1096.8999999999592</v>
      </c>
      <c r="H472" s="707">
        <v>4371</v>
      </c>
      <c r="I472" s="65">
        <v>1096.9999999999591</v>
      </c>
      <c r="J472" s="707">
        <v>4395</v>
      </c>
    </row>
    <row r="473" spans="2:10" ht="15">
      <c r="B473" s="706">
        <v>4371</v>
      </c>
      <c r="C473" s="706">
        <v>1096.8999999999592</v>
      </c>
      <c r="D473" s="707">
        <v>4395</v>
      </c>
      <c r="E473" s="707">
        <v>1096.9999999999591</v>
      </c>
      <c r="G473" s="65">
        <v>1096.9999999999591</v>
      </c>
      <c r="H473" s="707">
        <v>4395</v>
      </c>
      <c r="I473" s="65">
        <v>1097.099999999959</v>
      </c>
      <c r="J473" s="707">
        <v>4419</v>
      </c>
    </row>
    <row r="474" spans="2:10" ht="15">
      <c r="B474" s="706">
        <v>4395</v>
      </c>
      <c r="C474" s="706">
        <v>1096.9999999999591</v>
      </c>
      <c r="D474" s="707">
        <v>4419</v>
      </c>
      <c r="E474" s="707">
        <v>1097.099999999959</v>
      </c>
      <c r="G474" s="65">
        <v>1097.099999999959</v>
      </c>
      <c r="H474" s="707">
        <v>4419</v>
      </c>
      <c r="I474" s="65">
        <v>1097.1999999999589</v>
      </c>
      <c r="J474" s="707">
        <v>4444</v>
      </c>
    </row>
    <row r="475" spans="2:10" ht="15">
      <c r="B475" s="706">
        <v>4419</v>
      </c>
      <c r="C475" s="706">
        <v>1097.099999999959</v>
      </c>
      <c r="D475" s="707">
        <v>4444</v>
      </c>
      <c r="E475" s="707">
        <v>1097.1999999999589</v>
      </c>
      <c r="G475" s="65">
        <v>1097.1999999999589</v>
      </c>
      <c r="H475" s="707">
        <v>4444</v>
      </c>
      <c r="I475" s="65">
        <v>1097.2999999999588</v>
      </c>
      <c r="J475" s="707">
        <v>4468</v>
      </c>
    </row>
    <row r="476" spans="2:10" ht="15">
      <c r="B476" s="706">
        <v>4444</v>
      </c>
      <c r="C476" s="706">
        <v>1097.1999999999589</v>
      </c>
      <c r="D476" s="707">
        <v>4468</v>
      </c>
      <c r="E476" s="707">
        <v>1097.2999999999588</v>
      </c>
      <c r="G476" s="65">
        <v>1097.2999999999588</v>
      </c>
      <c r="H476" s="707">
        <v>4468</v>
      </c>
      <c r="I476" s="65">
        <v>1097.3999999999587</v>
      </c>
      <c r="J476" s="707">
        <v>4492</v>
      </c>
    </row>
    <row r="477" spans="2:10" ht="15">
      <c r="B477" s="706">
        <v>4468</v>
      </c>
      <c r="C477" s="706">
        <v>1097.2999999999588</v>
      </c>
      <c r="D477" s="707">
        <v>4492</v>
      </c>
      <c r="E477" s="707">
        <v>1097.3999999999587</v>
      </c>
      <c r="G477" s="65">
        <v>1097.3999999999587</v>
      </c>
      <c r="H477" s="707">
        <v>4492</v>
      </c>
      <c r="I477" s="65">
        <v>1097.4999999999586</v>
      </c>
      <c r="J477" s="707">
        <v>4517</v>
      </c>
    </row>
    <row r="478" spans="2:10" ht="15">
      <c r="B478" s="706">
        <v>4492</v>
      </c>
      <c r="C478" s="706">
        <v>1097.3999999999587</v>
      </c>
      <c r="D478" s="707">
        <v>4517</v>
      </c>
      <c r="E478" s="707">
        <v>1097.4999999999586</v>
      </c>
      <c r="G478" s="65">
        <v>1097.4999999999586</v>
      </c>
      <c r="H478" s="707">
        <v>4517</v>
      </c>
      <c r="I478" s="65">
        <v>1097.5999999999585</v>
      </c>
      <c r="J478" s="707">
        <v>4541</v>
      </c>
    </row>
    <row r="479" spans="2:10" ht="15">
      <c r="B479" s="706">
        <v>4517</v>
      </c>
      <c r="C479" s="706">
        <v>1097.4999999999586</v>
      </c>
      <c r="D479" s="707">
        <v>4541</v>
      </c>
      <c r="E479" s="707">
        <v>1097.5999999999585</v>
      </c>
      <c r="G479" s="65">
        <v>1097.5999999999585</v>
      </c>
      <c r="H479" s="707">
        <v>4541</v>
      </c>
      <c r="I479" s="65">
        <v>1097.6999999999584</v>
      </c>
      <c r="J479" s="707">
        <v>4565</v>
      </c>
    </row>
    <row r="480" spans="2:10" ht="15">
      <c r="B480" s="706">
        <v>4541</v>
      </c>
      <c r="C480" s="706">
        <v>1097.5999999999585</v>
      </c>
      <c r="D480" s="707">
        <v>4565</v>
      </c>
      <c r="E480" s="707">
        <v>1097.6999999999584</v>
      </c>
      <c r="G480" s="65">
        <v>1097.6999999999584</v>
      </c>
      <c r="H480" s="707">
        <v>4565</v>
      </c>
      <c r="I480" s="65">
        <v>1097.7999999999583</v>
      </c>
      <c r="J480" s="707">
        <v>4589</v>
      </c>
    </row>
    <row r="481" spans="2:10" ht="15">
      <c r="B481" s="706">
        <v>4565</v>
      </c>
      <c r="C481" s="706">
        <v>1097.6999999999584</v>
      </c>
      <c r="D481" s="707">
        <v>4589</v>
      </c>
      <c r="E481" s="707">
        <v>1097.7999999999583</v>
      </c>
      <c r="G481" s="65">
        <v>1097.7999999999583</v>
      </c>
      <c r="H481" s="707">
        <v>4589</v>
      </c>
      <c r="I481" s="65">
        <v>1097.8999999999583</v>
      </c>
      <c r="J481" s="707">
        <v>4614</v>
      </c>
    </row>
    <row r="482" spans="2:10" ht="15">
      <c r="B482" s="706">
        <v>4589</v>
      </c>
      <c r="C482" s="706">
        <v>1097.7999999999583</v>
      </c>
      <c r="D482" s="707">
        <v>4614</v>
      </c>
      <c r="E482" s="707">
        <v>1097.8999999999583</v>
      </c>
      <c r="G482" s="65">
        <v>1097.8999999999583</v>
      </c>
      <c r="H482" s="707">
        <v>4614</v>
      </c>
      <c r="I482" s="65">
        <v>1097.9999999999582</v>
      </c>
      <c r="J482" s="707">
        <v>4638</v>
      </c>
    </row>
    <row r="483" spans="2:10" ht="15">
      <c r="B483" s="706">
        <v>4614</v>
      </c>
      <c r="C483" s="706">
        <v>1097.8999999999583</v>
      </c>
      <c r="D483" s="707">
        <v>4638</v>
      </c>
      <c r="E483" s="707">
        <v>1097.9999999999582</v>
      </c>
      <c r="G483" s="65">
        <v>1097.9999999999582</v>
      </c>
      <c r="H483" s="707">
        <v>4638</v>
      </c>
      <c r="I483" s="65">
        <v>1098.0999999999581</v>
      </c>
      <c r="J483" s="707">
        <v>4663</v>
      </c>
    </row>
    <row r="484" spans="2:10" ht="15">
      <c r="B484" s="706">
        <v>4638</v>
      </c>
      <c r="C484" s="706">
        <v>1097.9999999999582</v>
      </c>
      <c r="D484" s="707">
        <v>4663</v>
      </c>
      <c r="E484" s="707">
        <v>1098.0999999999581</v>
      </c>
      <c r="G484" s="65">
        <v>1098.0999999999581</v>
      </c>
      <c r="H484" s="707">
        <v>4663</v>
      </c>
      <c r="I484" s="65">
        <v>1098.199999999958</v>
      </c>
      <c r="J484" s="707">
        <v>4687</v>
      </c>
    </row>
    <row r="485" spans="2:10" ht="15">
      <c r="B485" s="706">
        <v>4663</v>
      </c>
      <c r="C485" s="706">
        <v>1098.0999999999581</v>
      </c>
      <c r="D485" s="707">
        <v>4687</v>
      </c>
      <c r="E485" s="707">
        <v>1098.199999999958</v>
      </c>
      <c r="G485" s="65">
        <v>1098.199999999958</v>
      </c>
      <c r="H485" s="707">
        <v>4687</v>
      </c>
      <c r="I485" s="65">
        <v>1098.2999999999579</v>
      </c>
      <c r="J485" s="707">
        <v>4712</v>
      </c>
    </row>
    <row r="486" spans="2:10" ht="15">
      <c r="B486" s="706">
        <v>4687</v>
      </c>
      <c r="C486" s="706">
        <v>1098.199999999958</v>
      </c>
      <c r="D486" s="707">
        <v>4712</v>
      </c>
      <c r="E486" s="707">
        <v>1098.2999999999579</v>
      </c>
      <c r="G486" s="65">
        <v>1098.2999999999579</v>
      </c>
      <c r="H486" s="707">
        <v>4712</v>
      </c>
      <c r="I486" s="65">
        <v>1098.3999999999578</v>
      </c>
      <c r="J486" s="707">
        <v>4737</v>
      </c>
    </row>
    <row r="487" spans="2:10" ht="15">
      <c r="B487" s="706">
        <v>4712</v>
      </c>
      <c r="C487" s="706">
        <v>1098.2999999999579</v>
      </c>
      <c r="D487" s="707">
        <v>4737</v>
      </c>
      <c r="E487" s="707">
        <v>1098.3999999999578</v>
      </c>
      <c r="G487" s="65">
        <v>1098.3999999999578</v>
      </c>
      <c r="H487" s="707">
        <v>4737</v>
      </c>
      <c r="I487" s="65">
        <v>1098.4999999999577</v>
      </c>
      <c r="J487" s="707">
        <v>4762</v>
      </c>
    </row>
    <row r="488" spans="2:10" ht="15">
      <c r="B488" s="706">
        <v>4737</v>
      </c>
      <c r="C488" s="706">
        <v>1098.3999999999578</v>
      </c>
      <c r="D488" s="707">
        <v>4762</v>
      </c>
      <c r="E488" s="707">
        <v>1098.4999999999577</v>
      </c>
      <c r="G488" s="65">
        <v>1098.4999999999577</v>
      </c>
      <c r="H488" s="707">
        <v>4762</v>
      </c>
      <c r="I488" s="65">
        <v>1098.5999999999576</v>
      </c>
      <c r="J488" s="707">
        <v>4787</v>
      </c>
    </row>
    <row r="489" spans="2:10" ht="15">
      <c r="B489" s="706">
        <v>4762</v>
      </c>
      <c r="C489" s="706">
        <v>1098.4999999999577</v>
      </c>
      <c r="D489" s="707">
        <v>4787</v>
      </c>
      <c r="E489" s="707">
        <v>1098.5999999999576</v>
      </c>
      <c r="G489" s="65">
        <v>1098.5999999999576</v>
      </c>
      <c r="H489" s="707">
        <v>4787</v>
      </c>
      <c r="I489" s="65">
        <v>1098.6999999999575</v>
      </c>
      <c r="J489" s="707">
        <v>4811</v>
      </c>
    </row>
    <row r="490" spans="2:10" ht="15">
      <c r="B490" s="706">
        <v>4787</v>
      </c>
      <c r="C490" s="706">
        <v>1098.5999999999576</v>
      </c>
      <c r="D490" s="707">
        <v>4811</v>
      </c>
      <c r="E490" s="707">
        <v>1098.6999999999575</v>
      </c>
      <c r="G490" s="65">
        <v>1098.6999999999575</v>
      </c>
      <c r="H490" s="707">
        <v>4811</v>
      </c>
      <c r="I490" s="65">
        <v>1098.7999999999574</v>
      </c>
      <c r="J490" s="707">
        <v>4836</v>
      </c>
    </row>
    <row r="491" spans="2:10" ht="15">
      <c r="B491" s="706">
        <v>4811</v>
      </c>
      <c r="C491" s="706">
        <v>1098.6999999999575</v>
      </c>
      <c r="D491" s="707">
        <v>4836</v>
      </c>
      <c r="E491" s="707">
        <v>1098.7999999999574</v>
      </c>
      <c r="G491" s="65">
        <v>1098.7999999999574</v>
      </c>
      <c r="H491" s="707">
        <v>4836</v>
      </c>
      <c r="I491" s="65">
        <v>1098.8999999999573</v>
      </c>
      <c r="J491" s="707">
        <v>4861</v>
      </c>
    </row>
    <row r="492" spans="2:10" ht="15">
      <c r="B492" s="706">
        <v>4836</v>
      </c>
      <c r="C492" s="706">
        <v>1098.7999999999574</v>
      </c>
      <c r="D492" s="707">
        <v>4861</v>
      </c>
      <c r="E492" s="707">
        <v>1098.8999999999573</v>
      </c>
      <c r="G492" s="65">
        <v>1098.8999999999573</v>
      </c>
      <c r="H492" s="707">
        <v>4861</v>
      </c>
      <c r="I492" s="65">
        <v>1098.9999999999573</v>
      </c>
      <c r="J492" s="707">
        <v>4886</v>
      </c>
    </row>
    <row r="493" spans="2:10" ht="15">
      <c r="B493" s="706">
        <v>4861</v>
      </c>
      <c r="C493" s="706">
        <v>1098.8999999999573</v>
      </c>
      <c r="D493" s="707">
        <v>4886</v>
      </c>
      <c r="E493" s="707">
        <v>1098.9999999999573</v>
      </c>
      <c r="G493" s="65">
        <v>1098.9999999999573</v>
      </c>
      <c r="H493" s="707">
        <v>4886</v>
      </c>
      <c r="I493" s="65">
        <v>1099.0999999999572</v>
      </c>
      <c r="J493" s="707">
        <v>4911</v>
      </c>
    </row>
    <row r="494" spans="2:10" ht="15">
      <c r="B494" s="706">
        <v>4886</v>
      </c>
      <c r="C494" s="706">
        <v>1098.9999999999573</v>
      </c>
      <c r="D494" s="707">
        <v>4911</v>
      </c>
      <c r="E494" s="707">
        <v>1099.0999999999572</v>
      </c>
      <c r="G494" s="65">
        <v>1099.0999999999572</v>
      </c>
      <c r="H494" s="707">
        <v>4911</v>
      </c>
      <c r="I494" s="65">
        <v>1099.1999999999571</v>
      </c>
      <c r="J494" s="707">
        <v>4936</v>
      </c>
    </row>
    <row r="495" spans="2:10" ht="15">
      <c r="B495" s="706">
        <v>4911</v>
      </c>
      <c r="C495" s="706">
        <v>1099.0999999999572</v>
      </c>
      <c r="D495" s="707">
        <v>4936</v>
      </c>
      <c r="E495" s="707">
        <v>1099.1999999999571</v>
      </c>
      <c r="G495" s="65">
        <v>1099.1999999999571</v>
      </c>
      <c r="H495" s="707">
        <v>4936</v>
      </c>
      <c r="I495" s="65">
        <v>1099.299999999957</v>
      </c>
      <c r="J495" s="707">
        <v>4962</v>
      </c>
    </row>
    <row r="496" spans="2:10" ht="15">
      <c r="B496" s="706">
        <v>4936</v>
      </c>
      <c r="C496" s="706">
        <v>1099.1999999999571</v>
      </c>
      <c r="D496" s="707">
        <v>4962</v>
      </c>
      <c r="E496" s="707">
        <v>1099.299999999957</v>
      </c>
      <c r="G496" s="65">
        <v>1099.299999999957</v>
      </c>
      <c r="H496" s="707">
        <v>4962</v>
      </c>
      <c r="I496" s="65">
        <v>1099.3999999999569</v>
      </c>
      <c r="J496" s="707">
        <v>4987</v>
      </c>
    </row>
    <row r="497" spans="2:10" ht="15">
      <c r="B497" s="706">
        <v>4962</v>
      </c>
      <c r="C497" s="706">
        <v>1099.299999999957</v>
      </c>
      <c r="D497" s="707">
        <v>4987</v>
      </c>
      <c r="E497" s="707">
        <v>1099.3999999999569</v>
      </c>
      <c r="G497" s="65">
        <v>1099.3999999999569</v>
      </c>
      <c r="H497" s="707">
        <v>4987</v>
      </c>
      <c r="I497" s="65">
        <v>1099.4999999999568</v>
      </c>
      <c r="J497" s="707">
        <v>5012</v>
      </c>
    </row>
    <row r="498" spans="2:10" ht="15">
      <c r="B498" s="706">
        <v>4987</v>
      </c>
      <c r="C498" s="706">
        <v>1099.3999999999569</v>
      </c>
      <c r="D498" s="707">
        <v>5012</v>
      </c>
      <c r="E498" s="707">
        <v>1099.4999999999568</v>
      </c>
      <c r="G498" s="65">
        <v>1099.4999999999568</v>
      </c>
      <c r="H498" s="707">
        <v>5012</v>
      </c>
      <c r="I498" s="65">
        <v>1099.5999999999567</v>
      </c>
      <c r="J498" s="707">
        <v>5038</v>
      </c>
    </row>
    <row r="499" spans="2:10" ht="15">
      <c r="B499" s="706">
        <v>5012</v>
      </c>
      <c r="C499" s="706">
        <v>1099.4999999999568</v>
      </c>
      <c r="D499" s="707">
        <v>5038</v>
      </c>
      <c r="E499" s="707">
        <v>1099.5999999999567</v>
      </c>
      <c r="G499" s="65">
        <v>1099.5999999999567</v>
      </c>
      <c r="H499" s="707">
        <v>5038</v>
      </c>
      <c r="I499" s="65">
        <v>1099.6999999999566</v>
      </c>
      <c r="J499" s="707">
        <v>5063</v>
      </c>
    </row>
    <row r="500" spans="2:10" ht="15">
      <c r="B500" s="706">
        <v>5038</v>
      </c>
      <c r="C500" s="706">
        <v>1099.5999999999567</v>
      </c>
      <c r="D500" s="707">
        <v>5063</v>
      </c>
      <c r="E500" s="707">
        <v>1099.6999999999566</v>
      </c>
      <c r="G500" s="65">
        <v>1099.6999999999566</v>
      </c>
      <c r="H500" s="707">
        <v>5063</v>
      </c>
      <c r="I500" s="65">
        <v>1099.7999999999565</v>
      </c>
      <c r="J500" s="707">
        <v>5088</v>
      </c>
    </row>
    <row r="501" spans="2:10" ht="15">
      <c r="B501" s="706">
        <v>5063</v>
      </c>
      <c r="C501" s="706">
        <v>1099.6999999999566</v>
      </c>
      <c r="D501" s="707">
        <v>5088</v>
      </c>
      <c r="E501" s="707">
        <v>1099.7999999999565</v>
      </c>
      <c r="G501" s="65">
        <v>1099.7999999999565</v>
      </c>
      <c r="H501" s="707">
        <v>5088</v>
      </c>
      <c r="I501" s="65">
        <v>1099.8999999999564</v>
      </c>
      <c r="J501" s="707">
        <v>5114</v>
      </c>
    </row>
    <row r="502" spans="2:10" ht="15">
      <c r="B502" s="706">
        <v>5088</v>
      </c>
      <c r="C502" s="706">
        <v>1099.7999999999565</v>
      </c>
      <c r="D502" s="707">
        <v>5114</v>
      </c>
      <c r="E502" s="707">
        <v>1099.8999999999564</v>
      </c>
      <c r="G502" s="65">
        <v>1099.8999999999564</v>
      </c>
      <c r="H502" s="707">
        <v>5114</v>
      </c>
      <c r="I502" s="65">
        <v>1099.9999999999563</v>
      </c>
      <c r="J502" s="707">
        <v>5139</v>
      </c>
    </row>
    <row r="503" spans="2:10" ht="15">
      <c r="B503" s="706">
        <v>5114</v>
      </c>
      <c r="C503" s="706">
        <v>1099.8999999999564</v>
      </c>
      <c r="D503" s="707">
        <v>5139</v>
      </c>
      <c r="E503" s="707">
        <v>1099.9999999999563</v>
      </c>
      <c r="G503" s="65">
        <v>1099.9999999999563</v>
      </c>
      <c r="H503" s="707">
        <v>5139</v>
      </c>
      <c r="I503" s="65">
        <v>1100.0999999999563</v>
      </c>
      <c r="J503" s="707">
        <v>5165</v>
      </c>
    </row>
    <row r="504" spans="2:10" ht="15">
      <c r="B504" s="706">
        <v>5139</v>
      </c>
      <c r="C504" s="706">
        <v>1099.9999999999563</v>
      </c>
      <c r="D504" s="707">
        <v>5165</v>
      </c>
      <c r="E504" s="707">
        <v>1100.0999999999563</v>
      </c>
      <c r="G504" s="65">
        <v>1100.0999999999563</v>
      </c>
      <c r="H504" s="707">
        <v>5165</v>
      </c>
      <c r="I504" s="65">
        <v>1100.1999999999562</v>
      </c>
      <c r="J504" s="707">
        <v>5191</v>
      </c>
    </row>
    <row r="505" spans="2:10" ht="15">
      <c r="B505" s="706">
        <v>5165</v>
      </c>
      <c r="C505" s="706">
        <v>1100.0999999999563</v>
      </c>
      <c r="D505" s="707">
        <v>5191</v>
      </c>
      <c r="E505" s="707">
        <v>1100.1999999999562</v>
      </c>
      <c r="G505" s="65">
        <v>1100.1999999999562</v>
      </c>
      <c r="H505" s="707">
        <v>5191</v>
      </c>
      <c r="I505" s="65">
        <v>1100.2999999999561</v>
      </c>
      <c r="J505" s="707">
        <v>5217</v>
      </c>
    </row>
    <row r="506" spans="2:10" ht="15">
      <c r="B506" s="706">
        <v>5191</v>
      </c>
      <c r="C506" s="706">
        <v>1100.1999999999562</v>
      </c>
      <c r="D506" s="707">
        <v>5217</v>
      </c>
      <c r="E506" s="707">
        <v>1100.2999999999561</v>
      </c>
      <c r="G506" s="65">
        <v>1100.2999999999561</v>
      </c>
      <c r="H506" s="707">
        <v>5217</v>
      </c>
      <c r="I506" s="65">
        <v>1100.399999999956</v>
      </c>
      <c r="J506" s="707">
        <v>5242</v>
      </c>
    </row>
    <row r="507" spans="2:10" ht="15">
      <c r="B507" s="706">
        <v>5217</v>
      </c>
      <c r="C507" s="706">
        <v>1100.2999999999561</v>
      </c>
      <c r="D507" s="707">
        <v>5242</v>
      </c>
      <c r="E507" s="707">
        <v>1100.399999999956</v>
      </c>
      <c r="G507" s="65">
        <v>1100.399999999956</v>
      </c>
      <c r="H507" s="707">
        <v>5242</v>
      </c>
      <c r="I507" s="65">
        <v>1100.4999999999559</v>
      </c>
      <c r="J507" s="707">
        <v>5268</v>
      </c>
    </row>
    <row r="508" spans="2:10" ht="15">
      <c r="B508" s="706">
        <v>5242</v>
      </c>
      <c r="C508" s="706">
        <v>1100.399999999956</v>
      </c>
      <c r="D508" s="707">
        <v>5268</v>
      </c>
      <c r="E508" s="707">
        <v>1100.4999999999559</v>
      </c>
      <c r="G508" s="65">
        <v>1100.4999999999559</v>
      </c>
      <c r="H508" s="707">
        <v>5268</v>
      </c>
      <c r="I508" s="65">
        <v>1100.5999999999558</v>
      </c>
      <c r="J508" s="707">
        <v>5294</v>
      </c>
    </row>
    <row r="509" spans="2:10" ht="15">
      <c r="B509" s="706">
        <v>5268</v>
      </c>
      <c r="C509" s="706">
        <v>1100.4999999999559</v>
      </c>
      <c r="D509" s="707">
        <v>5294</v>
      </c>
      <c r="E509" s="707">
        <v>1100.5999999999558</v>
      </c>
      <c r="G509" s="65">
        <v>1100.5999999999558</v>
      </c>
      <c r="H509" s="707">
        <v>5294</v>
      </c>
      <c r="I509" s="65">
        <v>1100.6999999999557</v>
      </c>
      <c r="J509" s="707">
        <v>5320</v>
      </c>
    </row>
    <row r="510" spans="2:10" ht="15">
      <c r="B510" s="706">
        <v>5294</v>
      </c>
      <c r="C510" s="706">
        <v>1100.5999999999558</v>
      </c>
      <c r="D510" s="707">
        <v>5320</v>
      </c>
      <c r="E510" s="707">
        <v>1100.6999999999557</v>
      </c>
      <c r="G510" s="65">
        <v>1100.6999999999557</v>
      </c>
      <c r="H510" s="707">
        <v>5320</v>
      </c>
      <c r="I510" s="65">
        <v>1100.7999999999556</v>
      </c>
      <c r="J510" s="707">
        <v>5346</v>
      </c>
    </row>
    <row r="511" spans="2:10" ht="15">
      <c r="B511" s="706">
        <v>5320</v>
      </c>
      <c r="C511" s="706">
        <v>1100.6999999999557</v>
      </c>
      <c r="D511" s="707">
        <v>5346</v>
      </c>
      <c r="E511" s="707">
        <v>1100.7999999999556</v>
      </c>
      <c r="G511" s="65">
        <v>1100.7999999999556</v>
      </c>
      <c r="H511" s="707">
        <v>5346</v>
      </c>
      <c r="I511" s="65">
        <v>1100.8999999999555</v>
      </c>
      <c r="J511" s="707">
        <v>5372</v>
      </c>
    </row>
    <row r="512" spans="2:10" ht="15">
      <c r="B512" s="706">
        <v>5346</v>
      </c>
      <c r="C512" s="706">
        <v>1100.7999999999556</v>
      </c>
      <c r="D512" s="707">
        <v>5372</v>
      </c>
      <c r="E512" s="707">
        <v>1100.8999999999555</v>
      </c>
      <c r="G512" s="65">
        <v>1100.8999999999555</v>
      </c>
      <c r="H512" s="707">
        <v>5372</v>
      </c>
      <c r="I512" s="65">
        <v>1100.9999999999554</v>
      </c>
      <c r="J512" s="707">
        <v>5398</v>
      </c>
    </row>
    <row r="513" spans="2:10" ht="15">
      <c r="B513" s="706">
        <v>5372</v>
      </c>
      <c r="C513" s="706">
        <v>1100.8999999999555</v>
      </c>
      <c r="D513" s="707">
        <v>5398</v>
      </c>
      <c r="E513" s="707">
        <v>1100.9999999999554</v>
      </c>
      <c r="G513" s="65">
        <v>1100.9999999999554</v>
      </c>
      <c r="H513" s="707">
        <v>5398</v>
      </c>
      <c r="I513" s="65">
        <v>1101.0999999999553</v>
      </c>
      <c r="J513" s="707">
        <v>5424</v>
      </c>
    </row>
    <row r="514" spans="2:10" ht="15">
      <c r="B514" s="706">
        <v>5398</v>
      </c>
      <c r="C514" s="706">
        <v>1100.9999999999554</v>
      </c>
      <c r="D514" s="707">
        <v>5424</v>
      </c>
      <c r="E514" s="707">
        <v>1101.0999999999553</v>
      </c>
      <c r="G514" s="65">
        <v>1101.0999999999553</v>
      </c>
      <c r="H514" s="707">
        <v>5424</v>
      </c>
      <c r="I514" s="65">
        <v>1101.1999999999553</v>
      </c>
      <c r="J514" s="707">
        <v>5451</v>
      </c>
    </row>
    <row r="515" spans="2:10" ht="15">
      <c r="B515" s="706">
        <v>5424</v>
      </c>
      <c r="C515" s="706">
        <v>1101.0999999999553</v>
      </c>
      <c r="D515" s="707">
        <v>5451</v>
      </c>
      <c r="E515" s="707">
        <v>1101.1999999999553</v>
      </c>
      <c r="G515" s="65">
        <v>1101.1999999999553</v>
      </c>
      <c r="H515" s="707">
        <v>5451</v>
      </c>
      <c r="I515" s="65">
        <v>1101.2999999999552</v>
      </c>
      <c r="J515" s="707">
        <v>5477</v>
      </c>
    </row>
    <row r="516" spans="2:10" ht="15">
      <c r="B516" s="706">
        <v>5451</v>
      </c>
      <c r="C516" s="706">
        <v>1101.1999999999553</v>
      </c>
      <c r="D516" s="707">
        <v>5477</v>
      </c>
      <c r="E516" s="707">
        <v>1101.2999999999552</v>
      </c>
      <c r="G516" s="65">
        <v>1101.2999999999552</v>
      </c>
      <c r="H516" s="707">
        <v>5477</v>
      </c>
      <c r="I516" s="65">
        <v>1101.3999999999551</v>
      </c>
      <c r="J516" s="707">
        <v>5503</v>
      </c>
    </row>
    <row r="517" spans="2:10" ht="15">
      <c r="B517" s="706">
        <v>5477</v>
      </c>
      <c r="C517" s="706">
        <v>1101.2999999999552</v>
      </c>
      <c r="D517" s="707">
        <v>5503</v>
      </c>
      <c r="E517" s="707">
        <v>1101.3999999999551</v>
      </c>
      <c r="G517" s="65">
        <v>1101.3999999999551</v>
      </c>
      <c r="H517" s="707">
        <v>5503</v>
      </c>
      <c r="I517" s="65">
        <v>1101.499999999955</v>
      </c>
      <c r="J517" s="707">
        <v>5530</v>
      </c>
    </row>
    <row r="518" spans="2:10" ht="15">
      <c r="B518" s="706">
        <v>5503</v>
      </c>
      <c r="C518" s="706">
        <v>1101.3999999999551</v>
      </c>
      <c r="D518" s="707">
        <v>5530</v>
      </c>
      <c r="E518" s="707">
        <v>1101.499999999955</v>
      </c>
      <c r="G518" s="65">
        <v>1101.499999999955</v>
      </c>
      <c r="H518" s="707">
        <v>5530</v>
      </c>
      <c r="I518" s="65">
        <v>1101.5999999999549</v>
      </c>
      <c r="J518" s="707">
        <v>5556</v>
      </c>
    </row>
    <row r="519" spans="2:10" ht="15">
      <c r="B519" s="706">
        <v>5530</v>
      </c>
      <c r="C519" s="706">
        <v>1101.499999999955</v>
      </c>
      <c r="D519" s="707">
        <v>5556</v>
      </c>
      <c r="E519" s="707">
        <v>1101.5999999999549</v>
      </c>
      <c r="G519" s="65">
        <v>1101.5999999999549</v>
      </c>
      <c r="H519" s="707">
        <v>5556</v>
      </c>
      <c r="I519" s="65">
        <v>1101.6999999999548</v>
      </c>
      <c r="J519" s="707">
        <v>5583</v>
      </c>
    </row>
    <row r="520" spans="2:10" ht="15">
      <c r="B520" s="706">
        <v>5556</v>
      </c>
      <c r="C520" s="706">
        <v>1101.5999999999549</v>
      </c>
      <c r="D520" s="707">
        <v>5583</v>
      </c>
      <c r="E520" s="707">
        <v>1101.6999999999548</v>
      </c>
      <c r="G520" s="65">
        <v>1101.6999999999548</v>
      </c>
      <c r="H520" s="707">
        <v>5583</v>
      </c>
      <c r="I520" s="65">
        <v>1101.7999999999547</v>
      </c>
      <c r="J520" s="707">
        <v>5609</v>
      </c>
    </row>
    <row r="521" spans="2:10" ht="15">
      <c r="B521" s="706">
        <v>5583</v>
      </c>
      <c r="C521" s="706">
        <v>1101.6999999999548</v>
      </c>
      <c r="D521" s="707">
        <v>5609</v>
      </c>
      <c r="E521" s="707">
        <v>1101.7999999999547</v>
      </c>
      <c r="G521" s="65">
        <v>1101.7999999999547</v>
      </c>
      <c r="H521" s="707">
        <v>5609</v>
      </c>
      <c r="I521" s="65">
        <v>1101.8999999999546</v>
      </c>
      <c r="J521" s="707">
        <v>5636</v>
      </c>
    </row>
    <row r="522" spans="2:10" ht="15">
      <c r="B522" s="706">
        <v>5609</v>
      </c>
      <c r="C522" s="706">
        <v>1101.7999999999547</v>
      </c>
      <c r="D522" s="707">
        <v>5636</v>
      </c>
      <c r="E522" s="707">
        <v>1101.8999999999546</v>
      </c>
      <c r="G522" s="65">
        <v>1101.8999999999546</v>
      </c>
      <c r="H522" s="707">
        <v>5636</v>
      </c>
      <c r="I522" s="65">
        <v>1101.9999999999545</v>
      </c>
      <c r="J522" s="707">
        <v>5662</v>
      </c>
    </row>
    <row r="523" spans="2:10" ht="15">
      <c r="B523" s="706">
        <v>5636</v>
      </c>
      <c r="C523" s="706">
        <v>1101.8999999999546</v>
      </c>
      <c r="D523" s="707">
        <v>5662</v>
      </c>
      <c r="E523" s="707">
        <v>1101.9999999999545</v>
      </c>
      <c r="G523" s="65">
        <v>1101.9999999999545</v>
      </c>
      <c r="H523" s="707">
        <v>5662</v>
      </c>
      <c r="I523" s="65">
        <v>1102.0999999999544</v>
      </c>
      <c r="J523" s="707">
        <v>5689</v>
      </c>
    </row>
    <row r="524" spans="2:10" ht="15">
      <c r="B524" s="706">
        <v>5662</v>
      </c>
      <c r="C524" s="706">
        <v>1101.9999999999545</v>
      </c>
      <c r="D524" s="707">
        <v>5689</v>
      </c>
      <c r="E524" s="707">
        <v>1102.0999999999544</v>
      </c>
      <c r="G524" s="65">
        <v>1102.0999999999544</v>
      </c>
      <c r="H524" s="707">
        <v>5689</v>
      </c>
      <c r="I524" s="65">
        <v>1102.1999999999543</v>
      </c>
      <c r="J524" s="707">
        <v>5716</v>
      </c>
    </row>
    <row r="525" spans="2:10" ht="15">
      <c r="B525" s="706">
        <v>5689</v>
      </c>
      <c r="C525" s="706">
        <v>1102.0999999999544</v>
      </c>
      <c r="D525" s="707">
        <v>5716</v>
      </c>
      <c r="E525" s="707">
        <v>1102.1999999999543</v>
      </c>
      <c r="G525" s="65">
        <v>1102.1999999999543</v>
      </c>
      <c r="H525" s="707">
        <v>5716</v>
      </c>
      <c r="I525" s="65">
        <v>1102.2999999999543</v>
      </c>
      <c r="J525" s="707">
        <v>5743</v>
      </c>
    </row>
    <row r="526" spans="2:10" ht="15">
      <c r="B526" s="706">
        <v>5716</v>
      </c>
      <c r="C526" s="706">
        <v>1102.1999999999543</v>
      </c>
      <c r="D526" s="707">
        <v>5743</v>
      </c>
      <c r="E526" s="707">
        <v>1102.2999999999543</v>
      </c>
      <c r="G526" s="65">
        <v>1102.2999999999543</v>
      </c>
      <c r="H526" s="707">
        <v>5743</v>
      </c>
      <c r="I526" s="65">
        <v>1102.3999999999542</v>
      </c>
      <c r="J526" s="707">
        <v>5770</v>
      </c>
    </row>
    <row r="527" spans="2:10" ht="15">
      <c r="B527" s="706">
        <v>5743</v>
      </c>
      <c r="C527" s="706">
        <v>1102.2999999999543</v>
      </c>
      <c r="D527" s="707">
        <v>5770</v>
      </c>
      <c r="E527" s="707">
        <v>1102.3999999999542</v>
      </c>
      <c r="G527" s="65">
        <v>1102.3999999999542</v>
      </c>
      <c r="H527" s="707">
        <v>5770</v>
      </c>
      <c r="I527" s="65">
        <v>1102.4999999999541</v>
      </c>
      <c r="J527" s="707">
        <v>5797</v>
      </c>
    </row>
    <row r="528" spans="2:10" ht="15">
      <c r="B528" s="706">
        <v>5770</v>
      </c>
      <c r="C528" s="706">
        <v>1102.3999999999542</v>
      </c>
      <c r="D528" s="707">
        <v>5797</v>
      </c>
      <c r="E528" s="707">
        <v>1102.4999999999541</v>
      </c>
      <c r="G528" s="65">
        <v>1102.4999999999541</v>
      </c>
      <c r="H528" s="707">
        <v>5797</v>
      </c>
      <c r="I528" s="65">
        <v>1102.599999999954</v>
      </c>
      <c r="J528" s="707">
        <v>5824</v>
      </c>
    </row>
    <row r="529" spans="2:10" ht="15">
      <c r="B529" s="706">
        <v>5797</v>
      </c>
      <c r="C529" s="706">
        <v>1102.4999999999541</v>
      </c>
      <c r="D529" s="707">
        <v>5824</v>
      </c>
      <c r="E529" s="707">
        <v>1102.599999999954</v>
      </c>
      <c r="G529" s="65">
        <v>1102.599999999954</v>
      </c>
      <c r="H529" s="707">
        <v>5824</v>
      </c>
      <c r="I529" s="65">
        <v>1102.6999999999539</v>
      </c>
      <c r="J529" s="707">
        <v>5850</v>
      </c>
    </row>
    <row r="530" spans="2:10" ht="15">
      <c r="B530" s="706">
        <v>5824</v>
      </c>
      <c r="C530" s="706">
        <v>1102.599999999954</v>
      </c>
      <c r="D530" s="707">
        <v>5850</v>
      </c>
      <c r="E530" s="707">
        <v>1102.6999999999539</v>
      </c>
      <c r="G530" s="65">
        <v>1102.6999999999539</v>
      </c>
      <c r="H530" s="707">
        <v>5850</v>
      </c>
      <c r="I530" s="65">
        <v>1102.7999999999538</v>
      </c>
      <c r="J530" s="707">
        <v>5877</v>
      </c>
    </row>
    <row r="531" spans="2:10" ht="15">
      <c r="B531" s="706">
        <v>5850</v>
      </c>
      <c r="C531" s="706">
        <v>1102.6999999999539</v>
      </c>
      <c r="D531" s="707">
        <v>5877</v>
      </c>
      <c r="E531" s="707">
        <v>1102.7999999999538</v>
      </c>
      <c r="G531" s="65">
        <v>1102.7999999999538</v>
      </c>
      <c r="H531" s="707">
        <v>5877</v>
      </c>
      <c r="I531" s="65">
        <v>1102.8999999999537</v>
      </c>
      <c r="J531" s="707">
        <v>5904</v>
      </c>
    </row>
    <row r="532" spans="2:10" ht="15">
      <c r="B532" s="706">
        <v>5877</v>
      </c>
      <c r="C532" s="706">
        <v>1102.7999999999538</v>
      </c>
      <c r="D532" s="707">
        <v>5904</v>
      </c>
      <c r="E532" s="707">
        <v>1102.8999999999537</v>
      </c>
      <c r="G532" s="65">
        <v>1102.8999999999537</v>
      </c>
      <c r="H532" s="707">
        <v>5904</v>
      </c>
      <c r="I532" s="65">
        <v>1102.9999999999536</v>
      </c>
      <c r="J532" s="707">
        <v>5931</v>
      </c>
    </row>
    <row r="533" spans="2:10" ht="15">
      <c r="B533" s="706">
        <v>5904</v>
      </c>
      <c r="C533" s="706">
        <v>1102.8999999999537</v>
      </c>
      <c r="D533" s="707">
        <v>5931</v>
      </c>
      <c r="E533" s="707">
        <v>1102.9999999999536</v>
      </c>
      <c r="G533" s="65">
        <v>1102.9999999999536</v>
      </c>
      <c r="H533" s="707">
        <v>5931</v>
      </c>
      <c r="I533" s="65">
        <v>1103.0999999999535</v>
      </c>
      <c r="J533" s="707">
        <v>5959</v>
      </c>
    </row>
    <row r="534" spans="2:10" ht="15">
      <c r="B534" s="706">
        <v>5931</v>
      </c>
      <c r="C534" s="706">
        <v>1102.9999999999536</v>
      </c>
      <c r="D534" s="707">
        <v>5959</v>
      </c>
      <c r="E534" s="707">
        <v>1103.0999999999535</v>
      </c>
      <c r="G534" s="65">
        <v>1103.0999999999535</v>
      </c>
      <c r="H534" s="707">
        <v>5959</v>
      </c>
      <c r="I534" s="65">
        <v>1103.1999999999534</v>
      </c>
      <c r="J534" s="707">
        <v>5986</v>
      </c>
    </row>
    <row r="535" spans="2:10" ht="15">
      <c r="B535" s="706">
        <v>5959</v>
      </c>
      <c r="C535" s="706">
        <v>1103.0999999999535</v>
      </c>
      <c r="D535" s="707">
        <v>5986</v>
      </c>
      <c r="E535" s="707">
        <v>1103.1999999999534</v>
      </c>
      <c r="G535" s="65">
        <v>1103.1999999999534</v>
      </c>
      <c r="H535" s="707">
        <v>5986</v>
      </c>
      <c r="I535" s="65">
        <v>1103.2999999999533</v>
      </c>
      <c r="J535" s="707">
        <v>6014</v>
      </c>
    </row>
    <row r="536" spans="2:10" ht="15">
      <c r="B536" s="706">
        <v>5986</v>
      </c>
      <c r="C536" s="706">
        <v>1103.1999999999534</v>
      </c>
      <c r="D536" s="707">
        <v>6014</v>
      </c>
      <c r="E536" s="707">
        <v>1103.2999999999533</v>
      </c>
      <c r="G536" s="65">
        <v>1103.2999999999533</v>
      </c>
      <c r="H536" s="707">
        <v>6014</v>
      </c>
      <c r="I536" s="65">
        <v>1103.3999999999533</v>
      </c>
      <c r="J536" s="707">
        <v>6041</v>
      </c>
    </row>
    <row r="537" spans="2:10" ht="15">
      <c r="B537" s="706">
        <v>6014</v>
      </c>
      <c r="C537" s="706">
        <v>1103.2999999999533</v>
      </c>
      <c r="D537" s="707">
        <v>6041</v>
      </c>
      <c r="E537" s="707">
        <v>1103.3999999999533</v>
      </c>
      <c r="G537" s="65">
        <v>1103.3999999999533</v>
      </c>
      <c r="H537" s="707">
        <v>6041</v>
      </c>
      <c r="I537" s="65">
        <v>1103.4999999999532</v>
      </c>
      <c r="J537" s="707">
        <v>6069</v>
      </c>
    </row>
    <row r="538" spans="2:10" ht="15">
      <c r="B538" s="706">
        <v>6041</v>
      </c>
      <c r="C538" s="706">
        <v>1103.3999999999533</v>
      </c>
      <c r="D538" s="707">
        <v>6069</v>
      </c>
      <c r="E538" s="707">
        <v>1103.4999999999532</v>
      </c>
      <c r="G538" s="65">
        <v>1103.4999999999532</v>
      </c>
      <c r="H538" s="707">
        <v>6069</v>
      </c>
      <c r="I538" s="65">
        <v>1103.5999999999531</v>
      </c>
      <c r="J538" s="707">
        <v>6096</v>
      </c>
    </row>
    <row r="539" spans="2:10" ht="15">
      <c r="B539" s="706">
        <v>6069</v>
      </c>
      <c r="C539" s="706">
        <v>1103.4999999999532</v>
      </c>
      <c r="D539" s="707">
        <v>6096</v>
      </c>
      <c r="E539" s="707">
        <v>1103.5999999999531</v>
      </c>
      <c r="G539" s="65">
        <v>1103.5999999999531</v>
      </c>
      <c r="H539" s="707">
        <v>6096</v>
      </c>
      <c r="I539" s="65">
        <v>1103.699999999953</v>
      </c>
      <c r="J539" s="707">
        <v>6124</v>
      </c>
    </row>
    <row r="540" spans="2:10" ht="15">
      <c r="B540" s="706">
        <v>6096</v>
      </c>
      <c r="C540" s="706">
        <v>1103.5999999999531</v>
      </c>
      <c r="D540" s="707">
        <v>6124</v>
      </c>
      <c r="E540" s="707">
        <v>1103.699999999953</v>
      </c>
      <c r="G540" s="65">
        <v>1103.699999999953</v>
      </c>
      <c r="H540" s="707">
        <v>6124</v>
      </c>
      <c r="I540" s="65">
        <v>1103.7999999999529</v>
      </c>
      <c r="J540" s="707">
        <v>6151</v>
      </c>
    </row>
    <row r="541" spans="2:10" ht="15">
      <c r="B541" s="706">
        <v>6124</v>
      </c>
      <c r="C541" s="706">
        <v>1103.699999999953</v>
      </c>
      <c r="D541" s="707">
        <v>6151</v>
      </c>
      <c r="E541" s="707">
        <v>1103.7999999999529</v>
      </c>
      <c r="G541" s="65">
        <v>1103.7999999999529</v>
      </c>
      <c r="H541" s="707">
        <v>6151</v>
      </c>
      <c r="I541" s="65">
        <v>1103.8999999999528</v>
      </c>
      <c r="J541" s="707">
        <v>6179</v>
      </c>
    </row>
    <row r="542" spans="2:10" ht="15">
      <c r="B542" s="706">
        <v>6151</v>
      </c>
      <c r="C542" s="706">
        <v>1103.7999999999529</v>
      </c>
      <c r="D542" s="707">
        <v>6179</v>
      </c>
      <c r="E542" s="707">
        <v>1103.8999999999528</v>
      </c>
      <c r="G542" s="65">
        <v>1103.8999999999528</v>
      </c>
      <c r="H542" s="707">
        <v>6179</v>
      </c>
      <c r="I542" s="65">
        <v>1103.9999999999527</v>
      </c>
      <c r="J542" s="707">
        <v>6206</v>
      </c>
    </row>
    <row r="543" spans="2:10" ht="15">
      <c r="B543" s="706">
        <v>6179</v>
      </c>
      <c r="C543" s="706">
        <v>1103.8999999999528</v>
      </c>
      <c r="D543" s="707">
        <v>6206</v>
      </c>
      <c r="E543" s="707">
        <v>1103.9999999999527</v>
      </c>
      <c r="G543" s="65">
        <v>1103.9999999999527</v>
      </c>
      <c r="H543" s="707">
        <v>6206</v>
      </c>
      <c r="I543" s="65">
        <v>1104.0999999999526</v>
      </c>
      <c r="J543" s="707">
        <v>6234</v>
      </c>
    </row>
    <row r="544" spans="2:10" ht="15">
      <c r="B544" s="706">
        <v>6206</v>
      </c>
      <c r="C544" s="706">
        <v>1103.9999999999527</v>
      </c>
      <c r="D544" s="707">
        <v>6234</v>
      </c>
      <c r="E544" s="707">
        <v>1104.0999999999526</v>
      </c>
      <c r="G544" s="65">
        <v>1104.0999999999526</v>
      </c>
      <c r="H544" s="707">
        <v>6234</v>
      </c>
      <c r="I544" s="65">
        <v>1104.1999999999525</v>
      </c>
      <c r="J544" s="707">
        <v>6263</v>
      </c>
    </row>
    <row r="545" spans="2:10" ht="15">
      <c r="B545" s="706">
        <v>6234</v>
      </c>
      <c r="C545" s="706">
        <v>1104.0999999999526</v>
      </c>
      <c r="D545" s="707">
        <v>6263</v>
      </c>
      <c r="E545" s="707">
        <v>1104.1999999999525</v>
      </c>
      <c r="G545" s="65">
        <v>1104.1999999999525</v>
      </c>
      <c r="H545" s="707">
        <v>6263</v>
      </c>
      <c r="I545" s="65">
        <v>1104.2999999999524</v>
      </c>
      <c r="J545" s="707">
        <v>6291</v>
      </c>
    </row>
    <row r="546" spans="2:10" ht="15">
      <c r="B546" s="706">
        <v>6263</v>
      </c>
      <c r="C546" s="706">
        <v>1104.1999999999525</v>
      </c>
      <c r="D546" s="707">
        <v>6291</v>
      </c>
      <c r="E546" s="707">
        <v>1104.2999999999524</v>
      </c>
      <c r="G546" s="65">
        <v>1104.2999999999524</v>
      </c>
      <c r="H546" s="707">
        <v>6291</v>
      </c>
      <c r="I546" s="65">
        <v>1104.3999999999523</v>
      </c>
      <c r="J546" s="707">
        <v>6319</v>
      </c>
    </row>
    <row r="547" spans="2:10" ht="15">
      <c r="B547" s="706">
        <v>6291</v>
      </c>
      <c r="C547" s="706">
        <v>1104.2999999999524</v>
      </c>
      <c r="D547" s="707">
        <v>6319</v>
      </c>
      <c r="E547" s="707">
        <v>1104.3999999999523</v>
      </c>
      <c r="G547" s="65">
        <v>1104.3999999999523</v>
      </c>
      <c r="H547" s="707">
        <v>6319</v>
      </c>
      <c r="I547" s="65">
        <v>1104.4999999999523</v>
      </c>
      <c r="J547" s="707">
        <v>6347</v>
      </c>
    </row>
    <row r="548" spans="2:10" ht="15">
      <c r="B548" s="706">
        <v>6319</v>
      </c>
      <c r="C548" s="706">
        <v>1104.3999999999523</v>
      </c>
      <c r="D548" s="707">
        <v>6347</v>
      </c>
      <c r="E548" s="707">
        <v>1104.4999999999523</v>
      </c>
      <c r="G548" s="65">
        <v>1104.4999999999523</v>
      </c>
      <c r="H548" s="707">
        <v>6347</v>
      </c>
      <c r="I548" s="65">
        <v>1104.5999999999522</v>
      </c>
      <c r="J548" s="707">
        <v>6375</v>
      </c>
    </row>
    <row r="549" spans="2:10" ht="15">
      <c r="B549" s="706">
        <v>6347</v>
      </c>
      <c r="C549" s="706">
        <v>1104.4999999999523</v>
      </c>
      <c r="D549" s="707">
        <v>6375</v>
      </c>
      <c r="E549" s="707">
        <v>1104.5999999999522</v>
      </c>
      <c r="G549" s="65">
        <v>1104.5999999999522</v>
      </c>
      <c r="H549" s="707">
        <v>6375</v>
      </c>
      <c r="I549" s="65">
        <v>1104.6999999999521</v>
      </c>
      <c r="J549" s="707">
        <v>6403</v>
      </c>
    </row>
    <row r="550" spans="2:10" ht="15">
      <c r="B550" s="706">
        <v>6375</v>
      </c>
      <c r="C550" s="706">
        <v>1104.5999999999522</v>
      </c>
      <c r="D550" s="707">
        <v>6403</v>
      </c>
      <c r="E550" s="707">
        <v>1104.6999999999521</v>
      </c>
      <c r="G550" s="65">
        <v>1104.6999999999521</v>
      </c>
      <c r="H550" s="707">
        <v>6403</v>
      </c>
      <c r="I550" s="65">
        <v>1104.799999999952</v>
      </c>
      <c r="J550" s="707">
        <v>6431</v>
      </c>
    </row>
    <row r="551" spans="2:10" ht="15">
      <c r="B551" s="706">
        <v>6403</v>
      </c>
      <c r="C551" s="706">
        <v>1104.6999999999521</v>
      </c>
      <c r="D551" s="707">
        <v>6431</v>
      </c>
      <c r="E551" s="707">
        <v>1104.799999999952</v>
      </c>
      <c r="G551" s="65">
        <v>1104.799999999952</v>
      </c>
      <c r="H551" s="707">
        <v>6431</v>
      </c>
      <c r="I551" s="65">
        <v>1104.8999999999519</v>
      </c>
      <c r="J551" s="707">
        <v>6459</v>
      </c>
    </row>
    <row r="552" spans="2:10" ht="15">
      <c r="B552" s="706">
        <v>6431</v>
      </c>
      <c r="C552" s="706">
        <v>1104.799999999952</v>
      </c>
      <c r="D552" s="707">
        <v>6459</v>
      </c>
      <c r="E552" s="707">
        <v>1104.8999999999519</v>
      </c>
      <c r="G552" s="65">
        <v>1104.8999999999519</v>
      </c>
      <c r="H552" s="707">
        <v>6459</v>
      </c>
      <c r="I552" s="65">
        <v>1104.9999999999518</v>
      </c>
      <c r="J552" s="707">
        <v>6488</v>
      </c>
    </row>
    <row r="553" spans="2:10" ht="15">
      <c r="B553" s="706">
        <v>6459</v>
      </c>
      <c r="C553" s="706">
        <v>1104.8999999999519</v>
      </c>
      <c r="D553" s="707">
        <v>6488</v>
      </c>
      <c r="E553" s="707">
        <v>1104.9999999999518</v>
      </c>
      <c r="G553" s="65">
        <v>1104.9999999999518</v>
      </c>
      <c r="H553" s="707">
        <v>6488</v>
      </c>
      <c r="I553" s="65">
        <v>1105.0999999999517</v>
      </c>
      <c r="J553" s="707">
        <v>6516</v>
      </c>
    </row>
    <row r="554" spans="2:10" ht="15">
      <c r="B554" s="706">
        <v>6488</v>
      </c>
      <c r="C554" s="706">
        <v>1104.9999999999518</v>
      </c>
      <c r="D554" s="707">
        <v>6516</v>
      </c>
      <c r="E554" s="707">
        <v>1105.0999999999517</v>
      </c>
      <c r="G554" s="65">
        <v>1105.0999999999517</v>
      </c>
      <c r="H554" s="707">
        <v>6516</v>
      </c>
      <c r="I554" s="65">
        <v>1105.1999999999516</v>
      </c>
      <c r="J554" s="707">
        <v>6545</v>
      </c>
    </row>
    <row r="555" spans="2:10" ht="15">
      <c r="B555" s="706">
        <v>6516</v>
      </c>
      <c r="C555" s="706">
        <v>1105.0999999999517</v>
      </c>
      <c r="D555" s="707">
        <v>6545</v>
      </c>
      <c r="E555" s="707">
        <v>1105.1999999999516</v>
      </c>
      <c r="G555" s="65">
        <v>1105.1999999999516</v>
      </c>
      <c r="H555" s="707">
        <v>6545</v>
      </c>
      <c r="I555" s="65">
        <v>1105.2999999999515</v>
      </c>
      <c r="J555" s="707">
        <v>6574</v>
      </c>
    </row>
    <row r="556" spans="2:10" ht="15">
      <c r="B556" s="706">
        <v>6545</v>
      </c>
      <c r="C556" s="706">
        <v>1105.1999999999516</v>
      </c>
      <c r="D556" s="707">
        <v>6574</v>
      </c>
      <c r="E556" s="707">
        <v>1105.2999999999515</v>
      </c>
      <c r="G556" s="65">
        <v>1105.2999999999515</v>
      </c>
      <c r="H556" s="707">
        <v>6574</v>
      </c>
      <c r="I556" s="65">
        <v>1105.3999999999514</v>
      </c>
      <c r="J556" s="707">
        <v>6603</v>
      </c>
    </row>
    <row r="557" spans="2:10" ht="15">
      <c r="B557" s="706">
        <v>6574</v>
      </c>
      <c r="C557" s="706">
        <v>1105.2999999999515</v>
      </c>
      <c r="D557" s="707">
        <v>6603</v>
      </c>
      <c r="E557" s="707">
        <v>1105.3999999999514</v>
      </c>
      <c r="G557" s="65">
        <v>1105.3999999999514</v>
      </c>
      <c r="H557" s="707">
        <v>6603</v>
      </c>
      <c r="I557" s="65">
        <v>1105.4999999999513</v>
      </c>
      <c r="J557" s="707">
        <v>6632</v>
      </c>
    </row>
    <row r="558" spans="2:10" ht="15">
      <c r="B558" s="706">
        <v>6603</v>
      </c>
      <c r="C558" s="706">
        <v>1105.3999999999514</v>
      </c>
      <c r="D558" s="707">
        <v>6632</v>
      </c>
      <c r="E558" s="707">
        <v>1105.4999999999513</v>
      </c>
      <c r="G558" s="65">
        <v>1105.4999999999513</v>
      </c>
      <c r="H558" s="707">
        <v>6632</v>
      </c>
      <c r="I558" s="65">
        <v>1105.5999999999513</v>
      </c>
      <c r="J558" s="707">
        <v>6660</v>
      </c>
    </row>
    <row r="559" spans="2:10" ht="15">
      <c r="B559" s="706">
        <v>6632</v>
      </c>
      <c r="C559" s="706">
        <v>1105.4999999999513</v>
      </c>
      <c r="D559" s="707">
        <v>6660</v>
      </c>
      <c r="E559" s="707">
        <v>1105.5999999999513</v>
      </c>
      <c r="G559" s="65">
        <v>1105.5999999999513</v>
      </c>
      <c r="H559" s="707">
        <v>6660</v>
      </c>
      <c r="I559" s="65">
        <v>1105.6999999999512</v>
      </c>
      <c r="J559" s="707">
        <v>6689</v>
      </c>
    </row>
    <row r="560" spans="2:10" ht="15">
      <c r="B560" s="706">
        <v>6660</v>
      </c>
      <c r="C560" s="706">
        <v>1105.5999999999513</v>
      </c>
      <c r="D560" s="707">
        <v>6689</v>
      </c>
      <c r="E560" s="707">
        <v>1105.6999999999512</v>
      </c>
      <c r="G560" s="65">
        <v>1105.6999999999512</v>
      </c>
      <c r="H560" s="707">
        <v>6689</v>
      </c>
      <c r="I560" s="65">
        <v>1105.7999999999511</v>
      </c>
      <c r="J560" s="707">
        <v>6718</v>
      </c>
    </row>
    <row r="561" spans="2:10" ht="15">
      <c r="B561" s="706">
        <v>6689</v>
      </c>
      <c r="C561" s="706">
        <v>1105.6999999999512</v>
      </c>
      <c r="D561" s="707">
        <v>6718</v>
      </c>
      <c r="E561" s="707">
        <v>1105.7999999999511</v>
      </c>
      <c r="G561" s="65">
        <v>1105.7999999999511</v>
      </c>
      <c r="H561" s="707">
        <v>6718</v>
      </c>
      <c r="I561" s="65">
        <v>1105.899999999951</v>
      </c>
      <c r="J561" s="707">
        <v>6747</v>
      </c>
    </row>
    <row r="562" spans="2:10" ht="15">
      <c r="B562" s="706">
        <v>6718</v>
      </c>
      <c r="C562" s="706">
        <v>1105.7999999999511</v>
      </c>
      <c r="D562" s="707">
        <v>6747</v>
      </c>
      <c r="E562" s="707">
        <v>1105.899999999951</v>
      </c>
      <c r="G562" s="65">
        <v>1105.899999999951</v>
      </c>
      <c r="H562" s="707">
        <v>6747</v>
      </c>
      <c r="I562" s="65">
        <v>1105.9999999999509</v>
      </c>
      <c r="J562" s="707">
        <v>6776</v>
      </c>
    </row>
    <row r="563" spans="2:10" ht="15">
      <c r="B563" s="706">
        <v>6747</v>
      </c>
      <c r="C563" s="706">
        <v>1105.899999999951</v>
      </c>
      <c r="D563" s="707">
        <v>6776</v>
      </c>
      <c r="E563" s="707">
        <v>1105.9999999999509</v>
      </c>
      <c r="G563" s="65">
        <v>1105.9999999999509</v>
      </c>
      <c r="H563" s="707">
        <v>6776</v>
      </c>
      <c r="I563" s="65">
        <v>1106.0999999999508</v>
      </c>
      <c r="J563" s="707">
        <v>6805</v>
      </c>
    </row>
    <row r="564" spans="2:10" ht="15">
      <c r="B564" s="706">
        <v>6776</v>
      </c>
      <c r="C564" s="706">
        <v>1105.9999999999509</v>
      </c>
      <c r="D564" s="707">
        <v>6805</v>
      </c>
      <c r="E564" s="707">
        <v>1106.0999999999508</v>
      </c>
      <c r="G564" s="65">
        <v>1106.0999999999508</v>
      </c>
      <c r="H564" s="707">
        <v>6805</v>
      </c>
      <c r="I564" s="65">
        <v>1106.1999999999507</v>
      </c>
      <c r="J564" s="707">
        <v>6834</v>
      </c>
    </row>
    <row r="565" spans="2:10" ht="15">
      <c r="B565" s="706">
        <v>6805</v>
      </c>
      <c r="C565" s="706">
        <v>1106.0999999999508</v>
      </c>
      <c r="D565" s="707">
        <v>6834</v>
      </c>
      <c r="E565" s="707">
        <v>1106.1999999999507</v>
      </c>
      <c r="G565" s="65">
        <v>1106.1999999999507</v>
      </c>
      <c r="H565" s="707">
        <v>6834</v>
      </c>
      <c r="I565" s="65">
        <v>1106.2999999999506</v>
      </c>
      <c r="J565" s="707">
        <v>6864</v>
      </c>
    </row>
    <row r="566" spans="2:10" ht="15">
      <c r="B566" s="706">
        <v>6834</v>
      </c>
      <c r="C566" s="706">
        <v>1106.1999999999507</v>
      </c>
      <c r="D566" s="707">
        <v>6864</v>
      </c>
      <c r="E566" s="707">
        <v>1106.2999999999506</v>
      </c>
      <c r="G566" s="65">
        <v>1106.2999999999506</v>
      </c>
      <c r="H566" s="707">
        <v>6864</v>
      </c>
      <c r="I566" s="65">
        <v>1106.3999999999505</v>
      </c>
      <c r="J566" s="707">
        <v>6893</v>
      </c>
    </row>
    <row r="567" spans="2:10" ht="15">
      <c r="B567" s="706">
        <v>6864</v>
      </c>
      <c r="C567" s="706">
        <v>1106.2999999999506</v>
      </c>
      <c r="D567" s="707">
        <v>6893</v>
      </c>
      <c r="E567" s="707">
        <v>1106.3999999999505</v>
      </c>
      <c r="G567" s="65">
        <v>1106.3999999999505</v>
      </c>
      <c r="H567" s="707">
        <v>6893</v>
      </c>
      <c r="I567" s="65">
        <v>1106.4999999999504</v>
      </c>
      <c r="J567" s="707">
        <v>6922</v>
      </c>
    </row>
    <row r="568" spans="2:10" ht="15">
      <c r="B568" s="706">
        <v>6893</v>
      </c>
      <c r="C568" s="706">
        <v>1106.3999999999505</v>
      </c>
      <c r="D568" s="707">
        <v>6922</v>
      </c>
      <c r="E568" s="707">
        <v>1106.4999999999504</v>
      </c>
      <c r="G568" s="65">
        <v>1106.4999999999504</v>
      </c>
      <c r="H568" s="707">
        <v>6922</v>
      </c>
      <c r="I568" s="65">
        <v>1106.5999999999503</v>
      </c>
      <c r="J568" s="707">
        <v>6952</v>
      </c>
    </row>
    <row r="569" spans="2:10" ht="15">
      <c r="B569" s="706">
        <v>6922</v>
      </c>
      <c r="C569" s="706">
        <v>1106.4999999999504</v>
      </c>
      <c r="D569" s="707">
        <v>6952</v>
      </c>
      <c r="E569" s="707">
        <v>1106.5999999999503</v>
      </c>
      <c r="G569" s="65">
        <v>1106.5999999999503</v>
      </c>
      <c r="H569" s="707">
        <v>6952</v>
      </c>
      <c r="I569" s="65">
        <v>1106.6999999999503</v>
      </c>
      <c r="J569" s="707">
        <v>6981</v>
      </c>
    </row>
    <row r="570" spans="2:10" ht="15">
      <c r="B570" s="706">
        <v>6952</v>
      </c>
      <c r="C570" s="706">
        <v>1106.5999999999503</v>
      </c>
      <c r="D570" s="707">
        <v>6981</v>
      </c>
      <c r="E570" s="707">
        <v>1106.6999999999503</v>
      </c>
      <c r="G570" s="65">
        <v>1106.6999999999503</v>
      </c>
      <c r="H570" s="707">
        <v>6981</v>
      </c>
      <c r="I570" s="65">
        <v>1106.7999999999502</v>
      </c>
      <c r="J570" s="707">
        <v>7011</v>
      </c>
    </row>
    <row r="571" spans="2:10" ht="15">
      <c r="B571" s="706">
        <v>6981</v>
      </c>
      <c r="C571" s="706">
        <v>1106.6999999999503</v>
      </c>
      <c r="D571" s="707">
        <v>7011</v>
      </c>
      <c r="E571" s="707">
        <v>1106.7999999999502</v>
      </c>
      <c r="G571" s="65">
        <v>1106.7999999999502</v>
      </c>
      <c r="H571" s="707">
        <v>7011</v>
      </c>
      <c r="I571" s="65">
        <v>1106.8999999999501</v>
      </c>
      <c r="J571" s="707">
        <v>7040</v>
      </c>
    </row>
    <row r="572" spans="2:10" ht="15">
      <c r="B572" s="706">
        <v>7011</v>
      </c>
      <c r="C572" s="706">
        <v>1106.7999999999502</v>
      </c>
      <c r="D572" s="707">
        <v>7040</v>
      </c>
      <c r="E572" s="707">
        <v>1106.8999999999501</v>
      </c>
      <c r="G572" s="65">
        <v>1106.8999999999501</v>
      </c>
      <c r="H572" s="707">
        <v>7040</v>
      </c>
      <c r="I572" s="65">
        <v>1106.99999999995</v>
      </c>
      <c r="J572" s="707">
        <v>7069</v>
      </c>
    </row>
    <row r="573" spans="2:10" ht="15">
      <c r="B573" s="706">
        <v>7040</v>
      </c>
      <c r="C573" s="706">
        <v>1106.8999999999501</v>
      </c>
      <c r="D573" s="707">
        <v>7069</v>
      </c>
      <c r="E573" s="707">
        <v>1106.99999999995</v>
      </c>
      <c r="G573" s="65">
        <v>1106.99999999995</v>
      </c>
      <c r="H573" s="707">
        <v>7069</v>
      </c>
      <c r="I573" s="65">
        <v>1107.0999999999499</v>
      </c>
      <c r="J573" s="707">
        <v>7099</v>
      </c>
    </row>
    <row r="574" spans="2:10" ht="15">
      <c r="B574" s="706">
        <v>7069</v>
      </c>
      <c r="C574" s="706">
        <v>1106.99999999995</v>
      </c>
      <c r="D574" s="707">
        <v>7099</v>
      </c>
      <c r="E574" s="707">
        <v>1107.0999999999499</v>
      </c>
      <c r="G574" s="65">
        <v>1107.0999999999499</v>
      </c>
      <c r="H574" s="707">
        <v>7099</v>
      </c>
      <c r="I574" s="65">
        <v>1107.1999999999498</v>
      </c>
      <c r="J574" s="707">
        <v>7129</v>
      </c>
    </row>
    <row r="575" spans="2:10" ht="15">
      <c r="B575" s="706">
        <v>7099</v>
      </c>
      <c r="C575" s="706">
        <v>1107.0999999999499</v>
      </c>
      <c r="D575" s="707">
        <v>7129</v>
      </c>
      <c r="E575" s="707">
        <v>1107.1999999999498</v>
      </c>
      <c r="G575" s="65">
        <v>1107.1999999999498</v>
      </c>
      <c r="H575" s="707">
        <v>7129</v>
      </c>
      <c r="I575" s="65">
        <v>1107.2999999999497</v>
      </c>
      <c r="J575" s="707">
        <v>7159</v>
      </c>
    </row>
    <row r="576" spans="2:10" ht="15">
      <c r="B576" s="706">
        <v>7129</v>
      </c>
      <c r="C576" s="706">
        <v>1107.1999999999498</v>
      </c>
      <c r="D576" s="707">
        <v>7159</v>
      </c>
      <c r="E576" s="707">
        <v>1107.2999999999497</v>
      </c>
      <c r="G576" s="65">
        <v>1107.2999999999497</v>
      </c>
      <c r="H576" s="707">
        <v>7159</v>
      </c>
      <c r="I576" s="65">
        <v>1107.3999999999496</v>
      </c>
      <c r="J576" s="707">
        <v>7189</v>
      </c>
    </row>
    <row r="577" spans="2:10" ht="15">
      <c r="B577" s="706">
        <v>7159</v>
      </c>
      <c r="C577" s="706">
        <v>1107.2999999999497</v>
      </c>
      <c r="D577" s="707">
        <v>7189</v>
      </c>
      <c r="E577" s="707">
        <v>1107.3999999999496</v>
      </c>
      <c r="G577" s="65">
        <v>1107.3999999999496</v>
      </c>
      <c r="H577" s="707">
        <v>7189</v>
      </c>
      <c r="I577" s="65">
        <v>1107.4999999999495</v>
      </c>
      <c r="J577" s="707">
        <v>7219</v>
      </c>
    </row>
    <row r="578" spans="2:10" ht="15">
      <c r="B578" s="706">
        <v>7189</v>
      </c>
      <c r="C578" s="706">
        <v>1107.3999999999496</v>
      </c>
      <c r="D578" s="707">
        <v>7219</v>
      </c>
      <c r="E578" s="707">
        <v>1107.4999999999495</v>
      </c>
      <c r="G578" s="65">
        <v>1107.4999999999495</v>
      </c>
      <c r="H578" s="707">
        <v>7219</v>
      </c>
      <c r="I578" s="65">
        <v>1107.5999999999494</v>
      </c>
      <c r="J578" s="707">
        <v>7249</v>
      </c>
    </row>
    <row r="579" spans="2:10" ht="15">
      <c r="B579" s="706">
        <v>7219</v>
      </c>
      <c r="C579" s="706">
        <v>1107.4999999999495</v>
      </c>
      <c r="D579" s="707">
        <v>7249</v>
      </c>
      <c r="E579" s="707">
        <v>1107.5999999999494</v>
      </c>
      <c r="G579" s="65">
        <v>1107.5999999999494</v>
      </c>
      <c r="H579" s="707">
        <v>7249</v>
      </c>
      <c r="I579" s="65">
        <v>1107.6999999999493</v>
      </c>
      <c r="J579" s="707">
        <v>7279</v>
      </c>
    </row>
    <row r="580" spans="2:10" ht="15">
      <c r="B580" s="706">
        <v>7249</v>
      </c>
      <c r="C580" s="706">
        <v>1107.5999999999494</v>
      </c>
      <c r="D580" s="707">
        <v>7279</v>
      </c>
      <c r="E580" s="707">
        <v>1107.6999999999493</v>
      </c>
      <c r="G580" s="65">
        <v>1107.6999999999493</v>
      </c>
      <c r="H580" s="707">
        <v>7279</v>
      </c>
      <c r="I580" s="65">
        <v>1107.7999999999493</v>
      </c>
      <c r="J580" s="707">
        <v>7309</v>
      </c>
    </row>
    <row r="581" spans="2:10" ht="15">
      <c r="B581" s="706">
        <v>7279</v>
      </c>
      <c r="C581" s="706">
        <v>1107.6999999999493</v>
      </c>
      <c r="D581" s="707">
        <v>7309</v>
      </c>
      <c r="E581" s="707">
        <v>1107.7999999999493</v>
      </c>
      <c r="G581" s="65">
        <v>1107.7999999999493</v>
      </c>
      <c r="H581" s="707">
        <v>7309</v>
      </c>
      <c r="I581" s="65">
        <v>1107.8999999999492</v>
      </c>
      <c r="J581" s="707">
        <v>7339</v>
      </c>
    </row>
    <row r="582" spans="2:10" ht="15">
      <c r="B582" s="706">
        <v>7309</v>
      </c>
      <c r="C582" s="706">
        <v>1107.7999999999493</v>
      </c>
      <c r="D582" s="707">
        <v>7339</v>
      </c>
      <c r="E582" s="707">
        <v>1107.8999999999492</v>
      </c>
      <c r="G582" s="65">
        <v>1107.8999999999492</v>
      </c>
      <c r="H582" s="707">
        <v>7339</v>
      </c>
      <c r="I582" s="65">
        <v>1107.9999999999491</v>
      </c>
      <c r="J582" s="707">
        <v>7369</v>
      </c>
    </row>
    <row r="583" spans="2:10" ht="15">
      <c r="B583" s="706">
        <v>7339</v>
      </c>
      <c r="C583" s="706">
        <v>1107.8999999999492</v>
      </c>
      <c r="D583" s="707">
        <v>7369</v>
      </c>
      <c r="E583" s="707">
        <v>1107.9999999999491</v>
      </c>
      <c r="G583" s="65">
        <v>1107.9999999999491</v>
      </c>
      <c r="H583" s="707">
        <v>7369</v>
      </c>
      <c r="I583" s="65">
        <v>1108.099999999949</v>
      </c>
      <c r="J583" s="707">
        <v>7400</v>
      </c>
    </row>
    <row r="584" spans="2:10" ht="15">
      <c r="B584" s="706">
        <v>7369</v>
      </c>
      <c r="C584" s="706">
        <v>1107.9999999999491</v>
      </c>
      <c r="D584" s="707">
        <v>7400</v>
      </c>
      <c r="E584" s="707">
        <v>1108.099999999949</v>
      </c>
      <c r="G584" s="65">
        <v>1108.099999999949</v>
      </c>
      <c r="H584" s="707">
        <v>7400</v>
      </c>
      <c r="I584" s="65">
        <v>1108.1999999999489</v>
      </c>
      <c r="J584" s="707">
        <v>7430</v>
      </c>
    </row>
    <row r="585" spans="2:10" ht="15">
      <c r="B585" s="706">
        <v>7400</v>
      </c>
      <c r="C585" s="706">
        <v>1108.099999999949</v>
      </c>
      <c r="D585" s="707">
        <v>7430</v>
      </c>
      <c r="E585" s="707">
        <v>1108.1999999999489</v>
      </c>
      <c r="G585" s="65">
        <v>1108.1999999999489</v>
      </c>
      <c r="H585" s="707">
        <v>7430</v>
      </c>
      <c r="I585" s="65">
        <v>1108.2999999999488</v>
      </c>
      <c r="J585" s="707">
        <v>7461</v>
      </c>
    </row>
    <row r="586" spans="2:10" ht="15">
      <c r="B586" s="706">
        <v>7430</v>
      </c>
      <c r="C586" s="706">
        <v>1108.1999999999489</v>
      </c>
      <c r="D586" s="707">
        <v>7461</v>
      </c>
      <c r="E586" s="707">
        <v>1108.2999999999488</v>
      </c>
      <c r="G586" s="65">
        <v>1108.2999999999488</v>
      </c>
      <c r="H586" s="707">
        <v>7461</v>
      </c>
      <c r="I586" s="65">
        <v>1108.3999999999487</v>
      </c>
      <c r="J586" s="707">
        <v>7492</v>
      </c>
    </row>
    <row r="587" spans="2:10" ht="15">
      <c r="B587" s="706">
        <v>7461</v>
      </c>
      <c r="C587" s="706">
        <v>1108.2999999999488</v>
      </c>
      <c r="D587" s="707">
        <v>7492</v>
      </c>
      <c r="E587" s="707">
        <v>1108.3999999999487</v>
      </c>
      <c r="G587" s="65">
        <v>1108.3999999999487</v>
      </c>
      <c r="H587" s="707">
        <v>7492</v>
      </c>
      <c r="I587" s="65">
        <v>1108.4999999999486</v>
      </c>
      <c r="J587" s="707">
        <v>7522</v>
      </c>
    </row>
    <row r="588" spans="2:10" ht="15">
      <c r="B588" s="706">
        <v>7492</v>
      </c>
      <c r="C588" s="706">
        <v>1108.3999999999487</v>
      </c>
      <c r="D588" s="707">
        <v>7522</v>
      </c>
      <c r="E588" s="707">
        <v>1108.4999999999486</v>
      </c>
      <c r="G588" s="65">
        <v>1108.4999999999486</v>
      </c>
      <c r="H588" s="707">
        <v>7522</v>
      </c>
      <c r="I588" s="65">
        <v>1108.5999999999485</v>
      </c>
      <c r="J588" s="707">
        <v>7553</v>
      </c>
    </row>
    <row r="589" spans="2:10" ht="15">
      <c r="B589" s="706">
        <v>7522</v>
      </c>
      <c r="C589" s="706">
        <v>1108.4999999999486</v>
      </c>
      <c r="D589" s="707">
        <v>7553</v>
      </c>
      <c r="E589" s="707">
        <v>1108.5999999999485</v>
      </c>
      <c r="G589" s="65">
        <v>1108.5999999999485</v>
      </c>
      <c r="H589" s="707">
        <v>7553</v>
      </c>
      <c r="I589" s="65">
        <v>1108.6999999999484</v>
      </c>
      <c r="J589" s="707">
        <v>7584</v>
      </c>
    </row>
    <row r="590" spans="2:10" ht="15">
      <c r="B590" s="706">
        <v>7553</v>
      </c>
      <c r="C590" s="706">
        <v>1108.5999999999485</v>
      </c>
      <c r="D590" s="707">
        <v>7584</v>
      </c>
      <c r="E590" s="707">
        <v>1108.6999999999484</v>
      </c>
      <c r="G590" s="65">
        <v>1108.6999999999484</v>
      </c>
      <c r="H590" s="707">
        <v>7584</v>
      </c>
      <c r="I590" s="65">
        <v>1108.7999999999483</v>
      </c>
      <c r="J590" s="707">
        <v>7614</v>
      </c>
    </row>
    <row r="591" spans="2:10" ht="15">
      <c r="B591" s="706">
        <v>7584</v>
      </c>
      <c r="C591" s="706">
        <v>1108.6999999999484</v>
      </c>
      <c r="D591" s="707">
        <v>7614</v>
      </c>
      <c r="E591" s="707">
        <v>1108.7999999999483</v>
      </c>
      <c r="G591" s="65">
        <v>1108.7999999999483</v>
      </c>
      <c r="H591" s="707">
        <v>7614</v>
      </c>
      <c r="I591" s="65">
        <v>1108.8999999999482</v>
      </c>
      <c r="J591" s="707">
        <v>7645</v>
      </c>
    </row>
    <row r="592" spans="2:10" ht="15">
      <c r="B592" s="706">
        <v>7614</v>
      </c>
      <c r="C592" s="706">
        <v>1108.7999999999483</v>
      </c>
      <c r="D592" s="707">
        <v>7645</v>
      </c>
      <c r="E592" s="707">
        <v>1108.8999999999482</v>
      </c>
      <c r="G592" s="65">
        <v>1108.8999999999482</v>
      </c>
      <c r="H592" s="707">
        <v>7645</v>
      </c>
      <c r="I592" s="65">
        <v>1108.9999999999482</v>
      </c>
      <c r="J592" s="707">
        <v>7676</v>
      </c>
    </row>
    <row r="593" spans="2:10" ht="15">
      <c r="B593" s="706">
        <v>7645</v>
      </c>
      <c r="C593" s="706">
        <v>1108.8999999999482</v>
      </c>
      <c r="D593" s="707">
        <v>7676</v>
      </c>
      <c r="E593" s="707">
        <v>1108.9999999999482</v>
      </c>
      <c r="G593" s="65">
        <v>1108.9999999999482</v>
      </c>
      <c r="H593" s="707">
        <v>7676</v>
      </c>
      <c r="I593" s="65">
        <v>1109.0999999999481</v>
      </c>
      <c r="J593" s="707">
        <v>7707</v>
      </c>
    </row>
    <row r="594" spans="2:10" ht="15">
      <c r="B594" s="706">
        <v>7676</v>
      </c>
      <c r="C594" s="706">
        <v>1108.9999999999482</v>
      </c>
      <c r="D594" s="707">
        <v>7707</v>
      </c>
      <c r="E594" s="707">
        <v>1109.0999999999481</v>
      </c>
      <c r="G594" s="65">
        <v>1109.0999999999481</v>
      </c>
      <c r="H594" s="707">
        <v>7707</v>
      </c>
      <c r="I594" s="65">
        <v>1109.199999999948</v>
      </c>
      <c r="J594" s="707">
        <v>7739</v>
      </c>
    </row>
    <row r="595" spans="2:10" ht="15">
      <c r="B595" s="706">
        <v>7707</v>
      </c>
      <c r="C595" s="706">
        <v>1109.0999999999481</v>
      </c>
      <c r="D595" s="707">
        <v>7739</v>
      </c>
      <c r="E595" s="707">
        <v>1109.199999999948</v>
      </c>
      <c r="G595" s="65">
        <v>1109.199999999948</v>
      </c>
      <c r="H595" s="707">
        <v>7739</v>
      </c>
      <c r="I595" s="65">
        <v>1109.2999999999479</v>
      </c>
      <c r="J595" s="707">
        <v>7770</v>
      </c>
    </row>
    <row r="596" spans="2:10" ht="15">
      <c r="B596" s="706">
        <v>7739</v>
      </c>
      <c r="C596" s="706">
        <v>1109.199999999948</v>
      </c>
      <c r="D596" s="707">
        <v>7770</v>
      </c>
      <c r="E596" s="707">
        <v>1109.2999999999479</v>
      </c>
      <c r="G596" s="65">
        <v>1109.2999999999479</v>
      </c>
      <c r="H596" s="707">
        <v>7770</v>
      </c>
      <c r="I596" s="65">
        <v>1109.3999999999478</v>
      </c>
      <c r="J596" s="707">
        <v>7801</v>
      </c>
    </row>
    <row r="597" spans="2:10" ht="15">
      <c r="B597" s="706">
        <v>7770</v>
      </c>
      <c r="C597" s="706">
        <v>1109.2999999999479</v>
      </c>
      <c r="D597" s="707">
        <v>7801</v>
      </c>
      <c r="E597" s="707">
        <v>1109.3999999999478</v>
      </c>
      <c r="G597" s="65">
        <v>1109.3999999999478</v>
      </c>
      <c r="H597" s="707">
        <v>7801</v>
      </c>
      <c r="I597" s="65">
        <v>1109.4999999999477</v>
      </c>
      <c r="J597" s="707">
        <v>7833</v>
      </c>
    </row>
    <row r="598" spans="2:10" ht="15">
      <c r="B598" s="706">
        <v>7801</v>
      </c>
      <c r="C598" s="706">
        <v>1109.3999999999478</v>
      </c>
      <c r="D598" s="707">
        <v>7833</v>
      </c>
      <c r="E598" s="707">
        <v>1109.4999999999477</v>
      </c>
      <c r="G598" s="65">
        <v>1109.4999999999477</v>
      </c>
      <c r="H598" s="707">
        <v>7833</v>
      </c>
      <c r="I598" s="65">
        <v>1109.5999999999476</v>
      </c>
      <c r="J598" s="707">
        <v>7864</v>
      </c>
    </row>
    <row r="599" spans="2:10" ht="15">
      <c r="B599" s="706">
        <v>7833</v>
      </c>
      <c r="C599" s="706">
        <v>1109.4999999999477</v>
      </c>
      <c r="D599" s="707">
        <v>7864</v>
      </c>
      <c r="E599" s="707">
        <v>1109.5999999999476</v>
      </c>
      <c r="G599" s="65">
        <v>1109.5999999999476</v>
      </c>
      <c r="H599" s="707">
        <v>7864</v>
      </c>
      <c r="I599" s="65">
        <v>1109.6999999999475</v>
      </c>
      <c r="J599" s="707">
        <v>7896</v>
      </c>
    </row>
    <row r="600" spans="2:10" ht="15">
      <c r="B600" s="706">
        <v>7864</v>
      </c>
      <c r="C600" s="706">
        <v>1109.5999999999476</v>
      </c>
      <c r="D600" s="707">
        <v>7896</v>
      </c>
      <c r="E600" s="707">
        <v>1109.6999999999475</v>
      </c>
      <c r="G600" s="65">
        <v>1109.6999999999475</v>
      </c>
      <c r="H600" s="707">
        <v>7896</v>
      </c>
      <c r="I600" s="65">
        <v>1109.7999999999474</v>
      </c>
      <c r="J600" s="707">
        <v>7927</v>
      </c>
    </row>
    <row r="601" spans="2:10" ht="15">
      <c r="B601" s="706">
        <v>7896</v>
      </c>
      <c r="C601" s="706">
        <v>1109.6999999999475</v>
      </c>
      <c r="D601" s="707">
        <v>7927</v>
      </c>
      <c r="E601" s="707">
        <v>1109.7999999999474</v>
      </c>
      <c r="G601" s="65">
        <v>1109.7999999999474</v>
      </c>
      <c r="H601" s="707">
        <v>7927</v>
      </c>
      <c r="I601" s="65">
        <v>1109.8999999999473</v>
      </c>
      <c r="J601" s="707">
        <v>7959</v>
      </c>
    </row>
    <row r="602" spans="2:10" ht="15">
      <c r="B602" s="706">
        <v>7927</v>
      </c>
      <c r="C602" s="706">
        <v>1109.7999999999474</v>
      </c>
      <c r="D602" s="707">
        <v>7959</v>
      </c>
      <c r="E602" s="707">
        <v>1109.8999999999473</v>
      </c>
      <c r="G602" s="65">
        <v>1109.8999999999473</v>
      </c>
      <c r="H602" s="707">
        <v>7959</v>
      </c>
      <c r="I602" s="65">
        <v>1109.9999999999472</v>
      </c>
      <c r="J602" s="707">
        <v>7990</v>
      </c>
    </row>
    <row r="603" spans="2:10" ht="15">
      <c r="B603" s="706">
        <v>7959</v>
      </c>
      <c r="C603" s="706">
        <v>1109.8999999999473</v>
      </c>
      <c r="D603" s="707">
        <v>7990</v>
      </c>
      <c r="E603" s="707">
        <v>1109.9999999999472</v>
      </c>
      <c r="G603" s="65">
        <v>1109.9999999999472</v>
      </c>
      <c r="H603" s="707">
        <v>7990</v>
      </c>
      <c r="I603" s="65">
        <v>1110.0999999999472</v>
      </c>
      <c r="J603" s="707">
        <v>8022</v>
      </c>
    </row>
    <row r="604" spans="2:10" ht="15">
      <c r="B604" s="706">
        <v>7990</v>
      </c>
      <c r="C604" s="706">
        <v>1109.9999999999472</v>
      </c>
      <c r="D604" s="707">
        <v>8022</v>
      </c>
      <c r="E604" s="707">
        <v>1110.0999999999472</v>
      </c>
      <c r="G604" s="65">
        <v>1110.0999999999472</v>
      </c>
      <c r="H604" s="707">
        <v>8022</v>
      </c>
      <c r="I604" s="65">
        <v>1110.1999999999471</v>
      </c>
      <c r="J604" s="707">
        <v>8055</v>
      </c>
    </row>
    <row r="605" spans="2:10" ht="15">
      <c r="B605" s="706">
        <v>8022</v>
      </c>
      <c r="C605" s="706">
        <v>1110.0999999999472</v>
      </c>
      <c r="D605" s="707">
        <v>8055</v>
      </c>
      <c r="E605" s="707">
        <v>1110.1999999999471</v>
      </c>
      <c r="G605" s="65">
        <v>1110.1999999999471</v>
      </c>
      <c r="H605" s="707">
        <v>8055</v>
      </c>
      <c r="I605" s="65">
        <v>1110.299999999947</v>
      </c>
      <c r="J605" s="707">
        <v>8087</v>
      </c>
    </row>
    <row r="606" spans="2:10" ht="15">
      <c r="B606" s="706">
        <v>8055</v>
      </c>
      <c r="C606" s="706">
        <v>1110.1999999999471</v>
      </c>
      <c r="D606" s="707">
        <v>8087</v>
      </c>
      <c r="E606" s="707">
        <v>1110.299999999947</v>
      </c>
      <c r="G606" s="65">
        <v>1110.299999999947</v>
      </c>
      <c r="H606" s="707">
        <v>8087</v>
      </c>
      <c r="I606" s="65">
        <v>1110.3999999999469</v>
      </c>
      <c r="J606" s="707">
        <v>8119</v>
      </c>
    </row>
    <row r="607" spans="2:10" ht="15">
      <c r="B607" s="706">
        <v>8087</v>
      </c>
      <c r="C607" s="706">
        <v>1110.299999999947</v>
      </c>
      <c r="D607" s="707">
        <v>8119</v>
      </c>
      <c r="E607" s="707">
        <v>1110.3999999999469</v>
      </c>
      <c r="G607" s="65">
        <v>1110.3999999999469</v>
      </c>
      <c r="H607" s="707">
        <v>8119</v>
      </c>
      <c r="I607" s="65">
        <v>1110.4999999999468</v>
      </c>
      <c r="J607" s="707">
        <v>8152</v>
      </c>
    </row>
    <row r="608" spans="2:10" ht="15">
      <c r="B608" s="706">
        <v>8119</v>
      </c>
      <c r="C608" s="706">
        <v>1110.3999999999469</v>
      </c>
      <c r="D608" s="707">
        <v>8152</v>
      </c>
      <c r="E608" s="707">
        <v>1110.4999999999468</v>
      </c>
      <c r="G608" s="65">
        <v>1110.4999999999468</v>
      </c>
      <c r="H608" s="707">
        <v>8152</v>
      </c>
      <c r="I608" s="65">
        <v>1110.5999999999467</v>
      </c>
      <c r="J608" s="707">
        <v>8184</v>
      </c>
    </row>
    <row r="609" spans="2:10" ht="15">
      <c r="B609" s="706">
        <v>8152</v>
      </c>
      <c r="C609" s="706">
        <v>1110.4999999999468</v>
      </c>
      <c r="D609" s="707">
        <v>8184</v>
      </c>
      <c r="E609" s="707">
        <v>1110.5999999999467</v>
      </c>
      <c r="G609" s="65">
        <v>1110.5999999999467</v>
      </c>
      <c r="H609" s="707">
        <v>8184</v>
      </c>
      <c r="I609" s="65">
        <v>1110.6999999999466</v>
      </c>
      <c r="J609" s="707">
        <v>8216</v>
      </c>
    </row>
    <row r="610" spans="2:10" ht="15">
      <c r="B610" s="706">
        <v>8184</v>
      </c>
      <c r="C610" s="706">
        <v>1110.5999999999467</v>
      </c>
      <c r="D610" s="707">
        <v>8216</v>
      </c>
      <c r="E610" s="707">
        <v>1110.6999999999466</v>
      </c>
      <c r="G610" s="65">
        <v>1110.6999999999466</v>
      </c>
      <c r="H610" s="707">
        <v>8216</v>
      </c>
      <c r="I610" s="65">
        <v>1110.7999999999465</v>
      </c>
      <c r="J610" s="707">
        <v>8249</v>
      </c>
    </row>
    <row r="611" spans="2:10" ht="15">
      <c r="B611" s="706">
        <v>8216</v>
      </c>
      <c r="C611" s="706">
        <v>1110.6999999999466</v>
      </c>
      <c r="D611" s="707">
        <v>8249</v>
      </c>
      <c r="E611" s="707">
        <v>1110.7999999999465</v>
      </c>
      <c r="G611" s="65">
        <v>1110.7999999999465</v>
      </c>
      <c r="H611" s="707">
        <v>8249</v>
      </c>
      <c r="I611" s="65">
        <v>1110.8999999999464</v>
      </c>
      <c r="J611" s="707">
        <v>8281</v>
      </c>
    </row>
    <row r="612" spans="2:10" ht="15">
      <c r="B612" s="706">
        <v>8249</v>
      </c>
      <c r="C612" s="706">
        <v>1110.7999999999465</v>
      </c>
      <c r="D612" s="707">
        <v>8281</v>
      </c>
      <c r="E612" s="707">
        <v>1110.8999999999464</v>
      </c>
      <c r="G612" s="65">
        <v>1110.8999999999464</v>
      </c>
      <c r="H612" s="707">
        <v>8281</v>
      </c>
      <c r="I612" s="65">
        <v>1110.9999999999463</v>
      </c>
      <c r="J612" s="707">
        <v>8313</v>
      </c>
    </row>
    <row r="613" spans="2:10" ht="15">
      <c r="B613" s="706">
        <v>8281</v>
      </c>
      <c r="C613" s="706">
        <v>1110.8999999999464</v>
      </c>
      <c r="D613" s="707">
        <v>8313</v>
      </c>
      <c r="E613" s="707">
        <v>1110.9999999999463</v>
      </c>
      <c r="G613" s="65">
        <v>1110.9999999999463</v>
      </c>
      <c r="H613" s="707">
        <v>8313</v>
      </c>
      <c r="I613" s="65">
        <v>1111.0999999999462</v>
      </c>
      <c r="J613" s="707">
        <v>8347</v>
      </c>
    </row>
    <row r="614" spans="2:10" ht="15">
      <c r="B614" s="706">
        <v>8313</v>
      </c>
      <c r="C614" s="706">
        <v>1110.9999999999463</v>
      </c>
      <c r="D614" s="707">
        <v>8347</v>
      </c>
      <c r="E614" s="707">
        <v>1111.0999999999462</v>
      </c>
      <c r="G614" s="65">
        <v>1111.0999999999462</v>
      </c>
      <c r="H614" s="707">
        <v>8347</v>
      </c>
      <c r="I614" s="65">
        <v>1111.1999999999462</v>
      </c>
      <c r="J614" s="707">
        <v>8380</v>
      </c>
    </row>
    <row r="615" spans="2:10" ht="15">
      <c r="B615" s="706">
        <v>8347</v>
      </c>
      <c r="C615" s="706">
        <v>1111.0999999999462</v>
      </c>
      <c r="D615" s="707">
        <v>8380</v>
      </c>
      <c r="E615" s="707">
        <v>1111.1999999999462</v>
      </c>
      <c r="G615" s="65">
        <v>1111.1999999999462</v>
      </c>
      <c r="H615" s="707">
        <v>8380</v>
      </c>
      <c r="I615" s="65">
        <v>1111.2999999999461</v>
      </c>
      <c r="J615" s="707">
        <v>8413</v>
      </c>
    </row>
    <row r="616" spans="2:10" ht="15">
      <c r="B616" s="706">
        <v>8380</v>
      </c>
      <c r="C616" s="706">
        <v>1111.1999999999462</v>
      </c>
      <c r="D616" s="707">
        <v>8413</v>
      </c>
      <c r="E616" s="707">
        <v>1111.2999999999461</v>
      </c>
      <c r="G616" s="65">
        <v>1111.2999999999461</v>
      </c>
      <c r="H616" s="707">
        <v>8413</v>
      </c>
      <c r="I616" s="65">
        <v>1111.399999999946</v>
      </c>
      <c r="J616" s="707">
        <v>8447</v>
      </c>
    </row>
    <row r="617" spans="2:10" ht="15">
      <c r="B617" s="706">
        <v>8413</v>
      </c>
      <c r="C617" s="706">
        <v>1111.2999999999461</v>
      </c>
      <c r="D617" s="707">
        <v>8447</v>
      </c>
      <c r="E617" s="707">
        <v>1111.399999999946</v>
      </c>
      <c r="G617" s="65">
        <v>1111.399999999946</v>
      </c>
      <c r="H617" s="707">
        <v>8447</v>
      </c>
      <c r="I617" s="65">
        <v>1111.4999999999459</v>
      </c>
      <c r="J617" s="707">
        <v>8480</v>
      </c>
    </row>
    <row r="618" spans="2:10" ht="15">
      <c r="B618" s="706">
        <v>8447</v>
      </c>
      <c r="C618" s="706">
        <v>1111.399999999946</v>
      </c>
      <c r="D618" s="707">
        <v>8480</v>
      </c>
      <c r="E618" s="707">
        <v>1111.4999999999459</v>
      </c>
      <c r="G618" s="65">
        <v>1111.4999999999459</v>
      </c>
      <c r="H618" s="707">
        <v>8480</v>
      </c>
      <c r="I618" s="65">
        <v>1111.5999999999458</v>
      </c>
      <c r="J618" s="707">
        <v>8513</v>
      </c>
    </row>
    <row r="619" spans="2:10" ht="15">
      <c r="B619" s="706">
        <v>8480</v>
      </c>
      <c r="C619" s="706">
        <v>1111.4999999999459</v>
      </c>
      <c r="D619" s="707">
        <v>8513</v>
      </c>
      <c r="E619" s="707">
        <v>1111.5999999999458</v>
      </c>
      <c r="G619" s="65">
        <v>1111.5999999999458</v>
      </c>
      <c r="H619" s="707">
        <v>8513</v>
      </c>
      <c r="I619" s="65">
        <v>1111.6999999999457</v>
      </c>
      <c r="J619" s="707">
        <v>8546</v>
      </c>
    </row>
    <row r="620" spans="2:10" ht="15">
      <c r="B620" s="706">
        <v>8513</v>
      </c>
      <c r="C620" s="706">
        <v>1111.5999999999458</v>
      </c>
      <c r="D620" s="707">
        <v>8546</v>
      </c>
      <c r="E620" s="707">
        <v>1111.6999999999457</v>
      </c>
      <c r="G620" s="65">
        <v>1111.6999999999457</v>
      </c>
      <c r="H620" s="707">
        <v>8546</v>
      </c>
      <c r="I620" s="65">
        <v>1111.7999999999456</v>
      </c>
      <c r="J620" s="707">
        <v>8580</v>
      </c>
    </row>
    <row r="621" spans="2:10" ht="15">
      <c r="B621" s="706">
        <v>8546</v>
      </c>
      <c r="C621" s="706">
        <v>1111.6999999999457</v>
      </c>
      <c r="D621" s="707">
        <v>8580</v>
      </c>
      <c r="E621" s="707">
        <v>1111.7999999999456</v>
      </c>
      <c r="G621" s="65">
        <v>1111.7999999999456</v>
      </c>
      <c r="H621" s="707">
        <v>8580</v>
      </c>
      <c r="I621" s="65">
        <v>1111.8999999999455</v>
      </c>
      <c r="J621" s="707">
        <v>8613</v>
      </c>
    </row>
    <row r="622" spans="2:10" ht="15">
      <c r="B622" s="706">
        <v>8580</v>
      </c>
      <c r="C622" s="706">
        <v>1111.7999999999456</v>
      </c>
      <c r="D622" s="707">
        <v>8613</v>
      </c>
      <c r="E622" s="707">
        <v>1111.8999999999455</v>
      </c>
      <c r="G622" s="65">
        <v>1111.8999999999455</v>
      </c>
      <c r="H622" s="707">
        <v>8613</v>
      </c>
      <c r="I622" s="65">
        <v>1111.9999999999454</v>
      </c>
      <c r="J622" s="707">
        <v>8646</v>
      </c>
    </row>
    <row r="623" spans="2:10" ht="15">
      <c r="B623" s="706">
        <v>8613</v>
      </c>
      <c r="C623" s="706">
        <v>1111.8999999999455</v>
      </c>
      <c r="D623" s="707">
        <v>8646</v>
      </c>
      <c r="E623" s="707">
        <v>1111.9999999999454</v>
      </c>
      <c r="G623" s="65">
        <v>1111.9999999999454</v>
      </c>
      <c r="H623" s="707">
        <v>8646</v>
      </c>
      <c r="I623" s="65">
        <v>1112.0999999999453</v>
      </c>
      <c r="J623" s="707">
        <v>8681</v>
      </c>
    </row>
    <row r="624" spans="2:10" ht="15">
      <c r="B624" s="706">
        <v>8646</v>
      </c>
      <c r="C624" s="706">
        <v>1111.9999999999454</v>
      </c>
      <c r="D624" s="707">
        <v>8681</v>
      </c>
      <c r="E624" s="707">
        <v>1112.0999999999453</v>
      </c>
      <c r="G624" s="65">
        <v>1112.0999999999453</v>
      </c>
      <c r="H624" s="707">
        <v>8681</v>
      </c>
      <c r="I624" s="65">
        <v>1112.1999999999452</v>
      </c>
      <c r="J624" s="707">
        <v>8715</v>
      </c>
    </row>
    <row r="625" spans="2:10" ht="15">
      <c r="B625" s="706">
        <v>8681</v>
      </c>
      <c r="C625" s="706">
        <v>1112.0999999999453</v>
      </c>
      <c r="D625" s="707">
        <v>8715</v>
      </c>
      <c r="E625" s="707">
        <v>1112.1999999999452</v>
      </c>
      <c r="G625" s="65">
        <v>1112.1999999999452</v>
      </c>
      <c r="H625" s="707">
        <v>8715</v>
      </c>
      <c r="I625" s="65">
        <v>1112.2999999999452</v>
      </c>
      <c r="J625" s="707">
        <v>8749</v>
      </c>
    </row>
    <row r="626" spans="2:10" ht="15">
      <c r="B626" s="706">
        <v>8715</v>
      </c>
      <c r="C626" s="706">
        <v>1112.1999999999452</v>
      </c>
      <c r="D626" s="707">
        <v>8749</v>
      </c>
      <c r="E626" s="707">
        <v>1112.2999999999452</v>
      </c>
      <c r="G626" s="65">
        <v>1112.2999999999452</v>
      </c>
      <c r="H626" s="707">
        <v>8749</v>
      </c>
      <c r="I626" s="65">
        <v>1112.3999999999451</v>
      </c>
      <c r="J626" s="707">
        <v>8783</v>
      </c>
    </row>
    <row r="627" spans="2:10" ht="15">
      <c r="B627" s="706">
        <v>8749</v>
      </c>
      <c r="C627" s="706">
        <v>1112.2999999999452</v>
      </c>
      <c r="D627" s="707">
        <v>8783</v>
      </c>
      <c r="E627" s="707">
        <v>1112.3999999999451</v>
      </c>
      <c r="G627" s="65">
        <v>1112.3999999999451</v>
      </c>
      <c r="H627" s="707">
        <v>8783</v>
      </c>
      <c r="I627" s="65">
        <v>1112.499999999945</v>
      </c>
      <c r="J627" s="707">
        <v>8818</v>
      </c>
    </row>
    <row r="628" spans="2:10" ht="15">
      <c r="B628" s="706">
        <v>8783</v>
      </c>
      <c r="C628" s="706">
        <v>1112.3999999999451</v>
      </c>
      <c r="D628" s="707">
        <v>8818</v>
      </c>
      <c r="E628" s="707">
        <v>1112.499999999945</v>
      </c>
      <c r="G628" s="65">
        <v>1112.499999999945</v>
      </c>
      <c r="H628" s="707">
        <v>8818</v>
      </c>
      <c r="I628" s="65">
        <v>1112.5999999999449</v>
      </c>
      <c r="J628" s="707">
        <v>8852</v>
      </c>
    </row>
    <row r="629" spans="2:10" ht="15">
      <c r="B629" s="706">
        <v>8818</v>
      </c>
      <c r="C629" s="706">
        <v>1112.499999999945</v>
      </c>
      <c r="D629" s="707">
        <v>8852</v>
      </c>
      <c r="E629" s="707">
        <v>1112.5999999999449</v>
      </c>
      <c r="G629" s="65">
        <v>1112.5999999999449</v>
      </c>
      <c r="H629" s="707">
        <v>8852</v>
      </c>
      <c r="I629" s="65">
        <v>1112.6999999999448</v>
      </c>
      <c r="J629" s="707">
        <v>8886</v>
      </c>
    </row>
    <row r="630" spans="2:10" ht="15">
      <c r="B630" s="706">
        <v>8852</v>
      </c>
      <c r="C630" s="706">
        <v>1112.5999999999449</v>
      </c>
      <c r="D630" s="707">
        <v>8886</v>
      </c>
      <c r="E630" s="707">
        <v>1112.6999999999448</v>
      </c>
      <c r="G630" s="65">
        <v>1112.6999999999448</v>
      </c>
      <c r="H630" s="707">
        <v>8886</v>
      </c>
      <c r="I630" s="65">
        <v>1112.7999999999447</v>
      </c>
      <c r="J630" s="707">
        <v>8920</v>
      </c>
    </row>
    <row r="631" spans="2:10" ht="15">
      <c r="B631" s="706">
        <v>8886</v>
      </c>
      <c r="C631" s="706">
        <v>1112.6999999999448</v>
      </c>
      <c r="D631" s="707">
        <v>8920</v>
      </c>
      <c r="E631" s="707">
        <v>1112.7999999999447</v>
      </c>
      <c r="G631" s="65">
        <v>1112.7999999999447</v>
      </c>
      <c r="H631" s="707">
        <v>8920</v>
      </c>
      <c r="I631" s="65">
        <v>1112.8999999999446</v>
      </c>
      <c r="J631" s="707">
        <v>8955</v>
      </c>
    </row>
    <row r="632" spans="2:10" ht="15">
      <c r="B632" s="706">
        <v>8920</v>
      </c>
      <c r="C632" s="706">
        <v>1112.7999999999447</v>
      </c>
      <c r="D632" s="707">
        <v>8955</v>
      </c>
      <c r="E632" s="707">
        <v>1112.8999999999446</v>
      </c>
      <c r="G632" s="65">
        <v>1112.8999999999446</v>
      </c>
      <c r="H632" s="707">
        <v>8955</v>
      </c>
      <c r="I632" s="65">
        <v>1112.9999999999445</v>
      </c>
      <c r="J632" s="707">
        <v>8989</v>
      </c>
    </row>
    <row r="633" spans="2:10" ht="15">
      <c r="B633" s="706">
        <v>8955</v>
      </c>
      <c r="C633" s="706">
        <v>1112.8999999999446</v>
      </c>
      <c r="D633" s="707">
        <v>8989</v>
      </c>
      <c r="E633" s="707">
        <v>1112.9999999999445</v>
      </c>
      <c r="G633" s="65">
        <v>1112.9999999999445</v>
      </c>
      <c r="H633" s="707">
        <v>8989</v>
      </c>
      <c r="I633" s="65">
        <v>1113.0999999999444</v>
      </c>
      <c r="J633" s="707">
        <v>9024</v>
      </c>
    </row>
    <row r="634" spans="2:10" ht="15">
      <c r="B634" s="706">
        <v>8989</v>
      </c>
      <c r="C634" s="706">
        <v>1112.9999999999445</v>
      </c>
      <c r="D634" s="707">
        <v>9024</v>
      </c>
      <c r="E634" s="707">
        <v>1113.0999999999444</v>
      </c>
      <c r="G634" s="65">
        <v>1113.0999999999444</v>
      </c>
      <c r="H634" s="707">
        <v>9024</v>
      </c>
      <c r="I634" s="65">
        <v>1113.1999999999443</v>
      </c>
      <c r="J634" s="707">
        <v>9060</v>
      </c>
    </row>
    <row r="635" spans="2:10" ht="15">
      <c r="B635" s="706">
        <v>9024</v>
      </c>
      <c r="C635" s="706">
        <v>1113.0999999999444</v>
      </c>
      <c r="D635" s="707">
        <v>9060</v>
      </c>
      <c r="E635" s="707">
        <v>1113.1999999999443</v>
      </c>
      <c r="G635" s="65">
        <v>1113.1999999999443</v>
      </c>
      <c r="H635" s="707">
        <v>9060</v>
      </c>
      <c r="I635" s="65">
        <v>1113.2999999999442</v>
      </c>
      <c r="J635" s="707">
        <v>9095</v>
      </c>
    </row>
    <row r="636" spans="2:10" ht="15">
      <c r="B636" s="706">
        <v>9060</v>
      </c>
      <c r="C636" s="706">
        <v>1113.1999999999443</v>
      </c>
      <c r="D636" s="707">
        <v>9095</v>
      </c>
      <c r="E636" s="707">
        <v>1113.2999999999442</v>
      </c>
      <c r="G636" s="65">
        <v>1113.2999999999442</v>
      </c>
      <c r="H636" s="707">
        <v>9095</v>
      </c>
      <c r="I636" s="65">
        <v>1113.3999999999442</v>
      </c>
      <c r="J636" s="707">
        <v>9131</v>
      </c>
    </row>
    <row r="637" spans="2:10" ht="15">
      <c r="B637" s="706">
        <v>9095</v>
      </c>
      <c r="C637" s="706">
        <v>1113.2999999999442</v>
      </c>
      <c r="D637" s="707">
        <v>9131</v>
      </c>
      <c r="E637" s="707">
        <v>1113.3999999999442</v>
      </c>
      <c r="G637" s="65">
        <v>1113.3999999999442</v>
      </c>
      <c r="H637" s="707">
        <v>9131</v>
      </c>
      <c r="I637" s="65">
        <v>1113.4999999999441</v>
      </c>
      <c r="J637" s="707">
        <v>9166</v>
      </c>
    </row>
    <row r="638" spans="2:10" ht="15">
      <c r="B638" s="706">
        <v>9131</v>
      </c>
      <c r="C638" s="706">
        <v>1113.3999999999442</v>
      </c>
      <c r="D638" s="707">
        <v>9166</v>
      </c>
      <c r="E638" s="707">
        <v>1113.4999999999441</v>
      </c>
      <c r="G638" s="65">
        <v>1113.4999999999441</v>
      </c>
      <c r="H638" s="707">
        <v>9166</v>
      </c>
      <c r="I638" s="65">
        <v>1113.599999999944</v>
      </c>
      <c r="J638" s="707">
        <v>9202</v>
      </c>
    </row>
    <row r="639" spans="2:10" ht="15">
      <c r="B639" s="706">
        <v>9166</v>
      </c>
      <c r="C639" s="706">
        <v>1113.4999999999441</v>
      </c>
      <c r="D639" s="707">
        <v>9202</v>
      </c>
      <c r="E639" s="707">
        <v>1113.599999999944</v>
      </c>
      <c r="G639" s="65">
        <v>1113.599999999944</v>
      </c>
      <c r="H639" s="707">
        <v>9202</v>
      </c>
      <c r="I639" s="65">
        <v>1113.6999999999439</v>
      </c>
      <c r="J639" s="707">
        <v>9237</v>
      </c>
    </row>
    <row r="640" spans="2:10" ht="15">
      <c r="B640" s="706">
        <v>9202</v>
      </c>
      <c r="C640" s="706">
        <v>1113.599999999944</v>
      </c>
      <c r="D640" s="707">
        <v>9237</v>
      </c>
      <c r="E640" s="707">
        <v>1113.6999999999439</v>
      </c>
      <c r="G640" s="65">
        <v>1113.6999999999439</v>
      </c>
      <c r="H640" s="707">
        <v>9237</v>
      </c>
      <c r="I640" s="65">
        <v>1113.7999999999438</v>
      </c>
      <c r="J640" s="707">
        <v>9272</v>
      </c>
    </row>
    <row r="641" spans="2:10" ht="15">
      <c r="B641" s="706">
        <v>9237</v>
      </c>
      <c r="C641" s="706">
        <v>1113.6999999999439</v>
      </c>
      <c r="D641" s="707">
        <v>9272</v>
      </c>
      <c r="E641" s="707">
        <v>1113.7999999999438</v>
      </c>
      <c r="G641" s="65">
        <v>1113.7999999999438</v>
      </c>
      <c r="H641" s="707">
        <v>9272</v>
      </c>
      <c r="I641" s="65">
        <v>1113.8999999999437</v>
      </c>
      <c r="J641" s="707">
        <v>9308</v>
      </c>
    </row>
    <row r="642" spans="2:10" ht="15">
      <c r="B642" s="706">
        <v>9272</v>
      </c>
      <c r="C642" s="706">
        <v>1113.7999999999438</v>
      </c>
      <c r="D642" s="707">
        <v>9308</v>
      </c>
      <c r="E642" s="707">
        <v>1113.8999999999437</v>
      </c>
      <c r="G642" s="65">
        <v>1113.8999999999437</v>
      </c>
      <c r="H642" s="707">
        <v>9308</v>
      </c>
      <c r="I642" s="65">
        <v>1113.9999999999436</v>
      </c>
      <c r="J642" s="707">
        <v>9343</v>
      </c>
    </row>
    <row r="643" spans="2:10" ht="15">
      <c r="B643" s="706">
        <v>9308</v>
      </c>
      <c r="C643" s="706">
        <v>1113.8999999999437</v>
      </c>
      <c r="D643" s="707">
        <v>9343</v>
      </c>
      <c r="E643" s="707">
        <v>1113.9999999999436</v>
      </c>
      <c r="G643" s="65">
        <v>1113.9999999999436</v>
      </c>
      <c r="H643" s="707">
        <v>9343</v>
      </c>
      <c r="I643" s="65">
        <v>1114.0999999999435</v>
      </c>
      <c r="J643" s="707">
        <v>9380</v>
      </c>
    </row>
    <row r="644" spans="2:10" ht="15">
      <c r="B644" s="706">
        <v>9343</v>
      </c>
      <c r="C644" s="706">
        <v>1113.9999999999436</v>
      </c>
      <c r="D644" s="707">
        <v>9380</v>
      </c>
      <c r="E644" s="707">
        <v>1114.0999999999435</v>
      </c>
      <c r="G644" s="65">
        <v>1114.0999999999435</v>
      </c>
      <c r="H644" s="707">
        <v>9380</v>
      </c>
      <c r="I644" s="65">
        <v>1114.1999999999434</v>
      </c>
      <c r="J644" s="707">
        <v>9416</v>
      </c>
    </row>
    <row r="645" spans="2:10" ht="15">
      <c r="B645" s="706">
        <v>9380</v>
      </c>
      <c r="C645" s="706">
        <v>1114.0999999999435</v>
      </c>
      <c r="D645" s="707">
        <v>9416</v>
      </c>
      <c r="E645" s="707">
        <v>1114.1999999999434</v>
      </c>
      <c r="G645" s="65">
        <v>1114.1999999999434</v>
      </c>
      <c r="H645" s="707">
        <v>9416</v>
      </c>
      <c r="I645" s="65">
        <v>1114.2999999999433</v>
      </c>
      <c r="J645" s="707">
        <v>9453</v>
      </c>
    </row>
    <row r="646" spans="2:10" ht="15">
      <c r="B646" s="706">
        <v>9416</v>
      </c>
      <c r="C646" s="706">
        <v>1114.1999999999434</v>
      </c>
      <c r="D646" s="707">
        <v>9453</v>
      </c>
      <c r="E646" s="707">
        <v>1114.2999999999433</v>
      </c>
      <c r="G646" s="65">
        <v>1114.2999999999433</v>
      </c>
      <c r="H646" s="707">
        <v>9453</v>
      </c>
      <c r="I646" s="65">
        <v>1114.3999999999432</v>
      </c>
      <c r="J646" s="707">
        <v>9490</v>
      </c>
    </row>
    <row r="647" spans="2:10" ht="15">
      <c r="B647" s="706">
        <v>9453</v>
      </c>
      <c r="C647" s="706">
        <v>1114.2999999999433</v>
      </c>
      <c r="D647" s="707">
        <v>9490</v>
      </c>
      <c r="E647" s="707">
        <v>1114.3999999999432</v>
      </c>
      <c r="G647" s="65">
        <v>1114.3999999999432</v>
      </c>
      <c r="H647" s="707">
        <v>9490</v>
      </c>
      <c r="I647" s="65">
        <v>1114.4999999999432</v>
      </c>
      <c r="J647" s="707">
        <v>9526</v>
      </c>
    </row>
    <row r="648" spans="2:10" ht="15">
      <c r="B648" s="706">
        <v>9490</v>
      </c>
      <c r="C648" s="706">
        <v>1114.3999999999432</v>
      </c>
      <c r="D648" s="707">
        <v>9526</v>
      </c>
      <c r="E648" s="707">
        <v>1114.4999999999432</v>
      </c>
      <c r="G648" s="65">
        <v>1114.4999999999432</v>
      </c>
      <c r="H648" s="707">
        <v>9526</v>
      </c>
      <c r="I648" s="65">
        <v>1114.5999999999431</v>
      </c>
      <c r="J648" s="707">
        <v>9563</v>
      </c>
    </row>
    <row r="649" spans="2:10" ht="15">
      <c r="B649" s="706">
        <v>9526</v>
      </c>
      <c r="C649" s="706">
        <v>1114.4999999999432</v>
      </c>
      <c r="D649" s="707">
        <v>9563</v>
      </c>
      <c r="E649" s="707">
        <v>1114.5999999999431</v>
      </c>
      <c r="G649" s="65">
        <v>1114.5999999999431</v>
      </c>
      <c r="H649" s="707">
        <v>9563</v>
      </c>
      <c r="I649" s="65">
        <v>1114.699999999943</v>
      </c>
      <c r="J649" s="707">
        <v>9599</v>
      </c>
    </row>
    <row r="650" spans="2:10" ht="15">
      <c r="B650" s="706">
        <v>9563</v>
      </c>
      <c r="C650" s="706">
        <v>1114.5999999999431</v>
      </c>
      <c r="D650" s="707">
        <v>9599</v>
      </c>
      <c r="E650" s="707">
        <v>1114.699999999943</v>
      </c>
      <c r="G650" s="65">
        <v>1114.699999999943</v>
      </c>
      <c r="H650" s="707">
        <v>9599</v>
      </c>
      <c r="I650" s="65">
        <v>1114.7999999999429</v>
      </c>
      <c r="J650" s="707">
        <v>9636</v>
      </c>
    </row>
    <row r="651" spans="2:10" ht="15">
      <c r="B651" s="706">
        <v>9599</v>
      </c>
      <c r="C651" s="706">
        <v>1114.699999999943</v>
      </c>
      <c r="D651" s="707">
        <v>9636</v>
      </c>
      <c r="E651" s="707">
        <v>1114.7999999999429</v>
      </c>
      <c r="G651" s="65">
        <v>1114.7999999999429</v>
      </c>
      <c r="H651" s="707">
        <v>9636</v>
      </c>
      <c r="I651" s="65">
        <v>1114.8999999999428</v>
      </c>
      <c r="J651" s="707">
        <v>9672</v>
      </c>
    </row>
    <row r="652" spans="2:10" ht="15">
      <c r="B652" s="706">
        <v>9636</v>
      </c>
      <c r="C652" s="706">
        <v>1114.7999999999429</v>
      </c>
      <c r="D652" s="707">
        <v>9672</v>
      </c>
      <c r="E652" s="707">
        <v>1114.8999999999428</v>
      </c>
      <c r="G652" s="65">
        <v>1114.8999999999428</v>
      </c>
      <c r="H652" s="707">
        <v>9672</v>
      </c>
      <c r="I652" s="65">
        <v>1114.9999999999427</v>
      </c>
      <c r="J652" s="707">
        <v>9709</v>
      </c>
    </row>
    <row r="653" spans="2:10" ht="15">
      <c r="B653" s="706">
        <v>9672</v>
      </c>
      <c r="C653" s="706">
        <v>1114.8999999999428</v>
      </c>
      <c r="D653" s="707">
        <v>9709</v>
      </c>
      <c r="E653" s="707">
        <v>1114.9999999999427</v>
      </c>
      <c r="G653" s="65">
        <v>1114.9999999999427</v>
      </c>
      <c r="H653" s="707">
        <v>9709</v>
      </c>
      <c r="I653" s="65">
        <v>1115.0999999999426</v>
      </c>
      <c r="J653" s="707">
        <v>9747</v>
      </c>
    </row>
    <row r="654" spans="2:10" ht="15">
      <c r="B654" s="706">
        <v>9709</v>
      </c>
      <c r="C654" s="706">
        <v>1114.9999999999427</v>
      </c>
      <c r="D654" s="707">
        <v>9747</v>
      </c>
      <c r="E654" s="707">
        <v>1115.0999999999426</v>
      </c>
      <c r="G654" s="65">
        <v>1115.0999999999426</v>
      </c>
      <c r="H654" s="707">
        <v>9747</v>
      </c>
      <c r="I654" s="65">
        <v>1115.1999999999425</v>
      </c>
      <c r="J654" s="707">
        <v>9784</v>
      </c>
    </row>
    <row r="655" spans="2:10" ht="15">
      <c r="B655" s="706">
        <v>9747</v>
      </c>
      <c r="C655" s="706">
        <v>1115.0999999999426</v>
      </c>
      <c r="D655" s="707">
        <v>9784</v>
      </c>
      <c r="E655" s="707">
        <v>1115.1999999999425</v>
      </c>
      <c r="G655" s="65">
        <v>1115.1999999999425</v>
      </c>
      <c r="H655" s="707">
        <v>9784</v>
      </c>
      <c r="I655" s="65">
        <v>1115.2999999999424</v>
      </c>
      <c r="J655" s="707">
        <v>9822</v>
      </c>
    </row>
    <row r="656" spans="2:10" ht="15">
      <c r="B656" s="706">
        <v>9784</v>
      </c>
      <c r="C656" s="706">
        <v>1115.1999999999425</v>
      </c>
      <c r="D656" s="707">
        <v>9822</v>
      </c>
      <c r="E656" s="707">
        <v>1115.2999999999424</v>
      </c>
      <c r="G656" s="65">
        <v>1115.2999999999424</v>
      </c>
      <c r="H656" s="707">
        <v>9822</v>
      </c>
      <c r="I656" s="65">
        <v>1115.3999999999423</v>
      </c>
      <c r="J656" s="707">
        <v>9860</v>
      </c>
    </row>
    <row r="657" spans="2:10" ht="15">
      <c r="B657" s="706">
        <v>9822</v>
      </c>
      <c r="C657" s="706">
        <v>1115.2999999999424</v>
      </c>
      <c r="D657" s="707">
        <v>9860</v>
      </c>
      <c r="E657" s="707">
        <v>1115.3999999999423</v>
      </c>
      <c r="G657" s="65">
        <v>1115.3999999999423</v>
      </c>
      <c r="H657" s="707">
        <v>9860</v>
      </c>
      <c r="I657" s="65">
        <v>1115.4999999999422</v>
      </c>
      <c r="J657" s="707">
        <v>9897</v>
      </c>
    </row>
    <row r="658" spans="2:10" ht="15">
      <c r="B658" s="706">
        <v>9860</v>
      </c>
      <c r="C658" s="706">
        <v>1115.3999999999423</v>
      </c>
      <c r="D658" s="707">
        <v>9897</v>
      </c>
      <c r="E658" s="707">
        <v>1115.4999999999422</v>
      </c>
      <c r="G658" s="65">
        <v>1115.4999999999422</v>
      </c>
      <c r="H658" s="707">
        <v>9897</v>
      </c>
      <c r="I658" s="65">
        <v>1115.5999999999422</v>
      </c>
      <c r="J658" s="707">
        <v>9935</v>
      </c>
    </row>
    <row r="659" spans="2:10" ht="15">
      <c r="B659" s="706">
        <v>9897</v>
      </c>
      <c r="C659" s="706">
        <v>1115.4999999999422</v>
      </c>
      <c r="D659" s="707">
        <v>9935</v>
      </c>
      <c r="E659" s="707">
        <v>1115.5999999999422</v>
      </c>
      <c r="G659" s="65">
        <v>1115.5999999999422</v>
      </c>
      <c r="H659" s="707">
        <v>9935</v>
      </c>
      <c r="I659" s="65">
        <v>1115.6999999999421</v>
      </c>
      <c r="J659" s="707">
        <v>9973</v>
      </c>
    </row>
    <row r="660" spans="2:10" ht="15">
      <c r="B660" s="706">
        <v>9935</v>
      </c>
      <c r="C660" s="706">
        <v>1115.5999999999422</v>
      </c>
      <c r="D660" s="707">
        <v>9973</v>
      </c>
      <c r="E660" s="707">
        <v>1115.6999999999421</v>
      </c>
      <c r="G660" s="65">
        <v>1115.6999999999421</v>
      </c>
      <c r="H660" s="707">
        <v>9973</v>
      </c>
      <c r="I660" s="65">
        <v>1115.799999999942</v>
      </c>
      <c r="J660" s="707">
        <v>10010</v>
      </c>
    </row>
    <row r="661" spans="2:10" ht="15">
      <c r="B661" s="706">
        <v>9973</v>
      </c>
      <c r="C661" s="706">
        <v>1115.6999999999421</v>
      </c>
      <c r="D661" s="707">
        <v>10010</v>
      </c>
      <c r="E661" s="707">
        <v>1115.799999999942</v>
      </c>
      <c r="G661" s="65">
        <v>1115.799999999942</v>
      </c>
      <c r="H661" s="707">
        <v>10010</v>
      </c>
      <c r="I661" s="65">
        <v>1115.8999999999419</v>
      </c>
      <c r="J661" s="707">
        <v>10048</v>
      </c>
    </row>
    <row r="662" spans="2:10" ht="15">
      <c r="B662" s="706">
        <v>10010</v>
      </c>
      <c r="C662" s="706">
        <v>1115.799999999942</v>
      </c>
      <c r="D662" s="707">
        <v>10048</v>
      </c>
      <c r="E662" s="707">
        <v>1115.8999999999419</v>
      </c>
      <c r="G662" s="65">
        <v>1115.8999999999419</v>
      </c>
      <c r="H662" s="707">
        <v>10048</v>
      </c>
      <c r="I662" s="65">
        <v>1115.9999999999418</v>
      </c>
      <c r="J662" s="707">
        <v>10086</v>
      </c>
    </row>
    <row r="663" spans="2:10" ht="15">
      <c r="B663" s="706">
        <v>10048</v>
      </c>
      <c r="C663" s="706">
        <v>1115.8999999999419</v>
      </c>
      <c r="D663" s="707">
        <v>10086</v>
      </c>
      <c r="E663" s="707">
        <v>1115.9999999999418</v>
      </c>
      <c r="G663" s="65">
        <v>1115.9999999999418</v>
      </c>
      <c r="H663" s="707">
        <v>10086</v>
      </c>
      <c r="I663" s="65">
        <v>1116.0999999999417</v>
      </c>
      <c r="J663" s="707">
        <v>10125</v>
      </c>
    </row>
    <row r="664" spans="2:10" ht="15">
      <c r="B664" s="706">
        <v>10086</v>
      </c>
      <c r="C664" s="706">
        <v>1115.9999999999418</v>
      </c>
      <c r="D664" s="707">
        <v>10125</v>
      </c>
      <c r="E664" s="707">
        <v>1116.0999999999417</v>
      </c>
      <c r="G664" s="65">
        <v>1116.0999999999417</v>
      </c>
      <c r="H664" s="707">
        <v>10125</v>
      </c>
      <c r="I664" s="65">
        <v>1116.1999999999416</v>
      </c>
      <c r="J664" s="707">
        <v>10164</v>
      </c>
    </row>
    <row r="665" spans="2:10" ht="15">
      <c r="B665" s="706">
        <v>10125</v>
      </c>
      <c r="C665" s="706">
        <v>1116.0999999999417</v>
      </c>
      <c r="D665" s="707">
        <v>10164</v>
      </c>
      <c r="E665" s="707">
        <v>1116.1999999999416</v>
      </c>
      <c r="G665" s="65">
        <v>1116.1999999999416</v>
      </c>
      <c r="H665" s="707">
        <v>10164</v>
      </c>
      <c r="I665" s="65">
        <v>1116.2999999999415</v>
      </c>
      <c r="J665" s="707">
        <v>10202</v>
      </c>
    </row>
    <row r="666" spans="2:10" ht="15">
      <c r="B666" s="706">
        <v>10164</v>
      </c>
      <c r="C666" s="706">
        <v>1116.1999999999416</v>
      </c>
      <c r="D666" s="707">
        <v>10202</v>
      </c>
      <c r="E666" s="707">
        <v>1116.2999999999415</v>
      </c>
      <c r="G666" s="65">
        <v>1116.2999999999415</v>
      </c>
      <c r="H666" s="707">
        <v>10202</v>
      </c>
      <c r="I666" s="65">
        <v>1116.3999999999414</v>
      </c>
      <c r="J666" s="707">
        <v>10241</v>
      </c>
    </row>
    <row r="667" spans="2:10" ht="15">
      <c r="B667" s="706">
        <v>10202</v>
      </c>
      <c r="C667" s="706">
        <v>1116.2999999999415</v>
      </c>
      <c r="D667" s="707">
        <v>10241</v>
      </c>
      <c r="E667" s="707">
        <v>1116.3999999999414</v>
      </c>
      <c r="G667" s="65">
        <v>1116.3999999999414</v>
      </c>
      <c r="H667" s="707">
        <v>10241</v>
      </c>
      <c r="I667" s="65">
        <v>1116.4999999999413</v>
      </c>
      <c r="J667" s="707">
        <v>10280</v>
      </c>
    </row>
    <row r="668" spans="2:10" ht="15">
      <c r="B668" s="706">
        <v>10241</v>
      </c>
      <c r="C668" s="706">
        <v>1116.3999999999414</v>
      </c>
      <c r="D668" s="707">
        <v>10280</v>
      </c>
      <c r="E668" s="707">
        <v>1116.4999999999413</v>
      </c>
      <c r="G668" s="65">
        <v>1116.4999999999413</v>
      </c>
      <c r="H668" s="707">
        <v>10280</v>
      </c>
      <c r="I668" s="65">
        <v>1116.5999999999412</v>
      </c>
      <c r="J668" s="707">
        <v>10319</v>
      </c>
    </row>
    <row r="669" spans="2:10" ht="15">
      <c r="B669" s="706">
        <v>10280</v>
      </c>
      <c r="C669" s="706">
        <v>1116.4999999999413</v>
      </c>
      <c r="D669" s="707">
        <v>10319</v>
      </c>
      <c r="E669" s="707">
        <v>1116.5999999999412</v>
      </c>
      <c r="G669" s="65">
        <v>1116.5999999999412</v>
      </c>
      <c r="H669" s="707">
        <v>10319</v>
      </c>
      <c r="I669" s="65">
        <v>1116.6999999999412</v>
      </c>
      <c r="J669" s="707">
        <v>10358</v>
      </c>
    </row>
    <row r="670" spans="2:10" ht="15">
      <c r="B670" s="706">
        <v>10319</v>
      </c>
      <c r="C670" s="706">
        <v>1116.5999999999412</v>
      </c>
      <c r="D670" s="707">
        <v>10358</v>
      </c>
      <c r="E670" s="707">
        <v>1116.6999999999412</v>
      </c>
      <c r="G670" s="65">
        <v>1116.6999999999412</v>
      </c>
      <c r="H670" s="707">
        <v>10358</v>
      </c>
      <c r="I670" s="65">
        <v>1116.7999999999411</v>
      </c>
      <c r="J670" s="707">
        <v>10397</v>
      </c>
    </row>
    <row r="671" spans="2:10" ht="15">
      <c r="B671" s="706">
        <v>10358</v>
      </c>
      <c r="C671" s="706">
        <v>1116.6999999999412</v>
      </c>
      <c r="D671" s="707">
        <v>10397</v>
      </c>
      <c r="E671" s="707">
        <v>1116.7999999999411</v>
      </c>
      <c r="G671" s="65">
        <v>1116.7999999999411</v>
      </c>
      <c r="H671" s="707">
        <v>10397</v>
      </c>
      <c r="I671" s="65">
        <v>1116.899999999941</v>
      </c>
      <c r="J671" s="707">
        <v>10436</v>
      </c>
    </row>
    <row r="672" spans="2:10" ht="15">
      <c r="B672" s="706">
        <v>10397</v>
      </c>
      <c r="C672" s="706">
        <v>1116.7999999999411</v>
      </c>
      <c r="D672" s="707">
        <v>10436</v>
      </c>
      <c r="E672" s="707">
        <v>1116.899999999941</v>
      </c>
      <c r="G672" s="65">
        <v>1116.899999999941</v>
      </c>
      <c r="H672" s="707">
        <v>10436</v>
      </c>
      <c r="I672" s="65">
        <v>1116.9999999999409</v>
      </c>
      <c r="J672" s="707">
        <v>10474</v>
      </c>
    </row>
    <row r="673" spans="2:10" ht="15">
      <c r="B673" s="706">
        <v>10436</v>
      </c>
      <c r="C673" s="706">
        <v>1116.899999999941</v>
      </c>
      <c r="D673" s="707">
        <v>10474</v>
      </c>
      <c r="E673" s="707">
        <v>1116.9999999999409</v>
      </c>
      <c r="G673" s="65">
        <v>1116.9999999999409</v>
      </c>
      <c r="H673" s="707">
        <v>10474</v>
      </c>
      <c r="I673" s="65">
        <v>1117.0999999999408</v>
      </c>
      <c r="J673" s="707">
        <v>10515</v>
      </c>
    </row>
    <row r="674" spans="2:10" ht="15">
      <c r="B674" s="706">
        <v>10474</v>
      </c>
      <c r="C674" s="706">
        <v>1116.9999999999409</v>
      </c>
      <c r="D674" s="707">
        <v>10515</v>
      </c>
      <c r="E674" s="707">
        <v>1117.0999999999408</v>
      </c>
      <c r="G674" s="65">
        <v>1117.0999999999408</v>
      </c>
      <c r="H674" s="707">
        <v>10515</v>
      </c>
      <c r="I674" s="65">
        <v>1117.1999999999407</v>
      </c>
      <c r="J674" s="707">
        <v>10555</v>
      </c>
    </row>
    <row r="675" spans="2:10" ht="15">
      <c r="B675" s="706">
        <v>10515</v>
      </c>
      <c r="C675" s="706">
        <v>1117.0999999999408</v>
      </c>
      <c r="D675" s="707">
        <v>10555</v>
      </c>
      <c r="E675" s="707">
        <v>1117.1999999999407</v>
      </c>
      <c r="G675" s="65">
        <v>1117.1999999999407</v>
      </c>
      <c r="H675" s="707">
        <v>10555</v>
      </c>
      <c r="I675" s="65">
        <v>1117.2999999999406</v>
      </c>
      <c r="J675" s="707">
        <v>10595</v>
      </c>
    </row>
    <row r="676" spans="2:10" ht="15">
      <c r="B676" s="706">
        <v>10555</v>
      </c>
      <c r="C676" s="706">
        <v>1117.1999999999407</v>
      </c>
      <c r="D676" s="707">
        <v>10595</v>
      </c>
      <c r="E676" s="707">
        <v>1117.2999999999406</v>
      </c>
      <c r="G676" s="65">
        <v>1117.2999999999406</v>
      </c>
      <c r="H676" s="707">
        <v>10595</v>
      </c>
      <c r="I676" s="65">
        <v>1117.3999999999405</v>
      </c>
      <c r="J676" s="707">
        <v>10635</v>
      </c>
    </row>
    <row r="677" spans="2:10" ht="15">
      <c r="B677" s="706">
        <v>10595</v>
      </c>
      <c r="C677" s="706">
        <v>1117.2999999999406</v>
      </c>
      <c r="D677" s="707">
        <v>10635</v>
      </c>
      <c r="E677" s="707">
        <v>1117.3999999999405</v>
      </c>
      <c r="G677" s="65">
        <v>1117.3999999999405</v>
      </c>
      <c r="H677" s="707">
        <v>10635</v>
      </c>
      <c r="I677" s="65">
        <v>1117.4999999999404</v>
      </c>
      <c r="J677" s="707">
        <v>10675</v>
      </c>
    </row>
    <row r="678" spans="2:10" ht="15">
      <c r="B678" s="706">
        <v>10635</v>
      </c>
      <c r="C678" s="706">
        <v>1117.3999999999405</v>
      </c>
      <c r="D678" s="707">
        <v>10675</v>
      </c>
      <c r="E678" s="707">
        <v>1117.4999999999404</v>
      </c>
      <c r="G678" s="65">
        <v>1117.4999999999404</v>
      </c>
      <c r="H678" s="707">
        <v>10675</v>
      </c>
      <c r="I678" s="65">
        <v>1117.5999999999403</v>
      </c>
      <c r="J678" s="707">
        <v>10715</v>
      </c>
    </row>
    <row r="679" spans="2:10" ht="15">
      <c r="B679" s="706">
        <v>10675</v>
      </c>
      <c r="C679" s="706">
        <v>1117.4999999999404</v>
      </c>
      <c r="D679" s="707">
        <v>10715</v>
      </c>
      <c r="E679" s="707">
        <v>1117.5999999999403</v>
      </c>
      <c r="G679" s="65">
        <v>1117.5999999999403</v>
      </c>
      <c r="H679" s="707">
        <v>10715</v>
      </c>
      <c r="I679" s="65">
        <v>1117.6999999999402</v>
      </c>
      <c r="J679" s="707">
        <v>10755</v>
      </c>
    </row>
    <row r="680" spans="2:10" ht="15">
      <c r="B680" s="706">
        <v>10715</v>
      </c>
      <c r="C680" s="706">
        <v>1117.5999999999403</v>
      </c>
      <c r="D680" s="707">
        <v>10755</v>
      </c>
      <c r="E680" s="707">
        <v>1117.6999999999402</v>
      </c>
      <c r="G680" s="65">
        <v>1117.6999999999402</v>
      </c>
      <c r="H680" s="707">
        <v>10755</v>
      </c>
      <c r="I680" s="65">
        <v>1117.7999999999402</v>
      </c>
      <c r="J680" s="707">
        <v>10795</v>
      </c>
    </row>
    <row r="681" spans="2:10" ht="15">
      <c r="B681" s="706">
        <v>10755</v>
      </c>
      <c r="C681" s="706">
        <v>1117.6999999999402</v>
      </c>
      <c r="D681" s="707">
        <v>10795</v>
      </c>
      <c r="E681" s="707">
        <v>1117.7999999999402</v>
      </c>
      <c r="G681" s="65">
        <v>1117.7999999999402</v>
      </c>
      <c r="H681" s="707">
        <v>10795</v>
      </c>
      <c r="I681" s="65">
        <v>1117.8999999999401</v>
      </c>
      <c r="J681" s="707">
        <v>10836</v>
      </c>
    </row>
    <row r="682" spans="2:10" ht="15">
      <c r="B682" s="706">
        <v>10795</v>
      </c>
      <c r="C682" s="706">
        <v>1117.7999999999402</v>
      </c>
      <c r="D682" s="707">
        <v>10836</v>
      </c>
      <c r="E682" s="707">
        <v>1117.8999999999401</v>
      </c>
      <c r="G682" s="65">
        <v>1117.8999999999401</v>
      </c>
      <c r="H682" s="707">
        <v>10836</v>
      </c>
      <c r="I682" s="65">
        <v>1117.99999999994</v>
      </c>
      <c r="J682" s="707">
        <v>10876</v>
      </c>
    </row>
    <row r="683" spans="2:10" ht="15">
      <c r="B683" s="706">
        <v>10836</v>
      </c>
      <c r="C683" s="706">
        <v>1117.8999999999401</v>
      </c>
      <c r="D683" s="707">
        <v>10876</v>
      </c>
      <c r="E683" s="707">
        <v>1117.99999999994</v>
      </c>
      <c r="G683" s="65">
        <v>1117.99999999994</v>
      </c>
      <c r="H683" s="707">
        <v>10876</v>
      </c>
      <c r="I683" s="65">
        <v>1118.0999999999399</v>
      </c>
      <c r="J683" s="707">
        <v>10917</v>
      </c>
    </row>
    <row r="684" spans="2:10" ht="15">
      <c r="B684" s="706">
        <v>10876</v>
      </c>
      <c r="C684" s="706">
        <v>1117.99999999994</v>
      </c>
      <c r="D684" s="707">
        <v>10917</v>
      </c>
      <c r="E684" s="707">
        <v>1118.0999999999399</v>
      </c>
      <c r="G684" s="65">
        <v>1118.0999999999399</v>
      </c>
      <c r="H684" s="707">
        <v>10917</v>
      </c>
      <c r="I684" s="65">
        <v>1118.1999999999398</v>
      </c>
      <c r="J684" s="707">
        <v>10958</v>
      </c>
    </row>
    <row r="685" spans="2:10" ht="15">
      <c r="B685" s="706">
        <v>10917</v>
      </c>
      <c r="C685" s="706">
        <v>1118.0999999999399</v>
      </c>
      <c r="D685" s="707">
        <v>10958</v>
      </c>
      <c r="E685" s="707">
        <v>1118.1999999999398</v>
      </c>
      <c r="G685" s="65">
        <v>1118.1999999999398</v>
      </c>
      <c r="H685" s="707">
        <v>10958</v>
      </c>
      <c r="I685" s="65">
        <v>1118.2999999999397</v>
      </c>
      <c r="J685" s="707">
        <v>11000</v>
      </c>
    </row>
    <row r="686" spans="2:10" ht="15">
      <c r="B686" s="706">
        <v>10958</v>
      </c>
      <c r="C686" s="706">
        <v>1118.1999999999398</v>
      </c>
      <c r="D686" s="707">
        <v>11000</v>
      </c>
      <c r="E686" s="707">
        <v>1118.2999999999397</v>
      </c>
      <c r="G686" s="65">
        <v>1118.2999999999397</v>
      </c>
      <c r="H686" s="707">
        <v>11000</v>
      </c>
      <c r="I686" s="65">
        <v>1118.3999999999396</v>
      </c>
      <c r="J686" s="707">
        <v>11041</v>
      </c>
    </row>
    <row r="687" spans="2:10" ht="15">
      <c r="B687" s="706">
        <v>11000</v>
      </c>
      <c r="C687" s="706">
        <v>1118.2999999999397</v>
      </c>
      <c r="D687" s="707">
        <v>11041</v>
      </c>
      <c r="E687" s="707">
        <v>1118.3999999999396</v>
      </c>
      <c r="G687" s="65">
        <v>1118.3999999999396</v>
      </c>
      <c r="H687" s="707">
        <v>11041</v>
      </c>
      <c r="I687" s="65">
        <v>1118.4999999999395</v>
      </c>
      <c r="J687" s="707">
        <v>11082</v>
      </c>
    </row>
    <row r="688" spans="2:10" ht="15">
      <c r="B688" s="706">
        <v>11041</v>
      </c>
      <c r="C688" s="706">
        <v>1118.3999999999396</v>
      </c>
      <c r="D688" s="707">
        <v>11082</v>
      </c>
      <c r="E688" s="707">
        <v>1118.4999999999395</v>
      </c>
      <c r="G688" s="65">
        <v>1118.4999999999395</v>
      </c>
      <c r="H688" s="707">
        <v>11082</v>
      </c>
      <c r="I688" s="65">
        <v>1118.5999999999394</v>
      </c>
      <c r="J688" s="707">
        <v>11124</v>
      </c>
    </row>
    <row r="689" spans="2:10" ht="15">
      <c r="B689" s="706">
        <v>11082</v>
      </c>
      <c r="C689" s="706">
        <v>1118.4999999999395</v>
      </c>
      <c r="D689" s="707">
        <v>11124</v>
      </c>
      <c r="E689" s="707">
        <v>1118.5999999999394</v>
      </c>
      <c r="G689" s="65">
        <v>1118.5999999999394</v>
      </c>
      <c r="H689" s="707">
        <v>11124</v>
      </c>
      <c r="I689" s="65">
        <v>1118.6999999999393</v>
      </c>
      <c r="J689" s="707">
        <v>11165</v>
      </c>
    </row>
    <row r="690" spans="2:10" ht="15">
      <c r="B690" s="706">
        <v>11124</v>
      </c>
      <c r="C690" s="706">
        <v>1118.5999999999394</v>
      </c>
      <c r="D690" s="707">
        <v>11165</v>
      </c>
      <c r="E690" s="707">
        <v>1118.6999999999393</v>
      </c>
      <c r="G690" s="65">
        <v>1118.6999999999393</v>
      </c>
      <c r="H690" s="707">
        <v>11165</v>
      </c>
      <c r="I690" s="65">
        <v>1118.7999999999392</v>
      </c>
      <c r="J690" s="707">
        <v>11206</v>
      </c>
    </row>
    <row r="691" spans="2:10" ht="15">
      <c r="B691" s="706">
        <v>11165</v>
      </c>
      <c r="C691" s="706">
        <v>1118.6999999999393</v>
      </c>
      <c r="D691" s="707">
        <v>11206</v>
      </c>
      <c r="E691" s="707">
        <v>1118.7999999999392</v>
      </c>
      <c r="G691" s="65">
        <v>1118.7999999999392</v>
      </c>
      <c r="H691" s="707">
        <v>11206</v>
      </c>
      <c r="I691" s="65">
        <v>1118.8999999999392</v>
      </c>
      <c r="J691" s="707">
        <v>11248</v>
      </c>
    </row>
    <row r="692" spans="2:10" ht="15">
      <c r="B692" s="706">
        <v>11206</v>
      </c>
      <c r="C692" s="706">
        <v>1118.7999999999392</v>
      </c>
      <c r="D692" s="707">
        <v>11248</v>
      </c>
      <c r="E692" s="707">
        <v>1118.8999999999392</v>
      </c>
      <c r="G692" s="65">
        <v>1118.8999999999392</v>
      </c>
      <c r="H692" s="707">
        <v>11248</v>
      </c>
      <c r="I692" s="65">
        <v>1118.9999999999391</v>
      </c>
      <c r="J692" s="707">
        <v>11289</v>
      </c>
    </row>
    <row r="693" spans="2:10" ht="15">
      <c r="B693" s="706">
        <v>11248</v>
      </c>
      <c r="C693" s="706">
        <v>1118.8999999999392</v>
      </c>
      <c r="D693" s="707">
        <v>11289</v>
      </c>
      <c r="E693" s="707">
        <v>1118.9999999999391</v>
      </c>
      <c r="G693" s="65">
        <v>1118.9999999999391</v>
      </c>
      <c r="H693" s="707">
        <v>11289</v>
      </c>
      <c r="I693" s="65">
        <v>1119.099999999939</v>
      </c>
      <c r="J693" s="707">
        <v>11332</v>
      </c>
    </row>
    <row r="694" spans="2:10" ht="15">
      <c r="B694" s="706">
        <v>11289</v>
      </c>
      <c r="C694" s="706">
        <v>1118.9999999999391</v>
      </c>
      <c r="D694" s="707">
        <v>11332</v>
      </c>
      <c r="E694" s="707">
        <v>1119.099999999939</v>
      </c>
      <c r="G694" s="65">
        <v>1119.099999999939</v>
      </c>
      <c r="H694" s="707">
        <v>11332</v>
      </c>
      <c r="I694" s="65">
        <v>1119.1999999999389</v>
      </c>
      <c r="J694" s="707">
        <v>11375</v>
      </c>
    </row>
    <row r="695" spans="2:10" ht="15">
      <c r="B695" s="706">
        <v>11332</v>
      </c>
      <c r="C695" s="706">
        <v>1119.099999999939</v>
      </c>
      <c r="D695" s="707">
        <v>11375</v>
      </c>
      <c r="E695" s="707">
        <v>1119.1999999999389</v>
      </c>
      <c r="G695" s="65">
        <v>1119.1999999999389</v>
      </c>
      <c r="H695" s="707">
        <v>11375</v>
      </c>
      <c r="I695" s="65">
        <v>1119.2999999999388</v>
      </c>
      <c r="J695" s="707">
        <v>11417</v>
      </c>
    </row>
    <row r="696" spans="2:10" ht="15">
      <c r="B696" s="706">
        <v>11375</v>
      </c>
      <c r="C696" s="706">
        <v>1119.1999999999389</v>
      </c>
      <c r="D696" s="707">
        <v>11417</v>
      </c>
      <c r="E696" s="707">
        <v>1119.2999999999388</v>
      </c>
      <c r="G696" s="65">
        <v>1119.2999999999388</v>
      </c>
      <c r="H696" s="707">
        <v>11417</v>
      </c>
      <c r="I696" s="65">
        <v>1119.3999999999387</v>
      </c>
      <c r="J696" s="707">
        <v>11460</v>
      </c>
    </row>
    <row r="697" spans="2:10" ht="15">
      <c r="B697" s="706">
        <v>11417</v>
      </c>
      <c r="C697" s="706">
        <v>1119.2999999999388</v>
      </c>
      <c r="D697" s="707">
        <v>11460</v>
      </c>
      <c r="E697" s="707">
        <v>1119.3999999999387</v>
      </c>
      <c r="G697" s="65">
        <v>1119.3999999999387</v>
      </c>
      <c r="H697" s="707">
        <v>11460</v>
      </c>
      <c r="I697" s="65">
        <v>1119.4999999999386</v>
      </c>
      <c r="J697" s="707">
        <v>11503</v>
      </c>
    </row>
    <row r="698" spans="2:10" ht="15">
      <c r="B698" s="706">
        <v>11460</v>
      </c>
      <c r="C698" s="706">
        <v>1119.3999999999387</v>
      </c>
      <c r="D698" s="707">
        <v>11503</v>
      </c>
      <c r="E698" s="707">
        <v>1119.4999999999386</v>
      </c>
      <c r="G698" s="65">
        <v>1119.4999999999386</v>
      </c>
      <c r="H698" s="707">
        <v>11503</v>
      </c>
      <c r="I698" s="65">
        <v>1119.5999999999385</v>
      </c>
      <c r="J698" s="707">
        <v>11545</v>
      </c>
    </row>
    <row r="699" spans="2:10" ht="15">
      <c r="B699" s="706">
        <v>11503</v>
      </c>
      <c r="C699" s="706">
        <v>1119.4999999999386</v>
      </c>
      <c r="D699" s="707">
        <v>11545</v>
      </c>
      <c r="E699" s="707">
        <v>1119.5999999999385</v>
      </c>
      <c r="G699" s="65">
        <v>1119.5999999999385</v>
      </c>
      <c r="H699" s="707">
        <v>11545</v>
      </c>
      <c r="I699" s="65">
        <v>1119.6999999999384</v>
      </c>
      <c r="J699" s="707">
        <v>11588</v>
      </c>
    </row>
    <row r="700" spans="2:10" ht="15">
      <c r="B700" s="706">
        <v>11545</v>
      </c>
      <c r="C700" s="706">
        <v>1119.5999999999385</v>
      </c>
      <c r="D700" s="707">
        <v>11588</v>
      </c>
      <c r="E700" s="707">
        <v>1119.6999999999384</v>
      </c>
      <c r="G700" s="65">
        <v>1119.6999999999384</v>
      </c>
      <c r="H700" s="707">
        <v>11588</v>
      </c>
      <c r="I700" s="65">
        <v>1119.7999999999383</v>
      </c>
      <c r="J700" s="707">
        <v>11631</v>
      </c>
    </row>
    <row r="701" spans="2:10" ht="15">
      <c r="B701" s="706">
        <v>11588</v>
      </c>
      <c r="C701" s="706">
        <v>1119.6999999999384</v>
      </c>
      <c r="D701" s="707">
        <v>11631</v>
      </c>
      <c r="E701" s="707">
        <v>1119.7999999999383</v>
      </c>
      <c r="G701" s="65">
        <v>1119.7999999999383</v>
      </c>
      <c r="H701" s="707">
        <v>11631</v>
      </c>
      <c r="I701" s="65">
        <v>1119.8999999999382</v>
      </c>
      <c r="J701" s="707">
        <v>11673</v>
      </c>
    </row>
    <row r="702" spans="2:10" ht="15">
      <c r="B702" s="706">
        <v>11631</v>
      </c>
      <c r="C702" s="706">
        <v>1119.7999999999383</v>
      </c>
      <c r="D702" s="707">
        <v>11673</v>
      </c>
      <c r="E702" s="707">
        <v>1119.8999999999382</v>
      </c>
      <c r="G702" s="65">
        <v>1119.8999999999382</v>
      </c>
      <c r="H702" s="707">
        <v>11673</v>
      </c>
      <c r="I702" s="65">
        <v>1119.9999999999382</v>
      </c>
      <c r="J702" s="707">
        <v>11716</v>
      </c>
    </row>
    <row r="703" spans="2:10" ht="15">
      <c r="B703" s="706">
        <v>11673</v>
      </c>
      <c r="C703" s="706">
        <v>1119.8999999999382</v>
      </c>
      <c r="D703" s="707">
        <v>11716</v>
      </c>
      <c r="E703" s="707">
        <v>1119.9999999999382</v>
      </c>
      <c r="G703" s="65">
        <v>1119.9999999999382</v>
      </c>
      <c r="H703" s="707">
        <v>11716</v>
      </c>
      <c r="I703" s="65">
        <v>1120.0999999999381</v>
      </c>
      <c r="J703" s="707">
        <v>11760</v>
      </c>
    </row>
    <row r="704" spans="2:10" ht="15">
      <c r="B704" s="706">
        <v>11716</v>
      </c>
      <c r="C704" s="706">
        <v>1119.9999999999382</v>
      </c>
      <c r="D704" s="707">
        <v>11760</v>
      </c>
      <c r="E704" s="707">
        <v>1120.0999999999381</v>
      </c>
      <c r="G704" s="65">
        <v>1120.0999999999381</v>
      </c>
      <c r="H704" s="707">
        <v>11760</v>
      </c>
      <c r="I704" s="65">
        <v>1120.199999999938</v>
      </c>
      <c r="J704" s="707">
        <v>11804</v>
      </c>
    </row>
    <row r="705" spans="2:10" ht="15">
      <c r="B705" s="706">
        <v>11760</v>
      </c>
      <c r="C705" s="706">
        <v>1120.0999999999381</v>
      </c>
      <c r="D705" s="707">
        <v>11804</v>
      </c>
      <c r="E705" s="707">
        <v>1120.199999999938</v>
      </c>
      <c r="G705" s="65">
        <v>1120.199999999938</v>
      </c>
      <c r="H705" s="707">
        <v>11804</v>
      </c>
      <c r="I705" s="65">
        <v>1120.2999999999379</v>
      </c>
      <c r="J705" s="707">
        <v>11848</v>
      </c>
    </row>
    <row r="706" spans="2:10" ht="15">
      <c r="B706" s="706">
        <v>11804</v>
      </c>
      <c r="C706" s="706">
        <v>1120.199999999938</v>
      </c>
      <c r="D706" s="707">
        <v>11848</v>
      </c>
      <c r="E706" s="707">
        <v>1120.2999999999379</v>
      </c>
      <c r="G706" s="65">
        <v>1120.2999999999379</v>
      </c>
      <c r="H706" s="707">
        <v>11848</v>
      </c>
      <c r="I706" s="65">
        <v>1120.3999999999378</v>
      </c>
      <c r="J706" s="707">
        <v>11893</v>
      </c>
    </row>
    <row r="707" spans="2:10" ht="15">
      <c r="B707" s="706">
        <v>11848</v>
      </c>
      <c r="C707" s="706">
        <v>1120.2999999999379</v>
      </c>
      <c r="D707" s="707">
        <v>11893</v>
      </c>
      <c r="E707" s="707">
        <v>1120.3999999999378</v>
      </c>
      <c r="G707" s="65">
        <v>1120.3999999999378</v>
      </c>
      <c r="H707" s="707">
        <v>11893</v>
      </c>
      <c r="I707" s="65">
        <v>1120.4999999999377</v>
      </c>
      <c r="J707" s="707">
        <v>11937</v>
      </c>
    </row>
    <row r="708" spans="2:10" ht="15">
      <c r="B708" s="706">
        <v>11893</v>
      </c>
      <c r="C708" s="706">
        <v>1120.3999999999378</v>
      </c>
      <c r="D708" s="707">
        <v>11937</v>
      </c>
      <c r="E708" s="707">
        <v>1120.4999999999377</v>
      </c>
      <c r="G708" s="65">
        <v>1120.4999999999377</v>
      </c>
      <c r="H708" s="707">
        <v>11937</v>
      </c>
      <c r="I708" s="65">
        <v>1120.5999999999376</v>
      </c>
      <c r="J708" s="707">
        <v>11981</v>
      </c>
    </row>
    <row r="709" spans="2:10" ht="15">
      <c r="B709" s="706">
        <v>11937</v>
      </c>
      <c r="C709" s="706">
        <v>1120.4999999999377</v>
      </c>
      <c r="D709" s="707">
        <v>11981</v>
      </c>
      <c r="E709" s="707">
        <v>1120.5999999999376</v>
      </c>
      <c r="G709" s="65">
        <v>1120.5999999999376</v>
      </c>
      <c r="H709" s="707">
        <v>11981</v>
      </c>
      <c r="I709" s="65">
        <v>1120.6999999999375</v>
      </c>
      <c r="J709" s="707">
        <v>12025</v>
      </c>
    </row>
    <row r="710" spans="2:10" ht="15">
      <c r="B710" s="706">
        <v>11981</v>
      </c>
      <c r="C710" s="706">
        <v>1120.5999999999376</v>
      </c>
      <c r="D710" s="707">
        <v>12025</v>
      </c>
      <c r="E710" s="707">
        <v>1120.6999999999375</v>
      </c>
      <c r="G710" s="65">
        <v>1120.6999999999375</v>
      </c>
      <c r="H710" s="707">
        <v>12025</v>
      </c>
      <c r="I710" s="65">
        <v>1120.7999999999374</v>
      </c>
      <c r="J710" s="707">
        <v>12069</v>
      </c>
    </row>
    <row r="711" spans="2:10" ht="15">
      <c r="B711" s="706">
        <v>12025</v>
      </c>
      <c r="C711" s="706">
        <v>1120.6999999999375</v>
      </c>
      <c r="D711" s="707">
        <v>12069</v>
      </c>
      <c r="E711" s="707">
        <v>1120.7999999999374</v>
      </c>
      <c r="G711" s="65">
        <v>1120.7999999999374</v>
      </c>
      <c r="H711" s="707">
        <v>12069</v>
      </c>
      <c r="I711" s="65">
        <v>1120.8999999999373</v>
      </c>
      <c r="J711" s="707">
        <v>12113</v>
      </c>
    </row>
    <row r="712" spans="2:10" ht="15">
      <c r="B712" s="706">
        <v>12069</v>
      </c>
      <c r="C712" s="706">
        <v>1120.7999999999374</v>
      </c>
      <c r="D712" s="707">
        <v>12113</v>
      </c>
      <c r="E712" s="707">
        <v>1120.8999999999373</v>
      </c>
      <c r="G712" s="65">
        <v>1120.8999999999373</v>
      </c>
      <c r="H712" s="707">
        <v>12113</v>
      </c>
      <c r="I712" s="65">
        <v>1120.9999999999372</v>
      </c>
      <c r="J712" s="707">
        <v>12157</v>
      </c>
    </row>
    <row r="713" spans="2:10" ht="15">
      <c r="B713" s="706">
        <v>12113</v>
      </c>
      <c r="C713" s="706">
        <v>1120.8999999999373</v>
      </c>
      <c r="D713" s="707">
        <v>12157</v>
      </c>
      <c r="E713" s="707">
        <v>1120.9999999999372</v>
      </c>
      <c r="G713" s="65">
        <v>1120.9999999999372</v>
      </c>
      <c r="H713" s="707">
        <v>12157</v>
      </c>
      <c r="I713" s="65">
        <v>1121.0999999999372</v>
      </c>
      <c r="J713" s="707">
        <v>12203</v>
      </c>
    </row>
    <row r="714" spans="2:10" ht="15">
      <c r="B714" s="706">
        <v>12157</v>
      </c>
      <c r="C714" s="706">
        <v>1120.9999999999372</v>
      </c>
      <c r="D714" s="707">
        <v>12203</v>
      </c>
      <c r="E714" s="707">
        <v>1121.0999999999372</v>
      </c>
      <c r="G714" s="65">
        <v>1121.0999999999372</v>
      </c>
      <c r="H714" s="707">
        <v>12203</v>
      </c>
      <c r="I714" s="65">
        <v>1121.1999999999371</v>
      </c>
      <c r="J714" s="707">
        <v>12249</v>
      </c>
    </row>
    <row r="715" spans="2:10" ht="15">
      <c r="B715" s="706">
        <v>12203</v>
      </c>
      <c r="C715" s="706">
        <v>1121.0999999999372</v>
      </c>
      <c r="D715" s="707">
        <v>12249</v>
      </c>
      <c r="E715" s="707">
        <v>1121.1999999999371</v>
      </c>
      <c r="G715" s="65">
        <v>1121.1999999999371</v>
      </c>
      <c r="H715" s="707">
        <v>12249</v>
      </c>
      <c r="I715" s="65">
        <v>1121.299999999937</v>
      </c>
      <c r="J715" s="707">
        <v>12294</v>
      </c>
    </row>
    <row r="716" spans="2:10" ht="15">
      <c r="B716" s="706">
        <v>12249</v>
      </c>
      <c r="C716" s="706">
        <v>1121.1999999999371</v>
      </c>
      <c r="D716" s="707">
        <v>12294</v>
      </c>
      <c r="E716" s="707">
        <v>1121.299999999937</v>
      </c>
      <c r="G716" s="65">
        <v>1121.299999999937</v>
      </c>
      <c r="H716" s="707">
        <v>12294</v>
      </c>
      <c r="I716" s="65">
        <v>1121.3999999999369</v>
      </c>
      <c r="J716" s="707">
        <v>12340</v>
      </c>
    </row>
    <row r="717" spans="2:10" ht="15">
      <c r="B717" s="706">
        <v>12294</v>
      </c>
      <c r="C717" s="706">
        <v>1121.299999999937</v>
      </c>
      <c r="D717" s="707">
        <v>12340</v>
      </c>
      <c r="E717" s="707">
        <v>1121.3999999999369</v>
      </c>
      <c r="G717" s="65">
        <v>1121.3999999999369</v>
      </c>
      <c r="H717" s="707">
        <v>12340</v>
      </c>
      <c r="I717" s="65">
        <v>1121.4999999999368</v>
      </c>
      <c r="J717" s="707">
        <v>12385</v>
      </c>
    </row>
    <row r="718" spans="2:10" ht="15">
      <c r="B718" s="706">
        <v>12340</v>
      </c>
      <c r="C718" s="706">
        <v>1121.3999999999369</v>
      </c>
      <c r="D718" s="707">
        <v>12385</v>
      </c>
      <c r="E718" s="707">
        <v>1121.4999999999368</v>
      </c>
      <c r="G718" s="65">
        <v>1121.4999999999368</v>
      </c>
      <c r="H718" s="707">
        <v>12385</v>
      </c>
      <c r="I718" s="65">
        <v>1121.5999999999367</v>
      </c>
      <c r="J718" s="707">
        <v>12431</v>
      </c>
    </row>
    <row r="719" spans="2:10" ht="15">
      <c r="B719" s="706">
        <v>12385</v>
      </c>
      <c r="C719" s="706">
        <v>1121.4999999999368</v>
      </c>
      <c r="D719" s="707">
        <v>12431</v>
      </c>
      <c r="E719" s="707">
        <v>1121.5999999999367</v>
      </c>
      <c r="G719" s="65">
        <v>1121.5999999999367</v>
      </c>
      <c r="H719" s="707">
        <v>12431</v>
      </c>
      <c r="I719" s="65">
        <v>1121.6999999999366</v>
      </c>
      <c r="J719" s="707">
        <v>12477</v>
      </c>
    </row>
    <row r="720" spans="2:10" ht="15">
      <c r="B720" s="706">
        <v>12431</v>
      </c>
      <c r="C720" s="706">
        <v>1121.5999999999367</v>
      </c>
      <c r="D720" s="707">
        <v>12477</v>
      </c>
      <c r="E720" s="707">
        <v>1121.6999999999366</v>
      </c>
      <c r="G720" s="65">
        <v>1121.6999999999366</v>
      </c>
      <c r="H720" s="707">
        <v>12477</v>
      </c>
      <c r="I720" s="65">
        <v>1121.7999999999365</v>
      </c>
      <c r="J720" s="707">
        <v>12522</v>
      </c>
    </row>
    <row r="721" spans="2:10" ht="15">
      <c r="B721" s="706">
        <v>12477</v>
      </c>
      <c r="C721" s="706">
        <v>1121.6999999999366</v>
      </c>
      <c r="D721" s="707">
        <v>12522</v>
      </c>
      <c r="E721" s="707">
        <v>1121.7999999999365</v>
      </c>
      <c r="G721" s="65">
        <v>1121.7999999999365</v>
      </c>
      <c r="H721" s="707">
        <v>12522</v>
      </c>
      <c r="I721" s="65">
        <v>1121.8999999999364</v>
      </c>
      <c r="J721" s="707">
        <v>12568</v>
      </c>
    </row>
    <row r="722" spans="2:10" ht="15">
      <c r="B722" s="706">
        <v>12522</v>
      </c>
      <c r="C722" s="706">
        <v>1121.7999999999365</v>
      </c>
      <c r="D722" s="707">
        <v>12568</v>
      </c>
      <c r="E722" s="707">
        <v>1121.8999999999364</v>
      </c>
      <c r="G722" s="65">
        <v>1121.8999999999364</v>
      </c>
      <c r="H722" s="707">
        <v>12568</v>
      </c>
      <c r="I722" s="65">
        <v>1121.9999999999363</v>
      </c>
      <c r="J722" s="707">
        <v>12613</v>
      </c>
    </row>
    <row r="723" spans="2:10" ht="15">
      <c r="B723" s="706">
        <v>12568</v>
      </c>
      <c r="C723" s="706">
        <v>1121.8999999999364</v>
      </c>
      <c r="D723" s="707">
        <v>12613</v>
      </c>
      <c r="E723" s="707">
        <v>1121.9999999999363</v>
      </c>
      <c r="G723" s="65">
        <v>1121.9999999999363</v>
      </c>
      <c r="H723" s="707">
        <v>12613</v>
      </c>
      <c r="I723" s="65">
        <v>1122.0999999999362</v>
      </c>
      <c r="J723" s="707">
        <v>12661</v>
      </c>
    </row>
    <row r="724" spans="2:10" ht="15">
      <c r="B724" s="706">
        <v>12613</v>
      </c>
      <c r="C724" s="706">
        <v>1121.9999999999363</v>
      </c>
      <c r="D724" s="707">
        <v>12661</v>
      </c>
      <c r="E724" s="707">
        <v>1122.0999999999362</v>
      </c>
      <c r="G724" s="65">
        <v>1122.0999999999362</v>
      </c>
      <c r="H724" s="707">
        <v>12661</v>
      </c>
      <c r="I724" s="65">
        <v>1122.1999999999362</v>
      </c>
      <c r="J724" s="707">
        <v>12708</v>
      </c>
    </row>
    <row r="725" spans="2:10" ht="15">
      <c r="B725" s="706">
        <v>12661</v>
      </c>
      <c r="C725" s="706">
        <v>1122.0999999999362</v>
      </c>
      <c r="D725" s="707">
        <v>12708</v>
      </c>
      <c r="E725" s="707">
        <v>1122.1999999999362</v>
      </c>
      <c r="G725" s="65">
        <v>1122.1999999999362</v>
      </c>
      <c r="H725" s="707">
        <v>12708</v>
      </c>
      <c r="I725" s="65">
        <v>1122.2999999999361</v>
      </c>
      <c r="J725" s="707">
        <v>12755</v>
      </c>
    </row>
    <row r="726" spans="2:10" ht="15">
      <c r="B726" s="706">
        <v>12708</v>
      </c>
      <c r="C726" s="706">
        <v>1122.1999999999362</v>
      </c>
      <c r="D726" s="707">
        <v>12755</v>
      </c>
      <c r="E726" s="707">
        <v>1122.2999999999361</v>
      </c>
      <c r="G726" s="65">
        <v>1122.2999999999361</v>
      </c>
      <c r="H726" s="707">
        <v>12755</v>
      </c>
      <c r="I726" s="65">
        <v>1122.399999999936</v>
      </c>
      <c r="J726" s="707">
        <v>12802</v>
      </c>
    </row>
    <row r="727" spans="2:10" ht="15">
      <c r="B727" s="706">
        <v>12755</v>
      </c>
      <c r="C727" s="706">
        <v>1122.2999999999361</v>
      </c>
      <c r="D727" s="707">
        <v>12802</v>
      </c>
      <c r="E727" s="707">
        <v>1122.399999999936</v>
      </c>
      <c r="G727" s="65">
        <v>1122.399999999936</v>
      </c>
      <c r="H727" s="707">
        <v>12802</v>
      </c>
      <c r="I727" s="65">
        <v>1122.4999999999359</v>
      </c>
      <c r="J727" s="707">
        <v>12850</v>
      </c>
    </row>
    <row r="728" spans="2:10" ht="15">
      <c r="B728" s="706">
        <v>12802</v>
      </c>
      <c r="C728" s="706">
        <v>1122.399999999936</v>
      </c>
      <c r="D728" s="707">
        <v>12850</v>
      </c>
      <c r="E728" s="707">
        <v>1122.4999999999359</v>
      </c>
      <c r="G728" s="65">
        <v>1122.4999999999359</v>
      </c>
      <c r="H728" s="707">
        <v>12850</v>
      </c>
      <c r="I728" s="65">
        <v>1122.5999999999358</v>
      </c>
      <c r="J728" s="707">
        <v>12897</v>
      </c>
    </row>
    <row r="729" spans="2:10" ht="15">
      <c r="B729" s="706">
        <v>12850</v>
      </c>
      <c r="C729" s="706">
        <v>1122.4999999999359</v>
      </c>
      <c r="D729" s="707">
        <v>12897</v>
      </c>
      <c r="E729" s="707">
        <v>1122.5999999999358</v>
      </c>
      <c r="G729" s="65">
        <v>1122.5999999999358</v>
      </c>
      <c r="H729" s="707">
        <v>12897</v>
      </c>
      <c r="I729" s="65">
        <v>1122.6999999999357</v>
      </c>
      <c r="J729" s="707">
        <v>12944</v>
      </c>
    </row>
    <row r="730" spans="2:10" ht="15">
      <c r="B730" s="706">
        <v>12897</v>
      </c>
      <c r="C730" s="706">
        <v>1122.5999999999358</v>
      </c>
      <c r="D730" s="707">
        <v>12944</v>
      </c>
      <c r="E730" s="707">
        <v>1122.6999999999357</v>
      </c>
      <c r="G730" s="65">
        <v>1122.6999999999357</v>
      </c>
      <c r="H730" s="707">
        <v>12944</v>
      </c>
      <c r="I730" s="65">
        <v>1122.7999999999356</v>
      </c>
      <c r="J730" s="707">
        <v>12991</v>
      </c>
    </row>
    <row r="731" spans="2:10" ht="15">
      <c r="B731" s="706">
        <v>12944</v>
      </c>
      <c r="C731" s="706">
        <v>1122.6999999999357</v>
      </c>
      <c r="D731" s="707">
        <v>12991</v>
      </c>
      <c r="E731" s="707">
        <v>1122.7999999999356</v>
      </c>
      <c r="G731" s="65">
        <v>1122.7999999999356</v>
      </c>
      <c r="H731" s="707">
        <v>12991</v>
      </c>
      <c r="I731" s="65">
        <v>1122.8999999999355</v>
      </c>
      <c r="J731" s="707">
        <v>13038</v>
      </c>
    </row>
    <row r="732" spans="2:10" ht="15">
      <c r="B732" s="706">
        <v>12991</v>
      </c>
      <c r="C732" s="706">
        <v>1122.7999999999356</v>
      </c>
      <c r="D732" s="707">
        <v>13038</v>
      </c>
      <c r="E732" s="707">
        <v>1122.8999999999355</v>
      </c>
      <c r="G732" s="65">
        <v>1122.8999999999355</v>
      </c>
      <c r="H732" s="707">
        <v>13038</v>
      </c>
      <c r="I732" s="65">
        <v>1122.9999999999354</v>
      </c>
      <c r="J732" s="707">
        <v>13086</v>
      </c>
    </row>
    <row r="733" spans="2:10" ht="15">
      <c r="B733" s="706">
        <v>13038</v>
      </c>
      <c r="C733" s="706">
        <v>1122.8999999999355</v>
      </c>
      <c r="D733" s="707">
        <v>13086</v>
      </c>
      <c r="E733" s="707">
        <v>1122.9999999999354</v>
      </c>
      <c r="G733" s="65">
        <v>1122.9999999999354</v>
      </c>
      <c r="H733" s="707">
        <v>13086</v>
      </c>
      <c r="I733" s="65">
        <v>1123.0999999999353</v>
      </c>
      <c r="J733" s="707">
        <v>13134</v>
      </c>
    </row>
    <row r="734" spans="2:10" ht="15">
      <c r="B734" s="706">
        <v>13086</v>
      </c>
      <c r="C734" s="706">
        <v>1122.9999999999354</v>
      </c>
      <c r="D734" s="707">
        <v>13134</v>
      </c>
      <c r="E734" s="707">
        <v>1123.0999999999353</v>
      </c>
      <c r="G734" s="65">
        <v>1123.0999999999353</v>
      </c>
      <c r="H734" s="707">
        <v>13134</v>
      </c>
      <c r="I734" s="65">
        <v>1123.1999999999352</v>
      </c>
      <c r="J734" s="707">
        <v>13183</v>
      </c>
    </row>
    <row r="735" spans="2:10" ht="15">
      <c r="B735" s="706">
        <v>13134</v>
      </c>
      <c r="C735" s="706">
        <v>1123.0999999999353</v>
      </c>
      <c r="D735" s="707">
        <v>13183</v>
      </c>
      <c r="E735" s="707">
        <v>1123.1999999999352</v>
      </c>
      <c r="G735" s="65">
        <v>1123.1999999999352</v>
      </c>
      <c r="H735" s="707">
        <v>13183</v>
      </c>
      <c r="I735" s="65">
        <v>1123.2999999999352</v>
      </c>
      <c r="J735" s="707">
        <v>13232</v>
      </c>
    </row>
    <row r="736" spans="2:10" ht="15">
      <c r="B736" s="706">
        <v>13183</v>
      </c>
      <c r="C736" s="706">
        <v>1123.1999999999352</v>
      </c>
      <c r="D736" s="707">
        <v>13232</v>
      </c>
      <c r="E736" s="707">
        <v>1123.2999999999352</v>
      </c>
      <c r="G736" s="65">
        <v>1123.2999999999352</v>
      </c>
      <c r="H736" s="707">
        <v>13232</v>
      </c>
      <c r="I736" s="65">
        <v>1123.3999999999351</v>
      </c>
      <c r="J736" s="707">
        <v>13281</v>
      </c>
    </row>
    <row r="737" spans="2:10" ht="15">
      <c r="B737" s="706">
        <v>13232</v>
      </c>
      <c r="C737" s="706">
        <v>1123.2999999999352</v>
      </c>
      <c r="D737" s="707">
        <v>13281</v>
      </c>
      <c r="E737" s="707">
        <v>1123.3999999999351</v>
      </c>
      <c r="G737" s="65">
        <v>1123.3999999999351</v>
      </c>
      <c r="H737" s="707">
        <v>13281</v>
      </c>
      <c r="I737" s="65">
        <v>1123.499999999935</v>
      </c>
      <c r="J737" s="707">
        <v>13329</v>
      </c>
    </row>
    <row r="738" spans="2:10" ht="15">
      <c r="B738" s="706">
        <v>13281</v>
      </c>
      <c r="C738" s="706">
        <v>1123.3999999999351</v>
      </c>
      <c r="D738" s="707">
        <v>13329</v>
      </c>
      <c r="E738" s="707">
        <v>1123.499999999935</v>
      </c>
      <c r="G738" s="65">
        <v>1123.499999999935</v>
      </c>
      <c r="H738" s="707">
        <v>13329</v>
      </c>
      <c r="I738" s="65">
        <v>1123.5999999999349</v>
      </c>
      <c r="J738" s="707">
        <v>13378</v>
      </c>
    </row>
    <row r="739" spans="2:10" ht="15">
      <c r="B739" s="706">
        <v>13329</v>
      </c>
      <c r="C739" s="706">
        <v>1123.499999999935</v>
      </c>
      <c r="D739" s="707">
        <v>13378</v>
      </c>
      <c r="E739" s="707">
        <v>1123.5999999999349</v>
      </c>
      <c r="G739" s="65">
        <v>1123.5999999999349</v>
      </c>
      <c r="H739" s="707">
        <v>13378</v>
      </c>
      <c r="I739" s="65">
        <v>1123.6999999999348</v>
      </c>
      <c r="J739" s="707">
        <v>13427</v>
      </c>
    </row>
    <row r="740" spans="2:10" ht="15">
      <c r="B740" s="706">
        <v>13378</v>
      </c>
      <c r="C740" s="706">
        <v>1123.5999999999349</v>
      </c>
      <c r="D740" s="707">
        <v>13427</v>
      </c>
      <c r="E740" s="707">
        <v>1123.6999999999348</v>
      </c>
      <c r="G740" s="65">
        <v>1123.6999999999348</v>
      </c>
      <c r="H740" s="707">
        <v>13427</v>
      </c>
      <c r="I740" s="65">
        <v>1123.7999999999347</v>
      </c>
      <c r="J740" s="707">
        <v>13476</v>
      </c>
    </row>
    <row r="741" spans="2:10" ht="15">
      <c r="B741" s="706">
        <v>13427</v>
      </c>
      <c r="C741" s="706">
        <v>1123.6999999999348</v>
      </c>
      <c r="D741" s="707">
        <v>13476</v>
      </c>
      <c r="E741" s="707">
        <v>1123.7999999999347</v>
      </c>
      <c r="G741" s="65">
        <v>1123.7999999999347</v>
      </c>
      <c r="H741" s="707">
        <v>13476</v>
      </c>
      <c r="I741" s="65">
        <v>1123.8999999999346</v>
      </c>
      <c r="J741" s="707">
        <v>13524</v>
      </c>
    </row>
    <row r="742" spans="2:10" ht="15">
      <c r="B742" s="706">
        <v>13476</v>
      </c>
      <c r="C742" s="706">
        <v>1123.7999999999347</v>
      </c>
      <c r="D742" s="707">
        <v>13524</v>
      </c>
      <c r="E742" s="707">
        <v>1123.8999999999346</v>
      </c>
      <c r="G742" s="65">
        <v>1123.8999999999346</v>
      </c>
      <c r="H742" s="707">
        <v>13524</v>
      </c>
      <c r="I742" s="65">
        <v>1123.9999999999345</v>
      </c>
      <c r="J742" s="707">
        <v>13573</v>
      </c>
    </row>
    <row r="743" spans="2:10" ht="15">
      <c r="B743" s="706">
        <v>13524</v>
      </c>
      <c r="C743" s="706">
        <v>1123.8999999999346</v>
      </c>
      <c r="D743" s="707">
        <v>13573</v>
      </c>
      <c r="E743" s="707">
        <v>1123.9999999999345</v>
      </c>
      <c r="G743" s="65">
        <v>1123.9999999999345</v>
      </c>
      <c r="H743" s="707">
        <v>13573</v>
      </c>
      <c r="I743" s="65">
        <v>1124.0999999999344</v>
      </c>
      <c r="J743" s="707">
        <v>13624</v>
      </c>
    </row>
    <row r="744" spans="2:10" ht="15">
      <c r="B744" s="706">
        <v>13573</v>
      </c>
      <c r="C744" s="706">
        <v>1123.9999999999345</v>
      </c>
      <c r="D744" s="707">
        <v>13624</v>
      </c>
      <c r="E744" s="707">
        <v>1124.0999999999344</v>
      </c>
      <c r="G744" s="65">
        <v>1124.0999999999344</v>
      </c>
      <c r="H744" s="707">
        <v>13624</v>
      </c>
      <c r="I744" s="65">
        <v>1124.1999999999343</v>
      </c>
      <c r="J744" s="707">
        <v>13674</v>
      </c>
    </row>
    <row r="745" spans="2:10" ht="15">
      <c r="B745" s="706">
        <v>13624</v>
      </c>
      <c r="C745" s="706">
        <v>1124.0999999999344</v>
      </c>
      <c r="D745" s="707">
        <v>13674</v>
      </c>
      <c r="E745" s="707">
        <v>1124.1999999999343</v>
      </c>
      <c r="G745" s="65">
        <v>1124.1999999999343</v>
      </c>
      <c r="H745" s="707">
        <v>13674</v>
      </c>
      <c r="I745" s="65">
        <v>1124.2999999999342</v>
      </c>
      <c r="J745" s="707">
        <v>13724</v>
      </c>
    </row>
    <row r="746" spans="2:10" ht="15">
      <c r="B746" s="706">
        <v>13674</v>
      </c>
      <c r="C746" s="706">
        <v>1124.1999999999343</v>
      </c>
      <c r="D746" s="707">
        <v>13724</v>
      </c>
      <c r="E746" s="707">
        <v>1124.2999999999342</v>
      </c>
      <c r="G746" s="65">
        <v>1124.2999999999342</v>
      </c>
      <c r="H746" s="707">
        <v>13724</v>
      </c>
      <c r="I746" s="65">
        <v>1124.3999999999342</v>
      </c>
      <c r="J746" s="707">
        <v>13774</v>
      </c>
    </row>
    <row r="747" spans="2:10" ht="15">
      <c r="B747" s="706">
        <v>13724</v>
      </c>
      <c r="C747" s="706">
        <v>1124.2999999999342</v>
      </c>
      <c r="D747" s="707">
        <v>13774</v>
      </c>
      <c r="E747" s="707">
        <v>1124.3999999999342</v>
      </c>
      <c r="G747" s="65">
        <v>1124.3999999999342</v>
      </c>
      <c r="H747" s="707">
        <v>13774</v>
      </c>
      <c r="I747" s="65">
        <v>1124.4999999999341</v>
      </c>
      <c r="J747" s="707">
        <v>13825</v>
      </c>
    </row>
    <row r="748" spans="2:10" ht="15">
      <c r="B748" s="706">
        <v>13774</v>
      </c>
      <c r="C748" s="706">
        <v>1124.3999999999342</v>
      </c>
      <c r="D748" s="707">
        <v>13825</v>
      </c>
      <c r="E748" s="707">
        <v>1124.4999999999341</v>
      </c>
      <c r="G748" s="65">
        <v>1124.4999999999341</v>
      </c>
      <c r="H748" s="707">
        <v>13825</v>
      </c>
      <c r="I748" s="65">
        <v>1124.599999999934</v>
      </c>
      <c r="J748" s="707">
        <v>13875</v>
      </c>
    </row>
    <row r="749" spans="2:10" ht="15">
      <c r="B749" s="706">
        <v>13825</v>
      </c>
      <c r="C749" s="706">
        <v>1124.4999999999341</v>
      </c>
      <c r="D749" s="707">
        <v>13875</v>
      </c>
      <c r="E749" s="707">
        <v>1124.599999999934</v>
      </c>
      <c r="G749" s="65">
        <v>1124.599999999934</v>
      </c>
      <c r="H749" s="707">
        <v>13875</v>
      </c>
      <c r="I749" s="65">
        <v>1124.6999999999339</v>
      </c>
      <c r="J749" s="707">
        <v>13925</v>
      </c>
    </row>
    <row r="750" spans="2:10" ht="15">
      <c r="B750" s="706">
        <v>13875</v>
      </c>
      <c r="C750" s="706">
        <v>1124.599999999934</v>
      </c>
      <c r="D750" s="707">
        <v>13925</v>
      </c>
      <c r="E750" s="707">
        <v>1124.6999999999339</v>
      </c>
      <c r="G750" s="65">
        <v>1124.6999999999339</v>
      </c>
      <c r="H750" s="707">
        <v>13925</v>
      </c>
      <c r="I750" s="65">
        <v>1124.7999999999338</v>
      </c>
      <c r="J750" s="707">
        <v>13976</v>
      </c>
    </row>
    <row r="751" spans="2:10" ht="15">
      <c r="B751" s="706">
        <v>13925</v>
      </c>
      <c r="C751" s="706">
        <v>1124.6999999999339</v>
      </c>
      <c r="D751" s="707">
        <v>13976</v>
      </c>
      <c r="E751" s="707">
        <v>1124.7999999999338</v>
      </c>
      <c r="G751" s="65">
        <v>1124.7999999999338</v>
      </c>
      <c r="H751" s="707">
        <v>13976</v>
      </c>
      <c r="I751" s="65">
        <v>1124.8999999999337</v>
      </c>
      <c r="J751" s="707">
        <v>14026</v>
      </c>
    </row>
    <row r="752" spans="2:10" ht="15">
      <c r="B752" s="706">
        <v>13976</v>
      </c>
      <c r="C752" s="706">
        <v>1124.7999999999338</v>
      </c>
      <c r="D752" s="707">
        <v>14026</v>
      </c>
      <c r="E752" s="707">
        <v>1124.8999999999337</v>
      </c>
      <c r="G752" s="65">
        <v>1124.8999999999337</v>
      </c>
      <c r="H752" s="707">
        <v>14026</v>
      </c>
      <c r="I752" s="65">
        <v>1124.9999999999336</v>
      </c>
      <c r="J752" s="707">
        <v>14076</v>
      </c>
    </row>
    <row r="753" spans="2:10" ht="15">
      <c r="B753" s="706">
        <v>14026</v>
      </c>
      <c r="C753" s="706">
        <v>1124.8999999999337</v>
      </c>
      <c r="D753" s="707">
        <v>14076</v>
      </c>
      <c r="E753" s="707">
        <v>1124.9999999999336</v>
      </c>
      <c r="G753" s="65">
        <v>1124.9999999999336</v>
      </c>
      <c r="H753" s="707">
        <v>14076</v>
      </c>
      <c r="I753" s="65">
        <v>1125.0999999999335</v>
      </c>
      <c r="J753" s="707">
        <v>14128</v>
      </c>
    </row>
    <row r="754" spans="2:10" ht="15">
      <c r="B754" s="706">
        <v>14076</v>
      </c>
      <c r="C754" s="706">
        <v>1124.9999999999336</v>
      </c>
      <c r="D754" s="707">
        <v>14128</v>
      </c>
      <c r="E754" s="707">
        <v>1125.0999999999335</v>
      </c>
      <c r="G754" s="65">
        <v>1125.0999999999335</v>
      </c>
      <c r="H754" s="707">
        <v>14128</v>
      </c>
      <c r="I754" s="65">
        <v>1125.1999999999334</v>
      </c>
      <c r="J754" s="707">
        <v>14180</v>
      </c>
    </row>
    <row r="755" spans="2:10" ht="15">
      <c r="B755" s="706">
        <v>14128</v>
      </c>
      <c r="C755" s="706">
        <v>1125.0999999999335</v>
      </c>
      <c r="D755" s="707">
        <v>14180</v>
      </c>
      <c r="E755" s="707">
        <v>1125.1999999999334</v>
      </c>
      <c r="G755" s="65">
        <v>1125.1999999999334</v>
      </c>
      <c r="H755" s="707">
        <v>14180</v>
      </c>
      <c r="I755" s="65">
        <v>1125.2999999999333</v>
      </c>
      <c r="J755" s="707">
        <v>14232</v>
      </c>
    </row>
    <row r="756" spans="2:10" ht="15">
      <c r="B756" s="706">
        <v>14180</v>
      </c>
      <c r="C756" s="706">
        <v>1125.1999999999334</v>
      </c>
      <c r="D756" s="707">
        <v>14232</v>
      </c>
      <c r="E756" s="707">
        <v>1125.2999999999333</v>
      </c>
      <c r="G756" s="65">
        <v>1125.2999999999333</v>
      </c>
      <c r="H756" s="707">
        <v>14232</v>
      </c>
      <c r="I756" s="65">
        <v>1125.3999999999332</v>
      </c>
      <c r="J756" s="707">
        <v>14284</v>
      </c>
    </row>
    <row r="757" spans="2:10" ht="15">
      <c r="B757" s="706">
        <v>14232</v>
      </c>
      <c r="C757" s="706">
        <v>1125.2999999999333</v>
      </c>
      <c r="D757" s="707">
        <v>14284</v>
      </c>
      <c r="E757" s="707">
        <v>1125.3999999999332</v>
      </c>
      <c r="G757" s="65">
        <v>1125.3999999999332</v>
      </c>
      <c r="H757" s="707">
        <v>14284</v>
      </c>
      <c r="I757" s="65">
        <v>1125.4999999999332</v>
      </c>
      <c r="J757" s="707">
        <v>14335</v>
      </c>
    </row>
    <row r="758" spans="2:10" ht="15">
      <c r="B758" s="706">
        <v>14284</v>
      </c>
      <c r="C758" s="706">
        <v>1125.3999999999332</v>
      </c>
      <c r="D758" s="707">
        <v>14335</v>
      </c>
      <c r="E758" s="707">
        <v>1125.4999999999332</v>
      </c>
      <c r="G758" s="65">
        <v>1125.4999999999332</v>
      </c>
      <c r="H758" s="707">
        <v>14335</v>
      </c>
      <c r="I758" s="65">
        <v>1125.5999999999331</v>
      </c>
      <c r="J758" s="707">
        <v>14387</v>
      </c>
    </row>
    <row r="759" spans="2:10" ht="15">
      <c r="B759" s="706">
        <v>14335</v>
      </c>
      <c r="C759" s="706">
        <v>1125.4999999999332</v>
      </c>
      <c r="D759" s="707">
        <v>14387</v>
      </c>
      <c r="E759" s="707">
        <v>1125.5999999999331</v>
      </c>
      <c r="G759" s="65">
        <v>1125.5999999999331</v>
      </c>
      <c r="H759" s="707">
        <v>14387</v>
      </c>
      <c r="I759" s="65">
        <v>1125.699999999933</v>
      </c>
      <c r="J759" s="707">
        <v>14439</v>
      </c>
    </row>
    <row r="760" spans="2:10" ht="15">
      <c r="B760" s="706">
        <v>14387</v>
      </c>
      <c r="C760" s="706">
        <v>1125.5999999999331</v>
      </c>
      <c r="D760" s="707">
        <v>14439</v>
      </c>
      <c r="E760" s="707">
        <v>1125.699999999933</v>
      </c>
      <c r="G760" s="65">
        <v>1125.699999999933</v>
      </c>
      <c r="H760" s="707">
        <v>14439</v>
      </c>
      <c r="I760" s="65">
        <v>1125.7999999999329</v>
      </c>
      <c r="J760" s="707">
        <v>14491</v>
      </c>
    </row>
    <row r="761" spans="2:10" ht="15">
      <c r="B761" s="706">
        <v>14439</v>
      </c>
      <c r="C761" s="706">
        <v>1125.699999999933</v>
      </c>
      <c r="D761" s="707">
        <v>14491</v>
      </c>
      <c r="E761" s="707">
        <v>1125.7999999999329</v>
      </c>
      <c r="G761" s="65">
        <v>1125.7999999999329</v>
      </c>
      <c r="H761" s="707">
        <v>14491</v>
      </c>
      <c r="I761" s="65">
        <v>1125.8999999999328</v>
      </c>
      <c r="J761" s="707">
        <v>14543</v>
      </c>
    </row>
    <row r="762" spans="2:10" ht="15">
      <c r="B762" s="706">
        <v>14491</v>
      </c>
      <c r="C762" s="706">
        <v>1125.7999999999329</v>
      </c>
      <c r="D762" s="707">
        <v>14543</v>
      </c>
      <c r="E762" s="707">
        <v>1125.8999999999328</v>
      </c>
      <c r="G762" s="65">
        <v>1125.8999999999328</v>
      </c>
      <c r="H762" s="707">
        <v>14543</v>
      </c>
      <c r="I762" s="65">
        <v>1125.9999999999327</v>
      </c>
      <c r="J762" s="707">
        <v>14594</v>
      </c>
    </row>
    <row r="763" spans="2:10" ht="15">
      <c r="B763" s="706">
        <v>14543</v>
      </c>
      <c r="C763" s="706">
        <v>1125.8999999999328</v>
      </c>
      <c r="D763" s="707">
        <v>14594</v>
      </c>
      <c r="E763" s="707">
        <v>1125.9999999999327</v>
      </c>
      <c r="G763" s="65">
        <v>1125.9999999999327</v>
      </c>
      <c r="H763" s="707">
        <v>14594</v>
      </c>
      <c r="I763" s="65">
        <v>1126.0999999999326</v>
      </c>
      <c r="J763" s="707">
        <v>14648</v>
      </c>
    </row>
    <row r="764" spans="2:10" ht="15">
      <c r="B764" s="706">
        <v>14594</v>
      </c>
      <c r="C764" s="706">
        <v>1125.9999999999327</v>
      </c>
      <c r="D764" s="707">
        <v>14648</v>
      </c>
      <c r="E764" s="707">
        <v>1126.0999999999326</v>
      </c>
      <c r="G764" s="65">
        <v>1126.0999999999326</v>
      </c>
      <c r="H764" s="707">
        <v>14648</v>
      </c>
      <c r="I764" s="65">
        <v>1126.1999999999325</v>
      </c>
      <c r="J764" s="707">
        <v>14701</v>
      </c>
    </row>
    <row r="765" spans="2:10" ht="15">
      <c r="B765" s="706">
        <v>14648</v>
      </c>
      <c r="C765" s="706">
        <v>1126.0999999999326</v>
      </c>
      <c r="D765" s="707">
        <v>14701</v>
      </c>
      <c r="E765" s="707">
        <v>1126.1999999999325</v>
      </c>
      <c r="G765" s="65">
        <v>1126.1999999999325</v>
      </c>
      <c r="H765" s="707">
        <v>14701</v>
      </c>
      <c r="I765" s="65">
        <v>1126.2999999999324</v>
      </c>
      <c r="J765" s="707">
        <v>14754</v>
      </c>
    </row>
    <row r="766" spans="2:10" ht="15">
      <c r="B766" s="706">
        <v>14701</v>
      </c>
      <c r="C766" s="706">
        <v>1126.1999999999325</v>
      </c>
      <c r="D766" s="707">
        <v>14754</v>
      </c>
      <c r="E766" s="707">
        <v>1126.2999999999324</v>
      </c>
      <c r="G766" s="65">
        <v>1126.2999999999324</v>
      </c>
      <c r="H766" s="707">
        <v>14754</v>
      </c>
      <c r="I766" s="65">
        <v>1126.3999999999323</v>
      </c>
      <c r="J766" s="707">
        <v>14808</v>
      </c>
    </row>
    <row r="767" spans="2:10" ht="15">
      <c r="B767" s="706">
        <v>14754</v>
      </c>
      <c r="C767" s="706">
        <v>1126.2999999999324</v>
      </c>
      <c r="D767" s="707">
        <v>14808</v>
      </c>
      <c r="E767" s="707">
        <v>1126.3999999999323</v>
      </c>
      <c r="G767" s="65">
        <v>1126.3999999999323</v>
      </c>
      <c r="H767" s="707">
        <v>14808</v>
      </c>
      <c r="I767" s="65">
        <v>1126.4999999999322</v>
      </c>
      <c r="J767" s="707">
        <v>14861</v>
      </c>
    </row>
    <row r="768" spans="2:10" ht="15">
      <c r="B768" s="706">
        <v>14808</v>
      </c>
      <c r="C768" s="706">
        <v>1126.3999999999323</v>
      </c>
      <c r="D768" s="707">
        <v>14861</v>
      </c>
      <c r="E768" s="707">
        <v>1126.4999999999322</v>
      </c>
      <c r="G768" s="65">
        <v>1126.4999999999322</v>
      </c>
      <c r="H768" s="707">
        <v>14861</v>
      </c>
      <c r="I768" s="65">
        <v>1126.5999999999322</v>
      </c>
      <c r="J768" s="707">
        <v>14914</v>
      </c>
    </row>
    <row r="769" spans="2:10" ht="15">
      <c r="B769" s="706">
        <v>14861</v>
      </c>
      <c r="C769" s="706">
        <v>1126.4999999999322</v>
      </c>
      <c r="D769" s="707">
        <v>14914</v>
      </c>
      <c r="E769" s="707">
        <v>1126.5999999999322</v>
      </c>
      <c r="G769" s="65">
        <v>1126.5999999999322</v>
      </c>
      <c r="H769" s="707">
        <v>14914</v>
      </c>
      <c r="I769" s="65">
        <v>1126.6999999999321</v>
      </c>
      <c r="J769" s="707">
        <v>14968</v>
      </c>
    </row>
    <row r="770" spans="2:10" ht="15">
      <c r="B770" s="706">
        <v>14914</v>
      </c>
      <c r="C770" s="706">
        <v>1126.5999999999322</v>
      </c>
      <c r="D770" s="707">
        <v>14968</v>
      </c>
      <c r="E770" s="707">
        <v>1126.6999999999321</v>
      </c>
      <c r="G770" s="65">
        <v>1126.6999999999321</v>
      </c>
      <c r="H770" s="707">
        <v>14968</v>
      </c>
      <c r="I770" s="65">
        <v>1126.799999999932</v>
      </c>
      <c r="J770" s="707">
        <v>15021</v>
      </c>
    </row>
    <row r="771" spans="2:10" ht="15">
      <c r="B771" s="706">
        <v>14968</v>
      </c>
      <c r="C771" s="706">
        <v>1126.6999999999321</v>
      </c>
      <c r="D771" s="707">
        <v>15021</v>
      </c>
      <c r="E771" s="707">
        <v>1126.799999999932</v>
      </c>
      <c r="G771" s="65">
        <v>1126.799999999932</v>
      </c>
      <c r="H771" s="707">
        <v>15021</v>
      </c>
      <c r="I771" s="65">
        <v>1126.8999999999319</v>
      </c>
      <c r="J771" s="707">
        <v>15074</v>
      </c>
    </row>
    <row r="772" spans="2:10" ht="15">
      <c r="B772" s="706">
        <v>15021</v>
      </c>
      <c r="C772" s="706">
        <v>1126.799999999932</v>
      </c>
      <c r="D772" s="707">
        <v>15074</v>
      </c>
      <c r="E772" s="707">
        <v>1126.8999999999319</v>
      </c>
      <c r="G772" s="65">
        <v>1126.8999999999319</v>
      </c>
      <c r="H772" s="707">
        <v>15074</v>
      </c>
      <c r="I772" s="65">
        <v>1126.9999999999318</v>
      </c>
      <c r="J772" s="707">
        <v>15128</v>
      </c>
    </row>
    <row r="773" spans="2:10" ht="15">
      <c r="B773" s="706">
        <v>15074</v>
      </c>
      <c r="C773" s="706">
        <v>1126.8999999999319</v>
      </c>
      <c r="D773" s="707">
        <v>15128</v>
      </c>
      <c r="E773" s="707">
        <v>1126.9999999999318</v>
      </c>
      <c r="G773" s="65">
        <v>1126.9999999999318</v>
      </c>
      <c r="H773" s="707">
        <v>15128</v>
      </c>
      <c r="I773" s="65">
        <v>1127.0999999999317</v>
      </c>
      <c r="J773" s="707">
        <v>15182</v>
      </c>
    </row>
    <row r="774" spans="2:10" ht="15">
      <c r="B774" s="706">
        <v>15128</v>
      </c>
      <c r="C774" s="706">
        <v>1126.9999999999318</v>
      </c>
      <c r="D774" s="707">
        <v>15182</v>
      </c>
      <c r="E774" s="707">
        <v>1127.0999999999317</v>
      </c>
      <c r="G774" s="65">
        <v>1127.0999999999317</v>
      </c>
      <c r="H774" s="707">
        <v>15182</v>
      </c>
      <c r="I774" s="65">
        <v>1127.1999999999316</v>
      </c>
      <c r="J774" s="707">
        <v>15237</v>
      </c>
    </row>
    <row r="775" spans="2:10" ht="15">
      <c r="B775" s="706">
        <v>15182</v>
      </c>
      <c r="C775" s="706">
        <v>1127.0999999999317</v>
      </c>
      <c r="D775" s="707">
        <v>15237</v>
      </c>
      <c r="E775" s="707">
        <v>1127.1999999999316</v>
      </c>
      <c r="G775" s="65">
        <v>1127.1999999999316</v>
      </c>
      <c r="H775" s="707">
        <v>15237</v>
      </c>
      <c r="I775" s="65">
        <v>1127.2999999999315</v>
      </c>
      <c r="J775" s="707">
        <v>15292</v>
      </c>
    </row>
    <row r="776" spans="2:10" ht="15">
      <c r="B776" s="706">
        <v>15237</v>
      </c>
      <c r="C776" s="706">
        <v>1127.1999999999316</v>
      </c>
      <c r="D776" s="707">
        <v>15292</v>
      </c>
      <c r="E776" s="707">
        <v>1127.2999999999315</v>
      </c>
      <c r="G776" s="65">
        <v>1127.2999999999315</v>
      </c>
      <c r="H776" s="707">
        <v>15292</v>
      </c>
      <c r="I776" s="65">
        <v>1127.3999999999314</v>
      </c>
      <c r="J776" s="707">
        <v>15346</v>
      </c>
    </row>
    <row r="777" spans="2:10" ht="15">
      <c r="B777" s="706">
        <v>15292</v>
      </c>
      <c r="C777" s="706">
        <v>1127.2999999999315</v>
      </c>
      <c r="D777" s="707">
        <v>15346</v>
      </c>
      <c r="E777" s="707">
        <v>1127.3999999999314</v>
      </c>
      <c r="G777" s="65">
        <v>1127.3999999999314</v>
      </c>
      <c r="H777" s="707">
        <v>15346</v>
      </c>
      <c r="I777" s="65">
        <v>1127.4999999999313</v>
      </c>
      <c r="J777" s="707">
        <v>15401</v>
      </c>
    </row>
    <row r="778" spans="2:10" ht="15">
      <c r="B778" s="706">
        <v>15346</v>
      </c>
      <c r="C778" s="706">
        <v>1127.3999999999314</v>
      </c>
      <c r="D778" s="707">
        <v>15401</v>
      </c>
      <c r="E778" s="707">
        <v>1127.4999999999313</v>
      </c>
      <c r="G778" s="65">
        <v>1127.4999999999313</v>
      </c>
      <c r="H778" s="707">
        <v>15401</v>
      </c>
      <c r="I778" s="65">
        <v>1127.5999999999312</v>
      </c>
      <c r="J778" s="707">
        <v>15455</v>
      </c>
    </row>
    <row r="779" spans="2:10" ht="15">
      <c r="B779" s="706">
        <v>15401</v>
      </c>
      <c r="C779" s="706">
        <v>1127.4999999999313</v>
      </c>
      <c r="D779" s="707">
        <v>15455</v>
      </c>
      <c r="E779" s="707">
        <v>1127.5999999999312</v>
      </c>
      <c r="G779" s="65">
        <v>1127.5999999999312</v>
      </c>
      <c r="H779" s="707">
        <v>15455</v>
      </c>
      <c r="I779" s="65">
        <v>1127.6999999999312</v>
      </c>
      <c r="J779" s="707">
        <v>15510</v>
      </c>
    </row>
    <row r="780" spans="2:10" ht="15">
      <c r="B780" s="706">
        <v>15455</v>
      </c>
      <c r="C780" s="706">
        <v>1127.5999999999312</v>
      </c>
      <c r="D780" s="707">
        <v>15510</v>
      </c>
      <c r="E780" s="707">
        <v>1127.6999999999312</v>
      </c>
      <c r="G780" s="65">
        <v>1127.6999999999312</v>
      </c>
      <c r="H780" s="707">
        <v>15510</v>
      </c>
      <c r="I780" s="65">
        <v>1127.7999999999311</v>
      </c>
      <c r="J780" s="707">
        <v>15565</v>
      </c>
    </row>
    <row r="781" spans="2:10" ht="15">
      <c r="B781" s="706">
        <v>15510</v>
      </c>
      <c r="C781" s="706">
        <v>1127.6999999999312</v>
      </c>
      <c r="D781" s="707">
        <v>15565</v>
      </c>
      <c r="E781" s="707">
        <v>1127.7999999999311</v>
      </c>
      <c r="G781" s="65">
        <v>1127.7999999999311</v>
      </c>
      <c r="H781" s="707">
        <v>15565</v>
      </c>
      <c r="I781" s="65">
        <v>1127.899999999931</v>
      </c>
      <c r="J781" s="707">
        <v>15619</v>
      </c>
    </row>
    <row r="782" spans="2:10" ht="15">
      <c r="B782" s="706">
        <v>15565</v>
      </c>
      <c r="C782" s="706">
        <v>1127.7999999999311</v>
      </c>
      <c r="D782" s="707">
        <v>15619</v>
      </c>
      <c r="E782" s="707">
        <v>1127.899999999931</v>
      </c>
      <c r="G782" s="65">
        <v>1127.899999999931</v>
      </c>
      <c r="H782" s="707">
        <v>15619</v>
      </c>
      <c r="I782" s="65">
        <v>1127.9999999999309</v>
      </c>
      <c r="J782" s="707">
        <v>15674</v>
      </c>
    </row>
    <row r="783" spans="2:10" ht="15">
      <c r="B783" s="706">
        <v>15619</v>
      </c>
      <c r="C783" s="706">
        <v>1127.899999999931</v>
      </c>
      <c r="D783" s="707">
        <v>15674</v>
      </c>
      <c r="E783" s="707">
        <v>1127.9999999999309</v>
      </c>
      <c r="G783" s="65">
        <v>1127.9999999999309</v>
      </c>
      <c r="H783" s="707">
        <v>15674</v>
      </c>
      <c r="I783" s="65">
        <v>1128.0999999999308</v>
      </c>
      <c r="J783" s="707">
        <v>15730</v>
      </c>
    </row>
    <row r="784" spans="2:10" ht="15">
      <c r="B784" s="706">
        <v>15674</v>
      </c>
      <c r="C784" s="706">
        <v>1127.9999999999309</v>
      </c>
      <c r="D784" s="707">
        <v>15730</v>
      </c>
      <c r="E784" s="707">
        <v>1128.0999999999308</v>
      </c>
      <c r="G784" s="65">
        <v>1128.0999999999308</v>
      </c>
      <c r="H784" s="707">
        <v>15730</v>
      </c>
      <c r="I784" s="65">
        <v>1128.1999999999307</v>
      </c>
      <c r="J784" s="707">
        <v>15786</v>
      </c>
    </row>
    <row r="785" spans="2:10" ht="15">
      <c r="B785" s="706">
        <v>15730</v>
      </c>
      <c r="C785" s="706">
        <v>1128.0999999999308</v>
      </c>
      <c r="D785" s="707">
        <v>15786</v>
      </c>
      <c r="E785" s="707">
        <v>1128.1999999999307</v>
      </c>
      <c r="G785" s="65">
        <v>1128.1999999999307</v>
      </c>
      <c r="H785" s="707">
        <v>15786</v>
      </c>
      <c r="I785" s="65">
        <v>1128.2999999999306</v>
      </c>
      <c r="J785" s="707">
        <v>15843</v>
      </c>
    </row>
    <row r="786" spans="2:10" ht="15">
      <c r="B786" s="706">
        <v>15786</v>
      </c>
      <c r="C786" s="706">
        <v>1128.1999999999307</v>
      </c>
      <c r="D786" s="707">
        <v>15843</v>
      </c>
      <c r="E786" s="707">
        <v>1128.2999999999306</v>
      </c>
      <c r="G786" s="65">
        <v>1128.2999999999306</v>
      </c>
      <c r="H786" s="707">
        <v>15843</v>
      </c>
      <c r="I786" s="65">
        <v>1128.3999999999305</v>
      </c>
      <c r="J786" s="707">
        <v>15899</v>
      </c>
    </row>
    <row r="787" spans="2:10" ht="15">
      <c r="B787" s="706">
        <v>15843</v>
      </c>
      <c r="C787" s="706">
        <v>1128.2999999999306</v>
      </c>
      <c r="D787" s="707">
        <v>15899</v>
      </c>
      <c r="E787" s="707">
        <v>1128.3999999999305</v>
      </c>
      <c r="G787" s="65">
        <v>1128.3999999999305</v>
      </c>
      <c r="H787" s="707">
        <v>15899</v>
      </c>
      <c r="I787" s="65">
        <v>1128.4999999999304</v>
      </c>
      <c r="J787" s="707">
        <v>15955</v>
      </c>
    </row>
    <row r="788" spans="2:10" ht="15">
      <c r="B788" s="706">
        <v>15899</v>
      </c>
      <c r="C788" s="706">
        <v>1128.3999999999305</v>
      </c>
      <c r="D788" s="707">
        <v>15955</v>
      </c>
      <c r="E788" s="707">
        <v>1128.4999999999304</v>
      </c>
      <c r="G788" s="65">
        <v>1128.4999999999304</v>
      </c>
      <c r="H788" s="707">
        <v>15955</v>
      </c>
      <c r="I788" s="65">
        <v>1128.5999999999303</v>
      </c>
      <c r="J788" s="707">
        <v>16011</v>
      </c>
    </row>
    <row r="789" spans="2:10" ht="15">
      <c r="B789" s="706">
        <v>15955</v>
      </c>
      <c r="C789" s="706">
        <v>1128.4999999999304</v>
      </c>
      <c r="D789" s="707">
        <v>16011</v>
      </c>
      <c r="E789" s="707">
        <v>1128.5999999999303</v>
      </c>
      <c r="G789" s="65">
        <v>1128.5999999999303</v>
      </c>
      <c r="H789" s="707">
        <v>16011</v>
      </c>
      <c r="I789" s="65">
        <v>1128.6999999999302</v>
      </c>
      <c r="J789" s="707">
        <v>16067</v>
      </c>
    </row>
    <row r="790" spans="2:10" ht="15">
      <c r="B790" s="706">
        <v>16011</v>
      </c>
      <c r="C790" s="706">
        <v>1128.5999999999303</v>
      </c>
      <c r="D790" s="707">
        <v>16067</v>
      </c>
      <c r="E790" s="707">
        <v>1128.6999999999302</v>
      </c>
      <c r="G790" s="65">
        <v>1128.6999999999302</v>
      </c>
      <c r="H790" s="707">
        <v>16067</v>
      </c>
      <c r="I790" s="65">
        <v>1128.7999999999302</v>
      </c>
      <c r="J790" s="707">
        <v>16123</v>
      </c>
    </row>
    <row r="791" spans="2:10" ht="15">
      <c r="B791" s="706">
        <v>16067</v>
      </c>
      <c r="C791" s="706">
        <v>1128.6999999999302</v>
      </c>
      <c r="D791" s="707">
        <v>16123</v>
      </c>
      <c r="E791" s="707">
        <v>1128.7999999999302</v>
      </c>
      <c r="G791" s="65">
        <v>1128.7999999999302</v>
      </c>
      <c r="H791" s="707">
        <v>16123</v>
      </c>
      <c r="I791" s="65">
        <v>1128.8999999999301</v>
      </c>
      <c r="J791" s="707">
        <v>16179</v>
      </c>
    </row>
    <row r="792" spans="2:10" ht="15">
      <c r="B792" s="706">
        <v>16123</v>
      </c>
      <c r="C792" s="706">
        <v>1128.7999999999302</v>
      </c>
      <c r="D792" s="707">
        <v>16179</v>
      </c>
      <c r="E792" s="707">
        <v>1128.8999999999301</v>
      </c>
      <c r="G792" s="65">
        <v>1128.8999999999301</v>
      </c>
      <c r="H792" s="707">
        <v>16179</v>
      </c>
      <c r="I792" s="65">
        <v>1128.99999999993</v>
      </c>
      <c r="J792" s="707">
        <v>16236</v>
      </c>
    </row>
    <row r="793" spans="2:10" ht="15">
      <c r="B793" s="706">
        <v>16179</v>
      </c>
      <c r="C793" s="706">
        <v>1128.8999999999301</v>
      </c>
      <c r="D793" s="707">
        <v>16236</v>
      </c>
      <c r="E793" s="707">
        <v>1128.99999999993</v>
      </c>
      <c r="G793" s="65">
        <v>1128.99999999993</v>
      </c>
      <c r="H793" s="707">
        <v>16236</v>
      </c>
      <c r="I793" s="65">
        <v>1129.0999999999299</v>
      </c>
      <c r="J793" s="707">
        <v>16293</v>
      </c>
    </row>
    <row r="794" spans="2:10" ht="15">
      <c r="B794" s="706">
        <v>16236</v>
      </c>
      <c r="C794" s="706">
        <v>1128.99999999993</v>
      </c>
      <c r="D794" s="707">
        <v>16293</v>
      </c>
      <c r="E794" s="707">
        <v>1129.0999999999299</v>
      </c>
      <c r="G794" s="65">
        <v>1129.0999999999299</v>
      </c>
      <c r="H794" s="707">
        <v>16293</v>
      </c>
      <c r="I794" s="65">
        <v>1129.1999999999298</v>
      </c>
      <c r="J794" s="707">
        <v>16351</v>
      </c>
    </row>
    <row r="795" spans="2:10" ht="15">
      <c r="B795" s="706">
        <v>16293</v>
      </c>
      <c r="C795" s="706">
        <v>1129.0999999999299</v>
      </c>
      <c r="D795" s="707">
        <v>16351</v>
      </c>
      <c r="E795" s="707">
        <v>1129.1999999999298</v>
      </c>
      <c r="G795" s="65">
        <v>1129.1999999999298</v>
      </c>
      <c r="H795" s="707">
        <v>16351</v>
      </c>
      <c r="I795" s="65">
        <v>1129.2999999999297</v>
      </c>
      <c r="J795" s="707">
        <v>16409</v>
      </c>
    </row>
    <row r="796" spans="2:10" ht="15">
      <c r="B796" s="706">
        <v>16351</v>
      </c>
      <c r="C796" s="706">
        <v>1129.1999999999298</v>
      </c>
      <c r="D796" s="707">
        <v>16409</v>
      </c>
      <c r="E796" s="707">
        <v>1129.2999999999297</v>
      </c>
      <c r="G796" s="65">
        <v>1129.2999999999297</v>
      </c>
      <c r="H796" s="707">
        <v>16409</v>
      </c>
      <c r="I796" s="65">
        <v>1129.3999999999296</v>
      </c>
      <c r="J796" s="707">
        <v>16466</v>
      </c>
    </row>
    <row r="797" spans="2:10" ht="15">
      <c r="B797" s="706">
        <v>16409</v>
      </c>
      <c r="C797" s="706">
        <v>1129.2999999999297</v>
      </c>
      <c r="D797" s="707">
        <v>16466</v>
      </c>
      <c r="E797" s="707">
        <v>1129.3999999999296</v>
      </c>
      <c r="G797" s="65">
        <v>1129.3999999999296</v>
      </c>
      <c r="H797" s="707">
        <v>16466</v>
      </c>
      <c r="I797" s="65">
        <v>1129.4999999999295</v>
      </c>
      <c r="J797" s="707">
        <v>16524</v>
      </c>
    </row>
    <row r="798" spans="2:10" ht="15">
      <c r="B798" s="706">
        <v>16466</v>
      </c>
      <c r="C798" s="706">
        <v>1129.3999999999296</v>
      </c>
      <c r="D798" s="707">
        <v>16524</v>
      </c>
      <c r="E798" s="707">
        <v>1129.4999999999295</v>
      </c>
      <c r="G798" s="65">
        <v>1129.4999999999295</v>
      </c>
      <c r="H798" s="707">
        <v>16524</v>
      </c>
      <c r="I798" s="65">
        <v>1129.5999999999294</v>
      </c>
      <c r="J798" s="707">
        <v>16582</v>
      </c>
    </row>
    <row r="799" spans="2:10" ht="15">
      <c r="B799" s="706">
        <v>16524</v>
      </c>
      <c r="C799" s="706">
        <v>1129.4999999999295</v>
      </c>
      <c r="D799" s="707">
        <v>16582</v>
      </c>
      <c r="E799" s="707">
        <v>1129.5999999999294</v>
      </c>
      <c r="G799" s="65">
        <v>1129.5999999999294</v>
      </c>
      <c r="H799" s="707">
        <v>16582</v>
      </c>
      <c r="I799" s="65">
        <v>1129.6999999999293</v>
      </c>
      <c r="J799" s="707">
        <v>16639</v>
      </c>
    </row>
    <row r="800" spans="2:10" ht="15">
      <c r="B800" s="706">
        <v>16582</v>
      </c>
      <c r="C800" s="706">
        <v>1129.5999999999294</v>
      </c>
      <c r="D800" s="707">
        <v>16639</v>
      </c>
      <c r="E800" s="707">
        <v>1129.6999999999293</v>
      </c>
      <c r="G800" s="65">
        <v>1129.6999999999293</v>
      </c>
      <c r="H800" s="707">
        <v>16639</v>
      </c>
      <c r="I800" s="65">
        <v>1129.7999999999292</v>
      </c>
      <c r="J800" s="707">
        <v>16697</v>
      </c>
    </row>
    <row r="801" spans="2:10" ht="15">
      <c r="B801" s="706">
        <v>16639</v>
      </c>
      <c r="C801" s="706">
        <v>1129.6999999999293</v>
      </c>
      <c r="D801" s="707">
        <v>16697</v>
      </c>
      <c r="E801" s="707">
        <v>1129.7999999999292</v>
      </c>
      <c r="G801" s="65">
        <v>1129.7999999999292</v>
      </c>
      <c r="H801" s="707">
        <v>16697</v>
      </c>
      <c r="I801" s="65">
        <v>1129.8999999999292</v>
      </c>
      <c r="J801" s="707">
        <v>16755</v>
      </c>
    </row>
    <row r="802" spans="2:10" ht="15">
      <c r="B802" s="706">
        <v>16697</v>
      </c>
      <c r="C802" s="706">
        <v>1129.7999999999292</v>
      </c>
      <c r="D802" s="707">
        <v>16755</v>
      </c>
      <c r="E802" s="707">
        <v>1129.8999999999292</v>
      </c>
      <c r="G802" s="65">
        <v>1129.8999999999292</v>
      </c>
      <c r="H802" s="707">
        <v>16755</v>
      </c>
      <c r="I802" s="65">
        <v>1129.9999999999291</v>
      </c>
      <c r="J802" s="707">
        <v>16813</v>
      </c>
    </row>
    <row r="803" spans="2:10" ht="15">
      <c r="B803" s="706">
        <v>16755</v>
      </c>
      <c r="C803" s="706">
        <v>1129.8999999999292</v>
      </c>
      <c r="D803" s="707">
        <v>16813</v>
      </c>
      <c r="E803" s="707">
        <v>1129.9999999999291</v>
      </c>
      <c r="G803" s="65">
        <v>1129.9999999999291</v>
      </c>
      <c r="H803" s="707">
        <v>16813</v>
      </c>
      <c r="I803" s="65">
        <v>1130.099999999929</v>
      </c>
      <c r="J803" s="707">
        <v>16872</v>
      </c>
    </row>
    <row r="804" spans="2:10" ht="15">
      <c r="B804" s="706">
        <v>16813</v>
      </c>
      <c r="C804" s="706">
        <v>1129.9999999999291</v>
      </c>
      <c r="D804" s="707">
        <v>16872</v>
      </c>
      <c r="E804" s="707">
        <v>1130.099999999929</v>
      </c>
      <c r="G804" s="65">
        <v>1130.099999999929</v>
      </c>
      <c r="H804" s="707">
        <v>16872</v>
      </c>
      <c r="I804" s="65">
        <v>1130.1999999999289</v>
      </c>
      <c r="J804" s="707">
        <v>16931</v>
      </c>
    </row>
    <row r="805" spans="2:10" ht="15">
      <c r="B805" s="706">
        <v>16872</v>
      </c>
      <c r="C805" s="706">
        <v>1130.099999999929</v>
      </c>
      <c r="D805" s="707">
        <v>16931</v>
      </c>
      <c r="E805" s="707">
        <v>1130.1999999999289</v>
      </c>
      <c r="G805" s="65">
        <v>1130.1999999999289</v>
      </c>
      <c r="H805" s="707">
        <v>16931</v>
      </c>
      <c r="I805" s="65">
        <v>1130.2999999999288</v>
      </c>
      <c r="J805" s="707">
        <v>16990</v>
      </c>
    </row>
    <row r="806" spans="2:10" ht="15">
      <c r="B806" s="706">
        <v>16931</v>
      </c>
      <c r="C806" s="706">
        <v>1130.1999999999289</v>
      </c>
      <c r="D806" s="707">
        <v>16990</v>
      </c>
      <c r="E806" s="707">
        <v>1130.2999999999288</v>
      </c>
      <c r="G806" s="65">
        <v>1130.2999999999288</v>
      </c>
      <c r="H806" s="707">
        <v>16990</v>
      </c>
      <c r="I806" s="65">
        <v>1130.3999999999287</v>
      </c>
      <c r="J806" s="707">
        <v>17049</v>
      </c>
    </row>
    <row r="807" spans="2:10" ht="15">
      <c r="B807" s="706">
        <v>16990</v>
      </c>
      <c r="C807" s="706">
        <v>1130.2999999999288</v>
      </c>
      <c r="D807" s="707">
        <v>17049</v>
      </c>
      <c r="E807" s="707">
        <v>1130.3999999999287</v>
      </c>
      <c r="G807" s="65">
        <v>1130.3999999999287</v>
      </c>
      <c r="H807" s="707">
        <v>17049</v>
      </c>
      <c r="I807" s="65">
        <v>1130.4999999999286</v>
      </c>
      <c r="J807" s="707">
        <v>17108</v>
      </c>
    </row>
    <row r="808" spans="2:10" ht="15">
      <c r="B808" s="706">
        <v>17049</v>
      </c>
      <c r="C808" s="706">
        <v>1130.3999999999287</v>
      </c>
      <c r="D808" s="707">
        <v>17108</v>
      </c>
      <c r="E808" s="707">
        <v>1130.4999999999286</v>
      </c>
      <c r="G808" s="65">
        <v>1130.4999999999286</v>
      </c>
      <c r="H808" s="707">
        <v>17108</v>
      </c>
      <c r="I808" s="65">
        <v>1130.5999999999285</v>
      </c>
      <c r="J808" s="707">
        <v>17167</v>
      </c>
    </row>
    <row r="809" spans="2:10" ht="15">
      <c r="B809" s="706">
        <v>17108</v>
      </c>
      <c r="C809" s="706">
        <v>1130.4999999999286</v>
      </c>
      <c r="D809" s="707">
        <v>17167</v>
      </c>
      <c r="E809" s="707">
        <v>1130.5999999999285</v>
      </c>
      <c r="G809" s="65">
        <v>1130.5999999999285</v>
      </c>
      <c r="H809" s="707">
        <v>17167</v>
      </c>
      <c r="I809" s="65">
        <v>1130.6999999999284</v>
      </c>
      <c r="J809" s="707">
        <v>17226</v>
      </c>
    </row>
    <row r="810" spans="2:10" ht="15">
      <c r="B810" s="706">
        <v>17167</v>
      </c>
      <c r="C810" s="706">
        <v>1130.5999999999285</v>
      </c>
      <c r="D810" s="707">
        <v>17226</v>
      </c>
      <c r="E810" s="707">
        <v>1130.6999999999284</v>
      </c>
      <c r="G810" s="65">
        <v>1130.6999999999284</v>
      </c>
      <c r="H810" s="707">
        <v>17226</v>
      </c>
      <c r="I810" s="65">
        <v>1130.7999999999283</v>
      </c>
      <c r="J810" s="707">
        <v>17285</v>
      </c>
    </row>
    <row r="811" spans="2:10" ht="15">
      <c r="B811" s="706">
        <v>17226</v>
      </c>
      <c r="C811" s="706">
        <v>1130.6999999999284</v>
      </c>
      <c r="D811" s="707">
        <v>17285</v>
      </c>
      <c r="E811" s="707">
        <v>1130.7999999999283</v>
      </c>
      <c r="G811" s="65">
        <v>1130.7999999999283</v>
      </c>
      <c r="H811" s="707">
        <v>17285</v>
      </c>
      <c r="I811" s="65">
        <v>1130.8999999999282</v>
      </c>
      <c r="J811" s="707">
        <v>17344</v>
      </c>
    </row>
    <row r="812" spans="2:10" ht="15">
      <c r="B812" s="706">
        <v>17285</v>
      </c>
      <c r="C812" s="706">
        <v>1130.7999999999283</v>
      </c>
      <c r="D812" s="707">
        <v>17344</v>
      </c>
      <c r="E812" s="707">
        <v>1130.8999999999282</v>
      </c>
      <c r="G812" s="65">
        <v>1130.8999999999282</v>
      </c>
      <c r="H812" s="707">
        <v>17344</v>
      </c>
      <c r="I812" s="65">
        <v>1130.9999999999281</v>
      </c>
      <c r="J812" s="707">
        <v>17403</v>
      </c>
    </row>
    <row r="813" spans="2:10" ht="15">
      <c r="B813" s="706">
        <v>17344</v>
      </c>
      <c r="C813" s="706">
        <v>1130.8999999999282</v>
      </c>
      <c r="D813" s="707">
        <v>17403</v>
      </c>
      <c r="E813" s="707">
        <v>1130.9999999999281</v>
      </c>
      <c r="G813" s="65">
        <v>1130.9999999999281</v>
      </c>
      <c r="H813" s="707">
        <v>17403</v>
      </c>
      <c r="I813" s="65">
        <v>1131.0999999999281</v>
      </c>
      <c r="J813" s="707">
        <v>17463</v>
      </c>
    </row>
    <row r="814" spans="2:10" ht="15">
      <c r="B814" s="706">
        <v>17403</v>
      </c>
      <c r="C814" s="706">
        <v>1130.9999999999281</v>
      </c>
      <c r="D814" s="707">
        <v>17463</v>
      </c>
      <c r="E814" s="707">
        <v>1131.0999999999281</v>
      </c>
      <c r="G814" s="65">
        <v>1131.0999999999281</v>
      </c>
      <c r="H814" s="707">
        <v>17463</v>
      </c>
      <c r="I814" s="65">
        <v>1131.199999999928</v>
      </c>
      <c r="J814" s="707">
        <v>17523</v>
      </c>
    </row>
    <row r="815" spans="2:10" ht="15">
      <c r="B815" s="706">
        <v>17463</v>
      </c>
      <c r="C815" s="706">
        <v>1131.0999999999281</v>
      </c>
      <c r="D815" s="707">
        <v>17523</v>
      </c>
      <c r="E815" s="707">
        <v>1131.199999999928</v>
      </c>
      <c r="G815" s="65">
        <v>1131.199999999928</v>
      </c>
      <c r="H815" s="707">
        <v>17523</v>
      </c>
      <c r="I815" s="65">
        <v>1131.2999999999279</v>
      </c>
      <c r="J815" s="707">
        <v>17583</v>
      </c>
    </row>
    <row r="816" spans="2:10" ht="15">
      <c r="B816" s="706">
        <v>17523</v>
      </c>
      <c r="C816" s="706">
        <v>1131.199999999928</v>
      </c>
      <c r="D816" s="707">
        <v>17583</v>
      </c>
      <c r="E816" s="707">
        <v>1131.2999999999279</v>
      </c>
      <c r="G816" s="65">
        <v>1131.2999999999279</v>
      </c>
      <c r="H816" s="707">
        <v>17583</v>
      </c>
      <c r="I816" s="65">
        <v>1131.3999999999278</v>
      </c>
      <c r="J816" s="707">
        <v>17644</v>
      </c>
    </row>
    <row r="817" spans="2:10" ht="15">
      <c r="B817" s="706">
        <v>17583</v>
      </c>
      <c r="C817" s="706">
        <v>1131.2999999999279</v>
      </c>
      <c r="D817" s="707">
        <v>17644</v>
      </c>
      <c r="E817" s="707">
        <v>1131.3999999999278</v>
      </c>
      <c r="G817" s="65">
        <v>1131.3999999999278</v>
      </c>
      <c r="H817" s="707">
        <v>17644</v>
      </c>
      <c r="I817" s="65">
        <v>1131.4999999999277</v>
      </c>
      <c r="J817" s="707">
        <v>17704</v>
      </c>
    </row>
    <row r="818" spans="2:10" ht="15">
      <c r="B818" s="706">
        <v>17644</v>
      </c>
      <c r="C818" s="706">
        <v>1131.3999999999278</v>
      </c>
      <c r="D818" s="707">
        <v>17704</v>
      </c>
      <c r="E818" s="707">
        <v>1131.4999999999277</v>
      </c>
      <c r="G818" s="65">
        <v>1131.4999999999277</v>
      </c>
      <c r="H818" s="707">
        <v>17704</v>
      </c>
      <c r="I818" s="65">
        <v>1131.5999999999276</v>
      </c>
      <c r="J818" s="707">
        <v>17764</v>
      </c>
    </row>
    <row r="819" spans="2:10" ht="15">
      <c r="B819" s="706">
        <v>17704</v>
      </c>
      <c r="C819" s="706">
        <v>1131.4999999999277</v>
      </c>
      <c r="D819" s="707">
        <v>17764</v>
      </c>
      <c r="E819" s="707">
        <v>1131.5999999999276</v>
      </c>
      <c r="G819" s="65">
        <v>1131.5999999999276</v>
      </c>
      <c r="H819" s="707">
        <v>17764</v>
      </c>
      <c r="I819" s="65">
        <v>1131.6999999999275</v>
      </c>
      <c r="J819" s="707">
        <v>17825</v>
      </c>
    </row>
    <row r="820" spans="2:10" ht="15">
      <c r="B820" s="706">
        <v>17764</v>
      </c>
      <c r="C820" s="706">
        <v>1131.5999999999276</v>
      </c>
      <c r="D820" s="707">
        <v>17825</v>
      </c>
      <c r="E820" s="707">
        <v>1131.6999999999275</v>
      </c>
      <c r="G820" s="65">
        <v>1131.6999999999275</v>
      </c>
      <c r="H820" s="707">
        <v>17825</v>
      </c>
      <c r="I820" s="65">
        <v>1131.7999999999274</v>
      </c>
      <c r="J820" s="707">
        <v>17885</v>
      </c>
    </row>
    <row r="821" spans="2:10" ht="15">
      <c r="B821" s="706">
        <v>17825</v>
      </c>
      <c r="C821" s="706">
        <v>1131.6999999999275</v>
      </c>
      <c r="D821" s="707">
        <v>17885</v>
      </c>
      <c r="E821" s="707">
        <v>1131.7999999999274</v>
      </c>
      <c r="G821" s="65">
        <v>1131.7999999999274</v>
      </c>
      <c r="H821" s="707">
        <v>17885</v>
      </c>
      <c r="I821" s="65">
        <v>1131.8999999999273</v>
      </c>
      <c r="J821" s="707">
        <v>17945</v>
      </c>
    </row>
    <row r="822" spans="2:10" ht="15">
      <c r="B822" s="706">
        <v>17885</v>
      </c>
      <c r="C822" s="706">
        <v>1131.7999999999274</v>
      </c>
      <c r="D822" s="707">
        <v>17945</v>
      </c>
      <c r="E822" s="707">
        <v>1131.8999999999273</v>
      </c>
      <c r="G822" s="65">
        <v>1131.8999999999273</v>
      </c>
      <c r="H822" s="707">
        <v>17945</v>
      </c>
      <c r="I822" s="65">
        <v>1131.9999999999272</v>
      </c>
      <c r="J822" s="707">
        <v>18006</v>
      </c>
    </row>
    <row r="823" spans="2:10" ht="15">
      <c r="B823" s="706">
        <v>17945</v>
      </c>
      <c r="C823" s="706">
        <v>1131.8999999999273</v>
      </c>
      <c r="D823" s="707">
        <v>18006</v>
      </c>
      <c r="E823" s="707">
        <v>1131.9999999999272</v>
      </c>
      <c r="G823" s="65">
        <v>1131.9999999999272</v>
      </c>
      <c r="H823" s="707">
        <v>18006</v>
      </c>
      <c r="I823" s="65">
        <v>1132.0999999999271</v>
      </c>
      <c r="J823" s="707">
        <v>18068</v>
      </c>
    </row>
    <row r="824" spans="2:10" ht="15">
      <c r="B824" s="706">
        <v>18006</v>
      </c>
      <c r="C824" s="706">
        <v>1131.9999999999272</v>
      </c>
      <c r="D824" s="707">
        <v>18068</v>
      </c>
      <c r="E824" s="707">
        <v>1132.0999999999271</v>
      </c>
      <c r="G824" s="65">
        <v>1132.0999999999271</v>
      </c>
      <c r="H824" s="707">
        <v>18068</v>
      </c>
      <c r="I824" s="65">
        <v>1132.1999999999271</v>
      </c>
      <c r="J824" s="707">
        <v>18129</v>
      </c>
    </row>
    <row r="825" spans="2:10" ht="15">
      <c r="B825" s="706">
        <v>18068</v>
      </c>
      <c r="C825" s="706">
        <v>1132.0999999999271</v>
      </c>
      <c r="D825" s="707">
        <v>18129</v>
      </c>
      <c r="E825" s="707">
        <v>1132.1999999999271</v>
      </c>
      <c r="G825" s="65">
        <v>1132.1999999999271</v>
      </c>
      <c r="H825" s="707">
        <v>18129</v>
      </c>
      <c r="I825" s="65">
        <v>1132.299999999927</v>
      </c>
      <c r="J825" s="707">
        <v>18191</v>
      </c>
    </row>
    <row r="826" spans="2:10" ht="15">
      <c r="B826" s="706">
        <v>18129</v>
      </c>
      <c r="C826" s="706">
        <v>1132.1999999999271</v>
      </c>
      <c r="D826" s="707">
        <v>18191</v>
      </c>
      <c r="E826" s="707">
        <v>1132.299999999927</v>
      </c>
      <c r="G826" s="65">
        <v>1132.299999999927</v>
      </c>
      <c r="H826" s="707">
        <v>18191</v>
      </c>
      <c r="I826" s="65">
        <v>1132.3999999999269</v>
      </c>
      <c r="J826" s="707">
        <v>18253</v>
      </c>
    </row>
    <row r="827" spans="2:10" ht="15">
      <c r="B827" s="706">
        <v>18191</v>
      </c>
      <c r="C827" s="706">
        <v>1132.299999999927</v>
      </c>
      <c r="D827" s="707">
        <v>18253</v>
      </c>
      <c r="E827" s="707">
        <v>1132.3999999999269</v>
      </c>
      <c r="G827" s="65">
        <v>1132.3999999999269</v>
      </c>
      <c r="H827" s="707">
        <v>18253</v>
      </c>
      <c r="I827" s="65">
        <v>1132.4999999999268</v>
      </c>
      <c r="J827" s="707">
        <v>18315</v>
      </c>
    </row>
    <row r="828" spans="2:10" ht="15">
      <c r="B828" s="706">
        <v>18253</v>
      </c>
      <c r="C828" s="706">
        <v>1132.3999999999269</v>
      </c>
      <c r="D828" s="707">
        <v>18315</v>
      </c>
      <c r="E828" s="707">
        <v>1132.4999999999268</v>
      </c>
      <c r="G828" s="65">
        <v>1132.4999999999268</v>
      </c>
      <c r="H828" s="707">
        <v>18315</v>
      </c>
      <c r="I828" s="65">
        <v>1132.5999999999267</v>
      </c>
      <c r="J828" s="707">
        <v>18376</v>
      </c>
    </row>
    <row r="829" spans="2:10" ht="15">
      <c r="B829" s="706">
        <v>18315</v>
      </c>
      <c r="C829" s="706">
        <v>1132.4999999999268</v>
      </c>
      <c r="D829" s="707">
        <v>18376</v>
      </c>
      <c r="E829" s="707">
        <v>1132.5999999999267</v>
      </c>
      <c r="G829" s="65">
        <v>1132.5999999999267</v>
      </c>
      <c r="H829" s="707">
        <v>18376</v>
      </c>
      <c r="I829" s="65">
        <v>1132.6999999999266</v>
      </c>
      <c r="J829" s="707">
        <v>18438</v>
      </c>
    </row>
    <row r="830" spans="2:10" ht="15">
      <c r="B830" s="706">
        <v>18376</v>
      </c>
      <c r="C830" s="706">
        <v>1132.5999999999267</v>
      </c>
      <c r="D830" s="707">
        <v>18438</v>
      </c>
      <c r="E830" s="707">
        <v>1132.6999999999266</v>
      </c>
      <c r="G830" s="65">
        <v>1132.6999999999266</v>
      </c>
      <c r="H830" s="707">
        <v>18438</v>
      </c>
      <c r="I830" s="65">
        <v>1132.7999999999265</v>
      </c>
      <c r="J830" s="707">
        <v>18500</v>
      </c>
    </row>
    <row r="831" spans="2:10" ht="15">
      <c r="B831" s="706">
        <v>18438</v>
      </c>
      <c r="C831" s="706">
        <v>1132.6999999999266</v>
      </c>
      <c r="D831" s="707">
        <v>18500</v>
      </c>
      <c r="E831" s="707">
        <v>1132.7999999999265</v>
      </c>
      <c r="G831" s="65">
        <v>1132.7999999999265</v>
      </c>
      <c r="H831" s="707">
        <v>18500</v>
      </c>
      <c r="I831" s="65">
        <v>1132.8999999999264</v>
      </c>
      <c r="J831" s="707">
        <v>18562</v>
      </c>
    </row>
    <row r="832" spans="2:10" ht="15">
      <c r="B832" s="706">
        <v>18500</v>
      </c>
      <c r="C832" s="706">
        <v>1132.7999999999265</v>
      </c>
      <c r="D832" s="707">
        <v>18562</v>
      </c>
      <c r="E832" s="707">
        <v>1132.8999999999264</v>
      </c>
      <c r="G832" s="65">
        <v>1132.8999999999264</v>
      </c>
      <c r="H832" s="707">
        <v>18562</v>
      </c>
      <c r="I832" s="65">
        <v>1132.9999999999263</v>
      </c>
      <c r="J832" s="707">
        <v>18624</v>
      </c>
    </row>
    <row r="833" spans="2:10" ht="15">
      <c r="B833" s="706">
        <v>18562</v>
      </c>
      <c r="C833" s="706">
        <v>1132.8999999999264</v>
      </c>
      <c r="D833" s="707">
        <v>18624</v>
      </c>
      <c r="E833" s="707">
        <v>1132.9999999999263</v>
      </c>
      <c r="G833" s="65">
        <v>1132.9999999999263</v>
      </c>
      <c r="H833" s="707">
        <v>18624</v>
      </c>
      <c r="I833" s="65">
        <v>1133.0999999999262</v>
      </c>
      <c r="J833" s="707">
        <v>18687</v>
      </c>
    </row>
    <row r="834" spans="2:10" ht="15">
      <c r="B834" s="706">
        <v>18624</v>
      </c>
      <c r="C834" s="706">
        <v>1132.9999999999263</v>
      </c>
      <c r="D834" s="707">
        <v>18687</v>
      </c>
      <c r="E834" s="707">
        <v>1133.0999999999262</v>
      </c>
      <c r="G834" s="65">
        <v>1133.0999999999262</v>
      </c>
      <c r="H834" s="707">
        <v>18687</v>
      </c>
      <c r="I834" s="65">
        <v>1133.1999999999261</v>
      </c>
      <c r="J834" s="707">
        <v>18750</v>
      </c>
    </row>
    <row r="835" spans="2:10" ht="15">
      <c r="B835" s="706">
        <v>18687</v>
      </c>
      <c r="C835" s="706">
        <v>1133.0999999999262</v>
      </c>
      <c r="D835" s="707">
        <v>18750</v>
      </c>
      <c r="E835" s="707">
        <v>1133.1999999999261</v>
      </c>
      <c r="G835" s="65">
        <v>1133.1999999999261</v>
      </c>
      <c r="H835" s="707">
        <v>18750</v>
      </c>
      <c r="I835" s="65">
        <v>1133.2999999999261</v>
      </c>
      <c r="J835" s="707">
        <v>18814</v>
      </c>
    </row>
    <row r="836" spans="2:10" ht="15">
      <c r="B836" s="706">
        <v>18750</v>
      </c>
      <c r="C836" s="706">
        <v>1133.1999999999261</v>
      </c>
      <c r="D836" s="707">
        <v>18814</v>
      </c>
      <c r="E836" s="707">
        <v>1133.2999999999261</v>
      </c>
      <c r="G836" s="65">
        <v>1133.2999999999261</v>
      </c>
      <c r="H836" s="707">
        <v>18814</v>
      </c>
      <c r="I836" s="65">
        <v>1133.399999999926</v>
      </c>
      <c r="J836" s="707">
        <v>18877</v>
      </c>
    </row>
    <row r="837" spans="2:10" ht="15">
      <c r="B837" s="706">
        <v>18814</v>
      </c>
      <c r="C837" s="706">
        <v>1133.2999999999261</v>
      </c>
      <c r="D837" s="707">
        <v>18877</v>
      </c>
      <c r="E837" s="707">
        <v>1133.399999999926</v>
      </c>
      <c r="G837" s="65">
        <v>1133.399999999926</v>
      </c>
      <c r="H837" s="707">
        <v>18877</v>
      </c>
      <c r="I837" s="65">
        <v>1133.4999999999259</v>
      </c>
      <c r="J837" s="707">
        <v>18940</v>
      </c>
    </row>
    <row r="838" spans="2:10" ht="15">
      <c r="B838" s="706">
        <v>18877</v>
      </c>
      <c r="C838" s="706">
        <v>1133.399999999926</v>
      </c>
      <c r="D838" s="707">
        <v>18940</v>
      </c>
      <c r="E838" s="707">
        <v>1133.4999999999259</v>
      </c>
      <c r="G838" s="65">
        <v>1133.4999999999259</v>
      </c>
      <c r="H838" s="707">
        <v>18940</v>
      </c>
      <c r="I838" s="65">
        <v>1133.5999999999258</v>
      </c>
      <c r="J838" s="707">
        <v>19004</v>
      </c>
    </row>
    <row r="839" spans="2:10" ht="15">
      <c r="B839" s="706">
        <v>18940</v>
      </c>
      <c r="C839" s="706">
        <v>1133.4999999999259</v>
      </c>
      <c r="D839" s="707">
        <v>19004</v>
      </c>
      <c r="E839" s="707">
        <v>1133.5999999999258</v>
      </c>
      <c r="G839" s="65">
        <v>1133.5999999999258</v>
      </c>
      <c r="H839" s="707">
        <v>19004</v>
      </c>
      <c r="I839" s="65">
        <v>1133.6999999999257</v>
      </c>
      <c r="J839" s="707">
        <v>19067</v>
      </c>
    </row>
    <row r="840" spans="2:10" ht="15">
      <c r="B840" s="706">
        <v>19004</v>
      </c>
      <c r="C840" s="706">
        <v>1133.5999999999258</v>
      </c>
      <c r="D840" s="707">
        <v>19067</v>
      </c>
      <c r="E840" s="707">
        <v>1133.6999999999257</v>
      </c>
      <c r="G840" s="65">
        <v>1133.6999999999257</v>
      </c>
      <c r="H840" s="707">
        <v>19067</v>
      </c>
      <c r="I840" s="65">
        <v>1133.7999999999256</v>
      </c>
      <c r="J840" s="707">
        <v>19131</v>
      </c>
    </row>
    <row r="841" spans="2:10" ht="15">
      <c r="B841" s="706">
        <v>19067</v>
      </c>
      <c r="C841" s="706">
        <v>1133.6999999999257</v>
      </c>
      <c r="D841" s="707">
        <v>19131</v>
      </c>
      <c r="E841" s="707">
        <v>1133.7999999999256</v>
      </c>
      <c r="G841" s="65">
        <v>1133.7999999999256</v>
      </c>
      <c r="H841" s="707">
        <v>19131</v>
      </c>
      <c r="I841" s="65">
        <v>1133.8999999999255</v>
      </c>
      <c r="J841" s="707">
        <v>19194</v>
      </c>
    </row>
    <row r="842" spans="2:10" ht="15">
      <c r="B842" s="706">
        <v>19131</v>
      </c>
      <c r="C842" s="706">
        <v>1133.7999999999256</v>
      </c>
      <c r="D842" s="707">
        <v>19194</v>
      </c>
      <c r="E842" s="707">
        <v>1133.8999999999255</v>
      </c>
      <c r="G842" s="65">
        <v>1133.8999999999255</v>
      </c>
      <c r="H842" s="707">
        <v>19194</v>
      </c>
      <c r="I842" s="65">
        <v>1133.9999999999254</v>
      </c>
      <c r="J842" s="707">
        <v>19257</v>
      </c>
    </row>
    <row r="843" spans="2:10" ht="15">
      <c r="B843" s="706">
        <v>19194</v>
      </c>
      <c r="C843" s="706">
        <v>1133.8999999999255</v>
      </c>
      <c r="D843" s="707">
        <v>19257</v>
      </c>
      <c r="E843" s="707">
        <v>1133.9999999999254</v>
      </c>
      <c r="G843" s="65">
        <v>1133.9999999999254</v>
      </c>
      <c r="H843" s="707">
        <v>19257</v>
      </c>
      <c r="I843" s="65">
        <v>1134.0999999999253</v>
      </c>
      <c r="J843" s="707">
        <v>19322</v>
      </c>
    </row>
    <row r="844" spans="2:10" ht="15">
      <c r="B844" s="706">
        <v>19257</v>
      </c>
      <c r="C844" s="706">
        <v>1133.9999999999254</v>
      </c>
      <c r="D844" s="707">
        <v>19322</v>
      </c>
      <c r="E844" s="707">
        <v>1134.0999999999253</v>
      </c>
      <c r="G844" s="65">
        <v>1134.0999999999253</v>
      </c>
      <c r="H844" s="707">
        <v>19322</v>
      </c>
      <c r="I844" s="65">
        <v>1134.1999999999252</v>
      </c>
      <c r="J844" s="707">
        <v>19388</v>
      </c>
    </row>
    <row r="845" spans="2:10" ht="15">
      <c r="B845" s="706">
        <v>19322</v>
      </c>
      <c r="C845" s="706">
        <v>1134.0999999999253</v>
      </c>
      <c r="D845" s="707">
        <v>19388</v>
      </c>
      <c r="E845" s="707">
        <v>1134.1999999999252</v>
      </c>
      <c r="G845" s="65">
        <v>1134.1999999999252</v>
      </c>
      <c r="H845" s="707">
        <v>19388</v>
      </c>
      <c r="I845" s="65">
        <v>1134.2999999999251</v>
      </c>
      <c r="J845" s="707">
        <v>19453</v>
      </c>
    </row>
    <row r="846" spans="2:10" ht="15">
      <c r="B846" s="706">
        <v>19388</v>
      </c>
      <c r="C846" s="706">
        <v>1134.1999999999252</v>
      </c>
      <c r="D846" s="707">
        <v>19453</v>
      </c>
      <c r="E846" s="707">
        <v>1134.2999999999251</v>
      </c>
      <c r="G846" s="65">
        <v>1134.2999999999251</v>
      </c>
      <c r="H846" s="707">
        <v>19453</v>
      </c>
      <c r="I846" s="65">
        <v>1134.3999999999251</v>
      </c>
      <c r="J846" s="707">
        <v>19518</v>
      </c>
    </row>
    <row r="847" spans="2:10" ht="15">
      <c r="B847" s="706">
        <v>19453</v>
      </c>
      <c r="C847" s="706">
        <v>1134.2999999999251</v>
      </c>
      <c r="D847" s="707">
        <v>19518</v>
      </c>
      <c r="E847" s="707">
        <v>1134.3999999999251</v>
      </c>
      <c r="G847" s="65">
        <v>1134.3999999999251</v>
      </c>
      <c r="H847" s="707">
        <v>19518</v>
      </c>
      <c r="I847" s="65">
        <v>1134.499999999925</v>
      </c>
      <c r="J847" s="707">
        <v>19583</v>
      </c>
    </row>
    <row r="848" spans="2:10" ht="15">
      <c r="B848" s="706">
        <v>19518</v>
      </c>
      <c r="C848" s="706">
        <v>1134.3999999999251</v>
      </c>
      <c r="D848" s="707">
        <v>19583</v>
      </c>
      <c r="E848" s="707">
        <v>1134.499999999925</v>
      </c>
      <c r="G848" s="65">
        <v>1134.499999999925</v>
      </c>
      <c r="H848" s="707">
        <v>19583</v>
      </c>
      <c r="I848" s="65">
        <v>1134.5999999999249</v>
      </c>
      <c r="J848" s="707">
        <v>19648</v>
      </c>
    </row>
    <row r="849" spans="2:10" ht="15">
      <c r="B849" s="706">
        <v>19583</v>
      </c>
      <c r="C849" s="706">
        <v>1134.499999999925</v>
      </c>
      <c r="D849" s="707">
        <v>19648</v>
      </c>
      <c r="E849" s="707">
        <v>1134.5999999999249</v>
      </c>
      <c r="G849" s="65">
        <v>1134.5999999999249</v>
      </c>
      <c r="H849" s="707">
        <v>19648</v>
      </c>
      <c r="I849" s="65">
        <v>1134.6999999999248</v>
      </c>
      <c r="J849" s="707">
        <v>19713</v>
      </c>
    </row>
    <row r="850" spans="2:10" ht="15">
      <c r="B850" s="706">
        <v>19648</v>
      </c>
      <c r="C850" s="706">
        <v>1134.5999999999249</v>
      </c>
      <c r="D850" s="707">
        <v>19713</v>
      </c>
      <c r="E850" s="707">
        <v>1134.6999999999248</v>
      </c>
      <c r="G850" s="65">
        <v>1134.6999999999248</v>
      </c>
      <c r="H850" s="707">
        <v>19713</v>
      </c>
      <c r="I850" s="65">
        <v>1134.7999999999247</v>
      </c>
      <c r="J850" s="707">
        <v>19778</v>
      </c>
    </row>
    <row r="851" spans="2:10" ht="15">
      <c r="B851" s="706">
        <v>19713</v>
      </c>
      <c r="C851" s="706">
        <v>1134.6999999999248</v>
      </c>
      <c r="D851" s="707">
        <v>19778</v>
      </c>
      <c r="E851" s="707">
        <v>1134.7999999999247</v>
      </c>
      <c r="G851" s="65">
        <v>1134.7999999999247</v>
      </c>
      <c r="H851" s="707">
        <v>19778</v>
      </c>
      <c r="I851" s="65">
        <v>1134.8999999999246</v>
      </c>
      <c r="J851" s="707">
        <v>19844</v>
      </c>
    </row>
    <row r="852" spans="2:10" ht="15">
      <c r="B852" s="706">
        <v>19778</v>
      </c>
      <c r="C852" s="706">
        <v>1134.7999999999247</v>
      </c>
      <c r="D852" s="707">
        <v>19844</v>
      </c>
      <c r="E852" s="707">
        <v>1134.8999999999246</v>
      </c>
      <c r="G852" s="65">
        <v>1134.8999999999246</v>
      </c>
      <c r="H852" s="707">
        <v>19844</v>
      </c>
      <c r="I852" s="65">
        <v>1134.9999999999245</v>
      </c>
      <c r="J852" s="707">
        <v>19909</v>
      </c>
    </row>
    <row r="853" spans="2:10" ht="15">
      <c r="B853" s="706">
        <v>19844</v>
      </c>
      <c r="C853" s="706">
        <v>1134.8999999999246</v>
      </c>
      <c r="D853" s="707">
        <v>19909</v>
      </c>
      <c r="E853" s="707">
        <v>1134.9999999999245</v>
      </c>
      <c r="G853" s="65">
        <v>1134.9999999999245</v>
      </c>
      <c r="H853" s="707">
        <v>19909</v>
      </c>
      <c r="I853" s="65">
        <v>1135.0999999999244</v>
      </c>
      <c r="J853" s="707">
        <v>19976</v>
      </c>
    </row>
    <row r="854" spans="2:10" ht="15">
      <c r="B854" s="706">
        <v>19909</v>
      </c>
      <c r="C854" s="706">
        <v>1134.9999999999245</v>
      </c>
      <c r="D854" s="707">
        <v>19976</v>
      </c>
      <c r="E854" s="707">
        <v>1135.0999999999244</v>
      </c>
      <c r="G854" s="65">
        <v>1135.0999999999244</v>
      </c>
      <c r="H854" s="707">
        <v>19976</v>
      </c>
      <c r="I854" s="65">
        <v>1135.1999999999243</v>
      </c>
      <c r="J854" s="707">
        <v>20043</v>
      </c>
    </row>
    <row r="855" spans="2:10" ht="15">
      <c r="B855" s="706">
        <v>19976</v>
      </c>
      <c r="C855" s="706">
        <v>1135.0999999999244</v>
      </c>
      <c r="D855" s="707">
        <v>20043</v>
      </c>
      <c r="E855" s="707">
        <v>1135.1999999999243</v>
      </c>
      <c r="G855" s="65">
        <v>1135.1999999999243</v>
      </c>
      <c r="H855" s="707">
        <v>20043</v>
      </c>
      <c r="I855" s="65">
        <v>1135.2999999999242</v>
      </c>
      <c r="J855" s="707">
        <v>20110</v>
      </c>
    </row>
    <row r="856" spans="2:10" ht="15">
      <c r="B856" s="706">
        <v>20043</v>
      </c>
      <c r="C856" s="706">
        <v>1135.1999999999243</v>
      </c>
      <c r="D856" s="707">
        <v>20110</v>
      </c>
      <c r="E856" s="707">
        <v>1135.2999999999242</v>
      </c>
      <c r="G856" s="65">
        <v>1135.2999999999242</v>
      </c>
      <c r="H856" s="707">
        <v>20110</v>
      </c>
      <c r="I856" s="65">
        <v>1135.3999999999241</v>
      </c>
      <c r="J856" s="707">
        <v>20177</v>
      </c>
    </row>
    <row r="857" spans="2:10" ht="15">
      <c r="B857" s="706">
        <v>20110</v>
      </c>
      <c r="C857" s="706">
        <v>1135.2999999999242</v>
      </c>
      <c r="D857" s="707">
        <v>20177</v>
      </c>
      <c r="E857" s="707">
        <v>1135.3999999999241</v>
      </c>
      <c r="G857" s="65">
        <v>1135.3999999999241</v>
      </c>
      <c r="H857" s="707">
        <v>20177</v>
      </c>
      <c r="I857" s="65">
        <v>1135.4999999999241</v>
      </c>
      <c r="J857" s="707">
        <v>20244</v>
      </c>
    </row>
    <row r="858" spans="2:10" ht="15">
      <c r="B858" s="706">
        <v>20177</v>
      </c>
      <c r="C858" s="706">
        <v>1135.3999999999241</v>
      </c>
      <c r="D858" s="707">
        <v>20244</v>
      </c>
      <c r="E858" s="707">
        <v>1135.4999999999241</v>
      </c>
      <c r="G858" s="65">
        <v>1135.4999999999241</v>
      </c>
      <c r="H858" s="707">
        <v>20244</v>
      </c>
      <c r="I858" s="65">
        <v>1135.599999999924</v>
      </c>
      <c r="J858" s="707">
        <v>20311</v>
      </c>
    </row>
    <row r="859" spans="2:10" ht="15">
      <c r="B859" s="706">
        <v>20244</v>
      </c>
      <c r="C859" s="706">
        <v>1135.4999999999241</v>
      </c>
      <c r="D859" s="707">
        <v>20311</v>
      </c>
      <c r="E859" s="707">
        <v>1135.599999999924</v>
      </c>
      <c r="G859" s="65">
        <v>1135.599999999924</v>
      </c>
      <c r="H859" s="707">
        <v>20311</v>
      </c>
      <c r="I859" s="65">
        <v>1135.6999999999239</v>
      </c>
      <c r="J859" s="707">
        <v>20378</v>
      </c>
    </row>
    <row r="860" spans="2:10" ht="15">
      <c r="B860" s="706">
        <v>20311</v>
      </c>
      <c r="C860" s="706">
        <v>1135.599999999924</v>
      </c>
      <c r="D860" s="707">
        <v>20378</v>
      </c>
      <c r="E860" s="707">
        <v>1135.6999999999239</v>
      </c>
      <c r="G860" s="65">
        <v>1135.6999999999239</v>
      </c>
      <c r="H860" s="707">
        <v>20378</v>
      </c>
      <c r="I860" s="65">
        <v>1135.7999999999238</v>
      </c>
      <c r="J860" s="707">
        <v>20444</v>
      </c>
    </row>
    <row r="861" spans="2:10" ht="15">
      <c r="B861" s="706">
        <v>20378</v>
      </c>
      <c r="C861" s="706">
        <v>1135.6999999999239</v>
      </c>
      <c r="D861" s="707">
        <v>20444</v>
      </c>
      <c r="E861" s="707">
        <v>1135.7999999999238</v>
      </c>
      <c r="G861" s="65">
        <v>1135.7999999999238</v>
      </c>
      <c r="H861" s="707">
        <v>20444</v>
      </c>
      <c r="I861" s="65">
        <v>1135.8999999999237</v>
      </c>
      <c r="J861" s="707">
        <v>20511</v>
      </c>
    </row>
    <row r="862" spans="2:10" ht="15">
      <c r="B862" s="706">
        <v>20444</v>
      </c>
      <c r="C862" s="706">
        <v>1135.7999999999238</v>
      </c>
      <c r="D862" s="707">
        <v>20511</v>
      </c>
      <c r="E862" s="707">
        <v>1135.8999999999237</v>
      </c>
      <c r="G862" s="65">
        <v>1135.8999999999237</v>
      </c>
      <c r="H862" s="707">
        <v>20511</v>
      </c>
      <c r="I862" s="65">
        <v>1135.9999999999236</v>
      </c>
      <c r="J862" s="707">
        <v>20578</v>
      </c>
    </row>
    <row r="863" spans="2:10" ht="15">
      <c r="B863" s="706">
        <v>20511</v>
      </c>
      <c r="C863" s="706">
        <v>1135.8999999999237</v>
      </c>
      <c r="D863" s="707">
        <v>20578</v>
      </c>
      <c r="E863" s="707">
        <v>1135.9999999999236</v>
      </c>
      <c r="G863" s="65">
        <v>1135.9999999999236</v>
      </c>
      <c r="H863" s="707">
        <v>20578</v>
      </c>
      <c r="I863" s="65">
        <v>1136.0999999999235</v>
      </c>
      <c r="J863" s="707">
        <v>20647</v>
      </c>
    </row>
    <row r="864" spans="2:10" ht="15">
      <c r="B864" s="706">
        <v>20578</v>
      </c>
      <c r="C864" s="706">
        <v>1135.9999999999236</v>
      </c>
      <c r="D864" s="707">
        <v>20647</v>
      </c>
      <c r="E864" s="707">
        <v>1136.0999999999235</v>
      </c>
      <c r="G864" s="65">
        <v>1136.0999999999235</v>
      </c>
      <c r="H864" s="707">
        <v>20647</v>
      </c>
      <c r="I864" s="65">
        <v>1136.1999999999234</v>
      </c>
      <c r="J864" s="707">
        <v>20716</v>
      </c>
    </row>
    <row r="865" spans="2:10" ht="15">
      <c r="B865" s="706">
        <v>20647</v>
      </c>
      <c r="C865" s="706">
        <v>1136.0999999999235</v>
      </c>
      <c r="D865" s="707">
        <v>20716</v>
      </c>
      <c r="E865" s="707">
        <v>1136.1999999999234</v>
      </c>
      <c r="G865" s="65">
        <v>1136.1999999999234</v>
      </c>
      <c r="H865" s="707">
        <v>20716</v>
      </c>
      <c r="I865" s="65">
        <v>1136.2999999999233</v>
      </c>
      <c r="J865" s="707">
        <v>20785</v>
      </c>
    </row>
    <row r="866" spans="2:10" ht="15">
      <c r="B866" s="706">
        <v>20716</v>
      </c>
      <c r="C866" s="706">
        <v>1136.1999999999234</v>
      </c>
      <c r="D866" s="707">
        <v>20785</v>
      </c>
      <c r="E866" s="707">
        <v>1136.2999999999233</v>
      </c>
      <c r="G866" s="65">
        <v>1136.2999999999233</v>
      </c>
      <c r="H866" s="707">
        <v>20785</v>
      </c>
      <c r="I866" s="65">
        <v>1136.3999999999232</v>
      </c>
      <c r="J866" s="707">
        <v>20854</v>
      </c>
    </row>
    <row r="867" spans="2:10" ht="15">
      <c r="B867" s="706">
        <v>20785</v>
      </c>
      <c r="C867" s="706">
        <v>1136.2999999999233</v>
      </c>
      <c r="D867" s="707">
        <v>20854</v>
      </c>
      <c r="E867" s="707">
        <v>1136.3999999999232</v>
      </c>
      <c r="G867" s="65">
        <v>1136.3999999999232</v>
      </c>
      <c r="H867" s="707">
        <v>20854</v>
      </c>
      <c r="I867" s="65">
        <v>1136.4999999999231</v>
      </c>
      <c r="J867" s="707">
        <v>20923</v>
      </c>
    </row>
    <row r="868" spans="2:10" ht="15">
      <c r="B868" s="706">
        <v>20854</v>
      </c>
      <c r="C868" s="706">
        <v>1136.3999999999232</v>
      </c>
      <c r="D868" s="707">
        <v>20923</v>
      </c>
      <c r="E868" s="707">
        <v>1136.4999999999231</v>
      </c>
      <c r="G868" s="65">
        <v>1136.4999999999231</v>
      </c>
      <c r="H868" s="707">
        <v>20923</v>
      </c>
      <c r="I868" s="65">
        <v>1136.5999999999231</v>
      </c>
      <c r="J868" s="707">
        <v>20991</v>
      </c>
    </row>
    <row r="869" spans="2:10" ht="15">
      <c r="B869" s="706">
        <v>20923</v>
      </c>
      <c r="C869" s="706">
        <v>1136.4999999999231</v>
      </c>
      <c r="D869" s="707">
        <v>20991</v>
      </c>
      <c r="E869" s="707">
        <v>1136.5999999999231</v>
      </c>
      <c r="G869" s="65">
        <v>1136.5999999999231</v>
      </c>
      <c r="H869" s="707">
        <v>20991</v>
      </c>
      <c r="I869" s="65">
        <v>1136.699999999923</v>
      </c>
      <c r="J869" s="707">
        <v>21060</v>
      </c>
    </row>
    <row r="870" spans="2:10" ht="15">
      <c r="B870" s="706">
        <v>20991</v>
      </c>
      <c r="C870" s="706">
        <v>1136.5999999999231</v>
      </c>
      <c r="D870" s="707">
        <v>21060</v>
      </c>
      <c r="E870" s="707">
        <v>1136.699999999923</v>
      </c>
      <c r="G870" s="65">
        <v>1136.699999999923</v>
      </c>
      <c r="H870" s="707">
        <v>21060</v>
      </c>
      <c r="I870" s="65">
        <v>1136.7999999999229</v>
      </c>
      <c r="J870" s="707">
        <v>21129</v>
      </c>
    </row>
    <row r="871" spans="2:10" ht="15">
      <c r="B871" s="706">
        <v>21060</v>
      </c>
      <c r="C871" s="706">
        <v>1136.699999999923</v>
      </c>
      <c r="D871" s="707">
        <v>21129</v>
      </c>
      <c r="E871" s="707">
        <v>1136.7999999999229</v>
      </c>
      <c r="G871" s="65">
        <v>1136.7999999999229</v>
      </c>
      <c r="H871" s="707">
        <v>21129</v>
      </c>
      <c r="I871" s="65">
        <v>1136.8999999999228</v>
      </c>
      <c r="J871" s="707">
        <v>21198</v>
      </c>
    </row>
    <row r="872" spans="2:10" ht="15">
      <c r="B872" s="706">
        <v>21129</v>
      </c>
      <c r="C872" s="706">
        <v>1136.7999999999229</v>
      </c>
      <c r="D872" s="707">
        <v>21198</v>
      </c>
      <c r="E872" s="707">
        <v>1136.8999999999228</v>
      </c>
      <c r="G872" s="65">
        <v>1136.8999999999228</v>
      </c>
      <c r="H872" s="707">
        <v>21198</v>
      </c>
      <c r="I872" s="65">
        <v>1136.9999999999227</v>
      </c>
      <c r="J872" s="707">
        <v>21267</v>
      </c>
    </row>
    <row r="873" spans="2:10" ht="15">
      <c r="B873" s="706">
        <v>21198</v>
      </c>
      <c r="C873" s="706">
        <v>1136.8999999999228</v>
      </c>
      <c r="D873" s="707">
        <v>21267</v>
      </c>
      <c r="E873" s="707">
        <v>1136.9999999999227</v>
      </c>
      <c r="G873" s="65">
        <v>1136.9999999999227</v>
      </c>
      <c r="H873" s="707">
        <v>21267</v>
      </c>
      <c r="I873" s="65">
        <v>1137.0999999999226</v>
      </c>
      <c r="J873" s="707">
        <v>21337</v>
      </c>
    </row>
    <row r="874" spans="2:10" ht="15">
      <c r="B874" s="706">
        <v>21267</v>
      </c>
      <c r="C874" s="706">
        <v>1136.9999999999227</v>
      </c>
      <c r="D874" s="707">
        <v>21337</v>
      </c>
      <c r="E874" s="707">
        <v>1137.0999999999226</v>
      </c>
      <c r="G874" s="65">
        <v>1137.0999999999226</v>
      </c>
      <c r="H874" s="707">
        <v>21337</v>
      </c>
      <c r="I874" s="65">
        <v>1137.1999999999225</v>
      </c>
      <c r="J874" s="707">
        <v>21408</v>
      </c>
    </row>
    <row r="875" spans="2:10" ht="15">
      <c r="B875" s="706">
        <v>21337</v>
      </c>
      <c r="C875" s="706">
        <v>1137.0999999999226</v>
      </c>
      <c r="D875" s="707">
        <v>21408</v>
      </c>
      <c r="E875" s="707">
        <v>1137.1999999999225</v>
      </c>
      <c r="G875" s="65">
        <v>1137.1999999999225</v>
      </c>
      <c r="H875" s="707">
        <v>21408</v>
      </c>
      <c r="I875" s="65">
        <v>1137.2999999999224</v>
      </c>
      <c r="J875" s="707">
        <v>21478</v>
      </c>
    </row>
    <row r="876" spans="2:10" ht="15">
      <c r="B876" s="706">
        <v>21408</v>
      </c>
      <c r="C876" s="706">
        <v>1137.1999999999225</v>
      </c>
      <c r="D876" s="707">
        <v>21478</v>
      </c>
      <c r="E876" s="707">
        <v>1137.2999999999224</v>
      </c>
      <c r="G876" s="65">
        <v>1137.2999999999224</v>
      </c>
      <c r="H876" s="707">
        <v>21478</v>
      </c>
      <c r="I876" s="65">
        <v>1137.3999999999223</v>
      </c>
      <c r="J876" s="707">
        <v>21549</v>
      </c>
    </row>
    <row r="877" spans="2:10" ht="15">
      <c r="B877" s="706">
        <v>21478</v>
      </c>
      <c r="C877" s="706">
        <v>1137.2999999999224</v>
      </c>
      <c r="D877" s="707">
        <v>21549</v>
      </c>
      <c r="E877" s="707">
        <v>1137.3999999999223</v>
      </c>
      <c r="G877" s="65">
        <v>1137.3999999999223</v>
      </c>
      <c r="H877" s="707">
        <v>21549</v>
      </c>
      <c r="I877" s="65">
        <v>1137.4999999999222</v>
      </c>
      <c r="J877" s="707">
        <v>21620</v>
      </c>
    </row>
    <row r="878" spans="2:10" ht="15">
      <c r="B878" s="706">
        <v>21549</v>
      </c>
      <c r="C878" s="706">
        <v>1137.3999999999223</v>
      </c>
      <c r="D878" s="707">
        <v>21620</v>
      </c>
      <c r="E878" s="707">
        <v>1137.4999999999222</v>
      </c>
      <c r="G878" s="65">
        <v>1137.4999999999222</v>
      </c>
      <c r="H878" s="707">
        <v>21620</v>
      </c>
      <c r="I878" s="65">
        <v>1137.5999999999221</v>
      </c>
      <c r="J878" s="707">
        <v>21690</v>
      </c>
    </row>
    <row r="879" spans="2:10" ht="15">
      <c r="B879" s="706">
        <v>21620</v>
      </c>
      <c r="C879" s="706">
        <v>1137.4999999999222</v>
      </c>
      <c r="D879" s="707">
        <v>21690</v>
      </c>
      <c r="E879" s="707">
        <v>1137.5999999999221</v>
      </c>
      <c r="G879" s="65">
        <v>1137.5999999999221</v>
      </c>
      <c r="H879" s="707">
        <v>21690</v>
      </c>
      <c r="I879" s="65">
        <v>1137.6999999999221</v>
      </c>
      <c r="J879" s="707">
        <v>21761</v>
      </c>
    </row>
    <row r="880" spans="2:10" ht="15">
      <c r="B880" s="706">
        <v>21690</v>
      </c>
      <c r="C880" s="706">
        <v>1137.5999999999221</v>
      </c>
      <c r="D880" s="707">
        <v>21761</v>
      </c>
      <c r="E880" s="707">
        <v>1137.6999999999221</v>
      </c>
      <c r="G880" s="65">
        <v>1137.6999999999221</v>
      </c>
      <c r="H880" s="707">
        <v>21761</v>
      </c>
      <c r="I880" s="65">
        <v>1137.799999999922</v>
      </c>
      <c r="J880" s="707">
        <v>21831</v>
      </c>
    </row>
    <row r="881" spans="2:10" ht="15">
      <c r="B881" s="706">
        <v>21761</v>
      </c>
      <c r="C881" s="706">
        <v>1137.6999999999221</v>
      </c>
      <c r="D881" s="707">
        <v>21831</v>
      </c>
      <c r="E881" s="707">
        <v>1137.799999999922</v>
      </c>
      <c r="G881" s="65">
        <v>1137.799999999922</v>
      </c>
      <c r="H881" s="707">
        <v>21831</v>
      </c>
      <c r="I881" s="65">
        <v>1137.8999999999219</v>
      </c>
      <c r="J881" s="707">
        <v>21902</v>
      </c>
    </row>
    <row r="882" spans="2:10" ht="15">
      <c r="B882" s="706">
        <v>21831</v>
      </c>
      <c r="C882" s="706">
        <v>1137.799999999922</v>
      </c>
      <c r="D882" s="707">
        <v>21902</v>
      </c>
      <c r="E882" s="707">
        <v>1137.8999999999219</v>
      </c>
      <c r="G882" s="65">
        <v>1137.8999999999219</v>
      </c>
      <c r="H882" s="707">
        <v>21902</v>
      </c>
      <c r="I882" s="65">
        <v>1137.9999999999218</v>
      </c>
      <c r="J882" s="707">
        <v>21973</v>
      </c>
    </row>
    <row r="883" spans="2:10" ht="15">
      <c r="B883" s="706">
        <v>21902</v>
      </c>
      <c r="C883" s="706">
        <v>1137.8999999999219</v>
      </c>
      <c r="D883" s="707">
        <v>21973</v>
      </c>
      <c r="E883" s="707">
        <v>1137.9999999999218</v>
      </c>
      <c r="G883" s="65">
        <v>1137.9999999999218</v>
      </c>
      <c r="H883" s="707">
        <v>21973</v>
      </c>
      <c r="I883" s="65">
        <v>1138.0999999999217</v>
      </c>
      <c r="J883" s="707">
        <v>22045</v>
      </c>
    </row>
    <row r="884" spans="2:10" ht="15">
      <c r="B884" s="706">
        <v>21973</v>
      </c>
      <c r="C884" s="706">
        <v>1137.9999999999218</v>
      </c>
      <c r="D884" s="707">
        <v>22045</v>
      </c>
      <c r="E884" s="707">
        <v>1138.0999999999217</v>
      </c>
      <c r="G884" s="65">
        <v>1138.0999999999217</v>
      </c>
      <c r="H884" s="707">
        <v>22045</v>
      </c>
      <c r="I884" s="65">
        <v>1138.1999999999216</v>
      </c>
      <c r="J884" s="707">
        <v>22117</v>
      </c>
    </row>
    <row r="885" spans="2:10" ht="15">
      <c r="B885" s="706">
        <v>22045</v>
      </c>
      <c r="C885" s="706">
        <v>1138.0999999999217</v>
      </c>
      <c r="D885" s="707">
        <v>22117</v>
      </c>
      <c r="E885" s="707">
        <v>1138.1999999999216</v>
      </c>
      <c r="G885" s="65">
        <v>1138.1999999999216</v>
      </c>
      <c r="H885" s="707">
        <v>22117</v>
      </c>
      <c r="I885" s="65">
        <v>1138.2999999999215</v>
      </c>
      <c r="J885" s="707">
        <v>22189</v>
      </c>
    </row>
    <row r="886" spans="2:10" ht="15">
      <c r="B886" s="706">
        <v>22117</v>
      </c>
      <c r="C886" s="706">
        <v>1138.1999999999216</v>
      </c>
      <c r="D886" s="707">
        <v>22189</v>
      </c>
      <c r="E886" s="707">
        <v>1138.2999999999215</v>
      </c>
      <c r="G886" s="65">
        <v>1138.2999999999215</v>
      </c>
      <c r="H886" s="707">
        <v>22189</v>
      </c>
      <c r="I886" s="65">
        <v>1138.3999999999214</v>
      </c>
      <c r="J886" s="707">
        <v>22261</v>
      </c>
    </row>
    <row r="887" spans="2:10" ht="15">
      <c r="B887" s="706">
        <v>22189</v>
      </c>
      <c r="C887" s="706">
        <v>1138.2999999999215</v>
      </c>
      <c r="D887" s="707">
        <v>22261</v>
      </c>
      <c r="E887" s="707">
        <v>1138.3999999999214</v>
      </c>
      <c r="G887" s="65">
        <v>1138.3999999999214</v>
      </c>
      <c r="H887" s="707">
        <v>22261</v>
      </c>
      <c r="I887" s="65">
        <v>1138.4999999999213</v>
      </c>
      <c r="J887" s="707">
        <v>22333</v>
      </c>
    </row>
    <row r="888" spans="2:10" ht="15">
      <c r="B888" s="706">
        <v>22261</v>
      </c>
      <c r="C888" s="706">
        <v>1138.3999999999214</v>
      </c>
      <c r="D888" s="707">
        <v>22333</v>
      </c>
      <c r="E888" s="707">
        <v>1138.4999999999213</v>
      </c>
      <c r="G888" s="65">
        <v>1138.4999999999213</v>
      </c>
      <c r="H888" s="707">
        <v>22333</v>
      </c>
      <c r="I888" s="65">
        <v>1138.5999999999212</v>
      </c>
      <c r="J888" s="707">
        <v>22405</v>
      </c>
    </row>
    <row r="889" spans="2:10" ht="15">
      <c r="B889" s="706">
        <v>22333</v>
      </c>
      <c r="C889" s="706">
        <v>1138.4999999999213</v>
      </c>
      <c r="D889" s="707">
        <v>22405</v>
      </c>
      <c r="E889" s="707">
        <v>1138.5999999999212</v>
      </c>
      <c r="G889" s="65">
        <v>1138.5999999999212</v>
      </c>
      <c r="H889" s="707">
        <v>22405</v>
      </c>
      <c r="I889" s="65">
        <v>1138.6999999999211</v>
      </c>
      <c r="J889" s="707">
        <v>22477</v>
      </c>
    </row>
    <row r="890" spans="2:10" ht="15">
      <c r="B890" s="706">
        <v>22405</v>
      </c>
      <c r="C890" s="706">
        <v>1138.5999999999212</v>
      </c>
      <c r="D890" s="707">
        <v>22477</v>
      </c>
      <c r="E890" s="707">
        <v>1138.6999999999211</v>
      </c>
      <c r="G890" s="65">
        <v>1138.6999999999211</v>
      </c>
      <c r="H890" s="707">
        <v>22477</v>
      </c>
      <c r="I890" s="65">
        <v>1138.7999999999211</v>
      </c>
      <c r="J890" s="707">
        <v>22549</v>
      </c>
    </row>
    <row r="891" spans="2:10" ht="15">
      <c r="B891" s="706">
        <v>22477</v>
      </c>
      <c r="C891" s="706">
        <v>1138.6999999999211</v>
      </c>
      <c r="D891" s="707">
        <v>22549</v>
      </c>
      <c r="E891" s="707">
        <v>1138.7999999999211</v>
      </c>
      <c r="G891" s="65">
        <v>1138.7999999999211</v>
      </c>
      <c r="H891" s="707">
        <v>22549</v>
      </c>
      <c r="I891" s="65">
        <v>1138.899999999921</v>
      </c>
      <c r="J891" s="707">
        <v>22621</v>
      </c>
    </row>
    <row r="892" spans="2:10" ht="15">
      <c r="B892" s="706">
        <v>22549</v>
      </c>
      <c r="C892" s="706">
        <v>1138.7999999999211</v>
      </c>
      <c r="D892" s="707">
        <v>22621</v>
      </c>
      <c r="E892" s="707">
        <v>1138.899999999921</v>
      </c>
      <c r="G892" s="65">
        <v>1138.899999999921</v>
      </c>
      <c r="H892" s="707">
        <v>22621</v>
      </c>
      <c r="I892" s="65">
        <v>1138.9999999999209</v>
      </c>
      <c r="J892" s="707">
        <v>22693</v>
      </c>
    </row>
    <row r="893" spans="2:10" ht="15">
      <c r="B893" s="706">
        <v>22621</v>
      </c>
      <c r="C893" s="706">
        <v>1138.899999999921</v>
      </c>
      <c r="D893" s="707">
        <v>22693</v>
      </c>
      <c r="E893" s="707">
        <v>1138.9999999999209</v>
      </c>
      <c r="G893" s="65">
        <v>1138.9999999999209</v>
      </c>
      <c r="H893" s="707">
        <v>22693</v>
      </c>
      <c r="I893" s="65">
        <v>1139.0999999999208</v>
      </c>
      <c r="J893" s="707">
        <v>22766</v>
      </c>
    </row>
    <row r="894" spans="2:10" ht="15">
      <c r="B894" s="706">
        <v>22693</v>
      </c>
      <c r="C894" s="706">
        <v>1138.9999999999209</v>
      </c>
      <c r="D894" s="707">
        <v>22766</v>
      </c>
      <c r="E894" s="707">
        <v>1139.0999999999208</v>
      </c>
      <c r="G894" s="65">
        <v>1139.0999999999208</v>
      </c>
      <c r="H894" s="707">
        <v>22766</v>
      </c>
      <c r="I894" s="65">
        <v>1139.1999999999207</v>
      </c>
      <c r="J894" s="707">
        <v>22839</v>
      </c>
    </row>
    <row r="895" spans="2:10" ht="15">
      <c r="B895" s="706">
        <v>22766</v>
      </c>
      <c r="C895" s="706">
        <v>1139.0999999999208</v>
      </c>
      <c r="D895" s="707">
        <v>22839</v>
      </c>
      <c r="E895" s="707">
        <v>1139.1999999999207</v>
      </c>
      <c r="G895" s="65">
        <v>1139.1999999999207</v>
      </c>
      <c r="H895" s="707">
        <v>22839</v>
      </c>
      <c r="I895" s="65">
        <v>1139.2999999999206</v>
      </c>
      <c r="J895" s="707">
        <v>22912</v>
      </c>
    </row>
    <row r="896" spans="2:10" ht="15">
      <c r="B896" s="706">
        <v>22839</v>
      </c>
      <c r="C896" s="706">
        <v>1139.1999999999207</v>
      </c>
      <c r="D896" s="707">
        <v>22912</v>
      </c>
      <c r="E896" s="707">
        <v>1139.2999999999206</v>
      </c>
      <c r="G896" s="65">
        <v>1139.2999999999206</v>
      </c>
      <c r="H896" s="707">
        <v>22912</v>
      </c>
      <c r="I896" s="65">
        <v>1139.3999999999205</v>
      </c>
      <c r="J896" s="707">
        <v>22986</v>
      </c>
    </row>
    <row r="897" spans="2:10" ht="15">
      <c r="B897" s="706">
        <v>22912</v>
      </c>
      <c r="C897" s="706">
        <v>1139.2999999999206</v>
      </c>
      <c r="D897" s="707">
        <v>22986</v>
      </c>
      <c r="E897" s="707">
        <v>1139.3999999999205</v>
      </c>
      <c r="G897" s="65">
        <v>1139.3999999999205</v>
      </c>
      <c r="H897" s="707">
        <v>22986</v>
      </c>
      <c r="I897" s="65">
        <v>1139.4999999999204</v>
      </c>
      <c r="J897" s="707">
        <v>23059</v>
      </c>
    </row>
    <row r="898" spans="2:10" ht="15">
      <c r="B898" s="706">
        <v>22986</v>
      </c>
      <c r="C898" s="706">
        <v>1139.3999999999205</v>
      </c>
      <c r="D898" s="707">
        <v>23059</v>
      </c>
      <c r="E898" s="707">
        <v>1139.4999999999204</v>
      </c>
      <c r="G898" s="65">
        <v>1139.4999999999204</v>
      </c>
      <c r="H898" s="707">
        <v>23059</v>
      </c>
      <c r="I898" s="65">
        <v>1139.5999999999203</v>
      </c>
      <c r="J898" s="707">
        <v>23132</v>
      </c>
    </row>
    <row r="899" spans="2:10" ht="15">
      <c r="B899" s="706">
        <v>23059</v>
      </c>
      <c r="C899" s="706">
        <v>1139.4999999999204</v>
      </c>
      <c r="D899" s="707">
        <v>23132</v>
      </c>
      <c r="E899" s="707">
        <v>1139.5999999999203</v>
      </c>
      <c r="G899" s="65">
        <v>1139.5999999999203</v>
      </c>
      <c r="H899" s="707">
        <v>23132</v>
      </c>
      <c r="I899" s="65">
        <v>1139.6999999999202</v>
      </c>
      <c r="J899" s="707">
        <v>23205</v>
      </c>
    </row>
    <row r="900" spans="2:10" ht="15">
      <c r="B900" s="706">
        <v>23132</v>
      </c>
      <c r="C900" s="706">
        <v>1139.5999999999203</v>
      </c>
      <c r="D900" s="707">
        <v>23205</v>
      </c>
      <c r="E900" s="707">
        <v>1139.6999999999202</v>
      </c>
      <c r="G900" s="65">
        <v>1139.6999999999202</v>
      </c>
      <c r="H900" s="707">
        <v>23205</v>
      </c>
      <c r="I900" s="65">
        <v>1139.7999999999201</v>
      </c>
      <c r="J900" s="707">
        <v>23278</v>
      </c>
    </row>
    <row r="901" spans="2:10" ht="15">
      <c r="B901" s="706">
        <v>23205</v>
      </c>
      <c r="C901" s="706">
        <v>1139.6999999999202</v>
      </c>
      <c r="D901" s="707">
        <v>23278</v>
      </c>
      <c r="E901" s="707">
        <v>1139.7999999999201</v>
      </c>
      <c r="G901" s="65">
        <v>1139.7999999999201</v>
      </c>
      <c r="H901" s="707">
        <v>23278</v>
      </c>
      <c r="I901" s="65">
        <v>1139.8999999999201</v>
      </c>
      <c r="J901" s="707">
        <v>23351</v>
      </c>
    </row>
    <row r="902" spans="2:10" ht="15">
      <c r="B902" s="706">
        <v>23278</v>
      </c>
      <c r="C902" s="706">
        <v>1139.7999999999201</v>
      </c>
      <c r="D902" s="707">
        <v>23351</v>
      </c>
      <c r="E902" s="707">
        <v>1139.8999999999201</v>
      </c>
      <c r="G902" s="65">
        <v>1139.8999999999201</v>
      </c>
      <c r="H902" s="707">
        <v>23351</v>
      </c>
      <c r="I902" s="65">
        <v>1139.99999999992</v>
      </c>
      <c r="J902" s="707">
        <v>23425</v>
      </c>
    </row>
    <row r="903" spans="2:10" ht="15">
      <c r="B903" s="706">
        <v>23351</v>
      </c>
      <c r="C903" s="706">
        <v>1139.8999999999201</v>
      </c>
      <c r="D903" s="707">
        <v>23425</v>
      </c>
      <c r="E903" s="707">
        <v>1139.99999999992</v>
      </c>
      <c r="G903" s="65">
        <v>1139.99999999992</v>
      </c>
      <c r="H903" s="707">
        <v>23425</v>
      </c>
      <c r="I903" s="65">
        <v>1140.0999999999199</v>
      </c>
      <c r="J903" s="707">
        <v>23500</v>
      </c>
    </row>
    <row r="904" spans="2:10" ht="15">
      <c r="B904" s="706">
        <v>23425</v>
      </c>
      <c r="C904" s="706">
        <v>1139.99999999992</v>
      </c>
      <c r="D904" s="707">
        <v>23500</v>
      </c>
      <c r="E904" s="707">
        <v>1140.0999999999199</v>
      </c>
      <c r="G904" s="65">
        <v>1140.0999999999199</v>
      </c>
      <c r="H904" s="707">
        <v>23500</v>
      </c>
      <c r="I904" s="65">
        <v>1140.1999999999198</v>
      </c>
      <c r="J904" s="707">
        <v>23575</v>
      </c>
    </row>
    <row r="905" spans="2:10" ht="15">
      <c r="B905" s="706">
        <v>23500</v>
      </c>
      <c r="C905" s="706">
        <v>1140.0999999999199</v>
      </c>
      <c r="D905" s="707">
        <v>23575</v>
      </c>
      <c r="E905" s="707">
        <v>1140.1999999999198</v>
      </c>
      <c r="G905" s="65">
        <v>1140.1999999999198</v>
      </c>
      <c r="H905" s="707">
        <v>23575</v>
      </c>
      <c r="I905" s="65">
        <v>1140.2999999999197</v>
      </c>
      <c r="J905" s="707">
        <v>23651</v>
      </c>
    </row>
    <row r="906" spans="2:10" ht="15">
      <c r="B906" s="706">
        <v>23575</v>
      </c>
      <c r="C906" s="706">
        <v>1140.1999999999198</v>
      </c>
      <c r="D906" s="707">
        <v>23651</v>
      </c>
      <c r="E906" s="707">
        <v>1140.2999999999197</v>
      </c>
      <c r="G906" s="65">
        <v>1140.2999999999197</v>
      </c>
      <c r="H906" s="707">
        <v>23651</v>
      </c>
      <c r="I906" s="65">
        <v>1140.3999999999196</v>
      </c>
      <c r="J906" s="707">
        <v>23726</v>
      </c>
    </row>
    <row r="907" spans="2:10" ht="15">
      <c r="B907" s="706">
        <v>23651</v>
      </c>
      <c r="C907" s="706">
        <v>1140.2999999999197</v>
      </c>
      <c r="D907" s="707">
        <v>23726</v>
      </c>
      <c r="E907" s="707">
        <v>1140.3999999999196</v>
      </c>
      <c r="G907" s="65">
        <v>1140.3999999999196</v>
      </c>
      <c r="H907" s="707">
        <v>23726</v>
      </c>
      <c r="I907" s="65">
        <v>1140.4999999999195</v>
      </c>
      <c r="J907" s="707">
        <v>23801</v>
      </c>
    </row>
    <row r="908" spans="2:10" ht="15">
      <c r="B908" s="706">
        <v>23726</v>
      </c>
      <c r="C908" s="706">
        <v>1140.3999999999196</v>
      </c>
      <c r="D908" s="707">
        <v>23801</v>
      </c>
      <c r="E908" s="707">
        <v>1140.4999999999195</v>
      </c>
      <c r="G908" s="65">
        <v>1140.4999999999195</v>
      </c>
      <c r="H908" s="707">
        <v>23801</v>
      </c>
      <c r="I908" s="65">
        <v>1140.5999999999194</v>
      </c>
      <c r="J908" s="707">
        <v>23877</v>
      </c>
    </row>
    <row r="909" spans="2:10" ht="15">
      <c r="B909" s="706">
        <v>23801</v>
      </c>
      <c r="C909" s="706">
        <v>1140.4999999999195</v>
      </c>
      <c r="D909" s="707">
        <v>23877</v>
      </c>
      <c r="E909" s="707">
        <v>1140.5999999999194</v>
      </c>
      <c r="G909" s="65">
        <v>1140.5999999999194</v>
      </c>
      <c r="H909" s="707">
        <v>23877</v>
      </c>
      <c r="I909" s="65">
        <v>1140.6999999999193</v>
      </c>
      <c r="J909" s="707">
        <v>23952</v>
      </c>
    </row>
    <row r="910" spans="2:10" ht="15">
      <c r="B910" s="706">
        <v>23877</v>
      </c>
      <c r="C910" s="706">
        <v>1140.5999999999194</v>
      </c>
      <c r="D910" s="707">
        <v>23952</v>
      </c>
      <c r="E910" s="707">
        <v>1140.6999999999193</v>
      </c>
      <c r="G910" s="65">
        <v>1140.6999999999193</v>
      </c>
      <c r="H910" s="707">
        <v>23952</v>
      </c>
      <c r="I910" s="65">
        <v>1140.7999999999192</v>
      </c>
      <c r="J910" s="707">
        <v>24027</v>
      </c>
    </row>
    <row r="911" spans="2:10" ht="15">
      <c r="B911" s="706">
        <v>23952</v>
      </c>
      <c r="C911" s="706">
        <v>1140.6999999999193</v>
      </c>
      <c r="D911" s="707">
        <v>24027</v>
      </c>
      <c r="E911" s="707">
        <v>1140.7999999999192</v>
      </c>
      <c r="G911" s="65">
        <v>1140.7999999999192</v>
      </c>
      <c r="H911" s="707">
        <v>24027</v>
      </c>
      <c r="I911" s="65">
        <v>1140.8999999999191</v>
      </c>
      <c r="J911" s="707">
        <v>24103</v>
      </c>
    </row>
    <row r="912" spans="2:10" ht="15">
      <c r="B912" s="706">
        <v>24027</v>
      </c>
      <c r="C912" s="706">
        <v>1140.7999999999192</v>
      </c>
      <c r="D912" s="707">
        <v>24103</v>
      </c>
      <c r="E912" s="707">
        <v>1140.8999999999191</v>
      </c>
      <c r="G912" s="65">
        <v>1140.8999999999191</v>
      </c>
      <c r="H912" s="707">
        <v>24103</v>
      </c>
      <c r="I912" s="65">
        <v>1140.9999999999191</v>
      </c>
      <c r="J912" s="707">
        <v>24178</v>
      </c>
    </row>
    <row r="913" spans="2:10" ht="15">
      <c r="B913" s="706">
        <v>24103</v>
      </c>
      <c r="C913" s="706">
        <v>1140.8999999999191</v>
      </c>
      <c r="D913" s="707">
        <v>24178</v>
      </c>
      <c r="E913" s="707">
        <v>1140.9999999999191</v>
      </c>
      <c r="G913" s="65">
        <v>1140.9999999999191</v>
      </c>
      <c r="H913" s="707">
        <v>24178</v>
      </c>
      <c r="I913" s="65">
        <v>1141.099999999919</v>
      </c>
      <c r="J913" s="707">
        <v>24255</v>
      </c>
    </row>
    <row r="914" spans="2:10" ht="15">
      <c r="B914" s="706">
        <v>24178</v>
      </c>
      <c r="C914" s="706">
        <v>1140.9999999999191</v>
      </c>
      <c r="D914" s="707">
        <v>24255</v>
      </c>
      <c r="E914" s="707">
        <v>1141.099999999919</v>
      </c>
      <c r="G914" s="65">
        <v>1141.099999999919</v>
      </c>
      <c r="H914" s="707">
        <v>24255</v>
      </c>
      <c r="I914" s="65">
        <v>1141.1999999999189</v>
      </c>
      <c r="J914" s="707">
        <v>24333</v>
      </c>
    </row>
    <row r="915" spans="2:10" ht="15">
      <c r="B915" s="706">
        <v>24255</v>
      </c>
      <c r="C915" s="706">
        <v>1141.099999999919</v>
      </c>
      <c r="D915" s="707">
        <v>24333</v>
      </c>
      <c r="E915" s="707">
        <v>1141.1999999999189</v>
      </c>
      <c r="G915" s="65">
        <v>1141.1999999999189</v>
      </c>
      <c r="H915" s="707">
        <v>24333</v>
      </c>
      <c r="I915" s="65">
        <v>1141.2999999999188</v>
      </c>
      <c r="J915" s="707">
        <v>24410</v>
      </c>
    </row>
    <row r="916" spans="2:10" ht="15">
      <c r="B916" s="706">
        <v>24333</v>
      </c>
      <c r="C916" s="706">
        <v>1141.1999999999189</v>
      </c>
      <c r="D916" s="707">
        <v>24410</v>
      </c>
      <c r="E916" s="707">
        <v>1141.2999999999188</v>
      </c>
      <c r="G916" s="65">
        <v>1141.2999999999188</v>
      </c>
      <c r="H916" s="707">
        <v>24410</v>
      </c>
      <c r="I916" s="65">
        <v>1141.3999999999187</v>
      </c>
      <c r="J916" s="707">
        <v>24488</v>
      </c>
    </row>
    <row r="917" spans="2:10" ht="15">
      <c r="B917" s="706">
        <v>24410</v>
      </c>
      <c r="C917" s="706">
        <v>1141.2999999999188</v>
      </c>
      <c r="D917" s="707">
        <v>24488</v>
      </c>
      <c r="E917" s="707">
        <v>1141.3999999999187</v>
      </c>
      <c r="G917" s="65">
        <v>1141.3999999999187</v>
      </c>
      <c r="H917" s="707">
        <v>24488</v>
      </c>
      <c r="I917" s="65">
        <v>1141.4999999999186</v>
      </c>
      <c r="J917" s="707">
        <v>24565</v>
      </c>
    </row>
    <row r="918" spans="2:10" ht="15">
      <c r="B918" s="706">
        <v>24488</v>
      </c>
      <c r="C918" s="706">
        <v>1141.3999999999187</v>
      </c>
      <c r="D918" s="707">
        <v>24565</v>
      </c>
      <c r="E918" s="707">
        <v>1141.4999999999186</v>
      </c>
      <c r="G918" s="65">
        <v>1141.4999999999186</v>
      </c>
      <c r="H918" s="707">
        <v>24565</v>
      </c>
      <c r="I918" s="65">
        <v>1141.5999999999185</v>
      </c>
      <c r="J918" s="707">
        <v>24642</v>
      </c>
    </row>
    <row r="919" spans="2:10" ht="15">
      <c r="B919" s="706">
        <v>24565</v>
      </c>
      <c r="C919" s="706">
        <v>1141.4999999999186</v>
      </c>
      <c r="D919" s="707">
        <v>24642</v>
      </c>
      <c r="E919" s="707">
        <v>1141.5999999999185</v>
      </c>
      <c r="G919" s="65">
        <v>1141.5999999999185</v>
      </c>
      <c r="H919" s="707">
        <v>24642</v>
      </c>
      <c r="I919" s="65">
        <v>1141.6999999999184</v>
      </c>
      <c r="J919" s="707">
        <v>24720</v>
      </c>
    </row>
    <row r="920" spans="2:10" ht="15">
      <c r="B920" s="706">
        <v>24642</v>
      </c>
      <c r="C920" s="706">
        <v>1141.5999999999185</v>
      </c>
      <c r="D920" s="707">
        <v>24720</v>
      </c>
      <c r="E920" s="707">
        <v>1141.6999999999184</v>
      </c>
      <c r="G920" s="65">
        <v>1141.6999999999184</v>
      </c>
      <c r="H920" s="707">
        <v>24720</v>
      </c>
      <c r="I920" s="65">
        <v>1141.7999999999183</v>
      </c>
      <c r="J920" s="707">
        <v>24797</v>
      </c>
    </row>
    <row r="921" spans="2:10" ht="15">
      <c r="B921" s="706">
        <v>24720</v>
      </c>
      <c r="C921" s="706">
        <v>1141.6999999999184</v>
      </c>
      <c r="D921" s="707">
        <v>24797</v>
      </c>
      <c r="E921" s="707">
        <v>1141.7999999999183</v>
      </c>
      <c r="G921" s="65">
        <v>1141.7999999999183</v>
      </c>
      <c r="H921" s="707">
        <v>24797</v>
      </c>
      <c r="I921" s="65">
        <v>1141.8999999999182</v>
      </c>
      <c r="J921" s="707">
        <v>24875</v>
      </c>
    </row>
    <row r="922" spans="2:10" ht="15">
      <c r="B922" s="706">
        <v>24797</v>
      </c>
      <c r="C922" s="706">
        <v>1141.7999999999183</v>
      </c>
      <c r="D922" s="707">
        <v>24875</v>
      </c>
      <c r="E922" s="707">
        <v>1141.8999999999182</v>
      </c>
      <c r="G922" s="65">
        <v>1141.8999999999182</v>
      </c>
      <c r="H922" s="707">
        <v>24875</v>
      </c>
      <c r="I922" s="65">
        <v>1141.9999999999181</v>
      </c>
      <c r="J922" s="707">
        <v>24952</v>
      </c>
    </row>
    <row r="923" spans="2:10" ht="15">
      <c r="B923" s="706">
        <v>24875</v>
      </c>
      <c r="C923" s="706">
        <v>1141.8999999999182</v>
      </c>
      <c r="D923" s="707">
        <v>24952</v>
      </c>
      <c r="E923" s="707">
        <v>1141.9999999999181</v>
      </c>
      <c r="G923" s="65">
        <v>1141.9999999999181</v>
      </c>
      <c r="H923" s="707">
        <v>24952</v>
      </c>
      <c r="I923" s="65">
        <v>1142.0999999999181</v>
      </c>
      <c r="J923" s="707">
        <v>25031</v>
      </c>
    </row>
    <row r="924" spans="2:10" ht="15">
      <c r="B924" s="706">
        <v>24952</v>
      </c>
      <c r="C924" s="706">
        <v>1141.9999999999181</v>
      </c>
      <c r="D924" s="707">
        <v>25031</v>
      </c>
      <c r="E924" s="707">
        <v>1142.0999999999181</v>
      </c>
      <c r="G924" s="65">
        <v>1142.0999999999181</v>
      </c>
      <c r="H924" s="707">
        <v>25031</v>
      </c>
      <c r="I924" s="65">
        <v>1142.199999999918</v>
      </c>
      <c r="J924" s="707">
        <v>25111</v>
      </c>
    </row>
    <row r="925" spans="2:10" ht="15">
      <c r="B925" s="706">
        <v>25031</v>
      </c>
      <c r="C925" s="706">
        <v>1142.0999999999181</v>
      </c>
      <c r="D925" s="707">
        <v>25111</v>
      </c>
      <c r="E925" s="707">
        <v>1142.199999999918</v>
      </c>
      <c r="G925" s="65">
        <v>1142.199999999918</v>
      </c>
      <c r="H925" s="707">
        <v>25111</v>
      </c>
      <c r="I925" s="65">
        <v>1142.2999999999179</v>
      </c>
      <c r="J925" s="707">
        <v>25190</v>
      </c>
    </row>
    <row r="926" spans="2:10" ht="15">
      <c r="B926" s="706">
        <v>25111</v>
      </c>
      <c r="C926" s="706">
        <v>1142.199999999918</v>
      </c>
      <c r="D926" s="707">
        <v>25190</v>
      </c>
      <c r="E926" s="707">
        <v>1142.2999999999179</v>
      </c>
      <c r="G926" s="65">
        <v>1142.2999999999179</v>
      </c>
      <c r="H926" s="707">
        <v>25190</v>
      </c>
      <c r="I926" s="65">
        <v>1142.3999999999178</v>
      </c>
      <c r="J926" s="707">
        <v>25269</v>
      </c>
    </row>
    <row r="927" spans="2:10" ht="15">
      <c r="B927" s="706">
        <v>25190</v>
      </c>
      <c r="C927" s="706">
        <v>1142.2999999999179</v>
      </c>
      <c r="D927" s="707">
        <v>25269</v>
      </c>
      <c r="E927" s="707">
        <v>1142.3999999999178</v>
      </c>
      <c r="G927" s="65">
        <v>1142.3999999999178</v>
      </c>
      <c r="H927" s="707">
        <v>25269</v>
      </c>
      <c r="I927" s="65">
        <v>1142.4999999999177</v>
      </c>
      <c r="J927" s="707">
        <v>25349</v>
      </c>
    </row>
    <row r="928" spans="2:10" ht="15">
      <c r="B928" s="706">
        <v>25269</v>
      </c>
      <c r="C928" s="706">
        <v>1142.3999999999178</v>
      </c>
      <c r="D928" s="707">
        <v>25349</v>
      </c>
      <c r="E928" s="707">
        <v>1142.4999999999177</v>
      </c>
      <c r="G928" s="65">
        <v>1142.4999999999177</v>
      </c>
      <c r="H928" s="707">
        <v>25349</v>
      </c>
      <c r="I928" s="65">
        <v>1142.5999999999176</v>
      </c>
      <c r="J928" s="707">
        <v>25428</v>
      </c>
    </row>
    <row r="929" spans="2:10" ht="15">
      <c r="B929" s="706">
        <v>25349</v>
      </c>
      <c r="C929" s="706">
        <v>1142.4999999999177</v>
      </c>
      <c r="D929" s="707">
        <v>25428</v>
      </c>
      <c r="E929" s="707">
        <v>1142.5999999999176</v>
      </c>
      <c r="G929" s="65">
        <v>1142.5999999999176</v>
      </c>
      <c r="H929" s="707">
        <v>25428</v>
      </c>
      <c r="I929" s="65">
        <v>1142.6999999999175</v>
      </c>
      <c r="J929" s="707">
        <v>25507</v>
      </c>
    </row>
    <row r="930" spans="2:10" ht="15">
      <c r="B930" s="706">
        <v>25428</v>
      </c>
      <c r="C930" s="706">
        <v>1142.5999999999176</v>
      </c>
      <c r="D930" s="707">
        <v>25507</v>
      </c>
      <c r="E930" s="707">
        <v>1142.6999999999175</v>
      </c>
      <c r="G930" s="65">
        <v>1142.6999999999175</v>
      </c>
      <c r="H930" s="707">
        <v>25507</v>
      </c>
      <c r="I930" s="65">
        <v>1142.7999999999174</v>
      </c>
      <c r="J930" s="707">
        <v>25586</v>
      </c>
    </row>
    <row r="931" spans="2:10" ht="15">
      <c r="B931" s="706">
        <v>25507</v>
      </c>
      <c r="C931" s="706">
        <v>1142.6999999999175</v>
      </c>
      <c r="D931" s="707">
        <v>25586</v>
      </c>
      <c r="E931" s="707">
        <v>1142.7999999999174</v>
      </c>
      <c r="G931" s="65">
        <v>1142.7999999999174</v>
      </c>
      <c r="H931" s="707">
        <v>25586</v>
      </c>
      <c r="I931" s="65">
        <v>1142.8999999999173</v>
      </c>
      <c r="J931" s="707">
        <v>25666</v>
      </c>
    </row>
    <row r="932" spans="2:10" ht="15">
      <c r="B932" s="706">
        <v>25586</v>
      </c>
      <c r="C932" s="706">
        <v>1142.7999999999174</v>
      </c>
      <c r="D932" s="707">
        <v>25666</v>
      </c>
      <c r="E932" s="707">
        <v>1142.8999999999173</v>
      </c>
      <c r="G932" s="65">
        <v>1142.8999999999173</v>
      </c>
      <c r="H932" s="707">
        <v>25666</v>
      </c>
      <c r="I932" s="65">
        <v>1142.9999999999172</v>
      </c>
      <c r="J932" s="707">
        <v>25745</v>
      </c>
    </row>
    <row r="933" spans="2:10" ht="15">
      <c r="B933" s="706">
        <v>25666</v>
      </c>
      <c r="C933" s="706">
        <v>1142.8999999999173</v>
      </c>
      <c r="D933" s="707">
        <v>25745</v>
      </c>
      <c r="E933" s="707">
        <v>1142.9999999999172</v>
      </c>
      <c r="G933" s="65">
        <v>1142.9999999999172</v>
      </c>
      <c r="H933" s="707">
        <v>25745</v>
      </c>
      <c r="I933" s="65">
        <v>1143.0999999999171</v>
      </c>
      <c r="J933" s="707">
        <v>25826</v>
      </c>
    </row>
    <row r="934" spans="2:10" ht="15">
      <c r="B934" s="706">
        <v>25745</v>
      </c>
      <c r="C934" s="706">
        <v>1142.9999999999172</v>
      </c>
      <c r="D934" s="707">
        <v>25826</v>
      </c>
      <c r="E934" s="707">
        <v>1143.0999999999171</v>
      </c>
      <c r="G934" s="65">
        <v>1143.0999999999171</v>
      </c>
      <c r="H934" s="707">
        <v>25826</v>
      </c>
      <c r="I934" s="65">
        <v>1143.1999999999171</v>
      </c>
      <c r="J934" s="707">
        <v>25908</v>
      </c>
    </row>
    <row r="935" spans="2:10" ht="15">
      <c r="B935" s="706">
        <v>25826</v>
      </c>
      <c r="C935" s="706">
        <v>1143.0999999999171</v>
      </c>
      <c r="D935" s="707">
        <v>25908</v>
      </c>
      <c r="E935" s="707">
        <v>1143.1999999999171</v>
      </c>
      <c r="G935" s="65">
        <v>1143.1999999999171</v>
      </c>
      <c r="H935" s="707">
        <v>25908</v>
      </c>
      <c r="I935" s="65">
        <v>1143.299999999917</v>
      </c>
      <c r="J935" s="707">
        <v>25989</v>
      </c>
    </row>
    <row r="936" spans="2:10" ht="15">
      <c r="B936" s="706">
        <v>25908</v>
      </c>
      <c r="C936" s="706">
        <v>1143.1999999999171</v>
      </c>
      <c r="D936" s="707">
        <v>25989</v>
      </c>
      <c r="E936" s="707">
        <v>1143.299999999917</v>
      </c>
      <c r="G936" s="65">
        <v>1143.299999999917</v>
      </c>
      <c r="H936" s="707">
        <v>25989</v>
      </c>
      <c r="I936" s="65">
        <v>1143.3999999999169</v>
      </c>
      <c r="J936" s="707">
        <v>26071</v>
      </c>
    </row>
    <row r="937" spans="2:10" ht="15">
      <c r="B937" s="706">
        <v>25989</v>
      </c>
      <c r="C937" s="706">
        <v>1143.299999999917</v>
      </c>
      <c r="D937" s="707">
        <v>26071</v>
      </c>
      <c r="E937" s="707">
        <v>1143.3999999999169</v>
      </c>
      <c r="G937" s="65">
        <v>1143.3999999999169</v>
      </c>
      <c r="H937" s="707">
        <v>26071</v>
      </c>
      <c r="I937" s="65">
        <v>1143.4999999999168</v>
      </c>
      <c r="J937" s="707">
        <v>26152</v>
      </c>
    </row>
    <row r="938" spans="2:10" ht="15">
      <c r="B938" s="706">
        <v>26071</v>
      </c>
      <c r="C938" s="706">
        <v>1143.3999999999169</v>
      </c>
      <c r="D938" s="707">
        <v>26152</v>
      </c>
      <c r="E938" s="707">
        <v>1143.4999999999168</v>
      </c>
      <c r="G938" s="65">
        <v>1143.4999999999168</v>
      </c>
      <c r="H938" s="707">
        <v>26152</v>
      </c>
      <c r="I938" s="65">
        <v>1143.5999999999167</v>
      </c>
      <c r="J938" s="707">
        <v>26233</v>
      </c>
    </row>
    <row r="939" spans="2:10" ht="15">
      <c r="B939" s="706">
        <v>26152</v>
      </c>
      <c r="C939" s="706">
        <v>1143.4999999999168</v>
      </c>
      <c r="D939" s="707">
        <v>26233</v>
      </c>
      <c r="E939" s="707">
        <v>1143.5999999999167</v>
      </c>
      <c r="G939" s="65">
        <v>1143.5999999999167</v>
      </c>
      <c r="H939" s="707">
        <v>26233</v>
      </c>
      <c r="I939" s="65">
        <v>1143.6999999999166</v>
      </c>
      <c r="J939" s="707">
        <v>26315</v>
      </c>
    </row>
    <row r="940" spans="2:10" ht="15">
      <c r="B940" s="706">
        <v>26233</v>
      </c>
      <c r="C940" s="706">
        <v>1143.5999999999167</v>
      </c>
      <c r="D940" s="707">
        <v>26315</v>
      </c>
      <c r="E940" s="707">
        <v>1143.6999999999166</v>
      </c>
      <c r="G940" s="65">
        <v>1143.6999999999166</v>
      </c>
      <c r="H940" s="707">
        <v>26315</v>
      </c>
      <c r="I940" s="65">
        <v>1143.7999999999165</v>
      </c>
      <c r="J940" s="707">
        <v>26396</v>
      </c>
    </row>
    <row r="941" spans="2:10" ht="15">
      <c r="B941" s="706">
        <v>26315</v>
      </c>
      <c r="C941" s="706">
        <v>1143.6999999999166</v>
      </c>
      <c r="D941" s="707">
        <v>26396</v>
      </c>
      <c r="E941" s="707">
        <v>1143.7999999999165</v>
      </c>
      <c r="G941" s="65">
        <v>1143.7999999999165</v>
      </c>
      <c r="H941" s="707">
        <v>26396</v>
      </c>
      <c r="I941" s="65">
        <v>1143.8999999999164</v>
      </c>
      <c r="J941" s="707">
        <v>26478</v>
      </c>
    </row>
    <row r="942" spans="2:10" ht="15">
      <c r="B942" s="706">
        <v>26396</v>
      </c>
      <c r="C942" s="706">
        <v>1143.7999999999165</v>
      </c>
      <c r="D942" s="707">
        <v>26478</v>
      </c>
      <c r="E942" s="707">
        <v>1143.8999999999164</v>
      </c>
      <c r="G942" s="65">
        <v>1143.8999999999164</v>
      </c>
      <c r="H942" s="707">
        <v>26478</v>
      </c>
      <c r="I942" s="65">
        <v>1143.9999999999163</v>
      </c>
      <c r="J942" s="707">
        <v>26559</v>
      </c>
    </row>
    <row r="943" spans="2:10" ht="15">
      <c r="B943" s="706">
        <v>26478</v>
      </c>
      <c r="C943" s="706">
        <v>1143.8999999999164</v>
      </c>
      <c r="D943" s="707">
        <v>26559</v>
      </c>
      <c r="E943" s="707">
        <v>1143.9999999999163</v>
      </c>
      <c r="G943" s="65">
        <v>1143.9999999999163</v>
      </c>
      <c r="H943" s="707">
        <v>26559</v>
      </c>
      <c r="I943" s="65">
        <v>1144.0999999999162</v>
      </c>
      <c r="J943" s="707">
        <v>26642</v>
      </c>
    </row>
    <row r="944" spans="2:10" ht="15">
      <c r="B944" s="706">
        <v>26559</v>
      </c>
      <c r="C944" s="706">
        <v>1143.9999999999163</v>
      </c>
      <c r="D944" s="707">
        <v>26642</v>
      </c>
      <c r="E944" s="707">
        <v>1144.0999999999162</v>
      </c>
      <c r="G944" s="65">
        <v>1144.0999999999162</v>
      </c>
      <c r="H944" s="707">
        <v>26642</v>
      </c>
      <c r="I944" s="65">
        <v>1144.1999999999161</v>
      </c>
      <c r="J944" s="707">
        <v>26726</v>
      </c>
    </row>
    <row r="945" spans="2:10" ht="15">
      <c r="B945" s="706">
        <v>26642</v>
      </c>
      <c r="C945" s="706">
        <v>1144.0999999999162</v>
      </c>
      <c r="D945" s="707">
        <v>26726</v>
      </c>
      <c r="E945" s="707">
        <v>1144.1999999999161</v>
      </c>
      <c r="G945" s="65">
        <v>1144.1999999999161</v>
      </c>
      <c r="H945" s="707">
        <v>26726</v>
      </c>
      <c r="I945" s="65">
        <v>1144.2999999999161</v>
      </c>
      <c r="J945" s="707">
        <v>26809</v>
      </c>
    </row>
    <row r="946" spans="2:10" ht="15">
      <c r="B946" s="706">
        <v>26726</v>
      </c>
      <c r="C946" s="706">
        <v>1144.1999999999161</v>
      </c>
      <c r="D946" s="707">
        <v>26809</v>
      </c>
      <c r="E946" s="707">
        <v>1144.2999999999161</v>
      </c>
      <c r="G946" s="65">
        <v>1144.2999999999161</v>
      </c>
      <c r="H946" s="707">
        <v>26809</v>
      </c>
      <c r="I946" s="65">
        <v>1144.399999999916</v>
      </c>
      <c r="J946" s="707">
        <v>26893</v>
      </c>
    </row>
    <row r="947" spans="2:10" ht="15">
      <c r="B947" s="706">
        <v>26809</v>
      </c>
      <c r="C947" s="706">
        <v>1144.2999999999161</v>
      </c>
      <c r="D947" s="707">
        <v>26893</v>
      </c>
      <c r="E947" s="707">
        <v>1144.399999999916</v>
      </c>
      <c r="G947" s="65">
        <v>1144.399999999916</v>
      </c>
      <c r="H947" s="707">
        <v>26893</v>
      </c>
      <c r="I947" s="65">
        <v>1144.4999999999159</v>
      </c>
      <c r="J947" s="707">
        <v>26976</v>
      </c>
    </row>
    <row r="948" spans="2:10" ht="15">
      <c r="B948" s="706">
        <v>26893</v>
      </c>
      <c r="C948" s="706">
        <v>1144.399999999916</v>
      </c>
      <c r="D948" s="707">
        <v>26976</v>
      </c>
      <c r="E948" s="707">
        <v>1144.4999999999159</v>
      </c>
      <c r="G948" s="65">
        <v>1144.4999999999159</v>
      </c>
      <c r="H948" s="707">
        <v>26976</v>
      </c>
      <c r="I948" s="65">
        <v>1144.5999999999158</v>
      </c>
      <c r="J948" s="707">
        <v>27059</v>
      </c>
    </row>
    <row r="949" spans="2:10" ht="15">
      <c r="B949" s="706">
        <v>26976</v>
      </c>
      <c r="C949" s="706">
        <v>1144.4999999999159</v>
      </c>
      <c r="D949" s="707">
        <v>27059</v>
      </c>
      <c r="E949" s="707">
        <v>1144.5999999999158</v>
      </c>
      <c r="G949" s="65">
        <v>1144.5999999999158</v>
      </c>
      <c r="H949" s="707">
        <v>27059</v>
      </c>
      <c r="I949" s="65">
        <v>1144.6999999999157</v>
      </c>
      <c r="J949" s="707">
        <v>27143</v>
      </c>
    </row>
    <row r="950" spans="2:10" ht="15">
      <c r="B950" s="706">
        <v>27059</v>
      </c>
      <c r="C950" s="706">
        <v>1144.5999999999158</v>
      </c>
      <c r="D950" s="707">
        <v>27143</v>
      </c>
      <c r="E950" s="707">
        <v>1144.6999999999157</v>
      </c>
      <c r="G950" s="65">
        <v>1144.6999999999157</v>
      </c>
      <c r="H950" s="707">
        <v>27143</v>
      </c>
      <c r="I950" s="65">
        <v>1144.7999999999156</v>
      </c>
      <c r="J950" s="707">
        <v>27226</v>
      </c>
    </row>
    <row r="951" spans="2:10" ht="15">
      <c r="B951" s="706">
        <v>27143</v>
      </c>
      <c r="C951" s="706">
        <v>1144.6999999999157</v>
      </c>
      <c r="D951" s="707">
        <v>27226</v>
      </c>
      <c r="E951" s="707">
        <v>1144.7999999999156</v>
      </c>
      <c r="G951" s="65">
        <v>1144.7999999999156</v>
      </c>
      <c r="H951" s="707">
        <v>27226</v>
      </c>
      <c r="I951" s="65">
        <v>1144.8999999999155</v>
      </c>
      <c r="J951" s="707">
        <v>27310</v>
      </c>
    </row>
    <row r="952" spans="2:10" ht="15">
      <c r="B952" s="706">
        <v>27226</v>
      </c>
      <c r="C952" s="706">
        <v>1144.7999999999156</v>
      </c>
      <c r="D952" s="707">
        <v>27310</v>
      </c>
      <c r="E952" s="707">
        <v>1144.8999999999155</v>
      </c>
      <c r="G952" s="65">
        <v>1144.8999999999155</v>
      </c>
      <c r="H952" s="707">
        <v>27310</v>
      </c>
      <c r="I952" s="65">
        <v>1144.9999999999154</v>
      </c>
      <c r="J952" s="707">
        <v>27393</v>
      </c>
    </row>
    <row r="953" spans="2:10" ht="15">
      <c r="B953" s="706">
        <v>27310</v>
      </c>
      <c r="C953" s="706">
        <v>1144.8999999999155</v>
      </c>
      <c r="D953" s="707">
        <v>27393</v>
      </c>
      <c r="E953" s="707">
        <v>1144.9999999999154</v>
      </c>
      <c r="G953" s="65">
        <v>1144.9999999999154</v>
      </c>
      <c r="H953" s="707">
        <v>27393</v>
      </c>
      <c r="I953" s="65">
        <v>1145.0999999999153</v>
      </c>
      <c r="J953" s="707">
        <v>27478</v>
      </c>
    </row>
    <row r="954" spans="2:10" ht="15">
      <c r="B954" s="706">
        <v>27393</v>
      </c>
      <c r="C954" s="706">
        <v>1144.9999999999154</v>
      </c>
      <c r="D954" s="707">
        <v>27478</v>
      </c>
      <c r="E954" s="707">
        <v>1145.0999999999153</v>
      </c>
      <c r="G954" s="65">
        <v>1145.0999999999153</v>
      </c>
      <c r="H954" s="707">
        <v>27478</v>
      </c>
      <c r="I954" s="65">
        <v>1145.1999999999152</v>
      </c>
      <c r="J954" s="707">
        <v>27563</v>
      </c>
    </row>
    <row r="955" spans="2:10" ht="15">
      <c r="B955" s="706">
        <v>27478</v>
      </c>
      <c r="C955" s="706">
        <v>1145.0999999999153</v>
      </c>
      <c r="D955" s="707">
        <v>27563</v>
      </c>
      <c r="E955" s="707">
        <v>1145.1999999999152</v>
      </c>
      <c r="G955" s="65">
        <v>1145.1999999999152</v>
      </c>
      <c r="H955" s="707">
        <v>27563</v>
      </c>
      <c r="I955" s="65">
        <v>1145.2999999999151</v>
      </c>
      <c r="J955" s="707">
        <v>27649</v>
      </c>
    </row>
    <row r="956" spans="2:10" ht="15">
      <c r="B956" s="706">
        <v>27563</v>
      </c>
      <c r="C956" s="706">
        <v>1145.1999999999152</v>
      </c>
      <c r="D956" s="707">
        <v>27649</v>
      </c>
      <c r="E956" s="707">
        <v>1145.2999999999151</v>
      </c>
      <c r="G956" s="65">
        <v>1145.2999999999151</v>
      </c>
      <c r="H956" s="707">
        <v>27649</v>
      </c>
      <c r="I956" s="65">
        <v>1145.3999999999151</v>
      </c>
      <c r="J956" s="707">
        <v>27734</v>
      </c>
    </row>
    <row r="957" spans="2:10" ht="15">
      <c r="B957" s="706">
        <v>27649</v>
      </c>
      <c r="C957" s="706">
        <v>1145.2999999999151</v>
      </c>
      <c r="D957" s="707">
        <v>27734</v>
      </c>
      <c r="E957" s="707">
        <v>1145.3999999999151</v>
      </c>
      <c r="G957" s="65">
        <v>1145.3999999999151</v>
      </c>
      <c r="H957" s="707">
        <v>27734</v>
      </c>
      <c r="I957" s="65">
        <v>1145.499999999915</v>
      </c>
      <c r="J957" s="707">
        <v>27819</v>
      </c>
    </row>
    <row r="958" spans="2:10" ht="15">
      <c r="B958" s="706">
        <v>27734</v>
      </c>
      <c r="C958" s="706">
        <v>1145.3999999999151</v>
      </c>
      <c r="D958" s="707">
        <v>27819</v>
      </c>
      <c r="E958" s="707">
        <v>1145.499999999915</v>
      </c>
      <c r="G958" s="65">
        <v>1145.499999999915</v>
      </c>
      <c r="H958" s="707">
        <v>27819</v>
      </c>
      <c r="I958" s="65">
        <v>1145.5999999999149</v>
      </c>
      <c r="J958" s="707">
        <v>27904</v>
      </c>
    </row>
    <row r="959" spans="2:10" ht="15">
      <c r="B959" s="706">
        <v>27819</v>
      </c>
      <c r="C959" s="706">
        <v>1145.499999999915</v>
      </c>
      <c r="D959" s="707">
        <v>27904</v>
      </c>
      <c r="E959" s="707">
        <v>1145.5999999999149</v>
      </c>
      <c r="G959" s="65">
        <v>1145.5999999999149</v>
      </c>
      <c r="H959" s="707">
        <v>27904</v>
      </c>
      <c r="I959" s="65">
        <v>1145.6999999999148</v>
      </c>
      <c r="J959" s="707">
        <v>27989</v>
      </c>
    </row>
    <row r="960" spans="2:10" ht="15">
      <c r="B960" s="706">
        <v>27904</v>
      </c>
      <c r="C960" s="706">
        <v>1145.5999999999149</v>
      </c>
      <c r="D960" s="707">
        <v>27989</v>
      </c>
      <c r="E960" s="707">
        <v>1145.6999999999148</v>
      </c>
      <c r="G960" s="65">
        <v>1145.6999999999148</v>
      </c>
      <c r="H960" s="707">
        <v>27989</v>
      </c>
      <c r="I960" s="65">
        <v>1145.7999999999147</v>
      </c>
      <c r="J960" s="707">
        <v>28075</v>
      </c>
    </row>
    <row r="961" spans="2:10" ht="15">
      <c r="B961" s="706">
        <v>27989</v>
      </c>
      <c r="C961" s="706">
        <v>1145.6999999999148</v>
      </c>
      <c r="D961" s="707">
        <v>28075</v>
      </c>
      <c r="E961" s="707">
        <v>1145.7999999999147</v>
      </c>
      <c r="G961" s="65">
        <v>1145.7999999999147</v>
      </c>
      <c r="H961" s="707">
        <v>28075</v>
      </c>
      <c r="I961" s="65">
        <v>1145.8999999999146</v>
      </c>
      <c r="J961" s="707">
        <v>28160</v>
      </c>
    </row>
    <row r="962" spans="2:10" ht="15">
      <c r="B962" s="706">
        <v>28075</v>
      </c>
      <c r="C962" s="706">
        <v>1145.7999999999147</v>
      </c>
      <c r="D962" s="707">
        <v>28160</v>
      </c>
      <c r="E962" s="707">
        <v>1145.8999999999146</v>
      </c>
      <c r="G962" s="65">
        <v>1145.8999999999146</v>
      </c>
      <c r="H962" s="707">
        <v>28160</v>
      </c>
      <c r="I962" s="65">
        <v>1145.9999999999145</v>
      </c>
      <c r="J962" s="707">
        <v>28245</v>
      </c>
    </row>
    <row r="963" spans="2:10" ht="15">
      <c r="B963" s="706">
        <v>28160</v>
      </c>
      <c r="C963" s="706">
        <v>1145.8999999999146</v>
      </c>
      <c r="D963" s="707">
        <v>28245</v>
      </c>
      <c r="E963" s="707">
        <v>1145.9999999999145</v>
      </c>
      <c r="G963" s="65">
        <v>1145.9999999999145</v>
      </c>
      <c r="H963" s="707">
        <v>28245</v>
      </c>
      <c r="I963" s="65">
        <v>1146.0999999999144</v>
      </c>
      <c r="J963" s="707">
        <v>28332</v>
      </c>
    </row>
    <row r="964" spans="2:10" ht="15">
      <c r="B964" s="706">
        <v>28245</v>
      </c>
      <c r="C964" s="706">
        <v>1145.9999999999145</v>
      </c>
      <c r="D964" s="707">
        <v>28332</v>
      </c>
      <c r="E964" s="707">
        <v>1146.0999999999144</v>
      </c>
      <c r="G964" s="65">
        <v>1146.0999999999144</v>
      </c>
      <c r="H964" s="707">
        <v>28332</v>
      </c>
      <c r="I964" s="65">
        <v>1146.1999999999143</v>
      </c>
      <c r="J964" s="707">
        <v>28418</v>
      </c>
    </row>
    <row r="965" spans="2:10" ht="15">
      <c r="B965" s="706">
        <v>28332</v>
      </c>
      <c r="C965" s="706">
        <v>1146.0999999999144</v>
      </c>
      <c r="D965" s="707">
        <v>28418</v>
      </c>
      <c r="E965" s="707">
        <v>1146.1999999999143</v>
      </c>
      <c r="G965" s="65">
        <v>1146.1999999999143</v>
      </c>
      <c r="H965" s="707">
        <v>28418</v>
      </c>
      <c r="I965" s="65">
        <v>1146.2999999999142</v>
      </c>
      <c r="J965" s="707">
        <v>28505</v>
      </c>
    </row>
    <row r="966" spans="2:10" ht="15">
      <c r="B966" s="706">
        <v>28418</v>
      </c>
      <c r="C966" s="706">
        <v>1146.1999999999143</v>
      </c>
      <c r="D966" s="707">
        <v>28505</v>
      </c>
      <c r="E966" s="707">
        <v>1146.2999999999142</v>
      </c>
      <c r="G966" s="65">
        <v>1146.2999999999142</v>
      </c>
      <c r="H966" s="707">
        <v>28505</v>
      </c>
      <c r="I966" s="65">
        <v>1146.3999999999141</v>
      </c>
      <c r="J966" s="707">
        <v>28591</v>
      </c>
    </row>
    <row r="967" spans="2:10" ht="15">
      <c r="B967" s="706">
        <v>28505</v>
      </c>
      <c r="C967" s="706">
        <v>1146.2999999999142</v>
      </c>
      <c r="D967" s="707">
        <v>28591</v>
      </c>
      <c r="E967" s="707">
        <v>1146.3999999999141</v>
      </c>
      <c r="G967" s="65">
        <v>1146.3999999999141</v>
      </c>
      <c r="H967" s="707">
        <v>28591</v>
      </c>
      <c r="I967" s="65">
        <v>1146.4999999999141</v>
      </c>
      <c r="J967" s="707">
        <v>28678</v>
      </c>
    </row>
    <row r="968" spans="2:10" ht="15">
      <c r="B968" s="706">
        <v>28591</v>
      </c>
      <c r="C968" s="706">
        <v>1146.3999999999141</v>
      </c>
      <c r="D968" s="707">
        <v>28678</v>
      </c>
      <c r="E968" s="707">
        <v>1146.4999999999141</v>
      </c>
      <c r="G968" s="65">
        <v>1146.4999999999141</v>
      </c>
      <c r="H968" s="707">
        <v>28678</v>
      </c>
      <c r="I968" s="65">
        <v>1146.599999999914</v>
      </c>
      <c r="J968" s="707">
        <v>28764</v>
      </c>
    </row>
    <row r="969" spans="2:10" ht="15">
      <c r="B969" s="706">
        <v>28678</v>
      </c>
      <c r="C969" s="706">
        <v>1146.4999999999141</v>
      </c>
      <c r="D969" s="707">
        <v>28764</v>
      </c>
      <c r="E969" s="707">
        <v>1146.599999999914</v>
      </c>
      <c r="G969" s="65">
        <v>1146.599999999914</v>
      </c>
      <c r="H969" s="707">
        <v>28764</v>
      </c>
      <c r="I969" s="65">
        <v>1146.6999999999139</v>
      </c>
      <c r="J969" s="707">
        <v>28851</v>
      </c>
    </row>
    <row r="970" spans="2:10" ht="15">
      <c r="B970" s="706">
        <v>28764</v>
      </c>
      <c r="C970" s="706">
        <v>1146.599999999914</v>
      </c>
      <c r="D970" s="707">
        <v>28851</v>
      </c>
      <c r="E970" s="707">
        <v>1146.6999999999139</v>
      </c>
      <c r="G970" s="65">
        <v>1146.6999999999139</v>
      </c>
      <c r="H970" s="707">
        <v>28851</v>
      </c>
      <c r="I970" s="65">
        <v>1146.7999999999138</v>
      </c>
      <c r="J970" s="707">
        <v>28937</v>
      </c>
    </row>
    <row r="971" spans="2:10" ht="15">
      <c r="B971" s="706">
        <v>28851</v>
      </c>
      <c r="C971" s="706">
        <v>1146.6999999999139</v>
      </c>
      <c r="D971" s="707">
        <v>28937</v>
      </c>
      <c r="E971" s="707">
        <v>1146.7999999999138</v>
      </c>
      <c r="G971" s="65">
        <v>1146.7999999999138</v>
      </c>
      <c r="H971" s="707">
        <v>28937</v>
      </c>
      <c r="I971" s="65">
        <v>1146.8999999999137</v>
      </c>
      <c r="J971" s="707">
        <v>29024</v>
      </c>
    </row>
    <row r="972" spans="2:10" ht="15">
      <c r="B972" s="706">
        <v>28937</v>
      </c>
      <c r="C972" s="706">
        <v>1146.7999999999138</v>
      </c>
      <c r="D972" s="707">
        <v>29024</v>
      </c>
      <c r="E972" s="707">
        <v>1146.8999999999137</v>
      </c>
      <c r="G972" s="65">
        <v>1146.8999999999137</v>
      </c>
      <c r="H972" s="707">
        <v>29024</v>
      </c>
      <c r="I972" s="65">
        <v>1146.9999999999136</v>
      </c>
      <c r="J972" s="707">
        <v>29110</v>
      </c>
    </row>
    <row r="973" spans="2:10" ht="15">
      <c r="B973" s="706">
        <v>29024</v>
      </c>
      <c r="C973" s="706">
        <v>1146.8999999999137</v>
      </c>
      <c r="D973" s="707">
        <v>29110</v>
      </c>
      <c r="E973" s="707">
        <v>1146.9999999999136</v>
      </c>
      <c r="G973" s="65">
        <v>1146.9999999999136</v>
      </c>
      <c r="H973" s="707">
        <v>29110</v>
      </c>
      <c r="I973" s="65">
        <v>1147.0999999999135</v>
      </c>
      <c r="J973" s="707">
        <v>29198</v>
      </c>
    </row>
    <row r="974" spans="2:10" ht="15">
      <c r="B974" s="706">
        <v>29110</v>
      </c>
      <c r="C974" s="706">
        <v>1146.9999999999136</v>
      </c>
      <c r="D974" s="707">
        <v>29198</v>
      </c>
      <c r="E974" s="707">
        <v>1147.0999999999135</v>
      </c>
      <c r="G974" s="65">
        <v>1147.0999999999135</v>
      </c>
      <c r="H974" s="707">
        <v>29198</v>
      </c>
      <c r="I974" s="65">
        <v>1147.1999999999134</v>
      </c>
      <c r="J974" s="707">
        <v>29286</v>
      </c>
    </row>
    <row r="975" spans="2:10" ht="15">
      <c r="B975" s="706">
        <v>29198</v>
      </c>
      <c r="C975" s="706">
        <v>1147.0999999999135</v>
      </c>
      <c r="D975" s="707">
        <v>29286</v>
      </c>
      <c r="E975" s="707">
        <v>1147.1999999999134</v>
      </c>
      <c r="G975" s="65">
        <v>1147.1999999999134</v>
      </c>
      <c r="H975" s="707">
        <v>29286</v>
      </c>
      <c r="I975" s="65">
        <v>1147.2999999999133</v>
      </c>
      <c r="J975" s="707">
        <v>29373</v>
      </c>
    </row>
    <row r="976" spans="2:10" ht="15">
      <c r="B976" s="706">
        <v>29286</v>
      </c>
      <c r="C976" s="706">
        <v>1147.1999999999134</v>
      </c>
      <c r="D976" s="707">
        <v>29373</v>
      </c>
      <c r="E976" s="707">
        <v>1147.2999999999133</v>
      </c>
      <c r="G976" s="65">
        <v>1147.2999999999133</v>
      </c>
      <c r="H976" s="707">
        <v>29373</v>
      </c>
      <c r="I976" s="65">
        <v>1147.3999999999132</v>
      </c>
      <c r="J976" s="707">
        <v>29461</v>
      </c>
    </row>
    <row r="977" spans="2:10" ht="15">
      <c r="B977" s="706">
        <v>29373</v>
      </c>
      <c r="C977" s="706">
        <v>1147.2999999999133</v>
      </c>
      <c r="D977" s="707">
        <v>29461</v>
      </c>
      <c r="E977" s="707">
        <v>1147.3999999999132</v>
      </c>
      <c r="G977" s="65">
        <v>1147.3999999999132</v>
      </c>
      <c r="H977" s="707">
        <v>29461</v>
      </c>
      <c r="I977" s="65">
        <v>1147.4999999999131</v>
      </c>
      <c r="J977" s="707">
        <v>29549</v>
      </c>
    </row>
    <row r="978" spans="2:10" ht="15">
      <c r="B978" s="706">
        <v>29461</v>
      </c>
      <c r="C978" s="706">
        <v>1147.3999999999132</v>
      </c>
      <c r="D978" s="707">
        <v>29549</v>
      </c>
      <c r="E978" s="707">
        <v>1147.4999999999131</v>
      </c>
      <c r="G978" s="65">
        <v>1147.4999999999131</v>
      </c>
      <c r="H978" s="707">
        <v>29549</v>
      </c>
      <c r="I978" s="65">
        <v>1147.5999999999131</v>
      </c>
      <c r="J978" s="707">
        <v>29637</v>
      </c>
    </row>
    <row r="979" spans="2:10" ht="15">
      <c r="B979" s="706">
        <v>29549</v>
      </c>
      <c r="C979" s="706">
        <v>1147.4999999999131</v>
      </c>
      <c r="D979" s="707">
        <v>29637</v>
      </c>
      <c r="E979" s="707">
        <v>1147.5999999999131</v>
      </c>
      <c r="G979" s="65">
        <v>1147.5999999999131</v>
      </c>
      <c r="H979" s="707">
        <v>29637</v>
      </c>
      <c r="I979" s="65">
        <v>1147.699999999913</v>
      </c>
      <c r="J979" s="707">
        <v>29725</v>
      </c>
    </row>
    <row r="980" spans="2:10" ht="15">
      <c r="B980" s="706">
        <v>29637</v>
      </c>
      <c r="C980" s="706">
        <v>1147.5999999999131</v>
      </c>
      <c r="D980" s="707">
        <v>29725</v>
      </c>
      <c r="E980" s="707">
        <v>1147.699999999913</v>
      </c>
      <c r="G980" s="65">
        <v>1147.699999999913</v>
      </c>
      <c r="H980" s="707">
        <v>29725</v>
      </c>
      <c r="I980" s="65">
        <v>1147.7999999999129</v>
      </c>
      <c r="J980" s="707">
        <v>29812</v>
      </c>
    </row>
    <row r="981" spans="2:10" ht="15">
      <c r="B981" s="706">
        <v>29725</v>
      </c>
      <c r="C981" s="706">
        <v>1147.699999999913</v>
      </c>
      <c r="D981" s="707">
        <v>29812</v>
      </c>
      <c r="E981" s="707">
        <v>1147.7999999999129</v>
      </c>
      <c r="G981" s="65">
        <v>1147.7999999999129</v>
      </c>
      <c r="H981" s="707">
        <v>29812</v>
      </c>
      <c r="I981" s="65">
        <v>1147.8999999999128</v>
      </c>
      <c r="J981" s="707">
        <v>29900</v>
      </c>
    </row>
    <row r="982" spans="2:10" ht="15">
      <c r="B982" s="706">
        <v>29812</v>
      </c>
      <c r="C982" s="706">
        <v>1147.7999999999129</v>
      </c>
      <c r="D982" s="707">
        <v>29900</v>
      </c>
      <c r="E982" s="707">
        <v>1147.8999999999128</v>
      </c>
      <c r="G982" s="65">
        <v>1147.8999999999128</v>
      </c>
      <c r="H982" s="707">
        <v>29900</v>
      </c>
      <c r="I982" s="65">
        <v>1147.9999999999127</v>
      </c>
      <c r="J982" s="707">
        <v>29988</v>
      </c>
    </row>
    <row r="983" spans="2:10" ht="15">
      <c r="B983" s="706">
        <v>29900</v>
      </c>
      <c r="C983" s="706">
        <v>1147.8999999999128</v>
      </c>
      <c r="D983" s="707">
        <v>29988</v>
      </c>
      <c r="E983" s="707">
        <v>1147.9999999999127</v>
      </c>
      <c r="G983" s="65">
        <v>1147.9999999999127</v>
      </c>
      <c r="H983" s="707">
        <v>29988</v>
      </c>
      <c r="I983" s="65">
        <v>1148.0999999999126</v>
      </c>
      <c r="J983" s="707">
        <v>30077</v>
      </c>
    </row>
    <row r="984" spans="2:10" ht="15">
      <c r="B984" s="706">
        <v>29988</v>
      </c>
      <c r="C984" s="706">
        <v>1147.9999999999127</v>
      </c>
      <c r="D984" s="707">
        <v>30077</v>
      </c>
      <c r="E984" s="707">
        <v>1148.0999999999126</v>
      </c>
      <c r="G984" s="65">
        <v>1148.0999999999126</v>
      </c>
      <c r="H984" s="707">
        <v>30077</v>
      </c>
      <c r="I984" s="65">
        <v>1148.1999999999125</v>
      </c>
      <c r="J984" s="707">
        <v>30166</v>
      </c>
    </row>
    <row r="985" spans="2:10" ht="15">
      <c r="B985" s="706">
        <v>30077</v>
      </c>
      <c r="C985" s="706">
        <v>1148.0999999999126</v>
      </c>
      <c r="D985" s="707">
        <v>30166</v>
      </c>
      <c r="E985" s="707">
        <v>1148.1999999999125</v>
      </c>
      <c r="G985" s="65">
        <v>1148.1999999999125</v>
      </c>
      <c r="H985" s="707">
        <v>30166</v>
      </c>
      <c r="I985" s="65">
        <v>1148.2999999999124</v>
      </c>
      <c r="J985" s="707">
        <v>30256</v>
      </c>
    </row>
    <row r="986" spans="2:10" ht="15">
      <c r="B986" s="706">
        <v>30166</v>
      </c>
      <c r="C986" s="706">
        <v>1148.1999999999125</v>
      </c>
      <c r="D986" s="707">
        <v>30256</v>
      </c>
      <c r="E986" s="707">
        <v>1148.2999999999124</v>
      </c>
      <c r="G986" s="65">
        <v>1148.2999999999124</v>
      </c>
      <c r="H986" s="707">
        <v>30256</v>
      </c>
      <c r="I986" s="65">
        <v>1148.3999999999123</v>
      </c>
      <c r="J986" s="707">
        <v>30345</v>
      </c>
    </row>
    <row r="987" spans="2:10" ht="15">
      <c r="B987" s="706">
        <v>30256</v>
      </c>
      <c r="C987" s="706">
        <v>1148.2999999999124</v>
      </c>
      <c r="D987" s="707">
        <v>30345</v>
      </c>
      <c r="E987" s="707">
        <v>1148.3999999999123</v>
      </c>
      <c r="G987" s="65">
        <v>1148.3999999999123</v>
      </c>
      <c r="H987" s="707">
        <v>30345</v>
      </c>
      <c r="I987" s="65">
        <v>1148.4999999999122</v>
      </c>
      <c r="J987" s="707">
        <v>30434</v>
      </c>
    </row>
    <row r="988" spans="2:10" ht="15">
      <c r="B988" s="706">
        <v>30345</v>
      </c>
      <c r="C988" s="706">
        <v>1148.3999999999123</v>
      </c>
      <c r="D988" s="707">
        <v>30434</v>
      </c>
      <c r="E988" s="707">
        <v>1148.4999999999122</v>
      </c>
      <c r="G988" s="65">
        <v>1148.4999999999122</v>
      </c>
      <c r="H988" s="707">
        <v>30434</v>
      </c>
      <c r="I988" s="65">
        <v>1148.5999999999121</v>
      </c>
      <c r="J988" s="707">
        <v>30523</v>
      </c>
    </row>
    <row r="989" spans="2:10" ht="15">
      <c r="B989" s="706">
        <v>30434</v>
      </c>
      <c r="C989" s="706">
        <v>1148.4999999999122</v>
      </c>
      <c r="D989" s="707">
        <v>30523</v>
      </c>
      <c r="E989" s="707">
        <v>1148.5999999999121</v>
      </c>
      <c r="G989" s="65">
        <v>1148.5999999999121</v>
      </c>
      <c r="H989" s="707">
        <v>30523</v>
      </c>
      <c r="I989" s="65">
        <v>1148.6999999999121</v>
      </c>
      <c r="J989" s="707">
        <v>30612</v>
      </c>
    </row>
    <row r="990" spans="2:10" ht="15">
      <c r="B990" s="706">
        <v>30523</v>
      </c>
      <c r="C990" s="706">
        <v>1148.5999999999121</v>
      </c>
      <c r="D990" s="707">
        <v>30612</v>
      </c>
      <c r="E990" s="707">
        <v>1148.6999999999121</v>
      </c>
      <c r="G990" s="65">
        <v>1148.6999999999121</v>
      </c>
      <c r="H990" s="707">
        <v>30612</v>
      </c>
      <c r="I990" s="65">
        <v>1148.799999999912</v>
      </c>
      <c r="J990" s="707">
        <v>30702</v>
      </c>
    </row>
    <row r="991" spans="2:10" ht="15">
      <c r="B991" s="706">
        <v>30612</v>
      </c>
      <c r="C991" s="706">
        <v>1148.6999999999121</v>
      </c>
      <c r="D991" s="707">
        <v>30702</v>
      </c>
      <c r="E991" s="707">
        <v>1148.799999999912</v>
      </c>
      <c r="G991" s="65">
        <v>1148.799999999912</v>
      </c>
      <c r="H991" s="707">
        <v>30702</v>
      </c>
      <c r="I991" s="65">
        <v>1148.8999999999119</v>
      </c>
      <c r="J991" s="707">
        <v>30791</v>
      </c>
    </row>
    <row r="992" spans="2:10" ht="15">
      <c r="B992" s="706">
        <v>30702</v>
      </c>
      <c r="C992" s="706">
        <v>1148.799999999912</v>
      </c>
      <c r="D992" s="707">
        <v>30791</v>
      </c>
      <c r="E992" s="707">
        <v>1148.8999999999119</v>
      </c>
      <c r="G992" s="65">
        <v>1148.8999999999119</v>
      </c>
      <c r="H992" s="707">
        <v>30791</v>
      </c>
      <c r="I992" s="65">
        <v>1148.9999999999118</v>
      </c>
      <c r="J992" s="707">
        <v>30880</v>
      </c>
    </row>
    <row r="993" spans="2:10" ht="15">
      <c r="B993" s="706">
        <v>30791</v>
      </c>
      <c r="C993" s="706">
        <v>1148.8999999999119</v>
      </c>
      <c r="D993" s="707">
        <v>30880</v>
      </c>
      <c r="E993" s="707">
        <v>1148.9999999999118</v>
      </c>
      <c r="G993" s="65">
        <v>1148.9999999999118</v>
      </c>
      <c r="H993" s="707">
        <v>30880</v>
      </c>
      <c r="I993" s="65">
        <v>1149.0999999999117</v>
      </c>
      <c r="J993" s="707">
        <v>30971</v>
      </c>
    </row>
    <row r="994" spans="2:10" ht="15">
      <c r="B994" s="706">
        <v>30880</v>
      </c>
      <c r="C994" s="706">
        <v>1148.9999999999118</v>
      </c>
      <c r="D994" s="707">
        <v>30971</v>
      </c>
      <c r="E994" s="707">
        <v>1149.0999999999117</v>
      </c>
      <c r="G994" s="65">
        <v>1149.0999999999117</v>
      </c>
      <c r="H994" s="707">
        <v>30971</v>
      </c>
      <c r="I994" s="65">
        <v>1149.1999999999116</v>
      </c>
      <c r="J994" s="707">
        <v>31061</v>
      </c>
    </row>
    <row r="995" spans="2:10" ht="15">
      <c r="B995" s="706">
        <v>30971</v>
      </c>
      <c r="C995" s="706">
        <v>1149.0999999999117</v>
      </c>
      <c r="D995" s="707">
        <v>31061</v>
      </c>
      <c r="E995" s="707">
        <v>1149.1999999999116</v>
      </c>
      <c r="G995" s="65">
        <v>1149.1999999999116</v>
      </c>
      <c r="H995" s="707">
        <v>31061</v>
      </c>
      <c r="I995" s="65">
        <v>1149.2999999999115</v>
      </c>
      <c r="J995" s="707">
        <v>31152</v>
      </c>
    </row>
    <row r="996" spans="2:10" ht="15">
      <c r="B996" s="706">
        <v>31061</v>
      </c>
      <c r="C996" s="706">
        <v>1149.1999999999116</v>
      </c>
      <c r="D996" s="707">
        <v>31152</v>
      </c>
      <c r="E996" s="707">
        <v>1149.2999999999115</v>
      </c>
      <c r="G996" s="65">
        <v>1149.2999999999115</v>
      </c>
      <c r="H996" s="707">
        <v>31152</v>
      </c>
      <c r="I996" s="65">
        <v>1149.3999999999114</v>
      </c>
      <c r="J996" s="707">
        <v>31242</v>
      </c>
    </row>
    <row r="997" spans="2:10" ht="15">
      <c r="B997" s="706">
        <v>31152</v>
      </c>
      <c r="C997" s="706">
        <v>1149.2999999999115</v>
      </c>
      <c r="D997" s="707">
        <v>31242</v>
      </c>
      <c r="E997" s="707">
        <v>1149.3999999999114</v>
      </c>
      <c r="G997" s="65">
        <v>1149.3999999999114</v>
      </c>
      <c r="H997" s="707">
        <v>31242</v>
      </c>
      <c r="I997" s="65">
        <v>1149.4999999999113</v>
      </c>
      <c r="J997" s="707">
        <v>31333</v>
      </c>
    </row>
    <row r="998" spans="2:10" ht="15">
      <c r="B998" s="706">
        <v>31242</v>
      </c>
      <c r="C998" s="706">
        <v>1149.3999999999114</v>
      </c>
      <c r="D998" s="707">
        <v>31333</v>
      </c>
      <c r="E998" s="707">
        <v>1149.4999999999113</v>
      </c>
      <c r="G998" s="65">
        <v>1149.4999999999113</v>
      </c>
      <c r="H998" s="707">
        <v>31333</v>
      </c>
      <c r="I998" s="65">
        <v>1149.5999999999112</v>
      </c>
      <c r="J998" s="707">
        <v>31423</v>
      </c>
    </row>
    <row r="999" spans="2:10" ht="15">
      <c r="B999" s="706">
        <v>31333</v>
      </c>
      <c r="C999" s="706">
        <v>1149.4999999999113</v>
      </c>
      <c r="D999" s="707">
        <v>31423</v>
      </c>
      <c r="E999" s="707">
        <v>1149.5999999999112</v>
      </c>
      <c r="G999" s="65">
        <v>1149.5999999999112</v>
      </c>
      <c r="H999" s="707">
        <v>31423</v>
      </c>
      <c r="I999" s="65">
        <v>1149.6999999999111</v>
      </c>
      <c r="J999" s="707">
        <v>31514</v>
      </c>
    </row>
    <row r="1000" spans="2:10" ht="15">
      <c r="B1000" s="706">
        <v>31423</v>
      </c>
      <c r="C1000" s="706">
        <v>1149.5999999999112</v>
      </c>
      <c r="D1000" s="707">
        <v>31514</v>
      </c>
      <c r="E1000" s="707">
        <v>1149.6999999999111</v>
      </c>
      <c r="G1000" s="65">
        <v>1149.6999999999111</v>
      </c>
      <c r="H1000" s="707">
        <v>31514</v>
      </c>
      <c r="I1000" s="65">
        <v>1149.7999999999111</v>
      </c>
      <c r="J1000" s="707">
        <v>31604</v>
      </c>
    </row>
    <row r="1001" spans="2:10" ht="15">
      <c r="B1001" s="706">
        <v>31514</v>
      </c>
      <c r="C1001" s="706">
        <v>1149.6999999999111</v>
      </c>
      <c r="D1001" s="707">
        <v>31604</v>
      </c>
      <c r="E1001" s="707">
        <v>1149.7999999999111</v>
      </c>
      <c r="G1001" s="65">
        <v>1149.7999999999111</v>
      </c>
      <c r="H1001" s="707">
        <v>31604</v>
      </c>
      <c r="I1001" s="65">
        <v>1149.899999999911</v>
      </c>
      <c r="J1001" s="707">
        <v>31695</v>
      </c>
    </row>
    <row r="1002" spans="2:10" ht="15">
      <c r="B1002" s="706">
        <v>31604</v>
      </c>
      <c r="C1002" s="706">
        <v>1149.7999999999111</v>
      </c>
      <c r="D1002" s="707">
        <v>31695</v>
      </c>
      <c r="E1002" s="707">
        <v>1149.899999999911</v>
      </c>
      <c r="G1002" s="65">
        <v>1149.899999999911</v>
      </c>
      <c r="H1002" s="707">
        <v>31695</v>
      </c>
      <c r="I1002" s="65">
        <v>1149.9999999999109</v>
      </c>
      <c r="J1002" s="707">
        <v>31785</v>
      </c>
    </row>
    <row r="1003" spans="2:10" ht="15">
      <c r="B1003" s="706">
        <v>31695</v>
      </c>
      <c r="C1003" s="706">
        <v>1149.899999999911</v>
      </c>
      <c r="D1003" s="707">
        <v>31785</v>
      </c>
      <c r="E1003" s="707">
        <v>1149.9999999999109</v>
      </c>
      <c r="G1003" s="65">
        <v>1149.9999999999109</v>
      </c>
      <c r="H1003" s="707">
        <v>31785</v>
      </c>
      <c r="I1003" s="65">
        <v>1150.0999999999108</v>
      </c>
      <c r="J1003" s="707">
        <v>31877</v>
      </c>
    </row>
    <row r="1004" spans="2:10" ht="15">
      <c r="B1004" s="706">
        <v>31785</v>
      </c>
      <c r="C1004" s="706">
        <v>1149.9999999999109</v>
      </c>
      <c r="D1004" s="707">
        <v>31877</v>
      </c>
      <c r="E1004" s="707">
        <v>1150.0999999999108</v>
      </c>
      <c r="G1004" s="65">
        <v>1150.0999999999108</v>
      </c>
      <c r="H1004" s="707">
        <v>31877</v>
      </c>
      <c r="I1004" s="65">
        <v>1150.1999999999107</v>
      </c>
      <c r="J1004" s="707">
        <v>31969</v>
      </c>
    </row>
    <row r="1005" spans="2:10" ht="15">
      <c r="B1005" s="706">
        <v>31877</v>
      </c>
      <c r="C1005" s="706">
        <v>1150.0999999999108</v>
      </c>
      <c r="D1005" s="707">
        <v>31969</v>
      </c>
      <c r="E1005" s="707">
        <v>1150.1999999999107</v>
      </c>
      <c r="G1005" s="65">
        <v>1150.1999999999107</v>
      </c>
      <c r="H1005" s="707">
        <v>31969</v>
      </c>
      <c r="I1005" s="65">
        <v>1150.2999999999106</v>
      </c>
      <c r="J1005" s="707">
        <v>32061</v>
      </c>
    </row>
    <row r="1006" spans="2:10" ht="15">
      <c r="B1006" s="706">
        <v>31969</v>
      </c>
      <c r="C1006" s="706">
        <v>1150.1999999999107</v>
      </c>
      <c r="D1006" s="707">
        <v>32061</v>
      </c>
      <c r="E1006" s="707">
        <v>1150.2999999999106</v>
      </c>
      <c r="G1006" s="65">
        <v>1150.2999999999106</v>
      </c>
      <c r="H1006" s="707">
        <v>32061</v>
      </c>
      <c r="I1006" s="65">
        <v>1150.3999999999105</v>
      </c>
      <c r="J1006" s="707">
        <v>32153</v>
      </c>
    </row>
    <row r="1007" spans="2:10" ht="15">
      <c r="B1007" s="706">
        <v>32061</v>
      </c>
      <c r="C1007" s="706">
        <v>1150.2999999999106</v>
      </c>
      <c r="D1007" s="707">
        <v>32153</v>
      </c>
      <c r="E1007" s="707">
        <v>1150.3999999999105</v>
      </c>
      <c r="G1007" s="65">
        <v>1150.3999999999105</v>
      </c>
      <c r="H1007" s="707">
        <v>32153</v>
      </c>
      <c r="I1007" s="65">
        <v>1150.4999999999104</v>
      </c>
      <c r="J1007" s="707">
        <v>32245</v>
      </c>
    </row>
    <row r="1008" spans="2:10" ht="15">
      <c r="B1008" s="706">
        <v>32153</v>
      </c>
      <c r="C1008" s="706">
        <v>1150.3999999999105</v>
      </c>
      <c r="D1008" s="707">
        <v>32245</v>
      </c>
      <c r="E1008" s="707">
        <v>1150.4999999999104</v>
      </c>
      <c r="G1008" s="65">
        <v>1150.4999999999104</v>
      </c>
      <c r="H1008" s="707">
        <v>32245</v>
      </c>
      <c r="I1008" s="65">
        <v>1150.5999999999103</v>
      </c>
      <c r="J1008" s="707">
        <v>32336</v>
      </c>
    </row>
    <row r="1009" spans="2:10" ht="15">
      <c r="B1009" s="706">
        <v>32245</v>
      </c>
      <c r="C1009" s="706">
        <v>1150.4999999999104</v>
      </c>
      <c r="D1009" s="707">
        <v>32336</v>
      </c>
      <c r="E1009" s="707">
        <v>1150.5999999999103</v>
      </c>
      <c r="G1009" s="65">
        <v>1150.5999999999103</v>
      </c>
      <c r="H1009" s="707">
        <v>32336</v>
      </c>
      <c r="I1009" s="65">
        <v>1150.6999999999102</v>
      </c>
      <c r="J1009" s="707">
        <v>32428</v>
      </c>
    </row>
    <row r="1010" spans="2:10" ht="15">
      <c r="B1010" s="706">
        <v>32336</v>
      </c>
      <c r="C1010" s="706">
        <v>1150.5999999999103</v>
      </c>
      <c r="D1010" s="707">
        <v>32428</v>
      </c>
      <c r="E1010" s="707">
        <v>1150.6999999999102</v>
      </c>
      <c r="G1010" s="65">
        <v>1150.6999999999102</v>
      </c>
      <c r="H1010" s="707">
        <v>32428</v>
      </c>
      <c r="I1010" s="65">
        <v>1150.7999999999101</v>
      </c>
      <c r="J1010" s="707">
        <v>32520</v>
      </c>
    </row>
    <row r="1011" spans="2:10" ht="15">
      <c r="B1011" s="706">
        <v>32428</v>
      </c>
      <c r="C1011" s="706">
        <v>1150.6999999999102</v>
      </c>
      <c r="D1011" s="707">
        <v>32520</v>
      </c>
      <c r="E1011" s="707">
        <v>1150.7999999999101</v>
      </c>
      <c r="G1011" s="65">
        <v>1150.7999999999101</v>
      </c>
      <c r="H1011" s="707">
        <v>32520</v>
      </c>
      <c r="I1011" s="65">
        <v>1150.8999999999101</v>
      </c>
      <c r="J1011" s="707">
        <v>32612</v>
      </c>
    </row>
    <row r="1012" spans="2:10" ht="15">
      <c r="B1012" s="706">
        <v>32520</v>
      </c>
      <c r="C1012" s="706">
        <v>1150.7999999999101</v>
      </c>
      <c r="D1012" s="707">
        <v>32612</v>
      </c>
      <c r="E1012" s="707">
        <v>1150.8999999999101</v>
      </c>
      <c r="G1012" s="65">
        <v>1150.8999999999101</v>
      </c>
      <c r="H1012" s="707">
        <v>32612</v>
      </c>
      <c r="I1012" s="65">
        <v>1150.99999999991</v>
      </c>
      <c r="J1012" s="707">
        <v>32704</v>
      </c>
    </row>
    <row r="1013" spans="2:10" ht="15">
      <c r="B1013" s="706">
        <v>32612</v>
      </c>
      <c r="C1013" s="706">
        <v>1150.8999999999101</v>
      </c>
      <c r="D1013" s="707">
        <v>32704</v>
      </c>
      <c r="E1013" s="707">
        <v>1150.99999999991</v>
      </c>
      <c r="G1013" s="65">
        <v>1150.99999999991</v>
      </c>
      <c r="H1013" s="707">
        <v>32704</v>
      </c>
      <c r="I1013" s="65">
        <v>1151.0999999999099</v>
      </c>
      <c r="J1013" s="707">
        <v>32797</v>
      </c>
    </row>
    <row r="1014" spans="2:10" ht="15">
      <c r="B1014" s="706">
        <v>32704</v>
      </c>
      <c r="C1014" s="706">
        <v>1150.99999999991</v>
      </c>
      <c r="D1014" s="707">
        <v>32797</v>
      </c>
      <c r="E1014" s="707">
        <v>1151.0999999999099</v>
      </c>
      <c r="G1014" s="65">
        <v>1151.0999999999099</v>
      </c>
      <c r="H1014" s="707">
        <v>32797</v>
      </c>
      <c r="I1014" s="65">
        <v>1151.1999999999098</v>
      </c>
      <c r="J1014" s="707">
        <v>32891</v>
      </c>
    </row>
    <row r="1015" spans="2:10" ht="15">
      <c r="B1015" s="706">
        <v>32797</v>
      </c>
      <c r="C1015" s="706">
        <v>1151.0999999999099</v>
      </c>
      <c r="D1015" s="707">
        <v>32891</v>
      </c>
      <c r="E1015" s="707">
        <v>1151.1999999999098</v>
      </c>
      <c r="G1015" s="65">
        <v>1151.1999999999098</v>
      </c>
      <c r="H1015" s="707">
        <v>32891</v>
      </c>
      <c r="I1015" s="65">
        <v>1151.2999999999097</v>
      </c>
      <c r="J1015" s="707">
        <v>32984</v>
      </c>
    </row>
    <row r="1016" spans="2:10" ht="15">
      <c r="B1016" s="706">
        <v>32891</v>
      </c>
      <c r="C1016" s="706">
        <v>1151.1999999999098</v>
      </c>
      <c r="D1016" s="707">
        <v>32984</v>
      </c>
      <c r="E1016" s="707">
        <v>1151.2999999999097</v>
      </c>
      <c r="G1016" s="65">
        <v>1151.2999999999097</v>
      </c>
      <c r="H1016" s="707">
        <v>32984</v>
      </c>
      <c r="I1016" s="65">
        <v>1151.3999999999096</v>
      </c>
      <c r="J1016" s="707">
        <v>33077</v>
      </c>
    </row>
    <row r="1017" spans="2:10" ht="15">
      <c r="B1017" s="706">
        <v>32984</v>
      </c>
      <c r="C1017" s="706">
        <v>1151.2999999999097</v>
      </c>
      <c r="D1017" s="707">
        <v>33077</v>
      </c>
      <c r="E1017" s="707">
        <v>1151.3999999999096</v>
      </c>
      <c r="G1017" s="65">
        <v>1151.3999999999096</v>
      </c>
      <c r="H1017" s="707">
        <v>33077</v>
      </c>
      <c r="I1017" s="65">
        <v>1151.4999999999095</v>
      </c>
      <c r="J1017" s="707">
        <v>33171</v>
      </c>
    </row>
    <row r="1018" spans="2:10" ht="15">
      <c r="B1018" s="706">
        <v>33077</v>
      </c>
      <c r="C1018" s="706">
        <v>1151.3999999999096</v>
      </c>
      <c r="D1018" s="707">
        <v>33171</v>
      </c>
      <c r="E1018" s="707">
        <v>1151.4999999999095</v>
      </c>
      <c r="G1018" s="65">
        <v>1151.4999999999095</v>
      </c>
      <c r="H1018" s="707">
        <v>33171</v>
      </c>
      <c r="I1018" s="65">
        <v>1151.5999999999094</v>
      </c>
      <c r="J1018" s="707">
        <v>33264</v>
      </c>
    </row>
    <row r="1019" spans="2:10" ht="15">
      <c r="B1019" s="706">
        <v>33171</v>
      </c>
      <c r="C1019" s="706">
        <v>1151.4999999999095</v>
      </c>
      <c r="D1019" s="707">
        <v>33264</v>
      </c>
      <c r="E1019" s="707">
        <v>1151.5999999999094</v>
      </c>
      <c r="G1019" s="65">
        <v>1151.5999999999094</v>
      </c>
      <c r="H1019" s="707">
        <v>33264</v>
      </c>
      <c r="I1019" s="65">
        <v>1151.6999999999093</v>
      </c>
      <c r="J1019" s="707">
        <v>33357</v>
      </c>
    </row>
    <row r="1020" spans="2:10" ht="15">
      <c r="B1020" s="706">
        <v>33264</v>
      </c>
      <c r="C1020" s="706">
        <v>1151.5999999999094</v>
      </c>
      <c r="D1020" s="707">
        <v>33357</v>
      </c>
      <c r="E1020" s="707">
        <v>1151.6999999999093</v>
      </c>
      <c r="G1020" s="65">
        <v>1151.6999999999093</v>
      </c>
      <c r="H1020" s="707">
        <v>33357</v>
      </c>
      <c r="I1020" s="65">
        <v>1151.7999999999092</v>
      </c>
      <c r="J1020" s="707">
        <v>33450</v>
      </c>
    </row>
    <row r="1021" spans="2:10" ht="15">
      <c r="B1021" s="706">
        <v>33357</v>
      </c>
      <c r="C1021" s="706">
        <v>1151.6999999999093</v>
      </c>
      <c r="D1021" s="707">
        <v>33450</v>
      </c>
      <c r="E1021" s="707">
        <v>1151.7999999999092</v>
      </c>
      <c r="G1021" s="65">
        <v>1151.7999999999092</v>
      </c>
      <c r="H1021" s="707">
        <v>33450</v>
      </c>
      <c r="I1021" s="65">
        <v>1151.8999999999091</v>
      </c>
      <c r="J1021" s="707">
        <v>33544</v>
      </c>
    </row>
    <row r="1022" spans="2:10" ht="15">
      <c r="B1022" s="706">
        <v>33450</v>
      </c>
      <c r="C1022" s="706">
        <v>1151.7999999999092</v>
      </c>
      <c r="D1022" s="707">
        <v>33544</v>
      </c>
      <c r="E1022" s="707">
        <v>1151.8999999999091</v>
      </c>
      <c r="G1022" s="65">
        <v>1151.8999999999091</v>
      </c>
      <c r="H1022" s="707">
        <v>33544</v>
      </c>
      <c r="I1022" s="65">
        <v>1151.9999999999091</v>
      </c>
      <c r="J1022" s="707">
        <v>33637</v>
      </c>
    </row>
    <row r="1023" spans="2:10" ht="15">
      <c r="B1023" s="706">
        <v>33544</v>
      </c>
      <c r="C1023" s="706">
        <v>1151.8999999999091</v>
      </c>
      <c r="D1023" s="707">
        <v>33637</v>
      </c>
      <c r="E1023" s="707">
        <v>1151.9999999999091</v>
      </c>
      <c r="G1023" s="65">
        <v>1151.9999999999091</v>
      </c>
      <c r="H1023" s="707">
        <v>33637</v>
      </c>
      <c r="I1023" s="65">
        <v>1152.099999999909</v>
      </c>
      <c r="J1023" s="707">
        <v>33732</v>
      </c>
    </row>
    <row r="1024" spans="2:10" ht="15">
      <c r="B1024" s="706">
        <v>33637</v>
      </c>
      <c r="C1024" s="706">
        <v>1151.9999999999091</v>
      </c>
      <c r="D1024" s="707">
        <v>33732</v>
      </c>
      <c r="E1024" s="707">
        <v>1152.099999999909</v>
      </c>
      <c r="G1024" s="65">
        <v>1152.099999999909</v>
      </c>
      <c r="H1024" s="707">
        <v>33732</v>
      </c>
      <c r="I1024" s="65">
        <v>1152.1999999999089</v>
      </c>
      <c r="J1024" s="707">
        <v>33826</v>
      </c>
    </row>
    <row r="1025" spans="2:10" ht="15">
      <c r="B1025" s="706">
        <v>33732</v>
      </c>
      <c r="C1025" s="706">
        <v>1152.099999999909</v>
      </c>
      <c r="D1025" s="707">
        <v>33826</v>
      </c>
      <c r="E1025" s="707">
        <v>1152.1999999999089</v>
      </c>
      <c r="G1025" s="65">
        <v>1152.1999999999089</v>
      </c>
      <c r="H1025" s="707">
        <v>33826</v>
      </c>
      <c r="I1025" s="65">
        <v>1152.2999999999088</v>
      </c>
      <c r="J1025" s="707">
        <v>33921</v>
      </c>
    </row>
    <row r="1026" spans="2:10" ht="15">
      <c r="B1026" s="706">
        <v>33826</v>
      </c>
      <c r="C1026" s="706">
        <v>1152.1999999999089</v>
      </c>
      <c r="D1026" s="707">
        <v>33921</v>
      </c>
      <c r="E1026" s="707">
        <v>1152.2999999999088</v>
      </c>
      <c r="G1026" s="65">
        <v>1152.2999999999088</v>
      </c>
      <c r="H1026" s="707">
        <v>33921</v>
      </c>
      <c r="I1026" s="65">
        <v>1152.3999999999087</v>
      </c>
      <c r="J1026" s="707">
        <v>34015</v>
      </c>
    </row>
    <row r="1027" spans="2:10" ht="15">
      <c r="B1027" s="706">
        <v>33921</v>
      </c>
      <c r="C1027" s="706">
        <v>1152.2999999999088</v>
      </c>
      <c r="D1027" s="707">
        <v>34015</v>
      </c>
      <c r="E1027" s="707">
        <v>1152.3999999999087</v>
      </c>
      <c r="G1027" s="65">
        <v>1152.3999999999087</v>
      </c>
      <c r="H1027" s="707">
        <v>34015</v>
      </c>
      <c r="I1027" s="65">
        <v>1152.4999999999086</v>
      </c>
      <c r="J1027" s="707">
        <v>34110</v>
      </c>
    </row>
    <row r="1028" spans="2:10" ht="15">
      <c r="B1028" s="706">
        <v>34015</v>
      </c>
      <c r="C1028" s="706">
        <v>1152.3999999999087</v>
      </c>
      <c r="D1028" s="707">
        <v>34110</v>
      </c>
      <c r="E1028" s="707">
        <v>1152.4999999999086</v>
      </c>
      <c r="G1028" s="65">
        <v>1152.4999999999086</v>
      </c>
      <c r="H1028" s="707">
        <v>34110</v>
      </c>
      <c r="I1028" s="65">
        <v>1152.5999999999085</v>
      </c>
      <c r="J1028" s="707">
        <v>34205</v>
      </c>
    </row>
    <row r="1029" spans="2:10" ht="15">
      <c r="B1029" s="706">
        <v>34110</v>
      </c>
      <c r="C1029" s="706">
        <v>1152.4999999999086</v>
      </c>
      <c r="D1029" s="707">
        <v>34205</v>
      </c>
      <c r="E1029" s="707">
        <v>1152.5999999999085</v>
      </c>
      <c r="G1029" s="65">
        <v>1152.5999999999085</v>
      </c>
      <c r="H1029" s="707">
        <v>34205</v>
      </c>
      <c r="I1029" s="65">
        <v>1152.6999999999084</v>
      </c>
      <c r="J1029" s="707">
        <v>34299</v>
      </c>
    </row>
    <row r="1030" spans="2:10" ht="15">
      <c r="B1030" s="706">
        <v>34205</v>
      </c>
      <c r="C1030" s="706">
        <v>1152.5999999999085</v>
      </c>
      <c r="D1030" s="707">
        <v>34299</v>
      </c>
      <c r="E1030" s="707">
        <v>1152.6999999999084</v>
      </c>
      <c r="G1030" s="65">
        <v>1152.6999999999084</v>
      </c>
      <c r="H1030" s="707">
        <v>34299</v>
      </c>
      <c r="I1030" s="65">
        <v>1152.7999999999083</v>
      </c>
      <c r="J1030" s="707">
        <v>34394</v>
      </c>
    </row>
    <row r="1031" spans="2:10" ht="15">
      <c r="B1031" s="706">
        <v>34299</v>
      </c>
      <c r="C1031" s="706">
        <v>1152.6999999999084</v>
      </c>
      <c r="D1031" s="707">
        <v>34394</v>
      </c>
      <c r="E1031" s="707">
        <v>1152.7999999999083</v>
      </c>
      <c r="G1031" s="65">
        <v>1152.7999999999083</v>
      </c>
      <c r="H1031" s="707">
        <v>34394</v>
      </c>
      <c r="I1031" s="65">
        <v>1152.8999999999082</v>
      </c>
      <c r="J1031" s="707">
        <v>34488</v>
      </c>
    </row>
    <row r="1032" spans="2:10" ht="15">
      <c r="B1032" s="706">
        <v>34394</v>
      </c>
      <c r="C1032" s="706">
        <v>1152.7999999999083</v>
      </c>
      <c r="D1032" s="707">
        <v>34488</v>
      </c>
      <c r="E1032" s="707">
        <v>1152.8999999999082</v>
      </c>
      <c r="G1032" s="65">
        <v>1152.8999999999082</v>
      </c>
      <c r="H1032" s="707">
        <v>34488</v>
      </c>
      <c r="I1032" s="65">
        <v>1152.9999999999081</v>
      </c>
      <c r="J1032" s="707">
        <v>34583</v>
      </c>
    </row>
    <row r="1033" spans="2:10" ht="15">
      <c r="B1033" s="706">
        <v>34488</v>
      </c>
      <c r="C1033" s="706">
        <v>1152.8999999999082</v>
      </c>
      <c r="D1033" s="707">
        <v>34583</v>
      </c>
      <c r="E1033" s="707">
        <v>1152.9999999999081</v>
      </c>
      <c r="G1033" s="65">
        <v>1152.9999999999081</v>
      </c>
      <c r="H1033" s="707">
        <v>34583</v>
      </c>
      <c r="I1033" s="65">
        <v>1153.0999999999081</v>
      </c>
      <c r="J1033" s="707">
        <v>34679</v>
      </c>
    </row>
    <row r="1034" spans="2:10" ht="15">
      <c r="B1034" s="706">
        <v>34583</v>
      </c>
      <c r="C1034" s="706">
        <v>1152.9999999999081</v>
      </c>
      <c r="D1034" s="707">
        <v>34679</v>
      </c>
      <c r="E1034" s="707">
        <v>1153.0999999999081</v>
      </c>
      <c r="G1034" s="65">
        <v>1153.0999999999081</v>
      </c>
      <c r="H1034" s="707">
        <v>34679</v>
      </c>
      <c r="I1034" s="65">
        <v>1153.199999999908</v>
      </c>
      <c r="J1034" s="707">
        <v>34775</v>
      </c>
    </row>
    <row r="1035" spans="2:10" ht="15">
      <c r="B1035" s="706">
        <v>34679</v>
      </c>
      <c r="C1035" s="706">
        <v>1153.0999999999081</v>
      </c>
      <c r="D1035" s="707">
        <v>34775</v>
      </c>
      <c r="E1035" s="707">
        <v>1153.199999999908</v>
      </c>
      <c r="G1035" s="65">
        <v>1153.199999999908</v>
      </c>
      <c r="H1035" s="707">
        <v>34775</v>
      </c>
      <c r="I1035" s="65">
        <v>1153.2999999999079</v>
      </c>
      <c r="J1035" s="707">
        <v>34871</v>
      </c>
    </row>
    <row r="1036" spans="2:10" ht="15">
      <c r="B1036" s="706">
        <v>34775</v>
      </c>
      <c r="C1036" s="706">
        <v>1153.199999999908</v>
      </c>
      <c r="D1036" s="707">
        <v>34871</v>
      </c>
      <c r="E1036" s="707">
        <v>1153.2999999999079</v>
      </c>
      <c r="G1036" s="65">
        <v>1153.2999999999079</v>
      </c>
      <c r="H1036" s="707">
        <v>34871</v>
      </c>
      <c r="I1036" s="65">
        <v>1153.3999999999078</v>
      </c>
      <c r="J1036" s="707">
        <v>34967</v>
      </c>
    </row>
    <row r="1037" spans="2:10" ht="15">
      <c r="B1037" s="706">
        <v>34871</v>
      </c>
      <c r="C1037" s="706">
        <v>1153.2999999999079</v>
      </c>
      <c r="D1037" s="707">
        <v>34967</v>
      </c>
      <c r="E1037" s="707">
        <v>1153.3999999999078</v>
      </c>
      <c r="G1037" s="65">
        <v>1153.3999999999078</v>
      </c>
      <c r="H1037" s="707">
        <v>34967</v>
      </c>
      <c r="I1037" s="65">
        <v>1153.4999999999077</v>
      </c>
      <c r="J1037" s="707">
        <v>35064</v>
      </c>
    </row>
    <row r="1038" spans="2:10" ht="15">
      <c r="B1038" s="706">
        <v>34967</v>
      </c>
      <c r="C1038" s="706">
        <v>1153.3999999999078</v>
      </c>
      <c r="D1038" s="707">
        <v>35064</v>
      </c>
      <c r="E1038" s="707">
        <v>1153.4999999999077</v>
      </c>
      <c r="G1038" s="65">
        <v>1153.4999999999077</v>
      </c>
      <c r="H1038" s="707">
        <v>35064</v>
      </c>
      <c r="I1038" s="65">
        <v>1153.5999999999076</v>
      </c>
      <c r="J1038" s="707">
        <v>35160</v>
      </c>
    </row>
    <row r="1039" spans="2:10" ht="15">
      <c r="B1039" s="706">
        <v>35064</v>
      </c>
      <c r="C1039" s="706">
        <v>1153.4999999999077</v>
      </c>
      <c r="D1039" s="707">
        <v>35160</v>
      </c>
      <c r="E1039" s="707">
        <v>1153.5999999999076</v>
      </c>
      <c r="G1039" s="65">
        <v>1153.5999999999076</v>
      </c>
      <c r="H1039" s="707">
        <v>35160</v>
      </c>
      <c r="I1039" s="65">
        <v>1153.6999999999075</v>
      </c>
      <c r="J1039" s="707">
        <v>35256</v>
      </c>
    </row>
    <row r="1040" spans="2:10" ht="15">
      <c r="B1040" s="706">
        <v>35160</v>
      </c>
      <c r="C1040" s="706">
        <v>1153.5999999999076</v>
      </c>
      <c r="D1040" s="707">
        <v>35256</v>
      </c>
      <c r="E1040" s="707">
        <v>1153.6999999999075</v>
      </c>
      <c r="G1040" s="65">
        <v>1153.6999999999075</v>
      </c>
      <c r="H1040" s="707">
        <v>35256</v>
      </c>
      <c r="I1040" s="65">
        <v>1153.7999999999074</v>
      </c>
      <c r="J1040" s="707">
        <v>35352</v>
      </c>
    </row>
    <row r="1041" spans="2:10" ht="15">
      <c r="B1041" s="706">
        <v>35256</v>
      </c>
      <c r="C1041" s="706">
        <v>1153.6999999999075</v>
      </c>
      <c r="D1041" s="707">
        <v>35352</v>
      </c>
      <c r="E1041" s="707">
        <v>1153.7999999999074</v>
      </c>
      <c r="G1041" s="65">
        <v>1153.7999999999074</v>
      </c>
      <c r="H1041" s="707">
        <v>35352</v>
      </c>
      <c r="I1041" s="65">
        <v>1153.8999999999073</v>
      </c>
      <c r="J1041" s="707">
        <v>35448</v>
      </c>
    </row>
    <row r="1042" spans="2:10" ht="15">
      <c r="B1042" s="706">
        <v>35352</v>
      </c>
      <c r="C1042" s="706">
        <v>1153.7999999999074</v>
      </c>
      <c r="D1042" s="707">
        <v>35448</v>
      </c>
      <c r="E1042" s="707">
        <v>1153.8999999999073</v>
      </c>
      <c r="G1042" s="65">
        <v>1153.8999999999073</v>
      </c>
      <c r="H1042" s="707">
        <v>35448</v>
      </c>
      <c r="I1042" s="65">
        <v>1153.9999999999072</v>
      </c>
      <c r="J1042" s="707">
        <v>35544</v>
      </c>
    </row>
    <row r="1043" spans="2:10" ht="15">
      <c r="B1043" s="706">
        <v>35448</v>
      </c>
      <c r="C1043" s="706">
        <v>1153.8999999999073</v>
      </c>
      <c r="D1043" s="707">
        <v>35544</v>
      </c>
      <c r="E1043" s="707">
        <v>1153.9999999999072</v>
      </c>
      <c r="G1043" s="65">
        <v>1153.9999999999072</v>
      </c>
      <c r="H1043" s="707">
        <v>35544</v>
      </c>
      <c r="I1043" s="65">
        <v>1154.0999999999071</v>
      </c>
      <c r="J1043" s="707">
        <v>35642</v>
      </c>
    </row>
    <row r="1044" spans="2:10" ht="15">
      <c r="B1044" s="706">
        <v>35544</v>
      </c>
      <c r="C1044" s="706">
        <v>1153.9999999999072</v>
      </c>
      <c r="D1044" s="707">
        <v>35642</v>
      </c>
      <c r="E1044" s="707">
        <v>1154.0999999999071</v>
      </c>
      <c r="G1044" s="65">
        <v>1154.0999999999071</v>
      </c>
      <c r="H1044" s="707">
        <v>35642</v>
      </c>
      <c r="I1044" s="65">
        <v>1154.199999999907</v>
      </c>
      <c r="J1044" s="707">
        <v>35739</v>
      </c>
    </row>
    <row r="1045" spans="2:10" ht="15">
      <c r="B1045" s="706">
        <v>35642</v>
      </c>
      <c r="C1045" s="706">
        <v>1154.0999999999071</v>
      </c>
      <c r="D1045" s="707">
        <v>35739</v>
      </c>
      <c r="E1045" s="707">
        <v>1154.199999999907</v>
      </c>
      <c r="G1045" s="65">
        <v>1154.199999999907</v>
      </c>
      <c r="H1045" s="707">
        <v>35739</v>
      </c>
      <c r="I1045" s="65">
        <v>1154.299999999907</v>
      </c>
      <c r="J1045" s="707">
        <v>35837</v>
      </c>
    </row>
    <row r="1046" spans="2:10" ht="15">
      <c r="B1046" s="706">
        <v>35739</v>
      </c>
      <c r="C1046" s="706">
        <v>1154.199999999907</v>
      </c>
      <c r="D1046" s="707">
        <v>35837</v>
      </c>
      <c r="E1046" s="707">
        <v>1154.299999999907</v>
      </c>
      <c r="G1046" s="65">
        <v>1154.299999999907</v>
      </c>
      <c r="H1046" s="707">
        <v>35837</v>
      </c>
      <c r="I1046" s="65">
        <v>1154.3999999999069</v>
      </c>
      <c r="J1046" s="707">
        <v>35934</v>
      </c>
    </row>
    <row r="1047" spans="2:10" ht="15">
      <c r="B1047" s="706">
        <v>35837</v>
      </c>
      <c r="C1047" s="706">
        <v>1154.299999999907</v>
      </c>
      <c r="D1047" s="707">
        <v>35934</v>
      </c>
      <c r="E1047" s="707">
        <v>1154.3999999999069</v>
      </c>
      <c r="G1047" s="65">
        <v>1154.3999999999069</v>
      </c>
      <c r="H1047" s="707">
        <v>35934</v>
      </c>
      <c r="I1047" s="65">
        <v>1154.4999999999068</v>
      </c>
      <c r="J1047" s="707">
        <v>36032</v>
      </c>
    </row>
    <row r="1048" spans="2:10" ht="15">
      <c r="B1048" s="706">
        <v>35934</v>
      </c>
      <c r="C1048" s="706">
        <v>1154.3999999999069</v>
      </c>
      <c r="D1048" s="707">
        <v>36032</v>
      </c>
      <c r="E1048" s="707">
        <v>1154.4999999999068</v>
      </c>
      <c r="G1048" s="65">
        <v>1154.4999999999068</v>
      </c>
      <c r="H1048" s="707">
        <v>36032</v>
      </c>
      <c r="I1048" s="65">
        <v>1154.5999999999067</v>
      </c>
      <c r="J1048" s="707">
        <v>36129</v>
      </c>
    </row>
    <row r="1049" spans="2:10" ht="15">
      <c r="B1049" s="706">
        <v>36032</v>
      </c>
      <c r="C1049" s="706">
        <v>1154.4999999999068</v>
      </c>
      <c r="D1049" s="707">
        <v>36129</v>
      </c>
      <c r="E1049" s="707">
        <v>1154.5999999999067</v>
      </c>
      <c r="G1049" s="65">
        <v>1154.5999999999067</v>
      </c>
      <c r="H1049" s="707">
        <v>36129</v>
      </c>
      <c r="I1049" s="65">
        <v>1154.6999999999066</v>
      </c>
      <c r="J1049" s="707">
        <v>36227</v>
      </c>
    </row>
    <row r="1050" spans="2:10" ht="15">
      <c r="B1050" s="706">
        <v>36129</v>
      </c>
      <c r="C1050" s="706">
        <v>1154.5999999999067</v>
      </c>
      <c r="D1050" s="707">
        <v>36227</v>
      </c>
      <c r="E1050" s="707">
        <v>1154.6999999999066</v>
      </c>
      <c r="G1050" s="65">
        <v>1154.6999999999066</v>
      </c>
      <c r="H1050" s="707">
        <v>36227</v>
      </c>
      <c r="I1050" s="65">
        <v>1154.7999999999065</v>
      </c>
      <c r="J1050" s="707">
        <v>36324</v>
      </c>
    </row>
    <row r="1051" spans="2:10" ht="15">
      <c r="B1051" s="706">
        <v>36227</v>
      </c>
      <c r="C1051" s="706">
        <v>1154.6999999999066</v>
      </c>
      <c r="D1051" s="707">
        <v>36324</v>
      </c>
      <c r="E1051" s="707">
        <v>1154.7999999999065</v>
      </c>
      <c r="G1051" s="65">
        <v>1154.7999999999065</v>
      </c>
      <c r="H1051" s="707">
        <v>36324</v>
      </c>
      <c r="I1051" s="65">
        <v>1154.8999999999064</v>
      </c>
      <c r="J1051" s="707">
        <v>36422</v>
      </c>
    </row>
    <row r="1052" spans="2:10" ht="15">
      <c r="B1052" s="706">
        <v>36324</v>
      </c>
      <c r="C1052" s="706">
        <v>1154.7999999999065</v>
      </c>
      <c r="D1052" s="707">
        <v>36422</v>
      </c>
      <c r="E1052" s="707">
        <v>1154.8999999999064</v>
      </c>
      <c r="G1052" s="65">
        <v>1154.8999999999064</v>
      </c>
      <c r="H1052" s="707">
        <v>36422</v>
      </c>
      <c r="I1052" s="65">
        <v>1154.9999999999063</v>
      </c>
      <c r="J1052" s="707">
        <v>36519</v>
      </c>
    </row>
    <row r="1053" spans="2:10" ht="15">
      <c r="B1053" s="706">
        <v>36422</v>
      </c>
      <c r="C1053" s="706">
        <v>1154.8999999999064</v>
      </c>
      <c r="D1053" s="707">
        <v>36519</v>
      </c>
      <c r="E1053" s="707">
        <v>1154.9999999999063</v>
      </c>
      <c r="G1053" s="65">
        <v>1154.9999999999063</v>
      </c>
      <c r="H1053" s="707">
        <v>36519</v>
      </c>
      <c r="I1053" s="65">
        <v>1155.0999999999062</v>
      </c>
      <c r="J1053" s="707">
        <v>36618</v>
      </c>
    </row>
    <row r="1054" spans="2:10" ht="15">
      <c r="B1054" s="706">
        <v>36519</v>
      </c>
      <c r="C1054" s="706">
        <v>1154.9999999999063</v>
      </c>
      <c r="D1054" s="707">
        <v>36618</v>
      </c>
      <c r="E1054" s="707">
        <v>1155.0999999999062</v>
      </c>
      <c r="G1054" s="65">
        <v>1155.0999999999062</v>
      </c>
      <c r="H1054" s="707">
        <v>36618</v>
      </c>
      <c r="I1054" s="65">
        <v>1155.1999999999061</v>
      </c>
      <c r="J1054" s="707">
        <v>36717</v>
      </c>
    </row>
    <row r="1055" spans="2:10" ht="15">
      <c r="B1055" s="706">
        <v>36618</v>
      </c>
      <c r="C1055" s="706">
        <v>1155.0999999999062</v>
      </c>
      <c r="D1055" s="707">
        <v>36717</v>
      </c>
      <c r="E1055" s="707">
        <v>1155.1999999999061</v>
      </c>
      <c r="G1055" s="65">
        <v>1155.1999999999061</v>
      </c>
      <c r="H1055" s="707">
        <v>36717</v>
      </c>
      <c r="I1055" s="65">
        <v>1155.299999999906</v>
      </c>
      <c r="J1055" s="707">
        <v>36816</v>
      </c>
    </row>
    <row r="1056" spans="2:10" ht="15">
      <c r="B1056" s="706">
        <v>36717</v>
      </c>
      <c r="C1056" s="706">
        <v>1155.1999999999061</v>
      </c>
      <c r="D1056" s="707">
        <v>36816</v>
      </c>
      <c r="E1056" s="707">
        <v>1155.299999999906</v>
      </c>
      <c r="G1056" s="65">
        <v>1155.299999999906</v>
      </c>
      <c r="H1056" s="707">
        <v>36816</v>
      </c>
      <c r="I1056" s="65">
        <v>1155.399999999906</v>
      </c>
      <c r="J1056" s="707">
        <v>36915</v>
      </c>
    </row>
    <row r="1057" spans="2:10" ht="15">
      <c r="B1057" s="706">
        <v>36816</v>
      </c>
      <c r="C1057" s="706">
        <v>1155.299999999906</v>
      </c>
      <c r="D1057" s="707">
        <v>36915</v>
      </c>
      <c r="E1057" s="707">
        <v>1155.399999999906</v>
      </c>
      <c r="G1057" s="65">
        <v>1155.399999999906</v>
      </c>
      <c r="H1057" s="707">
        <v>36915</v>
      </c>
      <c r="I1057" s="65">
        <v>1155.4999999999059</v>
      </c>
      <c r="J1057" s="707">
        <v>37014</v>
      </c>
    </row>
    <row r="1058" spans="2:10" ht="15">
      <c r="B1058" s="706">
        <v>36915</v>
      </c>
      <c r="C1058" s="706">
        <v>1155.399999999906</v>
      </c>
      <c r="D1058" s="707">
        <v>37014</v>
      </c>
      <c r="E1058" s="707">
        <v>1155.4999999999059</v>
      </c>
      <c r="G1058" s="65">
        <v>1155.4999999999059</v>
      </c>
      <c r="H1058" s="707">
        <v>37014</v>
      </c>
      <c r="I1058" s="65">
        <v>1155.5999999999058</v>
      </c>
      <c r="J1058" s="707">
        <v>37112</v>
      </c>
    </row>
    <row r="1059" spans="2:10" ht="15">
      <c r="B1059" s="706">
        <v>37014</v>
      </c>
      <c r="C1059" s="706">
        <v>1155.4999999999059</v>
      </c>
      <c r="D1059" s="707">
        <v>37112</v>
      </c>
      <c r="E1059" s="707">
        <v>1155.5999999999058</v>
      </c>
      <c r="G1059" s="65">
        <v>1155.5999999999058</v>
      </c>
      <c r="H1059" s="707">
        <v>37112</v>
      </c>
      <c r="I1059" s="65">
        <v>1155.6999999999057</v>
      </c>
      <c r="J1059" s="707">
        <v>37211</v>
      </c>
    </row>
    <row r="1060" spans="2:10" ht="15">
      <c r="B1060" s="706">
        <v>37112</v>
      </c>
      <c r="C1060" s="706">
        <v>1155.5999999999058</v>
      </c>
      <c r="D1060" s="707">
        <v>37211</v>
      </c>
      <c r="E1060" s="707">
        <v>1155.6999999999057</v>
      </c>
      <c r="G1060" s="65">
        <v>1155.6999999999057</v>
      </c>
      <c r="H1060" s="707">
        <v>37211</v>
      </c>
      <c r="I1060" s="65">
        <v>1155.7999999999056</v>
      </c>
      <c r="J1060" s="707">
        <v>37310</v>
      </c>
    </row>
    <row r="1061" spans="2:10" ht="15">
      <c r="B1061" s="706">
        <v>37211</v>
      </c>
      <c r="C1061" s="706">
        <v>1155.6999999999057</v>
      </c>
      <c r="D1061" s="707">
        <v>37310</v>
      </c>
      <c r="E1061" s="707">
        <v>1155.7999999999056</v>
      </c>
      <c r="G1061" s="65">
        <v>1155.7999999999056</v>
      </c>
      <c r="H1061" s="707">
        <v>37310</v>
      </c>
      <c r="I1061" s="65">
        <v>1155.8999999999055</v>
      </c>
      <c r="J1061" s="707">
        <v>37409</v>
      </c>
    </row>
    <row r="1062" spans="2:10" ht="15">
      <c r="B1062" s="706">
        <v>37310</v>
      </c>
      <c r="C1062" s="706">
        <v>1155.7999999999056</v>
      </c>
      <c r="D1062" s="707">
        <v>37409</v>
      </c>
      <c r="E1062" s="707">
        <v>1155.8999999999055</v>
      </c>
      <c r="G1062" s="65">
        <v>1155.8999999999055</v>
      </c>
      <c r="H1062" s="707">
        <v>37409</v>
      </c>
      <c r="I1062" s="65">
        <v>1155.9999999999054</v>
      </c>
      <c r="J1062" s="707">
        <v>37508</v>
      </c>
    </row>
    <row r="1063" spans="2:10" ht="15">
      <c r="B1063" s="706">
        <v>37409</v>
      </c>
      <c r="C1063" s="706">
        <v>1155.8999999999055</v>
      </c>
      <c r="D1063" s="707">
        <v>37508</v>
      </c>
      <c r="E1063" s="707">
        <v>1155.9999999999054</v>
      </c>
      <c r="G1063" s="65">
        <v>1155.9999999999054</v>
      </c>
      <c r="H1063" s="707">
        <v>37508</v>
      </c>
      <c r="I1063" s="65">
        <v>1156.0999999999053</v>
      </c>
      <c r="J1063" s="707">
        <v>37608</v>
      </c>
    </row>
    <row r="1064" spans="2:10" ht="15">
      <c r="B1064" s="706">
        <v>37508</v>
      </c>
      <c r="C1064" s="706">
        <v>1155.9999999999054</v>
      </c>
      <c r="D1064" s="707">
        <v>37608</v>
      </c>
      <c r="E1064" s="707">
        <v>1156.0999999999053</v>
      </c>
      <c r="G1064" s="65">
        <v>1156.0999999999053</v>
      </c>
      <c r="H1064" s="707">
        <v>37608</v>
      </c>
      <c r="I1064" s="65">
        <v>1156.1999999999052</v>
      </c>
      <c r="J1064" s="707">
        <v>37709</v>
      </c>
    </row>
    <row r="1065" spans="2:10" ht="15">
      <c r="B1065" s="706">
        <v>37608</v>
      </c>
      <c r="C1065" s="706">
        <v>1156.0999999999053</v>
      </c>
      <c r="D1065" s="707">
        <v>37709</v>
      </c>
      <c r="E1065" s="707">
        <v>1156.1999999999052</v>
      </c>
      <c r="G1065" s="65">
        <v>1156.1999999999052</v>
      </c>
      <c r="H1065" s="707">
        <v>37709</v>
      </c>
      <c r="I1065" s="65">
        <v>1156.2999999999051</v>
      </c>
      <c r="J1065" s="707">
        <v>37809</v>
      </c>
    </row>
    <row r="1066" spans="2:10" ht="15">
      <c r="B1066" s="706">
        <v>37709</v>
      </c>
      <c r="C1066" s="706">
        <v>1156.1999999999052</v>
      </c>
      <c r="D1066" s="707">
        <v>37809</v>
      </c>
      <c r="E1066" s="707">
        <v>1156.2999999999051</v>
      </c>
      <c r="G1066" s="65">
        <v>1156.2999999999051</v>
      </c>
      <c r="H1066" s="707">
        <v>37809</v>
      </c>
      <c r="I1066" s="65">
        <v>1156.399999999905</v>
      </c>
      <c r="J1066" s="707">
        <v>37909</v>
      </c>
    </row>
    <row r="1067" spans="2:10" ht="15">
      <c r="B1067" s="706">
        <v>37809</v>
      </c>
      <c r="C1067" s="706">
        <v>1156.2999999999051</v>
      </c>
      <c r="D1067" s="707">
        <v>37909</v>
      </c>
      <c r="E1067" s="707">
        <v>1156.399999999905</v>
      </c>
      <c r="G1067" s="65">
        <v>1156.399999999905</v>
      </c>
      <c r="H1067" s="707">
        <v>37909</v>
      </c>
      <c r="I1067" s="65">
        <v>1156.499999999905</v>
      </c>
      <c r="J1067" s="707">
        <v>38010</v>
      </c>
    </row>
    <row r="1068" spans="2:10" ht="15">
      <c r="B1068" s="706">
        <v>37909</v>
      </c>
      <c r="C1068" s="706">
        <v>1156.399999999905</v>
      </c>
      <c r="D1068" s="707">
        <v>38010</v>
      </c>
      <c r="E1068" s="707">
        <v>1156.499999999905</v>
      </c>
      <c r="G1068" s="65">
        <v>1156.499999999905</v>
      </c>
      <c r="H1068" s="707">
        <v>38010</v>
      </c>
      <c r="I1068" s="65">
        <v>1156.5999999999049</v>
      </c>
      <c r="J1068" s="707">
        <v>38110</v>
      </c>
    </row>
    <row r="1069" spans="2:10" ht="15">
      <c r="B1069" s="706">
        <v>38010</v>
      </c>
      <c r="C1069" s="706">
        <v>1156.499999999905</v>
      </c>
      <c r="D1069" s="707">
        <v>38110</v>
      </c>
      <c r="E1069" s="707">
        <v>1156.5999999999049</v>
      </c>
      <c r="G1069" s="65">
        <v>1156.5999999999049</v>
      </c>
      <c r="H1069" s="707">
        <v>38110</v>
      </c>
      <c r="I1069" s="65">
        <v>1156.6999999999048</v>
      </c>
      <c r="J1069" s="707">
        <v>38210</v>
      </c>
    </row>
    <row r="1070" spans="2:10" ht="15">
      <c r="B1070" s="706">
        <v>38110</v>
      </c>
      <c r="C1070" s="706">
        <v>1156.5999999999049</v>
      </c>
      <c r="D1070" s="707">
        <v>38210</v>
      </c>
      <c r="E1070" s="707">
        <v>1156.6999999999048</v>
      </c>
      <c r="G1070" s="65">
        <v>1156.6999999999048</v>
      </c>
      <c r="H1070" s="707">
        <v>38210</v>
      </c>
      <c r="I1070" s="65">
        <v>1156.7999999999047</v>
      </c>
      <c r="J1070" s="707">
        <v>38310</v>
      </c>
    </row>
    <row r="1071" spans="2:10" ht="15">
      <c r="B1071" s="706">
        <v>38210</v>
      </c>
      <c r="C1071" s="706">
        <v>1156.6999999999048</v>
      </c>
      <c r="D1071" s="707">
        <v>38310</v>
      </c>
      <c r="E1071" s="707">
        <v>1156.7999999999047</v>
      </c>
      <c r="G1071" s="65">
        <v>1156.7999999999047</v>
      </c>
      <c r="H1071" s="707">
        <v>38310</v>
      </c>
      <c r="I1071" s="65">
        <v>1156.8999999999046</v>
      </c>
      <c r="J1071" s="707">
        <v>38411</v>
      </c>
    </row>
    <row r="1072" spans="2:10" ht="15">
      <c r="B1072" s="706">
        <v>38310</v>
      </c>
      <c r="C1072" s="706">
        <v>1156.7999999999047</v>
      </c>
      <c r="D1072" s="707">
        <v>38411</v>
      </c>
      <c r="E1072" s="707">
        <v>1156.8999999999046</v>
      </c>
      <c r="G1072" s="65">
        <v>1156.8999999999046</v>
      </c>
      <c r="H1072" s="707">
        <v>38411</v>
      </c>
      <c r="I1072" s="65">
        <v>1156.9999999999045</v>
      </c>
      <c r="J1072" s="707">
        <v>38511</v>
      </c>
    </row>
    <row r="1073" spans="2:10" ht="15">
      <c r="B1073" s="706">
        <v>38411</v>
      </c>
      <c r="C1073" s="706">
        <v>1156.8999999999046</v>
      </c>
      <c r="D1073" s="707">
        <v>38511</v>
      </c>
      <c r="E1073" s="707">
        <v>1156.9999999999045</v>
      </c>
      <c r="G1073" s="65">
        <v>1156.9999999999045</v>
      </c>
      <c r="H1073" s="707">
        <v>38511</v>
      </c>
      <c r="I1073" s="65">
        <v>1157.0999999999044</v>
      </c>
      <c r="J1073" s="707">
        <v>38613</v>
      </c>
    </row>
    <row r="1074" spans="2:10" ht="15">
      <c r="B1074" s="706">
        <v>38511</v>
      </c>
      <c r="C1074" s="706">
        <v>1156.9999999999045</v>
      </c>
      <c r="D1074" s="707">
        <v>38613</v>
      </c>
      <c r="E1074" s="707">
        <v>1157.0999999999044</v>
      </c>
      <c r="G1074" s="65">
        <v>1157.0999999999044</v>
      </c>
      <c r="H1074" s="707">
        <v>38613</v>
      </c>
      <c r="I1074" s="65">
        <v>1157.1999999999043</v>
      </c>
      <c r="J1074" s="707">
        <v>38714</v>
      </c>
    </row>
    <row r="1075" spans="2:10" ht="15">
      <c r="B1075" s="706">
        <v>38613</v>
      </c>
      <c r="C1075" s="706">
        <v>1157.0999999999044</v>
      </c>
      <c r="D1075" s="707">
        <v>38714</v>
      </c>
      <c r="E1075" s="707">
        <v>1157.1999999999043</v>
      </c>
      <c r="G1075" s="65">
        <v>1157.1999999999043</v>
      </c>
      <c r="H1075" s="707">
        <v>38714</v>
      </c>
      <c r="I1075" s="65">
        <v>1157.2999999999042</v>
      </c>
      <c r="J1075" s="707">
        <v>38816</v>
      </c>
    </row>
    <row r="1076" spans="2:10" ht="15">
      <c r="B1076" s="706">
        <v>38714</v>
      </c>
      <c r="C1076" s="706">
        <v>1157.1999999999043</v>
      </c>
      <c r="D1076" s="707">
        <v>38816</v>
      </c>
      <c r="E1076" s="707">
        <v>1157.2999999999042</v>
      </c>
      <c r="G1076" s="65">
        <v>1157.2999999999042</v>
      </c>
      <c r="H1076" s="707">
        <v>38816</v>
      </c>
      <c r="I1076" s="65">
        <v>1157.3999999999041</v>
      </c>
      <c r="J1076" s="707">
        <v>38918</v>
      </c>
    </row>
    <row r="1077" spans="2:10" ht="15">
      <c r="B1077" s="706">
        <v>38816</v>
      </c>
      <c r="C1077" s="706">
        <v>1157.2999999999042</v>
      </c>
      <c r="D1077" s="707">
        <v>38918</v>
      </c>
      <c r="E1077" s="707">
        <v>1157.3999999999041</v>
      </c>
      <c r="G1077" s="65">
        <v>1157.3999999999041</v>
      </c>
      <c r="H1077" s="707">
        <v>38918</v>
      </c>
      <c r="I1077" s="65">
        <v>1157.499999999904</v>
      </c>
      <c r="J1077" s="707">
        <v>39020</v>
      </c>
    </row>
    <row r="1078" spans="2:10" ht="15">
      <c r="B1078" s="706">
        <v>38918</v>
      </c>
      <c r="C1078" s="706">
        <v>1157.3999999999041</v>
      </c>
      <c r="D1078" s="707">
        <v>39020</v>
      </c>
      <c r="E1078" s="707">
        <v>1157.499999999904</v>
      </c>
      <c r="G1078" s="65">
        <v>1157.499999999904</v>
      </c>
      <c r="H1078" s="707">
        <v>39020</v>
      </c>
      <c r="I1078" s="65">
        <v>1157.599999999904</v>
      </c>
      <c r="J1078" s="707">
        <v>39121</v>
      </c>
    </row>
    <row r="1079" spans="2:10" ht="15">
      <c r="B1079" s="706">
        <v>39020</v>
      </c>
      <c r="C1079" s="706">
        <v>1157.499999999904</v>
      </c>
      <c r="D1079" s="707">
        <v>39121</v>
      </c>
      <c r="E1079" s="707">
        <v>1157.599999999904</v>
      </c>
      <c r="G1079" s="65">
        <v>1157.599999999904</v>
      </c>
      <c r="H1079" s="707">
        <v>39121</v>
      </c>
      <c r="I1079" s="65">
        <v>1157.6999999999039</v>
      </c>
      <c r="J1079" s="707">
        <v>39223</v>
      </c>
    </row>
    <row r="1080" spans="2:10" ht="15">
      <c r="B1080" s="706">
        <v>39121</v>
      </c>
      <c r="C1080" s="706">
        <v>1157.599999999904</v>
      </c>
      <c r="D1080" s="707">
        <v>39223</v>
      </c>
      <c r="E1080" s="707">
        <v>1157.6999999999039</v>
      </c>
      <c r="G1080" s="65">
        <v>1157.6999999999039</v>
      </c>
      <c r="H1080" s="707">
        <v>39223</v>
      </c>
      <c r="I1080" s="65">
        <v>1157.7999999999038</v>
      </c>
      <c r="J1080" s="707">
        <v>39325</v>
      </c>
    </row>
    <row r="1081" spans="2:10" ht="15">
      <c r="B1081" s="706">
        <v>39223</v>
      </c>
      <c r="C1081" s="706">
        <v>1157.6999999999039</v>
      </c>
      <c r="D1081" s="707">
        <v>39325</v>
      </c>
      <c r="E1081" s="707">
        <v>1157.7999999999038</v>
      </c>
      <c r="G1081" s="65">
        <v>1157.7999999999038</v>
      </c>
      <c r="H1081" s="707">
        <v>39325</v>
      </c>
      <c r="I1081" s="65">
        <v>1157.8999999999037</v>
      </c>
      <c r="J1081" s="707">
        <v>39426</v>
      </c>
    </row>
    <row r="1082" spans="2:10" ht="15">
      <c r="B1082" s="706">
        <v>39325</v>
      </c>
      <c r="C1082" s="706">
        <v>1157.7999999999038</v>
      </c>
      <c r="D1082" s="707">
        <v>39426</v>
      </c>
      <c r="E1082" s="707">
        <v>1157.8999999999037</v>
      </c>
      <c r="G1082" s="65">
        <v>1157.8999999999037</v>
      </c>
      <c r="H1082" s="707">
        <v>39426</v>
      </c>
      <c r="I1082" s="65">
        <v>1157.9999999999036</v>
      </c>
      <c r="J1082" s="707">
        <v>39528</v>
      </c>
    </row>
    <row r="1083" spans="2:10" ht="15">
      <c r="B1083" s="706">
        <v>39426</v>
      </c>
      <c r="C1083" s="706">
        <v>1157.8999999999037</v>
      </c>
      <c r="D1083" s="707">
        <v>39528</v>
      </c>
      <c r="E1083" s="707">
        <v>1157.9999999999036</v>
      </c>
      <c r="G1083" s="65">
        <v>1157.9999999999036</v>
      </c>
      <c r="H1083" s="707">
        <v>39528</v>
      </c>
      <c r="I1083" s="65">
        <v>1158.0999999999035</v>
      </c>
      <c r="J1083" s="707">
        <v>39631</v>
      </c>
    </row>
    <row r="1084" spans="2:10" ht="15">
      <c r="B1084" s="706">
        <v>39528</v>
      </c>
      <c r="C1084" s="706">
        <v>1157.9999999999036</v>
      </c>
      <c r="D1084" s="707">
        <v>39631</v>
      </c>
      <c r="E1084" s="707">
        <v>1158.0999999999035</v>
      </c>
      <c r="G1084" s="65">
        <v>1158.0999999999035</v>
      </c>
      <c r="H1084" s="707">
        <v>39631</v>
      </c>
      <c r="I1084" s="65">
        <v>1158.1999999999034</v>
      </c>
      <c r="J1084" s="707">
        <v>39734</v>
      </c>
    </row>
    <row r="1085" spans="2:10" ht="15">
      <c r="B1085" s="706">
        <v>39631</v>
      </c>
      <c r="C1085" s="706">
        <v>1158.0999999999035</v>
      </c>
      <c r="D1085" s="707">
        <v>39734</v>
      </c>
      <c r="E1085" s="707">
        <v>1158.1999999999034</v>
      </c>
      <c r="G1085" s="65">
        <v>1158.1999999999034</v>
      </c>
      <c r="H1085" s="707">
        <v>39734</v>
      </c>
      <c r="I1085" s="65">
        <v>1158.2999999999033</v>
      </c>
      <c r="J1085" s="707">
        <v>39838</v>
      </c>
    </row>
    <row r="1086" spans="2:10" ht="15">
      <c r="B1086" s="706">
        <v>39734</v>
      </c>
      <c r="C1086" s="706">
        <v>1158.1999999999034</v>
      </c>
      <c r="D1086" s="707">
        <v>39838</v>
      </c>
      <c r="E1086" s="707">
        <v>1158.2999999999033</v>
      </c>
      <c r="G1086" s="65">
        <v>1158.2999999999033</v>
      </c>
      <c r="H1086" s="707">
        <v>39838</v>
      </c>
      <c r="I1086" s="65">
        <v>1158.3999999999032</v>
      </c>
      <c r="J1086" s="707">
        <v>39941</v>
      </c>
    </row>
    <row r="1087" spans="2:10" ht="15">
      <c r="B1087" s="706">
        <v>39838</v>
      </c>
      <c r="C1087" s="706">
        <v>1158.2999999999033</v>
      </c>
      <c r="D1087" s="707">
        <v>39941</v>
      </c>
      <c r="E1087" s="707">
        <v>1158.3999999999032</v>
      </c>
      <c r="G1087" s="65">
        <v>1158.3999999999032</v>
      </c>
      <c r="H1087" s="707">
        <v>39941</v>
      </c>
      <c r="I1087" s="65">
        <v>1158.4999999999031</v>
      </c>
      <c r="J1087" s="707">
        <v>40044</v>
      </c>
    </row>
    <row r="1088" spans="2:10" ht="15">
      <c r="B1088" s="706">
        <v>39941</v>
      </c>
      <c r="C1088" s="706">
        <v>1158.3999999999032</v>
      </c>
      <c r="D1088" s="707">
        <v>40044</v>
      </c>
      <c r="E1088" s="707">
        <v>1158.4999999999031</v>
      </c>
      <c r="G1088" s="65">
        <v>1158.4999999999031</v>
      </c>
      <c r="H1088" s="707">
        <v>40044</v>
      </c>
      <c r="I1088" s="65">
        <v>1158.599999999903</v>
      </c>
      <c r="J1088" s="707">
        <v>40147</v>
      </c>
    </row>
    <row r="1089" spans="2:10" ht="15">
      <c r="B1089" s="706">
        <v>40044</v>
      </c>
      <c r="C1089" s="706">
        <v>1158.4999999999031</v>
      </c>
      <c r="D1089" s="707">
        <v>40147</v>
      </c>
      <c r="E1089" s="707">
        <v>1158.599999999903</v>
      </c>
      <c r="G1089" s="65">
        <v>1158.599999999903</v>
      </c>
      <c r="H1089" s="707">
        <v>40147</v>
      </c>
      <c r="I1089" s="65">
        <v>1158.699999999903</v>
      </c>
      <c r="J1089" s="707">
        <v>40250</v>
      </c>
    </row>
    <row r="1090" spans="2:10" ht="15">
      <c r="B1090" s="706">
        <v>40147</v>
      </c>
      <c r="C1090" s="706">
        <v>1158.599999999903</v>
      </c>
      <c r="D1090" s="707">
        <v>40250</v>
      </c>
      <c r="E1090" s="707">
        <v>1158.699999999903</v>
      </c>
      <c r="G1090" s="65">
        <v>1158.699999999903</v>
      </c>
      <c r="H1090" s="707">
        <v>40250</v>
      </c>
      <c r="I1090" s="65">
        <v>1158.7999999999029</v>
      </c>
      <c r="J1090" s="707">
        <v>40354</v>
      </c>
    </row>
    <row r="1091" spans="2:10" ht="15">
      <c r="B1091" s="706">
        <v>40250</v>
      </c>
      <c r="C1091" s="706">
        <v>1158.699999999903</v>
      </c>
      <c r="D1091" s="707">
        <v>40354</v>
      </c>
      <c r="E1091" s="707">
        <v>1158.7999999999029</v>
      </c>
      <c r="G1091" s="65">
        <v>1158.7999999999029</v>
      </c>
      <c r="H1091" s="707">
        <v>40354</v>
      </c>
      <c r="I1091" s="65">
        <v>1158.8999999999028</v>
      </c>
      <c r="J1091" s="707">
        <v>40457</v>
      </c>
    </row>
    <row r="1092" spans="2:10" ht="15">
      <c r="B1092" s="706">
        <v>40354</v>
      </c>
      <c r="C1092" s="706">
        <v>1158.7999999999029</v>
      </c>
      <c r="D1092" s="707">
        <v>40457</v>
      </c>
      <c r="E1092" s="707">
        <v>1158.8999999999028</v>
      </c>
      <c r="G1092" s="65">
        <v>1158.8999999999028</v>
      </c>
      <c r="H1092" s="707">
        <v>40457</v>
      </c>
      <c r="I1092" s="65">
        <v>1158.9999999999027</v>
      </c>
      <c r="J1092" s="707">
        <v>40560</v>
      </c>
    </row>
    <row r="1093" spans="2:10" ht="15">
      <c r="B1093" s="706">
        <v>40457</v>
      </c>
      <c r="C1093" s="706">
        <v>1158.8999999999028</v>
      </c>
      <c r="D1093" s="707">
        <v>40560</v>
      </c>
      <c r="E1093" s="707">
        <v>1158.9999999999027</v>
      </c>
      <c r="G1093" s="65">
        <v>1158.9999999999027</v>
      </c>
      <c r="H1093" s="707">
        <v>40560</v>
      </c>
      <c r="I1093" s="65">
        <v>1159.0999999999026</v>
      </c>
      <c r="J1093" s="707">
        <v>40665</v>
      </c>
    </row>
    <row r="1094" spans="2:10" ht="15">
      <c r="B1094" s="706">
        <v>40560</v>
      </c>
      <c r="C1094" s="706">
        <v>1158.9999999999027</v>
      </c>
      <c r="D1094" s="707">
        <v>40665</v>
      </c>
      <c r="E1094" s="707">
        <v>1159.0999999999026</v>
      </c>
      <c r="G1094" s="65">
        <v>1159.0999999999026</v>
      </c>
      <c r="H1094" s="707">
        <v>40665</v>
      </c>
      <c r="I1094" s="65">
        <v>1159.1999999999025</v>
      </c>
      <c r="J1094" s="707">
        <v>40769</v>
      </c>
    </row>
    <row r="1095" spans="2:10" ht="15">
      <c r="B1095" s="706">
        <v>40665</v>
      </c>
      <c r="C1095" s="706">
        <v>1159.0999999999026</v>
      </c>
      <c r="D1095" s="707">
        <v>40769</v>
      </c>
      <c r="E1095" s="707">
        <v>1159.1999999999025</v>
      </c>
      <c r="G1095" s="65">
        <v>1159.1999999999025</v>
      </c>
      <c r="H1095" s="707">
        <v>40769</v>
      </c>
      <c r="I1095" s="65">
        <v>1159.2999999999024</v>
      </c>
      <c r="J1095" s="707">
        <v>40874</v>
      </c>
    </row>
    <row r="1096" spans="2:10" ht="15">
      <c r="B1096" s="706">
        <v>40769</v>
      </c>
      <c r="C1096" s="706">
        <v>1159.1999999999025</v>
      </c>
      <c r="D1096" s="707">
        <v>40874</v>
      </c>
      <c r="E1096" s="707">
        <v>1159.2999999999024</v>
      </c>
      <c r="G1096" s="65">
        <v>1159.2999999999024</v>
      </c>
      <c r="H1096" s="707">
        <v>40874</v>
      </c>
      <c r="I1096" s="65">
        <v>1159.3999999999023</v>
      </c>
      <c r="J1096" s="707">
        <v>40979</v>
      </c>
    </row>
    <row r="1097" spans="2:10" ht="15">
      <c r="B1097" s="706">
        <v>40874</v>
      </c>
      <c r="C1097" s="706">
        <v>1159.2999999999024</v>
      </c>
      <c r="D1097" s="707">
        <v>40979</v>
      </c>
      <c r="E1097" s="707">
        <v>1159.3999999999023</v>
      </c>
      <c r="G1097" s="65">
        <v>1159.3999999999023</v>
      </c>
      <c r="H1097" s="707">
        <v>40979</v>
      </c>
      <c r="I1097" s="65">
        <v>1159.4999999999022</v>
      </c>
      <c r="J1097" s="707">
        <v>41084</v>
      </c>
    </row>
    <row r="1098" spans="2:10" ht="15">
      <c r="B1098" s="706">
        <v>40979</v>
      </c>
      <c r="C1098" s="706">
        <v>1159.3999999999023</v>
      </c>
      <c r="D1098" s="707">
        <v>41084</v>
      </c>
      <c r="E1098" s="707">
        <v>1159.4999999999022</v>
      </c>
      <c r="G1098" s="65">
        <v>1159.4999999999022</v>
      </c>
      <c r="H1098" s="707">
        <v>41084</v>
      </c>
      <c r="I1098" s="65">
        <v>1159.5999999999021</v>
      </c>
      <c r="J1098" s="707">
        <v>41188</v>
      </c>
    </row>
    <row r="1099" spans="2:10" ht="15">
      <c r="B1099" s="706">
        <v>41084</v>
      </c>
      <c r="C1099" s="706">
        <v>1159.4999999999022</v>
      </c>
      <c r="D1099" s="707">
        <v>41188</v>
      </c>
      <c r="E1099" s="707">
        <v>1159.5999999999021</v>
      </c>
      <c r="G1099" s="65">
        <v>1159.5999999999021</v>
      </c>
      <c r="H1099" s="707">
        <v>41188</v>
      </c>
      <c r="I1099" s="65">
        <v>1159.699999999902</v>
      </c>
      <c r="J1099" s="707">
        <v>41293</v>
      </c>
    </row>
    <row r="1100" spans="2:10" ht="15">
      <c r="B1100" s="706">
        <v>41188</v>
      </c>
      <c r="C1100" s="706">
        <v>1159.5999999999021</v>
      </c>
      <c r="D1100" s="707">
        <v>41293</v>
      </c>
      <c r="E1100" s="707">
        <v>1159.699999999902</v>
      </c>
      <c r="G1100" s="65">
        <v>1159.699999999902</v>
      </c>
      <c r="H1100" s="707">
        <v>41293</v>
      </c>
      <c r="I1100" s="65">
        <v>1159.799999999902</v>
      </c>
      <c r="J1100" s="707">
        <v>41398</v>
      </c>
    </row>
    <row r="1101" spans="2:10" ht="15">
      <c r="B1101" s="706">
        <v>41293</v>
      </c>
      <c r="C1101" s="706">
        <v>1159.699999999902</v>
      </c>
      <c r="D1101" s="707">
        <v>41398</v>
      </c>
      <c r="E1101" s="707">
        <v>1159.799999999902</v>
      </c>
      <c r="G1101" s="65">
        <v>1159.799999999902</v>
      </c>
      <c r="H1101" s="707">
        <v>41398</v>
      </c>
      <c r="I1101" s="65">
        <v>1159.8999999999019</v>
      </c>
      <c r="J1101" s="707">
        <v>41502</v>
      </c>
    </row>
    <row r="1102" spans="2:10" ht="15">
      <c r="B1102" s="706">
        <v>41398</v>
      </c>
      <c r="C1102" s="706">
        <v>1159.799999999902</v>
      </c>
      <c r="D1102" s="707">
        <v>41502</v>
      </c>
      <c r="E1102" s="707">
        <v>1159.8999999999019</v>
      </c>
      <c r="G1102" s="65">
        <v>1159.8999999999019</v>
      </c>
      <c r="H1102" s="707">
        <v>41502</v>
      </c>
      <c r="I1102" s="65">
        <v>1159.9999999999018</v>
      </c>
      <c r="J1102" s="707">
        <v>41607</v>
      </c>
    </row>
    <row r="1103" spans="2:10" ht="15">
      <c r="B1103" s="706">
        <v>41502</v>
      </c>
      <c r="C1103" s="706">
        <v>1159.8999999999019</v>
      </c>
      <c r="D1103" s="707">
        <v>41607</v>
      </c>
      <c r="E1103" s="707">
        <v>1159.9999999999018</v>
      </c>
      <c r="G1103" s="65">
        <v>1159.9999999999018</v>
      </c>
      <c r="H1103" s="707">
        <v>41607</v>
      </c>
      <c r="I1103" s="65">
        <v>1160.0999999999017</v>
      </c>
      <c r="J1103" s="707">
        <v>41713</v>
      </c>
    </row>
    <row r="1104" spans="2:10" ht="15">
      <c r="B1104" s="706">
        <v>41607</v>
      </c>
      <c r="C1104" s="706">
        <v>1159.9999999999018</v>
      </c>
      <c r="D1104" s="707">
        <v>41713</v>
      </c>
      <c r="E1104" s="707">
        <v>1160.0999999999017</v>
      </c>
      <c r="G1104" s="65">
        <v>1160.0999999999017</v>
      </c>
      <c r="H1104" s="707">
        <v>41713</v>
      </c>
      <c r="I1104" s="65">
        <v>1160.1999999999016</v>
      </c>
      <c r="J1104" s="707">
        <v>41819</v>
      </c>
    </row>
    <row r="1105" spans="2:10" ht="15">
      <c r="B1105" s="706">
        <v>41713</v>
      </c>
      <c r="C1105" s="706">
        <v>1160.0999999999017</v>
      </c>
      <c r="D1105" s="707">
        <v>41819</v>
      </c>
      <c r="E1105" s="707">
        <v>1160.1999999999016</v>
      </c>
      <c r="G1105" s="65">
        <v>1160.1999999999016</v>
      </c>
      <c r="H1105" s="707">
        <v>41819</v>
      </c>
      <c r="I1105" s="65">
        <v>1160.2999999999015</v>
      </c>
      <c r="J1105" s="707">
        <v>41925</v>
      </c>
    </row>
    <row r="1106" spans="2:10" ht="15">
      <c r="B1106" s="706">
        <v>41819</v>
      </c>
      <c r="C1106" s="706">
        <v>1160.1999999999016</v>
      </c>
      <c r="D1106" s="707">
        <v>41925</v>
      </c>
      <c r="E1106" s="707">
        <v>1160.2999999999015</v>
      </c>
      <c r="G1106" s="65">
        <v>1160.2999999999015</v>
      </c>
      <c r="H1106" s="707">
        <v>41925</v>
      </c>
      <c r="I1106" s="65">
        <v>1160.3999999999014</v>
      </c>
      <c r="J1106" s="707">
        <v>42031</v>
      </c>
    </row>
    <row r="1107" spans="2:10" ht="15">
      <c r="B1107" s="706">
        <v>41925</v>
      </c>
      <c r="C1107" s="706">
        <v>1160.2999999999015</v>
      </c>
      <c r="D1107" s="707">
        <v>42031</v>
      </c>
      <c r="E1107" s="707">
        <v>1160.3999999999014</v>
      </c>
      <c r="G1107" s="65">
        <v>1160.3999999999014</v>
      </c>
      <c r="H1107" s="707">
        <v>42031</v>
      </c>
      <c r="I1107" s="65">
        <v>1160.4999999999013</v>
      </c>
      <c r="J1107" s="707">
        <v>42137</v>
      </c>
    </row>
    <row r="1108" spans="2:10" ht="15">
      <c r="B1108" s="706">
        <v>42031</v>
      </c>
      <c r="C1108" s="706">
        <v>1160.3999999999014</v>
      </c>
      <c r="D1108" s="707">
        <v>42137</v>
      </c>
      <c r="E1108" s="707">
        <v>1160.4999999999013</v>
      </c>
      <c r="G1108" s="65">
        <v>1160.4999999999013</v>
      </c>
      <c r="H1108" s="707">
        <v>42137</v>
      </c>
      <c r="I1108" s="65">
        <v>1160.5999999999012</v>
      </c>
      <c r="J1108" s="707">
        <v>42243</v>
      </c>
    </row>
    <row r="1109" spans="2:10" ht="15">
      <c r="B1109" s="706">
        <v>42137</v>
      </c>
      <c r="C1109" s="706">
        <v>1160.4999999999013</v>
      </c>
      <c r="D1109" s="707">
        <v>42243</v>
      </c>
      <c r="E1109" s="707">
        <v>1160.5999999999012</v>
      </c>
      <c r="G1109" s="65">
        <v>1160.5999999999012</v>
      </c>
      <c r="H1109" s="707">
        <v>42243</v>
      </c>
      <c r="I1109" s="65">
        <v>1160.6999999999011</v>
      </c>
      <c r="J1109" s="707">
        <v>42349</v>
      </c>
    </row>
    <row r="1110" spans="2:10" ht="15">
      <c r="B1110" s="706">
        <v>42243</v>
      </c>
      <c r="C1110" s="706">
        <v>1160.5999999999012</v>
      </c>
      <c r="D1110" s="707">
        <v>42349</v>
      </c>
      <c r="E1110" s="707">
        <v>1160.6999999999011</v>
      </c>
      <c r="G1110" s="65">
        <v>1160.6999999999011</v>
      </c>
      <c r="H1110" s="707">
        <v>42349</v>
      </c>
      <c r="I1110" s="65">
        <v>1160.799999999901</v>
      </c>
      <c r="J1110" s="707">
        <v>42455</v>
      </c>
    </row>
    <row r="1111" spans="2:10" ht="15">
      <c r="B1111" s="706">
        <v>42349</v>
      </c>
      <c r="C1111" s="706">
        <v>1160.6999999999011</v>
      </c>
      <c r="D1111" s="707">
        <v>42455</v>
      </c>
      <c r="E1111" s="707">
        <v>1160.799999999901</v>
      </c>
      <c r="G1111" s="65">
        <v>1160.799999999901</v>
      </c>
      <c r="H1111" s="707">
        <v>42455</v>
      </c>
      <c r="I1111" s="65">
        <v>1160.899999999901</v>
      </c>
      <c r="J1111" s="707">
        <v>42561</v>
      </c>
    </row>
    <row r="1112" spans="2:10" ht="15">
      <c r="B1112" s="706">
        <v>42455</v>
      </c>
      <c r="C1112" s="706">
        <v>1160.799999999901</v>
      </c>
      <c r="D1112" s="707">
        <v>42561</v>
      </c>
      <c r="E1112" s="707">
        <v>1160.899999999901</v>
      </c>
      <c r="G1112" s="65">
        <v>1160.899999999901</v>
      </c>
      <c r="H1112" s="707">
        <v>42561</v>
      </c>
      <c r="I1112" s="65">
        <v>1160.9999999999009</v>
      </c>
      <c r="J1112" s="707">
        <v>42667</v>
      </c>
    </row>
    <row r="1113" spans="2:10" ht="15">
      <c r="B1113" s="706">
        <v>42561</v>
      </c>
      <c r="C1113" s="706">
        <v>1160.899999999901</v>
      </c>
      <c r="D1113" s="707">
        <v>42667</v>
      </c>
      <c r="E1113" s="707">
        <v>1160.9999999999009</v>
      </c>
      <c r="G1113" s="65">
        <v>1160.9999999999009</v>
      </c>
      <c r="H1113" s="707">
        <v>42667</v>
      </c>
      <c r="I1113" s="65">
        <v>1161.0999999999008</v>
      </c>
      <c r="J1113" s="707">
        <v>42774</v>
      </c>
    </row>
    <row r="1114" spans="2:10" ht="15">
      <c r="B1114" s="706">
        <v>42667</v>
      </c>
      <c r="C1114" s="706">
        <v>1160.9999999999009</v>
      </c>
      <c r="D1114" s="707">
        <v>42774</v>
      </c>
      <c r="E1114" s="707">
        <v>1161.0999999999008</v>
      </c>
      <c r="G1114" s="65">
        <v>1161.0999999999008</v>
      </c>
      <c r="H1114" s="707">
        <v>42774</v>
      </c>
      <c r="I1114" s="65">
        <v>1161.1999999999007</v>
      </c>
      <c r="J1114" s="707">
        <v>42881</v>
      </c>
    </row>
    <row r="1115" spans="2:10" ht="15">
      <c r="B1115" s="706">
        <v>42774</v>
      </c>
      <c r="C1115" s="706">
        <v>1161.0999999999008</v>
      </c>
      <c r="D1115" s="707">
        <v>42881</v>
      </c>
      <c r="E1115" s="707">
        <v>1161.1999999999007</v>
      </c>
      <c r="G1115" s="65">
        <v>1161.1999999999007</v>
      </c>
      <c r="H1115" s="707">
        <v>42881</v>
      </c>
      <c r="I1115" s="65">
        <v>1161.2999999999006</v>
      </c>
      <c r="J1115" s="707">
        <v>42988</v>
      </c>
    </row>
    <row r="1116" spans="2:10" ht="15">
      <c r="B1116" s="706">
        <v>42881</v>
      </c>
      <c r="C1116" s="706">
        <v>1161.1999999999007</v>
      </c>
      <c r="D1116" s="707">
        <v>42988</v>
      </c>
      <c r="E1116" s="707">
        <v>1161.2999999999006</v>
      </c>
      <c r="G1116" s="65">
        <v>1161.2999999999006</v>
      </c>
      <c r="H1116" s="707">
        <v>42988</v>
      </c>
      <c r="I1116" s="65">
        <v>1161.3999999999005</v>
      </c>
      <c r="J1116" s="707">
        <v>43095</v>
      </c>
    </row>
    <row r="1117" spans="2:10" ht="15">
      <c r="B1117" s="706">
        <v>42988</v>
      </c>
      <c r="C1117" s="706">
        <v>1161.2999999999006</v>
      </c>
      <c r="D1117" s="707">
        <v>43095</v>
      </c>
      <c r="E1117" s="707">
        <v>1161.3999999999005</v>
      </c>
      <c r="G1117" s="65">
        <v>1161.3999999999005</v>
      </c>
      <c r="H1117" s="707">
        <v>43095</v>
      </c>
      <c r="I1117" s="65">
        <v>1161.4999999999004</v>
      </c>
      <c r="J1117" s="707">
        <v>43202</v>
      </c>
    </row>
    <row r="1118" spans="2:10" ht="15">
      <c r="B1118" s="706">
        <v>43095</v>
      </c>
      <c r="C1118" s="706">
        <v>1161.3999999999005</v>
      </c>
      <c r="D1118" s="707">
        <v>43202</v>
      </c>
      <c r="E1118" s="707">
        <v>1161.4999999999004</v>
      </c>
      <c r="G1118" s="65">
        <v>1161.4999999999004</v>
      </c>
      <c r="H1118" s="707">
        <v>43202</v>
      </c>
      <c r="I1118" s="65">
        <v>1161.5999999999003</v>
      </c>
      <c r="J1118" s="707">
        <v>43309</v>
      </c>
    </row>
    <row r="1119" spans="2:10" ht="15">
      <c r="B1119" s="706">
        <v>43202</v>
      </c>
      <c r="C1119" s="706">
        <v>1161.4999999999004</v>
      </c>
      <c r="D1119" s="707">
        <v>43309</v>
      </c>
      <c r="E1119" s="707">
        <v>1161.5999999999003</v>
      </c>
      <c r="G1119" s="65">
        <v>1161.5999999999003</v>
      </c>
      <c r="H1119" s="707">
        <v>43309</v>
      </c>
      <c r="I1119" s="65">
        <v>1161.6999999999002</v>
      </c>
      <c r="J1119" s="707">
        <v>43416</v>
      </c>
    </row>
    <row r="1120" spans="2:10" ht="15">
      <c r="B1120" s="706">
        <v>43309</v>
      </c>
      <c r="C1120" s="706">
        <v>1161.5999999999003</v>
      </c>
      <c r="D1120" s="707">
        <v>43416</v>
      </c>
      <c r="E1120" s="707">
        <v>1161.6999999999002</v>
      </c>
      <c r="G1120" s="65">
        <v>1161.6999999999002</v>
      </c>
      <c r="H1120" s="707">
        <v>43416</v>
      </c>
      <c r="I1120" s="65">
        <v>1161.7999999999001</v>
      </c>
      <c r="J1120" s="707">
        <v>43523</v>
      </c>
    </row>
    <row r="1121" spans="2:10" ht="15">
      <c r="B1121" s="706">
        <v>43416</v>
      </c>
      <c r="C1121" s="706">
        <v>1161.6999999999002</v>
      </c>
      <c r="D1121" s="707">
        <v>43523</v>
      </c>
      <c r="E1121" s="707">
        <v>1161.7999999999001</v>
      </c>
      <c r="G1121" s="65">
        <v>1161.7999999999001</v>
      </c>
      <c r="H1121" s="707">
        <v>43523</v>
      </c>
      <c r="I1121" s="65">
        <v>1161.8999999999</v>
      </c>
      <c r="J1121" s="707">
        <v>43630</v>
      </c>
    </row>
    <row r="1122" spans="2:10" ht="15">
      <c r="B1122" s="706">
        <v>43523</v>
      </c>
      <c r="C1122" s="706">
        <v>1161.7999999999001</v>
      </c>
      <c r="D1122" s="707">
        <v>43630</v>
      </c>
      <c r="E1122" s="707">
        <v>1161.8999999999</v>
      </c>
      <c r="G1122" s="65">
        <v>1161.8999999999</v>
      </c>
      <c r="H1122" s="707">
        <v>43630</v>
      </c>
      <c r="I1122" s="65">
        <v>1161.9999999999</v>
      </c>
      <c r="J1122" s="707">
        <v>43737</v>
      </c>
    </row>
    <row r="1123" spans="2:10" ht="15">
      <c r="B1123" s="706">
        <v>43630</v>
      </c>
      <c r="C1123" s="706">
        <v>1161.8999999999</v>
      </c>
      <c r="D1123" s="707">
        <v>43737</v>
      </c>
      <c r="E1123" s="707">
        <v>1161.9999999999</v>
      </c>
      <c r="G1123" s="65">
        <v>1161.9999999999</v>
      </c>
      <c r="H1123" s="707">
        <v>43737</v>
      </c>
      <c r="I1123" s="65">
        <v>1162.0999999998999</v>
      </c>
      <c r="J1123" s="707">
        <v>43845</v>
      </c>
    </row>
    <row r="1124" spans="2:10" ht="15">
      <c r="B1124" s="706">
        <v>43737</v>
      </c>
      <c r="C1124" s="706">
        <v>1161.9999999999</v>
      </c>
      <c r="D1124" s="707">
        <v>43845</v>
      </c>
      <c r="E1124" s="707">
        <v>1162.0999999998999</v>
      </c>
      <c r="G1124" s="65">
        <v>1162.0999999998999</v>
      </c>
      <c r="H1124" s="707">
        <v>43845</v>
      </c>
      <c r="I1124" s="65">
        <v>1162.1999999998998</v>
      </c>
      <c r="J1124" s="707">
        <v>43953</v>
      </c>
    </row>
    <row r="1125" spans="2:10" ht="15">
      <c r="B1125" s="706">
        <v>43845</v>
      </c>
      <c r="C1125" s="706">
        <v>1162.0999999998999</v>
      </c>
      <c r="D1125" s="707">
        <v>43953</v>
      </c>
      <c r="E1125" s="707">
        <v>1162.1999999998998</v>
      </c>
      <c r="G1125" s="65">
        <v>1162.1999999998998</v>
      </c>
      <c r="H1125" s="707">
        <v>43953</v>
      </c>
      <c r="I1125" s="65">
        <v>1162.2999999998997</v>
      </c>
      <c r="J1125" s="707">
        <v>44062</v>
      </c>
    </row>
    <row r="1126" spans="2:10" ht="15">
      <c r="B1126" s="706">
        <v>43953</v>
      </c>
      <c r="C1126" s="706">
        <v>1162.1999999998998</v>
      </c>
      <c r="D1126" s="707">
        <v>44062</v>
      </c>
      <c r="E1126" s="707">
        <v>1162.2999999998997</v>
      </c>
      <c r="G1126" s="65">
        <v>1162.2999999998997</v>
      </c>
      <c r="H1126" s="707">
        <v>44062</v>
      </c>
      <c r="I1126" s="65">
        <v>1162.3999999998996</v>
      </c>
      <c r="J1126" s="707">
        <v>44170</v>
      </c>
    </row>
    <row r="1127" spans="2:10" ht="15">
      <c r="B1127" s="706">
        <v>44062</v>
      </c>
      <c r="C1127" s="706">
        <v>1162.2999999998997</v>
      </c>
      <c r="D1127" s="707">
        <v>44170</v>
      </c>
      <c r="E1127" s="707">
        <v>1162.3999999998996</v>
      </c>
      <c r="G1127" s="65">
        <v>1162.3999999998996</v>
      </c>
      <c r="H1127" s="707">
        <v>44170</v>
      </c>
      <c r="I1127" s="65">
        <v>1162.4999999998995</v>
      </c>
      <c r="J1127" s="707">
        <v>44278</v>
      </c>
    </row>
    <row r="1128" spans="2:10" ht="15">
      <c r="B1128" s="706">
        <v>44170</v>
      </c>
      <c r="C1128" s="706">
        <v>1162.3999999998996</v>
      </c>
      <c r="D1128" s="707">
        <v>44278</v>
      </c>
      <c r="E1128" s="707">
        <v>1162.4999999998995</v>
      </c>
      <c r="G1128" s="65">
        <v>1162.4999999998995</v>
      </c>
      <c r="H1128" s="707">
        <v>44278</v>
      </c>
      <c r="I1128" s="65">
        <v>1162.5999999998994</v>
      </c>
      <c r="J1128" s="707">
        <v>44386</v>
      </c>
    </row>
    <row r="1129" spans="2:10" ht="15">
      <c r="B1129" s="706">
        <v>44278</v>
      </c>
      <c r="C1129" s="706">
        <v>1162.4999999998995</v>
      </c>
      <c r="D1129" s="707">
        <v>44386</v>
      </c>
      <c r="E1129" s="707">
        <v>1162.5999999998994</v>
      </c>
      <c r="G1129" s="65">
        <v>1162.5999999998994</v>
      </c>
      <c r="H1129" s="707">
        <v>44386</v>
      </c>
      <c r="I1129" s="65">
        <v>1162.6999999998993</v>
      </c>
      <c r="J1129" s="707">
        <v>44494</v>
      </c>
    </row>
    <row r="1130" spans="2:10" ht="15">
      <c r="B1130" s="706">
        <v>44386</v>
      </c>
      <c r="C1130" s="706">
        <v>1162.5999999998994</v>
      </c>
      <c r="D1130" s="707">
        <v>44494</v>
      </c>
      <c r="E1130" s="707">
        <v>1162.6999999998993</v>
      </c>
      <c r="G1130" s="65">
        <v>1162.6999999998993</v>
      </c>
      <c r="H1130" s="707">
        <v>44494</v>
      </c>
      <c r="I1130" s="65">
        <v>1162.7999999998992</v>
      </c>
      <c r="J1130" s="707">
        <v>44603</v>
      </c>
    </row>
    <row r="1131" spans="2:10" ht="15">
      <c r="B1131" s="706">
        <v>44494</v>
      </c>
      <c r="C1131" s="706">
        <v>1162.6999999998993</v>
      </c>
      <c r="D1131" s="707">
        <v>44603</v>
      </c>
      <c r="E1131" s="707">
        <v>1162.7999999998992</v>
      </c>
      <c r="G1131" s="65">
        <v>1162.7999999998992</v>
      </c>
      <c r="H1131" s="707">
        <v>44603</v>
      </c>
      <c r="I1131" s="65">
        <v>1162.8999999998991</v>
      </c>
      <c r="J1131" s="707">
        <v>44711</v>
      </c>
    </row>
    <row r="1132" spans="2:10" ht="15">
      <c r="B1132" s="706">
        <v>44603</v>
      </c>
      <c r="C1132" s="706">
        <v>1162.7999999998992</v>
      </c>
      <c r="D1132" s="707">
        <v>44711</v>
      </c>
      <c r="E1132" s="707">
        <v>1162.8999999998991</v>
      </c>
      <c r="G1132" s="65">
        <v>1162.8999999998991</v>
      </c>
      <c r="H1132" s="707">
        <v>44711</v>
      </c>
      <c r="I1132" s="65">
        <v>1162.999999999899</v>
      </c>
      <c r="J1132" s="707">
        <v>44819</v>
      </c>
    </row>
    <row r="1133" spans="2:10" ht="15">
      <c r="B1133" s="706">
        <v>44711</v>
      </c>
      <c r="C1133" s="706">
        <v>1162.8999999998991</v>
      </c>
      <c r="D1133" s="707">
        <v>44819</v>
      </c>
      <c r="E1133" s="707">
        <v>1162.999999999899</v>
      </c>
      <c r="G1133" s="65">
        <v>1162.999999999899</v>
      </c>
      <c r="H1133" s="707">
        <v>44819</v>
      </c>
      <c r="I1133" s="65">
        <v>1163.099999999899</v>
      </c>
      <c r="J1133" s="707">
        <v>44928</v>
      </c>
    </row>
    <row r="1134" spans="2:10" ht="15">
      <c r="B1134" s="706">
        <v>44819</v>
      </c>
      <c r="C1134" s="706">
        <v>1162.999999999899</v>
      </c>
      <c r="D1134" s="707">
        <v>44928</v>
      </c>
      <c r="E1134" s="707">
        <v>1163.099999999899</v>
      </c>
      <c r="G1134" s="65">
        <v>1163.099999999899</v>
      </c>
      <c r="H1134" s="707">
        <v>44928</v>
      </c>
      <c r="I1134" s="65">
        <v>1163.1999999998989</v>
      </c>
      <c r="J1134" s="707">
        <v>45038</v>
      </c>
    </row>
    <row r="1135" spans="2:10" ht="15">
      <c r="B1135" s="706">
        <v>44928</v>
      </c>
      <c r="C1135" s="706">
        <v>1163.099999999899</v>
      </c>
      <c r="D1135" s="707">
        <v>45038</v>
      </c>
      <c r="E1135" s="707">
        <v>1163.1999999998989</v>
      </c>
      <c r="G1135" s="65">
        <v>1163.1999999998989</v>
      </c>
      <c r="H1135" s="707">
        <v>45038</v>
      </c>
      <c r="I1135" s="65">
        <v>1163.2999999998988</v>
      </c>
      <c r="J1135" s="707">
        <v>45147</v>
      </c>
    </row>
    <row r="1136" spans="2:10" ht="15">
      <c r="B1136" s="706">
        <v>45038</v>
      </c>
      <c r="C1136" s="706">
        <v>1163.1999999998989</v>
      </c>
      <c r="D1136" s="707">
        <v>45147</v>
      </c>
      <c r="E1136" s="707">
        <v>1163.2999999998988</v>
      </c>
      <c r="G1136" s="65">
        <v>1163.2999999998988</v>
      </c>
      <c r="H1136" s="707">
        <v>45147</v>
      </c>
      <c r="I1136" s="65">
        <v>1163.3999999998987</v>
      </c>
      <c r="J1136" s="707">
        <v>45256</v>
      </c>
    </row>
    <row r="1137" spans="2:10" ht="15">
      <c r="B1137" s="706">
        <v>45147</v>
      </c>
      <c r="C1137" s="706">
        <v>1163.2999999998988</v>
      </c>
      <c r="D1137" s="707">
        <v>45256</v>
      </c>
      <c r="E1137" s="707">
        <v>1163.3999999998987</v>
      </c>
      <c r="G1137" s="65">
        <v>1163.3999999998987</v>
      </c>
      <c r="H1137" s="707">
        <v>45256</v>
      </c>
      <c r="I1137" s="65">
        <v>1163.4999999998986</v>
      </c>
      <c r="J1137" s="707">
        <v>45366</v>
      </c>
    </row>
    <row r="1138" spans="2:10" ht="15">
      <c r="B1138" s="706">
        <v>45256</v>
      </c>
      <c r="C1138" s="706">
        <v>1163.3999999998987</v>
      </c>
      <c r="D1138" s="707">
        <v>45366</v>
      </c>
      <c r="E1138" s="707">
        <v>1163.4999999998986</v>
      </c>
      <c r="G1138" s="65">
        <v>1163.4999999998986</v>
      </c>
      <c r="H1138" s="707">
        <v>45366</v>
      </c>
      <c r="I1138" s="65">
        <v>1163.5999999998985</v>
      </c>
      <c r="J1138" s="707">
        <v>45475</v>
      </c>
    </row>
    <row r="1139" spans="2:10" ht="15">
      <c r="B1139" s="706">
        <v>45366</v>
      </c>
      <c r="C1139" s="706">
        <v>1163.4999999998986</v>
      </c>
      <c r="D1139" s="707">
        <v>45475</v>
      </c>
      <c r="E1139" s="707">
        <v>1163.5999999998985</v>
      </c>
      <c r="G1139" s="65">
        <v>1163.5999999998985</v>
      </c>
      <c r="H1139" s="707">
        <v>45475</v>
      </c>
      <c r="I1139" s="65">
        <v>1163.6999999998984</v>
      </c>
      <c r="J1139" s="707">
        <v>45584</v>
      </c>
    </row>
    <row r="1140" spans="2:10" ht="15">
      <c r="B1140" s="706">
        <v>45475</v>
      </c>
      <c r="C1140" s="706">
        <v>1163.5999999998985</v>
      </c>
      <c r="D1140" s="707">
        <v>45584</v>
      </c>
      <c r="E1140" s="707">
        <v>1163.6999999998984</v>
      </c>
      <c r="G1140" s="65">
        <v>1163.6999999998984</v>
      </c>
      <c r="H1140" s="707">
        <v>45584</v>
      </c>
      <c r="I1140" s="65">
        <v>1163.7999999998983</v>
      </c>
      <c r="J1140" s="707">
        <v>45693</v>
      </c>
    </row>
    <row r="1141" spans="2:10" ht="15">
      <c r="B1141" s="706">
        <v>45584</v>
      </c>
      <c r="C1141" s="706">
        <v>1163.6999999998984</v>
      </c>
      <c r="D1141" s="707">
        <v>45693</v>
      </c>
      <c r="E1141" s="707">
        <v>1163.7999999998983</v>
      </c>
      <c r="G1141" s="65">
        <v>1163.7999999998983</v>
      </c>
      <c r="H1141" s="707">
        <v>45693</v>
      </c>
      <c r="I1141" s="65">
        <v>1163.8999999998982</v>
      </c>
      <c r="J1141" s="707">
        <v>45803</v>
      </c>
    </row>
    <row r="1142" spans="2:10" ht="15">
      <c r="B1142" s="706">
        <v>45693</v>
      </c>
      <c r="C1142" s="706">
        <v>1163.7999999998983</v>
      </c>
      <c r="D1142" s="707">
        <v>45803</v>
      </c>
      <c r="E1142" s="707">
        <v>1163.8999999998982</v>
      </c>
      <c r="G1142" s="65">
        <v>1163.8999999998982</v>
      </c>
      <c r="H1142" s="707">
        <v>45803</v>
      </c>
      <c r="I1142" s="65">
        <v>1163.9999999998981</v>
      </c>
      <c r="J1142" s="707">
        <v>45912</v>
      </c>
    </row>
    <row r="1143" spans="2:10" ht="15">
      <c r="B1143" s="706">
        <v>45803</v>
      </c>
      <c r="C1143" s="706">
        <v>1163.8999999998982</v>
      </c>
      <c r="D1143" s="707">
        <v>45912</v>
      </c>
      <c r="E1143" s="707">
        <v>1163.9999999998981</v>
      </c>
      <c r="G1143" s="65">
        <v>1163.9999999998981</v>
      </c>
      <c r="H1143" s="707">
        <v>45912</v>
      </c>
      <c r="I1143" s="65">
        <v>1164.099999999898</v>
      </c>
      <c r="J1143" s="707">
        <v>46022</v>
      </c>
    </row>
    <row r="1144" spans="2:10" ht="15">
      <c r="B1144" s="706">
        <v>45912</v>
      </c>
      <c r="C1144" s="706">
        <v>1163.9999999998981</v>
      </c>
      <c r="D1144" s="707">
        <v>46022</v>
      </c>
      <c r="E1144" s="707">
        <v>1164.099999999898</v>
      </c>
      <c r="G1144" s="65">
        <v>1164.099999999898</v>
      </c>
      <c r="H1144" s="707">
        <v>46022</v>
      </c>
      <c r="I1144" s="65">
        <v>1164.199999999898</v>
      </c>
      <c r="J1144" s="707">
        <v>46133</v>
      </c>
    </row>
    <row r="1145" spans="2:10" ht="15">
      <c r="B1145" s="706">
        <v>46022</v>
      </c>
      <c r="C1145" s="706">
        <v>1164.099999999898</v>
      </c>
      <c r="D1145" s="707">
        <v>46133</v>
      </c>
      <c r="E1145" s="707">
        <v>1164.199999999898</v>
      </c>
      <c r="G1145" s="65">
        <v>1164.199999999898</v>
      </c>
      <c r="H1145" s="707">
        <v>46133</v>
      </c>
      <c r="I1145" s="65">
        <v>1164.2999999998979</v>
      </c>
      <c r="J1145" s="707">
        <v>46243</v>
      </c>
    </row>
    <row r="1146" spans="2:10" ht="15">
      <c r="B1146" s="706">
        <v>46133</v>
      </c>
      <c r="C1146" s="706">
        <v>1164.199999999898</v>
      </c>
      <c r="D1146" s="707">
        <v>46243</v>
      </c>
      <c r="E1146" s="707">
        <v>1164.2999999998979</v>
      </c>
      <c r="G1146" s="65">
        <v>1164.2999999998979</v>
      </c>
      <c r="H1146" s="707">
        <v>46243</v>
      </c>
      <c r="I1146" s="65">
        <v>1164.3999999998978</v>
      </c>
      <c r="J1146" s="707">
        <v>46354</v>
      </c>
    </row>
    <row r="1147" spans="2:10" ht="15">
      <c r="B1147" s="706">
        <v>46243</v>
      </c>
      <c r="C1147" s="706">
        <v>1164.2999999998979</v>
      </c>
      <c r="D1147" s="707">
        <v>46354</v>
      </c>
      <c r="E1147" s="707">
        <v>1164.3999999998978</v>
      </c>
      <c r="G1147" s="65">
        <v>1164.3999999998978</v>
      </c>
      <c r="H1147" s="707">
        <v>46354</v>
      </c>
      <c r="I1147" s="65">
        <v>1164.4999999998977</v>
      </c>
      <c r="J1147" s="707">
        <v>46464</v>
      </c>
    </row>
    <row r="1148" spans="2:10" ht="15">
      <c r="B1148" s="706">
        <v>46354</v>
      </c>
      <c r="C1148" s="706">
        <v>1164.3999999998978</v>
      </c>
      <c r="D1148" s="707">
        <v>46464</v>
      </c>
      <c r="E1148" s="707">
        <v>1164.4999999998977</v>
      </c>
      <c r="G1148" s="65">
        <v>1164.4999999998977</v>
      </c>
      <c r="H1148" s="707">
        <v>46464</v>
      </c>
      <c r="I1148" s="65">
        <v>1164.5999999998976</v>
      </c>
      <c r="J1148" s="707">
        <v>46574</v>
      </c>
    </row>
    <row r="1149" spans="2:10" ht="15">
      <c r="B1149" s="706">
        <v>46464</v>
      </c>
      <c r="C1149" s="706">
        <v>1164.4999999998977</v>
      </c>
      <c r="D1149" s="707">
        <v>46574</v>
      </c>
      <c r="E1149" s="707">
        <v>1164.5999999998976</v>
      </c>
      <c r="G1149" s="65">
        <v>1164.5999999998976</v>
      </c>
      <c r="H1149" s="707">
        <v>46574</v>
      </c>
      <c r="I1149" s="65">
        <v>1164.6999999998975</v>
      </c>
      <c r="J1149" s="707">
        <v>46685</v>
      </c>
    </row>
    <row r="1150" spans="2:10" ht="15">
      <c r="B1150" s="706">
        <v>46574</v>
      </c>
      <c r="C1150" s="706">
        <v>1164.5999999998976</v>
      </c>
      <c r="D1150" s="707">
        <v>46685</v>
      </c>
      <c r="E1150" s="707">
        <v>1164.6999999998975</v>
      </c>
      <c r="G1150" s="65">
        <v>1164.6999999998975</v>
      </c>
      <c r="H1150" s="707">
        <v>46685</v>
      </c>
      <c r="I1150" s="65">
        <v>1164.7999999998974</v>
      </c>
      <c r="J1150" s="707">
        <v>46795</v>
      </c>
    </row>
    <row r="1151" spans="2:10" ht="15">
      <c r="B1151" s="706">
        <v>46685</v>
      </c>
      <c r="C1151" s="706">
        <v>1164.6999999998975</v>
      </c>
      <c r="D1151" s="707">
        <v>46795</v>
      </c>
      <c r="E1151" s="707">
        <v>1164.7999999998974</v>
      </c>
      <c r="G1151" s="65">
        <v>1164.7999999998974</v>
      </c>
      <c r="H1151" s="707">
        <v>46795</v>
      </c>
      <c r="I1151" s="65">
        <v>1164.8999999998973</v>
      </c>
      <c r="J1151" s="707">
        <v>46906</v>
      </c>
    </row>
    <row r="1152" spans="2:10" ht="15">
      <c r="B1152" s="706">
        <v>46795</v>
      </c>
      <c r="C1152" s="706">
        <v>1164.7999999998974</v>
      </c>
      <c r="D1152" s="707">
        <v>46906</v>
      </c>
      <c r="E1152" s="707">
        <v>1164.8999999998973</v>
      </c>
      <c r="G1152" s="65">
        <v>1164.8999999998973</v>
      </c>
      <c r="H1152" s="707">
        <v>46906</v>
      </c>
      <c r="I1152" s="65">
        <v>1164.9999999998972</v>
      </c>
      <c r="J1152" s="707">
        <v>47016</v>
      </c>
    </row>
    <row r="1153" spans="2:10" ht="15">
      <c r="B1153" s="706">
        <v>46906</v>
      </c>
      <c r="C1153" s="706">
        <v>1164.8999999998973</v>
      </c>
      <c r="D1153" s="707">
        <v>47016</v>
      </c>
      <c r="E1153" s="707">
        <v>1164.9999999998972</v>
      </c>
      <c r="G1153" s="65">
        <v>1164.9999999998972</v>
      </c>
      <c r="H1153" s="707">
        <v>47016</v>
      </c>
      <c r="I1153" s="65">
        <v>1165.0999999998971</v>
      </c>
      <c r="J1153" s="707">
        <v>47128</v>
      </c>
    </row>
    <row r="1154" spans="2:10" ht="15">
      <c r="B1154" s="706">
        <v>47016</v>
      </c>
      <c r="C1154" s="706">
        <v>1164.9999999998972</v>
      </c>
      <c r="D1154" s="707">
        <v>47128</v>
      </c>
      <c r="E1154" s="707">
        <v>1165.0999999998971</v>
      </c>
      <c r="G1154" s="65">
        <v>1165.0999999998971</v>
      </c>
      <c r="H1154" s="707">
        <v>47128</v>
      </c>
      <c r="I1154" s="65">
        <v>1165.199999999897</v>
      </c>
      <c r="J1154" s="707">
        <v>47239</v>
      </c>
    </row>
    <row r="1155" spans="2:10" ht="15">
      <c r="B1155" s="706">
        <v>47128</v>
      </c>
      <c r="C1155" s="706">
        <v>1165.0999999998971</v>
      </c>
      <c r="D1155" s="707">
        <v>47239</v>
      </c>
      <c r="E1155" s="707">
        <v>1165.199999999897</v>
      </c>
      <c r="G1155" s="65">
        <v>1165.199999999897</v>
      </c>
      <c r="H1155" s="707">
        <v>47239</v>
      </c>
      <c r="I1155" s="65">
        <v>1165.299999999897</v>
      </c>
      <c r="J1155" s="707">
        <v>47351</v>
      </c>
    </row>
    <row r="1156" spans="2:10" ht="15">
      <c r="B1156" s="706">
        <v>47239</v>
      </c>
      <c r="C1156" s="706">
        <v>1165.199999999897</v>
      </c>
      <c r="D1156" s="707">
        <v>47351</v>
      </c>
      <c r="E1156" s="707">
        <v>1165.299999999897</v>
      </c>
      <c r="G1156" s="65">
        <v>1165.299999999897</v>
      </c>
      <c r="H1156" s="707">
        <v>47351</v>
      </c>
      <c r="I1156" s="65">
        <v>1165.3999999998969</v>
      </c>
      <c r="J1156" s="707">
        <v>47462</v>
      </c>
    </row>
    <row r="1157" spans="2:10" ht="15">
      <c r="B1157" s="706">
        <v>47351</v>
      </c>
      <c r="C1157" s="706">
        <v>1165.299999999897</v>
      </c>
      <c r="D1157" s="707">
        <v>47462</v>
      </c>
      <c r="E1157" s="707">
        <v>1165.3999999998969</v>
      </c>
      <c r="G1157" s="65">
        <v>1165.3999999998969</v>
      </c>
      <c r="H1157" s="707">
        <v>47462</v>
      </c>
      <c r="I1157" s="65">
        <v>1165.4999999998968</v>
      </c>
      <c r="J1157" s="707">
        <v>47574</v>
      </c>
    </row>
    <row r="1158" spans="2:10" ht="15">
      <c r="B1158" s="706">
        <v>47462</v>
      </c>
      <c r="C1158" s="706">
        <v>1165.3999999998969</v>
      </c>
      <c r="D1158" s="707">
        <v>47574</v>
      </c>
      <c r="E1158" s="707">
        <v>1165.4999999998968</v>
      </c>
      <c r="G1158" s="65">
        <v>1165.4999999998968</v>
      </c>
      <c r="H1158" s="707">
        <v>47574</v>
      </c>
      <c r="I1158" s="65">
        <v>1165.5999999998967</v>
      </c>
      <c r="J1158" s="707">
        <v>47685</v>
      </c>
    </row>
    <row r="1159" spans="2:10" ht="15">
      <c r="B1159" s="706">
        <v>47574</v>
      </c>
      <c r="C1159" s="706">
        <v>1165.4999999998968</v>
      </c>
      <c r="D1159" s="707">
        <v>47685</v>
      </c>
      <c r="E1159" s="707">
        <v>1165.5999999998967</v>
      </c>
      <c r="G1159" s="65">
        <v>1165.5999999998967</v>
      </c>
      <c r="H1159" s="707">
        <v>47685</v>
      </c>
      <c r="I1159" s="65">
        <v>1165.6999999998966</v>
      </c>
      <c r="J1159" s="707">
        <v>47797</v>
      </c>
    </row>
    <row r="1160" spans="2:10" ht="15">
      <c r="B1160" s="706">
        <v>47685</v>
      </c>
      <c r="C1160" s="706">
        <v>1165.5999999998967</v>
      </c>
      <c r="D1160" s="707">
        <v>47797</v>
      </c>
      <c r="E1160" s="707">
        <v>1165.6999999998966</v>
      </c>
      <c r="G1160" s="65">
        <v>1165.6999999998966</v>
      </c>
      <c r="H1160" s="707">
        <v>47797</v>
      </c>
      <c r="I1160" s="65">
        <v>1165.7999999998965</v>
      </c>
      <c r="J1160" s="707">
        <v>47908</v>
      </c>
    </row>
    <row r="1161" spans="2:10" ht="15">
      <c r="B1161" s="706">
        <v>47797</v>
      </c>
      <c r="C1161" s="706">
        <v>1165.6999999998966</v>
      </c>
      <c r="D1161" s="707">
        <v>47908</v>
      </c>
      <c r="E1161" s="707">
        <v>1165.7999999998965</v>
      </c>
      <c r="G1161" s="65">
        <v>1165.7999999998965</v>
      </c>
      <c r="H1161" s="707">
        <v>47908</v>
      </c>
      <c r="I1161" s="65">
        <v>1165.8999999998964</v>
      </c>
      <c r="J1161" s="707">
        <v>48020</v>
      </c>
    </row>
    <row r="1162" spans="2:10" ht="15">
      <c r="B1162" s="706">
        <v>47908</v>
      </c>
      <c r="C1162" s="706">
        <v>1165.7999999998965</v>
      </c>
      <c r="D1162" s="707">
        <v>48020</v>
      </c>
      <c r="E1162" s="707">
        <v>1165.8999999998964</v>
      </c>
      <c r="G1162" s="65">
        <v>1165.8999999998964</v>
      </c>
      <c r="H1162" s="707">
        <v>48020</v>
      </c>
      <c r="I1162" s="65">
        <v>1165.9999999998963</v>
      </c>
      <c r="J1162" s="707">
        <v>48131</v>
      </c>
    </row>
    <row r="1163" spans="2:10" ht="15">
      <c r="B1163" s="706">
        <v>48020</v>
      </c>
      <c r="C1163" s="706">
        <v>1165.8999999998964</v>
      </c>
      <c r="D1163" s="707">
        <v>48131</v>
      </c>
      <c r="E1163" s="707">
        <v>1165.9999999998963</v>
      </c>
      <c r="G1163" s="65">
        <v>1165.9999999998963</v>
      </c>
      <c r="H1163" s="707">
        <v>48131</v>
      </c>
      <c r="I1163" s="65">
        <v>1166.0999999998962</v>
      </c>
      <c r="J1163" s="707">
        <v>48244</v>
      </c>
    </row>
    <row r="1164" spans="2:10" ht="15">
      <c r="B1164" s="706">
        <v>48131</v>
      </c>
      <c r="C1164" s="706">
        <v>1165.9999999998963</v>
      </c>
      <c r="D1164" s="707">
        <v>48244</v>
      </c>
      <c r="E1164" s="707">
        <v>1166.0999999998962</v>
      </c>
      <c r="G1164" s="65">
        <v>1166.0999999998962</v>
      </c>
      <c r="H1164" s="707">
        <v>48244</v>
      </c>
      <c r="I1164" s="65">
        <v>1166.1999999998961</v>
      </c>
      <c r="J1164" s="707">
        <v>48356</v>
      </c>
    </row>
    <row r="1165" spans="2:10" ht="15">
      <c r="B1165" s="706">
        <v>48244</v>
      </c>
      <c r="C1165" s="706">
        <v>1166.0999999998962</v>
      </c>
      <c r="D1165" s="707">
        <v>48356</v>
      </c>
      <c r="E1165" s="707">
        <v>1166.1999999998961</v>
      </c>
      <c r="G1165" s="65">
        <v>1166.1999999998961</v>
      </c>
      <c r="H1165" s="707">
        <v>48356</v>
      </c>
      <c r="I1165" s="65">
        <v>1166.299999999896</v>
      </c>
      <c r="J1165" s="707">
        <v>48469</v>
      </c>
    </row>
    <row r="1166" spans="2:10" ht="15">
      <c r="B1166" s="706">
        <v>48356</v>
      </c>
      <c r="C1166" s="706">
        <v>1166.1999999998961</v>
      </c>
      <c r="D1166" s="707">
        <v>48469</v>
      </c>
      <c r="E1166" s="707">
        <v>1166.299999999896</v>
      </c>
      <c r="G1166" s="65">
        <v>1166.299999999896</v>
      </c>
      <c r="H1166" s="707">
        <v>48469</v>
      </c>
      <c r="I1166" s="65">
        <v>1166.399999999896</v>
      </c>
      <c r="J1166" s="707">
        <v>48581</v>
      </c>
    </row>
    <row r="1167" spans="2:10" ht="15">
      <c r="B1167" s="706">
        <v>48469</v>
      </c>
      <c r="C1167" s="706">
        <v>1166.299999999896</v>
      </c>
      <c r="D1167" s="707">
        <v>48581</v>
      </c>
      <c r="E1167" s="707">
        <v>1166.399999999896</v>
      </c>
      <c r="G1167" s="65">
        <v>1166.399999999896</v>
      </c>
      <c r="H1167" s="707">
        <v>48581</v>
      </c>
      <c r="I1167" s="65">
        <v>1166.4999999998959</v>
      </c>
      <c r="J1167" s="707">
        <v>48694</v>
      </c>
    </row>
    <row r="1168" spans="2:10" ht="15">
      <c r="B1168" s="706">
        <v>48581</v>
      </c>
      <c r="C1168" s="706">
        <v>1166.399999999896</v>
      </c>
      <c r="D1168" s="707">
        <v>48694</v>
      </c>
      <c r="E1168" s="707">
        <v>1166.4999999998959</v>
      </c>
      <c r="G1168" s="65">
        <v>1166.4999999998959</v>
      </c>
      <c r="H1168" s="707">
        <v>48694</v>
      </c>
      <c r="I1168" s="65">
        <v>1166.5999999998958</v>
      </c>
      <c r="J1168" s="707">
        <v>48807</v>
      </c>
    </row>
    <row r="1169" spans="2:10" ht="15">
      <c r="B1169" s="706">
        <v>48694</v>
      </c>
      <c r="C1169" s="706">
        <v>1166.4999999998959</v>
      </c>
      <c r="D1169" s="707">
        <v>48807</v>
      </c>
      <c r="E1169" s="707">
        <v>1166.5999999998958</v>
      </c>
      <c r="G1169" s="65">
        <v>1166.5999999998958</v>
      </c>
      <c r="H1169" s="707">
        <v>48807</v>
      </c>
      <c r="I1169" s="65">
        <v>1166.6999999998957</v>
      </c>
      <c r="J1169" s="707">
        <v>48919</v>
      </c>
    </row>
    <row r="1170" spans="2:10" ht="15">
      <c r="B1170" s="706">
        <v>48807</v>
      </c>
      <c r="C1170" s="706">
        <v>1166.5999999998958</v>
      </c>
      <c r="D1170" s="707">
        <v>48919</v>
      </c>
      <c r="E1170" s="707">
        <v>1166.6999999998957</v>
      </c>
      <c r="G1170" s="65">
        <v>1166.6999999998957</v>
      </c>
      <c r="H1170" s="707">
        <v>48919</v>
      </c>
      <c r="I1170" s="65">
        <v>1166.7999999998956</v>
      </c>
      <c r="J1170" s="707">
        <v>49032</v>
      </c>
    </row>
    <row r="1171" spans="2:10" ht="15">
      <c r="B1171" s="706">
        <v>48919</v>
      </c>
      <c r="C1171" s="706">
        <v>1166.6999999998957</v>
      </c>
      <c r="D1171" s="707">
        <v>49032</v>
      </c>
      <c r="E1171" s="707">
        <v>1166.7999999998956</v>
      </c>
      <c r="G1171" s="65">
        <v>1166.7999999998956</v>
      </c>
      <c r="H1171" s="707">
        <v>49032</v>
      </c>
      <c r="I1171" s="65">
        <v>1166.8999999998955</v>
      </c>
      <c r="J1171" s="707">
        <v>49144</v>
      </c>
    </row>
    <row r="1172" spans="2:10" ht="15">
      <c r="B1172" s="706">
        <v>49032</v>
      </c>
      <c r="C1172" s="706">
        <v>1166.7999999998956</v>
      </c>
      <c r="D1172" s="707">
        <v>49144</v>
      </c>
      <c r="E1172" s="707">
        <v>1166.8999999998955</v>
      </c>
      <c r="G1172" s="65">
        <v>1166.8999999998955</v>
      </c>
      <c r="H1172" s="707">
        <v>49144</v>
      </c>
      <c r="I1172" s="65">
        <v>1166.9999999998954</v>
      </c>
      <c r="J1172" s="707">
        <v>49257</v>
      </c>
    </row>
    <row r="1173" spans="2:10" ht="15">
      <c r="B1173" s="706">
        <v>49144</v>
      </c>
      <c r="C1173" s="706">
        <v>1166.8999999998955</v>
      </c>
      <c r="D1173" s="707">
        <v>49257</v>
      </c>
      <c r="E1173" s="707">
        <v>1166.9999999998954</v>
      </c>
      <c r="G1173" s="65">
        <v>1166.9999999998954</v>
      </c>
      <c r="H1173" s="707">
        <v>49257</v>
      </c>
      <c r="I1173" s="65">
        <v>1167.0999999998953</v>
      </c>
      <c r="J1173" s="707">
        <v>49371</v>
      </c>
    </row>
    <row r="1174" spans="2:10" ht="15">
      <c r="B1174" s="706">
        <v>49257</v>
      </c>
      <c r="C1174" s="706">
        <v>1166.9999999998954</v>
      </c>
      <c r="D1174" s="707">
        <v>49371</v>
      </c>
      <c r="E1174" s="707">
        <v>1167.0999999998953</v>
      </c>
      <c r="G1174" s="65">
        <v>1167.0999999998953</v>
      </c>
      <c r="H1174" s="707">
        <v>49371</v>
      </c>
      <c r="I1174" s="65">
        <v>1167.1999999998952</v>
      </c>
      <c r="J1174" s="707">
        <v>49485</v>
      </c>
    </row>
    <row r="1175" spans="2:10" ht="15">
      <c r="B1175" s="706">
        <v>49371</v>
      </c>
      <c r="C1175" s="706">
        <v>1167.0999999998953</v>
      </c>
      <c r="D1175" s="707">
        <v>49485</v>
      </c>
      <c r="E1175" s="707">
        <v>1167.1999999998952</v>
      </c>
      <c r="G1175" s="65">
        <v>1167.1999999998952</v>
      </c>
      <c r="H1175" s="707">
        <v>49485</v>
      </c>
      <c r="I1175" s="65">
        <v>1167.2999999998951</v>
      </c>
      <c r="J1175" s="707">
        <v>49598</v>
      </c>
    </row>
    <row r="1176" spans="2:10" ht="15">
      <c r="B1176" s="706">
        <v>49485</v>
      </c>
      <c r="C1176" s="706">
        <v>1167.1999999998952</v>
      </c>
      <c r="D1176" s="707">
        <v>49598</v>
      </c>
      <c r="E1176" s="707">
        <v>1167.2999999998951</v>
      </c>
      <c r="G1176" s="65">
        <v>1167.2999999998951</v>
      </c>
      <c r="H1176" s="707">
        <v>49598</v>
      </c>
      <c r="I1176" s="65">
        <v>1167.399999999895</v>
      </c>
      <c r="J1176" s="707">
        <v>49712</v>
      </c>
    </row>
    <row r="1177" spans="2:10" ht="15">
      <c r="B1177" s="706">
        <v>49598</v>
      </c>
      <c r="C1177" s="706">
        <v>1167.2999999998951</v>
      </c>
      <c r="D1177" s="707">
        <v>49712</v>
      </c>
      <c r="E1177" s="707">
        <v>1167.399999999895</v>
      </c>
      <c r="G1177" s="65">
        <v>1167.399999999895</v>
      </c>
      <c r="H1177" s="707">
        <v>49712</v>
      </c>
      <c r="I1177" s="65">
        <v>1167.499999999895</v>
      </c>
      <c r="J1177" s="707">
        <v>49826</v>
      </c>
    </row>
    <row r="1178" spans="2:10" ht="15">
      <c r="B1178" s="706">
        <v>49712</v>
      </c>
      <c r="C1178" s="706">
        <v>1167.399999999895</v>
      </c>
      <c r="D1178" s="707">
        <v>49826</v>
      </c>
      <c r="E1178" s="707">
        <v>1167.499999999895</v>
      </c>
      <c r="G1178" s="65">
        <v>1167.499999999895</v>
      </c>
      <c r="H1178" s="707">
        <v>49826</v>
      </c>
      <c r="I1178" s="65">
        <v>1167.5999999998949</v>
      </c>
      <c r="J1178" s="707">
        <v>49940</v>
      </c>
    </row>
    <row r="1179" spans="2:10" ht="15">
      <c r="B1179" s="706">
        <v>49826</v>
      </c>
      <c r="C1179" s="706">
        <v>1167.499999999895</v>
      </c>
      <c r="D1179" s="707">
        <v>49940</v>
      </c>
      <c r="E1179" s="707">
        <v>1167.5999999998949</v>
      </c>
      <c r="G1179" s="65">
        <v>1167.5999999998949</v>
      </c>
      <c r="H1179" s="707">
        <v>49940</v>
      </c>
      <c r="I1179" s="65">
        <v>1167.6999999998948</v>
      </c>
      <c r="J1179" s="707">
        <v>50054</v>
      </c>
    </row>
    <row r="1180" spans="2:10" ht="15">
      <c r="B1180" s="706">
        <v>49940</v>
      </c>
      <c r="C1180" s="706">
        <v>1167.5999999998949</v>
      </c>
      <c r="D1180" s="707">
        <v>50054</v>
      </c>
      <c r="E1180" s="707">
        <v>1167.6999999998948</v>
      </c>
      <c r="G1180" s="65">
        <v>1167.6999999998948</v>
      </c>
      <c r="H1180" s="707">
        <v>50054</v>
      </c>
      <c r="I1180" s="65">
        <v>1167.7999999998947</v>
      </c>
      <c r="J1180" s="707">
        <v>50167</v>
      </c>
    </row>
    <row r="1181" spans="2:10" ht="15">
      <c r="B1181" s="706">
        <v>50054</v>
      </c>
      <c r="C1181" s="706">
        <v>1167.6999999998948</v>
      </c>
      <c r="D1181" s="707">
        <v>50167</v>
      </c>
      <c r="E1181" s="707">
        <v>1167.7999999998947</v>
      </c>
      <c r="G1181" s="65">
        <v>1167.7999999998947</v>
      </c>
      <c r="H1181" s="707">
        <v>50167</v>
      </c>
      <c r="I1181" s="65">
        <v>1167.8999999998946</v>
      </c>
      <c r="J1181" s="707">
        <v>50281</v>
      </c>
    </row>
    <row r="1182" spans="2:10" ht="15">
      <c r="B1182" s="706">
        <v>50167</v>
      </c>
      <c r="C1182" s="706">
        <v>1167.7999999998947</v>
      </c>
      <c r="D1182" s="707">
        <v>50281</v>
      </c>
      <c r="E1182" s="707">
        <v>1167.8999999998946</v>
      </c>
      <c r="G1182" s="65">
        <v>1167.8999999998946</v>
      </c>
      <c r="H1182" s="707">
        <v>50281</v>
      </c>
      <c r="I1182" s="65">
        <v>1167.9999999998945</v>
      </c>
      <c r="J1182" s="707">
        <v>50395</v>
      </c>
    </row>
    <row r="1183" spans="2:10" ht="15">
      <c r="B1183" s="706">
        <v>50281</v>
      </c>
      <c r="C1183" s="706">
        <v>1167.8999999998946</v>
      </c>
      <c r="D1183" s="707">
        <v>50395</v>
      </c>
      <c r="E1183" s="707">
        <v>1167.9999999998945</v>
      </c>
      <c r="G1183" s="65">
        <v>1167.9999999998945</v>
      </c>
      <c r="H1183" s="707">
        <v>50395</v>
      </c>
      <c r="I1183" s="65">
        <v>1168.0999999998944</v>
      </c>
      <c r="J1183" s="707">
        <v>50510</v>
      </c>
    </row>
    <row r="1184" spans="2:10" ht="15">
      <c r="B1184" s="706">
        <v>50395</v>
      </c>
      <c r="C1184" s="706">
        <v>1167.9999999998945</v>
      </c>
      <c r="D1184" s="707">
        <v>50510</v>
      </c>
      <c r="E1184" s="707">
        <v>1168.0999999998944</v>
      </c>
      <c r="G1184" s="65">
        <v>1168.0999999998944</v>
      </c>
      <c r="H1184" s="707">
        <v>50510</v>
      </c>
      <c r="I1184" s="65">
        <v>1168.1999999998943</v>
      </c>
      <c r="J1184" s="707">
        <v>50625</v>
      </c>
    </row>
    <row r="1185" spans="2:10" ht="15">
      <c r="B1185" s="706">
        <v>50510</v>
      </c>
      <c r="C1185" s="706">
        <v>1168.0999999998944</v>
      </c>
      <c r="D1185" s="707">
        <v>50625</v>
      </c>
      <c r="E1185" s="707">
        <v>1168.1999999998943</v>
      </c>
      <c r="G1185" s="65">
        <v>1168.1999999998943</v>
      </c>
      <c r="H1185" s="707">
        <v>50625</v>
      </c>
      <c r="I1185" s="65">
        <v>1168.2999999998942</v>
      </c>
      <c r="J1185" s="707">
        <v>50740</v>
      </c>
    </row>
    <row r="1186" spans="2:10" ht="15">
      <c r="B1186" s="706">
        <v>50625</v>
      </c>
      <c r="C1186" s="706">
        <v>1168.1999999998943</v>
      </c>
      <c r="D1186" s="707">
        <v>50740</v>
      </c>
      <c r="E1186" s="707">
        <v>1168.2999999998942</v>
      </c>
      <c r="G1186" s="65">
        <v>1168.2999999998942</v>
      </c>
      <c r="H1186" s="707">
        <v>50740</v>
      </c>
      <c r="I1186" s="65">
        <v>1168.3999999998941</v>
      </c>
      <c r="J1186" s="707">
        <v>50855</v>
      </c>
    </row>
    <row r="1187" spans="2:10" ht="15">
      <c r="B1187" s="706">
        <v>50740</v>
      </c>
      <c r="C1187" s="706">
        <v>1168.2999999998942</v>
      </c>
      <c r="D1187" s="707">
        <v>50855</v>
      </c>
      <c r="E1187" s="707">
        <v>1168.3999999998941</v>
      </c>
      <c r="G1187" s="65">
        <v>1168.3999999998941</v>
      </c>
      <c r="H1187" s="707">
        <v>50855</v>
      </c>
      <c r="I1187" s="65">
        <v>1168.499999999894</v>
      </c>
      <c r="J1187" s="707">
        <v>50970</v>
      </c>
    </row>
    <row r="1188" spans="2:10" ht="15">
      <c r="B1188" s="706">
        <v>50855</v>
      </c>
      <c r="C1188" s="706">
        <v>1168.3999999998941</v>
      </c>
      <c r="D1188" s="707">
        <v>50970</v>
      </c>
      <c r="E1188" s="707">
        <v>1168.499999999894</v>
      </c>
      <c r="G1188" s="65">
        <v>1168.499999999894</v>
      </c>
      <c r="H1188" s="707">
        <v>50970</v>
      </c>
      <c r="I1188" s="65">
        <v>1168.599999999894</v>
      </c>
      <c r="J1188" s="707">
        <v>51084</v>
      </c>
    </row>
    <row r="1189" spans="2:10" ht="15">
      <c r="B1189" s="706">
        <v>50970</v>
      </c>
      <c r="C1189" s="706">
        <v>1168.499999999894</v>
      </c>
      <c r="D1189" s="707">
        <v>51084</v>
      </c>
      <c r="E1189" s="707">
        <v>1168.599999999894</v>
      </c>
      <c r="G1189" s="65">
        <v>1168.599999999894</v>
      </c>
      <c r="H1189" s="707">
        <v>51084</v>
      </c>
      <c r="I1189" s="65">
        <v>1168.6999999998939</v>
      </c>
      <c r="J1189" s="707">
        <v>51199</v>
      </c>
    </row>
    <row r="1190" spans="2:10" ht="15">
      <c r="B1190" s="706">
        <v>51084</v>
      </c>
      <c r="C1190" s="706">
        <v>1168.599999999894</v>
      </c>
      <c r="D1190" s="707">
        <v>51199</v>
      </c>
      <c r="E1190" s="707">
        <v>1168.6999999998939</v>
      </c>
      <c r="G1190" s="65">
        <v>1168.6999999998939</v>
      </c>
      <c r="H1190" s="707">
        <v>51199</v>
      </c>
      <c r="I1190" s="65">
        <v>1168.7999999998938</v>
      </c>
      <c r="J1190" s="707">
        <v>51314</v>
      </c>
    </row>
    <row r="1191" spans="2:10" ht="15">
      <c r="B1191" s="706">
        <v>51199</v>
      </c>
      <c r="C1191" s="706">
        <v>1168.6999999998939</v>
      </c>
      <c r="D1191" s="707">
        <v>51314</v>
      </c>
      <c r="E1191" s="707">
        <v>1168.7999999998938</v>
      </c>
      <c r="G1191" s="65">
        <v>1168.7999999998938</v>
      </c>
      <c r="H1191" s="707">
        <v>51314</v>
      </c>
      <c r="I1191" s="65">
        <v>1168.8999999998937</v>
      </c>
      <c r="J1191" s="707">
        <v>51429</v>
      </c>
    </row>
    <row r="1192" spans="2:10" ht="15">
      <c r="B1192" s="706">
        <v>51314</v>
      </c>
      <c r="C1192" s="706">
        <v>1168.7999999998938</v>
      </c>
      <c r="D1192" s="707">
        <v>51429</v>
      </c>
      <c r="E1192" s="707">
        <v>1168.8999999998937</v>
      </c>
      <c r="G1192" s="65">
        <v>1168.8999999998937</v>
      </c>
      <c r="H1192" s="707">
        <v>51429</v>
      </c>
      <c r="I1192" s="65">
        <v>1168.9999999998936</v>
      </c>
      <c r="J1192" s="707">
        <v>51544</v>
      </c>
    </row>
    <row r="1193" spans="2:10" ht="15">
      <c r="B1193" s="706">
        <v>51429</v>
      </c>
      <c r="C1193" s="706">
        <v>1168.8999999998937</v>
      </c>
      <c r="D1193" s="707">
        <v>51544</v>
      </c>
      <c r="E1193" s="707">
        <v>1168.9999999998936</v>
      </c>
      <c r="G1193" s="65">
        <v>1168.9999999998936</v>
      </c>
      <c r="H1193" s="707">
        <v>51544</v>
      </c>
      <c r="I1193" s="65">
        <v>1169.0999999998935</v>
      </c>
      <c r="J1193" s="707">
        <v>51660</v>
      </c>
    </row>
    <row r="1194" spans="2:10" ht="15">
      <c r="B1194" s="706">
        <v>51544</v>
      </c>
      <c r="C1194" s="706">
        <v>1168.9999999998936</v>
      </c>
      <c r="D1194" s="707">
        <v>51660</v>
      </c>
      <c r="E1194" s="707">
        <v>1169.0999999998935</v>
      </c>
      <c r="G1194" s="65">
        <v>1169.0999999998935</v>
      </c>
      <c r="H1194" s="707">
        <v>51660</v>
      </c>
      <c r="I1194" s="65">
        <v>1169.1999999998934</v>
      </c>
      <c r="J1194" s="707">
        <v>51776</v>
      </c>
    </row>
    <row r="1195" spans="2:10" ht="15">
      <c r="B1195" s="706">
        <v>51660</v>
      </c>
      <c r="C1195" s="706">
        <v>1169.0999999998935</v>
      </c>
      <c r="D1195" s="707">
        <v>51776</v>
      </c>
      <c r="E1195" s="707">
        <v>1169.1999999998934</v>
      </c>
      <c r="G1195" s="65">
        <v>1169.1999999998934</v>
      </c>
      <c r="H1195" s="707">
        <v>51776</v>
      </c>
      <c r="I1195" s="65">
        <v>1169.2999999998933</v>
      </c>
      <c r="J1195" s="707">
        <v>51892</v>
      </c>
    </row>
    <row r="1196" spans="2:10" ht="15">
      <c r="B1196" s="706">
        <v>51776</v>
      </c>
      <c r="C1196" s="706">
        <v>1169.1999999998934</v>
      </c>
      <c r="D1196" s="707">
        <v>51892</v>
      </c>
      <c r="E1196" s="707">
        <v>1169.2999999998933</v>
      </c>
      <c r="G1196" s="65">
        <v>1169.2999999998933</v>
      </c>
      <c r="H1196" s="707">
        <v>51892</v>
      </c>
      <c r="I1196" s="65">
        <v>1169.3999999998932</v>
      </c>
      <c r="J1196" s="707">
        <v>52008</v>
      </c>
    </row>
    <row r="1197" spans="2:10" ht="15">
      <c r="B1197" s="706">
        <v>51892</v>
      </c>
      <c r="C1197" s="706">
        <v>1169.2999999998933</v>
      </c>
      <c r="D1197" s="707">
        <v>52008</v>
      </c>
      <c r="E1197" s="707">
        <v>1169.3999999998932</v>
      </c>
      <c r="G1197" s="65">
        <v>1169.3999999998932</v>
      </c>
      <c r="H1197" s="707">
        <v>52008</v>
      </c>
      <c r="I1197" s="65">
        <v>1169.4999999998931</v>
      </c>
      <c r="J1197" s="707">
        <v>52125</v>
      </c>
    </row>
    <row r="1198" spans="2:10" ht="15">
      <c r="B1198" s="706">
        <v>52008</v>
      </c>
      <c r="C1198" s="706">
        <v>1169.3999999998932</v>
      </c>
      <c r="D1198" s="707">
        <v>52125</v>
      </c>
      <c r="E1198" s="707">
        <v>1169.4999999998931</v>
      </c>
      <c r="G1198" s="65">
        <v>1169.4999999998931</v>
      </c>
      <c r="H1198" s="707">
        <v>52125</v>
      </c>
      <c r="I1198" s="65">
        <v>1169.599999999893</v>
      </c>
      <c r="J1198" s="707">
        <v>52241</v>
      </c>
    </row>
    <row r="1199" spans="2:10" ht="15">
      <c r="B1199" s="706">
        <v>52125</v>
      </c>
      <c r="C1199" s="706">
        <v>1169.4999999998931</v>
      </c>
      <c r="D1199" s="707">
        <v>52241</v>
      </c>
      <c r="E1199" s="707">
        <v>1169.599999999893</v>
      </c>
      <c r="G1199" s="65">
        <v>1169.599999999893</v>
      </c>
      <c r="H1199" s="707">
        <v>52241</v>
      </c>
      <c r="I1199" s="65">
        <v>1169.699999999893</v>
      </c>
      <c r="J1199" s="707">
        <v>52357</v>
      </c>
    </row>
    <row r="1200" spans="2:10" ht="15">
      <c r="B1200" s="706">
        <v>52241</v>
      </c>
      <c r="C1200" s="706">
        <v>1169.599999999893</v>
      </c>
      <c r="D1200" s="707">
        <v>52357</v>
      </c>
      <c r="E1200" s="707">
        <v>1169.699999999893</v>
      </c>
      <c r="G1200" s="65">
        <v>1169.699999999893</v>
      </c>
      <c r="H1200" s="707">
        <v>52357</v>
      </c>
      <c r="I1200" s="65">
        <v>1169.7999999998929</v>
      </c>
      <c r="J1200" s="707">
        <v>52473</v>
      </c>
    </row>
    <row r="1201" spans="2:10" ht="15">
      <c r="B1201" s="706">
        <v>52357</v>
      </c>
      <c r="C1201" s="706">
        <v>1169.699999999893</v>
      </c>
      <c r="D1201" s="707">
        <v>52473</v>
      </c>
      <c r="E1201" s="707">
        <v>1169.7999999998929</v>
      </c>
      <c r="G1201" s="65">
        <v>1169.7999999998929</v>
      </c>
      <c r="H1201" s="707">
        <v>52473</v>
      </c>
      <c r="I1201" s="65">
        <v>1169.8999999998928</v>
      </c>
      <c r="J1201" s="707">
        <v>52589</v>
      </c>
    </row>
    <row r="1202" spans="2:10" ht="15">
      <c r="B1202" s="706">
        <v>52473</v>
      </c>
      <c r="C1202" s="706">
        <v>1169.7999999998929</v>
      </c>
      <c r="D1202" s="707">
        <v>52589</v>
      </c>
      <c r="E1202" s="707">
        <v>1169.8999999998928</v>
      </c>
      <c r="G1202" s="65">
        <v>1169.8999999998928</v>
      </c>
      <c r="H1202" s="707">
        <v>52589</v>
      </c>
      <c r="I1202" s="65">
        <v>1169.9999999998927</v>
      </c>
      <c r="J1202" s="707">
        <v>52705</v>
      </c>
    </row>
    <row r="1203" spans="2:10" ht="15">
      <c r="B1203" s="706">
        <v>52589</v>
      </c>
      <c r="C1203" s="706">
        <v>1169.8999999998928</v>
      </c>
      <c r="D1203" s="707">
        <v>52705</v>
      </c>
      <c r="E1203" s="707">
        <v>1169.9999999998927</v>
      </c>
      <c r="G1203" s="65">
        <v>1169.9999999998927</v>
      </c>
      <c r="H1203" s="707">
        <v>52705</v>
      </c>
      <c r="I1203" s="65">
        <v>1170.0999999998926</v>
      </c>
      <c r="J1203" s="707">
        <v>52822</v>
      </c>
    </row>
    <row r="1204" spans="2:10" ht="15">
      <c r="B1204" s="706">
        <v>52705</v>
      </c>
      <c r="C1204" s="706">
        <v>1169.9999999998927</v>
      </c>
      <c r="D1204" s="707">
        <v>52822</v>
      </c>
      <c r="E1204" s="707">
        <v>1170.0999999998926</v>
      </c>
      <c r="G1204" s="65">
        <v>1170.0999999998926</v>
      </c>
      <c r="H1204" s="707">
        <v>52822</v>
      </c>
      <c r="I1204" s="65">
        <v>1170.1999999998925</v>
      </c>
      <c r="J1204" s="707">
        <v>52940</v>
      </c>
    </row>
    <row r="1205" spans="2:10" ht="15">
      <c r="B1205" s="706">
        <v>52822</v>
      </c>
      <c r="C1205" s="706">
        <v>1170.0999999998926</v>
      </c>
      <c r="D1205" s="707">
        <v>52940</v>
      </c>
      <c r="E1205" s="707">
        <v>1170.1999999998925</v>
      </c>
      <c r="G1205" s="65">
        <v>1170.1999999998925</v>
      </c>
      <c r="H1205" s="707">
        <v>52940</v>
      </c>
      <c r="I1205" s="65">
        <v>1170.2999999998924</v>
      </c>
      <c r="J1205" s="707">
        <v>53057</v>
      </c>
    </row>
    <row r="1206" spans="2:10" ht="15">
      <c r="B1206" s="706">
        <v>52940</v>
      </c>
      <c r="C1206" s="706">
        <v>1170.1999999998925</v>
      </c>
      <c r="D1206" s="707">
        <v>53057</v>
      </c>
      <c r="E1206" s="707">
        <v>1170.2999999998924</v>
      </c>
      <c r="G1206" s="65">
        <v>1170.2999999998924</v>
      </c>
      <c r="H1206" s="707">
        <v>53057</v>
      </c>
      <c r="I1206" s="65">
        <v>1170.3999999998923</v>
      </c>
      <c r="J1206" s="707">
        <v>53174</v>
      </c>
    </row>
    <row r="1207" spans="2:10" ht="15">
      <c r="B1207" s="706">
        <v>53057</v>
      </c>
      <c r="C1207" s="706">
        <v>1170.2999999998924</v>
      </c>
      <c r="D1207" s="707">
        <v>53174</v>
      </c>
      <c r="E1207" s="707">
        <v>1170.3999999998923</v>
      </c>
      <c r="G1207" s="65">
        <v>1170.3999999998923</v>
      </c>
      <c r="H1207" s="707">
        <v>53174</v>
      </c>
      <c r="I1207" s="65">
        <v>1170.4999999998922</v>
      </c>
      <c r="J1207" s="707">
        <v>53292</v>
      </c>
    </row>
    <row r="1208" spans="2:10" ht="15">
      <c r="B1208" s="706">
        <v>53174</v>
      </c>
      <c r="C1208" s="706">
        <v>1170.3999999998923</v>
      </c>
      <c r="D1208" s="707">
        <v>53292</v>
      </c>
      <c r="E1208" s="707">
        <v>1170.4999999998922</v>
      </c>
      <c r="G1208" s="65">
        <v>1170.4999999998922</v>
      </c>
      <c r="H1208" s="707">
        <v>53292</v>
      </c>
      <c r="I1208" s="65">
        <v>1170.5999999998921</v>
      </c>
      <c r="J1208" s="707">
        <v>53409</v>
      </c>
    </row>
    <row r="1209" spans="2:10" ht="15">
      <c r="B1209" s="706">
        <v>53292</v>
      </c>
      <c r="C1209" s="706">
        <v>1170.4999999998922</v>
      </c>
      <c r="D1209" s="707">
        <v>53409</v>
      </c>
      <c r="E1209" s="707">
        <v>1170.5999999998921</v>
      </c>
      <c r="G1209" s="65">
        <v>1170.5999999998921</v>
      </c>
      <c r="H1209" s="707">
        <v>53409</v>
      </c>
      <c r="I1209" s="65">
        <v>1170.699999999892</v>
      </c>
      <c r="J1209" s="707">
        <v>53526</v>
      </c>
    </row>
    <row r="1210" spans="2:10" ht="15">
      <c r="B1210" s="706">
        <v>53409</v>
      </c>
      <c r="C1210" s="706">
        <v>1170.5999999998921</v>
      </c>
      <c r="D1210" s="707">
        <v>53526</v>
      </c>
      <c r="E1210" s="707">
        <v>1170.699999999892</v>
      </c>
      <c r="G1210" s="65">
        <v>1170.699999999892</v>
      </c>
      <c r="H1210" s="707">
        <v>53526</v>
      </c>
      <c r="I1210" s="65">
        <v>1170.799999999892</v>
      </c>
      <c r="J1210" s="707">
        <v>53643</v>
      </c>
    </row>
    <row r="1211" spans="2:10" ht="15">
      <c r="B1211" s="706">
        <v>53526</v>
      </c>
      <c r="C1211" s="706">
        <v>1170.699999999892</v>
      </c>
      <c r="D1211" s="707">
        <v>53643</v>
      </c>
      <c r="E1211" s="707">
        <v>1170.799999999892</v>
      </c>
      <c r="G1211" s="65">
        <v>1170.799999999892</v>
      </c>
      <c r="H1211" s="707">
        <v>53643</v>
      </c>
      <c r="I1211" s="65">
        <v>1170.8999999998919</v>
      </c>
      <c r="J1211" s="707">
        <v>53761</v>
      </c>
    </row>
    <row r="1212" spans="2:10" ht="15">
      <c r="B1212" s="706">
        <v>53643</v>
      </c>
      <c r="C1212" s="706">
        <v>1170.799999999892</v>
      </c>
      <c r="D1212" s="707">
        <v>53761</v>
      </c>
      <c r="E1212" s="707">
        <v>1170.8999999998919</v>
      </c>
      <c r="G1212" s="65">
        <v>1170.8999999998919</v>
      </c>
      <c r="H1212" s="707">
        <v>53761</v>
      </c>
      <c r="I1212" s="65">
        <v>1170.9999999998918</v>
      </c>
      <c r="J1212" s="707">
        <v>53878</v>
      </c>
    </row>
    <row r="1213" spans="2:10" ht="15">
      <c r="B1213" s="706">
        <v>53761</v>
      </c>
      <c r="C1213" s="706">
        <v>1170.8999999998919</v>
      </c>
      <c r="D1213" s="707">
        <v>53878</v>
      </c>
      <c r="E1213" s="707">
        <v>1170.9999999998918</v>
      </c>
      <c r="G1213" s="65">
        <v>1170.9999999998918</v>
      </c>
      <c r="H1213" s="707">
        <v>53878</v>
      </c>
      <c r="I1213" s="65">
        <v>1171.0999999998917</v>
      </c>
      <c r="J1213" s="707">
        <v>53996</v>
      </c>
    </row>
    <row r="1214" spans="2:10" ht="15">
      <c r="B1214" s="706">
        <v>53878</v>
      </c>
      <c r="C1214" s="706">
        <v>1170.9999999998918</v>
      </c>
      <c r="D1214" s="707">
        <v>53996</v>
      </c>
      <c r="E1214" s="707">
        <v>1171.0999999998917</v>
      </c>
      <c r="G1214" s="65">
        <v>1171.0999999998917</v>
      </c>
      <c r="H1214" s="707">
        <v>53996</v>
      </c>
      <c r="I1214" s="65">
        <v>1171.1999999998916</v>
      </c>
      <c r="J1214" s="707">
        <v>54115</v>
      </c>
    </row>
    <row r="1215" spans="2:10" ht="15">
      <c r="B1215" s="706">
        <v>53996</v>
      </c>
      <c r="C1215" s="706">
        <v>1171.0999999998917</v>
      </c>
      <c r="D1215" s="707">
        <v>54115</v>
      </c>
      <c r="E1215" s="707">
        <v>1171.1999999998916</v>
      </c>
      <c r="G1215" s="65">
        <v>1171.1999999998916</v>
      </c>
      <c r="H1215" s="707">
        <v>54115</v>
      </c>
      <c r="I1215" s="65">
        <v>1171.2999999998915</v>
      </c>
      <c r="J1215" s="707">
        <v>54233</v>
      </c>
    </row>
    <row r="1216" spans="2:10" ht="15">
      <c r="B1216" s="706">
        <v>54115</v>
      </c>
      <c r="C1216" s="706">
        <v>1171.1999999998916</v>
      </c>
      <c r="D1216" s="707">
        <v>54233</v>
      </c>
      <c r="E1216" s="707">
        <v>1171.2999999998915</v>
      </c>
      <c r="G1216" s="65">
        <v>1171.2999999998915</v>
      </c>
      <c r="H1216" s="707">
        <v>54233</v>
      </c>
      <c r="I1216" s="65">
        <v>1171.3999999998914</v>
      </c>
      <c r="J1216" s="707">
        <v>54352</v>
      </c>
    </row>
    <row r="1217" spans="2:10" ht="15">
      <c r="B1217" s="706">
        <v>54233</v>
      </c>
      <c r="C1217" s="706">
        <v>1171.2999999998915</v>
      </c>
      <c r="D1217" s="707">
        <v>54352</v>
      </c>
      <c r="E1217" s="707">
        <v>1171.3999999998914</v>
      </c>
      <c r="G1217" s="65">
        <v>1171.3999999998914</v>
      </c>
      <c r="H1217" s="707">
        <v>54352</v>
      </c>
      <c r="I1217" s="65">
        <v>1171.4999999998913</v>
      </c>
      <c r="J1217" s="707">
        <v>54470</v>
      </c>
    </row>
    <row r="1218" spans="2:10" ht="15">
      <c r="B1218" s="706">
        <v>54352</v>
      </c>
      <c r="C1218" s="706">
        <v>1171.3999999998914</v>
      </c>
      <c r="D1218" s="707">
        <v>54470</v>
      </c>
      <c r="E1218" s="707">
        <v>1171.4999999998913</v>
      </c>
      <c r="G1218" s="65">
        <v>1171.4999999998913</v>
      </c>
      <c r="H1218" s="707">
        <v>54470</v>
      </c>
      <c r="I1218" s="65">
        <v>1171.5999999998912</v>
      </c>
      <c r="J1218" s="707">
        <v>54588</v>
      </c>
    </row>
    <row r="1219" spans="2:10" ht="15">
      <c r="B1219" s="706">
        <v>54470</v>
      </c>
      <c r="C1219" s="706">
        <v>1171.4999999998913</v>
      </c>
      <c r="D1219" s="707">
        <v>54588</v>
      </c>
      <c r="E1219" s="707">
        <v>1171.5999999998912</v>
      </c>
      <c r="G1219" s="65">
        <v>1171.5999999998912</v>
      </c>
      <c r="H1219" s="707">
        <v>54588</v>
      </c>
      <c r="I1219" s="65">
        <v>1171.6999999998911</v>
      </c>
      <c r="J1219" s="707">
        <v>54707</v>
      </c>
    </row>
    <row r="1220" spans="2:10" ht="15">
      <c r="B1220" s="706">
        <v>54588</v>
      </c>
      <c r="C1220" s="706">
        <v>1171.5999999998912</v>
      </c>
      <c r="D1220" s="707">
        <v>54707</v>
      </c>
      <c r="E1220" s="707">
        <v>1171.6999999998911</v>
      </c>
      <c r="G1220" s="65">
        <v>1171.6999999998911</v>
      </c>
      <c r="H1220" s="707">
        <v>54707</v>
      </c>
      <c r="I1220" s="65">
        <v>1171.799999999891</v>
      </c>
      <c r="J1220" s="707">
        <v>54825</v>
      </c>
    </row>
    <row r="1221" spans="2:10" ht="15">
      <c r="B1221" s="706">
        <v>54707</v>
      </c>
      <c r="C1221" s="706">
        <v>1171.6999999998911</v>
      </c>
      <c r="D1221" s="707">
        <v>54825</v>
      </c>
      <c r="E1221" s="707">
        <v>1171.799999999891</v>
      </c>
      <c r="G1221" s="65">
        <v>1171.799999999891</v>
      </c>
      <c r="H1221" s="707">
        <v>54825</v>
      </c>
      <c r="I1221" s="65">
        <v>1171.899999999891</v>
      </c>
      <c r="J1221" s="707">
        <v>54944</v>
      </c>
    </row>
    <row r="1222" spans="2:10" ht="15">
      <c r="B1222" s="706">
        <v>54825</v>
      </c>
      <c r="C1222" s="706">
        <v>1171.799999999891</v>
      </c>
      <c r="D1222" s="707">
        <v>54944</v>
      </c>
      <c r="E1222" s="707">
        <v>1171.899999999891</v>
      </c>
      <c r="G1222" s="65">
        <v>1171.899999999891</v>
      </c>
      <c r="H1222" s="707">
        <v>54944</v>
      </c>
      <c r="I1222" s="65">
        <v>1171.9999999998909</v>
      </c>
      <c r="J1222" s="707">
        <v>55062</v>
      </c>
    </row>
    <row r="1223" spans="2:10" ht="15">
      <c r="B1223" s="706">
        <v>54944</v>
      </c>
      <c r="C1223" s="706">
        <v>1171.899999999891</v>
      </c>
      <c r="D1223" s="707">
        <v>55062</v>
      </c>
      <c r="E1223" s="707">
        <v>1171.9999999998909</v>
      </c>
      <c r="G1223" s="65">
        <v>1171.9999999998909</v>
      </c>
      <c r="H1223" s="707">
        <v>55062</v>
      </c>
      <c r="I1223" s="65">
        <v>1172.0999999998908</v>
      </c>
      <c r="J1223" s="707">
        <v>55182</v>
      </c>
    </row>
    <row r="1224" spans="2:10" ht="15">
      <c r="B1224" s="706">
        <v>55062</v>
      </c>
      <c r="C1224" s="706">
        <v>1171.9999999998909</v>
      </c>
      <c r="D1224" s="707">
        <v>55182</v>
      </c>
      <c r="E1224" s="707">
        <v>1172.0999999998908</v>
      </c>
      <c r="G1224" s="65">
        <v>1172.0999999998908</v>
      </c>
      <c r="H1224" s="707">
        <v>55182</v>
      </c>
      <c r="I1224" s="65">
        <v>1172.1999999998907</v>
      </c>
      <c r="J1224" s="707">
        <v>55301</v>
      </c>
    </row>
    <row r="1225" spans="2:10" ht="15">
      <c r="B1225" s="706">
        <v>55182</v>
      </c>
      <c r="C1225" s="706">
        <v>1172.0999999998908</v>
      </c>
      <c r="D1225" s="707">
        <v>55301</v>
      </c>
      <c r="E1225" s="707">
        <v>1172.1999999998907</v>
      </c>
      <c r="G1225" s="65">
        <v>1172.1999999998907</v>
      </c>
      <c r="H1225" s="707">
        <v>55301</v>
      </c>
      <c r="I1225" s="65">
        <v>1172.2999999998906</v>
      </c>
      <c r="J1225" s="707">
        <v>55421</v>
      </c>
    </row>
    <row r="1226" spans="2:10" ht="15">
      <c r="B1226" s="706">
        <v>55301</v>
      </c>
      <c r="C1226" s="706">
        <v>1172.1999999998907</v>
      </c>
      <c r="D1226" s="707">
        <v>55421</v>
      </c>
      <c r="E1226" s="707">
        <v>1172.2999999998906</v>
      </c>
      <c r="G1226" s="65">
        <v>1172.2999999998906</v>
      </c>
      <c r="H1226" s="707">
        <v>55421</v>
      </c>
      <c r="I1226" s="65">
        <v>1172.3999999998905</v>
      </c>
      <c r="J1226" s="707">
        <v>55540</v>
      </c>
    </row>
    <row r="1227" spans="2:10" ht="15">
      <c r="B1227" s="706">
        <v>55421</v>
      </c>
      <c r="C1227" s="706">
        <v>1172.2999999998906</v>
      </c>
      <c r="D1227" s="707">
        <v>55540</v>
      </c>
      <c r="E1227" s="707">
        <v>1172.3999999998905</v>
      </c>
      <c r="G1227" s="65">
        <v>1172.3999999998905</v>
      </c>
      <c r="H1227" s="707">
        <v>55540</v>
      </c>
      <c r="I1227" s="65">
        <v>1172.4999999998904</v>
      </c>
      <c r="J1227" s="707">
        <v>55660</v>
      </c>
    </row>
    <row r="1228" spans="2:10" ht="15">
      <c r="B1228" s="706">
        <v>55540</v>
      </c>
      <c r="C1228" s="706">
        <v>1172.3999999998905</v>
      </c>
      <c r="D1228" s="707">
        <v>55660</v>
      </c>
      <c r="E1228" s="707">
        <v>1172.4999999998904</v>
      </c>
      <c r="G1228" s="65">
        <v>1172.4999999998904</v>
      </c>
      <c r="H1228" s="707">
        <v>55660</v>
      </c>
      <c r="I1228" s="65">
        <v>1172.5999999998903</v>
      </c>
      <c r="J1228" s="707">
        <v>55779</v>
      </c>
    </row>
    <row r="1229" spans="2:10" ht="15">
      <c r="B1229" s="706">
        <v>55660</v>
      </c>
      <c r="C1229" s="706">
        <v>1172.4999999998904</v>
      </c>
      <c r="D1229" s="707">
        <v>55779</v>
      </c>
      <c r="E1229" s="707">
        <v>1172.5999999998903</v>
      </c>
      <c r="G1229" s="65">
        <v>1172.5999999998903</v>
      </c>
      <c r="H1229" s="707">
        <v>55779</v>
      </c>
      <c r="I1229" s="65">
        <v>1172.6999999998902</v>
      </c>
      <c r="J1229" s="707">
        <v>55899</v>
      </c>
    </row>
    <row r="1230" spans="2:10" ht="15">
      <c r="B1230" s="706">
        <v>55779</v>
      </c>
      <c r="C1230" s="706">
        <v>1172.5999999998903</v>
      </c>
      <c r="D1230" s="707">
        <v>55899</v>
      </c>
      <c r="E1230" s="707">
        <v>1172.6999999998902</v>
      </c>
      <c r="G1230" s="65">
        <v>1172.6999999998902</v>
      </c>
      <c r="H1230" s="707">
        <v>55899</v>
      </c>
      <c r="I1230" s="65">
        <v>1172.7999999998901</v>
      </c>
      <c r="J1230" s="707">
        <v>56018</v>
      </c>
    </row>
    <row r="1231" spans="2:10" ht="15">
      <c r="B1231" s="706">
        <v>55899</v>
      </c>
      <c r="C1231" s="706">
        <v>1172.6999999998902</v>
      </c>
      <c r="D1231" s="707">
        <v>56018</v>
      </c>
      <c r="E1231" s="707">
        <v>1172.7999999998901</v>
      </c>
      <c r="G1231" s="65">
        <v>1172.7999999998901</v>
      </c>
      <c r="H1231" s="707">
        <v>56018</v>
      </c>
      <c r="I1231" s="65">
        <v>1172.89999999989</v>
      </c>
      <c r="J1231" s="707">
        <v>56138</v>
      </c>
    </row>
    <row r="1232" spans="2:10" ht="15">
      <c r="B1232" s="706">
        <v>56018</v>
      </c>
      <c r="C1232" s="706">
        <v>1172.7999999998901</v>
      </c>
      <c r="D1232" s="707">
        <v>56138</v>
      </c>
      <c r="E1232" s="707">
        <v>1172.89999999989</v>
      </c>
      <c r="G1232" s="65">
        <v>1172.89999999989</v>
      </c>
      <c r="H1232" s="707">
        <v>56138</v>
      </c>
      <c r="I1232" s="65">
        <v>1172.99999999989</v>
      </c>
      <c r="J1232" s="707">
        <v>56257</v>
      </c>
    </row>
    <row r="1233" spans="2:10" ht="15">
      <c r="B1233" s="706">
        <v>56138</v>
      </c>
      <c r="C1233" s="706">
        <v>1172.89999999989</v>
      </c>
      <c r="D1233" s="707">
        <v>56257</v>
      </c>
      <c r="E1233" s="707">
        <v>1172.99999999989</v>
      </c>
      <c r="G1233" s="65">
        <v>1172.99999999989</v>
      </c>
      <c r="H1233" s="707">
        <v>56257</v>
      </c>
      <c r="I1233" s="65">
        <v>1173.0999999998899</v>
      </c>
      <c r="J1233" s="707">
        <v>56378</v>
      </c>
    </row>
    <row r="1234" spans="2:10" ht="15">
      <c r="B1234" s="706">
        <v>56257</v>
      </c>
      <c r="C1234" s="706">
        <v>1172.99999999989</v>
      </c>
      <c r="D1234" s="707">
        <v>56378</v>
      </c>
      <c r="E1234" s="707">
        <v>1173.0999999998899</v>
      </c>
      <c r="G1234" s="65">
        <v>1173.0999999998899</v>
      </c>
      <c r="H1234" s="707">
        <v>56378</v>
      </c>
      <c r="I1234" s="65">
        <v>1173.1999999998898</v>
      </c>
      <c r="J1234" s="707">
        <v>56499</v>
      </c>
    </row>
    <row r="1235" spans="2:10" ht="15">
      <c r="B1235" s="706">
        <v>56378</v>
      </c>
      <c r="C1235" s="706">
        <v>1173.0999999998899</v>
      </c>
      <c r="D1235" s="707">
        <v>56499</v>
      </c>
      <c r="E1235" s="707">
        <v>1173.1999999998898</v>
      </c>
      <c r="G1235" s="65">
        <v>1173.1999999998898</v>
      </c>
      <c r="H1235" s="707">
        <v>56499</v>
      </c>
      <c r="I1235" s="65">
        <v>1173.2999999998897</v>
      </c>
      <c r="J1235" s="707">
        <v>56619</v>
      </c>
    </row>
    <row r="1236" spans="2:10" ht="15">
      <c r="B1236" s="706">
        <v>56499</v>
      </c>
      <c r="C1236" s="706">
        <v>1173.1999999998898</v>
      </c>
      <c r="D1236" s="707">
        <v>56619</v>
      </c>
      <c r="E1236" s="707">
        <v>1173.2999999998897</v>
      </c>
      <c r="G1236" s="65">
        <v>1173.2999999998897</v>
      </c>
      <c r="H1236" s="707">
        <v>56619</v>
      </c>
      <c r="I1236" s="65">
        <v>1173.3999999998896</v>
      </c>
      <c r="J1236" s="707">
        <v>56740</v>
      </c>
    </row>
    <row r="1237" spans="2:10" ht="15">
      <c r="B1237" s="706">
        <v>56619</v>
      </c>
      <c r="C1237" s="706">
        <v>1173.2999999998897</v>
      </c>
      <c r="D1237" s="707">
        <v>56740</v>
      </c>
      <c r="E1237" s="707">
        <v>1173.3999999998896</v>
      </c>
      <c r="G1237" s="65">
        <v>1173.3999999998896</v>
      </c>
      <c r="H1237" s="707">
        <v>56740</v>
      </c>
      <c r="I1237" s="65">
        <v>1173.4999999998895</v>
      </c>
      <c r="J1237" s="707">
        <v>56861</v>
      </c>
    </row>
    <row r="1238" spans="2:10" ht="15">
      <c r="B1238" s="706">
        <v>56740</v>
      </c>
      <c r="C1238" s="706">
        <v>1173.3999999998896</v>
      </c>
      <c r="D1238" s="707">
        <v>56861</v>
      </c>
      <c r="E1238" s="707">
        <v>1173.4999999998895</v>
      </c>
      <c r="G1238" s="65">
        <v>1173.4999999998895</v>
      </c>
      <c r="H1238" s="707">
        <v>56861</v>
      </c>
      <c r="I1238" s="65">
        <v>1173.5999999998894</v>
      </c>
      <c r="J1238" s="707">
        <v>56982</v>
      </c>
    </row>
    <row r="1239" spans="2:10" ht="15">
      <c r="B1239" s="706">
        <v>56861</v>
      </c>
      <c r="C1239" s="706">
        <v>1173.4999999998895</v>
      </c>
      <c r="D1239" s="707">
        <v>56982</v>
      </c>
      <c r="E1239" s="707">
        <v>1173.5999999998894</v>
      </c>
      <c r="G1239" s="65">
        <v>1173.5999999998894</v>
      </c>
      <c r="H1239" s="707">
        <v>56982</v>
      </c>
      <c r="I1239" s="65">
        <v>1173.6999999998893</v>
      </c>
      <c r="J1239" s="707">
        <v>57103</v>
      </c>
    </row>
    <row r="1240" spans="2:10" ht="15">
      <c r="B1240" s="706">
        <v>56982</v>
      </c>
      <c r="C1240" s="706">
        <v>1173.5999999998894</v>
      </c>
      <c r="D1240" s="707">
        <v>57103</v>
      </c>
      <c r="E1240" s="707">
        <v>1173.6999999998893</v>
      </c>
      <c r="G1240" s="65">
        <v>1173.6999999998893</v>
      </c>
      <c r="H1240" s="707">
        <v>57103</v>
      </c>
      <c r="I1240" s="65">
        <v>1173.7999999998892</v>
      </c>
      <c r="J1240" s="707">
        <v>57223</v>
      </c>
    </row>
    <row r="1241" spans="2:10" ht="15">
      <c r="B1241" s="706">
        <v>57103</v>
      </c>
      <c r="C1241" s="706">
        <v>1173.6999999998893</v>
      </c>
      <c r="D1241" s="707">
        <v>57223</v>
      </c>
      <c r="E1241" s="707">
        <v>1173.7999999998892</v>
      </c>
      <c r="G1241" s="65">
        <v>1173.7999999998892</v>
      </c>
      <c r="H1241" s="707">
        <v>57223</v>
      </c>
      <c r="I1241" s="65">
        <v>1173.8999999998891</v>
      </c>
      <c r="J1241" s="707">
        <v>57344</v>
      </c>
    </row>
    <row r="1242" spans="2:10" ht="15">
      <c r="B1242" s="706">
        <v>57223</v>
      </c>
      <c r="C1242" s="706">
        <v>1173.7999999998892</v>
      </c>
      <c r="D1242" s="707">
        <v>57344</v>
      </c>
      <c r="E1242" s="707">
        <v>1173.8999999998891</v>
      </c>
      <c r="G1242" s="65">
        <v>1173.8999999998891</v>
      </c>
      <c r="H1242" s="707">
        <v>57344</v>
      </c>
      <c r="I1242" s="65">
        <v>1173.999999999889</v>
      </c>
      <c r="J1242" s="707">
        <v>57465</v>
      </c>
    </row>
    <row r="1243" spans="2:10" ht="15">
      <c r="B1243" s="706">
        <v>57344</v>
      </c>
      <c r="C1243" s="706">
        <v>1173.8999999998891</v>
      </c>
      <c r="D1243" s="707">
        <v>57465</v>
      </c>
      <c r="E1243" s="707">
        <v>1173.999999999889</v>
      </c>
      <c r="G1243" s="65">
        <v>1173.999999999889</v>
      </c>
      <c r="H1243" s="707">
        <v>57465</v>
      </c>
      <c r="I1243" s="65">
        <v>1174.099999999889</v>
      </c>
      <c r="J1243" s="707">
        <v>57587</v>
      </c>
    </row>
    <row r="1244" spans="2:10" ht="15">
      <c r="B1244" s="706">
        <v>57465</v>
      </c>
      <c r="C1244" s="706">
        <v>1173.999999999889</v>
      </c>
      <c r="D1244" s="707">
        <v>57587</v>
      </c>
      <c r="E1244" s="707">
        <v>1174.099999999889</v>
      </c>
      <c r="G1244" s="65">
        <v>1174.099999999889</v>
      </c>
      <c r="H1244" s="707">
        <v>57587</v>
      </c>
      <c r="I1244" s="65">
        <v>1174.1999999998889</v>
      </c>
      <c r="J1244" s="707">
        <v>57709</v>
      </c>
    </row>
    <row r="1245" spans="2:10" ht="15">
      <c r="B1245" s="706">
        <v>57587</v>
      </c>
      <c r="C1245" s="706">
        <v>1174.099999999889</v>
      </c>
      <c r="D1245" s="707">
        <v>57709</v>
      </c>
      <c r="E1245" s="707">
        <v>1174.1999999998889</v>
      </c>
      <c r="G1245" s="65">
        <v>1174.1999999998889</v>
      </c>
      <c r="H1245" s="707">
        <v>57709</v>
      </c>
      <c r="I1245" s="65">
        <v>1174.2999999998888</v>
      </c>
      <c r="J1245" s="707">
        <v>57831</v>
      </c>
    </row>
    <row r="1246" spans="2:10" ht="15">
      <c r="B1246" s="706">
        <v>57709</v>
      </c>
      <c r="C1246" s="706">
        <v>1174.1999999998889</v>
      </c>
      <c r="D1246" s="707">
        <v>57831</v>
      </c>
      <c r="E1246" s="707">
        <v>1174.2999999998888</v>
      </c>
      <c r="G1246" s="65">
        <v>1174.2999999998888</v>
      </c>
      <c r="H1246" s="707">
        <v>57831</v>
      </c>
      <c r="I1246" s="65">
        <v>1174.3999999998887</v>
      </c>
      <c r="J1246" s="707">
        <v>57953</v>
      </c>
    </row>
    <row r="1247" spans="2:10" ht="15">
      <c r="B1247" s="706">
        <v>57831</v>
      </c>
      <c r="C1247" s="706">
        <v>1174.2999999998888</v>
      </c>
      <c r="D1247" s="707">
        <v>57953</v>
      </c>
      <c r="E1247" s="707">
        <v>1174.3999999998887</v>
      </c>
      <c r="G1247" s="65">
        <v>1174.3999999998887</v>
      </c>
      <c r="H1247" s="707">
        <v>57953</v>
      </c>
      <c r="I1247" s="65">
        <v>1174.4999999998886</v>
      </c>
      <c r="J1247" s="707">
        <v>58075</v>
      </c>
    </row>
    <row r="1248" spans="2:10" ht="15">
      <c r="B1248" s="706">
        <v>57953</v>
      </c>
      <c r="C1248" s="706">
        <v>1174.3999999998887</v>
      </c>
      <c r="D1248" s="707">
        <v>58075</v>
      </c>
      <c r="E1248" s="707">
        <v>1174.4999999998886</v>
      </c>
      <c r="G1248" s="65">
        <v>1174.4999999998886</v>
      </c>
      <c r="H1248" s="707">
        <v>58075</v>
      </c>
      <c r="I1248" s="65">
        <v>1174.5999999998885</v>
      </c>
      <c r="J1248" s="707">
        <v>58196</v>
      </c>
    </row>
    <row r="1249" spans="2:10" ht="15">
      <c r="B1249" s="706">
        <v>58075</v>
      </c>
      <c r="C1249" s="706">
        <v>1174.4999999998886</v>
      </c>
      <c r="D1249" s="707">
        <v>58196</v>
      </c>
      <c r="E1249" s="707">
        <v>1174.5999999998885</v>
      </c>
      <c r="G1249" s="65">
        <v>1174.5999999998885</v>
      </c>
      <c r="H1249" s="707">
        <v>58196</v>
      </c>
      <c r="I1249" s="65">
        <v>1174.6999999998884</v>
      </c>
      <c r="J1249" s="707">
        <v>58318</v>
      </c>
    </row>
    <row r="1250" spans="2:10" ht="15">
      <c r="B1250" s="706">
        <v>58196</v>
      </c>
      <c r="C1250" s="706">
        <v>1174.5999999998885</v>
      </c>
      <c r="D1250" s="707">
        <v>58318</v>
      </c>
      <c r="E1250" s="707">
        <v>1174.6999999998884</v>
      </c>
      <c r="G1250" s="65">
        <v>1174.6999999998884</v>
      </c>
      <c r="H1250" s="707">
        <v>58318</v>
      </c>
      <c r="I1250" s="65">
        <v>1174.7999999998883</v>
      </c>
      <c r="J1250" s="707">
        <v>58440</v>
      </c>
    </row>
    <row r="1251" spans="2:10" ht="15">
      <c r="B1251" s="706">
        <v>58318</v>
      </c>
      <c r="C1251" s="706">
        <v>1174.6999999998884</v>
      </c>
      <c r="D1251" s="707">
        <v>58440</v>
      </c>
      <c r="E1251" s="707">
        <v>1174.7999999998883</v>
      </c>
      <c r="G1251" s="65">
        <v>1174.7999999998883</v>
      </c>
      <c r="H1251" s="707">
        <v>58440</v>
      </c>
      <c r="I1251" s="65">
        <v>1174.8999999998882</v>
      </c>
      <c r="J1251" s="707">
        <v>58562</v>
      </c>
    </row>
    <row r="1252" spans="2:10" ht="15">
      <c r="B1252" s="706">
        <v>58440</v>
      </c>
      <c r="C1252" s="706">
        <v>1174.7999999998883</v>
      </c>
      <c r="D1252" s="707">
        <v>58562</v>
      </c>
      <c r="E1252" s="707">
        <v>1174.8999999998882</v>
      </c>
      <c r="G1252" s="65">
        <v>1174.8999999998882</v>
      </c>
      <c r="H1252" s="707">
        <v>58562</v>
      </c>
      <c r="I1252" s="65">
        <v>1174.9999999998881</v>
      </c>
      <c r="J1252" s="707">
        <v>58684</v>
      </c>
    </row>
    <row r="1253" spans="2:10" ht="15">
      <c r="B1253" s="706">
        <v>58562</v>
      </c>
      <c r="C1253" s="706">
        <v>1174.8999999998882</v>
      </c>
      <c r="D1253" s="707">
        <v>58684</v>
      </c>
      <c r="E1253" s="707">
        <v>1174.9999999998881</v>
      </c>
      <c r="G1253" s="65">
        <v>1174.9999999998881</v>
      </c>
      <c r="H1253" s="707">
        <v>58684</v>
      </c>
      <c r="I1253" s="65">
        <v>1175.099999999888</v>
      </c>
      <c r="J1253" s="707">
        <v>58807</v>
      </c>
    </row>
    <row r="1254" spans="2:10" ht="15">
      <c r="B1254" s="706">
        <v>58684</v>
      </c>
      <c r="C1254" s="706">
        <v>1174.9999999998881</v>
      </c>
      <c r="D1254" s="707">
        <v>58807</v>
      </c>
      <c r="E1254" s="707">
        <v>1175.099999999888</v>
      </c>
      <c r="G1254" s="65">
        <v>1175.099999999888</v>
      </c>
      <c r="H1254" s="707">
        <v>58807</v>
      </c>
      <c r="I1254" s="65">
        <v>1175.199999999888</v>
      </c>
      <c r="J1254" s="707">
        <v>58930</v>
      </c>
    </row>
    <row r="1255" spans="2:10" ht="15">
      <c r="B1255" s="706">
        <v>58807</v>
      </c>
      <c r="C1255" s="706">
        <v>1175.099999999888</v>
      </c>
      <c r="D1255" s="707">
        <v>58930</v>
      </c>
      <c r="E1255" s="707">
        <v>1175.199999999888</v>
      </c>
      <c r="G1255" s="65">
        <v>1175.199999999888</v>
      </c>
      <c r="H1255" s="707">
        <v>58930</v>
      </c>
      <c r="I1255" s="65">
        <v>1175.2999999998879</v>
      </c>
      <c r="J1255" s="707">
        <v>59054</v>
      </c>
    </row>
    <row r="1256" spans="2:10" ht="15">
      <c r="B1256" s="706">
        <v>58930</v>
      </c>
      <c r="C1256" s="706">
        <v>1175.199999999888</v>
      </c>
      <c r="D1256" s="707">
        <v>59054</v>
      </c>
      <c r="E1256" s="707">
        <v>1175.2999999998879</v>
      </c>
      <c r="G1256" s="65">
        <v>1175.2999999998879</v>
      </c>
      <c r="H1256" s="707">
        <v>59054</v>
      </c>
      <c r="I1256" s="65">
        <v>1175.3999999998878</v>
      </c>
      <c r="J1256" s="707">
        <v>59177</v>
      </c>
    </row>
    <row r="1257" spans="2:10" ht="15">
      <c r="B1257" s="706">
        <v>59054</v>
      </c>
      <c r="C1257" s="706">
        <v>1175.2999999998879</v>
      </c>
      <c r="D1257" s="707">
        <v>59177</v>
      </c>
      <c r="E1257" s="707">
        <v>1175.3999999998878</v>
      </c>
      <c r="G1257" s="65">
        <v>1175.3999999998878</v>
      </c>
      <c r="H1257" s="707">
        <v>59177</v>
      </c>
      <c r="I1257" s="65">
        <v>1175.4999999998877</v>
      </c>
      <c r="J1257" s="707">
        <v>59300</v>
      </c>
    </row>
    <row r="1258" spans="2:10" ht="15">
      <c r="B1258" s="706">
        <v>59177</v>
      </c>
      <c r="C1258" s="706">
        <v>1175.3999999998878</v>
      </c>
      <c r="D1258" s="707">
        <v>59300</v>
      </c>
      <c r="E1258" s="707">
        <v>1175.4999999998877</v>
      </c>
      <c r="G1258" s="65">
        <v>1175.4999999998877</v>
      </c>
      <c r="H1258" s="707">
        <v>59300</v>
      </c>
      <c r="I1258" s="65">
        <v>1175.5999999998876</v>
      </c>
      <c r="J1258" s="707">
        <v>59423</v>
      </c>
    </row>
    <row r="1259" spans="2:10" ht="15">
      <c r="B1259" s="706">
        <v>59300</v>
      </c>
      <c r="C1259" s="706">
        <v>1175.4999999998877</v>
      </c>
      <c r="D1259" s="707">
        <v>59423</v>
      </c>
      <c r="E1259" s="707">
        <v>1175.5999999998876</v>
      </c>
      <c r="G1259" s="65">
        <v>1175.5999999998876</v>
      </c>
      <c r="H1259" s="707">
        <v>59423</v>
      </c>
      <c r="I1259" s="65">
        <v>1175.6999999998875</v>
      </c>
      <c r="J1259" s="707">
        <v>59546</v>
      </c>
    </row>
    <row r="1260" spans="2:10" ht="15">
      <c r="B1260" s="706">
        <v>59423</v>
      </c>
      <c r="C1260" s="706">
        <v>1175.5999999998876</v>
      </c>
      <c r="D1260" s="707">
        <v>59546</v>
      </c>
      <c r="E1260" s="707">
        <v>1175.6999999998875</v>
      </c>
      <c r="G1260" s="65">
        <v>1175.6999999998875</v>
      </c>
      <c r="H1260" s="707">
        <v>59546</v>
      </c>
      <c r="I1260" s="65">
        <v>1175.7999999998874</v>
      </c>
      <c r="J1260" s="707">
        <v>59670</v>
      </c>
    </row>
    <row r="1261" spans="2:10" ht="15">
      <c r="B1261" s="706">
        <v>59546</v>
      </c>
      <c r="C1261" s="706">
        <v>1175.6999999998875</v>
      </c>
      <c r="D1261" s="707">
        <v>59670</v>
      </c>
      <c r="E1261" s="707">
        <v>1175.7999999998874</v>
      </c>
      <c r="G1261" s="65">
        <v>1175.7999999998874</v>
      </c>
      <c r="H1261" s="707">
        <v>59670</v>
      </c>
      <c r="I1261" s="65">
        <v>1175.8999999998873</v>
      </c>
      <c r="J1261" s="707">
        <v>59793</v>
      </c>
    </row>
    <row r="1262" spans="2:10" ht="15">
      <c r="B1262" s="706">
        <v>59670</v>
      </c>
      <c r="C1262" s="706">
        <v>1175.7999999998874</v>
      </c>
      <c r="D1262" s="707">
        <v>59793</v>
      </c>
      <c r="E1262" s="707">
        <v>1175.8999999998873</v>
      </c>
      <c r="G1262" s="65">
        <v>1175.8999999998873</v>
      </c>
      <c r="H1262" s="707">
        <v>59793</v>
      </c>
      <c r="I1262" s="65">
        <v>1175.9999999998872</v>
      </c>
      <c r="J1262" s="707">
        <v>59916</v>
      </c>
    </row>
    <row r="1263" spans="2:10" ht="15">
      <c r="B1263" s="706">
        <v>59793</v>
      </c>
      <c r="C1263" s="706">
        <v>1175.8999999998873</v>
      </c>
      <c r="D1263" s="707">
        <v>59916</v>
      </c>
      <c r="E1263" s="707">
        <v>1175.9999999998872</v>
      </c>
      <c r="G1263" s="65">
        <v>1175.9999999998872</v>
      </c>
      <c r="H1263" s="707">
        <v>59916</v>
      </c>
      <c r="I1263" s="65">
        <v>1176.0999999998871</v>
      </c>
      <c r="J1263" s="707">
        <v>60041</v>
      </c>
    </row>
    <row r="1264" spans="2:10" ht="15">
      <c r="B1264" s="706">
        <v>59916</v>
      </c>
      <c r="C1264" s="706">
        <v>1175.9999999998872</v>
      </c>
      <c r="D1264" s="707">
        <v>60041</v>
      </c>
      <c r="E1264" s="707">
        <v>1176.0999999998871</v>
      </c>
      <c r="G1264" s="65">
        <v>1176.0999999998871</v>
      </c>
      <c r="H1264" s="707">
        <v>60041</v>
      </c>
      <c r="I1264" s="65">
        <v>1176.199999999887</v>
      </c>
      <c r="J1264" s="707">
        <v>60165</v>
      </c>
    </row>
    <row r="1265" spans="2:10" ht="15">
      <c r="B1265" s="706">
        <v>60041</v>
      </c>
      <c r="C1265" s="706">
        <v>1176.0999999998871</v>
      </c>
      <c r="D1265" s="707">
        <v>60165</v>
      </c>
      <c r="E1265" s="707">
        <v>1176.199999999887</v>
      </c>
      <c r="G1265" s="65">
        <v>1176.199999999887</v>
      </c>
      <c r="H1265" s="707">
        <v>60165</v>
      </c>
      <c r="I1265" s="65">
        <v>1176.2999999998869</v>
      </c>
      <c r="J1265" s="707">
        <v>60290</v>
      </c>
    </row>
    <row r="1266" spans="2:10" ht="15">
      <c r="B1266" s="706">
        <v>60165</v>
      </c>
      <c r="C1266" s="706">
        <v>1176.199999999887</v>
      </c>
      <c r="D1266" s="707">
        <v>60290</v>
      </c>
      <c r="E1266" s="707">
        <v>1176.2999999998869</v>
      </c>
      <c r="G1266" s="65">
        <v>1176.2999999998869</v>
      </c>
      <c r="H1266" s="707">
        <v>60290</v>
      </c>
      <c r="I1266" s="65">
        <v>1176.3999999998869</v>
      </c>
      <c r="J1266" s="707">
        <v>60414</v>
      </c>
    </row>
    <row r="1267" spans="2:10" ht="15">
      <c r="B1267" s="706">
        <v>60290</v>
      </c>
      <c r="C1267" s="706">
        <v>1176.2999999998869</v>
      </c>
      <c r="D1267" s="707">
        <v>60414</v>
      </c>
      <c r="E1267" s="707">
        <v>1176.3999999998869</v>
      </c>
      <c r="G1267" s="65">
        <v>1176.3999999998869</v>
      </c>
      <c r="H1267" s="707">
        <v>60414</v>
      </c>
      <c r="I1267" s="65">
        <v>1176.4999999998868</v>
      </c>
      <c r="J1267" s="707">
        <v>60539</v>
      </c>
    </row>
    <row r="1268" spans="2:10" ht="15">
      <c r="B1268" s="706">
        <v>60414</v>
      </c>
      <c r="C1268" s="706">
        <v>1176.3999999998869</v>
      </c>
      <c r="D1268" s="707">
        <v>60539</v>
      </c>
      <c r="E1268" s="707">
        <v>1176.4999999998868</v>
      </c>
      <c r="G1268" s="65">
        <v>1176.4999999998868</v>
      </c>
      <c r="H1268" s="707">
        <v>60539</v>
      </c>
      <c r="I1268" s="65">
        <v>1176.5999999998867</v>
      </c>
      <c r="J1268" s="707">
        <v>60664</v>
      </c>
    </row>
    <row r="1269" spans="2:10" ht="15">
      <c r="B1269" s="706">
        <v>60539</v>
      </c>
      <c r="C1269" s="706">
        <v>1176.4999999998868</v>
      </c>
      <c r="D1269" s="707">
        <v>60664</v>
      </c>
      <c r="E1269" s="707">
        <v>1176.5999999998867</v>
      </c>
      <c r="G1269" s="65">
        <v>1176.5999999998867</v>
      </c>
      <c r="H1269" s="707">
        <v>60664</v>
      </c>
      <c r="I1269" s="65">
        <v>1176.6999999998866</v>
      </c>
      <c r="J1269" s="707">
        <v>60788</v>
      </c>
    </row>
    <row r="1270" spans="2:10" ht="15">
      <c r="B1270" s="706">
        <v>60664</v>
      </c>
      <c r="C1270" s="706">
        <v>1176.5999999998867</v>
      </c>
      <c r="D1270" s="707">
        <v>60788</v>
      </c>
      <c r="E1270" s="707">
        <v>1176.6999999998866</v>
      </c>
      <c r="G1270" s="65">
        <v>1176.6999999998866</v>
      </c>
      <c r="H1270" s="707">
        <v>60788</v>
      </c>
      <c r="I1270" s="65">
        <v>1176.7999999998865</v>
      </c>
      <c r="J1270" s="707">
        <v>60913</v>
      </c>
    </row>
    <row r="1271" spans="2:10" ht="15">
      <c r="B1271" s="706">
        <v>60788</v>
      </c>
      <c r="C1271" s="706">
        <v>1176.6999999998866</v>
      </c>
      <c r="D1271" s="707">
        <v>60913</v>
      </c>
      <c r="E1271" s="707">
        <v>1176.7999999998865</v>
      </c>
      <c r="G1271" s="65">
        <v>1176.7999999998865</v>
      </c>
      <c r="H1271" s="707">
        <v>60913</v>
      </c>
      <c r="I1271" s="65">
        <v>1176.8999999998864</v>
      </c>
      <c r="J1271" s="707">
        <v>61037</v>
      </c>
    </row>
    <row r="1272" spans="2:10" ht="15">
      <c r="B1272" s="706">
        <v>60913</v>
      </c>
      <c r="C1272" s="706">
        <v>1176.7999999998865</v>
      </c>
      <c r="D1272" s="707">
        <v>61037</v>
      </c>
      <c r="E1272" s="707">
        <v>1176.8999999998864</v>
      </c>
      <c r="G1272" s="65">
        <v>1176.8999999998864</v>
      </c>
      <c r="H1272" s="707">
        <v>61037</v>
      </c>
      <c r="I1272" s="65">
        <v>1176.9999999998863</v>
      </c>
      <c r="J1272" s="707">
        <v>61162</v>
      </c>
    </row>
    <row r="1273" spans="2:10" ht="15">
      <c r="B1273" s="706">
        <v>61037</v>
      </c>
      <c r="C1273" s="706">
        <v>1176.8999999998864</v>
      </c>
      <c r="D1273" s="707">
        <v>61162</v>
      </c>
      <c r="E1273" s="707">
        <v>1176.9999999998863</v>
      </c>
      <c r="G1273" s="65">
        <v>1176.9999999998863</v>
      </c>
      <c r="H1273" s="707">
        <v>61162</v>
      </c>
      <c r="I1273" s="65">
        <v>1177.0999999998862</v>
      </c>
      <c r="J1273" s="707">
        <v>61288</v>
      </c>
    </row>
    <row r="1274" spans="2:10" ht="15">
      <c r="B1274" s="706">
        <v>61162</v>
      </c>
      <c r="C1274" s="706">
        <v>1176.9999999998863</v>
      </c>
      <c r="D1274" s="707">
        <v>61288</v>
      </c>
      <c r="E1274" s="707">
        <v>1177.0999999998862</v>
      </c>
      <c r="G1274" s="65">
        <v>1177.0999999998862</v>
      </c>
      <c r="H1274" s="707">
        <v>61288</v>
      </c>
      <c r="I1274" s="65">
        <v>1177.1999999998861</v>
      </c>
      <c r="J1274" s="707">
        <v>61414</v>
      </c>
    </row>
    <row r="1275" spans="2:10" ht="15">
      <c r="B1275" s="706">
        <v>61288</v>
      </c>
      <c r="C1275" s="706">
        <v>1177.0999999998862</v>
      </c>
      <c r="D1275" s="707">
        <v>61414</v>
      </c>
      <c r="E1275" s="707">
        <v>1177.1999999998861</v>
      </c>
      <c r="G1275" s="65">
        <v>1177.1999999998861</v>
      </c>
      <c r="H1275" s="707">
        <v>61414</v>
      </c>
      <c r="I1275" s="65">
        <v>1177.299999999886</v>
      </c>
      <c r="J1275" s="707">
        <v>61540</v>
      </c>
    </row>
    <row r="1276" spans="2:10" ht="15">
      <c r="B1276" s="706">
        <v>61414</v>
      </c>
      <c r="C1276" s="706">
        <v>1177.1999999998861</v>
      </c>
      <c r="D1276" s="707">
        <v>61540</v>
      </c>
      <c r="E1276" s="707">
        <v>1177.299999999886</v>
      </c>
      <c r="G1276" s="65">
        <v>1177.299999999886</v>
      </c>
      <c r="H1276" s="707">
        <v>61540</v>
      </c>
      <c r="I1276" s="65">
        <v>1177.3999999998859</v>
      </c>
      <c r="J1276" s="707">
        <v>61666</v>
      </c>
    </row>
    <row r="1277" spans="2:10" ht="15">
      <c r="B1277" s="706">
        <v>61540</v>
      </c>
      <c r="C1277" s="706">
        <v>1177.299999999886</v>
      </c>
      <c r="D1277" s="707">
        <v>61666</v>
      </c>
      <c r="E1277" s="707">
        <v>1177.3999999998859</v>
      </c>
      <c r="G1277" s="65">
        <v>1177.3999999998859</v>
      </c>
      <c r="H1277" s="707">
        <v>61666</v>
      </c>
      <c r="I1277" s="65">
        <v>1177.4999999998859</v>
      </c>
      <c r="J1277" s="707">
        <v>61793</v>
      </c>
    </row>
    <row r="1278" spans="2:10" ht="15">
      <c r="B1278" s="706">
        <v>61666</v>
      </c>
      <c r="C1278" s="706">
        <v>1177.3999999998859</v>
      </c>
      <c r="D1278" s="707">
        <v>61793</v>
      </c>
      <c r="E1278" s="707">
        <v>1177.4999999998859</v>
      </c>
      <c r="G1278" s="65">
        <v>1177.4999999998859</v>
      </c>
      <c r="H1278" s="707">
        <v>61793</v>
      </c>
      <c r="I1278" s="65">
        <v>1177.5999999998858</v>
      </c>
      <c r="J1278" s="707">
        <v>61919</v>
      </c>
    </row>
    <row r="1279" spans="2:10" ht="15">
      <c r="B1279" s="706">
        <v>61793</v>
      </c>
      <c r="C1279" s="706">
        <v>1177.4999999998859</v>
      </c>
      <c r="D1279" s="707">
        <v>61919</v>
      </c>
      <c r="E1279" s="707">
        <v>1177.5999999998858</v>
      </c>
      <c r="G1279" s="65">
        <v>1177.5999999998858</v>
      </c>
      <c r="H1279" s="707">
        <v>61919</v>
      </c>
      <c r="I1279" s="65">
        <v>1177.6999999998857</v>
      </c>
      <c r="J1279" s="707">
        <v>62045</v>
      </c>
    </row>
    <row r="1280" spans="2:10" ht="15">
      <c r="B1280" s="706">
        <v>61919</v>
      </c>
      <c r="C1280" s="706">
        <v>1177.5999999998858</v>
      </c>
      <c r="D1280" s="707">
        <v>62045</v>
      </c>
      <c r="E1280" s="707">
        <v>1177.6999999998857</v>
      </c>
      <c r="G1280" s="65">
        <v>1177.6999999998857</v>
      </c>
      <c r="H1280" s="707">
        <v>62045</v>
      </c>
      <c r="I1280" s="65">
        <v>1177.7999999998856</v>
      </c>
      <c r="J1280" s="707">
        <v>62171</v>
      </c>
    </row>
    <row r="1281" spans="2:10" ht="15">
      <c r="B1281" s="706">
        <v>62045</v>
      </c>
      <c r="C1281" s="706">
        <v>1177.6999999998857</v>
      </c>
      <c r="D1281" s="707">
        <v>62171</v>
      </c>
      <c r="E1281" s="707">
        <v>1177.7999999998856</v>
      </c>
      <c r="G1281" s="65">
        <v>1177.7999999998856</v>
      </c>
      <c r="H1281" s="707">
        <v>62171</v>
      </c>
      <c r="I1281" s="65">
        <v>1177.8999999998855</v>
      </c>
      <c r="J1281" s="707">
        <v>62297</v>
      </c>
    </row>
    <row r="1282" spans="2:10" ht="15">
      <c r="B1282" s="706">
        <v>62171</v>
      </c>
      <c r="C1282" s="706">
        <v>1177.7999999998856</v>
      </c>
      <c r="D1282" s="707">
        <v>62297</v>
      </c>
      <c r="E1282" s="707">
        <v>1177.8999999998855</v>
      </c>
      <c r="G1282" s="65">
        <v>1177.8999999998855</v>
      </c>
      <c r="H1282" s="707">
        <v>62297</v>
      </c>
      <c r="I1282" s="65">
        <v>1177.9999999998854</v>
      </c>
      <c r="J1282" s="707">
        <v>62423</v>
      </c>
    </row>
    <row r="1283" spans="2:10" ht="15">
      <c r="B1283" s="706">
        <v>62297</v>
      </c>
      <c r="C1283" s="706">
        <v>1177.8999999998855</v>
      </c>
      <c r="D1283" s="707">
        <v>62423</v>
      </c>
      <c r="E1283" s="707">
        <v>1177.9999999998854</v>
      </c>
      <c r="G1283" s="65">
        <v>1177.9999999998854</v>
      </c>
      <c r="H1283" s="707">
        <v>62423</v>
      </c>
      <c r="I1283" s="65">
        <v>1178.0999999998853</v>
      </c>
      <c r="J1283" s="707">
        <v>62551</v>
      </c>
    </row>
    <row r="1284" spans="2:10" ht="15">
      <c r="B1284" s="706">
        <v>62423</v>
      </c>
      <c r="C1284" s="706">
        <v>1177.9999999998854</v>
      </c>
      <c r="D1284" s="707">
        <v>62551</v>
      </c>
      <c r="E1284" s="707">
        <v>1178.0999999998853</v>
      </c>
      <c r="G1284" s="65">
        <v>1178.0999999998853</v>
      </c>
      <c r="H1284" s="707">
        <v>62551</v>
      </c>
      <c r="I1284" s="65">
        <v>1178.1999999998852</v>
      </c>
      <c r="J1284" s="707">
        <v>62678</v>
      </c>
    </row>
    <row r="1285" spans="2:10" ht="15">
      <c r="B1285" s="706">
        <v>62551</v>
      </c>
      <c r="C1285" s="706">
        <v>1178.0999999998853</v>
      </c>
      <c r="D1285" s="707">
        <v>62678</v>
      </c>
      <c r="E1285" s="707">
        <v>1178.1999999998852</v>
      </c>
      <c r="G1285" s="65">
        <v>1178.1999999998852</v>
      </c>
      <c r="H1285" s="707">
        <v>62678</v>
      </c>
      <c r="I1285" s="65">
        <v>1178.2999999998851</v>
      </c>
      <c r="J1285" s="707">
        <v>62806</v>
      </c>
    </row>
    <row r="1286" spans="2:10" ht="15">
      <c r="B1286" s="706">
        <v>62678</v>
      </c>
      <c r="C1286" s="706">
        <v>1178.1999999998852</v>
      </c>
      <c r="D1286" s="707">
        <v>62806</v>
      </c>
      <c r="E1286" s="707">
        <v>1178.2999999998851</v>
      </c>
      <c r="G1286" s="65">
        <v>1178.2999999998851</v>
      </c>
      <c r="H1286" s="707">
        <v>62806</v>
      </c>
      <c r="I1286" s="65">
        <v>1178.399999999885</v>
      </c>
      <c r="J1286" s="707">
        <v>62933</v>
      </c>
    </row>
    <row r="1287" spans="2:10" ht="15">
      <c r="B1287" s="706">
        <v>62806</v>
      </c>
      <c r="C1287" s="706">
        <v>1178.2999999998851</v>
      </c>
      <c r="D1287" s="707">
        <v>62933</v>
      </c>
      <c r="E1287" s="707">
        <v>1178.399999999885</v>
      </c>
      <c r="G1287" s="65">
        <v>1178.399999999885</v>
      </c>
      <c r="H1287" s="707">
        <v>62933</v>
      </c>
      <c r="I1287" s="65">
        <v>1178.4999999998849</v>
      </c>
      <c r="J1287" s="707">
        <v>63061</v>
      </c>
    </row>
    <row r="1288" spans="2:10" ht="15">
      <c r="B1288" s="706">
        <v>62933</v>
      </c>
      <c r="C1288" s="706">
        <v>1178.399999999885</v>
      </c>
      <c r="D1288" s="707">
        <v>63061</v>
      </c>
      <c r="E1288" s="707">
        <v>1178.4999999998849</v>
      </c>
      <c r="G1288" s="65">
        <v>1178.4999999998849</v>
      </c>
      <c r="H1288" s="707">
        <v>63061</v>
      </c>
      <c r="I1288" s="65">
        <v>1178.5999999998849</v>
      </c>
      <c r="J1288" s="707">
        <v>63189</v>
      </c>
    </row>
    <row r="1289" spans="2:10" ht="15">
      <c r="B1289" s="706">
        <v>63061</v>
      </c>
      <c r="C1289" s="706">
        <v>1178.4999999998849</v>
      </c>
      <c r="D1289" s="707">
        <v>63189</v>
      </c>
      <c r="E1289" s="707">
        <v>1178.5999999998849</v>
      </c>
      <c r="G1289" s="65">
        <v>1178.5999999998849</v>
      </c>
      <c r="H1289" s="707">
        <v>63189</v>
      </c>
      <c r="I1289" s="65">
        <v>1178.6999999998848</v>
      </c>
      <c r="J1289" s="707">
        <v>63316</v>
      </c>
    </row>
    <row r="1290" spans="2:10" ht="15">
      <c r="B1290" s="706">
        <v>63189</v>
      </c>
      <c r="C1290" s="706">
        <v>1178.5999999998849</v>
      </c>
      <c r="D1290" s="707">
        <v>63316</v>
      </c>
      <c r="E1290" s="707">
        <v>1178.6999999998848</v>
      </c>
      <c r="G1290" s="65">
        <v>1178.6999999998848</v>
      </c>
      <c r="H1290" s="707">
        <v>63316</v>
      </c>
      <c r="I1290" s="65">
        <v>1178.7999999998847</v>
      </c>
      <c r="J1290" s="707">
        <v>63444</v>
      </c>
    </row>
    <row r="1291" spans="2:10" ht="15">
      <c r="B1291" s="706">
        <v>63316</v>
      </c>
      <c r="C1291" s="706">
        <v>1178.6999999998848</v>
      </c>
      <c r="D1291" s="707">
        <v>63444</v>
      </c>
      <c r="E1291" s="707">
        <v>1178.7999999998847</v>
      </c>
      <c r="G1291" s="65">
        <v>1178.7999999998847</v>
      </c>
      <c r="H1291" s="707">
        <v>63444</v>
      </c>
      <c r="I1291" s="65">
        <v>1178.8999999998846</v>
      </c>
      <c r="J1291" s="707">
        <v>63571</v>
      </c>
    </row>
    <row r="1292" spans="2:10" ht="15">
      <c r="B1292" s="706">
        <v>63444</v>
      </c>
      <c r="C1292" s="706">
        <v>1178.7999999998847</v>
      </c>
      <c r="D1292" s="707">
        <v>63571</v>
      </c>
      <c r="E1292" s="707">
        <v>1178.8999999998846</v>
      </c>
      <c r="G1292" s="65">
        <v>1178.8999999998846</v>
      </c>
      <c r="H1292" s="707">
        <v>63571</v>
      </c>
      <c r="I1292" s="65">
        <v>1178.9999999998845</v>
      </c>
      <c r="J1292" s="707">
        <v>63699</v>
      </c>
    </row>
    <row r="1293" spans="2:10" ht="15">
      <c r="B1293" s="706">
        <v>63571</v>
      </c>
      <c r="C1293" s="706">
        <v>1178.8999999998846</v>
      </c>
      <c r="D1293" s="707">
        <v>63699</v>
      </c>
      <c r="E1293" s="707">
        <v>1178.9999999998845</v>
      </c>
      <c r="G1293" s="65">
        <v>1178.9999999998845</v>
      </c>
      <c r="H1293" s="707">
        <v>63699</v>
      </c>
      <c r="I1293" s="65">
        <v>1179.0999999998844</v>
      </c>
      <c r="J1293" s="707">
        <v>63828</v>
      </c>
    </row>
    <row r="1294" spans="2:10" ht="15">
      <c r="B1294" s="706">
        <v>63699</v>
      </c>
      <c r="C1294" s="706">
        <v>1178.9999999998845</v>
      </c>
      <c r="D1294" s="707">
        <v>63828</v>
      </c>
      <c r="E1294" s="707">
        <v>1179.0999999998844</v>
      </c>
      <c r="G1294" s="65">
        <v>1179.0999999998844</v>
      </c>
      <c r="H1294" s="707">
        <v>63828</v>
      </c>
      <c r="I1294" s="65">
        <v>1179.1999999998843</v>
      </c>
      <c r="J1294" s="707">
        <v>63957</v>
      </c>
    </row>
    <row r="1295" spans="2:10" ht="15">
      <c r="B1295" s="706">
        <v>63828</v>
      </c>
      <c r="C1295" s="706">
        <v>1179.0999999998844</v>
      </c>
      <c r="D1295" s="707">
        <v>63957</v>
      </c>
      <c r="E1295" s="707">
        <v>1179.1999999998843</v>
      </c>
      <c r="G1295" s="65">
        <v>1179.1999999998843</v>
      </c>
      <c r="H1295" s="707">
        <v>63957</v>
      </c>
      <c r="I1295" s="65">
        <v>1179.2999999998842</v>
      </c>
      <c r="J1295" s="707">
        <v>64086</v>
      </c>
    </row>
    <row r="1296" spans="2:10" ht="15">
      <c r="B1296" s="706">
        <v>63957</v>
      </c>
      <c r="C1296" s="706">
        <v>1179.1999999998843</v>
      </c>
      <c r="D1296" s="707">
        <v>64086</v>
      </c>
      <c r="E1296" s="707">
        <v>1179.2999999998842</v>
      </c>
      <c r="G1296" s="65">
        <v>1179.2999999998842</v>
      </c>
      <c r="H1296" s="707">
        <v>64086</v>
      </c>
      <c r="I1296" s="65">
        <v>1179.3999999998841</v>
      </c>
      <c r="J1296" s="707">
        <v>64215</v>
      </c>
    </row>
    <row r="1297" spans="2:10" ht="15">
      <c r="B1297" s="706">
        <v>64086</v>
      </c>
      <c r="C1297" s="706">
        <v>1179.2999999998842</v>
      </c>
      <c r="D1297" s="707">
        <v>64215</v>
      </c>
      <c r="E1297" s="707">
        <v>1179.3999999998841</v>
      </c>
      <c r="G1297" s="65">
        <v>1179.3999999998841</v>
      </c>
      <c r="H1297" s="707">
        <v>64215</v>
      </c>
      <c r="I1297" s="65">
        <v>1179.499999999884</v>
      </c>
      <c r="J1297" s="707">
        <v>64344</v>
      </c>
    </row>
    <row r="1298" spans="2:10" ht="15">
      <c r="B1298" s="706">
        <v>64215</v>
      </c>
      <c r="C1298" s="706">
        <v>1179.3999999998841</v>
      </c>
      <c r="D1298" s="707">
        <v>64344</v>
      </c>
      <c r="E1298" s="707">
        <v>1179.499999999884</v>
      </c>
      <c r="G1298" s="65">
        <v>1179.499999999884</v>
      </c>
      <c r="H1298" s="707">
        <v>64344</v>
      </c>
      <c r="I1298" s="65">
        <v>1179.5999999998839</v>
      </c>
      <c r="J1298" s="707">
        <v>64473</v>
      </c>
    </row>
    <row r="1299" spans="2:10" ht="15">
      <c r="B1299" s="706">
        <v>64344</v>
      </c>
      <c r="C1299" s="706">
        <v>1179.499999999884</v>
      </c>
      <c r="D1299" s="707">
        <v>64473</v>
      </c>
      <c r="E1299" s="707">
        <v>1179.5999999998839</v>
      </c>
      <c r="G1299" s="65">
        <v>1179.5999999998839</v>
      </c>
      <c r="H1299" s="707">
        <v>64473</v>
      </c>
      <c r="I1299" s="65">
        <v>1179.6999999998839</v>
      </c>
      <c r="J1299" s="707">
        <v>64602</v>
      </c>
    </row>
    <row r="1300" spans="2:10" ht="15">
      <c r="B1300" s="706">
        <v>64473</v>
      </c>
      <c r="C1300" s="706">
        <v>1179.5999999998839</v>
      </c>
      <c r="D1300" s="707">
        <v>64602</v>
      </c>
      <c r="E1300" s="707">
        <v>1179.6999999998839</v>
      </c>
      <c r="G1300" s="65">
        <v>1179.6999999998839</v>
      </c>
      <c r="H1300" s="707">
        <v>64602</v>
      </c>
      <c r="I1300" s="65">
        <v>1179.7999999998838</v>
      </c>
      <c r="J1300" s="707">
        <v>64731</v>
      </c>
    </row>
    <row r="1301" spans="2:10" ht="15">
      <c r="B1301" s="706">
        <v>64602</v>
      </c>
      <c r="C1301" s="706">
        <v>1179.6999999998839</v>
      </c>
      <c r="D1301" s="707">
        <v>64731</v>
      </c>
      <c r="E1301" s="707">
        <v>1179.7999999998838</v>
      </c>
      <c r="G1301" s="65">
        <v>1179.7999999998838</v>
      </c>
      <c r="H1301" s="707">
        <v>64731</v>
      </c>
      <c r="I1301" s="65">
        <v>1179.8999999998837</v>
      </c>
      <c r="J1301" s="707">
        <v>64860</v>
      </c>
    </row>
    <row r="1302" spans="2:10" ht="15">
      <c r="B1302" s="706">
        <v>64731</v>
      </c>
      <c r="C1302" s="706">
        <v>1179.7999999998838</v>
      </c>
      <c r="D1302" s="707">
        <v>64860</v>
      </c>
      <c r="E1302" s="707">
        <v>1179.8999999998837</v>
      </c>
      <c r="G1302" s="65">
        <v>1179.8999999998837</v>
      </c>
      <c r="H1302" s="707">
        <v>64860</v>
      </c>
      <c r="I1302" s="65">
        <v>1179.9999999998836</v>
      </c>
      <c r="J1302" s="707">
        <v>64989</v>
      </c>
    </row>
    <row r="1303" spans="2:10" ht="15">
      <c r="B1303" s="706">
        <v>64860</v>
      </c>
      <c r="C1303" s="706">
        <v>1179.8999999998837</v>
      </c>
      <c r="D1303" s="707">
        <v>64989</v>
      </c>
      <c r="E1303" s="707">
        <v>1179.9999999998836</v>
      </c>
      <c r="G1303" s="65">
        <v>1179.9999999998836</v>
      </c>
      <c r="H1303" s="707">
        <v>64989</v>
      </c>
      <c r="I1303" s="65">
        <v>1180.0999999998835</v>
      </c>
      <c r="J1303" s="707">
        <v>65120</v>
      </c>
    </row>
    <row r="1304" spans="2:10" ht="15">
      <c r="B1304" s="706">
        <v>64989</v>
      </c>
      <c r="C1304" s="706">
        <v>1179.9999999998836</v>
      </c>
      <c r="D1304" s="707">
        <v>65120</v>
      </c>
      <c r="E1304" s="707">
        <v>1180.0999999998835</v>
      </c>
      <c r="G1304" s="65">
        <v>1180.0999999998835</v>
      </c>
      <c r="H1304" s="707">
        <v>65120</v>
      </c>
      <c r="I1304" s="65">
        <v>1180.1999999998834</v>
      </c>
      <c r="J1304" s="707">
        <v>65250</v>
      </c>
    </row>
    <row r="1305" spans="2:10" ht="15">
      <c r="B1305" s="706">
        <v>65120</v>
      </c>
      <c r="C1305" s="706">
        <v>1180.0999999998835</v>
      </c>
      <c r="D1305" s="707">
        <v>65250</v>
      </c>
      <c r="E1305" s="707">
        <v>1180.1999999998834</v>
      </c>
      <c r="G1305" s="65">
        <v>1180.1999999998834</v>
      </c>
      <c r="H1305" s="707">
        <v>65250</v>
      </c>
      <c r="I1305" s="65">
        <v>1180.2999999998833</v>
      </c>
      <c r="J1305" s="707">
        <v>65381</v>
      </c>
    </row>
    <row r="1306" spans="2:10" ht="15">
      <c r="B1306" s="706">
        <v>65250</v>
      </c>
      <c r="C1306" s="706">
        <v>1180.1999999998834</v>
      </c>
      <c r="D1306" s="707">
        <v>65381</v>
      </c>
      <c r="E1306" s="707">
        <v>1180.2999999998833</v>
      </c>
      <c r="G1306" s="65">
        <v>1180.2999999998833</v>
      </c>
      <c r="H1306" s="707">
        <v>65381</v>
      </c>
      <c r="I1306" s="65">
        <v>1180.3999999998832</v>
      </c>
      <c r="J1306" s="707">
        <v>65511</v>
      </c>
    </row>
    <row r="1307" spans="2:10" ht="15">
      <c r="B1307" s="706">
        <v>65381</v>
      </c>
      <c r="C1307" s="706">
        <v>1180.2999999998833</v>
      </c>
      <c r="D1307" s="707">
        <v>65511</v>
      </c>
      <c r="E1307" s="707">
        <v>1180.3999999998832</v>
      </c>
      <c r="G1307" s="65">
        <v>1180.3999999998832</v>
      </c>
      <c r="H1307" s="707">
        <v>65511</v>
      </c>
      <c r="I1307" s="65">
        <v>1180.4999999998831</v>
      </c>
      <c r="J1307" s="707">
        <v>65642</v>
      </c>
    </row>
    <row r="1308" spans="2:10" ht="15">
      <c r="B1308" s="706">
        <v>65511</v>
      </c>
      <c r="C1308" s="706">
        <v>1180.3999999998832</v>
      </c>
      <c r="D1308" s="707">
        <v>65642</v>
      </c>
      <c r="E1308" s="707">
        <v>1180.4999999998831</v>
      </c>
      <c r="G1308" s="65">
        <v>1180.4999999998831</v>
      </c>
      <c r="H1308" s="707">
        <v>65642</v>
      </c>
      <c r="I1308" s="65">
        <v>1180.599999999883</v>
      </c>
      <c r="J1308" s="707">
        <v>65772</v>
      </c>
    </row>
    <row r="1309" spans="2:10" ht="15">
      <c r="B1309" s="706">
        <v>65642</v>
      </c>
      <c r="C1309" s="706">
        <v>1180.4999999998831</v>
      </c>
      <c r="D1309" s="707">
        <v>65772</v>
      </c>
      <c r="E1309" s="707">
        <v>1180.599999999883</v>
      </c>
      <c r="G1309" s="65">
        <v>1180.599999999883</v>
      </c>
      <c r="H1309" s="707">
        <v>65772</v>
      </c>
      <c r="I1309" s="65">
        <v>1180.6999999998829</v>
      </c>
      <c r="J1309" s="707">
        <v>65903</v>
      </c>
    </row>
    <row r="1310" spans="2:10" ht="15">
      <c r="B1310" s="706">
        <v>65772</v>
      </c>
      <c r="C1310" s="706">
        <v>1180.599999999883</v>
      </c>
      <c r="D1310" s="707">
        <v>65903</v>
      </c>
      <c r="E1310" s="707">
        <v>1180.6999999998829</v>
      </c>
      <c r="G1310" s="65">
        <v>1180.6999999998829</v>
      </c>
      <c r="H1310" s="707">
        <v>65903</v>
      </c>
      <c r="I1310" s="65">
        <v>1180.7999999998829</v>
      </c>
      <c r="J1310" s="707">
        <v>66033</v>
      </c>
    </row>
    <row r="1311" spans="2:10" ht="15">
      <c r="B1311" s="706">
        <v>65903</v>
      </c>
      <c r="C1311" s="706">
        <v>1180.6999999998829</v>
      </c>
      <c r="D1311" s="707">
        <v>66033</v>
      </c>
      <c r="E1311" s="707">
        <v>1180.7999999998829</v>
      </c>
      <c r="G1311" s="65">
        <v>1180.7999999998829</v>
      </c>
      <c r="H1311" s="707">
        <v>66033</v>
      </c>
      <c r="I1311" s="65">
        <v>1180.8999999998828</v>
      </c>
      <c r="J1311" s="707">
        <v>66164</v>
      </c>
    </row>
    <row r="1312" spans="2:10" ht="15">
      <c r="B1312" s="706">
        <v>66033</v>
      </c>
      <c r="C1312" s="706">
        <v>1180.7999999998829</v>
      </c>
      <c r="D1312" s="707">
        <v>66164</v>
      </c>
      <c r="E1312" s="707">
        <v>1180.8999999998828</v>
      </c>
      <c r="G1312" s="65">
        <v>1180.8999999998828</v>
      </c>
      <c r="H1312" s="707">
        <v>66164</v>
      </c>
      <c r="I1312" s="65">
        <v>1180.9999999998827</v>
      </c>
      <c r="J1312" s="707">
        <v>66294</v>
      </c>
    </row>
    <row r="1313" spans="2:10" ht="15">
      <c r="B1313" s="706">
        <v>66164</v>
      </c>
      <c r="C1313" s="706">
        <v>1180.8999999998828</v>
      </c>
      <c r="D1313" s="707">
        <v>66294</v>
      </c>
      <c r="E1313" s="707">
        <v>1180.9999999998827</v>
      </c>
      <c r="G1313" s="65">
        <v>1180.9999999998827</v>
      </c>
      <c r="H1313" s="707">
        <v>66294</v>
      </c>
      <c r="I1313" s="65">
        <v>1181.0999999998826</v>
      </c>
      <c r="J1313" s="707">
        <v>66426</v>
      </c>
    </row>
    <row r="1314" spans="2:10" ht="15">
      <c r="B1314" s="706">
        <v>66294</v>
      </c>
      <c r="C1314" s="706">
        <v>1180.9999999998827</v>
      </c>
      <c r="D1314" s="707">
        <v>66426</v>
      </c>
      <c r="E1314" s="707">
        <v>1181.0999999998826</v>
      </c>
      <c r="G1314" s="65">
        <v>1181.0999999998826</v>
      </c>
      <c r="H1314" s="707">
        <v>66426</v>
      </c>
      <c r="I1314" s="65">
        <v>1181.1999999998825</v>
      </c>
      <c r="J1314" s="707">
        <v>66558</v>
      </c>
    </row>
    <row r="1315" spans="2:10" ht="15">
      <c r="B1315" s="706">
        <v>66426</v>
      </c>
      <c r="C1315" s="706">
        <v>1181.0999999998826</v>
      </c>
      <c r="D1315" s="707">
        <v>66558</v>
      </c>
      <c r="E1315" s="707">
        <v>1181.1999999998825</v>
      </c>
      <c r="G1315" s="65">
        <v>1181.1999999998825</v>
      </c>
      <c r="H1315" s="707">
        <v>66558</v>
      </c>
      <c r="I1315" s="65">
        <v>1181.2999999998824</v>
      </c>
      <c r="J1315" s="707">
        <v>66690</v>
      </c>
    </row>
    <row r="1316" spans="2:10" ht="15">
      <c r="B1316" s="706">
        <v>66558</v>
      </c>
      <c r="C1316" s="706">
        <v>1181.1999999998825</v>
      </c>
      <c r="D1316" s="707">
        <v>66690</v>
      </c>
      <c r="E1316" s="707">
        <v>1181.2999999998824</v>
      </c>
      <c r="G1316" s="65">
        <v>1181.2999999998824</v>
      </c>
      <c r="H1316" s="707">
        <v>66690</v>
      </c>
      <c r="I1316" s="65">
        <v>1181.3999999998823</v>
      </c>
      <c r="J1316" s="707">
        <v>66822</v>
      </c>
    </row>
    <row r="1317" spans="2:10" ht="15">
      <c r="B1317" s="706">
        <v>66690</v>
      </c>
      <c r="C1317" s="706">
        <v>1181.2999999998824</v>
      </c>
      <c r="D1317" s="707">
        <v>66822</v>
      </c>
      <c r="E1317" s="707">
        <v>1181.3999999998823</v>
      </c>
      <c r="G1317" s="65">
        <v>1181.3999999998823</v>
      </c>
      <c r="H1317" s="707">
        <v>66822</v>
      </c>
      <c r="I1317" s="65">
        <v>1181.4999999998822</v>
      </c>
      <c r="J1317" s="707">
        <v>66954</v>
      </c>
    </row>
    <row r="1318" spans="2:10" ht="15">
      <c r="B1318" s="706">
        <v>66822</v>
      </c>
      <c r="C1318" s="706">
        <v>1181.3999999998823</v>
      </c>
      <c r="D1318" s="707">
        <v>66954</v>
      </c>
      <c r="E1318" s="707">
        <v>1181.4999999998822</v>
      </c>
      <c r="G1318" s="65">
        <v>1181.4999999998822</v>
      </c>
      <c r="H1318" s="707">
        <v>66954</v>
      </c>
      <c r="I1318" s="65">
        <v>1181.5999999998821</v>
      </c>
      <c r="J1318" s="707">
        <v>67086</v>
      </c>
    </row>
    <row r="1319" spans="2:10" ht="15">
      <c r="B1319" s="706">
        <v>66954</v>
      </c>
      <c r="C1319" s="706">
        <v>1181.4999999998822</v>
      </c>
      <c r="D1319" s="707">
        <v>67086</v>
      </c>
      <c r="E1319" s="707">
        <v>1181.5999999998821</v>
      </c>
      <c r="G1319" s="65">
        <v>1181.5999999998821</v>
      </c>
      <c r="H1319" s="707">
        <v>67086</v>
      </c>
      <c r="I1319" s="65">
        <v>1181.699999999882</v>
      </c>
      <c r="J1319" s="707">
        <v>67218</v>
      </c>
    </row>
    <row r="1320" spans="2:10" ht="15">
      <c r="B1320" s="706">
        <v>67086</v>
      </c>
      <c r="C1320" s="706">
        <v>1181.5999999998821</v>
      </c>
      <c r="D1320" s="707">
        <v>67218</v>
      </c>
      <c r="E1320" s="707">
        <v>1181.699999999882</v>
      </c>
      <c r="G1320" s="65">
        <v>1181.699999999882</v>
      </c>
      <c r="H1320" s="707">
        <v>67218</v>
      </c>
      <c r="I1320" s="65">
        <v>1181.7999999998819</v>
      </c>
      <c r="J1320" s="707">
        <v>67350</v>
      </c>
    </row>
    <row r="1321" spans="2:10" ht="15">
      <c r="B1321" s="706">
        <v>67218</v>
      </c>
      <c r="C1321" s="706">
        <v>1181.699999999882</v>
      </c>
      <c r="D1321" s="707">
        <v>67350</v>
      </c>
      <c r="E1321" s="707">
        <v>1181.7999999998819</v>
      </c>
      <c r="G1321" s="65">
        <v>1181.7999999998819</v>
      </c>
      <c r="H1321" s="707">
        <v>67350</v>
      </c>
      <c r="I1321" s="65">
        <v>1181.8999999998819</v>
      </c>
      <c r="J1321" s="707">
        <v>67482</v>
      </c>
    </row>
    <row r="1322" spans="2:10" ht="15">
      <c r="B1322" s="706">
        <v>67350</v>
      </c>
      <c r="C1322" s="706">
        <v>1181.7999999998819</v>
      </c>
      <c r="D1322" s="707">
        <v>67482</v>
      </c>
      <c r="E1322" s="707">
        <v>1181.8999999998819</v>
      </c>
      <c r="G1322" s="65">
        <v>1181.8999999998819</v>
      </c>
      <c r="H1322" s="707">
        <v>67482</v>
      </c>
      <c r="I1322" s="65">
        <v>1181.9999999998818</v>
      </c>
      <c r="J1322" s="707">
        <v>67614</v>
      </c>
    </row>
    <row r="1323" spans="2:10" ht="15">
      <c r="B1323" s="706">
        <v>67482</v>
      </c>
      <c r="C1323" s="706">
        <v>1181.8999999998819</v>
      </c>
      <c r="D1323" s="707">
        <v>67614</v>
      </c>
      <c r="E1323" s="707">
        <v>1181.9999999998818</v>
      </c>
      <c r="G1323" s="65">
        <v>1181.9999999998818</v>
      </c>
      <c r="H1323" s="707">
        <v>67614</v>
      </c>
      <c r="I1323" s="65">
        <v>1182.0999999998817</v>
      </c>
      <c r="J1323" s="707">
        <v>67748</v>
      </c>
    </row>
    <row r="1324" spans="2:10" ht="15">
      <c r="B1324" s="706">
        <v>67614</v>
      </c>
      <c r="C1324" s="706">
        <v>1181.9999999998818</v>
      </c>
      <c r="D1324" s="707">
        <v>67748</v>
      </c>
      <c r="E1324" s="707">
        <v>1182.0999999998817</v>
      </c>
      <c r="G1324" s="65">
        <v>1182.0999999998817</v>
      </c>
      <c r="H1324" s="707">
        <v>67748</v>
      </c>
      <c r="I1324" s="65">
        <v>1182.1999999998816</v>
      </c>
      <c r="J1324" s="707">
        <v>67881</v>
      </c>
    </row>
    <row r="1325" spans="2:10" ht="15">
      <c r="B1325" s="706">
        <v>67748</v>
      </c>
      <c r="C1325" s="706">
        <v>1182.0999999998817</v>
      </c>
      <c r="D1325" s="707">
        <v>67881</v>
      </c>
      <c r="E1325" s="707">
        <v>1182.1999999998816</v>
      </c>
      <c r="G1325" s="65">
        <v>1182.1999999998816</v>
      </c>
      <c r="H1325" s="707">
        <v>67881</v>
      </c>
      <c r="I1325" s="65">
        <v>1182.2999999998815</v>
      </c>
      <c r="J1325" s="707">
        <v>68015</v>
      </c>
    </row>
    <row r="1326" spans="2:10" ht="15">
      <c r="B1326" s="706">
        <v>67881</v>
      </c>
      <c r="C1326" s="706">
        <v>1182.1999999998816</v>
      </c>
      <c r="D1326" s="707">
        <v>68015</v>
      </c>
      <c r="E1326" s="707">
        <v>1182.2999999998815</v>
      </c>
      <c r="G1326" s="65">
        <v>1182.2999999998815</v>
      </c>
      <c r="H1326" s="707">
        <v>68015</v>
      </c>
      <c r="I1326" s="65">
        <v>1182.3999999998814</v>
      </c>
      <c r="J1326" s="707">
        <v>68148</v>
      </c>
    </row>
    <row r="1327" spans="2:10" ht="15">
      <c r="B1327" s="706">
        <v>68015</v>
      </c>
      <c r="C1327" s="706">
        <v>1182.2999999998815</v>
      </c>
      <c r="D1327" s="707">
        <v>68148</v>
      </c>
      <c r="E1327" s="707">
        <v>1182.3999999998814</v>
      </c>
      <c r="G1327" s="65">
        <v>1182.3999999998814</v>
      </c>
      <c r="H1327" s="707">
        <v>68148</v>
      </c>
      <c r="I1327" s="65">
        <v>1182.4999999998813</v>
      </c>
      <c r="J1327" s="707">
        <v>68282</v>
      </c>
    </row>
    <row r="1328" spans="2:10" ht="15">
      <c r="B1328" s="706">
        <v>68148</v>
      </c>
      <c r="C1328" s="706">
        <v>1182.3999999998814</v>
      </c>
      <c r="D1328" s="707">
        <v>68282</v>
      </c>
      <c r="E1328" s="707">
        <v>1182.4999999998813</v>
      </c>
      <c r="G1328" s="65">
        <v>1182.4999999998813</v>
      </c>
      <c r="H1328" s="707">
        <v>68282</v>
      </c>
      <c r="I1328" s="65">
        <v>1182.5999999998812</v>
      </c>
      <c r="J1328" s="707">
        <v>68415</v>
      </c>
    </row>
    <row r="1329" spans="2:10" ht="15">
      <c r="B1329" s="706">
        <v>68282</v>
      </c>
      <c r="C1329" s="706">
        <v>1182.4999999998813</v>
      </c>
      <c r="D1329" s="707">
        <v>68415</v>
      </c>
      <c r="E1329" s="707">
        <v>1182.5999999998812</v>
      </c>
      <c r="G1329" s="65">
        <v>1182.5999999998812</v>
      </c>
      <c r="H1329" s="707">
        <v>68415</v>
      </c>
      <c r="I1329" s="65">
        <v>1182.6999999998811</v>
      </c>
      <c r="J1329" s="707">
        <v>68549</v>
      </c>
    </row>
    <row r="1330" spans="2:10" ht="15">
      <c r="B1330" s="706">
        <v>68415</v>
      </c>
      <c r="C1330" s="706">
        <v>1182.5999999998812</v>
      </c>
      <c r="D1330" s="707">
        <v>68549</v>
      </c>
      <c r="E1330" s="707">
        <v>1182.6999999998811</v>
      </c>
      <c r="G1330" s="65">
        <v>1182.6999999998811</v>
      </c>
      <c r="H1330" s="707">
        <v>68549</v>
      </c>
      <c r="I1330" s="65">
        <v>1182.799999999881</v>
      </c>
      <c r="J1330" s="707">
        <v>68682</v>
      </c>
    </row>
    <row r="1331" spans="2:10" ht="15">
      <c r="B1331" s="706">
        <v>68549</v>
      </c>
      <c r="C1331" s="706">
        <v>1182.6999999998811</v>
      </c>
      <c r="D1331" s="707">
        <v>68682</v>
      </c>
      <c r="E1331" s="707">
        <v>1182.799999999881</v>
      </c>
      <c r="G1331" s="65">
        <v>1182.799999999881</v>
      </c>
      <c r="H1331" s="707">
        <v>68682</v>
      </c>
      <c r="I1331" s="65">
        <v>1182.8999999998809</v>
      </c>
      <c r="J1331" s="707">
        <v>68816</v>
      </c>
    </row>
    <row r="1332" spans="2:10" ht="15">
      <c r="B1332" s="706">
        <v>68682</v>
      </c>
      <c r="C1332" s="706">
        <v>1182.799999999881</v>
      </c>
      <c r="D1332" s="707">
        <v>68816</v>
      </c>
      <c r="E1332" s="707">
        <v>1182.8999999998809</v>
      </c>
      <c r="G1332" s="65">
        <v>1182.8999999998809</v>
      </c>
      <c r="H1332" s="707">
        <v>68816</v>
      </c>
      <c r="I1332" s="65">
        <v>1182.9999999998809</v>
      </c>
      <c r="J1332" s="707">
        <v>68949</v>
      </c>
    </row>
    <row r="1333" spans="2:10" ht="15">
      <c r="B1333" s="706">
        <v>68816</v>
      </c>
      <c r="C1333" s="706">
        <v>1182.8999999998809</v>
      </c>
      <c r="D1333" s="707">
        <v>68949</v>
      </c>
      <c r="E1333" s="707">
        <v>1182.9999999998809</v>
      </c>
      <c r="G1333" s="65">
        <v>1182.9999999998809</v>
      </c>
      <c r="H1333" s="707">
        <v>68949</v>
      </c>
      <c r="I1333" s="65">
        <v>1183.0999999998808</v>
      </c>
      <c r="J1333" s="707">
        <v>69084</v>
      </c>
    </row>
    <row r="1334" spans="2:10" ht="15">
      <c r="B1334" s="706">
        <v>68949</v>
      </c>
      <c r="C1334" s="706">
        <v>1182.9999999998809</v>
      </c>
      <c r="D1334" s="707">
        <v>69084</v>
      </c>
      <c r="E1334" s="707">
        <v>1183.0999999998808</v>
      </c>
      <c r="G1334" s="65">
        <v>1183.0999999998808</v>
      </c>
      <c r="H1334" s="707">
        <v>69084</v>
      </c>
      <c r="I1334" s="65">
        <v>1183.1999999998807</v>
      </c>
      <c r="J1334" s="707">
        <v>69219</v>
      </c>
    </row>
    <row r="1335" spans="2:10" ht="15">
      <c r="B1335" s="706">
        <v>69084</v>
      </c>
      <c r="C1335" s="706">
        <v>1183.0999999998808</v>
      </c>
      <c r="D1335" s="707">
        <v>69219</v>
      </c>
      <c r="E1335" s="707">
        <v>1183.1999999998807</v>
      </c>
      <c r="G1335" s="65">
        <v>1183.1999999998807</v>
      </c>
      <c r="H1335" s="707">
        <v>69219</v>
      </c>
      <c r="I1335" s="65">
        <v>1183.2999999998806</v>
      </c>
      <c r="J1335" s="707">
        <v>69354</v>
      </c>
    </row>
    <row r="1336" spans="2:10" ht="15">
      <c r="B1336" s="706">
        <v>69219</v>
      </c>
      <c r="C1336" s="706">
        <v>1183.1999999998807</v>
      </c>
      <c r="D1336" s="707">
        <v>69354</v>
      </c>
      <c r="E1336" s="707">
        <v>1183.2999999998806</v>
      </c>
      <c r="G1336" s="65">
        <v>1183.2999999998806</v>
      </c>
      <c r="H1336" s="707">
        <v>69354</v>
      </c>
      <c r="I1336" s="65">
        <v>1183.3999999998805</v>
      </c>
      <c r="J1336" s="707">
        <v>69489</v>
      </c>
    </row>
    <row r="1337" spans="2:10" ht="15">
      <c r="B1337" s="706">
        <v>69354</v>
      </c>
      <c r="C1337" s="706">
        <v>1183.2999999998806</v>
      </c>
      <c r="D1337" s="707">
        <v>69489</v>
      </c>
      <c r="E1337" s="707">
        <v>1183.3999999998805</v>
      </c>
      <c r="G1337" s="65">
        <v>1183.3999999998805</v>
      </c>
      <c r="H1337" s="707">
        <v>69489</v>
      </c>
      <c r="I1337" s="65">
        <v>1183.4999999998804</v>
      </c>
      <c r="J1337" s="707">
        <v>69624</v>
      </c>
    </row>
    <row r="1338" spans="2:10" ht="15">
      <c r="B1338" s="706">
        <v>69489</v>
      </c>
      <c r="C1338" s="706">
        <v>1183.3999999998805</v>
      </c>
      <c r="D1338" s="707">
        <v>69624</v>
      </c>
      <c r="E1338" s="707">
        <v>1183.4999999998804</v>
      </c>
      <c r="G1338" s="65">
        <v>1183.4999999998804</v>
      </c>
      <c r="H1338" s="707">
        <v>69624</v>
      </c>
      <c r="I1338" s="65">
        <v>1183.5999999998803</v>
      </c>
      <c r="J1338" s="707">
        <v>69758</v>
      </c>
    </row>
    <row r="1339" spans="2:10" ht="15">
      <c r="B1339" s="706">
        <v>69624</v>
      </c>
      <c r="C1339" s="706">
        <v>1183.4999999998804</v>
      </c>
      <c r="D1339" s="707">
        <v>69758</v>
      </c>
      <c r="E1339" s="707">
        <v>1183.5999999998803</v>
      </c>
      <c r="G1339" s="65">
        <v>1183.5999999998803</v>
      </c>
      <c r="H1339" s="707">
        <v>69758</v>
      </c>
      <c r="I1339" s="65">
        <v>1183.6999999998802</v>
      </c>
      <c r="J1339" s="707">
        <v>69893</v>
      </c>
    </row>
    <row r="1340" spans="2:10" ht="15">
      <c r="B1340" s="706">
        <v>69758</v>
      </c>
      <c r="C1340" s="706">
        <v>1183.5999999998803</v>
      </c>
      <c r="D1340" s="707">
        <v>69893</v>
      </c>
      <c r="E1340" s="707">
        <v>1183.6999999998802</v>
      </c>
      <c r="G1340" s="65">
        <v>1183.6999999998802</v>
      </c>
      <c r="H1340" s="707">
        <v>69893</v>
      </c>
      <c r="I1340" s="65">
        <v>1183.7999999998801</v>
      </c>
      <c r="J1340" s="707">
        <v>70028</v>
      </c>
    </row>
    <row r="1341" spans="2:10" ht="15">
      <c r="B1341" s="706">
        <v>69893</v>
      </c>
      <c r="C1341" s="706">
        <v>1183.6999999998802</v>
      </c>
      <c r="D1341" s="707">
        <v>70028</v>
      </c>
      <c r="E1341" s="707">
        <v>1183.7999999998801</v>
      </c>
      <c r="G1341" s="65">
        <v>1183.7999999998801</v>
      </c>
      <c r="H1341" s="707">
        <v>70028</v>
      </c>
      <c r="I1341" s="65">
        <v>1183.89999999988</v>
      </c>
      <c r="J1341" s="707">
        <v>70163</v>
      </c>
    </row>
    <row r="1342" spans="2:10" ht="15">
      <c r="B1342" s="706">
        <v>70028</v>
      </c>
      <c r="C1342" s="706">
        <v>1183.7999999998801</v>
      </c>
      <c r="D1342" s="707">
        <v>70163</v>
      </c>
      <c r="E1342" s="707">
        <v>1183.89999999988</v>
      </c>
      <c r="G1342" s="65">
        <v>1183.89999999988</v>
      </c>
      <c r="H1342" s="707">
        <v>70163</v>
      </c>
      <c r="I1342" s="65">
        <v>1183.9999999998799</v>
      </c>
      <c r="J1342" s="707">
        <v>70298</v>
      </c>
    </row>
    <row r="1343" spans="2:10" ht="15">
      <c r="B1343" s="706">
        <v>70163</v>
      </c>
      <c r="C1343" s="706">
        <v>1183.89999999988</v>
      </c>
      <c r="D1343" s="707">
        <v>70298</v>
      </c>
      <c r="E1343" s="707">
        <v>1183.9999999998799</v>
      </c>
      <c r="G1343" s="65">
        <v>1183.9999999998799</v>
      </c>
      <c r="H1343" s="707">
        <v>70298</v>
      </c>
      <c r="I1343" s="65">
        <v>1184.0999999998799</v>
      </c>
      <c r="J1343" s="707">
        <v>70435</v>
      </c>
    </row>
    <row r="1344" spans="2:10" ht="15">
      <c r="B1344" s="706">
        <v>70298</v>
      </c>
      <c r="C1344" s="706">
        <v>1183.9999999998799</v>
      </c>
      <c r="D1344" s="707">
        <v>70435</v>
      </c>
      <c r="E1344" s="707">
        <v>1184.0999999998799</v>
      </c>
      <c r="G1344" s="65">
        <v>1184.0999999998799</v>
      </c>
      <c r="H1344" s="707">
        <v>70435</v>
      </c>
      <c r="I1344" s="65">
        <v>1184.1999999998798</v>
      </c>
      <c r="J1344" s="707">
        <v>70571</v>
      </c>
    </row>
    <row r="1345" spans="2:10" ht="15">
      <c r="B1345" s="706">
        <v>70435</v>
      </c>
      <c r="C1345" s="706">
        <v>1184.0999999998799</v>
      </c>
      <c r="D1345" s="707">
        <v>70571</v>
      </c>
      <c r="E1345" s="707">
        <v>1184.1999999998798</v>
      </c>
      <c r="G1345" s="65">
        <v>1184.1999999998798</v>
      </c>
      <c r="H1345" s="707">
        <v>70571</v>
      </c>
      <c r="I1345" s="65">
        <v>1184.2999999998797</v>
      </c>
      <c r="J1345" s="707">
        <v>70708</v>
      </c>
    </row>
    <row r="1346" spans="2:10" ht="15">
      <c r="B1346" s="706">
        <v>70571</v>
      </c>
      <c r="C1346" s="706">
        <v>1184.1999999998798</v>
      </c>
      <c r="D1346" s="707">
        <v>70708</v>
      </c>
      <c r="E1346" s="707">
        <v>1184.2999999998797</v>
      </c>
      <c r="G1346" s="65">
        <v>1184.2999999998797</v>
      </c>
      <c r="H1346" s="707">
        <v>70708</v>
      </c>
      <c r="I1346" s="65">
        <v>1184.3999999998796</v>
      </c>
      <c r="J1346" s="707">
        <v>70844</v>
      </c>
    </row>
    <row r="1347" spans="2:10" ht="15">
      <c r="B1347" s="706">
        <v>70708</v>
      </c>
      <c r="C1347" s="706">
        <v>1184.2999999998797</v>
      </c>
      <c r="D1347" s="707">
        <v>70844</v>
      </c>
      <c r="E1347" s="707">
        <v>1184.3999999998796</v>
      </c>
      <c r="G1347" s="65">
        <v>1184.3999999998796</v>
      </c>
      <c r="H1347" s="707">
        <v>70844</v>
      </c>
      <c r="I1347" s="65">
        <v>1184.4999999998795</v>
      </c>
      <c r="J1347" s="707">
        <v>70981</v>
      </c>
    </row>
    <row r="1348" spans="2:10" ht="15">
      <c r="B1348" s="706">
        <v>70844</v>
      </c>
      <c r="C1348" s="706">
        <v>1184.3999999998796</v>
      </c>
      <c r="D1348" s="707">
        <v>70981</v>
      </c>
      <c r="E1348" s="707">
        <v>1184.4999999998795</v>
      </c>
      <c r="G1348" s="65">
        <v>1184.4999999998795</v>
      </c>
      <c r="H1348" s="707">
        <v>70981</v>
      </c>
      <c r="I1348" s="65">
        <v>1184.5999999998794</v>
      </c>
      <c r="J1348" s="707">
        <v>71117</v>
      </c>
    </row>
    <row r="1349" spans="2:10" ht="15">
      <c r="B1349" s="706">
        <v>70981</v>
      </c>
      <c r="C1349" s="706">
        <v>1184.4999999998795</v>
      </c>
      <c r="D1349" s="707">
        <v>71117</v>
      </c>
      <c r="E1349" s="707">
        <v>1184.5999999998794</v>
      </c>
      <c r="G1349" s="65">
        <v>1184.5999999998794</v>
      </c>
      <c r="H1349" s="707">
        <v>71117</v>
      </c>
      <c r="I1349" s="65">
        <v>1184.6999999998793</v>
      </c>
      <c r="J1349" s="707">
        <v>71254</v>
      </c>
    </row>
    <row r="1350" spans="2:10" ht="15">
      <c r="B1350" s="706">
        <v>71117</v>
      </c>
      <c r="C1350" s="706">
        <v>1184.5999999998794</v>
      </c>
      <c r="D1350" s="707">
        <v>71254</v>
      </c>
      <c r="E1350" s="707">
        <v>1184.6999999998793</v>
      </c>
      <c r="G1350" s="65">
        <v>1184.6999999998793</v>
      </c>
      <c r="H1350" s="707">
        <v>71254</v>
      </c>
      <c r="I1350" s="65">
        <v>1184.7999999998792</v>
      </c>
      <c r="J1350" s="707">
        <v>71390</v>
      </c>
    </row>
    <row r="1351" spans="2:10" ht="15">
      <c r="B1351" s="706">
        <v>71254</v>
      </c>
      <c r="C1351" s="706">
        <v>1184.6999999998793</v>
      </c>
      <c r="D1351" s="707">
        <v>71390</v>
      </c>
      <c r="E1351" s="707">
        <v>1184.7999999998792</v>
      </c>
      <c r="G1351" s="65">
        <v>1184.7999999998792</v>
      </c>
      <c r="H1351" s="707">
        <v>71390</v>
      </c>
      <c r="I1351" s="65">
        <v>1184.8999999998791</v>
      </c>
      <c r="J1351" s="707">
        <v>71527</v>
      </c>
    </row>
    <row r="1352" spans="2:10" ht="15">
      <c r="B1352" s="706">
        <v>71390</v>
      </c>
      <c r="C1352" s="706">
        <v>1184.7999999998792</v>
      </c>
      <c r="D1352" s="707">
        <v>71527</v>
      </c>
      <c r="E1352" s="707">
        <v>1184.8999999998791</v>
      </c>
      <c r="G1352" s="65">
        <v>1184.8999999998791</v>
      </c>
      <c r="H1352" s="707">
        <v>71527</v>
      </c>
      <c r="I1352" s="65">
        <v>1184.999999999879</v>
      </c>
      <c r="J1352" s="707">
        <v>71663</v>
      </c>
    </row>
    <row r="1353" spans="2:10" ht="15">
      <c r="B1353" s="706">
        <v>71527</v>
      </c>
      <c r="C1353" s="706">
        <v>1184.8999999998791</v>
      </c>
      <c r="D1353" s="707">
        <v>71663</v>
      </c>
      <c r="E1353" s="707">
        <v>1184.999999999879</v>
      </c>
      <c r="G1353" s="65">
        <v>1184.999999999879</v>
      </c>
      <c r="H1353" s="707">
        <v>71663</v>
      </c>
      <c r="I1353" s="65">
        <v>1185.0999999998789</v>
      </c>
      <c r="J1353" s="707">
        <v>71801</v>
      </c>
    </row>
    <row r="1354" spans="2:10" ht="15">
      <c r="B1354" s="706">
        <v>71663</v>
      </c>
      <c r="C1354" s="706">
        <v>1184.999999999879</v>
      </c>
      <c r="D1354" s="707">
        <v>71801</v>
      </c>
      <c r="E1354" s="707">
        <v>1185.0999999998789</v>
      </c>
      <c r="G1354" s="65">
        <v>1185.0999999998789</v>
      </c>
      <c r="H1354" s="707">
        <v>71801</v>
      </c>
      <c r="I1354" s="65">
        <v>1185.1999999998789</v>
      </c>
      <c r="J1354" s="707">
        <v>71939</v>
      </c>
    </row>
    <row r="1355" spans="2:10" ht="15">
      <c r="B1355" s="706">
        <v>71801</v>
      </c>
      <c r="C1355" s="706">
        <v>1185.0999999998789</v>
      </c>
      <c r="D1355" s="707">
        <v>71939</v>
      </c>
      <c r="E1355" s="707">
        <v>1185.1999999998789</v>
      </c>
      <c r="G1355" s="65">
        <v>1185.1999999998789</v>
      </c>
      <c r="H1355" s="707">
        <v>71939</v>
      </c>
      <c r="I1355" s="65">
        <v>1185.2999999998788</v>
      </c>
      <c r="J1355" s="707">
        <v>72077</v>
      </c>
    </row>
    <row r="1356" spans="2:10" ht="15">
      <c r="B1356" s="706">
        <v>71939</v>
      </c>
      <c r="C1356" s="706">
        <v>1185.1999999998789</v>
      </c>
      <c r="D1356" s="707">
        <v>72077</v>
      </c>
      <c r="E1356" s="707">
        <v>1185.2999999998788</v>
      </c>
      <c r="G1356" s="65">
        <v>1185.2999999998788</v>
      </c>
      <c r="H1356" s="707">
        <v>72077</v>
      </c>
      <c r="I1356" s="65">
        <v>1185.3999999998787</v>
      </c>
      <c r="J1356" s="707">
        <v>72215</v>
      </c>
    </row>
    <row r="1357" spans="2:10" ht="15">
      <c r="B1357" s="706">
        <v>72077</v>
      </c>
      <c r="C1357" s="706">
        <v>1185.2999999998788</v>
      </c>
      <c r="D1357" s="707">
        <v>72215</v>
      </c>
      <c r="E1357" s="707">
        <v>1185.3999999998787</v>
      </c>
      <c r="G1357" s="65">
        <v>1185.3999999998787</v>
      </c>
      <c r="H1357" s="707">
        <v>72215</v>
      </c>
      <c r="I1357" s="65">
        <v>1185.4999999998786</v>
      </c>
      <c r="J1357" s="707">
        <v>72353</v>
      </c>
    </row>
    <row r="1358" spans="2:10" ht="15">
      <c r="B1358" s="706">
        <v>72215</v>
      </c>
      <c r="C1358" s="706">
        <v>1185.3999999998787</v>
      </c>
      <c r="D1358" s="707">
        <v>72353</v>
      </c>
      <c r="E1358" s="707">
        <v>1185.4999999998786</v>
      </c>
      <c r="G1358" s="65">
        <v>1185.4999999998786</v>
      </c>
      <c r="H1358" s="707">
        <v>72353</v>
      </c>
      <c r="I1358" s="65">
        <v>1185.5999999998785</v>
      </c>
      <c r="J1358" s="707">
        <v>72491</v>
      </c>
    </row>
    <row r="1359" spans="2:10" ht="15">
      <c r="B1359" s="706">
        <v>72353</v>
      </c>
      <c r="C1359" s="706">
        <v>1185.4999999998786</v>
      </c>
      <c r="D1359" s="707">
        <v>72491</v>
      </c>
      <c r="E1359" s="707">
        <v>1185.5999999998785</v>
      </c>
      <c r="G1359" s="65">
        <v>1185.5999999998785</v>
      </c>
      <c r="H1359" s="707">
        <v>72491</v>
      </c>
      <c r="I1359" s="65">
        <v>1185.6999999998784</v>
      </c>
      <c r="J1359" s="707">
        <v>72629</v>
      </c>
    </row>
    <row r="1360" spans="2:10" ht="15">
      <c r="B1360" s="706">
        <v>72491</v>
      </c>
      <c r="C1360" s="706">
        <v>1185.5999999998785</v>
      </c>
      <c r="D1360" s="707">
        <v>72629</v>
      </c>
      <c r="E1360" s="707">
        <v>1185.6999999998784</v>
      </c>
      <c r="G1360" s="65">
        <v>1185.6999999998784</v>
      </c>
      <c r="H1360" s="707">
        <v>72629</v>
      </c>
      <c r="I1360" s="65">
        <v>1185.7999999998783</v>
      </c>
      <c r="J1360" s="707">
        <v>72767</v>
      </c>
    </row>
    <row r="1361" spans="2:10" ht="15">
      <c r="B1361" s="706">
        <v>72629</v>
      </c>
      <c r="C1361" s="706">
        <v>1185.6999999998784</v>
      </c>
      <c r="D1361" s="707">
        <v>72767</v>
      </c>
      <c r="E1361" s="707">
        <v>1185.7999999998783</v>
      </c>
      <c r="G1361" s="65">
        <v>1185.7999999998783</v>
      </c>
      <c r="H1361" s="707">
        <v>72767</v>
      </c>
      <c r="I1361" s="65">
        <v>1185.8999999998782</v>
      </c>
      <c r="J1361" s="707">
        <v>72905</v>
      </c>
    </row>
    <row r="1362" spans="2:10" ht="15">
      <c r="B1362" s="706">
        <v>72767</v>
      </c>
      <c r="C1362" s="706">
        <v>1185.7999999998783</v>
      </c>
      <c r="D1362" s="707">
        <v>72905</v>
      </c>
      <c r="E1362" s="707">
        <v>1185.8999999998782</v>
      </c>
      <c r="G1362" s="65">
        <v>1185.8999999998782</v>
      </c>
      <c r="H1362" s="707">
        <v>72905</v>
      </c>
      <c r="I1362" s="65">
        <v>1185.9999999998781</v>
      </c>
      <c r="J1362" s="707">
        <v>73043</v>
      </c>
    </row>
    <row r="1363" spans="2:10" ht="15">
      <c r="B1363" s="706">
        <v>72905</v>
      </c>
      <c r="C1363" s="706">
        <v>1185.8999999998782</v>
      </c>
      <c r="D1363" s="707">
        <v>73043</v>
      </c>
      <c r="E1363" s="707">
        <v>1185.9999999998781</v>
      </c>
      <c r="G1363" s="65">
        <v>1185.9999999998781</v>
      </c>
      <c r="H1363" s="707">
        <v>73043</v>
      </c>
      <c r="I1363" s="65">
        <v>1186.099999999878</v>
      </c>
      <c r="J1363" s="707">
        <v>73183</v>
      </c>
    </row>
    <row r="1364" spans="2:10" ht="15">
      <c r="B1364" s="706">
        <v>73043</v>
      </c>
      <c r="C1364" s="706">
        <v>1185.9999999998781</v>
      </c>
      <c r="D1364" s="707">
        <v>73183</v>
      </c>
      <c r="E1364" s="707">
        <v>1186.099999999878</v>
      </c>
      <c r="G1364" s="65">
        <v>1186.099999999878</v>
      </c>
      <c r="H1364" s="707">
        <v>73183</v>
      </c>
      <c r="I1364" s="65">
        <v>1186.1999999998779</v>
      </c>
      <c r="J1364" s="707">
        <v>73322</v>
      </c>
    </row>
    <row r="1365" spans="2:10" ht="15">
      <c r="B1365" s="706">
        <v>73183</v>
      </c>
      <c r="C1365" s="706">
        <v>1186.099999999878</v>
      </c>
      <c r="D1365" s="707">
        <v>73322</v>
      </c>
      <c r="E1365" s="707">
        <v>1186.1999999998779</v>
      </c>
      <c r="G1365" s="65">
        <v>1186.1999999998779</v>
      </c>
      <c r="H1365" s="707">
        <v>73322</v>
      </c>
      <c r="I1365" s="65">
        <v>1186.2999999998779</v>
      </c>
      <c r="J1365" s="707">
        <v>73462</v>
      </c>
    </row>
    <row r="1366" spans="2:10" ht="15">
      <c r="B1366" s="706">
        <v>73322</v>
      </c>
      <c r="C1366" s="706">
        <v>1186.1999999998779</v>
      </c>
      <c r="D1366" s="707">
        <v>73462</v>
      </c>
      <c r="E1366" s="707">
        <v>1186.2999999998779</v>
      </c>
      <c r="G1366" s="65">
        <v>1186.2999999998779</v>
      </c>
      <c r="H1366" s="707">
        <v>73462</v>
      </c>
      <c r="I1366" s="65">
        <v>1186.3999999998778</v>
      </c>
      <c r="J1366" s="707">
        <v>73601</v>
      </c>
    </row>
    <row r="1367" spans="2:10" ht="15">
      <c r="B1367" s="706">
        <v>73462</v>
      </c>
      <c r="C1367" s="706">
        <v>1186.2999999998779</v>
      </c>
      <c r="D1367" s="707">
        <v>73601</v>
      </c>
      <c r="E1367" s="707">
        <v>1186.3999999998778</v>
      </c>
      <c r="G1367" s="65">
        <v>1186.3999999998778</v>
      </c>
      <c r="H1367" s="707">
        <v>73601</v>
      </c>
      <c r="I1367" s="65">
        <v>1186.4999999998777</v>
      </c>
      <c r="J1367" s="707">
        <v>73741</v>
      </c>
    </row>
    <row r="1368" spans="2:10" ht="15">
      <c r="B1368" s="706">
        <v>73601</v>
      </c>
      <c r="C1368" s="706">
        <v>1186.3999999998778</v>
      </c>
      <c r="D1368" s="707">
        <v>73741</v>
      </c>
      <c r="E1368" s="707">
        <v>1186.4999999998777</v>
      </c>
      <c r="G1368" s="65">
        <v>1186.4999999998777</v>
      </c>
      <c r="H1368" s="707">
        <v>73741</v>
      </c>
      <c r="I1368" s="65">
        <v>1186.5999999998776</v>
      </c>
      <c r="J1368" s="707">
        <v>73880</v>
      </c>
    </row>
    <row r="1369" spans="2:10" ht="15">
      <c r="B1369" s="706">
        <v>73741</v>
      </c>
      <c r="C1369" s="706">
        <v>1186.4999999998777</v>
      </c>
      <c r="D1369" s="707">
        <v>73880</v>
      </c>
      <c r="E1369" s="707">
        <v>1186.5999999998776</v>
      </c>
      <c r="G1369" s="65">
        <v>1186.5999999998776</v>
      </c>
      <c r="H1369" s="707">
        <v>73880</v>
      </c>
      <c r="I1369" s="65">
        <v>1186.6999999998775</v>
      </c>
      <c r="J1369" s="707">
        <v>74020</v>
      </c>
    </row>
    <row r="1370" spans="2:10" ht="15">
      <c r="B1370" s="706">
        <v>73880</v>
      </c>
      <c r="C1370" s="706">
        <v>1186.5999999998776</v>
      </c>
      <c r="D1370" s="707">
        <v>74020</v>
      </c>
      <c r="E1370" s="707">
        <v>1186.6999999998775</v>
      </c>
      <c r="G1370" s="65">
        <v>1186.6999999998775</v>
      </c>
      <c r="H1370" s="707">
        <v>74020</v>
      </c>
      <c r="I1370" s="65">
        <v>1186.7999999998774</v>
      </c>
      <c r="J1370" s="707">
        <v>74159</v>
      </c>
    </row>
    <row r="1371" spans="2:10" ht="15">
      <c r="B1371" s="706">
        <v>74020</v>
      </c>
      <c r="C1371" s="706">
        <v>1186.6999999998775</v>
      </c>
      <c r="D1371" s="707">
        <v>74159</v>
      </c>
      <c r="E1371" s="707">
        <v>1186.7999999998774</v>
      </c>
      <c r="G1371" s="65">
        <v>1186.7999999998774</v>
      </c>
      <c r="H1371" s="707">
        <v>74159</v>
      </c>
      <c r="I1371" s="65">
        <v>1186.8999999998773</v>
      </c>
      <c r="J1371" s="707">
        <v>74299</v>
      </c>
    </row>
    <row r="1372" spans="2:10" ht="15">
      <c r="B1372" s="706">
        <v>74159</v>
      </c>
      <c r="C1372" s="706">
        <v>1186.7999999998774</v>
      </c>
      <c r="D1372" s="707">
        <v>74299</v>
      </c>
      <c r="E1372" s="707">
        <v>1186.8999999998773</v>
      </c>
      <c r="G1372" s="65">
        <v>1186.8999999998773</v>
      </c>
      <c r="H1372" s="707">
        <v>74299</v>
      </c>
      <c r="I1372" s="65">
        <v>1186.9999999998772</v>
      </c>
      <c r="J1372" s="707">
        <v>74438</v>
      </c>
    </row>
    <row r="1373" spans="2:10" ht="15">
      <c r="B1373" s="706">
        <v>74299</v>
      </c>
      <c r="C1373" s="706">
        <v>1186.8999999998773</v>
      </c>
      <c r="D1373" s="707">
        <v>74438</v>
      </c>
      <c r="E1373" s="707">
        <v>1186.9999999998772</v>
      </c>
      <c r="G1373" s="65">
        <v>1186.9999999998772</v>
      </c>
      <c r="H1373" s="707">
        <v>74438</v>
      </c>
      <c r="I1373" s="65">
        <v>1187.0999999998771</v>
      </c>
      <c r="J1373" s="707">
        <v>74579</v>
      </c>
    </row>
    <row r="1374" spans="2:10" ht="15">
      <c r="B1374" s="706">
        <v>74438</v>
      </c>
      <c r="C1374" s="706">
        <v>1186.9999999998772</v>
      </c>
      <c r="D1374" s="707">
        <v>74579</v>
      </c>
      <c r="E1374" s="707">
        <v>1187.0999999998771</v>
      </c>
      <c r="G1374" s="65">
        <v>1187.0999999998771</v>
      </c>
      <c r="H1374" s="707">
        <v>74579</v>
      </c>
      <c r="I1374" s="65">
        <v>1187.199999999877</v>
      </c>
      <c r="J1374" s="707">
        <v>74720</v>
      </c>
    </row>
    <row r="1375" spans="2:10" ht="15">
      <c r="B1375" s="706">
        <v>74579</v>
      </c>
      <c r="C1375" s="706">
        <v>1187.0999999998771</v>
      </c>
      <c r="D1375" s="707">
        <v>74720</v>
      </c>
      <c r="E1375" s="707">
        <v>1187.199999999877</v>
      </c>
      <c r="G1375" s="65">
        <v>1187.199999999877</v>
      </c>
      <c r="H1375" s="707">
        <v>74720</v>
      </c>
      <c r="I1375" s="65">
        <v>1187.2999999998769</v>
      </c>
      <c r="J1375" s="707">
        <v>74861</v>
      </c>
    </row>
    <row r="1376" spans="2:10" ht="15">
      <c r="B1376" s="706">
        <v>74720</v>
      </c>
      <c r="C1376" s="706">
        <v>1187.199999999877</v>
      </c>
      <c r="D1376" s="707">
        <v>74861</v>
      </c>
      <c r="E1376" s="707">
        <v>1187.2999999998769</v>
      </c>
      <c r="G1376" s="65">
        <v>1187.2999999998769</v>
      </c>
      <c r="H1376" s="707">
        <v>74861</v>
      </c>
      <c r="I1376" s="65">
        <v>1187.3999999998769</v>
      </c>
      <c r="J1376" s="707">
        <v>75002</v>
      </c>
    </row>
    <row r="1377" spans="2:10" ht="15">
      <c r="B1377" s="706">
        <v>74861</v>
      </c>
      <c r="C1377" s="706">
        <v>1187.2999999998769</v>
      </c>
      <c r="D1377" s="707">
        <v>75002</v>
      </c>
      <c r="E1377" s="707">
        <v>1187.3999999998769</v>
      </c>
      <c r="G1377" s="65">
        <v>1187.3999999998769</v>
      </c>
      <c r="H1377" s="707">
        <v>75002</v>
      </c>
      <c r="I1377" s="65">
        <v>1187.4999999998768</v>
      </c>
      <c r="J1377" s="707">
        <v>75143</v>
      </c>
    </row>
    <row r="1378" spans="2:10" ht="15">
      <c r="B1378" s="706">
        <v>75002</v>
      </c>
      <c r="C1378" s="706">
        <v>1187.3999999998769</v>
      </c>
      <c r="D1378" s="707">
        <v>75143</v>
      </c>
      <c r="E1378" s="707">
        <v>1187.4999999998768</v>
      </c>
      <c r="G1378" s="65">
        <v>1187.4999999998768</v>
      </c>
      <c r="H1378" s="707">
        <v>75143</v>
      </c>
      <c r="I1378" s="65">
        <v>1187.5999999998767</v>
      </c>
      <c r="J1378" s="707">
        <v>75284</v>
      </c>
    </row>
    <row r="1379" spans="2:10" ht="15">
      <c r="B1379" s="706">
        <v>75143</v>
      </c>
      <c r="C1379" s="706">
        <v>1187.4999999998768</v>
      </c>
      <c r="D1379" s="707">
        <v>75284</v>
      </c>
      <c r="E1379" s="707">
        <v>1187.5999999998767</v>
      </c>
      <c r="G1379" s="65">
        <v>1187.5999999998767</v>
      </c>
      <c r="H1379" s="707">
        <v>75284</v>
      </c>
      <c r="I1379" s="65">
        <v>1187.6999999998766</v>
      </c>
      <c r="J1379" s="707">
        <v>75425</v>
      </c>
    </row>
    <row r="1380" spans="2:10" ht="15">
      <c r="B1380" s="706">
        <v>75284</v>
      </c>
      <c r="C1380" s="706">
        <v>1187.5999999998767</v>
      </c>
      <c r="D1380" s="707">
        <v>75425</v>
      </c>
      <c r="E1380" s="707">
        <v>1187.6999999998766</v>
      </c>
      <c r="G1380" s="65">
        <v>1187.6999999998766</v>
      </c>
      <c r="H1380" s="707">
        <v>75425</v>
      </c>
      <c r="I1380" s="65">
        <v>1187.7999999998765</v>
      </c>
      <c r="J1380" s="707">
        <v>75566</v>
      </c>
    </row>
    <row r="1381" spans="2:10" ht="15">
      <c r="B1381" s="706">
        <v>75425</v>
      </c>
      <c r="C1381" s="706">
        <v>1187.6999999998766</v>
      </c>
      <c r="D1381" s="707">
        <v>75566</v>
      </c>
      <c r="E1381" s="707">
        <v>1187.7999999998765</v>
      </c>
      <c r="G1381" s="65">
        <v>1187.7999999998765</v>
      </c>
      <c r="H1381" s="707">
        <v>75566</v>
      </c>
      <c r="I1381" s="65">
        <v>1187.8999999998764</v>
      </c>
      <c r="J1381" s="707">
        <v>75707</v>
      </c>
    </row>
    <row r="1382" spans="2:10" ht="15">
      <c r="B1382" s="706">
        <v>75566</v>
      </c>
      <c r="C1382" s="706">
        <v>1187.7999999998765</v>
      </c>
      <c r="D1382" s="707">
        <v>75707</v>
      </c>
      <c r="E1382" s="707">
        <v>1187.8999999998764</v>
      </c>
      <c r="G1382" s="65">
        <v>1187.8999999998764</v>
      </c>
      <c r="H1382" s="707">
        <v>75707</v>
      </c>
      <c r="I1382" s="65">
        <v>1187.9999999998763</v>
      </c>
      <c r="J1382" s="707">
        <v>75848</v>
      </c>
    </row>
    <row r="1383" spans="2:10" ht="15">
      <c r="B1383" s="706">
        <v>75707</v>
      </c>
      <c r="C1383" s="706">
        <v>1187.8999999998764</v>
      </c>
      <c r="D1383" s="707">
        <v>75848</v>
      </c>
      <c r="E1383" s="707">
        <v>1187.9999999998763</v>
      </c>
      <c r="G1383" s="65">
        <v>1187.9999999998763</v>
      </c>
      <c r="H1383" s="707">
        <v>75848</v>
      </c>
      <c r="I1383" s="65">
        <v>1188.0999999998762</v>
      </c>
      <c r="J1383" s="707">
        <v>75991</v>
      </c>
    </row>
    <row r="1384" spans="2:10" ht="15">
      <c r="B1384" s="706">
        <v>75848</v>
      </c>
      <c r="C1384" s="706">
        <v>1187.9999999998763</v>
      </c>
      <c r="D1384" s="707">
        <v>75991</v>
      </c>
      <c r="E1384" s="707">
        <v>1188.0999999998762</v>
      </c>
      <c r="G1384" s="65">
        <v>1188.0999999998762</v>
      </c>
      <c r="H1384" s="707">
        <v>75991</v>
      </c>
      <c r="I1384" s="65">
        <v>1188.1999999998761</v>
      </c>
      <c r="J1384" s="707">
        <v>76133</v>
      </c>
    </row>
    <row r="1385" spans="2:10" ht="15">
      <c r="B1385" s="706">
        <v>75991</v>
      </c>
      <c r="C1385" s="706">
        <v>1188.0999999998762</v>
      </c>
      <c r="D1385" s="707">
        <v>76133</v>
      </c>
      <c r="E1385" s="707">
        <v>1188.1999999998761</v>
      </c>
      <c r="G1385" s="65">
        <v>1188.1999999998761</v>
      </c>
      <c r="H1385" s="707">
        <v>76133</v>
      </c>
      <c r="I1385" s="65">
        <v>1188.299999999876</v>
      </c>
      <c r="J1385" s="707">
        <v>76276</v>
      </c>
    </row>
    <row r="1386" spans="2:10" ht="15">
      <c r="B1386" s="706">
        <v>76133</v>
      </c>
      <c r="C1386" s="706">
        <v>1188.1999999998761</v>
      </c>
      <c r="D1386" s="707">
        <v>76276</v>
      </c>
      <c r="E1386" s="707">
        <v>1188.299999999876</v>
      </c>
      <c r="G1386" s="65">
        <v>1188.299999999876</v>
      </c>
      <c r="H1386" s="707">
        <v>76276</v>
      </c>
      <c r="I1386" s="65">
        <v>1188.3999999998759</v>
      </c>
      <c r="J1386" s="707">
        <v>76418</v>
      </c>
    </row>
    <row r="1387" spans="2:10" ht="15">
      <c r="B1387" s="706">
        <v>76276</v>
      </c>
      <c r="C1387" s="706">
        <v>1188.299999999876</v>
      </c>
      <c r="D1387" s="707">
        <v>76418</v>
      </c>
      <c r="E1387" s="707">
        <v>1188.3999999998759</v>
      </c>
      <c r="G1387" s="65">
        <v>1188.3999999998759</v>
      </c>
      <c r="H1387" s="707">
        <v>76418</v>
      </c>
      <c r="I1387" s="65">
        <v>1188.4999999998759</v>
      </c>
      <c r="J1387" s="707">
        <v>76561</v>
      </c>
    </row>
    <row r="1388" spans="2:10" ht="15">
      <c r="B1388" s="706">
        <v>76418</v>
      </c>
      <c r="C1388" s="706">
        <v>1188.3999999998759</v>
      </c>
      <c r="D1388" s="707">
        <v>76561</v>
      </c>
      <c r="E1388" s="707">
        <v>1188.4999999998759</v>
      </c>
      <c r="G1388" s="65">
        <v>1188.4999999998759</v>
      </c>
      <c r="H1388" s="707">
        <v>76561</v>
      </c>
      <c r="I1388" s="65">
        <v>1188.5999999998758</v>
      </c>
      <c r="J1388" s="707">
        <v>76704</v>
      </c>
    </row>
    <row r="1389" spans="2:10" ht="15">
      <c r="B1389" s="706">
        <v>76561</v>
      </c>
      <c r="C1389" s="706">
        <v>1188.4999999998759</v>
      </c>
      <c r="D1389" s="707">
        <v>76704</v>
      </c>
      <c r="E1389" s="707">
        <v>1188.5999999998758</v>
      </c>
      <c r="G1389" s="65">
        <v>1188.5999999998758</v>
      </c>
      <c r="H1389" s="707">
        <v>76704</v>
      </c>
      <c r="I1389" s="65">
        <v>1188.6999999998757</v>
      </c>
      <c r="J1389" s="707">
        <v>76846</v>
      </c>
    </row>
    <row r="1390" spans="2:10" ht="15">
      <c r="B1390" s="706">
        <v>76704</v>
      </c>
      <c r="C1390" s="706">
        <v>1188.5999999998758</v>
      </c>
      <c r="D1390" s="707">
        <v>76846</v>
      </c>
      <c r="E1390" s="707">
        <v>1188.6999999998757</v>
      </c>
      <c r="G1390" s="65">
        <v>1188.6999999998757</v>
      </c>
      <c r="H1390" s="707">
        <v>76846</v>
      </c>
      <c r="I1390" s="65">
        <v>1188.7999999998756</v>
      </c>
      <c r="J1390" s="707">
        <v>76989</v>
      </c>
    </row>
    <row r="1391" spans="2:10" ht="15">
      <c r="B1391" s="706">
        <v>76846</v>
      </c>
      <c r="C1391" s="706">
        <v>1188.6999999998757</v>
      </c>
      <c r="D1391" s="707">
        <v>76989</v>
      </c>
      <c r="E1391" s="707">
        <v>1188.7999999998756</v>
      </c>
      <c r="G1391" s="65">
        <v>1188.7999999998756</v>
      </c>
      <c r="H1391" s="707">
        <v>76989</v>
      </c>
      <c r="I1391" s="65">
        <v>1188.8999999998755</v>
      </c>
      <c r="J1391" s="707">
        <v>77131</v>
      </c>
    </row>
    <row r="1392" spans="2:10" ht="15">
      <c r="B1392" s="706">
        <v>76989</v>
      </c>
      <c r="C1392" s="706">
        <v>1188.7999999998756</v>
      </c>
      <c r="D1392" s="707">
        <v>77131</v>
      </c>
      <c r="E1392" s="707">
        <v>1188.8999999998755</v>
      </c>
      <c r="G1392" s="65">
        <v>1188.8999999998755</v>
      </c>
      <c r="H1392" s="707">
        <v>77131</v>
      </c>
      <c r="I1392" s="65">
        <v>1188.9999999998754</v>
      </c>
      <c r="J1392" s="707">
        <v>77274</v>
      </c>
    </row>
    <row r="1393" spans="2:10" ht="15">
      <c r="B1393" s="706">
        <v>77131</v>
      </c>
      <c r="C1393" s="706">
        <v>1188.8999999998755</v>
      </c>
      <c r="D1393" s="707">
        <v>77274</v>
      </c>
      <c r="E1393" s="707">
        <v>1188.9999999998754</v>
      </c>
      <c r="G1393" s="65">
        <v>1188.9999999998754</v>
      </c>
      <c r="H1393" s="707">
        <v>77274</v>
      </c>
      <c r="I1393" s="65">
        <v>1189.0999999998753</v>
      </c>
      <c r="J1393" s="707">
        <v>77418</v>
      </c>
    </row>
    <row r="1394" spans="2:10" ht="15">
      <c r="B1394" s="706">
        <v>77274</v>
      </c>
      <c r="C1394" s="706">
        <v>1188.9999999998754</v>
      </c>
      <c r="D1394" s="707">
        <v>77418</v>
      </c>
      <c r="E1394" s="707">
        <v>1189.0999999998753</v>
      </c>
      <c r="G1394" s="65">
        <v>1189.0999999998753</v>
      </c>
      <c r="H1394" s="707">
        <v>77418</v>
      </c>
      <c r="I1394" s="65">
        <v>1189.1999999998752</v>
      </c>
      <c r="J1394" s="707">
        <v>77562</v>
      </c>
    </row>
    <row r="1395" spans="2:10" ht="15">
      <c r="B1395" s="706">
        <v>77418</v>
      </c>
      <c r="C1395" s="706">
        <v>1189.0999999998753</v>
      </c>
      <c r="D1395" s="707">
        <v>77562</v>
      </c>
      <c r="E1395" s="707">
        <v>1189.1999999998752</v>
      </c>
      <c r="G1395" s="65">
        <v>1189.1999999998752</v>
      </c>
      <c r="H1395" s="707">
        <v>77562</v>
      </c>
      <c r="I1395" s="65">
        <v>1189.2999999998751</v>
      </c>
      <c r="J1395" s="707">
        <v>77706</v>
      </c>
    </row>
    <row r="1396" spans="2:10" ht="15">
      <c r="B1396" s="706">
        <v>77562</v>
      </c>
      <c r="C1396" s="706">
        <v>1189.1999999998752</v>
      </c>
      <c r="D1396" s="707">
        <v>77706</v>
      </c>
      <c r="E1396" s="707">
        <v>1189.2999999998751</v>
      </c>
      <c r="G1396" s="65">
        <v>1189.2999999998751</v>
      </c>
      <c r="H1396" s="707">
        <v>77706</v>
      </c>
      <c r="I1396" s="65">
        <v>1189.399999999875</v>
      </c>
      <c r="J1396" s="707">
        <v>77850</v>
      </c>
    </row>
    <row r="1397" spans="2:10" ht="15">
      <c r="B1397" s="706">
        <v>77706</v>
      </c>
      <c r="C1397" s="706">
        <v>1189.2999999998751</v>
      </c>
      <c r="D1397" s="707">
        <v>77850</v>
      </c>
      <c r="E1397" s="707">
        <v>1189.399999999875</v>
      </c>
      <c r="G1397" s="65">
        <v>1189.399999999875</v>
      </c>
      <c r="H1397" s="707">
        <v>77850</v>
      </c>
      <c r="I1397" s="65">
        <v>1189.4999999998749</v>
      </c>
      <c r="J1397" s="707">
        <v>77995</v>
      </c>
    </row>
    <row r="1398" spans="2:10" ht="15">
      <c r="B1398" s="706">
        <v>77850</v>
      </c>
      <c r="C1398" s="706">
        <v>1189.399999999875</v>
      </c>
      <c r="D1398" s="707">
        <v>77995</v>
      </c>
      <c r="E1398" s="707">
        <v>1189.4999999998749</v>
      </c>
      <c r="G1398" s="65">
        <v>1189.4999999998749</v>
      </c>
      <c r="H1398" s="707">
        <v>77995</v>
      </c>
      <c r="I1398" s="65">
        <v>1189.5999999998749</v>
      </c>
      <c r="J1398" s="707">
        <v>78139</v>
      </c>
    </row>
    <row r="1399" spans="2:10" ht="15">
      <c r="B1399" s="706">
        <v>77995</v>
      </c>
      <c r="C1399" s="706">
        <v>1189.4999999998749</v>
      </c>
      <c r="D1399" s="707">
        <v>78139</v>
      </c>
      <c r="E1399" s="707">
        <v>1189.5999999998749</v>
      </c>
      <c r="G1399" s="65">
        <v>1189.5999999998749</v>
      </c>
      <c r="H1399" s="707">
        <v>78139</v>
      </c>
      <c r="I1399" s="65">
        <v>1189.6999999998748</v>
      </c>
      <c r="J1399" s="707">
        <v>78283</v>
      </c>
    </row>
    <row r="1400" spans="2:10" ht="15">
      <c r="B1400" s="706">
        <v>78139</v>
      </c>
      <c r="C1400" s="706">
        <v>1189.5999999998749</v>
      </c>
      <c r="D1400" s="707">
        <v>78283</v>
      </c>
      <c r="E1400" s="707">
        <v>1189.6999999998748</v>
      </c>
      <c r="G1400" s="65">
        <v>1189.6999999998748</v>
      </c>
      <c r="H1400" s="707">
        <v>78283</v>
      </c>
      <c r="I1400" s="65">
        <v>1189.7999999998747</v>
      </c>
      <c r="J1400" s="707">
        <v>78427</v>
      </c>
    </row>
    <row r="1401" spans="2:10" ht="15">
      <c r="B1401" s="706">
        <v>78283</v>
      </c>
      <c r="C1401" s="706">
        <v>1189.6999999998748</v>
      </c>
      <c r="D1401" s="707">
        <v>78427</v>
      </c>
      <c r="E1401" s="707">
        <v>1189.7999999998747</v>
      </c>
      <c r="G1401" s="65">
        <v>1189.7999999998747</v>
      </c>
      <c r="H1401" s="707">
        <v>78427</v>
      </c>
      <c r="I1401" s="65">
        <v>1189.8999999998746</v>
      </c>
      <c r="J1401" s="707">
        <v>78571</v>
      </c>
    </row>
    <row r="1402" spans="2:10" ht="15">
      <c r="B1402" s="706">
        <v>78427</v>
      </c>
      <c r="C1402" s="706">
        <v>1189.7999999998747</v>
      </c>
      <c r="D1402" s="707">
        <v>78571</v>
      </c>
      <c r="E1402" s="707">
        <v>1189.8999999998746</v>
      </c>
      <c r="G1402" s="65">
        <v>1189.8999999998746</v>
      </c>
      <c r="H1402" s="707">
        <v>78571</v>
      </c>
      <c r="I1402" s="65">
        <v>1189.9999999998745</v>
      </c>
      <c r="J1402" s="707">
        <v>78715</v>
      </c>
    </row>
    <row r="1403" spans="2:10" ht="15">
      <c r="B1403" s="706">
        <v>78571</v>
      </c>
      <c r="C1403" s="706">
        <v>1189.8999999998746</v>
      </c>
      <c r="D1403" s="707">
        <v>78715</v>
      </c>
      <c r="E1403" s="707">
        <v>1189.9999999998745</v>
      </c>
      <c r="G1403" s="65">
        <v>1189.9999999998745</v>
      </c>
      <c r="H1403" s="707">
        <v>78715</v>
      </c>
      <c r="I1403" s="65">
        <v>1190.0999999998744</v>
      </c>
      <c r="J1403" s="707">
        <v>78861</v>
      </c>
    </row>
    <row r="1404" spans="2:10" ht="15">
      <c r="B1404" s="706">
        <v>78715</v>
      </c>
      <c r="C1404" s="706">
        <v>1189.9999999998745</v>
      </c>
      <c r="D1404" s="707">
        <v>78861</v>
      </c>
      <c r="E1404" s="707">
        <v>1190.0999999998744</v>
      </c>
      <c r="G1404" s="65">
        <v>1190.0999999998744</v>
      </c>
      <c r="H1404" s="707">
        <v>78861</v>
      </c>
      <c r="I1404" s="65">
        <v>1190.1999999998743</v>
      </c>
      <c r="J1404" s="707">
        <v>79007</v>
      </c>
    </row>
    <row r="1405" spans="2:10" ht="15">
      <c r="B1405" s="706">
        <v>78861</v>
      </c>
      <c r="C1405" s="706">
        <v>1190.0999999998744</v>
      </c>
      <c r="D1405" s="707">
        <v>79007</v>
      </c>
      <c r="E1405" s="707">
        <v>1190.1999999998743</v>
      </c>
      <c r="G1405" s="65">
        <v>1190.1999999998743</v>
      </c>
      <c r="H1405" s="707">
        <v>79007</v>
      </c>
      <c r="I1405" s="65">
        <v>1190.2999999998742</v>
      </c>
      <c r="J1405" s="707">
        <v>79152</v>
      </c>
    </row>
    <row r="1406" spans="2:10" ht="15">
      <c r="B1406" s="706">
        <v>79007</v>
      </c>
      <c r="C1406" s="706">
        <v>1190.1999999998743</v>
      </c>
      <c r="D1406" s="707">
        <v>79152</v>
      </c>
      <c r="E1406" s="707">
        <v>1190.2999999998742</v>
      </c>
      <c r="G1406" s="65">
        <v>1190.2999999998742</v>
      </c>
      <c r="H1406" s="707">
        <v>79152</v>
      </c>
      <c r="I1406" s="65">
        <v>1190.3999999998741</v>
      </c>
      <c r="J1406" s="707">
        <v>79298</v>
      </c>
    </row>
    <row r="1407" spans="2:10" ht="15">
      <c r="B1407" s="706">
        <v>79152</v>
      </c>
      <c r="C1407" s="706">
        <v>1190.2999999998742</v>
      </c>
      <c r="D1407" s="707">
        <v>79298</v>
      </c>
      <c r="E1407" s="707">
        <v>1190.3999999998741</v>
      </c>
      <c r="G1407" s="65">
        <v>1190.3999999998741</v>
      </c>
      <c r="H1407" s="707">
        <v>79298</v>
      </c>
      <c r="I1407" s="65">
        <v>1190.499999999874</v>
      </c>
      <c r="J1407" s="707">
        <v>79444</v>
      </c>
    </row>
    <row r="1408" spans="2:10" ht="15">
      <c r="B1408" s="706">
        <v>79298</v>
      </c>
      <c r="C1408" s="706">
        <v>1190.3999999998741</v>
      </c>
      <c r="D1408" s="707">
        <v>79444</v>
      </c>
      <c r="E1408" s="707">
        <v>1190.499999999874</v>
      </c>
      <c r="G1408" s="65">
        <v>1190.499999999874</v>
      </c>
      <c r="H1408" s="707">
        <v>79444</v>
      </c>
      <c r="I1408" s="65">
        <v>1190.5999999998739</v>
      </c>
      <c r="J1408" s="707">
        <v>79590</v>
      </c>
    </row>
    <row r="1409" spans="2:10" ht="15">
      <c r="B1409" s="706">
        <v>79444</v>
      </c>
      <c r="C1409" s="706">
        <v>1190.499999999874</v>
      </c>
      <c r="D1409" s="707">
        <v>79590</v>
      </c>
      <c r="E1409" s="707">
        <v>1190.5999999998739</v>
      </c>
      <c r="G1409" s="65">
        <v>1190.5999999998739</v>
      </c>
      <c r="H1409" s="707">
        <v>79590</v>
      </c>
      <c r="I1409" s="65">
        <v>1190.6999999998739</v>
      </c>
      <c r="J1409" s="707">
        <v>79736</v>
      </c>
    </row>
    <row r="1410" spans="2:10" ht="15">
      <c r="B1410" s="706">
        <v>79590</v>
      </c>
      <c r="C1410" s="706">
        <v>1190.5999999998739</v>
      </c>
      <c r="D1410" s="707">
        <v>79736</v>
      </c>
      <c r="E1410" s="707">
        <v>1190.6999999998739</v>
      </c>
      <c r="G1410" s="65">
        <v>1190.6999999998739</v>
      </c>
      <c r="H1410" s="707">
        <v>79736</v>
      </c>
      <c r="I1410" s="65">
        <v>1190.7999999998738</v>
      </c>
      <c r="J1410" s="707">
        <v>79881</v>
      </c>
    </row>
    <row r="1411" spans="2:10" ht="15">
      <c r="B1411" s="706">
        <v>79736</v>
      </c>
      <c r="C1411" s="706">
        <v>1190.6999999998739</v>
      </c>
      <c r="D1411" s="707">
        <v>79881</v>
      </c>
      <c r="E1411" s="707">
        <v>1190.7999999998738</v>
      </c>
      <c r="G1411" s="65">
        <v>1190.7999999998738</v>
      </c>
      <c r="H1411" s="707">
        <v>79881</v>
      </c>
      <c r="I1411" s="65">
        <v>1190.8999999998737</v>
      </c>
      <c r="J1411" s="707">
        <v>80027</v>
      </c>
    </row>
    <row r="1412" spans="2:10" ht="15">
      <c r="B1412" s="706">
        <v>79881</v>
      </c>
      <c r="C1412" s="706">
        <v>1190.7999999998738</v>
      </c>
      <c r="D1412" s="707">
        <v>80027</v>
      </c>
      <c r="E1412" s="707">
        <v>1190.8999999998737</v>
      </c>
      <c r="G1412" s="65">
        <v>1190.8999999998737</v>
      </c>
      <c r="H1412" s="707">
        <v>80027</v>
      </c>
      <c r="I1412" s="65">
        <v>1190.9999999998736</v>
      </c>
      <c r="J1412" s="707">
        <v>80173</v>
      </c>
    </row>
    <row r="1413" spans="2:10" ht="15">
      <c r="B1413" s="706">
        <v>80027</v>
      </c>
      <c r="C1413" s="706">
        <v>1190.8999999998737</v>
      </c>
      <c r="D1413" s="707">
        <v>80173</v>
      </c>
      <c r="E1413" s="707">
        <v>1190.9999999998736</v>
      </c>
      <c r="G1413" s="65">
        <v>1190.9999999998736</v>
      </c>
      <c r="H1413" s="707">
        <v>80173</v>
      </c>
      <c r="I1413" s="65">
        <v>1191.0999999998735</v>
      </c>
      <c r="J1413" s="707">
        <v>80321</v>
      </c>
    </row>
    <row r="1414" spans="2:10" ht="15">
      <c r="B1414" s="706">
        <v>80173</v>
      </c>
      <c r="C1414" s="706">
        <v>1190.9999999998736</v>
      </c>
      <c r="D1414" s="707">
        <v>80321</v>
      </c>
      <c r="E1414" s="707">
        <v>1191.0999999998735</v>
      </c>
      <c r="G1414" s="65">
        <v>1191.0999999998735</v>
      </c>
      <c r="H1414" s="707">
        <v>80321</v>
      </c>
      <c r="I1414" s="65">
        <v>1191.1999999998734</v>
      </c>
      <c r="J1414" s="707">
        <v>80468</v>
      </c>
    </row>
    <row r="1415" spans="2:10" ht="15">
      <c r="B1415" s="706">
        <v>80321</v>
      </c>
      <c r="C1415" s="706">
        <v>1191.0999999998735</v>
      </c>
      <c r="D1415" s="707">
        <v>80468</v>
      </c>
      <c r="E1415" s="707">
        <v>1191.1999999998734</v>
      </c>
      <c r="G1415" s="65">
        <v>1191.1999999998734</v>
      </c>
      <c r="H1415" s="707">
        <v>80468</v>
      </c>
      <c r="I1415" s="65">
        <v>1191.2999999998733</v>
      </c>
      <c r="J1415" s="707">
        <v>80616</v>
      </c>
    </row>
    <row r="1416" spans="2:10" ht="15">
      <c r="B1416" s="706">
        <v>80468</v>
      </c>
      <c r="C1416" s="706">
        <v>1191.1999999998734</v>
      </c>
      <c r="D1416" s="707">
        <v>80616</v>
      </c>
      <c r="E1416" s="707">
        <v>1191.2999999998733</v>
      </c>
      <c r="G1416" s="65">
        <v>1191.2999999998733</v>
      </c>
      <c r="H1416" s="707">
        <v>80616</v>
      </c>
      <c r="I1416" s="65">
        <v>1191.3999999998732</v>
      </c>
      <c r="J1416" s="707">
        <v>80763</v>
      </c>
    </row>
    <row r="1417" spans="2:10" ht="15">
      <c r="B1417" s="706">
        <v>80616</v>
      </c>
      <c r="C1417" s="706">
        <v>1191.2999999998733</v>
      </c>
      <c r="D1417" s="707">
        <v>80763</v>
      </c>
      <c r="E1417" s="707">
        <v>1191.3999999998732</v>
      </c>
      <c r="G1417" s="65">
        <v>1191.3999999998732</v>
      </c>
      <c r="H1417" s="707">
        <v>80763</v>
      </c>
      <c r="I1417" s="65">
        <v>1191.4999999998731</v>
      </c>
      <c r="J1417" s="707">
        <v>80911</v>
      </c>
    </row>
    <row r="1418" spans="2:10" ht="15">
      <c r="B1418" s="706">
        <v>80763</v>
      </c>
      <c r="C1418" s="706">
        <v>1191.3999999998732</v>
      </c>
      <c r="D1418" s="707">
        <v>80911</v>
      </c>
      <c r="E1418" s="707">
        <v>1191.4999999998731</v>
      </c>
      <c r="G1418" s="65">
        <v>1191.4999999998731</v>
      </c>
      <c r="H1418" s="707">
        <v>80911</v>
      </c>
      <c r="I1418" s="65">
        <v>1191.599999999873</v>
      </c>
      <c r="J1418" s="707">
        <v>81059</v>
      </c>
    </row>
    <row r="1419" spans="2:10" ht="15">
      <c r="B1419" s="706">
        <v>80911</v>
      </c>
      <c r="C1419" s="706">
        <v>1191.4999999998731</v>
      </c>
      <c r="D1419" s="707">
        <v>81059</v>
      </c>
      <c r="E1419" s="707">
        <v>1191.599999999873</v>
      </c>
      <c r="G1419" s="65">
        <v>1191.599999999873</v>
      </c>
      <c r="H1419" s="707">
        <v>81059</v>
      </c>
      <c r="I1419" s="65">
        <v>1191.6999999998729</v>
      </c>
      <c r="J1419" s="707">
        <v>81206</v>
      </c>
    </row>
    <row r="1420" spans="2:10" ht="15">
      <c r="B1420" s="706">
        <v>81059</v>
      </c>
      <c r="C1420" s="706">
        <v>1191.599999999873</v>
      </c>
      <c r="D1420" s="707">
        <v>81206</v>
      </c>
      <c r="E1420" s="707">
        <v>1191.6999999998729</v>
      </c>
      <c r="G1420" s="65">
        <v>1191.6999999998729</v>
      </c>
      <c r="H1420" s="707">
        <v>81206</v>
      </c>
      <c r="I1420" s="65">
        <v>1191.7999999998729</v>
      </c>
      <c r="J1420" s="707">
        <v>81354</v>
      </c>
    </row>
    <row r="1421" spans="2:10" ht="15">
      <c r="B1421" s="706">
        <v>81206</v>
      </c>
      <c r="C1421" s="706">
        <v>1191.6999999998729</v>
      </c>
      <c r="D1421" s="707">
        <v>81354</v>
      </c>
      <c r="E1421" s="707">
        <v>1191.7999999998729</v>
      </c>
      <c r="G1421" s="65">
        <v>1191.7999999998729</v>
      </c>
      <c r="H1421" s="707">
        <v>81354</v>
      </c>
      <c r="I1421" s="65">
        <v>1191.8999999998728</v>
      </c>
      <c r="J1421" s="707">
        <v>81501</v>
      </c>
    </row>
    <row r="1422" spans="2:10" ht="15">
      <c r="B1422" s="706">
        <v>81354</v>
      </c>
      <c r="C1422" s="706">
        <v>1191.7999999998729</v>
      </c>
      <c r="D1422" s="707">
        <v>81501</v>
      </c>
      <c r="E1422" s="707">
        <v>1191.8999999998728</v>
      </c>
      <c r="G1422" s="65">
        <v>1191.8999999998728</v>
      </c>
      <c r="H1422" s="707">
        <v>81501</v>
      </c>
      <c r="I1422" s="65">
        <v>1191.9999999998727</v>
      </c>
      <c r="J1422" s="707">
        <v>81649</v>
      </c>
    </row>
    <row r="1423" spans="2:10" ht="15">
      <c r="B1423" s="706">
        <v>81501</v>
      </c>
      <c r="C1423" s="706">
        <v>1191.8999999998728</v>
      </c>
      <c r="D1423" s="707">
        <v>81649</v>
      </c>
      <c r="E1423" s="707">
        <v>1191.9999999998727</v>
      </c>
      <c r="G1423" s="65">
        <v>1191.9999999998727</v>
      </c>
      <c r="H1423" s="707">
        <v>81649</v>
      </c>
      <c r="I1423" s="65">
        <v>1192.0999999998726</v>
      </c>
      <c r="J1423" s="707">
        <v>81798</v>
      </c>
    </row>
    <row r="1424" spans="2:10" ht="15">
      <c r="B1424" s="706">
        <v>81649</v>
      </c>
      <c r="C1424" s="706">
        <v>1191.9999999998727</v>
      </c>
      <c r="D1424" s="707">
        <v>81798</v>
      </c>
      <c r="E1424" s="707">
        <v>1192.0999999998726</v>
      </c>
      <c r="G1424" s="65">
        <v>1192.0999999998726</v>
      </c>
      <c r="H1424" s="707">
        <v>81798</v>
      </c>
      <c r="I1424" s="65">
        <v>1192.1999999998725</v>
      </c>
      <c r="J1424" s="707">
        <v>81948</v>
      </c>
    </row>
    <row r="1425" spans="2:10" ht="15">
      <c r="B1425" s="706">
        <v>81798</v>
      </c>
      <c r="C1425" s="706">
        <v>1192.0999999998726</v>
      </c>
      <c r="D1425" s="707">
        <v>81948</v>
      </c>
      <c r="E1425" s="707">
        <v>1192.1999999998725</v>
      </c>
      <c r="G1425" s="65">
        <v>1192.1999999998725</v>
      </c>
      <c r="H1425" s="707">
        <v>81948</v>
      </c>
      <c r="I1425" s="65">
        <v>1192.2999999998724</v>
      </c>
      <c r="J1425" s="707">
        <v>82097</v>
      </c>
    </row>
    <row r="1426" spans="2:10" ht="15">
      <c r="B1426" s="706">
        <v>81948</v>
      </c>
      <c r="C1426" s="706">
        <v>1192.1999999998725</v>
      </c>
      <c r="D1426" s="707">
        <v>82097</v>
      </c>
      <c r="E1426" s="707">
        <v>1192.2999999998724</v>
      </c>
      <c r="G1426" s="65">
        <v>1192.2999999998724</v>
      </c>
      <c r="H1426" s="707">
        <v>82097</v>
      </c>
      <c r="I1426" s="65">
        <v>1192.3999999998723</v>
      </c>
      <c r="J1426" s="707">
        <v>82247</v>
      </c>
    </row>
    <row r="1427" spans="2:10" ht="15">
      <c r="B1427" s="706">
        <v>82097</v>
      </c>
      <c r="C1427" s="706">
        <v>1192.2999999998724</v>
      </c>
      <c r="D1427" s="707">
        <v>82247</v>
      </c>
      <c r="E1427" s="707">
        <v>1192.3999999998723</v>
      </c>
      <c r="G1427" s="65">
        <v>1192.3999999998723</v>
      </c>
      <c r="H1427" s="707">
        <v>82247</v>
      </c>
      <c r="I1427" s="65">
        <v>1192.4999999998722</v>
      </c>
      <c r="J1427" s="707">
        <v>82396</v>
      </c>
    </row>
    <row r="1428" spans="2:10" ht="15">
      <c r="B1428" s="706">
        <v>82247</v>
      </c>
      <c r="C1428" s="706">
        <v>1192.3999999998723</v>
      </c>
      <c r="D1428" s="707">
        <v>82396</v>
      </c>
      <c r="E1428" s="707">
        <v>1192.4999999998722</v>
      </c>
      <c r="G1428" s="65">
        <v>1192.4999999998722</v>
      </c>
      <c r="H1428" s="707">
        <v>82396</v>
      </c>
      <c r="I1428" s="65">
        <v>1192.5999999998721</v>
      </c>
      <c r="J1428" s="707">
        <v>82545</v>
      </c>
    </row>
    <row r="1429" spans="2:10" ht="15">
      <c r="B1429" s="706">
        <v>82396</v>
      </c>
      <c r="C1429" s="706">
        <v>1192.4999999998722</v>
      </c>
      <c r="D1429" s="707">
        <v>82545</v>
      </c>
      <c r="E1429" s="707">
        <v>1192.5999999998721</v>
      </c>
      <c r="G1429" s="65">
        <v>1192.5999999998721</v>
      </c>
      <c r="H1429" s="707">
        <v>82545</v>
      </c>
      <c r="I1429" s="65">
        <v>1192.699999999872</v>
      </c>
      <c r="J1429" s="707">
        <v>82695</v>
      </c>
    </row>
    <row r="1430" spans="2:10" ht="15">
      <c r="B1430" s="706">
        <v>82545</v>
      </c>
      <c r="C1430" s="706">
        <v>1192.5999999998721</v>
      </c>
      <c r="D1430" s="707">
        <v>82695</v>
      </c>
      <c r="E1430" s="707">
        <v>1192.699999999872</v>
      </c>
      <c r="G1430" s="65">
        <v>1192.699999999872</v>
      </c>
      <c r="H1430" s="707">
        <v>82695</v>
      </c>
      <c r="I1430" s="65">
        <v>1192.7999999998719</v>
      </c>
      <c r="J1430" s="707">
        <v>82844</v>
      </c>
    </row>
    <row r="1431" spans="2:10" ht="15">
      <c r="B1431" s="706">
        <v>82695</v>
      </c>
      <c r="C1431" s="706">
        <v>1192.699999999872</v>
      </c>
      <c r="D1431" s="707">
        <v>82844</v>
      </c>
      <c r="E1431" s="707">
        <v>1192.7999999998719</v>
      </c>
      <c r="G1431" s="65">
        <v>1192.7999999998719</v>
      </c>
      <c r="H1431" s="707">
        <v>82844</v>
      </c>
      <c r="I1431" s="65">
        <v>1192.8999999998719</v>
      </c>
      <c r="J1431" s="707">
        <v>82994</v>
      </c>
    </row>
    <row r="1432" spans="2:10" ht="15">
      <c r="B1432" s="706">
        <v>82844</v>
      </c>
      <c r="C1432" s="706">
        <v>1192.7999999998719</v>
      </c>
      <c r="D1432" s="707">
        <v>82994</v>
      </c>
      <c r="E1432" s="707">
        <v>1192.8999999998719</v>
      </c>
      <c r="G1432" s="65">
        <v>1192.8999999998719</v>
      </c>
      <c r="H1432" s="707">
        <v>82994</v>
      </c>
      <c r="I1432" s="65">
        <v>1192.9999999998718</v>
      </c>
      <c r="J1432" s="707">
        <v>83143</v>
      </c>
    </row>
    <row r="1433" spans="2:10" ht="15">
      <c r="B1433" s="706">
        <v>82994</v>
      </c>
      <c r="C1433" s="706">
        <v>1192.8999999998719</v>
      </c>
      <c r="D1433" s="707">
        <v>83143</v>
      </c>
      <c r="E1433" s="707">
        <v>1192.9999999998718</v>
      </c>
      <c r="G1433" s="65">
        <v>1192.9999999998718</v>
      </c>
      <c r="H1433" s="707">
        <v>83143</v>
      </c>
      <c r="I1433" s="65">
        <v>1193.0999999998717</v>
      </c>
      <c r="J1433" s="707">
        <v>83294</v>
      </c>
    </row>
    <row r="1434" spans="2:10" ht="15">
      <c r="B1434" s="706">
        <v>83143</v>
      </c>
      <c r="C1434" s="706">
        <v>1192.9999999998718</v>
      </c>
      <c r="D1434" s="707">
        <v>83294</v>
      </c>
      <c r="E1434" s="707">
        <v>1193.0999999998717</v>
      </c>
      <c r="G1434" s="65">
        <v>1193.0999999998717</v>
      </c>
      <c r="H1434" s="707">
        <v>83294</v>
      </c>
      <c r="I1434" s="65">
        <v>1193.1999999998716</v>
      </c>
      <c r="J1434" s="707">
        <v>83446</v>
      </c>
    </row>
    <row r="1435" spans="2:10" ht="15">
      <c r="B1435" s="706">
        <v>83294</v>
      </c>
      <c r="C1435" s="706">
        <v>1193.0999999998717</v>
      </c>
      <c r="D1435" s="707">
        <v>83446</v>
      </c>
      <c r="E1435" s="707">
        <v>1193.1999999998716</v>
      </c>
      <c r="G1435" s="65">
        <v>1193.1999999998716</v>
      </c>
      <c r="H1435" s="707">
        <v>83446</v>
      </c>
      <c r="I1435" s="65">
        <v>1193.2999999998715</v>
      </c>
      <c r="J1435" s="707">
        <v>83597</v>
      </c>
    </row>
    <row r="1436" spans="2:10" ht="15">
      <c r="B1436" s="706">
        <v>83446</v>
      </c>
      <c r="C1436" s="706">
        <v>1193.1999999998716</v>
      </c>
      <c r="D1436" s="707">
        <v>83597</v>
      </c>
      <c r="E1436" s="707">
        <v>1193.2999999998715</v>
      </c>
      <c r="G1436" s="65">
        <v>1193.2999999998715</v>
      </c>
      <c r="H1436" s="707">
        <v>83597</v>
      </c>
      <c r="I1436" s="65">
        <v>1193.3999999998714</v>
      </c>
      <c r="J1436" s="707">
        <v>83748</v>
      </c>
    </row>
    <row r="1437" spans="2:10" ht="15">
      <c r="B1437" s="706">
        <v>83597</v>
      </c>
      <c r="C1437" s="706">
        <v>1193.2999999998715</v>
      </c>
      <c r="D1437" s="707">
        <v>83748</v>
      </c>
      <c r="E1437" s="707">
        <v>1193.3999999998714</v>
      </c>
      <c r="G1437" s="65">
        <v>1193.3999999998714</v>
      </c>
      <c r="H1437" s="707">
        <v>83748</v>
      </c>
      <c r="I1437" s="65">
        <v>1193.4999999998713</v>
      </c>
      <c r="J1437" s="707">
        <v>83900</v>
      </c>
    </row>
    <row r="1438" spans="2:10" ht="15">
      <c r="B1438" s="706">
        <v>83748</v>
      </c>
      <c r="C1438" s="706">
        <v>1193.3999999998714</v>
      </c>
      <c r="D1438" s="707">
        <v>83900</v>
      </c>
      <c r="E1438" s="707">
        <v>1193.4999999998713</v>
      </c>
      <c r="G1438" s="65">
        <v>1193.4999999998713</v>
      </c>
      <c r="H1438" s="707">
        <v>83900</v>
      </c>
      <c r="I1438" s="65">
        <v>1193.5999999998712</v>
      </c>
      <c r="J1438" s="707">
        <v>84051</v>
      </c>
    </row>
    <row r="1439" spans="2:10" ht="15">
      <c r="B1439" s="706">
        <v>83900</v>
      </c>
      <c r="C1439" s="706">
        <v>1193.4999999998713</v>
      </c>
      <c r="D1439" s="707">
        <v>84051</v>
      </c>
      <c r="E1439" s="707">
        <v>1193.5999999998712</v>
      </c>
      <c r="G1439" s="65">
        <v>1193.5999999998712</v>
      </c>
      <c r="H1439" s="707">
        <v>84051</v>
      </c>
      <c r="I1439" s="65">
        <v>1193.6999999998711</v>
      </c>
      <c r="J1439" s="707">
        <v>84202</v>
      </c>
    </row>
    <row r="1440" spans="2:10" ht="15">
      <c r="B1440" s="706">
        <v>84051</v>
      </c>
      <c r="C1440" s="706">
        <v>1193.5999999998712</v>
      </c>
      <c r="D1440" s="707">
        <v>84202</v>
      </c>
      <c r="E1440" s="707">
        <v>1193.6999999998711</v>
      </c>
      <c r="G1440" s="65">
        <v>1193.6999999998711</v>
      </c>
      <c r="H1440" s="707">
        <v>84202</v>
      </c>
      <c r="I1440" s="65">
        <v>1193.799999999871</v>
      </c>
      <c r="J1440" s="707">
        <v>84353</v>
      </c>
    </row>
    <row r="1441" spans="2:10" ht="15">
      <c r="B1441" s="706">
        <v>84202</v>
      </c>
      <c r="C1441" s="706">
        <v>1193.6999999998711</v>
      </c>
      <c r="D1441" s="707">
        <v>84353</v>
      </c>
      <c r="E1441" s="707">
        <v>1193.799999999871</v>
      </c>
      <c r="G1441" s="65">
        <v>1193.799999999871</v>
      </c>
      <c r="H1441" s="707">
        <v>84353</v>
      </c>
      <c r="I1441" s="65">
        <v>1193.8999999998709</v>
      </c>
      <c r="J1441" s="707">
        <v>84505</v>
      </c>
    </row>
    <row r="1442" spans="2:10" ht="15">
      <c r="B1442" s="706">
        <v>84353</v>
      </c>
      <c r="C1442" s="706">
        <v>1193.799999999871</v>
      </c>
      <c r="D1442" s="707">
        <v>84505</v>
      </c>
      <c r="E1442" s="707">
        <v>1193.8999999998709</v>
      </c>
      <c r="G1442" s="65">
        <v>1193.8999999998709</v>
      </c>
      <c r="H1442" s="707">
        <v>84505</v>
      </c>
      <c r="I1442" s="65">
        <v>1193.9999999998709</v>
      </c>
      <c r="J1442" s="707">
        <v>84656</v>
      </c>
    </row>
    <row r="1443" spans="2:10" ht="15">
      <c r="B1443" s="706">
        <v>84505</v>
      </c>
      <c r="C1443" s="706">
        <v>1193.8999999998709</v>
      </c>
      <c r="D1443" s="707">
        <v>84656</v>
      </c>
      <c r="E1443" s="707">
        <v>1193.9999999998709</v>
      </c>
      <c r="G1443" s="65">
        <v>1193.9999999998709</v>
      </c>
      <c r="H1443" s="707">
        <v>84656</v>
      </c>
      <c r="I1443" s="65">
        <v>1194.0999999998708</v>
      </c>
      <c r="J1443" s="707">
        <v>84809</v>
      </c>
    </row>
    <row r="1444" spans="2:10" ht="15">
      <c r="B1444" s="706">
        <v>84656</v>
      </c>
      <c r="C1444" s="706">
        <v>1193.9999999998709</v>
      </c>
      <c r="D1444" s="707">
        <v>84809</v>
      </c>
      <c r="E1444" s="707">
        <v>1194.0999999998708</v>
      </c>
      <c r="G1444" s="65">
        <v>1194.0999999998708</v>
      </c>
      <c r="H1444" s="707">
        <v>84809</v>
      </c>
      <c r="I1444" s="65">
        <v>1194.1999999998707</v>
      </c>
      <c r="J1444" s="707">
        <v>84962</v>
      </c>
    </row>
    <row r="1445" spans="2:10" ht="15">
      <c r="B1445" s="706">
        <v>84809</v>
      </c>
      <c r="C1445" s="706">
        <v>1194.0999999998708</v>
      </c>
      <c r="D1445" s="707">
        <v>84962</v>
      </c>
      <c r="E1445" s="707">
        <v>1194.1999999998707</v>
      </c>
      <c r="G1445" s="65">
        <v>1194.1999999998707</v>
      </c>
      <c r="H1445" s="707">
        <v>84962</v>
      </c>
      <c r="I1445" s="65">
        <v>1194.2999999998706</v>
      </c>
      <c r="J1445" s="707">
        <v>85115</v>
      </c>
    </row>
    <row r="1446" spans="2:10" ht="15">
      <c r="B1446" s="706">
        <v>84962</v>
      </c>
      <c r="C1446" s="706">
        <v>1194.1999999998707</v>
      </c>
      <c r="D1446" s="707">
        <v>85115</v>
      </c>
      <c r="E1446" s="707">
        <v>1194.2999999998706</v>
      </c>
      <c r="G1446" s="65">
        <v>1194.2999999998706</v>
      </c>
      <c r="H1446" s="707">
        <v>85115</v>
      </c>
      <c r="I1446" s="65">
        <v>1194.3999999998705</v>
      </c>
      <c r="J1446" s="707">
        <v>85268</v>
      </c>
    </row>
    <row r="1447" spans="2:10" ht="15">
      <c r="B1447" s="706">
        <v>85115</v>
      </c>
      <c r="C1447" s="706">
        <v>1194.2999999998706</v>
      </c>
      <c r="D1447" s="707">
        <v>85268</v>
      </c>
      <c r="E1447" s="707">
        <v>1194.3999999998705</v>
      </c>
      <c r="G1447" s="65">
        <v>1194.3999999998705</v>
      </c>
      <c r="H1447" s="707">
        <v>85268</v>
      </c>
      <c r="I1447" s="65">
        <v>1194.4999999998704</v>
      </c>
      <c r="J1447" s="707">
        <v>85421</v>
      </c>
    </row>
    <row r="1448" spans="2:10" ht="15">
      <c r="B1448" s="706">
        <v>85268</v>
      </c>
      <c r="C1448" s="706">
        <v>1194.3999999998705</v>
      </c>
      <c r="D1448" s="707">
        <v>85421</v>
      </c>
      <c r="E1448" s="707">
        <v>1194.4999999998704</v>
      </c>
      <c r="G1448" s="65">
        <v>1194.4999999998704</v>
      </c>
      <c r="H1448" s="707">
        <v>85421</v>
      </c>
      <c r="I1448" s="65">
        <v>1194.5999999998703</v>
      </c>
      <c r="J1448" s="707">
        <v>85574</v>
      </c>
    </row>
    <row r="1449" spans="2:10" ht="15">
      <c r="B1449" s="706">
        <v>85421</v>
      </c>
      <c r="C1449" s="706">
        <v>1194.4999999998704</v>
      </c>
      <c r="D1449" s="707">
        <v>85574</v>
      </c>
      <c r="E1449" s="707">
        <v>1194.5999999998703</v>
      </c>
      <c r="G1449" s="65">
        <v>1194.5999999998703</v>
      </c>
      <c r="H1449" s="707">
        <v>85574</v>
      </c>
      <c r="I1449" s="65">
        <v>1194.6999999998702</v>
      </c>
      <c r="J1449" s="707">
        <v>85727</v>
      </c>
    </row>
    <row r="1450" spans="2:10" ht="15">
      <c r="B1450" s="706">
        <v>85574</v>
      </c>
      <c r="C1450" s="706">
        <v>1194.5999999998703</v>
      </c>
      <c r="D1450" s="707">
        <v>85727</v>
      </c>
      <c r="E1450" s="707">
        <v>1194.6999999998702</v>
      </c>
      <c r="G1450" s="65">
        <v>1194.6999999998702</v>
      </c>
      <c r="H1450" s="707">
        <v>85727</v>
      </c>
      <c r="I1450" s="65">
        <v>1194.7999999998701</v>
      </c>
      <c r="J1450" s="707">
        <v>85880</v>
      </c>
    </row>
    <row r="1451" spans="2:10" ht="15">
      <c r="B1451" s="706">
        <v>85727</v>
      </c>
      <c r="C1451" s="706">
        <v>1194.6999999998702</v>
      </c>
      <c r="D1451" s="707">
        <v>85880</v>
      </c>
      <c r="E1451" s="707">
        <v>1194.7999999998701</v>
      </c>
      <c r="G1451" s="65">
        <v>1194.7999999998701</v>
      </c>
      <c r="H1451" s="707">
        <v>85880</v>
      </c>
      <c r="I1451" s="65">
        <v>1194.89999999987</v>
      </c>
      <c r="J1451" s="707">
        <v>86033</v>
      </c>
    </row>
    <row r="1452" spans="2:10" ht="15">
      <c r="B1452" s="706">
        <v>85880</v>
      </c>
      <c r="C1452" s="706">
        <v>1194.7999999998701</v>
      </c>
      <c r="D1452" s="707">
        <v>86033</v>
      </c>
      <c r="E1452" s="707">
        <v>1194.89999999987</v>
      </c>
      <c r="G1452" s="65">
        <v>1194.89999999987</v>
      </c>
      <c r="H1452" s="707">
        <v>86033</v>
      </c>
      <c r="I1452" s="65">
        <v>1194.9999999998699</v>
      </c>
      <c r="J1452" s="707">
        <v>86186</v>
      </c>
    </row>
    <row r="1453" spans="2:10" ht="15">
      <c r="B1453" s="706">
        <v>86033</v>
      </c>
      <c r="C1453" s="706">
        <v>1194.89999999987</v>
      </c>
      <c r="D1453" s="707">
        <v>86186</v>
      </c>
      <c r="E1453" s="707">
        <v>1194.9999999998699</v>
      </c>
      <c r="G1453" s="65">
        <v>1194.9999999998699</v>
      </c>
      <c r="H1453" s="707">
        <v>86186</v>
      </c>
      <c r="I1453" s="65">
        <v>1195.0999999998699</v>
      </c>
      <c r="J1453" s="707">
        <v>86341</v>
      </c>
    </row>
    <row r="1454" spans="2:10" ht="15">
      <c r="B1454" s="706">
        <v>86186</v>
      </c>
      <c r="C1454" s="706">
        <v>1194.9999999998699</v>
      </c>
      <c r="D1454" s="707">
        <v>86341</v>
      </c>
      <c r="E1454" s="707">
        <v>1195.0999999998699</v>
      </c>
      <c r="G1454" s="65">
        <v>1195.0999999998699</v>
      </c>
      <c r="H1454" s="707">
        <v>86341</v>
      </c>
      <c r="I1454" s="65">
        <v>1195.1999999998698</v>
      </c>
      <c r="J1454" s="707">
        <v>86496</v>
      </c>
    </row>
    <row r="1455" spans="2:10" ht="15">
      <c r="B1455" s="706">
        <v>86341</v>
      </c>
      <c r="C1455" s="706">
        <v>1195.0999999998699</v>
      </c>
      <c r="D1455" s="707">
        <v>86496</v>
      </c>
      <c r="E1455" s="707">
        <v>1195.1999999998698</v>
      </c>
      <c r="G1455" s="65">
        <v>1195.1999999998698</v>
      </c>
      <c r="H1455" s="707">
        <v>86496</v>
      </c>
      <c r="I1455" s="65">
        <v>1195.2999999998697</v>
      </c>
      <c r="J1455" s="707">
        <v>86651</v>
      </c>
    </row>
    <row r="1456" spans="2:10" ht="15">
      <c r="B1456" s="706">
        <v>86496</v>
      </c>
      <c r="C1456" s="706">
        <v>1195.1999999998698</v>
      </c>
      <c r="D1456" s="707">
        <v>86651</v>
      </c>
      <c r="E1456" s="707">
        <v>1195.2999999998697</v>
      </c>
      <c r="G1456" s="65">
        <v>1195.2999999998697</v>
      </c>
      <c r="H1456" s="707">
        <v>86651</v>
      </c>
      <c r="I1456" s="65">
        <v>1195.3999999998696</v>
      </c>
      <c r="J1456" s="707">
        <v>86806</v>
      </c>
    </row>
    <row r="1457" spans="2:10" ht="15">
      <c r="B1457" s="706">
        <v>86651</v>
      </c>
      <c r="C1457" s="706">
        <v>1195.2999999998697</v>
      </c>
      <c r="D1457" s="707">
        <v>86806</v>
      </c>
      <c r="E1457" s="707">
        <v>1195.3999999998696</v>
      </c>
      <c r="G1457" s="65">
        <v>1195.3999999998696</v>
      </c>
      <c r="H1457" s="707">
        <v>86806</v>
      </c>
      <c r="I1457" s="65">
        <v>1195.4999999998695</v>
      </c>
      <c r="J1457" s="707">
        <v>86961</v>
      </c>
    </row>
    <row r="1458" spans="2:10" ht="15">
      <c r="B1458" s="706">
        <v>86806</v>
      </c>
      <c r="C1458" s="706">
        <v>1195.3999999998696</v>
      </c>
      <c r="D1458" s="707">
        <v>86961</v>
      </c>
      <c r="E1458" s="707">
        <v>1195.4999999998695</v>
      </c>
      <c r="G1458" s="65">
        <v>1195.4999999998695</v>
      </c>
      <c r="H1458" s="707">
        <v>86961</v>
      </c>
      <c r="I1458" s="65">
        <v>1195.5999999998694</v>
      </c>
      <c r="J1458" s="707">
        <v>87115</v>
      </c>
    </row>
    <row r="1459" spans="2:10" ht="15">
      <c r="B1459" s="706">
        <v>86961</v>
      </c>
      <c r="C1459" s="706">
        <v>1195.4999999998695</v>
      </c>
      <c r="D1459" s="707">
        <v>87115</v>
      </c>
      <c r="E1459" s="707">
        <v>1195.5999999998694</v>
      </c>
      <c r="G1459" s="65">
        <v>1195.5999999998694</v>
      </c>
      <c r="H1459" s="707">
        <v>87115</v>
      </c>
      <c r="I1459" s="65">
        <v>1195.6999999998693</v>
      </c>
      <c r="J1459" s="707">
        <v>87270</v>
      </c>
    </row>
    <row r="1460" spans="2:10" ht="15">
      <c r="B1460" s="706">
        <v>87115</v>
      </c>
      <c r="C1460" s="706">
        <v>1195.5999999998694</v>
      </c>
      <c r="D1460" s="707">
        <v>87270</v>
      </c>
      <c r="E1460" s="707">
        <v>1195.6999999998693</v>
      </c>
      <c r="G1460" s="65">
        <v>1195.6999999998693</v>
      </c>
      <c r="H1460" s="707">
        <v>87270</v>
      </c>
      <c r="I1460" s="65">
        <v>1195.7999999998692</v>
      </c>
      <c r="J1460" s="707">
        <v>87425</v>
      </c>
    </row>
    <row r="1461" spans="2:10" ht="15">
      <c r="B1461" s="706">
        <v>87270</v>
      </c>
      <c r="C1461" s="706">
        <v>1195.6999999998693</v>
      </c>
      <c r="D1461" s="707">
        <v>87425</v>
      </c>
      <c r="E1461" s="707">
        <v>1195.7999999998692</v>
      </c>
      <c r="G1461" s="65">
        <v>1195.7999999998692</v>
      </c>
      <c r="H1461" s="707">
        <v>87425</v>
      </c>
      <c r="I1461" s="65">
        <v>1195.8999999998691</v>
      </c>
      <c r="J1461" s="707">
        <v>87580</v>
      </c>
    </row>
    <row r="1462" spans="2:10" ht="15">
      <c r="B1462" s="706">
        <v>87425</v>
      </c>
      <c r="C1462" s="706">
        <v>1195.7999999998692</v>
      </c>
      <c r="D1462" s="707">
        <v>87580</v>
      </c>
      <c r="E1462" s="707">
        <v>1195.8999999998691</v>
      </c>
      <c r="G1462" s="65">
        <v>1195.8999999998691</v>
      </c>
      <c r="H1462" s="707">
        <v>87580</v>
      </c>
      <c r="I1462" s="65">
        <v>1195.999999999869</v>
      </c>
      <c r="J1462" s="707">
        <v>87735</v>
      </c>
    </row>
    <row r="1463" spans="2:10" ht="15">
      <c r="B1463" s="706">
        <v>87580</v>
      </c>
      <c r="C1463" s="706">
        <v>1195.8999999998691</v>
      </c>
      <c r="D1463" s="707">
        <v>87735</v>
      </c>
      <c r="E1463" s="707">
        <v>1195.999999999869</v>
      </c>
      <c r="G1463" s="65">
        <v>1195.999999999869</v>
      </c>
      <c r="H1463" s="707">
        <v>87735</v>
      </c>
      <c r="I1463" s="65">
        <v>1196.0999999998689</v>
      </c>
      <c r="J1463" s="707">
        <v>87892</v>
      </c>
    </row>
    <row r="1464" spans="2:10" ht="15">
      <c r="B1464" s="706">
        <v>87735</v>
      </c>
      <c r="C1464" s="706">
        <v>1195.999999999869</v>
      </c>
      <c r="D1464" s="707">
        <v>87892</v>
      </c>
      <c r="E1464" s="707">
        <v>1196.0999999998689</v>
      </c>
      <c r="G1464" s="65">
        <v>1196.0999999998689</v>
      </c>
      <c r="H1464" s="707">
        <v>87892</v>
      </c>
      <c r="I1464" s="65">
        <v>1196.1999999998689</v>
      </c>
      <c r="J1464" s="707">
        <v>88049</v>
      </c>
    </row>
    <row r="1465" spans="2:10" ht="15">
      <c r="B1465" s="706">
        <v>87892</v>
      </c>
      <c r="C1465" s="706">
        <v>1196.0999999998689</v>
      </c>
      <c r="D1465" s="707">
        <v>88049</v>
      </c>
      <c r="E1465" s="707">
        <v>1196.1999999998689</v>
      </c>
      <c r="G1465" s="65">
        <v>1196.1999999998689</v>
      </c>
      <c r="H1465" s="707">
        <v>88049</v>
      </c>
      <c r="I1465" s="65">
        <v>1196.2999999998688</v>
      </c>
      <c r="J1465" s="707">
        <v>88205</v>
      </c>
    </row>
    <row r="1466" spans="2:10" ht="15">
      <c r="B1466" s="706">
        <v>88049</v>
      </c>
      <c r="C1466" s="706">
        <v>1196.1999999998689</v>
      </c>
      <c r="D1466" s="707">
        <v>88205</v>
      </c>
      <c r="E1466" s="707">
        <v>1196.2999999998688</v>
      </c>
      <c r="G1466" s="65">
        <v>1196.2999999998688</v>
      </c>
      <c r="H1466" s="707">
        <v>88205</v>
      </c>
      <c r="I1466" s="65">
        <v>1196.3999999998687</v>
      </c>
      <c r="J1466" s="707">
        <v>88362</v>
      </c>
    </row>
    <row r="1467" spans="2:10" ht="15">
      <c r="B1467" s="706">
        <v>88205</v>
      </c>
      <c r="C1467" s="706">
        <v>1196.2999999998688</v>
      </c>
      <c r="D1467" s="707">
        <v>88362</v>
      </c>
      <c r="E1467" s="707">
        <v>1196.3999999998687</v>
      </c>
      <c r="G1467" s="65">
        <v>1196.3999999998687</v>
      </c>
      <c r="H1467" s="707">
        <v>88362</v>
      </c>
      <c r="I1467" s="65">
        <v>1196.4999999998686</v>
      </c>
      <c r="J1467" s="707">
        <v>88519</v>
      </c>
    </row>
    <row r="1468" spans="2:10" ht="15">
      <c r="B1468" s="706">
        <v>88362</v>
      </c>
      <c r="C1468" s="706">
        <v>1196.3999999998687</v>
      </c>
      <c r="D1468" s="707">
        <v>88519</v>
      </c>
      <c r="E1468" s="707">
        <v>1196.4999999998686</v>
      </c>
      <c r="G1468" s="65">
        <v>1196.4999999998686</v>
      </c>
      <c r="H1468" s="707">
        <v>88519</v>
      </c>
      <c r="I1468" s="65">
        <v>1196.5999999998685</v>
      </c>
      <c r="J1468" s="707">
        <v>88676</v>
      </c>
    </row>
    <row r="1469" spans="2:10" ht="15">
      <c r="B1469" s="706">
        <v>88519</v>
      </c>
      <c r="C1469" s="706">
        <v>1196.4999999998686</v>
      </c>
      <c r="D1469" s="707">
        <v>88676</v>
      </c>
      <c r="E1469" s="707">
        <v>1196.5999999998685</v>
      </c>
      <c r="G1469" s="65">
        <v>1196.5999999998685</v>
      </c>
      <c r="H1469" s="707">
        <v>88676</v>
      </c>
      <c r="I1469" s="65">
        <v>1196.6999999998684</v>
      </c>
      <c r="J1469" s="707">
        <v>88833</v>
      </c>
    </row>
    <row r="1470" spans="2:10" ht="15">
      <c r="B1470" s="706">
        <v>88676</v>
      </c>
      <c r="C1470" s="706">
        <v>1196.5999999998685</v>
      </c>
      <c r="D1470" s="707">
        <v>88833</v>
      </c>
      <c r="E1470" s="707">
        <v>1196.6999999998684</v>
      </c>
      <c r="G1470" s="65">
        <v>1196.6999999998684</v>
      </c>
      <c r="H1470" s="707">
        <v>88833</v>
      </c>
      <c r="I1470" s="65">
        <v>1196.7999999998683</v>
      </c>
      <c r="J1470" s="707">
        <v>88989</v>
      </c>
    </row>
    <row r="1471" spans="2:10" ht="15">
      <c r="B1471" s="706">
        <v>88833</v>
      </c>
      <c r="C1471" s="706">
        <v>1196.6999999998684</v>
      </c>
      <c r="D1471" s="707">
        <v>88989</v>
      </c>
      <c r="E1471" s="707">
        <v>1196.7999999998683</v>
      </c>
      <c r="G1471" s="65">
        <v>1196.7999999998683</v>
      </c>
      <c r="H1471" s="707">
        <v>88989</v>
      </c>
      <c r="I1471" s="65">
        <v>1196.8999999998682</v>
      </c>
      <c r="J1471" s="707">
        <v>89146</v>
      </c>
    </row>
    <row r="1472" spans="2:10" ht="15">
      <c r="B1472" s="706">
        <v>88989</v>
      </c>
      <c r="C1472" s="706">
        <v>1196.7999999998683</v>
      </c>
      <c r="D1472" s="707">
        <v>89146</v>
      </c>
      <c r="E1472" s="707">
        <v>1196.8999999998682</v>
      </c>
      <c r="G1472" s="65">
        <v>1196.8999999998682</v>
      </c>
      <c r="H1472" s="707">
        <v>89146</v>
      </c>
      <c r="I1472" s="65">
        <v>1196.9999999998681</v>
      </c>
      <c r="J1472" s="707">
        <v>89303</v>
      </c>
    </row>
    <row r="1473" spans="2:10" ht="15">
      <c r="B1473" s="706">
        <v>89146</v>
      </c>
      <c r="C1473" s="706">
        <v>1196.8999999998682</v>
      </c>
      <c r="D1473" s="707">
        <v>89303</v>
      </c>
      <c r="E1473" s="707">
        <v>1196.9999999998681</v>
      </c>
      <c r="G1473" s="65">
        <v>1196.9999999998681</v>
      </c>
      <c r="H1473" s="707">
        <v>89303</v>
      </c>
      <c r="I1473" s="65">
        <v>1197.099999999868</v>
      </c>
      <c r="J1473" s="707">
        <v>89462</v>
      </c>
    </row>
    <row r="1474" spans="2:10" ht="15">
      <c r="B1474" s="706">
        <v>89303</v>
      </c>
      <c r="C1474" s="706">
        <v>1196.9999999998681</v>
      </c>
      <c r="D1474" s="707">
        <v>89462</v>
      </c>
      <c r="E1474" s="707">
        <v>1197.099999999868</v>
      </c>
      <c r="G1474" s="65">
        <v>1197.099999999868</v>
      </c>
      <c r="H1474" s="707">
        <v>89462</v>
      </c>
      <c r="I1474" s="65">
        <v>1197.1999999998679</v>
      </c>
      <c r="J1474" s="707">
        <v>89620</v>
      </c>
    </row>
    <row r="1475" spans="2:10" ht="15">
      <c r="B1475" s="706">
        <v>89462</v>
      </c>
      <c r="C1475" s="706">
        <v>1197.099999999868</v>
      </c>
      <c r="D1475" s="707">
        <v>89620</v>
      </c>
      <c r="E1475" s="707">
        <v>1197.1999999998679</v>
      </c>
      <c r="G1475" s="65">
        <v>1197.1999999998679</v>
      </c>
      <c r="H1475" s="707">
        <v>89620</v>
      </c>
      <c r="I1475" s="65">
        <v>1197.2999999998679</v>
      </c>
      <c r="J1475" s="707">
        <v>89779</v>
      </c>
    </row>
    <row r="1476" spans="2:10" ht="15">
      <c r="B1476" s="706">
        <v>89620</v>
      </c>
      <c r="C1476" s="706">
        <v>1197.1999999998679</v>
      </c>
      <c r="D1476" s="707">
        <v>89779</v>
      </c>
      <c r="E1476" s="707">
        <v>1197.2999999998679</v>
      </c>
      <c r="G1476" s="65">
        <v>1197.2999999998679</v>
      </c>
      <c r="H1476" s="707">
        <v>89779</v>
      </c>
      <c r="I1476" s="65">
        <v>1197.3999999998678</v>
      </c>
      <c r="J1476" s="707">
        <v>89938</v>
      </c>
    </row>
    <row r="1477" spans="2:10" ht="15">
      <c r="B1477" s="706">
        <v>89779</v>
      </c>
      <c r="C1477" s="706">
        <v>1197.2999999998679</v>
      </c>
      <c r="D1477" s="707">
        <v>89938</v>
      </c>
      <c r="E1477" s="707">
        <v>1197.3999999998678</v>
      </c>
      <c r="G1477" s="65">
        <v>1197.3999999998678</v>
      </c>
      <c r="H1477" s="707">
        <v>89938</v>
      </c>
      <c r="I1477" s="65">
        <v>1197.4999999998677</v>
      </c>
      <c r="J1477" s="707">
        <v>90097</v>
      </c>
    </row>
    <row r="1478" spans="2:10" ht="15">
      <c r="B1478" s="706">
        <v>89938</v>
      </c>
      <c r="C1478" s="706">
        <v>1197.3999999998678</v>
      </c>
      <c r="D1478" s="707">
        <v>90097</v>
      </c>
      <c r="E1478" s="707">
        <v>1197.4999999998677</v>
      </c>
      <c r="G1478" s="65">
        <v>1197.4999999998677</v>
      </c>
      <c r="H1478" s="707">
        <v>90097</v>
      </c>
      <c r="I1478" s="65">
        <v>1197.5999999998676</v>
      </c>
      <c r="J1478" s="707">
        <v>90255</v>
      </c>
    </row>
    <row r="1479" spans="2:10" ht="15">
      <c r="B1479" s="706">
        <v>90097</v>
      </c>
      <c r="C1479" s="706">
        <v>1197.4999999998677</v>
      </c>
      <c r="D1479" s="707">
        <v>90255</v>
      </c>
      <c r="E1479" s="707">
        <v>1197.5999999998676</v>
      </c>
      <c r="G1479" s="65">
        <v>1197.5999999998676</v>
      </c>
      <c r="H1479" s="707">
        <v>90255</v>
      </c>
      <c r="I1479" s="65">
        <v>1197.6999999998675</v>
      </c>
      <c r="J1479" s="707">
        <v>90414</v>
      </c>
    </row>
    <row r="1480" spans="2:10" ht="15">
      <c r="B1480" s="706">
        <v>90255</v>
      </c>
      <c r="C1480" s="706">
        <v>1197.5999999998676</v>
      </c>
      <c r="D1480" s="707">
        <v>90414</v>
      </c>
      <c r="E1480" s="707">
        <v>1197.6999999998675</v>
      </c>
      <c r="G1480" s="65">
        <v>1197.6999999998675</v>
      </c>
      <c r="H1480" s="707">
        <v>90414</v>
      </c>
      <c r="I1480" s="65">
        <v>1197.7999999998674</v>
      </c>
      <c r="J1480" s="707">
        <v>90573</v>
      </c>
    </row>
    <row r="1481" spans="2:10" ht="15">
      <c r="B1481" s="706">
        <v>90414</v>
      </c>
      <c r="C1481" s="706">
        <v>1197.6999999998675</v>
      </c>
      <c r="D1481" s="707">
        <v>90573</v>
      </c>
      <c r="E1481" s="707">
        <v>1197.7999999998674</v>
      </c>
      <c r="G1481" s="65">
        <v>1197.7999999998674</v>
      </c>
      <c r="H1481" s="707">
        <v>90573</v>
      </c>
      <c r="I1481" s="65">
        <v>1197.8999999998673</v>
      </c>
      <c r="J1481" s="707">
        <v>90731</v>
      </c>
    </row>
    <row r="1482" spans="2:10" ht="15">
      <c r="B1482" s="706">
        <v>90573</v>
      </c>
      <c r="C1482" s="706">
        <v>1197.7999999998674</v>
      </c>
      <c r="D1482" s="707">
        <v>90731</v>
      </c>
      <c r="E1482" s="707">
        <v>1197.8999999998673</v>
      </c>
      <c r="G1482" s="65">
        <v>1197.8999999998673</v>
      </c>
      <c r="H1482" s="707">
        <v>90731</v>
      </c>
      <c r="I1482" s="65">
        <v>1197.9999999998672</v>
      </c>
      <c r="J1482" s="707">
        <v>90890</v>
      </c>
    </row>
    <row r="1483" spans="2:10" ht="15">
      <c r="B1483" s="706">
        <v>90731</v>
      </c>
      <c r="C1483" s="706">
        <v>1197.8999999998673</v>
      </c>
      <c r="D1483" s="707">
        <v>90890</v>
      </c>
      <c r="E1483" s="707">
        <v>1197.9999999998672</v>
      </c>
      <c r="G1483" s="65">
        <v>1197.9999999998672</v>
      </c>
      <c r="H1483" s="707">
        <v>90890</v>
      </c>
      <c r="I1483" s="65">
        <v>1198.0999999998671</v>
      </c>
      <c r="J1483" s="707">
        <v>91051</v>
      </c>
    </row>
    <row r="1484" spans="2:10" ht="15">
      <c r="B1484" s="706">
        <v>90890</v>
      </c>
      <c r="C1484" s="706">
        <v>1197.9999999998672</v>
      </c>
      <c r="D1484" s="707">
        <v>91051</v>
      </c>
      <c r="E1484" s="707">
        <v>1198.0999999998671</v>
      </c>
      <c r="G1484" s="65">
        <v>1198.0999999998671</v>
      </c>
      <c r="H1484" s="707">
        <v>91051</v>
      </c>
      <c r="I1484" s="65">
        <v>1198.199999999867</v>
      </c>
      <c r="J1484" s="707">
        <v>91211</v>
      </c>
    </row>
    <row r="1485" spans="2:10" ht="15">
      <c r="B1485" s="706">
        <v>91051</v>
      </c>
      <c r="C1485" s="706">
        <v>1198.0999999998671</v>
      </c>
      <c r="D1485" s="707">
        <v>91211</v>
      </c>
      <c r="E1485" s="707">
        <v>1198.199999999867</v>
      </c>
      <c r="G1485" s="65">
        <v>1198.199999999867</v>
      </c>
      <c r="H1485" s="707">
        <v>91211</v>
      </c>
      <c r="I1485" s="65">
        <v>1198.2999999998669</v>
      </c>
      <c r="J1485" s="707">
        <v>91372</v>
      </c>
    </row>
    <row r="1486" spans="2:10" ht="15">
      <c r="B1486" s="706">
        <v>91211</v>
      </c>
      <c r="C1486" s="706">
        <v>1198.199999999867</v>
      </c>
      <c r="D1486" s="707">
        <v>91372</v>
      </c>
      <c r="E1486" s="707">
        <v>1198.2999999998669</v>
      </c>
      <c r="G1486" s="65">
        <v>1198.2999999998669</v>
      </c>
      <c r="H1486" s="707">
        <v>91372</v>
      </c>
      <c r="I1486" s="65">
        <v>1198.3999999998668</v>
      </c>
      <c r="J1486" s="707">
        <v>91532</v>
      </c>
    </row>
    <row r="1487" spans="2:10" ht="15">
      <c r="B1487" s="706">
        <v>91372</v>
      </c>
      <c r="C1487" s="706">
        <v>1198.2999999998669</v>
      </c>
      <c r="D1487" s="707">
        <v>91532</v>
      </c>
      <c r="E1487" s="707">
        <v>1198.3999999998668</v>
      </c>
      <c r="G1487" s="65">
        <v>1198.3999999998668</v>
      </c>
      <c r="H1487" s="707">
        <v>91532</v>
      </c>
      <c r="I1487" s="65">
        <v>1198.4999999998668</v>
      </c>
      <c r="J1487" s="707">
        <v>91693</v>
      </c>
    </row>
    <row r="1488" spans="2:10" ht="15">
      <c r="B1488" s="706">
        <v>91532</v>
      </c>
      <c r="C1488" s="706">
        <v>1198.3999999998668</v>
      </c>
      <c r="D1488" s="707">
        <v>91693</v>
      </c>
      <c r="E1488" s="707">
        <v>1198.4999999998668</v>
      </c>
      <c r="G1488" s="65">
        <v>1198.4999999998668</v>
      </c>
      <c r="H1488" s="707">
        <v>91693</v>
      </c>
      <c r="I1488" s="65">
        <v>1198.5999999998667</v>
      </c>
      <c r="J1488" s="707">
        <v>91853</v>
      </c>
    </row>
    <row r="1489" spans="2:10" ht="15">
      <c r="B1489" s="706">
        <v>91693</v>
      </c>
      <c r="C1489" s="706">
        <v>1198.4999999998668</v>
      </c>
      <c r="D1489" s="707">
        <v>91853</v>
      </c>
      <c r="E1489" s="707">
        <v>1198.5999999998667</v>
      </c>
      <c r="G1489" s="65">
        <v>1198.5999999998667</v>
      </c>
      <c r="H1489" s="707">
        <v>91853</v>
      </c>
      <c r="I1489" s="65">
        <v>1198.6999999998666</v>
      </c>
      <c r="J1489" s="707">
        <v>92014</v>
      </c>
    </row>
    <row r="1490" spans="2:10" ht="15">
      <c r="B1490" s="706">
        <v>91853</v>
      </c>
      <c r="C1490" s="706">
        <v>1198.5999999998667</v>
      </c>
      <c r="D1490" s="707">
        <v>92014</v>
      </c>
      <c r="E1490" s="707">
        <v>1198.6999999998666</v>
      </c>
      <c r="G1490" s="65">
        <v>1198.6999999998666</v>
      </c>
      <c r="H1490" s="707">
        <v>92014</v>
      </c>
      <c r="I1490" s="65">
        <v>1198.7999999998665</v>
      </c>
      <c r="J1490" s="707">
        <v>92174</v>
      </c>
    </row>
    <row r="1491" spans="2:10" ht="15">
      <c r="B1491" s="706">
        <v>92014</v>
      </c>
      <c r="C1491" s="706">
        <v>1198.6999999998666</v>
      </c>
      <c r="D1491" s="707">
        <v>92174</v>
      </c>
      <c r="E1491" s="707">
        <v>1198.7999999998665</v>
      </c>
      <c r="G1491" s="65">
        <v>1198.7999999998665</v>
      </c>
      <c r="H1491" s="707">
        <v>92174</v>
      </c>
      <c r="I1491" s="65">
        <v>1198.8999999998664</v>
      </c>
      <c r="J1491" s="707">
        <v>92335</v>
      </c>
    </row>
    <row r="1492" spans="2:10" ht="15">
      <c r="B1492" s="706">
        <v>92174</v>
      </c>
      <c r="C1492" s="706">
        <v>1198.7999999998665</v>
      </c>
      <c r="D1492" s="707">
        <v>92335</v>
      </c>
      <c r="E1492" s="707">
        <v>1198.8999999998664</v>
      </c>
      <c r="G1492" s="65">
        <v>1198.8999999998664</v>
      </c>
      <c r="H1492" s="707">
        <v>92335</v>
      </c>
      <c r="I1492" s="65">
        <v>1198.9999999998663</v>
      </c>
      <c r="J1492" s="707">
        <v>92495</v>
      </c>
    </row>
    <row r="1493" spans="2:10" ht="15">
      <c r="B1493" s="706">
        <v>92335</v>
      </c>
      <c r="C1493" s="706">
        <v>1198.8999999998664</v>
      </c>
      <c r="D1493" s="707">
        <v>92495</v>
      </c>
      <c r="E1493" s="707">
        <v>1198.9999999998663</v>
      </c>
      <c r="G1493" s="65">
        <v>1198.9999999998663</v>
      </c>
      <c r="H1493" s="707">
        <v>92495</v>
      </c>
      <c r="I1493" s="65">
        <v>1199.0999999998662</v>
      </c>
      <c r="J1493" s="707">
        <v>92657</v>
      </c>
    </row>
    <row r="1494" spans="2:10" ht="15">
      <c r="B1494" s="706">
        <v>92495</v>
      </c>
      <c r="C1494" s="706">
        <v>1198.9999999998663</v>
      </c>
      <c r="D1494" s="707">
        <v>92657</v>
      </c>
      <c r="E1494" s="707">
        <v>1199.0999999998662</v>
      </c>
      <c r="G1494" s="65">
        <v>1199.0999999998662</v>
      </c>
      <c r="H1494" s="707">
        <v>92657</v>
      </c>
      <c r="I1494" s="65">
        <v>1199.1999999998661</v>
      </c>
      <c r="J1494" s="707">
        <v>92820</v>
      </c>
    </row>
    <row r="1495" spans="2:10" ht="15">
      <c r="B1495" s="706">
        <v>92657</v>
      </c>
      <c r="C1495" s="706">
        <v>1199.0999999998662</v>
      </c>
      <c r="D1495" s="707">
        <v>92820</v>
      </c>
      <c r="E1495" s="707">
        <v>1199.1999999998661</v>
      </c>
      <c r="G1495" s="65">
        <v>1199.1999999998661</v>
      </c>
      <c r="H1495" s="707">
        <v>92820</v>
      </c>
      <c r="I1495" s="65">
        <v>1199.299999999866</v>
      </c>
      <c r="J1495" s="707">
        <v>92982</v>
      </c>
    </row>
    <row r="1496" spans="2:10" ht="15">
      <c r="B1496" s="706">
        <v>92820</v>
      </c>
      <c r="C1496" s="706">
        <v>1199.1999999998661</v>
      </c>
      <c r="D1496" s="707">
        <v>92982</v>
      </c>
      <c r="E1496" s="707">
        <v>1199.299999999866</v>
      </c>
      <c r="G1496" s="65">
        <v>1199.299999999866</v>
      </c>
      <c r="H1496" s="707">
        <v>92982</v>
      </c>
      <c r="I1496" s="65">
        <v>1199.3999999998659</v>
      </c>
      <c r="J1496" s="707">
        <v>93145</v>
      </c>
    </row>
    <row r="1497" spans="2:10" ht="15">
      <c r="B1497" s="706">
        <v>92982</v>
      </c>
      <c r="C1497" s="706">
        <v>1199.299999999866</v>
      </c>
      <c r="D1497" s="707">
        <v>93145</v>
      </c>
      <c r="E1497" s="707">
        <v>1199.3999999998659</v>
      </c>
      <c r="G1497" s="65">
        <v>1199.3999999998659</v>
      </c>
      <c r="H1497" s="707">
        <v>93145</v>
      </c>
      <c r="I1497" s="65">
        <v>1199.4999999998658</v>
      </c>
      <c r="J1497" s="707">
        <v>93307</v>
      </c>
    </row>
    <row r="1498" spans="2:10" ht="15">
      <c r="B1498" s="706">
        <v>93145</v>
      </c>
      <c r="C1498" s="706">
        <v>1199.3999999998659</v>
      </c>
      <c r="D1498" s="707">
        <v>93307</v>
      </c>
      <c r="E1498" s="707">
        <v>1199.4999999998658</v>
      </c>
      <c r="G1498" s="65">
        <v>1199.4999999998658</v>
      </c>
      <c r="H1498" s="707">
        <v>93307</v>
      </c>
      <c r="I1498" s="65">
        <v>1199.5999999998658</v>
      </c>
      <c r="J1498" s="707">
        <v>93469</v>
      </c>
    </row>
    <row r="1499" spans="2:10" ht="15">
      <c r="B1499" s="706">
        <v>93307</v>
      </c>
      <c r="C1499" s="706">
        <v>1199.4999999998658</v>
      </c>
      <c r="D1499" s="707">
        <v>93469</v>
      </c>
      <c r="E1499" s="707">
        <v>1199.5999999998658</v>
      </c>
      <c r="G1499" s="65">
        <v>1199.5999999998658</v>
      </c>
      <c r="H1499" s="707">
        <v>93469</v>
      </c>
      <c r="I1499" s="65">
        <v>1199.6999999998657</v>
      </c>
      <c r="J1499" s="707">
        <v>93632</v>
      </c>
    </row>
    <row r="1500" spans="2:10" ht="15">
      <c r="B1500" s="706">
        <v>93469</v>
      </c>
      <c r="C1500" s="706">
        <v>1199.5999999998658</v>
      </c>
      <c r="D1500" s="707">
        <v>93632</v>
      </c>
      <c r="E1500" s="707">
        <v>1199.6999999998657</v>
      </c>
      <c r="G1500" s="65">
        <v>1199.6999999998657</v>
      </c>
      <c r="H1500" s="707">
        <v>93632</v>
      </c>
      <c r="I1500" s="65">
        <v>1199.7999999998656</v>
      </c>
      <c r="J1500" s="707">
        <v>93794</v>
      </c>
    </row>
    <row r="1501" spans="2:10" ht="15">
      <c r="B1501" s="706">
        <v>93632</v>
      </c>
      <c r="C1501" s="706">
        <v>1199.6999999998657</v>
      </c>
      <c r="D1501" s="707">
        <v>93794</v>
      </c>
      <c r="E1501" s="707">
        <v>1199.7999999998656</v>
      </c>
      <c r="G1501" s="65">
        <v>1199.7999999998656</v>
      </c>
      <c r="H1501" s="707">
        <v>93794</v>
      </c>
      <c r="I1501" s="65">
        <v>1199.8999999998655</v>
      </c>
      <c r="J1501" s="707">
        <v>93957</v>
      </c>
    </row>
    <row r="1502" spans="2:10" ht="15">
      <c r="B1502" s="706">
        <v>93794</v>
      </c>
      <c r="C1502" s="706">
        <v>1199.7999999998656</v>
      </c>
      <c r="D1502" s="707">
        <v>93957</v>
      </c>
      <c r="E1502" s="707">
        <v>1199.8999999998655</v>
      </c>
      <c r="G1502" s="65">
        <v>1199.8999999998655</v>
      </c>
      <c r="H1502" s="707">
        <v>93957</v>
      </c>
      <c r="I1502" s="65">
        <v>1199.9999999998654</v>
      </c>
      <c r="J1502" s="707">
        <v>94119</v>
      </c>
    </row>
    <row r="1503" spans="2:10" ht="15">
      <c r="B1503" s="706">
        <v>93957</v>
      </c>
      <c r="C1503" s="706">
        <v>1199.8999999998655</v>
      </c>
      <c r="D1503" s="707">
        <v>94119</v>
      </c>
      <c r="E1503" s="707">
        <v>1199.9999999998654</v>
      </c>
      <c r="G1503" s="65">
        <v>1199.9999999998654</v>
      </c>
      <c r="H1503" s="707">
        <v>94119</v>
      </c>
      <c r="I1503" s="65">
        <v>1200.0999999998653</v>
      </c>
      <c r="J1503" s="707">
        <v>94283</v>
      </c>
    </row>
    <row r="1504" spans="2:10" ht="15">
      <c r="B1504" s="706">
        <v>94119</v>
      </c>
      <c r="C1504" s="706">
        <v>1199.9999999998654</v>
      </c>
      <c r="D1504" s="707">
        <v>94283</v>
      </c>
      <c r="E1504" s="707">
        <v>1200.0999999998653</v>
      </c>
      <c r="G1504" s="65">
        <v>1200.0999999998653</v>
      </c>
      <c r="H1504" s="707">
        <v>94283</v>
      </c>
      <c r="I1504" s="65">
        <v>1200.1999999998652</v>
      </c>
      <c r="J1504" s="707">
        <v>94448</v>
      </c>
    </row>
    <row r="1505" spans="2:10" ht="15">
      <c r="B1505" s="706">
        <v>94283</v>
      </c>
      <c r="C1505" s="706">
        <v>1200.0999999998653</v>
      </c>
      <c r="D1505" s="707">
        <v>94448</v>
      </c>
      <c r="E1505" s="707">
        <v>1200.1999999998652</v>
      </c>
      <c r="G1505" s="65">
        <v>1200.1999999998652</v>
      </c>
      <c r="H1505" s="707">
        <v>94448</v>
      </c>
      <c r="I1505" s="65">
        <v>1200.2999999998651</v>
      </c>
      <c r="J1505" s="707">
        <v>94612</v>
      </c>
    </row>
    <row r="1506" spans="2:10" ht="15">
      <c r="B1506" s="706">
        <v>94448</v>
      </c>
      <c r="C1506" s="706">
        <v>1200.1999999998652</v>
      </c>
      <c r="D1506" s="707">
        <v>94612</v>
      </c>
      <c r="E1506" s="707">
        <v>1200.2999999998651</v>
      </c>
      <c r="G1506" s="65">
        <v>1200.2999999998651</v>
      </c>
      <c r="H1506" s="707">
        <v>94612</v>
      </c>
      <c r="I1506" s="65">
        <v>1200.399999999865</v>
      </c>
      <c r="J1506" s="707">
        <v>94776</v>
      </c>
    </row>
    <row r="1507" spans="2:10" ht="15">
      <c r="B1507" s="706">
        <v>94612</v>
      </c>
      <c r="C1507" s="706">
        <v>1200.2999999998651</v>
      </c>
      <c r="D1507" s="707">
        <v>94776</v>
      </c>
      <c r="E1507" s="707">
        <v>1200.399999999865</v>
      </c>
      <c r="G1507" s="65">
        <v>1200.399999999865</v>
      </c>
      <c r="H1507" s="707">
        <v>94776</v>
      </c>
      <c r="I1507" s="65">
        <v>1200.4999999998649</v>
      </c>
      <c r="J1507" s="707">
        <v>94941</v>
      </c>
    </row>
    <row r="1508" spans="2:10" ht="15">
      <c r="B1508" s="706">
        <v>94776</v>
      </c>
      <c r="C1508" s="706">
        <v>1200.399999999865</v>
      </c>
      <c r="D1508" s="707">
        <v>94941</v>
      </c>
      <c r="E1508" s="707">
        <v>1200.4999999998649</v>
      </c>
      <c r="G1508" s="65">
        <v>1200.4999999998649</v>
      </c>
      <c r="H1508" s="707">
        <v>94941</v>
      </c>
      <c r="I1508" s="65">
        <v>1200.5999999998648</v>
      </c>
      <c r="J1508" s="707">
        <v>95105</v>
      </c>
    </row>
    <row r="1509" spans="2:10" ht="15">
      <c r="B1509" s="706">
        <v>94941</v>
      </c>
      <c r="C1509" s="706">
        <v>1200.4999999998649</v>
      </c>
      <c r="D1509" s="707">
        <v>95105</v>
      </c>
      <c r="E1509" s="707">
        <v>1200.5999999998648</v>
      </c>
      <c r="G1509" s="65">
        <v>1200.5999999998648</v>
      </c>
      <c r="H1509" s="707">
        <v>95105</v>
      </c>
      <c r="I1509" s="65">
        <v>1200.6999999998648</v>
      </c>
      <c r="J1509" s="707">
        <v>95269</v>
      </c>
    </row>
    <row r="1510" spans="2:10" ht="15">
      <c r="B1510" s="706">
        <v>95105</v>
      </c>
      <c r="C1510" s="706">
        <v>1200.5999999998648</v>
      </c>
      <c r="D1510" s="707">
        <v>95269</v>
      </c>
      <c r="E1510" s="707">
        <v>1200.6999999998648</v>
      </c>
      <c r="G1510" s="65">
        <v>1200.6999999998648</v>
      </c>
      <c r="H1510" s="707">
        <v>95269</v>
      </c>
      <c r="I1510" s="65">
        <v>1200.7999999998647</v>
      </c>
      <c r="J1510" s="707">
        <v>95433</v>
      </c>
    </row>
    <row r="1511" spans="2:10" ht="15">
      <c r="B1511" s="706">
        <v>95269</v>
      </c>
      <c r="C1511" s="706">
        <v>1200.6999999998648</v>
      </c>
      <c r="D1511" s="707">
        <v>95433</v>
      </c>
      <c r="E1511" s="707">
        <v>1200.7999999998647</v>
      </c>
      <c r="G1511" s="65">
        <v>1200.7999999998647</v>
      </c>
      <c r="H1511" s="707">
        <v>95433</v>
      </c>
      <c r="I1511" s="65">
        <v>1200.8999999998646</v>
      </c>
      <c r="J1511" s="707">
        <v>95598</v>
      </c>
    </row>
    <row r="1512" spans="2:10" ht="15">
      <c r="B1512" s="706">
        <v>95433</v>
      </c>
      <c r="C1512" s="706">
        <v>1200.7999999998647</v>
      </c>
      <c r="D1512" s="707">
        <v>95598</v>
      </c>
      <c r="E1512" s="707">
        <v>1200.8999999998646</v>
      </c>
      <c r="G1512" s="65">
        <v>1200.8999999998646</v>
      </c>
      <c r="H1512" s="707">
        <v>95598</v>
      </c>
      <c r="I1512" s="65">
        <v>1200.9999999998645</v>
      </c>
      <c r="J1512" s="707">
        <v>95762</v>
      </c>
    </row>
    <row r="1513" spans="2:10" ht="15">
      <c r="B1513" s="706">
        <v>95598</v>
      </c>
      <c r="C1513" s="706">
        <v>1200.8999999998646</v>
      </c>
      <c r="D1513" s="707">
        <v>95762</v>
      </c>
      <c r="E1513" s="707">
        <v>1200.9999999998645</v>
      </c>
      <c r="G1513" s="65">
        <v>1200.9999999998645</v>
      </c>
      <c r="H1513" s="707">
        <v>95762</v>
      </c>
      <c r="I1513" s="65">
        <v>1201.0999999998644</v>
      </c>
      <c r="J1513" s="707">
        <v>95928</v>
      </c>
    </row>
    <row r="1514" spans="2:10" ht="15">
      <c r="B1514" s="706">
        <v>95762</v>
      </c>
      <c r="C1514" s="706">
        <v>1200.9999999998645</v>
      </c>
      <c r="D1514" s="707">
        <v>95928</v>
      </c>
      <c r="E1514" s="707">
        <v>1201.0999999998644</v>
      </c>
      <c r="G1514" s="65">
        <v>1201.0999999998644</v>
      </c>
      <c r="H1514" s="707">
        <v>95928</v>
      </c>
      <c r="I1514" s="65">
        <v>1201.1999999998643</v>
      </c>
      <c r="J1514" s="707">
        <v>96094</v>
      </c>
    </row>
    <row r="1515" spans="2:10" ht="15">
      <c r="B1515" s="706">
        <v>95928</v>
      </c>
      <c r="C1515" s="706">
        <v>1201.0999999998644</v>
      </c>
      <c r="D1515" s="707">
        <v>96094</v>
      </c>
      <c r="E1515" s="707">
        <v>1201.1999999998643</v>
      </c>
      <c r="G1515" s="65">
        <v>1201.1999999998643</v>
      </c>
      <c r="H1515" s="707">
        <v>96094</v>
      </c>
      <c r="I1515" s="65">
        <v>1201.2999999998642</v>
      </c>
      <c r="J1515" s="707">
        <v>96261</v>
      </c>
    </row>
    <row r="1516" spans="2:10" ht="15">
      <c r="B1516" s="706">
        <v>96094</v>
      </c>
      <c r="C1516" s="706">
        <v>1201.1999999998643</v>
      </c>
      <c r="D1516" s="707">
        <v>96261</v>
      </c>
      <c r="E1516" s="707">
        <v>1201.2999999998642</v>
      </c>
      <c r="G1516" s="65">
        <v>1201.2999999998642</v>
      </c>
      <c r="H1516" s="707">
        <v>96261</v>
      </c>
      <c r="I1516" s="65">
        <v>1201.3999999998641</v>
      </c>
      <c r="J1516" s="707">
        <v>96427</v>
      </c>
    </row>
    <row r="1517" spans="2:10" ht="15">
      <c r="B1517" s="706">
        <v>96261</v>
      </c>
      <c r="C1517" s="706">
        <v>1201.2999999998642</v>
      </c>
      <c r="D1517" s="707">
        <v>96427</v>
      </c>
      <c r="E1517" s="707">
        <v>1201.3999999998641</v>
      </c>
      <c r="G1517" s="65">
        <v>1201.3999999998641</v>
      </c>
      <c r="H1517" s="707">
        <v>96427</v>
      </c>
      <c r="I1517" s="65">
        <v>1201.499999999864</v>
      </c>
      <c r="J1517" s="707">
        <v>96593</v>
      </c>
    </row>
    <row r="1518" spans="2:10" ht="15">
      <c r="B1518" s="706">
        <v>96427</v>
      </c>
      <c r="C1518" s="706">
        <v>1201.3999999998641</v>
      </c>
      <c r="D1518" s="707">
        <v>96593</v>
      </c>
      <c r="E1518" s="707">
        <v>1201.499999999864</v>
      </c>
      <c r="G1518" s="65">
        <v>1201.499999999864</v>
      </c>
      <c r="H1518" s="707">
        <v>96593</v>
      </c>
      <c r="I1518" s="65">
        <v>1201.5999999998639</v>
      </c>
      <c r="J1518" s="707">
        <v>96759</v>
      </c>
    </row>
    <row r="1519" spans="2:10" ht="15">
      <c r="B1519" s="706">
        <v>96593</v>
      </c>
      <c r="C1519" s="706">
        <v>1201.499999999864</v>
      </c>
      <c r="D1519" s="707">
        <v>96759</v>
      </c>
      <c r="E1519" s="707">
        <v>1201.5999999998639</v>
      </c>
      <c r="G1519" s="65">
        <v>1201.5999999998639</v>
      </c>
      <c r="H1519" s="707">
        <v>96759</v>
      </c>
      <c r="I1519" s="65">
        <v>1201.6999999998638</v>
      </c>
      <c r="J1519" s="707">
        <v>96925</v>
      </c>
    </row>
    <row r="1520" spans="2:10" ht="15">
      <c r="B1520" s="706">
        <v>96759</v>
      </c>
      <c r="C1520" s="706">
        <v>1201.5999999998639</v>
      </c>
      <c r="D1520" s="707">
        <v>96925</v>
      </c>
      <c r="E1520" s="707">
        <v>1201.6999999998638</v>
      </c>
      <c r="G1520" s="65">
        <v>1201.6999999998638</v>
      </c>
      <c r="H1520" s="707">
        <v>96925</v>
      </c>
      <c r="I1520" s="65">
        <v>1201.7999999998638</v>
      </c>
      <c r="J1520" s="707">
        <v>97092</v>
      </c>
    </row>
    <row r="1521" spans="2:10" ht="15">
      <c r="B1521" s="706">
        <v>96925</v>
      </c>
      <c r="C1521" s="706">
        <v>1201.6999999998638</v>
      </c>
      <c r="D1521" s="707">
        <v>97092</v>
      </c>
      <c r="E1521" s="707">
        <v>1201.7999999998638</v>
      </c>
      <c r="G1521" s="65">
        <v>1201.7999999998638</v>
      </c>
      <c r="H1521" s="707">
        <v>97092</v>
      </c>
      <c r="I1521" s="65">
        <v>1201.8999999998637</v>
      </c>
      <c r="J1521" s="707">
        <v>97258</v>
      </c>
    </row>
    <row r="1522" spans="2:10" ht="15">
      <c r="B1522" s="706">
        <v>97092</v>
      </c>
      <c r="C1522" s="706">
        <v>1201.7999999998638</v>
      </c>
      <c r="D1522" s="707">
        <v>97258</v>
      </c>
      <c r="E1522" s="707">
        <v>1201.8999999998637</v>
      </c>
      <c r="G1522" s="65">
        <v>1201.8999999998637</v>
      </c>
      <c r="H1522" s="707">
        <v>97258</v>
      </c>
      <c r="I1522" s="65">
        <v>1201.9999999998636</v>
      </c>
      <c r="J1522" s="707">
        <v>97424</v>
      </c>
    </row>
    <row r="1523" spans="2:10" ht="15">
      <c r="B1523" s="706">
        <v>97258</v>
      </c>
      <c r="C1523" s="706">
        <v>1201.8999999998637</v>
      </c>
      <c r="D1523" s="707">
        <v>97424</v>
      </c>
      <c r="E1523" s="707">
        <v>1201.9999999998636</v>
      </c>
      <c r="G1523" s="65">
        <v>1201.9999999998636</v>
      </c>
      <c r="H1523" s="707">
        <v>97424</v>
      </c>
      <c r="I1523" s="65">
        <v>1202.0999999998635</v>
      </c>
      <c r="J1523" s="707">
        <v>97592</v>
      </c>
    </row>
    <row r="1524" spans="2:10" ht="15">
      <c r="B1524" s="706">
        <v>97424</v>
      </c>
      <c r="C1524" s="706">
        <v>1201.9999999998636</v>
      </c>
      <c r="D1524" s="707">
        <v>97592</v>
      </c>
      <c r="E1524" s="707">
        <v>1202.0999999998635</v>
      </c>
      <c r="G1524" s="65">
        <v>1202.0999999998635</v>
      </c>
      <c r="H1524" s="707">
        <v>97592</v>
      </c>
      <c r="I1524" s="65">
        <v>1202.1999999998634</v>
      </c>
      <c r="J1524" s="707">
        <v>97760</v>
      </c>
    </row>
    <row r="1525" spans="2:10" ht="15">
      <c r="B1525" s="706">
        <v>97592</v>
      </c>
      <c r="C1525" s="706">
        <v>1202.0999999998635</v>
      </c>
      <c r="D1525" s="707">
        <v>97760</v>
      </c>
      <c r="E1525" s="707">
        <v>1202.1999999998634</v>
      </c>
      <c r="G1525" s="65">
        <v>1202.1999999998634</v>
      </c>
      <c r="H1525" s="707">
        <v>97760</v>
      </c>
      <c r="I1525" s="65">
        <v>1202.2999999998633</v>
      </c>
      <c r="J1525" s="707">
        <v>97929</v>
      </c>
    </row>
    <row r="1526" spans="2:10" ht="15">
      <c r="B1526" s="706">
        <v>97760</v>
      </c>
      <c r="C1526" s="706">
        <v>1202.1999999998634</v>
      </c>
      <c r="D1526" s="707">
        <v>97929</v>
      </c>
      <c r="E1526" s="707">
        <v>1202.2999999998633</v>
      </c>
      <c r="G1526" s="65">
        <v>1202.2999999998633</v>
      </c>
      <c r="H1526" s="707">
        <v>97929</v>
      </c>
      <c r="I1526" s="65">
        <v>1202.3999999998632</v>
      </c>
      <c r="J1526" s="707">
        <v>98097</v>
      </c>
    </row>
    <row r="1527" spans="2:10" ht="15">
      <c r="B1527" s="706">
        <v>97929</v>
      </c>
      <c r="C1527" s="706">
        <v>1202.2999999998633</v>
      </c>
      <c r="D1527" s="707">
        <v>98097</v>
      </c>
      <c r="E1527" s="707">
        <v>1202.3999999998632</v>
      </c>
      <c r="G1527" s="65">
        <v>1202.3999999998632</v>
      </c>
      <c r="H1527" s="707">
        <v>98097</v>
      </c>
      <c r="I1527" s="65">
        <v>1202.4999999998631</v>
      </c>
      <c r="J1527" s="707">
        <v>98265</v>
      </c>
    </row>
    <row r="1528" spans="2:10" ht="15">
      <c r="B1528" s="706">
        <v>98097</v>
      </c>
      <c r="C1528" s="706">
        <v>1202.3999999998632</v>
      </c>
      <c r="D1528" s="707">
        <v>98265</v>
      </c>
      <c r="E1528" s="707">
        <v>1202.4999999998631</v>
      </c>
      <c r="G1528" s="65">
        <v>1202.4999999998631</v>
      </c>
      <c r="H1528" s="707">
        <v>98265</v>
      </c>
      <c r="I1528" s="65">
        <v>1202.599999999863</v>
      </c>
      <c r="J1528" s="707">
        <v>98433</v>
      </c>
    </row>
    <row r="1529" spans="2:10" ht="15">
      <c r="B1529" s="706">
        <v>98265</v>
      </c>
      <c r="C1529" s="706">
        <v>1202.4999999998631</v>
      </c>
      <c r="D1529" s="707">
        <v>98433</v>
      </c>
      <c r="E1529" s="707">
        <v>1202.599999999863</v>
      </c>
      <c r="G1529" s="65">
        <v>1202.599999999863</v>
      </c>
      <c r="H1529" s="707">
        <v>98433</v>
      </c>
      <c r="I1529" s="65">
        <v>1202.6999999998629</v>
      </c>
      <c r="J1529" s="707">
        <v>98601</v>
      </c>
    </row>
    <row r="1530" spans="2:10" ht="15">
      <c r="B1530" s="706">
        <v>98433</v>
      </c>
      <c r="C1530" s="706">
        <v>1202.599999999863</v>
      </c>
      <c r="D1530" s="707">
        <v>98601</v>
      </c>
      <c r="E1530" s="707">
        <v>1202.6999999998629</v>
      </c>
      <c r="G1530" s="65">
        <v>1202.6999999998629</v>
      </c>
      <c r="H1530" s="707">
        <v>98601</v>
      </c>
      <c r="I1530" s="65">
        <v>1202.7999999998628</v>
      </c>
      <c r="J1530" s="707">
        <v>98770</v>
      </c>
    </row>
    <row r="1531" spans="2:10" ht="15">
      <c r="B1531" s="706">
        <v>98601</v>
      </c>
      <c r="C1531" s="706">
        <v>1202.6999999998629</v>
      </c>
      <c r="D1531" s="707">
        <v>98770</v>
      </c>
      <c r="E1531" s="707">
        <v>1202.7999999998628</v>
      </c>
      <c r="G1531" s="65">
        <v>1202.7999999998628</v>
      </c>
      <c r="H1531" s="707">
        <v>98770</v>
      </c>
      <c r="I1531" s="65">
        <v>1202.8999999998628</v>
      </c>
      <c r="J1531" s="707">
        <v>98938</v>
      </c>
    </row>
    <row r="1532" spans="2:10" ht="15">
      <c r="B1532" s="706">
        <v>98770</v>
      </c>
      <c r="C1532" s="706">
        <v>1202.7999999998628</v>
      </c>
      <c r="D1532" s="707">
        <v>98938</v>
      </c>
      <c r="E1532" s="707">
        <v>1202.8999999998628</v>
      </c>
      <c r="G1532" s="65">
        <v>1202.8999999998628</v>
      </c>
      <c r="H1532" s="707">
        <v>98938</v>
      </c>
      <c r="I1532" s="65">
        <v>1202.9999999998627</v>
      </c>
      <c r="J1532" s="707">
        <v>99106</v>
      </c>
    </row>
    <row r="1533" spans="2:10" ht="15">
      <c r="B1533" s="706">
        <v>98938</v>
      </c>
      <c r="C1533" s="706">
        <v>1202.8999999998628</v>
      </c>
      <c r="D1533" s="707">
        <v>99106</v>
      </c>
      <c r="E1533" s="707">
        <v>1202.9999999998627</v>
      </c>
      <c r="G1533" s="65">
        <v>1202.9999999998627</v>
      </c>
      <c r="H1533" s="707">
        <v>99106</v>
      </c>
      <c r="I1533" s="65">
        <v>1203.0999999998626</v>
      </c>
      <c r="J1533" s="707">
        <v>99276</v>
      </c>
    </row>
    <row r="1534" spans="2:10" ht="15">
      <c r="B1534" s="706">
        <v>99106</v>
      </c>
      <c r="C1534" s="706">
        <v>1202.9999999998627</v>
      </c>
      <c r="D1534" s="707">
        <v>99276</v>
      </c>
      <c r="E1534" s="707">
        <v>1203.0999999998626</v>
      </c>
      <c r="G1534" s="65">
        <v>1203.0999999998626</v>
      </c>
      <c r="H1534" s="707">
        <v>99276</v>
      </c>
      <c r="I1534" s="65">
        <v>1203.1999999998625</v>
      </c>
      <c r="J1534" s="707">
        <v>99446</v>
      </c>
    </row>
    <row r="1535" spans="2:10" ht="15">
      <c r="B1535" s="706">
        <v>99276</v>
      </c>
      <c r="C1535" s="706">
        <v>1203.0999999998626</v>
      </c>
      <c r="D1535" s="707">
        <v>99446</v>
      </c>
      <c r="E1535" s="707">
        <v>1203.1999999998625</v>
      </c>
      <c r="G1535" s="65">
        <v>1203.1999999998625</v>
      </c>
      <c r="H1535" s="707">
        <v>99446</v>
      </c>
      <c r="I1535" s="65">
        <v>1203.2999999998624</v>
      </c>
      <c r="J1535" s="707">
        <v>99616</v>
      </c>
    </row>
    <row r="1536" spans="2:10" ht="15">
      <c r="B1536" s="706">
        <v>99446</v>
      </c>
      <c r="C1536" s="706">
        <v>1203.1999999998625</v>
      </c>
      <c r="D1536" s="707">
        <v>99616</v>
      </c>
      <c r="E1536" s="707">
        <v>1203.2999999998624</v>
      </c>
      <c r="G1536" s="65">
        <v>1203.2999999998624</v>
      </c>
      <c r="H1536" s="707">
        <v>99616</v>
      </c>
      <c r="I1536" s="65">
        <v>1203.3999999998623</v>
      </c>
      <c r="J1536" s="707">
        <v>99786</v>
      </c>
    </row>
    <row r="1537" spans="2:10" ht="15">
      <c r="B1537" s="706">
        <v>99616</v>
      </c>
      <c r="C1537" s="706">
        <v>1203.2999999998624</v>
      </c>
      <c r="D1537" s="707">
        <v>99786</v>
      </c>
      <c r="E1537" s="707">
        <v>1203.3999999998623</v>
      </c>
      <c r="G1537" s="65">
        <v>1203.3999999998623</v>
      </c>
      <c r="H1537" s="707">
        <v>99786</v>
      </c>
      <c r="I1537" s="65">
        <v>1203.4999999998622</v>
      </c>
      <c r="J1537" s="707">
        <v>99956</v>
      </c>
    </row>
    <row r="1538" spans="2:10" ht="15">
      <c r="B1538" s="706">
        <v>99786</v>
      </c>
      <c r="C1538" s="706">
        <v>1203.3999999998623</v>
      </c>
      <c r="D1538" s="707">
        <v>99956</v>
      </c>
      <c r="E1538" s="707">
        <v>1203.4999999998622</v>
      </c>
      <c r="G1538" s="65">
        <v>1203.4999999998622</v>
      </c>
      <c r="H1538" s="707">
        <v>99956</v>
      </c>
      <c r="I1538" s="65">
        <v>1203.5999999998621</v>
      </c>
      <c r="J1538" s="707">
        <v>100126</v>
      </c>
    </row>
    <row r="1539" spans="2:10" ht="15">
      <c r="B1539" s="706">
        <v>99956</v>
      </c>
      <c r="C1539" s="706">
        <v>1203.4999999998622</v>
      </c>
      <c r="D1539" s="707">
        <v>100126</v>
      </c>
      <c r="E1539" s="707">
        <v>1203.5999999998621</v>
      </c>
      <c r="G1539" s="65">
        <v>1203.5999999998621</v>
      </c>
      <c r="H1539" s="707">
        <v>100126</v>
      </c>
      <c r="I1539" s="65">
        <v>1203.699999999862</v>
      </c>
      <c r="J1539" s="707">
        <v>100296</v>
      </c>
    </row>
    <row r="1540" spans="2:10" ht="15">
      <c r="B1540" s="706">
        <v>100126</v>
      </c>
      <c r="C1540" s="706">
        <v>1203.5999999998621</v>
      </c>
      <c r="D1540" s="707">
        <v>100296</v>
      </c>
      <c r="E1540" s="707">
        <v>1203.699999999862</v>
      </c>
      <c r="G1540" s="65">
        <v>1203.699999999862</v>
      </c>
      <c r="H1540" s="707">
        <v>100296</v>
      </c>
      <c r="I1540" s="65">
        <v>1203.7999999998619</v>
      </c>
      <c r="J1540" s="707">
        <v>100466</v>
      </c>
    </row>
    <row r="1541" spans="2:10" ht="15">
      <c r="B1541" s="706">
        <v>100296</v>
      </c>
      <c r="C1541" s="706">
        <v>1203.699999999862</v>
      </c>
      <c r="D1541" s="707">
        <v>100466</v>
      </c>
      <c r="E1541" s="707">
        <v>1203.7999999998619</v>
      </c>
      <c r="G1541" s="65">
        <v>1203.7999999998619</v>
      </c>
      <c r="H1541" s="707">
        <v>100466</v>
      </c>
      <c r="I1541" s="65">
        <v>1203.8999999998618</v>
      </c>
      <c r="J1541" s="707">
        <v>100636</v>
      </c>
    </row>
    <row r="1542" spans="2:10" ht="15">
      <c r="B1542" s="706">
        <v>100466</v>
      </c>
      <c r="C1542" s="706">
        <v>1203.7999999998619</v>
      </c>
      <c r="D1542" s="707">
        <v>100636</v>
      </c>
      <c r="E1542" s="707">
        <v>1203.8999999998618</v>
      </c>
      <c r="G1542" s="65">
        <v>1203.8999999998618</v>
      </c>
      <c r="H1542" s="707">
        <v>100636</v>
      </c>
      <c r="I1542" s="65">
        <v>1203.9999999998618</v>
      </c>
      <c r="J1542" s="707">
        <v>100806</v>
      </c>
    </row>
    <row r="1543" spans="2:10" ht="15">
      <c r="B1543" s="706">
        <v>100636</v>
      </c>
      <c r="C1543" s="706">
        <v>1203.8999999998618</v>
      </c>
      <c r="D1543" s="707">
        <v>100806</v>
      </c>
      <c r="E1543" s="707">
        <v>1203.9999999998618</v>
      </c>
      <c r="G1543" s="65">
        <v>1203.9999999998618</v>
      </c>
      <c r="H1543" s="707">
        <v>100806</v>
      </c>
      <c r="I1543" s="65">
        <v>1204.0999999998617</v>
      </c>
      <c r="J1543" s="707">
        <v>100978</v>
      </c>
    </row>
    <row r="1544" spans="2:10" ht="15">
      <c r="B1544" s="706">
        <v>100806</v>
      </c>
      <c r="C1544" s="706">
        <v>1203.9999999998618</v>
      </c>
      <c r="D1544" s="707">
        <v>100978</v>
      </c>
      <c r="E1544" s="707">
        <v>1204.0999999998617</v>
      </c>
      <c r="G1544" s="65">
        <v>1204.0999999998617</v>
      </c>
      <c r="H1544" s="707">
        <v>100978</v>
      </c>
      <c r="I1544" s="65">
        <v>1204.1999999998616</v>
      </c>
      <c r="J1544" s="707">
        <v>101150</v>
      </c>
    </row>
    <row r="1545" spans="2:10" ht="15">
      <c r="B1545" s="706">
        <v>100978</v>
      </c>
      <c r="C1545" s="706">
        <v>1204.0999999998617</v>
      </c>
      <c r="D1545" s="707">
        <v>101150</v>
      </c>
      <c r="E1545" s="707">
        <v>1204.1999999998616</v>
      </c>
      <c r="G1545" s="65">
        <v>1204.1999999998616</v>
      </c>
      <c r="H1545" s="707">
        <v>101150</v>
      </c>
      <c r="I1545" s="65">
        <v>1204.2999999998615</v>
      </c>
      <c r="J1545" s="707">
        <v>101322</v>
      </c>
    </row>
    <row r="1546" spans="2:10" ht="15">
      <c r="B1546" s="706">
        <v>101150</v>
      </c>
      <c r="C1546" s="706">
        <v>1204.1999999998616</v>
      </c>
      <c r="D1546" s="707">
        <v>101322</v>
      </c>
      <c r="E1546" s="707">
        <v>1204.2999999998615</v>
      </c>
      <c r="G1546" s="65">
        <v>1204.2999999998615</v>
      </c>
      <c r="H1546" s="707">
        <v>101322</v>
      </c>
      <c r="I1546" s="65">
        <v>1204.3999999998614</v>
      </c>
      <c r="J1546" s="707">
        <v>101494</v>
      </c>
    </row>
    <row r="1547" spans="2:10" ht="15">
      <c r="B1547" s="706">
        <v>101322</v>
      </c>
      <c r="C1547" s="706">
        <v>1204.2999999998615</v>
      </c>
      <c r="D1547" s="707">
        <v>101494</v>
      </c>
      <c r="E1547" s="707">
        <v>1204.3999999998614</v>
      </c>
      <c r="G1547" s="65">
        <v>1204.3999999998614</v>
      </c>
      <c r="H1547" s="707">
        <v>101494</v>
      </c>
      <c r="I1547" s="65">
        <v>1204.4999999998613</v>
      </c>
      <c r="J1547" s="707">
        <v>101667</v>
      </c>
    </row>
    <row r="1548" spans="2:10" ht="15">
      <c r="B1548" s="706">
        <v>101494</v>
      </c>
      <c r="C1548" s="706">
        <v>1204.3999999998614</v>
      </c>
      <c r="D1548" s="707">
        <v>101667</v>
      </c>
      <c r="E1548" s="707">
        <v>1204.4999999998613</v>
      </c>
      <c r="G1548" s="65">
        <v>1204.4999999998613</v>
      </c>
      <c r="H1548" s="707">
        <v>101667</v>
      </c>
      <c r="I1548" s="65">
        <v>1204.5999999998612</v>
      </c>
      <c r="J1548" s="707">
        <v>101839</v>
      </c>
    </row>
    <row r="1549" spans="2:10" ht="15">
      <c r="B1549" s="706">
        <v>101667</v>
      </c>
      <c r="C1549" s="706">
        <v>1204.4999999998613</v>
      </c>
      <c r="D1549" s="707">
        <v>101839</v>
      </c>
      <c r="E1549" s="707">
        <v>1204.5999999998612</v>
      </c>
      <c r="G1549" s="65">
        <v>1204.5999999998612</v>
      </c>
      <c r="H1549" s="707">
        <v>101839</v>
      </c>
      <c r="I1549" s="65">
        <v>1204.6999999998611</v>
      </c>
      <c r="J1549" s="707">
        <v>102011</v>
      </c>
    </row>
    <row r="1550" spans="2:10" ht="15">
      <c r="B1550" s="706">
        <v>101839</v>
      </c>
      <c r="C1550" s="706">
        <v>1204.5999999998612</v>
      </c>
      <c r="D1550" s="707">
        <v>102011</v>
      </c>
      <c r="E1550" s="707">
        <v>1204.6999999998611</v>
      </c>
      <c r="G1550" s="65">
        <v>1204.6999999998611</v>
      </c>
      <c r="H1550" s="707">
        <v>102011</v>
      </c>
      <c r="I1550" s="65">
        <v>1204.799999999861</v>
      </c>
      <c r="J1550" s="707">
        <v>102183</v>
      </c>
    </row>
    <row r="1551" spans="2:10" ht="15">
      <c r="B1551" s="706">
        <v>102011</v>
      </c>
      <c r="C1551" s="706">
        <v>1204.6999999998611</v>
      </c>
      <c r="D1551" s="707">
        <v>102183</v>
      </c>
      <c r="E1551" s="707">
        <v>1204.799999999861</v>
      </c>
      <c r="G1551" s="65">
        <v>1204.799999999861</v>
      </c>
      <c r="H1551" s="707">
        <v>102183</v>
      </c>
      <c r="I1551" s="65">
        <v>1204.8999999998609</v>
      </c>
      <c r="J1551" s="707">
        <v>102355</v>
      </c>
    </row>
    <row r="1552" spans="2:10" ht="15">
      <c r="B1552" s="706">
        <v>102183</v>
      </c>
      <c r="C1552" s="706">
        <v>1204.799999999861</v>
      </c>
      <c r="D1552" s="707">
        <v>102355</v>
      </c>
      <c r="E1552" s="707">
        <v>1204.8999999998609</v>
      </c>
      <c r="G1552" s="65">
        <v>1204.8999999998609</v>
      </c>
      <c r="H1552" s="707">
        <v>102355</v>
      </c>
      <c r="I1552" s="65">
        <v>1204.9999999998608</v>
      </c>
      <c r="J1552" s="707">
        <v>102527</v>
      </c>
    </row>
    <row r="1553" spans="2:10" ht="15">
      <c r="B1553" s="706">
        <v>102355</v>
      </c>
      <c r="C1553" s="706">
        <v>1204.8999999998609</v>
      </c>
      <c r="D1553" s="707">
        <v>102527</v>
      </c>
      <c r="E1553" s="707">
        <v>1204.9999999998608</v>
      </c>
      <c r="G1553" s="65">
        <v>1204.9999999998608</v>
      </c>
      <c r="H1553" s="707">
        <v>102527</v>
      </c>
      <c r="I1553" s="65">
        <v>1205.0999999998608</v>
      </c>
      <c r="J1553" s="707">
        <v>102701</v>
      </c>
    </row>
    <row r="1554" spans="2:10" ht="15">
      <c r="B1554" s="706">
        <v>102527</v>
      </c>
      <c r="C1554" s="706">
        <v>1204.9999999998608</v>
      </c>
      <c r="D1554" s="707">
        <v>102701</v>
      </c>
      <c r="E1554" s="707">
        <v>1205.0999999998608</v>
      </c>
      <c r="G1554" s="65">
        <v>1205.0999999998608</v>
      </c>
      <c r="H1554" s="707">
        <v>102701</v>
      </c>
      <c r="I1554" s="65">
        <v>1205.1999999998607</v>
      </c>
      <c r="J1554" s="707">
        <v>102875</v>
      </c>
    </row>
    <row r="1555" spans="2:10" ht="15">
      <c r="B1555" s="706">
        <v>102701</v>
      </c>
      <c r="C1555" s="706">
        <v>1205.0999999998608</v>
      </c>
      <c r="D1555" s="707">
        <v>102875</v>
      </c>
      <c r="E1555" s="707">
        <v>1205.1999999998607</v>
      </c>
      <c r="G1555" s="65">
        <v>1205.1999999998607</v>
      </c>
      <c r="H1555" s="707">
        <v>102875</v>
      </c>
      <c r="I1555" s="65">
        <v>1205.2999999998606</v>
      </c>
      <c r="J1555" s="707">
        <v>103049</v>
      </c>
    </row>
    <row r="1556" spans="2:10" ht="15">
      <c r="B1556" s="706">
        <v>102875</v>
      </c>
      <c r="C1556" s="706">
        <v>1205.1999999998607</v>
      </c>
      <c r="D1556" s="707">
        <v>103049</v>
      </c>
      <c r="E1556" s="707">
        <v>1205.2999999998606</v>
      </c>
      <c r="G1556" s="65">
        <v>1205.2999999998606</v>
      </c>
      <c r="H1556" s="707">
        <v>103049</v>
      </c>
      <c r="I1556" s="65">
        <v>1205.3999999998605</v>
      </c>
      <c r="J1556" s="707">
        <v>103223</v>
      </c>
    </row>
    <row r="1557" spans="2:10" ht="15">
      <c r="B1557" s="706">
        <v>103049</v>
      </c>
      <c r="C1557" s="706">
        <v>1205.2999999998606</v>
      </c>
      <c r="D1557" s="707">
        <v>103223</v>
      </c>
      <c r="E1557" s="707">
        <v>1205.3999999998605</v>
      </c>
      <c r="G1557" s="65">
        <v>1205.3999999998605</v>
      </c>
      <c r="H1557" s="707">
        <v>103223</v>
      </c>
      <c r="I1557" s="65">
        <v>1205.4999999998604</v>
      </c>
      <c r="J1557" s="707">
        <v>103397</v>
      </c>
    </row>
    <row r="1558" spans="2:10" ht="15">
      <c r="B1558" s="706">
        <v>103223</v>
      </c>
      <c r="C1558" s="706">
        <v>1205.3999999998605</v>
      </c>
      <c r="D1558" s="707">
        <v>103397</v>
      </c>
      <c r="E1558" s="707">
        <v>1205.4999999998604</v>
      </c>
      <c r="G1558" s="65">
        <v>1205.4999999998604</v>
      </c>
      <c r="H1558" s="707">
        <v>103397</v>
      </c>
      <c r="I1558" s="65">
        <v>1205.5999999998603</v>
      </c>
      <c r="J1558" s="707">
        <v>103570</v>
      </c>
    </row>
    <row r="1559" spans="2:10" ht="15">
      <c r="B1559" s="706">
        <v>103397</v>
      </c>
      <c r="C1559" s="706">
        <v>1205.4999999998604</v>
      </c>
      <c r="D1559" s="707">
        <v>103570</v>
      </c>
      <c r="E1559" s="707">
        <v>1205.5999999998603</v>
      </c>
      <c r="G1559" s="65">
        <v>1205.5999999998603</v>
      </c>
      <c r="H1559" s="707">
        <v>103570</v>
      </c>
      <c r="I1559" s="65">
        <v>1205.6999999998602</v>
      </c>
      <c r="J1559" s="707">
        <v>103744</v>
      </c>
    </row>
    <row r="1560" spans="2:10" ht="15">
      <c r="B1560" s="706">
        <v>103570</v>
      </c>
      <c r="C1560" s="706">
        <v>1205.5999999998603</v>
      </c>
      <c r="D1560" s="707">
        <v>103744</v>
      </c>
      <c r="E1560" s="707">
        <v>1205.6999999998602</v>
      </c>
      <c r="G1560" s="65">
        <v>1205.6999999998602</v>
      </c>
      <c r="H1560" s="707">
        <v>103744</v>
      </c>
      <c r="I1560" s="65">
        <v>1205.7999999998601</v>
      </c>
      <c r="J1560" s="707">
        <v>103918</v>
      </c>
    </row>
    <row r="1561" spans="2:10" ht="15">
      <c r="B1561" s="706">
        <v>103744</v>
      </c>
      <c r="C1561" s="706">
        <v>1205.6999999998602</v>
      </c>
      <c r="D1561" s="707">
        <v>103918</v>
      </c>
      <c r="E1561" s="707">
        <v>1205.7999999998601</v>
      </c>
      <c r="G1561" s="65">
        <v>1205.7999999998601</v>
      </c>
      <c r="H1561" s="707">
        <v>103918</v>
      </c>
      <c r="I1561" s="65">
        <v>1205.89999999986</v>
      </c>
      <c r="J1561" s="707">
        <v>104092</v>
      </c>
    </row>
    <row r="1562" spans="2:10" ht="15">
      <c r="B1562" s="706">
        <v>103918</v>
      </c>
      <c r="C1562" s="706">
        <v>1205.7999999998601</v>
      </c>
      <c r="D1562" s="707">
        <v>104092</v>
      </c>
      <c r="E1562" s="707">
        <v>1205.89999999986</v>
      </c>
      <c r="G1562" s="65">
        <v>1205.89999999986</v>
      </c>
      <c r="H1562" s="707">
        <v>104092</v>
      </c>
      <c r="I1562" s="65">
        <v>1205.9999999998599</v>
      </c>
      <c r="J1562" s="707">
        <v>104266</v>
      </c>
    </row>
    <row r="1563" spans="2:10" ht="15">
      <c r="B1563" s="706">
        <v>104092</v>
      </c>
      <c r="C1563" s="706">
        <v>1205.89999999986</v>
      </c>
      <c r="D1563" s="707">
        <v>104266</v>
      </c>
      <c r="E1563" s="707">
        <v>1205.9999999998599</v>
      </c>
      <c r="G1563" s="65">
        <v>1205.9999999998599</v>
      </c>
      <c r="H1563" s="707">
        <v>104266</v>
      </c>
      <c r="I1563" s="65">
        <v>1206.0999999998598</v>
      </c>
      <c r="J1563" s="707">
        <v>104442</v>
      </c>
    </row>
    <row r="1564" spans="2:10" ht="15">
      <c r="B1564" s="706">
        <v>104266</v>
      </c>
      <c r="C1564" s="706">
        <v>1205.9999999998599</v>
      </c>
      <c r="D1564" s="707">
        <v>104442</v>
      </c>
      <c r="E1564" s="707">
        <v>1206.0999999998598</v>
      </c>
      <c r="G1564" s="65">
        <v>1206.0999999998598</v>
      </c>
      <c r="H1564" s="707">
        <v>104442</v>
      </c>
      <c r="I1564" s="65">
        <v>1206.1999999998598</v>
      </c>
      <c r="J1564" s="707">
        <v>104618</v>
      </c>
    </row>
    <row r="1565" spans="2:10" ht="15">
      <c r="B1565" s="706">
        <v>104442</v>
      </c>
      <c r="C1565" s="706">
        <v>1206.0999999998598</v>
      </c>
      <c r="D1565" s="707">
        <v>104618</v>
      </c>
      <c r="E1565" s="707">
        <v>1206.1999999998598</v>
      </c>
      <c r="G1565" s="65">
        <v>1206.1999999998598</v>
      </c>
      <c r="H1565" s="707">
        <v>104618</v>
      </c>
      <c r="I1565" s="65">
        <v>1206.2999999998597</v>
      </c>
      <c r="J1565" s="707">
        <v>104794</v>
      </c>
    </row>
    <row r="1566" spans="2:10" ht="15">
      <c r="B1566" s="706">
        <v>104618</v>
      </c>
      <c r="C1566" s="706">
        <v>1206.1999999998598</v>
      </c>
      <c r="D1566" s="707">
        <v>104794</v>
      </c>
      <c r="E1566" s="707">
        <v>1206.2999999998597</v>
      </c>
      <c r="G1566" s="65">
        <v>1206.2999999998597</v>
      </c>
      <c r="H1566" s="707">
        <v>104794</v>
      </c>
      <c r="I1566" s="65">
        <v>1206.3999999998596</v>
      </c>
      <c r="J1566" s="707">
        <v>104970</v>
      </c>
    </row>
    <row r="1567" spans="2:10" ht="15">
      <c r="B1567" s="706">
        <v>104794</v>
      </c>
      <c r="C1567" s="706">
        <v>1206.2999999998597</v>
      </c>
      <c r="D1567" s="707">
        <v>104970</v>
      </c>
      <c r="E1567" s="707">
        <v>1206.3999999998596</v>
      </c>
      <c r="G1567" s="65">
        <v>1206.3999999998596</v>
      </c>
      <c r="H1567" s="707">
        <v>104970</v>
      </c>
      <c r="I1567" s="65">
        <v>1206.4999999998595</v>
      </c>
      <c r="J1567" s="707">
        <v>105146</v>
      </c>
    </row>
    <row r="1568" spans="2:10" ht="15">
      <c r="B1568" s="706">
        <v>104970</v>
      </c>
      <c r="C1568" s="706">
        <v>1206.3999999998596</v>
      </c>
      <c r="D1568" s="707">
        <v>105146</v>
      </c>
      <c r="E1568" s="707">
        <v>1206.4999999998595</v>
      </c>
      <c r="G1568" s="65">
        <v>1206.4999999998595</v>
      </c>
      <c r="H1568" s="707">
        <v>105146</v>
      </c>
      <c r="I1568" s="65">
        <v>1206.5999999998594</v>
      </c>
      <c r="J1568" s="707">
        <v>105322</v>
      </c>
    </row>
    <row r="1569" spans="2:10" ht="15">
      <c r="B1569" s="706">
        <v>105146</v>
      </c>
      <c r="C1569" s="706">
        <v>1206.4999999998595</v>
      </c>
      <c r="D1569" s="707">
        <v>105322</v>
      </c>
      <c r="E1569" s="707">
        <v>1206.5999999998594</v>
      </c>
      <c r="G1569" s="65">
        <v>1206.5999999998594</v>
      </c>
      <c r="H1569" s="707">
        <v>105322</v>
      </c>
      <c r="I1569" s="65">
        <v>1206.6999999998593</v>
      </c>
      <c r="J1569" s="707">
        <v>105498</v>
      </c>
    </row>
    <row r="1570" spans="2:10" ht="15">
      <c r="B1570" s="706">
        <v>105322</v>
      </c>
      <c r="C1570" s="706">
        <v>1206.5999999998594</v>
      </c>
      <c r="D1570" s="707">
        <v>105498</v>
      </c>
      <c r="E1570" s="707">
        <v>1206.6999999998593</v>
      </c>
      <c r="G1570" s="65">
        <v>1206.6999999998593</v>
      </c>
      <c r="H1570" s="707">
        <v>105498</v>
      </c>
      <c r="I1570" s="65">
        <v>1206.7999999998592</v>
      </c>
      <c r="J1570" s="707">
        <v>105674</v>
      </c>
    </row>
    <row r="1571" spans="2:10" ht="15">
      <c r="B1571" s="706">
        <v>105498</v>
      </c>
      <c r="C1571" s="706">
        <v>1206.6999999998593</v>
      </c>
      <c r="D1571" s="707">
        <v>105674</v>
      </c>
      <c r="E1571" s="707">
        <v>1206.7999999998592</v>
      </c>
      <c r="G1571" s="65">
        <v>1206.7999999998592</v>
      </c>
      <c r="H1571" s="707">
        <v>105674</v>
      </c>
      <c r="I1571" s="65">
        <v>1206.8999999998591</v>
      </c>
      <c r="J1571" s="707">
        <v>105850</v>
      </c>
    </row>
    <row r="1572" spans="2:10" ht="15">
      <c r="B1572" s="706">
        <v>105674</v>
      </c>
      <c r="C1572" s="706">
        <v>1206.7999999998592</v>
      </c>
      <c r="D1572" s="707">
        <v>105850</v>
      </c>
      <c r="E1572" s="707">
        <v>1206.8999999998591</v>
      </c>
      <c r="G1572" s="65">
        <v>1206.8999999998591</v>
      </c>
      <c r="H1572" s="707">
        <v>105850</v>
      </c>
      <c r="I1572" s="65">
        <v>1206.999999999859</v>
      </c>
      <c r="J1572" s="707">
        <v>106026</v>
      </c>
    </row>
    <row r="1573" spans="2:10" ht="15">
      <c r="B1573" s="706">
        <v>105850</v>
      </c>
      <c r="C1573" s="706">
        <v>1206.8999999998591</v>
      </c>
      <c r="D1573" s="707">
        <v>106026</v>
      </c>
      <c r="E1573" s="707">
        <v>1206.999999999859</v>
      </c>
      <c r="G1573" s="65">
        <v>1206.999999999859</v>
      </c>
      <c r="H1573" s="707">
        <v>106026</v>
      </c>
      <c r="I1573" s="65">
        <v>1207.0999999998589</v>
      </c>
      <c r="J1573" s="707">
        <v>106204</v>
      </c>
    </row>
    <row r="1574" spans="2:10" ht="15">
      <c r="B1574" s="706">
        <v>106026</v>
      </c>
      <c r="C1574" s="706">
        <v>1206.999999999859</v>
      </c>
      <c r="D1574" s="707">
        <v>106204</v>
      </c>
      <c r="E1574" s="707">
        <v>1207.0999999998589</v>
      </c>
      <c r="G1574" s="65">
        <v>1207.0999999998589</v>
      </c>
      <c r="H1574" s="707">
        <v>106204</v>
      </c>
      <c r="I1574" s="65">
        <v>1207.1999999998588</v>
      </c>
      <c r="J1574" s="707">
        <v>106382</v>
      </c>
    </row>
    <row r="1575" spans="2:10" ht="15">
      <c r="B1575" s="706">
        <v>106204</v>
      </c>
      <c r="C1575" s="706">
        <v>1207.0999999998589</v>
      </c>
      <c r="D1575" s="707">
        <v>106382</v>
      </c>
      <c r="E1575" s="707">
        <v>1207.1999999998588</v>
      </c>
      <c r="G1575" s="65">
        <v>1207.1999999998588</v>
      </c>
      <c r="H1575" s="707">
        <v>106382</v>
      </c>
      <c r="I1575" s="65">
        <v>1207.2999999998588</v>
      </c>
      <c r="J1575" s="707">
        <v>106560</v>
      </c>
    </row>
    <row r="1576" spans="2:10" ht="15">
      <c r="B1576" s="706">
        <v>106382</v>
      </c>
      <c r="C1576" s="706">
        <v>1207.1999999998588</v>
      </c>
      <c r="D1576" s="707">
        <v>106560</v>
      </c>
      <c r="E1576" s="707">
        <v>1207.2999999998588</v>
      </c>
      <c r="G1576" s="65">
        <v>1207.2999999998588</v>
      </c>
      <c r="H1576" s="707">
        <v>106560</v>
      </c>
      <c r="I1576" s="65">
        <v>1207.3999999998587</v>
      </c>
      <c r="J1576" s="707">
        <v>106738</v>
      </c>
    </row>
    <row r="1577" spans="2:10" ht="15">
      <c r="B1577" s="706">
        <v>106560</v>
      </c>
      <c r="C1577" s="706">
        <v>1207.2999999998588</v>
      </c>
      <c r="D1577" s="707">
        <v>106738</v>
      </c>
      <c r="E1577" s="707">
        <v>1207.3999999998587</v>
      </c>
      <c r="G1577" s="65">
        <v>1207.3999999998587</v>
      </c>
      <c r="H1577" s="707">
        <v>106738</v>
      </c>
      <c r="I1577" s="65">
        <v>1207.4999999998586</v>
      </c>
      <c r="J1577" s="707">
        <v>106916</v>
      </c>
    </row>
    <row r="1578" spans="2:10" ht="15">
      <c r="B1578" s="706">
        <v>106738</v>
      </c>
      <c r="C1578" s="706">
        <v>1207.3999999998587</v>
      </c>
      <c r="D1578" s="707">
        <v>106916</v>
      </c>
      <c r="E1578" s="707">
        <v>1207.4999999998586</v>
      </c>
      <c r="G1578" s="65">
        <v>1207.4999999998586</v>
      </c>
      <c r="H1578" s="707">
        <v>106916</v>
      </c>
      <c r="I1578" s="65">
        <v>1207.5999999998585</v>
      </c>
      <c r="J1578" s="707">
        <v>107094</v>
      </c>
    </row>
    <row r="1579" spans="2:10" ht="15">
      <c r="B1579" s="706">
        <v>106916</v>
      </c>
      <c r="C1579" s="706">
        <v>1207.4999999998586</v>
      </c>
      <c r="D1579" s="707">
        <v>107094</v>
      </c>
      <c r="E1579" s="707">
        <v>1207.5999999998585</v>
      </c>
      <c r="G1579" s="65">
        <v>1207.5999999998585</v>
      </c>
      <c r="H1579" s="707">
        <v>107094</v>
      </c>
      <c r="I1579" s="65">
        <v>1207.6999999998584</v>
      </c>
      <c r="J1579" s="707">
        <v>107272</v>
      </c>
    </row>
    <row r="1580" spans="2:10" ht="15">
      <c r="B1580" s="706">
        <v>107094</v>
      </c>
      <c r="C1580" s="706">
        <v>1207.5999999998585</v>
      </c>
      <c r="D1580" s="707">
        <v>107272</v>
      </c>
      <c r="E1580" s="707">
        <v>1207.6999999998584</v>
      </c>
      <c r="G1580" s="65">
        <v>1207.6999999998584</v>
      </c>
      <c r="H1580" s="707">
        <v>107272</v>
      </c>
      <c r="I1580" s="65">
        <v>1207.7999999998583</v>
      </c>
      <c r="J1580" s="707">
        <v>107450</v>
      </c>
    </row>
    <row r="1581" spans="2:10" ht="15">
      <c r="B1581" s="706">
        <v>107272</v>
      </c>
      <c r="C1581" s="706">
        <v>1207.6999999998584</v>
      </c>
      <c r="D1581" s="707">
        <v>107450</v>
      </c>
      <c r="E1581" s="707">
        <v>1207.7999999998583</v>
      </c>
      <c r="G1581" s="65">
        <v>1207.7999999998583</v>
      </c>
      <c r="H1581" s="707">
        <v>107450</v>
      </c>
      <c r="I1581" s="65">
        <v>1207.8999999998582</v>
      </c>
      <c r="J1581" s="707">
        <v>107628</v>
      </c>
    </row>
    <row r="1582" spans="2:10" ht="15">
      <c r="B1582" s="706">
        <v>107450</v>
      </c>
      <c r="C1582" s="706">
        <v>1207.7999999998583</v>
      </c>
      <c r="D1582" s="707">
        <v>107628</v>
      </c>
      <c r="E1582" s="707">
        <v>1207.8999999998582</v>
      </c>
      <c r="G1582" s="65">
        <v>1207.8999999998582</v>
      </c>
      <c r="H1582" s="707">
        <v>107628</v>
      </c>
      <c r="I1582" s="65">
        <v>1207.9999999998581</v>
      </c>
      <c r="J1582" s="707">
        <v>107806</v>
      </c>
    </row>
    <row r="1583" spans="2:10" ht="15">
      <c r="B1583" s="706">
        <v>107628</v>
      </c>
      <c r="C1583" s="706">
        <v>1207.8999999998582</v>
      </c>
      <c r="D1583" s="707">
        <v>107806</v>
      </c>
      <c r="E1583" s="707">
        <v>1207.9999999998581</v>
      </c>
      <c r="G1583" s="65">
        <v>1207.9999999998581</v>
      </c>
      <c r="H1583" s="707">
        <v>107806</v>
      </c>
      <c r="I1583" s="65">
        <v>1208.099999999858</v>
      </c>
      <c r="J1583" s="707">
        <v>107986</v>
      </c>
    </row>
    <row r="1584" spans="2:10" ht="15">
      <c r="B1584" s="706">
        <v>107806</v>
      </c>
      <c r="C1584" s="706">
        <v>1207.9999999998581</v>
      </c>
      <c r="D1584" s="707">
        <v>107986</v>
      </c>
      <c r="E1584" s="707">
        <v>1208.099999999858</v>
      </c>
      <c r="G1584" s="65">
        <v>1208.099999999858</v>
      </c>
      <c r="H1584" s="707">
        <v>107986</v>
      </c>
      <c r="I1584" s="65">
        <v>1208.1999999998579</v>
      </c>
      <c r="J1584" s="707">
        <v>108166</v>
      </c>
    </row>
    <row r="1585" spans="2:10" ht="15">
      <c r="B1585" s="706">
        <v>107986</v>
      </c>
      <c r="C1585" s="706">
        <v>1208.099999999858</v>
      </c>
      <c r="D1585" s="707">
        <v>108166</v>
      </c>
      <c r="E1585" s="707">
        <v>1208.1999999998579</v>
      </c>
      <c r="G1585" s="65">
        <v>1208.1999999998579</v>
      </c>
      <c r="H1585" s="707">
        <v>108166</v>
      </c>
      <c r="I1585" s="65">
        <v>1208.2999999998578</v>
      </c>
      <c r="J1585" s="707">
        <v>108346</v>
      </c>
    </row>
    <row r="1586" spans="2:10" ht="15">
      <c r="B1586" s="706">
        <v>108166</v>
      </c>
      <c r="C1586" s="706">
        <v>1208.1999999998579</v>
      </c>
      <c r="D1586" s="707">
        <v>108346</v>
      </c>
      <c r="E1586" s="707">
        <v>1208.2999999998578</v>
      </c>
      <c r="G1586" s="65">
        <v>1208.2999999998578</v>
      </c>
      <c r="H1586" s="707">
        <v>108346</v>
      </c>
      <c r="I1586" s="65">
        <v>1208.3999999998578</v>
      </c>
      <c r="J1586" s="707">
        <v>108526</v>
      </c>
    </row>
    <row r="1587" spans="2:10" ht="15">
      <c r="B1587" s="706">
        <v>108346</v>
      </c>
      <c r="C1587" s="706">
        <v>1208.2999999998578</v>
      </c>
      <c r="D1587" s="707">
        <v>108526</v>
      </c>
      <c r="E1587" s="707">
        <v>1208.3999999998578</v>
      </c>
      <c r="G1587" s="65">
        <v>1208.3999999998578</v>
      </c>
      <c r="H1587" s="707">
        <v>108526</v>
      </c>
      <c r="I1587" s="65">
        <v>1208.4999999998577</v>
      </c>
      <c r="J1587" s="707">
        <v>108706</v>
      </c>
    </row>
    <row r="1588" spans="2:10" ht="15">
      <c r="B1588" s="706">
        <v>108526</v>
      </c>
      <c r="C1588" s="706">
        <v>1208.3999999998578</v>
      </c>
      <c r="D1588" s="707">
        <v>108706</v>
      </c>
      <c r="E1588" s="707">
        <v>1208.4999999998577</v>
      </c>
      <c r="G1588" s="65">
        <v>1208.4999999998577</v>
      </c>
      <c r="H1588" s="707">
        <v>108706</v>
      </c>
      <c r="I1588" s="65">
        <v>1208.5999999998576</v>
      </c>
      <c r="J1588" s="707">
        <v>108886</v>
      </c>
    </row>
    <row r="1589" spans="2:10" ht="15">
      <c r="B1589" s="706">
        <v>108706</v>
      </c>
      <c r="C1589" s="706">
        <v>1208.4999999998577</v>
      </c>
      <c r="D1589" s="707">
        <v>108886</v>
      </c>
      <c r="E1589" s="707">
        <v>1208.5999999998576</v>
      </c>
      <c r="G1589" s="65">
        <v>1208.5999999998576</v>
      </c>
      <c r="H1589" s="707">
        <v>108886</v>
      </c>
      <c r="I1589" s="65">
        <v>1208.6999999998575</v>
      </c>
      <c r="J1589" s="707">
        <v>109066</v>
      </c>
    </row>
    <row r="1590" spans="2:10" ht="15">
      <c r="B1590" s="706">
        <v>108886</v>
      </c>
      <c r="C1590" s="706">
        <v>1208.5999999998576</v>
      </c>
      <c r="D1590" s="707">
        <v>109066</v>
      </c>
      <c r="E1590" s="707">
        <v>1208.6999999998575</v>
      </c>
      <c r="G1590" s="65">
        <v>1208.6999999998575</v>
      </c>
      <c r="H1590" s="707">
        <v>109066</v>
      </c>
      <c r="I1590" s="65">
        <v>1208.7999999998574</v>
      </c>
      <c r="J1590" s="707">
        <v>109246</v>
      </c>
    </row>
    <row r="1591" spans="2:10" ht="15">
      <c r="B1591" s="706">
        <v>109066</v>
      </c>
      <c r="C1591" s="706">
        <v>1208.6999999998575</v>
      </c>
      <c r="D1591" s="707">
        <v>109246</v>
      </c>
      <c r="E1591" s="707">
        <v>1208.7999999998574</v>
      </c>
      <c r="G1591" s="65">
        <v>1208.7999999998574</v>
      </c>
      <c r="H1591" s="707">
        <v>109246</v>
      </c>
      <c r="I1591" s="65">
        <v>1208.8999999998573</v>
      </c>
      <c r="J1591" s="707">
        <v>109426</v>
      </c>
    </row>
    <row r="1592" spans="2:10" ht="15">
      <c r="B1592" s="706">
        <v>109246</v>
      </c>
      <c r="C1592" s="706">
        <v>1208.7999999998574</v>
      </c>
      <c r="D1592" s="707">
        <v>109426</v>
      </c>
      <c r="E1592" s="707">
        <v>1208.8999999998573</v>
      </c>
      <c r="G1592" s="65">
        <v>1208.8999999998573</v>
      </c>
      <c r="H1592" s="707">
        <v>109426</v>
      </c>
      <c r="I1592" s="65">
        <v>1208.9999999998572</v>
      </c>
      <c r="J1592" s="707">
        <v>109606</v>
      </c>
    </row>
    <row r="1593" spans="2:10" ht="15">
      <c r="B1593" s="706">
        <v>109426</v>
      </c>
      <c r="C1593" s="706">
        <v>1208.8999999998573</v>
      </c>
      <c r="D1593" s="707">
        <v>109606</v>
      </c>
      <c r="E1593" s="707">
        <v>1208.9999999998572</v>
      </c>
      <c r="G1593" s="65">
        <v>1208.9999999998572</v>
      </c>
      <c r="H1593" s="707">
        <v>109606</v>
      </c>
      <c r="I1593" s="65">
        <v>1209.0999999998571</v>
      </c>
      <c r="J1593" s="707">
        <v>109788</v>
      </c>
    </row>
    <row r="1594" spans="2:10" ht="15">
      <c r="B1594" s="706">
        <v>109606</v>
      </c>
      <c r="C1594" s="706">
        <v>1208.9999999998572</v>
      </c>
      <c r="D1594" s="707">
        <v>109788</v>
      </c>
      <c r="E1594" s="707">
        <v>1209.0999999998571</v>
      </c>
      <c r="G1594" s="65">
        <v>1209.0999999998571</v>
      </c>
      <c r="H1594" s="707">
        <v>109788</v>
      </c>
      <c r="I1594" s="65">
        <v>1209.199999999857</v>
      </c>
      <c r="J1594" s="707">
        <v>109970</v>
      </c>
    </row>
    <row r="1595" spans="2:10" ht="15">
      <c r="B1595" s="706">
        <v>109788</v>
      </c>
      <c r="C1595" s="706">
        <v>1209.0999999998571</v>
      </c>
      <c r="D1595" s="707">
        <v>109970</v>
      </c>
      <c r="E1595" s="707">
        <v>1209.199999999857</v>
      </c>
      <c r="G1595" s="65">
        <v>1209.199999999857</v>
      </c>
      <c r="H1595" s="707">
        <v>109970</v>
      </c>
      <c r="I1595" s="65">
        <v>1209.2999999998569</v>
      </c>
      <c r="J1595" s="707">
        <v>110151</v>
      </c>
    </row>
    <row r="1596" spans="2:10" ht="15">
      <c r="B1596" s="706">
        <v>109970</v>
      </c>
      <c r="C1596" s="706">
        <v>1209.199999999857</v>
      </c>
      <c r="D1596" s="707">
        <v>110151</v>
      </c>
      <c r="E1596" s="707">
        <v>1209.2999999998569</v>
      </c>
      <c r="G1596" s="65">
        <v>1209.2999999998569</v>
      </c>
      <c r="H1596" s="707">
        <v>110151</v>
      </c>
      <c r="I1596" s="65">
        <v>1209.3999999998568</v>
      </c>
      <c r="J1596" s="707">
        <v>110333</v>
      </c>
    </row>
    <row r="1597" spans="2:10" ht="15">
      <c r="B1597" s="706">
        <v>110151</v>
      </c>
      <c r="C1597" s="706">
        <v>1209.2999999998569</v>
      </c>
      <c r="D1597" s="707">
        <v>110333</v>
      </c>
      <c r="E1597" s="707">
        <v>1209.3999999998568</v>
      </c>
      <c r="G1597" s="65">
        <v>1209.3999999998568</v>
      </c>
      <c r="H1597" s="707">
        <v>110333</v>
      </c>
      <c r="I1597" s="65">
        <v>1209.4999999998568</v>
      </c>
      <c r="J1597" s="707">
        <v>110515</v>
      </c>
    </row>
    <row r="1598" spans="2:10" ht="15">
      <c r="B1598" s="706">
        <v>110333</v>
      </c>
      <c r="C1598" s="706">
        <v>1209.3999999998568</v>
      </c>
      <c r="D1598" s="707">
        <v>110515</v>
      </c>
      <c r="E1598" s="707">
        <v>1209.4999999998568</v>
      </c>
      <c r="G1598" s="65">
        <v>1209.4999999998568</v>
      </c>
      <c r="H1598" s="707">
        <v>110515</v>
      </c>
      <c r="I1598" s="65">
        <v>1209.5999999998567</v>
      </c>
      <c r="J1598" s="707">
        <v>110697</v>
      </c>
    </row>
    <row r="1599" spans="2:10" ht="15">
      <c r="B1599" s="706">
        <v>110515</v>
      </c>
      <c r="C1599" s="706">
        <v>1209.4999999998568</v>
      </c>
      <c r="D1599" s="707">
        <v>110697</v>
      </c>
      <c r="E1599" s="707">
        <v>1209.5999999998567</v>
      </c>
      <c r="G1599" s="65">
        <v>1209.5999999998567</v>
      </c>
      <c r="H1599" s="707">
        <v>110697</v>
      </c>
      <c r="I1599" s="65">
        <v>1209.6999999998566</v>
      </c>
      <c r="J1599" s="707">
        <v>110879</v>
      </c>
    </row>
    <row r="1600" spans="2:10" ht="15">
      <c r="B1600" s="706">
        <v>110697</v>
      </c>
      <c r="C1600" s="706">
        <v>1209.5999999998567</v>
      </c>
      <c r="D1600" s="707">
        <v>110879</v>
      </c>
      <c r="E1600" s="707">
        <v>1209.6999999998566</v>
      </c>
      <c r="G1600" s="65">
        <v>1209.6999999998566</v>
      </c>
      <c r="H1600" s="707">
        <v>110879</v>
      </c>
      <c r="I1600" s="65">
        <v>1209.7999999998565</v>
      </c>
      <c r="J1600" s="707">
        <v>111060</v>
      </c>
    </row>
    <row r="1601" spans="2:10" ht="15">
      <c r="B1601" s="706">
        <v>110879</v>
      </c>
      <c r="C1601" s="706">
        <v>1209.6999999998566</v>
      </c>
      <c r="D1601" s="707">
        <v>111060</v>
      </c>
      <c r="E1601" s="707">
        <v>1209.7999999998565</v>
      </c>
      <c r="G1601" s="65">
        <v>1209.7999999998565</v>
      </c>
      <c r="H1601" s="707">
        <v>111060</v>
      </c>
      <c r="I1601" s="65">
        <v>1209.8999999998564</v>
      </c>
      <c r="J1601" s="707">
        <v>111242</v>
      </c>
    </row>
    <row r="1602" spans="2:10" ht="15">
      <c r="B1602" s="706">
        <v>111060</v>
      </c>
      <c r="C1602" s="706">
        <v>1209.7999999998565</v>
      </c>
      <c r="D1602" s="707">
        <v>111242</v>
      </c>
      <c r="E1602" s="707">
        <v>1209.8999999998564</v>
      </c>
      <c r="G1602" s="65">
        <v>1209.8999999998564</v>
      </c>
      <c r="H1602" s="707">
        <v>111242</v>
      </c>
      <c r="I1602" s="65">
        <v>1209.9999999998563</v>
      </c>
      <c r="J1602" s="707">
        <v>111424</v>
      </c>
    </row>
    <row r="1603" spans="2:10" ht="15">
      <c r="B1603" s="706">
        <v>111242</v>
      </c>
      <c r="C1603" s="706">
        <v>1209.8999999998564</v>
      </c>
      <c r="D1603" s="707">
        <v>111424</v>
      </c>
      <c r="E1603" s="707">
        <v>1209.9999999998563</v>
      </c>
      <c r="G1603" s="65">
        <v>1209.9999999998563</v>
      </c>
      <c r="H1603" s="707">
        <v>111424</v>
      </c>
      <c r="I1603" s="65">
        <v>1210.0999999998562</v>
      </c>
      <c r="J1603" s="707">
        <v>111608</v>
      </c>
    </row>
    <row r="1604" spans="2:10" ht="15">
      <c r="B1604" s="706">
        <v>111424</v>
      </c>
      <c r="C1604" s="706">
        <v>1209.9999999998563</v>
      </c>
      <c r="D1604" s="707">
        <v>111608</v>
      </c>
      <c r="E1604" s="707">
        <v>1210.0999999998562</v>
      </c>
      <c r="G1604" s="65">
        <v>1210.0999999998562</v>
      </c>
      <c r="H1604" s="707">
        <v>111608</v>
      </c>
      <c r="I1604" s="65">
        <v>1210.1999999998561</v>
      </c>
      <c r="J1604" s="707">
        <v>111791</v>
      </c>
    </row>
    <row r="1605" spans="2:10" ht="15">
      <c r="B1605" s="706">
        <v>111608</v>
      </c>
      <c r="C1605" s="706">
        <v>1210.0999999998562</v>
      </c>
      <c r="D1605" s="707">
        <v>111791</v>
      </c>
      <c r="E1605" s="707">
        <v>1210.1999999998561</v>
      </c>
      <c r="G1605" s="65">
        <v>1210.1999999998561</v>
      </c>
      <c r="H1605" s="707">
        <v>111791</v>
      </c>
      <c r="I1605" s="65">
        <v>1210.299999999856</v>
      </c>
      <c r="J1605" s="707">
        <v>111975</v>
      </c>
    </row>
    <row r="1606" spans="2:10" ht="15">
      <c r="B1606" s="706">
        <v>111791</v>
      </c>
      <c r="C1606" s="706">
        <v>1210.1999999998561</v>
      </c>
      <c r="D1606" s="707">
        <v>111975</v>
      </c>
      <c r="E1606" s="707">
        <v>1210.299999999856</v>
      </c>
      <c r="G1606" s="65">
        <v>1210.299999999856</v>
      </c>
      <c r="H1606" s="707">
        <v>111975</v>
      </c>
      <c r="I1606" s="65">
        <v>1210.3999999998559</v>
      </c>
      <c r="J1606" s="707">
        <v>112158</v>
      </c>
    </row>
    <row r="1607" spans="2:10" ht="15">
      <c r="B1607" s="706">
        <v>111975</v>
      </c>
      <c r="C1607" s="706">
        <v>1210.299999999856</v>
      </c>
      <c r="D1607" s="707">
        <v>112158</v>
      </c>
      <c r="E1607" s="707">
        <v>1210.3999999998559</v>
      </c>
      <c r="G1607" s="65">
        <v>1210.3999999998559</v>
      </c>
      <c r="H1607" s="707">
        <v>112158</v>
      </c>
      <c r="I1607" s="65">
        <v>1210.4999999998558</v>
      </c>
      <c r="J1607" s="707">
        <v>112342</v>
      </c>
    </row>
    <row r="1608" spans="2:10" ht="15">
      <c r="B1608" s="706">
        <v>112158</v>
      </c>
      <c r="C1608" s="706">
        <v>1210.3999999998559</v>
      </c>
      <c r="D1608" s="707">
        <v>112342</v>
      </c>
      <c r="E1608" s="707">
        <v>1210.4999999998558</v>
      </c>
      <c r="G1608" s="65">
        <v>1210.4999999998558</v>
      </c>
      <c r="H1608" s="707">
        <v>112342</v>
      </c>
      <c r="I1608" s="65">
        <v>1210.5999999998558</v>
      </c>
      <c r="J1608" s="707">
        <v>112525</v>
      </c>
    </row>
    <row r="1609" spans="2:10" ht="15">
      <c r="B1609" s="706">
        <v>112342</v>
      </c>
      <c r="C1609" s="706">
        <v>1210.4999999998558</v>
      </c>
      <c r="D1609" s="707">
        <v>112525</v>
      </c>
      <c r="E1609" s="707">
        <v>1210.5999999998558</v>
      </c>
      <c r="G1609" s="65">
        <v>1210.5999999998558</v>
      </c>
      <c r="H1609" s="707">
        <v>112525</v>
      </c>
      <c r="I1609" s="65">
        <v>1210.6999999998557</v>
      </c>
      <c r="J1609" s="707">
        <v>112709</v>
      </c>
    </row>
    <row r="1610" spans="2:10" ht="15">
      <c r="B1610" s="706">
        <v>112525</v>
      </c>
      <c r="C1610" s="706">
        <v>1210.5999999998558</v>
      </c>
      <c r="D1610" s="707">
        <v>112709</v>
      </c>
      <c r="E1610" s="707">
        <v>1210.6999999998557</v>
      </c>
      <c r="G1610" s="65">
        <v>1210.6999999998557</v>
      </c>
      <c r="H1610" s="707">
        <v>112709</v>
      </c>
      <c r="I1610" s="65">
        <v>1210.7999999998556</v>
      </c>
      <c r="J1610" s="707">
        <v>112892</v>
      </c>
    </row>
    <row r="1611" spans="2:10" ht="15">
      <c r="B1611" s="706">
        <v>112709</v>
      </c>
      <c r="C1611" s="706">
        <v>1210.6999999998557</v>
      </c>
      <c r="D1611" s="707">
        <v>112892</v>
      </c>
      <c r="E1611" s="707">
        <v>1210.7999999998556</v>
      </c>
      <c r="G1611" s="65">
        <v>1210.7999999998556</v>
      </c>
      <c r="H1611" s="707">
        <v>112892</v>
      </c>
      <c r="I1611" s="65">
        <v>1210.8999999998555</v>
      </c>
      <c r="J1611" s="707">
        <v>113076</v>
      </c>
    </row>
    <row r="1612" spans="2:10" ht="15">
      <c r="B1612" s="706">
        <v>112892</v>
      </c>
      <c r="C1612" s="706">
        <v>1210.7999999998556</v>
      </c>
      <c r="D1612" s="707">
        <v>113076</v>
      </c>
      <c r="E1612" s="707">
        <v>1210.8999999998555</v>
      </c>
      <c r="G1612" s="65">
        <v>1210.8999999998555</v>
      </c>
      <c r="H1612" s="707">
        <v>113076</v>
      </c>
      <c r="I1612" s="65">
        <v>1210.9999999998554</v>
      </c>
      <c r="J1612" s="707">
        <v>113259</v>
      </c>
    </row>
    <row r="1613" spans="2:10" ht="15">
      <c r="B1613" s="706">
        <v>113076</v>
      </c>
      <c r="C1613" s="706">
        <v>1210.8999999998555</v>
      </c>
      <c r="D1613" s="707">
        <v>113259</v>
      </c>
      <c r="E1613" s="707">
        <v>1210.9999999998554</v>
      </c>
      <c r="G1613" s="65">
        <v>1210.9999999998554</v>
      </c>
      <c r="H1613" s="707">
        <v>113259</v>
      </c>
      <c r="I1613" s="65">
        <v>1211.0999999998553</v>
      </c>
      <c r="J1613" s="707">
        <v>113444</v>
      </c>
    </row>
    <row r="1614" spans="2:10" ht="15">
      <c r="B1614" s="706">
        <v>113259</v>
      </c>
      <c r="C1614" s="706">
        <v>1210.9999999998554</v>
      </c>
      <c r="D1614" s="707">
        <v>113444</v>
      </c>
      <c r="E1614" s="707">
        <v>1211.0999999998553</v>
      </c>
      <c r="G1614" s="65">
        <v>1211.0999999998553</v>
      </c>
      <c r="H1614" s="707">
        <v>113444</v>
      </c>
      <c r="I1614" s="65">
        <v>1211.1999999998552</v>
      </c>
      <c r="J1614" s="707">
        <v>113629</v>
      </c>
    </row>
    <row r="1615" spans="2:10" ht="15">
      <c r="B1615" s="706">
        <v>113444</v>
      </c>
      <c r="C1615" s="706">
        <v>1211.0999999998553</v>
      </c>
      <c r="D1615" s="707">
        <v>113629</v>
      </c>
      <c r="E1615" s="707">
        <v>1211.1999999998552</v>
      </c>
      <c r="G1615" s="65">
        <v>1211.1999999998552</v>
      </c>
      <c r="H1615" s="707">
        <v>113629</v>
      </c>
      <c r="I1615" s="65">
        <v>1211.2999999998551</v>
      </c>
      <c r="J1615" s="707">
        <v>113814</v>
      </c>
    </row>
    <row r="1616" spans="2:10" ht="15">
      <c r="B1616" s="706">
        <v>113629</v>
      </c>
      <c r="C1616" s="706">
        <v>1211.1999999998552</v>
      </c>
      <c r="D1616" s="707">
        <v>113814</v>
      </c>
      <c r="E1616" s="707">
        <v>1211.2999999998551</v>
      </c>
      <c r="G1616" s="65">
        <v>1211.2999999998551</v>
      </c>
      <c r="H1616" s="707">
        <v>113814</v>
      </c>
      <c r="I1616" s="65">
        <v>1211.399999999855</v>
      </c>
      <c r="J1616" s="707">
        <v>113999</v>
      </c>
    </row>
    <row r="1617" spans="2:10" ht="15">
      <c r="B1617" s="706">
        <v>113814</v>
      </c>
      <c r="C1617" s="706">
        <v>1211.2999999998551</v>
      </c>
      <c r="D1617" s="707">
        <v>113999</v>
      </c>
      <c r="E1617" s="707">
        <v>1211.399999999855</v>
      </c>
      <c r="G1617" s="65">
        <v>1211.399999999855</v>
      </c>
      <c r="H1617" s="707">
        <v>113999</v>
      </c>
      <c r="I1617" s="65">
        <v>1211.4999999998549</v>
      </c>
      <c r="J1617" s="707">
        <v>114184</v>
      </c>
    </row>
    <row r="1618" spans="2:10" ht="15">
      <c r="B1618" s="706">
        <v>113999</v>
      </c>
      <c r="C1618" s="706">
        <v>1211.399999999855</v>
      </c>
      <c r="D1618" s="707">
        <v>114184</v>
      </c>
      <c r="E1618" s="707">
        <v>1211.4999999998549</v>
      </c>
      <c r="G1618" s="65">
        <v>1211.4999999998549</v>
      </c>
      <c r="H1618" s="707">
        <v>114184</v>
      </c>
      <c r="I1618" s="65">
        <v>1211.5999999998548</v>
      </c>
      <c r="J1618" s="707">
        <v>114369</v>
      </c>
    </row>
    <row r="1619" spans="2:10" ht="15">
      <c r="B1619" s="706">
        <v>114184</v>
      </c>
      <c r="C1619" s="706">
        <v>1211.4999999998549</v>
      </c>
      <c r="D1619" s="707">
        <v>114369</v>
      </c>
      <c r="E1619" s="707">
        <v>1211.5999999998548</v>
      </c>
      <c r="G1619" s="65">
        <v>1211.5999999998548</v>
      </c>
      <c r="H1619" s="707">
        <v>114369</v>
      </c>
      <c r="I1619" s="65">
        <v>1211.6999999998548</v>
      </c>
      <c r="J1619" s="707">
        <v>114554</v>
      </c>
    </row>
    <row r="1620" spans="2:10" ht="15">
      <c r="B1620" s="706">
        <v>114369</v>
      </c>
      <c r="C1620" s="706">
        <v>1211.5999999998548</v>
      </c>
      <c r="D1620" s="707">
        <v>114554</v>
      </c>
      <c r="E1620" s="707">
        <v>1211.6999999998548</v>
      </c>
      <c r="G1620" s="65">
        <v>1211.6999999998548</v>
      </c>
      <c r="H1620" s="707">
        <v>114554</v>
      </c>
      <c r="I1620" s="65">
        <v>1211.7999999998547</v>
      </c>
      <c r="J1620" s="707">
        <v>114739</v>
      </c>
    </row>
    <row r="1621" spans="2:10" ht="15">
      <c r="B1621" s="706">
        <v>114554</v>
      </c>
      <c r="C1621" s="706">
        <v>1211.6999999998548</v>
      </c>
      <c r="D1621" s="707">
        <v>114739</v>
      </c>
      <c r="E1621" s="707">
        <v>1211.7999999998547</v>
      </c>
      <c r="G1621" s="65">
        <v>1211.7999999998547</v>
      </c>
      <c r="H1621" s="707">
        <v>114739</v>
      </c>
      <c r="I1621" s="65">
        <v>1211.8999999998546</v>
      </c>
      <c r="J1621" s="707">
        <v>114924</v>
      </c>
    </row>
    <row r="1622" spans="2:10" ht="15">
      <c r="B1622" s="706">
        <v>114739</v>
      </c>
      <c r="C1622" s="706">
        <v>1211.7999999998547</v>
      </c>
      <c r="D1622" s="707">
        <v>114924</v>
      </c>
      <c r="E1622" s="707">
        <v>1211.8999999998546</v>
      </c>
      <c r="G1622" s="65">
        <v>1211.8999999998546</v>
      </c>
      <c r="H1622" s="707">
        <v>114924</v>
      </c>
      <c r="I1622" s="65">
        <v>1211.9999999998545</v>
      </c>
      <c r="J1622" s="707">
        <v>115109</v>
      </c>
    </row>
    <row r="1623" spans="2:10" ht="15">
      <c r="B1623" s="706">
        <v>114924</v>
      </c>
      <c r="C1623" s="706">
        <v>1211.8999999998546</v>
      </c>
      <c r="D1623" s="707">
        <v>115109</v>
      </c>
      <c r="E1623" s="707">
        <v>1211.9999999998545</v>
      </c>
      <c r="G1623" s="65">
        <v>1211.9999999998545</v>
      </c>
      <c r="H1623" s="707">
        <v>115109</v>
      </c>
      <c r="I1623" s="65">
        <v>1212.0999999998544</v>
      </c>
      <c r="J1623" s="707">
        <v>115296</v>
      </c>
    </row>
    <row r="1624" spans="2:10" ht="15">
      <c r="B1624" s="706">
        <v>115109</v>
      </c>
      <c r="C1624" s="706">
        <v>1211.9999999998545</v>
      </c>
      <c r="D1624" s="707">
        <v>115296</v>
      </c>
      <c r="E1624" s="707">
        <v>1212.0999999998544</v>
      </c>
      <c r="G1624" s="65">
        <v>1212.0999999998544</v>
      </c>
      <c r="H1624" s="707">
        <v>115296</v>
      </c>
      <c r="I1624" s="65">
        <v>1212.1999999998543</v>
      </c>
      <c r="J1624" s="707">
        <v>115482</v>
      </c>
    </row>
    <row r="1625" spans="2:10" ht="15">
      <c r="B1625" s="706">
        <v>115296</v>
      </c>
      <c r="C1625" s="706">
        <v>1212.0999999998544</v>
      </c>
      <c r="D1625" s="707">
        <v>115482</v>
      </c>
      <c r="E1625" s="707">
        <v>1212.1999999998543</v>
      </c>
      <c r="G1625" s="65">
        <v>1212.1999999998543</v>
      </c>
      <c r="H1625" s="707">
        <v>115482</v>
      </c>
      <c r="I1625" s="65">
        <v>1212.2999999998542</v>
      </c>
      <c r="J1625" s="707">
        <v>115669</v>
      </c>
    </row>
    <row r="1626" spans="2:10" ht="15">
      <c r="B1626" s="706">
        <v>115482</v>
      </c>
      <c r="C1626" s="706">
        <v>1212.1999999998543</v>
      </c>
      <c r="D1626" s="707">
        <v>115669</v>
      </c>
      <c r="E1626" s="707">
        <v>1212.2999999998542</v>
      </c>
      <c r="G1626" s="65">
        <v>1212.2999999998542</v>
      </c>
      <c r="H1626" s="707">
        <v>115669</v>
      </c>
      <c r="I1626" s="65">
        <v>1212.3999999998541</v>
      </c>
      <c r="J1626" s="707">
        <v>115855</v>
      </c>
    </row>
    <row r="1627" spans="2:10" ht="15">
      <c r="B1627" s="706">
        <v>115669</v>
      </c>
      <c r="C1627" s="706">
        <v>1212.2999999998542</v>
      </c>
      <c r="D1627" s="707">
        <v>115855</v>
      </c>
      <c r="E1627" s="707">
        <v>1212.3999999998541</v>
      </c>
      <c r="G1627" s="65">
        <v>1212.3999999998541</v>
      </c>
      <c r="H1627" s="707">
        <v>115855</v>
      </c>
      <c r="I1627" s="65">
        <v>1212.499999999854</v>
      </c>
      <c r="J1627" s="707">
        <v>116042</v>
      </c>
    </row>
    <row r="1628" spans="2:10" ht="15">
      <c r="B1628" s="706">
        <v>115855</v>
      </c>
      <c r="C1628" s="706">
        <v>1212.3999999998541</v>
      </c>
      <c r="D1628" s="707">
        <v>116042</v>
      </c>
      <c r="E1628" s="707">
        <v>1212.499999999854</v>
      </c>
      <c r="G1628" s="65">
        <v>1212.499999999854</v>
      </c>
      <c r="H1628" s="707">
        <v>116042</v>
      </c>
      <c r="I1628" s="65">
        <v>1212.5999999998539</v>
      </c>
      <c r="J1628" s="707">
        <v>116228</v>
      </c>
    </row>
    <row r="1629" spans="2:10" ht="15">
      <c r="B1629" s="706">
        <v>116042</v>
      </c>
      <c r="C1629" s="706">
        <v>1212.499999999854</v>
      </c>
      <c r="D1629" s="707">
        <v>116228</v>
      </c>
      <c r="E1629" s="707">
        <v>1212.5999999998539</v>
      </c>
      <c r="G1629" s="65">
        <v>1212.5999999998539</v>
      </c>
      <c r="H1629" s="707">
        <v>116228</v>
      </c>
      <c r="I1629" s="65">
        <v>1212.6999999998538</v>
      </c>
      <c r="J1629" s="707">
        <v>116415</v>
      </c>
    </row>
    <row r="1630" spans="2:10" ht="15">
      <c r="B1630" s="706">
        <v>116228</v>
      </c>
      <c r="C1630" s="706">
        <v>1212.5999999998539</v>
      </c>
      <c r="D1630" s="707">
        <v>116415</v>
      </c>
      <c r="E1630" s="707">
        <v>1212.6999999998538</v>
      </c>
      <c r="G1630" s="65">
        <v>1212.6999999998538</v>
      </c>
      <c r="H1630" s="707">
        <v>116415</v>
      </c>
      <c r="I1630" s="65">
        <v>1212.7999999998538</v>
      </c>
      <c r="J1630" s="707">
        <v>116601</v>
      </c>
    </row>
    <row r="1631" spans="2:10" ht="15">
      <c r="B1631" s="706">
        <v>116415</v>
      </c>
      <c r="C1631" s="706">
        <v>1212.6999999998538</v>
      </c>
      <c r="D1631" s="707">
        <v>116601</v>
      </c>
      <c r="E1631" s="707">
        <v>1212.7999999998538</v>
      </c>
      <c r="G1631" s="65">
        <v>1212.7999999998538</v>
      </c>
      <c r="H1631" s="707">
        <v>116601</v>
      </c>
      <c r="I1631" s="65">
        <v>1212.8999999998537</v>
      </c>
      <c r="J1631" s="707">
        <v>116788</v>
      </c>
    </row>
    <row r="1632" spans="2:10" ht="15">
      <c r="B1632" s="706">
        <v>116601</v>
      </c>
      <c r="C1632" s="706">
        <v>1212.7999999998538</v>
      </c>
      <c r="D1632" s="707">
        <v>116788</v>
      </c>
      <c r="E1632" s="707">
        <v>1212.8999999998537</v>
      </c>
      <c r="G1632" s="65">
        <v>1212.8999999998537</v>
      </c>
      <c r="H1632" s="707">
        <v>116788</v>
      </c>
      <c r="I1632" s="65">
        <v>1212.9999999998536</v>
      </c>
      <c r="J1632" s="707">
        <v>116974</v>
      </c>
    </row>
    <row r="1633" spans="2:10" ht="15">
      <c r="B1633" s="706">
        <v>116788</v>
      </c>
      <c r="C1633" s="706">
        <v>1212.8999999998537</v>
      </c>
      <c r="D1633" s="707">
        <v>116974</v>
      </c>
      <c r="E1633" s="707">
        <v>1212.9999999998536</v>
      </c>
      <c r="G1633" s="65">
        <v>1212.9999999998536</v>
      </c>
      <c r="H1633" s="707">
        <v>116974</v>
      </c>
      <c r="I1633" s="65">
        <v>1213.0999999998535</v>
      </c>
      <c r="J1633" s="707">
        <v>117162</v>
      </c>
    </row>
    <row r="1634" spans="2:10" ht="15">
      <c r="B1634" s="706">
        <v>116974</v>
      </c>
      <c r="C1634" s="706">
        <v>1212.9999999998536</v>
      </c>
      <c r="D1634" s="707">
        <v>117162</v>
      </c>
      <c r="E1634" s="707">
        <v>1213.0999999998535</v>
      </c>
      <c r="G1634" s="65">
        <v>1213.0999999998535</v>
      </c>
      <c r="H1634" s="707">
        <v>117162</v>
      </c>
      <c r="I1634" s="65">
        <v>1213.1999999998534</v>
      </c>
      <c r="J1634" s="707">
        <v>117350</v>
      </c>
    </row>
    <row r="1635" spans="2:10" ht="15">
      <c r="B1635" s="706">
        <v>117162</v>
      </c>
      <c r="C1635" s="706">
        <v>1213.0999999998535</v>
      </c>
      <c r="D1635" s="707">
        <v>117350</v>
      </c>
      <c r="E1635" s="707">
        <v>1213.1999999998534</v>
      </c>
      <c r="G1635" s="65">
        <v>1213.1999999998534</v>
      </c>
      <c r="H1635" s="707">
        <v>117350</v>
      </c>
      <c r="I1635" s="65">
        <v>1213.2999999998533</v>
      </c>
      <c r="J1635" s="707">
        <v>117538</v>
      </c>
    </row>
    <row r="1636" spans="2:10" ht="15">
      <c r="B1636" s="706">
        <v>117350</v>
      </c>
      <c r="C1636" s="706">
        <v>1213.1999999998534</v>
      </c>
      <c r="D1636" s="707">
        <v>117538</v>
      </c>
      <c r="E1636" s="707">
        <v>1213.2999999998533</v>
      </c>
      <c r="G1636" s="65">
        <v>1213.2999999998533</v>
      </c>
      <c r="H1636" s="707">
        <v>117538</v>
      </c>
      <c r="I1636" s="65">
        <v>1213.3999999998532</v>
      </c>
      <c r="J1636" s="707">
        <v>117726</v>
      </c>
    </row>
    <row r="1637" spans="2:10" ht="15">
      <c r="B1637" s="706">
        <v>117538</v>
      </c>
      <c r="C1637" s="706">
        <v>1213.2999999998533</v>
      </c>
      <c r="D1637" s="707">
        <v>117726</v>
      </c>
      <c r="E1637" s="707">
        <v>1213.3999999998532</v>
      </c>
      <c r="G1637" s="65">
        <v>1213.3999999998532</v>
      </c>
      <c r="H1637" s="707">
        <v>117726</v>
      </c>
      <c r="I1637" s="65">
        <v>1213.4999999998531</v>
      </c>
      <c r="J1637" s="707">
        <v>117914</v>
      </c>
    </row>
    <row r="1638" spans="2:10" ht="15">
      <c r="B1638" s="706">
        <v>117726</v>
      </c>
      <c r="C1638" s="706">
        <v>1213.3999999998532</v>
      </c>
      <c r="D1638" s="707">
        <v>117914</v>
      </c>
      <c r="E1638" s="707">
        <v>1213.4999999998531</v>
      </c>
      <c r="G1638" s="65">
        <v>1213.4999999998531</v>
      </c>
      <c r="H1638" s="707">
        <v>117914</v>
      </c>
      <c r="I1638" s="65">
        <v>1213.599999999853</v>
      </c>
      <c r="J1638" s="707">
        <v>118102</v>
      </c>
    </row>
    <row r="1639" spans="2:10" ht="15">
      <c r="B1639" s="706">
        <v>117914</v>
      </c>
      <c r="C1639" s="706">
        <v>1213.4999999998531</v>
      </c>
      <c r="D1639" s="707">
        <v>118102</v>
      </c>
      <c r="E1639" s="707">
        <v>1213.599999999853</v>
      </c>
      <c r="G1639" s="65">
        <v>1213.599999999853</v>
      </c>
      <c r="H1639" s="707">
        <v>118102</v>
      </c>
      <c r="I1639" s="65">
        <v>1213.6999999998529</v>
      </c>
      <c r="J1639" s="707">
        <v>118290</v>
      </c>
    </row>
    <row r="1640" spans="2:10" ht="15">
      <c r="B1640" s="706">
        <v>118102</v>
      </c>
      <c r="C1640" s="706">
        <v>1213.599999999853</v>
      </c>
      <c r="D1640" s="707">
        <v>118290</v>
      </c>
      <c r="E1640" s="707">
        <v>1213.6999999998529</v>
      </c>
      <c r="G1640" s="65">
        <v>1213.6999999998529</v>
      </c>
      <c r="H1640" s="707">
        <v>118290</v>
      </c>
      <c r="I1640" s="65">
        <v>1213.7999999998528</v>
      </c>
      <c r="J1640" s="707">
        <v>118478</v>
      </c>
    </row>
    <row r="1641" spans="2:10" ht="15">
      <c r="B1641" s="706">
        <v>118290</v>
      </c>
      <c r="C1641" s="706">
        <v>1213.6999999998529</v>
      </c>
      <c r="D1641" s="707">
        <v>118478</v>
      </c>
      <c r="E1641" s="707">
        <v>1213.7999999998528</v>
      </c>
      <c r="G1641" s="65">
        <v>1213.7999999998528</v>
      </c>
      <c r="H1641" s="707">
        <v>118478</v>
      </c>
      <c r="I1641" s="65">
        <v>1213.8999999998528</v>
      </c>
      <c r="J1641" s="707">
        <v>118666</v>
      </c>
    </row>
    <row r="1642" spans="2:10" ht="15">
      <c r="B1642" s="706">
        <v>118478</v>
      </c>
      <c r="C1642" s="706">
        <v>1213.7999999998528</v>
      </c>
      <c r="D1642" s="707">
        <v>118666</v>
      </c>
      <c r="E1642" s="707">
        <v>1213.8999999998528</v>
      </c>
      <c r="G1642" s="65">
        <v>1213.8999999998528</v>
      </c>
      <c r="H1642" s="707">
        <v>118666</v>
      </c>
      <c r="I1642" s="65">
        <v>1213.9999999998527</v>
      </c>
      <c r="J1642" s="707">
        <v>118854</v>
      </c>
    </row>
    <row r="1643" spans="2:10" ht="15">
      <c r="B1643" s="706">
        <v>118666</v>
      </c>
      <c r="C1643" s="706">
        <v>1213.8999999998528</v>
      </c>
      <c r="D1643" s="707">
        <v>118854</v>
      </c>
      <c r="E1643" s="707">
        <v>1213.9999999998527</v>
      </c>
      <c r="G1643" s="65">
        <v>1213.9999999998527</v>
      </c>
      <c r="H1643" s="707">
        <v>118854</v>
      </c>
      <c r="I1643" s="65">
        <v>1214.0999999998526</v>
      </c>
      <c r="J1643" s="707">
        <v>119044</v>
      </c>
    </row>
    <row r="1644" spans="2:10" ht="15">
      <c r="B1644" s="706">
        <v>118854</v>
      </c>
      <c r="C1644" s="706">
        <v>1213.9999999998527</v>
      </c>
      <c r="D1644" s="707">
        <v>119044</v>
      </c>
      <c r="E1644" s="707">
        <v>1214.0999999998526</v>
      </c>
      <c r="G1644" s="65">
        <v>1214.0999999998526</v>
      </c>
      <c r="H1644" s="707">
        <v>119044</v>
      </c>
      <c r="I1644" s="65">
        <v>1214.1999999998525</v>
      </c>
      <c r="J1644" s="707">
        <v>119233</v>
      </c>
    </row>
    <row r="1645" spans="2:10" ht="15">
      <c r="B1645" s="706">
        <v>119044</v>
      </c>
      <c r="C1645" s="706">
        <v>1214.0999999998526</v>
      </c>
      <c r="D1645" s="707">
        <v>119233</v>
      </c>
      <c r="E1645" s="707">
        <v>1214.1999999998525</v>
      </c>
      <c r="G1645" s="65">
        <v>1214.1999999998525</v>
      </c>
      <c r="H1645" s="707">
        <v>119233</v>
      </c>
      <c r="I1645" s="65">
        <v>1214.2999999998524</v>
      </c>
      <c r="J1645" s="707">
        <v>119423</v>
      </c>
    </row>
    <row r="1646" spans="2:10" ht="15">
      <c r="B1646" s="706">
        <v>119233</v>
      </c>
      <c r="C1646" s="706">
        <v>1214.1999999998525</v>
      </c>
      <c r="D1646" s="707">
        <v>119423</v>
      </c>
      <c r="E1646" s="707">
        <v>1214.2999999998524</v>
      </c>
      <c r="G1646" s="65">
        <v>1214.2999999998524</v>
      </c>
      <c r="H1646" s="707">
        <v>119423</v>
      </c>
      <c r="I1646" s="65">
        <v>1214.3999999998523</v>
      </c>
      <c r="J1646" s="707">
        <v>119612</v>
      </c>
    </row>
    <row r="1647" spans="2:10" ht="15">
      <c r="B1647" s="706">
        <v>119423</v>
      </c>
      <c r="C1647" s="706">
        <v>1214.2999999998524</v>
      </c>
      <c r="D1647" s="707">
        <v>119612</v>
      </c>
      <c r="E1647" s="707">
        <v>1214.3999999998523</v>
      </c>
      <c r="G1647" s="65">
        <v>1214.3999999998523</v>
      </c>
      <c r="H1647" s="707">
        <v>119612</v>
      </c>
      <c r="I1647" s="65">
        <v>1214.4999999998522</v>
      </c>
      <c r="J1647" s="707">
        <v>119802</v>
      </c>
    </row>
    <row r="1648" spans="2:10" ht="15">
      <c r="B1648" s="706">
        <v>119612</v>
      </c>
      <c r="C1648" s="706">
        <v>1214.3999999998523</v>
      </c>
      <c r="D1648" s="707">
        <v>119802</v>
      </c>
      <c r="E1648" s="707">
        <v>1214.4999999998522</v>
      </c>
      <c r="G1648" s="65">
        <v>1214.4999999998522</v>
      </c>
      <c r="H1648" s="707">
        <v>119802</v>
      </c>
      <c r="I1648" s="65">
        <v>1214.5999999998521</v>
      </c>
      <c r="J1648" s="707">
        <v>119991</v>
      </c>
    </row>
    <row r="1649" spans="2:10" ht="15">
      <c r="B1649" s="706">
        <v>119802</v>
      </c>
      <c r="C1649" s="706">
        <v>1214.4999999998522</v>
      </c>
      <c r="D1649" s="707">
        <v>119991</v>
      </c>
      <c r="E1649" s="707">
        <v>1214.5999999998521</v>
      </c>
      <c r="G1649" s="65">
        <v>1214.5999999998521</v>
      </c>
      <c r="H1649" s="707">
        <v>119991</v>
      </c>
      <c r="I1649" s="65">
        <v>1214.699999999852</v>
      </c>
      <c r="J1649" s="707">
        <v>120181</v>
      </c>
    </row>
    <row r="1650" spans="2:10" ht="15">
      <c r="B1650" s="706">
        <v>119991</v>
      </c>
      <c r="C1650" s="706">
        <v>1214.5999999998521</v>
      </c>
      <c r="D1650" s="707">
        <v>120181</v>
      </c>
      <c r="E1650" s="707">
        <v>1214.699999999852</v>
      </c>
      <c r="G1650" s="65">
        <v>1214.699999999852</v>
      </c>
      <c r="H1650" s="707">
        <v>120181</v>
      </c>
      <c r="I1650" s="65">
        <v>1214.7999999998519</v>
      </c>
      <c r="J1650" s="707">
        <v>120370</v>
      </c>
    </row>
    <row r="1651" spans="2:10" ht="15">
      <c r="B1651" s="706">
        <v>120181</v>
      </c>
      <c r="C1651" s="706">
        <v>1214.699999999852</v>
      </c>
      <c r="D1651" s="707">
        <v>120370</v>
      </c>
      <c r="E1651" s="707">
        <v>1214.7999999998519</v>
      </c>
      <c r="G1651" s="65">
        <v>1214.7999999998519</v>
      </c>
      <c r="H1651" s="707">
        <v>120370</v>
      </c>
      <c r="I1651" s="65">
        <v>1214.8999999998518</v>
      </c>
      <c r="J1651" s="707">
        <v>120560</v>
      </c>
    </row>
    <row r="1652" spans="2:10" ht="15">
      <c r="B1652" s="706">
        <v>120370</v>
      </c>
      <c r="C1652" s="706">
        <v>1214.7999999998519</v>
      </c>
      <c r="D1652" s="707">
        <v>120560</v>
      </c>
      <c r="E1652" s="707">
        <v>1214.8999999998518</v>
      </c>
      <c r="G1652" s="65">
        <v>1214.8999999998518</v>
      </c>
      <c r="H1652" s="707">
        <v>120560</v>
      </c>
      <c r="I1652" s="65">
        <v>1214.9999999998518</v>
      </c>
      <c r="J1652" s="707">
        <v>120749</v>
      </c>
    </row>
    <row r="1653" spans="2:10" ht="15">
      <c r="B1653" s="706">
        <v>120560</v>
      </c>
      <c r="C1653" s="706">
        <v>1214.8999999998518</v>
      </c>
      <c r="D1653" s="707">
        <v>120749</v>
      </c>
      <c r="E1653" s="707">
        <v>1214.9999999998518</v>
      </c>
      <c r="G1653" s="65">
        <v>1214.9999999998518</v>
      </c>
      <c r="H1653" s="707">
        <v>120749</v>
      </c>
      <c r="I1653" s="65">
        <v>1215.0999999998517</v>
      </c>
      <c r="J1653" s="707">
        <v>120940</v>
      </c>
    </row>
    <row r="1654" spans="2:10" ht="15">
      <c r="B1654" s="706">
        <v>120749</v>
      </c>
      <c r="C1654" s="706">
        <v>1214.9999999998518</v>
      </c>
      <c r="D1654" s="707">
        <v>120940</v>
      </c>
      <c r="E1654" s="707">
        <v>1215.0999999998517</v>
      </c>
      <c r="G1654" s="65">
        <v>1215.0999999998517</v>
      </c>
      <c r="H1654" s="707">
        <v>120940</v>
      </c>
      <c r="I1654" s="65">
        <v>1215.1999999998516</v>
      </c>
      <c r="J1654" s="707">
        <v>121131</v>
      </c>
    </row>
    <row r="1655" spans="2:10" ht="15">
      <c r="B1655" s="706">
        <v>120940</v>
      </c>
      <c r="C1655" s="706">
        <v>1215.0999999998517</v>
      </c>
      <c r="D1655" s="707">
        <v>121131</v>
      </c>
      <c r="E1655" s="707">
        <v>1215.1999999998516</v>
      </c>
      <c r="G1655" s="65">
        <v>1215.1999999998516</v>
      </c>
      <c r="H1655" s="707">
        <v>121131</v>
      </c>
      <c r="I1655" s="65">
        <v>1215.2999999998515</v>
      </c>
      <c r="J1655" s="707">
        <v>121322</v>
      </c>
    </row>
    <row r="1656" spans="2:10" ht="15">
      <c r="B1656" s="706">
        <v>121131</v>
      </c>
      <c r="C1656" s="706">
        <v>1215.1999999998516</v>
      </c>
      <c r="D1656" s="707">
        <v>121322</v>
      </c>
      <c r="E1656" s="707">
        <v>1215.2999999998515</v>
      </c>
      <c r="G1656" s="65">
        <v>1215.2999999998515</v>
      </c>
      <c r="H1656" s="707">
        <v>121322</v>
      </c>
      <c r="I1656" s="65">
        <v>1215.3999999998514</v>
      </c>
      <c r="J1656" s="707">
        <v>121513</v>
      </c>
    </row>
    <row r="1657" spans="2:10" ht="15">
      <c r="B1657" s="706">
        <v>121322</v>
      </c>
      <c r="C1657" s="706">
        <v>1215.2999999998515</v>
      </c>
      <c r="D1657" s="707">
        <v>121513</v>
      </c>
      <c r="E1657" s="707">
        <v>1215.3999999998514</v>
      </c>
      <c r="G1657" s="65">
        <v>1215.3999999998514</v>
      </c>
      <c r="H1657" s="707">
        <v>121513</v>
      </c>
      <c r="I1657" s="65">
        <v>1215.4999999998513</v>
      </c>
      <c r="J1657" s="707">
        <v>121704</v>
      </c>
    </row>
    <row r="1658" spans="2:10" ht="15">
      <c r="B1658" s="706">
        <v>121513</v>
      </c>
      <c r="C1658" s="706">
        <v>1215.3999999998514</v>
      </c>
      <c r="D1658" s="707">
        <v>121704</v>
      </c>
      <c r="E1658" s="707">
        <v>1215.4999999998513</v>
      </c>
      <c r="G1658" s="65">
        <v>1215.4999999998513</v>
      </c>
      <c r="H1658" s="707">
        <v>121704</v>
      </c>
      <c r="I1658" s="65">
        <v>1215.5999999998512</v>
      </c>
      <c r="J1658" s="707">
        <v>121895</v>
      </c>
    </row>
    <row r="1659" spans="2:10" ht="15">
      <c r="B1659" s="706">
        <v>121704</v>
      </c>
      <c r="C1659" s="706">
        <v>1215.4999999998513</v>
      </c>
      <c r="D1659" s="707">
        <v>121895</v>
      </c>
      <c r="E1659" s="707">
        <v>1215.5999999998512</v>
      </c>
      <c r="G1659" s="65">
        <v>1215.5999999998512</v>
      </c>
      <c r="H1659" s="707">
        <v>121895</v>
      </c>
      <c r="I1659" s="65">
        <v>1215.6999999998511</v>
      </c>
      <c r="J1659" s="707">
        <v>122086</v>
      </c>
    </row>
    <row r="1660" spans="2:10" ht="15">
      <c r="B1660" s="706">
        <v>121895</v>
      </c>
      <c r="C1660" s="706">
        <v>1215.5999999998512</v>
      </c>
      <c r="D1660" s="707">
        <v>122086</v>
      </c>
      <c r="E1660" s="707">
        <v>1215.6999999998511</v>
      </c>
      <c r="G1660" s="65">
        <v>1215.6999999998511</v>
      </c>
      <c r="H1660" s="707">
        <v>122086</v>
      </c>
      <c r="I1660" s="65">
        <v>1215.799999999851</v>
      </c>
      <c r="J1660" s="707">
        <v>122277</v>
      </c>
    </row>
    <row r="1661" spans="2:10" ht="15">
      <c r="B1661" s="706">
        <v>122086</v>
      </c>
      <c r="C1661" s="706">
        <v>1215.6999999998511</v>
      </c>
      <c r="D1661" s="707">
        <v>122277</v>
      </c>
      <c r="E1661" s="707">
        <v>1215.799999999851</v>
      </c>
      <c r="G1661" s="65">
        <v>1215.799999999851</v>
      </c>
      <c r="H1661" s="707">
        <v>122277</v>
      </c>
      <c r="I1661" s="65">
        <v>1215.8999999998509</v>
      </c>
      <c r="J1661" s="707">
        <v>122468</v>
      </c>
    </row>
    <row r="1662" spans="2:10" ht="15">
      <c r="B1662" s="706">
        <v>122277</v>
      </c>
      <c r="C1662" s="706">
        <v>1215.799999999851</v>
      </c>
      <c r="D1662" s="707">
        <v>122468</v>
      </c>
      <c r="E1662" s="707">
        <v>1215.8999999998509</v>
      </c>
      <c r="G1662" s="65">
        <v>1215.8999999998509</v>
      </c>
      <c r="H1662" s="707">
        <v>122468</v>
      </c>
      <c r="I1662" s="65">
        <v>1215.9999999998508</v>
      </c>
      <c r="J1662" s="707">
        <v>122659</v>
      </c>
    </row>
    <row r="1663" spans="2:10" ht="15">
      <c r="B1663" s="706">
        <v>122468</v>
      </c>
      <c r="C1663" s="706">
        <v>1215.8999999998509</v>
      </c>
      <c r="D1663" s="707">
        <v>122659</v>
      </c>
      <c r="E1663" s="707">
        <v>1215.9999999998508</v>
      </c>
      <c r="G1663" s="65">
        <v>1215.9999999998508</v>
      </c>
      <c r="H1663" s="707">
        <v>122659</v>
      </c>
      <c r="I1663" s="65">
        <v>1216.0999999998508</v>
      </c>
      <c r="J1663" s="707">
        <v>122852</v>
      </c>
    </row>
    <row r="1664" spans="2:10" ht="15">
      <c r="B1664" s="706">
        <v>122659</v>
      </c>
      <c r="C1664" s="706">
        <v>1215.9999999998508</v>
      </c>
      <c r="D1664" s="707">
        <v>122852</v>
      </c>
      <c r="E1664" s="707">
        <v>1216.0999999998508</v>
      </c>
      <c r="G1664" s="65">
        <v>1216.0999999998508</v>
      </c>
      <c r="H1664" s="707">
        <v>122852</v>
      </c>
      <c r="I1664" s="65">
        <v>1216.1999999998507</v>
      </c>
      <c r="J1664" s="707">
        <v>123044</v>
      </c>
    </row>
    <row r="1665" spans="2:10" ht="15">
      <c r="B1665" s="706">
        <v>122852</v>
      </c>
      <c r="C1665" s="706">
        <v>1216.0999999998508</v>
      </c>
      <c r="D1665" s="707">
        <v>123044</v>
      </c>
      <c r="E1665" s="707">
        <v>1216.1999999998507</v>
      </c>
      <c r="G1665" s="65">
        <v>1216.1999999998507</v>
      </c>
      <c r="H1665" s="707">
        <v>123044</v>
      </c>
      <c r="I1665" s="65">
        <v>1216.2999999998506</v>
      </c>
      <c r="J1665" s="707">
        <v>123237</v>
      </c>
    </row>
    <row r="1666" spans="2:10" ht="15">
      <c r="B1666" s="706">
        <v>123044</v>
      </c>
      <c r="C1666" s="706">
        <v>1216.1999999998507</v>
      </c>
      <c r="D1666" s="707">
        <v>123237</v>
      </c>
      <c r="E1666" s="707">
        <v>1216.2999999998506</v>
      </c>
      <c r="G1666" s="65">
        <v>1216.2999999998506</v>
      </c>
      <c r="H1666" s="707">
        <v>123237</v>
      </c>
      <c r="I1666" s="65">
        <v>1216.3999999998505</v>
      </c>
      <c r="J1666" s="707">
        <v>123429</v>
      </c>
    </row>
    <row r="1667" spans="2:10" ht="15">
      <c r="B1667" s="706">
        <v>123237</v>
      </c>
      <c r="C1667" s="706">
        <v>1216.2999999998506</v>
      </c>
      <c r="D1667" s="707">
        <v>123429</v>
      </c>
      <c r="E1667" s="707">
        <v>1216.3999999998505</v>
      </c>
      <c r="G1667" s="65">
        <v>1216.3999999998505</v>
      </c>
      <c r="H1667" s="707">
        <v>123429</v>
      </c>
      <c r="I1667" s="65">
        <v>1216.4999999998504</v>
      </c>
      <c r="J1667" s="707">
        <v>123622</v>
      </c>
    </row>
    <row r="1668" spans="2:10" ht="15">
      <c r="B1668" s="706">
        <v>123429</v>
      </c>
      <c r="C1668" s="706">
        <v>1216.3999999998505</v>
      </c>
      <c r="D1668" s="707">
        <v>123622</v>
      </c>
      <c r="E1668" s="707">
        <v>1216.4999999998504</v>
      </c>
      <c r="G1668" s="65">
        <v>1216.4999999998504</v>
      </c>
      <c r="H1668" s="707">
        <v>123622</v>
      </c>
      <c r="I1668" s="65">
        <v>1216.5999999998503</v>
      </c>
      <c r="J1668" s="707">
        <v>123814</v>
      </c>
    </row>
    <row r="1669" spans="2:10" ht="15">
      <c r="B1669" s="706">
        <v>123622</v>
      </c>
      <c r="C1669" s="706">
        <v>1216.4999999998504</v>
      </c>
      <c r="D1669" s="707">
        <v>123814</v>
      </c>
      <c r="E1669" s="707">
        <v>1216.5999999998503</v>
      </c>
      <c r="G1669" s="65">
        <v>1216.5999999998503</v>
      </c>
      <c r="H1669" s="707">
        <v>123814</v>
      </c>
      <c r="I1669" s="65">
        <v>1216.6999999998502</v>
      </c>
      <c r="J1669" s="707">
        <v>124007</v>
      </c>
    </row>
    <row r="1670" spans="2:10" ht="15">
      <c r="B1670" s="706">
        <v>123814</v>
      </c>
      <c r="C1670" s="706">
        <v>1216.5999999998503</v>
      </c>
      <c r="D1670" s="707">
        <v>124007</v>
      </c>
      <c r="E1670" s="707">
        <v>1216.6999999998502</v>
      </c>
      <c r="G1670" s="65">
        <v>1216.6999999998502</v>
      </c>
      <c r="H1670" s="707">
        <v>124007</v>
      </c>
      <c r="I1670" s="65">
        <v>1216.7999999998501</v>
      </c>
      <c r="J1670" s="707">
        <v>124199</v>
      </c>
    </row>
    <row r="1671" spans="2:10" ht="15">
      <c r="B1671" s="706">
        <v>124007</v>
      </c>
      <c r="C1671" s="706">
        <v>1216.6999999998502</v>
      </c>
      <c r="D1671" s="707">
        <v>124199</v>
      </c>
      <c r="E1671" s="707">
        <v>1216.7999999998501</v>
      </c>
      <c r="G1671" s="65">
        <v>1216.7999999998501</v>
      </c>
      <c r="H1671" s="707">
        <v>124199</v>
      </c>
      <c r="I1671" s="65">
        <v>1216.89999999985</v>
      </c>
      <c r="J1671" s="707">
        <v>124392</v>
      </c>
    </row>
    <row r="1672" spans="2:10" ht="15">
      <c r="B1672" s="706">
        <v>124199</v>
      </c>
      <c r="C1672" s="706">
        <v>1216.7999999998501</v>
      </c>
      <c r="D1672" s="707">
        <v>124392</v>
      </c>
      <c r="E1672" s="707">
        <v>1216.89999999985</v>
      </c>
      <c r="G1672" s="65">
        <v>1216.89999999985</v>
      </c>
      <c r="H1672" s="707">
        <v>124392</v>
      </c>
      <c r="I1672" s="65">
        <v>1216.9999999998499</v>
      </c>
      <c r="J1672" s="707">
        <v>124584</v>
      </c>
    </row>
    <row r="1673" spans="2:10" ht="15">
      <c r="B1673" s="706">
        <v>124392</v>
      </c>
      <c r="C1673" s="706">
        <v>1216.89999999985</v>
      </c>
      <c r="D1673" s="707">
        <v>124584</v>
      </c>
      <c r="E1673" s="707">
        <v>1216.9999999998499</v>
      </c>
      <c r="G1673" s="65">
        <v>1216.9999999998499</v>
      </c>
      <c r="H1673" s="707">
        <v>124584</v>
      </c>
      <c r="I1673" s="65">
        <v>1217.0999999998498</v>
      </c>
      <c r="J1673" s="707">
        <v>124778</v>
      </c>
    </row>
    <row r="1674" spans="2:10" ht="15">
      <c r="B1674" s="706">
        <v>124584</v>
      </c>
      <c r="C1674" s="706">
        <v>1216.9999999998499</v>
      </c>
      <c r="D1674" s="707">
        <v>124778</v>
      </c>
      <c r="E1674" s="707">
        <v>1217.0999999998498</v>
      </c>
      <c r="G1674" s="65">
        <v>1217.0999999998498</v>
      </c>
      <c r="H1674" s="707">
        <v>124778</v>
      </c>
      <c r="I1674" s="65">
        <v>1217.1999999998498</v>
      </c>
      <c r="J1674" s="707">
        <v>124972</v>
      </c>
    </row>
    <row r="1675" spans="2:10" ht="15">
      <c r="B1675" s="706">
        <v>124778</v>
      </c>
      <c r="C1675" s="706">
        <v>1217.0999999998498</v>
      </c>
      <c r="D1675" s="707">
        <v>124972</v>
      </c>
      <c r="E1675" s="707">
        <v>1217.1999999998498</v>
      </c>
      <c r="G1675" s="65">
        <v>1217.1999999998498</v>
      </c>
      <c r="H1675" s="707">
        <v>124972</v>
      </c>
      <c r="I1675" s="65">
        <v>1217.2999999998497</v>
      </c>
      <c r="J1675" s="707">
        <v>125166</v>
      </c>
    </row>
    <row r="1676" spans="2:10" ht="15">
      <c r="B1676" s="706">
        <v>124972</v>
      </c>
      <c r="C1676" s="706">
        <v>1217.1999999998498</v>
      </c>
      <c r="D1676" s="707">
        <v>125166</v>
      </c>
      <c r="E1676" s="707">
        <v>1217.2999999998497</v>
      </c>
      <c r="G1676" s="65">
        <v>1217.2999999998497</v>
      </c>
      <c r="H1676" s="707">
        <v>125166</v>
      </c>
      <c r="I1676" s="65">
        <v>1217.3999999998496</v>
      </c>
      <c r="J1676" s="707">
        <v>125360</v>
      </c>
    </row>
    <row r="1677" spans="2:10" ht="15">
      <c r="B1677" s="706">
        <v>125166</v>
      </c>
      <c r="C1677" s="706">
        <v>1217.2999999998497</v>
      </c>
      <c r="D1677" s="707">
        <v>125360</v>
      </c>
      <c r="E1677" s="707">
        <v>1217.3999999998496</v>
      </c>
      <c r="G1677" s="65">
        <v>1217.3999999998496</v>
      </c>
      <c r="H1677" s="707">
        <v>125360</v>
      </c>
      <c r="I1677" s="65">
        <v>1217.4999999998495</v>
      </c>
      <c r="J1677" s="707">
        <v>125554</v>
      </c>
    </row>
    <row r="1678" spans="2:10" ht="15">
      <c r="B1678" s="706">
        <v>125360</v>
      </c>
      <c r="C1678" s="706">
        <v>1217.3999999998496</v>
      </c>
      <c r="D1678" s="707">
        <v>125554</v>
      </c>
      <c r="E1678" s="707">
        <v>1217.4999999998495</v>
      </c>
      <c r="G1678" s="65">
        <v>1217.4999999998495</v>
      </c>
      <c r="H1678" s="707">
        <v>125554</v>
      </c>
      <c r="I1678" s="65">
        <v>1217.5999999998494</v>
      </c>
      <c r="J1678" s="707">
        <v>125748</v>
      </c>
    </row>
    <row r="1679" spans="2:10" ht="15">
      <c r="B1679" s="706">
        <v>125554</v>
      </c>
      <c r="C1679" s="706">
        <v>1217.4999999998495</v>
      </c>
      <c r="D1679" s="707">
        <v>125748</v>
      </c>
      <c r="E1679" s="707">
        <v>1217.5999999998494</v>
      </c>
      <c r="G1679" s="65">
        <v>1217.5999999998494</v>
      </c>
      <c r="H1679" s="707">
        <v>125748</v>
      </c>
      <c r="I1679" s="65">
        <v>1217.6999999998493</v>
      </c>
      <c r="J1679" s="707">
        <v>125942</v>
      </c>
    </row>
    <row r="1680" spans="2:10" ht="15">
      <c r="B1680" s="706">
        <v>125748</v>
      </c>
      <c r="C1680" s="706">
        <v>1217.5999999998494</v>
      </c>
      <c r="D1680" s="707">
        <v>125942</v>
      </c>
      <c r="E1680" s="707">
        <v>1217.6999999998493</v>
      </c>
      <c r="G1680" s="65">
        <v>1217.6999999998493</v>
      </c>
      <c r="H1680" s="707">
        <v>125942</v>
      </c>
      <c r="I1680" s="65">
        <v>1217.7999999998492</v>
      </c>
      <c r="J1680" s="707">
        <v>126136</v>
      </c>
    </row>
    <row r="1681" spans="2:10" ht="15">
      <c r="B1681" s="706">
        <v>125942</v>
      </c>
      <c r="C1681" s="706">
        <v>1217.6999999998493</v>
      </c>
      <c r="D1681" s="707">
        <v>126136</v>
      </c>
      <c r="E1681" s="707">
        <v>1217.7999999998492</v>
      </c>
      <c r="G1681" s="65">
        <v>1217.7999999998492</v>
      </c>
      <c r="H1681" s="707">
        <v>126136</v>
      </c>
      <c r="I1681" s="65">
        <v>1217.8999999998491</v>
      </c>
      <c r="J1681" s="707">
        <v>126330</v>
      </c>
    </row>
    <row r="1682" spans="2:10" ht="15">
      <c r="B1682" s="706">
        <v>126136</v>
      </c>
      <c r="C1682" s="706">
        <v>1217.7999999998492</v>
      </c>
      <c r="D1682" s="707">
        <v>126330</v>
      </c>
      <c r="E1682" s="707">
        <v>1217.8999999998491</v>
      </c>
      <c r="G1682" s="65">
        <v>1217.8999999998491</v>
      </c>
      <c r="H1682" s="707">
        <v>126330</v>
      </c>
      <c r="I1682" s="65">
        <v>1217.999999999849</v>
      </c>
      <c r="J1682" s="707">
        <v>126524</v>
      </c>
    </row>
    <row r="1683" spans="2:10" ht="15">
      <c r="B1683" s="706">
        <v>126330</v>
      </c>
      <c r="C1683" s="706">
        <v>1217.8999999998491</v>
      </c>
      <c r="D1683" s="707">
        <v>126524</v>
      </c>
      <c r="E1683" s="707">
        <v>1217.999999999849</v>
      </c>
      <c r="G1683" s="65">
        <v>1217.999999999849</v>
      </c>
      <c r="H1683" s="707">
        <v>126524</v>
      </c>
      <c r="I1683" s="65">
        <v>1218.0999999998489</v>
      </c>
      <c r="J1683" s="707">
        <v>126720</v>
      </c>
    </row>
    <row r="1684" spans="2:10" ht="15">
      <c r="B1684" s="706">
        <v>126524</v>
      </c>
      <c r="C1684" s="706">
        <v>1217.999999999849</v>
      </c>
      <c r="D1684" s="707">
        <v>126720</v>
      </c>
      <c r="E1684" s="707">
        <v>1218.0999999998489</v>
      </c>
      <c r="G1684" s="65">
        <v>1218.0999999998489</v>
      </c>
      <c r="H1684" s="707">
        <v>126720</v>
      </c>
      <c r="I1684" s="65">
        <v>1218.1999999998488</v>
      </c>
      <c r="J1684" s="707">
        <v>126915</v>
      </c>
    </row>
    <row r="1685" spans="2:10" ht="15">
      <c r="B1685" s="706">
        <v>126720</v>
      </c>
      <c r="C1685" s="706">
        <v>1218.0999999998489</v>
      </c>
      <c r="D1685" s="707">
        <v>126915</v>
      </c>
      <c r="E1685" s="707">
        <v>1218.1999999998488</v>
      </c>
      <c r="G1685" s="65">
        <v>1218.1999999998488</v>
      </c>
      <c r="H1685" s="707">
        <v>126915</v>
      </c>
      <c r="I1685" s="65">
        <v>1218.2999999998488</v>
      </c>
      <c r="J1685" s="707">
        <v>127111</v>
      </c>
    </row>
    <row r="1686" spans="2:10" ht="15">
      <c r="B1686" s="706">
        <v>126915</v>
      </c>
      <c r="C1686" s="706">
        <v>1218.1999999998488</v>
      </c>
      <c r="D1686" s="707">
        <v>127111</v>
      </c>
      <c r="E1686" s="707">
        <v>1218.2999999998488</v>
      </c>
      <c r="G1686" s="65">
        <v>1218.2999999998488</v>
      </c>
      <c r="H1686" s="707">
        <v>127111</v>
      </c>
      <c r="I1686" s="65">
        <v>1218.3999999998487</v>
      </c>
      <c r="J1686" s="707">
        <v>127306</v>
      </c>
    </row>
    <row r="1687" spans="2:10" ht="15">
      <c r="B1687" s="706">
        <v>127111</v>
      </c>
      <c r="C1687" s="706">
        <v>1218.2999999998488</v>
      </c>
      <c r="D1687" s="707">
        <v>127306</v>
      </c>
      <c r="E1687" s="707">
        <v>1218.3999999998487</v>
      </c>
      <c r="G1687" s="65">
        <v>1218.3999999998487</v>
      </c>
      <c r="H1687" s="707">
        <v>127306</v>
      </c>
      <c r="I1687" s="65">
        <v>1218.4999999998486</v>
      </c>
      <c r="J1687" s="707">
        <v>127502</v>
      </c>
    </row>
    <row r="1688" spans="2:10" ht="15">
      <c r="B1688" s="706">
        <v>127306</v>
      </c>
      <c r="C1688" s="706">
        <v>1218.3999999998487</v>
      </c>
      <c r="D1688" s="707">
        <v>127502</v>
      </c>
      <c r="E1688" s="707">
        <v>1218.4999999998486</v>
      </c>
      <c r="G1688" s="65">
        <v>1218.4999999998486</v>
      </c>
      <c r="H1688" s="707">
        <v>127502</v>
      </c>
      <c r="I1688" s="65">
        <v>1218.5999999998485</v>
      </c>
      <c r="J1688" s="707">
        <v>127697</v>
      </c>
    </row>
    <row r="1689" spans="2:10" ht="15">
      <c r="B1689" s="706">
        <v>127502</v>
      </c>
      <c r="C1689" s="706">
        <v>1218.4999999998486</v>
      </c>
      <c r="D1689" s="707">
        <v>127697</v>
      </c>
      <c r="E1689" s="707">
        <v>1218.5999999998485</v>
      </c>
      <c r="G1689" s="65">
        <v>1218.5999999998485</v>
      </c>
      <c r="H1689" s="707">
        <v>127697</v>
      </c>
      <c r="I1689" s="65">
        <v>1218.6999999998484</v>
      </c>
      <c r="J1689" s="707">
        <v>127893</v>
      </c>
    </row>
    <row r="1690" spans="2:10" ht="15">
      <c r="B1690" s="706">
        <v>127697</v>
      </c>
      <c r="C1690" s="706">
        <v>1218.5999999998485</v>
      </c>
      <c r="D1690" s="707">
        <v>127893</v>
      </c>
      <c r="E1690" s="707">
        <v>1218.6999999998484</v>
      </c>
      <c r="G1690" s="65">
        <v>1218.6999999998484</v>
      </c>
      <c r="H1690" s="707">
        <v>127893</v>
      </c>
      <c r="I1690" s="65">
        <v>1218.7999999998483</v>
      </c>
      <c r="J1690" s="707">
        <v>128088</v>
      </c>
    </row>
    <row r="1691" spans="2:10" ht="15">
      <c r="B1691" s="706">
        <v>127893</v>
      </c>
      <c r="C1691" s="706">
        <v>1218.6999999998484</v>
      </c>
      <c r="D1691" s="707">
        <v>128088</v>
      </c>
      <c r="E1691" s="707">
        <v>1218.7999999998483</v>
      </c>
      <c r="G1691" s="65">
        <v>1218.7999999998483</v>
      </c>
      <c r="H1691" s="707">
        <v>128088</v>
      </c>
      <c r="I1691" s="65">
        <v>1218.8999999998482</v>
      </c>
      <c r="J1691" s="707">
        <v>128284</v>
      </c>
    </row>
    <row r="1692" spans="2:10" ht="15">
      <c r="B1692" s="706">
        <v>128088</v>
      </c>
      <c r="C1692" s="706">
        <v>1218.7999999998483</v>
      </c>
      <c r="D1692" s="707">
        <v>128284</v>
      </c>
      <c r="E1692" s="707">
        <v>1218.8999999998482</v>
      </c>
      <c r="G1692" s="65">
        <v>1218.8999999998482</v>
      </c>
      <c r="H1692" s="707">
        <v>128284</v>
      </c>
      <c r="I1692" s="65">
        <v>1218.9999999998481</v>
      </c>
      <c r="J1692" s="707">
        <v>128479</v>
      </c>
    </row>
    <row r="1693" spans="2:10" ht="15">
      <c r="B1693" s="706">
        <v>128284</v>
      </c>
      <c r="C1693" s="706">
        <v>1218.8999999998482</v>
      </c>
      <c r="D1693" s="707">
        <v>128479</v>
      </c>
      <c r="E1693" s="707">
        <v>1218.9999999998481</v>
      </c>
      <c r="G1693" s="65">
        <v>1218.9999999998481</v>
      </c>
      <c r="H1693" s="707">
        <v>128479</v>
      </c>
      <c r="I1693" s="65">
        <v>1219.099999999848</v>
      </c>
      <c r="J1693" s="707">
        <v>128676</v>
      </c>
    </row>
    <row r="1694" spans="2:10" ht="15">
      <c r="B1694" s="706">
        <v>128479</v>
      </c>
      <c r="C1694" s="706">
        <v>1218.9999999998481</v>
      </c>
      <c r="D1694" s="707">
        <v>128676</v>
      </c>
      <c r="E1694" s="707">
        <v>1219.099999999848</v>
      </c>
      <c r="G1694" s="65">
        <v>1219.099999999848</v>
      </c>
      <c r="H1694" s="707">
        <v>128676</v>
      </c>
      <c r="I1694" s="65">
        <v>1219.1999999998479</v>
      </c>
      <c r="J1694" s="707">
        <v>128873</v>
      </c>
    </row>
    <row r="1695" spans="2:10" ht="15">
      <c r="B1695" s="706">
        <v>128676</v>
      </c>
      <c r="C1695" s="706">
        <v>1219.099999999848</v>
      </c>
      <c r="D1695" s="707">
        <v>128873</v>
      </c>
      <c r="E1695" s="707">
        <v>1219.1999999998479</v>
      </c>
      <c r="G1695" s="65">
        <v>1219.1999999998479</v>
      </c>
      <c r="H1695" s="707">
        <v>128873</v>
      </c>
      <c r="I1695" s="65">
        <v>1219.2999999998478</v>
      </c>
      <c r="J1695" s="707">
        <v>129070</v>
      </c>
    </row>
    <row r="1696" spans="2:10" ht="15">
      <c r="B1696" s="706">
        <v>128873</v>
      </c>
      <c r="C1696" s="706">
        <v>1219.1999999998479</v>
      </c>
      <c r="D1696" s="707">
        <v>129070</v>
      </c>
      <c r="E1696" s="707">
        <v>1219.2999999998478</v>
      </c>
      <c r="G1696" s="65">
        <v>1219.2999999998478</v>
      </c>
      <c r="H1696" s="707">
        <v>129070</v>
      </c>
      <c r="I1696" s="65">
        <v>1219.3999999998478</v>
      </c>
      <c r="J1696" s="707">
        <v>129267</v>
      </c>
    </row>
    <row r="1697" spans="2:10" ht="15">
      <c r="B1697" s="706">
        <v>129070</v>
      </c>
      <c r="C1697" s="706">
        <v>1219.2999999998478</v>
      </c>
      <c r="D1697" s="707">
        <v>129267</v>
      </c>
      <c r="E1697" s="707">
        <v>1219.3999999998478</v>
      </c>
      <c r="G1697" s="65">
        <v>1219.3999999998478</v>
      </c>
      <c r="H1697" s="707">
        <v>129267</v>
      </c>
      <c r="I1697" s="65">
        <v>1219.4999999998477</v>
      </c>
      <c r="J1697" s="707">
        <v>129464</v>
      </c>
    </row>
    <row r="1698" spans="2:10" ht="15">
      <c r="B1698" s="706">
        <v>129267</v>
      </c>
      <c r="C1698" s="706">
        <v>1219.3999999998478</v>
      </c>
      <c r="D1698" s="707">
        <v>129464</v>
      </c>
      <c r="E1698" s="707">
        <v>1219.4999999998477</v>
      </c>
      <c r="G1698" s="65">
        <v>1219.4999999998477</v>
      </c>
      <c r="H1698" s="707">
        <v>129464</v>
      </c>
      <c r="I1698" s="65">
        <v>1219.5999999998476</v>
      </c>
      <c r="J1698" s="707">
        <v>129661</v>
      </c>
    </row>
    <row r="1699" spans="2:10" ht="15">
      <c r="B1699" s="706">
        <v>129464</v>
      </c>
      <c r="C1699" s="706">
        <v>1219.4999999998477</v>
      </c>
      <c r="D1699" s="707">
        <v>129661</v>
      </c>
      <c r="E1699" s="707">
        <v>1219.5999999998476</v>
      </c>
      <c r="G1699" s="65">
        <v>1219.5999999998476</v>
      </c>
      <c r="H1699" s="707">
        <v>129661</v>
      </c>
      <c r="I1699" s="65">
        <v>1219.6999999998475</v>
      </c>
      <c r="J1699" s="707">
        <v>129858</v>
      </c>
    </row>
    <row r="1700" spans="2:10" ht="15">
      <c r="B1700" s="706">
        <v>129661</v>
      </c>
      <c r="C1700" s="706">
        <v>1219.5999999998476</v>
      </c>
      <c r="D1700" s="707">
        <v>129858</v>
      </c>
      <c r="E1700" s="707">
        <v>1219.6999999998475</v>
      </c>
      <c r="G1700" s="65">
        <v>1219.6999999998475</v>
      </c>
      <c r="H1700" s="707">
        <v>129858</v>
      </c>
      <c r="I1700" s="65">
        <v>1219.7999999998474</v>
      </c>
      <c r="J1700" s="707">
        <v>130055</v>
      </c>
    </row>
    <row r="1701" spans="2:10" ht="15">
      <c r="B1701" s="706">
        <v>129858</v>
      </c>
      <c r="C1701" s="706">
        <v>1219.6999999998475</v>
      </c>
      <c r="D1701" s="707">
        <v>130055</v>
      </c>
      <c r="E1701" s="707">
        <v>1219.7999999998474</v>
      </c>
      <c r="G1701" s="65">
        <v>1219.7999999998474</v>
      </c>
      <c r="H1701" s="707">
        <v>130055</v>
      </c>
      <c r="I1701" s="65">
        <v>1219.8999999998473</v>
      </c>
      <c r="J1701" s="707">
        <v>130252</v>
      </c>
    </row>
    <row r="1702" spans="2:10" ht="15">
      <c r="B1702" s="706">
        <v>130055</v>
      </c>
      <c r="C1702" s="706">
        <v>1219.7999999998474</v>
      </c>
      <c r="D1702" s="707">
        <v>130252</v>
      </c>
      <c r="E1702" s="707">
        <v>1219.8999999998473</v>
      </c>
      <c r="G1702" s="65">
        <v>1219.8999999998473</v>
      </c>
      <c r="H1702" s="707">
        <v>130252</v>
      </c>
      <c r="I1702" s="65">
        <v>1219.9999999998472</v>
      </c>
      <c r="J1702" s="707">
        <v>130449</v>
      </c>
    </row>
    <row r="1703" spans="2:10" ht="15">
      <c r="B1703" s="706">
        <v>130252</v>
      </c>
      <c r="C1703" s="706">
        <v>1219.8999999998473</v>
      </c>
      <c r="D1703" s="707">
        <v>130449</v>
      </c>
      <c r="E1703" s="707">
        <v>1219.9999999998472</v>
      </c>
      <c r="G1703" s="65">
        <v>1219.9999999998472</v>
      </c>
      <c r="H1703" s="707">
        <v>130449</v>
      </c>
      <c r="I1703" s="65">
        <v>1220.0999999998471</v>
      </c>
      <c r="J1703" s="707">
        <v>130649</v>
      </c>
    </row>
    <row r="1704" spans="2:10" ht="15">
      <c r="B1704" s="706">
        <v>130449</v>
      </c>
      <c r="C1704" s="706">
        <v>1219.9999999998472</v>
      </c>
      <c r="D1704" s="707">
        <v>130649</v>
      </c>
      <c r="E1704" s="707">
        <v>1220.0999999998471</v>
      </c>
      <c r="G1704" s="65">
        <v>1220.0999999998471</v>
      </c>
      <c r="H1704" s="707">
        <v>130649</v>
      </c>
      <c r="I1704" s="65">
        <v>1220.199999999847</v>
      </c>
      <c r="J1704" s="707">
        <v>130848</v>
      </c>
    </row>
    <row r="1705" spans="2:10" ht="15">
      <c r="B1705" s="706">
        <v>130649</v>
      </c>
      <c r="C1705" s="706">
        <v>1220.0999999998471</v>
      </c>
      <c r="D1705" s="707">
        <v>130848</v>
      </c>
      <c r="E1705" s="707">
        <v>1220.199999999847</v>
      </c>
      <c r="G1705" s="65">
        <v>1220.199999999847</v>
      </c>
      <c r="H1705" s="707">
        <v>130848</v>
      </c>
      <c r="I1705" s="65">
        <v>1220.2999999998469</v>
      </c>
      <c r="J1705" s="707">
        <v>131048</v>
      </c>
    </row>
    <row r="1706" spans="2:10" ht="15">
      <c r="B1706" s="706">
        <v>130848</v>
      </c>
      <c r="C1706" s="706">
        <v>1220.199999999847</v>
      </c>
      <c r="D1706" s="707">
        <v>131048</v>
      </c>
      <c r="E1706" s="707">
        <v>1220.2999999998469</v>
      </c>
      <c r="G1706" s="65">
        <v>1220.2999999998469</v>
      </c>
      <c r="H1706" s="707">
        <v>131048</v>
      </c>
      <c r="I1706" s="65">
        <v>1220.3999999998468</v>
      </c>
      <c r="J1706" s="707">
        <v>131248</v>
      </c>
    </row>
    <row r="1707" spans="2:10" ht="15">
      <c r="B1707" s="706">
        <v>131048</v>
      </c>
      <c r="C1707" s="706">
        <v>1220.2999999998469</v>
      </c>
      <c r="D1707" s="707">
        <v>131248</v>
      </c>
      <c r="E1707" s="707">
        <v>1220.3999999998468</v>
      </c>
      <c r="G1707" s="65">
        <v>1220.3999999998468</v>
      </c>
      <c r="H1707" s="707">
        <v>131248</v>
      </c>
      <c r="I1707" s="65">
        <v>1220.4999999998468</v>
      </c>
      <c r="J1707" s="707">
        <v>131448</v>
      </c>
    </row>
    <row r="1708" spans="2:10" ht="15">
      <c r="B1708" s="706">
        <v>131248</v>
      </c>
      <c r="C1708" s="706">
        <v>1220.3999999998468</v>
      </c>
      <c r="D1708" s="707">
        <v>131448</v>
      </c>
      <c r="E1708" s="707">
        <v>1220.4999999998468</v>
      </c>
      <c r="G1708" s="65">
        <v>1220.4999999998468</v>
      </c>
      <c r="H1708" s="707">
        <v>131448</v>
      </c>
      <c r="I1708" s="65">
        <v>1220.5999999998467</v>
      </c>
      <c r="J1708" s="707">
        <v>131647</v>
      </c>
    </row>
    <row r="1709" spans="2:10" ht="15">
      <c r="B1709" s="706">
        <v>131448</v>
      </c>
      <c r="C1709" s="706">
        <v>1220.4999999998468</v>
      </c>
      <c r="D1709" s="707">
        <v>131647</v>
      </c>
      <c r="E1709" s="707">
        <v>1220.5999999998467</v>
      </c>
      <c r="G1709" s="65">
        <v>1220.5999999998467</v>
      </c>
      <c r="H1709" s="707">
        <v>131647</v>
      </c>
      <c r="I1709" s="65">
        <v>1220.6999999998466</v>
      </c>
      <c r="J1709" s="707">
        <v>131847</v>
      </c>
    </row>
    <row r="1710" spans="2:10" ht="15">
      <c r="B1710" s="706">
        <v>131647</v>
      </c>
      <c r="C1710" s="706">
        <v>1220.5999999998467</v>
      </c>
      <c r="D1710" s="707">
        <v>131847</v>
      </c>
      <c r="E1710" s="707">
        <v>1220.6999999998466</v>
      </c>
      <c r="G1710" s="65">
        <v>1220.6999999998466</v>
      </c>
      <c r="H1710" s="707">
        <v>131847</v>
      </c>
      <c r="I1710" s="65">
        <v>1220.7999999998465</v>
      </c>
      <c r="J1710" s="707">
        <v>132047</v>
      </c>
    </row>
    <row r="1711" spans="2:10" ht="15">
      <c r="B1711" s="706">
        <v>131847</v>
      </c>
      <c r="C1711" s="706">
        <v>1220.6999999998466</v>
      </c>
      <c r="D1711" s="707">
        <v>132047</v>
      </c>
      <c r="E1711" s="707">
        <v>1220.7999999998465</v>
      </c>
      <c r="G1711" s="65">
        <v>1220.7999999998465</v>
      </c>
      <c r="H1711" s="707">
        <v>132047</v>
      </c>
      <c r="I1711" s="65">
        <v>1220.8999999998464</v>
      </c>
      <c r="J1711" s="707">
        <v>132246</v>
      </c>
    </row>
    <row r="1712" spans="2:10" ht="15">
      <c r="B1712" s="706">
        <v>132047</v>
      </c>
      <c r="C1712" s="706">
        <v>1220.7999999998465</v>
      </c>
      <c r="D1712" s="707">
        <v>132246</v>
      </c>
      <c r="E1712" s="707">
        <v>1220.8999999998464</v>
      </c>
      <c r="G1712" s="65">
        <v>1220.8999999998464</v>
      </c>
      <c r="H1712" s="707">
        <v>132246</v>
      </c>
      <c r="I1712" s="65">
        <v>1220.9999999998463</v>
      </c>
      <c r="J1712" s="707">
        <v>132446</v>
      </c>
    </row>
    <row r="1713" spans="2:10" ht="15">
      <c r="B1713" s="706">
        <v>132246</v>
      </c>
      <c r="C1713" s="706">
        <v>1220.8999999998464</v>
      </c>
      <c r="D1713" s="707">
        <v>132446</v>
      </c>
      <c r="E1713" s="707">
        <v>1220.9999999998463</v>
      </c>
      <c r="G1713" s="65">
        <v>1220.9999999998463</v>
      </c>
      <c r="H1713" s="707">
        <v>132446</v>
      </c>
      <c r="I1713" s="65">
        <v>1221.0999999998462</v>
      </c>
      <c r="J1713" s="707">
        <v>132648</v>
      </c>
    </row>
    <row r="1714" spans="2:10" ht="15">
      <c r="B1714" s="706">
        <v>132446</v>
      </c>
      <c r="C1714" s="706">
        <v>1220.9999999998463</v>
      </c>
      <c r="D1714" s="707">
        <v>132648</v>
      </c>
      <c r="E1714" s="707">
        <v>1221.0999999998462</v>
      </c>
      <c r="G1714" s="65">
        <v>1221.0999999998462</v>
      </c>
      <c r="H1714" s="707">
        <v>132648</v>
      </c>
      <c r="I1714" s="65">
        <v>1221.1999999998461</v>
      </c>
      <c r="J1714" s="707">
        <v>132851</v>
      </c>
    </row>
    <row r="1715" spans="2:10" ht="15">
      <c r="B1715" s="706">
        <v>132648</v>
      </c>
      <c r="C1715" s="706">
        <v>1221.0999999998462</v>
      </c>
      <c r="D1715" s="707">
        <v>132851</v>
      </c>
      <c r="E1715" s="707">
        <v>1221.1999999998461</v>
      </c>
      <c r="G1715" s="65">
        <v>1221.1999999998461</v>
      </c>
      <c r="H1715" s="707">
        <v>132851</v>
      </c>
      <c r="I1715" s="65">
        <v>1221.299999999846</v>
      </c>
      <c r="J1715" s="707">
        <v>133053</v>
      </c>
    </row>
    <row r="1716" spans="2:10" ht="15">
      <c r="B1716" s="706">
        <v>132851</v>
      </c>
      <c r="C1716" s="706">
        <v>1221.1999999998461</v>
      </c>
      <c r="D1716" s="707">
        <v>133053</v>
      </c>
      <c r="E1716" s="707">
        <v>1221.299999999846</v>
      </c>
      <c r="G1716" s="65">
        <v>1221.299999999846</v>
      </c>
      <c r="H1716" s="707">
        <v>133053</v>
      </c>
      <c r="I1716" s="65">
        <v>1221.3999999998459</v>
      </c>
      <c r="J1716" s="707">
        <v>133256</v>
      </c>
    </row>
    <row r="1717" spans="2:10" ht="15">
      <c r="B1717" s="706">
        <v>133053</v>
      </c>
      <c r="C1717" s="706">
        <v>1221.299999999846</v>
      </c>
      <c r="D1717" s="707">
        <v>133256</v>
      </c>
      <c r="E1717" s="707">
        <v>1221.3999999998459</v>
      </c>
      <c r="G1717" s="65">
        <v>1221.3999999998459</v>
      </c>
      <c r="H1717" s="707">
        <v>133256</v>
      </c>
      <c r="I1717" s="65">
        <v>1221.4999999998458</v>
      </c>
      <c r="J1717" s="707">
        <v>133458</v>
      </c>
    </row>
    <row r="1718" spans="2:10" ht="15">
      <c r="B1718" s="706">
        <v>133256</v>
      </c>
      <c r="C1718" s="706">
        <v>1221.3999999998459</v>
      </c>
      <c r="D1718" s="707">
        <v>133458</v>
      </c>
      <c r="E1718" s="707">
        <v>1221.4999999998458</v>
      </c>
      <c r="G1718" s="65">
        <v>1221.4999999998458</v>
      </c>
      <c r="H1718" s="707">
        <v>133458</v>
      </c>
      <c r="I1718" s="65">
        <v>1221.5999999998457</v>
      </c>
      <c r="J1718" s="707">
        <v>133660</v>
      </c>
    </row>
    <row r="1719" spans="2:10" ht="15">
      <c r="B1719" s="706">
        <v>133458</v>
      </c>
      <c r="C1719" s="706">
        <v>1221.4999999998458</v>
      </c>
      <c r="D1719" s="707">
        <v>133660</v>
      </c>
      <c r="E1719" s="707">
        <v>1221.5999999998457</v>
      </c>
      <c r="G1719" s="65">
        <v>1221.5999999998457</v>
      </c>
      <c r="H1719" s="707">
        <v>133660</v>
      </c>
      <c r="I1719" s="65">
        <v>1221.6999999998457</v>
      </c>
      <c r="J1719" s="707">
        <v>133863</v>
      </c>
    </row>
    <row r="1720" spans="2:10" ht="15">
      <c r="B1720" s="706">
        <v>133660</v>
      </c>
      <c r="C1720" s="706">
        <v>1221.5999999998457</v>
      </c>
      <c r="D1720" s="707">
        <v>133863</v>
      </c>
      <c r="E1720" s="707">
        <v>1221.6999999998457</v>
      </c>
      <c r="G1720" s="65">
        <v>1221.6999999998457</v>
      </c>
      <c r="H1720" s="707">
        <v>133863</v>
      </c>
      <c r="I1720" s="65">
        <v>1221.7999999998456</v>
      </c>
      <c r="J1720" s="707">
        <v>134065</v>
      </c>
    </row>
    <row r="1721" spans="2:10" ht="15">
      <c r="B1721" s="706">
        <v>133863</v>
      </c>
      <c r="C1721" s="706">
        <v>1221.6999999998457</v>
      </c>
      <c r="D1721" s="707">
        <v>134065</v>
      </c>
      <c r="E1721" s="707">
        <v>1221.7999999998456</v>
      </c>
      <c r="G1721" s="65">
        <v>1221.7999999998456</v>
      </c>
      <c r="H1721" s="707">
        <v>134065</v>
      </c>
      <c r="I1721" s="65">
        <v>1221.8999999998455</v>
      </c>
      <c r="J1721" s="707">
        <v>134268</v>
      </c>
    </row>
    <row r="1722" spans="2:10" ht="15">
      <c r="B1722" s="706">
        <v>134065</v>
      </c>
      <c r="C1722" s="706">
        <v>1221.7999999998456</v>
      </c>
      <c r="D1722" s="707">
        <v>134268</v>
      </c>
      <c r="E1722" s="707">
        <v>1221.8999999998455</v>
      </c>
      <c r="G1722" s="65">
        <v>1221.8999999998455</v>
      </c>
      <c r="H1722" s="707">
        <v>134268</v>
      </c>
      <c r="I1722" s="65">
        <v>1221.9999999998454</v>
      </c>
      <c r="J1722" s="707">
        <v>134470</v>
      </c>
    </row>
    <row r="1723" spans="2:10" ht="15">
      <c r="B1723" s="706">
        <v>134268</v>
      </c>
      <c r="C1723" s="706">
        <v>1221.8999999998455</v>
      </c>
      <c r="D1723" s="707">
        <v>134470</v>
      </c>
      <c r="E1723" s="707">
        <v>1221.9999999998454</v>
      </c>
      <c r="G1723" s="65">
        <v>1221.9999999998454</v>
      </c>
      <c r="H1723" s="707">
        <v>134470</v>
      </c>
      <c r="I1723" s="65">
        <v>1222.0999999998453</v>
      </c>
      <c r="J1723" s="707">
        <v>134675</v>
      </c>
    </row>
    <row r="1724" spans="2:10" ht="15">
      <c r="B1724" s="706">
        <v>134470</v>
      </c>
      <c r="C1724" s="706">
        <v>1221.9999999998454</v>
      </c>
      <c r="D1724" s="707">
        <v>134675</v>
      </c>
      <c r="E1724" s="707">
        <v>1222.0999999998453</v>
      </c>
      <c r="G1724" s="65">
        <v>1222.0999999998453</v>
      </c>
      <c r="H1724" s="707">
        <v>134675</v>
      </c>
      <c r="I1724" s="65">
        <v>1222.1999999998452</v>
      </c>
      <c r="J1724" s="707">
        <v>134880</v>
      </c>
    </row>
    <row r="1725" spans="2:10" ht="15">
      <c r="B1725" s="706">
        <v>134675</v>
      </c>
      <c r="C1725" s="706">
        <v>1222.0999999998453</v>
      </c>
      <c r="D1725" s="707">
        <v>134880</v>
      </c>
      <c r="E1725" s="707">
        <v>1222.1999999998452</v>
      </c>
      <c r="G1725" s="65">
        <v>1222.1999999998452</v>
      </c>
      <c r="H1725" s="707">
        <v>134880</v>
      </c>
      <c r="I1725" s="65">
        <v>1222.2999999998451</v>
      </c>
      <c r="J1725" s="707">
        <v>135085</v>
      </c>
    </row>
    <row r="1726" spans="2:10" ht="15">
      <c r="B1726" s="706">
        <v>134880</v>
      </c>
      <c r="C1726" s="706">
        <v>1222.1999999998452</v>
      </c>
      <c r="D1726" s="707">
        <v>135085</v>
      </c>
      <c r="E1726" s="707">
        <v>1222.2999999998451</v>
      </c>
      <c r="G1726" s="65">
        <v>1222.2999999998451</v>
      </c>
      <c r="H1726" s="707">
        <v>135085</v>
      </c>
      <c r="I1726" s="65">
        <v>1222.399999999845</v>
      </c>
      <c r="J1726" s="707">
        <v>135290</v>
      </c>
    </row>
    <row r="1727" spans="2:10" ht="15">
      <c r="B1727" s="706">
        <v>135085</v>
      </c>
      <c r="C1727" s="706">
        <v>1222.2999999998451</v>
      </c>
      <c r="D1727" s="707">
        <v>135290</v>
      </c>
      <c r="E1727" s="707">
        <v>1222.399999999845</v>
      </c>
      <c r="G1727" s="65">
        <v>1222.399999999845</v>
      </c>
      <c r="H1727" s="707">
        <v>135290</v>
      </c>
      <c r="I1727" s="65">
        <v>1222.4999999998449</v>
      </c>
      <c r="J1727" s="707">
        <v>135496</v>
      </c>
    </row>
    <row r="1728" spans="2:10" ht="15">
      <c r="B1728" s="706">
        <v>135290</v>
      </c>
      <c r="C1728" s="706">
        <v>1222.399999999845</v>
      </c>
      <c r="D1728" s="707">
        <v>135496</v>
      </c>
      <c r="E1728" s="707">
        <v>1222.4999999998449</v>
      </c>
      <c r="G1728" s="65">
        <v>1222.4999999998449</v>
      </c>
      <c r="H1728" s="707">
        <v>135496</v>
      </c>
      <c r="I1728" s="65">
        <v>1222.5999999998448</v>
      </c>
      <c r="J1728" s="707">
        <v>135701</v>
      </c>
    </row>
    <row r="1729" spans="2:10" ht="15">
      <c r="B1729" s="706">
        <v>135496</v>
      </c>
      <c r="C1729" s="706">
        <v>1222.4999999998449</v>
      </c>
      <c r="D1729" s="707">
        <v>135701</v>
      </c>
      <c r="E1729" s="707">
        <v>1222.5999999998448</v>
      </c>
      <c r="G1729" s="65">
        <v>1222.5999999998448</v>
      </c>
      <c r="H1729" s="707">
        <v>135701</v>
      </c>
      <c r="I1729" s="65">
        <v>1222.6999999998447</v>
      </c>
      <c r="J1729" s="707">
        <v>135906</v>
      </c>
    </row>
    <row r="1730" spans="2:10" ht="15">
      <c r="B1730" s="706">
        <v>135701</v>
      </c>
      <c r="C1730" s="706">
        <v>1222.5999999998448</v>
      </c>
      <c r="D1730" s="707">
        <v>135906</v>
      </c>
      <c r="E1730" s="707">
        <v>1222.6999999998447</v>
      </c>
      <c r="G1730" s="65">
        <v>1222.6999999998447</v>
      </c>
      <c r="H1730" s="707">
        <v>135906</v>
      </c>
      <c r="I1730" s="65">
        <v>1222.7999999998447</v>
      </c>
      <c r="J1730" s="707">
        <v>136111</v>
      </c>
    </row>
    <row r="1731" spans="2:10" ht="15">
      <c r="B1731" s="706">
        <v>135906</v>
      </c>
      <c r="C1731" s="706">
        <v>1222.6999999998447</v>
      </c>
      <c r="D1731" s="707">
        <v>136111</v>
      </c>
      <c r="E1731" s="707">
        <v>1222.7999999998447</v>
      </c>
      <c r="G1731" s="65">
        <v>1222.7999999998447</v>
      </c>
      <c r="H1731" s="707">
        <v>136111</v>
      </c>
      <c r="I1731" s="65">
        <v>1222.8999999998446</v>
      </c>
      <c r="J1731" s="707">
        <v>136316</v>
      </c>
    </row>
    <row r="1732" spans="2:10" ht="15">
      <c r="B1732" s="706">
        <v>136111</v>
      </c>
      <c r="C1732" s="706">
        <v>1222.7999999998447</v>
      </c>
      <c r="D1732" s="707">
        <v>136316</v>
      </c>
      <c r="E1732" s="707">
        <v>1222.8999999998446</v>
      </c>
      <c r="G1732" s="65">
        <v>1222.8999999998446</v>
      </c>
      <c r="H1732" s="707">
        <v>136316</v>
      </c>
      <c r="I1732" s="65">
        <v>1222.9999999998445</v>
      </c>
      <c r="J1732" s="707">
        <v>136521</v>
      </c>
    </row>
    <row r="1733" spans="2:10" ht="15">
      <c r="B1733" s="706">
        <v>136316</v>
      </c>
      <c r="C1733" s="706">
        <v>1222.8999999998446</v>
      </c>
      <c r="D1733" s="707">
        <v>136521</v>
      </c>
      <c r="E1733" s="707">
        <v>1222.9999999998445</v>
      </c>
      <c r="G1733" s="65">
        <v>1222.9999999998445</v>
      </c>
      <c r="H1733" s="707">
        <v>136521</v>
      </c>
      <c r="I1733" s="65">
        <v>1223.0999999998444</v>
      </c>
      <c r="J1733" s="707">
        <v>136729</v>
      </c>
    </row>
    <row r="1734" spans="2:10" ht="15">
      <c r="B1734" s="706">
        <v>136521</v>
      </c>
      <c r="C1734" s="706">
        <v>1222.9999999998445</v>
      </c>
      <c r="D1734" s="707">
        <v>136729</v>
      </c>
      <c r="E1734" s="707">
        <v>1223.0999999998444</v>
      </c>
      <c r="G1734" s="65">
        <v>1223.0999999998444</v>
      </c>
      <c r="H1734" s="707">
        <v>136729</v>
      </c>
      <c r="I1734" s="65">
        <v>1223.1999999998443</v>
      </c>
      <c r="J1734" s="707">
        <v>136937</v>
      </c>
    </row>
    <row r="1735" spans="2:10" ht="15">
      <c r="B1735" s="706">
        <v>136729</v>
      </c>
      <c r="C1735" s="706">
        <v>1223.0999999998444</v>
      </c>
      <c r="D1735" s="707">
        <v>136937</v>
      </c>
      <c r="E1735" s="707">
        <v>1223.1999999998443</v>
      </c>
      <c r="G1735" s="65">
        <v>1223.1999999998443</v>
      </c>
      <c r="H1735" s="707">
        <v>136937</v>
      </c>
      <c r="I1735" s="65">
        <v>1223.2999999998442</v>
      </c>
      <c r="J1735" s="707">
        <v>137144</v>
      </c>
    </row>
    <row r="1736" spans="2:10" ht="15">
      <c r="B1736" s="706">
        <v>136937</v>
      </c>
      <c r="C1736" s="706">
        <v>1223.1999999998443</v>
      </c>
      <c r="D1736" s="707">
        <v>137144</v>
      </c>
      <c r="E1736" s="707">
        <v>1223.2999999998442</v>
      </c>
      <c r="G1736" s="65">
        <v>1223.2999999998442</v>
      </c>
      <c r="H1736" s="707">
        <v>137144</v>
      </c>
      <c r="I1736" s="65">
        <v>1223.3999999998441</v>
      </c>
      <c r="J1736" s="707">
        <v>137352</v>
      </c>
    </row>
    <row r="1737" spans="2:10" ht="15">
      <c r="B1737" s="706">
        <v>137144</v>
      </c>
      <c r="C1737" s="706">
        <v>1223.2999999998442</v>
      </c>
      <c r="D1737" s="707">
        <v>137352</v>
      </c>
      <c r="E1737" s="707">
        <v>1223.3999999998441</v>
      </c>
      <c r="G1737" s="65">
        <v>1223.3999999998441</v>
      </c>
      <c r="H1737" s="707">
        <v>137352</v>
      </c>
      <c r="I1737" s="65">
        <v>1223.499999999844</v>
      </c>
      <c r="J1737" s="707">
        <v>137560</v>
      </c>
    </row>
    <row r="1738" spans="2:10" ht="15">
      <c r="B1738" s="706">
        <v>137352</v>
      </c>
      <c r="C1738" s="706">
        <v>1223.3999999998441</v>
      </c>
      <c r="D1738" s="707">
        <v>137560</v>
      </c>
      <c r="E1738" s="707">
        <v>1223.499999999844</v>
      </c>
      <c r="G1738" s="65">
        <v>1223.499999999844</v>
      </c>
      <c r="H1738" s="707">
        <v>137560</v>
      </c>
      <c r="I1738" s="65">
        <v>1223.5999999998439</v>
      </c>
      <c r="J1738" s="707">
        <v>137768</v>
      </c>
    </row>
    <row r="1739" spans="2:10" ht="15">
      <c r="B1739" s="706">
        <v>137560</v>
      </c>
      <c r="C1739" s="706">
        <v>1223.499999999844</v>
      </c>
      <c r="D1739" s="707">
        <v>137768</v>
      </c>
      <c r="E1739" s="707">
        <v>1223.5999999998439</v>
      </c>
      <c r="G1739" s="65">
        <v>1223.5999999998439</v>
      </c>
      <c r="H1739" s="707">
        <v>137768</v>
      </c>
      <c r="I1739" s="65">
        <v>1223.6999999998438</v>
      </c>
      <c r="J1739" s="707">
        <v>137976</v>
      </c>
    </row>
    <row r="1740" spans="2:10" ht="15">
      <c r="B1740" s="706">
        <v>137768</v>
      </c>
      <c r="C1740" s="706">
        <v>1223.5999999998439</v>
      </c>
      <c r="D1740" s="707">
        <v>137976</v>
      </c>
      <c r="E1740" s="707">
        <v>1223.6999999998438</v>
      </c>
      <c r="G1740" s="65">
        <v>1223.6999999998438</v>
      </c>
      <c r="H1740" s="707">
        <v>137976</v>
      </c>
      <c r="I1740" s="65">
        <v>1223.7999999998437</v>
      </c>
      <c r="J1740" s="707">
        <v>138183</v>
      </c>
    </row>
    <row r="1741" spans="2:10" ht="15">
      <c r="B1741" s="706">
        <v>137976</v>
      </c>
      <c r="C1741" s="706">
        <v>1223.6999999998438</v>
      </c>
      <c r="D1741" s="707">
        <v>138183</v>
      </c>
      <c r="E1741" s="707">
        <v>1223.7999999998437</v>
      </c>
      <c r="G1741" s="65">
        <v>1223.7999999998437</v>
      </c>
      <c r="H1741" s="707">
        <v>138183</v>
      </c>
      <c r="I1741" s="65">
        <v>1223.8999999998437</v>
      </c>
      <c r="J1741" s="707">
        <v>138391</v>
      </c>
    </row>
    <row r="1742" spans="2:10" ht="15">
      <c r="B1742" s="706">
        <v>138183</v>
      </c>
      <c r="C1742" s="706">
        <v>1223.7999999998437</v>
      </c>
      <c r="D1742" s="707">
        <v>138391</v>
      </c>
      <c r="E1742" s="707">
        <v>1223.8999999998437</v>
      </c>
      <c r="G1742" s="65">
        <v>1223.8999999998437</v>
      </c>
      <c r="H1742" s="707">
        <v>138391</v>
      </c>
      <c r="I1742" s="65">
        <v>1223.9999999998436</v>
      </c>
      <c r="J1742" s="707">
        <v>138599</v>
      </c>
    </row>
    <row r="1743" spans="2:10" ht="15">
      <c r="B1743" s="706">
        <v>138391</v>
      </c>
      <c r="C1743" s="706">
        <v>1223.8999999998437</v>
      </c>
      <c r="D1743" s="707">
        <v>138599</v>
      </c>
      <c r="E1743" s="707">
        <v>1223.9999999998436</v>
      </c>
      <c r="G1743" s="65">
        <v>1223.9999999998436</v>
      </c>
      <c r="H1743" s="707">
        <v>138599</v>
      </c>
      <c r="I1743" s="65">
        <v>1224.0999999998435</v>
      </c>
      <c r="J1743" s="707">
        <v>138810</v>
      </c>
    </row>
    <row r="1744" spans="2:10" ht="15">
      <c r="B1744" s="706">
        <v>138599</v>
      </c>
      <c r="C1744" s="706">
        <v>1223.9999999998436</v>
      </c>
      <c r="D1744" s="707">
        <v>138810</v>
      </c>
      <c r="E1744" s="707">
        <v>1224.0999999998435</v>
      </c>
      <c r="G1744" s="65">
        <v>1224.0999999998435</v>
      </c>
      <c r="H1744" s="707">
        <v>138810</v>
      </c>
      <c r="I1744" s="65">
        <v>1224.1999999998434</v>
      </c>
      <c r="J1744" s="707">
        <v>139020</v>
      </c>
    </row>
    <row r="1745" spans="2:10" ht="15">
      <c r="B1745" s="706">
        <v>138810</v>
      </c>
      <c r="C1745" s="706">
        <v>1224.0999999998435</v>
      </c>
      <c r="D1745" s="707">
        <v>139020</v>
      </c>
      <c r="E1745" s="707">
        <v>1224.1999999998434</v>
      </c>
      <c r="G1745" s="65">
        <v>1224.1999999998434</v>
      </c>
      <c r="H1745" s="707">
        <v>139020</v>
      </c>
      <c r="I1745" s="65">
        <v>1224.2999999998433</v>
      </c>
      <c r="J1745" s="707">
        <v>139231</v>
      </c>
    </row>
    <row r="1746" spans="2:10" ht="15">
      <c r="B1746" s="706">
        <v>139020</v>
      </c>
      <c r="C1746" s="706">
        <v>1224.1999999998434</v>
      </c>
      <c r="D1746" s="707">
        <v>139231</v>
      </c>
      <c r="E1746" s="707">
        <v>1224.2999999998433</v>
      </c>
      <c r="G1746" s="65">
        <v>1224.2999999998433</v>
      </c>
      <c r="H1746" s="707">
        <v>139231</v>
      </c>
      <c r="I1746" s="65">
        <v>1224.3999999998432</v>
      </c>
      <c r="J1746" s="707">
        <v>139441</v>
      </c>
    </row>
    <row r="1747" spans="2:10" ht="15">
      <c r="B1747" s="706">
        <v>139231</v>
      </c>
      <c r="C1747" s="706">
        <v>1224.2999999998433</v>
      </c>
      <c r="D1747" s="707">
        <v>139441</v>
      </c>
      <c r="E1747" s="707">
        <v>1224.3999999998432</v>
      </c>
      <c r="G1747" s="65">
        <v>1224.3999999998432</v>
      </c>
      <c r="H1747" s="707">
        <v>139441</v>
      </c>
      <c r="I1747" s="65">
        <v>1224.4999999998431</v>
      </c>
      <c r="J1747" s="707">
        <v>139652</v>
      </c>
    </row>
    <row r="1748" spans="2:10" ht="15">
      <c r="B1748" s="706">
        <v>139441</v>
      </c>
      <c r="C1748" s="706">
        <v>1224.3999999998432</v>
      </c>
      <c r="D1748" s="707">
        <v>139652</v>
      </c>
      <c r="E1748" s="707">
        <v>1224.4999999998431</v>
      </c>
      <c r="G1748" s="65">
        <v>1224.4999999998431</v>
      </c>
      <c r="H1748" s="707">
        <v>139652</v>
      </c>
      <c r="I1748" s="65">
        <v>1224.599999999843</v>
      </c>
      <c r="J1748" s="707">
        <v>139862</v>
      </c>
    </row>
    <row r="1749" spans="2:10" ht="15">
      <c r="B1749" s="706">
        <v>139652</v>
      </c>
      <c r="C1749" s="706">
        <v>1224.4999999998431</v>
      </c>
      <c r="D1749" s="707">
        <v>139862</v>
      </c>
      <c r="E1749" s="707">
        <v>1224.599999999843</v>
      </c>
      <c r="G1749" s="65">
        <v>1224.599999999843</v>
      </c>
      <c r="H1749" s="707">
        <v>139862</v>
      </c>
      <c r="I1749" s="65">
        <v>1224.6999999998429</v>
      </c>
      <c r="J1749" s="707">
        <v>140073</v>
      </c>
    </row>
    <row r="1750" spans="2:10" ht="15">
      <c r="B1750" s="706">
        <v>139862</v>
      </c>
      <c r="C1750" s="706">
        <v>1224.599999999843</v>
      </c>
      <c r="D1750" s="707">
        <v>140073</v>
      </c>
      <c r="E1750" s="707">
        <v>1224.6999999998429</v>
      </c>
      <c r="G1750" s="65">
        <v>1224.6999999998429</v>
      </c>
      <c r="H1750" s="707">
        <v>140073</v>
      </c>
      <c r="I1750" s="65">
        <v>1224.7999999998428</v>
      </c>
      <c r="J1750" s="707">
        <v>140283</v>
      </c>
    </row>
    <row r="1751" spans="2:10" ht="15">
      <c r="B1751" s="706">
        <v>140073</v>
      </c>
      <c r="C1751" s="706">
        <v>1224.6999999998429</v>
      </c>
      <c r="D1751" s="707">
        <v>140283</v>
      </c>
      <c r="E1751" s="707">
        <v>1224.7999999998428</v>
      </c>
      <c r="G1751" s="65">
        <v>1224.7999999998428</v>
      </c>
      <c r="H1751" s="707">
        <v>140283</v>
      </c>
      <c r="I1751" s="65">
        <v>1224.8999999998427</v>
      </c>
      <c r="J1751" s="707">
        <v>140494</v>
      </c>
    </row>
    <row r="1752" spans="2:10" ht="15">
      <c r="B1752" s="706">
        <v>140283</v>
      </c>
      <c r="C1752" s="706">
        <v>1224.7999999998428</v>
      </c>
      <c r="D1752" s="707">
        <v>140494</v>
      </c>
      <c r="E1752" s="707">
        <v>1224.8999999998427</v>
      </c>
      <c r="G1752" s="65">
        <v>1224.8999999998427</v>
      </c>
      <c r="H1752" s="707">
        <v>140494</v>
      </c>
      <c r="I1752" s="65">
        <v>1224.9999999998427</v>
      </c>
      <c r="J1752" s="707">
        <v>140704</v>
      </c>
    </row>
    <row r="1753" spans="2:10" ht="15">
      <c r="B1753" s="706">
        <v>140494</v>
      </c>
      <c r="C1753" s="706">
        <v>1224.8999999998427</v>
      </c>
      <c r="D1753" s="707">
        <v>140704</v>
      </c>
      <c r="E1753" s="707">
        <v>1224.9999999998427</v>
      </c>
      <c r="G1753" s="65">
        <v>1224.9999999998427</v>
      </c>
      <c r="H1753" s="707">
        <v>140704</v>
      </c>
      <c r="I1753" s="65">
        <v>1225.0999999998426</v>
      </c>
      <c r="J1753" s="707">
        <v>140917</v>
      </c>
    </row>
    <row r="1754" spans="2:10" ht="15">
      <c r="B1754" s="706">
        <v>140704</v>
      </c>
      <c r="C1754" s="706">
        <v>1224.9999999998427</v>
      </c>
      <c r="D1754" s="707">
        <v>140917</v>
      </c>
      <c r="E1754" s="707">
        <v>1225.0999999998426</v>
      </c>
      <c r="G1754" s="65">
        <v>1225.0999999998426</v>
      </c>
      <c r="H1754" s="707">
        <v>140917</v>
      </c>
      <c r="I1754" s="65">
        <v>1225.1999999998425</v>
      </c>
      <c r="J1754" s="707">
        <v>141130</v>
      </c>
    </row>
    <row r="1755" spans="2:10" ht="15">
      <c r="B1755" s="706">
        <v>140917</v>
      </c>
      <c r="C1755" s="706">
        <v>1225.0999999998426</v>
      </c>
      <c r="D1755" s="707">
        <v>141130</v>
      </c>
      <c r="E1755" s="707">
        <v>1225.1999999998425</v>
      </c>
      <c r="G1755" s="65">
        <v>1225.1999999998425</v>
      </c>
      <c r="H1755" s="707">
        <v>141130</v>
      </c>
      <c r="I1755" s="65">
        <v>1225.2999999998424</v>
      </c>
      <c r="J1755" s="707">
        <v>141344</v>
      </c>
    </row>
    <row r="1756" spans="2:10" ht="15">
      <c r="B1756" s="706">
        <v>141130</v>
      </c>
      <c r="C1756" s="706">
        <v>1225.1999999998425</v>
      </c>
      <c r="D1756" s="707">
        <v>141344</v>
      </c>
      <c r="E1756" s="707">
        <v>1225.2999999998424</v>
      </c>
      <c r="G1756" s="65">
        <v>1225.2999999998424</v>
      </c>
      <c r="H1756" s="707">
        <v>141344</v>
      </c>
      <c r="I1756" s="65">
        <v>1225.3999999998423</v>
      </c>
      <c r="J1756" s="707">
        <v>141557</v>
      </c>
    </row>
    <row r="1757" spans="2:10" ht="15">
      <c r="B1757" s="706">
        <v>141344</v>
      </c>
      <c r="C1757" s="706">
        <v>1225.2999999998424</v>
      </c>
      <c r="D1757" s="707">
        <v>141557</v>
      </c>
      <c r="E1757" s="707">
        <v>1225.3999999998423</v>
      </c>
      <c r="G1757" s="65">
        <v>1225.3999999998423</v>
      </c>
      <c r="H1757" s="707">
        <v>141557</v>
      </c>
      <c r="I1757" s="65">
        <v>1225.4999999998422</v>
      </c>
      <c r="J1757" s="707">
        <v>141770</v>
      </c>
    </row>
    <row r="1758" spans="2:10" ht="15">
      <c r="B1758" s="706">
        <v>141557</v>
      </c>
      <c r="C1758" s="706">
        <v>1225.3999999998423</v>
      </c>
      <c r="D1758" s="707">
        <v>141770</v>
      </c>
      <c r="E1758" s="707">
        <v>1225.4999999998422</v>
      </c>
      <c r="G1758" s="65">
        <v>1225.4999999998422</v>
      </c>
      <c r="H1758" s="707">
        <v>141770</v>
      </c>
      <c r="I1758" s="65">
        <v>1225.5999999998421</v>
      </c>
      <c r="J1758" s="707">
        <v>141983</v>
      </c>
    </row>
    <row r="1759" spans="2:10" ht="15">
      <c r="B1759" s="706">
        <v>141770</v>
      </c>
      <c r="C1759" s="706">
        <v>1225.4999999998422</v>
      </c>
      <c r="D1759" s="707">
        <v>141983</v>
      </c>
      <c r="E1759" s="707">
        <v>1225.5999999998421</v>
      </c>
      <c r="G1759" s="65">
        <v>1225.5999999998421</v>
      </c>
      <c r="H1759" s="707">
        <v>141983</v>
      </c>
      <c r="I1759" s="65">
        <v>1225.699999999842</v>
      </c>
      <c r="J1759" s="707">
        <v>142196</v>
      </c>
    </row>
    <row r="1760" spans="2:10" ht="15">
      <c r="B1760" s="706">
        <v>141983</v>
      </c>
      <c r="C1760" s="706">
        <v>1225.5999999998421</v>
      </c>
      <c r="D1760" s="707">
        <v>142196</v>
      </c>
      <c r="E1760" s="707">
        <v>1225.699999999842</v>
      </c>
      <c r="G1760" s="65">
        <v>1225.699999999842</v>
      </c>
      <c r="H1760" s="707">
        <v>142196</v>
      </c>
      <c r="I1760" s="65">
        <v>1225.7999999998419</v>
      </c>
      <c r="J1760" s="707">
        <v>142410</v>
      </c>
    </row>
    <row r="1761" spans="2:10" ht="15">
      <c r="B1761" s="706">
        <v>142196</v>
      </c>
      <c r="C1761" s="706">
        <v>1225.699999999842</v>
      </c>
      <c r="D1761" s="707">
        <v>142410</v>
      </c>
      <c r="E1761" s="707">
        <v>1225.7999999998419</v>
      </c>
      <c r="G1761" s="65">
        <v>1225.7999999998419</v>
      </c>
      <c r="H1761" s="707">
        <v>142410</v>
      </c>
      <c r="I1761" s="65">
        <v>1225.8999999998418</v>
      </c>
      <c r="J1761" s="707">
        <v>142623</v>
      </c>
    </row>
    <row r="1762" spans="2:10" ht="15">
      <c r="B1762" s="706">
        <v>142410</v>
      </c>
      <c r="C1762" s="706">
        <v>1225.7999999998419</v>
      </c>
      <c r="D1762" s="707">
        <v>142623</v>
      </c>
      <c r="E1762" s="707">
        <v>1225.8999999998418</v>
      </c>
      <c r="G1762" s="65">
        <v>1225.8999999998418</v>
      </c>
      <c r="H1762" s="707">
        <v>142623</v>
      </c>
      <c r="I1762" s="65">
        <v>1225.9999999998417</v>
      </c>
      <c r="J1762" s="707">
        <v>142836</v>
      </c>
    </row>
    <row r="1763" spans="2:10" ht="15">
      <c r="B1763" s="706">
        <v>142623</v>
      </c>
      <c r="C1763" s="706">
        <v>1225.8999999998418</v>
      </c>
      <c r="D1763" s="707">
        <v>142836</v>
      </c>
      <c r="E1763" s="707">
        <v>1225.9999999998417</v>
      </c>
      <c r="G1763" s="65">
        <v>1225.9999999998417</v>
      </c>
      <c r="H1763" s="707">
        <v>142836</v>
      </c>
      <c r="I1763" s="65">
        <v>1226.0999999998417</v>
      </c>
      <c r="J1763" s="707">
        <v>143052</v>
      </c>
    </row>
    <row r="1764" spans="2:10" ht="15">
      <c r="B1764" s="706">
        <v>142836</v>
      </c>
      <c r="C1764" s="706">
        <v>1225.9999999998417</v>
      </c>
      <c r="D1764" s="707">
        <v>143052</v>
      </c>
      <c r="E1764" s="707">
        <v>1226.0999999998417</v>
      </c>
      <c r="G1764" s="65">
        <v>1226.0999999998417</v>
      </c>
      <c r="H1764" s="707">
        <v>143052</v>
      </c>
      <c r="I1764" s="65">
        <v>1226.1999999998416</v>
      </c>
      <c r="J1764" s="707">
        <v>143268</v>
      </c>
    </row>
    <row r="1765" spans="2:10" ht="15">
      <c r="B1765" s="706">
        <v>143052</v>
      </c>
      <c r="C1765" s="706">
        <v>1226.0999999998417</v>
      </c>
      <c r="D1765" s="707">
        <v>143268</v>
      </c>
      <c r="E1765" s="707">
        <v>1226.1999999998416</v>
      </c>
      <c r="G1765" s="65">
        <v>1226.1999999998416</v>
      </c>
      <c r="H1765" s="707">
        <v>143268</v>
      </c>
      <c r="I1765" s="65">
        <v>1226.2999999998415</v>
      </c>
      <c r="J1765" s="707">
        <v>143484</v>
      </c>
    </row>
    <row r="1766" spans="2:10" ht="15">
      <c r="B1766" s="706">
        <v>143268</v>
      </c>
      <c r="C1766" s="706">
        <v>1226.1999999998416</v>
      </c>
      <c r="D1766" s="707">
        <v>143484</v>
      </c>
      <c r="E1766" s="707">
        <v>1226.2999999998415</v>
      </c>
      <c r="G1766" s="65">
        <v>1226.2999999998415</v>
      </c>
      <c r="H1766" s="707">
        <v>143484</v>
      </c>
      <c r="I1766" s="65">
        <v>1226.3999999998414</v>
      </c>
      <c r="J1766" s="707">
        <v>143700</v>
      </c>
    </row>
    <row r="1767" spans="2:10" ht="15">
      <c r="B1767" s="706">
        <v>143484</v>
      </c>
      <c r="C1767" s="706">
        <v>1226.2999999998415</v>
      </c>
      <c r="D1767" s="707">
        <v>143700</v>
      </c>
      <c r="E1767" s="707">
        <v>1226.3999999998414</v>
      </c>
      <c r="G1767" s="65">
        <v>1226.3999999998414</v>
      </c>
      <c r="H1767" s="707">
        <v>143700</v>
      </c>
      <c r="I1767" s="65">
        <v>1226.4999999998413</v>
      </c>
      <c r="J1767" s="707">
        <v>143916</v>
      </c>
    </row>
    <row r="1768" spans="2:10" ht="15">
      <c r="B1768" s="706">
        <v>143700</v>
      </c>
      <c r="C1768" s="706">
        <v>1226.3999999998414</v>
      </c>
      <c r="D1768" s="707">
        <v>143916</v>
      </c>
      <c r="E1768" s="707">
        <v>1226.4999999998413</v>
      </c>
      <c r="G1768" s="65">
        <v>1226.4999999998413</v>
      </c>
      <c r="H1768" s="707">
        <v>143916</v>
      </c>
      <c r="I1768" s="65">
        <v>1226.5999999998412</v>
      </c>
      <c r="J1768" s="707">
        <v>144131</v>
      </c>
    </row>
    <row r="1769" spans="2:10" ht="15">
      <c r="B1769" s="706">
        <v>143916</v>
      </c>
      <c r="C1769" s="706">
        <v>1226.4999999998413</v>
      </c>
      <c r="D1769" s="707">
        <v>144131</v>
      </c>
      <c r="E1769" s="707">
        <v>1226.5999999998412</v>
      </c>
      <c r="G1769" s="65">
        <v>1226.5999999998412</v>
      </c>
      <c r="H1769" s="707">
        <v>144131</v>
      </c>
      <c r="I1769" s="65">
        <v>1226.6999999998411</v>
      </c>
      <c r="J1769" s="707">
        <v>144347</v>
      </c>
    </row>
    <row r="1770" spans="2:10" ht="15">
      <c r="B1770" s="706">
        <v>144131</v>
      </c>
      <c r="C1770" s="706">
        <v>1226.5999999998412</v>
      </c>
      <c r="D1770" s="707">
        <v>144347</v>
      </c>
      <c r="E1770" s="707">
        <v>1226.6999999998411</v>
      </c>
      <c r="G1770" s="65">
        <v>1226.6999999998411</v>
      </c>
      <c r="H1770" s="707">
        <v>144347</v>
      </c>
      <c r="I1770" s="65">
        <v>1226.799999999841</v>
      </c>
      <c r="J1770" s="707">
        <v>144563</v>
      </c>
    </row>
    <row r="1771" spans="2:10" ht="15">
      <c r="B1771" s="706">
        <v>144347</v>
      </c>
      <c r="C1771" s="706">
        <v>1226.6999999998411</v>
      </c>
      <c r="D1771" s="707">
        <v>144563</v>
      </c>
      <c r="E1771" s="707">
        <v>1226.799999999841</v>
      </c>
      <c r="G1771" s="65">
        <v>1226.799999999841</v>
      </c>
      <c r="H1771" s="707">
        <v>144563</v>
      </c>
      <c r="I1771" s="65">
        <v>1226.8999999998409</v>
      </c>
      <c r="J1771" s="707">
        <v>144779</v>
      </c>
    </row>
    <row r="1772" spans="2:10" ht="15">
      <c r="B1772" s="706">
        <v>144563</v>
      </c>
      <c r="C1772" s="706">
        <v>1226.799999999841</v>
      </c>
      <c r="D1772" s="707">
        <v>144779</v>
      </c>
      <c r="E1772" s="707">
        <v>1226.8999999998409</v>
      </c>
      <c r="G1772" s="65">
        <v>1226.8999999998409</v>
      </c>
      <c r="H1772" s="707">
        <v>144779</v>
      </c>
      <c r="I1772" s="65">
        <v>1226.9999999998408</v>
      </c>
      <c r="J1772" s="707">
        <v>144995</v>
      </c>
    </row>
    <row r="1773" spans="2:10" ht="15">
      <c r="B1773" s="706">
        <v>144779</v>
      </c>
      <c r="C1773" s="706">
        <v>1226.8999999998409</v>
      </c>
      <c r="D1773" s="707">
        <v>144995</v>
      </c>
      <c r="E1773" s="707">
        <v>1226.9999999998408</v>
      </c>
      <c r="G1773" s="65">
        <v>1226.9999999998408</v>
      </c>
      <c r="H1773" s="707">
        <v>144995</v>
      </c>
      <c r="I1773" s="65">
        <v>1227.0999999998407</v>
      </c>
      <c r="J1773" s="707">
        <v>145214</v>
      </c>
    </row>
    <row r="1774" spans="2:10" ht="15">
      <c r="B1774" s="706">
        <v>144995</v>
      </c>
      <c r="C1774" s="706">
        <v>1226.9999999998408</v>
      </c>
      <c r="D1774" s="707">
        <v>145214</v>
      </c>
      <c r="E1774" s="707">
        <v>1227.0999999998407</v>
      </c>
      <c r="G1774" s="65">
        <v>1227.0999999998407</v>
      </c>
      <c r="H1774" s="707">
        <v>145214</v>
      </c>
      <c r="I1774" s="65">
        <v>1227.1999999998407</v>
      </c>
      <c r="J1774" s="707">
        <v>145432</v>
      </c>
    </row>
    <row r="1775" spans="2:10" ht="15">
      <c r="B1775" s="706">
        <v>145214</v>
      </c>
      <c r="C1775" s="706">
        <v>1227.0999999998407</v>
      </c>
      <c r="D1775" s="707">
        <v>145432</v>
      </c>
      <c r="E1775" s="707">
        <v>1227.1999999998407</v>
      </c>
      <c r="G1775" s="65">
        <v>1227.1999999998407</v>
      </c>
      <c r="H1775" s="707">
        <v>145432</v>
      </c>
      <c r="I1775" s="65">
        <v>1227.2999999998406</v>
      </c>
      <c r="J1775" s="707">
        <v>145651</v>
      </c>
    </row>
    <row r="1776" spans="2:10" ht="15">
      <c r="B1776" s="706">
        <v>145432</v>
      </c>
      <c r="C1776" s="706">
        <v>1227.1999999998407</v>
      </c>
      <c r="D1776" s="707">
        <v>145651</v>
      </c>
      <c r="E1776" s="707">
        <v>1227.2999999998406</v>
      </c>
      <c r="G1776" s="65">
        <v>1227.2999999998406</v>
      </c>
      <c r="H1776" s="707">
        <v>145651</v>
      </c>
      <c r="I1776" s="65">
        <v>1227.3999999998405</v>
      </c>
      <c r="J1776" s="707">
        <v>145869</v>
      </c>
    </row>
    <row r="1777" spans="2:10" ht="15">
      <c r="B1777" s="706">
        <v>145651</v>
      </c>
      <c r="C1777" s="706">
        <v>1227.2999999998406</v>
      </c>
      <c r="D1777" s="707">
        <v>145869</v>
      </c>
      <c r="E1777" s="707">
        <v>1227.3999999998405</v>
      </c>
      <c r="G1777" s="65">
        <v>1227.3999999998405</v>
      </c>
      <c r="H1777" s="707">
        <v>145869</v>
      </c>
      <c r="I1777" s="65">
        <v>1227.4999999998404</v>
      </c>
      <c r="J1777" s="707">
        <v>146088</v>
      </c>
    </row>
    <row r="1778" spans="2:10" ht="15">
      <c r="B1778" s="706">
        <v>145869</v>
      </c>
      <c r="C1778" s="706">
        <v>1227.3999999998405</v>
      </c>
      <c r="D1778" s="707">
        <v>146088</v>
      </c>
      <c r="E1778" s="707">
        <v>1227.4999999998404</v>
      </c>
      <c r="G1778" s="65">
        <v>1227.4999999998404</v>
      </c>
      <c r="H1778" s="707">
        <v>146088</v>
      </c>
      <c r="I1778" s="65">
        <v>1227.5999999998403</v>
      </c>
      <c r="J1778" s="707">
        <v>146307</v>
      </c>
    </row>
    <row r="1779" spans="2:10" ht="15">
      <c r="B1779" s="706">
        <v>146088</v>
      </c>
      <c r="C1779" s="706">
        <v>1227.4999999998404</v>
      </c>
      <c r="D1779" s="707">
        <v>146307</v>
      </c>
      <c r="E1779" s="707">
        <v>1227.5999999998403</v>
      </c>
      <c r="G1779" s="65">
        <v>1227.5999999998403</v>
      </c>
      <c r="H1779" s="707">
        <v>146307</v>
      </c>
      <c r="I1779" s="65">
        <v>1227.6999999998402</v>
      </c>
      <c r="J1779" s="707">
        <v>146525</v>
      </c>
    </row>
    <row r="1780" spans="2:10" ht="15">
      <c r="B1780" s="706">
        <v>146307</v>
      </c>
      <c r="C1780" s="706">
        <v>1227.5999999998403</v>
      </c>
      <c r="D1780" s="707">
        <v>146525</v>
      </c>
      <c r="E1780" s="707">
        <v>1227.6999999998402</v>
      </c>
      <c r="G1780" s="65">
        <v>1227.6999999998402</v>
      </c>
      <c r="H1780" s="707">
        <v>146525</v>
      </c>
      <c r="I1780" s="65">
        <v>1227.7999999998401</v>
      </c>
      <c r="J1780" s="707">
        <v>146744</v>
      </c>
    </row>
    <row r="1781" spans="2:10" ht="15">
      <c r="B1781" s="706">
        <v>146525</v>
      </c>
      <c r="C1781" s="706">
        <v>1227.6999999998402</v>
      </c>
      <c r="D1781" s="707">
        <v>146744</v>
      </c>
      <c r="E1781" s="707">
        <v>1227.7999999998401</v>
      </c>
      <c r="G1781" s="65">
        <v>1227.7999999998401</v>
      </c>
      <c r="H1781" s="707">
        <v>146744</v>
      </c>
      <c r="I1781" s="65">
        <v>1227.89999999984</v>
      </c>
      <c r="J1781" s="707">
        <v>146962</v>
      </c>
    </row>
    <row r="1782" spans="2:10" ht="15">
      <c r="B1782" s="706">
        <v>146744</v>
      </c>
      <c r="C1782" s="706">
        <v>1227.7999999998401</v>
      </c>
      <c r="D1782" s="707">
        <v>146962</v>
      </c>
      <c r="E1782" s="707">
        <v>1227.89999999984</v>
      </c>
      <c r="G1782" s="65">
        <v>1227.89999999984</v>
      </c>
      <c r="H1782" s="707">
        <v>146962</v>
      </c>
      <c r="I1782" s="65">
        <v>1227.9999999998399</v>
      </c>
      <c r="J1782" s="707">
        <v>147181</v>
      </c>
    </row>
    <row r="1783" spans="2:10" ht="15">
      <c r="B1783" s="706">
        <v>146962</v>
      </c>
      <c r="C1783" s="706">
        <v>1227.89999999984</v>
      </c>
      <c r="D1783" s="707">
        <v>147181</v>
      </c>
      <c r="E1783" s="707">
        <v>1227.9999999998399</v>
      </c>
      <c r="G1783" s="65">
        <v>1227.9999999998399</v>
      </c>
      <c r="H1783" s="707">
        <v>147181</v>
      </c>
      <c r="I1783" s="65">
        <v>1228.0999999998398</v>
      </c>
      <c r="J1783" s="707">
        <v>147402</v>
      </c>
    </row>
    <row r="1784" spans="2:10" ht="15">
      <c r="B1784" s="706">
        <v>147181</v>
      </c>
      <c r="C1784" s="706">
        <v>1227.9999999998399</v>
      </c>
      <c r="D1784" s="707">
        <v>147402</v>
      </c>
      <c r="E1784" s="707">
        <v>1228.0999999998398</v>
      </c>
      <c r="G1784" s="65">
        <v>1228.0999999998398</v>
      </c>
      <c r="H1784" s="707">
        <v>147402</v>
      </c>
      <c r="I1784" s="65">
        <v>1228.1999999998397</v>
      </c>
      <c r="J1784" s="707">
        <v>147624</v>
      </c>
    </row>
    <row r="1785" spans="2:10" ht="15">
      <c r="B1785" s="706">
        <v>147402</v>
      </c>
      <c r="C1785" s="706">
        <v>1228.0999999998398</v>
      </c>
      <c r="D1785" s="707">
        <v>147624</v>
      </c>
      <c r="E1785" s="707">
        <v>1228.1999999998397</v>
      </c>
      <c r="G1785" s="65">
        <v>1228.1999999998397</v>
      </c>
      <c r="H1785" s="707">
        <v>147624</v>
      </c>
      <c r="I1785" s="65">
        <v>1228.2999999998397</v>
      </c>
      <c r="J1785" s="707">
        <v>147845</v>
      </c>
    </row>
    <row r="1786" spans="2:10" ht="15">
      <c r="B1786" s="706">
        <v>147624</v>
      </c>
      <c r="C1786" s="706">
        <v>1228.1999999998397</v>
      </c>
      <c r="D1786" s="707">
        <v>147845</v>
      </c>
      <c r="E1786" s="707">
        <v>1228.2999999998397</v>
      </c>
      <c r="G1786" s="65">
        <v>1228.2999999998397</v>
      </c>
      <c r="H1786" s="707">
        <v>147845</v>
      </c>
      <c r="I1786" s="65">
        <v>1228.3999999998396</v>
      </c>
      <c r="J1786" s="707">
        <v>148066</v>
      </c>
    </row>
    <row r="1787" spans="2:10" ht="15">
      <c r="B1787" s="706">
        <v>147845</v>
      </c>
      <c r="C1787" s="706">
        <v>1228.2999999998397</v>
      </c>
      <c r="D1787" s="707">
        <v>148066</v>
      </c>
      <c r="E1787" s="707">
        <v>1228.3999999998396</v>
      </c>
      <c r="G1787" s="65">
        <v>1228.3999999998396</v>
      </c>
      <c r="H1787" s="707">
        <v>148066</v>
      </c>
      <c r="I1787" s="65">
        <v>1228.4999999998395</v>
      </c>
      <c r="J1787" s="707">
        <v>148288</v>
      </c>
    </row>
    <row r="1788" spans="2:10" ht="15">
      <c r="B1788" s="706">
        <v>148066</v>
      </c>
      <c r="C1788" s="706">
        <v>1228.3999999998396</v>
      </c>
      <c r="D1788" s="707">
        <v>148288</v>
      </c>
      <c r="E1788" s="707">
        <v>1228.4999999998395</v>
      </c>
      <c r="G1788" s="65">
        <v>1228.4999999998395</v>
      </c>
      <c r="H1788" s="707">
        <v>148288</v>
      </c>
      <c r="I1788" s="65">
        <v>1228.5999999998394</v>
      </c>
      <c r="J1788" s="707">
        <v>148509</v>
      </c>
    </row>
    <row r="1789" spans="2:10" ht="15">
      <c r="B1789" s="706">
        <v>148288</v>
      </c>
      <c r="C1789" s="706">
        <v>1228.4999999998395</v>
      </c>
      <c r="D1789" s="707">
        <v>148509</v>
      </c>
      <c r="E1789" s="707">
        <v>1228.5999999998394</v>
      </c>
      <c r="G1789" s="65">
        <v>1228.5999999998394</v>
      </c>
      <c r="H1789" s="707">
        <v>148509</v>
      </c>
      <c r="I1789" s="65">
        <v>1228.6999999998393</v>
      </c>
      <c r="J1789" s="707">
        <v>148730</v>
      </c>
    </row>
    <row r="1790" spans="2:10" ht="15">
      <c r="B1790" s="706">
        <v>148509</v>
      </c>
      <c r="C1790" s="706">
        <v>1228.5999999998394</v>
      </c>
      <c r="D1790" s="707">
        <v>148730</v>
      </c>
      <c r="E1790" s="707">
        <v>1228.6999999998393</v>
      </c>
      <c r="G1790" s="65">
        <v>1228.6999999998393</v>
      </c>
      <c r="H1790" s="707">
        <v>148730</v>
      </c>
      <c r="I1790" s="65">
        <v>1228.7999999998392</v>
      </c>
      <c r="J1790" s="707">
        <v>148951</v>
      </c>
    </row>
    <row r="1791" spans="2:10" ht="15">
      <c r="B1791" s="706">
        <v>148730</v>
      </c>
      <c r="C1791" s="706">
        <v>1228.6999999998393</v>
      </c>
      <c r="D1791" s="707">
        <v>148951</v>
      </c>
      <c r="E1791" s="707">
        <v>1228.7999999998392</v>
      </c>
      <c r="G1791" s="65">
        <v>1228.7999999998392</v>
      </c>
      <c r="H1791" s="707">
        <v>148951</v>
      </c>
      <c r="I1791" s="65">
        <v>1228.8999999998391</v>
      </c>
      <c r="J1791" s="707">
        <v>149173</v>
      </c>
    </row>
    <row r="1792" spans="2:10" ht="15">
      <c r="B1792" s="706">
        <v>148951</v>
      </c>
      <c r="C1792" s="706">
        <v>1228.7999999998392</v>
      </c>
      <c r="D1792" s="707">
        <v>149173</v>
      </c>
      <c r="E1792" s="707">
        <v>1228.8999999998391</v>
      </c>
      <c r="G1792" s="65">
        <v>1228.8999999998391</v>
      </c>
      <c r="H1792" s="707">
        <v>149173</v>
      </c>
      <c r="I1792" s="65">
        <v>1228.999999999839</v>
      </c>
      <c r="J1792" s="707">
        <v>149394</v>
      </c>
    </row>
    <row r="1793" spans="2:8" ht="15">
      <c r="B1793" s="706">
        <v>149173</v>
      </c>
      <c r="C1793" s="706">
        <v>1228.8999999998391</v>
      </c>
      <c r="D1793" s="707">
        <v>149394</v>
      </c>
      <c r="E1793" s="707">
        <v>1229</v>
      </c>
      <c r="H1793" s="707">
        <v>149394</v>
      </c>
    </row>
    <row r="1794" spans="2:8" ht="15">
      <c r="B1794" s="706">
        <v>149394</v>
      </c>
      <c r="C1794" s="706">
        <v>1229</v>
      </c>
    </row>
  </sheetData>
  <phoneticPr fontId="19"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3</vt:i4>
      </vt:variant>
      <vt:variant>
        <vt:lpstr>Named Ranges</vt:lpstr>
      </vt:variant>
      <vt:variant>
        <vt:i4>17</vt:i4>
      </vt:variant>
    </vt:vector>
  </HeadingPairs>
  <TitlesOfParts>
    <vt:vector size="35" baseType="lpstr">
      <vt:lpstr>Summary</vt:lpstr>
      <vt:lpstr>Tacoma-Report Page</vt:lpstr>
      <vt:lpstr>RWS-Report Page </vt:lpstr>
      <vt:lpstr>Annual Consumption Report</vt:lpstr>
      <vt:lpstr>Sheet1</vt:lpstr>
      <vt:lpstr>Monthly Consumption Report</vt:lpstr>
      <vt:lpstr>Calculation</vt:lpstr>
      <vt:lpstr>Calculations II</vt:lpstr>
      <vt:lpstr>HH Capacity Table</vt:lpstr>
      <vt:lpstr>Accounting-Delivery</vt:lpstr>
      <vt:lpstr>Diversion Rights</vt:lpstr>
      <vt:lpstr>Lookup</vt:lpstr>
      <vt:lpstr>Conversions</vt:lpstr>
      <vt:lpstr>System Flows</vt:lpstr>
      <vt:lpstr>Sheet2</vt:lpstr>
      <vt:lpstr>STORAGE</vt:lpstr>
      <vt:lpstr>Partner Storage</vt:lpstr>
      <vt:lpstr>1135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cnelson</cp:lastModifiedBy>
  <cp:lastPrinted>2015-02-05T19:35:26Z</cp:lastPrinted>
  <dcterms:created xsi:type="dcterms:W3CDTF">2005-08-18T17:00:01Z</dcterms:created>
  <dcterms:modified xsi:type="dcterms:W3CDTF">2015-02-05T19:41:46Z</dcterms:modified>
</cp:coreProperties>
</file>